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240" yWindow="420" windowWidth="14805" windowHeight="7695" tabRatio="622"/>
  </bookViews>
  <sheets>
    <sheet name="まず" sheetId="11" r:id="rId1"/>
    <sheet name="総計" sheetId="3" r:id="rId2"/>
    <sheet name="小選挙区" sheetId="1" r:id="rId3"/>
    <sheet name="比例区" sheetId="2" r:id="rId4"/>
    <sheet name="all" sheetId="15" r:id="rId5"/>
    <sheet name="09" sheetId="4" r:id="rId6"/>
    <sheet name="05" sheetId="5" r:id="rId7"/>
    <sheet name="03" sheetId="12" r:id="rId8"/>
    <sheet name="比例データ" sheetId="13" r:id="rId9"/>
    <sheet name="比例予想" sheetId="6" r:id="rId10"/>
    <sheet name="予想計" sheetId="7" r:id="rId11"/>
    <sheet name="結果(小)" sheetId="8" r:id="rId12"/>
    <sheet name="結果(比)" sheetId="9" r:id="rId13"/>
    <sheet name="結果(総計)" sheetId="10" r:id="rId14"/>
    <sheet name="Sheet11" sheetId="14" r:id="rId15"/>
  </sheets>
  <calcPr calcId="125725"/>
</workbook>
</file>

<file path=xl/calcChain.xml><?xml version="1.0" encoding="utf-8"?>
<calcChain xmlns="http://schemas.openxmlformats.org/spreadsheetml/2006/main">
  <c r="C8" i="10"/>
  <c r="C7"/>
  <c r="C6"/>
  <c r="G1126" i="9"/>
  <c r="G1135"/>
  <c r="K1135" s="1"/>
  <c r="F1135"/>
  <c r="G1133"/>
  <c r="K1133" s="1"/>
  <c r="F1133"/>
  <c r="C9" i="10" s="1"/>
  <c r="G1132" i="9"/>
  <c r="K1132" s="1"/>
  <c r="F1132"/>
  <c r="C10" i="10" s="1"/>
  <c r="G1131" i="9"/>
  <c r="F1131"/>
  <c r="C4" i="10" s="1"/>
  <c r="G1130" i="9"/>
  <c r="F1130"/>
  <c r="C11" i="10" s="1"/>
  <c r="G1129" i="9"/>
  <c r="F1129"/>
  <c r="C12" i="10" s="1"/>
  <c r="G1128" i="9"/>
  <c r="K1128" s="1"/>
  <c r="F1128"/>
  <c r="C13" i="10" s="1"/>
  <c r="G1127" i="9"/>
  <c r="G1137" s="1"/>
  <c r="F1127"/>
  <c r="C14" i="10" s="1"/>
  <c r="F1126" i="9"/>
  <c r="C16" i="10" s="1"/>
  <c r="G1125" i="9"/>
  <c r="F1125"/>
  <c r="C15" i="10" s="1"/>
  <c r="G1124" i="9"/>
  <c r="K1124" s="1"/>
  <c r="F1124"/>
  <c r="C17" i="10" s="1"/>
  <c r="G1123" i="9"/>
  <c r="F1123"/>
  <c r="C3" i="10" s="1"/>
  <c r="F1134" i="9"/>
  <c r="V1114"/>
  <c r="V1113"/>
  <c r="V1108"/>
  <c r="V1104"/>
  <c r="V1098"/>
  <c r="V1079"/>
  <c r="V1073"/>
  <c r="V1063"/>
  <c r="V1022"/>
  <c r="V995"/>
  <c r="V993"/>
  <c r="V992"/>
  <c r="V990"/>
  <c r="V989"/>
  <c r="V982"/>
  <c r="V980"/>
  <c r="V978"/>
  <c r="V960"/>
  <c r="V951"/>
  <c r="V948"/>
  <c r="V947"/>
  <c r="V945"/>
  <c r="V943"/>
  <c r="V935"/>
  <c r="V931"/>
  <c r="V928"/>
  <c r="V902"/>
  <c r="V883"/>
  <c r="V877"/>
  <c r="V874"/>
  <c r="V867"/>
  <c r="V861"/>
  <c r="V821"/>
  <c r="V814"/>
  <c r="V800"/>
  <c r="V761"/>
  <c r="V718"/>
  <c r="V713"/>
  <c r="V711"/>
  <c r="V708"/>
  <c r="V704"/>
  <c r="V690"/>
  <c r="V685"/>
  <c r="V664"/>
  <c r="V628"/>
  <c r="V595"/>
  <c r="V592"/>
  <c r="V586"/>
  <c r="V584"/>
  <c r="V582"/>
  <c r="V572"/>
  <c r="V570"/>
  <c r="V567"/>
  <c r="V542"/>
  <c r="V522"/>
  <c r="V518"/>
  <c r="V517"/>
  <c r="V516"/>
  <c r="V512"/>
  <c r="V502"/>
  <c r="V480"/>
  <c r="V476"/>
  <c r="V458"/>
  <c r="V429"/>
  <c r="V404"/>
  <c r="V399"/>
  <c r="V396"/>
  <c r="V392"/>
  <c r="V373"/>
  <c r="V353"/>
  <c r="V348"/>
  <c r="V331"/>
  <c r="V296"/>
  <c r="V265"/>
  <c r="E67" i="8"/>
  <c r="E68"/>
  <c r="F67"/>
  <c r="F68"/>
  <c r="F66"/>
  <c r="E66"/>
  <c r="V261" i="9"/>
  <c r="V258"/>
  <c r="V255"/>
  <c r="V243"/>
  <c r="V225"/>
  <c r="V219"/>
  <c r="V205"/>
  <c r="V169"/>
  <c r="V142"/>
  <c r="V139"/>
  <c r="V138"/>
  <c r="V131"/>
  <c r="V129"/>
  <c r="V126"/>
  <c r="V116"/>
  <c r="V114"/>
  <c r="V98"/>
  <c r="V72"/>
  <c r="V50"/>
  <c r="V48"/>
  <c r="V41"/>
  <c r="V40"/>
  <c r="V38"/>
  <c r="V35"/>
  <c r="V31"/>
  <c r="V29"/>
  <c r="V28"/>
  <c r="V13"/>
  <c r="V2"/>
  <c r="F13"/>
  <c r="F25"/>
  <c r="F26"/>
  <c r="F27"/>
  <c r="F29"/>
  <c r="F30"/>
  <c r="F34"/>
  <c r="F38"/>
  <c r="F40"/>
  <c r="F48"/>
  <c r="F49"/>
  <c r="F53"/>
  <c r="F75"/>
  <c r="F96"/>
  <c r="F97"/>
  <c r="F105"/>
  <c r="F113"/>
  <c r="F114"/>
  <c r="F115"/>
  <c r="F129"/>
  <c r="F130"/>
  <c r="F136"/>
  <c r="F137"/>
  <c r="F138"/>
  <c r="F139"/>
  <c r="F140"/>
  <c r="F141"/>
  <c r="F144"/>
  <c r="F145"/>
  <c r="F146"/>
  <c r="F147"/>
  <c r="F148"/>
  <c r="F149"/>
  <c r="F150"/>
  <c r="F151"/>
  <c r="F152"/>
  <c r="F153"/>
  <c r="F154"/>
  <c r="F155"/>
  <c r="F156"/>
  <c r="F157"/>
  <c r="F158"/>
  <c r="F159"/>
  <c r="F160"/>
  <c r="F161"/>
  <c r="F162"/>
  <c r="F163"/>
  <c r="F164"/>
  <c r="F165"/>
  <c r="F166"/>
  <c r="F167"/>
  <c r="F168"/>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1"/>
  <c r="F212"/>
  <c r="F213"/>
  <c r="F214"/>
  <c r="F215"/>
  <c r="F216"/>
  <c r="F217"/>
  <c r="F218"/>
  <c r="F219"/>
  <c r="F220"/>
  <c r="F221"/>
  <c r="F222"/>
  <c r="F223"/>
  <c r="F224"/>
  <c r="F225"/>
  <c r="F226"/>
  <c r="F228"/>
  <c r="F229"/>
  <c r="F230"/>
  <c r="F231"/>
  <c r="F232"/>
  <c r="F233"/>
  <c r="F234"/>
  <c r="F235"/>
  <c r="F236"/>
  <c r="F237"/>
  <c r="F238"/>
  <c r="F239"/>
  <c r="F240"/>
  <c r="F241"/>
  <c r="F242"/>
  <c r="F243"/>
  <c r="F245"/>
  <c r="F246"/>
  <c r="F247"/>
  <c r="F248"/>
  <c r="F249"/>
  <c r="F250"/>
  <c r="F25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89"/>
  <c r="F290"/>
  <c r="F291"/>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342"/>
  <c r="F343"/>
  <c r="F344"/>
  <c r="F345"/>
  <c r="F346"/>
  <c r="F347"/>
  <c r="F348"/>
  <c r="F349"/>
  <c r="F350"/>
  <c r="F351"/>
  <c r="F352"/>
  <c r="F353"/>
  <c r="F354"/>
  <c r="F355"/>
  <c r="F356"/>
  <c r="F357"/>
  <c r="F358"/>
  <c r="F359"/>
  <c r="F360"/>
  <c r="F361"/>
  <c r="F362"/>
  <c r="F363"/>
  <c r="F364"/>
  <c r="F365"/>
  <c r="F366"/>
  <c r="F367"/>
  <c r="F368"/>
  <c r="F369"/>
  <c r="F370"/>
  <c r="F371"/>
  <c r="F372"/>
  <c r="F373"/>
  <c r="F374"/>
  <c r="F375"/>
  <c r="F376"/>
  <c r="F377"/>
  <c r="F378"/>
  <c r="F379"/>
  <c r="F380"/>
  <c r="F381"/>
  <c r="F382"/>
  <c r="F383"/>
  <c r="F384"/>
  <c r="F385"/>
  <c r="F386"/>
  <c r="F387"/>
  <c r="F388"/>
  <c r="F389"/>
  <c r="F390"/>
  <c r="F391"/>
  <c r="F392"/>
  <c r="F393"/>
  <c r="F394"/>
  <c r="F395"/>
  <c r="F396"/>
  <c r="F397"/>
  <c r="F398"/>
  <c r="F399"/>
  <c r="F400"/>
  <c r="F401"/>
  <c r="F402"/>
  <c r="F403"/>
  <c r="F404"/>
  <c r="F405"/>
  <c r="F406"/>
  <c r="F407"/>
  <c r="F408"/>
  <c r="F409"/>
  <c r="F410"/>
  <c r="F411"/>
  <c r="F412"/>
  <c r="F413"/>
  <c r="F414"/>
  <c r="F415"/>
  <c r="F416"/>
  <c r="F417"/>
  <c r="F418"/>
  <c r="F419"/>
  <c r="F420"/>
  <c r="F421"/>
  <c r="F422"/>
  <c r="F423"/>
  <c r="F424"/>
  <c r="F425"/>
  <c r="F426"/>
  <c r="F427"/>
  <c r="F428"/>
  <c r="F429"/>
  <c r="F430"/>
  <c r="F431"/>
  <c r="F432"/>
  <c r="F433"/>
  <c r="F434"/>
  <c r="F435"/>
  <c r="F436"/>
  <c r="F437"/>
  <c r="F438"/>
  <c r="F439"/>
  <c r="F440"/>
  <c r="F441"/>
  <c r="F442"/>
  <c r="F443"/>
  <c r="F444"/>
  <c r="F445"/>
  <c r="F446"/>
  <c r="F447"/>
  <c r="F448"/>
  <c r="F449"/>
  <c r="F450"/>
  <c r="F451"/>
  <c r="F452"/>
  <c r="F453"/>
  <c r="F454"/>
  <c r="F455"/>
  <c r="F456"/>
  <c r="F457"/>
  <c r="F458"/>
  <c r="F459"/>
  <c r="F460"/>
  <c r="F461"/>
  <c r="F462"/>
  <c r="F463"/>
  <c r="F464"/>
  <c r="F465"/>
  <c r="F466"/>
  <c r="F467"/>
  <c r="F468"/>
  <c r="F469"/>
  <c r="F470"/>
  <c r="F471"/>
  <c r="F472"/>
  <c r="F473"/>
  <c r="F474"/>
  <c r="F475"/>
  <c r="F476"/>
  <c r="F477"/>
  <c r="F478"/>
  <c r="F479"/>
  <c r="F480"/>
  <c r="F481"/>
  <c r="F482"/>
  <c r="F483"/>
  <c r="F484"/>
  <c r="F485"/>
  <c r="F486"/>
  <c r="F487"/>
  <c r="F488"/>
  <c r="F489"/>
  <c r="F490"/>
  <c r="F491"/>
  <c r="F492"/>
  <c r="F493"/>
  <c r="F494"/>
  <c r="F495"/>
  <c r="F496"/>
  <c r="F497"/>
  <c r="F498"/>
  <c r="F499"/>
  <c r="F500"/>
  <c r="F501"/>
  <c r="F502"/>
  <c r="F503"/>
  <c r="F504"/>
  <c r="F505"/>
  <c r="F506"/>
  <c r="F507"/>
  <c r="F508"/>
  <c r="F509"/>
  <c r="F510"/>
  <c r="F511"/>
  <c r="F512"/>
  <c r="F513"/>
  <c r="F514"/>
  <c r="F515"/>
  <c r="F516"/>
  <c r="F517"/>
  <c r="F518"/>
  <c r="F519"/>
  <c r="F520"/>
  <c r="F521"/>
  <c r="F522"/>
  <c r="F523"/>
  <c r="F524"/>
  <c r="F525"/>
  <c r="F526"/>
  <c r="F527"/>
  <c r="F528"/>
  <c r="F529"/>
  <c r="F530"/>
  <c r="F531"/>
  <c r="F532"/>
  <c r="F533"/>
  <c r="F534"/>
  <c r="F535"/>
  <c r="F536"/>
  <c r="F537"/>
  <c r="F538"/>
  <c r="F539"/>
  <c r="F540"/>
  <c r="F541"/>
  <c r="F542"/>
  <c r="F543"/>
  <c r="F544"/>
  <c r="F545"/>
  <c r="F546"/>
  <c r="F547"/>
  <c r="F548"/>
  <c r="F549"/>
  <c r="F550"/>
  <c r="F551"/>
  <c r="F552"/>
  <c r="F553"/>
  <c r="F554"/>
  <c r="F555"/>
  <c r="F556"/>
  <c r="F557"/>
  <c r="F558"/>
  <c r="F559"/>
  <c r="F560"/>
  <c r="F561"/>
  <c r="F562"/>
  <c r="F563"/>
  <c r="F564"/>
  <c r="F565"/>
  <c r="F566"/>
  <c r="F567"/>
  <c r="F568"/>
  <c r="F569"/>
  <c r="F570"/>
  <c r="F571"/>
  <c r="F572"/>
  <c r="F573"/>
  <c r="F574"/>
  <c r="F575"/>
  <c r="F576"/>
  <c r="F577"/>
  <c r="F578"/>
  <c r="F579"/>
  <c r="F580"/>
  <c r="F581"/>
  <c r="F582"/>
  <c r="F583"/>
  <c r="F584"/>
  <c r="F585"/>
  <c r="F586"/>
  <c r="F587"/>
  <c r="F588"/>
  <c r="F589"/>
  <c r="F590"/>
  <c r="F591"/>
  <c r="F592"/>
  <c r="F593"/>
  <c r="F594"/>
  <c r="F595"/>
  <c r="F596"/>
  <c r="F597"/>
  <c r="F598"/>
  <c r="F599"/>
  <c r="F600"/>
  <c r="F601"/>
  <c r="F602"/>
  <c r="F603"/>
  <c r="F604"/>
  <c r="F605"/>
  <c r="F606"/>
  <c r="F607"/>
  <c r="F608"/>
  <c r="F609"/>
  <c r="F610"/>
  <c r="F611"/>
  <c r="F612"/>
  <c r="F613"/>
  <c r="F614"/>
  <c r="F615"/>
  <c r="F616"/>
  <c r="F617"/>
  <c r="F618"/>
  <c r="F619"/>
  <c r="F620"/>
  <c r="F621"/>
  <c r="F622"/>
  <c r="F623"/>
  <c r="F624"/>
  <c r="F625"/>
  <c r="F626"/>
  <c r="F627"/>
  <c r="F628"/>
  <c r="F629"/>
  <c r="F630"/>
  <c r="F631"/>
  <c r="F632"/>
  <c r="F633"/>
  <c r="F634"/>
  <c r="F635"/>
  <c r="F636"/>
  <c r="F637"/>
  <c r="F638"/>
  <c r="F639"/>
  <c r="F640"/>
  <c r="F641"/>
  <c r="F642"/>
  <c r="F643"/>
  <c r="F644"/>
  <c r="F645"/>
  <c r="F646"/>
  <c r="F647"/>
  <c r="F648"/>
  <c r="F649"/>
  <c r="F650"/>
  <c r="F651"/>
  <c r="F652"/>
  <c r="F653"/>
  <c r="F654"/>
  <c r="F655"/>
  <c r="F656"/>
  <c r="F657"/>
  <c r="F658"/>
  <c r="F659"/>
  <c r="F660"/>
  <c r="F661"/>
  <c r="F662"/>
  <c r="F663"/>
  <c r="F664"/>
  <c r="F665"/>
  <c r="F666"/>
  <c r="F667"/>
  <c r="F668"/>
  <c r="F669"/>
  <c r="F670"/>
  <c r="F671"/>
  <c r="F672"/>
  <c r="F673"/>
  <c r="F674"/>
  <c r="F675"/>
  <c r="F676"/>
  <c r="F677"/>
  <c r="F678"/>
  <c r="F679"/>
  <c r="F680"/>
  <c r="F681"/>
  <c r="F682"/>
  <c r="F683"/>
  <c r="F684"/>
  <c r="F685"/>
  <c r="F686"/>
  <c r="F687"/>
  <c r="F688"/>
  <c r="F689"/>
  <c r="F690"/>
  <c r="F691"/>
  <c r="F692"/>
  <c r="F693"/>
  <c r="F694"/>
  <c r="F695"/>
  <c r="F696"/>
  <c r="F697"/>
  <c r="F698"/>
  <c r="F699"/>
  <c r="F700"/>
  <c r="F701"/>
  <c r="F702"/>
  <c r="F703"/>
  <c r="F704"/>
  <c r="F705"/>
  <c r="F706"/>
  <c r="F707"/>
  <c r="F708"/>
  <c r="F709"/>
  <c r="F710"/>
  <c r="F711"/>
  <c r="F712"/>
  <c r="F713"/>
  <c r="F714"/>
  <c r="F715"/>
  <c r="F716"/>
  <c r="F717"/>
  <c r="F718"/>
  <c r="F719"/>
  <c r="F720"/>
  <c r="F721"/>
  <c r="F722"/>
  <c r="F723"/>
  <c r="F724"/>
  <c r="F725"/>
  <c r="F726"/>
  <c r="F727"/>
  <c r="F728"/>
  <c r="F729"/>
  <c r="F730"/>
  <c r="F731"/>
  <c r="F732"/>
  <c r="F733"/>
  <c r="F734"/>
  <c r="F735"/>
  <c r="F736"/>
  <c r="F737"/>
  <c r="F738"/>
  <c r="F739"/>
  <c r="F740"/>
  <c r="F741"/>
  <c r="F742"/>
  <c r="F743"/>
  <c r="F744"/>
  <c r="F745"/>
  <c r="F746"/>
  <c r="F747"/>
  <c r="F748"/>
  <c r="F749"/>
  <c r="F750"/>
  <c r="F751"/>
  <c r="F752"/>
  <c r="F753"/>
  <c r="F754"/>
  <c r="F755"/>
  <c r="F756"/>
  <c r="F757"/>
  <c r="F758"/>
  <c r="F759"/>
  <c r="F760"/>
  <c r="F761"/>
  <c r="F762"/>
  <c r="F763"/>
  <c r="F764"/>
  <c r="F765"/>
  <c r="F766"/>
  <c r="F767"/>
  <c r="F768"/>
  <c r="F769"/>
  <c r="F770"/>
  <c r="F771"/>
  <c r="F772"/>
  <c r="F773"/>
  <c r="F774"/>
  <c r="F775"/>
  <c r="F776"/>
  <c r="F777"/>
  <c r="F778"/>
  <c r="F779"/>
  <c r="F780"/>
  <c r="F781"/>
  <c r="F782"/>
  <c r="F783"/>
  <c r="F784"/>
  <c r="F785"/>
  <c r="F786"/>
  <c r="F787"/>
  <c r="F788"/>
  <c r="F789"/>
  <c r="F790"/>
  <c r="F791"/>
  <c r="F792"/>
  <c r="F793"/>
  <c r="F794"/>
  <c r="F795"/>
  <c r="F796"/>
  <c r="F797"/>
  <c r="F798"/>
  <c r="F799"/>
  <c r="F800"/>
  <c r="F801"/>
  <c r="F802"/>
  <c r="F803"/>
  <c r="F804"/>
  <c r="F805"/>
  <c r="F806"/>
  <c r="F807"/>
  <c r="F808"/>
  <c r="F809"/>
  <c r="F810"/>
  <c r="F811"/>
  <c r="F812"/>
  <c r="F813"/>
  <c r="F814"/>
  <c r="F815"/>
  <c r="F816"/>
  <c r="F817"/>
  <c r="F818"/>
  <c r="F819"/>
  <c r="F820"/>
  <c r="F821"/>
  <c r="F822"/>
  <c r="F823"/>
  <c r="F824"/>
  <c r="F825"/>
  <c r="F826"/>
  <c r="F827"/>
  <c r="F828"/>
  <c r="F829"/>
  <c r="F830"/>
  <c r="F831"/>
  <c r="F832"/>
  <c r="F833"/>
  <c r="F834"/>
  <c r="F835"/>
  <c r="F836"/>
  <c r="F837"/>
  <c r="F838"/>
  <c r="F839"/>
  <c r="F840"/>
  <c r="F841"/>
  <c r="F842"/>
  <c r="F843"/>
  <c r="F844"/>
  <c r="F845"/>
  <c r="F846"/>
  <c r="F847"/>
  <c r="F848"/>
  <c r="F849"/>
  <c r="F850"/>
  <c r="F851"/>
  <c r="F852"/>
  <c r="F853"/>
  <c r="F854"/>
  <c r="F855"/>
  <c r="F856"/>
  <c r="F857"/>
  <c r="F858"/>
  <c r="F859"/>
  <c r="F860"/>
  <c r="F861"/>
  <c r="F862"/>
  <c r="F863"/>
  <c r="F864"/>
  <c r="F865"/>
  <c r="F866"/>
  <c r="F867"/>
  <c r="F868"/>
  <c r="F869"/>
  <c r="F870"/>
  <c r="F871"/>
  <c r="F872"/>
  <c r="F873"/>
  <c r="F874"/>
  <c r="F875"/>
  <c r="F876"/>
  <c r="F877"/>
  <c r="F878"/>
  <c r="F879"/>
  <c r="F880"/>
  <c r="F881"/>
  <c r="F882"/>
  <c r="F883"/>
  <c r="F884"/>
  <c r="F885"/>
  <c r="F886"/>
  <c r="F887"/>
  <c r="F888"/>
  <c r="F889"/>
  <c r="F890"/>
  <c r="F891"/>
  <c r="F892"/>
  <c r="F893"/>
  <c r="F894"/>
  <c r="F895"/>
  <c r="F896"/>
  <c r="F897"/>
  <c r="F898"/>
  <c r="F899"/>
  <c r="F900"/>
  <c r="F901"/>
  <c r="F902"/>
  <c r="F903"/>
  <c r="F904"/>
  <c r="F905"/>
  <c r="F906"/>
  <c r="F907"/>
  <c r="F908"/>
  <c r="F909"/>
  <c r="F910"/>
  <c r="F911"/>
  <c r="F912"/>
  <c r="F913"/>
  <c r="F914"/>
  <c r="F915"/>
  <c r="F916"/>
  <c r="F917"/>
  <c r="F918"/>
  <c r="F919"/>
  <c r="F920"/>
  <c r="F921"/>
  <c r="F922"/>
  <c r="F923"/>
  <c r="F924"/>
  <c r="F925"/>
  <c r="F926"/>
  <c r="F927"/>
  <c r="F928"/>
  <c r="F929"/>
  <c r="F930"/>
  <c r="F931"/>
  <c r="F932"/>
  <c r="F933"/>
  <c r="F934"/>
  <c r="F935"/>
  <c r="F936"/>
  <c r="F937"/>
  <c r="F938"/>
  <c r="F939"/>
  <c r="F940"/>
  <c r="F941"/>
  <c r="F942"/>
  <c r="F943"/>
  <c r="F944"/>
  <c r="F945"/>
  <c r="F946"/>
  <c r="F947"/>
  <c r="F948"/>
  <c r="F949"/>
  <c r="F950"/>
  <c r="F951"/>
  <c r="F952"/>
  <c r="F953"/>
  <c r="F954"/>
  <c r="F955"/>
  <c r="F956"/>
  <c r="F957"/>
  <c r="F958"/>
  <c r="F959"/>
  <c r="F960"/>
  <c r="F961"/>
  <c r="F962"/>
  <c r="F963"/>
  <c r="F964"/>
  <c r="F965"/>
  <c r="F966"/>
  <c r="F967"/>
  <c r="F968"/>
  <c r="F969"/>
  <c r="F970"/>
  <c r="F971"/>
  <c r="F972"/>
  <c r="F973"/>
  <c r="F974"/>
  <c r="F975"/>
  <c r="F976"/>
  <c r="F977"/>
  <c r="F978"/>
  <c r="F979"/>
  <c r="F980"/>
  <c r="F981"/>
  <c r="F982"/>
  <c r="F983"/>
  <c r="F984"/>
  <c r="F985"/>
  <c r="F986"/>
  <c r="F987"/>
  <c r="F988"/>
  <c r="F989"/>
  <c r="F990"/>
  <c r="F991"/>
  <c r="F992"/>
  <c r="F993"/>
  <c r="F994"/>
  <c r="F995"/>
  <c r="F996"/>
  <c r="F997"/>
  <c r="F998"/>
  <c r="F999"/>
  <c r="F1000"/>
  <c r="F1001"/>
  <c r="F1002"/>
  <c r="F1003"/>
  <c r="F1004"/>
  <c r="F1005"/>
  <c r="F1006"/>
  <c r="F1007"/>
  <c r="F1008"/>
  <c r="F1009"/>
  <c r="F1010"/>
  <c r="F1011"/>
  <c r="F1012"/>
  <c r="F1013"/>
  <c r="F1014"/>
  <c r="F1015"/>
  <c r="F1016"/>
  <c r="F1017"/>
  <c r="F1018"/>
  <c r="F1019"/>
  <c r="F1020"/>
  <c r="F1022"/>
  <c r="F1023"/>
  <c r="F1024"/>
  <c r="F1025"/>
  <c r="F1026"/>
  <c r="F1027"/>
  <c r="F1028"/>
  <c r="F1029"/>
  <c r="F1030"/>
  <c r="F1031"/>
  <c r="F1032"/>
  <c r="F1033"/>
  <c r="F1034"/>
  <c r="F1035"/>
  <c r="F1036"/>
  <c r="F1037"/>
  <c r="F1038"/>
  <c r="F1039"/>
  <c r="F1040"/>
  <c r="F1041"/>
  <c r="F1042"/>
  <c r="F1043"/>
  <c r="F1044"/>
  <c r="F1045"/>
  <c r="F1046"/>
  <c r="F1047"/>
  <c r="F1048"/>
  <c r="F1049"/>
  <c r="F1050"/>
  <c r="F1051"/>
  <c r="F1052"/>
  <c r="F1055"/>
  <c r="F1056"/>
  <c r="F1057"/>
  <c r="F1058"/>
  <c r="F1059"/>
  <c r="F1060"/>
  <c r="F1061"/>
  <c r="F1062"/>
  <c r="F1063"/>
  <c r="F1064"/>
  <c r="F1065"/>
  <c r="F1066"/>
  <c r="F1067"/>
  <c r="F1068"/>
  <c r="F1069"/>
  <c r="F1070"/>
  <c r="F1071"/>
  <c r="F1072"/>
  <c r="F1073"/>
  <c r="F1074"/>
  <c r="F1075"/>
  <c r="F1076"/>
  <c r="F1077"/>
  <c r="F1078"/>
  <c r="F1079"/>
  <c r="F1080"/>
  <c r="F1081"/>
  <c r="F1082"/>
  <c r="F1083"/>
  <c r="F1084"/>
  <c r="F1085"/>
  <c r="F1086"/>
  <c r="F1087"/>
  <c r="F1088"/>
  <c r="F1089"/>
  <c r="F1090"/>
  <c r="F1091"/>
  <c r="F1092"/>
  <c r="F1093"/>
  <c r="F1094"/>
  <c r="F1095"/>
  <c r="F1097"/>
  <c r="F1098"/>
  <c r="F1099"/>
  <c r="F1100"/>
  <c r="F1101"/>
  <c r="F1102"/>
  <c r="F1103"/>
  <c r="F1104"/>
  <c r="F1105"/>
  <c r="F1106"/>
  <c r="F1107"/>
  <c r="F1108"/>
  <c r="F1109"/>
  <c r="F1110"/>
  <c r="F1111"/>
  <c r="F1113"/>
  <c r="F1114"/>
  <c r="F1115"/>
  <c r="F1116"/>
  <c r="F1117"/>
  <c r="F1118"/>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5"/>
  <c r="A516"/>
  <c r="A517"/>
  <c r="A518"/>
  <c r="A519"/>
  <c r="A520"/>
  <c r="A521"/>
  <c r="A522"/>
  <c r="A523"/>
  <c r="A524"/>
  <c r="A525"/>
  <c r="A526"/>
  <c r="A527"/>
  <c r="A528"/>
  <c r="A529"/>
  <c r="A530"/>
  <c r="A531"/>
  <c r="A532"/>
  <c r="A533"/>
  <c r="A534"/>
  <c r="A535"/>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1"/>
  <c r="A592"/>
  <c r="A593"/>
  <c r="A594"/>
  <c r="A595"/>
  <c r="A596"/>
  <c r="A597"/>
  <c r="A598"/>
  <c r="A599"/>
  <c r="A600"/>
  <c r="A601"/>
  <c r="A602"/>
  <c r="A603"/>
  <c r="A604"/>
  <c r="A605"/>
  <c r="A606"/>
  <c r="A607"/>
  <c r="A608"/>
  <c r="A609"/>
  <c r="A610"/>
  <c r="A611"/>
  <c r="A612"/>
  <c r="A613"/>
  <c r="A614"/>
  <c r="A615"/>
  <c r="A616"/>
  <c r="A617"/>
  <c r="A618"/>
  <c r="A619"/>
  <c r="A620"/>
  <c r="A621"/>
  <c r="A622"/>
  <c r="A623"/>
  <c r="A624"/>
  <c r="A625"/>
  <c r="A626"/>
  <c r="A627"/>
  <c r="A628"/>
  <c r="A629"/>
  <c r="A630"/>
  <c r="A631"/>
  <c r="A632"/>
  <c r="A633"/>
  <c r="A634"/>
  <c r="A635"/>
  <c r="A636"/>
  <c r="A637"/>
  <c r="A638"/>
  <c r="A639"/>
  <c r="A640"/>
  <c r="A641"/>
  <c r="A642"/>
  <c r="A643"/>
  <c r="A644"/>
  <c r="A645"/>
  <c r="A646"/>
  <c r="A647"/>
  <c r="A648"/>
  <c r="A649"/>
  <c r="A650"/>
  <c r="A651"/>
  <c r="A652"/>
  <c r="A653"/>
  <c r="A654"/>
  <c r="A655"/>
  <c r="A656"/>
  <c r="A657"/>
  <c r="A658"/>
  <c r="A659"/>
  <c r="A660"/>
  <c r="A661"/>
  <c r="A662"/>
  <c r="A663"/>
  <c r="A664"/>
  <c r="A665"/>
  <c r="A666"/>
  <c r="A667"/>
  <c r="A668"/>
  <c r="A669"/>
  <c r="A670"/>
  <c r="A671"/>
  <c r="A672"/>
  <c r="A673"/>
  <c r="A674"/>
  <c r="A675"/>
  <c r="A676"/>
  <c r="A677"/>
  <c r="A678"/>
  <c r="A679"/>
  <c r="A680"/>
  <c r="A681"/>
  <c r="A682"/>
  <c r="A683"/>
  <c r="A684"/>
  <c r="A685"/>
  <c r="A686"/>
  <c r="A687"/>
  <c r="A688"/>
  <c r="A689"/>
  <c r="A690"/>
  <c r="A691"/>
  <c r="A692"/>
  <c r="A693"/>
  <c r="A694"/>
  <c r="A695"/>
  <c r="A696"/>
  <c r="A697"/>
  <c r="A698"/>
  <c r="A699"/>
  <c r="A700"/>
  <c r="A701"/>
  <c r="A702"/>
  <c r="A703"/>
  <c r="A704"/>
  <c r="A705"/>
  <c r="A706"/>
  <c r="A707"/>
  <c r="A708"/>
  <c r="A709"/>
  <c r="A710"/>
  <c r="A711"/>
  <c r="A712"/>
  <c r="A713"/>
  <c r="A714"/>
  <c r="A715"/>
  <c r="A716"/>
  <c r="A717"/>
  <c r="A718"/>
  <c r="A719"/>
  <c r="A720"/>
  <c r="A721"/>
  <c r="A722"/>
  <c r="A723"/>
  <c r="A724"/>
  <c r="A725"/>
  <c r="A726"/>
  <c r="A727"/>
  <c r="A728"/>
  <c r="A729"/>
  <c r="A730"/>
  <c r="A731"/>
  <c r="A732"/>
  <c r="A733"/>
  <c r="A734"/>
  <c r="A735"/>
  <c r="A736"/>
  <c r="A737"/>
  <c r="A738"/>
  <c r="A739"/>
  <c r="A740"/>
  <c r="A741"/>
  <c r="A742"/>
  <c r="A743"/>
  <c r="A744"/>
  <c r="A745"/>
  <c r="A746"/>
  <c r="A747"/>
  <c r="A748"/>
  <c r="A749"/>
  <c r="A750"/>
  <c r="A751"/>
  <c r="A752"/>
  <c r="A753"/>
  <c r="A754"/>
  <c r="A755"/>
  <c r="A756"/>
  <c r="A757"/>
  <c r="A758"/>
  <c r="A759"/>
  <c r="A760"/>
  <c r="A761"/>
  <c r="A762"/>
  <c r="A763"/>
  <c r="A764"/>
  <c r="A765"/>
  <c r="A766"/>
  <c r="A767"/>
  <c r="A768"/>
  <c r="A769"/>
  <c r="A770"/>
  <c r="A771"/>
  <c r="A772"/>
  <c r="A773"/>
  <c r="A774"/>
  <c r="A775"/>
  <c r="A776"/>
  <c r="A777"/>
  <c r="A778"/>
  <c r="A779"/>
  <c r="A780"/>
  <c r="A781"/>
  <c r="A782"/>
  <c r="A783"/>
  <c r="A784"/>
  <c r="A785"/>
  <c r="A786"/>
  <c r="A787"/>
  <c r="A788"/>
  <c r="A789"/>
  <c r="A790"/>
  <c r="A791"/>
  <c r="A792"/>
  <c r="A793"/>
  <c r="A794"/>
  <c r="A795"/>
  <c r="A796"/>
  <c r="A797"/>
  <c r="A798"/>
  <c r="A799"/>
  <c r="A800"/>
  <c r="A801"/>
  <c r="A802"/>
  <c r="A803"/>
  <c r="A804"/>
  <c r="A805"/>
  <c r="A806"/>
  <c r="A807"/>
  <c r="A808"/>
  <c r="A809"/>
  <c r="A810"/>
  <c r="A811"/>
  <c r="A812"/>
  <c r="A813"/>
  <c r="A814"/>
  <c r="A815"/>
  <c r="A816"/>
  <c r="A817"/>
  <c r="A818"/>
  <c r="A819"/>
  <c r="A820"/>
  <c r="A821"/>
  <c r="A822"/>
  <c r="A823"/>
  <c r="A824"/>
  <c r="A825"/>
  <c r="A826"/>
  <c r="A827"/>
  <c r="A828"/>
  <c r="A829"/>
  <c r="A830"/>
  <c r="A831"/>
  <c r="A832"/>
  <c r="A833"/>
  <c r="A834"/>
  <c r="A835"/>
  <c r="A836"/>
  <c r="A837"/>
  <c r="A838"/>
  <c r="A839"/>
  <c r="A840"/>
  <c r="A841"/>
  <c r="A842"/>
  <c r="A843"/>
  <c r="A844"/>
  <c r="A845"/>
  <c r="A846"/>
  <c r="A847"/>
  <c r="A848"/>
  <c r="A849"/>
  <c r="A850"/>
  <c r="A851"/>
  <c r="A852"/>
  <c r="A853"/>
  <c r="A854"/>
  <c r="A855"/>
  <c r="A856"/>
  <c r="A857"/>
  <c r="A858"/>
  <c r="A859"/>
  <c r="A860"/>
  <c r="A861"/>
  <c r="A862"/>
  <c r="A863"/>
  <c r="A864"/>
  <c r="A865"/>
  <c r="A866"/>
  <c r="A867"/>
  <c r="A868"/>
  <c r="A869"/>
  <c r="A870"/>
  <c r="A871"/>
  <c r="A872"/>
  <c r="A873"/>
  <c r="A874"/>
  <c r="A875"/>
  <c r="A876"/>
  <c r="A877"/>
  <c r="A878"/>
  <c r="A879"/>
  <c r="A880"/>
  <c r="A881"/>
  <c r="A882"/>
  <c r="A883"/>
  <c r="A884"/>
  <c r="A885"/>
  <c r="A886"/>
  <c r="A887"/>
  <c r="A888"/>
  <c r="A889"/>
  <c r="A890"/>
  <c r="A891"/>
  <c r="A892"/>
  <c r="A893"/>
  <c r="A894"/>
  <c r="A895"/>
  <c r="A896"/>
  <c r="A897"/>
  <c r="A898"/>
  <c r="A899"/>
  <c r="A900"/>
  <c r="A901"/>
  <c r="A902"/>
  <c r="A903"/>
  <c r="A904"/>
  <c r="A905"/>
  <c r="A906"/>
  <c r="A907"/>
  <c r="A908"/>
  <c r="A909"/>
  <c r="A910"/>
  <c r="A911"/>
  <c r="A912"/>
  <c r="A913"/>
  <c r="A914"/>
  <c r="A915"/>
  <c r="A916"/>
  <c r="A917"/>
  <c r="A918"/>
  <c r="A919"/>
  <c r="A920"/>
  <c r="A921"/>
  <c r="A922"/>
  <c r="A923"/>
  <c r="A924"/>
  <c r="A925"/>
  <c r="A926"/>
  <c r="A927"/>
  <c r="A928"/>
  <c r="A929"/>
  <c r="A930"/>
  <c r="A931"/>
  <c r="A932"/>
  <c r="A933"/>
  <c r="A934"/>
  <c r="A935"/>
  <c r="A936"/>
  <c r="A937"/>
  <c r="A938"/>
  <c r="A939"/>
  <c r="A940"/>
  <c r="A941"/>
  <c r="A942"/>
  <c r="A943"/>
  <c r="A944"/>
  <c r="A945"/>
  <c r="A946"/>
  <c r="A947"/>
  <c r="A948"/>
  <c r="A949"/>
  <c r="A950"/>
  <c r="A951"/>
  <c r="A952"/>
  <c r="A953"/>
  <c r="A954"/>
  <c r="A955"/>
  <c r="A956"/>
  <c r="A957"/>
  <c r="A958"/>
  <c r="A959"/>
  <c r="A960"/>
  <c r="A961"/>
  <c r="A962"/>
  <c r="A963"/>
  <c r="A964"/>
  <c r="A965"/>
  <c r="A966"/>
  <c r="A967"/>
  <c r="A968"/>
  <c r="A969"/>
  <c r="A970"/>
  <c r="A971"/>
  <c r="A972"/>
  <c r="A973"/>
  <c r="A974"/>
  <c r="A975"/>
  <c r="A976"/>
  <c r="A977"/>
  <c r="A978"/>
  <c r="A979"/>
  <c r="A980"/>
  <c r="A981"/>
  <c r="A982"/>
  <c r="A983"/>
  <c r="A984"/>
  <c r="A985"/>
  <c r="A986"/>
  <c r="A987"/>
  <c r="A988"/>
  <c r="A989"/>
  <c r="A990"/>
  <c r="A991"/>
  <c r="A992"/>
  <c r="A993"/>
  <c r="A994"/>
  <c r="A995"/>
  <c r="A996"/>
  <c r="A997"/>
  <c r="A998"/>
  <c r="A999"/>
  <c r="A1000"/>
  <c r="A1001"/>
  <c r="A1002"/>
  <c r="A1003"/>
  <c r="A1004"/>
  <c r="A1005"/>
  <c r="A1006"/>
  <c r="A1007"/>
  <c r="A1008"/>
  <c r="A1009"/>
  <c r="A1010"/>
  <c r="A1011"/>
  <c r="A1012"/>
  <c r="A1013"/>
  <c r="A1014"/>
  <c r="A1015"/>
  <c r="A1016"/>
  <c r="A1017"/>
  <c r="A1018"/>
  <c r="A1019"/>
  <c r="A1020"/>
  <c r="A1021"/>
  <c r="A1022"/>
  <c r="A1023"/>
  <c r="A1024"/>
  <c r="A1025"/>
  <c r="A1026"/>
  <c r="A1027"/>
  <c r="A1028"/>
  <c r="A1029"/>
  <c r="A1030"/>
  <c r="A1031"/>
  <c r="A1032"/>
  <c r="A1033"/>
  <c r="A1034"/>
  <c r="A1035"/>
  <c r="A1036"/>
  <c r="A1037"/>
  <c r="A1038"/>
  <c r="A1039"/>
  <c r="A1040"/>
  <c r="A1041"/>
  <c r="A1042"/>
  <c r="A1043"/>
  <c r="A1044"/>
  <c r="A1045"/>
  <c r="A1046"/>
  <c r="A1047"/>
  <c r="A1048"/>
  <c r="A1049"/>
  <c r="A1050"/>
  <c r="A1051"/>
  <c r="A1052"/>
  <c r="A1053"/>
  <c r="A1054"/>
  <c r="A1055"/>
  <c r="A1056"/>
  <c r="A1057"/>
  <c r="A1058"/>
  <c r="A1059"/>
  <c r="A1060"/>
  <c r="A1061"/>
  <c r="A1062"/>
  <c r="A1063"/>
  <c r="A1064"/>
  <c r="A1065"/>
  <c r="A1066"/>
  <c r="A1067"/>
  <c r="A1068"/>
  <c r="A1069"/>
  <c r="A1070"/>
  <c r="A1071"/>
  <c r="A1072"/>
  <c r="A1073"/>
  <c r="A1074"/>
  <c r="A1075"/>
  <c r="A1076"/>
  <c r="A1077"/>
  <c r="A1078"/>
  <c r="A1079"/>
  <c r="A1080"/>
  <c r="A1081"/>
  <c r="A1082"/>
  <c r="A1083"/>
  <c r="A1084"/>
  <c r="A1085"/>
  <c r="A1086"/>
  <c r="A1087"/>
  <c r="A1088"/>
  <c r="A1089"/>
  <c r="A1090"/>
  <c r="A1091"/>
  <c r="A1092"/>
  <c r="A1093"/>
  <c r="A1094"/>
  <c r="A1095"/>
  <c r="A1096"/>
  <c r="A1097"/>
  <c r="A1098"/>
  <c r="A1099"/>
  <c r="A1100"/>
  <c r="A1101"/>
  <c r="A1102"/>
  <c r="A1103"/>
  <c r="A1104"/>
  <c r="A1105"/>
  <c r="A1106"/>
  <c r="A1107"/>
  <c r="A1108"/>
  <c r="A1109"/>
  <c r="A1110"/>
  <c r="A1111"/>
  <c r="A1112"/>
  <c r="A1113"/>
  <c r="A1114"/>
  <c r="A1115"/>
  <c r="A1116"/>
  <c r="A1117"/>
  <c r="A1118"/>
  <c r="A2"/>
  <c r="K1123" l="1"/>
  <c r="C5" i="10"/>
  <c r="K1125" i="9"/>
  <c r="K1136"/>
  <c r="K1129"/>
  <c r="K1134"/>
  <c r="K1130"/>
  <c r="K1131"/>
  <c r="K1126"/>
  <c r="K1127"/>
  <c r="F1137"/>
  <c r="F1138" s="1"/>
  <c r="A3" i="8" l="1"/>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5"/>
  <c r="A516"/>
  <c r="A517"/>
  <c r="A518"/>
  <c r="A519"/>
  <c r="A520"/>
  <c r="A521"/>
  <c r="A522"/>
  <c r="A523"/>
  <c r="A524"/>
  <c r="A525"/>
  <c r="A526"/>
  <c r="A527"/>
  <c r="A528"/>
  <c r="A529"/>
  <c r="A530"/>
  <c r="A531"/>
  <c r="A532"/>
  <c r="A533"/>
  <c r="A534"/>
  <c r="A535"/>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1"/>
  <c r="A592"/>
  <c r="A593"/>
  <c r="A594"/>
  <c r="A595"/>
  <c r="A596"/>
  <c r="A597"/>
  <c r="A598"/>
  <c r="A599"/>
  <c r="A600"/>
  <c r="A601"/>
  <c r="A602"/>
  <c r="A603"/>
  <c r="A604"/>
  <c r="A605"/>
  <c r="A606"/>
  <c r="A607"/>
  <c r="A608"/>
  <c r="A609"/>
  <c r="A610"/>
  <c r="A611"/>
  <c r="A612"/>
  <c r="A613"/>
  <c r="A614"/>
  <c r="A615"/>
  <c r="A616"/>
  <c r="A617"/>
  <c r="A618"/>
  <c r="A619"/>
  <c r="A620"/>
  <c r="A621"/>
  <c r="A622"/>
  <c r="A623"/>
  <c r="A624"/>
  <c r="A625"/>
  <c r="A626"/>
  <c r="A627"/>
  <c r="A628"/>
  <c r="A629"/>
  <c r="A630"/>
  <c r="A631"/>
  <c r="A632"/>
  <c r="A633"/>
  <c r="A634"/>
  <c r="A635"/>
  <c r="A636"/>
  <c r="A637"/>
  <c r="A638"/>
  <c r="A639"/>
  <c r="A640"/>
  <c r="A641"/>
  <c r="A642"/>
  <c r="A643"/>
  <c r="A644"/>
  <c r="A645"/>
  <c r="A646"/>
  <c r="A647"/>
  <c r="A648"/>
  <c r="A649"/>
  <c r="A650"/>
  <c r="A651"/>
  <c r="A652"/>
  <c r="A653"/>
  <c r="A654"/>
  <c r="A655"/>
  <c r="A656"/>
  <c r="A657"/>
  <c r="A658"/>
  <c r="A659"/>
  <c r="A660"/>
  <c r="A661"/>
  <c r="A662"/>
  <c r="A663"/>
  <c r="A664"/>
  <c r="A665"/>
  <c r="A666"/>
  <c r="A667"/>
  <c r="A668"/>
  <c r="A669"/>
  <c r="A670"/>
  <c r="A671"/>
  <c r="A672"/>
  <c r="A673"/>
  <c r="A674"/>
  <c r="A675"/>
  <c r="A676"/>
  <c r="A677"/>
  <c r="A678"/>
  <c r="A679"/>
  <c r="A680"/>
  <c r="A681"/>
  <c r="A682"/>
  <c r="A683"/>
  <c r="A684"/>
  <c r="A685"/>
  <c r="A686"/>
  <c r="A687"/>
  <c r="A688"/>
  <c r="A689"/>
  <c r="A690"/>
  <c r="A691"/>
  <c r="A692"/>
  <c r="A693"/>
  <c r="A694"/>
  <c r="A695"/>
  <c r="A696"/>
  <c r="A697"/>
  <c r="A698"/>
  <c r="A699"/>
  <c r="A700"/>
  <c r="A701"/>
  <c r="A702"/>
  <c r="A703"/>
  <c r="A704"/>
  <c r="A705"/>
  <c r="A706"/>
  <c r="A707"/>
  <c r="A708"/>
  <c r="A709"/>
  <c r="A710"/>
  <c r="A711"/>
  <c r="A712"/>
  <c r="A713"/>
  <c r="A714"/>
  <c r="A715"/>
  <c r="A716"/>
  <c r="A717"/>
  <c r="A718"/>
  <c r="A719"/>
  <c r="A720"/>
  <c r="A721"/>
  <c r="A722"/>
  <c r="A723"/>
  <c r="A724"/>
  <c r="A725"/>
  <c r="A726"/>
  <c r="A727"/>
  <c r="A728"/>
  <c r="A729"/>
  <c r="A730"/>
  <c r="A731"/>
  <c r="A732"/>
  <c r="A733"/>
  <c r="A734"/>
  <c r="A735"/>
  <c r="A736"/>
  <c r="A737"/>
  <c r="A738"/>
  <c r="A739"/>
  <c r="A740"/>
  <c r="A741"/>
  <c r="A742"/>
  <c r="A743"/>
  <c r="A744"/>
  <c r="A745"/>
  <c r="A746"/>
  <c r="A747"/>
  <c r="A748"/>
  <c r="A749"/>
  <c r="A750"/>
  <c r="A751"/>
  <c r="A752"/>
  <c r="A753"/>
  <c r="A754"/>
  <c r="A755"/>
  <c r="A756"/>
  <c r="A757"/>
  <c r="A758"/>
  <c r="A759"/>
  <c r="A760"/>
  <c r="A761"/>
  <c r="A762"/>
  <c r="A763"/>
  <c r="A764"/>
  <c r="A765"/>
  <c r="A766"/>
  <c r="A767"/>
  <c r="A768"/>
  <c r="A769"/>
  <c r="A770"/>
  <c r="A771"/>
  <c r="A772"/>
  <c r="A773"/>
  <c r="A774"/>
  <c r="A775"/>
  <c r="A776"/>
  <c r="A777"/>
  <c r="A778"/>
  <c r="A779"/>
  <c r="A780"/>
  <c r="A781"/>
  <c r="A782"/>
  <c r="A783"/>
  <c r="A784"/>
  <c r="A785"/>
  <c r="A786"/>
  <c r="A787"/>
  <c r="A788"/>
  <c r="A789"/>
  <c r="A790"/>
  <c r="A791"/>
  <c r="A792"/>
  <c r="A793"/>
  <c r="A794"/>
  <c r="A795"/>
  <c r="A796"/>
  <c r="A797"/>
  <c r="A798"/>
  <c r="A799"/>
  <c r="A800"/>
  <c r="A801"/>
  <c r="A802"/>
  <c r="A803"/>
  <c r="A804"/>
  <c r="A805"/>
  <c r="A806"/>
  <c r="A807"/>
  <c r="A808"/>
  <c r="A809"/>
  <c r="A810"/>
  <c r="A811"/>
  <c r="A812"/>
  <c r="A813"/>
  <c r="A814"/>
  <c r="A815"/>
  <c r="A816"/>
  <c r="A817"/>
  <c r="A818"/>
  <c r="A819"/>
  <c r="A820"/>
  <c r="A821"/>
  <c r="A822"/>
  <c r="A823"/>
  <c r="A824"/>
  <c r="A825"/>
  <c r="A826"/>
  <c r="A827"/>
  <c r="A828"/>
  <c r="A829"/>
  <c r="A830"/>
  <c r="A831"/>
  <c r="A832"/>
  <c r="A833"/>
  <c r="A834"/>
  <c r="A835"/>
  <c r="A836"/>
  <c r="A837"/>
  <c r="A838"/>
  <c r="A839"/>
  <c r="A840"/>
  <c r="A841"/>
  <c r="A842"/>
  <c r="A843"/>
  <c r="A844"/>
  <c r="A845"/>
  <c r="A846"/>
  <c r="A847"/>
  <c r="A848"/>
  <c r="A849"/>
  <c r="A850"/>
  <c r="A851"/>
  <c r="A852"/>
  <c r="A853"/>
  <c r="A854"/>
  <c r="A855"/>
  <c r="A856"/>
  <c r="A857"/>
  <c r="A858"/>
  <c r="A859"/>
  <c r="A860"/>
  <c r="A861"/>
  <c r="A862"/>
  <c r="A863"/>
  <c r="A864"/>
  <c r="A865"/>
  <c r="A866"/>
  <c r="A867"/>
  <c r="A868"/>
  <c r="A869"/>
  <c r="A870"/>
  <c r="A871"/>
  <c r="A872"/>
  <c r="A873"/>
  <c r="A874"/>
  <c r="A875"/>
  <c r="A876"/>
  <c r="A877"/>
  <c r="A878"/>
  <c r="A879"/>
  <c r="A880"/>
  <c r="A881"/>
  <c r="A882"/>
  <c r="A883"/>
  <c r="A884"/>
  <c r="A885"/>
  <c r="A886"/>
  <c r="A887"/>
  <c r="A888"/>
  <c r="A889"/>
  <c r="A890"/>
  <c r="A891"/>
  <c r="A892"/>
  <c r="A893"/>
  <c r="A894"/>
  <c r="A895"/>
  <c r="A896"/>
  <c r="A897"/>
  <c r="A898"/>
  <c r="A899"/>
  <c r="A900"/>
  <c r="A901"/>
  <c r="A902"/>
  <c r="A903"/>
  <c r="A904"/>
  <c r="A905"/>
  <c r="A906"/>
  <c r="A907"/>
  <c r="A908"/>
  <c r="A909"/>
  <c r="A910"/>
  <c r="A911"/>
  <c r="A912"/>
  <c r="A913"/>
  <c r="A914"/>
  <c r="A915"/>
  <c r="A916"/>
  <c r="A917"/>
  <c r="A918"/>
  <c r="A919"/>
  <c r="A920"/>
  <c r="A921"/>
  <c r="A922"/>
  <c r="A923"/>
  <c r="A924"/>
  <c r="A925"/>
  <c r="A926"/>
  <c r="A927"/>
  <c r="A928"/>
  <c r="A929"/>
  <c r="A930"/>
  <c r="A931"/>
  <c r="A932"/>
  <c r="A933"/>
  <c r="A934"/>
  <c r="A935"/>
  <c r="A936"/>
  <c r="A937"/>
  <c r="A938"/>
  <c r="A939"/>
  <c r="A940"/>
  <c r="A941"/>
  <c r="A942"/>
  <c r="A943"/>
  <c r="A944"/>
  <c r="A945"/>
  <c r="A946"/>
  <c r="A947"/>
  <c r="A948"/>
  <c r="A949"/>
  <c r="A950"/>
  <c r="A951"/>
  <c r="A952"/>
  <c r="A953"/>
  <c r="A954"/>
  <c r="A955"/>
  <c r="A956"/>
  <c r="A957"/>
  <c r="A958"/>
  <c r="A959"/>
  <c r="A960"/>
  <c r="A961"/>
  <c r="A962"/>
  <c r="A963"/>
  <c r="A964"/>
  <c r="A965"/>
  <c r="A966"/>
  <c r="A967"/>
  <c r="A968"/>
  <c r="A969"/>
  <c r="A970"/>
  <c r="A971"/>
  <c r="A972"/>
  <c r="A973"/>
  <c r="A974"/>
  <c r="A975"/>
  <c r="A976"/>
  <c r="A977"/>
  <c r="A978"/>
  <c r="A979"/>
  <c r="A980"/>
  <c r="A981"/>
  <c r="A982"/>
  <c r="A983"/>
  <c r="A984"/>
  <c r="A985"/>
  <c r="A986"/>
  <c r="A987"/>
  <c r="A988"/>
  <c r="A989"/>
  <c r="A990"/>
  <c r="A991"/>
  <c r="A992"/>
  <c r="A993"/>
  <c r="A994"/>
  <c r="A995"/>
  <c r="A996"/>
  <c r="A997"/>
  <c r="A998"/>
  <c r="A999"/>
  <c r="A1000"/>
  <c r="A1001"/>
  <c r="A1002"/>
  <c r="A1003"/>
  <c r="A1004"/>
  <c r="A1005"/>
  <c r="A1006"/>
  <c r="A1007"/>
  <c r="A1008"/>
  <c r="A1009"/>
  <c r="A1010"/>
  <c r="A1011"/>
  <c r="A1012"/>
  <c r="A1013"/>
  <c r="A1014"/>
  <c r="A1015"/>
  <c r="A1016"/>
  <c r="A1017"/>
  <c r="A1018"/>
  <c r="A1019"/>
  <c r="A1020"/>
  <c r="A1021"/>
  <c r="A1022"/>
  <c r="A1023"/>
  <c r="A1024"/>
  <c r="A1025"/>
  <c r="A1026"/>
  <c r="A1027"/>
  <c r="A1028"/>
  <c r="A1029"/>
  <c r="A1030"/>
  <c r="A1031"/>
  <c r="A1032"/>
  <c r="A1033"/>
  <c r="A1034"/>
  <c r="A1035"/>
  <c r="A1036"/>
  <c r="A1037"/>
  <c r="A1038"/>
  <c r="A1039"/>
  <c r="A1040"/>
  <c r="A1041"/>
  <c r="A1042"/>
  <c r="A1043"/>
  <c r="A1044"/>
  <c r="A1045"/>
  <c r="A1046"/>
  <c r="A1047"/>
  <c r="A1048"/>
  <c r="A1049"/>
  <c r="A1050"/>
  <c r="A1051"/>
  <c r="A1052"/>
  <c r="A1053"/>
  <c r="A1054"/>
  <c r="A1055"/>
  <c r="A1056"/>
  <c r="A1057"/>
  <c r="A1058"/>
  <c r="A1059"/>
  <c r="A1060"/>
  <c r="A1061"/>
  <c r="A1062"/>
  <c r="A1063"/>
  <c r="A1064"/>
  <c r="A1065"/>
  <c r="A1066"/>
  <c r="A1067"/>
  <c r="A1068"/>
  <c r="A1069"/>
  <c r="A1070"/>
  <c r="A1071"/>
  <c r="A1072"/>
  <c r="A1073"/>
  <c r="A1074"/>
  <c r="A1075"/>
  <c r="A1076"/>
  <c r="A1077"/>
  <c r="A1078"/>
  <c r="A1079"/>
  <c r="A1080"/>
  <c r="A1081"/>
  <c r="A1082"/>
  <c r="A1083"/>
  <c r="A1084"/>
  <c r="A1085"/>
  <c r="A1086"/>
  <c r="A1087"/>
  <c r="A1088"/>
  <c r="A1089"/>
  <c r="A1090"/>
  <c r="A1091"/>
  <c r="A1092"/>
  <c r="A1093"/>
  <c r="A1094"/>
  <c r="A1095"/>
  <c r="A1096"/>
  <c r="A1097"/>
  <c r="A1098"/>
  <c r="A1099"/>
  <c r="A1100"/>
  <c r="A1101"/>
  <c r="A1102"/>
  <c r="A1103"/>
  <c r="A1104"/>
  <c r="A1105"/>
  <c r="A1106"/>
  <c r="A1107"/>
  <c r="A1108"/>
  <c r="A1109"/>
  <c r="A1110"/>
  <c r="A1111"/>
  <c r="A1112"/>
  <c r="A1113"/>
  <c r="A1114"/>
  <c r="A1115"/>
  <c r="A1116"/>
  <c r="A1117"/>
  <c r="A1118"/>
  <c r="A1119"/>
  <c r="A1120"/>
  <c r="A1121"/>
  <c r="A1122"/>
  <c r="A1123"/>
  <c r="A1124"/>
  <c r="A1125"/>
  <c r="A1126"/>
  <c r="A1127"/>
  <c r="A1128"/>
  <c r="A1129"/>
  <c r="A1130"/>
  <c r="A1131"/>
  <c r="A1132"/>
  <c r="A1133"/>
  <c r="A1134"/>
  <c r="A1135"/>
  <c r="A1136"/>
  <c r="A1137"/>
  <c r="A1138"/>
  <c r="A1139"/>
  <c r="A1140"/>
  <c r="A1141"/>
  <c r="A1142"/>
  <c r="A1143"/>
  <c r="A1144"/>
  <c r="A1145"/>
  <c r="A1146"/>
  <c r="A1147"/>
  <c r="A1148"/>
  <c r="A1149"/>
  <c r="A1150"/>
  <c r="A1151"/>
  <c r="A1152"/>
  <c r="A1153"/>
  <c r="A1154"/>
  <c r="A1155"/>
  <c r="A1156"/>
  <c r="A1157"/>
  <c r="A1158"/>
  <c r="A1159"/>
  <c r="A1160"/>
  <c r="A1161"/>
  <c r="A1162"/>
  <c r="A1163"/>
  <c r="A1164"/>
  <c r="A1165"/>
  <c r="A1166"/>
  <c r="A1167"/>
  <c r="A1168"/>
  <c r="A1169"/>
  <c r="A1170"/>
  <c r="A1171"/>
  <c r="A1172"/>
  <c r="A1173"/>
  <c r="A1174"/>
  <c r="A1175"/>
  <c r="A1176"/>
  <c r="A1177"/>
  <c r="A1178"/>
  <c r="A1179"/>
  <c r="A1180"/>
  <c r="A1181"/>
  <c r="A1182"/>
  <c r="A1183"/>
  <c r="A1184"/>
  <c r="A1185"/>
  <c r="A1186"/>
  <c r="A1187"/>
  <c r="A1188"/>
  <c r="A1189"/>
  <c r="A1190"/>
  <c r="A1191"/>
  <c r="A1192"/>
  <c r="A1193"/>
  <c r="A1194"/>
  <c r="A1195"/>
  <c r="A1196"/>
  <c r="A1197"/>
  <c r="A1198"/>
  <c r="A1199"/>
  <c r="A1200"/>
  <c r="A1201"/>
  <c r="A1202"/>
  <c r="A1203"/>
  <c r="A1204"/>
  <c r="A1205"/>
  <c r="A1206"/>
  <c r="A1207"/>
  <c r="A1208"/>
  <c r="A1209"/>
  <c r="A1210"/>
  <c r="A1211"/>
  <c r="A1212"/>
  <c r="A1213"/>
  <c r="A1214"/>
  <c r="A1215"/>
  <c r="A1216"/>
  <c r="A1217"/>
  <c r="A1218"/>
  <c r="A1219"/>
  <c r="A1220"/>
  <c r="A1221"/>
  <c r="A1222"/>
  <c r="A1223"/>
  <c r="A1224"/>
  <c r="A1225"/>
  <c r="A1226"/>
  <c r="A1227"/>
  <c r="A1228"/>
  <c r="A1229"/>
  <c r="A1230"/>
  <c r="A1231"/>
  <c r="A1232"/>
  <c r="A1233"/>
  <c r="A1234"/>
  <c r="A1235"/>
  <c r="A1236"/>
  <c r="A1237"/>
  <c r="A1238"/>
  <c r="A1239"/>
  <c r="A1240"/>
  <c r="A1241"/>
  <c r="A1242"/>
  <c r="A1243"/>
  <c r="A1244"/>
  <c r="A1245"/>
  <c r="A1246"/>
  <c r="A1247"/>
  <c r="A1248"/>
  <c r="A1249"/>
  <c r="A1250"/>
  <c r="A1251"/>
  <c r="A1252"/>
  <c r="A1253"/>
  <c r="A1254"/>
  <c r="A1255"/>
  <c r="A1256"/>
  <c r="A1257"/>
  <c r="A1258"/>
  <c r="A1259"/>
  <c r="A1260"/>
  <c r="A1261"/>
  <c r="A1262"/>
  <c r="A1263"/>
  <c r="A1264"/>
  <c r="A1265"/>
  <c r="A1266"/>
  <c r="A1267"/>
  <c r="A1268"/>
  <c r="A1269"/>
  <c r="A1270"/>
  <c r="A1271"/>
  <c r="A1272"/>
  <c r="A1273"/>
  <c r="A1274"/>
  <c r="A1275"/>
  <c r="A1276"/>
  <c r="A1277"/>
  <c r="A1278"/>
  <c r="A1279"/>
  <c r="A1280"/>
  <c r="A1281"/>
  <c r="A1282"/>
  <c r="A1283"/>
  <c r="A1284"/>
  <c r="A1285"/>
  <c r="A1286"/>
  <c r="A1287"/>
  <c r="A1288"/>
  <c r="A1289"/>
  <c r="A1290"/>
  <c r="A1291"/>
  <c r="A1292"/>
  <c r="A1293"/>
  <c r="A1294"/>
  <c r="A1295"/>
  <c r="A2"/>
  <c r="E1292"/>
  <c r="F1292"/>
  <c r="F1054" i="9" s="1"/>
  <c r="E1293" i="8"/>
  <c r="F1293"/>
  <c r="F1096" i="9" s="1"/>
  <c r="E1294" i="8"/>
  <c r="F1294"/>
  <c r="E1295"/>
  <c r="F1295"/>
  <c r="F1291"/>
  <c r="F1021" i="9" s="1"/>
  <c r="E1291" i="8"/>
  <c r="E1286"/>
  <c r="F1286"/>
  <c r="F1053" i="9" s="1"/>
  <c r="E1287" i="8"/>
  <c r="F1287"/>
  <c r="E1288"/>
  <c r="F1288"/>
  <c r="E1289"/>
  <c r="F1289"/>
  <c r="E1290"/>
  <c r="F1290"/>
  <c r="F1285"/>
  <c r="E1285"/>
  <c r="E1282"/>
  <c r="F1282"/>
  <c r="E1283"/>
  <c r="F1283"/>
  <c r="F1112" i="9" s="1"/>
  <c r="E1284" i="8"/>
  <c r="F1284"/>
  <c r="F1281"/>
  <c r="E1281"/>
  <c r="E1278"/>
  <c r="F1278"/>
  <c r="E1279"/>
  <c r="F1279"/>
  <c r="E1280"/>
  <c r="F1280"/>
  <c r="F1277"/>
  <c r="E1277"/>
  <c r="E1276"/>
  <c r="F1276"/>
  <c r="F1275"/>
  <c r="E1275"/>
  <c r="E1273"/>
  <c r="F1273"/>
  <c r="E1274"/>
  <c r="F1274"/>
  <c r="F1272"/>
  <c r="E1272"/>
  <c r="E1268"/>
  <c r="F1268"/>
  <c r="E1269"/>
  <c r="F1269"/>
  <c r="E1270"/>
  <c r="F1270"/>
  <c r="E1271"/>
  <c r="F1271"/>
  <c r="F1267"/>
  <c r="E1267"/>
  <c r="E1265"/>
  <c r="F1265"/>
  <c r="E1266"/>
  <c r="F1266"/>
  <c r="F1264"/>
  <c r="E1264"/>
  <c r="E1260"/>
  <c r="F1260"/>
  <c r="E1261"/>
  <c r="F1261"/>
  <c r="E1262"/>
  <c r="F1262"/>
  <c r="E1263"/>
  <c r="F1263"/>
  <c r="F1259"/>
  <c r="E1259"/>
  <c r="E1258"/>
  <c r="F1258"/>
  <c r="F1257"/>
  <c r="E1257"/>
  <c r="E1255"/>
  <c r="F1255"/>
  <c r="E1256"/>
  <c r="F1256"/>
  <c r="F1254"/>
  <c r="E1254"/>
  <c r="E1249"/>
  <c r="F1249"/>
  <c r="E1250"/>
  <c r="F1250"/>
  <c r="E1251"/>
  <c r="F1251"/>
  <c r="E1252"/>
  <c r="F1252"/>
  <c r="E1253"/>
  <c r="F1253"/>
  <c r="F1248"/>
  <c r="E1248"/>
  <c r="E1245"/>
  <c r="F1245"/>
  <c r="E1246"/>
  <c r="F1246"/>
  <c r="E1247"/>
  <c r="F1247"/>
  <c r="F1244"/>
  <c r="E1244"/>
  <c r="E1241"/>
  <c r="F1241"/>
  <c r="E1242"/>
  <c r="F1242"/>
  <c r="E1243"/>
  <c r="F1243"/>
  <c r="F1240"/>
  <c r="E1240"/>
  <c r="E1235"/>
  <c r="F1235"/>
  <c r="E1236"/>
  <c r="F1236"/>
  <c r="E1237"/>
  <c r="F1237"/>
  <c r="E1238"/>
  <c r="F1238"/>
  <c r="E1239"/>
  <c r="F1239"/>
  <c r="F1234"/>
  <c r="E1234"/>
  <c r="E1232"/>
  <c r="F1232"/>
  <c r="E1233"/>
  <c r="F1233"/>
  <c r="F1231"/>
  <c r="E1231"/>
  <c r="E1229"/>
  <c r="F1229"/>
  <c r="E1230"/>
  <c r="F1230"/>
  <c r="F1228"/>
  <c r="E1228"/>
  <c r="E1225"/>
  <c r="F1225"/>
  <c r="E1226"/>
  <c r="F1226"/>
  <c r="E1227"/>
  <c r="F1227"/>
  <c r="F1224"/>
  <c r="E1224"/>
  <c r="E1220"/>
  <c r="F1220"/>
  <c r="E1221"/>
  <c r="F1221"/>
  <c r="E1222"/>
  <c r="F1222"/>
  <c r="E1223"/>
  <c r="F1223"/>
  <c r="F1219"/>
  <c r="E1219"/>
  <c r="E1215"/>
  <c r="F1215"/>
  <c r="E1216"/>
  <c r="F1216"/>
  <c r="E1217"/>
  <c r="F1217"/>
  <c r="E1218"/>
  <c r="F1218"/>
  <c r="F1214"/>
  <c r="E1214"/>
  <c r="E1211"/>
  <c r="F1211"/>
  <c r="E1212"/>
  <c r="F1212"/>
  <c r="E1213"/>
  <c r="F1213"/>
  <c r="F1210"/>
  <c r="E1210"/>
  <c r="E1208"/>
  <c r="F1208"/>
  <c r="E1209"/>
  <c r="F1209"/>
  <c r="F1207"/>
  <c r="E1207"/>
  <c r="E1203"/>
  <c r="F1203"/>
  <c r="E1204"/>
  <c r="F1204"/>
  <c r="E1205"/>
  <c r="F1205"/>
  <c r="E1206"/>
  <c r="F1206"/>
  <c r="F1202"/>
  <c r="E1202"/>
  <c r="E1200"/>
  <c r="F1200"/>
  <c r="E1201"/>
  <c r="F1201"/>
  <c r="F1199"/>
  <c r="E1199"/>
  <c r="E1198"/>
  <c r="F1198"/>
  <c r="F1197"/>
  <c r="E1197"/>
  <c r="E1195"/>
  <c r="F1195"/>
  <c r="E1196"/>
  <c r="F1196"/>
  <c r="F1194"/>
  <c r="E1194"/>
  <c r="E1192"/>
  <c r="F1192"/>
  <c r="E1193"/>
  <c r="F1193"/>
  <c r="F1191"/>
  <c r="E1191"/>
  <c r="E1188"/>
  <c r="F1188"/>
  <c r="E1189"/>
  <c r="F1189"/>
  <c r="E1190"/>
  <c r="F1190"/>
  <c r="F1187"/>
  <c r="E1187"/>
  <c r="E1184"/>
  <c r="F1184"/>
  <c r="E1185"/>
  <c r="F1185"/>
  <c r="E1186"/>
  <c r="F1186"/>
  <c r="F1183"/>
  <c r="E1183"/>
  <c r="E1180"/>
  <c r="F1180"/>
  <c r="E1181"/>
  <c r="F1181"/>
  <c r="E1182"/>
  <c r="F1182"/>
  <c r="F1179"/>
  <c r="E1179"/>
  <c r="E1177"/>
  <c r="F1177"/>
  <c r="E1178"/>
  <c r="F1178"/>
  <c r="F1176"/>
  <c r="E1176"/>
  <c r="E1173"/>
  <c r="F1173"/>
  <c r="E1174"/>
  <c r="F1174"/>
  <c r="E1175"/>
  <c r="F1175"/>
  <c r="F1172"/>
  <c r="E1172"/>
  <c r="E1168"/>
  <c r="F1168"/>
  <c r="E1169"/>
  <c r="F1169"/>
  <c r="E1170"/>
  <c r="F1170"/>
  <c r="E1171"/>
  <c r="F1171"/>
  <c r="F1167"/>
  <c r="E1167"/>
  <c r="E1163"/>
  <c r="F1163"/>
  <c r="E1164"/>
  <c r="F1164"/>
  <c r="E1165"/>
  <c r="F1165"/>
  <c r="E1166"/>
  <c r="F1166"/>
  <c r="F1162"/>
  <c r="E1162"/>
  <c r="E1157"/>
  <c r="F1157"/>
  <c r="E1158"/>
  <c r="F1158"/>
  <c r="E1159"/>
  <c r="F1159"/>
  <c r="E1160"/>
  <c r="F1160"/>
  <c r="E1161"/>
  <c r="F1161"/>
  <c r="F1156"/>
  <c r="E1156"/>
  <c r="E1153"/>
  <c r="F1153"/>
  <c r="E1154"/>
  <c r="F1154"/>
  <c r="E1155"/>
  <c r="F1155"/>
  <c r="F1152"/>
  <c r="E1152"/>
  <c r="E1148"/>
  <c r="F1148"/>
  <c r="E1149"/>
  <c r="F1149"/>
  <c r="E1150"/>
  <c r="F1150"/>
  <c r="E1151"/>
  <c r="F1151"/>
  <c r="F1147"/>
  <c r="E1147"/>
  <c r="E1143"/>
  <c r="F1143"/>
  <c r="E1144"/>
  <c r="F1144"/>
  <c r="E1145"/>
  <c r="F1145"/>
  <c r="E1146"/>
  <c r="F1146"/>
  <c r="F1142"/>
  <c r="E1142"/>
  <c r="E1141"/>
  <c r="F1141"/>
  <c r="F1140"/>
  <c r="E1140"/>
  <c r="E1139"/>
  <c r="F1139"/>
  <c r="F1138"/>
  <c r="E1138"/>
  <c r="E1135"/>
  <c r="F1135"/>
  <c r="E1136"/>
  <c r="F1136"/>
  <c r="E1137"/>
  <c r="F1137"/>
  <c r="F1134"/>
  <c r="E1134"/>
  <c r="E1131"/>
  <c r="F1131"/>
  <c r="E1132"/>
  <c r="F1132"/>
  <c r="E1133"/>
  <c r="F1133"/>
  <c r="F1130"/>
  <c r="E1130"/>
  <c r="E1127"/>
  <c r="F1127"/>
  <c r="E1128"/>
  <c r="F1128"/>
  <c r="E1129"/>
  <c r="F1129"/>
  <c r="F1126"/>
  <c r="E1126"/>
  <c r="E1123"/>
  <c r="F1123"/>
  <c r="E1124"/>
  <c r="F1124"/>
  <c r="E1125"/>
  <c r="F1125"/>
  <c r="F1122"/>
  <c r="E1122"/>
  <c r="E1118"/>
  <c r="F1118"/>
  <c r="E1119"/>
  <c r="F1119"/>
  <c r="E1120"/>
  <c r="F1120"/>
  <c r="E1121"/>
  <c r="F1121"/>
  <c r="F1117"/>
  <c r="E1117"/>
  <c r="E1115"/>
  <c r="F1115"/>
  <c r="E1116"/>
  <c r="F1116"/>
  <c r="F1114"/>
  <c r="E1114"/>
  <c r="E1112"/>
  <c r="F1112"/>
  <c r="E1113"/>
  <c r="F1113"/>
  <c r="F1111"/>
  <c r="E1111"/>
  <c r="E1108"/>
  <c r="F1108"/>
  <c r="E1109"/>
  <c r="F1109"/>
  <c r="E1110"/>
  <c r="F1110"/>
  <c r="F1107"/>
  <c r="E1107"/>
  <c r="E1104"/>
  <c r="F1104"/>
  <c r="E1105"/>
  <c r="F1105"/>
  <c r="E1106"/>
  <c r="F1106"/>
  <c r="F1103"/>
  <c r="E1103"/>
  <c r="E1101"/>
  <c r="F1101"/>
  <c r="E1102"/>
  <c r="F1102"/>
  <c r="F1100"/>
  <c r="E1100"/>
  <c r="E1098"/>
  <c r="F1098"/>
  <c r="E1099"/>
  <c r="F1099"/>
  <c r="F1097"/>
  <c r="E1097"/>
  <c r="E1095"/>
  <c r="F1095"/>
  <c r="E1096"/>
  <c r="F1096"/>
  <c r="F1094"/>
  <c r="E1094"/>
  <c r="E1092"/>
  <c r="F1092"/>
  <c r="E1093"/>
  <c r="F1093"/>
  <c r="F1091"/>
  <c r="E1091"/>
  <c r="E1088"/>
  <c r="F1088"/>
  <c r="E1089"/>
  <c r="F1089"/>
  <c r="E1090"/>
  <c r="F1090"/>
  <c r="F1087"/>
  <c r="E1087"/>
  <c r="E1084"/>
  <c r="F1084"/>
  <c r="E1085"/>
  <c r="F1085"/>
  <c r="E1086"/>
  <c r="F1086"/>
  <c r="F1083"/>
  <c r="E1083"/>
  <c r="E1080"/>
  <c r="F1080"/>
  <c r="E1081"/>
  <c r="F1081"/>
  <c r="E1082"/>
  <c r="F1082"/>
  <c r="F1079"/>
  <c r="E1079"/>
  <c r="E1077"/>
  <c r="F1077"/>
  <c r="E1078"/>
  <c r="F1078"/>
  <c r="F1076"/>
  <c r="E1076"/>
  <c r="E1074"/>
  <c r="F1074"/>
  <c r="E1075"/>
  <c r="F1075"/>
  <c r="F1073"/>
  <c r="E1073"/>
  <c r="E1071"/>
  <c r="F1071"/>
  <c r="E1072"/>
  <c r="F1072"/>
  <c r="F1070"/>
  <c r="E1070"/>
  <c r="E1067"/>
  <c r="F1067"/>
  <c r="E1068"/>
  <c r="F1068"/>
  <c r="E1069"/>
  <c r="F1069"/>
  <c r="F1066"/>
  <c r="E1066"/>
  <c r="E1063"/>
  <c r="F1063"/>
  <c r="E1064"/>
  <c r="F1064"/>
  <c r="E1065"/>
  <c r="F1065"/>
  <c r="F1062"/>
  <c r="E1062"/>
  <c r="E1059"/>
  <c r="F1059"/>
  <c r="E1060"/>
  <c r="F1060"/>
  <c r="E1061"/>
  <c r="F1061"/>
  <c r="F1058"/>
  <c r="E1058"/>
  <c r="E1056"/>
  <c r="F1056"/>
  <c r="E1057"/>
  <c r="F1057"/>
  <c r="F1055"/>
  <c r="E1055"/>
  <c r="E1052"/>
  <c r="F1052"/>
  <c r="E1053"/>
  <c r="F1053"/>
  <c r="E1054"/>
  <c r="F1054"/>
  <c r="F1051"/>
  <c r="E1051"/>
  <c r="E1048"/>
  <c r="F1048"/>
  <c r="E1049"/>
  <c r="F1049"/>
  <c r="E1050"/>
  <c r="F1050"/>
  <c r="F1047"/>
  <c r="E1047"/>
  <c r="E1045"/>
  <c r="F1045"/>
  <c r="E1046"/>
  <c r="F1046"/>
  <c r="F1044"/>
  <c r="E1044"/>
  <c r="E1040"/>
  <c r="F1040"/>
  <c r="E1041"/>
  <c r="F1041"/>
  <c r="E1042"/>
  <c r="F1042"/>
  <c r="E1043"/>
  <c r="F1043"/>
  <c r="F1039"/>
  <c r="E1039"/>
  <c r="E1037"/>
  <c r="F1037"/>
  <c r="E1038"/>
  <c r="F1038"/>
  <c r="F1036"/>
  <c r="E1036"/>
  <c r="E1034"/>
  <c r="F1034"/>
  <c r="E1035"/>
  <c r="F1035"/>
  <c r="F1033"/>
  <c r="E1033"/>
  <c r="E1031"/>
  <c r="F1031"/>
  <c r="E1032"/>
  <c r="F1032"/>
  <c r="F1030"/>
  <c r="E1030"/>
  <c r="E1028"/>
  <c r="F1028"/>
  <c r="E1029"/>
  <c r="F1029"/>
  <c r="F1027"/>
  <c r="E1027"/>
  <c r="E1025"/>
  <c r="F1025"/>
  <c r="E1026"/>
  <c r="F1026"/>
  <c r="F1024"/>
  <c r="E1024"/>
  <c r="E1021"/>
  <c r="F1021"/>
  <c r="E1022"/>
  <c r="F1022"/>
  <c r="E1023"/>
  <c r="F1023"/>
  <c r="F1020"/>
  <c r="E1020"/>
  <c r="E1017"/>
  <c r="F1017"/>
  <c r="E1018"/>
  <c r="F1018"/>
  <c r="E1019"/>
  <c r="F1019"/>
  <c r="F1016"/>
  <c r="E1016"/>
  <c r="E1013"/>
  <c r="F1013"/>
  <c r="E1014"/>
  <c r="F1014"/>
  <c r="E1015"/>
  <c r="F1015"/>
  <c r="F1012"/>
  <c r="E1012"/>
  <c r="E1009"/>
  <c r="F1009"/>
  <c r="E1010"/>
  <c r="F1010"/>
  <c r="E1011"/>
  <c r="F1011"/>
  <c r="F1008"/>
  <c r="E1008"/>
  <c r="E1004"/>
  <c r="F1004"/>
  <c r="E1005"/>
  <c r="F1005"/>
  <c r="E1006"/>
  <c r="F1006"/>
  <c r="E1007"/>
  <c r="F1007"/>
  <c r="F1003"/>
  <c r="E1003"/>
  <c r="E1000"/>
  <c r="F1000"/>
  <c r="E1001"/>
  <c r="F1001"/>
  <c r="E1002"/>
  <c r="F1002"/>
  <c r="F999"/>
  <c r="E999"/>
  <c r="E996"/>
  <c r="F996"/>
  <c r="E997"/>
  <c r="F997"/>
  <c r="E998"/>
  <c r="F998"/>
  <c r="F995"/>
  <c r="E995"/>
  <c r="E992"/>
  <c r="F992"/>
  <c r="E993"/>
  <c r="F993"/>
  <c r="E994"/>
  <c r="F994"/>
  <c r="F991"/>
  <c r="E991"/>
  <c r="E988"/>
  <c r="F988"/>
  <c r="E989"/>
  <c r="F989"/>
  <c r="E990"/>
  <c r="F990"/>
  <c r="F987"/>
  <c r="E987"/>
  <c r="E984"/>
  <c r="F984"/>
  <c r="E985"/>
  <c r="F985"/>
  <c r="E986"/>
  <c r="F986"/>
  <c r="F983"/>
  <c r="E983"/>
  <c r="E980"/>
  <c r="F980"/>
  <c r="E981"/>
  <c r="F981"/>
  <c r="E982"/>
  <c r="F982"/>
  <c r="F979"/>
  <c r="E979"/>
  <c r="E976"/>
  <c r="F976"/>
  <c r="E977"/>
  <c r="F977"/>
  <c r="E978"/>
  <c r="F978"/>
  <c r="F975"/>
  <c r="E975"/>
  <c r="E971"/>
  <c r="F971"/>
  <c r="E972"/>
  <c r="F972"/>
  <c r="E973"/>
  <c r="F973"/>
  <c r="E974"/>
  <c r="F974"/>
  <c r="F970"/>
  <c r="E970"/>
  <c r="E969"/>
  <c r="F969"/>
  <c r="E967"/>
  <c r="F967"/>
  <c r="E968"/>
  <c r="F968"/>
  <c r="F966"/>
  <c r="E966"/>
  <c r="E963"/>
  <c r="F963"/>
  <c r="E964"/>
  <c r="F964"/>
  <c r="E965"/>
  <c r="F965"/>
  <c r="F962"/>
  <c r="E962"/>
  <c r="E958"/>
  <c r="F958"/>
  <c r="E959"/>
  <c r="F959"/>
  <c r="E960"/>
  <c r="F960"/>
  <c r="E961"/>
  <c r="F961"/>
  <c r="F957"/>
  <c r="E957"/>
  <c r="E954"/>
  <c r="F954"/>
  <c r="E955"/>
  <c r="F955"/>
  <c r="E956"/>
  <c r="F956"/>
  <c r="F953"/>
  <c r="E953"/>
  <c r="E950"/>
  <c r="F950"/>
  <c r="E951"/>
  <c r="F951"/>
  <c r="E952"/>
  <c r="F952"/>
  <c r="F949"/>
  <c r="E949"/>
  <c r="E945"/>
  <c r="F945"/>
  <c r="E946"/>
  <c r="F946"/>
  <c r="E947"/>
  <c r="F947"/>
  <c r="E948"/>
  <c r="F948"/>
  <c r="F944"/>
  <c r="E944"/>
  <c r="E941"/>
  <c r="F941"/>
  <c r="E942"/>
  <c r="F942"/>
  <c r="E943"/>
  <c r="F943"/>
  <c r="F940"/>
  <c r="E940"/>
  <c r="E935"/>
  <c r="F935"/>
  <c r="E936"/>
  <c r="F936"/>
  <c r="E937"/>
  <c r="F937"/>
  <c r="E938"/>
  <c r="F938"/>
  <c r="E939"/>
  <c r="F939"/>
  <c r="F934"/>
  <c r="E934"/>
  <c r="E931"/>
  <c r="F931"/>
  <c r="E932"/>
  <c r="F932"/>
  <c r="E933"/>
  <c r="F933"/>
  <c r="F930"/>
  <c r="E930"/>
  <c r="E927"/>
  <c r="F927"/>
  <c r="E928"/>
  <c r="F928"/>
  <c r="E929"/>
  <c r="F929"/>
  <c r="F926"/>
  <c r="E926"/>
  <c r="E923"/>
  <c r="F923"/>
  <c r="E924"/>
  <c r="F924"/>
  <c r="E925"/>
  <c r="F925"/>
  <c r="F922"/>
  <c r="E922"/>
  <c r="E918"/>
  <c r="F918"/>
  <c r="E919"/>
  <c r="F919"/>
  <c r="E920"/>
  <c r="F920"/>
  <c r="E921"/>
  <c r="F921"/>
  <c r="F917"/>
  <c r="E917"/>
  <c r="E914"/>
  <c r="F914"/>
  <c r="E915"/>
  <c r="F915"/>
  <c r="E916"/>
  <c r="F916"/>
  <c r="F913"/>
  <c r="E913"/>
  <c r="E910"/>
  <c r="F910"/>
  <c r="E911"/>
  <c r="F911"/>
  <c r="E912"/>
  <c r="F912"/>
  <c r="F909"/>
  <c r="E909"/>
  <c r="E906"/>
  <c r="F906"/>
  <c r="E907"/>
  <c r="F907"/>
  <c r="E908"/>
  <c r="F908"/>
  <c r="F905"/>
  <c r="E905"/>
  <c r="E902"/>
  <c r="F902"/>
  <c r="E903"/>
  <c r="F903"/>
  <c r="E904"/>
  <c r="F904"/>
  <c r="F901"/>
  <c r="E901"/>
  <c r="E898"/>
  <c r="F898"/>
  <c r="E899"/>
  <c r="F899"/>
  <c r="E900"/>
  <c r="F900"/>
  <c r="F897"/>
  <c r="E897"/>
  <c r="E893"/>
  <c r="F893"/>
  <c r="E894"/>
  <c r="F894"/>
  <c r="E895"/>
  <c r="F895"/>
  <c r="E896"/>
  <c r="F896"/>
  <c r="F892"/>
  <c r="E892"/>
  <c r="E890"/>
  <c r="F890"/>
  <c r="E891"/>
  <c r="F891"/>
  <c r="F889"/>
  <c r="E889"/>
  <c r="E887"/>
  <c r="F887"/>
  <c r="E888"/>
  <c r="F888"/>
  <c r="F886"/>
  <c r="E886"/>
  <c r="E882"/>
  <c r="F882"/>
  <c r="E883"/>
  <c r="F883"/>
  <c r="E884"/>
  <c r="F884"/>
  <c r="E885"/>
  <c r="F885"/>
  <c r="F881"/>
  <c r="E881"/>
  <c r="E879"/>
  <c r="F879"/>
  <c r="E880"/>
  <c r="F880"/>
  <c r="F878"/>
  <c r="E878"/>
  <c r="E874"/>
  <c r="F874"/>
  <c r="E875"/>
  <c r="F875"/>
  <c r="E876"/>
  <c r="F876"/>
  <c r="E877"/>
  <c r="F877"/>
  <c r="F873"/>
  <c r="E873"/>
  <c r="E868"/>
  <c r="F868"/>
  <c r="E869"/>
  <c r="F869"/>
  <c r="E870"/>
  <c r="F870"/>
  <c r="E871"/>
  <c r="F871"/>
  <c r="E872"/>
  <c r="F872"/>
  <c r="F867"/>
  <c r="E867"/>
  <c r="E864"/>
  <c r="F864"/>
  <c r="E865"/>
  <c r="F865"/>
  <c r="E866"/>
  <c r="F866"/>
  <c r="F863"/>
  <c r="E863"/>
  <c r="E860"/>
  <c r="F860"/>
  <c r="E861"/>
  <c r="F861"/>
  <c r="E862"/>
  <c r="F862"/>
  <c r="F859"/>
  <c r="E859"/>
  <c r="E852"/>
  <c r="F852"/>
  <c r="E853"/>
  <c r="F853"/>
  <c r="E854"/>
  <c r="F854"/>
  <c r="E855"/>
  <c r="F855"/>
  <c r="E856"/>
  <c r="F856"/>
  <c r="E857"/>
  <c r="F857"/>
  <c r="E858"/>
  <c r="F858"/>
  <c r="F851"/>
  <c r="E851"/>
  <c r="E848"/>
  <c r="F848"/>
  <c r="E849"/>
  <c r="F849"/>
  <c r="E850"/>
  <c r="F850"/>
  <c r="F847"/>
  <c r="E847"/>
  <c r="E844"/>
  <c r="F844"/>
  <c r="E845"/>
  <c r="F845"/>
  <c r="E846"/>
  <c r="F846"/>
  <c r="F843"/>
  <c r="E843"/>
  <c r="E838"/>
  <c r="F838"/>
  <c r="E839"/>
  <c r="F839"/>
  <c r="E840"/>
  <c r="F840"/>
  <c r="E841"/>
  <c r="F841"/>
  <c r="E842"/>
  <c r="F842"/>
  <c r="F837"/>
  <c r="E837"/>
  <c r="E833"/>
  <c r="F833"/>
  <c r="E834"/>
  <c r="F834"/>
  <c r="E835"/>
  <c r="F835"/>
  <c r="E836"/>
  <c r="F836"/>
  <c r="F832"/>
  <c r="E832"/>
  <c r="E829"/>
  <c r="F829"/>
  <c r="E830"/>
  <c r="F830"/>
  <c r="E831"/>
  <c r="F831"/>
  <c r="F828"/>
  <c r="E828"/>
  <c r="E825"/>
  <c r="F825"/>
  <c r="E826"/>
  <c r="F826"/>
  <c r="E827"/>
  <c r="F827"/>
  <c r="F824"/>
  <c r="E824"/>
  <c r="E820"/>
  <c r="F820"/>
  <c r="E821"/>
  <c r="F821"/>
  <c r="E822"/>
  <c r="F822"/>
  <c r="E823"/>
  <c r="F823"/>
  <c r="F819"/>
  <c r="E819"/>
  <c r="E817"/>
  <c r="F817"/>
  <c r="E818"/>
  <c r="F818"/>
  <c r="F816"/>
  <c r="E816"/>
  <c r="E814"/>
  <c r="F814"/>
  <c r="E815"/>
  <c r="F815"/>
  <c r="F813"/>
  <c r="E813"/>
  <c r="E811"/>
  <c r="F811"/>
  <c r="E812"/>
  <c r="F812"/>
  <c r="F810"/>
  <c r="E810"/>
  <c r="E806"/>
  <c r="F806"/>
  <c r="E807"/>
  <c r="F807"/>
  <c r="E808"/>
  <c r="F808"/>
  <c r="E809"/>
  <c r="F809"/>
  <c r="F805"/>
  <c r="E805"/>
  <c r="E802"/>
  <c r="F802"/>
  <c r="E803"/>
  <c r="F803"/>
  <c r="E804"/>
  <c r="F804"/>
  <c r="F801"/>
  <c r="E801"/>
  <c r="E796"/>
  <c r="F796"/>
  <c r="E797"/>
  <c r="F797"/>
  <c r="E798"/>
  <c r="F798"/>
  <c r="E799"/>
  <c r="F799"/>
  <c r="E800"/>
  <c r="F800"/>
  <c r="F795"/>
  <c r="E795"/>
  <c r="E792"/>
  <c r="F792"/>
  <c r="E793"/>
  <c r="F793"/>
  <c r="E794"/>
  <c r="F794"/>
  <c r="F791"/>
  <c r="E791"/>
  <c r="E788"/>
  <c r="F788"/>
  <c r="E789"/>
  <c r="F789"/>
  <c r="E790"/>
  <c r="F790"/>
  <c r="F787"/>
  <c r="E787"/>
  <c r="E783"/>
  <c r="F783"/>
  <c r="E784"/>
  <c r="F784"/>
  <c r="E785"/>
  <c r="F785"/>
  <c r="E786"/>
  <c r="F786"/>
  <c r="F782"/>
  <c r="E782"/>
  <c r="E779"/>
  <c r="F779"/>
  <c r="E780"/>
  <c r="F780"/>
  <c r="E781"/>
  <c r="F781"/>
  <c r="F778"/>
  <c r="E778"/>
  <c r="E774"/>
  <c r="F774"/>
  <c r="E775"/>
  <c r="F775"/>
  <c r="E776"/>
  <c r="F776"/>
  <c r="E777"/>
  <c r="F777"/>
  <c r="F773"/>
  <c r="E773"/>
  <c r="E769"/>
  <c r="F769"/>
  <c r="E770"/>
  <c r="F770"/>
  <c r="E771"/>
  <c r="F771"/>
  <c r="E772"/>
  <c r="F772"/>
  <c r="F768"/>
  <c r="E768"/>
  <c r="E765"/>
  <c r="F765"/>
  <c r="E766"/>
  <c r="F766"/>
  <c r="E767"/>
  <c r="F767"/>
  <c r="F764"/>
  <c r="E764"/>
  <c r="E761"/>
  <c r="F761"/>
  <c r="E762"/>
  <c r="F762"/>
  <c r="E763"/>
  <c r="F763"/>
  <c r="F760"/>
  <c r="E760"/>
  <c r="E757"/>
  <c r="F757"/>
  <c r="E758"/>
  <c r="F758"/>
  <c r="E759"/>
  <c r="F759"/>
  <c r="F756"/>
  <c r="E756"/>
  <c r="E752"/>
  <c r="F752"/>
  <c r="E753"/>
  <c r="F753"/>
  <c r="E754"/>
  <c r="F754"/>
  <c r="E755"/>
  <c r="F755"/>
  <c r="F751"/>
  <c r="E751"/>
  <c r="E747"/>
  <c r="F747"/>
  <c r="E748"/>
  <c r="F748"/>
  <c r="E749"/>
  <c r="F749"/>
  <c r="E750"/>
  <c r="F750"/>
  <c r="F746"/>
  <c r="E746"/>
  <c r="E743"/>
  <c r="F743"/>
  <c r="E744"/>
  <c r="F744"/>
  <c r="E745"/>
  <c r="F745"/>
  <c r="F742"/>
  <c r="E742"/>
  <c r="E739"/>
  <c r="F739"/>
  <c r="E740"/>
  <c r="F740"/>
  <c r="E741"/>
  <c r="F741"/>
  <c r="F738"/>
  <c r="E738"/>
  <c r="E735"/>
  <c r="F735"/>
  <c r="E736"/>
  <c r="F736"/>
  <c r="E737"/>
  <c r="F737"/>
  <c r="F734"/>
  <c r="E734"/>
  <c r="E730"/>
  <c r="F730"/>
  <c r="E731"/>
  <c r="F731"/>
  <c r="E732"/>
  <c r="F732"/>
  <c r="E733"/>
  <c r="F733"/>
  <c r="F729"/>
  <c r="E729"/>
  <c r="E725"/>
  <c r="F725"/>
  <c r="E726"/>
  <c r="F726"/>
  <c r="E727"/>
  <c r="F727"/>
  <c r="E728"/>
  <c r="F728"/>
  <c r="F724"/>
  <c r="E724"/>
  <c r="E721"/>
  <c r="F721"/>
  <c r="E722"/>
  <c r="F722"/>
  <c r="E723"/>
  <c r="F723"/>
  <c r="F720"/>
  <c r="E720"/>
  <c r="E717"/>
  <c r="F717"/>
  <c r="E718"/>
  <c r="F718"/>
  <c r="E719"/>
  <c r="F719"/>
  <c r="F716"/>
  <c r="E716"/>
  <c r="E713"/>
  <c r="F713"/>
  <c r="E714"/>
  <c r="F714"/>
  <c r="E715"/>
  <c r="F715"/>
  <c r="F712"/>
  <c r="E712"/>
  <c r="E709"/>
  <c r="F709"/>
  <c r="E710"/>
  <c r="F710"/>
  <c r="E711"/>
  <c r="F711"/>
  <c r="F708"/>
  <c r="E708"/>
  <c r="E705"/>
  <c r="F705"/>
  <c r="E706"/>
  <c r="F706"/>
  <c r="E707"/>
  <c r="F707"/>
  <c r="F704"/>
  <c r="E704"/>
  <c r="E700"/>
  <c r="F700"/>
  <c r="E701"/>
  <c r="F701"/>
  <c r="E702"/>
  <c r="F702"/>
  <c r="E703"/>
  <c r="F703"/>
  <c r="F699"/>
  <c r="E699"/>
  <c r="E696"/>
  <c r="F696"/>
  <c r="E697"/>
  <c r="F697"/>
  <c r="E698"/>
  <c r="F698"/>
  <c r="F695"/>
  <c r="E695"/>
  <c r="E692"/>
  <c r="F692"/>
  <c r="E693"/>
  <c r="F693"/>
  <c r="E694"/>
  <c r="F694"/>
  <c r="F691"/>
  <c r="E691"/>
  <c r="E688"/>
  <c r="F688"/>
  <c r="E689"/>
  <c r="F689"/>
  <c r="E690"/>
  <c r="F690"/>
  <c r="F687"/>
  <c r="E687"/>
  <c r="E684"/>
  <c r="F684"/>
  <c r="E685"/>
  <c r="F685"/>
  <c r="E686"/>
  <c r="F686"/>
  <c r="F683"/>
  <c r="E683"/>
  <c r="E679"/>
  <c r="F679"/>
  <c r="E680"/>
  <c r="F680"/>
  <c r="E681"/>
  <c r="F681"/>
  <c r="E682"/>
  <c r="F682"/>
  <c r="F678"/>
  <c r="E678"/>
  <c r="E674"/>
  <c r="F674"/>
  <c r="E675"/>
  <c r="F675"/>
  <c r="E676"/>
  <c r="F676"/>
  <c r="E677"/>
  <c r="F677"/>
  <c r="F673"/>
  <c r="E673"/>
  <c r="E670"/>
  <c r="F670"/>
  <c r="E671"/>
  <c r="F671"/>
  <c r="E672"/>
  <c r="F672"/>
  <c r="F669"/>
  <c r="E669"/>
  <c r="E665"/>
  <c r="F665"/>
  <c r="E666"/>
  <c r="F666"/>
  <c r="E667"/>
  <c r="F667"/>
  <c r="E668"/>
  <c r="F668"/>
  <c r="F664"/>
  <c r="E664"/>
  <c r="E660"/>
  <c r="F660"/>
  <c r="E661"/>
  <c r="F661"/>
  <c r="E662"/>
  <c r="F662"/>
  <c r="E663"/>
  <c r="F663"/>
  <c r="F659"/>
  <c r="E659"/>
  <c r="E656"/>
  <c r="F656"/>
  <c r="E657"/>
  <c r="F657"/>
  <c r="E658"/>
  <c r="F658"/>
  <c r="F655"/>
  <c r="E655"/>
  <c r="E652"/>
  <c r="F652"/>
  <c r="E653"/>
  <c r="F653"/>
  <c r="E654"/>
  <c r="F654"/>
  <c r="F651"/>
  <c r="E651"/>
  <c r="E648"/>
  <c r="F648"/>
  <c r="E649"/>
  <c r="F649"/>
  <c r="E650"/>
  <c r="F650"/>
  <c r="F647"/>
  <c r="E647"/>
  <c r="E643"/>
  <c r="F643"/>
  <c r="E644"/>
  <c r="F644"/>
  <c r="E645"/>
  <c r="F645"/>
  <c r="E646"/>
  <c r="F646"/>
  <c r="F642"/>
  <c r="E642"/>
  <c r="E640"/>
  <c r="F640"/>
  <c r="E641"/>
  <c r="F641"/>
  <c r="E639"/>
  <c r="F639"/>
  <c r="E636"/>
  <c r="F636"/>
  <c r="E637"/>
  <c r="F637"/>
  <c r="E638"/>
  <c r="F638"/>
  <c r="F635"/>
  <c r="E635"/>
  <c r="E631"/>
  <c r="F631"/>
  <c r="E632"/>
  <c r="F632"/>
  <c r="E633"/>
  <c r="F633"/>
  <c r="E634"/>
  <c r="F634"/>
  <c r="F630"/>
  <c r="E630"/>
  <c r="E628"/>
  <c r="F628"/>
  <c r="E629"/>
  <c r="F629"/>
  <c r="F627"/>
  <c r="E627"/>
  <c r="E625"/>
  <c r="F625"/>
  <c r="E626"/>
  <c r="F626"/>
  <c r="F624"/>
  <c r="E624"/>
  <c r="E621"/>
  <c r="F621"/>
  <c r="E622"/>
  <c r="F622"/>
  <c r="E623"/>
  <c r="F623"/>
  <c r="F620"/>
  <c r="E620"/>
  <c r="E618"/>
  <c r="F618"/>
  <c r="E619"/>
  <c r="F619"/>
  <c r="F617"/>
  <c r="E617"/>
  <c r="E614"/>
  <c r="F614"/>
  <c r="E615"/>
  <c r="F615"/>
  <c r="E616"/>
  <c r="F616"/>
  <c r="F613"/>
  <c r="E613"/>
  <c r="E610"/>
  <c r="F610"/>
  <c r="E611"/>
  <c r="F611"/>
  <c r="E612"/>
  <c r="F612"/>
  <c r="F609"/>
  <c r="E609"/>
  <c r="E606"/>
  <c r="F606"/>
  <c r="E607"/>
  <c r="F607"/>
  <c r="E608"/>
  <c r="F608"/>
  <c r="F605"/>
  <c r="E605"/>
  <c r="E602"/>
  <c r="F602"/>
  <c r="E603"/>
  <c r="F603"/>
  <c r="E604"/>
  <c r="F604"/>
  <c r="F601"/>
  <c r="E601"/>
  <c r="E598"/>
  <c r="F598"/>
  <c r="E599"/>
  <c r="F599"/>
  <c r="E600"/>
  <c r="F600"/>
  <c r="F597"/>
  <c r="E597"/>
  <c r="E593"/>
  <c r="F593"/>
  <c r="E594"/>
  <c r="F594"/>
  <c r="E595"/>
  <c r="F595"/>
  <c r="E596"/>
  <c r="F596"/>
  <c r="F592"/>
  <c r="E592"/>
  <c r="E588"/>
  <c r="F588"/>
  <c r="E589"/>
  <c r="F589"/>
  <c r="E590"/>
  <c r="F590"/>
  <c r="E591"/>
  <c r="F591"/>
  <c r="F587"/>
  <c r="E587"/>
  <c r="E582"/>
  <c r="F582"/>
  <c r="E583"/>
  <c r="F583"/>
  <c r="E584"/>
  <c r="F584"/>
  <c r="E585"/>
  <c r="F585"/>
  <c r="E586"/>
  <c r="F586"/>
  <c r="F581"/>
  <c r="E581"/>
  <c r="E576"/>
  <c r="F576"/>
  <c r="E577"/>
  <c r="F577"/>
  <c r="E578"/>
  <c r="F578"/>
  <c r="E579"/>
  <c r="F579"/>
  <c r="E580"/>
  <c r="F580"/>
  <c r="F575"/>
  <c r="E575"/>
  <c r="E570"/>
  <c r="F570"/>
  <c r="E571"/>
  <c r="F571"/>
  <c r="E572"/>
  <c r="F572"/>
  <c r="E573"/>
  <c r="F573"/>
  <c r="E574"/>
  <c r="F574"/>
  <c r="F569"/>
  <c r="E569"/>
  <c r="E566"/>
  <c r="F566"/>
  <c r="E567"/>
  <c r="F567"/>
  <c r="E568"/>
  <c r="F568"/>
  <c r="F565"/>
  <c r="E565"/>
  <c r="E561"/>
  <c r="F561"/>
  <c r="E562"/>
  <c r="F562"/>
  <c r="E563"/>
  <c r="F563"/>
  <c r="E564"/>
  <c r="F564"/>
  <c r="F560"/>
  <c r="E560"/>
  <c r="E555"/>
  <c r="F555"/>
  <c r="E556"/>
  <c r="F556"/>
  <c r="E557"/>
  <c r="F557"/>
  <c r="E558"/>
  <c r="F558"/>
  <c r="E559"/>
  <c r="F559"/>
  <c r="F554"/>
  <c r="E554"/>
  <c r="E551"/>
  <c r="F551"/>
  <c r="E552"/>
  <c r="F552"/>
  <c r="E553"/>
  <c r="F553"/>
  <c r="F550"/>
  <c r="E550"/>
  <c r="E545"/>
  <c r="F545"/>
  <c r="E546"/>
  <c r="F546"/>
  <c r="E547"/>
  <c r="F547"/>
  <c r="E548"/>
  <c r="F548"/>
  <c r="E549"/>
  <c r="F549"/>
  <c r="F544"/>
  <c r="E544"/>
  <c r="E540"/>
  <c r="F540"/>
  <c r="E541"/>
  <c r="F541"/>
  <c r="E542"/>
  <c r="F542"/>
  <c r="E543"/>
  <c r="F543"/>
  <c r="F539"/>
  <c r="E539"/>
  <c r="E533"/>
  <c r="F533"/>
  <c r="E534"/>
  <c r="F534"/>
  <c r="E535"/>
  <c r="F535"/>
  <c r="E536"/>
  <c r="F536"/>
  <c r="E537"/>
  <c r="F537"/>
  <c r="E538"/>
  <c r="F538"/>
  <c r="F532"/>
  <c r="E532"/>
  <c r="E528"/>
  <c r="F528"/>
  <c r="E529"/>
  <c r="F529"/>
  <c r="E530"/>
  <c r="F530"/>
  <c r="E531"/>
  <c r="F531"/>
  <c r="F527"/>
  <c r="E527"/>
  <c r="E524"/>
  <c r="F524"/>
  <c r="E525"/>
  <c r="F525"/>
  <c r="E526"/>
  <c r="F526"/>
  <c r="F523"/>
  <c r="E523"/>
  <c r="E519"/>
  <c r="F519"/>
  <c r="E520"/>
  <c r="F520"/>
  <c r="E521"/>
  <c r="F521"/>
  <c r="E522"/>
  <c r="F522"/>
  <c r="F518"/>
  <c r="E518"/>
  <c r="E515"/>
  <c r="F515"/>
  <c r="E516"/>
  <c r="F516"/>
  <c r="E517"/>
  <c r="F517"/>
  <c r="F514"/>
  <c r="E514"/>
  <c r="E511"/>
  <c r="F511"/>
  <c r="E512"/>
  <c r="F512"/>
  <c r="E513"/>
  <c r="F513"/>
  <c r="F510"/>
  <c r="E510"/>
  <c r="E507"/>
  <c r="F507"/>
  <c r="E508"/>
  <c r="F508"/>
  <c r="E509"/>
  <c r="F509"/>
  <c r="F506"/>
  <c r="E506"/>
  <c r="E501"/>
  <c r="F501"/>
  <c r="E502"/>
  <c r="F502"/>
  <c r="E503"/>
  <c r="F503"/>
  <c r="E504"/>
  <c r="F504"/>
  <c r="E505"/>
  <c r="F505"/>
  <c r="F500"/>
  <c r="E500"/>
  <c r="E496"/>
  <c r="F496"/>
  <c r="E497"/>
  <c r="F497"/>
  <c r="E498"/>
  <c r="F498"/>
  <c r="E499"/>
  <c r="F499"/>
  <c r="F495"/>
  <c r="E495"/>
  <c r="E489"/>
  <c r="F489"/>
  <c r="E490"/>
  <c r="F490"/>
  <c r="E491"/>
  <c r="F491"/>
  <c r="E492"/>
  <c r="F492"/>
  <c r="E493"/>
  <c r="F493"/>
  <c r="E494"/>
  <c r="F494"/>
  <c r="F488"/>
  <c r="E488"/>
  <c r="E483"/>
  <c r="F483"/>
  <c r="E484"/>
  <c r="F484"/>
  <c r="E485"/>
  <c r="F485"/>
  <c r="E486"/>
  <c r="F486"/>
  <c r="E487"/>
  <c r="F487"/>
  <c r="F482"/>
  <c r="E482"/>
  <c r="E479"/>
  <c r="F479"/>
  <c r="E480"/>
  <c r="F480"/>
  <c r="E481"/>
  <c r="F481"/>
  <c r="F478"/>
  <c r="E478"/>
  <c r="E473"/>
  <c r="F473"/>
  <c r="E474"/>
  <c r="F474"/>
  <c r="E475"/>
  <c r="F475"/>
  <c r="E476"/>
  <c r="F476"/>
  <c r="E477"/>
  <c r="F477"/>
  <c r="F472"/>
  <c r="E472"/>
  <c r="E464"/>
  <c r="F464"/>
  <c r="E465"/>
  <c r="F465"/>
  <c r="E466"/>
  <c r="F466"/>
  <c r="E467"/>
  <c r="F467"/>
  <c r="E468"/>
  <c r="F468"/>
  <c r="E469"/>
  <c r="F469"/>
  <c r="E470"/>
  <c r="F470"/>
  <c r="E471"/>
  <c r="F471"/>
  <c r="F463"/>
  <c r="E463"/>
  <c r="E460"/>
  <c r="F460"/>
  <c r="E461"/>
  <c r="F461"/>
  <c r="E462"/>
  <c r="F462"/>
  <c r="F459"/>
  <c r="E459"/>
  <c r="E456"/>
  <c r="F456"/>
  <c r="E457"/>
  <c r="F457"/>
  <c r="E458"/>
  <c r="F458"/>
  <c r="F455"/>
  <c r="E455"/>
  <c r="E452"/>
  <c r="F452"/>
  <c r="E453"/>
  <c r="F453"/>
  <c r="E454"/>
  <c r="F454"/>
  <c r="F451"/>
  <c r="E451"/>
  <c r="E447" l="1"/>
  <c r="F447"/>
  <c r="E448"/>
  <c r="F448"/>
  <c r="E449"/>
  <c r="F449"/>
  <c r="E450"/>
  <c r="F450"/>
  <c r="F446"/>
  <c r="E446"/>
  <c r="E442"/>
  <c r="F442"/>
  <c r="E443"/>
  <c r="F443"/>
  <c r="E444"/>
  <c r="F444"/>
  <c r="E445"/>
  <c r="F445"/>
  <c r="F441"/>
  <c r="E441"/>
  <c r="E438"/>
  <c r="F438"/>
  <c r="E439"/>
  <c r="F439"/>
  <c r="E440"/>
  <c r="F440"/>
  <c r="F437"/>
  <c r="E437"/>
  <c r="E436"/>
  <c r="F436"/>
  <c r="F435"/>
  <c r="E435"/>
  <c r="E430"/>
  <c r="F430"/>
  <c r="E431"/>
  <c r="F431"/>
  <c r="E432"/>
  <c r="F432"/>
  <c r="E433"/>
  <c r="F433"/>
  <c r="E434"/>
  <c r="F434"/>
  <c r="F429"/>
  <c r="E429"/>
  <c r="E425"/>
  <c r="F425"/>
  <c r="E426"/>
  <c r="F426"/>
  <c r="E427"/>
  <c r="F427"/>
  <c r="E428"/>
  <c r="F428"/>
  <c r="F424"/>
  <c r="E424"/>
  <c r="E420"/>
  <c r="F420"/>
  <c r="E421"/>
  <c r="F421"/>
  <c r="E422"/>
  <c r="F422"/>
  <c r="E423"/>
  <c r="F423"/>
  <c r="F419"/>
  <c r="E419"/>
  <c r="E415"/>
  <c r="F415"/>
  <c r="E416"/>
  <c r="F416"/>
  <c r="E417"/>
  <c r="F417"/>
  <c r="E418"/>
  <c r="F418"/>
  <c r="F414"/>
  <c r="E414"/>
  <c r="E410"/>
  <c r="F410"/>
  <c r="E411"/>
  <c r="F411"/>
  <c r="E412"/>
  <c r="F412"/>
  <c r="E413"/>
  <c r="F413"/>
  <c r="F409"/>
  <c r="E409"/>
  <c r="E406"/>
  <c r="F406"/>
  <c r="E407"/>
  <c r="F407"/>
  <c r="E408"/>
  <c r="F408"/>
  <c r="F405"/>
  <c r="E405"/>
  <c r="E402"/>
  <c r="F402"/>
  <c r="E403"/>
  <c r="F403"/>
  <c r="E404"/>
  <c r="F404"/>
  <c r="F401"/>
  <c r="E401"/>
  <c r="E397"/>
  <c r="F397"/>
  <c r="E398"/>
  <c r="F398"/>
  <c r="E399"/>
  <c r="F399"/>
  <c r="E400"/>
  <c r="F400"/>
  <c r="F396"/>
  <c r="E396"/>
  <c r="E393"/>
  <c r="F393"/>
  <c r="E394"/>
  <c r="F394"/>
  <c r="E395"/>
  <c r="F395"/>
  <c r="F392"/>
  <c r="E392"/>
  <c r="E387"/>
  <c r="F387"/>
  <c r="E388"/>
  <c r="F388"/>
  <c r="E389"/>
  <c r="F389"/>
  <c r="E390"/>
  <c r="F390"/>
  <c r="E391"/>
  <c r="F391"/>
  <c r="F386"/>
  <c r="E386"/>
  <c r="E383"/>
  <c r="F383"/>
  <c r="E384"/>
  <c r="F384"/>
  <c r="E385"/>
  <c r="F385"/>
  <c r="F382"/>
  <c r="E382"/>
  <c r="E377"/>
  <c r="F377"/>
  <c r="E378"/>
  <c r="F378"/>
  <c r="E379"/>
  <c r="F379"/>
  <c r="E380"/>
  <c r="F380"/>
  <c r="E381"/>
  <c r="F381"/>
  <c r="F376"/>
  <c r="E376"/>
  <c r="E374"/>
  <c r="F374"/>
  <c r="E375"/>
  <c r="F375"/>
  <c r="F373"/>
  <c r="E373"/>
  <c r="E369"/>
  <c r="F369"/>
  <c r="E370"/>
  <c r="F370"/>
  <c r="E371"/>
  <c r="F371"/>
  <c r="E372"/>
  <c r="F372"/>
  <c r="F368"/>
  <c r="E368"/>
  <c r="E364"/>
  <c r="F364"/>
  <c r="E365"/>
  <c r="F365"/>
  <c r="E366"/>
  <c r="F366"/>
  <c r="E367"/>
  <c r="F367"/>
  <c r="F363"/>
  <c r="E363"/>
  <c r="E361"/>
  <c r="F361"/>
  <c r="E362"/>
  <c r="F362"/>
  <c r="F360"/>
  <c r="E360"/>
  <c r="E358"/>
  <c r="F358"/>
  <c r="E359"/>
  <c r="F359"/>
  <c r="F357"/>
  <c r="E357"/>
  <c r="E354"/>
  <c r="F354"/>
  <c r="E355"/>
  <c r="F355"/>
  <c r="E356"/>
  <c r="F356"/>
  <c r="F353"/>
  <c r="E353"/>
  <c r="E13"/>
  <c r="F13"/>
  <c r="F16" i="9" s="1"/>
  <c r="E14" i="8"/>
  <c r="F14"/>
  <c r="F33" i="9" s="1"/>
  <c r="E15" i="8"/>
  <c r="F15"/>
  <c r="E16"/>
  <c r="F16"/>
  <c r="F42" i="9" s="1"/>
  <c r="F12" i="8"/>
  <c r="F4" i="9" s="1"/>
  <c r="E12" i="8"/>
  <c r="E348"/>
  <c r="F348"/>
  <c r="E349"/>
  <c r="F349"/>
  <c r="E350"/>
  <c r="F350"/>
  <c r="E351"/>
  <c r="F351"/>
  <c r="E352"/>
  <c r="F352"/>
  <c r="F347"/>
  <c r="E347"/>
  <c r="E343"/>
  <c r="F343"/>
  <c r="E344"/>
  <c r="F344"/>
  <c r="E345"/>
  <c r="F345"/>
  <c r="E346"/>
  <c r="F346"/>
  <c r="F342"/>
  <c r="E342"/>
  <c r="E336"/>
  <c r="F336"/>
  <c r="E337"/>
  <c r="F337"/>
  <c r="E338"/>
  <c r="F338"/>
  <c r="E339"/>
  <c r="F339"/>
  <c r="E340"/>
  <c r="F340"/>
  <c r="E341"/>
  <c r="F341"/>
  <c r="F335"/>
  <c r="E335"/>
  <c r="E330"/>
  <c r="F330"/>
  <c r="E331"/>
  <c r="F331"/>
  <c r="E332"/>
  <c r="F332"/>
  <c r="E333"/>
  <c r="F333"/>
  <c r="E334"/>
  <c r="F334"/>
  <c r="F329"/>
  <c r="E329"/>
  <c r="E323"/>
  <c r="F323"/>
  <c r="E324"/>
  <c r="F324"/>
  <c r="E325"/>
  <c r="F325"/>
  <c r="E326"/>
  <c r="F326"/>
  <c r="E327"/>
  <c r="F327"/>
  <c r="E328"/>
  <c r="F328"/>
  <c r="F322"/>
  <c r="E322"/>
  <c r="E319"/>
  <c r="F319"/>
  <c r="E320"/>
  <c r="F320"/>
  <c r="E321"/>
  <c r="F321"/>
  <c r="F318"/>
  <c r="E318"/>
  <c r="E313"/>
  <c r="F313"/>
  <c r="E314"/>
  <c r="F314"/>
  <c r="E315"/>
  <c r="F315"/>
  <c r="E316"/>
  <c r="F316"/>
  <c r="E317"/>
  <c r="F317"/>
  <c r="F312"/>
  <c r="E312"/>
  <c r="E308"/>
  <c r="F308"/>
  <c r="E309"/>
  <c r="F309"/>
  <c r="E310"/>
  <c r="F310"/>
  <c r="E311"/>
  <c r="F311"/>
  <c r="F307"/>
  <c r="E307"/>
  <c r="E303"/>
  <c r="F303"/>
  <c r="E304"/>
  <c r="F304"/>
  <c r="E305"/>
  <c r="F305"/>
  <c r="E306"/>
  <c r="F306"/>
  <c r="F302"/>
  <c r="E302"/>
  <c r="E298"/>
  <c r="F298"/>
  <c r="E299"/>
  <c r="F299"/>
  <c r="E300"/>
  <c r="F300"/>
  <c r="E301"/>
  <c r="F301"/>
  <c r="F297"/>
  <c r="E297"/>
  <c r="E293"/>
  <c r="F293"/>
  <c r="E294"/>
  <c r="F294"/>
  <c r="E295"/>
  <c r="F295"/>
  <c r="E296"/>
  <c r="F296"/>
  <c r="F292"/>
  <c r="E292"/>
  <c r="E288"/>
  <c r="F288"/>
  <c r="E289"/>
  <c r="F289"/>
  <c r="E290"/>
  <c r="F290"/>
  <c r="E291"/>
  <c r="F291"/>
  <c r="F287"/>
  <c r="E287"/>
  <c r="E282"/>
  <c r="F282"/>
  <c r="E283"/>
  <c r="F283"/>
  <c r="E284"/>
  <c r="F284"/>
  <c r="E285"/>
  <c r="F285"/>
  <c r="E286"/>
  <c r="F286"/>
  <c r="F281"/>
  <c r="E281"/>
  <c r="E279"/>
  <c r="F279"/>
  <c r="E280"/>
  <c r="F280"/>
  <c r="F278"/>
  <c r="E278"/>
  <c r="E274"/>
  <c r="F274"/>
  <c r="E275"/>
  <c r="F275"/>
  <c r="E276"/>
  <c r="F276"/>
  <c r="E277"/>
  <c r="F277"/>
  <c r="F273"/>
  <c r="E273"/>
  <c r="E269"/>
  <c r="F269"/>
  <c r="E270"/>
  <c r="F270"/>
  <c r="E271"/>
  <c r="F271"/>
  <c r="E272"/>
  <c r="F272"/>
  <c r="F268"/>
  <c r="E268"/>
  <c r="E264"/>
  <c r="F264"/>
  <c r="E265"/>
  <c r="F265"/>
  <c r="E266"/>
  <c r="F266"/>
  <c r="E267"/>
  <c r="F267"/>
  <c r="F263"/>
  <c r="E263"/>
  <c r="E259"/>
  <c r="F259"/>
  <c r="E260"/>
  <c r="F260"/>
  <c r="E261"/>
  <c r="F261"/>
  <c r="E262"/>
  <c r="F262"/>
  <c r="F258"/>
  <c r="E258"/>
  <c r="E254"/>
  <c r="F254"/>
  <c r="E255"/>
  <c r="F255"/>
  <c r="E256"/>
  <c r="F256"/>
  <c r="E257"/>
  <c r="F257"/>
  <c r="F253"/>
  <c r="E253"/>
  <c r="E250"/>
  <c r="F250"/>
  <c r="E251"/>
  <c r="F251"/>
  <c r="E252"/>
  <c r="F252"/>
  <c r="F249"/>
  <c r="E249"/>
  <c r="E245"/>
  <c r="F245"/>
  <c r="E246"/>
  <c r="F246"/>
  <c r="E247"/>
  <c r="F247"/>
  <c r="E248"/>
  <c r="F248"/>
  <c r="F244"/>
  <c r="E244"/>
  <c r="E240"/>
  <c r="F240"/>
  <c r="E241"/>
  <c r="F241"/>
  <c r="E242"/>
  <c r="F242"/>
  <c r="E243"/>
  <c r="F243"/>
  <c r="F239"/>
  <c r="E239"/>
  <c r="E236"/>
  <c r="F236"/>
  <c r="E237"/>
  <c r="F237"/>
  <c r="E238"/>
  <c r="F238"/>
  <c r="F235"/>
  <c r="E235"/>
  <c r="E234"/>
  <c r="F234"/>
  <c r="E231"/>
  <c r="F231"/>
  <c r="E232"/>
  <c r="F232"/>
  <c r="E233"/>
  <c r="F233"/>
  <c r="F230"/>
  <c r="E230"/>
  <c r="E228"/>
  <c r="F228"/>
  <c r="E229"/>
  <c r="F229"/>
  <c r="F227"/>
  <c r="E227"/>
  <c r="E224"/>
  <c r="F224"/>
  <c r="E225"/>
  <c r="F225"/>
  <c r="E226"/>
  <c r="F226"/>
  <c r="F223"/>
  <c r="E223"/>
  <c r="E220"/>
  <c r="F220"/>
  <c r="E221"/>
  <c r="F221"/>
  <c r="E222"/>
  <c r="F222"/>
  <c r="F219"/>
  <c r="E219"/>
  <c r="E216"/>
  <c r="F216"/>
  <c r="E217"/>
  <c r="F217"/>
  <c r="E218"/>
  <c r="F218"/>
  <c r="F215"/>
  <c r="E215"/>
  <c r="E208"/>
  <c r="F208"/>
  <c r="E209"/>
  <c r="F209"/>
  <c r="F207"/>
  <c r="E207"/>
  <c r="E200"/>
  <c r="F200"/>
  <c r="E201"/>
  <c r="F201"/>
  <c r="F199"/>
  <c r="E199"/>
  <c r="E196"/>
  <c r="F196"/>
  <c r="E197"/>
  <c r="F197"/>
  <c r="E198"/>
  <c r="F198"/>
  <c r="F195"/>
  <c r="E195"/>
  <c r="E192"/>
  <c r="F192"/>
  <c r="E193"/>
  <c r="F193"/>
  <c r="E194"/>
  <c r="F194"/>
  <c r="F191"/>
  <c r="E191"/>
  <c r="E181"/>
  <c r="F181"/>
  <c r="E182"/>
  <c r="F182"/>
  <c r="E183"/>
  <c r="F183"/>
  <c r="E184"/>
  <c r="F184"/>
  <c r="E185"/>
  <c r="F185"/>
  <c r="F180"/>
  <c r="E180"/>
  <c r="E178"/>
  <c r="F178"/>
  <c r="E179"/>
  <c r="F179"/>
  <c r="F177"/>
  <c r="E177"/>
  <c r="E175"/>
  <c r="F175"/>
  <c r="E176"/>
  <c r="F176"/>
  <c r="F174"/>
  <c r="E174"/>
  <c r="E171"/>
  <c r="F171"/>
  <c r="E172"/>
  <c r="F172"/>
  <c r="E173"/>
  <c r="F173"/>
  <c r="F170"/>
  <c r="E170"/>
  <c r="E167"/>
  <c r="F167"/>
  <c r="F170" i="9" s="1"/>
  <c r="E168" i="8"/>
  <c r="F168"/>
  <c r="F244" i="9" s="1"/>
  <c r="E169" i="8"/>
  <c r="F169"/>
  <c r="F166"/>
  <c r="F143" i="9" s="1"/>
  <c r="E166" i="8"/>
  <c r="E156"/>
  <c r="F156"/>
  <c r="F95" i="9" s="1"/>
  <c r="E157" i="8"/>
  <c r="F157"/>
  <c r="F112" i="9" s="1"/>
  <c r="E158" i="8"/>
  <c r="F158"/>
  <c r="F125" i="9" s="1"/>
  <c r="E159" i="8"/>
  <c r="F159"/>
  <c r="F128" i="9" s="1"/>
  <c r="E160" i="8"/>
  <c r="F160"/>
  <c r="F155"/>
  <c r="F71" i="9" s="1"/>
  <c r="E155" i="8"/>
  <c r="E152"/>
  <c r="F152"/>
  <c r="E153"/>
  <c r="F153"/>
  <c r="E154"/>
  <c r="F154"/>
  <c r="F135" i="9" s="1"/>
  <c r="F151" i="8"/>
  <c r="E151"/>
  <c r="F1313"/>
  <c r="F1312"/>
  <c r="F1311"/>
  <c r="F1310"/>
  <c r="F1309"/>
  <c r="F1308"/>
  <c r="F1307"/>
  <c r="F1306"/>
  <c r="F1305"/>
  <c r="F1304"/>
  <c r="F1303"/>
  <c r="F1302"/>
  <c r="F1301"/>
  <c r="F1300"/>
  <c r="E1313"/>
  <c r="B6" i="10" s="1"/>
  <c r="D6" s="1"/>
  <c r="E6" s="1"/>
  <c r="E1312" i="8"/>
  <c r="B7" i="10" s="1"/>
  <c r="D7" s="1"/>
  <c r="E7" s="1"/>
  <c r="E1311" i="8"/>
  <c r="B8" i="10" s="1"/>
  <c r="D8" s="1"/>
  <c r="E8" s="1"/>
  <c r="E1310" i="8"/>
  <c r="B9" i="10" s="1"/>
  <c r="D9" s="1"/>
  <c r="E9" s="1"/>
  <c r="E1309" i="8"/>
  <c r="B10" i="10" s="1"/>
  <c r="D10" s="1"/>
  <c r="E10" s="1"/>
  <c r="E1308" i="8"/>
  <c r="B4" i="10" s="1"/>
  <c r="D4" s="1"/>
  <c r="E4" s="1"/>
  <c r="E1307" i="8"/>
  <c r="B11" i="10" s="1"/>
  <c r="D11" s="1"/>
  <c r="E11" s="1"/>
  <c r="E1306" i="8"/>
  <c r="B12" i="10" s="1"/>
  <c r="D12" s="1"/>
  <c r="E12" s="1"/>
  <c r="E1305" i="8"/>
  <c r="B13" i="10" s="1"/>
  <c r="D13" s="1"/>
  <c r="E13" s="1"/>
  <c r="E1304" i="8"/>
  <c r="B14" i="10" s="1"/>
  <c r="D14" s="1"/>
  <c r="E14" s="1"/>
  <c r="E1303" i="8"/>
  <c r="B16" i="10" s="1"/>
  <c r="D16" s="1"/>
  <c r="E16" s="1"/>
  <c r="E1302" i="8"/>
  <c r="B15" i="10" s="1"/>
  <c r="D15" s="1"/>
  <c r="E15" s="1"/>
  <c r="E1301" i="8"/>
  <c r="B17" i="10" s="1"/>
  <c r="D17" s="1"/>
  <c r="E17" s="1"/>
  <c r="E1300" i="8"/>
  <c r="B3" i="10" s="1"/>
  <c r="E149" i="8"/>
  <c r="F149"/>
  <c r="F93" i="9" s="1"/>
  <c r="E150" i="8"/>
  <c r="F150"/>
  <c r="F148"/>
  <c r="F70" i="9" s="1"/>
  <c r="E148" i="8"/>
  <c r="E140"/>
  <c r="F140"/>
  <c r="F91" i="9" s="1"/>
  <c r="E141" i="8"/>
  <c r="F141"/>
  <c r="F103" i="9" s="1"/>
  <c r="E142" i="8"/>
  <c r="F142"/>
  <c r="F139"/>
  <c r="F68" i="9" s="1"/>
  <c r="E139" i="8"/>
  <c r="E131"/>
  <c r="F131"/>
  <c r="F90" i="9" s="1"/>
  <c r="E132" i="8"/>
  <c r="F132"/>
  <c r="F122" i="9" s="1"/>
  <c r="E133" i="8"/>
  <c r="F133"/>
  <c r="F130"/>
  <c r="F67" i="9" s="1"/>
  <c r="E130" i="8"/>
  <c r="E128"/>
  <c r="F128"/>
  <c r="F89" i="9" s="1"/>
  <c r="E129" i="8"/>
  <c r="F129"/>
  <c r="F127"/>
  <c r="F66" i="9" s="1"/>
  <c r="E127" i="8"/>
  <c r="E119"/>
  <c r="F119"/>
  <c r="F87" i="9" s="1"/>
  <c r="E120" i="8"/>
  <c r="F120"/>
  <c r="E121"/>
  <c r="F121"/>
  <c r="F133" i="9" s="1"/>
  <c r="F118" i="8"/>
  <c r="F64" i="9" s="1"/>
  <c r="E118" i="8"/>
  <c r="E111"/>
  <c r="F111"/>
  <c r="F85" i="9" s="1"/>
  <c r="E112" i="8"/>
  <c r="F112"/>
  <c r="F110"/>
  <c r="F62" i="9" s="1"/>
  <c r="E110" i="8"/>
  <c r="E98"/>
  <c r="F98"/>
  <c r="F82" i="9" s="1"/>
  <c r="E99" i="8"/>
  <c r="F99"/>
  <c r="F97"/>
  <c r="F59" i="9" s="1"/>
  <c r="E97" i="8"/>
  <c r="E92"/>
  <c r="F92"/>
  <c r="F81" i="9" s="1"/>
  <c r="E93" i="8"/>
  <c r="F93"/>
  <c r="F100" i="9" s="1"/>
  <c r="E94" i="8"/>
  <c r="F94"/>
  <c r="F119" i="9" s="1"/>
  <c r="E95" i="8"/>
  <c r="F95"/>
  <c r="F127" i="9" s="1"/>
  <c r="E96" i="8"/>
  <c r="F96"/>
  <c r="F91"/>
  <c r="F58" i="9" s="1"/>
  <c r="E91" i="8"/>
  <c r="E86"/>
  <c r="F86"/>
  <c r="F80" i="9" s="1"/>
  <c r="E87" i="8"/>
  <c r="F87"/>
  <c r="F110" i="9" s="1"/>
  <c r="E88" i="8"/>
  <c r="F88"/>
  <c r="F126" i="9" s="1"/>
  <c r="E89" i="8"/>
  <c r="F89"/>
  <c r="E90"/>
  <c r="F90"/>
  <c r="F132" i="9" s="1"/>
  <c r="F85" i="8"/>
  <c r="F57" i="9" s="1"/>
  <c r="E85" i="8"/>
  <c r="E82"/>
  <c r="F82"/>
  <c r="F79" i="9" s="1"/>
  <c r="E83" i="8"/>
  <c r="F83"/>
  <c r="E84"/>
  <c r="F84"/>
  <c r="F81"/>
  <c r="F56" i="9" s="1"/>
  <c r="E81" i="8"/>
  <c r="E78"/>
  <c r="F78"/>
  <c r="F78" i="9" s="1"/>
  <c r="E79" i="8"/>
  <c r="F79"/>
  <c r="F109" i="9" s="1"/>
  <c r="E80" i="8"/>
  <c r="F80"/>
  <c r="F77"/>
  <c r="F55" i="9" s="1"/>
  <c r="E77" i="8"/>
  <c r="E75"/>
  <c r="F75"/>
  <c r="E76"/>
  <c r="F76"/>
  <c r="F74"/>
  <c r="E74"/>
  <c r="E63"/>
  <c r="F63"/>
  <c r="F74" i="9" s="1"/>
  <c r="E64" i="8"/>
  <c r="F64"/>
  <c r="F107" i="9" s="1"/>
  <c r="E65" i="8"/>
  <c r="F65"/>
  <c r="F62"/>
  <c r="F52" i="9" s="1"/>
  <c r="E62" i="8"/>
  <c r="E59"/>
  <c r="F59"/>
  <c r="F73" i="9" s="1"/>
  <c r="E60" i="8"/>
  <c r="F60"/>
  <c r="F106" i="9" s="1"/>
  <c r="E61" i="8"/>
  <c r="F61"/>
  <c r="F58"/>
  <c r="F51" i="9" s="1"/>
  <c r="E58" i="8"/>
  <c r="E50"/>
  <c r="F50"/>
  <c r="F24" i="9" s="1"/>
  <c r="E51" i="8"/>
  <c r="F51"/>
  <c r="E52"/>
  <c r="F52"/>
  <c r="F47" i="9" s="1"/>
  <c r="F49" i="8"/>
  <c r="F12" i="9" s="1"/>
  <c r="E49" i="8"/>
  <c r="E47"/>
  <c r="F47"/>
  <c r="F23" i="9" s="1"/>
  <c r="E48" i="8"/>
  <c r="F48"/>
  <c r="F46" i="9" s="1"/>
  <c r="F46" i="8"/>
  <c r="E46"/>
  <c r="E43"/>
  <c r="F43"/>
  <c r="E44"/>
  <c r="F44"/>
  <c r="E45"/>
  <c r="F45"/>
  <c r="F45" i="9" s="1"/>
  <c r="F42" i="8"/>
  <c r="F11" i="9" s="1"/>
  <c r="E42" i="8"/>
  <c r="E39"/>
  <c r="F39"/>
  <c r="F22" i="9" s="1"/>
  <c r="E40" i="8"/>
  <c r="F40"/>
  <c r="E41"/>
  <c r="F41"/>
  <c r="F38"/>
  <c r="F10" i="9" s="1"/>
  <c r="E38" i="8"/>
  <c r="E35"/>
  <c r="F35"/>
  <c r="F21" i="9" s="1"/>
  <c r="E36" i="8"/>
  <c r="F36"/>
  <c r="F28" i="9" s="1"/>
  <c r="E37" i="8"/>
  <c r="F37"/>
  <c r="F34"/>
  <c r="F9" i="9" s="1"/>
  <c r="E34" i="8"/>
  <c r="E31"/>
  <c r="F31"/>
  <c r="F20" i="9" s="1"/>
  <c r="E32" i="8"/>
  <c r="F32"/>
  <c r="E33"/>
  <c r="F33"/>
  <c r="F44" i="9" s="1"/>
  <c r="F30" i="8"/>
  <c r="F8" i="9" s="1"/>
  <c r="E30" i="8"/>
  <c r="E27"/>
  <c r="F27"/>
  <c r="F19" i="9" s="1"/>
  <c r="E28" i="8"/>
  <c r="F28"/>
  <c r="F37" i="9" s="1"/>
  <c r="E29" i="8"/>
  <c r="F29"/>
  <c r="F26"/>
  <c r="F7" i="9" s="1"/>
  <c r="E26" i="8"/>
  <c r="E18"/>
  <c r="F18"/>
  <c r="F17" i="9" s="1"/>
  <c r="E19" i="8"/>
  <c r="F19"/>
  <c r="E20"/>
  <c r="F20"/>
  <c r="F43" i="9" s="1"/>
  <c r="F17" i="8"/>
  <c r="F5" i="9" s="1"/>
  <c r="E17" i="8"/>
  <c r="E211"/>
  <c r="F211"/>
  <c r="E212"/>
  <c r="F212"/>
  <c r="E213"/>
  <c r="F213"/>
  <c r="E214"/>
  <c r="F214"/>
  <c r="F210"/>
  <c r="E210"/>
  <c r="E203"/>
  <c r="F203"/>
  <c r="E204"/>
  <c r="F204"/>
  <c r="E205"/>
  <c r="F205"/>
  <c r="E206"/>
  <c r="F206"/>
  <c r="F202"/>
  <c r="E202"/>
  <c r="E187"/>
  <c r="F187"/>
  <c r="E188"/>
  <c r="F188"/>
  <c r="E189"/>
  <c r="F189"/>
  <c r="E190"/>
  <c r="F190"/>
  <c r="F186"/>
  <c r="E186"/>
  <c r="E162"/>
  <c r="F162"/>
  <c r="F169" i="9" s="1"/>
  <c r="E163" i="8"/>
  <c r="F163"/>
  <c r="F210" i="9" s="1"/>
  <c r="E164" i="8"/>
  <c r="F164"/>
  <c r="F227" i="9" s="1"/>
  <c r="E165" i="8"/>
  <c r="F165"/>
  <c r="F161"/>
  <c r="F142" i="9" s="1"/>
  <c r="E161" i="8"/>
  <c r="E144"/>
  <c r="E145"/>
  <c r="E146"/>
  <c r="E147"/>
  <c r="F144"/>
  <c r="F92" i="9" s="1"/>
  <c r="F145" i="8"/>
  <c r="F104" i="9" s="1"/>
  <c r="F146" i="8"/>
  <c r="F124" i="9" s="1"/>
  <c r="F147" i="8"/>
  <c r="F143"/>
  <c r="F69" i="9" s="1"/>
  <c r="E143" i="8"/>
  <c r="E135"/>
  <c r="F135"/>
  <c r="F123" i="9" s="1"/>
  <c r="E136" i="8"/>
  <c r="F136"/>
  <c r="E137"/>
  <c r="F137"/>
  <c r="F134" i="9" s="1"/>
  <c r="E138" i="8"/>
  <c r="F138"/>
  <c r="F134"/>
  <c r="E134"/>
  <c r="E123"/>
  <c r="F123"/>
  <c r="F88" i="9" s="1"/>
  <c r="E124" i="8"/>
  <c r="F124"/>
  <c r="F102" i="9" s="1"/>
  <c r="E125" i="8"/>
  <c r="F125"/>
  <c r="F118" i="9" s="1"/>
  <c r="E126" i="8"/>
  <c r="F126"/>
  <c r="F122"/>
  <c r="F65" i="9" s="1"/>
  <c r="E122" i="8"/>
  <c r="F114"/>
  <c r="F86" i="9" s="1"/>
  <c r="F115" i="8"/>
  <c r="F101" i="9" s="1"/>
  <c r="F116" i="8"/>
  <c r="F121" i="9" s="1"/>
  <c r="F117" i="8"/>
  <c r="F113"/>
  <c r="F63" i="9" s="1"/>
  <c r="E114" i="8"/>
  <c r="E115"/>
  <c r="E116"/>
  <c r="E117"/>
  <c r="E113"/>
  <c r="F106"/>
  <c r="F84" i="9" s="1"/>
  <c r="F107" i="8"/>
  <c r="F111" i="9" s="1"/>
  <c r="F108" i="8"/>
  <c r="F109"/>
  <c r="F105"/>
  <c r="F61" i="9" s="1"/>
  <c r="E106" i="8"/>
  <c r="E107"/>
  <c r="E108"/>
  <c r="E109"/>
  <c r="E105"/>
  <c r="F104"/>
  <c r="F103"/>
  <c r="F102"/>
  <c r="F120" i="9" s="1"/>
  <c r="F101" i="8"/>
  <c r="F83" i="9" s="1"/>
  <c r="F100" i="8"/>
  <c r="F60" i="9" s="1"/>
  <c r="E104" i="8"/>
  <c r="E103"/>
  <c r="E102"/>
  <c r="E101"/>
  <c r="E100"/>
  <c r="F73"/>
  <c r="F131" i="9" s="1"/>
  <c r="F72" i="8"/>
  <c r="F71"/>
  <c r="F108" i="9" s="1"/>
  <c r="F70" i="8"/>
  <c r="F76" i="9" s="1"/>
  <c r="F69" i="8"/>
  <c r="F54" i="9" s="1"/>
  <c r="E73" i="8"/>
  <c r="E72"/>
  <c r="E71"/>
  <c r="E70"/>
  <c r="E69"/>
  <c r="F57"/>
  <c r="F56"/>
  <c r="F117" i="9" s="1"/>
  <c r="F55" i="8"/>
  <c r="F98" i="9" s="1"/>
  <c r="F54" i="8"/>
  <c r="F72" i="9" s="1"/>
  <c r="F53" i="8"/>
  <c r="F50" i="9" s="1"/>
  <c r="E57" i="8"/>
  <c r="E56"/>
  <c r="E55"/>
  <c r="E54"/>
  <c r="E53"/>
  <c r="E25"/>
  <c r="E24"/>
  <c r="E23"/>
  <c r="F25"/>
  <c r="F24"/>
  <c r="F23"/>
  <c r="F36" i="9" s="1"/>
  <c r="F22" i="8"/>
  <c r="F18" i="9" s="1"/>
  <c r="F21" i="8"/>
  <c r="F6" i="9" s="1"/>
  <c r="E22" i="8"/>
  <c r="E21"/>
  <c r="E2"/>
  <c r="E3"/>
  <c r="E4"/>
  <c r="E5"/>
  <c r="E6"/>
  <c r="F2"/>
  <c r="F2" i="9" s="1"/>
  <c r="F3" i="8"/>
  <c r="F14" i="9" s="1"/>
  <c r="F4" i="8"/>
  <c r="F31" i="9" s="1"/>
  <c r="F5" i="8"/>
  <c r="F39" i="9" s="1"/>
  <c r="F6" i="8"/>
  <c r="F41" i="9" s="1"/>
  <c r="F7" i="8"/>
  <c r="F3" i="9" s="1"/>
  <c r="F10" i="8"/>
  <c r="F35" i="9" s="1"/>
  <c r="F11" i="8"/>
  <c r="F9"/>
  <c r="F32" i="9" s="1"/>
  <c r="F8" i="8"/>
  <c r="F15" i="9" s="1"/>
  <c r="E11" i="8"/>
  <c r="E10"/>
  <c r="E9"/>
  <c r="E8"/>
  <c r="E7"/>
  <c r="E4" i="7"/>
  <c r="E5"/>
  <c r="E6"/>
  <c r="E7"/>
  <c r="E8"/>
  <c r="E10"/>
  <c r="E11"/>
  <c r="E12"/>
  <c r="E14"/>
  <c r="E15"/>
  <c r="E16"/>
  <c r="E17"/>
  <c r="E18"/>
  <c r="E19"/>
  <c r="E20"/>
  <c r="E21"/>
  <c r="E22"/>
  <c r="E23"/>
  <c r="E24"/>
  <c r="E25"/>
  <c r="E26"/>
  <c r="E27"/>
  <c r="E28"/>
  <c r="E3"/>
  <c r="D21"/>
  <c r="D23"/>
  <c r="D25"/>
  <c r="D27"/>
  <c r="D19"/>
  <c r="D17"/>
  <c r="D15"/>
  <c r="D13"/>
  <c r="D11"/>
  <c r="D9"/>
  <c r="D7"/>
  <c r="D5"/>
  <c r="D3"/>
  <c r="F116" i="9" l="1"/>
  <c r="F94"/>
  <c r="F77"/>
  <c r="F99"/>
  <c r="D3" i="10"/>
  <c r="B5"/>
  <c r="E1314" i="8"/>
  <c r="E1315" s="1"/>
  <c r="F1314"/>
  <c r="K1300" s="1"/>
  <c r="D31" i="7"/>
  <c r="E3" i="10" l="1"/>
  <c r="D5"/>
  <c r="K1312" i="8"/>
  <c r="K1303"/>
  <c r="K1308"/>
  <c r="K1307"/>
  <c r="K1306"/>
  <c r="K1310"/>
  <c r="K1305"/>
  <c r="K1313"/>
  <c r="K1301"/>
  <c r="K1309"/>
  <c r="K1304"/>
  <c r="K1311"/>
  <c r="K1302"/>
  <c r="O4" i="3" l="1"/>
  <c r="O5"/>
  <c r="O6"/>
  <c r="O7"/>
  <c r="O8"/>
  <c r="O9"/>
  <c r="O10"/>
  <c r="O11"/>
  <c r="O12"/>
  <c r="O13"/>
  <c r="O14"/>
  <c r="O15"/>
  <c r="O16"/>
  <c r="O17"/>
  <c r="O18"/>
  <c r="O19"/>
  <c r="O20"/>
  <c r="O21"/>
  <c r="O22"/>
  <c r="O23"/>
  <c r="O24"/>
  <c r="O25"/>
  <c r="O26"/>
  <c r="O27"/>
  <c r="O28"/>
  <c r="O29"/>
  <c r="O30"/>
  <c r="O31"/>
  <c r="O32"/>
  <c r="O33"/>
  <c r="O34"/>
  <c r="O35"/>
  <c r="O36"/>
  <c r="O37"/>
  <c r="O38"/>
  <c r="O39"/>
  <c r="O40"/>
  <c r="O41"/>
  <c r="O42"/>
  <c r="O43"/>
  <c r="O44"/>
  <c r="O45"/>
  <c r="O3"/>
  <c r="L34"/>
  <c r="D60" i="6" l="1"/>
  <c r="F60"/>
  <c r="H60"/>
  <c r="J60"/>
  <c r="L60"/>
  <c r="N60"/>
  <c r="P60"/>
  <c r="R60"/>
  <c r="T60"/>
  <c r="V60"/>
  <c r="X60"/>
  <c r="Z60"/>
  <c r="AB60"/>
  <c r="AD60"/>
  <c r="D61"/>
  <c r="F61"/>
  <c r="H61"/>
  <c r="J61"/>
  <c r="L61"/>
  <c r="N61"/>
  <c r="P61"/>
  <c r="R61"/>
  <c r="T61"/>
  <c r="V61"/>
  <c r="X61"/>
  <c r="Z61"/>
  <c r="AB61"/>
  <c r="AD61"/>
  <c r="D63"/>
  <c r="F63"/>
  <c r="R63"/>
  <c r="T63"/>
  <c r="V63"/>
  <c r="B49"/>
  <c r="D49" s="1"/>
  <c r="D37"/>
  <c r="F37"/>
  <c r="H37"/>
  <c r="J37"/>
  <c r="L37"/>
  <c r="N37"/>
  <c r="P37"/>
  <c r="R37"/>
  <c r="T37"/>
  <c r="V37"/>
  <c r="X37"/>
  <c r="Z37"/>
  <c r="AB37"/>
  <c r="AD37"/>
  <c r="D38"/>
  <c r="F38"/>
  <c r="H38"/>
  <c r="J38"/>
  <c r="L38"/>
  <c r="N38"/>
  <c r="P38"/>
  <c r="R38"/>
  <c r="T38"/>
  <c r="V38"/>
  <c r="X38"/>
  <c r="Z38"/>
  <c r="AB38"/>
  <c r="AD38"/>
  <c r="D39"/>
  <c r="F39"/>
  <c r="H39"/>
  <c r="J39"/>
  <c r="L39"/>
  <c r="N39"/>
  <c r="P39"/>
  <c r="R39"/>
  <c r="T39"/>
  <c r="V39"/>
  <c r="X39"/>
  <c r="Z39"/>
  <c r="AB39"/>
  <c r="AD39"/>
  <c r="D40"/>
  <c r="F40"/>
  <c r="H40"/>
  <c r="J40"/>
  <c r="L40"/>
  <c r="N40"/>
  <c r="P40"/>
  <c r="R40"/>
  <c r="T40"/>
  <c r="V40"/>
  <c r="X40"/>
  <c r="Z40"/>
  <c r="AB40"/>
  <c r="AD40"/>
  <c r="D41"/>
  <c r="F41"/>
  <c r="H41"/>
  <c r="J41"/>
  <c r="L41"/>
  <c r="N41"/>
  <c r="P41"/>
  <c r="R41"/>
  <c r="T41"/>
  <c r="V41"/>
  <c r="X41"/>
  <c r="Z41"/>
  <c r="AB41"/>
  <c r="AD41"/>
  <c r="D42"/>
  <c r="F42"/>
  <c r="H42"/>
  <c r="J42"/>
  <c r="L42"/>
  <c r="N42"/>
  <c r="P42"/>
  <c r="R42"/>
  <c r="T42"/>
  <c r="V42"/>
  <c r="X42"/>
  <c r="Z42"/>
  <c r="AB42"/>
  <c r="AD42"/>
  <c r="D43"/>
  <c r="F43"/>
  <c r="H43"/>
  <c r="J43"/>
  <c r="L43"/>
  <c r="N43"/>
  <c r="P43"/>
  <c r="R43"/>
  <c r="T43"/>
  <c r="V43"/>
  <c r="X43"/>
  <c r="Z43"/>
  <c r="AB43"/>
  <c r="AD43"/>
  <c r="D44"/>
  <c r="F44"/>
  <c r="H44"/>
  <c r="J44"/>
  <c r="L44"/>
  <c r="N44"/>
  <c r="P44"/>
  <c r="R44"/>
  <c r="T44"/>
  <c r="V44"/>
  <c r="X44"/>
  <c r="Z44"/>
  <c r="AB44"/>
  <c r="AD44"/>
  <c r="D45"/>
  <c r="F45"/>
  <c r="H45"/>
  <c r="J45"/>
  <c r="L45"/>
  <c r="N45"/>
  <c r="P45"/>
  <c r="R45"/>
  <c r="T45"/>
  <c r="V45"/>
  <c r="X45"/>
  <c r="Z45"/>
  <c r="AB45"/>
  <c r="AD45"/>
  <c r="D46"/>
  <c r="F46"/>
  <c r="H46"/>
  <c r="J46"/>
  <c r="L46"/>
  <c r="N46"/>
  <c r="P46"/>
  <c r="R46"/>
  <c r="T46"/>
  <c r="V46"/>
  <c r="X46"/>
  <c r="Z46"/>
  <c r="AB46"/>
  <c r="AD46"/>
  <c r="D47"/>
  <c r="F47"/>
  <c r="H47"/>
  <c r="H63" s="1"/>
  <c r="J47"/>
  <c r="J63" s="1"/>
  <c r="L47"/>
  <c r="L63" s="1"/>
  <c r="N47"/>
  <c r="N63" s="1"/>
  <c r="P47"/>
  <c r="P63" s="1"/>
  <c r="R47"/>
  <c r="T47"/>
  <c r="V47"/>
  <c r="X47"/>
  <c r="X63" s="1"/>
  <c r="Z47"/>
  <c r="Z63" s="1"/>
  <c r="AB47"/>
  <c r="AB63" s="1"/>
  <c r="AD47"/>
  <c r="AD63" s="1"/>
  <c r="D48"/>
  <c r="F48"/>
  <c r="H48"/>
  <c r="J48"/>
  <c r="L48"/>
  <c r="N48"/>
  <c r="P48"/>
  <c r="R48"/>
  <c r="T48"/>
  <c r="V48"/>
  <c r="X48"/>
  <c r="Z48"/>
  <c r="AB48"/>
  <c r="AD48"/>
  <c r="AD36"/>
  <c r="AB36"/>
  <c r="Z36"/>
  <c r="X36"/>
  <c r="V36"/>
  <c r="T36"/>
  <c r="R36"/>
  <c r="P36"/>
  <c r="N36"/>
  <c r="L36"/>
  <c r="J36"/>
  <c r="H36"/>
  <c r="F36"/>
  <c r="D36"/>
  <c r="J34"/>
  <c r="J29"/>
  <c r="J31" s="1"/>
  <c r="D29"/>
  <c r="D31" s="1"/>
  <c r="B29"/>
  <c r="B31" s="1"/>
  <c r="V29"/>
  <c r="V31" s="1"/>
  <c r="T29"/>
  <c r="T31" s="1"/>
  <c r="R29"/>
  <c r="R31" s="1"/>
  <c r="P29"/>
  <c r="P31" s="1"/>
  <c r="N29"/>
  <c r="N31" s="1"/>
  <c r="L29"/>
  <c r="L31" s="1"/>
  <c r="H29"/>
  <c r="H31" s="1"/>
  <c r="F29"/>
  <c r="F31" s="1"/>
  <c r="Y24"/>
  <c r="Y23"/>
  <c r="X23"/>
  <c r="Y22"/>
  <c r="Y21"/>
  <c r="X21"/>
  <c r="Y20"/>
  <c r="Y19"/>
  <c r="X19"/>
  <c r="Y4"/>
  <c r="Y5"/>
  <c r="Y6"/>
  <c r="Y7"/>
  <c r="Y8"/>
  <c r="Y9"/>
  <c r="E9" i="7" s="1"/>
  <c r="Y10" i="6"/>
  <c r="Y11"/>
  <c r="Y12"/>
  <c r="Y13"/>
  <c r="E13" i="7" s="1"/>
  <c r="Y14" i="6"/>
  <c r="Y15"/>
  <c r="Y16"/>
  <c r="Y17"/>
  <c r="Y18"/>
  <c r="Y27"/>
  <c r="Y28"/>
  <c r="Y3"/>
  <c r="X5"/>
  <c r="X7"/>
  <c r="X9"/>
  <c r="X11"/>
  <c r="X13"/>
  <c r="X15"/>
  <c r="X17"/>
  <c r="X27"/>
  <c r="X3"/>
  <c r="X2"/>
  <c r="D1407" i="1"/>
  <c r="D1406"/>
  <c r="D1405"/>
  <c r="D1404"/>
  <c r="H1402" s="1"/>
  <c r="C29" i="7" s="1"/>
  <c r="G29" s="1"/>
  <c r="D1403" i="1"/>
  <c r="H1404" s="1"/>
  <c r="C30" i="7" s="1"/>
  <c r="G30" s="1"/>
  <c r="D1402" i="1"/>
  <c r="D1401"/>
  <c r="D1400"/>
  <c r="D1399"/>
  <c r="D1398"/>
  <c r="D1397"/>
  <c r="D1396"/>
  <c r="H1397" s="1"/>
  <c r="C28" i="7" s="1"/>
  <c r="G28" s="1"/>
  <c r="D1395" i="1"/>
  <c r="D1394"/>
  <c r="D1393"/>
  <c r="D1392"/>
  <c r="D1391"/>
  <c r="D1390"/>
  <c r="D1389"/>
  <c r="H1390" s="1"/>
  <c r="C26" i="7" s="1"/>
  <c r="G26" s="1"/>
  <c r="D1388" i="1"/>
  <c r="D1387"/>
  <c r="D1386"/>
  <c r="D1385"/>
  <c r="D1384"/>
  <c r="D1383"/>
  <c r="H1381" s="1"/>
  <c r="C23" i="7" s="1"/>
  <c r="G23" s="1"/>
  <c r="D1382" i="1"/>
  <c r="H1383" s="1"/>
  <c r="C24" i="7" s="1"/>
  <c r="G24" s="1"/>
  <c r="D1381" i="1"/>
  <c r="D1380"/>
  <c r="D1379"/>
  <c r="D1378"/>
  <c r="D1377"/>
  <c r="D1376"/>
  <c r="H1374" s="1"/>
  <c r="C21" i="7" s="1"/>
  <c r="G21" s="1"/>
  <c r="D1375" i="1"/>
  <c r="H1376" s="1"/>
  <c r="C22" i="7" s="1"/>
  <c r="G22" s="1"/>
  <c r="D1374" i="1"/>
  <c r="D1373"/>
  <c r="D1372"/>
  <c r="D1371"/>
  <c r="D1370"/>
  <c r="D1369"/>
  <c r="D1368"/>
  <c r="H1369" s="1"/>
  <c r="C20" i="7" s="1"/>
  <c r="G20" s="1"/>
  <c r="D1367" i="1"/>
  <c r="D1366"/>
  <c r="D1365"/>
  <c r="D1364"/>
  <c r="D1363"/>
  <c r="D1362"/>
  <c r="H1360" s="1"/>
  <c r="C17" i="7" s="1"/>
  <c r="G17" s="1"/>
  <c r="D1361" i="1"/>
  <c r="H1362" s="1"/>
  <c r="C18" i="7" s="1"/>
  <c r="G18" s="1"/>
  <c r="D1360" i="1"/>
  <c r="D1359"/>
  <c r="D1358"/>
  <c r="D1357"/>
  <c r="D1356"/>
  <c r="D1355"/>
  <c r="D1354"/>
  <c r="H1355" s="1"/>
  <c r="C16" i="7" s="1"/>
  <c r="G16" s="1"/>
  <c r="D1353" i="1"/>
  <c r="D1352"/>
  <c r="D1351"/>
  <c r="D1350"/>
  <c r="D1349"/>
  <c r="D1348"/>
  <c r="H1346" s="1"/>
  <c r="C13" i="7" s="1"/>
  <c r="D1347" i="1"/>
  <c r="H1348" s="1"/>
  <c r="C14" i="7" s="1"/>
  <c r="G14" s="1"/>
  <c r="D1346" i="1"/>
  <c r="D1345"/>
  <c r="D1344"/>
  <c r="D1343"/>
  <c r="D1342"/>
  <c r="D1341"/>
  <c r="D1340"/>
  <c r="H1341" s="1"/>
  <c r="C12" i="7" s="1"/>
  <c r="G12" s="1"/>
  <c r="D1339" i="1"/>
  <c r="D1338"/>
  <c r="D1337"/>
  <c r="D1336"/>
  <c r="D1335"/>
  <c r="D1334"/>
  <c r="D1333"/>
  <c r="H1334" s="1"/>
  <c r="C10" i="7" s="1"/>
  <c r="G10" s="1"/>
  <c r="D1332" i="1"/>
  <c r="D1331"/>
  <c r="D1330"/>
  <c r="D1329"/>
  <c r="D1328"/>
  <c r="D1324"/>
  <c r="D1325"/>
  <c r="D1326"/>
  <c r="H1327" s="1"/>
  <c r="C8" i="7" s="1"/>
  <c r="G8" s="1"/>
  <c r="D1327" i="1"/>
  <c r="H1325" s="1"/>
  <c r="C7" i="7" s="1"/>
  <c r="G7" s="1"/>
  <c r="D1323" i="1"/>
  <c r="D1322"/>
  <c r="D1321"/>
  <c r="D1320"/>
  <c r="H1318" s="1"/>
  <c r="C5" i="7" s="1"/>
  <c r="G5" s="1"/>
  <c r="D1319" i="1"/>
  <c r="H1320" s="1"/>
  <c r="C6" i="7" s="1"/>
  <c r="G6" s="1"/>
  <c r="D1318" i="1"/>
  <c r="D1317"/>
  <c r="D1316"/>
  <c r="D1315"/>
  <c r="D1314"/>
  <c r="D1313"/>
  <c r="H1311" s="1"/>
  <c r="C3" i="7" s="1"/>
  <c r="G3" s="1"/>
  <c r="D1312" i="1"/>
  <c r="H1313" s="1"/>
  <c r="C4" i="7" s="1"/>
  <c r="G4" s="1"/>
  <c r="D1311" i="1"/>
  <c r="D1310"/>
  <c r="G13" i="7" l="1"/>
  <c r="F62" i="6"/>
  <c r="AD62"/>
  <c r="V62"/>
  <c r="N62"/>
  <c r="AB62"/>
  <c r="J62"/>
  <c r="X62"/>
  <c r="H62"/>
  <c r="L62"/>
  <c r="Z62"/>
  <c r="R62"/>
  <c r="P62"/>
  <c r="T62"/>
  <c r="D62"/>
  <c r="AB52"/>
  <c r="R52"/>
  <c r="D53"/>
  <c r="J52"/>
  <c r="Z52"/>
  <c r="F52"/>
  <c r="V52"/>
  <c r="T52"/>
  <c r="H52"/>
  <c r="X52"/>
  <c r="P52"/>
  <c r="L52"/>
  <c r="D52"/>
  <c r="AD52"/>
  <c r="T54"/>
  <c r="AD64"/>
  <c r="J59"/>
  <c r="R57"/>
  <c r="J55"/>
  <c r="V54"/>
  <c r="H59"/>
  <c r="AB56"/>
  <c r="H55"/>
  <c r="Z64"/>
  <c r="J64"/>
  <c r="V59"/>
  <c r="F59"/>
  <c r="R58"/>
  <c r="AD57"/>
  <c r="N57"/>
  <c r="Z56"/>
  <c r="J56"/>
  <c r="V55"/>
  <c r="F55"/>
  <c r="R54"/>
  <c r="AD53"/>
  <c r="N53"/>
  <c r="N52"/>
  <c r="X64"/>
  <c r="H64"/>
  <c r="T59"/>
  <c r="D59"/>
  <c r="P58"/>
  <c r="AB57"/>
  <c r="L57"/>
  <c r="X56"/>
  <c r="H56"/>
  <c r="T55"/>
  <c r="D55"/>
  <c r="P54"/>
  <c r="AB53"/>
  <c r="L53"/>
  <c r="AD56"/>
  <c r="T58"/>
  <c r="L56"/>
  <c r="D54"/>
  <c r="F64"/>
  <c r="R59"/>
  <c r="Z57"/>
  <c r="F56"/>
  <c r="N54"/>
  <c r="T64"/>
  <c r="D64"/>
  <c r="P59"/>
  <c r="AB58"/>
  <c r="L58"/>
  <c r="X57"/>
  <c r="H57"/>
  <c r="T56"/>
  <c r="D56"/>
  <c r="P55"/>
  <c r="AB54"/>
  <c r="L54"/>
  <c r="X53"/>
  <c r="H53"/>
  <c r="Z59"/>
  <c r="F58"/>
  <c r="Z55"/>
  <c r="F54"/>
  <c r="L64"/>
  <c r="X59"/>
  <c r="P57"/>
  <c r="P53"/>
  <c r="AD58"/>
  <c r="J57"/>
  <c r="R55"/>
  <c r="Z53"/>
  <c r="AD59"/>
  <c r="N59"/>
  <c r="Z58"/>
  <c r="J58"/>
  <c r="V57"/>
  <c r="F57"/>
  <c r="R56"/>
  <c r="AD55"/>
  <c r="N55"/>
  <c r="Z54"/>
  <c r="J54"/>
  <c r="V53"/>
  <c r="F53"/>
  <c r="N64"/>
  <c r="V58"/>
  <c r="N56"/>
  <c r="R53"/>
  <c r="AB64"/>
  <c r="D58"/>
  <c r="X55"/>
  <c r="V64"/>
  <c r="N58"/>
  <c r="V56"/>
  <c r="AD54"/>
  <c r="J53"/>
  <c r="R64"/>
  <c r="P64"/>
  <c r="AB59"/>
  <c r="L59"/>
  <c r="X58"/>
  <c r="H58"/>
  <c r="T57"/>
  <c r="D57"/>
  <c r="P56"/>
  <c r="AB55"/>
  <c r="L55"/>
  <c r="X54"/>
  <c r="H54"/>
  <c r="T53"/>
  <c r="X29"/>
  <c r="X31" s="1"/>
  <c r="G1338" i="1"/>
  <c r="B11" i="7" s="1"/>
  <c r="F11" s="1"/>
  <c r="G1394" i="1"/>
  <c r="B27" i="7" s="1"/>
  <c r="F27" s="1"/>
  <c r="G1355" i="1"/>
  <c r="G1341"/>
  <c r="G1397"/>
  <c r="G1362"/>
  <c r="G1345"/>
  <c r="B13" i="7" s="1"/>
  <c r="F13" s="1"/>
  <c r="G1352" i="1"/>
  <c r="B15" i="7" s="1"/>
  <c r="F15" s="1"/>
  <c r="G1369" i="1"/>
  <c r="G1376"/>
  <c r="G1401"/>
  <c r="B29" i="7" s="1"/>
  <c r="F29" s="1"/>
  <c r="K1387" i="1"/>
  <c r="H1353"/>
  <c r="C15" i="7" s="1"/>
  <c r="G15" s="1"/>
  <c r="G1331" i="1"/>
  <c r="B9" i="7" s="1"/>
  <c r="F9" s="1"/>
  <c r="K1380" i="1"/>
  <c r="K1331"/>
  <c r="K1310"/>
  <c r="G1334"/>
  <c r="G1348"/>
  <c r="G1366"/>
  <c r="B19" i="7" s="1"/>
  <c r="F19" s="1"/>
  <c r="G1390" i="1"/>
  <c r="G1404"/>
  <c r="K1317"/>
  <c r="K1324"/>
  <c r="K1359"/>
  <c r="H1395"/>
  <c r="C27" i="7" s="1"/>
  <c r="G27" s="1"/>
  <c r="K1373" i="1"/>
  <c r="K1352"/>
  <c r="G1387"/>
  <c r="B25" i="7" s="1"/>
  <c r="F25" s="1"/>
  <c r="G1359" i="1"/>
  <c r="B17" i="7" s="1"/>
  <c r="F17" s="1"/>
  <c r="H1332" i="1"/>
  <c r="C9" i="7" s="1"/>
  <c r="G9" s="1"/>
  <c r="H1367" i="1"/>
  <c r="C19" i="7" s="1"/>
  <c r="G19" s="1"/>
  <c r="G1310" i="1"/>
  <c r="B3" i="7" s="1"/>
  <c r="G1383" i="1"/>
  <c r="G1327"/>
  <c r="G1313"/>
  <c r="G1380"/>
  <c r="B23" i="7" s="1"/>
  <c r="F23" s="1"/>
  <c r="G1324" i="1"/>
  <c r="B7" i="7" s="1"/>
  <c r="F7" s="1"/>
  <c r="H1388" i="1"/>
  <c r="C25" i="7" s="1"/>
  <c r="G25" s="1"/>
  <c r="K1401" i="1"/>
  <c r="K1345"/>
  <c r="K1366"/>
  <c r="G1320"/>
  <c r="K1394"/>
  <c r="K1338"/>
  <c r="G1373"/>
  <c r="B21" i="7" s="1"/>
  <c r="F21" s="1"/>
  <c r="G1317" i="1"/>
  <c r="B5" i="7" s="1"/>
  <c r="F5" s="1"/>
  <c r="H1339" i="1"/>
  <c r="C11" i="7" s="1"/>
  <c r="G11" s="1"/>
  <c r="M27" l="1"/>
  <c r="I5"/>
  <c r="L5"/>
  <c r="M5"/>
  <c r="K5"/>
  <c r="I13"/>
  <c r="L13"/>
  <c r="K13"/>
  <c r="M13"/>
  <c r="L7"/>
  <c r="I7"/>
  <c r="M7"/>
  <c r="K7"/>
  <c r="I9"/>
  <c r="M9"/>
  <c r="K9"/>
  <c r="L9"/>
  <c r="L23"/>
  <c r="I23"/>
  <c r="K23"/>
  <c r="M23"/>
  <c r="I25"/>
  <c r="M25"/>
  <c r="L25"/>
  <c r="K25"/>
  <c r="B31"/>
  <c r="F3"/>
  <c r="I15"/>
  <c r="L15"/>
  <c r="K15"/>
  <c r="M15"/>
  <c r="I21"/>
  <c r="L21"/>
  <c r="M21"/>
  <c r="K21"/>
  <c r="M17"/>
  <c r="I17"/>
  <c r="K17"/>
  <c r="L17"/>
  <c r="I19"/>
  <c r="L19"/>
  <c r="M19"/>
  <c r="K19"/>
  <c r="I29"/>
  <c r="M29"/>
  <c r="K29"/>
  <c r="L29"/>
  <c r="I27"/>
  <c r="K27"/>
  <c r="L27"/>
  <c r="K11"/>
  <c r="I11"/>
  <c r="L11"/>
  <c r="M11"/>
  <c r="P1509" i="15"/>
  <c r="P1508"/>
  <c r="P1507"/>
  <c r="T1515"/>
  <c r="T1514"/>
  <c r="T1513"/>
  <c r="T1512"/>
  <c r="T1511"/>
  <c r="T1510"/>
  <c r="T1509"/>
  <c r="T1508"/>
  <c r="T1507"/>
  <c r="T1506"/>
  <c r="D1241"/>
  <c r="D1260"/>
  <c r="D1282"/>
  <c r="D1304"/>
  <c r="D1322"/>
  <c r="D1343"/>
  <c r="D1360"/>
  <c r="D1378"/>
  <c r="D1396"/>
  <c r="D1412"/>
  <c r="D1429"/>
  <c r="D1445"/>
  <c r="D1464"/>
  <c r="D1481"/>
  <c r="D1497"/>
  <c r="P1505"/>
  <c r="D59" s="1"/>
  <c r="D1496" l="1"/>
  <c r="D1477"/>
  <c r="D1461"/>
  <c r="D1444"/>
  <c r="D1428"/>
  <c r="D1410"/>
  <c r="D1392"/>
  <c r="D1376"/>
  <c r="D1359"/>
  <c r="D1341"/>
  <c r="D1321"/>
  <c r="D1298"/>
  <c r="D1280"/>
  <c r="D1258"/>
  <c r="D1240"/>
  <c r="D1218"/>
  <c r="D1196"/>
  <c r="D1177"/>
  <c r="D1156"/>
  <c r="D1137"/>
  <c r="D1116"/>
  <c r="D1093"/>
  <c r="D1073"/>
  <c r="D1049"/>
  <c r="D1027"/>
  <c r="D1003"/>
  <c r="D944"/>
  <c r="D858"/>
  <c r="D780"/>
  <c r="D678"/>
  <c r="D519"/>
  <c r="D288"/>
  <c r="D1220"/>
  <c r="D1201"/>
  <c r="D1180"/>
  <c r="D1157"/>
  <c r="D1138"/>
  <c r="D1117"/>
  <c r="D1098"/>
  <c r="D1076"/>
  <c r="D1052"/>
  <c r="D1029"/>
  <c r="D1006"/>
  <c r="D979"/>
  <c r="D901"/>
  <c r="D825"/>
  <c r="D731"/>
  <c r="D614"/>
  <c r="D401"/>
  <c r="D170"/>
  <c r="I3" i="7"/>
  <c r="L3"/>
  <c r="K3"/>
  <c r="F31"/>
  <c r="I31" s="1"/>
  <c r="M3"/>
  <c r="D976" i="15"/>
  <c r="D942"/>
  <c r="D899"/>
  <c r="D857"/>
  <c r="D816"/>
  <c r="D767"/>
  <c r="D663"/>
  <c r="D598"/>
  <c r="D500"/>
  <c r="D399"/>
  <c r="D266"/>
  <c r="D146"/>
  <c r="D1493"/>
  <c r="D1476"/>
  <c r="D1460"/>
  <c r="D1442"/>
  <c r="D1424"/>
  <c r="D1408"/>
  <c r="D1391"/>
  <c r="D1375"/>
  <c r="D1357"/>
  <c r="D1337"/>
  <c r="D1317"/>
  <c r="D1297"/>
  <c r="D1277"/>
  <c r="D1257"/>
  <c r="D1234"/>
  <c r="D1216"/>
  <c r="D1194"/>
  <c r="D1176"/>
  <c r="D1154"/>
  <c r="D1132"/>
  <c r="D1113"/>
  <c r="D1092"/>
  <c r="D1072"/>
  <c r="D1048"/>
  <c r="D1021"/>
  <c r="D1000"/>
  <c r="D974"/>
  <c r="D939"/>
  <c r="D897"/>
  <c r="D854"/>
  <c r="D814"/>
  <c r="D765"/>
  <c r="D717"/>
  <c r="D659"/>
  <c r="D594"/>
  <c r="D482"/>
  <c r="D379"/>
  <c r="D262"/>
  <c r="D119"/>
  <c r="D1492"/>
  <c r="D1474"/>
  <c r="D1456"/>
  <c r="D1440"/>
  <c r="D1423"/>
  <c r="D1407"/>
  <c r="D1389"/>
  <c r="D1370"/>
  <c r="D1354"/>
  <c r="D1336"/>
  <c r="D1316"/>
  <c r="D1296"/>
  <c r="D1273"/>
  <c r="D1253"/>
  <c r="D1233"/>
  <c r="D1213"/>
  <c r="D1193"/>
  <c r="D1170"/>
  <c r="D1152"/>
  <c r="D1130"/>
  <c r="D1112"/>
  <c r="D1090"/>
  <c r="D1066"/>
  <c r="D1044"/>
  <c r="D1020"/>
  <c r="D998"/>
  <c r="D970"/>
  <c r="D933"/>
  <c r="D890"/>
  <c r="D848"/>
  <c r="D811"/>
  <c r="D763"/>
  <c r="D713"/>
  <c r="D656"/>
  <c r="D579"/>
  <c r="D476"/>
  <c r="D355"/>
  <c r="D241"/>
  <c r="D118"/>
  <c r="D718"/>
  <c r="D1488"/>
  <c r="D1455"/>
  <c r="D1421"/>
  <c r="D1369"/>
  <c r="D1333"/>
  <c r="D1292"/>
  <c r="D1252"/>
  <c r="D1209"/>
  <c r="D1169"/>
  <c r="D1129"/>
  <c r="D1088"/>
  <c r="D1043"/>
  <c r="D993"/>
  <c r="D880"/>
  <c r="D804"/>
  <c r="D647"/>
  <c r="D218"/>
  <c r="D1504"/>
  <c r="D1471"/>
  <c r="D1434"/>
  <c r="D1401"/>
  <c r="D1348"/>
  <c r="D1309"/>
  <c r="D1269"/>
  <c r="D1228"/>
  <c r="D1188"/>
  <c r="D1145"/>
  <c r="D1105"/>
  <c r="D1062"/>
  <c r="D1016"/>
  <c r="D960"/>
  <c r="D878"/>
  <c r="D743"/>
  <c r="D217"/>
  <c r="D1503"/>
  <c r="D1450"/>
  <c r="D1400"/>
  <c r="D1346"/>
  <c r="D1285"/>
  <c r="D1245"/>
  <c r="D1205"/>
  <c r="D1184"/>
  <c r="D1164"/>
  <c r="D1144"/>
  <c r="D1124"/>
  <c r="D1104"/>
  <c r="D1081"/>
  <c r="D1058"/>
  <c r="D1035"/>
  <c r="D1012"/>
  <c r="D989"/>
  <c r="D958"/>
  <c r="D918"/>
  <c r="D875"/>
  <c r="D833"/>
  <c r="D790"/>
  <c r="D741"/>
  <c r="D691"/>
  <c r="D628"/>
  <c r="D538"/>
  <c r="D439"/>
  <c r="D311"/>
  <c r="D198"/>
  <c r="D4"/>
  <c r="D12"/>
  <c r="D20"/>
  <c r="D28"/>
  <c r="D36"/>
  <c r="D44"/>
  <c r="D52"/>
  <c r="D60"/>
  <c r="D68"/>
  <c r="D76"/>
  <c r="D84"/>
  <c r="D92"/>
  <c r="D100"/>
  <c r="D108"/>
  <c r="D116"/>
  <c r="D124"/>
  <c r="D132"/>
  <c r="D140"/>
  <c r="D148"/>
  <c r="D156"/>
  <c r="D164"/>
  <c r="D172"/>
  <c r="D180"/>
  <c r="D188"/>
  <c r="D196"/>
  <c r="D204"/>
  <c r="D212"/>
  <c r="D220"/>
  <c r="D228"/>
  <c r="D236"/>
  <c r="D244"/>
  <c r="D252"/>
  <c r="D260"/>
  <c r="D268"/>
  <c r="D276"/>
  <c r="D284"/>
  <c r="D292"/>
  <c r="D300"/>
  <c r="D308"/>
  <c r="D316"/>
  <c r="D324"/>
  <c r="D332"/>
  <c r="D340"/>
  <c r="D348"/>
  <c r="D356"/>
  <c r="D364"/>
  <c r="D372"/>
  <c r="D380"/>
  <c r="D388"/>
  <c r="D396"/>
  <c r="D404"/>
  <c r="D5"/>
  <c r="D13"/>
  <c r="D21"/>
  <c r="D29"/>
  <c r="D37"/>
  <c r="D45"/>
  <c r="D53"/>
  <c r="D61"/>
  <c r="D69"/>
  <c r="D77"/>
  <c r="D85"/>
  <c r="D93"/>
  <c r="D101"/>
  <c r="D109"/>
  <c r="D117"/>
  <c r="D125"/>
  <c r="D133"/>
  <c r="D141"/>
  <c r="D149"/>
  <c r="D157"/>
  <c r="D165"/>
  <c r="D173"/>
  <c r="D181"/>
  <c r="D189"/>
  <c r="D197"/>
  <c r="D205"/>
  <c r="D213"/>
  <c r="D221"/>
  <c r="D229"/>
  <c r="D237"/>
  <c r="D245"/>
  <c r="D253"/>
  <c r="D261"/>
  <c r="D269"/>
  <c r="D277"/>
  <c r="D285"/>
  <c r="D293"/>
  <c r="D301"/>
  <c r="D309"/>
  <c r="D317"/>
  <c r="D325"/>
  <c r="D333"/>
  <c r="D341"/>
  <c r="D349"/>
  <c r="D357"/>
  <c r="D365"/>
  <c r="D373"/>
  <c r="D381"/>
  <c r="D389"/>
  <c r="D397"/>
  <c r="D405"/>
  <c r="D413"/>
  <c r="D421"/>
  <c r="D429"/>
  <c r="D437"/>
  <c r="D445"/>
  <c r="D453"/>
  <c r="D461"/>
  <c r="D469"/>
  <c r="D477"/>
  <c r="D485"/>
  <c r="D493"/>
  <c r="D501"/>
  <c r="D509"/>
  <c r="D517"/>
  <c r="D525"/>
  <c r="D533"/>
  <c r="D541"/>
  <c r="D549"/>
  <c r="D557"/>
  <c r="D565"/>
  <c r="D573"/>
  <c r="D581"/>
  <c r="D589"/>
  <c r="D597"/>
  <c r="D605"/>
  <c r="D613"/>
  <c r="D621"/>
  <c r="D629"/>
  <c r="D637"/>
  <c r="D645"/>
  <c r="D653"/>
  <c r="D661"/>
  <c r="D669"/>
  <c r="D677"/>
  <c r="D2"/>
  <c r="D14"/>
  <c r="D24"/>
  <c r="D34"/>
  <c r="D46"/>
  <c r="D56"/>
  <c r="D66"/>
  <c r="D78"/>
  <c r="D88"/>
  <c r="D98"/>
  <c r="D110"/>
  <c r="D120"/>
  <c r="D130"/>
  <c r="D142"/>
  <c r="D152"/>
  <c r="D162"/>
  <c r="D174"/>
  <c r="D184"/>
  <c r="D194"/>
  <c r="D206"/>
  <c r="D216"/>
  <c r="D226"/>
  <c r="D238"/>
  <c r="D248"/>
  <c r="D258"/>
  <c r="D270"/>
  <c r="D280"/>
  <c r="D290"/>
  <c r="D302"/>
  <c r="D312"/>
  <c r="D322"/>
  <c r="D334"/>
  <c r="D344"/>
  <c r="D354"/>
  <c r="D366"/>
  <c r="D376"/>
  <c r="D386"/>
  <c r="D398"/>
  <c r="D408"/>
  <c r="D417"/>
  <c r="D426"/>
  <c r="D435"/>
  <c r="D444"/>
  <c r="D454"/>
  <c r="D463"/>
  <c r="D472"/>
  <c r="D481"/>
  <c r="D490"/>
  <c r="D499"/>
  <c r="D508"/>
  <c r="D518"/>
  <c r="D527"/>
  <c r="D536"/>
  <c r="D545"/>
  <c r="D554"/>
  <c r="D563"/>
  <c r="D572"/>
  <c r="D582"/>
  <c r="D591"/>
  <c r="D600"/>
  <c r="D609"/>
  <c r="D618"/>
  <c r="D627"/>
  <c r="D636"/>
  <c r="D646"/>
  <c r="D655"/>
  <c r="D664"/>
  <c r="D673"/>
  <c r="D682"/>
  <c r="D690"/>
  <c r="D698"/>
  <c r="D706"/>
  <c r="D714"/>
  <c r="D722"/>
  <c r="D730"/>
  <c r="D738"/>
  <c r="D746"/>
  <c r="D754"/>
  <c r="D762"/>
  <c r="D770"/>
  <c r="D778"/>
  <c r="D786"/>
  <c r="D794"/>
  <c r="D802"/>
  <c r="D810"/>
  <c r="D3"/>
  <c r="D6"/>
  <c r="D9"/>
  <c r="D19"/>
  <c r="D31"/>
  <c r="D41"/>
  <c r="D51"/>
  <c r="D63"/>
  <c r="D73"/>
  <c r="D83"/>
  <c r="D95"/>
  <c r="D105"/>
  <c r="D115"/>
  <c r="D127"/>
  <c r="D137"/>
  <c r="D147"/>
  <c r="D159"/>
  <c r="D169"/>
  <c r="D179"/>
  <c r="D191"/>
  <c r="D201"/>
  <c r="D211"/>
  <c r="D223"/>
  <c r="D233"/>
  <c r="D243"/>
  <c r="D255"/>
  <c r="D265"/>
  <c r="D275"/>
  <c r="D287"/>
  <c r="D297"/>
  <c r="D307"/>
  <c r="D319"/>
  <c r="D329"/>
  <c r="D339"/>
  <c r="D351"/>
  <c r="D361"/>
  <c r="D371"/>
  <c r="D383"/>
  <c r="D393"/>
  <c r="D403"/>
  <c r="D414"/>
  <c r="D423"/>
  <c r="D432"/>
  <c r="D441"/>
  <c r="D450"/>
  <c r="D459"/>
  <c r="D468"/>
  <c r="D478"/>
  <c r="D487"/>
  <c r="D496"/>
  <c r="D505"/>
  <c r="D514"/>
  <c r="D523"/>
  <c r="D532"/>
  <c r="D542"/>
  <c r="D551"/>
  <c r="D560"/>
  <c r="D569"/>
  <c r="D578"/>
  <c r="D587"/>
  <c r="D596"/>
  <c r="D606"/>
  <c r="D615"/>
  <c r="D624"/>
  <c r="D633"/>
  <c r="D642"/>
  <c r="D651"/>
  <c r="D660"/>
  <c r="D670"/>
  <c r="D679"/>
  <c r="D687"/>
  <c r="D695"/>
  <c r="D7"/>
  <c r="D22"/>
  <c r="D35"/>
  <c r="D49"/>
  <c r="D64"/>
  <c r="D79"/>
  <c r="D91"/>
  <c r="D106"/>
  <c r="D121"/>
  <c r="D135"/>
  <c r="D150"/>
  <c r="D163"/>
  <c r="D177"/>
  <c r="D192"/>
  <c r="D207"/>
  <c r="D219"/>
  <c r="D234"/>
  <c r="D249"/>
  <c r="D263"/>
  <c r="D278"/>
  <c r="D291"/>
  <c r="D305"/>
  <c r="D320"/>
  <c r="D335"/>
  <c r="D347"/>
  <c r="D362"/>
  <c r="D377"/>
  <c r="D391"/>
  <c r="D406"/>
  <c r="D418"/>
  <c r="D430"/>
  <c r="D442"/>
  <c r="D455"/>
  <c r="D466"/>
  <c r="D479"/>
  <c r="D491"/>
  <c r="D503"/>
  <c r="D515"/>
  <c r="D528"/>
  <c r="D539"/>
  <c r="D552"/>
  <c r="D564"/>
  <c r="D576"/>
  <c r="D588"/>
  <c r="D601"/>
  <c r="D612"/>
  <c r="D625"/>
  <c r="D638"/>
  <c r="D649"/>
  <c r="D662"/>
  <c r="D674"/>
  <c r="D685"/>
  <c r="D696"/>
  <c r="D705"/>
  <c r="D715"/>
  <c r="D724"/>
  <c r="D733"/>
  <c r="D742"/>
  <c r="D751"/>
  <c r="D760"/>
  <c r="D769"/>
  <c r="D779"/>
  <c r="D788"/>
  <c r="D797"/>
  <c r="D806"/>
  <c r="D815"/>
  <c r="D823"/>
  <c r="D831"/>
  <c r="D839"/>
  <c r="D847"/>
  <c r="D855"/>
  <c r="D863"/>
  <c r="D871"/>
  <c r="D879"/>
  <c r="D887"/>
  <c r="D895"/>
  <c r="D903"/>
  <c r="D911"/>
  <c r="D919"/>
  <c r="D927"/>
  <c r="D935"/>
  <c r="D943"/>
  <c r="D951"/>
  <c r="D959"/>
  <c r="D967"/>
  <c r="D975"/>
  <c r="D983"/>
  <c r="D991"/>
  <c r="D999"/>
  <c r="D1007"/>
  <c r="D1015"/>
  <c r="D1023"/>
  <c r="D1031"/>
  <c r="D1039"/>
  <c r="D1047"/>
  <c r="D1055"/>
  <c r="D1063"/>
  <c r="D1071"/>
  <c r="D1079"/>
  <c r="D8"/>
  <c r="D23"/>
  <c r="D38"/>
  <c r="D50"/>
  <c r="D65"/>
  <c r="D80"/>
  <c r="D94"/>
  <c r="D107"/>
  <c r="D122"/>
  <c r="D136"/>
  <c r="D151"/>
  <c r="D166"/>
  <c r="D178"/>
  <c r="D193"/>
  <c r="D208"/>
  <c r="D222"/>
  <c r="D235"/>
  <c r="D250"/>
  <c r="D264"/>
  <c r="D279"/>
  <c r="D294"/>
  <c r="D306"/>
  <c r="D321"/>
  <c r="D336"/>
  <c r="D350"/>
  <c r="D363"/>
  <c r="D378"/>
  <c r="D392"/>
  <c r="D407"/>
  <c r="D419"/>
  <c r="D431"/>
  <c r="D443"/>
  <c r="D456"/>
  <c r="D467"/>
  <c r="D480"/>
  <c r="D492"/>
  <c r="D504"/>
  <c r="D516"/>
  <c r="D529"/>
  <c r="D540"/>
  <c r="D553"/>
  <c r="D566"/>
  <c r="D577"/>
  <c r="D590"/>
  <c r="D10"/>
  <c r="D25"/>
  <c r="D39"/>
  <c r="D54"/>
  <c r="D67"/>
  <c r="D81"/>
  <c r="D96"/>
  <c r="D111"/>
  <c r="D123"/>
  <c r="D138"/>
  <c r="D153"/>
  <c r="D16"/>
  <c r="D30"/>
  <c r="D43"/>
  <c r="D58"/>
  <c r="D72"/>
  <c r="D87"/>
  <c r="D102"/>
  <c r="D114"/>
  <c r="D129"/>
  <c r="D144"/>
  <c r="D158"/>
  <c r="D171"/>
  <c r="D186"/>
  <c r="D200"/>
  <c r="D215"/>
  <c r="D230"/>
  <c r="D242"/>
  <c r="D257"/>
  <c r="D272"/>
  <c r="D286"/>
  <c r="D299"/>
  <c r="D314"/>
  <c r="D328"/>
  <c r="D343"/>
  <c r="D358"/>
  <c r="D370"/>
  <c r="D385"/>
  <c r="D400"/>
  <c r="D412"/>
  <c r="D425"/>
  <c r="D438"/>
  <c r="D449"/>
  <c r="D462"/>
  <c r="D474"/>
  <c r="D486"/>
  <c r="D498"/>
  <c r="D511"/>
  <c r="D522"/>
  <c r="D535"/>
  <c r="D547"/>
  <c r="D559"/>
  <c r="D571"/>
  <c r="D584"/>
  <c r="D595"/>
  <c r="D608"/>
  <c r="D620"/>
  <c r="D632"/>
  <c r="D644"/>
  <c r="D657"/>
  <c r="D668"/>
  <c r="D681"/>
  <c r="D692"/>
  <c r="D702"/>
  <c r="D711"/>
  <c r="D720"/>
  <c r="D729"/>
  <c r="D739"/>
  <c r="D748"/>
  <c r="D757"/>
  <c r="D766"/>
  <c r="D775"/>
  <c r="D784"/>
  <c r="D793"/>
  <c r="D803"/>
  <c r="D812"/>
  <c r="D820"/>
  <c r="D828"/>
  <c r="D836"/>
  <c r="D844"/>
  <c r="D852"/>
  <c r="D860"/>
  <c r="D868"/>
  <c r="D876"/>
  <c r="D884"/>
  <c r="D892"/>
  <c r="D900"/>
  <c r="D908"/>
  <c r="D916"/>
  <c r="D924"/>
  <c r="D932"/>
  <c r="D940"/>
  <c r="D948"/>
  <c r="D956"/>
  <c r="D964"/>
  <c r="D972"/>
  <c r="D11"/>
  <c r="D40"/>
  <c r="D70"/>
  <c r="D97"/>
  <c r="D126"/>
  <c r="D154"/>
  <c r="D176"/>
  <c r="D199"/>
  <c r="D224"/>
  <c r="D246"/>
  <c r="D267"/>
  <c r="D289"/>
  <c r="D313"/>
  <c r="D337"/>
  <c r="D359"/>
  <c r="D382"/>
  <c r="D402"/>
  <c r="D424"/>
  <c r="D446"/>
  <c r="D464"/>
  <c r="D483"/>
  <c r="D502"/>
  <c r="D521"/>
  <c r="D543"/>
  <c r="D561"/>
  <c r="D580"/>
  <c r="D599"/>
  <c r="D616"/>
  <c r="D631"/>
  <c r="D648"/>
  <c r="D665"/>
  <c r="D680"/>
  <c r="D694"/>
  <c r="D708"/>
  <c r="D719"/>
  <c r="D732"/>
  <c r="D744"/>
  <c r="D756"/>
  <c r="D768"/>
  <c r="D781"/>
  <c r="D792"/>
  <c r="D805"/>
  <c r="D817"/>
  <c r="D827"/>
  <c r="D838"/>
  <c r="D849"/>
  <c r="D859"/>
  <c r="D870"/>
  <c r="D881"/>
  <c r="D891"/>
  <c r="D902"/>
  <c r="D913"/>
  <c r="D923"/>
  <c r="D934"/>
  <c r="D945"/>
  <c r="D955"/>
  <c r="D966"/>
  <c r="D977"/>
  <c r="D986"/>
  <c r="D995"/>
  <c r="D1004"/>
  <c r="D1013"/>
  <c r="D1022"/>
  <c r="D1032"/>
  <c r="D1041"/>
  <c r="D1050"/>
  <c r="D1059"/>
  <c r="D1068"/>
  <c r="D1077"/>
  <c r="D1086"/>
  <c r="D1094"/>
  <c r="D1102"/>
  <c r="D1110"/>
  <c r="D1118"/>
  <c r="D1126"/>
  <c r="D1134"/>
  <c r="D1142"/>
  <c r="D1150"/>
  <c r="D1158"/>
  <c r="D1166"/>
  <c r="D1174"/>
  <c r="D1182"/>
  <c r="D1190"/>
  <c r="D1198"/>
  <c r="D1206"/>
  <c r="D1214"/>
  <c r="D1222"/>
  <c r="D1230"/>
  <c r="D1238"/>
  <c r="D1246"/>
  <c r="D1254"/>
  <c r="D1262"/>
  <c r="D1270"/>
  <c r="D1278"/>
  <c r="D1286"/>
  <c r="D1294"/>
  <c r="D1302"/>
  <c r="D1310"/>
  <c r="D1318"/>
  <c r="D1326"/>
  <c r="D1334"/>
  <c r="D1342"/>
  <c r="D1350"/>
  <c r="D1358"/>
  <c r="D1366"/>
  <c r="D1374"/>
  <c r="D1382"/>
  <c r="D1390"/>
  <c r="D1398"/>
  <c r="D1406"/>
  <c r="D1414"/>
  <c r="D1422"/>
  <c r="D1430"/>
  <c r="D1438"/>
  <c r="D1446"/>
  <c r="D1454"/>
  <c r="D1462"/>
  <c r="D1470"/>
  <c r="D1478"/>
  <c r="D1486"/>
  <c r="D1494"/>
  <c r="D1502"/>
  <c r="D1103"/>
  <c r="D1143"/>
  <c r="D1159"/>
  <c r="D1175"/>
  <c r="D1191"/>
  <c r="D1199"/>
  <c r="D1215"/>
  <c r="D1231"/>
  <c r="D1239"/>
  <c r="D1255"/>
  <c r="D1271"/>
  <c r="D1287"/>
  <c r="D1295"/>
  <c r="D1311"/>
  <c r="D1319"/>
  <c r="D1335"/>
  <c r="D1351"/>
  <c r="D15"/>
  <c r="D42"/>
  <c r="D71"/>
  <c r="D99"/>
  <c r="D128"/>
  <c r="D155"/>
  <c r="D182"/>
  <c r="D202"/>
  <c r="D225"/>
  <c r="D247"/>
  <c r="D271"/>
  <c r="D295"/>
  <c r="D315"/>
  <c r="D338"/>
  <c r="D360"/>
  <c r="D384"/>
  <c r="D409"/>
  <c r="D427"/>
  <c r="D447"/>
  <c r="D465"/>
  <c r="D484"/>
  <c r="D506"/>
  <c r="D524"/>
  <c r="D544"/>
  <c r="D562"/>
  <c r="D583"/>
  <c r="D602"/>
  <c r="D617"/>
  <c r="D634"/>
  <c r="D650"/>
  <c r="D666"/>
  <c r="D683"/>
  <c r="D697"/>
  <c r="D709"/>
  <c r="D721"/>
  <c r="D734"/>
  <c r="D745"/>
  <c r="D758"/>
  <c r="D771"/>
  <c r="D782"/>
  <c r="D795"/>
  <c r="D807"/>
  <c r="D818"/>
  <c r="D829"/>
  <c r="D840"/>
  <c r="D850"/>
  <c r="D861"/>
  <c r="D872"/>
  <c r="D882"/>
  <c r="D893"/>
  <c r="D904"/>
  <c r="D914"/>
  <c r="D925"/>
  <c r="D936"/>
  <c r="D946"/>
  <c r="D957"/>
  <c r="D968"/>
  <c r="D978"/>
  <c r="D987"/>
  <c r="D996"/>
  <c r="D1005"/>
  <c r="D1014"/>
  <c r="D1024"/>
  <c r="D1033"/>
  <c r="D1042"/>
  <c r="D1051"/>
  <c r="D1060"/>
  <c r="D1069"/>
  <c r="D1078"/>
  <c r="D1087"/>
  <c r="D1095"/>
  <c r="D1111"/>
  <c r="D1119"/>
  <c r="D1127"/>
  <c r="D1135"/>
  <c r="D1151"/>
  <c r="D1167"/>
  <c r="D1183"/>
  <c r="D1207"/>
  <c r="D1223"/>
  <c r="D1247"/>
  <c r="D1263"/>
  <c r="D1279"/>
  <c r="D1303"/>
  <c r="D1327"/>
  <c r="D17"/>
  <c r="D47"/>
  <c r="D74"/>
  <c r="D103"/>
  <c r="D131"/>
  <c r="D160"/>
  <c r="D183"/>
  <c r="D203"/>
  <c r="D227"/>
  <c r="D251"/>
  <c r="D273"/>
  <c r="D296"/>
  <c r="D318"/>
  <c r="D342"/>
  <c r="D367"/>
  <c r="D387"/>
  <c r="D410"/>
  <c r="D428"/>
  <c r="D448"/>
  <c r="D470"/>
  <c r="D488"/>
  <c r="D507"/>
  <c r="D526"/>
  <c r="D546"/>
  <c r="D567"/>
  <c r="D585"/>
  <c r="D603"/>
  <c r="D619"/>
  <c r="D635"/>
  <c r="D652"/>
  <c r="D667"/>
  <c r="D684"/>
  <c r="D699"/>
  <c r="D710"/>
  <c r="D723"/>
  <c r="D735"/>
  <c r="D747"/>
  <c r="D759"/>
  <c r="D772"/>
  <c r="D783"/>
  <c r="D796"/>
  <c r="D808"/>
  <c r="D819"/>
  <c r="D830"/>
  <c r="D841"/>
  <c r="D851"/>
  <c r="D862"/>
  <c r="D873"/>
  <c r="D883"/>
  <c r="D894"/>
  <c r="D905"/>
  <c r="D915"/>
  <c r="D926"/>
  <c r="D937"/>
  <c r="D27"/>
  <c r="D57"/>
  <c r="D86"/>
  <c r="D113"/>
  <c r="D143"/>
  <c r="D168"/>
  <c r="D190"/>
  <c r="D214"/>
  <c r="D239"/>
  <c r="D259"/>
  <c r="D282"/>
  <c r="D304"/>
  <c r="D327"/>
  <c r="D352"/>
  <c r="D374"/>
  <c r="D395"/>
  <c r="D416"/>
  <c r="D436"/>
  <c r="D457"/>
  <c r="D475"/>
  <c r="D495"/>
  <c r="D513"/>
  <c r="D534"/>
  <c r="D555"/>
  <c r="D574"/>
  <c r="D593"/>
  <c r="D610"/>
  <c r="D626"/>
  <c r="D641"/>
  <c r="D658"/>
  <c r="D675"/>
  <c r="D689"/>
  <c r="D703"/>
  <c r="D716"/>
  <c r="D727"/>
  <c r="D740"/>
  <c r="D752"/>
  <c r="D764"/>
  <c r="D776"/>
  <c r="D789"/>
  <c r="D800"/>
  <c r="D813"/>
  <c r="D824"/>
  <c r="D834"/>
  <c r="D845"/>
  <c r="D856"/>
  <c r="D866"/>
  <c r="D877"/>
  <c r="D888"/>
  <c r="D898"/>
  <c r="D909"/>
  <c r="D920"/>
  <c r="D930"/>
  <c r="D941"/>
  <c r="D952"/>
  <c r="D962"/>
  <c r="D973"/>
  <c r="D982"/>
  <c r="D992"/>
  <c r="D1001"/>
  <c r="D1010"/>
  <c r="D1019"/>
  <c r="D1028"/>
  <c r="D1037"/>
  <c r="D1046"/>
  <c r="D1056"/>
  <c r="D1065"/>
  <c r="D1074"/>
  <c r="D1083"/>
  <c r="D1091"/>
  <c r="D1099"/>
  <c r="D1107"/>
  <c r="D1115"/>
  <c r="D1123"/>
  <c r="D1131"/>
  <c r="D1139"/>
  <c r="D1147"/>
  <c r="D1155"/>
  <c r="D1163"/>
  <c r="D1171"/>
  <c r="D1179"/>
  <c r="D1187"/>
  <c r="D1195"/>
  <c r="D1203"/>
  <c r="D1211"/>
  <c r="D1219"/>
  <c r="D1227"/>
  <c r="D1235"/>
  <c r="D1243"/>
  <c r="D1251"/>
  <c r="D1259"/>
  <c r="D1267"/>
  <c r="D1275"/>
  <c r="D1283"/>
  <c r="D1291"/>
  <c r="D1299"/>
  <c r="D1307"/>
  <c r="D1315"/>
  <c r="D1323"/>
  <c r="D1331"/>
  <c r="D1339"/>
  <c r="D1347"/>
  <c r="D1355"/>
  <c r="D1363"/>
  <c r="D1371"/>
  <c r="D1379"/>
  <c r="D1387"/>
  <c r="D1395"/>
  <c r="D1403"/>
  <c r="D1411"/>
  <c r="D1419"/>
  <c r="D1427"/>
  <c r="D1435"/>
  <c r="D1443"/>
  <c r="D1451"/>
  <c r="D1459"/>
  <c r="D1467"/>
  <c r="D1475"/>
  <c r="D1483"/>
  <c r="D1491"/>
  <c r="D1499"/>
  <c r="D18"/>
  <c r="D75"/>
  <c r="D134"/>
  <c r="D185"/>
  <c r="D231"/>
  <c r="D274"/>
  <c r="D323"/>
  <c r="D368"/>
  <c r="D411"/>
  <c r="D451"/>
  <c r="D489"/>
  <c r="D530"/>
  <c r="D568"/>
  <c r="D604"/>
  <c r="D639"/>
  <c r="D671"/>
  <c r="D700"/>
  <c r="D725"/>
  <c r="D749"/>
  <c r="D773"/>
  <c r="D798"/>
  <c r="D821"/>
  <c r="D842"/>
  <c r="D864"/>
  <c r="D885"/>
  <c r="D906"/>
  <c r="D928"/>
  <c r="D947"/>
  <c r="D963"/>
  <c r="D980"/>
  <c r="D994"/>
  <c r="D1009"/>
  <c r="D1025"/>
  <c r="D1038"/>
  <c r="D1053"/>
  <c r="D1067"/>
  <c r="D1082"/>
  <c r="D1096"/>
  <c r="D1108"/>
  <c r="D1121"/>
  <c r="D1133"/>
  <c r="D1146"/>
  <c r="D1160"/>
  <c r="D1172"/>
  <c r="D1185"/>
  <c r="D1197"/>
  <c r="D1210"/>
  <c r="D1224"/>
  <c r="D1236"/>
  <c r="D1249"/>
  <c r="D1261"/>
  <c r="D1274"/>
  <c r="D1288"/>
  <c r="D1300"/>
  <c r="D1313"/>
  <c r="D1325"/>
  <c r="D1338"/>
  <c r="D1349"/>
  <c r="D1361"/>
  <c r="D1372"/>
  <c r="D1383"/>
  <c r="D1393"/>
  <c r="D1404"/>
  <c r="D1415"/>
  <c r="D1425"/>
  <c r="D1436"/>
  <c r="D1447"/>
  <c r="D1457"/>
  <c r="D1468"/>
  <c r="D1479"/>
  <c r="D1489"/>
  <c r="D1500"/>
  <c r="D774"/>
  <c r="D907"/>
  <c r="D929"/>
  <c r="D965"/>
  <c r="D981"/>
  <c r="D1011"/>
  <c r="D1026"/>
  <c r="D1054"/>
  <c r="D1070"/>
  <c r="D1097"/>
  <c r="D1109"/>
  <c r="D1136"/>
  <c r="D1148"/>
  <c r="D1173"/>
  <c r="D1186"/>
  <c r="D1212"/>
  <c r="D1237"/>
  <c r="D1264"/>
  <c r="D1276"/>
  <c r="D1301"/>
  <c r="D1314"/>
  <c r="D1340"/>
  <c r="D1362"/>
  <c r="D1373"/>
  <c r="D1394"/>
  <c r="D1416"/>
  <c r="D1426"/>
  <c r="D1448"/>
  <c r="D1458"/>
  <c r="D1480"/>
  <c r="D1501"/>
  <c r="D777"/>
  <c r="D889"/>
  <c r="D931"/>
  <c r="D950"/>
  <c r="D984"/>
  <c r="D26"/>
  <c r="D82"/>
  <c r="D139"/>
  <c r="D187"/>
  <c r="D232"/>
  <c r="D281"/>
  <c r="D326"/>
  <c r="D369"/>
  <c r="D415"/>
  <c r="D452"/>
  <c r="D494"/>
  <c r="D531"/>
  <c r="D570"/>
  <c r="D607"/>
  <c r="D640"/>
  <c r="D672"/>
  <c r="D701"/>
  <c r="D726"/>
  <c r="D750"/>
  <c r="D799"/>
  <c r="D822"/>
  <c r="D843"/>
  <c r="D865"/>
  <c r="D886"/>
  <c r="D949"/>
  <c r="D997"/>
  <c r="D1040"/>
  <c r="D1084"/>
  <c r="D1122"/>
  <c r="D1161"/>
  <c r="D1200"/>
  <c r="D1225"/>
  <c r="D1250"/>
  <c r="D1289"/>
  <c r="D1328"/>
  <c r="D1352"/>
  <c r="D1384"/>
  <c r="D1405"/>
  <c r="D1437"/>
  <c r="D1469"/>
  <c r="D1490"/>
  <c r="D32"/>
  <c r="D89"/>
  <c r="D145"/>
  <c r="D195"/>
  <c r="D240"/>
  <c r="D283"/>
  <c r="D330"/>
  <c r="D375"/>
  <c r="D420"/>
  <c r="D458"/>
  <c r="D497"/>
  <c r="D537"/>
  <c r="D575"/>
  <c r="D611"/>
  <c r="D643"/>
  <c r="D676"/>
  <c r="D704"/>
  <c r="D728"/>
  <c r="D753"/>
  <c r="D801"/>
  <c r="D846"/>
  <c r="D867"/>
  <c r="D910"/>
  <c r="D969"/>
  <c r="D48"/>
  <c r="D104"/>
  <c r="D161"/>
  <c r="D209"/>
  <c r="D254"/>
  <c r="D298"/>
  <c r="D345"/>
  <c r="D390"/>
  <c r="D433"/>
  <c r="D471"/>
  <c r="D510"/>
  <c r="D548"/>
  <c r="D586"/>
  <c r="D622"/>
  <c r="D654"/>
  <c r="D686"/>
  <c r="D712"/>
  <c r="D736"/>
  <c r="D761"/>
  <c r="D785"/>
  <c r="D809"/>
  <c r="D832"/>
  <c r="D853"/>
  <c r="D874"/>
  <c r="D896"/>
  <c r="D917"/>
  <c r="D938"/>
  <c r="D954"/>
  <c r="D971"/>
  <c r="D988"/>
  <c r="D1002"/>
  <c r="D1017"/>
  <c r="D1030"/>
  <c r="D1045"/>
  <c r="D1061"/>
  <c r="D1075"/>
  <c r="D1089"/>
  <c r="D1101"/>
  <c r="D1114"/>
  <c r="D1128"/>
  <c r="D1140"/>
  <c r="D1153"/>
  <c r="D1165"/>
  <c r="D1178"/>
  <c r="D1192"/>
  <c r="D1204"/>
  <c r="D1217"/>
  <c r="D1229"/>
  <c r="D1242"/>
  <c r="D1256"/>
  <c r="D1268"/>
  <c r="D1281"/>
  <c r="D1293"/>
  <c r="D1306"/>
  <c r="D1320"/>
  <c r="D1332"/>
  <c r="D1344"/>
  <c r="D1356"/>
  <c r="D1367"/>
  <c r="D1377"/>
  <c r="D1388"/>
  <c r="D1399"/>
  <c r="D1409"/>
  <c r="D1420"/>
  <c r="D1431"/>
  <c r="D1441"/>
  <c r="D1452"/>
  <c r="D1463"/>
  <c r="D1473"/>
  <c r="D1484"/>
  <c r="D1495"/>
  <c r="D1"/>
  <c r="D55"/>
  <c r="D112"/>
  <c r="D167"/>
  <c r="D210"/>
  <c r="D256"/>
  <c r="D303"/>
  <c r="D346"/>
  <c r="D394"/>
  <c r="D434"/>
  <c r="D473"/>
  <c r="D512"/>
  <c r="D550"/>
  <c r="D592"/>
  <c r="D1472"/>
  <c r="D1439"/>
  <c r="D1402"/>
  <c r="D1386"/>
  <c r="D1353"/>
  <c r="D1312"/>
  <c r="D1272"/>
  <c r="D1232"/>
  <c r="D1189"/>
  <c r="D1149"/>
  <c r="D1106"/>
  <c r="D1064"/>
  <c r="D1018"/>
  <c r="D961"/>
  <c r="D922"/>
  <c r="D837"/>
  <c r="D755"/>
  <c r="D707"/>
  <c r="D558"/>
  <c r="D460"/>
  <c r="D353"/>
  <c r="D90"/>
  <c r="D1487"/>
  <c r="D1453"/>
  <c r="D1418"/>
  <c r="D1385"/>
  <c r="D1368"/>
  <c r="D1330"/>
  <c r="D1290"/>
  <c r="D1248"/>
  <c r="D1208"/>
  <c r="D1168"/>
  <c r="D1125"/>
  <c r="D1085"/>
  <c r="D1036"/>
  <c r="D990"/>
  <c r="D921"/>
  <c r="D835"/>
  <c r="D791"/>
  <c r="D693"/>
  <c r="D630"/>
  <c r="D556"/>
  <c r="D440"/>
  <c r="D331"/>
  <c r="D62"/>
  <c r="D1485"/>
  <c r="D1466"/>
  <c r="D1433"/>
  <c r="D1417"/>
  <c r="D1381"/>
  <c r="D1365"/>
  <c r="D1329"/>
  <c r="D1308"/>
  <c r="D1266"/>
  <c r="D1226"/>
  <c r="D1498"/>
  <c r="D1482"/>
  <c r="D1465"/>
  <c r="D1449"/>
  <c r="D1432"/>
  <c r="D1413"/>
  <c r="D1397"/>
  <c r="D1380"/>
  <c r="D1364"/>
  <c r="D1345"/>
  <c r="D1324"/>
  <c r="D1305"/>
  <c r="D1284"/>
  <c r="D1265"/>
  <c r="D1244"/>
  <c r="D1221"/>
  <c r="D1202"/>
  <c r="D1181"/>
  <c r="D1162"/>
  <c r="D1141"/>
  <c r="D1120"/>
  <c r="D1100"/>
  <c r="D1080"/>
  <c r="D1057"/>
  <c r="D1034"/>
  <c r="D1008"/>
  <c r="D985"/>
  <c r="D953"/>
  <c r="D912"/>
  <c r="D869"/>
  <c r="D826"/>
  <c r="D787"/>
  <c r="D737"/>
  <c r="D688"/>
  <c r="D623"/>
  <c r="D520"/>
  <c r="D422"/>
  <c r="D310"/>
  <c r="D175"/>
  <c r="D33"/>
  <c r="F1119" i="2"/>
  <c r="P1506" i="15" l="1"/>
  <c r="L33" i="3"/>
  <c r="H29"/>
  <c r="G29"/>
  <c r="F29"/>
  <c r="H25"/>
  <c r="K25" s="1"/>
  <c r="G25"/>
  <c r="J25" s="1"/>
  <c r="F25"/>
  <c r="I25" s="1"/>
  <c r="H23"/>
  <c r="G23"/>
  <c r="F23"/>
  <c r="H21"/>
  <c r="G21"/>
  <c r="F21"/>
  <c r="H19"/>
  <c r="G19"/>
  <c r="F19"/>
  <c r="H17"/>
  <c r="G17"/>
  <c r="F17"/>
  <c r="H15"/>
  <c r="G15"/>
  <c r="F15"/>
  <c r="H13"/>
  <c r="G13"/>
  <c r="F13"/>
  <c r="H11"/>
  <c r="G11"/>
  <c r="F11"/>
  <c r="H9"/>
  <c r="G9"/>
  <c r="F9"/>
  <c r="H7"/>
  <c r="G7"/>
  <c r="F7"/>
  <c r="H5"/>
  <c r="G5"/>
  <c r="F5"/>
  <c r="E31"/>
  <c r="K31" s="1"/>
  <c r="D31"/>
  <c r="J31" s="1"/>
  <c r="C31"/>
  <c r="I31" s="1"/>
  <c r="E29"/>
  <c r="D29"/>
  <c r="C29"/>
  <c r="E27"/>
  <c r="K27" s="1"/>
  <c r="D27"/>
  <c r="J27" s="1"/>
  <c r="C27"/>
  <c r="E23"/>
  <c r="D23"/>
  <c r="C23"/>
  <c r="E21"/>
  <c r="D21"/>
  <c r="C21"/>
  <c r="E19"/>
  <c r="D19"/>
  <c r="C19"/>
  <c r="E17"/>
  <c r="D17"/>
  <c r="C17"/>
  <c r="E15"/>
  <c r="D15"/>
  <c r="C15"/>
  <c r="E13"/>
  <c r="D13"/>
  <c r="C13"/>
  <c r="E11"/>
  <c r="D11"/>
  <c r="C11"/>
  <c r="E9"/>
  <c r="D9"/>
  <c r="C9"/>
  <c r="E7"/>
  <c r="D7"/>
  <c r="C7"/>
  <c r="E5"/>
  <c r="D5"/>
  <c r="C5"/>
  <c r="F6" l="1"/>
  <c r="I5"/>
  <c r="J5"/>
  <c r="K5"/>
  <c r="J9"/>
  <c r="I15"/>
  <c r="K19"/>
  <c r="K9"/>
  <c r="J15"/>
  <c r="J11"/>
  <c r="I17"/>
  <c r="K21"/>
  <c r="I13"/>
  <c r="K17"/>
  <c r="J23"/>
  <c r="J29"/>
  <c r="K11"/>
  <c r="J17"/>
  <c r="I23"/>
  <c r="I29"/>
  <c r="J13"/>
  <c r="I19"/>
  <c r="K23"/>
  <c r="K29"/>
  <c r="I11"/>
  <c r="K15"/>
  <c r="J21"/>
  <c r="K13"/>
  <c r="J19"/>
  <c r="F30"/>
  <c r="I27"/>
  <c r="F26"/>
  <c r="I26" s="1"/>
  <c r="F24"/>
  <c r="F22"/>
  <c r="I21"/>
  <c r="F20"/>
  <c r="F18"/>
  <c r="F16"/>
  <c r="F14"/>
  <c r="F12"/>
  <c r="F10"/>
  <c r="I9"/>
  <c r="F33"/>
  <c r="G33"/>
  <c r="H33"/>
  <c r="F8"/>
  <c r="I7"/>
  <c r="J7"/>
  <c r="K7"/>
  <c r="C6"/>
  <c r="C32"/>
  <c r="I32" s="1"/>
  <c r="C30"/>
  <c r="C28"/>
  <c r="I28" s="1"/>
  <c r="C24"/>
  <c r="C22"/>
  <c r="C20"/>
  <c r="C18"/>
  <c r="C16"/>
  <c r="C14"/>
  <c r="C12"/>
  <c r="E33"/>
  <c r="D33"/>
  <c r="C10"/>
  <c r="C33"/>
  <c r="C8"/>
  <c r="I6" l="1"/>
  <c r="I20"/>
  <c r="K33"/>
  <c r="I12"/>
  <c r="I14"/>
  <c r="I8"/>
  <c r="I22"/>
  <c r="I10"/>
  <c r="I24"/>
  <c r="I16"/>
  <c r="I18"/>
  <c r="I30"/>
  <c r="J33"/>
  <c r="I33"/>
  <c r="F34"/>
  <c r="C34"/>
  <c r="I34" l="1"/>
  <c r="E1296" i="1" l="1"/>
  <c r="D1284" l="1"/>
  <c r="D1239"/>
  <c r="D1218"/>
  <c r="D1219"/>
  <c r="D1205"/>
  <c r="D1029"/>
  <c r="D1030"/>
  <c r="D939"/>
  <c r="D933"/>
  <c r="D921"/>
  <c r="D823"/>
  <c r="D824"/>
  <c r="D809"/>
  <c r="D810"/>
  <c r="D574"/>
  <c r="D575"/>
  <c r="D537"/>
  <c r="D538"/>
  <c r="D505"/>
  <c r="D506"/>
  <c r="D477"/>
  <c r="D478"/>
  <c r="D471"/>
  <c r="D472"/>
  <c r="D417"/>
  <c r="D418"/>
  <c r="D296"/>
  <c r="D297"/>
  <c r="D285"/>
  <c r="D286"/>
  <c r="D109"/>
  <c r="D110"/>
  <c r="G1119" i="2" l="1"/>
  <c r="D689" i="1" l="1"/>
  <c r="D690"/>
  <c r="D251" l="1"/>
  <c r="D252"/>
  <c r="D253"/>
  <c r="D509"/>
  <c r="D510"/>
  <c r="N2488" i="13" l="1"/>
  <c r="M2488"/>
  <c r="L2488"/>
  <c r="J2488"/>
  <c r="I2488"/>
  <c r="H2488"/>
  <c r="G2488"/>
  <c r="E2488"/>
  <c r="D2488"/>
  <c r="N2486"/>
  <c r="M2486"/>
  <c r="L2486"/>
  <c r="J2486"/>
  <c r="I2486"/>
  <c r="H2486"/>
  <c r="G2486"/>
  <c r="E2486"/>
  <c r="F2486" s="1"/>
  <c r="D2486"/>
  <c r="N2484"/>
  <c r="M2484"/>
  <c r="L2484"/>
  <c r="J2484"/>
  <c r="I2484"/>
  <c r="H2484"/>
  <c r="G2484"/>
  <c r="E2484"/>
  <c r="D2484"/>
  <c r="N2482"/>
  <c r="M2482"/>
  <c r="L2482"/>
  <c r="J2482"/>
  <c r="I2482"/>
  <c r="H2482"/>
  <c r="G2482"/>
  <c r="E2482"/>
  <c r="D2482"/>
  <c r="N2481"/>
  <c r="O2480" s="1"/>
  <c r="M2481"/>
  <c r="L2481"/>
  <c r="J2481"/>
  <c r="I2481"/>
  <c r="H2481"/>
  <c r="G2481"/>
  <c r="E2481"/>
  <c r="D2481"/>
  <c r="K2480"/>
  <c r="F2480"/>
  <c r="N2479"/>
  <c r="O2478" s="1"/>
  <c r="M2479"/>
  <c r="L2479"/>
  <c r="J2479"/>
  <c r="I2479"/>
  <c r="H2479"/>
  <c r="G2479"/>
  <c r="E2479"/>
  <c r="D2479"/>
  <c r="F2479" s="1"/>
  <c r="K2478"/>
  <c r="F2478"/>
  <c r="N2477"/>
  <c r="M2477"/>
  <c r="L2477"/>
  <c r="J2477"/>
  <c r="I2477"/>
  <c r="H2477"/>
  <c r="G2477"/>
  <c r="E2477"/>
  <c r="D2477"/>
  <c r="O2476"/>
  <c r="K2476"/>
  <c r="F2476"/>
  <c r="N2475"/>
  <c r="O2474" s="1"/>
  <c r="M2475"/>
  <c r="L2475"/>
  <c r="J2475"/>
  <c r="I2475"/>
  <c r="H2475"/>
  <c r="G2475"/>
  <c r="E2475"/>
  <c r="D2475"/>
  <c r="K2474"/>
  <c r="F2474"/>
  <c r="N2473"/>
  <c r="O2472" s="1"/>
  <c r="M2473"/>
  <c r="L2473"/>
  <c r="J2473"/>
  <c r="I2473"/>
  <c r="H2473"/>
  <c r="G2473"/>
  <c r="E2473"/>
  <c r="D2473"/>
  <c r="K2472"/>
  <c r="F2472"/>
  <c r="N2471"/>
  <c r="O2470" s="1"/>
  <c r="M2471"/>
  <c r="L2471"/>
  <c r="J2471"/>
  <c r="I2471"/>
  <c r="H2471"/>
  <c r="G2471"/>
  <c r="E2471"/>
  <c r="D2471"/>
  <c r="F2471" s="1"/>
  <c r="K2470"/>
  <c r="F2470"/>
  <c r="N2469"/>
  <c r="O2468" s="1"/>
  <c r="M2469"/>
  <c r="L2469"/>
  <c r="J2469"/>
  <c r="I2469"/>
  <c r="H2469"/>
  <c r="G2469"/>
  <c r="E2469"/>
  <c r="D2469"/>
  <c r="K2468"/>
  <c r="F2468"/>
  <c r="N2467"/>
  <c r="M2467"/>
  <c r="L2467"/>
  <c r="J2467"/>
  <c r="I2467"/>
  <c r="H2467"/>
  <c r="G2467"/>
  <c r="E2467"/>
  <c r="D2467"/>
  <c r="O2466"/>
  <c r="K2466"/>
  <c r="F2466"/>
  <c r="N2465"/>
  <c r="O2464" s="1"/>
  <c r="M2465"/>
  <c r="L2465"/>
  <c r="J2465"/>
  <c r="I2465"/>
  <c r="H2465"/>
  <c r="G2465"/>
  <c r="E2465"/>
  <c r="D2465"/>
  <c r="K2464"/>
  <c r="F2464"/>
  <c r="N2463"/>
  <c r="O2462" s="1"/>
  <c r="M2463"/>
  <c r="L2463"/>
  <c r="J2463"/>
  <c r="I2463"/>
  <c r="H2463"/>
  <c r="G2463"/>
  <c r="E2463"/>
  <c r="D2463"/>
  <c r="K2462"/>
  <c r="F2462"/>
  <c r="N2461"/>
  <c r="M2461"/>
  <c r="L2461"/>
  <c r="J2461"/>
  <c r="I2461"/>
  <c r="H2461"/>
  <c r="G2461"/>
  <c r="E2461"/>
  <c r="D2461"/>
  <c r="O2460"/>
  <c r="K2460"/>
  <c r="F2460"/>
  <c r="N2459"/>
  <c r="O2458" s="1"/>
  <c r="M2459"/>
  <c r="L2459"/>
  <c r="J2459"/>
  <c r="I2459"/>
  <c r="H2459"/>
  <c r="G2459"/>
  <c r="E2459"/>
  <c r="D2459"/>
  <c r="F2459" s="1"/>
  <c r="K2458"/>
  <c r="F2458"/>
  <c r="N2457"/>
  <c r="M2457"/>
  <c r="L2457"/>
  <c r="J2457"/>
  <c r="I2457"/>
  <c r="H2457"/>
  <c r="G2457"/>
  <c r="E2457"/>
  <c r="D2457"/>
  <c r="O2456"/>
  <c r="K2456"/>
  <c r="F2456"/>
  <c r="N2455"/>
  <c r="O2454" s="1"/>
  <c r="M2455"/>
  <c r="L2455"/>
  <c r="J2455"/>
  <c r="I2455"/>
  <c r="H2455"/>
  <c r="G2455"/>
  <c r="E2455"/>
  <c r="D2455"/>
  <c r="K2454"/>
  <c r="F2454"/>
  <c r="N2453"/>
  <c r="O2452" s="1"/>
  <c r="M2453"/>
  <c r="L2453"/>
  <c r="J2453"/>
  <c r="I2453"/>
  <c r="H2453"/>
  <c r="G2453"/>
  <c r="E2453"/>
  <c r="D2453"/>
  <c r="K2452"/>
  <c r="F2452"/>
  <c r="N2451"/>
  <c r="O2450" s="1"/>
  <c r="M2451"/>
  <c r="L2451"/>
  <c r="J2451"/>
  <c r="I2451"/>
  <c r="H2451"/>
  <c r="G2451"/>
  <c r="E2451"/>
  <c r="D2451"/>
  <c r="K2450"/>
  <c r="F2450"/>
  <c r="N2449"/>
  <c r="O2448" s="1"/>
  <c r="M2449"/>
  <c r="L2449"/>
  <c r="J2449"/>
  <c r="I2449"/>
  <c r="H2449"/>
  <c r="G2449"/>
  <c r="E2449"/>
  <c r="D2449"/>
  <c r="K2448"/>
  <c r="F2448"/>
  <c r="N2447"/>
  <c r="O2446" s="1"/>
  <c r="M2447"/>
  <c r="L2447"/>
  <c r="J2447"/>
  <c r="I2447"/>
  <c r="H2447"/>
  <c r="G2447"/>
  <c r="E2447"/>
  <c r="D2447"/>
  <c r="F2447" s="1"/>
  <c r="K2446"/>
  <c r="F2446"/>
  <c r="N2445"/>
  <c r="O2444" s="1"/>
  <c r="M2445"/>
  <c r="L2445"/>
  <c r="J2445"/>
  <c r="I2445"/>
  <c r="H2445"/>
  <c r="G2445"/>
  <c r="E2445"/>
  <c r="D2445"/>
  <c r="K2444"/>
  <c r="F2444"/>
  <c r="N2443"/>
  <c r="O2442" s="1"/>
  <c r="M2443"/>
  <c r="L2443"/>
  <c r="J2443"/>
  <c r="I2443"/>
  <c r="H2443"/>
  <c r="G2443"/>
  <c r="E2443"/>
  <c r="D2443"/>
  <c r="F2443" s="1"/>
  <c r="K2442"/>
  <c r="F2442"/>
  <c r="N2441"/>
  <c r="O2440" s="1"/>
  <c r="M2441"/>
  <c r="L2441"/>
  <c r="J2441"/>
  <c r="I2441"/>
  <c r="H2441"/>
  <c r="G2441"/>
  <c r="K2441" s="1"/>
  <c r="E2441"/>
  <c r="D2441"/>
  <c r="K2440"/>
  <c r="F2440"/>
  <c r="N2439"/>
  <c r="O2438" s="1"/>
  <c r="M2439"/>
  <c r="L2439"/>
  <c r="J2439"/>
  <c r="I2439"/>
  <c r="H2439"/>
  <c r="G2439"/>
  <c r="E2439"/>
  <c r="D2439"/>
  <c r="K2438"/>
  <c r="F2438"/>
  <c r="N2437"/>
  <c r="O2436" s="1"/>
  <c r="M2437"/>
  <c r="L2437"/>
  <c r="J2437"/>
  <c r="I2437"/>
  <c r="H2437"/>
  <c r="G2437"/>
  <c r="E2437"/>
  <c r="D2437"/>
  <c r="K2436"/>
  <c r="F2436"/>
  <c r="N2435"/>
  <c r="O2434" s="1"/>
  <c r="M2435"/>
  <c r="L2435"/>
  <c r="J2435"/>
  <c r="I2435"/>
  <c r="H2435"/>
  <c r="G2435"/>
  <c r="E2435"/>
  <c r="D2435"/>
  <c r="K2434"/>
  <c r="F2434"/>
  <c r="N2433"/>
  <c r="M2433"/>
  <c r="L2433"/>
  <c r="J2433"/>
  <c r="I2433"/>
  <c r="H2433"/>
  <c r="G2433"/>
  <c r="E2433"/>
  <c r="D2433"/>
  <c r="O2432"/>
  <c r="K2432"/>
  <c r="F2432"/>
  <c r="N2431"/>
  <c r="O2430" s="1"/>
  <c r="M2431"/>
  <c r="L2431"/>
  <c r="J2431"/>
  <c r="I2431"/>
  <c r="H2431"/>
  <c r="G2431"/>
  <c r="E2431"/>
  <c r="D2431"/>
  <c r="F2431" s="1"/>
  <c r="K2430"/>
  <c r="F2430"/>
  <c r="N2429"/>
  <c r="M2429"/>
  <c r="L2429"/>
  <c r="J2429"/>
  <c r="I2429"/>
  <c r="H2429"/>
  <c r="G2429"/>
  <c r="E2429"/>
  <c r="D2429"/>
  <c r="O2428"/>
  <c r="K2428"/>
  <c r="F2428"/>
  <c r="N2427"/>
  <c r="O2426" s="1"/>
  <c r="M2427"/>
  <c r="L2427"/>
  <c r="J2427"/>
  <c r="I2427"/>
  <c r="H2427"/>
  <c r="G2427"/>
  <c r="E2427"/>
  <c r="D2427"/>
  <c r="F2427" s="1"/>
  <c r="K2426"/>
  <c r="F2426"/>
  <c r="N2425"/>
  <c r="O2424" s="1"/>
  <c r="M2425"/>
  <c r="L2425"/>
  <c r="J2425"/>
  <c r="I2425"/>
  <c r="H2425"/>
  <c r="G2425"/>
  <c r="E2425"/>
  <c r="D2425"/>
  <c r="K2424"/>
  <c r="F2424"/>
  <c r="N2423"/>
  <c r="O2422" s="1"/>
  <c r="M2423"/>
  <c r="L2423"/>
  <c r="J2423"/>
  <c r="I2423"/>
  <c r="H2423"/>
  <c r="G2423"/>
  <c r="E2423"/>
  <c r="D2423"/>
  <c r="F2423" s="1"/>
  <c r="K2422"/>
  <c r="F2422"/>
  <c r="N2421"/>
  <c r="O2420" s="1"/>
  <c r="M2421"/>
  <c r="L2421"/>
  <c r="J2421"/>
  <c r="I2421"/>
  <c r="H2421"/>
  <c r="G2421"/>
  <c r="E2421"/>
  <c r="D2421"/>
  <c r="F2421" s="1"/>
  <c r="K2420"/>
  <c r="F2420"/>
  <c r="N2419"/>
  <c r="O2418" s="1"/>
  <c r="M2419"/>
  <c r="L2419"/>
  <c r="J2419"/>
  <c r="I2419"/>
  <c r="H2419"/>
  <c r="G2419"/>
  <c r="E2419"/>
  <c r="D2419"/>
  <c r="F2419" s="1"/>
  <c r="K2418"/>
  <c r="F2418"/>
  <c r="N2417"/>
  <c r="O2416" s="1"/>
  <c r="M2417"/>
  <c r="L2417"/>
  <c r="J2417"/>
  <c r="I2417"/>
  <c r="H2417"/>
  <c r="G2417"/>
  <c r="E2417"/>
  <c r="D2417"/>
  <c r="K2416"/>
  <c r="F2416"/>
  <c r="N2415"/>
  <c r="O2414" s="1"/>
  <c r="M2415"/>
  <c r="L2415"/>
  <c r="J2415"/>
  <c r="I2415"/>
  <c r="H2415"/>
  <c r="G2415"/>
  <c r="E2415"/>
  <c r="D2415"/>
  <c r="K2414"/>
  <c r="F2414"/>
  <c r="N2413"/>
  <c r="O2412" s="1"/>
  <c r="M2413"/>
  <c r="L2413"/>
  <c r="J2413"/>
  <c r="I2413"/>
  <c r="H2413"/>
  <c r="G2413"/>
  <c r="E2413"/>
  <c r="D2413"/>
  <c r="K2412"/>
  <c r="F2412"/>
  <c r="N2411"/>
  <c r="O2410" s="1"/>
  <c r="M2411"/>
  <c r="L2411"/>
  <c r="J2411"/>
  <c r="I2411"/>
  <c r="H2411"/>
  <c r="G2411"/>
  <c r="E2411"/>
  <c r="D2411"/>
  <c r="K2410"/>
  <c r="F2410"/>
  <c r="N2409"/>
  <c r="O2408" s="1"/>
  <c r="M2409"/>
  <c r="L2409"/>
  <c r="J2409"/>
  <c r="I2409"/>
  <c r="H2409"/>
  <c r="G2409"/>
  <c r="F2409"/>
  <c r="E2409"/>
  <c r="D2409"/>
  <c r="K2408"/>
  <c r="F2408"/>
  <c r="N2407"/>
  <c r="O2406" s="1"/>
  <c r="M2407"/>
  <c r="L2407"/>
  <c r="J2407"/>
  <c r="I2407"/>
  <c r="H2407"/>
  <c r="G2407"/>
  <c r="E2407"/>
  <c r="D2407"/>
  <c r="F2407" s="1"/>
  <c r="K2406"/>
  <c r="F2406"/>
  <c r="N2405"/>
  <c r="O2404" s="1"/>
  <c r="M2405"/>
  <c r="L2405"/>
  <c r="J2405"/>
  <c r="I2405"/>
  <c r="H2405"/>
  <c r="G2405"/>
  <c r="E2405"/>
  <c r="D2405"/>
  <c r="K2404"/>
  <c r="F2404"/>
  <c r="N2403"/>
  <c r="O2402" s="1"/>
  <c r="M2403"/>
  <c r="L2403"/>
  <c r="J2403"/>
  <c r="I2403"/>
  <c r="H2403"/>
  <c r="G2403"/>
  <c r="E2403"/>
  <c r="D2403"/>
  <c r="K2402"/>
  <c r="F2402"/>
  <c r="N2401"/>
  <c r="O2400" s="1"/>
  <c r="M2401"/>
  <c r="L2401"/>
  <c r="J2401"/>
  <c r="I2401"/>
  <c r="H2401"/>
  <c r="G2401"/>
  <c r="E2401"/>
  <c r="D2401"/>
  <c r="K2400"/>
  <c r="F2400"/>
  <c r="N2399"/>
  <c r="O2398" s="1"/>
  <c r="M2399"/>
  <c r="L2399"/>
  <c r="J2399"/>
  <c r="I2399"/>
  <c r="H2399"/>
  <c r="G2399"/>
  <c r="E2399"/>
  <c r="D2399"/>
  <c r="K2398"/>
  <c r="F2398"/>
  <c r="N2397"/>
  <c r="O2396" s="1"/>
  <c r="M2397"/>
  <c r="L2397"/>
  <c r="J2397"/>
  <c r="I2397"/>
  <c r="H2397"/>
  <c r="G2397"/>
  <c r="E2397"/>
  <c r="D2397"/>
  <c r="K2396"/>
  <c r="F2396"/>
  <c r="N2395"/>
  <c r="O2394" s="1"/>
  <c r="M2395"/>
  <c r="L2395"/>
  <c r="J2395"/>
  <c r="I2395"/>
  <c r="H2395"/>
  <c r="G2395"/>
  <c r="E2395"/>
  <c r="D2395"/>
  <c r="F2395" s="1"/>
  <c r="K2394"/>
  <c r="F2394"/>
  <c r="N2393"/>
  <c r="M2393"/>
  <c r="L2393"/>
  <c r="J2393"/>
  <c r="I2393"/>
  <c r="H2393"/>
  <c r="G2393"/>
  <c r="K2393" s="1"/>
  <c r="E2393"/>
  <c r="D2393"/>
  <c r="F2393" s="1"/>
  <c r="O2392"/>
  <c r="K2392"/>
  <c r="F2392"/>
  <c r="N2391"/>
  <c r="O2390" s="1"/>
  <c r="M2391"/>
  <c r="L2391"/>
  <c r="J2391"/>
  <c r="I2391"/>
  <c r="H2391"/>
  <c r="G2391"/>
  <c r="E2391"/>
  <c r="D2391"/>
  <c r="F2391" s="1"/>
  <c r="K2390"/>
  <c r="F2390"/>
  <c r="N2389"/>
  <c r="O2388" s="1"/>
  <c r="M2389"/>
  <c r="L2389"/>
  <c r="J2389"/>
  <c r="I2389"/>
  <c r="H2389"/>
  <c r="G2389"/>
  <c r="E2389"/>
  <c r="D2389"/>
  <c r="K2388"/>
  <c r="F2388"/>
  <c r="N2387"/>
  <c r="M2387"/>
  <c r="L2387"/>
  <c r="J2387"/>
  <c r="I2387"/>
  <c r="H2387"/>
  <c r="G2387"/>
  <c r="E2387"/>
  <c r="D2387"/>
  <c r="O2386"/>
  <c r="K2386"/>
  <c r="F2386"/>
  <c r="N2385"/>
  <c r="O2384" s="1"/>
  <c r="M2385"/>
  <c r="L2385"/>
  <c r="J2385"/>
  <c r="I2385"/>
  <c r="H2385"/>
  <c r="G2385"/>
  <c r="E2385"/>
  <c r="D2385"/>
  <c r="K2384"/>
  <c r="F2384"/>
  <c r="N2383"/>
  <c r="O2382" s="1"/>
  <c r="M2383"/>
  <c r="L2383"/>
  <c r="J2383"/>
  <c r="I2383"/>
  <c r="H2383"/>
  <c r="G2383"/>
  <c r="E2383"/>
  <c r="D2383"/>
  <c r="F2383" s="1"/>
  <c r="K2382"/>
  <c r="F2382"/>
  <c r="N2381"/>
  <c r="O2380" s="1"/>
  <c r="M2381"/>
  <c r="L2381"/>
  <c r="J2381"/>
  <c r="I2381"/>
  <c r="H2381"/>
  <c r="G2381"/>
  <c r="E2381"/>
  <c r="D2381"/>
  <c r="K2380"/>
  <c r="F2380"/>
  <c r="N2379"/>
  <c r="O2378" s="1"/>
  <c r="M2379"/>
  <c r="L2379"/>
  <c r="J2379"/>
  <c r="I2379"/>
  <c r="H2379"/>
  <c r="G2379"/>
  <c r="E2379"/>
  <c r="D2379"/>
  <c r="F2379" s="1"/>
  <c r="K2378"/>
  <c r="F2378"/>
  <c r="N2377"/>
  <c r="M2377"/>
  <c r="L2377"/>
  <c r="J2377"/>
  <c r="I2377"/>
  <c r="K2377" s="1"/>
  <c r="H2377"/>
  <c r="G2377"/>
  <c r="E2377"/>
  <c r="D2377"/>
  <c r="O2376"/>
  <c r="K2376"/>
  <c r="F2376"/>
  <c r="N2375"/>
  <c r="O2374" s="1"/>
  <c r="M2375"/>
  <c r="L2375"/>
  <c r="J2375"/>
  <c r="I2375"/>
  <c r="H2375"/>
  <c r="G2375"/>
  <c r="E2375"/>
  <c r="D2375"/>
  <c r="F2375" s="1"/>
  <c r="K2374"/>
  <c r="F2374"/>
  <c r="N2373"/>
  <c r="M2373"/>
  <c r="L2373"/>
  <c r="J2373"/>
  <c r="I2373"/>
  <c r="K2373" s="1"/>
  <c r="H2373"/>
  <c r="G2373"/>
  <c r="E2373"/>
  <c r="D2373"/>
  <c r="O2372"/>
  <c r="K2372"/>
  <c r="F2372"/>
  <c r="N2371"/>
  <c r="O2370" s="1"/>
  <c r="M2371"/>
  <c r="L2371"/>
  <c r="J2371"/>
  <c r="I2371"/>
  <c r="H2371"/>
  <c r="G2371"/>
  <c r="E2371"/>
  <c r="D2371"/>
  <c r="F2371" s="1"/>
  <c r="K2370"/>
  <c r="F2370"/>
  <c r="N2369"/>
  <c r="O2368" s="1"/>
  <c r="M2369"/>
  <c r="L2369"/>
  <c r="J2369"/>
  <c r="I2369"/>
  <c r="H2369"/>
  <c r="G2369"/>
  <c r="E2369"/>
  <c r="D2369"/>
  <c r="F2369" s="1"/>
  <c r="K2368"/>
  <c r="F2368"/>
  <c r="N2367"/>
  <c r="O2366" s="1"/>
  <c r="M2367"/>
  <c r="L2367"/>
  <c r="J2367"/>
  <c r="I2367"/>
  <c r="H2367"/>
  <c r="G2367"/>
  <c r="E2367"/>
  <c r="D2367"/>
  <c r="K2366"/>
  <c r="F2366"/>
  <c r="N2365"/>
  <c r="O2364" s="1"/>
  <c r="M2365"/>
  <c r="L2365"/>
  <c r="J2365"/>
  <c r="I2365"/>
  <c r="H2365"/>
  <c r="G2365"/>
  <c r="E2365"/>
  <c r="D2365"/>
  <c r="F2365" s="1"/>
  <c r="K2364"/>
  <c r="F2364"/>
  <c r="N2363"/>
  <c r="O2362" s="1"/>
  <c r="M2363"/>
  <c r="L2363"/>
  <c r="J2363"/>
  <c r="I2363"/>
  <c r="H2363"/>
  <c r="G2363"/>
  <c r="E2363"/>
  <c r="D2363"/>
  <c r="F2363" s="1"/>
  <c r="K2362"/>
  <c r="F2362"/>
  <c r="N2361"/>
  <c r="O2360" s="1"/>
  <c r="M2361"/>
  <c r="L2361"/>
  <c r="J2361"/>
  <c r="I2361"/>
  <c r="H2361"/>
  <c r="G2361"/>
  <c r="E2361"/>
  <c r="D2361"/>
  <c r="K2360"/>
  <c r="F2360"/>
  <c r="N2359"/>
  <c r="O2358" s="1"/>
  <c r="M2359"/>
  <c r="L2359"/>
  <c r="J2359"/>
  <c r="I2359"/>
  <c r="H2359"/>
  <c r="G2359"/>
  <c r="E2359"/>
  <c r="D2359"/>
  <c r="F2359" s="1"/>
  <c r="K2358"/>
  <c r="F2358"/>
  <c r="N2357"/>
  <c r="O2356" s="1"/>
  <c r="M2357"/>
  <c r="L2357"/>
  <c r="J2357"/>
  <c r="I2357"/>
  <c r="H2357"/>
  <c r="G2357"/>
  <c r="K2357" s="1"/>
  <c r="E2357"/>
  <c r="D2357"/>
  <c r="K2356"/>
  <c r="F2356"/>
  <c r="N2355"/>
  <c r="M2355"/>
  <c r="L2355"/>
  <c r="J2355"/>
  <c r="I2355"/>
  <c r="H2355"/>
  <c r="G2355"/>
  <c r="E2355"/>
  <c r="D2355"/>
  <c r="O2354"/>
  <c r="K2354"/>
  <c r="F2354"/>
  <c r="N2353"/>
  <c r="O2352" s="1"/>
  <c r="M2353"/>
  <c r="L2353"/>
  <c r="J2353"/>
  <c r="I2353"/>
  <c r="H2353"/>
  <c r="G2353"/>
  <c r="E2353"/>
  <c r="D2353"/>
  <c r="K2352"/>
  <c r="F2352"/>
  <c r="N2351"/>
  <c r="O2350" s="1"/>
  <c r="M2351"/>
  <c r="L2351"/>
  <c r="J2351"/>
  <c r="I2351"/>
  <c r="H2351"/>
  <c r="G2351"/>
  <c r="E2351"/>
  <c r="D2351"/>
  <c r="F2351" s="1"/>
  <c r="K2350"/>
  <c r="F2350"/>
  <c r="N2349"/>
  <c r="M2349"/>
  <c r="L2349"/>
  <c r="J2349"/>
  <c r="I2349"/>
  <c r="H2349"/>
  <c r="G2349"/>
  <c r="E2349"/>
  <c r="D2349"/>
  <c r="O2348"/>
  <c r="K2348"/>
  <c r="F2348"/>
  <c r="N2347"/>
  <c r="O2346" s="1"/>
  <c r="M2347"/>
  <c r="L2347"/>
  <c r="J2347"/>
  <c r="I2347"/>
  <c r="H2347"/>
  <c r="G2347"/>
  <c r="E2347"/>
  <c r="D2347"/>
  <c r="F2347" s="1"/>
  <c r="K2346"/>
  <c r="F2346"/>
  <c r="N2345"/>
  <c r="O2344" s="1"/>
  <c r="M2345"/>
  <c r="L2345"/>
  <c r="J2345"/>
  <c r="I2345"/>
  <c r="H2345"/>
  <c r="G2345"/>
  <c r="K2345" s="1"/>
  <c r="E2345"/>
  <c r="D2345"/>
  <c r="K2344"/>
  <c r="F2344"/>
  <c r="N2343"/>
  <c r="O2342" s="1"/>
  <c r="M2343"/>
  <c r="L2343"/>
  <c r="J2343"/>
  <c r="I2343"/>
  <c r="H2343"/>
  <c r="G2343"/>
  <c r="F2343"/>
  <c r="E2343"/>
  <c r="D2343"/>
  <c r="K2342"/>
  <c r="F2342"/>
  <c r="N2341"/>
  <c r="M2341"/>
  <c r="L2341"/>
  <c r="J2341"/>
  <c r="I2341"/>
  <c r="H2341"/>
  <c r="G2341"/>
  <c r="E2341"/>
  <c r="D2341"/>
  <c r="O2340"/>
  <c r="K2340"/>
  <c r="F2340"/>
  <c r="N2339"/>
  <c r="O2338" s="1"/>
  <c r="M2339"/>
  <c r="L2339"/>
  <c r="J2339"/>
  <c r="I2339"/>
  <c r="H2339"/>
  <c r="G2339"/>
  <c r="E2339"/>
  <c r="D2339"/>
  <c r="K2338"/>
  <c r="F2338"/>
  <c r="N2337"/>
  <c r="O2336" s="1"/>
  <c r="M2337"/>
  <c r="L2337"/>
  <c r="J2337"/>
  <c r="K2337" s="1"/>
  <c r="I2337"/>
  <c r="H2337"/>
  <c r="G2337"/>
  <c r="E2337"/>
  <c r="D2337"/>
  <c r="K2336"/>
  <c r="F2336"/>
  <c r="N2335"/>
  <c r="O2334" s="1"/>
  <c r="M2335"/>
  <c r="L2335"/>
  <c r="J2335"/>
  <c r="I2335"/>
  <c r="H2335"/>
  <c r="G2335"/>
  <c r="E2335"/>
  <c r="F2335" s="1"/>
  <c r="D2335"/>
  <c r="K2334"/>
  <c r="F2334"/>
  <c r="N2333"/>
  <c r="O2332" s="1"/>
  <c r="M2333"/>
  <c r="L2333"/>
  <c r="J2333"/>
  <c r="I2333"/>
  <c r="H2333"/>
  <c r="G2333"/>
  <c r="E2333"/>
  <c r="D2333"/>
  <c r="F2333" s="1"/>
  <c r="K2332"/>
  <c r="F2332"/>
  <c r="N2331"/>
  <c r="O2330" s="1"/>
  <c r="M2331"/>
  <c r="L2331"/>
  <c r="J2331"/>
  <c r="I2331"/>
  <c r="H2331"/>
  <c r="G2331"/>
  <c r="E2331"/>
  <c r="D2331"/>
  <c r="F2331" s="1"/>
  <c r="K2330"/>
  <c r="F2330"/>
  <c r="N2329"/>
  <c r="O2328" s="1"/>
  <c r="M2329"/>
  <c r="L2329"/>
  <c r="J2329"/>
  <c r="I2329"/>
  <c r="H2329"/>
  <c r="G2329"/>
  <c r="E2329"/>
  <c r="D2329"/>
  <c r="K2328"/>
  <c r="F2328"/>
  <c r="N2327"/>
  <c r="O2326" s="1"/>
  <c r="M2327"/>
  <c r="L2327"/>
  <c r="J2327"/>
  <c r="I2327"/>
  <c r="H2327"/>
  <c r="G2327"/>
  <c r="E2327"/>
  <c r="D2327"/>
  <c r="K2326"/>
  <c r="F2326"/>
  <c r="N2325"/>
  <c r="O2324" s="1"/>
  <c r="M2325"/>
  <c r="L2325"/>
  <c r="J2325"/>
  <c r="I2325"/>
  <c r="H2325"/>
  <c r="G2325"/>
  <c r="E2325"/>
  <c r="D2325"/>
  <c r="K2324"/>
  <c r="F2324"/>
  <c r="N2323"/>
  <c r="O2322" s="1"/>
  <c r="M2323"/>
  <c r="L2323"/>
  <c r="J2323"/>
  <c r="I2323"/>
  <c r="H2323"/>
  <c r="G2323"/>
  <c r="E2323"/>
  <c r="D2323"/>
  <c r="K2322"/>
  <c r="F2322"/>
  <c r="N2321"/>
  <c r="M2321"/>
  <c r="L2321"/>
  <c r="J2321"/>
  <c r="I2321"/>
  <c r="H2321"/>
  <c r="G2321"/>
  <c r="E2321"/>
  <c r="D2321"/>
  <c r="F2321" s="1"/>
  <c r="O2320"/>
  <c r="K2320"/>
  <c r="F2320"/>
  <c r="N2319"/>
  <c r="O2318" s="1"/>
  <c r="M2319"/>
  <c r="L2319"/>
  <c r="J2319"/>
  <c r="I2319"/>
  <c r="H2319"/>
  <c r="G2319"/>
  <c r="E2319"/>
  <c r="D2319"/>
  <c r="F2319" s="1"/>
  <c r="K2318"/>
  <c r="F2318"/>
  <c r="N2317"/>
  <c r="M2317"/>
  <c r="L2317"/>
  <c r="J2317"/>
  <c r="I2317"/>
  <c r="H2317"/>
  <c r="G2317"/>
  <c r="E2317"/>
  <c r="D2317"/>
  <c r="F2317" s="1"/>
  <c r="O2316"/>
  <c r="K2316"/>
  <c r="F2316"/>
  <c r="N2315"/>
  <c r="O2314" s="1"/>
  <c r="M2315"/>
  <c r="L2315"/>
  <c r="J2315"/>
  <c r="I2315"/>
  <c r="H2315"/>
  <c r="G2315"/>
  <c r="E2315"/>
  <c r="D2315"/>
  <c r="F2315" s="1"/>
  <c r="K2314"/>
  <c r="F2314"/>
  <c r="N2313"/>
  <c r="O2312" s="1"/>
  <c r="M2313"/>
  <c r="L2313"/>
  <c r="J2313"/>
  <c r="I2313"/>
  <c r="H2313"/>
  <c r="G2313"/>
  <c r="E2313"/>
  <c r="D2313"/>
  <c r="F2313" s="1"/>
  <c r="K2312"/>
  <c r="F2312"/>
  <c r="N2311"/>
  <c r="O2310" s="1"/>
  <c r="M2311"/>
  <c r="L2311"/>
  <c r="J2311"/>
  <c r="I2311"/>
  <c r="H2311"/>
  <c r="G2311"/>
  <c r="E2311"/>
  <c r="D2311"/>
  <c r="K2310"/>
  <c r="F2310"/>
  <c r="N2309"/>
  <c r="M2309"/>
  <c r="L2309"/>
  <c r="J2309"/>
  <c r="I2309"/>
  <c r="H2309"/>
  <c r="G2309"/>
  <c r="E2309"/>
  <c r="D2309"/>
  <c r="O2308"/>
  <c r="K2308"/>
  <c r="F2308"/>
  <c r="N2307"/>
  <c r="O2306" s="1"/>
  <c r="M2307"/>
  <c r="L2307"/>
  <c r="J2307"/>
  <c r="I2307"/>
  <c r="H2307"/>
  <c r="G2307"/>
  <c r="E2307"/>
  <c r="D2307"/>
  <c r="K2306"/>
  <c r="F2306"/>
  <c r="N2305"/>
  <c r="O2304" s="1"/>
  <c r="M2305"/>
  <c r="L2305"/>
  <c r="J2305"/>
  <c r="I2305"/>
  <c r="H2305"/>
  <c r="G2305"/>
  <c r="E2305"/>
  <c r="D2305"/>
  <c r="K2304"/>
  <c r="F2304"/>
  <c r="N2303"/>
  <c r="O2302" s="1"/>
  <c r="M2303"/>
  <c r="L2303"/>
  <c r="J2303"/>
  <c r="I2303"/>
  <c r="H2303"/>
  <c r="G2303"/>
  <c r="E2303"/>
  <c r="D2303"/>
  <c r="F2303" s="1"/>
  <c r="K2302"/>
  <c r="F2302"/>
  <c r="N2301"/>
  <c r="O2300" s="1"/>
  <c r="M2301"/>
  <c r="L2301"/>
  <c r="J2301"/>
  <c r="I2301"/>
  <c r="H2301"/>
  <c r="G2301"/>
  <c r="E2301"/>
  <c r="D2301"/>
  <c r="K2300"/>
  <c r="F2300"/>
  <c r="N2299"/>
  <c r="O2298" s="1"/>
  <c r="M2299"/>
  <c r="L2299"/>
  <c r="J2299"/>
  <c r="I2299"/>
  <c r="H2299"/>
  <c r="G2299"/>
  <c r="E2299"/>
  <c r="D2299"/>
  <c r="K2298"/>
  <c r="F2298"/>
  <c r="N2297"/>
  <c r="O2296" s="1"/>
  <c r="M2297"/>
  <c r="L2297"/>
  <c r="J2297"/>
  <c r="I2297"/>
  <c r="H2297"/>
  <c r="G2297"/>
  <c r="E2297"/>
  <c r="D2297"/>
  <c r="K2296"/>
  <c r="F2296"/>
  <c r="N2295"/>
  <c r="O2294" s="1"/>
  <c r="M2295"/>
  <c r="L2295"/>
  <c r="J2295"/>
  <c r="I2295"/>
  <c r="H2295"/>
  <c r="G2295"/>
  <c r="E2295"/>
  <c r="D2295"/>
  <c r="F2295" s="1"/>
  <c r="K2294"/>
  <c r="F2294"/>
  <c r="N2293"/>
  <c r="O2292" s="1"/>
  <c r="M2293"/>
  <c r="L2293"/>
  <c r="J2293"/>
  <c r="I2293"/>
  <c r="H2293"/>
  <c r="G2293"/>
  <c r="K2293" s="1"/>
  <c r="E2293"/>
  <c r="D2293"/>
  <c r="F2293" s="1"/>
  <c r="K2292"/>
  <c r="F2292"/>
  <c r="N2291"/>
  <c r="O2290" s="1"/>
  <c r="M2291"/>
  <c r="L2291"/>
  <c r="J2291"/>
  <c r="I2291"/>
  <c r="H2291"/>
  <c r="G2291"/>
  <c r="E2291"/>
  <c r="D2291"/>
  <c r="K2290"/>
  <c r="F2290"/>
  <c r="N2289"/>
  <c r="M2289"/>
  <c r="L2289"/>
  <c r="J2289"/>
  <c r="I2289"/>
  <c r="H2289"/>
  <c r="G2289"/>
  <c r="E2289"/>
  <c r="D2289"/>
  <c r="O2288"/>
  <c r="K2288"/>
  <c r="F2288"/>
  <c r="N2287"/>
  <c r="O2286" s="1"/>
  <c r="M2287"/>
  <c r="L2287"/>
  <c r="J2287"/>
  <c r="I2287"/>
  <c r="H2287"/>
  <c r="G2287"/>
  <c r="F2287"/>
  <c r="E2287"/>
  <c r="D2287"/>
  <c r="K2286"/>
  <c r="F2286"/>
  <c r="N2285"/>
  <c r="M2285"/>
  <c r="L2285"/>
  <c r="J2285"/>
  <c r="I2285"/>
  <c r="H2285"/>
  <c r="G2285"/>
  <c r="E2285"/>
  <c r="D2285"/>
  <c r="O2284"/>
  <c r="K2284"/>
  <c r="F2284"/>
  <c r="N2283"/>
  <c r="O2282" s="1"/>
  <c r="M2283"/>
  <c r="L2283"/>
  <c r="J2283"/>
  <c r="I2283"/>
  <c r="H2283"/>
  <c r="G2283"/>
  <c r="E2283"/>
  <c r="D2283"/>
  <c r="K2282"/>
  <c r="F2282"/>
  <c r="N2281"/>
  <c r="O2280" s="1"/>
  <c r="M2281"/>
  <c r="L2281"/>
  <c r="J2281"/>
  <c r="I2281"/>
  <c r="H2281"/>
  <c r="G2281"/>
  <c r="E2281"/>
  <c r="D2281"/>
  <c r="K2280"/>
  <c r="F2280"/>
  <c r="N2279"/>
  <c r="O2278" s="1"/>
  <c r="M2279"/>
  <c r="L2279"/>
  <c r="J2279"/>
  <c r="I2279"/>
  <c r="H2279"/>
  <c r="G2279"/>
  <c r="E2279"/>
  <c r="D2279"/>
  <c r="F2279" s="1"/>
  <c r="K2278"/>
  <c r="F2278"/>
  <c r="N2277"/>
  <c r="O2276" s="1"/>
  <c r="M2277"/>
  <c r="L2277"/>
  <c r="J2277"/>
  <c r="I2277"/>
  <c r="H2277"/>
  <c r="G2277"/>
  <c r="E2277"/>
  <c r="D2277"/>
  <c r="K2276"/>
  <c r="F2276"/>
  <c r="N2275"/>
  <c r="O2274" s="1"/>
  <c r="M2275"/>
  <c r="L2275"/>
  <c r="J2275"/>
  <c r="I2275"/>
  <c r="H2275"/>
  <c r="G2275"/>
  <c r="E2275"/>
  <c r="D2275"/>
  <c r="K2274"/>
  <c r="F2274"/>
  <c r="N2273"/>
  <c r="O2272" s="1"/>
  <c r="M2273"/>
  <c r="L2273"/>
  <c r="J2273"/>
  <c r="I2273"/>
  <c r="H2273"/>
  <c r="G2273"/>
  <c r="K2273" s="1"/>
  <c r="E2273"/>
  <c r="D2273"/>
  <c r="K2272"/>
  <c r="F2272"/>
  <c r="N2271"/>
  <c r="O2270" s="1"/>
  <c r="M2271"/>
  <c r="L2271"/>
  <c r="J2271"/>
  <c r="I2271"/>
  <c r="H2271"/>
  <c r="G2271"/>
  <c r="E2271"/>
  <c r="D2271"/>
  <c r="F2271" s="1"/>
  <c r="K2270"/>
  <c r="F2270"/>
  <c r="N2269"/>
  <c r="O2268" s="1"/>
  <c r="M2269"/>
  <c r="L2269"/>
  <c r="J2269"/>
  <c r="I2269"/>
  <c r="H2269"/>
  <c r="G2269"/>
  <c r="E2269"/>
  <c r="D2269"/>
  <c r="K2268"/>
  <c r="F2268"/>
  <c r="N2267"/>
  <c r="O2266" s="1"/>
  <c r="M2267"/>
  <c r="L2267"/>
  <c r="J2267"/>
  <c r="I2267"/>
  <c r="H2267"/>
  <c r="G2267"/>
  <c r="E2267"/>
  <c r="D2267"/>
  <c r="K2266"/>
  <c r="F2266"/>
  <c r="N2265"/>
  <c r="O2264" s="1"/>
  <c r="M2265"/>
  <c r="L2265"/>
  <c r="J2265"/>
  <c r="I2265"/>
  <c r="H2265"/>
  <c r="G2265"/>
  <c r="E2265"/>
  <c r="D2265"/>
  <c r="K2264"/>
  <c r="F2264"/>
  <c r="N2263"/>
  <c r="O2262" s="1"/>
  <c r="M2263"/>
  <c r="L2263"/>
  <c r="J2263"/>
  <c r="I2263"/>
  <c r="H2263"/>
  <c r="G2263"/>
  <c r="K2263" s="1"/>
  <c r="F2263"/>
  <c r="E2263"/>
  <c r="D2263"/>
  <c r="K2262"/>
  <c r="F2262"/>
  <c r="N2261"/>
  <c r="M2261"/>
  <c r="L2261"/>
  <c r="J2261"/>
  <c r="I2261"/>
  <c r="H2261"/>
  <c r="G2261"/>
  <c r="E2261"/>
  <c r="D2261"/>
  <c r="O2260"/>
  <c r="K2260"/>
  <c r="F2260"/>
  <c r="N2259"/>
  <c r="O2258" s="1"/>
  <c r="M2259"/>
  <c r="L2259"/>
  <c r="J2259"/>
  <c r="I2259"/>
  <c r="H2259"/>
  <c r="G2259"/>
  <c r="E2259"/>
  <c r="D2259"/>
  <c r="K2258"/>
  <c r="F2258"/>
  <c r="N2257"/>
  <c r="O2256" s="1"/>
  <c r="M2257"/>
  <c r="L2257"/>
  <c r="J2257"/>
  <c r="I2257"/>
  <c r="H2257"/>
  <c r="G2257"/>
  <c r="E2257"/>
  <c r="D2257"/>
  <c r="K2256"/>
  <c r="F2256"/>
  <c r="N2255"/>
  <c r="O2254" s="1"/>
  <c r="M2255"/>
  <c r="L2255"/>
  <c r="J2255"/>
  <c r="I2255"/>
  <c r="H2255"/>
  <c r="G2255"/>
  <c r="E2255"/>
  <c r="D2255"/>
  <c r="K2254"/>
  <c r="F2254"/>
  <c r="N2253"/>
  <c r="M2253"/>
  <c r="L2253"/>
  <c r="J2253"/>
  <c r="I2253"/>
  <c r="H2253"/>
  <c r="G2253"/>
  <c r="E2253"/>
  <c r="D2253"/>
  <c r="O2252"/>
  <c r="K2252"/>
  <c r="F2252"/>
  <c r="N2251"/>
  <c r="O2250" s="1"/>
  <c r="M2251"/>
  <c r="L2251"/>
  <c r="J2251"/>
  <c r="I2251"/>
  <c r="H2251"/>
  <c r="G2251"/>
  <c r="E2251"/>
  <c r="D2251"/>
  <c r="K2250"/>
  <c r="F2250"/>
  <c r="N2249"/>
  <c r="M2249"/>
  <c r="L2249"/>
  <c r="J2249"/>
  <c r="I2249"/>
  <c r="H2249"/>
  <c r="G2249"/>
  <c r="E2249"/>
  <c r="D2249"/>
  <c r="O2248"/>
  <c r="K2248"/>
  <c r="F2248"/>
  <c r="N2247"/>
  <c r="O2246" s="1"/>
  <c r="M2247"/>
  <c r="L2247"/>
  <c r="J2247"/>
  <c r="I2247"/>
  <c r="H2247"/>
  <c r="G2247"/>
  <c r="E2247"/>
  <c r="D2247"/>
  <c r="F2247" s="1"/>
  <c r="K2246"/>
  <c r="F2246"/>
  <c r="N2245"/>
  <c r="O2244" s="1"/>
  <c r="M2245"/>
  <c r="L2245"/>
  <c r="J2245"/>
  <c r="I2245"/>
  <c r="H2245"/>
  <c r="G2245"/>
  <c r="E2245"/>
  <c r="D2245"/>
  <c r="K2244"/>
  <c r="F2244"/>
  <c r="N2243"/>
  <c r="O2242" s="1"/>
  <c r="M2243"/>
  <c r="L2243"/>
  <c r="J2243"/>
  <c r="I2243"/>
  <c r="H2243"/>
  <c r="G2243"/>
  <c r="E2243"/>
  <c r="D2243"/>
  <c r="K2242"/>
  <c r="F2242"/>
  <c r="N2241"/>
  <c r="O2240" s="1"/>
  <c r="M2241"/>
  <c r="L2241"/>
  <c r="J2241"/>
  <c r="I2241"/>
  <c r="H2241"/>
  <c r="G2241"/>
  <c r="E2241"/>
  <c r="D2241"/>
  <c r="K2240"/>
  <c r="F2240"/>
  <c r="N2239"/>
  <c r="M2239"/>
  <c r="L2239"/>
  <c r="J2239"/>
  <c r="I2239"/>
  <c r="H2239"/>
  <c r="G2239"/>
  <c r="E2239"/>
  <c r="D2239"/>
  <c r="O2238"/>
  <c r="K2238"/>
  <c r="F2238"/>
  <c r="N2237"/>
  <c r="O2236" s="1"/>
  <c r="M2237"/>
  <c r="L2237"/>
  <c r="J2237"/>
  <c r="I2237"/>
  <c r="H2237"/>
  <c r="G2237"/>
  <c r="E2237"/>
  <c r="D2237"/>
  <c r="K2236"/>
  <c r="F2236"/>
  <c r="N2235"/>
  <c r="O2234" s="1"/>
  <c r="M2235"/>
  <c r="L2235"/>
  <c r="J2235"/>
  <c r="I2235"/>
  <c r="H2235"/>
  <c r="G2235"/>
  <c r="E2235"/>
  <c r="D2235"/>
  <c r="F2235" s="1"/>
  <c r="K2234"/>
  <c r="F2234"/>
  <c r="N2233"/>
  <c r="O2232" s="1"/>
  <c r="M2233"/>
  <c r="L2233"/>
  <c r="J2233"/>
  <c r="I2233"/>
  <c r="H2233"/>
  <c r="G2233"/>
  <c r="E2233"/>
  <c r="D2233"/>
  <c r="K2232"/>
  <c r="F2232"/>
  <c r="N2231"/>
  <c r="M2231"/>
  <c r="L2231"/>
  <c r="J2231"/>
  <c r="I2231"/>
  <c r="H2231"/>
  <c r="G2231"/>
  <c r="E2231"/>
  <c r="D2231"/>
  <c r="O2230"/>
  <c r="K2230"/>
  <c r="F2230"/>
  <c r="N2229"/>
  <c r="O2228" s="1"/>
  <c r="M2229"/>
  <c r="L2229"/>
  <c r="J2229"/>
  <c r="I2229"/>
  <c r="H2229"/>
  <c r="G2229"/>
  <c r="E2229"/>
  <c r="F2229" s="1"/>
  <c r="D2229"/>
  <c r="K2228"/>
  <c r="F2228"/>
  <c r="N2227"/>
  <c r="O2226" s="1"/>
  <c r="M2227"/>
  <c r="L2227"/>
  <c r="J2227"/>
  <c r="I2227"/>
  <c r="H2227"/>
  <c r="G2227"/>
  <c r="E2227"/>
  <c r="F2227" s="1"/>
  <c r="D2227"/>
  <c r="K2226"/>
  <c r="F2226"/>
  <c r="N2225"/>
  <c r="O2224" s="1"/>
  <c r="M2225"/>
  <c r="L2225"/>
  <c r="J2225"/>
  <c r="I2225"/>
  <c r="H2225"/>
  <c r="G2225"/>
  <c r="E2225"/>
  <c r="D2225"/>
  <c r="F2225" s="1"/>
  <c r="K2224"/>
  <c r="F2224"/>
  <c r="N2223"/>
  <c r="O2222" s="1"/>
  <c r="M2223"/>
  <c r="L2223"/>
  <c r="J2223"/>
  <c r="I2223"/>
  <c r="H2223"/>
  <c r="G2223"/>
  <c r="E2223"/>
  <c r="D2223"/>
  <c r="K2222"/>
  <c r="F2222"/>
  <c r="N2221"/>
  <c r="M2221"/>
  <c r="L2221"/>
  <c r="J2221"/>
  <c r="I2221"/>
  <c r="H2221"/>
  <c r="G2221"/>
  <c r="E2221"/>
  <c r="D2221"/>
  <c r="O2220"/>
  <c r="K2220"/>
  <c r="F2220"/>
  <c r="N2219"/>
  <c r="O2218" s="1"/>
  <c r="M2219"/>
  <c r="L2219"/>
  <c r="J2219"/>
  <c r="I2219"/>
  <c r="H2219"/>
  <c r="G2219"/>
  <c r="E2219"/>
  <c r="D2219"/>
  <c r="K2218"/>
  <c r="F2218"/>
  <c r="N2217"/>
  <c r="M2217"/>
  <c r="L2217"/>
  <c r="J2217"/>
  <c r="I2217"/>
  <c r="H2217"/>
  <c r="G2217"/>
  <c r="E2217"/>
  <c r="D2217"/>
  <c r="O2216"/>
  <c r="K2216"/>
  <c r="F2216"/>
  <c r="N2215"/>
  <c r="O2214" s="1"/>
  <c r="M2215"/>
  <c r="L2215"/>
  <c r="J2215"/>
  <c r="I2215"/>
  <c r="H2215"/>
  <c r="G2215"/>
  <c r="E2215"/>
  <c r="D2215"/>
  <c r="K2214"/>
  <c r="F2214"/>
  <c r="N2213"/>
  <c r="O2212" s="1"/>
  <c r="M2213"/>
  <c r="L2213"/>
  <c r="J2213"/>
  <c r="I2213"/>
  <c r="H2213"/>
  <c r="G2213"/>
  <c r="E2213"/>
  <c r="D2213"/>
  <c r="K2212"/>
  <c r="F2212"/>
  <c r="N2211"/>
  <c r="O2210" s="1"/>
  <c r="M2211"/>
  <c r="L2211"/>
  <c r="J2211"/>
  <c r="I2211"/>
  <c r="H2211"/>
  <c r="G2211"/>
  <c r="E2211"/>
  <c r="D2211"/>
  <c r="K2210"/>
  <c r="F2210"/>
  <c r="N2209"/>
  <c r="O2208" s="1"/>
  <c r="M2209"/>
  <c r="L2209"/>
  <c r="J2209"/>
  <c r="I2209"/>
  <c r="H2209"/>
  <c r="G2209"/>
  <c r="E2209"/>
  <c r="D2209"/>
  <c r="K2208"/>
  <c r="F2208"/>
  <c r="N2207"/>
  <c r="O2206" s="1"/>
  <c r="M2207"/>
  <c r="L2207"/>
  <c r="J2207"/>
  <c r="I2207"/>
  <c r="H2207"/>
  <c r="G2207"/>
  <c r="E2207"/>
  <c r="D2207"/>
  <c r="F2207" s="1"/>
  <c r="K2206"/>
  <c r="F2206"/>
  <c r="N2205"/>
  <c r="O2204" s="1"/>
  <c r="M2205"/>
  <c r="L2205"/>
  <c r="J2205"/>
  <c r="I2205"/>
  <c r="H2205"/>
  <c r="G2205"/>
  <c r="E2205"/>
  <c r="D2205"/>
  <c r="K2204"/>
  <c r="F2204"/>
  <c r="N2203"/>
  <c r="O2202" s="1"/>
  <c r="M2203"/>
  <c r="L2203"/>
  <c r="J2203"/>
  <c r="I2203"/>
  <c r="H2203"/>
  <c r="G2203"/>
  <c r="E2203"/>
  <c r="D2203"/>
  <c r="K2202"/>
  <c r="F2202"/>
  <c r="N2201"/>
  <c r="M2201"/>
  <c r="L2201"/>
  <c r="J2201"/>
  <c r="I2201"/>
  <c r="H2201"/>
  <c r="G2201"/>
  <c r="E2201"/>
  <c r="D2201"/>
  <c r="F2201" s="1"/>
  <c r="O2200"/>
  <c r="K2200"/>
  <c r="F2200"/>
  <c r="N2199"/>
  <c r="O2198" s="1"/>
  <c r="M2199"/>
  <c r="L2199"/>
  <c r="J2199"/>
  <c r="I2199"/>
  <c r="H2199"/>
  <c r="G2199"/>
  <c r="E2199"/>
  <c r="F2199" s="1"/>
  <c r="D2199"/>
  <c r="K2198"/>
  <c r="F2198"/>
  <c r="N2197"/>
  <c r="O2196" s="1"/>
  <c r="M2197"/>
  <c r="L2197"/>
  <c r="J2197"/>
  <c r="I2197"/>
  <c r="H2197"/>
  <c r="G2197"/>
  <c r="E2197"/>
  <c r="D2197"/>
  <c r="K2196"/>
  <c r="F2196"/>
  <c r="N2195"/>
  <c r="O2194" s="1"/>
  <c r="M2195"/>
  <c r="L2195"/>
  <c r="J2195"/>
  <c r="I2195"/>
  <c r="H2195"/>
  <c r="G2195"/>
  <c r="E2195"/>
  <c r="D2195"/>
  <c r="K2194"/>
  <c r="F2194"/>
  <c r="N2193"/>
  <c r="M2193"/>
  <c r="L2193"/>
  <c r="J2193"/>
  <c r="I2193"/>
  <c r="H2193"/>
  <c r="G2193"/>
  <c r="E2193"/>
  <c r="D2193"/>
  <c r="O2192"/>
  <c r="K2192"/>
  <c r="F2192"/>
  <c r="N2191"/>
  <c r="O2190" s="1"/>
  <c r="M2191"/>
  <c r="L2191"/>
  <c r="K2191"/>
  <c r="J2191"/>
  <c r="I2191"/>
  <c r="H2191"/>
  <c r="G2191"/>
  <c r="E2191"/>
  <c r="D2191"/>
  <c r="K2190"/>
  <c r="F2190"/>
  <c r="N2189"/>
  <c r="O2188" s="1"/>
  <c r="M2189"/>
  <c r="L2189"/>
  <c r="J2189"/>
  <c r="I2189"/>
  <c r="H2189"/>
  <c r="G2189"/>
  <c r="E2189"/>
  <c r="F2189" s="1"/>
  <c r="D2189"/>
  <c r="K2188"/>
  <c r="F2188"/>
  <c r="N2187"/>
  <c r="O2186" s="1"/>
  <c r="M2187"/>
  <c r="L2187"/>
  <c r="J2187"/>
  <c r="I2187"/>
  <c r="H2187"/>
  <c r="G2187"/>
  <c r="E2187"/>
  <c r="D2187"/>
  <c r="K2186"/>
  <c r="F2186"/>
  <c r="N2185"/>
  <c r="O2184" s="1"/>
  <c r="M2185"/>
  <c r="L2185"/>
  <c r="J2185"/>
  <c r="I2185"/>
  <c r="H2185"/>
  <c r="G2185"/>
  <c r="E2185"/>
  <c r="D2185"/>
  <c r="K2184"/>
  <c r="F2184"/>
  <c r="N2183"/>
  <c r="O2182" s="1"/>
  <c r="M2183"/>
  <c r="L2183"/>
  <c r="J2183"/>
  <c r="I2183"/>
  <c r="H2183"/>
  <c r="G2183"/>
  <c r="E2183"/>
  <c r="D2183"/>
  <c r="F2183" s="1"/>
  <c r="K2182"/>
  <c r="F2182"/>
  <c r="N2181"/>
  <c r="O2180" s="1"/>
  <c r="M2181"/>
  <c r="L2181"/>
  <c r="J2181"/>
  <c r="I2181"/>
  <c r="H2181"/>
  <c r="G2181"/>
  <c r="E2181"/>
  <c r="D2181"/>
  <c r="K2180"/>
  <c r="F2180"/>
  <c r="N2179"/>
  <c r="O2178" s="1"/>
  <c r="M2179"/>
  <c r="L2179"/>
  <c r="J2179"/>
  <c r="I2179"/>
  <c r="H2179"/>
  <c r="K2179" s="1"/>
  <c r="G2179"/>
  <c r="E2179"/>
  <c r="D2179"/>
  <c r="K2178"/>
  <c r="F2178"/>
  <c r="N2176"/>
  <c r="M2176"/>
  <c r="L2176"/>
  <c r="J2176"/>
  <c r="I2176"/>
  <c r="H2176"/>
  <c r="G2176"/>
  <c r="E2176"/>
  <c r="D2176"/>
  <c r="N2174"/>
  <c r="M2174"/>
  <c r="L2174"/>
  <c r="J2174"/>
  <c r="I2174"/>
  <c r="H2174"/>
  <c r="G2174"/>
  <c r="E2174"/>
  <c r="D2174"/>
  <c r="N2172"/>
  <c r="M2172"/>
  <c r="L2172"/>
  <c r="J2172"/>
  <c r="I2172"/>
  <c r="H2172"/>
  <c r="G2172"/>
  <c r="E2172"/>
  <c r="D2172"/>
  <c r="F2172" s="1"/>
  <c r="N2170"/>
  <c r="M2170"/>
  <c r="L2170"/>
  <c r="J2170"/>
  <c r="I2170"/>
  <c r="H2170"/>
  <c r="G2170"/>
  <c r="E2170"/>
  <c r="D2170"/>
  <c r="N2169"/>
  <c r="M2169"/>
  <c r="L2169"/>
  <c r="J2169"/>
  <c r="I2169"/>
  <c r="H2169"/>
  <c r="G2169"/>
  <c r="K2169" s="1"/>
  <c r="E2169"/>
  <c r="D2169"/>
  <c r="O2168"/>
  <c r="K2168"/>
  <c r="F2168"/>
  <c r="N2167"/>
  <c r="O2166" s="1"/>
  <c r="M2167"/>
  <c r="L2167"/>
  <c r="J2167"/>
  <c r="I2167"/>
  <c r="H2167"/>
  <c r="G2167"/>
  <c r="E2167"/>
  <c r="D2167"/>
  <c r="F2167" s="1"/>
  <c r="K2166"/>
  <c r="F2166"/>
  <c r="N2165"/>
  <c r="O2164" s="1"/>
  <c r="M2165"/>
  <c r="L2165"/>
  <c r="J2165"/>
  <c r="I2165"/>
  <c r="H2165"/>
  <c r="G2165"/>
  <c r="E2165"/>
  <c r="F2165" s="1"/>
  <c r="D2165"/>
  <c r="K2164"/>
  <c r="F2164"/>
  <c r="N2163"/>
  <c r="O2162" s="1"/>
  <c r="M2163"/>
  <c r="L2163"/>
  <c r="J2163"/>
  <c r="I2163"/>
  <c r="H2163"/>
  <c r="G2163"/>
  <c r="E2163"/>
  <c r="D2163"/>
  <c r="K2162"/>
  <c r="F2162"/>
  <c r="N2161"/>
  <c r="O2160" s="1"/>
  <c r="M2161"/>
  <c r="L2161"/>
  <c r="J2161"/>
  <c r="I2161"/>
  <c r="H2161"/>
  <c r="G2161"/>
  <c r="K2161" s="1"/>
  <c r="E2161"/>
  <c r="D2161"/>
  <c r="K2160"/>
  <c r="F2160"/>
  <c r="N2159"/>
  <c r="O2158" s="1"/>
  <c r="M2159"/>
  <c r="L2159"/>
  <c r="J2159"/>
  <c r="I2159"/>
  <c r="H2159"/>
  <c r="G2159"/>
  <c r="E2159"/>
  <c r="D2159"/>
  <c r="K2158"/>
  <c r="F2158"/>
  <c r="N2157"/>
  <c r="O2156" s="1"/>
  <c r="M2157"/>
  <c r="L2157"/>
  <c r="J2157"/>
  <c r="I2157"/>
  <c r="H2157"/>
  <c r="G2157"/>
  <c r="K2157" s="1"/>
  <c r="E2157"/>
  <c r="D2157"/>
  <c r="K2156"/>
  <c r="F2156"/>
  <c r="N2155"/>
  <c r="M2155"/>
  <c r="L2155"/>
  <c r="J2155"/>
  <c r="I2155"/>
  <c r="H2155"/>
  <c r="G2155"/>
  <c r="E2155"/>
  <c r="D2155"/>
  <c r="O2154"/>
  <c r="K2154"/>
  <c r="F2154"/>
  <c r="N2153"/>
  <c r="O2152" s="1"/>
  <c r="M2153"/>
  <c r="L2153"/>
  <c r="J2153"/>
  <c r="I2153"/>
  <c r="H2153"/>
  <c r="G2153"/>
  <c r="E2153"/>
  <c r="D2153"/>
  <c r="K2152"/>
  <c r="F2152"/>
  <c r="N2151"/>
  <c r="O2150" s="1"/>
  <c r="M2151"/>
  <c r="L2151"/>
  <c r="J2151"/>
  <c r="I2151"/>
  <c r="H2151"/>
  <c r="G2151"/>
  <c r="E2151"/>
  <c r="D2151"/>
  <c r="F2151" s="1"/>
  <c r="K2150"/>
  <c r="F2150"/>
  <c r="N2149"/>
  <c r="O2148" s="1"/>
  <c r="M2149"/>
  <c r="L2149"/>
  <c r="J2149"/>
  <c r="I2149"/>
  <c r="H2149"/>
  <c r="G2149"/>
  <c r="E2149"/>
  <c r="D2149"/>
  <c r="K2148"/>
  <c r="F2148"/>
  <c r="N2147"/>
  <c r="O2146" s="1"/>
  <c r="M2147"/>
  <c r="L2147"/>
  <c r="J2147"/>
  <c r="I2147"/>
  <c r="H2147"/>
  <c r="G2147"/>
  <c r="E2147"/>
  <c r="D2147"/>
  <c r="F2147" s="1"/>
  <c r="K2146"/>
  <c r="F2146"/>
  <c r="N2145"/>
  <c r="O2144" s="1"/>
  <c r="M2145"/>
  <c r="L2145"/>
  <c r="J2145"/>
  <c r="I2145"/>
  <c r="H2145"/>
  <c r="G2145"/>
  <c r="E2145"/>
  <c r="D2145"/>
  <c r="F2145" s="1"/>
  <c r="K2144"/>
  <c r="F2144"/>
  <c r="N2143"/>
  <c r="O2142" s="1"/>
  <c r="M2143"/>
  <c r="L2143"/>
  <c r="J2143"/>
  <c r="I2143"/>
  <c r="H2143"/>
  <c r="G2143"/>
  <c r="E2143"/>
  <c r="D2143"/>
  <c r="F2143" s="1"/>
  <c r="K2142"/>
  <c r="F2142"/>
  <c r="N2141"/>
  <c r="O2140" s="1"/>
  <c r="M2141"/>
  <c r="L2141"/>
  <c r="J2141"/>
  <c r="I2141"/>
  <c r="H2141"/>
  <c r="G2141"/>
  <c r="E2141"/>
  <c r="D2141"/>
  <c r="F2141" s="1"/>
  <c r="K2140"/>
  <c r="F2140"/>
  <c r="N2139"/>
  <c r="O2138" s="1"/>
  <c r="M2139"/>
  <c r="L2139"/>
  <c r="J2139"/>
  <c r="I2139"/>
  <c r="H2139"/>
  <c r="G2139"/>
  <c r="K2139" s="1"/>
  <c r="E2139"/>
  <c r="F2139" s="1"/>
  <c r="D2139"/>
  <c r="K2138"/>
  <c r="F2138"/>
  <c r="N2137"/>
  <c r="O2136" s="1"/>
  <c r="M2137"/>
  <c r="L2137"/>
  <c r="J2137"/>
  <c r="I2137"/>
  <c r="H2137"/>
  <c r="G2137"/>
  <c r="E2137"/>
  <c r="D2137"/>
  <c r="K2136"/>
  <c r="F2136"/>
  <c r="N2135"/>
  <c r="O2134" s="1"/>
  <c r="M2135"/>
  <c r="L2135"/>
  <c r="J2135"/>
  <c r="I2135"/>
  <c r="H2135"/>
  <c r="G2135"/>
  <c r="K2135" s="1"/>
  <c r="E2135"/>
  <c r="D2135"/>
  <c r="F2135" s="1"/>
  <c r="K2134"/>
  <c r="F2134"/>
  <c r="N2133"/>
  <c r="M2133"/>
  <c r="L2133"/>
  <c r="J2133"/>
  <c r="I2133"/>
  <c r="K2133" s="1"/>
  <c r="H2133"/>
  <c r="G2133"/>
  <c r="E2133"/>
  <c r="D2133"/>
  <c r="O2132"/>
  <c r="K2132"/>
  <c r="F2132"/>
  <c r="N2131"/>
  <c r="O2130" s="1"/>
  <c r="M2131"/>
  <c r="L2131"/>
  <c r="J2131"/>
  <c r="I2131"/>
  <c r="H2131"/>
  <c r="G2131"/>
  <c r="E2131"/>
  <c r="D2131"/>
  <c r="K2130"/>
  <c r="F2130"/>
  <c r="N2129"/>
  <c r="M2129"/>
  <c r="L2129"/>
  <c r="J2129"/>
  <c r="I2129"/>
  <c r="H2129"/>
  <c r="G2129"/>
  <c r="E2129"/>
  <c r="D2129"/>
  <c r="F2129" s="1"/>
  <c r="O2128"/>
  <c r="K2128"/>
  <c r="F2128"/>
  <c r="N2127"/>
  <c r="O2126" s="1"/>
  <c r="M2127"/>
  <c r="L2127"/>
  <c r="J2127"/>
  <c r="I2127"/>
  <c r="H2127"/>
  <c r="G2127"/>
  <c r="E2127"/>
  <c r="D2127"/>
  <c r="F2127" s="1"/>
  <c r="K2126"/>
  <c r="F2126"/>
  <c r="N2125"/>
  <c r="O2124" s="1"/>
  <c r="M2125"/>
  <c r="L2125"/>
  <c r="J2125"/>
  <c r="I2125"/>
  <c r="H2125"/>
  <c r="G2125"/>
  <c r="E2125"/>
  <c r="D2125"/>
  <c r="K2124"/>
  <c r="F2124"/>
  <c r="N2123"/>
  <c r="O2122" s="1"/>
  <c r="M2123"/>
  <c r="L2123"/>
  <c r="J2123"/>
  <c r="I2123"/>
  <c r="H2123"/>
  <c r="G2123"/>
  <c r="K2123" s="1"/>
  <c r="E2123"/>
  <c r="D2123"/>
  <c r="K2122"/>
  <c r="F2122"/>
  <c r="N2121"/>
  <c r="O2120" s="1"/>
  <c r="M2121"/>
  <c r="L2121"/>
  <c r="J2121"/>
  <c r="I2121"/>
  <c r="H2121"/>
  <c r="G2121"/>
  <c r="E2121"/>
  <c r="D2121"/>
  <c r="K2120"/>
  <c r="F2120"/>
  <c r="N2119"/>
  <c r="M2119"/>
  <c r="L2119"/>
  <c r="J2119"/>
  <c r="I2119"/>
  <c r="H2119"/>
  <c r="G2119"/>
  <c r="E2119"/>
  <c r="D2119"/>
  <c r="F2119" s="1"/>
  <c r="O2118"/>
  <c r="K2118"/>
  <c r="F2118"/>
  <c r="N2117"/>
  <c r="O2116" s="1"/>
  <c r="M2117"/>
  <c r="L2117"/>
  <c r="J2117"/>
  <c r="I2117"/>
  <c r="H2117"/>
  <c r="G2117"/>
  <c r="K2117" s="1"/>
  <c r="E2117"/>
  <c r="D2117"/>
  <c r="K2116"/>
  <c r="F2116"/>
  <c r="N2115"/>
  <c r="M2115"/>
  <c r="L2115"/>
  <c r="J2115"/>
  <c r="I2115"/>
  <c r="H2115"/>
  <c r="G2115"/>
  <c r="E2115"/>
  <c r="D2115"/>
  <c r="O2114"/>
  <c r="K2114"/>
  <c r="F2114"/>
  <c r="N2113"/>
  <c r="O2112" s="1"/>
  <c r="M2113"/>
  <c r="L2113"/>
  <c r="J2113"/>
  <c r="I2113"/>
  <c r="H2113"/>
  <c r="G2113"/>
  <c r="E2113"/>
  <c r="F2113" s="1"/>
  <c r="D2113"/>
  <c r="K2112"/>
  <c r="F2112"/>
  <c r="N2111"/>
  <c r="O2110" s="1"/>
  <c r="M2111"/>
  <c r="L2111"/>
  <c r="J2111"/>
  <c r="I2111"/>
  <c r="H2111"/>
  <c r="G2111"/>
  <c r="E2111"/>
  <c r="D2111"/>
  <c r="F2111" s="1"/>
  <c r="K2110"/>
  <c r="F2110"/>
  <c r="N2109"/>
  <c r="O2108" s="1"/>
  <c r="M2109"/>
  <c r="L2109"/>
  <c r="J2109"/>
  <c r="I2109"/>
  <c r="H2109"/>
  <c r="G2109"/>
  <c r="E2109"/>
  <c r="D2109"/>
  <c r="F2109" s="1"/>
  <c r="K2108"/>
  <c r="F2108"/>
  <c r="N2107"/>
  <c r="O2106" s="1"/>
  <c r="M2107"/>
  <c r="L2107"/>
  <c r="J2107"/>
  <c r="I2107"/>
  <c r="H2107"/>
  <c r="G2107"/>
  <c r="E2107"/>
  <c r="D2107"/>
  <c r="F2107" s="1"/>
  <c r="K2106"/>
  <c r="F2106"/>
  <c r="N2105"/>
  <c r="O2104" s="1"/>
  <c r="M2105"/>
  <c r="L2105"/>
  <c r="J2105"/>
  <c r="I2105"/>
  <c r="H2105"/>
  <c r="G2105"/>
  <c r="K2105" s="1"/>
  <c r="E2105"/>
  <c r="D2105"/>
  <c r="K2104"/>
  <c r="F2104"/>
  <c r="N2103"/>
  <c r="M2103"/>
  <c r="L2103"/>
  <c r="J2103"/>
  <c r="I2103"/>
  <c r="H2103"/>
  <c r="G2103"/>
  <c r="K2103" s="1"/>
  <c r="E2103"/>
  <c r="D2103"/>
  <c r="O2102"/>
  <c r="K2102"/>
  <c r="F2102"/>
  <c r="N2101"/>
  <c r="O2100" s="1"/>
  <c r="M2101"/>
  <c r="L2101"/>
  <c r="J2101"/>
  <c r="I2101"/>
  <c r="H2101"/>
  <c r="G2101"/>
  <c r="E2101"/>
  <c r="D2101"/>
  <c r="K2100"/>
  <c r="F2100"/>
  <c r="N2099"/>
  <c r="M2099"/>
  <c r="L2099"/>
  <c r="J2099"/>
  <c r="I2099"/>
  <c r="H2099"/>
  <c r="G2099"/>
  <c r="E2099"/>
  <c r="D2099"/>
  <c r="O2098"/>
  <c r="K2098"/>
  <c r="F2098"/>
  <c r="N2097"/>
  <c r="O2096" s="1"/>
  <c r="M2097"/>
  <c r="L2097"/>
  <c r="J2097"/>
  <c r="I2097"/>
  <c r="H2097"/>
  <c r="G2097"/>
  <c r="E2097"/>
  <c r="D2097"/>
  <c r="F2097" s="1"/>
  <c r="K2096"/>
  <c r="F2096"/>
  <c r="N2095"/>
  <c r="O2094" s="1"/>
  <c r="M2095"/>
  <c r="L2095"/>
  <c r="J2095"/>
  <c r="I2095"/>
  <c r="H2095"/>
  <c r="G2095"/>
  <c r="E2095"/>
  <c r="D2095"/>
  <c r="K2094"/>
  <c r="F2094"/>
  <c r="N2093"/>
  <c r="O2092" s="1"/>
  <c r="M2093"/>
  <c r="L2093"/>
  <c r="J2093"/>
  <c r="I2093"/>
  <c r="H2093"/>
  <c r="G2093"/>
  <c r="E2093"/>
  <c r="D2093"/>
  <c r="K2092"/>
  <c r="F2092"/>
  <c r="N2091"/>
  <c r="O2090" s="1"/>
  <c r="M2091"/>
  <c r="L2091"/>
  <c r="J2091"/>
  <c r="I2091"/>
  <c r="H2091"/>
  <c r="G2091"/>
  <c r="E2091"/>
  <c r="D2091"/>
  <c r="K2090"/>
  <c r="F2090"/>
  <c r="N2089"/>
  <c r="O2088" s="1"/>
  <c r="M2089"/>
  <c r="L2089"/>
  <c r="J2089"/>
  <c r="I2089"/>
  <c r="H2089"/>
  <c r="G2089"/>
  <c r="K2089" s="1"/>
  <c r="E2089"/>
  <c r="D2089"/>
  <c r="K2088"/>
  <c r="F2088"/>
  <c r="N2087"/>
  <c r="O2086" s="1"/>
  <c r="M2087"/>
  <c r="L2087"/>
  <c r="J2087"/>
  <c r="I2087"/>
  <c r="H2087"/>
  <c r="G2087"/>
  <c r="E2087"/>
  <c r="D2087"/>
  <c r="F2087" s="1"/>
  <c r="K2086"/>
  <c r="F2086"/>
  <c r="N2085"/>
  <c r="O2084" s="1"/>
  <c r="M2085"/>
  <c r="L2085"/>
  <c r="J2085"/>
  <c r="I2085"/>
  <c r="H2085"/>
  <c r="G2085"/>
  <c r="E2085"/>
  <c r="D2085"/>
  <c r="K2084"/>
  <c r="F2084"/>
  <c r="N2083"/>
  <c r="M2083"/>
  <c r="L2083"/>
  <c r="J2083"/>
  <c r="I2083"/>
  <c r="H2083"/>
  <c r="K2083" s="1"/>
  <c r="G2083"/>
  <c r="E2083"/>
  <c r="D2083"/>
  <c r="F2083" s="1"/>
  <c r="O2082"/>
  <c r="K2082"/>
  <c r="F2082"/>
  <c r="N2081"/>
  <c r="O2080" s="1"/>
  <c r="M2081"/>
  <c r="L2081"/>
  <c r="J2081"/>
  <c r="I2081"/>
  <c r="H2081"/>
  <c r="G2081"/>
  <c r="E2081"/>
  <c r="D2081"/>
  <c r="K2080"/>
  <c r="F2080"/>
  <c r="N2079"/>
  <c r="O2078" s="1"/>
  <c r="M2079"/>
  <c r="L2079"/>
  <c r="J2079"/>
  <c r="I2079"/>
  <c r="H2079"/>
  <c r="G2079"/>
  <c r="E2079"/>
  <c r="D2079"/>
  <c r="F2079" s="1"/>
  <c r="K2078"/>
  <c r="F2078"/>
  <c r="N2077"/>
  <c r="O2076" s="1"/>
  <c r="M2077"/>
  <c r="L2077"/>
  <c r="J2077"/>
  <c r="I2077"/>
  <c r="H2077"/>
  <c r="G2077"/>
  <c r="E2077"/>
  <c r="D2077"/>
  <c r="K2076"/>
  <c r="F2076"/>
  <c r="N2075"/>
  <c r="O2074" s="1"/>
  <c r="M2075"/>
  <c r="L2075"/>
  <c r="J2075"/>
  <c r="I2075"/>
  <c r="H2075"/>
  <c r="G2075"/>
  <c r="E2075"/>
  <c r="D2075"/>
  <c r="F2075" s="1"/>
  <c r="K2074"/>
  <c r="F2074"/>
  <c r="N2073"/>
  <c r="O2072" s="1"/>
  <c r="M2073"/>
  <c r="L2073"/>
  <c r="J2073"/>
  <c r="I2073"/>
  <c r="H2073"/>
  <c r="G2073"/>
  <c r="E2073"/>
  <c r="D2073"/>
  <c r="K2072"/>
  <c r="F2072"/>
  <c r="N2071"/>
  <c r="O2070" s="1"/>
  <c r="M2071"/>
  <c r="L2071"/>
  <c r="J2071"/>
  <c r="I2071"/>
  <c r="H2071"/>
  <c r="G2071"/>
  <c r="E2071"/>
  <c r="D2071"/>
  <c r="K2070"/>
  <c r="F2070"/>
  <c r="N2069"/>
  <c r="O2068" s="1"/>
  <c r="M2069"/>
  <c r="L2069"/>
  <c r="J2069"/>
  <c r="I2069"/>
  <c r="H2069"/>
  <c r="G2069"/>
  <c r="E2069"/>
  <c r="D2069"/>
  <c r="K2068"/>
  <c r="F2068"/>
  <c r="N2067"/>
  <c r="M2067"/>
  <c r="L2067"/>
  <c r="J2067"/>
  <c r="I2067"/>
  <c r="H2067"/>
  <c r="G2067"/>
  <c r="E2067"/>
  <c r="D2067"/>
  <c r="F2067" s="1"/>
  <c r="O2066"/>
  <c r="K2066"/>
  <c r="F2066"/>
  <c r="N2064"/>
  <c r="M2064"/>
  <c r="L2064"/>
  <c r="J2064"/>
  <c r="I2064"/>
  <c r="H2064"/>
  <c r="G2064"/>
  <c r="F2064"/>
  <c r="E2064"/>
  <c r="D2064"/>
  <c r="N2062"/>
  <c r="M2062"/>
  <c r="L2062"/>
  <c r="J2062"/>
  <c r="I2062"/>
  <c r="K2062" s="1"/>
  <c r="H2062"/>
  <c r="G2062"/>
  <c r="E2062"/>
  <c r="D2062"/>
  <c r="N2060"/>
  <c r="M2060"/>
  <c r="L2060"/>
  <c r="J2060"/>
  <c r="I2060"/>
  <c r="H2060"/>
  <c r="G2060"/>
  <c r="E2060"/>
  <c r="D2060"/>
  <c r="N2058"/>
  <c r="M2058"/>
  <c r="L2058"/>
  <c r="J2058"/>
  <c r="I2058"/>
  <c r="H2058"/>
  <c r="G2058"/>
  <c r="K2058" s="1"/>
  <c r="E2058"/>
  <c r="D2058"/>
  <c r="N2057"/>
  <c r="O2056" s="1"/>
  <c r="M2057"/>
  <c r="L2057"/>
  <c r="J2057"/>
  <c r="I2057"/>
  <c r="H2057"/>
  <c r="G2057"/>
  <c r="E2057"/>
  <c r="D2057"/>
  <c r="K2056"/>
  <c r="F2056"/>
  <c r="N2055"/>
  <c r="M2055"/>
  <c r="L2055"/>
  <c r="J2055"/>
  <c r="I2055"/>
  <c r="H2055"/>
  <c r="G2055"/>
  <c r="E2055"/>
  <c r="D2055"/>
  <c r="F2055" s="1"/>
  <c r="O2054"/>
  <c r="K2054"/>
  <c r="F2054"/>
  <c r="N2053"/>
  <c r="O2052" s="1"/>
  <c r="M2053"/>
  <c r="L2053"/>
  <c r="J2053"/>
  <c r="I2053"/>
  <c r="H2053"/>
  <c r="G2053"/>
  <c r="E2053"/>
  <c r="D2053"/>
  <c r="F2053" s="1"/>
  <c r="K2052"/>
  <c r="F2052"/>
  <c r="N2051"/>
  <c r="M2051"/>
  <c r="L2051"/>
  <c r="J2051"/>
  <c r="I2051"/>
  <c r="H2051"/>
  <c r="G2051"/>
  <c r="E2051"/>
  <c r="D2051"/>
  <c r="O2050"/>
  <c r="K2050"/>
  <c r="F2050"/>
  <c r="N2049"/>
  <c r="O2048" s="1"/>
  <c r="M2049"/>
  <c r="L2049"/>
  <c r="J2049"/>
  <c r="I2049"/>
  <c r="H2049"/>
  <c r="G2049"/>
  <c r="E2049"/>
  <c r="D2049"/>
  <c r="K2048"/>
  <c r="F2048"/>
  <c r="N2047"/>
  <c r="M2047"/>
  <c r="L2047"/>
  <c r="J2047"/>
  <c r="I2047"/>
  <c r="H2047"/>
  <c r="G2047"/>
  <c r="E2047"/>
  <c r="D2047"/>
  <c r="O2046"/>
  <c r="K2046"/>
  <c r="F2046"/>
  <c r="N2045"/>
  <c r="O2044" s="1"/>
  <c r="M2045"/>
  <c r="L2045"/>
  <c r="J2045"/>
  <c r="I2045"/>
  <c r="H2045"/>
  <c r="G2045"/>
  <c r="E2045"/>
  <c r="D2045"/>
  <c r="K2044"/>
  <c r="F2044"/>
  <c r="N2043"/>
  <c r="O2042" s="1"/>
  <c r="M2043"/>
  <c r="L2043"/>
  <c r="J2043"/>
  <c r="I2043"/>
  <c r="H2043"/>
  <c r="G2043"/>
  <c r="E2043"/>
  <c r="D2043"/>
  <c r="K2042"/>
  <c r="F2042"/>
  <c r="N2041"/>
  <c r="M2041"/>
  <c r="L2041"/>
  <c r="J2041"/>
  <c r="I2041"/>
  <c r="H2041"/>
  <c r="G2041"/>
  <c r="E2041"/>
  <c r="D2041"/>
  <c r="O2040"/>
  <c r="K2040"/>
  <c r="F2040"/>
  <c r="N2039"/>
  <c r="O2038" s="1"/>
  <c r="M2039"/>
  <c r="L2039"/>
  <c r="J2039"/>
  <c r="I2039"/>
  <c r="H2039"/>
  <c r="G2039"/>
  <c r="K2039" s="1"/>
  <c r="E2039"/>
  <c r="D2039"/>
  <c r="K2038"/>
  <c r="F2038"/>
  <c r="N2037"/>
  <c r="O2036" s="1"/>
  <c r="M2037"/>
  <c r="L2037"/>
  <c r="J2037"/>
  <c r="I2037"/>
  <c r="H2037"/>
  <c r="G2037"/>
  <c r="E2037"/>
  <c r="D2037"/>
  <c r="K2036"/>
  <c r="F2036"/>
  <c r="N2035"/>
  <c r="O2034" s="1"/>
  <c r="M2035"/>
  <c r="L2035"/>
  <c r="J2035"/>
  <c r="I2035"/>
  <c r="H2035"/>
  <c r="G2035"/>
  <c r="E2035"/>
  <c r="D2035"/>
  <c r="K2034"/>
  <c r="F2034"/>
  <c r="N2033"/>
  <c r="O2032" s="1"/>
  <c r="M2033"/>
  <c r="L2033"/>
  <c r="J2033"/>
  <c r="I2033"/>
  <c r="H2033"/>
  <c r="G2033"/>
  <c r="E2033"/>
  <c r="D2033"/>
  <c r="K2032"/>
  <c r="F2032"/>
  <c r="N2031"/>
  <c r="O2030" s="1"/>
  <c r="M2031"/>
  <c r="L2031"/>
  <c r="J2031"/>
  <c r="I2031"/>
  <c r="H2031"/>
  <c r="G2031"/>
  <c r="E2031"/>
  <c r="D2031"/>
  <c r="K2030"/>
  <c r="F2030"/>
  <c r="N2029"/>
  <c r="O2028" s="1"/>
  <c r="M2029"/>
  <c r="L2029"/>
  <c r="J2029"/>
  <c r="I2029"/>
  <c r="H2029"/>
  <c r="G2029"/>
  <c r="E2029"/>
  <c r="D2029"/>
  <c r="K2028"/>
  <c r="F2028"/>
  <c r="N2027"/>
  <c r="O2026" s="1"/>
  <c r="M2027"/>
  <c r="L2027"/>
  <c r="J2027"/>
  <c r="I2027"/>
  <c r="H2027"/>
  <c r="G2027"/>
  <c r="E2027"/>
  <c r="D2027"/>
  <c r="K2026"/>
  <c r="F2026"/>
  <c r="N2025"/>
  <c r="M2025"/>
  <c r="L2025"/>
  <c r="J2025"/>
  <c r="I2025"/>
  <c r="H2025"/>
  <c r="G2025"/>
  <c r="E2025"/>
  <c r="D2025"/>
  <c r="F2025" s="1"/>
  <c r="O2024"/>
  <c r="K2024"/>
  <c r="F2024"/>
  <c r="N2023"/>
  <c r="O2022" s="1"/>
  <c r="M2023"/>
  <c r="L2023"/>
  <c r="J2023"/>
  <c r="I2023"/>
  <c r="H2023"/>
  <c r="G2023"/>
  <c r="E2023"/>
  <c r="D2023"/>
  <c r="F2023" s="1"/>
  <c r="K2022"/>
  <c r="F2022"/>
  <c r="N2021"/>
  <c r="M2021"/>
  <c r="L2021"/>
  <c r="J2021"/>
  <c r="I2021"/>
  <c r="H2021"/>
  <c r="G2021"/>
  <c r="E2021"/>
  <c r="D2021"/>
  <c r="F2021" s="1"/>
  <c r="O2020"/>
  <c r="K2020"/>
  <c r="F2020"/>
  <c r="N2019"/>
  <c r="O2018" s="1"/>
  <c r="M2019"/>
  <c r="L2019"/>
  <c r="J2019"/>
  <c r="I2019"/>
  <c r="H2019"/>
  <c r="G2019"/>
  <c r="E2019"/>
  <c r="D2019"/>
  <c r="K2018"/>
  <c r="F2018"/>
  <c r="N2017"/>
  <c r="O2016" s="1"/>
  <c r="M2017"/>
  <c r="L2017"/>
  <c r="J2017"/>
  <c r="I2017"/>
  <c r="H2017"/>
  <c r="G2017"/>
  <c r="E2017"/>
  <c r="D2017"/>
  <c r="F2017" s="1"/>
  <c r="K2016"/>
  <c r="F2016"/>
  <c r="N2015"/>
  <c r="O2014" s="1"/>
  <c r="M2015"/>
  <c r="L2015"/>
  <c r="J2015"/>
  <c r="I2015"/>
  <c r="H2015"/>
  <c r="G2015"/>
  <c r="E2015"/>
  <c r="D2015"/>
  <c r="K2014"/>
  <c r="F2014"/>
  <c r="N2013"/>
  <c r="M2013"/>
  <c r="L2013"/>
  <c r="J2013"/>
  <c r="I2013"/>
  <c r="H2013"/>
  <c r="G2013"/>
  <c r="E2013"/>
  <c r="D2013"/>
  <c r="O2012"/>
  <c r="K2012"/>
  <c r="F2012"/>
  <c r="N2011"/>
  <c r="O2010" s="1"/>
  <c r="M2011"/>
  <c r="L2011"/>
  <c r="J2011"/>
  <c r="I2011"/>
  <c r="H2011"/>
  <c r="G2011"/>
  <c r="K2011" s="1"/>
  <c r="E2011"/>
  <c r="D2011"/>
  <c r="K2010"/>
  <c r="F2010"/>
  <c r="N2009"/>
  <c r="M2009"/>
  <c r="L2009"/>
  <c r="J2009"/>
  <c r="I2009"/>
  <c r="H2009"/>
  <c r="G2009"/>
  <c r="E2009"/>
  <c r="D2009"/>
  <c r="F2009" s="1"/>
  <c r="O2008"/>
  <c r="K2008"/>
  <c r="F2008"/>
  <c r="N2007"/>
  <c r="O2006" s="1"/>
  <c r="M2007"/>
  <c r="L2007"/>
  <c r="J2007"/>
  <c r="I2007"/>
  <c r="H2007"/>
  <c r="G2007"/>
  <c r="E2007"/>
  <c r="D2007"/>
  <c r="F2007" s="1"/>
  <c r="K2006"/>
  <c r="F2006"/>
  <c r="N2005"/>
  <c r="M2005"/>
  <c r="L2005"/>
  <c r="J2005"/>
  <c r="I2005"/>
  <c r="H2005"/>
  <c r="G2005"/>
  <c r="E2005"/>
  <c r="D2005"/>
  <c r="O2004"/>
  <c r="K2004"/>
  <c r="F2004"/>
  <c r="N2003"/>
  <c r="O2002" s="1"/>
  <c r="M2003"/>
  <c r="L2003"/>
  <c r="J2003"/>
  <c r="I2003"/>
  <c r="H2003"/>
  <c r="G2003"/>
  <c r="E2003"/>
  <c r="D2003"/>
  <c r="K2002"/>
  <c r="F2002"/>
  <c r="N2001"/>
  <c r="M2001"/>
  <c r="L2001"/>
  <c r="J2001"/>
  <c r="I2001"/>
  <c r="H2001"/>
  <c r="G2001"/>
  <c r="K2001" s="1"/>
  <c r="E2001"/>
  <c r="D2001"/>
  <c r="O2000"/>
  <c r="K2000"/>
  <c r="F2000"/>
  <c r="N1999"/>
  <c r="O1998" s="1"/>
  <c r="M1999"/>
  <c r="L1999"/>
  <c r="J1999"/>
  <c r="I1999"/>
  <c r="H1999"/>
  <c r="G1999"/>
  <c r="K1999" s="1"/>
  <c r="E1999"/>
  <c r="D1999"/>
  <c r="K1998"/>
  <c r="F1998"/>
  <c r="N1997"/>
  <c r="O1996" s="1"/>
  <c r="M1997"/>
  <c r="L1997"/>
  <c r="J1997"/>
  <c r="I1997"/>
  <c r="H1997"/>
  <c r="G1997"/>
  <c r="E1997"/>
  <c r="D1997"/>
  <c r="K1996"/>
  <c r="F1996"/>
  <c r="N1995"/>
  <c r="O1994" s="1"/>
  <c r="M1995"/>
  <c r="L1995"/>
  <c r="J1995"/>
  <c r="I1995"/>
  <c r="H1995"/>
  <c r="G1995"/>
  <c r="E1995"/>
  <c r="D1995"/>
  <c r="K1994"/>
  <c r="F1994"/>
  <c r="N1993"/>
  <c r="O1992" s="1"/>
  <c r="M1993"/>
  <c r="L1993"/>
  <c r="J1993"/>
  <c r="I1993"/>
  <c r="H1993"/>
  <c r="G1993"/>
  <c r="E1993"/>
  <c r="F1993" s="1"/>
  <c r="D1993"/>
  <c r="K1992"/>
  <c r="F1992"/>
  <c r="N1991"/>
  <c r="O1990" s="1"/>
  <c r="M1991"/>
  <c r="L1991"/>
  <c r="J1991"/>
  <c r="I1991"/>
  <c r="H1991"/>
  <c r="G1991"/>
  <c r="E1991"/>
  <c r="D1991"/>
  <c r="K1990"/>
  <c r="F1990"/>
  <c r="N1989"/>
  <c r="O1988" s="1"/>
  <c r="M1989"/>
  <c r="L1989"/>
  <c r="J1989"/>
  <c r="I1989"/>
  <c r="H1989"/>
  <c r="G1989"/>
  <c r="E1989"/>
  <c r="D1989"/>
  <c r="K1988"/>
  <c r="F1988"/>
  <c r="N1987"/>
  <c r="O1986" s="1"/>
  <c r="M1987"/>
  <c r="L1987"/>
  <c r="J1987"/>
  <c r="I1987"/>
  <c r="H1987"/>
  <c r="G1987"/>
  <c r="E1987"/>
  <c r="D1987"/>
  <c r="F1987" s="1"/>
  <c r="K1986"/>
  <c r="F1986"/>
  <c r="N1985"/>
  <c r="O1984" s="1"/>
  <c r="M1985"/>
  <c r="L1985"/>
  <c r="J1985"/>
  <c r="I1985"/>
  <c r="H1985"/>
  <c r="G1985"/>
  <c r="E1985"/>
  <c r="D1985"/>
  <c r="K1984"/>
  <c r="F1984"/>
  <c r="N1983"/>
  <c r="O1982" s="1"/>
  <c r="M1983"/>
  <c r="L1983"/>
  <c r="J1983"/>
  <c r="I1983"/>
  <c r="H1983"/>
  <c r="G1983"/>
  <c r="E1983"/>
  <c r="D1983"/>
  <c r="F1983" s="1"/>
  <c r="K1982"/>
  <c r="F1982"/>
  <c r="N1981"/>
  <c r="O1980" s="1"/>
  <c r="M1981"/>
  <c r="L1981"/>
  <c r="J1981"/>
  <c r="I1981"/>
  <c r="H1981"/>
  <c r="G1981"/>
  <c r="E1981"/>
  <c r="D1981"/>
  <c r="K1980"/>
  <c r="F1980"/>
  <c r="N1979"/>
  <c r="M1979"/>
  <c r="L1979"/>
  <c r="J1979"/>
  <c r="I1979"/>
  <c r="H1979"/>
  <c r="G1979"/>
  <c r="E1979"/>
  <c r="D1979"/>
  <c r="F1979" s="1"/>
  <c r="O1978"/>
  <c r="K1978"/>
  <c r="F1978"/>
  <c r="N1977"/>
  <c r="O1976" s="1"/>
  <c r="M1977"/>
  <c r="L1977"/>
  <c r="J1977"/>
  <c r="I1977"/>
  <c r="H1977"/>
  <c r="G1977"/>
  <c r="E1977"/>
  <c r="D1977"/>
  <c r="K1976"/>
  <c r="F1976"/>
  <c r="N1975"/>
  <c r="O1974" s="1"/>
  <c r="M1975"/>
  <c r="L1975"/>
  <c r="J1975"/>
  <c r="I1975"/>
  <c r="H1975"/>
  <c r="G1975"/>
  <c r="E1975"/>
  <c r="D1975"/>
  <c r="F1975" s="1"/>
  <c r="K1974"/>
  <c r="F1974"/>
  <c r="N1973"/>
  <c r="O1972" s="1"/>
  <c r="M1973"/>
  <c r="L1973"/>
  <c r="J1973"/>
  <c r="I1973"/>
  <c r="H1973"/>
  <c r="G1973"/>
  <c r="E1973"/>
  <c r="D1973"/>
  <c r="K1972"/>
  <c r="F1972"/>
  <c r="N1971"/>
  <c r="O1970" s="1"/>
  <c r="M1971"/>
  <c r="L1971"/>
  <c r="J1971"/>
  <c r="I1971"/>
  <c r="H1971"/>
  <c r="G1971"/>
  <c r="E1971"/>
  <c r="D1971"/>
  <c r="F1971" s="1"/>
  <c r="K1970"/>
  <c r="F1970"/>
  <c r="N1969"/>
  <c r="O1968" s="1"/>
  <c r="M1969"/>
  <c r="L1969"/>
  <c r="J1969"/>
  <c r="I1969"/>
  <c r="H1969"/>
  <c r="G1969"/>
  <c r="E1969"/>
  <c r="D1969"/>
  <c r="K1968"/>
  <c r="F1968"/>
  <c r="N1967"/>
  <c r="O1966" s="1"/>
  <c r="M1967"/>
  <c r="L1967"/>
  <c r="J1967"/>
  <c r="I1967"/>
  <c r="H1967"/>
  <c r="G1967"/>
  <c r="E1967"/>
  <c r="D1967"/>
  <c r="K1966"/>
  <c r="F1966"/>
  <c r="N1965"/>
  <c r="O1964" s="1"/>
  <c r="M1965"/>
  <c r="L1965"/>
  <c r="J1965"/>
  <c r="I1965"/>
  <c r="H1965"/>
  <c r="G1965"/>
  <c r="E1965"/>
  <c r="D1965"/>
  <c r="K1964"/>
  <c r="F1964"/>
  <c r="N1963"/>
  <c r="O1962" s="1"/>
  <c r="M1963"/>
  <c r="L1963"/>
  <c r="J1963"/>
  <c r="I1963"/>
  <c r="H1963"/>
  <c r="G1963"/>
  <c r="E1963"/>
  <c r="D1963"/>
  <c r="K1962"/>
  <c r="F1962"/>
  <c r="N1961"/>
  <c r="O1960" s="1"/>
  <c r="M1961"/>
  <c r="L1961"/>
  <c r="J1961"/>
  <c r="I1961"/>
  <c r="H1961"/>
  <c r="G1961"/>
  <c r="E1961"/>
  <c r="D1961"/>
  <c r="K1960"/>
  <c r="F1960"/>
  <c r="N1959"/>
  <c r="O1958" s="1"/>
  <c r="M1959"/>
  <c r="L1959"/>
  <c r="J1959"/>
  <c r="I1959"/>
  <c r="H1959"/>
  <c r="G1959"/>
  <c r="E1959"/>
  <c r="D1959"/>
  <c r="F1959" s="1"/>
  <c r="K1958"/>
  <c r="F1958"/>
  <c r="N1957"/>
  <c r="M1957"/>
  <c r="L1957"/>
  <c r="J1957"/>
  <c r="I1957"/>
  <c r="H1957"/>
  <c r="G1957"/>
  <c r="E1957"/>
  <c r="D1957"/>
  <c r="O1956"/>
  <c r="K1956"/>
  <c r="F1956"/>
  <c r="N1955"/>
  <c r="O1954" s="1"/>
  <c r="M1955"/>
  <c r="L1955"/>
  <c r="J1955"/>
  <c r="I1955"/>
  <c r="H1955"/>
  <c r="G1955"/>
  <c r="E1955"/>
  <c r="D1955"/>
  <c r="K1954"/>
  <c r="F1954"/>
  <c r="N1953"/>
  <c r="O1952" s="1"/>
  <c r="M1953"/>
  <c r="L1953"/>
  <c r="J1953"/>
  <c r="I1953"/>
  <c r="H1953"/>
  <c r="G1953"/>
  <c r="E1953"/>
  <c r="D1953"/>
  <c r="K1952"/>
  <c r="F1952"/>
  <c r="N1951"/>
  <c r="O1950" s="1"/>
  <c r="M1951"/>
  <c r="L1951"/>
  <c r="J1951"/>
  <c r="I1951"/>
  <c r="H1951"/>
  <c r="G1951"/>
  <c r="E1951"/>
  <c r="D1951"/>
  <c r="F1951" s="1"/>
  <c r="K1950"/>
  <c r="F1950"/>
  <c r="N1949"/>
  <c r="O1948" s="1"/>
  <c r="M1949"/>
  <c r="L1949"/>
  <c r="J1949"/>
  <c r="I1949"/>
  <c r="H1949"/>
  <c r="G1949"/>
  <c r="E1949"/>
  <c r="D1949"/>
  <c r="K1948"/>
  <c r="F1948"/>
  <c r="N1947"/>
  <c r="M1947"/>
  <c r="L1947"/>
  <c r="J1947"/>
  <c r="I1947"/>
  <c r="H1947"/>
  <c r="G1947"/>
  <c r="E1947"/>
  <c r="D1947"/>
  <c r="F1947" s="1"/>
  <c r="O1946"/>
  <c r="K1946"/>
  <c r="F1946"/>
  <c r="N1945"/>
  <c r="O1944" s="1"/>
  <c r="M1945"/>
  <c r="L1945"/>
  <c r="J1945"/>
  <c r="I1945"/>
  <c r="H1945"/>
  <c r="G1945"/>
  <c r="E1945"/>
  <c r="D1945"/>
  <c r="K1944"/>
  <c r="F1944"/>
  <c r="N1943"/>
  <c r="O1942" s="1"/>
  <c r="M1943"/>
  <c r="L1943"/>
  <c r="J1943"/>
  <c r="I1943"/>
  <c r="H1943"/>
  <c r="G1943"/>
  <c r="E1943"/>
  <c r="D1943"/>
  <c r="K1942"/>
  <c r="F1942"/>
  <c r="N1941"/>
  <c r="O1940" s="1"/>
  <c r="M1941"/>
  <c r="L1941"/>
  <c r="J1941"/>
  <c r="I1941"/>
  <c r="H1941"/>
  <c r="G1941"/>
  <c r="E1941"/>
  <c r="D1941"/>
  <c r="F1941" s="1"/>
  <c r="K1940"/>
  <c r="F1940"/>
  <c r="N1939"/>
  <c r="O1938" s="1"/>
  <c r="M1939"/>
  <c r="L1939"/>
  <c r="J1939"/>
  <c r="I1939"/>
  <c r="H1939"/>
  <c r="G1939"/>
  <c r="E1939"/>
  <c r="D1939"/>
  <c r="K1938"/>
  <c r="F1938"/>
  <c r="N1937"/>
  <c r="M1937"/>
  <c r="L1937"/>
  <c r="J1937"/>
  <c r="I1937"/>
  <c r="H1937"/>
  <c r="G1937"/>
  <c r="E1937"/>
  <c r="D1937"/>
  <c r="O1936"/>
  <c r="K1936"/>
  <c r="F1936"/>
  <c r="N1935"/>
  <c r="O1934" s="1"/>
  <c r="M1935"/>
  <c r="L1935"/>
  <c r="J1935"/>
  <c r="I1935"/>
  <c r="H1935"/>
  <c r="G1935"/>
  <c r="E1935"/>
  <c r="D1935"/>
  <c r="K1934"/>
  <c r="F1934"/>
  <c r="N1933"/>
  <c r="M1933"/>
  <c r="L1933"/>
  <c r="J1933"/>
  <c r="I1933"/>
  <c r="H1933"/>
  <c r="G1933"/>
  <c r="E1933"/>
  <c r="D1933"/>
  <c r="O1932"/>
  <c r="K1932"/>
  <c r="F1932"/>
  <c r="N1931"/>
  <c r="O1930" s="1"/>
  <c r="M1931"/>
  <c r="L1931"/>
  <c r="J1931"/>
  <c r="I1931"/>
  <c r="H1931"/>
  <c r="G1931"/>
  <c r="E1931"/>
  <c r="D1931"/>
  <c r="F1931" s="1"/>
  <c r="K1930"/>
  <c r="F1930"/>
  <c r="N1929"/>
  <c r="O1928" s="1"/>
  <c r="M1929"/>
  <c r="L1929"/>
  <c r="J1929"/>
  <c r="I1929"/>
  <c r="H1929"/>
  <c r="G1929"/>
  <c r="E1929"/>
  <c r="D1929"/>
  <c r="K1928"/>
  <c r="F1928"/>
  <c r="N1927"/>
  <c r="O1926" s="1"/>
  <c r="M1927"/>
  <c r="L1927"/>
  <c r="J1927"/>
  <c r="I1927"/>
  <c r="H1927"/>
  <c r="G1927"/>
  <c r="E1927"/>
  <c r="D1927"/>
  <c r="F1927" s="1"/>
  <c r="K1926"/>
  <c r="F1926"/>
  <c r="N1925"/>
  <c r="O1924" s="1"/>
  <c r="M1925"/>
  <c r="L1925"/>
  <c r="J1925"/>
  <c r="I1925"/>
  <c r="H1925"/>
  <c r="G1925"/>
  <c r="E1925"/>
  <c r="D1925"/>
  <c r="K1924"/>
  <c r="F1924"/>
  <c r="N1923"/>
  <c r="O1922" s="1"/>
  <c r="M1923"/>
  <c r="L1923"/>
  <c r="J1923"/>
  <c r="I1923"/>
  <c r="H1923"/>
  <c r="G1923"/>
  <c r="E1923"/>
  <c r="D1923"/>
  <c r="K1922"/>
  <c r="F1922"/>
  <c r="N1921"/>
  <c r="O1920" s="1"/>
  <c r="M1921"/>
  <c r="L1921"/>
  <c r="J1921"/>
  <c r="I1921"/>
  <c r="H1921"/>
  <c r="G1921"/>
  <c r="K1921" s="1"/>
  <c r="E1921"/>
  <c r="D1921"/>
  <c r="F1921" s="1"/>
  <c r="K1920"/>
  <c r="F1920"/>
  <c r="N1919"/>
  <c r="O1918" s="1"/>
  <c r="M1919"/>
  <c r="L1919"/>
  <c r="J1919"/>
  <c r="I1919"/>
  <c r="H1919"/>
  <c r="G1919"/>
  <c r="E1919"/>
  <c r="D1919"/>
  <c r="K1918"/>
  <c r="F1918"/>
  <c r="N1917"/>
  <c r="M1917"/>
  <c r="L1917"/>
  <c r="J1917"/>
  <c r="I1917"/>
  <c r="H1917"/>
  <c r="G1917"/>
  <c r="E1917"/>
  <c r="D1917"/>
  <c r="F1917" s="1"/>
  <c r="O1916"/>
  <c r="K1916"/>
  <c r="F1916"/>
  <c r="N1915"/>
  <c r="O1914" s="1"/>
  <c r="M1915"/>
  <c r="L1915"/>
  <c r="J1915"/>
  <c r="I1915"/>
  <c r="H1915"/>
  <c r="G1915"/>
  <c r="E1915"/>
  <c r="D1915"/>
  <c r="F1915" s="1"/>
  <c r="K1914"/>
  <c r="F1914"/>
  <c r="N1913"/>
  <c r="O1912" s="1"/>
  <c r="M1913"/>
  <c r="L1913"/>
  <c r="J1913"/>
  <c r="I1913"/>
  <c r="H1913"/>
  <c r="G1913"/>
  <c r="E1913"/>
  <c r="D1913"/>
  <c r="F1913" s="1"/>
  <c r="K1912"/>
  <c r="F1912"/>
  <c r="N1911"/>
  <c r="O1910" s="1"/>
  <c r="M1911"/>
  <c r="L1911"/>
  <c r="J1911"/>
  <c r="I1911"/>
  <c r="H1911"/>
  <c r="G1911"/>
  <c r="E1911"/>
  <c r="F1911" s="1"/>
  <c r="D1911"/>
  <c r="K1910"/>
  <c r="F1910"/>
  <c r="N1909"/>
  <c r="O1908" s="1"/>
  <c r="M1909"/>
  <c r="L1909"/>
  <c r="J1909"/>
  <c r="I1909"/>
  <c r="H1909"/>
  <c r="G1909"/>
  <c r="E1909"/>
  <c r="D1909"/>
  <c r="K1908"/>
  <c r="F1908"/>
  <c r="N1907"/>
  <c r="O1906" s="1"/>
  <c r="M1907"/>
  <c r="L1907"/>
  <c r="J1907"/>
  <c r="I1907"/>
  <c r="H1907"/>
  <c r="G1907"/>
  <c r="E1907"/>
  <c r="D1907"/>
  <c r="F1907" s="1"/>
  <c r="K1906"/>
  <c r="F1906"/>
  <c r="N1905"/>
  <c r="O1904" s="1"/>
  <c r="M1905"/>
  <c r="L1905"/>
  <c r="J1905"/>
  <c r="I1905"/>
  <c r="H1905"/>
  <c r="G1905"/>
  <c r="E1905"/>
  <c r="D1905"/>
  <c r="K1904"/>
  <c r="F1904"/>
  <c r="N1903"/>
  <c r="O1902" s="1"/>
  <c r="M1903"/>
  <c r="L1903"/>
  <c r="J1903"/>
  <c r="I1903"/>
  <c r="H1903"/>
  <c r="G1903"/>
  <c r="E1903"/>
  <c r="D1903"/>
  <c r="K1902"/>
  <c r="F1902"/>
  <c r="N1901"/>
  <c r="O1900" s="1"/>
  <c r="M1901"/>
  <c r="L1901"/>
  <c r="J1901"/>
  <c r="I1901"/>
  <c r="H1901"/>
  <c r="G1901"/>
  <c r="K1901" s="1"/>
  <c r="E1901"/>
  <c r="D1901"/>
  <c r="F1901" s="1"/>
  <c r="K1900"/>
  <c r="F1900"/>
  <c r="N1899"/>
  <c r="M1899"/>
  <c r="L1899"/>
  <c r="J1899"/>
  <c r="I1899"/>
  <c r="H1899"/>
  <c r="G1899"/>
  <c r="E1899"/>
  <c r="D1899"/>
  <c r="F1899" s="1"/>
  <c r="O1898"/>
  <c r="K1898"/>
  <c r="F1898"/>
  <c r="N1896"/>
  <c r="M1896"/>
  <c r="L1896"/>
  <c r="J1896"/>
  <c r="I1896"/>
  <c r="H1896"/>
  <c r="G1896"/>
  <c r="E1896"/>
  <c r="D1896"/>
  <c r="N1894"/>
  <c r="M1894"/>
  <c r="L1894"/>
  <c r="J1894"/>
  <c r="I1894"/>
  <c r="H1894"/>
  <c r="G1894"/>
  <c r="E1894"/>
  <c r="D1894"/>
  <c r="N1892"/>
  <c r="M1892"/>
  <c r="L1892"/>
  <c r="J1892"/>
  <c r="I1892"/>
  <c r="H1892"/>
  <c r="G1892"/>
  <c r="E1892"/>
  <c r="D1892"/>
  <c r="N1890"/>
  <c r="M1890"/>
  <c r="L1890"/>
  <c r="J1890"/>
  <c r="I1890"/>
  <c r="H1890"/>
  <c r="G1890"/>
  <c r="E1890"/>
  <c r="D1890"/>
  <c r="F1890" s="1"/>
  <c r="N1889"/>
  <c r="O1888" s="1"/>
  <c r="M1889"/>
  <c r="L1889"/>
  <c r="J1889"/>
  <c r="I1889"/>
  <c r="H1889"/>
  <c r="G1889"/>
  <c r="E1889"/>
  <c r="D1889"/>
  <c r="F1889" s="1"/>
  <c r="K1888"/>
  <c r="F1888"/>
  <c r="N1887"/>
  <c r="O1886" s="1"/>
  <c r="M1887"/>
  <c r="L1887"/>
  <c r="J1887"/>
  <c r="I1887"/>
  <c r="H1887"/>
  <c r="G1887"/>
  <c r="E1887"/>
  <c r="D1887"/>
  <c r="K1886"/>
  <c r="F1886"/>
  <c r="N1885"/>
  <c r="O1884" s="1"/>
  <c r="M1885"/>
  <c r="L1885"/>
  <c r="J1885"/>
  <c r="I1885"/>
  <c r="H1885"/>
  <c r="G1885"/>
  <c r="E1885"/>
  <c r="D1885"/>
  <c r="F1885" s="1"/>
  <c r="K1884"/>
  <c r="F1884"/>
  <c r="N1883"/>
  <c r="O1882" s="1"/>
  <c r="M1883"/>
  <c r="L1883"/>
  <c r="J1883"/>
  <c r="I1883"/>
  <c r="H1883"/>
  <c r="G1883"/>
  <c r="E1883"/>
  <c r="D1883"/>
  <c r="F1883" s="1"/>
  <c r="K1882"/>
  <c r="F1882"/>
  <c r="N1881"/>
  <c r="O1880" s="1"/>
  <c r="M1881"/>
  <c r="L1881"/>
  <c r="J1881"/>
  <c r="I1881"/>
  <c r="H1881"/>
  <c r="G1881"/>
  <c r="K1881" s="1"/>
  <c r="E1881"/>
  <c r="F1881" s="1"/>
  <c r="D1881"/>
  <c r="K1880"/>
  <c r="F1880"/>
  <c r="N1879"/>
  <c r="O1878" s="1"/>
  <c r="M1879"/>
  <c r="L1879"/>
  <c r="J1879"/>
  <c r="I1879"/>
  <c r="H1879"/>
  <c r="G1879"/>
  <c r="E1879"/>
  <c r="D1879"/>
  <c r="F1879" s="1"/>
  <c r="K1878"/>
  <c r="F1878"/>
  <c r="N1877"/>
  <c r="M1877"/>
  <c r="L1877"/>
  <c r="J1877"/>
  <c r="I1877"/>
  <c r="H1877"/>
  <c r="G1877"/>
  <c r="E1877"/>
  <c r="D1877"/>
  <c r="O1876"/>
  <c r="K1876"/>
  <c r="F1876"/>
  <c r="N1875"/>
  <c r="O1874" s="1"/>
  <c r="M1875"/>
  <c r="L1875"/>
  <c r="J1875"/>
  <c r="I1875"/>
  <c r="K1875" s="1"/>
  <c r="H1875"/>
  <c r="G1875"/>
  <c r="E1875"/>
  <c r="D1875"/>
  <c r="F1875" s="1"/>
  <c r="K1874"/>
  <c r="F1874"/>
  <c r="N1873"/>
  <c r="O1872" s="1"/>
  <c r="M1873"/>
  <c r="L1873"/>
  <c r="J1873"/>
  <c r="I1873"/>
  <c r="H1873"/>
  <c r="G1873"/>
  <c r="K1873" s="1"/>
  <c r="E1873"/>
  <c r="D1873"/>
  <c r="F1873" s="1"/>
  <c r="K1872"/>
  <c r="F1872"/>
  <c r="N1871"/>
  <c r="O1870" s="1"/>
  <c r="M1871"/>
  <c r="L1871"/>
  <c r="J1871"/>
  <c r="I1871"/>
  <c r="H1871"/>
  <c r="G1871"/>
  <c r="E1871"/>
  <c r="D1871"/>
  <c r="F1871" s="1"/>
  <c r="K1870"/>
  <c r="F1870"/>
  <c r="N1869"/>
  <c r="O1868" s="1"/>
  <c r="M1869"/>
  <c r="L1869"/>
  <c r="J1869"/>
  <c r="I1869"/>
  <c r="H1869"/>
  <c r="G1869"/>
  <c r="E1869"/>
  <c r="D1869"/>
  <c r="F1869" s="1"/>
  <c r="K1868"/>
  <c r="F1868"/>
  <c r="N1867"/>
  <c r="O1866" s="1"/>
  <c r="M1867"/>
  <c r="L1867"/>
  <c r="J1867"/>
  <c r="I1867"/>
  <c r="H1867"/>
  <c r="G1867"/>
  <c r="E1867"/>
  <c r="D1867"/>
  <c r="K1866"/>
  <c r="F1866"/>
  <c r="N1865"/>
  <c r="O1864" s="1"/>
  <c r="M1865"/>
  <c r="L1865"/>
  <c r="J1865"/>
  <c r="I1865"/>
  <c r="H1865"/>
  <c r="G1865"/>
  <c r="E1865"/>
  <c r="D1865"/>
  <c r="K1864"/>
  <c r="F1864"/>
  <c r="N1863"/>
  <c r="O1862" s="1"/>
  <c r="M1863"/>
  <c r="L1863"/>
  <c r="J1863"/>
  <c r="I1863"/>
  <c r="H1863"/>
  <c r="G1863"/>
  <c r="K1863" s="1"/>
  <c r="E1863"/>
  <c r="D1863"/>
  <c r="F1863" s="1"/>
  <c r="K1862"/>
  <c r="F1862"/>
  <c r="N1861"/>
  <c r="O1860" s="1"/>
  <c r="M1861"/>
  <c r="L1861"/>
  <c r="J1861"/>
  <c r="I1861"/>
  <c r="H1861"/>
  <c r="G1861"/>
  <c r="E1861"/>
  <c r="D1861"/>
  <c r="K1860"/>
  <c r="F1860"/>
  <c r="N1859"/>
  <c r="O1858" s="1"/>
  <c r="M1859"/>
  <c r="L1859"/>
  <c r="J1859"/>
  <c r="I1859"/>
  <c r="H1859"/>
  <c r="G1859"/>
  <c r="E1859"/>
  <c r="D1859"/>
  <c r="K1858"/>
  <c r="F1858"/>
  <c r="N1857"/>
  <c r="O1856" s="1"/>
  <c r="M1857"/>
  <c r="L1857"/>
  <c r="J1857"/>
  <c r="I1857"/>
  <c r="H1857"/>
  <c r="G1857"/>
  <c r="E1857"/>
  <c r="D1857"/>
  <c r="K1856"/>
  <c r="F1856"/>
  <c r="N1855"/>
  <c r="O1854" s="1"/>
  <c r="M1855"/>
  <c r="L1855"/>
  <c r="J1855"/>
  <c r="I1855"/>
  <c r="H1855"/>
  <c r="G1855"/>
  <c r="E1855"/>
  <c r="D1855"/>
  <c r="F1855" s="1"/>
  <c r="K1854"/>
  <c r="F1854"/>
  <c r="N1853"/>
  <c r="O1852" s="1"/>
  <c r="M1853"/>
  <c r="L1853"/>
  <c r="J1853"/>
  <c r="I1853"/>
  <c r="H1853"/>
  <c r="G1853"/>
  <c r="E1853"/>
  <c r="D1853"/>
  <c r="K1852"/>
  <c r="F1852"/>
  <c r="N1851"/>
  <c r="O1850" s="1"/>
  <c r="M1851"/>
  <c r="L1851"/>
  <c r="J1851"/>
  <c r="I1851"/>
  <c r="H1851"/>
  <c r="G1851"/>
  <c r="E1851"/>
  <c r="F1851" s="1"/>
  <c r="D1851"/>
  <c r="K1850"/>
  <c r="F1850"/>
  <c r="N1849"/>
  <c r="O1848" s="1"/>
  <c r="M1849"/>
  <c r="L1849"/>
  <c r="J1849"/>
  <c r="I1849"/>
  <c r="H1849"/>
  <c r="G1849"/>
  <c r="E1849"/>
  <c r="D1849"/>
  <c r="K1848"/>
  <c r="F1848"/>
  <c r="N1847"/>
  <c r="O1846" s="1"/>
  <c r="M1847"/>
  <c r="L1847"/>
  <c r="J1847"/>
  <c r="I1847"/>
  <c r="H1847"/>
  <c r="G1847"/>
  <c r="E1847"/>
  <c r="D1847"/>
  <c r="K1846"/>
  <c r="F1846"/>
  <c r="N1845"/>
  <c r="O1844" s="1"/>
  <c r="M1845"/>
  <c r="L1845"/>
  <c r="J1845"/>
  <c r="I1845"/>
  <c r="K1845" s="1"/>
  <c r="H1845"/>
  <c r="G1845"/>
  <c r="E1845"/>
  <c r="D1845"/>
  <c r="K1844"/>
  <c r="F1844"/>
  <c r="N1843"/>
  <c r="M1843"/>
  <c r="L1843"/>
  <c r="J1843"/>
  <c r="I1843"/>
  <c r="H1843"/>
  <c r="G1843"/>
  <c r="K1843" s="1"/>
  <c r="E1843"/>
  <c r="D1843"/>
  <c r="O1842"/>
  <c r="K1842"/>
  <c r="F1842"/>
  <c r="N1841"/>
  <c r="M1841"/>
  <c r="L1841"/>
  <c r="J1841"/>
  <c r="I1841"/>
  <c r="K1841" s="1"/>
  <c r="H1841"/>
  <c r="G1841"/>
  <c r="E1841"/>
  <c r="D1841"/>
  <c r="F1841" s="1"/>
  <c r="O1840"/>
  <c r="K1840"/>
  <c r="F1840"/>
  <c r="N1839"/>
  <c r="O1838" s="1"/>
  <c r="M1839"/>
  <c r="L1839"/>
  <c r="J1839"/>
  <c r="I1839"/>
  <c r="H1839"/>
  <c r="G1839"/>
  <c r="E1839"/>
  <c r="D1839"/>
  <c r="F1839" s="1"/>
  <c r="K1838"/>
  <c r="F1838"/>
  <c r="N1837"/>
  <c r="M1837"/>
  <c r="L1837"/>
  <c r="J1837"/>
  <c r="I1837"/>
  <c r="H1837"/>
  <c r="G1837"/>
  <c r="E1837"/>
  <c r="D1837"/>
  <c r="O1836"/>
  <c r="K1836"/>
  <c r="F1836"/>
  <c r="N1835"/>
  <c r="O1834" s="1"/>
  <c r="M1835"/>
  <c r="L1835"/>
  <c r="J1835"/>
  <c r="I1835"/>
  <c r="H1835"/>
  <c r="G1835"/>
  <c r="K1835" s="1"/>
  <c r="E1835"/>
  <c r="D1835"/>
  <c r="K1834"/>
  <c r="F1834"/>
  <c r="N1833"/>
  <c r="O1832" s="1"/>
  <c r="M1833"/>
  <c r="L1833"/>
  <c r="J1833"/>
  <c r="I1833"/>
  <c r="H1833"/>
  <c r="G1833"/>
  <c r="E1833"/>
  <c r="D1833"/>
  <c r="K1832"/>
  <c r="F1832"/>
  <c r="N1831"/>
  <c r="O1830" s="1"/>
  <c r="M1831"/>
  <c r="L1831"/>
  <c r="J1831"/>
  <c r="I1831"/>
  <c r="H1831"/>
  <c r="G1831"/>
  <c r="E1831"/>
  <c r="D1831"/>
  <c r="K1830"/>
  <c r="F1830"/>
  <c r="N1829"/>
  <c r="O1828" s="1"/>
  <c r="M1829"/>
  <c r="L1829"/>
  <c r="J1829"/>
  <c r="I1829"/>
  <c r="H1829"/>
  <c r="G1829"/>
  <c r="E1829"/>
  <c r="D1829"/>
  <c r="K1828"/>
  <c r="F1828"/>
  <c r="N1827"/>
  <c r="O1826" s="1"/>
  <c r="M1827"/>
  <c r="L1827"/>
  <c r="J1827"/>
  <c r="I1827"/>
  <c r="H1827"/>
  <c r="G1827"/>
  <c r="E1827"/>
  <c r="D1827"/>
  <c r="K1826"/>
  <c r="F1826"/>
  <c r="N1825"/>
  <c r="O1824" s="1"/>
  <c r="M1825"/>
  <c r="L1825"/>
  <c r="J1825"/>
  <c r="I1825"/>
  <c r="H1825"/>
  <c r="G1825"/>
  <c r="E1825"/>
  <c r="D1825"/>
  <c r="F1825" s="1"/>
  <c r="K1824"/>
  <c r="F1824"/>
  <c r="N1823"/>
  <c r="O1822" s="1"/>
  <c r="M1823"/>
  <c r="L1823"/>
  <c r="J1823"/>
  <c r="I1823"/>
  <c r="H1823"/>
  <c r="G1823"/>
  <c r="F1823"/>
  <c r="E1823"/>
  <c r="D1823"/>
  <c r="K1822"/>
  <c r="F1822"/>
  <c r="N1821"/>
  <c r="O1820" s="1"/>
  <c r="M1821"/>
  <c r="L1821"/>
  <c r="J1821"/>
  <c r="I1821"/>
  <c r="H1821"/>
  <c r="G1821"/>
  <c r="E1821"/>
  <c r="D1821"/>
  <c r="K1820"/>
  <c r="F1820"/>
  <c r="N1819"/>
  <c r="O1818" s="1"/>
  <c r="M1819"/>
  <c r="L1819"/>
  <c r="J1819"/>
  <c r="I1819"/>
  <c r="H1819"/>
  <c r="G1819"/>
  <c r="E1819"/>
  <c r="D1819"/>
  <c r="F1819" s="1"/>
  <c r="K1818"/>
  <c r="F1818"/>
  <c r="N1817"/>
  <c r="M1817"/>
  <c r="L1817"/>
  <c r="J1817"/>
  <c r="I1817"/>
  <c r="H1817"/>
  <c r="G1817"/>
  <c r="E1817"/>
  <c r="F1817" s="1"/>
  <c r="D1817"/>
  <c r="O1816"/>
  <c r="K1816"/>
  <c r="F1816"/>
  <c r="N1815"/>
  <c r="O1814" s="1"/>
  <c r="M1815"/>
  <c r="L1815"/>
  <c r="J1815"/>
  <c r="I1815"/>
  <c r="H1815"/>
  <c r="G1815"/>
  <c r="E1815"/>
  <c r="D1815"/>
  <c r="K1814"/>
  <c r="F1814"/>
  <c r="N1813"/>
  <c r="O1812" s="1"/>
  <c r="M1813"/>
  <c r="L1813"/>
  <c r="J1813"/>
  <c r="I1813"/>
  <c r="H1813"/>
  <c r="G1813"/>
  <c r="E1813"/>
  <c r="D1813"/>
  <c r="K1812"/>
  <c r="F1812"/>
  <c r="N1811"/>
  <c r="M1811"/>
  <c r="L1811"/>
  <c r="J1811"/>
  <c r="I1811"/>
  <c r="H1811"/>
  <c r="G1811"/>
  <c r="E1811"/>
  <c r="D1811"/>
  <c r="F1811" s="1"/>
  <c r="O1810"/>
  <c r="K1810"/>
  <c r="F1810"/>
  <c r="N1809"/>
  <c r="O1808" s="1"/>
  <c r="M1809"/>
  <c r="L1809"/>
  <c r="J1809"/>
  <c r="I1809"/>
  <c r="H1809"/>
  <c r="G1809"/>
  <c r="E1809"/>
  <c r="D1809"/>
  <c r="K1808"/>
  <c r="F1808"/>
  <c r="N1807"/>
  <c r="O1806" s="1"/>
  <c r="M1807"/>
  <c r="L1807"/>
  <c r="J1807"/>
  <c r="I1807"/>
  <c r="H1807"/>
  <c r="G1807"/>
  <c r="E1807"/>
  <c r="D1807"/>
  <c r="K1806"/>
  <c r="F1806"/>
  <c r="N1805"/>
  <c r="O1804" s="1"/>
  <c r="M1805"/>
  <c r="L1805"/>
  <c r="J1805"/>
  <c r="I1805"/>
  <c r="H1805"/>
  <c r="G1805"/>
  <c r="E1805"/>
  <c r="D1805"/>
  <c r="K1804"/>
  <c r="F1804"/>
  <c r="N1803"/>
  <c r="O1802" s="1"/>
  <c r="M1803"/>
  <c r="L1803"/>
  <c r="J1803"/>
  <c r="I1803"/>
  <c r="H1803"/>
  <c r="G1803"/>
  <c r="E1803"/>
  <c r="D1803"/>
  <c r="K1802"/>
  <c r="F1802"/>
  <c r="N1801"/>
  <c r="O1800" s="1"/>
  <c r="M1801"/>
  <c r="L1801"/>
  <c r="J1801"/>
  <c r="I1801"/>
  <c r="H1801"/>
  <c r="G1801"/>
  <c r="E1801"/>
  <c r="D1801"/>
  <c r="K1800"/>
  <c r="F1800"/>
  <c r="N1799"/>
  <c r="O1798" s="1"/>
  <c r="M1799"/>
  <c r="L1799"/>
  <c r="J1799"/>
  <c r="I1799"/>
  <c r="H1799"/>
  <c r="G1799"/>
  <c r="K1799" s="1"/>
  <c r="E1799"/>
  <c r="D1799"/>
  <c r="F1799" s="1"/>
  <c r="K1798"/>
  <c r="F1798"/>
  <c r="N1797"/>
  <c r="O1796" s="1"/>
  <c r="M1797"/>
  <c r="L1797"/>
  <c r="J1797"/>
  <c r="I1797"/>
  <c r="H1797"/>
  <c r="G1797"/>
  <c r="E1797"/>
  <c r="D1797"/>
  <c r="K1796"/>
  <c r="F1796"/>
  <c r="N1795"/>
  <c r="O1794" s="1"/>
  <c r="M1795"/>
  <c r="L1795"/>
  <c r="J1795"/>
  <c r="I1795"/>
  <c r="H1795"/>
  <c r="G1795"/>
  <c r="E1795"/>
  <c r="D1795"/>
  <c r="K1794"/>
  <c r="F1794"/>
  <c r="N1793"/>
  <c r="O1792" s="1"/>
  <c r="M1793"/>
  <c r="L1793"/>
  <c r="J1793"/>
  <c r="I1793"/>
  <c r="H1793"/>
  <c r="G1793"/>
  <c r="E1793"/>
  <c r="D1793"/>
  <c r="K1792"/>
  <c r="F1792"/>
  <c r="N1791"/>
  <c r="O1790" s="1"/>
  <c r="M1791"/>
  <c r="L1791"/>
  <c r="J1791"/>
  <c r="I1791"/>
  <c r="H1791"/>
  <c r="G1791"/>
  <c r="E1791"/>
  <c r="D1791"/>
  <c r="F1791" s="1"/>
  <c r="K1790"/>
  <c r="F1790"/>
  <c r="N1789"/>
  <c r="O1788" s="1"/>
  <c r="M1789"/>
  <c r="L1789"/>
  <c r="J1789"/>
  <c r="I1789"/>
  <c r="H1789"/>
  <c r="G1789"/>
  <c r="E1789"/>
  <c r="D1789"/>
  <c r="K1788"/>
  <c r="F1788"/>
  <c r="N1787"/>
  <c r="O1786" s="1"/>
  <c r="M1787"/>
  <c r="L1787"/>
  <c r="J1787"/>
  <c r="I1787"/>
  <c r="H1787"/>
  <c r="G1787"/>
  <c r="E1787"/>
  <c r="D1787"/>
  <c r="F1787" s="1"/>
  <c r="K1786"/>
  <c r="F1786"/>
  <c r="N1785"/>
  <c r="O1784" s="1"/>
  <c r="M1785"/>
  <c r="L1785"/>
  <c r="J1785"/>
  <c r="I1785"/>
  <c r="H1785"/>
  <c r="G1785"/>
  <c r="E1785"/>
  <c r="D1785"/>
  <c r="K1784"/>
  <c r="F1784"/>
  <c r="N1783"/>
  <c r="O1782" s="1"/>
  <c r="M1783"/>
  <c r="L1783"/>
  <c r="J1783"/>
  <c r="I1783"/>
  <c r="H1783"/>
  <c r="G1783"/>
  <c r="E1783"/>
  <c r="F1783" s="1"/>
  <c r="D1783"/>
  <c r="K1782"/>
  <c r="F1782"/>
  <c r="N1781"/>
  <c r="O1780" s="1"/>
  <c r="M1781"/>
  <c r="L1781"/>
  <c r="J1781"/>
  <c r="I1781"/>
  <c r="H1781"/>
  <c r="G1781"/>
  <c r="E1781"/>
  <c r="D1781"/>
  <c r="K1780"/>
  <c r="F1780"/>
  <c r="N1779"/>
  <c r="O1778" s="1"/>
  <c r="M1779"/>
  <c r="L1779"/>
  <c r="J1779"/>
  <c r="I1779"/>
  <c r="H1779"/>
  <c r="G1779"/>
  <c r="E1779"/>
  <c r="D1779"/>
  <c r="K1778"/>
  <c r="F1778"/>
  <c r="N1777"/>
  <c r="O1776" s="1"/>
  <c r="M1777"/>
  <c r="L1777"/>
  <c r="J1777"/>
  <c r="I1777"/>
  <c r="H1777"/>
  <c r="G1777"/>
  <c r="E1777"/>
  <c r="D1777"/>
  <c r="F1777" s="1"/>
  <c r="K1776"/>
  <c r="F1776"/>
  <c r="N1775"/>
  <c r="O1774" s="1"/>
  <c r="M1775"/>
  <c r="L1775"/>
  <c r="J1775"/>
  <c r="I1775"/>
  <c r="H1775"/>
  <c r="G1775"/>
  <c r="E1775"/>
  <c r="D1775"/>
  <c r="F1775" s="1"/>
  <c r="K1774"/>
  <c r="F1774"/>
  <c r="N1773"/>
  <c r="O1772" s="1"/>
  <c r="M1773"/>
  <c r="L1773"/>
  <c r="J1773"/>
  <c r="I1773"/>
  <c r="H1773"/>
  <c r="G1773"/>
  <c r="E1773"/>
  <c r="D1773"/>
  <c r="F1773" s="1"/>
  <c r="K1772"/>
  <c r="F1772"/>
  <c r="N1771"/>
  <c r="O1770" s="1"/>
  <c r="M1771"/>
  <c r="L1771"/>
  <c r="J1771"/>
  <c r="I1771"/>
  <c r="H1771"/>
  <c r="G1771"/>
  <c r="E1771"/>
  <c r="D1771"/>
  <c r="F1771" s="1"/>
  <c r="K1770"/>
  <c r="F1770"/>
  <c r="N1769"/>
  <c r="O1768" s="1"/>
  <c r="M1769"/>
  <c r="L1769"/>
  <c r="J1769"/>
  <c r="I1769"/>
  <c r="H1769"/>
  <c r="G1769"/>
  <c r="E1769"/>
  <c r="D1769"/>
  <c r="K1768"/>
  <c r="F1768"/>
  <c r="N1767"/>
  <c r="O1766" s="1"/>
  <c r="M1767"/>
  <c r="L1767"/>
  <c r="J1767"/>
  <c r="I1767"/>
  <c r="H1767"/>
  <c r="G1767"/>
  <c r="E1767"/>
  <c r="D1767"/>
  <c r="F1767" s="1"/>
  <c r="K1766"/>
  <c r="F1766"/>
  <c r="N1765"/>
  <c r="O1764" s="1"/>
  <c r="M1765"/>
  <c r="L1765"/>
  <c r="J1765"/>
  <c r="I1765"/>
  <c r="H1765"/>
  <c r="G1765"/>
  <c r="E1765"/>
  <c r="D1765"/>
  <c r="F1765" s="1"/>
  <c r="K1764"/>
  <c r="F1764"/>
  <c r="N1763"/>
  <c r="O1762" s="1"/>
  <c r="M1763"/>
  <c r="L1763"/>
  <c r="J1763"/>
  <c r="I1763"/>
  <c r="H1763"/>
  <c r="G1763"/>
  <c r="E1763"/>
  <c r="D1763"/>
  <c r="K1762"/>
  <c r="F1762"/>
  <c r="N1761"/>
  <c r="M1761"/>
  <c r="L1761"/>
  <c r="J1761"/>
  <c r="I1761"/>
  <c r="H1761"/>
  <c r="G1761"/>
  <c r="E1761"/>
  <c r="D1761"/>
  <c r="O1760"/>
  <c r="K1760"/>
  <c r="F1760"/>
  <c r="N1759"/>
  <c r="O1758" s="1"/>
  <c r="M1759"/>
  <c r="L1759"/>
  <c r="J1759"/>
  <c r="I1759"/>
  <c r="H1759"/>
  <c r="G1759"/>
  <c r="E1759"/>
  <c r="D1759"/>
  <c r="F1759" s="1"/>
  <c r="K1758"/>
  <c r="F1758"/>
  <c r="N1757"/>
  <c r="O1756" s="1"/>
  <c r="M1757"/>
  <c r="L1757"/>
  <c r="J1757"/>
  <c r="I1757"/>
  <c r="H1757"/>
  <c r="G1757"/>
  <c r="E1757"/>
  <c r="D1757"/>
  <c r="F1757" s="1"/>
  <c r="K1756"/>
  <c r="F1756"/>
  <c r="N1755"/>
  <c r="O1754" s="1"/>
  <c r="M1755"/>
  <c r="L1755"/>
  <c r="J1755"/>
  <c r="I1755"/>
  <c r="H1755"/>
  <c r="G1755"/>
  <c r="E1755"/>
  <c r="D1755"/>
  <c r="F1755" s="1"/>
  <c r="K1754"/>
  <c r="F1754"/>
  <c r="N1753"/>
  <c r="O1752" s="1"/>
  <c r="M1753"/>
  <c r="L1753"/>
  <c r="J1753"/>
  <c r="I1753"/>
  <c r="H1753"/>
  <c r="G1753"/>
  <c r="E1753"/>
  <c r="D1753"/>
  <c r="K1752"/>
  <c r="F1752"/>
  <c r="N1751"/>
  <c r="O1750" s="1"/>
  <c r="M1751"/>
  <c r="L1751"/>
  <c r="J1751"/>
  <c r="I1751"/>
  <c r="H1751"/>
  <c r="G1751"/>
  <c r="E1751"/>
  <c r="D1751"/>
  <c r="F1751" s="1"/>
  <c r="K1750"/>
  <c r="F1750"/>
  <c r="N1749"/>
  <c r="O1748" s="1"/>
  <c r="M1749"/>
  <c r="L1749"/>
  <c r="J1749"/>
  <c r="I1749"/>
  <c r="H1749"/>
  <c r="G1749"/>
  <c r="E1749"/>
  <c r="D1749"/>
  <c r="F1749" s="1"/>
  <c r="K1748"/>
  <c r="F1748"/>
  <c r="N1747"/>
  <c r="M1747"/>
  <c r="L1747"/>
  <c r="J1747"/>
  <c r="I1747"/>
  <c r="H1747"/>
  <c r="G1747"/>
  <c r="E1747"/>
  <c r="D1747"/>
  <c r="O1746"/>
  <c r="K1746"/>
  <c r="F1746"/>
  <c r="N1745"/>
  <c r="M1745"/>
  <c r="L1745"/>
  <c r="J1745"/>
  <c r="I1745"/>
  <c r="H1745"/>
  <c r="G1745"/>
  <c r="K1745" s="1"/>
  <c r="E1745"/>
  <c r="D1745"/>
  <c r="F1745" s="1"/>
  <c r="O1744"/>
  <c r="K1744"/>
  <c r="F1744"/>
  <c r="N1743"/>
  <c r="M1743"/>
  <c r="L1743"/>
  <c r="J1743"/>
  <c r="I1743"/>
  <c r="H1743"/>
  <c r="G1743"/>
  <c r="E1743"/>
  <c r="D1743"/>
  <c r="O1742"/>
  <c r="K1742"/>
  <c r="F1742"/>
  <c r="N1741"/>
  <c r="O1740" s="1"/>
  <c r="M1741"/>
  <c r="L1741"/>
  <c r="J1741"/>
  <c r="I1741"/>
  <c r="H1741"/>
  <c r="G1741"/>
  <c r="E1741"/>
  <c r="D1741"/>
  <c r="F1741" s="1"/>
  <c r="K1740"/>
  <c r="F1740"/>
  <c r="N1739"/>
  <c r="M1739"/>
  <c r="L1739"/>
  <c r="J1739"/>
  <c r="I1739"/>
  <c r="H1739"/>
  <c r="G1739"/>
  <c r="E1739"/>
  <c r="D1739"/>
  <c r="O1738"/>
  <c r="K1738"/>
  <c r="F1738"/>
  <c r="N1737"/>
  <c r="O1736" s="1"/>
  <c r="M1737"/>
  <c r="L1737"/>
  <c r="J1737"/>
  <c r="I1737"/>
  <c r="H1737"/>
  <c r="G1737"/>
  <c r="E1737"/>
  <c r="D1737"/>
  <c r="K1736"/>
  <c r="F1736"/>
  <c r="N1735"/>
  <c r="O1734" s="1"/>
  <c r="M1735"/>
  <c r="L1735"/>
  <c r="J1735"/>
  <c r="I1735"/>
  <c r="H1735"/>
  <c r="G1735"/>
  <c r="E1735"/>
  <c r="D1735"/>
  <c r="K1734"/>
  <c r="F1734"/>
  <c r="N1733"/>
  <c r="O1732" s="1"/>
  <c r="M1733"/>
  <c r="L1733"/>
  <c r="J1733"/>
  <c r="I1733"/>
  <c r="H1733"/>
  <c r="G1733"/>
  <c r="E1733"/>
  <c r="D1733"/>
  <c r="K1732"/>
  <c r="F1732"/>
  <c r="N1731"/>
  <c r="O1730" s="1"/>
  <c r="M1731"/>
  <c r="L1731"/>
  <c r="J1731"/>
  <c r="I1731"/>
  <c r="H1731"/>
  <c r="G1731"/>
  <c r="E1731"/>
  <c r="D1731"/>
  <c r="K1730"/>
  <c r="F1730"/>
  <c r="N1729"/>
  <c r="O1728" s="1"/>
  <c r="M1729"/>
  <c r="L1729"/>
  <c r="J1729"/>
  <c r="I1729"/>
  <c r="H1729"/>
  <c r="G1729"/>
  <c r="E1729"/>
  <c r="D1729"/>
  <c r="F1729" s="1"/>
  <c r="K1728"/>
  <c r="F1728"/>
  <c r="N1727"/>
  <c r="O1726" s="1"/>
  <c r="M1727"/>
  <c r="L1727"/>
  <c r="J1727"/>
  <c r="I1727"/>
  <c r="H1727"/>
  <c r="G1727"/>
  <c r="E1727"/>
  <c r="D1727"/>
  <c r="F1727" s="1"/>
  <c r="K1726"/>
  <c r="F1726"/>
  <c r="N1725"/>
  <c r="O1724" s="1"/>
  <c r="M1725"/>
  <c r="L1725"/>
  <c r="J1725"/>
  <c r="I1725"/>
  <c r="H1725"/>
  <c r="G1725"/>
  <c r="E1725"/>
  <c r="D1725"/>
  <c r="K1724"/>
  <c r="F1724"/>
  <c r="N1723"/>
  <c r="M1723"/>
  <c r="L1723"/>
  <c r="J1723"/>
  <c r="I1723"/>
  <c r="H1723"/>
  <c r="G1723"/>
  <c r="E1723"/>
  <c r="D1723"/>
  <c r="O1722"/>
  <c r="K1722"/>
  <c r="F1722"/>
  <c r="N1721"/>
  <c r="O1720" s="1"/>
  <c r="M1721"/>
  <c r="L1721"/>
  <c r="J1721"/>
  <c r="I1721"/>
  <c r="H1721"/>
  <c r="G1721"/>
  <c r="E1721"/>
  <c r="D1721"/>
  <c r="K1720"/>
  <c r="F1720"/>
  <c r="N1719"/>
  <c r="M1719"/>
  <c r="L1719"/>
  <c r="J1719"/>
  <c r="I1719"/>
  <c r="H1719"/>
  <c r="G1719"/>
  <c r="E1719"/>
  <c r="D1719"/>
  <c r="O1718"/>
  <c r="K1718"/>
  <c r="F1718"/>
  <c r="N1717"/>
  <c r="O1716" s="1"/>
  <c r="M1717"/>
  <c r="L1717"/>
  <c r="J1717"/>
  <c r="I1717"/>
  <c r="H1717"/>
  <c r="G1717"/>
  <c r="E1717"/>
  <c r="D1717"/>
  <c r="F1717" s="1"/>
  <c r="K1716"/>
  <c r="F1716"/>
  <c r="N1715"/>
  <c r="M1715"/>
  <c r="L1715"/>
  <c r="J1715"/>
  <c r="I1715"/>
  <c r="H1715"/>
  <c r="G1715"/>
  <c r="E1715"/>
  <c r="D1715"/>
  <c r="F1715" s="1"/>
  <c r="O1714"/>
  <c r="K1714"/>
  <c r="F1714"/>
  <c r="N1713"/>
  <c r="O1712" s="1"/>
  <c r="M1713"/>
  <c r="L1713"/>
  <c r="J1713"/>
  <c r="I1713"/>
  <c r="H1713"/>
  <c r="G1713"/>
  <c r="E1713"/>
  <c r="D1713"/>
  <c r="F1713" s="1"/>
  <c r="K1712"/>
  <c r="F1712"/>
  <c r="N1711"/>
  <c r="O1710" s="1"/>
  <c r="M1711"/>
  <c r="L1711"/>
  <c r="J1711"/>
  <c r="I1711"/>
  <c r="H1711"/>
  <c r="G1711"/>
  <c r="E1711"/>
  <c r="D1711"/>
  <c r="K1710"/>
  <c r="F1710"/>
  <c r="N1709"/>
  <c r="O1708" s="1"/>
  <c r="M1709"/>
  <c r="L1709"/>
  <c r="J1709"/>
  <c r="I1709"/>
  <c r="H1709"/>
  <c r="G1709"/>
  <c r="E1709"/>
  <c r="D1709"/>
  <c r="F1709" s="1"/>
  <c r="K1708"/>
  <c r="F1708"/>
  <c r="N1707"/>
  <c r="O1706" s="1"/>
  <c r="M1707"/>
  <c r="L1707"/>
  <c r="J1707"/>
  <c r="I1707"/>
  <c r="H1707"/>
  <c r="G1707"/>
  <c r="E1707"/>
  <c r="D1707"/>
  <c r="F1707" s="1"/>
  <c r="K1706"/>
  <c r="F1706"/>
  <c r="N1705"/>
  <c r="O1704" s="1"/>
  <c r="M1705"/>
  <c r="L1705"/>
  <c r="J1705"/>
  <c r="I1705"/>
  <c r="H1705"/>
  <c r="G1705"/>
  <c r="E1705"/>
  <c r="D1705"/>
  <c r="F1705" s="1"/>
  <c r="K1704"/>
  <c r="F1704"/>
  <c r="N1703"/>
  <c r="O1702" s="1"/>
  <c r="M1703"/>
  <c r="L1703"/>
  <c r="J1703"/>
  <c r="I1703"/>
  <c r="H1703"/>
  <c r="G1703"/>
  <c r="K1703" s="1"/>
  <c r="E1703"/>
  <c r="D1703"/>
  <c r="K1702"/>
  <c r="F1702"/>
  <c r="N1701"/>
  <c r="O1700" s="1"/>
  <c r="M1701"/>
  <c r="L1701"/>
  <c r="J1701"/>
  <c r="I1701"/>
  <c r="H1701"/>
  <c r="G1701"/>
  <c r="E1701"/>
  <c r="D1701"/>
  <c r="K1700"/>
  <c r="F1700"/>
  <c r="N1699"/>
  <c r="M1699"/>
  <c r="L1699"/>
  <c r="J1699"/>
  <c r="I1699"/>
  <c r="H1699"/>
  <c r="G1699"/>
  <c r="E1699"/>
  <c r="D1699"/>
  <c r="F1699" s="1"/>
  <c r="O1698"/>
  <c r="K1698"/>
  <c r="F1698"/>
  <c r="N1697"/>
  <c r="O1696" s="1"/>
  <c r="M1697"/>
  <c r="L1697"/>
  <c r="J1697"/>
  <c r="I1697"/>
  <c r="H1697"/>
  <c r="G1697"/>
  <c r="E1697"/>
  <c r="D1697"/>
  <c r="K1696"/>
  <c r="F1696"/>
  <c r="N1695"/>
  <c r="M1695"/>
  <c r="L1695"/>
  <c r="J1695"/>
  <c r="I1695"/>
  <c r="H1695"/>
  <c r="G1695"/>
  <c r="E1695"/>
  <c r="D1695"/>
  <c r="F1695" s="1"/>
  <c r="O1694"/>
  <c r="K1694"/>
  <c r="F1694"/>
  <c r="N1693"/>
  <c r="O1692" s="1"/>
  <c r="M1693"/>
  <c r="L1693"/>
  <c r="J1693"/>
  <c r="I1693"/>
  <c r="H1693"/>
  <c r="G1693"/>
  <c r="E1693"/>
  <c r="D1693"/>
  <c r="K1692"/>
  <c r="F1692"/>
  <c r="N1691"/>
  <c r="O1690" s="1"/>
  <c r="M1691"/>
  <c r="L1691"/>
  <c r="J1691"/>
  <c r="I1691"/>
  <c r="H1691"/>
  <c r="G1691"/>
  <c r="E1691"/>
  <c r="D1691"/>
  <c r="K1690"/>
  <c r="F1690"/>
  <c r="N1689"/>
  <c r="O1688" s="1"/>
  <c r="M1689"/>
  <c r="L1689"/>
  <c r="J1689"/>
  <c r="I1689"/>
  <c r="H1689"/>
  <c r="G1689"/>
  <c r="K1689" s="1"/>
  <c r="E1689"/>
  <c r="D1689"/>
  <c r="K1688"/>
  <c r="F1688"/>
  <c r="N1687"/>
  <c r="O1686" s="1"/>
  <c r="M1687"/>
  <c r="L1687"/>
  <c r="J1687"/>
  <c r="I1687"/>
  <c r="H1687"/>
  <c r="G1687"/>
  <c r="E1687"/>
  <c r="D1687"/>
  <c r="K1686"/>
  <c r="F1686"/>
  <c r="N1685"/>
  <c r="O1684" s="1"/>
  <c r="M1685"/>
  <c r="L1685"/>
  <c r="J1685"/>
  <c r="I1685"/>
  <c r="H1685"/>
  <c r="G1685"/>
  <c r="E1685"/>
  <c r="D1685"/>
  <c r="K1684"/>
  <c r="F1684"/>
  <c r="N1683"/>
  <c r="O1682" s="1"/>
  <c r="M1683"/>
  <c r="L1683"/>
  <c r="J1683"/>
  <c r="I1683"/>
  <c r="H1683"/>
  <c r="G1683"/>
  <c r="E1683"/>
  <c r="D1683"/>
  <c r="K1682"/>
  <c r="F1682"/>
  <c r="N1681"/>
  <c r="O1680" s="1"/>
  <c r="M1681"/>
  <c r="L1681"/>
  <c r="J1681"/>
  <c r="I1681"/>
  <c r="H1681"/>
  <c r="G1681"/>
  <c r="E1681"/>
  <c r="D1681"/>
  <c r="K1680"/>
  <c r="F1680"/>
  <c r="N1679"/>
  <c r="M1679"/>
  <c r="L1679"/>
  <c r="J1679"/>
  <c r="I1679"/>
  <c r="H1679"/>
  <c r="G1679"/>
  <c r="E1679"/>
  <c r="D1679"/>
  <c r="O1678"/>
  <c r="K1678"/>
  <c r="F1678"/>
  <c r="N1677"/>
  <c r="O1676" s="1"/>
  <c r="M1677"/>
  <c r="L1677"/>
  <c r="J1677"/>
  <c r="I1677"/>
  <c r="H1677"/>
  <c r="G1677"/>
  <c r="E1677"/>
  <c r="D1677"/>
  <c r="F1677" s="1"/>
  <c r="K1676"/>
  <c r="F1676"/>
  <c r="N1675"/>
  <c r="M1675"/>
  <c r="L1675"/>
  <c r="J1675"/>
  <c r="I1675"/>
  <c r="H1675"/>
  <c r="G1675"/>
  <c r="E1675"/>
  <c r="D1675"/>
  <c r="O1674"/>
  <c r="K1674"/>
  <c r="F1674"/>
  <c r="N1673"/>
  <c r="O1672" s="1"/>
  <c r="M1673"/>
  <c r="L1673"/>
  <c r="J1673"/>
  <c r="I1673"/>
  <c r="H1673"/>
  <c r="G1673"/>
  <c r="E1673"/>
  <c r="D1673"/>
  <c r="F1673" s="1"/>
  <c r="K1672"/>
  <c r="F1672"/>
  <c r="N1671"/>
  <c r="O1670" s="1"/>
  <c r="M1671"/>
  <c r="L1671"/>
  <c r="J1671"/>
  <c r="I1671"/>
  <c r="H1671"/>
  <c r="G1671"/>
  <c r="E1671"/>
  <c r="D1671"/>
  <c r="K1670"/>
  <c r="F1670"/>
  <c r="N1669"/>
  <c r="O1668" s="1"/>
  <c r="M1669"/>
  <c r="L1669"/>
  <c r="J1669"/>
  <c r="I1669"/>
  <c r="H1669"/>
  <c r="G1669"/>
  <c r="E1669"/>
  <c r="D1669"/>
  <c r="K1668"/>
  <c r="F1668"/>
  <c r="N1667"/>
  <c r="O1666" s="1"/>
  <c r="M1667"/>
  <c r="L1667"/>
  <c r="J1667"/>
  <c r="I1667"/>
  <c r="H1667"/>
  <c r="G1667"/>
  <c r="E1667"/>
  <c r="D1667"/>
  <c r="K1666"/>
  <c r="F1666"/>
  <c r="N1665"/>
  <c r="O1664" s="1"/>
  <c r="M1665"/>
  <c r="L1665"/>
  <c r="J1665"/>
  <c r="I1665"/>
  <c r="H1665"/>
  <c r="G1665"/>
  <c r="E1665"/>
  <c r="D1665"/>
  <c r="K1664"/>
  <c r="F1664"/>
  <c r="N1663"/>
  <c r="O1662" s="1"/>
  <c r="M1663"/>
  <c r="L1663"/>
  <c r="J1663"/>
  <c r="I1663"/>
  <c r="H1663"/>
  <c r="G1663"/>
  <c r="E1663"/>
  <c r="D1663"/>
  <c r="F1663" s="1"/>
  <c r="K1662"/>
  <c r="F1662"/>
  <c r="N1661"/>
  <c r="O1660" s="1"/>
  <c r="M1661"/>
  <c r="L1661"/>
  <c r="J1661"/>
  <c r="I1661"/>
  <c r="H1661"/>
  <c r="G1661"/>
  <c r="E1661"/>
  <c r="D1661"/>
  <c r="K1660"/>
  <c r="F1660"/>
  <c r="N1659"/>
  <c r="O1658" s="1"/>
  <c r="M1659"/>
  <c r="L1659"/>
  <c r="J1659"/>
  <c r="I1659"/>
  <c r="H1659"/>
  <c r="G1659"/>
  <c r="E1659"/>
  <c r="D1659"/>
  <c r="K1658"/>
  <c r="F1658"/>
  <c r="N1657"/>
  <c r="O1656" s="1"/>
  <c r="M1657"/>
  <c r="L1657"/>
  <c r="J1657"/>
  <c r="I1657"/>
  <c r="H1657"/>
  <c r="G1657"/>
  <c r="E1657"/>
  <c r="D1657"/>
  <c r="K1656"/>
  <c r="F1656"/>
  <c r="N1655"/>
  <c r="O1654" s="1"/>
  <c r="M1655"/>
  <c r="L1655"/>
  <c r="J1655"/>
  <c r="I1655"/>
  <c r="H1655"/>
  <c r="G1655"/>
  <c r="E1655"/>
  <c r="D1655"/>
  <c r="K1654"/>
  <c r="F1654"/>
  <c r="N1653"/>
  <c r="O1652" s="1"/>
  <c r="M1653"/>
  <c r="L1653"/>
  <c r="J1653"/>
  <c r="I1653"/>
  <c r="H1653"/>
  <c r="G1653"/>
  <c r="E1653"/>
  <c r="D1653"/>
  <c r="F1653" s="1"/>
  <c r="K1652"/>
  <c r="F1652"/>
  <c r="N1651"/>
  <c r="O1650" s="1"/>
  <c r="M1651"/>
  <c r="L1651"/>
  <c r="J1651"/>
  <c r="I1651"/>
  <c r="H1651"/>
  <c r="G1651"/>
  <c r="E1651"/>
  <c r="D1651"/>
  <c r="K1650"/>
  <c r="F1650"/>
  <c r="N1649"/>
  <c r="M1649"/>
  <c r="L1649"/>
  <c r="J1649"/>
  <c r="I1649"/>
  <c r="H1649"/>
  <c r="G1649"/>
  <c r="E1649"/>
  <c r="D1649"/>
  <c r="O1648"/>
  <c r="K1648"/>
  <c r="F1648"/>
  <c r="N1647"/>
  <c r="O1646" s="1"/>
  <c r="M1647"/>
  <c r="L1647"/>
  <c r="J1647"/>
  <c r="I1647"/>
  <c r="H1647"/>
  <c r="G1647"/>
  <c r="E1647"/>
  <c r="D1647"/>
  <c r="K1646"/>
  <c r="F1646"/>
  <c r="N1645"/>
  <c r="O1644" s="1"/>
  <c r="M1645"/>
  <c r="L1645"/>
  <c r="J1645"/>
  <c r="I1645"/>
  <c r="H1645"/>
  <c r="G1645"/>
  <c r="E1645"/>
  <c r="D1645"/>
  <c r="F1645" s="1"/>
  <c r="K1644"/>
  <c r="F1644"/>
  <c r="N1643"/>
  <c r="M1643"/>
  <c r="L1643"/>
  <c r="J1643"/>
  <c r="I1643"/>
  <c r="H1643"/>
  <c r="G1643"/>
  <c r="E1643"/>
  <c r="D1643"/>
  <c r="O1642"/>
  <c r="K1642"/>
  <c r="F1642"/>
  <c r="N1641"/>
  <c r="O1640" s="1"/>
  <c r="M1641"/>
  <c r="L1641"/>
  <c r="J1641"/>
  <c r="I1641"/>
  <c r="H1641"/>
  <c r="G1641"/>
  <c r="E1641"/>
  <c r="D1641"/>
  <c r="K1640"/>
  <c r="F1640"/>
  <c r="N1639"/>
  <c r="O1638" s="1"/>
  <c r="M1639"/>
  <c r="L1639"/>
  <c r="J1639"/>
  <c r="I1639"/>
  <c r="H1639"/>
  <c r="G1639"/>
  <c r="E1639"/>
  <c r="D1639"/>
  <c r="K1638"/>
  <c r="F1638"/>
  <c r="N1637"/>
  <c r="O1636" s="1"/>
  <c r="M1637"/>
  <c r="L1637"/>
  <c r="J1637"/>
  <c r="I1637"/>
  <c r="H1637"/>
  <c r="G1637"/>
  <c r="E1637"/>
  <c r="D1637"/>
  <c r="K1636"/>
  <c r="F1636"/>
  <c r="N1635"/>
  <c r="O1634" s="1"/>
  <c r="M1635"/>
  <c r="L1635"/>
  <c r="J1635"/>
  <c r="I1635"/>
  <c r="K1635" s="1"/>
  <c r="H1635"/>
  <c r="G1635"/>
  <c r="E1635"/>
  <c r="D1635"/>
  <c r="F1635" s="1"/>
  <c r="K1634"/>
  <c r="F1634"/>
  <c r="N1633"/>
  <c r="O1632" s="1"/>
  <c r="M1633"/>
  <c r="L1633"/>
  <c r="J1633"/>
  <c r="I1633"/>
  <c r="H1633"/>
  <c r="G1633"/>
  <c r="E1633"/>
  <c r="D1633"/>
  <c r="F1633" s="1"/>
  <c r="K1632"/>
  <c r="F1632"/>
  <c r="N1631"/>
  <c r="M1631"/>
  <c r="L1631"/>
  <c r="J1631"/>
  <c r="I1631"/>
  <c r="H1631"/>
  <c r="G1631"/>
  <c r="E1631"/>
  <c r="D1631"/>
  <c r="O1630"/>
  <c r="K1630"/>
  <c r="F1630"/>
  <c r="N1629"/>
  <c r="O1628" s="1"/>
  <c r="M1629"/>
  <c r="L1629"/>
  <c r="J1629"/>
  <c r="I1629"/>
  <c r="H1629"/>
  <c r="G1629"/>
  <c r="E1629"/>
  <c r="D1629"/>
  <c r="F1629" s="1"/>
  <c r="K1628"/>
  <c r="F1628"/>
  <c r="N1627"/>
  <c r="M1627"/>
  <c r="L1627"/>
  <c r="J1627"/>
  <c r="I1627"/>
  <c r="H1627"/>
  <c r="G1627"/>
  <c r="E1627"/>
  <c r="D1627"/>
  <c r="O1626"/>
  <c r="K1626"/>
  <c r="F1626"/>
  <c r="N1625"/>
  <c r="O1624" s="1"/>
  <c r="M1625"/>
  <c r="L1625"/>
  <c r="J1625"/>
  <c r="I1625"/>
  <c r="H1625"/>
  <c r="G1625"/>
  <c r="E1625"/>
  <c r="D1625"/>
  <c r="F1625" s="1"/>
  <c r="K1624"/>
  <c r="F1624"/>
  <c r="N1623"/>
  <c r="O1622" s="1"/>
  <c r="M1623"/>
  <c r="L1623"/>
  <c r="J1623"/>
  <c r="I1623"/>
  <c r="H1623"/>
  <c r="G1623"/>
  <c r="E1623"/>
  <c r="D1623"/>
  <c r="K1622"/>
  <c r="F1622"/>
  <c r="N1621"/>
  <c r="O1620" s="1"/>
  <c r="M1621"/>
  <c r="L1621"/>
  <c r="J1621"/>
  <c r="I1621"/>
  <c r="H1621"/>
  <c r="G1621"/>
  <c r="E1621"/>
  <c r="D1621"/>
  <c r="K1620"/>
  <c r="F1620"/>
  <c r="N1619"/>
  <c r="M1619"/>
  <c r="L1619"/>
  <c r="J1619"/>
  <c r="I1619"/>
  <c r="H1619"/>
  <c r="G1619"/>
  <c r="E1619"/>
  <c r="D1619"/>
  <c r="O1618"/>
  <c r="K1618"/>
  <c r="F1618"/>
  <c r="N1617"/>
  <c r="O1616" s="1"/>
  <c r="M1617"/>
  <c r="L1617"/>
  <c r="J1617"/>
  <c r="I1617"/>
  <c r="H1617"/>
  <c r="G1617"/>
  <c r="E1617"/>
  <c r="D1617"/>
  <c r="K1616"/>
  <c r="F1616"/>
  <c r="N1615"/>
  <c r="O1614" s="1"/>
  <c r="M1615"/>
  <c r="L1615"/>
  <c r="J1615"/>
  <c r="I1615"/>
  <c r="H1615"/>
  <c r="G1615"/>
  <c r="K1615" s="1"/>
  <c r="E1615"/>
  <c r="D1615"/>
  <c r="F1615" s="1"/>
  <c r="K1614"/>
  <c r="F1614"/>
  <c r="N1613"/>
  <c r="O1612" s="1"/>
  <c r="M1613"/>
  <c r="L1613"/>
  <c r="J1613"/>
  <c r="I1613"/>
  <c r="H1613"/>
  <c r="G1613"/>
  <c r="E1613"/>
  <c r="D1613"/>
  <c r="F1613" s="1"/>
  <c r="K1612"/>
  <c r="F1612"/>
  <c r="N1611"/>
  <c r="O1610" s="1"/>
  <c r="M1611"/>
  <c r="L1611"/>
  <c r="J1611"/>
  <c r="I1611"/>
  <c r="H1611"/>
  <c r="G1611"/>
  <c r="E1611"/>
  <c r="D1611"/>
  <c r="K1610"/>
  <c r="F1610"/>
  <c r="N1609"/>
  <c r="O1608" s="1"/>
  <c r="M1609"/>
  <c r="L1609"/>
  <c r="J1609"/>
  <c r="I1609"/>
  <c r="H1609"/>
  <c r="G1609"/>
  <c r="K1609" s="1"/>
  <c r="E1609"/>
  <c r="D1609"/>
  <c r="K1608"/>
  <c r="F1608"/>
  <c r="N1607"/>
  <c r="O1606" s="1"/>
  <c r="M1607"/>
  <c r="L1607"/>
  <c r="J1607"/>
  <c r="I1607"/>
  <c r="H1607"/>
  <c r="G1607"/>
  <c r="E1607"/>
  <c r="D1607"/>
  <c r="F1607" s="1"/>
  <c r="K1606"/>
  <c r="F1606"/>
  <c r="N1605"/>
  <c r="O1604" s="1"/>
  <c r="M1605"/>
  <c r="L1605"/>
  <c r="J1605"/>
  <c r="I1605"/>
  <c r="H1605"/>
  <c r="G1605"/>
  <c r="E1605"/>
  <c r="D1605"/>
  <c r="K1604"/>
  <c r="F1604"/>
  <c r="N1603"/>
  <c r="O1602" s="1"/>
  <c r="M1603"/>
  <c r="L1603"/>
  <c r="J1603"/>
  <c r="I1603"/>
  <c r="H1603"/>
  <c r="G1603"/>
  <c r="E1603"/>
  <c r="D1603"/>
  <c r="K1602"/>
  <c r="F1602"/>
  <c r="N1601"/>
  <c r="O1600" s="1"/>
  <c r="M1601"/>
  <c r="L1601"/>
  <c r="J1601"/>
  <c r="I1601"/>
  <c r="H1601"/>
  <c r="G1601"/>
  <c r="E1601"/>
  <c r="D1601"/>
  <c r="K1600"/>
  <c r="F1600"/>
  <c r="N1599"/>
  <c r="O1598" s="1"/>
  <c r="M1599"/>
  <c r="L1599"/>
  <c r="J1599"/>
  <c r="I1599"/>
  <c r="H1599"/>
  <c r="G1599"/>
  <c r="E1599"/>
  <c r="D1599"/>
  <c r="K1598"/>
  <c r="F1598"/>
  <c r="N1597"/>
  <c r="O1596" s="1"/>
  <c r="M1597"/>
  <c r="L1597"/>
  <c r="J1597"/>
  <c r="I1597"/>
  <c r="H1597"/>
  <c r="G1597"/>
  <c r="E1597"/>
  <c r="D1597"/>
  <c r="F1597" s="1"/>
  <c r="K1596"/>
  <c r="F1596"/>
  <c r="N1595"/>
  <c r="O1594" s="1"/>
  <c r="M1595"/>
  <c r="L1595"/>
  <c r="J1595"/>
  <c r="I1595"/>
  <c r="H1595"/>
  <c r="G1595"/>
  <c r="E1595"/>
  <c r="D1595"/>
  <c r="K1594"/>
  <c r="F1594"/>
  <c r="N1593"/>
  <c r="O1592" s="1"/>
  <c r="M1593"/>
  <c r="L1593"/>
  <c r="J1593"/>
  <c r="I1593"/>
  <c r="H1593"/>
  <c r="G1593"/>
  <c r="E1593"/>
  <c r="D1593"/>
  <c r="K1592"/>
  <c r="F1592"/>
  <c r="N1591"/>
  <c r="O1590" s="1"/>
  <c r="M1591"/>
  <c r="L1591"/>
  <c r="J1591"/>
  <c r="I1591"/>
  <c r="H1591"/>
  <c r="G1591"/>
  <c r="E1591"/>
  <c r="D1591"/>
  <c r="K1590"/>
  <c r="F1590"/>
  <c r="N1589"/>
  <c r="O1588" s="1"/>
  <c r="M1589"/>
  <c r="L1589"/>
  <c r="J1589"/>
  <c r="I1589"/>
  <c r="H1589"/>
  <c r="G1589"/>
  <c r="E1589"/>
  <c r="D1589"/>
  <c r="F1589" s="1"/>
  <c r="K1588"/>
  <c r="F1588"/>
  <c r="N1587"/>
  <c r="M1587"/>
  <c r="L1587"/>
  <c r="J1587"/>
  <c r="I1587"/>
  <c r="H1587"/>
  <c r="G1587"/>
  <c r="E1587"/>
  <c r="D1587"/>
  <c r="F1587" s="1"/>
  <c r="O1586"/>
  <c r="K1586"/>
  <c r="F1586"/>
  <c r="N1585"/>
  <c r="O1584" s="1"/>
  <c r="M1585"/>
  <c r="L1585"/>
  <c r="J1585"/>
  <c r="I1585"/>
  <c r="H1585"/>
  <c r="K1585" s="1"/>
  <c r="G1585"/>
  <c r="E1585"/>
  <c r="D1585"/>
  <c r="K1584"/>
  <c r="F1584"/>
  <c r="N1583"/>
  <c r="M1583"/>
  <c r="L1583"/>
  <c r="J1583"/>
  <c r="I1583"/>
  <c r="H1583"/>
  <c r="G1583"/>
  <c r="E1583"/>
  <c r="D1583"/>
  <c r="F1583" s="1"/>
  <c r="O1582"/>
  <c r="K1582"/>
  <c r="F1582"/>
  <c r="N1581"/>
  <c r="O1580" s="1"/>
  <c r="M1581"/>
  <c r="L1581"/>
  <c r="J1581"/>
  <c r="I1581"/>
  <c r="H1581"/>
  <c r="G1581"/>
  <c r="F1581"/>
  <c r="E1581"/>
  <c r="D1581"/>
  <c r="K1580"/>
  <c r="F1580"/>
  <c r="N1579"/>
  <c r="M1579"/>
  <c r="L1579"/>
  <c r="J1579"/>
  <c r="I1579"/>
  <c r="H1579"/>
  <c r="G1579"/>
  <c r="E1579"/>
  <c r="D1579"/>
  <c r="F1579" s="1"/>
  <c r="O1578"/>
  <c r="K1578"/>
  <c r="F1578"/>
  <c r="N1577"/>
  <c r="O1576" s="1"/>
  <c r="M1577"/>
  <c r="L1577"/>
  <c r="J1577"/>
  <c r="I1577"/>
  <c r="H1577"/>
  <c r="G1577"/>
  <c r="E1577"/>
  <c r="D1577"/>
  <c r="K1576"/>
  <c r="F1576"/>
  <c r="N1575"/>
  <c r="O1574" s="1"/>
  <c r="M1575"/>
  <c r="L1575"/>
  <c r="J1575"/>
  <c r="I1575"/>
  <c r="H1575"/>
  <c r="G1575"/>
  <c r="E1575"/>
  <c r="D1575"/>
  <c r="K1574"/>
  <c r="F1574"/>
  <c r="N1573"/>
  <c r="O1572" s="1"/>
  <c r="M1573"/>
  <c r="L1573"/>
  <c r="J1573"/>
  <c r="I1573"/>
  <c r="H1573"/>
  <c r="G1573"/>
  <c r="E1573"/>
  <c r="D1573"/>
  <c r="K1572"/>
  <c r="F1572"/>
  <c r="N1571"/>
  <c r="O1570" s="1"/>
  <c r="M1571"/>
  <c r="L1571"/>
  <c r="J1571"/>
  <c r="I1571"/>
  <c r="H1571"/>
  <c r="G1571"/>
  <c r="E1571"/>
  <c r="D1571"/>
  <c r="K1570"/>
  <c r="F1570"/>
  <c r="N1569"/>
  <c r="O1568" s="1"/>
  <c r="M1569"/>
  <c r="L1569"/>
  <c r="J1569"/>
  <c r="I1569"/>
  <c r="H1569"/>
  <c r="G1569"/>
  <c r="E1569"/>
  <c r="D1569"/>
  <c r="F1569" s="1"/>
  <c r="K1568"/>
  <c r="F1568"/>
  <c r="N1567"/>
  <c r="O1566" s="1"/>
  <c r="M1567"/>
  <c r="L1567"/>
  <c r="J1567"/>
  <c r="I1567"/>
  <c r="H1567"/>
  <c r="G1567"/>
  <c r="E1567"/>
  <c r="D1567"/>
  <c r="K1566"/>
  <c r="F1566"/>
  <c r="N1565"/>
  <c r="O1564" s="1"/>
  <c r="M1565"/>
  <c r="L1565"/>
  <c r="J1565"/>
  <c r="I1565"/>
  <c r="H1565"/>
  <c r="G1565"/>
  <c r="E1565"/>
  <c r="D1565"/>
  <c r="F1565" s="1"/>
  <c r="K1564"/>
  <c r="F1564"/>
  <c r="N1563"/>
  <c r="O1562" s="1"/>
  <c r="M1563"/>
  <c r="L1563"/>
  <c r="J1563"/>
  <c r="I1563"/>
  <c r="H1563"/>
  <c r="G1563"/>
  <c r="E1563"/>
  <c r="D1563"/>
  <c r="K1562"/>
  <c r="F1562"/>
  <c r="N1561"/>
  <c r="O1560" s="1"/>
  <c r="M1561"/>
  <c r="L1561"/>
  <c r="J1561"/>
  <c r="I1561"/>
  <c r="H1561"/>
  <c r="G1561"/>
  <c r="E1561"/>
  <c r="D1561"/>
  <c r="F1561" s="1"/>
  <c r="K1560"/>
  <c r="F1560"/>
  <c r="N1559"/>
  <c r="M1559"/>
  <c r="L1559"/>
  <c r="J1559"/>
  <c r="I1559"/>
  <c r="H1559"/>
  <c r="G1559"/>
  <c r="E1559"/>
  <c r="D1559"/>
  <c r="O1558"/>
  <c r="K1558"/>
  <c r="F1558"/>
  <c r="N1557"/>
  <c r="O1556" s="1"/>
  <c r="M1557"/>
  <c r="L1557"/>
  <c r="J1557"/>
  <c r="I1557"/>
  <c r="H1557"/>
  <c r="G1557"/>
  <c r="E1557"/>
  <c r="D1557"/>
  <c r="K1556"/>
  <c r="F1556"/>
  <c r="N1555"/>
  <c r="O1554" s="1"/>
  <c r="M1555"/>
  <c r="L1555"/>
  <c r="J1555"/>
  <c r="I1555"/>
  <c r="K1555" s="1"/>
  <c r="H1555"/>
  <c r="G1555"/>
  <c r="E1555"/>
  <c r="D1555"/>
  <c r="K1554"/>
  <c r="F1554"/>
  <c r="N1553"/>
  <c r="O1552" s="1"/>
  <c r="M1553"/>
  <c r="L1553"/>
  <c r="J1553"/>
  <c r="I1553"/>
  <c r="H1553"/>
  <c r="G1553"/>
  <c r="E1553"/>
  <c r="D1553"/>
  <c r="K1552"/>
  <c r="F1552"/>
  <c r="N1551"/>
  <c r="O1550" s="1"/>
  <c r="M1551"/>
  <c r="L1551"/>
  <c r="J1551"/>
  <c r="I1551"/>
  <c r="H1551"/>
  <c r="G1551"/>
  <c r="E1551"/>
  <c r="D1551"/>
  <c r="F1551" s="1"/>
  <c r="K1550"/>
  <c r="F1550"/>
  <c r="N1549"/>
  <c r="O1548" s="1"/>
  <c r="M1549"/>
  <c r="L1549"/>
  <c r="J1549"/>
  <c r="I1549"/>
  <c r="H1549"/>
  <c r="G1549"/>
  <c r="E1549"/>
  <c r="D1549"/>
  <c r="F1549" s="1"/>
  <c r="K1548"/>
  <c r="F1548"/>
  <c r="N1547"/>
  <c r="O1546" s="1"/>
  <c r="M1547"/>
  <c r="L1547"/>
  <c r="J1547"/>
  <c r="I1547"/>
  <c r="H1547"/>
  <c r="G1547"/>
  <c r="E1547"/>
  <c r="D1547"/>
  <c r="K1546"/>
  <c r="F1546"/>
  <c r="N1545"/>
  <c r="O1544" s="1"/>
  <c r="M1545"/>
  <c r="L1545"/>
  <c r="J1545"/>
  <c r="I1545"/>
  <c r="H1545"/>
  <c r="G1545"/>
  <c r="E1545"/>
  <c r="D1545"/>
  <c r="F1545" s="1"/>
  <c r="K1544"/>
  <c r="F1544"/>
  <c r="N1543"/>
  <c r="O1542" s="1"/>
  <c r="M1543"/>
  <c r="L1543"/>
  <c r="J1543"/>
  <c r="I1543"/>
  <c r="H1543"/>
  <c r="G1543"/>
  <c r="K1543" s="1"/>
  <c r="E1543"/>
  <c r="D1543"/>
  <c r="K1542"/>
  <c r="F1542"/>
  <c r="N1541"/>
  <c r="O1540" s="1"/>
  <c r="M1541"/>
  <c r="L1541"/>
  <c r="J1541"/>
  <c r="I1541"/>
  <c r="H1541"/>
  <c r="G1541"/>
  <c r="E1541"/>
  <c r="D1541"/>
  <c r="K1540"/>
  <c r="F1540"/>
  <c r="N1539"/>
  <c r="O1538" s="1"/>
  <c r="M1539"/>
  <c r="L1539"/>
  <c r="J1539"/>
  <c r="I1539"/>
  <c r="H1539"/>
  <c r="G1539"/>
  <c r="K1539" s="1"/>
  <c r="E1539"/>
  <c r="D1539"/>
  <c r="F1539" s="1"/>
  <c r="K1538"/>
  <c r="F1538"/>
  <c r="N1537"/>
  <c r="O1536" s="1"/>
  <c r="M1537"/>
  <c r="L1537"/>
  <c r="J1537"/>
  <c r="I1537"/>
  <c r="H1537"/>
  <c r="G1537"/>
  <c r="E1537"/>
  <c r="D1537"/>
  <c r="K1536"/>
  <c r="F1536"/>
  <c r="N1535"/>
  <c r="O1534" s="1"/>
  <c r="M1535"/>
  <c r="L1535"/>
  <c r="J1535"/>
  <c r="I1535"/>
  <c r="H1535"/>
  <c r="G1535"/>
  <c r="E1535"/>
  <c r="D1535"/>
  <c r="K1534"/>
  <c r="F1534"/>
  <c r="N1533"/>
  <c r="O1532" s="1"/>
  <c r="M1533"/>
  <c r="L1533"/>
  <c r="J1533"/>
  <c r="I1533"/>
  <c r="H1533"/>
  <c r="G1533"/>
  <c r="E1533"/>
  <c r="F1533" s="1"/>
  <c r="D1533"/>
  <c r="K1532"/>
  <c r="F1532"/>
  <c r="N1531"/>
  <c r="O1530" s="1"/>
  <c r="M1531"/>
  <c r="L1531"/>
  <c r="J1531"/>
  <c r="I1531"/>
  <c r="H1531"/>
  <c r="G1531"/>
  <c r="E1531"/>
  <c r="D1531"/>
  <c r="F1531" s="1"/>
  <c r="K1530"/>
  <c r="F1530"/>
  <c r="N1529"/>
  <c r="O1528" s="1"/>
  <c r="M1529"/>
  <c r="L1529"/>
  <c r="J1529"/>
  <c r="I1529"/>
  <c r="H1529"/>
  <c r="G1529"/>
  <c r="E1529"/>
  <c r="D1529"/>
  <c r="K1528"/>
  <c r="F1528"/>
  <c r="N1527"/>
  <c r="O1526" s="1"/>
  <c r="M1527"/>
  <c r="L1527"/>
  <c r="J1527"/>
  <c r="I1527"/>
  <c r="H1527"/>
  <c r="G1527"/>
  <c r="K1527" s="1"/>
  <c r="E1527"/>
  <c r="D1527"/>
  <c r="K1526"/>
  <c r="F1526"/>
  <c r="N1525"/>
  <c r="O1524" s="1"/>
  <c r="M1525"/>
  <c r="L1525"/>
  <c r="J1525"/>
  <c r="I1525"/>
  <c r="H1525"/>
  <c r="G1525"/>
  <c r="E1525"/>
  <c r="D1525"/>
  <c r="F1525" s="1"/>
  <c r="K1524"/>
  <c r="F1524"/>
  <c r="N1523"/>
  <c r="O1522" s="1"/>
  <c r="M1523"/>
  <c r="L1523"/>
  <c r="J1523"/>
  <c r="I1523"/>
  <c r="H1523"/>
  <c r="G1523"/>
  <c r="E1523"/>
  <c r="D1523"/>
  <c r="K1522"/>
  <c r="F1522"/>
  <c r="N1521"/>
  <c r="M1521"/>
  <c r="L1521"/>
  <c r="J1521"/>
  <c r="K1521" s="1"/>
  <c r="I1521"/>
  <c r="H1521"/>
  <c r="G1521"/>
  <c r="E1521"/>
  <c r="D1521"/>
  <c r="O1520"/>
  <c r="K1520"/>
  <c r="F1520"/>
  <c r="N1519"/>
  <c r="M1519"/>
  <c r="L1519"/>
  <c r="J1519"/>
  <c r="I1519"/>
  <c r="H1519"/>
  <c r="G1519"/>
  <c r="K1519" s="1"/>
  <c r="E1519"/>
  <c r="D1519"/>
  <c r="O1518"/>
  <c r="K1518"/>
  <c r="F1518"/>
  <c r="N1517"/>
  <c r="O1516" s="1"/>
  <c r="M1517"/>
  <c r="L1517"/>
  <c r="J1517"/>
  <c r="I1517"/>
  <c r="H1517"/>
  <c r="G1517"/>
  <c r="E1517"/>
  <c r="D1517"/>
  <c r="F1517" s="1"/>
  <c r="K1516"/>
  <c r="F1516"/>
  <c r="N1515"/>
  <c r="O1514" s="1"/>
  <c r="M1515"/>
  <c r="L1515"/>
  <c r="J1515"/>
  <c r="I1515"/>
  <c r="H1515"/>
  <c r="G1515"/>
  <c r="E1515"/>
  <c r="D1515"/>
  <c r="F1515" s="1"/>
  <c r="K1514"/>
  <c r="F1514"/>
  <c r="N1513"/>
  <c r="O1512" s="1"/>
  <c r="M1513"/>
  <c r="L1513"/>
  <c r="J1513"/>
  <c r="I1513"/>
  <c r="H1513"/>
  <c r="G1513"/>
  <c r="E1513"/>
  <c r="D1513"/>
  <c r="F1513" s="1"/>
  <c r="K1512"/>
  <c r="F1512"/>
  <c r="N1511"/>
  <c r="O1510" s="1"/>
  <c r="M1511"/>
  <c r="L1511"/>
  <c r="J1511"/>
  <c r="I1511"/>
  <c r="H1511"/>
  <c r="G1511"/>
  <c r="E1511"/>
  <c r="D1511"/>
  <c r="K1510"/>
  <c r="F1510"/>
  <c r="N1509"/>
  <c r="O1508" s="1"/>
  <c r="M1509"/>
  <c r="L1509"/>
  <c r="J1509"/>
  <c r="I1509"/>
  <c r="H1509"/>
  <c r="G1509"/>
  <c r="K1509" s="1"/>
  <c r="E1509"/>
  <c r="D1509"/>
  <c r="K1508"/>
  <c r="F1508"/>
  <c r="N1507"/>
  <c r="M1507"/>
  <c r="L1507"/>
  <c r="J1507"/>
  <c r="I1507"/>
  <c r="H1507"/>
  <c r="G1507"/>
  <c r="E1507"/>
  <c r="D1507"/>
  <c r="O1506"/>
  <c r="K1506"/>
  <c r="F1506"/>
  <c r="N1504"/>
  <c r="M1504"/>
  <c r="L1504"/>
  <c r="J1504"/>
  <c r="I1504"/>
  <c r="H1504"/>
  <c r="G1504"/>
  <c r="E1504"/>
  <c r="D1504"/>
  <c r="N1502"/>
  <c r="M1502"/>
  <c r="L1502"/>
  <c r="J1502"/>
  <c r="I1502"/>
  <c r="H1502"/>
  <c r="G1502"/>
  <c r="E1502"/>
  <c r="D1502"/>
  <c r="N1500"/>
  <c r="M1500"/>
  <c r="L1500"/>
  <c r="J1500"/>
  <c r="I1500"/>
  <c r="H1500"/>
  <c r="G1500"/>
  <c r="E1500"/>
  <c r="D1500"/>
  <c r="N1498"/>
  <c r="M1498"/>
  <c r="L1498"/>
  <c r="J1498"/>
  <c r="I1498"/>
  <c r="H1498"/>
  <c r="G1498"/>
  <c r="E1498"/>
  <c r="D1498"/>
  <c r="N1497"/>
  <c r="O1496" s="1"/>
  <c r="M1497"/>
  <c r="L1497"/>
  <c r="J1497"/>
  <c r="I1497"/>
  <c r="H1497"/>
  <c r="G1497"/>
  <c r="E1497"/>
  <c r="D1497"/>
  <c r="K1496"/>
  <c r="F1496"/>
  <c r="N1495"/>
  <c r="O1494" s="1"/>
  <c r="M1495"/>
  <c r="L1495"/>
  <c r="J1495"/>
  <c r="I1495"/>
  <c r="H1495"/>
  <c r="G1495"/>
  <c r="E1495"/>
  <c r="D1495"/>
  <c r="F1495" s="1"/>
  <c r="K1494"/>
  <c r="F1494"/>
  <c r="N1493"/>
  <c r="O1492" s="1"/>
  <c r="M1493"/>
  <c r="L1493"/>
  <c r="J1493"/>
  <c r="I1493"/>
  <c r="H1493"/>
  <c r="G1493"/>
  <c r="E1493"/>
  <c r="D1493"/>
  <c r="F1493" s="1"/>
  <c r="K1492"/>
  <c r="F1492"/>
  <c r="N1491"/>
  <c r="O1490" s="1"/>
  <c r="M1491"/>
  <c r="L1491"/>
  <c r="J1491"/>
  <c r="I1491"/>
  <c r="H1491"/>
  <c r="G1491"/>
  <c r="E1491"/>
  <c r="D1491"/>
  <c r="K1490"/>
  <c r="F1490"/>
  <c r="N1489"/>
  <c r="O1488" s="1"/>
  <c r="M1489"/>
  <c r="L1489"/>
  <c r="J1489"/>
  <c r="I1489"/>
  <c r="H1489"/>
  <c r="G1489"/>
  <c r="F1489"/>
  <c r="E1489"/>
  <c r="D1489"/>
  <c r="K1488"/>
  <c r="F1488"/>
  <c r="N1487"/>
  <c r="O1486" s="1"/>
  <c r="M1487"/>
  <c r="L1487"/>
  <c r="K1487"/>
  <c r="J1487"/>
  <c r="I1487"/>
  <c r="H1487"/>
  <c r="G1487"/>
  <c r="F1487"/>
  <c r="E1487"/>
  <c r="D1487"/>
  <c r="K1486"/>
  <c r="F1486"/>
  <c r="N1485"/>
  <c r="O1484" s="1"/>
  <c r="M1485"/>
  <c r="L1485"/>
  <c r="J1485"/>
  <c r="I1485"/>
  <c r="H1485"/>
  <c r="G1485"/>
  <c r="E1485"/>
  <c r="D1485"/>
  <c r="K1484"/>
  <c r="F1484"/>
  <c r="N1483"/>
  <c r="O1482" s="1"/>
  <c r="M1483"/>
  <c r="L1483"/>
  <c r="J1483"/>
  <c r="I1483"/>
  <c r="H1483"/>
  <c r="G1483"/>
  <c r="E1483"/>
  <c r="D1483"/>
  <c r="K1482"/>
  <c r="F1482"/>
  <c r="N1481"/>
  <c r="O1480" s="1"/>
  <c r="M1481"/>
  <c r="L1481"/>
  <c r="J1481"/>
  <c r="I1481"/>
  <c r="H1481"/>
  <c r="K1481" s="1"/>
  <c r="G1481"/>
  <c r="E1481"/>
  <c r="D1481"/>
  <c r="K1480"/>
  <c r="F1480"/>
  <c r="N1479"/>
  <c r="M1479"/>
  <c r="L1479"/>
  <c r="J1479"/>
  <c r="I1479"/>
  <c r="H1479"/>
  <c r="G1479"/>
  <c r="E1479"/>
  <c r="D1479"/>
  <c r="O1478"/>
  <c r="K1478"/>
  <c r="F1478"/>
  <c r="N1477"/>
  <c r="O1476" s="1"/>
  <c r="M1477"/>
  <c r="L1477"/>
  <c r="J1477"/>
  <c r="I1477"/>
  <c r="H1477"/>
  <c r="G1477"/>
  <c r="E1477"/>
  <c r="D1477"/>
  <c r="K1476"/>
  <c r="F1476"/>
  <c r="N1475"/>
  <c r="O1474" s="1"/>
  <c r="M1475"/>
  <c r="L1475"/>
  <c r="J1475"/>
  <c r="I1475"/>
  <c r="H1475"/>
  <c r="G1475"/>
  <c r="E1475"/>
  <c r="D1475"/>
  <c r="K1474"/>
  <c r="F1474"/>
  <c r="N1473"/>
  <c r="O1472" s="1"/>
  <c r="M1473"/>
  <c r="L1473"/>
  <c r="J1473"/>
  <c r="I1473"/>
  <c r="H1473"/>
  <c r="G1473"/>
  <c r="E1473"/>
  <c r="D1473"/>
  <c r="K1472"/>
  <c r="F1472"/>
  <c r="N1471"/>
  <c r="O1470" s="1"/>
  <c r="M1471"/>
  <c r="L1471"/>
  <c r="J1471"/>
  <c r="I1471"/>
  <c r="H1471"/>
  <c r="G1471"/>
  <c r="E1471"/>
  <c r="D1471"/>
  <c r="K1470"/>
  <c r="F1470"/>
  <c r="N1469"/>
  <c r="O1468" s="1"/>
  <c r="M1469"/>
  <c r="L1469"/>
  <c r="J1469"/>
  <c r="I1469"/>
  <c r="H1469"/>
  <c r="G1469"/>
  <c r="E1469"/>
  <c r="D1469"/>
  <c r="F1469" s="1"/>
  <c r="K1468"/>
  <c r="F1468"/>
  <c r="N1467"/>
  <c r="M1467"/>
  <c r="L1467"/>
  <c r="J1467"/>
  <c r="I1467"/>
  <c r="H1467"/>
  <c r="G1467"/>
  <c r="E1467"/>
  <c r="D1467"/>
  <c r="O1466"/>
  <c r="K1466"/>
  <c r="F1466"/>
  <c r="N1465"/>
  <c r="M1465"/>
  <c r="L1465"/>
  <c r="J1465"/>
  <c r="I1465"/>
  <c r="H1465"/>
  <c r="G1465"/>
  <c r="E1465"/>
  <c r="D1465"/>
  <c r="O1464"/>
  <c r="K1464"/>
  <c r="F1464"/>
  <c r="N1463"/>
  <c r="M1463"/>
  <c r="L1463"/>
  <c r="J1463"/>
  <c r="I1463"/>
  <c r="H1463"/>
  <c r="G1463"/>
  <c r="E1463"/>
  <c r="D1463"/>
  <c r="O1462"/>
  <c r="K1462"/>
  <c r="F1462"/>
  <c r="N1461"/>
  <c r="O1460" s="1"/>
  <c r="M1461"/>
  <c r="L1461"/>
  <c r="J1461"/>
  <c r="I1461"/>
  <c r="H1461"/>
  <c r="G1461"/>
  <c r="E1461"/>
  <c r="D1461"/>
  <c r="F1461" s="1"/>
  <c r="K1460"/>
  <c r="F1460"/>
  <c r="N1459"/>
  <c r="O1458" s="1"/>
  <c r="M1459"/>
  <c r="L1459"/>
  <c r="J1459"/>
  <c r="I1459"/>
  <c r="H1459"/>
  <c r="G1459"/>
  <c r="E1459"/>
  <c r="D1459"/>
  <c r="K1458"/>
  <c r="F1458"/>
  <c r="N1457"/>
  <c r="O1456" s="1"/>
  <c r="M1457"/>
  <c r="L1457"/>
  <c r="J1457"/>
  <c r="I1457"/>
  <c r="H1457"/>
  <c r="G1457"/>
  <c r="E1457"/>
  <c r="D1457"/>
  <c r="F1457" s="1"/>
  <c r="K1456"/>
  <c r="F1456"/>
  <c r="N1455"/>
  <c r="O1454" s="1"/>
  <c r="M1455"/>
  <c r="L1455"/>
  <c r="J1455"/>
  <c r="I1455"/>
  <c r="H1455"/>
  <c r="G1455"/>
  <c r="E1455"/>
  <c r="D1455"/>
  <c r="K1454"/>
  <c r="F1454"/>
  <c r="N1453"/>
  <c r="O1452" s="1"/>
  <c r="M1453"/>
  <c r="L1453"/>
  <c r="J1453"/>
  <c r="I1453"/>
  <c r="H1453"/>
  <c r="G1453"/>
  <c r="E1453"/>
  <c r="D1453"/>
  <c r="K1452"/>
  <c r="F1452"/>
  <c r="N1451"/>
  <c r="O1450" s="1"/>
  <c r="M1451"/>
  <c r="L1451"/>
  <c r="J1451"/>
  <c r="I1451"/>
  <c r="H1451"/>
  <c r="G1451"/>
  <c r="E1451"/>
  <c r="D1451"/>
  <c r="F1451" s="1"/>
  <c r="K1450"/>
  <c r="F1450"/>
  <c r="N1449"/>
  <c r="O1448" s="1"/>
  <c r="M1449"/>
  <c r="L1449"/>
  <c r="J1449"/>
  <c r="I1449"/>
  <c r="H1449"/>
  <c r="G1449"/>
  <c r="E1449"/>
  <c r="D1449"/>
  <c r="K1448"/>
  <c r="F1448"/>
  <c r="N1447"/>
  <c r="O1446" s="1"/>
  <c r="M1447"/>
  <c r="L1447"/>
  <c r="J1447"/>
  <c r="I1447"/>
  <c r="H1447"/>
  <c r="G1447"/>
  <c r="E1447"/>
  <c r="D1447"/>
  <c r="K1446"/>
  <c r="F1446"/>
  <c r="N1445"/>
  <c r="M1445"/>
  <c r="L1445"/>
  <c r="J1445"/>
  <c r="I1445"/>
  <c r="H1445"/>
  <c r="G1445"/>
  <c r="E1445"/>
  <c r="D1445"/>
  <c r="O1444"/>
  <c r="K1444"/>
  <c r="F1444"/>
  <c r="N1443"/>
  <c r="M1443"/>
  <c r="L1443"/>
  <c r="J1443"/>
  <c r="I1443"/>
  <c r="H1443"/>
  <c r="G1443"/>
  <c r="E1443"/>
  <c r="D1443"/>
  <c r="O1442"/>
  <c r="K1442"/>
  <c r="F1442"/>
  <c r="N1441"/>
  <c r="M1441"/>
  <c r="L1441"/>
  <c r="J1441"/>
  <c r="I1441"/>
  <c r="H1441"/>
  <c r="G1441"/>
  <c r="E1441"/>
  <c r="D1441"/>
  <c r="O1440"/>
  <c r="K1440"/>
  <c r="F1440"/>
  <c r="N1439"/>
  <c r="M1439"/>
  <c r="L1439"/>
  <c r="J1439"/>
  <c r="I1439"/>
  <c r="H1439"/>
  <c r="G1439"/>
  <c r="K1439" s="1"/>
  <c r="E1439"/>
  <c r="D1439"/>
  <c r="O1438"/>
  <c r="K1438"/>
  <c r="F1438"/>
  <c r="N1437"/>
  <c r="O1436" s="1"/>
  <c r="M1437"/>
  <c r="L1437"/>
  <c r="J1437"/>
  <c r="I1437"/>
  <c r="H1437"/>
  <c r="G1437"/>
  <c r="E1437"/>
  <c r="D1437"/>
  <c r="K1436"/>
  <c r="F1436"/>
  <c r="N1435"/>
  <c r="O1434" s="1"/>
  <c r="M1435"/>
  <c r="L1435"/>
  <c r="J1435"/>
  <c r="I1435"/>
  <c r="H1435"/>
  <c r="G1435"/>
  <c r="F1435"/>
  <c r="E1435"/>
  <c r="D1435"/>
  <c r="K1434"/>
  <c r="F1434"/>
  <c r="N1433"/>
  <c r="O1432" s="1"/>
  <c r="M1433"/>
  <c r="L1433"/>
  <c r="J1433"/>
  <c r="I1433"/>
  <c r="H1433"/>
  <c r="G1433"/>
  <c r="E1433"/>
  <c r="D1433"/>
  <c r="K1432"/>
  <c r="F1432"/>
  <c r="N1431"/>
  <c r="O1430" s="1"/>
  <c r="M1431"/>
  <c r="L1431"/>
  <c r="J1431"/>
  <c r="I1431"/>
  <c r="H1431"/>
  <c r="G1431"/>
  <c r="K1431" s="1"/>
  <c r="E1431"/>
  <c r="D1431"/>
  <c r="K1430"/>
  <c r="F1430"/>
  <c r="N1429"/>
  <c r="M1429"/>
  <c r="L1429"/>
  <c r="J1429"/>
  <c r="I1429"/>
  <c r="H1429"/>
  <c r="G1429"/>
  <c r="E1429"/>
  <c r="F1429" s="1"/>
  <c r="D1429"/>
  <c r="O1428"/>
  <c r="K1428"/>
  <c r="F1428"/>
  <c r="N1427"/>
  <c r="M1427"/>
  <c r="L1427"/>
  <c r="J1427"/>
  <c r="I1427"/>
  <c r="H1427"/>
  <c r="G1427"/>
  <c r="E1427"/>
  <c r="D1427"/>
  <c r="O1426"/>
  <c r="K1426"/>
  <c r="F1426"/>
  <c r="N1425"/>
  <c r="O1424" s="1"/>
  <c r="M1425"/>
  <c r="L1425"/>
  <c r="J1425"/>
  <c r="I1425"/>
  <c r="H1425"/>
  <c r="G1425"/>
  <c r="E1425"/>
  <c r="D1425"/>
  <c r="K1424"/>
  <c r="F1424"/>
  <c r="N1423"/>
  <c r="M1423"/>
  <c r="L1423"/>
  <c r="J1423"/>
  <c r="I1423"/>
  <c r="H1423"/>
  <c r="G1423"/>
  <c r="E1423"/>
  <c r="D1423"/>
  <c r="F1423" s="1"/>
  <c r="O1422"/>
  <c r="K1422"/>
  <c r="F1422"/>
  <c r="N1421"/>
  <c r="O1420" s="1"/>
  <c r="M1421"/>
  <c r="L1421"/>
  <c r="J1421"/>
  <c r="I1421"/>
  <c r="H1421"/>
  <c r="G1421"/>
  <c r="E1421"/>
  <c r="D1421"/>
  <c r="K1420"/>
  <c r="F1420"/>
  <c r="N1419"/>
  <c r="O1418" s="1"/>
  <c r="M1419"/>
  <c r="L1419"/>
  <c r="J1419"/>
  <c r="I1419"/>
  <c r="H1419"/>
  <c r="G1419"/>
  <c r="E1419"/>
  <c r="D1419"/>
  <c r="K1418"/>
  <c r="F1418"/>
  <c r="N1417"/>
  <c r="O1416" s="1"/>
  <c r="M1417"/>
  <c r="L1417"/>
  <c r="J1417"/>
  <c r="I1417"/>
  <c r="H1417"/>
  <c r="G1417"/>
  <c r="E1417"/>
  <c r="D1417"/>
  <c r="K1416"/>
  <c r="F1416"/>
  <c r="N1415"/>
  <c r="O1414" s="1"/>
  <c r="M1415"/>
  <c r="L1415"/>
  <c r="J1415"/>
  <c r="I1415"/>
  <c r="H1415"/>
  <c r="G1415"/>
  <c r="E1415"/>
  <c r="D1415"/>
  <c r="K1414"/>
  <c r="F1414"/>
  <c r="N1413"/>
  <c r="M1413"/>
  <c r="L1413"/>
  <c r="J1413"/>
  <c r="I1413"/>
  <c r="K1413" s="1"/>
  <c r="H1413"/>
  <c r="G1413"/>
  <c r="E1413"/>
  <c r="D1413"/>
  <c r="O1412"/>
  <c r="K1412"/>
  <c r="F1412"/>
  <c r="N1411"/>
  <c r="O1410" s="1"/>
  <c r="M1411"/>
  <c r="L1411"/>
  <c r="J1411"/>
  <c r="I1411"/>
  <c r="H1411"/>
  <c r="G1411"/>
  <c r="E1411"/>
  <c r="D1411"/>
  <c r="K1410"/>
  <c r="F1410"/>
  <c r="N1409"/>
  <c r="O1408" s="1"/>
  <c r="M1409"/>
  <c r="L1409"/>
  <c r="J1409"/>
  <c r="I1409"/>
  <c r="H1409"/>
  <c r="G1409"/>
  <c r="E1409"/>
  <c r="D1409"/>
  <c r="F1409" s="1"/>
  <c r="K1408"/>
  <c r="F1408"/>
  <c r="N1407"/>
  <c r="O1406" s="1"/>
  <c r="M1407"/>
  <c r="L1407"/>
  <c r="J1407"/>
  <c r="I1407"/>
  <c r="H1407"/>
  <c r="G1407"/>
  <c r="E1407"/>
  <c r="D1407"/>
  <c r="K1406"/>
  <c r="F1406"/>
  <c r="N1405"/>
  <c r="O1404" s="1"/>
  <c r="M1405"/>
  <c r="L1405"/>
  <c r="J1405"/>
  <c r="I1405"/>
  <c r="H1405"/>
  <c r="G1405"/>
  <c r="E1405"/>
  <c r="D1405"/>
  <c r="F1405" s="1"/>
  <c r="K1404"/>
  <c r="F1404"/>
  <c r="N1403"/>
  <c r="O1402" s="1"/>
  <c r="M1403"/>
  <c r="L1403"/>
  <c r="J1403"/>
  <c r="I1403"/>
  <c r="H1403"/>
  <c r="G1403"/>
  <c r="E1403"/>
  <c r="D1403"/>
  <c r="F1403" s="1"/>
  <c r="K1402"/>
  <c r="F1402"/>
  <c r="N1401"/>
  <c r="O1400" s="1"/>
  <c r="M1401"/>
  <c r="L1401"/>
  <c r="J1401"/>
  <c r="I1401"/>
  <c r="H1401"/>
  <c r="G1401"/>
  <c r="E1401"/>
  <c r="D1401"/>
  <c r="K1400"/>
  <c r="F1400"/>
  <c r="N1399"/>
  <c r="O1398" s="1"/>
  <c r="M1399"/>
  <c r="L1399"/>
  <c r="J1399"/>
  <c r="I1399"/>
  <c r="H1399"/>
  <c r="G1399"/>
  <c r="E1399"/>
  <c r="D1399"/>
  <c r="F1399" s="1"/>
  <c r="K1398"/>
  <c r="F1398"/>
  <c r="N1397"/>
  <c r="O1396" s="1"/>
  <c r="M1397"/>
  <c r="L1397"/>
  <c r="J1397"/>
  <c r="I1397"/>
  <c r="H1397"/>
  <c r="G1397"/>
  <c r="K1397" s="1"/>
  <c r="E1397"/>
  <c r="D1397"/>
  <c r="F1397" s="1"/>
  <c r="K1396"/>
  <c r="F1396"/>
  <c r="N1395"/>
  <c r="O1394" s="1"/>
  <c r="M1395"/>
  <c r="L1395"/>
  <c r="J1395"/>
  <c r="I1395"/>
  <c r="H1395"/>
  <c r="G1395"/>
  <c r="E1395"/>
  <c r="D1395"/>
  <c r="K1394"/>
  <c r="F1394"/>
  <c r="N1393"/>
  <c r="O1392" s="1"/>
  <c r="M1393"/>
  <c r="L1393"/>
  <c r="J1393"/>
  <c r="I1393"/>
  <c r="H1393"/>
  <c r="G1393"/>
  <c r="E1393"/>
  <c r="D1393"/>
  <c r="F1393" s="1"/>
  <c r="K1392"/>
  <c r="F1392"/>
  <c r="N1391"/>
  <c r="O1390" s="1"/>
  <c r="M1391"/>
  <c r="L1391"/>
  <c r="J1391"/>
  <c r="I1391"/>
  <c r="H1391"/>
  <c r="G1391"/>
  <c r="E1391"/>
  <c r="F1391" s="1"/>
  <c r="D1391"/>
  <c r="K1390"/>
  <c r="F1390"/>
  <c r="N1389"/>
  <c r="O1388" s="1"/>
  <c r="M1389"/>
  <c r="L1389"/>
  <c r="J1389"/>
  <c r="I1389"/>
  <c r="H1389"/>
  <c r="G1389"/>
  <c r="E1389"/>
  <c r="D1389"/>
  <c r="K1388"/>
  <c r="F1388"/>
  <c r="N1387"/>
  <c r="M1387"/>
  <c r="L1387"/>
  <c r="J1387"/>
  <c r="I1387"/>
  <c r="H1387"/>
  <c r="G1387"/>
  <c r="E1387"/>
  <c r="D1387"/>
  <c r="O1386"/>
  <c r="K1386"/>
  <c r="F1386"/>
  <c r="N1385"/>
  <c r="O1384" s="1"/>
  <c r="M1385"/>
  <c r="L1385"/>
  <c r="J1385"/>
  <c r="I1385"/>
  <c r="H1385"/>
  <c r="G1385"/>
  <c r="K1385" s="1"/>
  <c r="E1385"/>
  <c r="D1385"/>
  <c r="F1385" s="1"/>
  <c r="K1384"/>
  <c r="F1384"/>
  <c r="N1383"/>
  <c r="O1382" s="1"/>
  <c r="M1383"/>
  <c r="L1383"/>
  <c r="J1383"/>
  <c r="I1383"/>
  <c r="H1383"/>
  <c r="G1383"/>
  <c r="E1383"/>
  <c r="D1383"/>
  <c r="F1383" s="1"/>
  <c r="K1382"/>
  <c r="F1382"/>
  <c r="N1381"/>
  <c r="O1380" s="1"/>
  <c r="M1381"/>
  <c r="L1381"/>
  <c r="J1381"/>
  <c r="I1381"/>
  <c r="H1381"/>
  <c r="G1381"/>
  <c r="E1381"/>
  <c r="D1381"/>
  <c r="K1380"/>
  <c r="F1380"/>
  <c r="N1379"/>
  <c r="O1378" s="1"/>
  <c r="M1379"/>
  <c r="L1379"/>
  <c r="J1379"/>
  <c r="I1379"/>
  <c r="H1379"/>
  <c r="G1379"/>
  <c r="E1379"/>
  <c r="D1379"/>
  <c r="K1378"/>
  <c r="F1378"/>
  <c r="N1377"/>
  <c r="O1376" s="1"/>
  <c r="M1377"/>
  <c r="L1377"/>
  <c r="J1377"/>
  <c r="I1377"/>
  <c r="H1377"/>
  <c r="G1377"/>
  <c r="E1377"/>
  <c r="F1377" s="1"/>
  <c r="D1377"/>
  <c r="K1376"/>
  <c r="F1376"/>
  <c r="N1375"/>
  <c r="O1374" s="1"/>
  <c r="M1375"/>
  <c r="L1375"/>
  <c r="J1375"/>
  <c r="I1375"/>
  <c r="H1375"/>
  <c r="G1375"/>
  <c r="E1375"/>
  <c r="D1375"/>
  <c r="K1374"/>
  <c r="F1374"/>
  <c r="N1373"/>
  <c r="O1372" s="1"/>
  <c r="M1373"/>
  <c r="L1373"/>
  <c r="J1373"/>
  <c r="I1373"/>
  <c r="H1373"/>
  <c r="G1373"/>
  <c r="E1373"/>
  <c r="D1373"/>
  <c r="K1372"/>
  <c r="F1372"/>
  <c r="N1371"/>
  <c r="M1371"/>
  <c r="L1371"/>
  <c r="J1371"/>
  <c r="I1371"/>
  <c r="H1371"/>
  <c r="G1371"/>
  <c r="E1371"/>
  <c r="D1371"/>
  <c r="O1370"/>
  <c r="K1370"/>
  <c r="F1370"/>
  <c r="N1369"/>
  <c r="M1369"/>
  <c r="L1369"/>
  <c r="J1369"/>
  <c r="I1369"/>
  <c r="H1369"/>
  <c r="G1369"/>
  <c r="E1369"/>
  <c r="D1369"/>
  <c r="O1368"/>
  <c r="K1368"/>
  <c r="F1368"/>
  <c r="N1367"/>
  <c r="O1366" s="1"/>
  <c r="M1367"/>
  <c r="L1367"/>
  <c r="J1367"/>
  <c r="I1367"/>
  <c r="H1367"/>
  <c r="G1367"/>
  <c r="E1367"/>
  <c r="D1367"/>
  <c r="K1366"/>
  <c r="F1366"/>
  <c r="N1365"/>
  <c r="O1364" s="1"/>
  <c r="M1365"/>
  <c r="L1365"/>
  <c r="J1365"/>
  <c r="I1365"/>
  <c r="H1365"/>
  <c r="G1365"/>
  <c r="E1365"/>
  <c r="D1365"/>
  <c r="K1364"/>
  <c r="F1364"/>
  <c r="N1363"/>
  <c r="M1363"/>
  <c r="L1363"/>
  <c r="J1363"/>
  <c r="I1363"/>
  <c r="H1363"/>
  <c r="G1363"/>
  <c r="E1363"/>
  <c r="D1363"/>
  <c r="O1362"/>
  <c r="K1362"/>
  <c r="F1362"/>
  <c r="N1361"/>
  <c r="O1360" s="1"/>
  <c r="M1361"/>
  <c r="L1361"/>
  <c r="J1361"/>
  <c r="I1361"/>
  <c r="H1361"/>
  <c r="G1361"/>
  <c r="E1361"/>
  <c r="D1361"/>
  <c r="K1360"/>
  <c r="F1360"/>
  <c r="N1359"/>
  <c r="O1358" s="1"/>
  <c r="M1359"/>
  <c r="L1359"/>
  <c r="J1359"/>
  <c r="I1359"/>
  <c r="H1359"/>
  <c r="G1359"/>
  <c r="E1359"/>
  <c r="D1359"/>
  <c r="F1359" s="1"/>
  <c r="K1358"/>
  <c r="F1358"/>
  <c r="N1357"/>
  <c r="O1356" s="1"/>
  <c r="M1357"/>
  <c r="L1357"/>
  <c r="J1357"/>
  <c r="I1357"/>
  <c r="H1357"/>
  <c r="G1357"/>
  <c r="E1357"/>
  <c r="D1357"/>
  <c r="K1356"/>
  <c r="F1356"/>
  <c r="N1355"/>
  <c r="O1354" s="1"/>
  <c r="M1355"/>
  <c r="L1355"/>
  <c r="J1355"/>
  <c r="I1355"/>
  <c r="H1355"/>
  <c r="G1355"/>
  <c r="E1355"/>
  <c r="D1355"/>
  <c r="K1354"/>
  <c r="F1354"/>
  <c r="N1353"/>
  <c r="M1353"/>
  <c r="L1353"/>
  <c r="J1353"/>
  <c r="I1353"/>
  <c r="H1353"/>
  <c r="G1353"/>
  <c r="E1353"/>
  <c r="D1353"/>
  <c r="O1352"/>
  <c r="K1352"/>
  <c r="F1352"/>
  <c r="N1351"/>
  <c r="O1350" s="1"/>
  <c r="M1351"/>
  <c r="L1351"/>
  <c r="J1351"/>
  <c r="I1351"/>
  <c r="H1351"/>
  <c r="G1351"/>
  <c r="E1351"/>
  <c r="D1351"/>
  <c r="K1350"/>
  <c r="F1350"/>
  <c r="N1349"/>
  <c r="M1349"/>
  <c r="L1349"/>
  <c r="J1349"/>
  <c r="I1349"/>
  <c r="H1349"/>
  <c r="G1349"/>
  <c r="E1349"/>
  <c r="D1349"/>
  <c r="F1349" s="1"/>
  <c r="O1348"/>
  <c r="K1348"/>
  <c r="F1348"/>
  <c r="N1347"/>
  <c r="O1346" s="1"/>
  <c r="M1347"/>
  <c r="L1347"/>
  <c r="J1347"/>
  <c r="I1347"/>
  <c r="H1347"/>
  <c r="G1347"/>
  <c r="E1347"/>
  <c r="D1347"/>
  <c r="K1346"/>
  <c r="F1346"/>
  <c r="N1345"/>
  <c r="O1344" s="1"/>
  <c r="M1345"/>
  <c r="L1345"/>
  <c r="J1345"/>
  <c r="I1345"/>
  <c r="H1345"/>
  <c r="G1345"/>
  <c r="E1345"/>
  <c r="D1345"/>
  <c r="F1345" s="1"/>
  <c r="K1344"/>
  <c r="F1344"/>
  <c r="N1343"/>
  <c r="O1342" s="1"/>
  <c r="M1343"/>
  <c r="L1343"/>
  <c r="J1343"/>
  <c r="I1343"/>
  <c r="H1343"/>
  <c r="G1343"/>
  <c r="E1343"/>
  <c r="D1343"/>
  <c r="K1342"/>
  <c r="F1342"/>
  <c r="N1341"/>
  <c r="O1340" s="1"/>
  <c r="M1341"/>
  <c r="L1341"/>
  <c r="J1341"/>
  <c r="I1341"/>
  <c r="H1341"/>
  <c r="G1341"/>
  <c r="E1341"/>
  <c r="D1341"/>
  <c r="K1340"/>
  <c r="F1340"/>
  <c r="N1339"/>
  <c r="O1338" s="1"/>
  <c r="M1339"/>
  <c r="L1339"/>
  <c r="J1339"/>
  <c r="I1339"/>
  <c r="H1339"/>
  <c r="G1339"/>
  <c r="E1339"/>
  <c r="D1339"/>
  <c r="K1338"/>
  <c r="F1338"/>
  <c r="N1337"/>
  <c r="O1336" s="1"/>
  <c r="M1337"/>
  <c r="L1337"/>
  <c r="J1337"/>
  <c r="I1337"/>
  <c r="H1337"/>
  <c r="G1337"/>
  <c r="E1337"/>
  <c r="D1337"/>
  <c r="K1336"/>
  <c r="F1336"/>
  <c r="N1335"/>
  <c r="O1334" s="1"/>
  <c r="M1335"/>
  <c r="L1335"/>
  <c r="J1335"/>
  <c r="I1335"/>
  <c r="H1335"/>
  <c r="G1335"/>
  <c r="E1335"/>
  <c r="D1335"/>
  <c r="K1334"/>
  <c r="F1334"/>
  <c r="N1333"/>
  <c r="O1332" s="1"/>
  <c r="M1333"/>
  <c r="L1333"/>
  <c r="J1333"/>
  <c r="I1333"/>
  <c r="H1333"/>
  <c r="G1333"/>
  <c r="E1333"/>
  <c r="D1333"/>
  <c r="K1332"/>
  <c r="F1332"/>
  <c r="N1331"/>
  <c r="O1330" s="1"/>
  <c r="M1331"/>
  <c r="L1331"/>
  <c r="J1331"/>
  <c r="I1331"/>
  <c r="H1331"/>
  <c r="G1331"/>
  <c r="E1331"/>
  <c r="D1331"/>
  <c r="F1331" s="1"/>
  <c r="K1330"/>
  <c r="F1330"/>
  <c r="N1329"/>
  <c r="O1328" s="1"/>
  <c r="M1329"/>
  <c r="L1329"/>
  <c r="J1329"/>
  <c r="I1329"/>
  <c r="H1329"/>
  <c r="G1329"/>
  <c r="E1329"/>
  <c r="D1329"/>
  <c r="K1328"/>
  <c r="F1328"/>
  <c r="N1327"/>
  <c r="M1327"/>
  <c r="L1327"/>
  <c r="J1327"/>
  <c r="I1327"/>
  <c r="H1327"/>
  <c r="G1327"/>
  <c r="E1327"/>
  <c r="D1327"/>
  <c r="O1326"/>
  <c r="K1326"/>
  <c r="F1326"/>
  <c r="N1325"/>
  <c r="M1325"/>
  <c r="L1325"/>
  <c r="J1325"/>
  <c r="I1325"/>
  <c r="H1325"/>
  <c r="G1325"/>
  <c r="E1325"/>
  <c r="D1325"/>
  <c r="O1324"/>
  <c r="K1324"/>
  <c r="F1324"/>
  <c r="N1323"/>
  <c r="O1322" s="1"/>
  <c r="M1323"/>
  <c r="L1323"/>
  <c r="J1323"/>
  <c r="I1323"/>
  <c r="H1323"/>
  <c r="G1323"/>
  <c r="E1323"/>
  <c r="D1323"/>
  <c r="K1322"/>
  <c r="F1322"/>
  <c r="N1321"/>
  <c r="O1320" s="1"/>
  <c r="M1321"/>
  <c r="L1321"/>
  <c r="J1321"/>
  <c r="I1321"/>
  <c r="H1321"/>
  <c r="G1321"/>
  <c r="E1321"/>
  <c r="D1321"/>
  <c r="K1320"/>
  <c r="F1320"/>
  <c r="N1319"/>
  <c r="O1318" s="1"/>
  <c r="M1319"/>
  <c r="L1319"/>
  <c r="J1319"/>
  <c r="I1319"/>
  <c r="H1319"/>
  <c r="G1319"/>
  <c r="E1319"/>
  <c r="F1319" s="1"/>
  <c r="D1319"/>
  <c r="K1318"/>
  <c r="F1318"/>
  <c r="N1317"/>
  <c r="M1317"/>
  <c r="L1317"/>
  <c r="J1317"/>
  <c r="I1317"/>
  <c r="H1317"/>
  <c r="G1317"/>
  <c r="E1317"/>
  <c r="D1317"/>
  <c r="O1316"/>
  <c r="K1316"/>
  <c r="F1316"/>
  <c r="N1315"/>
  <c r="O1314" s="1"/>
  <c r="M1315"/>
  <c r="L1315"/>
  <c r="J1315"/>
  <c r="I1315"/>
  <c r="H1315"/>
  <c r="G1315"/>
  <c r="E1315"/>
  <c r="D1315"/>
  <c r="K1314"/>
  <c r="F1314"/>
  <c r="N1313"/>
  <c r="O1312" s="1"/>
  <c r="M1313"/>
  <c r="L1313"/>
  <c r="J1313"/>
  <c r="I1313"/>
  <c r="H1313"/>
  <c r="G1313"/>
  <c r="E1313"/>
  <c r="D1313"/>
  <c r="F1313" s="1"/>
  <c r="K1312"/>
  <c r="F1312"/>
  <c r="N1311"/>
  <c r="O1310" s="1"/>
  <c r="M1311"/>
  <c r="L1311"/>
  <c r="J1311"/>
  <c r="I1311"/>
  <c r="H1311"/>
  <c r="G1311"/>
  <c r="E1311"/>
  <c r="D1311"/>
  <c r="K1310"/>
  <c r="F1310"/>
  <c r="N1309"/>
  <c r="O1308" s="1"/>
  <c r="M1309"/>
  <c r="L1309"/>
  <c r="J1309"/>
  <c r="K1309" s="1"/>
  <c r="I1309"/>
  <c r="H1309"/>
  <c r="G1309"/>
  <c r="E1309"/>
  <c r="D1309"/>
  <c r="F1309" s="1"/>
  <c r="K1308"/>
  <c r="F1308"/>
  <c r="N1307"/>
  <c r="O1306" s="1"/>
  <c r="M1307"/>
  <c r="L1307"/>
  <c r="J1307"/>
  <c r="I1307"/>
  <c r="H1307"/>
  <c r="G1307"/>
  <c r="E1307"/>
  <c r="D1307"/>
  <c r="K1306"/>
  <c r="F1306"/>
  <c r="N1305"/>
  <c r="M1305"/>
  <c r="L1305"/>
  <c r="J1305"/>
  <c r="I1305"/>
  <c r="H1305"/>
  <c r="G1305"/>
  <c r="E1305"/>
  <c r="D1305"/>
  <c r="O1304"/>
  <c r="K1304"/>
  <c r="F1304"/>
  <c r="N1303"/>
  <c r="O1302" s="1"/>
  <c r="M1303"/>
  <c r="L1303"/>
  <c r="J1303"/>
  <c r="I1303"/>
  <c r="H1303"/>
  <c r="G1303"/>
  <c r="E1303"/>
  <c r="D1303"/>
  <c r="F1303" s="1"/>
  <c r="K1302"/>
  <c r="F1302"/>
  <c r="N1301"/>
  <c r="O1300" s="1"/>
  <c r="M1301"/>
  <c r="L1301"/>
  <c r="J1301"/>
  <c r="I1301"/>
  <c r="H1301"/>
  <c r="G1301"/>
  <c r="E1301"/>
  <c r="D1301"/>
  <c r="F1301" s="1"/>
  <c r="K1300"/>
  <c r="F1300"/>
  <c r="N1299"/>
  <c r="O1298" s="1"/>
  <c r="M1299"/>
  <c r="L1299"/>
  <c r="J1299"/>
  <c r="I1299"/>
  <c r="H1299"/>
  <c r="G1299"/>
  <c r="E1299"/>
  <c r="D1299"/>
  <c r="K1298"/>
  <c r="F1298"/>
  <c r="N1297"/>
  <c r="O1296" s="1"/>
  <c r="M1297"/>
  <c r="L1297"/>
  <c r="J1297"/>
  <c r="I1297"/>
  <c r="H1297"/>
  <c r="G1297"/>
  <c r="K1297" s="1"/>
  <c r="E1297"/>
  <c r="D1297"/>
  <c r="K1296"/>
  <c r="F1296"/>
  <c r="N1295"/>
  <c r="O1294" s="1"/>
  <c r="M1295"/>
  <c r="L1295"/>
  <c r="J1295"/>
  <c r="I1295"/>
  <c r="H1295"/>
  <c r="G1295"/>
  <c r="E1295"/>
  <c r="D1295"/>
  <c r="K1294"/>
  <c r="F1294"/>
  <c r="N1293"/>
  <c r="O1292" s="1"/>
  <c r="M1293"/>
  <c r="L1293"/>
  <c r="J1293"/>
  <c r="I1293"/>
  <c r="H1293"/>
  <c r="G1293"/>
  <c r="E1293"/>
  <c r="D1293"/>
  <c r="K1292"/>
  <c r="F1292"/>
  <c r="N1291"/>
  <c r="O1290" s="1"/>
  <c r="M1291"/>
  <c r="L1291"/>
  <c r="J1291"/>
  <c r="I1291"/>
  <c r="H1291"/>
  <c r="G1291"/>
  <c r="E1291"/>
  <c r="D1291"/>
  <c r="F1291" s="1"/>
  <c r="K1290"/>
  <c r="F1290"/>
  <c r="N1289"/>
  <c r="M1289"/>
  <c r="L1289"/>
  <c r="J1289"/>
  <c r="I1289"/>
  <c r="H1289"/>
  <c r="G1289"/>
  <c r="E1289"/>
  <c r="D1289"/>
  <c r="O1288"/>
  <c r="K1288"/>
  <c r="F1288"/>
  <c r="N1287"/>
  <c r="O1286" s="1"/>
  <c r="M1287"/>
  <c r="L1287"/>
  <c r="J1287"/>
  <c r="I1287"/>
  <c r="H1287"/>
  <c r="G1287"/>
  <c r="E1287"/>
  <c r="D1287"/>
  <c r="K1286"/>
  <c r="F1286"/>
  <c r="N1285"/>
  <c r="O1284" s="1"/>
  <c r="M1285"/>
  <c r="L1285"/>
  <c r="J1285"/>
  <c r="I1285"/>
  <c r="H1285"/>
  <c r="G1285"/>
  <c r="K1285" s="1"/>
  <c r="E1285"/>
  <c r="D1285"/>
  <c r="K1284"/>
  <c r="F1284"/>
  <c r="N1283"/>
  <c r="O1282" s="1"/>
  <c r="M1283"/>
  <c r="L1283"/>
  <c r="J1283"/>
  <c r="I1283"/>
  <c r="H1283"/>
  <c r="G1283"/>
  <c r="E1283"/>
  <c r="D1283"/>
  <c r="K1282"/>
  <c r="F1282"/>
  <c r="N1281"/>
  <c r="O1280" s="1"/>
  <c r="M1281"/>
  <c r="L1281"/>
  <c r="J1281"/>
  <c r="I1281"/>
  <c r="H1281"/>
  <c r="G1281"/>
  <c r="E1281"/>
  <c r="D1281"/>
  <c r="K1280"/>
  <c r="F1280"/>
  <c r="N1279"/>
  <c r="M1279"/>
  <c r="L1279"/>
  <c r="J1279"/>
  <c r="I1279"/>
  <c r="H1279"/>
  <c r="G1279"/>
  <c r="K1279" s="1"/>
  <c r="E1279"/>
  <c r="D1279"/>
  <c r="O1278"/>
  <c r="K1278"/>
  <c r="F1278"/>
  <c r="N1277"/>
  <c r="M1277"/>
  <c r="L1277"/>
  <c r="J1277"/>
  <c r="I1277"/>
  <c r="H1277"/>
  <c r="G1277"/>
  <c r="E1277"/>
  <c r="D1277"/>
  <c r="F1277" s="1"/>
  <c r="O1276"/>
  <c r="K1276"/>
  <c r="F1276"/>
  <c r="N1275"/>
  <c r="O1274" s="1"/>
  <c r="M1275"/>
  <c r="L1275"/>
  <c r="J1275"/>
  <c r="I1275"/>
  <c r="H1275"/>
  <c r="G1275"/>
  <c r="E1275"/>
  <c r="D1275"/>
  <c r="K1274"/>
  <c r="F1274"/>
  <c r="N1273"/>
  <c r="O1272" s="1"/>
  <c r="M1273"/>
  <c r="L1273"/>
  <c r="J1273"/>
  <c r="I1273"/>
  <c r="H1273"/>
  <c r="G1273"/>
  <c r="E1273"/>
  <c r="D1273"/>
  <c r="F1273" s="1"/>
  <c r="K1272"/>
  <c r="F1272"/>
  <c r="N1271"/>
  <c r="O1270" s="1"/>
  <c r="M1271"/>
  <c r="L1271"/>
  <c r="J1271"/>
  <c r="I1271"/>
  <c r="H1271"/>
  <c r="G1271"/>
  <c r="K1271" s="1"/>
  <c r="E1271"/>
  <c r="F1271" s="1"/>
  <c r="D1271"/>
  <c r="K1270"/>
  <c r="F1270"/>
  <c r="N1269"/>
  <c r="M1269"/>
  <c r="L1269"/>
  <c r="J1269"/>
  <c r="K1269" s="1"/>
  <c r="I1269"/>
  <c r="H1269"/>
  <c r="G1269"/>
  <c r="E1269"/>
  <c r="D1269"/>
  <c r="O1268"/>
  <c r="K1268"/>
  <c r="F1268"/>
  <c r="N1267"/>
  <c r="O1266" s="1"/>
  <c r="M1267"/>
  <c r="L1267"/>
  <c r="J1267"/>
  <c r="I1267"/>
  <c r="H1267"/>
  <c r="G1267"/>
  <c r="F1267"/>
  <c r="E1267"/>
  <c r="D1267"/>
  <c r="K1266"/>
  <c r="F1266"/>
  <c r="N1265"/>
  <c r="M1265"/>
  <c r="L1265"/>
  <c r="J1265"/>
  <c r="I1265"/>
  <c r="H1265"/>
  <c r="G1265"/>
  <c r="E1265"/>
  <c r="D1265"/>
  <c r="O1264"/>
  <c r="K1264"/>
  <c r="F1264"/>
  <c r="N1263"/>
  <c r="O1262" s="1"/>
  <c r="M1263"/>
  <c r="L1263"/>
  <c r="J1263"/>
  <c r="I1263"/>
  <c r="H1263"/>
  <c r="G1263"/>
  <c r="K1263" s="1"/>
  <c r="E1263"/>
  <c r="D1263"/>
  <c r="K1262"/>
  <c r="F1262"/>
  <c r="N1261"/>
  <c r="M1261"/>
  <c r="L1261"/>
  <c r="J1261"/>
  <c r="I1261"/>
  <c r="K1261" s="1"/>
  <c r="H1261"/>
  <c r="G1261"/>
  <c r="E1261"/>
  <c r="D1261"/>
  <c r="O1260"/>
  <c r="K1260"/>
  <c r="F1260"/>
  <c r="N1259"/>
  <c r="O1258" s="1"/>
  <c r="M1259"/>
  <c r="L1259"/>
  <c r="J1259"/>
  <c r="I1259"/>
  <c r="H1259"/>
  <c r="G1259"/>
  <c r="E1259"/>
  <c r="F1259" s="1"/>
  <c r="D1259"/>
  <c r="K1258"/>
  <c r="F1258"/>
  <c r="N1257"/>
  <c r="M1257"/>
  <c r="L1257"/>
  <c r="J1257"/>
  <c r="I1257"/>
  <c r="H1257"/>
  <c r="G1257"/>
  <c r="E1257"/>
  <c r="D1257"/>
  <c r="O1256"/>
  <c r="K1256"/>
  <c r="F1256"/>
  <c r="N1255"/>
  <c r="O1254" s="1"/>
  <c r="M1255"/>
  <c r="L1255"/>
  <c r="J1255"/>
  <c r="I1255"/>
  <c r="H1255"/>
  <c r="G1255"/>
  <c r="E1255"/>
  <c r="F1255" s="1"/>
  <c r="D1255"/>
  <c r="K1254"/>
  <c r="F1254"/>
  <c r="N1253"/>
  <c r="O1252" s="1"/>
  <c r="M1253"/>
  <c r="L1253"/>
  <c r="J1253"/>
  <c r="I1253"/>
  <c r="H1253"/>
  <c r="G1253"/>
  <c r="E1253"/>
  <c r="D1253"/>
  <c r="K1252"/>
  <c r="F1252"/>
  <c r="N1251"/>
  <c r="O1250" s="1"/>
  <c r="M1251"/>
  <c r="L1251"/>
  <c r="J1251"/>
  <c r="I1251"/>
  <c r="H1251"/>
  <c r="G1251"/>
  <c r="E1251"/>
  <c r="D1251"/>
  <c r="K1250"/>
  <c r="F1250"/>
  <c r="N1249"/>
  <c r="O1248" s="1"/>
  <c r="M1249"/>
  <c r="L1249"/>
  <c r="J1249"/>
  <c r="I1249"/>
  <c r="H1249"/>
  <c r="G1249"/>
  <c r="E1249"/>
  <c r="D1249"/>
  <c r="K1248"/>
  <c r="F1248"/>
  <c r="N1247"/>
  <c r="O1246" s="1"/>
  <c r="M1247"/>
  <c r="L1247"/>
  <c r="J1247"/>
  <c r="I1247"/>
  <c r="H1247"/>
  <c r="G1247"/>
  <c r="E1247"/>
  <c r="D1247"/>
  <c r="K1246"/>
  <c r="F1246"/>
  <c r="N1245"/>
  <c r="O1244" s="1"/>
  <c r="M1245"/>
  <c r="L1245"/>
  <c r="J1245"/>
  <c r="I1245"/>
  <c r="H1245"/>
  <c r="G1245"/>
  <c r="E1245"/>
  <c r="D1245"/>
  <c r="F1245" s="1"/>
  <c r="K1244"/>
  <c r="F1244"/>
  <c r="N1243"/>
  <c r="O1242" s="1"/>
  <c r="M1243"/>
  <c r="L1243"/>
  <c r="J1243"/>
  <c r="I1243"/>
  <c r="H1243"/>
  <c r="G1243"/>
  <c r="E1243"/>
  <c r="D1243"/>
  <c r="F1243" s="1"/>
  <c r="K1242"/>
  <c r="F1242"/>
  <c r="N1241"/>
  <c r="O1240" s="1"/>
  <c r="M1241"/>
  <c r="L1241"/>
  <c r="J1241"/>
  <c r="I1241"/>
  <c r="H1241"/>
  <c r="G1241"/>
  <c r="K1241" s="1"/>
  <c r="E1241"/>
  <c r="D1241"/>
  <c r="K1240"/>
  <c r="F1240"/>
  <c r="N1239"/>
  <c r="O1238" s="1"/>
  <c r="M1239"/>
  <c r="L1239"/>
  <c r="J1239"/>
  <c r="I1239"/>
  <c r="H1239"/>
  <c r="G1239"/>
  <c r="E1239"/>
  <c r="D1239"/>
  <c r="F1239" s="1"/>
  <c r="K1238"/>
  <c r="F1238"/>
  <c r="N1237"/>
  <c r="O1236" s="1"/>
  <c r="M1237"/>
  <c r="L1237"/>
  <c r="J1237"/>
  <c r="I1237"/>
  <c r="H1237"/>
  <c r="G1237"/>
  <c r="K1237" s="1"/>
  <c r="E1237"/>
  <c r="F1237" s="1"/>
  <c r="D1237"/>
  <c r="K1236"/>
  <c r="F1236"/>
  <c r="N1235"/>
  <c r="O1234" s="1"/>
  <c r="M1235"/>
  <c r="L1235"/>
  <c r="J1235"/>
  <c r="I1235"/>
  <c r="H1235"/>
  <c r="G1235"/>
  <c r="E1235"/>
  <c r="D1235"/>
  <c r="F1235" s="1"/>
  <c r="K1234"/>
  <c r="F1234"/>
  <c r="N1232"/>
  <c r="M1232"/>
  <c r="L1232"/>
  <c r="J1232"/>
  <c r="I1232"/>
  <c r="H1232"/>
  <c r="G1232"/>
  <c r="E1232"/>
  <c r="D1232"/>
  <c r="F1232" s="1"/>
  <c r="N1230"/>
  <c r="M1230"/>
  <c r="L1230"/>
  <c r="J1230"/>
  <c r="I1230"/>
  <c r="H1230"/>
  <c r="G1230"/>
  <c r="E1230"/>
  <c r="D1230"/>
  <c r="F1230" s="1"/>
  <c r="N1228"/>
  <c r="M1228"/>
  <c r="L1228"/>
  <c r="J1228"/>
  <c r="I1228"/>
  <c r="H1228"/>
  <c r="G1228"/>
  <c r="E1228"/>
  <c r="D1228"/>
  <c r="N1226"/>
  <c r="M1226"/>
  <c r="L1226"/>
  <c r="J1226"/>
  <c r="I1226"/>
  <c r="H1226"/>
  <c r="G1226"/>
  <c r="E1226"/>
  <c r="D1226"/>
  <c r="F1226" s="1"/>
  <c r="N1225"/>
  <c r="M1225"/>
  <c r="L1225"/>
  <c r="J1225"/>
  <c r="I1225"/>
  <c r="H1225"/>
  <c r="G1225"/>
  <c r="E1225"/>
  <c r="D1225"/>
  <c r="O1224"/>
  <c r="K1224"/>
  <c r="F1224"/>
  <c r="N1223"/>
  <c r="O1222" s="1"/>
  <c r="M1223"/>
  <c r="L1223"/>
  <c r="J1223"/>
  <c r="I1223"/>
  <c r="H1223"/>
  <c r="K1223" s="1"/>
  <c r="G1223"/>
  <c r="E1223"/>
  <c r="D1223"/>
  <c r="K1222"/>
  <c r="F1222"/>
  <c r="N1221"/>
  <c r="O1220" s="1"/>
  <c r="M1221"/>
  <c r="L1221"/>
  <c r="J1221"/>
  <c r="I1221"/>
  <c r="H1221"/>
  <c r="G1221"/>
  <c r="E1221"/>
  <c r="D1221"/>
  <c r="K1220"/>
  <c r="F1220"/>
  <c r="N1219"/>
  <c r="O1218" s="1"/>
  <c r="M1219"/>
  <c r="L1219"/>
  <c r="J1219"/>
  <c r="I1219"/>
  <c r="H1219"/>
  <c r="G1219"/>
  <c r="E1219"/>
  <c r="D1219"/>
  <c r="K1218"/>
  <c r="F1218"/>
  <c r="N1217"/>
  <c r="O1216" s="1"/>
  <c r="M1217"/>
  <c r="L1217"/>
  <c r="J1217"/>
  <c r="I1217"/>
  <c r="H1217"/>
  <c r="G1217"/>
  <c r="E1217"/>
  <c r="D1217"/>
  <c r="K1216"/>
  <c r="F1216"/>
  <c r="N1215"/>
  <c r="O1214" s="1"/>
  <c r="M1215"/>
  <c r="L1215"/>
  <c r="J1215"/>
  <c r="I1215"/>
  <c r="H1215"/>
  <c r="G1215"/>
  <c r="E1215"/>
  <c r="D1215"/>
  <c r="F1215" s="1"/>
  <c r="K1214"/>
  <c r="F1214"/>
  <c r="N1213"/>
  <c r="O1212" s="1"/>
  <c r="M1213"/>
  <c r="L1213"/>
  <c r="J1213"/>
  <c r="I1213"/>
  <c r="H1213"/>
  <c r="G1213"/>
  <c r="E1213"/>
  <c r="D1213"/>
  <c r="F1213" s="1"/>
  <c r="K1212"/>
  <c r="F1212"/>
  <c r="N1211"/>
  <c r="O1210" s="1"/>
  <c r="M1211"/>
  <c r="L1211"/>
  <c r="J1211"/>
  <c r="I1211"/>
  <c r="H1211"/>
  <c r="G1211"/>
  <c r="E1211"/>
  <c r="D1211"/>
  <c r="K1210"/>
  <c r="F1210"/>
  <c r="N1209"/>
  <c r="O1208" s="1"/>
  <c r="M1209"/>
  <c r="L1209"/>
  <c r="J1209"/>
  <c r="I1209"/>
  <c r="H1209"/>
  <c r="G1209"/>
  <c r="E1209"/>
  <c r="D1209"/>
  <c r="F1209" s="1"/>
  <c r="K1208"/>
  <c r="F1208"/>
  <c r="N1207"/>
  <c r="O1206" s="1"/>
  <c r="M1207"/>
  <c r="L1207"/>
  <c r="J1207"/>
  <c r="I1207"/>
  <c r="H1207"/>
  <c r="G1207"/>
  <c r="E1207"/>
  <c r="D1207"/>
  <c r="K1206"/>
  <c r="F1206"/>
  <c r="N1205"/>
  <c r="M1205"/>
  <c r="L1205"/>
  <c r="J1205"/>
  <c r="I1205"/>
  <c r="H1205"/>
  <c r="G1205"/>
  <c r="E1205"/>
  <c r="D1205"/>
  <c r="O1204"/>
  <c r="K1204"/>
  <c r="F1204"/>
  <c r="N1203"/>
  <c r="O1202" s="1"/>
  <c r="M1203"/>
  <c r="L1203"/>
  <c r="J1203"/>
  <c r="I1203"/>
  <c r="H1203"/>
  <c r="G1203"/>
  <c r="F1203"/>
  <c r="E1203"/>
  <c r="D1203"/>
  <c r="K1202"/>
  <c r="F1202"/>
  <c r="N1201"/>
  <c r="M1201"/>
  <c r="L1201"/>
  <c r="J1201"/>
  <c r="I1201"/>
  <c r="H1201"/>
  <c r="G1201"/>
  <c r="E1201"/>
  <c r="D1201"/>
  <c r="O1200"/>
  <c r="K1200"/>
  <c r="F1200"/>
  <c r="N1199"/>
  <c r="O1198" s="1"/>
  <c r="M1199"/>
  <c r="L1199"/>
  <c r="J1199"/>
  <c r="I1199"/>
  <c r="H1199"/>
  <c r="G1199"/>
  <c r="E1199"/>
  <c r="D1199"/>
  <c r="K1198"/>
  <c r="F1198"/>
  <c r="N1197"/>
  <c r="O1196" s="1"/>
  <c r="M1197"/>
  <c r="L1197"/>
  <c r="J1197"/>
  <c r="I1197"/>
  <c r="H1197"/>
  <c r="G1197"/>
  <c r="E1197"/>
  <c r="D1197"/>
  <c r="K1196"/>
  <c r="F1196"/>
  <c r="N1195"/>
  <c r="O1194" s="1"/>
  <c r="M1195"/>
  <c r="L1195"/>
  <c r="J1195"/>
  <c r="I1195"/>
  <c r="H1195"/>
  <c r="G1195"/>
  <c r="E1195"/>
  <c r="D1195"/>
  <c r="F1195" s="1"/>
  <c r="K1194"/>
  <c r="F1194"/>
  <c r="N1193"/>
  <c r="O1192" s="1"/>
  <c r="M1193"/>
  <c r="L1193"/>
  <c r="J1193"/>
  <c r="I1193"/>
  <c r="H1193"/>
  <c r="G1193"/>
  <c r="E1193"/>
  <c r="D1193"/>
  <c r="K1192"/>
  <c r="F1192"/>
  <c r="N1191"/>
  <c r="O1190" s="1"/>
  <c r="M1191"/>
  <c r="L1191"/>
  <c r="J1191"/>
  <c r="I1191"/>
  <c r="H1191"/>
  <c r="G1191"/>
  <c r="K1191" s="1"/>
  <c r="E1191"/>
  <c r="D1191"/>
  <c r="F1191" s="1"/>
  <c r="K1190"/>
  <c r="F1190"/>
  <c r="N1189"/>
  <c r="O1188" s="1"/>
  <c r="M1189"/>
  <c r="L1189"/>
  <c r="J1189"/>
  <c r="I1189"/>
  <c r="H1189"/>
  <c r="G1189"/>
  <c r="E1189"/>
  <c r="D1189"/>
  <c r="K1188"/>
  <c r="F1188"/>
  <c r="N1187"/>
  <c r="O1186" s="1"/>
  <c r="M1187"/>
  <c r="L1187"/>
  <c r="J1187"/>
  <c r="I1187"/>
  <c r="H1187"/>
  <c r="G1187"/>
  <c r="E1187"/>
  <c r="D1187"/>
  <c r="K1186"/>
  <c r="F1186"/>
  <c r="N1185"/>
  <c r="O1184" s="1"/>
  <c r="M1185"/>
  <c r="L1185"/>
  <c r="J1185"/>
  <c r="I1185"/>
  <c r="H1185"/>
  <c r="G1185"/>
  <c r="K1185" s="1"/>
  <c r="E1185"/>
  <c r="D1185"/>
  <c r="K1184"/>
  <c r="F1184"/>
  <c r="N1183"/>
  <c r="O1182" s="1"/>
  <c r="M1183"/>
  <c r="L1183"/>
  <c r="J1183"/>
  <c r="I1183"/>
  <c r="H1183"/>
  <c r="G1183"/>
  <c r="E1183"/>
  <c r="D1183"/>
  <c r="K1182"/>
  <c r="F1182"/>
  <c r="N1181"/>
  <c r="O1180" s="1"/>
  <c r="M1181"/>
  <c r="L1181"/>
  <c r="J1181"/>
  <c r="I1181"/>
  <c r="H1181"/>
  <c r="G1181"/>
  <c r="E1181"/>
  <c r="D1181"/>
  <c r="F1181" s="1"/>
  <c r="K1180"/>
  <c r="F1180"/>
  <c r="N1179"/>
  <c r="O1178" s="1"/>
  <c r="M1179"/>
  <c r="L1179"/>
  <c r="J1179"/>
  <c r="I1179"/>
  <c r="H1179"/>
  <c r="G1179"/>
  <c r="E1179"/>
  <c r="D1179"/>
  <c r="K1178"/>
  <c r="F1178"/>
  <c r="N1177"/>
  <c r="O1176" s="1"/>
  <c r="M1177"/>
  <c r="L1177"/>
  <c r="J1177"/>
  <c r="I1177"/>
  <c r="H1177"/>
  <c r="G1177"/>
  <c r="E1177"/>
  <c r="D1177"/>
  <c r="K1176"/>
  <c r="F1176"/>
  <c r="N1175"/>
  <c r="M1175"/>
  <c r="L1175"/>
  <c r="J1175"/>
  <c r="I1175"/>
  <c r="H1175"/>
  <c r="G1175"/>
  <c r="E1175"/>
  <c r="D1175"/>
  <c r="O1174"/>
  <c r="K1174"/>
  <c r="F1174"/>
  <c r="N1173"/>
  <c r="M1173"/>
  <c r="L1173"/>
  <c r="J1173"/>
  <c r="I1173"/>
  <c r="K1173" s="1"/>
  <c r="H1173"/>
  <c r="G1173"/>
  <c r="E1173"/>
  <c r="D1173"/>
  <c r="F1173" s="1"/>
  <c r="O1172"/>
  <c r="K1172"/>
  <c r="F1172"/>
  <c r="N1171"/>
  <c r="O1170" s="1"/>
  <c r="M1171"/>
  <c r="L1171"/>
  <c r="J1171"/>
  <c r="I1171"/>
  <c r="H1171"/>
  <c r="G1171"/>
  <c r="E1171"/>
  <c r="D1171"/>
  <c r="F1171" s="1"/>
  <c r="K1170"/>
  <c r="F1170"/>
  <c r="N1169"/>
  <c r="M1169"/>
  <c r="L1169"/>
  <c r="J1169"/>
  <c r="I1169"/>
  <c r="H1169"/>
  <c r="G1169"/>
  <c r="E1169"/>
  <c r="D1169"/>
  <c r="O1168"/>
  <c r="K1168"/>
  <c r="F1168"/>
  <c r="N1167"/>
  <c r="O1166" s="1"/>
  <c r="M1167"/>
  <c r="L1167"/>
  <c r="J1167"/>
  <c r="I1167"/>
  <c r="H1167"/>
  <c r="G1167"/>
  <c r="E1167"/>
  <c r="D1167"/>
  <c r="K1166"/>
  <c r="F1166"/>
  <c r="N1165"/>
  <c r="O1164" s="1"/>
  <c r="M1165"/>
  <c r="L1165"/>
  <c r="J1165"/>
  <c r="I1165"/>
  <c r="H1165"/>
  <c r="G1165"/>
  <c r="E1165"/>
  <c r="D1165"/>
  <c r="F1165" s="1"/>
  <c r="K1164"/>
  <c r="F1164"/>
  <c r="N1163"/>
  <c r="O1162" s="1"/>
  <c r="M1163"/>
  <c r="L1163"/>
  <c r="J1163"/>
  <c r="I1163"/>
  <c r="H1163"/>
  <c r="G1163"/>
  <c r="E1163"/>
  <c r="D1163"/>
  <c r="K1162"/>
  <c r="F1162"/>
  <c r="N1161"/>
  <c r="O1160" s="1"/>
  <c r="M1161"/>
  <c r="L1161"/>
  <c r="J1161"/>
  <c r="I1161"/>
  <c r="H1161"/>
  <c r="G1161"/>
  <c r="E1161"/>
  <c r="D1161"/>
  <c r="F1161" s="1"/>
  <c r="K1160"/>
  <c r="F1160"/>
  <c r="N1159"/>
  <c r="O1158" s="1"/>
  <c r="M1159"/>
  <c r="L1159"/>
  <c r="J1159"/>
  <c r="I1159"/>
  <c r="H1159"/>
  <c r="G1159"/>
  <c r="E1159"/>
  <c r="D1159"/>
  <c r="F1159" s="1"/>
  <c r="K1158"/>
  <c r="F1158"/>
  <c r="N1157"/>
  <c r="O1156" s="1"/>
  <c r="M1157"/>
  <c r="L1157"/>
  <c r="J1157"/>
  <c r="I1157"/>
  <c r="H1157"/>
  <c r="G1157"/>
  <c r="E1157"/>
  <c r="D1157"/>
  <c r="K1156"/>
  <c r="F1156"/>
  <c r="N1155"/>
  <c r="O1154" s="1"/>
  <c r="M1155"/>
  <c r="L1155"/>
  <c r="J1155"/>
  <c r="I1155"/>
  <c r="H1155"/>
  <c r="G1155"/>
  <c r="E1155"/>
  <c r="D1155"/>
  <c r="F1155" s="1"/>
  <c r="K1154"/>
  <c r="F1154"/>
  <c r="N1153"/>
  <c r="O1152" s="1"/>
  <c r="M1153"/>
  <c r="L1153"/>
  <c r="J1153"/>
  <c r="I1153"/>
  <c r="H1153"/>
  <c r="G1153"/>
  <c r="E1153"/>
  <c r="D1153"/>
  <c r="K1152"/>
  <c r="F1152"/>
  <c r="N1151"/>
  <c r="O1150" s="1"/>
  <c r="M1151"/>
  <c r="L1151"/>
  <c r="J1151"/>
  <c r="I1151"/>
  <c r="H1151"/>
  <c r="G1151"/>
  <c r="E1151"/>
  <c r="D1151"/>
  <c r="K1150"/>
  <c r="F1150"/>
  <c r="N1149"/>
  <c r="M1149"/>
  <c r="L1149"/>
  <c r="K1149"/>
  <c r="J1149"/>
  <c r="I1149"/>
  <c r="H1149"/>
  <c r="G1149"/>
  <c r="E1149"/>
  <c r="D1149"/>
  <c r="O1148"/>
  <c r="K1148"/>
  <c r="F1148"/>
  <c r="N1147"/>
  <c r="O1146" s="1"/>
  <c r="M1147"/>
  <c r="L1147"/>
  <c r="J1147"/>
  <c r="I1147"/>
  <c r="H1147"/>
  <c r="G1147"/>
  <c r="E1147"/>
  <c r="D1147"/>
  <c r="K1146"/>
  <c r="F1146"/>
  <c r="N1145"/>
  <c r="O1144" s="1"/>
  <c r="M1145"/>
  <c r="L1145"/>
  <c r="J1145"/>
  <c r="I1145"/>
  <c r="H1145"/>
  <c r="G1145"/>
  <c r="E1145"/>
  <c r="D1145"/>
  <c r="K1144"/>
  <c r="F1144"/>
  <c r="N1143"/>
  <c r="O1142" s="1"/>
  <c r="M1143"/>
  <c r="L1143"/>
  <c r="J1143"/>
  <c r="I1143"/>
  <c r="H1143"/>
  <c r="G1143"/>
  <c r="E1143"/>
  <c r="D1143"/>
  <c r="K1142"/>
  <c r="F1142"/>
  <c r="N1141"/>
  <c r="M1141"/>
  <c r="L1141"/>
  <c r="J1141"/>
  <c r="I1141"/>
  <c r="H1141"/>
  <c r="G1141"/>
  <c r="E1141"/>
  <c r="D1141"/>
  <c r="F1141" s="1"/>
  <c r="O1140"/>
  <c r="K1140"/>
  <c r="F1140"/>
  <c r="N1139"/>
  <c r="O1138" s="1"/>
  <c r="M1139"/>
  <c r="L1139"/>
  <c r="J1139"/>
  <c r="I1139"/>
  <c r="H1139"/>
  <c r="G1139"/>
  <c r="E1139"/>
  <c r="F1139" s="1"/>
  <c r="D1139"/>
  <c r="K1138"/>
  <c r="F1138"/>
  <c r="N1137"/>
  <c r="O1136" s="1"/>
  <c r="M1137"/>
  <c r="L1137"/>
  <c r="J1137"/>
  <c r="I1137"/>
  <c r="H1137"/>
  <c r="G1137"/>
  <c r="E1137"/>
  <c r="D1137"/>
  <c r="F1137" s="1"/>
  <c r="K1136"/>
  <c r="F1136"/>
  <c r="N1135"/>
  <c r="O1134" s="1"/>
  <c r="M1135"/>
  <c r="L1135"/>
  <c r="J1135"/>
  <c r="I1135"/>
  <c r="H1135"/>
  <c r="G1135"/>
  <c r="E1135"/>
  <c r="D1135"/>
  <c r="F1135" s="1"/>
  <c r="K1134"/>
  <c r="F1134"/>
  <c r="N1133"/>
  <c r="O1132" s="1"/>
  <c r="M1133"/>
  <c r="L1133"/>
  <c r="J1133"/>
  <c r="I1133"/>
  <c r="H1133"/>
  <c r="G1133"/>
  <c r="E1133"/>
  <c r="D1133"/>
  <c r="K1132"/>
  <c r="F1132"/>
  <c r="N1131"/>
  <c r="O1130" s="1"/>
  <c r="M1131"/>
  <c r="L1131"/>
  <c r="J1131"/>
  <c r="I1131"/>
  <c r="H1131"/>
  <c r="G1131"/>
  <c r="E1131"/>
  <c r="D1131"/>
  <c r="F1131" s="1"/>
  <c r="K1130"/>
  <c r="F1130"/>
  <c r="N1129"/>
  <c r="O1128" s="1"/>
  <c r="M1129"/>
  <c r="L1129"/>
  <c r="J1129"/>
  <c r="I1129"/>
  <c r="H1129"/>
  <c r="G1129"/>
  <c r="E1129"/>
  <c r="D1129"/>
  <c r="F1129" s="1"/>
  <c r="K1128"/>
  <c r="F1128"/>
  <c r="N1127"/>
  <c r="O1126" s="1"/>
  <c r="M1127"/>
  <c r="L1127"/>
  <c r="J1127"/>
  <c r="I1127"/>
  <c r="H1127"/>
  <c r="G1127"/>
  <c r="E1127"/>
  <c r="D1127"/>
  <c r="F1127" s="1"/>
  <c r="K1126"/>
  <c r="F1126"/>
  <c r="N1125"/>
  <c r="O1124" s="1"/>
  <c r="M1125"/>
  <c r="L1125"/>
  <c r="J1125"/>
  <c r="I1125"/>
  <c r="H1125"/>
  <c r="G1125"/>
  <c r="E1125"/>
  <c r="D1125"/>
  <c r="F1125" s="1"/>
  <c r="K1124"/>
  <c r="F1124"/>
  <c r="N1123"/>
  <c r="O1122" s="1"/>
  <c r="M1123"/>
  <c r="L1123"/>
  <c r="J1123"/>
  <c r="I1123"/>
  <c r="H1123"/>
  <c r="G1123"/>
  <c r="F1123"/>
  <c r="E1123"/>
  <c r="D1123"/>
  <c r="K1122"/>
  <c r="F1122"/>
  <c r="N1121"/>
  <c r="O1120" s="1"/>
  <c r="M1121"/>
  <c r="L1121"/>
  <c r="J1121"/>
  <c r="I1121"/>
  <c r="H1121"/>
  <c r="G1121"/>
  <c r="E1121"/>
  <c r="D1121"/>
  <c r="K1120"/>
  <c r="F1120"/>
  <c r="N1119"/>
  <c r="O1118" s="1"/>
  <c r="M1119"/>
  <c r="L1119"/>
  <c r="J1119"/>
  <c r="I1119"/>
  <c r="H1119"/>
  <c r="G1119"/>
  <c r="F1119"/>
  <c r="E1119"/>
  <c r="D1119"/>
  <c r="K1118"/>
  <c r="F1118"/>
  <c r="N1117"/>
  <c r="O1116" s="1"/>
  <c r="M1117"/>
  <c r="L1117"/>
  <c r="J1117"/>
  <c r="I1117"/>
  <c r="H1117"/>
  <c r="G1117"/>
  <c r="E1117"/>
  <c r="D1117"/>
  <c r="F1117" s="1"/>
  <c r="K1116"/>
  <c r="F1116"/>
  <c r="N1115"/>
  <c r="O1114" s="1"/>
  <c r="M1115"/>
  <c r="L1115"/>
  <c r="J1115"/>
  <c r="I1115"/>
  <c r="H1115"/>
  <c r="G1115"/>
  <c r="E1115"/>
  <c r="D1115"/>
  <c r="F1115" s="1"/>
  <c r="K1114"/>
  <c r="F1114"/>
  <c r="N1113"/>
  <c r="O1112" s="1"/>
  <c r="M1113"/>
  <c r="L1113"/>
  <c r="J1113"/>
  <c r="I1113"/>
  <c r="H1113"/>
  <c r="G1113"/>
  <c r="E1113"/>
  <c r="D1113"/>
  <c r="K1112"/>
  <c r="F1112"/>
  <c r="N1111"/>
  <c r="O1110" s="1"/>
  <c r="M1111"/>
  <c r="L1111"/>
  <c r="J1111"/>
  <c r="I1111"/>
  <c r="H1111"/>
  <c r="G1111"/>
  <c r="E1111"/>
  <c r="D1111"/>
  <c r="F1111" s="1"/>
  <c r="K1110"/>
  <c r="F1110"/>
  <c r="N1109"/>
  <c r="O1108" s="1"/>
  <c r="M1109"/>
  <c r="L1109"/>
  <c r="J1109"/>
  <c r="I1109"/>
  <c r="H1109"/>
  <c r="G1109"/>
  <c r="F1109"/>
  <c r="E1109"/>
  <c r="D1109"/>
  <c r="K1108"/>
  <c r="F1108"/>
  <c r="N1107"/>
  <c r="O1106" s="1"/>
  <c r="M1107"/>
  <c r="L1107"/>
  <c r="J1107"/>
  <c r="I1107"/>
  <c r="H1107"/>
  <c r="G1107"/>
  <c r="E1107"/>
  <c r="D1107"/>
  <c r="F1107" s="1"/>
  <c r="K1106"/>
  <c r="F1106"/>
  <c r="N1105"/>
  <c r="O1104" s="1"/>
  <c r="M1105"/>
  <c r="L1105"/>
  <c r="J1105"/>
  <c r="I1105"/>
  <c r="H1105"/>
  <c r="G1105"/>
  <c r="E1105"/>
  <c r="D1105"/>
  <c r="K1104"/>
  <c r="F1104"/>
  <c r="N1103"/>
  <c r="O1102" s="1"/>
  <c r="M1103"/>
  <c r="L1103"/>
  <c r="J1103"/>
  <c r="I1103"/>
  <c r="H1103"/>
  <c r="G1103"/>
  <c r="E1103"/>
  <c r="D1103"/>
  <c r="K1102"/>
  <c r="F1102"/>
  <c r="N1101"/>
  <c r="M1101"/>
  <c r="L1101"/>
  <c r="J1101"/>
  <c r="I1101"/>
  <c r="H1101"/>
  <c r="G1101"/>
  <c r="E1101"/>
  <c r="F1101" s="1"/>
  <c r="D1101"/>
  <c r="O1100"/>
  <c r="K1100"/>
  <c r="F1100"/>
  <c r="N1099"/>
  <c r="O1098" s="1"/>
  <c r="M1099"/>
  <c r="L1099"/>
  <c r="J1099"/>
  <c r="I1099"/>
  <c r="H1099"/>
  <c r="G1099"/>
  <c r="E1099"/>
  <c r="D1099"/>
  <c r="K1098"/>
  <c r="F1098"/>
  <c r="N1097"/>
  <c r="O1096" s="1"/>
  <c r="M1097"/>
  <c r="L1097"/>
  <c r="J1097"/>
  <c r="I1097"/>
  <c r="H1097"/>
  <c r="G1097"/>
  <c r="E1097"/>
  <c r="D1097"/>
  <c r="K1096"/>
  <c r="F1096"/>
  <c r="N1095"/>
  <c r="M1095"/>
  <c r="L1095"/>
  <c r="J1095"/>
  <c r="I1095"/>
  <c r="H1095"/>
  <c r="G1095"/>
  <c r="E1095"/>
  <c r="D1095"/>
  <c r="F1095" s="1"/>
  <c r="O1094"/>
  <c r="K1094"/>
  <c r="F1094"/>
  <c r="N1093"/>
  <c r="O1092" s="1"/>
  <c r="M1093"/>
  <c r="L1093"/>
  <c r="J1093"/>
  <c r="I1093"/>
  <c r="H1093"/>
  <c r="G1093"/>
  <c r="E1093"/>
  <c r="D1093"/>
  <c r="K1092"/>
  <c r="F1092"/>
  <c r="N1091"/>
  <c r="O1090" s="1"/>
  <c r="M1091"/>
  <c r="L1091"/>
  <c r="J1091"/>
  <c r="I1091"/>
  <c r="H1091"/>
  <c r="G1091"/>
  <c r="E1091"/>
  <c r="D1091"/>
  <c r="F1091" s="1"/>
  <c r="K1090"/>
  <c r="F1090"/>
  <c r="N1089"/>
  <c r="M1089"/>
  <c r="L1089"/>
  <c r="J1089"/>
  <c r="I1089"/>
  <c r="H1089"/>
  <c r="G1089"/>
  <c r="E1089"/>
  <c r="D1089"/>
  <c r="O1088"/>
  <c r="K1088"/>
  <c r="F1088"/>
  <c r="N1087"/>
  <c r="O1086" s="1"/>
  <c r="M1087"/>
  <c r="L1087"/>
  <c r="J1087"/>
  <c r="I1087"/>
  <c r="H1087"/>
  <c r="G1087"/>
  <c r="E1087"/>
  <c r="D1087"/>
  <c r="K1086"/>
  <c r="F1086"/>
  <c r="N1085"/>
  <c r="O1084" s="1"/>
  <c r="M1085"/>
  <c r="L1085"/>
  <c r="J1085"/>
  <c r="I1085"/>
  <c r="H1085"/>
  <c r="G1085"/>
  <c r="E1085"/>
  <c r="D1085"/>
  <c r="K1084"/>
  <c r="F1084"/>
  <c r="N1083"/>
  <c r="O1082" s="1"/>
  <c r="M1083"/>
  <c r="L1083"/>
  <c r="J1083"/>
  <c r="I1083"/>
  <c r="H1083"/>
  <c r="G1083"/>
  <c r="F1083"/>
  <c r="E1083"/>
  <c r="D1083"/>
  <c r="K1082"/>
  <c r="F1082"/>
  <c r="N1081"/>
  <c r="M1081"/>
  <c r="L1081"/>
  <c r="K1081"/>
  <c r="J1081"/>
  <c r="I1081"/>
  <c r="H1081"/>
  <c r="G1081"/>
  <c r="E1081"/>
  <c r="D1081"/>
  <c r="F1081" s="1"/>
  <c r="O1080"/>
  <c r="K1080"/>
  <c r="F1080"/>
  <c r="N1079"/>
  <c r="O1078" s="1"/>
  <c r="M1079"/>
  <c r="L1079"/>
  <c r="J1079"/>
  <c r="I1079"/>
  <c r="H1079"/>
  <c r="G1079"/>
  <c r="E1079"/>
  <c r="D1079"/>
  <c r="K1078"/>
  <c r="F1078"/>
  <c r="N1077"/>
  <c r="M1077"/>
  <c r="L1077"/>
  <c r="J1077"/>
  <c r="I1077"/>
  <c r="H1077"/>
  <c r="G1077"/>
  <c r="E1077"/>
  <c r="D1077"/>
  <c r="F1077" s="1"/>
  <c r="O1076"/>
  <c r="K1076"/>
  <c r="F1076"/>
  <c r="N1075"/>
  <c r="O1074" s="1"/>
  <c r="M1075"/>
  <c r="L1075"/>
  <c r="J1075"/>
  <c r="I1075"/>
  <c r="H1075"/>
  <c r="G1075"/>
  <c r="F1075"/>
  <c r="E1075"/>
  <c r="D1075"/>
  <c r="K1074"/>
  <c r="F1074"/>
  <c r="N1073"/>
  <c r="M1073"/>
  <c r="L1073"/>
  <c r="J1073"/>
  <c r="I1073"/>
  <c r="H1073"/>
  <c r="G1073"/>
  <c r="E1073"/>
  <c r="D1073"/>
  <c r="F1073" s="1"/>
  <c r="O1072"/>
  <c r="K1072"/>
  <c r="F1072"/>
  <c r="N1071"/>
  <c r="O1070" s="1"/>
  <c r="M1071"/>
  <c r="L1071"/>
  <c r="J1071"/>
  <c r="I1071"/>
  <c r="H1071"/>
  <c r="G1071"/>
  <c r="F1071"/>
  <c r="E1071"/>
  <c r="D1071"/>
  <c r="K1070"/>
  <c r="F1070"/>
  <c r="N1069"/>
  <c r="O1068" s="1"/>
  <c r="M1069"/>
  <c r="L1069"/>
  <c r="J1069"/>
  <c r="I1069"/>
  <c r="H1069"/>
  <c r="G1069"/>
  <c r="E1069"/>
  <c r="D1069"/>
  <c r="K1068"/>
  <c r="F1068"/>
  <c r="N1067"/>
  <c r="O1066" s="1"/>
  <c r="M1067"/>
  <c r="L1067"/>
  <c r="J1067"/>
  <c r="I1067"/>
  <c r="H1067"/>
  <c r="G1067"/>
  <c r="E1067"/>
  <c r="D1067"/>
  <c r="F1067" s="1"/>
  <c r="K1066"/>
  <c r="F1066"/>
  <c r="N1064"/>
  <c r="M1064"/>
  <c r="L1064"/>
  <c r="J1064"/>
  <c r="I1064"/>
  <c r="H1064"/>
  <c r="G1064"/>
  <c r="E1064"/>
  <c r="D1064"/>
  <c r="F1064" s="1"/>
  <c r="N1062"/>
  <c r="M1062"/>
  <c r="L1062"/>
  <c r="J1062"/>
  <c r="I1062"/>
  <c r="H1062"/>
  <c r="G1062"/>
  <c r="E1062"/>
  <c r="F1062" s="1"/>
  <c r="D1062"/>
  <c r="N1060"/>
  <c r="M1060"/>
  <c r="L1060"/>
  <c r="J1060"/>
  <c r="I1060"/>
  <c r="H1060"/>
  <c r="G1060"/>
  <c r="E1060"/>
  <c r="D1060"/>
  <c r="F1060" s="1"/>
  <c r="N1058"/>
  <c r="M1058"/>
  <c r="L1058"/>
  <c r="J1058"/>
  <c r="I1058"/>
  <c r="H1058"/>
  <c r="G1058"/>
  <c r="E1058"/>
  <c r="D1058"/>
  <c r="N1057"/>
  <c r="O1056" s="1"/>
  <c r="M1057"/>
  <c r="L1057"/>
  <c r="J1057"/>
  <c r="I1057"/>
  <c r="H1057"/>
  <c r="G1057"/>
  <c r="E1057"/>
  <c r="D1057"/>
  <c r="K1056"/>
  <c r="F1056"/>
  <c r="N1055"/>
  <c r="O1054" s="1"/>
  <c r="M1055"/>
  <c r="L1055"/>
  <c r="J1055"/>
  <c r="I1055"/>
  <c r="H1055"/>
  <c r="G1055"/>
  <c r="K1055" s="1"/>
  <c r="E1055"/>
  <c r="D1055"/>
  <c r="K1054"/>
  <c r="F1054"/>
  <c r="N1053"/>
  <c r="O1052" s="1"/>
  <c r="M1053"/>
  <c r="L1053"/>
  <c r="J1053"/>
  <c r="I1053"/>
  <c r="H1053"/>
  <c r="G1053"/>
  <c r="E1053"/>
  <c r="D1053"/>
  <c r="K1052"/>
  <c r="F1052"/>
  <c r="N1051"/>
  <c r="O1050" s="1"/>
  <c r="M1051"/>
  <c r="L1051"/>
  <c r="J1051"/>
  <c r="I1051"/>
  <c r="H1051"/>
  <c r="G1051"/>
  <c r="E1051"/>
  <c r="D1051"/>
  <c r="K1050"/>
  <c r="F1050"/>
  <c r="N1049"/>
  <c r="M1049"/>
  <c r="L1049"/>
  <c r="J1049"/>
  <c r="I1049"/>
  <c r="H1049"/>
  <c r="G1049"/>
  <c r="E1049"/>
  <c r="D1049"/>
  <c r="O1048"/>
  <c r="K1048"/>
  <c r="F1048"/>
  <c r="N1047"/>
  <c r="O1046" s="1"/>
  <c r="M1047"/>
  <c r="L1047"/>
  <c r="J1047"/>
  <c r="I1047"/>
  <c r="H1047"/>
  <c r="G1047"/>
  <c r="E1047"/>
  <c r="D1047"/>
  <c r="F1047" s="1"/>
  <c r="K1046"/>
  <c r="F1046"/>
  <c r="N1045"/>
  <c r="O1044" s="1"/>
  <c r="M1045"/>
  <c r="L1045"/>
  <c r="J1045"/>
  <c r="I1045"/>
  <c r="H1045"/>
  <c r="G1045"/>
  <c r="F1045"/>
  <c r="E1045"/>
  <c r="D1045"/>
  <c r="K1044"/>
  <c r="F1044"/>
  <c r="N1043"/>
  <c r="O1042" s="1"/>
  <c r="M1043"/>
  <c r="L1043"/>
  <c r="J1043"/>
  <c r="I1043"/>
  <c r="H1043"/>
  <c r="G1043"/>
  <c r="E1043"/>
  <c r="D1043"/>
  <c r="K1042"/>
  <c r="F1042"/>
  <c r="N1041"/>
  <c r="O1040" s="1"/>
  <c r="M1041"/>
  <c r="L1041"/>
  <c r="J1041"/>
  <c r="I1041"/>
  <c r="H1041"/>
  <c r="G1041"/>
  <c r="K1041" s="1"/>
  <c r="E1041"/>
  <c r="D1041"/>
  <c r="K1040"/>
  <c r="F1040"/>
  <c r="N1039"/>
  <c r="O1038" s="1"/>
  <c r="M1039"/>
  <c r="L1039"/>
  <c r="J1039"/>
  <c r="I1039"/>
  <c r="H1039"/>
  <c r="G1039"/>
  <c r="E1039"/>
  <c r="D1039"/>
  <c r="F1039" s="1"/>
  <c r="K1038"/>
  <c r="F1038"/>
  <c r="N1037"/>
  <c r="O1036" s="1"/>
  <c r="M1037"/>
  <c r="L1037"/>
  <c r="J1037"/>
  <c r="I1037"/>
  <c r="H1037"/>
  <c r="G1037"/>
  <c r="E1037"/>
  <c r="D1037"/>
  <c r="F1037" s="1"/>
  <c r="K1036"/>
  <c r="F1036"/>
  <c r="N1035"/>
  <c r="O1034" s="1"/>
  <c r="M1035"/>
  <c r="L1035"/>
  <c r="J1035"/>
  <c r="I1035"/>
  <c r="H1035"/>
  <c r="G1035"/>
  <c r="E1035"/>
  <c r="D1035"/>
  <c r="F1035" s="1"/>
  <c r="K1034"/>
  <c r="F1034"/>
  <c r="N1033"/>
  <c r="O1032" s="1"/>
  <c r="M1033"/>
  <c r="L1033"/>
  <c r="J1033"/>
  <c r="I1033"/>
  <c r="H1033"/>
  <c r="G1033"/>
  <c r="E1033"/>
  <c r="D1033"/>
  <c r="F1033" s="1"/>
  <c r="K1032"/>
  <c r="F1032"/>
  <c r="N1031"/>
  <c r="O1030" s="1"/>
  <c r="M1031"/>
  <c r="L1031"/>
  <c r="J1031"/>
  <c r="I1031"/>
  <c r="H1031"/>
  <c r="G1031"/>
  <c r="E1031"/>
  <c r="D1031"/>
  <c r="K1030"/>
  <c r="F1030"/>
  <c r="N1029"/>
  <c r="O1028" s="1"/>
  <c r="M1029"/>
  <c r="L1029"/>
  <c r="J1029"/>
  <c r="I1029"/>
  <c r="H1029"/>
  <c r="G1029"/>
  <c r="E1029"/>
  <c r="D1029"/>
  <c r="K1028"/>
  <c r="F1028"/>
  <c r="N1027"/>
  <c r="O1026" s="1"/>
  <c r="M1027"/>
  <c r="L1027"/>
  <c r="J1027"/>
  <c r="I1027"/>
  <c r="H1027"/>
  <c r="G1027"/>
  <c r="K1027" s="1"/>
  <c r="E1027"/>
  <c r="D1027"/>
  <c r="K1026"/>
  <c r="F1026"/>
  <c r="N1025"/>
  <c r="O1024" s="1"/>
  <c r="M1025"/>
  <c r="L1025"/>
  <c r="J1025"/>
  <c r="I1025"/>
  <c r="H1025"/>
  <c r="G1025"/>
  <c r="E1025"/>
  <c r="D1025"/>
  <c r="K1024"/>
  <c r="F1024"/>
  <c r="N1023"/>
  <c r="O1022" s="1"/>
  <c r="M1023"/>
  <c r="L1023"/>
  <c r="J1023"/>
  <c r="I1023"/>
  <c r="H1023"/>
  <c r="G1023"/>
  <c r="E1023"/>
  <c r="D1023"/>
  <c r="K1022"/>
  <c r="F1022"/>
  <c r="N1021"/>
  <c r="O1020" s="1"/>
  <c r="M1021"/>
  <c r="L1021"/>
  <c r="J1021"/>
  <c r="I1021"/>
  <c r="H1021"/>
  <c r="G1021"/>
  <c r="E1021"/>
  <c r="D1021"/>
  <c r="F1021" s="1"/>
  <c r="K1020"/>
  <c r="F1020"/>
  <c r="N1019"/>
  <c r="O1018" s="1"/>
  <c r="M1019"/>
  <c r="L1019"/>
  <c r="J1019"/>
  <c r="I1019"/>
  <c r="H1019"/>
  <c r="G1019"/>
  <c r="E1019"/>
  <c r="D1019"/>
  <c r="F1019" s="1"/>
  <c r="K1018"/>
  <c r="F1018"/>
  <c r="N1017"/>
  <c r="O1016" s="1"/>
  <c r="M1017"/>
  <c r="L1017"/>
  <c r="J1017"/>
  <c r="I1017"/>
  <c r="H1017"/>
  <c r="G1017"/>
  <c r="E1017"/>
  <c r="D1017"/>
  <c r="F1017" s="1"/>
  <c r="K1016"/>
  <c r="F1016"/>
  <c r="N1015"/>
  <c r="O1014" s="1"/>
  <c r="M1015"/>
  <c r="L1015"/>
  <c r="J1015"/>
  <c r="I1015"/>
  <c r="H1015"/>
  <c r="G1015"/>
  <c r="E1015"/>
  <c r="D1015"/>
  <c r="K1014"/>
  <c r="F1014"/>
  <c r="N1013"/>
  <c r="O1012" s="1"/>
  <c r="M1013"/>
  <c r="L1013"/>
  <c r="J1013"/>
  <c r="I1013"/>
  <c r="K1013" s="1"/>
  <c r="H1013"/>
  <c r="G1013"/>
  <c r="E1013"/>
  <c r="D1013"/>
  <c r="K1012"/>
  <c r="F1012"/>
  <c r="N1011"/>
  <c r="O1010" s="1"/>
  <c r="M1011"/>
  <c r="L1011"/>
  <c r="J1011"/>
  <c r="I1011"/>
  <c r="H1011"/>
  <c r="G1011"/>
  <c r="E1011"/>
  <c r="D1011"/>
  <c r="K1010"/>
  <c r="F1010"/>
  <c r="N1009"/>
  <c r="O1008" s="1"/>
  <c r="M1009"/>
  <c r="L1009"/>
  <c r="J1009"/>
  <c r="I1009"/>
  <c r="H1009"/>
  <c r="G1009"/>
  <c r="K1009" s="1"/>
  <c r="E1009"/>
  <c r="D1009"/>
  <c r="K1008"/>
  <c r="F1008"/>
  <c r="N1007"/>
  <c r="O1006" s="1"/>
  <c r="M1007"/>
  <c r="L1007"/>
  <c r="K1007"/>
  <c r="J1007"/>
  <c r="I1007"/>
  <c r="H1007"/>
  <c r="G1007"/>
  <c r="E1007"/>
  <c r="D1007"/>
  <c r="K1006"/>
  <c r="F1006"/>
  <c r="N1005"/>
  <c r="M1005"/>
  <c r="L1005"/>
  <c r="J1005"/>
  <c r="I1005"/>
  <c r="H1005"/>
  <c r="G1005"/>
  <c r="E1005"/>
  <c r="D1005"/>
  <c r="O1004"/>
  <c r="K1004"/>
  <c r="F1004"/>
  <c r="N1003"/>
  <c r="M1003"/>
  <c r="L1003"/>
  <c r="J1003"/>
  <c r="I1003"/>
  <c r="H1003"/>
  <c r="G1003"/>
  <c r="E1003"/>
  <c r="D1003"/>
  <c r="F1003" s="1"/>
  <c r="O1002"/>
  <c r="K1002"/>
  <c r="F1002"/>
  <c r="N1001"/>
  <c r="M1001"/>
  <c r="L1001"/>
  <c r="J1001"/>
  <c r="I1001"/>
  <c r="H1001"/>
  <c r="G1001"/>
  <c r="E1001"/>
  <c r="D1001"/>
  <c r="O1000"/>
  <c r="K1000"/>
  <c r="F1000"/>
  <c r="N999"/>
  <c r="O998" s="1"/>
  <c r="M999"/>
  <c r="L999"/>
  <c r="J999"/>
  <c r="I999"/>
  <c r="H999"/>
  <c r="G999"/>
  <c r="E999"/>
  <c r="D999"/>
  <c r="K998"/>
  <c r="F998"/>
  <c r="N997"/>
  <c r="O996" s="1"/>
  <c r="M997"/>
  <c r="L997"/>
  <c r="J997"/>
  <c r="I997"/>
  <c r="H997"/>
  <c r="G997"/>
  <c r="E997"/>
  <c r="D997"/>
  <c r="F997" s="1"/>
  <c r="K996"/>
  <c r="F996"/>
  <c r="N995"/>
  <c r="O994" s="1"/>
  <c r="M995"/>
  <c r="L995"/>
  <c r="J995"/>
  <c r="I995"/>
  <c r="H995"/>
  <c r="G995"/>
  <c r="E995"/>
  <c r="D995"/>
  <c r="K994"/>
  <c r="F994"/>
  <c r="N993"/>
  <c r="O992" s="1"/>
  <c r="M993"/>
  <c r="L993"/>
  <c r="J993"/>
  <c r="I993"/>
  <c r="H993"/>
  <c r="G993"/>
  <c r="K993" s="1"/>
  <c r="E993"/>
  <c r="D993"/>
  <c r="F993" s="1"/>
  <c r="K992"/>
  <c r="F992"/>
  <c r="N991"/>
  <c r="O990" s="1"/>
  <c r="M991"/>
  <c r="L991"/>
  <c r="J991"/>
  <c r="I991"/>
  <c r="H991"/>
  <c r="G991"/>
  <c r="F991"/>
  <c r="E991"/>
  <c r="D991"/>
  <c r="K990"/>
  <c r="F990"/>
  <c r="N989"/>
  <c r="O988" s="1"/>
  <c r="M989"/>
  <c r="L989"/>
  <c r="J989"/>
  <c r="I989"/>
  <c r="H989"/>
  <c r="G989"/>
  <c r="E989"/>
  <c r="D989"/>
  <c r="F989" s="1"/>
  <c r="K988"/>
  <c r="F988"/>
  <c r="N987"/>
  <c r="O986" s="1"/>
  <c r="M987"/>
  <c r="L987"/>
  <c r="J987"/>
  <c r="I987"/>
  <c r="H987"/>
  <c r="G987"/>
  <c r="E987"/>
  <c r="F987" s="1"/>
  <c r="D987"/>
  <c r="K986"/>
  <c r="F986"/>
  <c r="N985"/>
  <c r="O984" s="1"/>
  <c r="M985"/>
  <c r="L985"/>
  <c r="J985"/>
  <c r="I985"/>
  <c r="H985"/>
  <c r="G985"/>
  <c r="E985"/>
  <c r="D985"/>
  <c r="F985" s="1"/>
  <c r="K984"/>
  <c r="F984"/>
  <c r="N983"/>
  <c r="O982" s="1"/>
  <c r="M983"/>
  <c r="L983"/>
  <c r="J983"/>
  <c r="I983"/>
  <c r="H983"/>
  <c r="G983"/>
  <c r="E983"/>
  <c r="D983"/>
  <c r="K982"/>
  <c r="F982"/>
  <c r="N981"/>
  <c r="M981"/>
  <c r="L981"/>
  <c r="J981"/>
  <c r="I981"/>
  <c r="H981"/>
  <c r="G981"/>
  <c r="E981"/>
  <c r="D981"/>
  <c r="O980"/>
  <c r="K980"/>
  <c r="F980"/>
  <c r="N979"/>
  <c r="O978" s="1"/>
  <c r="M979"/>
  <c r="L979"/>
  <c r="J979"/>
  <c r="I979"/>
  <c r="H979"/>
  <c r="G979"/>
  <c r="E979"/>
  <c r="D979"/>
  <c r="F979" s="1"/>
  <c r="K978"/>
  <c r="F978"/>
  <c r="N977"/>
  <c r="O976" s="1"/>
  <c r="M977"/>
  <c r="L977"/>
  <c r="J977"/>
  <c r="I977"/>
  <c r="H977"/>
  <c r="G977"/>
  <c r="E977"/>
  <c r="D977"/>
  <c r="K976"/>
  <c r="F976"/>
  <c r="N975"/>
  <c r="O974" s="1"/>
  <c r="M975"/>
  <c r="L975"/>
  <c r="J975"/>
  <c r="I975"/>
  <c r="H975"/>
  <c r="G975"/>
  <c r="E975"/>
  <c r="D975"/>
  <c r="K974"/>
  <c r="F974"/>
  <c r="N973"/>
  <c r="M973"/>
  <c r="L973"/>
  <c r="J973"/>
  <c r="I973"/>
  <c r="H973"/>
  <c r="G973"/>
  <c r="E973"/>
  <c r="D973"/>
  <c r="O972"/>
  <c r="K972"/>
  <c r="F972"/>
  <c r="N971"/>
  <c r="M971"/>
  <c r="L971"/>
  <c r="J971"/>
  <c r="I971"/>
  <c r="H971"/>
  <c r="G971"/>
  <c r="E971"/>
  <c r="D971"/>
  <c r="O970"/>
  <c r="K970"/>
  <c r="F970"/>
  <c r="N969"/>
  <c r="M969"/>
  <c r="L969"/>
  <c r="J969"/>
  <c r="I969"/>
  <c r="H969"/>
  <c r="G969"/>
  <c r="E969"/>
  <c r="D969"/>
  <c r="O968"/>
  <c r="K968"/>
  <c r="F968"/>
  <c r="N967"/>
  <c r="O966" s="1"/>
  <c r="M967"/>
  <c r="L967"/>
  <c r="J967"/>
  <c r="I967"/>
  <c r="H967"/>
  <c r="G967"/>
  <c r="E967"/>
  <c r="D967"/>
  <c r="F967" s="1"/>
  <c r="K966"/>
  <c r="F966"/>
  <c r="N965"/>
  <c r="O964" s="1"/>
  <c r="M965"/>
  <c r="L965"/>
  <c r="J965"/>
  <c r="I965"/>
  <c r="H965"/>
  <c r="G965"/>
  <c r="F965"/>
  <c r="E965"/>
  <c r="D965"/>
  <c r="K964"/>
  <c r="F964"/>
  <c r="N963"/>
  <c r="O962" s="1"/>
  <c r="M963"/>
  <c r="L963"/>
  <c r="J963"/>
  <c r="I963"/>
  <c r="H963"/>
  <c r="G963"/>
  <c r="E963"/>
  <c r="D963"/>
  <c r="F963" s="1"/>
  <c r="K962"/>
  <c r="F962"/>
  <c r="N961"/>
  <c r="O960" s="1"/>
  <c r="M961"/>
  <c r="L961"/>
  <c r="J961"/>
  <c r="I961"/>
  <c r="H961"/>
  <c r="G961"/>
  <c r="K961" s="1"/>
  <c r="E961"/>
  <c r="D961"/>
  <c r="F961" s="1"/>
  <c r="K960"/>
  <c r="F960"/>
  <c r="N959"/>
  <c r="O958" s="1"/>
  <c r="M959"/>
  <c r="L959"/>
  <c r="J959"/>
  <c r="I959"/>
  <c r="H959"/>
  <c r="G959"/>
  <c r="E959"/>
  <c r="F959" s="1"/>
  <c r="D959"/>
  <c r="K958"/>
  <c r="F958"/>
  <c r="N957"/>
  <c r="O956" s="1"/>
  <c r="M957"/>
  <c r="L957"/>
  <c r="J957"/>
  <c r="I957"/>
  <c r="H957"/>
  <c r="G957"/>
  <c r="E957"/>
  <c r="D957"/>
  <c r="K956"/>
  <c r="F956"/>
  <c r="N955"/>
  <c r="O954" s="1"/>
  <c r="M955"/>
  <c r="L955"/>
  <c r="J955"/>
  <c r="I955"/>
  <c r="H955"/>
  <c r="G955"/>
  <c r="E955"/>
  <c r="F955" s="1"/>
  <c r="D955"/>
  <c r="K954"/>
  <c r="F954"/>
  <c r="N953"/>
  <c r="O952" s="1"/>
  <c r="M953"/>
  <c r="L953"/>
  <c r="J953"/>
  <c r="I953"/>
  <c r="H953"/>
  <c r="G953"/>
  <c r="E953"/>
  <c r="D953"/>
  <c r="K952"/>
  <c r="F952"/>
  <c r="N951"/>
  <c r="O950" s="1"/>
  <c r="M951"/>
  <c r="L951"/>
  <c r="J951"/>
  <c r="I951"/>
  <c r="H951"/>
  <c r="G951"/>
  <c r="E951"/>
  <c r="D951"/>
  <c r="F951" s="1"/>
  <c r="K950"/>
  <c r="F950"/>
  <c r="N949"/>
  <c r="O948" s="1"/>
  <c r="M949"/>
  <c r="L949"/>
  <c r="J949"/>
  <c r="I949"/>
  <c r="H949"/>
  <c r="G949"/>
  <c r="E949"/>
  <c r="F949" s="1"/>
  <c r="D949"/>
  <c r="K948"/>
  <c r="F948"/>
  <c r="N947"/>
  <c r="O946" s="1"/>
  <c r="M947"/>
  <c r="L947"/>
  <c r="J947"/>
  <c r="I947"/>
  <c r="H947"/>
  <c r="G947"/>
  <c r="E947"/>
  <c r="D947"/>
  <c r="F947" s="1"/>
  <c r="K946"/>
  <c r="F946"/>
  <c r="N945"/>
  <c r="O944" s="1"/>
  <c r="M945"/>
  <c r="L945"/>
  <c r="J945"/>
  <c r="I945"/>
  <c r="H945"/>
  <c r="G945"/>
  <c r="K945" s="1"/>
  <c r="E945"/>
  <c r="F945" s="1"/>
  <c r="D945"/>
  <c r="K944"/>
  <c r="F944"/>
  <c r="N943"/>
  <c r="O942" s="1"/>
  <c r="M943"/>
  <c r="L943"/>
  <c r="J943"/>
  <c r="I943"/>
  <c r="H943"/>
  <c r="G943"/>
  <c r="E943"/>
  <c r="D943"/>
  <c r="F943" s="1"/>
  <c r="K942"/>
  <c r="F942"/>
  <c r="N941"/>
  <c r="O940" s="1"/>
  <c r="M941"/>
  <c r="L941"/>
  <c r="J941"/>
  <c r="I941"/>
  <c r="H941"/>
  <c r="G941"/>
  <c r="E941"/>
  <c r="D941"/>
  <c r="F941" s="1"/>
  <c r="K940"/>
  <c r="F940"/>
  <c r="N939"/>
  <c r="O938" s="1"/>
  <c r="M939"/>
  <c r="L939"/>
  <c r="J939"/>
  <c r="I939"/>
  <c r="H939"/>
  <c r="G939"/>
  <c r="E939"/>
  <c r="D939"/>
  <c r="K938"/>
  <c r="F938"/>
  <c r="N937"/>
  <c r="M937"/>
  <c r="L937"/>
  <c r="J937"/>
  <c r="I937"/>
  <c r="H937"/>
  <c r="G937"/>
  <c r="E937"/>
  <c r="D937"/>
  <c r="O936"/>
  <c r="K936"/>
  <c r="F936"/>
  <c r="N935"/>
  <c r="O934" s="1"/>
  <c r="M935"/>
  <c r="L935"/>
  <c r="J935"/>
  <c r="I935"/>
  <c r="H935"/>
  <c r="G935"/>
  <c r="E935"/>
  <c r="F935" s="1"/>
  <c r="D935"/>
  <c r="K934"/>
  <c r="F934"/>
  <c r="N933"/>
  <c r="O932" s="1"/>
  <c r="M933"/>
  <c r="L933"/>
  <c r="J933"/>
  <c r="I933"/>
  <c r="H933"/>
  <c r="G933"/>
  <c r="E933"/>
  <c r="D933"/>
  <c r="K932"/>
  <c r="F932"/>
  <c r="N931"/>
  <c r="O930" s="1"/>
  <c r="M931"/>
  <c r="L931"/>
  <c r="J931"/>
  <c r="I931"/>
  <c r="H931"/>
  <c r="G931"/>
  <c r="E931"/>
  <c r="D931"/>
  <c r="F931" s="1"/>
  <c r="K930"/>
  <c r="F930"/>
  <c r="N929"/>
  <c r="O928" s="1"/>
  <c r="M929"/>
  <c r="L929"/>
  <c r="J929"/>
  <c r="I929"/>
  <c r="H929"/>
  <c r="G929"/>
  <c r="E929"/>
  <c r="D929"/>
  <c r="K928"/>
  <c r="F928"/>
  <c r="N927"/>
  <c r="O926" s="1"/>
  <c r="M927"/>
  <c r="L927"/>
  <c r="J927"/>
  <c r="I927"/>
  <c r="H927"/>
  <c r="G927"/>
  <c r="E927"/>
  <c r="D927"/>
  <c r="F927" s="1"/>
  <c r="K926"/>
  <c r="F926"/>
  <c r="N925"/>
  <c r="O924" s="1"/>
  <c r="M925"/>
  <c r="L925"/>
  <c r="J925"/>
  <c r="I925"/>
  <c r="H925"/>
  <c r="G925"/>
  <c r="K925" s="1"/>
  <c r="E925"/>
  <c r="F925" s="1"/>
  <c r="D925"/>
  <c r="K924"/>
  <c r="F924"/>
  <c r="N923"/>
  <c r="O922" s="1"/>
  <c r="M923"/>
  <c r="L923"/>
  <c r="J923"/>
  <c r="I923"/>
  <c r="H923"/>
  <c r="G923"/>
  <c r="E923"/>
  <c r="D923"/>
  <c r="F923" s="1"/>
  <c r="K922"/>
  <c r="F922"/>
  <c r="N921"/>
  <c r="M921"/>
  <c r="L921"/>
  <c r="J921"/>
  <c r="I921"/>
  <c r="H921"/>
  <c r="G921"/>
  <c r="K921" s="1"/>
  <c r="E921"/>
  <c r="D921"/>
  <c r="O920"/>
  <c r="K920"/>
  <c r="F920"/>
  <c r="N919"/>
  <c r="M919"/>
  <c r="L919"/>
  <c r="J919"/>
  <c r="I919"/>
  <c r="K919" s="1"/>
  <c r="H919"/>
  <c r="G919"/>
  <c r="E919"/>
  <c r="D919"/>
  <c r="F919" s="1"/>
  <c r="O918"/>
  <c r="K918"/>
  <c r="F918"/>
  <c r="N917"/>
  <c r="O916" s="1"/>
  <c r="M917"/>
  <c r="L917"/>
  <c r="J917"/>
  <c r="I917"/>
  <c r="H917"/>
  <c r="G917"/>
  <c r="K917" s="1"/>
  <c r="E917"/>
  <c r="D917"/>
  <c r="K916"/>
  <c r="F916"/>
  <c r="N915"/>
  <c r="O914" s="1"/>
  <c r="M915"/>
  <c r="L915"/>
  <c r="J915"/>
  <c r="I915"/>
  <c r="H915"/>
  <c r="G915"/>
  <c r="E915"/>
  <c r="D915"/>
  <c r="F915" s="1"/>
  <c r="K914"/>
  <c r="F914"/>
  <c r="N913"/>
  <c r="O912" s="1"/>
  <c r="M913"/>
  <c r="L913"/>
  <c r="J913"/>
  <c r="I913"/>
  <c r="H913"/>
  <c r="G913"/>
  <c r="E913"/>
  <c r="D913"/>
  <c r="K912"/>
  <c r="F912"/>
  <c r="N911"/>
  <c r="O910" s="1"/>
  <c r="M911"/>
  <c r="L911"/>
  <c r="J911"/>
  <c r="I911"/>
  <c r="H911"/>
  <c r="G911"/>
  <c r="E911"/>
  <c r="D911"/>
  <c r="K910"/>
  <c r="F910"/>
  <c r="N909"/>
  <c r="O908" s="1"/>
  <c r="M909"/>
  <c r="L909"/>
  <c r="J909"/>
  <c r="I909"/>
  <c r="H909"/>
  <c r="G909"/>
  <c r="E909"/>
  <c r="D909"/>
  <c r="K908"/>
  <c r="F908"/>
  <c r="N907"/>
  <c r="O906" s="1"/>
  <c r="M907"/>
  <c r="L907"/>
  <c r="J907"/>
  <c r="I907"/>
  <c r="H907"/>
  <c r="G907"/>
  <c r="E907"/>
  <c r="D907"/>
  <c r="K906"/>
  <c r="F906"/>
  <c r="N905"/>
  <c r="O904" s="1"/>
  <c r="M905"/>
  <c r="L905"/>
  <c r="J905"/>
  <c r="I905"/>
  <c r="H905"/>
  <c r="G905"/>
  <c r="E905"/>
  <c r="D905"/>
  <c r="K904"/>
  <c r="F904"/>
  <c r="N903"/>
  <c r="O902" s="1"/>
  <c r="M903"/>
  <c r="L903"/>
  <c r="J903"/>
  <c r="I903"/>
  <c r="H903"/>
  <c r="G903"/>
  <c r="K903" s="1"/>
  <c r="E903"/>
  <c r="D903"/>
  <c r="F903" s="1"/>
  <c r="K902"/>
  <c r="F902"/>
  <c r="N901"/>
  <c r="O900" s="1"/>
  <c r="M901"/>
  <c r="L901"/>
  <c r="J901"/>
  <c r="I901"/>
  <c r="H901"/>
  <c r="G901"/>
  <c r="E901"/>
  <c r="D901"/>
  <c r="K900"/>
  <c r="F900"/>
  <c r="N899"/>
  <c r="O898" s="1"/>
  <c r="M899"/>
  <c r="L899"/>
  <c r="J899"/>
  <c r="I899"/>
  <c r="H899"/>
  <c r="G899"/>
  <c r="E899"/>
  <c r="D899"/>
  <c r="K898"/>
  <c r="F898"/>
  <c r="N897"/>
  <c r="O896" s="1"/>
  <c r="M897"/>
  <c r="L897"/>
  <c r="J897"/>
  <c r="I897"/>
  <c r="H897"/>
  <c r="G897"/>
  <c r="E897"/>
  <c r="D897"/>
  <c r="K896"/>
  <c r="F896"/>
  <c r="N895"/>
  <c r="O894" s="1"/>
  <c r="M895"/>
  <c r="L895"/>
  <c r="J895"/>
  <c r="I895"/>
  <c r="H895"/>
  <c r="G895"/>
  <c r="E895"/>
  <c r="D895"/>
  <c r="F895" s="1"/>
  <c r="K894"/>
  <c r="F894"/>
  <c r="N893"/>
  <c r="O892" s="1"/>
  <c r="M893"/>
  <c r="L893"/>
  <c r="J893"/>
  <c r="I893"/>
  <c r="H893"/>
  <c r="G893"/>
  <c r="E893"/>
  <c r="D893"/>
  <c r="F893" s="1"/>
  <c r="K892"/>
  <c r="F892"/>
  <c r="N891"/>
  <c r="O890" s="1"/>
  <c r="M891"/>
  <c r="L891"/>
  <c r="J891"/>
  <c r="I891"/>
  <c r="H891"/>
  <c r="G891"/>
  <c r="E891"/>
  <c r="D891"/>
  <c r="K890"/>
  <c r="F890"/>
  <c r="N889"/>
  <c r="O888" s="1"/>
  <c r="M889"/>
  <c r="L889"/>
  <c r="J889"/>
  <c r="I889"/>
  <c r="H889"/>
  <c r="G889"/>
  <c r="E889"/>
  <c r="D889"/>
  <c r="K888"/>
  <c r="F888"/>
  <c r="N887"/>
  <c r="O886" s="1"/>
  <c r="M887"/>
  <c r="L887"/>
  <c r="J887"/>
  <c r="I887"/>
  <c r="H887"/>
  <c r="G887"/>
  <c r="E887"/>
  <c r="D887"/>
  <c r="F887" s="1"/>
  <c r="K886"/>
  <c r="F886"/>
  <c r="N885"/>
  <c r="O884" s="1"/>
  <c r="M885"/>
  <c r="L885"/>
  <c r="J885"/>
  <c r="I885"/>
  <c r="H885"/>
  <c r="G885"/>
  <c r="E885"/>
  <c r="D885"/>
  <c r="K884"/>
  <c r="F884"/>
  <c r="N883"/>
  <c r="M883"/>
  <c r="L883"/>
  <c r="J883"/>
  <c r="I883"/>
  <c r="H883"/>
  <c r="G883"/>
  <c r="E883"/>
  <c r="D883"/>
  <c r="F883" s="1"/>
  <c r="O882"/>
  <c r="K882"/>
  <c r="F882"/>
  <c r="N881"/>
  <c r="O880" s="1"/>
  <c r="M881"/>
  <c r="L881"/>
  <c r="J881"/>
  <c r="I881"/>
  <c r="H881"/>
  <c r="G881"/>
  <c r="E881"/>
  <c r="D881"/>
  <c r="F881" s="1"/>
  <c r="K880"/>
  <c r="F880"/>
  <c r="N879"/>
  <c r="O878" s="1"/>
  <c r="M879"/>
  <c r="L879"/>
  <c r="J879"/>
  <c r="I879"/>
  <c r="H879"/>
  <c r="G879"/>
  <c r="E879"/>
  <c r="D879"/>
  <c r="F879" s="1"/>
  <c r="K878"/>
  <c r="F878"/>
  <c r="N877"/>
  <c r="O876" s="1"/>
  <c r="M877"/>
  <c r="L877"/>
  <c r="J877"/>
  <c r="I877"/>
  <c r="H877"/>
  <c r="G877"/>
  <c r="E877"/>
  <c r="D877"/>
  <c r="K876"/>
  <c r="F876"/>
  <c r="N875"/>
  <c r="O874" s="1"/>
  <c r="M875"/>
  <c r="L875"/>
  <c r="J875"/>
  <c r="I875"/>
  <c r="H875"/>
  <c r="G875"/>
  <c r="E875"/>
  <c r="D875"/>
  <c r="K874"/>
  <c r="F874"/>
  <c r="N873"/>
  <c r="M873"/>
  <c r="L873"/>
  <c r="J873"/>
  <c r="I873"/>
  <c r="H873"/>
  <c r="G873"/>
  <c r="E873"/>
  <c r="D873"/>
  <c r="O872"/>
  <c r="K872"/>
  <c r="F872"/>
  <c r="N871"/>
  <c r="M871"/>
  <c r="L871"/>
  <c r="J871"/>
  <c r="I871"/>
  <c r="H871"/>
  <c r="G871"/>
  <c r="E871"/>
  <c r="D871"/>
  <c r="O870"/>
  <c r="K870"/>
  <c r="F870"/>
  <c r="N869"/>
  <c r="O868" s="1"/>
  <c r="M869"/>
  <c r="L869"/>
  <c r="J869"/>
  <c r="I869"/>
  <c r="H869"/>
  <c r="G869"/>
  <c r="E869"/>
  <c r="D869"/>
  <c r="F869" s="1"/>
  <c r="K868"/>
  <c r="F868"/>
  <c r="N867"/>
  <c r="O866" s="1"/>
  <c r="M867"/>
  <c r="L867"/>
  <c r="J867"/>
  <c r="I867"/>
  <c r="H867"/>
  <c r="G867"/>
  <c r="E867"/>
  <c r="D867"/>
  <c r="F867" s="1"/>
  <c r="K866"/>
  <c r="F866"/>
  <c r="N865"/>
  <c r="O864" s="1"/>
  <c r="M865"/>
  <c r="L865"/>
  <c r="J865"/>
  <c r="I865"/>
  <c r="H865"/>
  <c r="G865"/>
  <c r="E865"/>
  <c r="D865"/>
  <c r="K864"/>
  <c r="F864"/>
  <c r="N863"/>
  <c r="O862" s="1"/>
  <c r="M863"/>
  <c r="L863"/>
  <c r="J863"/>
  <c r="I863"/>
  <c r="H863"/>
  <c r="G863"/>
  <c r="E863"/>
  <c r="D863"/>
  <c r="F863" s="1"/>
  <c r="K862"/>
  <c r="F862"/>
  <c r="N861"/>
  <c r="O860" s="1"/>
  <c r="M861"/>
  <c r="L861"/>
  <c r="J861"/>
  <c r="I861"/>
  <c r="H861"/>
  <c r="G861"/>
  <c r="E861"/>
  <c r="D861"/>
  <c r="F861" s="1"/>
  <c r="K860"/>
  <c r="F860"/>
  <c r="N859"/>
  <c r="O858" s="1"/>
  <c r="M859"/>
  <c r="L859"/>
  <c r="J859"/>
  <c r="I859"/>
  <c r="H859"/>
  <c r="G859"/>
  <c r="E859"/>
  <c r="D859"/>
  <c r="K858"/>
  <c r="F858"/>
  <c r="N856"/>
  <c r="M856"/>
  <c r="L856"/>
  <c r="J856"/>
  <c r="I856"/>
  <c r="H856"/>
  <c r="G856"/>
  <c r="E856"/>
  <c r="D856"/>
  <c r="F856" s="1"/>
  <c r="N854"/>
  <c r="M854"/>
  <c r="L854"/>
  <c r="J854"/>
  <c r="I854"/>
  <c r="H854"/>
  <c r="G854"/>
  <c r="E854"/>
  <c r="D854"/>
  <c r="N852"/>
  <c r="M852"/>
  <c r="L852"/>
  <c r="J852"/>
  <c r="I852"/>
  <c r="H852"/>
  <c r="G852"/>
  <c r="E852"/>
  <c r="D852"/>
  <c r="N850"/>
  <c r="M850"/>
  <c r="L850"/>
  <c r="J850"/>
  <c r="I850"/>
  <c r="H850"/>
  <c r="G850"/>
  <c r="E850"/>
  <c r="D850"/>
  <c r="F850" s="1"/>
  <c r="N849"/>
  <c r="O848" s="1"/>
  <c r="M849"/>
  <c r="L849"/>
  <c r="J849"/>
  <c r="I849"/>
  <c r="H849"/>
  <c r="G849"/>
  <c r="K849" s="1"/>
  <c r="E849"/>
  <c r="D849"/>
  <c r="F849" s="1"/>
  <c r="K848"/>
  <c r="F848"/>
  <c r="N847"/>
  <c r="O846" s="1"/>
  <c r="M847"/>
  <c r="L847"/>
  <c r="J847"/>
  <c r="I847"/>
  <c r="H847"/>
  <c r="G847"/>
  <c r="E847"/>
  <c r="D847"/>
  <c r="K846"/>
  <c r="F846"/>
  <c r="N845"/>
  <c r="O844" s="1"/>
  <c r="M845"/>
  <c r="L845"/>
  <c r="J845"/>
  <c r="I845"/>
  <c r="H845"/>
  <c r="G845"/>
  <c r="E845"/>
  <c r="D845"/>
  <c r="F845" s="1"/>
  <c r="K844"/>
  <c r="F844"/>
  <c r="N843"/>
  <c r="O842" s="1"/>
  <c r="M843"/>
  <c r="L843"/>
  <c r="J843"/>
  <c r="I843"/>
  <c r="H843"/>
  <c r="G843"/>
  <c r="E843"/>
  <c r="D843"/>
  <c r="K842"/>
  <c r="F842"/>
  <c r="N841"/>
  <c r="O840" s="1"/>
  <c r="M841"/>
  <c r="L841"/>
  <c r="J841"/>
  <c r="I841"/>
  <c r="H841"/>
  <c r="G841"/>
  <c r="E841"/>
  <c r="D841"/>
  <c r="F841" s="1"/>
  <c r="K840"/>
  <c r="F840"/>
  <c r="N839"/>
  <c r="O838" s="1"/>
  <c r="M839"/>
  <c r="L839"/>
  <c r="J839"/>
  <c r="I839"/>
  <c r="H839"/>
  <c r="G839"/>
  <c r="E839"/>
  <c r="D839"/>
  <c r="F839" s="1"/>
  <c r="K838"/>
  <c r="F838"/>
  <c r="N837"/>
  <c r="O836" s="1"/>
  <c r="M837"/>
  <c r="L837"/>
  <c r="J837"/>
  <c r="I837"/>
  <c r="H837"/>
  <c r="G837"/>
  <c r="E837"/>
  <c r="D837"/>
  <c r="K836"/>
  <c r="F836"/>
  <c r="N835"/>
  <c r="O834" s="1"/>
  <c r="M835"/>
  <c r="L835"/>
  <c r="J835"/>
  <c r="I835"/>
  <c r="H835"/>
  <c r="G835"/>
  <c r="E835"/>
  <c r="D835"/>
  <c r="K834"/>
  <c r="F834"/>
  <c r="N833"/>
  <c r="O832" s="1"/>
  <c r="M833"/>
  <c r="L833"/>
  <c r="J833"/>
  <c r="I833"/>
  <c r="H833"/>
  <c r="G833"/>
  <c r="K833" s="1"/>
  <c r="E833"/>
  <c r="D833"/>
  <c r="K832"/>
  <c r="F832"/>
  <c r="N831"/>
  <c r="M831"/>
  <c r="L831"/>
  <c r="J831"/>
  <c r="I831"/>
  <c r="H831"/>
  <c r="G831"/>
  <c r="E831"/>
  <c r="D831"/>
  <c r="F831" s="1"/>
  <c r="O830"/>
  <c r="K830"/>
  <c r="F830"/>
  <c r="N829"/>
  <c r="O828" s="1"/>
  <c r="M829"/>
  <c r="L829"/>
  <c r="J829"/>
  <c r="I829"/>
  <c r="H829"/>
  <c r="G829"/>
  <c r="E829"/>
  <c r="D829"/>
  <c r="K828"/>
  <c r="F828"/>
  <c r="N827"/>
  <c r="O826" s="1"/>
  <c r="M827"/>
  <c r="L827"/>
  <c r="J827"/>
  <c r="I827"/>
  <c r="H827"/>
  <c r="G827"/>
  <c r="E827"/>
  <c r="D827"/>
  <c r="K826"/>
  <c r="F826"/>
  <c r="N825"/>
  <c r="O824" s="1"/>
  <c r="M825"/>
  <c r="L825"/>
  <c r="J825"/>
  <c r="I825"/>
  <c r="H825"/>
  <c r="G825"/>
  <c r="E825"/>
  <c r="D825"/>
  <c r="K824"/>
  <c r="F824"/>
  <c r="N823"/>
  <c r="O822" s="1"/>
  <c r="M823"/>
  <c r="L823"/>
  <c r="J823"/>
  <c r="I823"/>
  <c r="H823"/>
  <c r="G823"/>
  <c r="E823"/>
  <c r="D823"/>
  <c r="K822"/>
  <c r="F822"/>
  <c r="N821"/>
  <c r="O820" s="1"/>
  <c r="M821"/>
  <c r="L821"/>
  <c r="J821"/>
  <c r="I821"/>
  <c r="H821"/>
  <c r="G821"/>
  <c r="E821"/>
  <c r="D821"/>
  <c r="K820"/>
  <c r="F820"/>
  <c r="N819"/>
  <c r="O818" s="1"/>
  <c r="M819"/>
  <c r="L819"/>
  <c r="J819"/>
  <c r="I819"/>
  <c r="H819"/>
  <c r="G819"/>
  <c r="E819"/>
  <c r="D819"/>
  <c r="F819" s="1"/>
  <c r="K818"/>
  <c r="F818"/>
  <c r="N817"/>
  <c r="O816" s="1"/>
  <c r="M817"/>
  <c r="L817"/>
  <c r="J817"/>
  <c r="I817"/>
  <c r="H817"/>
  <c r="G817"/>
  <c r="K817" s="1"/>
  <c r="E817"/>
  <c r="D817"/>
  <c r="K816"/>
  <c r="F816"/>
  <c r="N815"/>
  <c r="O814" s="1"/>
  <c r="M815"/>
  <c r="L815"/>
  <c r="J815"/>
  <c r="I815"/>
  <c r="H815"/>
  <c r="G815"/>
  <c r="E815"/>
  <c r="D815"/>
  <c r="F815" s="1"/>
  <c r="K814"/>
  <c r="F814"/>
  <c r="N813"/>
  <c r="O812" s="1"/>
  <c r="M813"/>
  <c r="L813"/>
  <c r="J813"/>
  <c r="I813"/>
  <c r="H813"/>
  <c r="G813"/>
  <c r="E813"/>
  <c r="D813"/>
  <c r="F813" s="1"/>
  <c r="K812"/>
  <c r="F812"/>
  <c r="N811"/>
  <c r="O810" s="1"/>
  <c r="M811"/>
  <c r="L811"/>
  <c r="J811"/>
  <c r="I811"/>
  <c r="H811"/>
  <c r="G811"/>
  <c r="E811"/>
  <c r="D811"/>
  <c r="K810"/>
  <c r="F810"/>
  <c r="N809"/>
  <c r="O808" s="1"/>
  <c r="M809"/>
  <c r="L809"/>
  <c r="J809"/>
  <c r="I809"/>
  <c r="H809"/>
  <c r="G809"/>
  <c r="E809"/>
  <c r="D809"/>
  <c r="K808"/>
  <c r="F808"/>
  <c r="N807"/>
  <c r="O806" s="1"/>
  <c r="M807"/>
  <c r="L807"/>
  <c r="J807"/>
  <c r="I807"/>
  <c r="H807"/>
  <c r="G807"/>
  <c r="E807"/>
  <c r="D807"/>
  <c r="F807" s="1"/>
  <c r="K806"/>
  <c r="F806"/>
  <c r="N805"/>
  <c r="O804" s="1"/>
  <c r="M805"/>
  <c r="L805"/>
  <c r="J805"/>
  <c r="I805"/>
  <c r="H805"/>
  <c r="G805"/>
  <c r="E805"/>
  <c r="D805"/>
  <c r="K804"/>
  <c r="F804"/>
  <c r="N803"/>
  <c r="O802" s="1"/>
  <c r="M803"/>
  <c r="L803"/>
  <c r="J803"/>
  <c r="I803"/>
  <c r="H803"/>
  <c r="G803"/>
  <c r="E803"/>
  <c r="D803"/>
  <c r="F803" s="1"/>
  <c r="K802"/>
  <c r="F802"/>
  <c r="N801"/>
  <c r="O800" s="1"/>
  <c r="M801"/>
  <c r="L801"/>
  <c r="J801"/>
  <c r="I801"/>
  <c r="H801"/>
  <c r="G801"/>
  <c r="E801"/>
  <c r="D801"/>
  <c r="F801" s="1"/>
  <c r="K800"/>
  <c r="F800"/>
  <c r="N799"/>
  <c r="O798" s="1"/>
  <c r="M799"/>
  <c r="L799"/>
  <c r="J799"/>
  <c r="I799"/>
  <c r="H799"/>
  <c r="G799"/>
  <c r="K799" s="1"/>
  <c r="E799"/>
  <c r="D799"/>
  <c r="K798"/>
  <c r="F798"/>
  <c r="N797"/>
  <c r="O796" s="1"/>
  <c r="M797"/>
  <c r="L797"/>
  <c r="J797"/>
  <c r="I797"/>
  <c r="H797"/>
  <c r="G797"/>
  <c r="E797"/>
  <c r="D797"/>
  <c r="K796"/>
  <c r="F796"/>
  <c r="N795"/>
  <c r="M795"/>
  <c r="L795"/>
  <c r="J795"/>
  <c r="I795"/>
  <c r="H795"/>
  <c r="G795"/>
  <c r="E795"/>
  <c r="D795"/>
  <c r="O794"/>
  <c r="K794"/>
  <c r="F794"/>
  <c r="N793"/>
  <c r="O792" s="1"/>
  <c r="M793"/>
  <c r="L793"/>
  <c r="J793"/>
  <c r="I793"/>
  <c r="H793"/>
  <c r="G793"/>
  <c r="E793"/>
  <c r="D793"/>
  <c r="F793" s="1"/>
  <c r="K792"/>
  <c r="F792"/>
  <c r="N791"/>
  <c r="O790" s="1"/>
  <c r="M791"/>
  <c r="L791"/>
  <c r="J791"/>
  <c r="I791"/>
  <c r="H791"/>
  <c r="G791"/>
  <c r="E791"/>
  <c r="D791"/>
  <c r="F791" s="1"/>
  <c r="K790"/>
  <c r="F790"/>
  <c r="N789"/>
  <c r="O788" s="1"/>
  <c r="M789"/>
  <c r="L789"/>
  <c r="J789"/>
  <c r="I789"/>
  <c r="H789"/>
  <c r="G789"/>
  <c r="E789"/>
  <c r="D789"/>
  <c r="F789" s="1"/>
  <c r="K788"/>
  <c r="F788"/>
  <c r="N787"/>
  <c r="O786" s="1"/>
  <c r="M787"/>
  <c r="L787"/>
  <c r="J787"/>
  <c r="I787"/>
  <c r="H787"/>
  <c r="G787"/>
  <c r="E787"/>
  <c r="D787"/>
  <c r="K786"/>
  <c r="F786"/>
  <c r="N785"/>
  <c r="O784" s="1"/>
  <c r="M785"/>
  <c r="L785"/>
  <c r="J785"/>
  <c r="I785"/>
  <c r="H785"/>
  <c r="G785"/>
  <c r="E785"/>
  <c r="D785"/>
  <c r="K784"/>
  <c r="F784"/>
  <c r="N783"/>
  <c r="M783"/>
  <c r="L783"/>
  <c r="J783"/>
  <c r="I783"/>
  <c r="H783"/>
  <c r="G783"/>
  <c r="E783"/>
  <c r="D783"/>
  <c r="O782"/>
  <c r="K782"/>
  <c r="F782"/>
  <c r="N781"/>
  <c r="O780" s="1"/>
  <c r="M781"/>
  <c r="L781"/>
  <c r="J781"/>
  <c r="I781"/>
  <c r="H781"/>
  <c r="G781"/>
  <c r="E781"/>
  <c r="D781"/>
  <c r="K780"/>
  <c r="F780"/>
  <c r="N779"/>
  <c r="M779"/>
  <c r="L779"/>
  <c r="J779"/>
  <c r="I779"/>
  <c r="H779"/>
  <c r="G779"/>
  <c r="E779"/>
  <c r="D779"/>
  <c r="O778"/>
  <c r="K778"/>
  <c r="F778"/>
  <c r="N777"/>
  <c r="O776" s="1"/>
  <c r="M777"/>
  <c r="L777"/>
  <c r="J777"/>
  <c r="I777"/>
  <c r="H777"/>
  <c r="G777"/>
  <c r="K777" s="1"/>
  <c r="F777"/>
  <c r="E777"/>
  <c r="D777"/>
  <c r="K776"/>
  <c r="F776"/>
  <c r="N775"/>
  <c r="O774" s="1"/>
  <c r="M775"/>
  <c r="L775"/>
  <c r="J775"/>
  <c r="I775"/>
  <c r="H775"/>
  <c r="G775"/>
  <c r="E775"/>
  <c r="D775"/>
  <c r="F775" s="1"/>
  <c r="K774"/>
  <c r="F774"/>
  <c r="N773"/>
  <c r="O772" s="1"/>
  <c r="M773"/>
  <c r="L773"/>
  <c r="J773"/>
  <c r="I773"/>
  <c r="H773"/>
  <c r="G773"/>
  <c r="E773"/>
  <c r="F773" s="1"/>
  <c r="D773"/>
  <c r="K772"/>
  <c r="F772"/>
  <c r="N771"/>
  <c r="O770" s="1"/>
  <c r="M771"/>
  <c r="L771"/>
  <c r="J771"/>
  <c r="I771"/>
  <c r="H771"/>
  <c r="G771"/>
  <c r="E771"/>
  <c r="D771"/>
  <c r="F771" s="1"/>
  <c r="K770"/>
  <c r="F770"/>
  <c r="N769"/>
  <c r="M769"/>
  <c r="L769"/>
  <c r="J769"/>
  <c r="I769"/>
  <c r="H769"/>
  <c r="G769"/>
  <c r="E769"/>
  <c r="D769"/>
  <c r="O768"/>
  <c r="K768"/>
  <c r="F768"/>
  <c r="N767"/>
  <c r="M767"/>
  <c r="L767"/>
  <c r="J767"/>
  <c r="I767"/>
  <c r="H767"/>
  <c r="G767"/>
  <c r="E767"/>
  <c r="D767"/>
  <c r="O766"/>
  <c r="K766"/>
  <c r="F766"/>
  <c r="N765"/>
  <c r="M765"/>
  <c r="L765"/>
  <c r="J765"/>
  <c r="I765"/>
  <c r="H765"/>
  <c r="G765"/>
  <c r="E765"/>
  <c r="D765"/>
  <c r="O764"/>
  <c r="K764"/>
  <c r="F764"/>
  <c r="N763"/>
  <c r="M763"/>
  <c r="L763"/>
  <c r="J763"/>
  <c r="I763"/>
  <c r="H763"/>
  <c r="K763" s="1"/>
  <c r="G763"/>
  <c r="E763"/>
  <c r="D763"/>
  <c r="O762"/>
  <c r="K762"/>
  <c r="F762"/>
  <c r="N761"/>
  <c r="O760" s="1"/>
  <c r="M761"/>
  <c r="L761"/>
  <c r="J761"/>
  <c r="I761"/>
  <c r="H761"/>
  <c r="G761"/>
  <c r="E761"/>
  <c r="D761"/>
  <c r="F761" s="1"/>
  <c r="K760"/>
  <c r="F760"/>
  <c r="N759"/>
  <c r="O758" s="1"/>
  <c r="M759"/>
  <c r="L759"/>
  <c r="J759"/>
  <c r="I759"/>
  <c r="H759"/>
  <c r="G759"/>
  <c r="E759"/>
  <c r="D759"/>
  <c r="K758"/>
  <c r="F758"/>
  <c r="N757"/>
  <c r="O756" s="1"/>
  <c r="M757"/>
  <c r="L757"/>
  <c r="J757"/>
  <c r="I757"/>
  <c r="H757"/>
  <c r="G757"/>
  <c r="E757"/>
  <c r="D757"/>
  <c r="F757" s="1"/>
  <c r="K756"/>
  <c r="F756"/>
  <c r="N755"/>
  <c r="O754" s="1"/>
  <c r="M755"/>
  <c r="L755"/>
  <c r="J755"/>
  <c r="I755"/>
  <c r="H755"/>
  <c r="G755"/>
  <c r="E755"/>
  <c r="D755"/>
  <c r="F755" s="1"/>
  <c r="K754"/>
  <c r="F754"/>
  <c r="N753"/>
  <c r="O752" s="1"/>
  <c r="M753"/>
  <c r="L753"/>
  <c r="J753"/>
  <c r="I753"/>
  <c r="H753"/>
  <c r="G753"/>
  <c r="E753"/>
  <c r="D753"/>
  <c r="K752"/>
  <c r="F752"/>
  <c r="N751"/>
  <c r="M751"/>
  <c r="L751"/>
  <c r="J751"/>
  <c r="I751"/>
  <c r="H751"/>
  <c r="G751"/>
  <c r="E751"/>
  <c r="D751"/>
  <c r="F751" s="1"/>
  <c r="O750"/>
  <c r="K750"/>
  <c r="F750"/>
  <c r="N749"/>
  <c r="O748" s="1"/>
  <c r="M749"/>
  <c r="L749"/>
  <c r="J749"/>
  <c r="I749"/>
  <c r="H749"/>
  <c r="G749"/>
  <c r="E749"/>
  <c r="D749"/>
  <c r="K748"/>
  <c r="F748"/>
  <c r="N747"/>
  <c r="M747"/>
  <c r="L747"/>
  <c r="J747"/>
  <c r="I747"/>
  <c r="H747"/>
  <c r="G747"/>
  <c r="E747"/>
  <c r="D747"/>
  <c r="F747" s="1"/>
  <c r="O746"/>
  <c r="K746"/>
  <c r="F746"/>
  <c r="N745"/>
  <c r="O744" s="1"/>
  <c r="M745"/>
  <c r="L745"/>
  <c r="J745"/>
  <c r="I745"/>
  <c r="H745"/>
  <c r="G745"/>
  <c r="F745"/>
  <c r="E745"/>
  <c r="D745"/>
  <c r="K744"/>
  <c r="F744"/>
  <c r="N743"/>
  <c r="O742" s="1"/>
  <c r="M743"/>
  <c r="L743"/>
  <c r="J743"/>
  <c r="I743"/>
  <c r="H743"/>
  <c r="G743"/>
  <c r="E743"/>
  <c r="D743"/>
  <c r="F743" s="1"/>
  <c r="K742"/>
  <c r="F742"/>
  <c r="N741"/>
  <c r="O740" s="1"/>
  <c r="M741"/>
  <c r="L741"/>
  <c r="J741"/>
  <c r="I741"/>
  <c r="H741"/>
  <c r="G741"/>
  <c r="E741"/>
  <c r="D741"/>
  <c r="F741" s="1"/>
  <c r="K740"/>
  <c r="F740"/>
  <c r="N739"/>
  <c r="O738" s="1"/>
  <c r="M739"/>
  <c r="L739"/>
  <c r="J739"/>
  <c r="I739"/>
  <c r="H739"/>
  <c r="G739"/>
  <c r="E739"/>
  <c r="D739"/>
  <c r="K738"/>
  <c r="F738"/>
  <c r="N737"/>
  <c r="O736" s="1"/>
  <c r="M737"/>
  <c r="L737"/>
  <c r="J737"/>
  <c r="I737"/>
  <c r="H737"/>
  <c r="G737"/>
  <c r="E737"/>
  <c r="D737"/>
  <c r="K736"/>
  <c r="F736"/>
  <c r="N735"/>
  <c r="O734" s="1"/>
  <c r="M735"/>
  <c r="L735"/>
  <c r="J735"/>
  <c r="I735"/>
  <c r="H735"/>
  <c r="G735"/>
  <c r="K735" s="1"/>
  <c r="E735"/>
  <c r="D735"/>
  <c r="K734"/>
  <c r="F734"/>
  <c r="N733"/>
  <c r="O732" s="1"/>
  <c r="M733"/>
  <c r="L733"/>
  <c r="J733"/>
  <c r="I733"/>
  <c r="H733"/>
  <c r="G733"/>
  <c r="E733"/>
  <c r="D733"/>
  <c r="F733" s="1"/>
  <c r="K732"/>
  <c r="F732"/>
  <c r="N731"/>
  <c r="O730" s="1"/>
  <c r="M731"/>
  <c r="L731"/>
  <c r="J731"/>
  <c r="I731"/>
  <c r="H731"/>
  <c r="G731"/>
  <c r="E731"/>
  <c r="D731"/>
  <c r="F731" s="1"/>
  <c r="K730"/>
  <c r="F730"/>
  <c r="N729"/>
  <c r="O728" s="1"/>
  <c r="M729"/>
  <c r="L729"/>
  <c r="J729"/>
  <c r="I729"/>
  <c r="H729"/>
  <c r="G729"/>
  <c r="E729"/>
  <c r="D729"/>
  <c r="K728"/>
  <c r="F728"/>
  <c r="N727"/>
  <c r="O726" s="1"/>
  <c r="M727"/>
  <c r="L727"/>
  <c r="J727"/>
  <c r="I727"/>
  <c r="H727"/>
  <c r="G727"/>
  <c r="E727"/>
  <c r="F727" s="1"/>
  <c r="D727"/>
  <c r="K726"/>
  <c r="F726"/>
  <c r="N725"/>
  <c r="O724" s="1"/>
  <c r="M725"/>
  <c r="L725"/>
  <c r="J725"/>
  <c r="I725"/>
  <c r="H725"/>
  <c r="G725"/>
  <c r="E725"/>
  <c r="D725"/>
  <c r="F725" s="1"/>
  <c r="K724"/>
  <c r="F724"/>
  <c r="N723"/>
  <c r="O722" s="1"/>
  <c r="M723"/>
  <c r="L723"/>
  <c r="J723"/>
  <c r="I723"/>
  <c r="H723"/>
  <c r="G723"/>
  <c r="E723"/>
  <c r="D723"/>
  <c r="F723" s="1"/>
  <c r="K722"/>
  <c r="F722"/>
  <c r="N721"/>
  <c r="M721"/>
  <c r="L721"/>
  <c r="J721"/>
  <c r="I721"/>
  <c r="H721"/>
  <c r="G721"/>
  <c r="E721"/>
  <c r="D721"/>
  <c r="F721" s="1"/>
  <c r="O720"/>
  <c r="K720"/>
  <c r="F720"/>
  <c r="N719"/>
  <c r="O718" s="1"/>
  <c r="M719"/>
  <c r="L719"/>
  <c r="J719"/>
  <c r="I719"/>
  <c r="H719"/>
  <c r="G719"/>
  <c r="E719"/>
  <c r="D719"/>
  <c r="K718"/>
  <c r="F718"/>
  <c r="N717"/>
  <c r="O716" s="1"/>
  <c r="M717"/>
  <c r="L717"/>
  <c r="J717"/>
  <c r="I717"/>
  <c r="H717"/>
  <c r="G717"/>
  <c r="E717"/>
  <c r="D717"/>
  <c r="F717" s="1"/>
  <c r="K716"/>
  <c r="F716"/>
  <c r="N715"/>
  <c r="O714" s="1"/>
  <c r="M715"/>
  <c r="L715"/>
  <c r="J715"/>
  <c r="I715"/>
  <c r="H715"/>
  <c r="G715"/>
  <c r="E715"/>
  <c r="D715"/>
  <c r="F715" s="1"/>
  <c r="K714"/>
  <c r="F714"/>
  <c r="N713"/>
  <c r="O712" s="1"/>
  <c r="M713"/>
  <c r="L713"/>
  <c r="J713"/>
  <c r="I713"/>
  <c r="H713"/>
  <c r="G713"/>
  <c r="E713"/>
  <c r="D713"/>
  <c r="F713" s="1"/>
  <c r="K712"/>
  <c r="F712"/>
  <c r="N711"/>
  <c r="O710" s="1"/>
  <c r="M711"/>
  <c r="L711"/>
  <c r="J711"/>
  <c r="I711"/>
  <c r="H711"/>
  <c r="G711"/>
  <c r="E711"/>
  <c r="D711"/>
  <c r="F711" s="1"/>
  <c r="K710"/>
  <c r="F710"/>
  <c r="N709"/>
  <c r="O708" s="1"/>
  <c r="M709"/>
  <c r="L709"/>
  <c r="J709"/>
  <c r="I709"/>
  <c r="H709"/>
  <c r="G709"/>
  <c r="E709"/>
  <c r="D709"/>
  <c r="K708"/>
  <c r="F708"/>
  <c r="N707"/>
  <c r="O706" s="1"/>
  <c r="M707"/>
  <c r="L707"/>
  <c r="J707"/>
  <c r="I707"/>
  <c r="H707"/>
  <c r="G707"/>
  <c r="E707"/>
  <c r="D707"/>
  <c r="K706"/>
  <c r="F706"/>
  <c r="N705"/>
  <c r="M705"/>
  <c r="L705"/>
  <c r="J705"/>
  <c r="I705"/>
  <c r="H705"/>
  <c r="G705"/>
  <c r="K705" s="1"/>
  <c r="E705"/>
  <c r="D705"/>
  <c r="F705" s="1"/>
  <c r="O704"/>
  <c r="K704"/>
  <c r="F704"/>
  <c r="N703"/>
  <c r="O702" s="1"/>
  <c r="M703"/>
  <c r="L703"/>
  <c r="J703"/>
  <c r="I703"/>
  <c r="H703"/>
  <c r="G703"/>
  <c r="E703"/>
  <c r="D703"/>
  <c r="K702"/>
  <c r="F702"/>
  <c r="N701"/>
  <c r="O700" s="1"/>
  <c r="M701"/>
  <c r="L701"/>
  <c r="J701"/>
  <c r="I701"/>
  <c r="H701"/>
  <c r="G701"/>
  <c r="E701"/>
  <c r="D701"/>
  <c r="F701" s="1"/>
  <c r="K700"/>
  <c r="F700"/>
  <c r="N699"/>
  <c r="O698" s="1"/>
  <c r="M699"/>
  <c r="L699"/>
  <c r="J699"/>
  <c r="I699"/>
  <c r="H699"/>
  <c r="G699"/>
  <c r="E699"/>
  <c r="D699"/>
  <c r="K698"/>
  <c r="F698"/>
  <c r="N697"/>
  <c r="O696" s="1"/>
  <c r="M697"/>
  <c r="L697"/>
  <c r="J697"/>
  <c r="I697"/>
  <c r="H697"/>
  <c r="G697"/>
  <c r="E697"/>
  <c r="D697"/>
  <c r="F697" s="1"/>
  <c r="K696"/>
  <c r="F696"/>
  <c r="N695"/>
  <c r="O694" s="1"/>
  <c r="M695"/>
  <c r="L695"/>
  <c r="J695"/>
  <c r="I695"/>
  <c r="H695"/>
  <c r="G695"/>
  <c r="E695"/>
  <c r="D695"/>
  <c r="K694"/>
  <c r="F694"/>
  <c r="N693"/>
  <c r="O692" s="1"/>
  <c r="M693"/>
  <c r="L693"/>
  <c r="J693"/>
  <c r="I693"/>
  <c r="H693"/>
  <c r="G693"/>
  <c r="E693"/>
  <c r="D693"/>
  <c r="K692"/>
  <c r="F692"/>
  <c r="N691"/>
  <c r="O690" s="1"/>
  <c r="M691"/>
  <c r="L691"/>
  <c r="J691"/>
  <c r="I691"/>
  <c r="H691"/>
  <c r="G691"/>
  <c r="E691"/>
  <c r="D691"/>
  <c r="F691" s="1"/>
  <c r="K690"/>
  <c r="F690"/>
  <c r="N689"/>
  <c r="O688" s="1"/>
  <c r="M689"/>
  <c r="L689"/>
  <c r="J689"/>
  <c r="I689"/>
  <c r="H689"/>
  <c r="G689"/>
  <c r="E689"/>
  <c r="D689"/>
  <c r="F689" s="1"/>
  <c r="K688"/>
  <c r="F688"/>
  <c r="N687"/>
  <c r="O686" s="1"/>
  <c r="M687"/>
  <c r="L687"/>
  <c r="J687"/>
  <c r="I687"/>
  <c r="H687"/>
  <c r="G687"/>
  <c r="E687"/>
  <c r="D687"/>
  <c r="K686"/>
  <c r="F686"/>
  <c r="N685"/>
  <c r="O684" s="1"/>
  <c r="M685"/>
  <c r="L685"/>
  <c r="J685"/>
  <c r="I685"/>
  <c r="H685"/>
  <c r="G685"/>
  <c r="E685"/>
  <c r="D685"/>
  <c r="F685" s="1"/>
  <c r="K684"/>
  <c r="F684"/>
  <c r="N683"/>
  <c r="O682" s="1"/>
  <c r="M683"/>
  <c r="L683"/>
  <c r="J683"/>
  <c r="I683"/>
  <c r="H683"/>
  <c r="G683"/>
  <c r="E683"/>
  <c r="D683"/>
  <c r="K682"/>
  <c r="F682"/>
  <c r="N681"/>
  <c r="O680" s="1"/>
  <c r="M681"/>
  <c r="L681"/>
  <c r="J681"/>
  <c r="I681"/>
  <c r="H681"/>
  <c r="G681"/>
  <c r="E681"/>
  <c r="D681"/>
  <c r="F681" s="1"/>
  <c r="K680"/>
  <c r="F680"/>
  <c r="N679"/>
  <c r="O678" s="1"/>
  <c r="M679"/>
  <c r="L679"/>
  <c r="J679"/>
  <c r="I679"/>
  <c r="H679"/>
  <c r="G679"/>
  <c r="E679"/>
  <c r="D679"/>
  <c r="K678"/>
  <c r="F678"/>
  <c r="N677"/>
  <c r="O676" s="1"/>
  <c r="M677"/>
  <c r="L677"/>
  <c r="J677"/>
  <c r="I677"/>
  <c r="H677"/>
  <c r="G677"/>
  <c r="E677"/>
  <c r="D677"/>
  <c r="F677" s="1"/>
  <c r="K676"/>
  <c r="F676"/>
  <c r="N675"/>
  <c r="O674" s="1"/>
  <c r="M675"/>
  <c r="L675"/>
  <c r="J675"/>
  <c r="I675"/>
  <c r="H675"/>
  <c r="G675"/>
  <c r="E675"/>
  <c r="D675"/>
  <c r="K674"/>
  <c r="F674"/>
  <c r="N673"/>
  <c r="O672" s="1"/>
  <c r="M673"/>
  <c r="L673"/>
  <c r="J673"/>
  <c r="I673"/>
  <c r="H673"/>
  <c r="G673"/>
  <c r="E673"/>
  <c r="D673"/>
  <c r="K672"/>
  <c r="F672"/>
  <c r="N671"/>
  <c r="M671"/>
  <c r="L671"/>
  <c r="J671"/>
  <c r="I671"/>
  <c r="H671"/>
  <c r="G671"/>
  <c r="E671"/>
  <c r="D671"/>
  <c r="O670"/>
  <c r="K670"/>
  <c r="F670"/>
  <c r="N669"/>
  <c r="O668" s="1"/>
  <c r="M669"/>
  <c r="L669"/>
  <c r="J669"/>
  <c r="I669"/>
  <c r="H669"/>
  <c r="G669"/>
  <c r="E669"/>
  <c r="D669"/>
  <c r="K668"/>
  <c r="F668"/>
  <c r="N667"/>
  <c r="M667"/>
  <c r="L667"/>
  <c r="J667"/>
  <c r="I667"/>
  <c r="H667"/>
  <c r="G667"/>
  <c r="E667"/>
  <c r="D667"/>
  <c r="O666"/>
  <c r="K666"/>
  <c r="F666"/>
  <c r="N665"/>
  <c r="O664" s="1"/>
  <c r="M665"/>
  <c r="L665"/>
  <c r="J665"/>
  <c r="I665"/>
  <c r="H665"/>
  <c r="G665"/>
  <c r="E665"/>
  <c r="D665"/>
  <c r="K664"/>
  <c r="F664"/>
  <c r="N663"/>
  <c r="O662" s="1"/>
  <c r="M663"/>
  <c r="L663"/>
  <c r="J663"/>
  <c r="I663"/>
  <c r="H663"/>
  <c r="G663"/>
  <c r="E663"/>
  <c r="D663"/>
  <c r="F663" s="1"/>
  <c r="K662"/>
  <c r="F662"/>
  <c r="N661"/>
  <c r="O660" s="1"/>
  <c r="M661"/>
  <c r="L661"/>
  <c r="J661"/>
  <c r="I661"/>
  <c r="H661"/>
  <c r="G661"/>
  <c r="E661"/>
  <c r="D661"/>
  <c r="F661" s="1"/>
  <c r="K660"/>
  <c r="F660"/>
  <c r="N659"/>
  <c r="O658" s="1"/>
  <c r="M659"/>
  <c r="L659"/>
  <c r="J659"/>
  <c r="I659"/>
  <c r="H659"/>
  <c r="G659"/>
  <c r="K659" s="1"/>
  <c r="E659"/>
  <c r="D659"/>
  <c r="K658"/>
  <c r="F658"/>
  <c r="N657"/>
  <c r="M657"/>
  <c r="L657"/>
  <c r="J657"/>
  <c r="I657"/>
  <c r="H657"/>
  <c r="G657"/>
  <c r="E657"/>
  <c r="D657"/>
  <c r="O656"/>
  <c r="K656"/>
  <c r="F656"/>
  <c r="N655"/>
  <c r="M655"/>
  <c r="L655"/>
  <c r="J655"/>
  <c r="I655"/>
  <c r="H655"/>
  <c r="G655"/>
  <c r="E655"/>
  <c r="D655"/>
  <c r="O654"/>
  <c r="K654"/>
  <c r="F654"/>
  <c r="N653"/>
  <c r="M653"/>
  <c r="L653"/>
  <c r="J653"/>
  <c r="I653"/>
  <c r="H653"/>
  <c r="G653"/>
  <c r="E653"/>
  <c r="D653"/>
  <c r="O652"/>
  <c r="K652"/>
  <c r="F652"/>
  <c r="N651"/>
  <c r="M651"/>
  <c r="L651"/>
  <c r="J651"/>
  <c r="I651"/>
  <c r="H651"/>
  <c r="G651"/>
  <c r="E651"/>
  <c r="D651"/>
  <c r="O650"/>
  <c r="K650"/>
  <c r="F650"/>
  <c r="N649"/>
  <c r="O648" s="1"/>
  <c r="M649"/>
  <c r="L649"/>
  <c r="J649"/>
  <c r="I649"/>
  <c r="H649"/>
  <c r="G649"/>
  <c r="E649"/>
  <c r="D649"/>
  <c r="F649" s="1"/>
  <c r="K648"/>
  <c r="F648"/>
  <c r="N647"/>
  <c r="O646" s="1"/>
  <c r="M647"/>
  <c r="L647"/>
  <c r="J647"/>
  <c r="I647"/>
  <c r="H647"/>
  <c r="G647"/>
  <c r="E647"/>
  <c r="D647"/>
  <c r="F647" s="1"/>
  <c r="K646"/>
  <c r="F646"/>
  <c r="N645"/>
  <c r="O644" s="1"/>
  <c r="M645"/>
  <c r="L645"/>
  <c r="J645"/>
  <c r="I645"/>
  <c r="H645"/>
  <c r="G645"/>
  <c r="E645"/>
  <c r="D645"/>
  <c r="K644"/>
  <c r="F644"/>
  <c r="N643"/>
  <c r="O642" s="1"/>
  <c r="M643"/>
  <c r="L643"/>
  <c r="J643"/>
  <c r="I643"/>
  <c r="H643"/>
  <c r="G643"/>
  <c r="E643"/>
  <c r="D643"/>
  <c r="F643" s="1"/>
  <c r="K642"/>
  <c r="F642"/>
  <c r="N641"/>
  <c r="M641"/>
  <c r="L641"/>
  <c r="J641"/>
  <c r="I641"/>
  <c r="H641"/>
  <c r="G641"/>
  <c r="K641" s="1"/>
  <c r="E641"/>
  <c r="D641"/>
  <c r="O640"/>
  <c r="K640"/>
  <c r="F640"/>
  <c r="N639"/>
  <c r="M639"/>
  <c r="L639"/>
  <c r="J639"/>
  <c r="I639"/>
  <c r="H639"/>
  <c r="G639"/>
  <c r="E639"/>
  <c r="D639"/>
  <c r="O638"/>
  <c r="K638"/>
  <c r="F638"/>
  <c r="N637"/>
  <c r="M637"/>
  <c r="L637"/>
  <c r="J637"/>
  <c r="I637"/>
  <c r="H637"/>
  <c r="G637"/>
  <c r="E637"/>
  <c r="D637"/>
  <c r="O636"/>
  <c r="K636"/>
  <c r="F636"/>
  <c r="N635"/>
  <c r="M635"/>
  <c r="L635"/>
  <c r="J635"/>
  <c r="I635"/>
  <c r="H635"/>
  <c r="G635"/>
  <c r="E635"/>
  <c r="D635"/>
  <c r="O634"/>
  <c r="K634"/>
  <c r="F634"/>
  <c r="N633"/>
  <c r="O632" s="1"/>
  <c r="M633"/>
  <c r="L633"/>
  <c r="J633"/>
  <c r="I633"/>
  <c r="H633"/>
  <c r="G633"/>
  <c r="E633"/>
  <c r="D633"/>
  <c r="K632"/>
  <c r="F632"/>
  <c r="N631"/>
  <c r="O630" s="1"/>
  <c r="M631"/>
  <c r="L631"/>
  <c r="J631"/>
  <c r="I631"/>
  <c r="H631"/>
  <c r="G631"/>
  <c r="E631"/>
  <c r="D631"/>
  <c r="F631" s="1"/>
  <c r="K630"/>
  <c r="F630"/>
  <c r="N629"/>
  <c r="O628" s="1"/>
  <c r="M629"/>
  <c r="L629"/>
  <c r="J629"/>
  <c r="I629"/>
  <c r="H629"/>
  <c r="G629"/>
  <c r="E629"/>
  <c r="D629"/>
  <c r="K628"/>
  <c r="F628"/>
  <c r="N627"/>
  <c r="O626" s="1"/>
  <c r="M627"/>
  <c r="L627"/>
  <c r="J627"/>
  <c r="I627"/>
  <c r="H627"/>
  <c r="G627"/>
  <c r="K627" s="1"/>
  <c r="E627"/>
  <c r="D627"/>
  <c r="F627" s="1"/>
  <c r="K626"/>
  <c r="F626"/>
  <c r="N625"/>
  <c r="O624" s="1"/>
  <c r="M625"/>
  <c r="L625"/>
  <c r="J625"/>
  <c r="I625"/>
  <c r="H625"/>
  <c r="G625"/>
  <c r="K625" s="1"/>
  <c r="E625"/>
  <c r="F625" s="1"/>
  <c r="D625"/>
  <c r="K624"/>
  <c r="F624"/>
  <c r="N623"/>
  <c r="O622" s="1"/>
  <c r="M623"/>
  <c r="L623"/>
  <c r="J623"/>
  <c r="I623"/>
  <c r="H623"/>
  <c r="G623"/>
  <c r="E623"/>
  <c r="D623"/>
  <c r="K622"/>
  <c r="F622"/>
  <c r="N621"/>
  <c r="O620" s="1"/>
  <c r="M621"/>
  <c r="L621"/>
  <c r="J621"/>
  <c r="I621"/>
  <c r="H621"/>
  <c r="G621"/>
  <c r="E621"/>
  <c r="D621"/>
  <c r="F621" s="1"/>
  <c r="K620"/>
  <c r="F620"/>
  <c r="N619"/>
  <c r="O618" s="1"/>
  <c r="M619"/>
  <c r="L619"/>
  <c r="J619"/>
  <c r="I619"/>
  <c r="H619"/>
  <c r="G619"/>
  <c r="E619"/>
  <c r="D619"/>
  <c r="K618"/>
  <c r="F618"/>
  <c r="N617"/>
  <c r="O616" s="1"/>
  <c r="M617"/>
  <c r="L617"/>
  <c r="J617"/>
  <c r="I617"/>
  <c r="H617"/>
  <c r="G617"/>
  <c r="E617"/>
  <c r="D617"/>
  <c r="F617" s="1"/>
  <c r="K616"/>
  <c r="F616"/>
  <c r="N615"/>
  <c r="O614" s="1"/>
  <c r="M615"/>
  <c r="L615"/>
  <c r="J615"/>
  <c r="I615"/>
  <c r="H615"/>
  <c r="G615"/>
  <c r="E615"/>
  <c r="D615"/>
  <c r="K614"/>
  <c r="F614"/>
  <c r="N613"/>
  <c r="O612" s="1"/>
  <c r="M613"/>
  <c r="L613"/>
  <c r="J613"/>
  <c r="I613"/>
  <c r="H613"/>
  <c r="G613"/>
  <c r="E613"/>
  <c r="D613"/>
  <c r="K612"/>
  <c r="F612"/>
  <c r="N611"/>
  <c r="O610" s="1"/>
  <c r="M611"/>
  <c r="L611"/>
  <c r="J611"/>
  <c r="I611"/>
  <c r="H611"/>
  <c r="G611"/>
  <c r="E611"/>
  <c r="D611"/>
  <c r="K610"/>
  <c r="F610"/>
  <c r="N609"/>
  <c r="M609"/>
  <c r="L609"/>
  <c r="J609"/>
  <c r="I609"/>
  <c r="H609"/>
  <c r="G609"/>
  <c r="K609" s="1"/>
  <c r="E609"/>
  <c r="D609"/>
  <c r="O608"/>
  <c r="K608"/>
  <c r="F608"/>
  <c r="N607"/>
  <c r="M607"/>
  <c r="L607"/>
  <c r="J607"/>
  <c r="I607"/>
  <c r="H607"/>
  <c r="G607"/>
  <c r="E607"/>
  <c r="D607"/>
  <c r="O606"/>
  <c r="K606"/>
  <c r="F606"/>
  <c r="N605"/>
  <c r="M605"/>
  <c r="L605"/>
  <c r="J605"/>
  <c r="I605"/>
  <c r="H605"/>
  <c r="G605"/>
  <c r="E605"/>
  <c r="D605"/>
  <c r="O604"/>
  <c r="K604"/>
  <c r="F604"/>
  <c r="N603"/>
  <c r="O602" s="1"/>
  <c r="M603"/>
  <c r="L603"/>
  <c r="J603"/>
  <c r="I603"/>
  <c r="H603"/>
  <c r="G603"/>
  <c r="E603"/>
  <c r="D603"/>
  <c r="F603" s="1"/>
  <c r="K602"/>
  <c r="F602"/>
  <c r="N601"/>
  <c r="O600" s="1"/>
  <c r="M601"/>
  <c r="L601"/>
  <c r="J601"/>
  <c r="I601"/>
  <c r="H601"/>
  <c r="G601"/>
  <c r="E601"/>
  <c r="D601"/>
  <c r="K600"/>
  <c r="F600"/>
  <c r="N599"/>
  <c r="O598" s="1"/>
  <c r="M599"/>
  <c r="L599"/>
  <c r="J599"/>
  <c r="I599"/>
  <c r="H599"/>
  <c r="G599"/>
  <c r="E599"/>
  <c r="F599" s="1"/>
  <c r="D599"/>
  <c r="K598"/>
  <c r="F598"/>
  <c r="N597"/>
  <c r="O596" s="1"/>
  <c r="M597"/>
  <c r="L597"/>
  <c r="J597"/>
  <c r="I597"/>
  <c r="H597"/>
  <c r="G597"/>
  <c r="E597"/>
  <c r="D597"/>
  <c r="K596"/>
  <c r="F596"/>
  <c r="N595"/>
  <c r="O594" s="1"/>
  <c r="M595"/>
  <c r="L595"/>
  <c r="J595"/>
  <c r="I595"/>
  <c r="H595"/>
  <c r="G595"/>
  <c r="K595" s="1"/>
  <c r="E595"/>
  <c r="D595"/>
  <c r="K594"/>
  <c r="F594"/>
  <c r="N593"/>
  <c r="M593"/>
  <c r="L593"/>
  <c r="J593"/>
  <c r="I593"/>
  <c r="H593"/>
  <c r="G593"/>
  <c r="E593"/>
  <c r="D593"/>
  <c r="F593" s="1"/>
  <c r="O592"/>
  <c r="K592"/>
  <c r="F592"/>
  <c r="N591"/>
  <c r="O590" s="1"/>
  <c r="M591"/>
  <c r="L591"/>
  <c r="J591"/>
  <c r="I591"/>
  <c r="H591"/>
  <c r="G591"/>
  <c r="E591"/>
  <c r="D591"/>
  <c r="K590"/>
  <c r="F590"/>
  <c r="N589"/>
  <c r="M589"/>
  <c r="L589"/>
  <c r="J589"/>
  <c r="I589"/>
  <c r="K589" s="1"/>
  <c r="H589"/>
  <c r="G589"/>
  <c r="E589"/>
  <c r="D589"/>
  <c r="F589" s="1"/>
  <c r="O588"/>
  <c r="K588"/>
  <c r="F588"/>
  <c r="N587"/>
  <c r="O586" s="1"/>
  <c r="M587"/>
  <c r="L587"/>
  <c r="J587"/>
  <c r="I587"/>
  <c r="H587"/>
  <c r="G587"/>
  <c r="E587"/>
  <c r="D587"/>
  <c r="F587" s="1"/>
  <c r="K586"/>
  <c r="F586"/>
  <c r="N585"/>
  <c r="O584" s="1"/>
  <c r="M585"/>
  <c r="L585"/>
  <c r="J585"/>
  <c r="I585"/>
  <c r="H585"/>
  <c r="G585"/>
  <c r="E585"/>
  <c r="D585"/>
  <c r="K584"/>
  <c r="F584"/>
  <c r="N583"/>
  <c r="O582" s="1"/>
  <c r="M583"/>
  <c r="L583"/>
  <c r="J583"/>
  <c r="I583"/>
  <c r="H583"/>
  <c r="G583"/>
  <c r="E583"/>
  <c r="D583"/>
  <c r="K582"/>
  <c r="F582"/>
  <c r="N581"/>
  <c r="O580" s="1"/>
  <c r="M581"/>
  <c r="L581"/>
  <c r="J581"/>
  <c r="I581"/>
  <c r="H581"/>
  <c r="G581"/>
  <c r="E581"/>
  <c r="D581"/>
  <c r="K580"/>
  <c r="F580"/>
  <c r="N579"/>
  <c r="O578" s="1"/>
  <c r="M579"/>
  <c r="L579"/>
  <c r="J579"/>
  <c r="I579"/>
  <c r="H579"/>
  <c r="G579"/>
  <c r="E579"/>
  <c r="D579"/>
  <c r="F579" s="1"/>
  <c r="K578"/>
  <c r="F578"/>
  <c r="N576"/>
  <c r="M576"/>
  <c r="L576"/>
  <c r="J576"/>
  <c r="I576"/>
  <c r="H576"/>
  <c r="G576"/>
  <c r="E576"/>
  <c r="D576"/>
  <c r="F576" s="1"/>
  <c r="N574"/>
  <c r="M574"/>
  <c r="L574"/>
  <c r="J574"/>
  <c r="I574"/>
  <c r="H574"/>
  <c r="G574"/>
  <c r="E574"/>
  <c r="D574"/>
  <c r="F574" s="1"/>
  <c r="N572"/>
  <c r="M572"/>
  <c r="L572"/>
  <c r="J572"/>
  <c r="I572"/>
  <c r="H572"/>
  <c r="G572"/>
  <c r="E572"/>
  <c r="D572"/>
  <c r="N570"/>
  <c r="M570"/>
  <c r="L570"/>
  <c r="J570"/>
  <c r="I570"/>
  <c r="H570"/>
  <c r="G570"/>
  <c r="E570"/>
  <c r="D570"/>
  <c r="N569"/>
  <c r="M569"/>
  <c r="L569"/>
  <c r="J569"/>
  <c r="I569"/>
  <c r="H569"/>
  <c r="G569"/>
  <c r="E569"/>
  <c r="D569"/>
  <c r="F569" s="1"/>
  <c r="O568"/>
  <c r="K568"/>
  <c r="F568"/>
  <c r="N567"/>
  <c r="O566" s="1"/>
  <c r="M567"/>
  <c r="L567"/>
  <c r="J567"/>
  <c r="I567"/>
  <c r="H567"/>
  <c r="G567"/>
  <c r="E567"/>
  <c r="D567"/>
  <c r="K566"/>
  <c r="F566"/>
  <c r="N565"/>
  <c r="M565"/>
  <c r="L565"/>
  <c r="J565"/>
  <c r="I565"/>
  <c r="H565"/>
  <c r="G565"/>
  <c r="E565"/>
  <c r="D565"/>
  <c r="O564"/>
  <c r="K564"/>
  <c r="F564"/>
  <c r="N563"/>
  <c r="O562" s="1"/>
  <c r="M563"/>
  <c r="L563"/>
  <c r="J563"/>
  <c r="I563"/>
  <c r="H563"/>
  <c r="G563"/>
  <c r="E563"/>
  <c r="D563"/>
  <c r="F563" s="1"/>
  <c r="K562"/>
  <c r="F562"/>
  <c r="N561"/>
  <c r="O560" s="1"/>
  <c r="M561"/>
  <c r="L561"/>
  <c r="J561"/>
  <c r="I561"/>
  <c r="H561"/>
  <c r="G561"/>
  <c r="E561"/>
  <c r="D561"/>
  <c r="K560"/>
  <c r="F560"/>
  <c r="N559"/>
  <c r="O558" s="1"/>
  <c r="M559"/>
  <c r="L559"/>
  <c r="J559"/>
  <c r="I559"/>
  <c r="H559"/>
  <c r="G559"/>
  <c r="E559"/>
  <c r="F559" s="1"/>
  <c r="D559"/>
  <c r="K558"/>
  <c r="F558"/>
  <c r="N557"/>
  <c r="O556" s="1"/>
  <c r="M557"/>
  <c r="L557"/>
  <c r="J557"/>
  <c r="I557"/>
  <c r="H557"/>
  <c r="G557"/>
  <c r="E557"/>
  <c r="D557"/>
  <c r="F557" s="1"/>
  <c r="K556"/>
  <c r="F556"/>
  <c r="N555"/>
  <c r="O554" s="1"/>
  <c r="M555"/>
  <c r="L555"/>
  <c r="J555"/>
  <c r="I555"/>
  <c r="H555"/>
  <c r="G555"/>
  <c r="K555" s="1"/>
  <c r="E555"/>
  <c r="D555"/>
  <c r="K554"/>
  <c r="F554"/>
  <c r="N553"/>
  <c r="M553"/>
  <c r="L553"/>
  <c r="J553"/>
  <c r="I553"/>
  <c r="H553"/>
  <c r="G553"/>
  <c r="E553"/>
  <c r="D553"/>
  <c r="O552"/>
  <c r="K552"/>
  <c r="F552"/>
  <c r="N551"/>
  <c r="O550" s="1"/>
  <c r="M551"/>
  <c r="L551"/>
  <c r="J551"/>
  <c r="I551"/>
  <c r="H551"/>
  <c r="G551"/>
  <c r="E551"/>
  <c r="D551"/>
  <c r="K550"/>
  <c r="F550"/>
  <c r="N549"/>
  <c r="O548" s="1"/>
  <c r="M549"/>
  <c r="L549"/>
  <c r="J549"/>
  <c r="I549"/>
  <c r="H549"/>
  <c r="G549"/>
  <c r="E549"/>
  <c r="D549"/>
  <c r="F549" s="1"/>
  <c r="K548"/>
  <c r="F548"/>
  <c r="N547"/>
  <c r="O546" s="1"/>
  <c r="M547"/>
  <c r="L547"/>
  <c r="J547"/>
  <c r="I547"/>
  <c r="H547"/>
  <c r="G547"/>
  <c r="E547"/>
  <c r="D547"/>
  <c r="F547" s="1"/>
  <c r="K546"/>
  <c r="F546"/>
  <c r="N545"/>
  <c r="O544" s="1"/>
  <c r="M545"/>
  <c r="L545"/>
  <c r="J545"/>
  <c r="I545"/>
  <c r="H545"/>
  <c r="G545"/>
  <c r="E545"/>
  <c r="D545"/>
  <c r="K544"/>
  <c r="F544"/>
  <c r="N543"/>
  <c r="O542" s="1"/>
  <c r="M543"/>
  <c r="L543"/>
  <c r="J543"/>
  <c r="I543"/>
  <c r="H543"/>
  <c r="G543"/>
  <c r="E543"/>
  <c r="D543"/>
  <c r="K542"/>
  <c r="F542"/>
  <c r="N541"/>
  <c r="O540" s="1"/>
  <c r="M541"/>
  <c r="L541"/>
  <c r="J541"/>
  <c r="I541"/>
  <c r="H541"/>
  <c r="G541"/>
  <c r="E541"/>
  <c r="D541"/>
  <c r="F541" s="1"/>
  <c r="K540"/>
  <c r="F540"/>
  <c r="N539"/>
  <c r="M539"/>
  <c r="L539"/>
  <c r="J539"/>
  <c r="I539"/>
  <c r="H539"/>
  <c r="G539"/>
  <c r="E539"/>
  <c r="D539"/>
  <c r="O538"/>
  <c r="K538"/>
  <c r="F538"/>
  <c r="N537"/>
  <c r="O536" s="1"/>
  <c r="M537"/>
  <c r="L537"/>
  <c r="J537"/>
  <c r="I537"/>
  <c r="H537"/>
  <c r="G537"/>
  <c r="K537" s="1"/>
  <c r="E537"/>
  <c r="D537"/>
  <c r="F537" s="1"/>
  <c r="K536"/>
  <c r="F536"/>
  <c r="N535"/>
  <c r="O534" s="1"/>
  <c r="M535"/>
  <c r="L535"/>
  <c r="J535"/>
  <c r="I535"/>
  <c r="H535"/>
  <c r="G535"/>
  <c r="E535"/>
  <c r="D535"/>
  <c r="K534"/>
  <c r="F534"/>
  <c r="N533"/>
  <c r="O532" s="1"/>
  <c r="M533"/>
  <c r="L533"/>
  <c r="J533"/>
  <c r="I533"/>
  <c r="H533"/>
  <c r="G533"/>
  <c r="E533"/>
  <c r="D533"/>
  <c r="K532"/>
  <c r="F532"/>
  <c r="N531"/>
  <c r="O530" s="1"/>
  <c r="M531"/>
  <c r="L531"/>
  <c r="J531"/>
  <c r="I531"/>
  <c r="H531"/>
  <c r="G531"/>
  <c r="K531" s="1"/>
  <c r="E531"/>
  <c r="D531"/>
  <c r="F531" s="1"/>
  <c r="K530"/>
  <c r="F530"/>
  <c r="N529"/>
  <c r="O528" s="1"/>
  <c r="M529"/>
  <c r="L529"/>
  <c r="J529"/>
  <c r="I529"/>
  <c r="H529"/>
  <c r="G529"/>
  <c r="E529"/>
  <c r="D529"/>
  <c r="F529" s="1"/>
  <c r="K528"/>
  <c r="F528"/>
  <c r="N527"/>
  <c r="O526" s="1"/>
  <c r="M527"/>
  <c r="L527"/>
  <c r="J527"/>
  <c r="I527"/>
  <c r="H527"/>
  <c r="G527"/>
  <c r="E527"/>
  <c r="D527"/>
  <c r="K526"/>
  <c r="F526"/>
  <c r="N525"/>
  <c r="O524" s="1"/>
  <c r="M525"/>
  <c r="L525"/>
  <c r="J525"/>
  <c r="I525"/>
  <c r="H525"/>
  <c r="G525"/>
  <c r="E525"/>
  <c r="D525"/>
  <c r="K524"/>
  <c r="F524"/>
  <c r="N523"/>
  <c r="M523"/>
  <c r="L523"/>
  <c r="K523"/>
  <c r="J523"/>
  <c r="I523"/>
  <c r="H523"/>
  <c r="G523"/>
  <c r="E523"/>
  <c r="D523"/>
  <c r="F523" s="1"/>
  <c r="O522"/>
  <c r="K522"/>
  <c r="F522"/>
  <c r="N521"/>
  <c r="O520" s="1"/>
  <c r="M521"/>
  <c r="L521"/>
  <c r="J521"/>
  <c r="I521"/>
  <c r="H521"/>
  <c r="G521"/>
  <c r="E521"/>
  <c r="D521"/>
  <c r="F521" s="1"/>
  <c r="K520"/>
  <c r="F520"/>
  <c r="N519"/>
  <c r="M519"/>
  <c r="L519"/>
  <c r="J519"/>
  <c r="I519"/>
  <c r="H519"/>
  <c r="G519"/>
  <c r="E519"/>
  <c r="D519"/>
  <c r="F519" s="1"/>
  <c r="O518"/>
  <c r="K518"/>
  <c r="F518"/>
  <c r="N517"/>
  <c r="O516" s="1"/>
  <c r="M517"/>
  <c r="L517"/>
  <c r="J517"/>
  <c r="I517"/>
  <c r="H517"/>
  <c r="G517"/>
  <c r="E517"/>
  <c r="D517"/>
  <c r="K516"/>
  <c r="F516"/>
  <c r="N515"/>
  <c r="M515"/>
  <c r="L515"/>
  <c r="J515"/>
  <c r="I515"/>
  <c r="H515"/>
  <c r="G515"/>
  <c r="E515"/>
  <c r="D515"/>
  <c r="F515" s="1"/>
  <c r="O514"/>
  <c r="K514"/>
  <c r="F514"/>
  <c r="N513"/>
  <c r="O512" s="1"/>
  <c r="M513"/>
  <c r="L513"/>
  <c r="J513"/>
  <c r="I513"/>
  <c r="H513"/>
  <c r="G513"/>
  <c r="E513"/>
  <c r="D513"/>
  <c r="F513" s="1"/>
  <c r="K512"/>
  <c r="F512"/>
  <c r="N511"/>
  <c r="O510" s="1"/>
  <c r="M511"/>
  <c r="L511"/>
  <c r="J511"/>
  <c r="I511"/>
  <c r="H511"/>
  <c r="G511"/>
  <c r="E511"/>
  <c r="D511"/>
  <c r="F511" s="1"/>
  <c r="K510"/>
  <c r="F510"/>
  <c r="N509"/>
  <c r="O508" s="1"/>
  <c r="M509"/>
  <c r="L509"/>
  <c r="J509"/>
  <c r="I509"/>
  <c r="H509"/>
  <c r="G509"/>
  <c r="E509"/>
  <c r="D509"/>
  <c r="K508"/>
  <c r="F508"/>
  <c r="N507"/>
  <c r="O506" s="1"/>
  <c r="M507"/>
  <c r="L507"/>
  <c r="J507"/>
  <c r="I507"/>
  <c r="H507"/>
  <c r="G507"/>
  <c r="E507"/>
  <c r="D507"/>
  <c r="K506"/>
  <c r="F506"/>
  <c r="N505"/>
  <c r="O504" s="1"/>
  <c r="M505"/>
  <c r="L505"/>
  <c r="J505"/>
  <c r="I505"/>
  <c r="H505"/>
  <c r="G505"/>
  <c r="E505"/>
  <c r="D505"/>
  <c r="F505" s="1"/>
  <c r="K504"/>
  <c r="F504"/>
  <c r="N503"/>
  <c r="O502" s="1"/>
  <c r="M503"/>
  <c r="L503"/>
  <c r="J503"/>
  <c r="I503"/>
  <c r="H503"/>
  <c r="G503"/>
  <c r="E503"/>
  <c r="D503"/>
  <c r="K502"/>
  <c r="F502"/>
  <c r="N501"/>
  <c r="M501"/>
  <c r="L501"/>
  <c r="J501"/>
  <c r="I501"/>
  <c r="H501"/>
  <c r="G501"/>
  <c r="E501"/>
  <c r="D501"/>
  <c r="O500"/>
  <c r="K500"/>
  <c r="F500"/>
  <c r="N499"/>
  <c r="O498" s="1"/>
  <c r="M499"/>
  <c r="L499"/>
  <c r="J499"/>
  <c r="I499"/>
  <c r="H499"/>
  <c r="G499"/>
  <c r="E499"/>
  <c r="D499"/>
  <c r="K498"/>
  <c r="F498"/>
  <c r="N497"/>
  <c r="O496" s="1"/>
  <c r="M497"/>
  <c r="L497"/>
  <c r="J497"/>
  <c r="I497"/>
  <c r="H497"/>
  <c r="G497"/>
  <c r="E497"/>
  <c r="D497"/>
  <c r="F497" s="1"/>
  <c r="K496"/>
  <c r="F496"/>
  <c r="N495"/>
  <c r="O494" s="1"/>
  <c r="M495"/>
  <c r="L495"/>
  <c r="J495"/>
  <c r="I495"/>
  <c r="H495"/>
  <c r="G495"/>
  <c r="E495"/>
  <c r="D495"/>
  <c r="K494"/>
  <c r="F494"/>
  <c r="N493"/>
  <c r="O492" s="1"/>
  <c r="M493"/>
  <c r="L493"/>
  <c r="J493"/>
  <c r="I493"/>
  <c r="H493"/>
  <c r="G493"/>
  <c r="E493"/>
  <c r="D493"/>
  <c r="K492"/>
  <c r="F492"/>
  <c r="N491"/>
  <c r="M491"/>
  <c r="L491"/>
  <c r="J491"/>
  <c r="I491"/>
  <c r="H491"/>
  <c r="G491"/>
  <c r="E491"/>
  <c r="F491" s="1"/>
  <c r="D491"/>
  <c r="O490"/>
  <c r="K490"/>
  <c r="F490"/>
  <c r="N489"/>
  <c r="O488" s="1"/>
  <c r="M489"/>
  <c r="L489"/>
  <c r="J489"/>
  <c r="I489"/>
  <c r="H489"/>
  <c r="G489"/>
  <c r="E489"/>
  <c r="D489"/>
  <c r="K488"/>
  <c r="F488"/>
  <c r="N487"/>
  <c r="O486" s="1"/>
  <c r="M487"/>
  <c r="L487"/>
  <c r="J487"/>
  <c r="I487"/>
  <c r="H487"/>
  <c r="G487"/>
  <c r="E487"/>
  <c r="D487"/>
  <c r="F487" s="1"/>
  <c r="K486"/>
  <c r="F486"/>
  <c r="N485"/>
  <c r="O484" s="1"/>
  <c r="M485"/>
  <c r="L485"/>
  <c r="J485"/>
  <c r="I485"/>
  <c r="H485"/>
  <c r="G485"/>
  <c r="E485"/>
  <c r="D485"/>
  <c r="F485" s="1"/>
  <c r="K484"/>
  <c r="F484"/>
  <c r="N483"/>
  <c r="O482" s="1"/>
  <c r="M483"/>
  <c r="L483"/>
  <c r="J483"/>
  <c r="I483"/>
  <c r="H483"/>
  <c r="G483"/>
  <c r="E483"/>
  <c r="F483" s="1"/>
  <c r="D483"/>
  <c r="K482"/>
  <c r="F482"/>
  <c r="N481"/>
  <c r="O480" s="1"/>
  <c r="M481"/>
  <c r="L481"/>
  <c r="J481"/>
  <c r="I481"/>
  <c r="H481"/>
  <c r="G481"/>
  <c r="E481"/>
  <c r="D481"/>
  <c r="F481" s="1"/>
  <c r="K480"/>
  <c r="F480"/>
  <c r="N479"/>
  <c r="O478" s="1"/>
  <c r="M479"/>
  <c r="L479"/>
  <c r="J479"/>
  <c r="I479"/>
  <c r="H479"/>
  <c r="G479"/>
  <c r="K479" s="1"/>
  <c r="E479"/>
  <c r="D479"/>
  <c r="K478"/>
  <c r="F478"/>
  <c r="N477"/>
  <c r="O476" s="1"/>
  <c r="M477"/>
  <c r="L477"/>
  <c r="J477"/>
  <c r="I477"/>
  <c r="H477"/>
  <c r="G477"/>
  <c r="E477"/>
  <c r="D477"/>
  <c r="F477" s="1"/>
  <c r="K476"/>
  <c r="F476"/>
  <c r="N475"/>
  <c r="O474" s="1"/>
  <c r="M475"/>
  <c r="L475"/>
  <c r="J475"/>
  <c r="I475"/>
  <c r="H475"/>
  <c r="G475"/>
  <c r="E475"/>
  <c r="D475"/>
  <c r="F475" s="1"/>
  <c r="K474"/>
  <c r="F474"/>
  <c r="N473"/>
  <c r="O472" s="1"/>
  <c r="M473"/>
  <c r="L473"/>
  <c r="J473"/>
  <c r="I473"/>
  <c r="H473"/>
  <c r="G473"/>
  <c r="E473"/>
  <c r="D473"/>
  <c r="K472"/>
  <c r="F472"/>
  <c r="N471"/>
  <c r="O470" s="1"/>
  <c r="M471"/>
  <c r="L471"/>
  <c r="J471"/>
  <c r="I471"/>
  <c r="H471"/>
  <c r="G471"/>
  <c r="E471"/>
  <c r="D471"/>
  <c r="K470"/>
  <c r="F470"/>
  <c r="N469"/>
  <c r="O468" s="1"/>
  <c r="M469"/>
  <c r="L469"/>
  <c r="J469"/>
  <c r="I469"/>
  <c r="H469"/>
  <c r="G469"/>
  <c r="E469"/>
  <c r="D469"/>
  <c r="K468"/>
  <c r="F468"/>
  <c r="N467"/>
  <c r="M467"/>
  <c r="L467"/>
  <c r="J467"/>
  <c r="I467"/>
  <c r="H467"/>
  <c r="G467"/>
  <c r="E467"/>
  <c r="D467"/>
  <c r="O466"/>
  <c r="K466"/>
  <c r="F466"/>
  <c r="N465"/>
  <c r="O464" s="1"/>
  <c r="M465"/>
  <c r="L465"/>
  <c r="J465"/>
  <c r="I465"/>
  <c r="H465"/>
  <c r="G465"/>
  <c r="E465"/>
  <c r="D465"/>
  <c r="K464"/>
  <c r="F464"/>
  <c r="N463"/>
  <c r="M463"/>
  <c r="L463"/>
  <c r="J463"/>
  <c r="I463"/>
  <c r="H463"/>
  <c r="G463"/>
  <c r="E463"/>
  <c r="D463"/>
  <c r="O462"/>
  <c r="K462"/>
  <c r="F462"/>
  <c r="N461"/>
  <c r="O460" s="1"/>
  <c r="M461"/>
  <c r="L461"/>
  <c r="J461"/>
  <c r="I461"/>
  <c r="H461"/>
  <c r="G461"/>
  <c r="E461"/>
  <c r="D461"/>
  <c r="K460"/>
  <c r="F460"/>
  <c r="N459"/>
  <c r="O458" s="1"/>
  <c r="M459"/>
  <c r="L459"/>
  <c r="J459"/>
  <c r="I459"/>
  <c r="H459"/>
  <c r="G459"/>
  <c r="E459"/>
  <c r="D459"/>
  <c r="K458"/>
  <c r="F458"/>
  <c r="N457"/>
  <c r="O456" s="1"/>
  <c r="M457"/>
  <c r="L457"/>
  <c r="J457"/>
  <c r="I457"/>
  <c r="H457"/>
  <c r="G457"/>
  <c r="E457"/>
  <c r="D457"/>
  <c r="F457" s="1"/>
  <c r="K456"/>
  <c r="F456"/>
  <c r="N455"/>
  <c r="O454" s="1"/>
  <c r="M455"/>
  <c r="L455"/>
  <c r="J455"/>
  <c r="I455"/>
  <c r="H455"/>
  <c r="G455"/>
  <c r="E455"/>
  <c r="D455"/>
  <c r="K454"/>
  <c r="F454"/>
  <c r="N453"/>
  <c r="M453"/>
  <c r="L453"/>
  <c r="J453"/>
  <c r="I453"/>
  <c r="H453"/>
  <c r="G453"/>
  <c r="E453"/>
  <c r="D453"/>
  <c r="F453" s="1"/>
  <c r="O452"/>
  <c r="K452"/>
  <c r="F452"/>
  <c r="N451"/>
  <c r="O450" s="1"/>
  <c r="M451"/>
  <c r="L451"/>
  <c r="J451"/>
  <c r="I451"/>
  <c r="H451"/>
  <c r="G451"/>
  <c r="E451"/>
  <c r="D451"/>
  <c r="K450"/>
  <c r="F450"/>
  <c r="N449"/>
  <c r="O448" s="1"/>
  <c r="M449"/>
  <c r="L449"/>
  <c r="J449"/>
  <c r="I449"/>
  <c r="H449"/>
  <c r="G449"/>
  <c r="E449"/>
  <c r="D449"/>
  <c r="K448"/>
  <c r="F448"/>
  <c r="N447"/>
  <c r="O446" s="1"/>
  <c r="M447"/>
  <c r="L447"/>
  <c r="J447"/>
  <c r="I447"/>
  <c r="H447"/>
  <c r="G447"/>
  <c r="E447"/>
  <c r="D447"/>
  <c r="K446"/>
  <c r="F446"/>
  <c r="N445"/>
  <c r="O444" s="1"/>
  <c r="M445"/>
  <c r="L445"/>
  <c r="J445"/>
  <c r="I445"/>
  <c r="H445"/>
  <c r="G445"/>
  <c r="E445"/>
  <c r="D445"/>
  <c r="F445" s="1"/>
  <c r="K444"/>
  <c r="F444"/>
  <c r="N443"/>
  <c r="O442" s="1"/>
  <c r="M443"/>
  <c r="L443"/>
  <c r="J443"/>
  <c r="I443"/>
  <c r="H443"/>
  <c r="G443"/>
  <c r="E443"/>
  <c r="D443"/>
  <c r="K442"/>
  <c r="F442"/>
  <c r="N441"/>
  <c r="O440" s="1"/>
  <c r="M441"/>
  <c r="L441"/>
  <c r="J441"/>
  <c r="I441"/>
  <c r="H441"/>
  <c r="G441"/>
  <c r="E441"/>
  <c r="D441"/>
  <c r="K440"/>
  <c r="F440"/>
  <c r="N439"/>
  <c r="O438" s="1"/>
  <c r="M439"/>
  <c r="L439"/>
  <c r="J439"/>
  <c r="I439"/>
  <c r="H439"/>
  <c r="G439"/>
  <c r="E439"/>
  <c r="D439"/>
  <c r="K438"/>
  <c r="F438"/>
  <c r="N437"/>
  <c r="O436" s="1"/>
  <c r="M437"/>
  <c r="L437"/>
  <c r="J437"/>
  <c r="I437"/>
  <c r="H437"/>
  <c r="G437"/>
  <c r="E437"/>
  <c r="D437"/>
  <c r="F437" s="1"/>
  <c r="K436"/>
  <c r="F436"/>
  <c r="N435"/>
  <c r="M435"/>
  <c r="L435"/>
  <c r="J435"/>
  <c r="I435"/>
  <c r="H435"/>
  <c r="G435"/>
  <c r="E435"/>
  <c r="D435"/>
  <c r="O434"/>
  <c r="K434"/>
  <c r="F434"/>
  <c r="N433"/>
  <c r="O432" s="1"/>
  <c r="M433"/>
  <c r="L433"/>
  <c r="J433"/>
  <c r="I433"/>
  <c r="H433"/>
  <c r="G433"/>
  <c r="E433"/>
  <c r="D433"/>
  <c r="F433" s="1"/>
  <c r="K432"/>
  <c r="F432"/>
  <c r="N431"/>
  <c r="M431"/>
  <c r="L431"/>
  <c r="J431"/>
  <c r="I431"/>
  <c r="H431"/>
  <c r="G431"/>
  <c r="E431"/>
  <c r="D431"/>
  <c r="O430"/>
  <c r="K430"/>
  <c r="F430"/>
  <c r="N429"/>
  <c r="O428" s="1"/>
  <c r="M429"/>
  <c r="L429"/>
  <c r="J429"/>
  <c r="I429"/>
  <c r="H429"/>
  <c r="G429"/>
  <c r="E429"/>
  <c r="D429"/>
  <c r="F429" s="1"/>
  <c r="K428"/>
  <c r="F428"/>
  <c r="N427"/>
  <c r="O426" s="1"/>
  <c r="M427"/>
  <c r="L427"/>
  <c r="J427"/>
  <c r="I427"/>
  <c r="H427"/>
  <c r="G427"/>
  <c r="K427" s="1"/>
  <c r="E427"/>
  <c r="D427"/>
  <c r="K426"/>
  <c r="F426"/>
  <c r="N425"/>
  <c r="O424" s="1"/>
  <c r="M425"/>
  <c r="L425"/>
  <c r="J425"/>
  <c r="I425"/>
  <c r="H425"/>
  <c r="G425"/>
  <c r="E425"/>
  <c r="D425"/>
  <c r="K424"/>
  <c r="F424"/>
  <c r="N423"/>
  <c r="O422" s="1"/>
  <c r="M423"/>
  <c r="L423"/>
  <c r="J423"/>
  <c r="I423"/>
  <c r="H423"/>
  <c r="G423"/>
  <c r="K423" s="1"/>
  <c r="E423"/>
  <c r="D423"/>
  <c r="F423" s="1"/>
  <c r="K422"/>
  <c r="F422"/>
  <c r="N421"/>
  <c r="M421"/>
  <c r="L421"/>
  <c r="J421"/>
  <c r="I421"/>
  <c r="H421"/>
  <c r="G421"/>
  <c r="E421"/>
  <c r="D421"/>
  <c r="F421" s="1"/>
  <c r="O420"/>
  <c r="K420"/>
  <c r="F420"/>
  <c r="N419"/>
  <c r="O418" s="1"/>
  <c r="M419"/>
  <c r="L419"/>
  <c r="J419"/>
  <c r="I419"/>
  <c r="H419"/>
  <c r="G419"/>
  <c r="K419" s="1"/>
  <c r="E419"/>
  <c r="D419"/>
  <c r="F419" s="1"/>
  <c r="K418"/>
  <c r="F418"/>
  <c r="N417"/>
  <c r="O416" s="1"/>
  <c r="M417"/>
  <c r="L417"/>
  <c r="J417"/>
  <c r="I417"/>
  <c r="H417"/>
  <c r="G417"/>
  <c r="E417"/>
  <c r="D417"/>
  <c r="F417" s="1"/>
  <c r="K416"/>
  <c r="F416"/>
  <c r="N415"/>
  <c r="M415"/>
  <c r="L415"/>
  <c r="J415"/>
  <c r="I415"/>
  <c r="H415"/>
  <c r="G415"/>
  <c r="E415"/>
  <c r="D415"/>
  <c r="O414"/>
  <c r="K414"/>
  <c r="F414"/>
  <c r="N413"/>
  <c r="O412" s="1"/>
  <c r="M413"/>
  <c r="L413"/>
  <c r="J413"/>
  <c r="I413"/>
  <c r="H413"/>
  <c r="G413"/>
  <c r="E413"/>
  <c r="D413"/>
  <c r="F413" s="1"/>
  <c r="K412"/>
  <c r="F412"/>
  <c r="N411"/>
  <c r="O410" s="1"/>
  <c r="M411"/>
  <c r="L411"/>
  <c r="J411"/>
  <c r="I411"/>
  <c r="H411"/>
  <c r="G411"/>
  <c r="K411" s="1"/>
  <c r="E411"/>
  <c r="D411"/>
  <c r="F411" s="1"/>
  <c r="K410"/>
  <c r="F410"/>
  <c r="N409"/>
  <c r="O408" s="1"/>
  <c r="M409"/>
  <c r="L409"/>
  <c r="J409"/>
  <c r="I409"/>
  <c r="H409"/>
  <c r="G409"/>
  <c r="E409"/>
  <c r="D409"/>
  <c r="F409" s="1"/>
  <c r="K408"/>
  <c r="F408"/>
  <c r="N407"/>
  <c r="M407"/>
  <c r="L407"/>
  <c r="J407"/>
  <c r="I407"/>
  <c r="H407"/>
  <c r="G407"/>
  <c r="E407"/>
  <c r="D407"/>
  <c r="O406"/>
  <c r="K406"/>
  <c r="F406"/>
  <c r="N405"/>
  <c r="O404" s="1"/>
  <c r="M405"/>
  <c r="L405"/>
  <c r="J405"/>
  <c r="I405"/>
  <c r="H405"/>
  <c r="G405"/>
  <c r="E405"/>
  <c r="D405"/>
  <c r="F405" s="1"/>
  <c r="K404"/>
  <c r="F404"/>
  <c r="N403"/>
  <c r="M403"/>
  <c r="L403"/>
  <c r="J403"/>
  <c r="I403"/>
  <c r="H403"/>
  <c r="G403"/>
  <c r="E403"/>
  <c r="D403"/>
  <c r="F403" s="1"/>
  <c r="O402"/>
  <c r="K402"/>
  <c r="F402"/>
  <c r="N401"/>
  <c r="O400" s="1"/>
  <c r="M401"/>
  <c r="L401"/>
  <c r="J401"/>
  <c r="I401"/>
  <c r="H401"/>
  <c r="G401"/>
  <c r="F401"/>
  <c r="E401"/>
  <c r="D401"/>
  <c r="K400"/>
  <c r="F400"/>
  <c r="N399"/>
  <c r="M399"/>
  <c r="L399"/>
  <c r="J399"/>
  <c r="I399"/>
  <c r="H399"/>
  <c r="G399"/>
  <c r="E399"/>
  <c r="D399"/>
  <c r="F399" s="1"/>
  <c r="O398"/>
  <c r="K398"/>
  <c r="F398"/>
  <c r="N397"/>
  <c r="O396" s="1"/>
  <c r="M397"/>
  <c r="L397"/>
  <c r="J397"/>
  <c r="I397"/>
  <c r="H397"/>
  <c r="G397"/>
  <c r="F397"/>
  <c r="E397"/>
  <c r="D397"/>
  <c r="K396"/>
  <c r="F396"/>
  <c r="N395"/>
  <c r="O394" s="1"/>
  <c r="M395"/>
  <c r="L395"/>
  <c r="K395"/>
  <c r="J395"/>
  <c r="I395"/>
  <c r="H395"/>
  <c r="G395"/>
  <c r="E395"/>
  <c r="D395"/>
  <c r="K394"/>
  <c r="F394"/>
  <c r="N393"/>
  <c r="O392" s="1"/>
  <c r="M393"/>
  <c r="L393"/>
  <c r="J393"/>
  <c r="I393"/>
  <c r="H393"/>
  <c r="G393"/>
  <c r="E393"/>
  <c r="D393"/>
  <c r="K392"/>
  <c r="F392"/>
  <c r="N391"/>
  <c r="M391"/>
  <c r="L391"/>
  <c r="J391"/>
  <c r="I391"/>
  <c r="H391"/>
  <c r="G391"/>
  <c r="E391"/>
  <c r="D391"/>
  <c r="O390"/>
  <c r="K390"/>
  <c r="F390"/>
  <c r="N389"/>
  <c r="O388" s="1"/>
  <c r="M389"/>
  <c r="L389"/>
  <c r="J389"/>
  <c r="I389"/>
  <c r="H389"/>
  <c r="G389"/>
  <c r="E389"/>
  <c r="D389"/>
  <c r="K388"/>
  <c r="F388"/>
  <c r="N387"/>
  <c r="O386" s="1"/>
  <c r="M387"/>
  <c r="L387"/>
  <c r="J387"/>
  <c r="I387"/>
  <c r="H387"/>
  <c r="G387"/>
  <c r="E387"/>
  <c r="D387"/>
  <c r="F387" s="1"/>
  <c r="K386"/>
  <c r="F386"/>
  <c r="N385"/>
  <c r="O384" s="1"/>
  <c r="M385"/>
  <c r="L385"/>
  <c r="J385"/>
  <c r="I385"/>
  <c r="H385"/>
  <c r="G385"/>
  <c r="E385"/>
  <c r="D385"/>
  <c r="F385" s="1"/>
  <c r="K384"/>
  <c r="F384"/>
  <c r="N383"/>
  <c r="O382" s="1"/>
  <c r="M383"/>
  <c r="L383"/>
  <c r="J383"/>
  <c r="I383"/>
  <c r="H383"/>
  <c r="G383"/>
  <c r="E383"/>
  <c r="D383"/>
  <c r="F383" s="1"/>
  <c r="K382"/>
  <c r="F382"/>
  <c r="N381"/>
  <c r="O380" s="1"/>
  <c r="M381"/>
  <c r="L381"/>
  <c r="J381"/>
  <c r="I381"/>
  <c r="H381"/>
  <c r="G381"/>
  <c r="E381"/>
  <c r="D381"/>
  <c r="K380"/>
  <c r="F380"/>
  <c r="N379"/>
  <c r="O378" s="1"/>
  <c r="M379"/>
  <c r="L379"/>
  <c r="J379"/>
  <c r="I379"/>
  <c r="H379"/>
  <c r="G379"/>
  <c r="E379"/>
  <c r="D379"/>
  <c r="F379" s="1"/>
  <c r="K378"/>
  <c r="F378"/>
  <c r="N377"/>
  <c r="O376" s="1"/>
  <c r="M377"/>
  <c r="L377"/>
  <c r="J377"/>
  <c r="I377"/>
  <c r="H377"/>
  <c r="G377"/>
  <c r="E377"/>
  <c r="D377"/>
  <c r="F377" s="1"/>
  <c r="K376"/>
  <c r="F376"/>
  <c r="N375"/>
  <c r="M375"/>
  <c r="L375"/>
  <c r="J375"/>
  <c r="I375"/>
  <c r="H375"/>
  <c r="G375"/>
  <c r="E375"/>
  <c r="D375"/>
  <c r="O374"/>
  <c r="K374"/>
  <c r="F374"/>
  <c r="N373"/>
  <c r="M373"/>
  <c r="L373"/>
  <c r="J373"/>
  <c r="I373"/>
  <c r="H373"/>
  <c r="G373"/>
  <c r="E373"/>
  <c r="D373"/>
  <c r="O372"/>
  <c r="K372"/>
  <c r="F372"/>
  <c r="N371"/>
  <c r="O370" s="1"/>
  <c r="M371"/>
  <c r="L371"/>
  <c r="J371"/>
  <c r="I371"/>
  <c r="H371"/>
  <c r="G371"/>
  <c r="E371"/>
  <c r="D371"/>
  <c r="K370"/>
  <c r="F370"/>
  <c r="N369"/>
  <c r="O368" s="1"/>
  <c r="M369"/>
  <c r="L369"/>
  <c r="J369"/>
  <c r="I369"/>
  <c r="H369"/>
  <c r="G369"/>
  <c r="E369"/>
  <c r="D369"/>
  <c r="K368"/>
  <c r="F368"/>
  <c r="N367"/>
  <c r="O366" s="1"/>
  <c r="M367"/>
  <c r="L367"/>
  <c r="J367"/>
  <c r="I367"/>
  <c r="H367"/>
  <c r="G367"/>
  <c r="E367"/>
  <c r="D367"/>
  <c r="K366"/>
  <c r="F366"/>
  <c r="N365"/>
  <c r="O364" s="1"/>
  <c r="M365"/>
  <c r="L365"/>
  <c r="J365"/>
  <c r="I365"/>
  <c r="H365"/>
  <c r="G365"/>
  <c r="E365"/>
  <c r="D365"/>
  <c r="F365" s="1"/>
  <c r="K364"/>
  <c r="F364"/>
  <c r="N363"/>
  <c r="M363"/>
  <c r="L363"/>
  <c r="J363"/>
  <c r="I363"/>
  <c r="H363"/>
  <c r="G363"/>
  <c r="E363"/>
  <c r="D363"/>
  <c r="O362"/>
  <c r="K362"/>
  <c r="F362"/>
  <c r="N361"/>
  <c r="O360" s="1"/>
  <c r="M361"/>
  <c r="L361"/>
  <c r="J361"/>
  <c r="I361"/>
  <c r="H361"/>
  <c r="G361"/>
  <c r="E361"/>
  <c r="D361"/>
  <c r="K360"/>
  <c r="F360"/>
  <c r="N359"/>
  <c r="O358" s="1"/>
  <c r="M359"/>
  <c r="L359"/>
  <c r="J359"/>
  <c r="I359"/>
  <c r="H359"/>
  <c r="G359"/>
  <c r="E359"/>
  <c r="D359"/>
  <c r="F359" s="1"/>
  <c r="K358"/>
  <c r="F358"/>
  <c r="N357"/>
  <c r="M357"/>
  <c r="L357"/>
  <c r="J357"/>
  <c r="I357"/>
  <c r="H357"/>
  <c r="G357"/>
  <c r="E357"/>
  <c r="D357"/>
  <c r="O356"/>
  <c r="K356"/>
  <c r="F356"/>
  <c r="N355"/>
  <c r="O354" s="1"/>
  <c r="M355"/>
  <c r="L355"/>
  <c r="J355"/>
  <c r="I355"/>
  <c r="H355"/>
  <c r="G355"/>
  <c r="E355"/>
  <c r="D355"/>
  <c r="K354"/>
  <c r="F354"/>
  <c r="N353"/>
  <c r="O352" s="1"/>
  <c r="M353"/>
  <c r="L353"/>
  <c r="J353"/>
  <c r="I353"/>
  <c r="H353"/>
  <c r="G353"/>
  <c r="E353"/>
  <c r="D353"/>
  <c r="F353" s="1"/>
  <c r="K352"/>
  <c r="F352"/>
  <c r="N351"/>
  <c r="M351"/>
  <c r="L351"/>
  <c r="J351"/>
  <c r="I351"/>
  <c r="H351"/>
  <c r="G351"/>
  <c r="E351"/>
  <c r="D351"/>
  <c r="O350"/>
  <c r="K350"/>
  <c r="F350"/>
  <c r="N349"/>
  <c r="O348" s="1"/>
  <c r="M349"/>
  <c r="L349"/>
  <c r="J349"/>
  <c r="I349"/>
  <c r="H349"/>
  <c r="G349"/>
  <c r="E349"/>
  <c r="D349"/>
  <c r="F349" s="1"/>
  <c r="K348"/>
  <c r="F348"/>
  <c r="N347"/>
  <c r="O346" s="1"/>
  <c r="M347"/>
  <c r="L347"/>
  <c r="J347"/>
  <c r="I347"/>
  <c r="H347"/>
  <c r="G347"/>
  <c r="K347" s="1"/>
  <c r="E347"/>
  <c r="D347"/>
  <c r="F347" s="1"/>
  <c r="K346"/>
  <c r="F346"/>
  <c r="N345"/>
  <c r="O344" s="1"/>
  <c r="M345"/>
  <c r="L345"/>
  <c r="J345"/>
  <c r="I345"/>
  <c r="H345"/>
  <c r="G345"/>
  <c r="E345"/>
  <c r="D345"/>
  <c r="F345" s="1"/>
  <c r="K344"/>
  <c r="F344"/>
  <c r="N343"/>
  <c r="O342" s="1"/>
  <c r="M343"/>
  <c r="L343"/>
  <c r="J343"/>
  <c r="I343"/>
  <c r="H343"/>
  <c r="G343"/>
  <c r="E343"/>
  <c r="D343"/>
  <c r="K342"/>
  <c r="F342"/>
  <c r="N341"/>
  <c r="M341"/>
  <c r="L341"/>
  <c r="J341"/>
  <c r="I341"/>
  <c r="H341"/>
  <c r="G341"/>
  <c r="E341"/>
  <c r="D341"/>
  <c r="F341" s="1"/>
  <c r="O340"/>
  <c r="K340"/>
  <c r="F340"/>
  <c r="N339"/>
  <c r="O338" s="1"/>
  <c r="M339"/>
  <c r="L339"/>
  <c r="J339"/>
  <c r="I339"/>
  <c r="H339"/>
  <c r="G339"/>
  <c r="E339"/>
  <c r="D339"/>
  <c r="K338"/>
  <c r="F338"/>
  <c r="N337"/>
  <c r="O336" s="1"/>
  <c r="M337"/>
  <c r="L337"/>
  <c r="J337"/>
  <c r="I337"/>
  <c r="H337"/>
  <c r="G337"/>
  <c r="E337"/>
  <c r="D337"/>
  <c r="F337" s="1"/>
  <c r="K336"/>
  <c r="F336"/>
  <c r="N335"/>
  <c r="O334" s="1"/>
  <c r="M335"/>
  <c r="L335"/>
  <c r="J335"/>
  <c r="I335"/>
  <c r="H335"/>
  <c r="G335"/>
  <c r="E335"/>
  <c r="D335"/>
  <c r="K334"/>
  <c r="F334"/>
  <c r="N333"/>
  <c r="O332" s="1"/>
  <c r="M333"/>
  <c r="L333"/>
  <c r="J333"/>
  <c r="I333"/>
  <c r="H333"/>
  <c r="G333"/>
  <c r="E333"/>
  <c r="D333"/>
  <c r="K332"/>
  <c r="F332"/>
  <c r="N331"/>
  <c r="O330" s="1"/>
  <c r="M331"/>
  <c r="L331"/>
  <c r="J331"/>
  <c r="I331"/>
  <c r="H331"/>
  <c r="G331"/>
  <c r="E331"/>
  <c r="D331"/>
  <c r="K330"/>
  <c r="F330"/>
  <c r="N329"/>
  <c r="O328" s="1"/>
  <c r="M329"/>
  <c r="L329"/>
  <c r="J329"/>
  <c r="I329"/>
  <c r="H329"/>
  <c r="G329"/>
  <c r="E329"/>
  <c r="D329"/>
  <c r="K328"/>
  <c r="F328"/>
  <c r="N327"/>
  <c r="O326" s="1"/>
  <c r="M327"/>
  <c r="L327"/>
  <c r="J327"/>
  <c r="I327"/>
  <c r="H327"/>
  <c r="G327"/>
  <c r="E327"/>
  <c r="D327"/>
  <c r="K326"/>
  <c r="F326"/>
  <c r="N325"/>
  <c r="O324" s="1"/>
  <c r="M325"/>
  <c r="L325"/>
  <c r="J325"/>
  <c r="I325"/>
  <c r="H325"/>
  <c r="G325"/>
  <c r="E325"/>
  <c r="D325"/>
  <c r="F325" s="1"/>
  <c r="K324"/>
  <c r="F324"/>
  <c r="N323"/>
  <c r="O322" s="1"/>
  <c r="M323"/>
  <c r="L323"/>
  <c r="J323"/>
  <c r="I323"/>
  <c r="H323"/>
  <c r="G323"/>
  <c r="E323"/>
  <c r="D323"/>
  <c r="K322"/>
  <c r="F322"/>
  <c r="N321"/>
  <c r="O320" s="1"/>
  <c r="M321"/>
  <c r="L321"/>
  <c r="J321"/>
  <c r="I321"/>
  <c r="H321"/>
  <c r="G321"/>
  <c r="E321"/>
  <c r="D321"/>
  <c r="F321" s="1"/>
  <c r="K320"/>
  <c r="F320"/>
  <c r="N319"/>
  <c r="M319"/>
  <c r="L319"/>
  <c r="J319"/>
  <c r="I319"/>
  <c r="H319"/>
  <c r="G319"/>
  <c r="E319"/>
  <c r="D319"/>
  <c r="O318"/>
  <c r="K318"/>
  <c r="F318"/>
  <c r="N317"/>
  <c r="O316" s="1"/>
  <c r="M317"/>
  <c r="L317"/>
  <c r="J317"/>
  <c r="I317"/>
  <c r="H317"/>
  <c r="G317"/>
  <c r="E317"/>
  <c r="D317"/>
  <c r="F317" s="1"/>
  <c r="K316"/>
  <c r="F316"/>
  <c r="N315"/>
  <c r="O314" s="1"/>
  <c r="M315"/>
  <c r="L315"/>
  <c r="J315"/>
  <c r="I315"/>
  <c r="H315"/>
  <c r="G315"/>
  <c r="K315" s="1"/>
  <c r="E315"/>
  <c r="D315"/>
  <c r="K314"/>
  <c r="F314"/>
  <c r="N312"/>
  <c r="M312"/>
  <c r="L312"/>
  <c r="J312"/>
  <c r="I312"/>
  <c r="K312" s="1"/>
  <c r="H312"/>
  <c r="G312"/>
  <c r="E312"/>
  <c r="D312"/>
  <c r="N310"/>
  <c r="M310"/>
  <c r="L310"/>
  <c r="J310"/>
  <c r="I310"/>
  <c r="H310"/>
  <c r="G310"/>
  <c r="E310"/>
  <c r="D310"/>
  <c r="N308"/>
  <c r="M308"/>
  <c r="L308"/>
  <c r="J308"/>
  <c r="I308"/>
  <c r="H308"/>
  <c r="G308"/>
  <c r="E308"/>
  <c r="D308"/>
  <c r="F308" s="1"/>
  <c r="N306"/>
  <c r="M306"/>
  <c r="L306"/>
  <c r="J306"/>
  <c r="I306"/>
  <c r="H306"/>
  <c r="G306"/>
  <c r="E306"/>
  <c r="D306"/>
  <c r="N305"/>
  <c r="O304" s="1"/>
  <c r="M305"/>
  <c r="L305"/>
  <c r="J305"/>
  <c r="I305"/>
  <c r="H305"/>
  <c r="G305"/>
  <c r="E305"/>
  <c r="D305"/>
  <c r="K304"/>
  <c r="F304"/>
  <c r="N303"/>
  <c r="O302" s="1"/>
  <c r="M303"/>
  <c r="L303"/>
  <c r="J303"/>
  <c r="I303"/>
  <c r="H303"/>
  <c r="G303"/>
  <c r="E303"/>
  <c r="D303"/>
  <c r="F303" s="1"/>
  <c r="K302"/>
  <c r="F302"/>
  <c r="N301"/>
  <c r="O300" s="1"/>
  <c r="M301"/>
  <c r="L301"/>
  <c r="J301"/>
  <c r="I301"/>
  <c r="H301"/>
  <c r="G301"/>
  <c r="E301"/>
  <c r="D301"/>
  <c r="F301" s="1"/>
  <c r="K300"/>
  <c r="F300"/>
  <c r="N299"/>
  <c r="O298" s="1"/>
  <c r="M299"/>
  <c r="L299"/>
  <c r="J299"/>
  <c r="I299"/>
  <c r="H299"/>
  <c r="G299"/>
  <c r="E299"/>
  <c r="D299"/>
  <c r="K298"/>
  <c r="F298"/>
  <c r="N297"/>
  <c r="O296" s="1"/>
  <c r="M297"/>
  <c r="L297"/>
  <c r="J297"/>
  <c r="I297"/>
  <c r="H297"/>
  <c r="G297"/>
  <c r="E297"/>
  <c r="D297"/>
  <c r="F297" s="1"/>
  <c r="K296"/>
  <c r="F296"/>
  <c r="N295"/>
  <c r="O294" s="1"/>
  <c r="M295"/>
  <c r="L295"/>
  <c r="J295"/>
  <c r="I295"/>
  <c r="H295"/>
  <c r="G295"/>
  <c r="E295"/>
  <c r="D295"/>
  <c r="K294"/>
  <c r="F294"/>
  <c r="N293"/>
  <c r="O292" s="1"/>
  <c r="M293"/>
  <c r="L293"/>
  <c r="J293"/>
  <c r="I293"/>
  <c r="H293"/>
  <c r="G293"/>
  <c r="E293"/>
  <c r="D293"/>
  <c r="F293" s="1"/>
  <c r="K292"/>
  <c r="F292"/>
  <c r="N291"/>
  <c r="O290" s="1"/>
  <c r="M291"/>
  <c r="L291"/>
  <c r="J291"/>
  <c r="I291"/>
  <c r="H291"/>
  <c r="G291"/>
  <c r="E291"/>
  <c r="D291"/>
  <c r="K290"/>
  <c r="F290"/>
  <c r="N289"/>
  <c r="O288" s="1"/>
  <c r="M289"/>
  <c r="L289"/>
  <c r="J289"/>
  <c r="I289"/>
  <c r="H289"/>
  <c r="G289"/>
  <c r="E289"/>
  <c r="D289"/>
  <c r="F289" s="1"/>
  <c r="K288"/>
  <c r="F288"/>
  <c r="N287"/>
  <c r="O286" s="1"/>
  <c r="M287"/>
  <c r="L287"/>
  <c r="J287"/>
  <c r="I287"/>
  <c r="H287"/>
  <c r="G287"/>
  <c r="E287"/>
  <c r="D287"/>
  <c r="K286"/>
  <c r="F286"/>
  <c r="N285"/>
  <c r="M285"/>
  <c r="L285"/>
  <c r="J285"/>
  <c r="I285"/>
  <c r="H285"/>
  <c r="G285"/>
  <c r="E285"/>
  <c r="D285"/>
  <c r="F285" s="1"/>
  <c r="O284"/>
  <c r="K284"/>
  <c r="F284"/>
  <c r="N283"/>
  <c r="O282" s="1"/>
  <c r="M283"/>
  <c r="L283"/>
  <c r="J283"/>
  <c r="I283"/>
  <c r="H283"/>
  <c r="G283"/>
  <c r="E283"/>
  <c r="D283"/>
  <c r="F283" s="1"/>
  <c r="K282"/>
  <c r="F282"/>
  <c r="N281"/>
  <c r="O280" s="1"/>
  <c r="M281"/>
  <c r="L281"/>
  <c r="J281"/>
  <c r="I281"/>
  <c r="H281"/>
  <c r="G281"/>
  <c r="E281"/>
  <c r="D281"/>
  <c r="F281" s="1"/>
  <c r="K280"/>
  <c r="F280"/>
  <c r="N279"/>
  <c r="O278" s="1"/>
  <c r="M279"/>
  <c r="L279"/>
  <c r="J279"/>
  <c r="I279"/>
  <c r="H279"/>
  <c r="G279"/>
  <c r="E279"/>
  <c r="D279"/>
  <c r="K278"/>
  <c r="F278"/>
  <c r="N277"/>
  <c r="O276" s="1"/>
  <c r="M277"/>
  <c r="L277"/>
  <c r="J277"/>
  <c r="I277"/>
  <c r="H277"/>
  <c r="G277"/>
  <c r="E277"/>
  <c r="D277"/>
  <c r="F277" s="1"/>
  <c r="K276"/>
  <c r="F276"/>
  <c r="N275"/>
  <c r="O274" s="1"/>
  <c r="M275"/>
  <c r="L275"/>
  <c r="J275"/>
  <c r="I275"/>
  <c r="H275"/>
  <c r="G275"/>
  <c r="E275"/>
  <c r="D275"/>
  <c r="F275" s="1"/>
  <c r="K274"/>
  <c r="F274"/>
  <c r="N273"/>
  <c r="O272" s="1"/>
  <c r="M273"/>
  <c r="L273"/>
  <c r="J273"/>
  <c r="I273"/>
  <c r="H273"/>
  <c r="G273"/>
  <c r="E273"/>
  <c r="D273"/>
  <c r="K272"/>
  <c r="F272"/>
  <c r="N271"/>
  <c r="O270" s="1"/>
  <c r="M271"/>
  <c r="L271"/>
  <c r="J271"/>
  <c r="I271"/>
  <c r="H271"/>
  <c r="G271"/>
  <c r="E271"/>
  <c r="D271"/>
  <c r="K270"/>
  <c r="F270"/>
  <c r="N269"/>
  <c r="O268" s="1"/>
  <c r="M269"/>
  <c r="L269"/>
  <c r="J269"/>
  <c r="I269"/>
  <c r="H269"/>
  <c r="G269"/>
  <c r="E269"/>
  <c r="D269"/>
  <c r="F269" s="1"/>
  <c r="K268"/>
  <c r="F268"/>
  <c r="N267"/>
  <c r="M267"/>
  <c r="L267"/>
  <c r="J267"/>
  <c r="I267"/>
  <c r="H267"/>
  <c r="G267"/>
  <c r="E267"/>
  <c r="F267" s="1"/>
  <c r="D267"/>
  <c r="O266"/>
  <c r="K266"/>
  <c r="F266"/>
  <c r="N265"/>
  <c r="O264" s="1"/>
  <c r="M265"/>
  <c r="L265"/>
  <c r="J265"/>
  <c r="I265"/>
  <c r="H265"/>
  <c r="G265"/>
  <c r="E265"/>
  <c r="D265"/>
  <c r="F265" s="1"/>
  <c r="K264"/>
  <c r="F264"/>
  <c r="N263"/>
  <c r="O262" s="1"/>
  <c r="M263"/>
  <c r="L263"/>
  <c r="J263"/>
  <c r="I263"/>
  <c r="H263"/>
  <c r="G263"/>
  <c r="E263"/>
  <c r="D263"/>
  <c r="K262"/>
  <c r="F262"/>
  <c r="N261"/>
  <c r="O260" s="1"/>
  <c r="M261"/>
  <c r="L261"/>
  <c r="J261"/>
  <c r="I261"/>
  <c r="H261"/>
  <c r="G261"/>
  <c r="E261"/>
  <c r="D261"/>
  <c r="F261" s="1"/>
  <c r="K260"/>
  <c r="F260"/>
  <c r="N259"/>
  <c r="O258" s="1"/>
  <c r="M259"/>
  <c r="L259"/>
  <c r="J259"/>
  <c r="I259"/>
  <c r="H259"/>
  <c r="G259"/>
  <c r="K259" s="1"/>
  <c r="E259"/>
  <c r="D259"/>
  <c r="K258"/>
  <c r="F258"/>
  <c r="N257"/>
  <c r="O256" s="1"/>
  <c r="M257"/>
  <c r="L257"/>
  <c r="J257"/>
  <c r="I257"/>
  <c r="H257"/>
  <c r="G257"/>
  <c r="E257"/>
  <c r="D257"/>
  <c r="F257" s="1"/>
  <c r="K256"/>
  <c r="F256"/>
  <c r="N255"/>
  <c r="M255"/>
  <c r="L255"/>
  <c r="J255"/>
  <c r="I255"/>
  <c r="H255"/>
  <c r="G255"/>
  <c r="K255" s="1"/>
  <c r="E255"/>
  <c r="D255"/>
  <c r="F255" s="1"/>
  <c r="O254"/>
  <c r="K254"/>
  <c r="F254"/>
  <c r="N253"/>
  <c r="M253"/>
  <c r="L253"/>
  <c r="J253"/>
  <c r="I253"/>
  <c r="H253"/>
  <c r="G253"/>
  <c r="E253"/>
  <c r="D253"/>
  <c r="O252"/>
  <c r="K252"/>
  <c r="F252"/>
  <c r="N251"/>
  <c r="O250" s="1"/>
  <c r="M251"/>
  <c r="L251"/>
  <c r="J251"/>
  <c r="I251"/>
  <c r="H251"/>
  <c r="G251"/>
  <c r="E251"/>
  <c r="D251"/>
  <c r="F251" s="1"/>
  <c r="K250"/>
  <c r="F250"/>
  <c r="N249"/>
  <c r="O248" s="1"/>
  <c r="M249"/>
  <c r="L249"/>
  <c r="J249"/>
  <c r="I249"/>
  <c r="H249"/>
  <c r="G249"/>
  <c r="E249"/>
  <c r="D249"/>
  <c r="K248"/>
  <c r="F248"/>
  <c r="N247"/>
  <c r="M247"/>
  <c r="L247"/>
  <c r="J247"/>
  <c r="I247"/>
  <c r="H247"/>
  <c r="G247"/>
  <c r="E247"/>
  <c r="D247"/>
  <c r="O246"/>
  <c r="K246"/>
  <c r="F246"/>
  <c r="N245"/>
  <c r="O244" s="1"/>
  <c r="M245"/>
  <c r="L245"/>
  <c r="J245"/>
  <c r="I245"/>
  <c r="H245"/>
  <c r="G245"/>
  <c r="E245"/>
  <c r="D245"/>
  <c r="K244"/>
  <c r="F244"/>
  <c r="N243"/>
  <c r="O242" s="1"/>
  <c r="M243"/>
  <c r="L243"/>
  <c r="J243"/>
  <c r="I243"/>
  <c r="H243"/>
  <c r="G243"/>
  <c r="E243"/>
  <c r="D243"/>
  <c r="K242"/>
  <c r="F242"/>
  <c r="N241"/>
  <c r="O240" s="1"/>
  <c r="M241"/>
  <c r="L241"/>
  <c r="J241"/>
  <c r="I241"/>
  <c r="H241"/>
  <c r="G241"/>
  <c r="E241"/>
  <c r="D241"/>
  <c r="F241" s="1"/>
  <c r="K240"/>
  <c r="F240"/>
  <c r="N239"/>
  <c r="O238" s="1"/>
  <c r="M239"/>
  <c r="L239"/>
  <c r="J239"/>
  <c r="I239"/>
  <c r="H239"/>
  <c r="G239"/>
  <c r="E239"/>
  <c r="D239"/>
  <c r="K238"/>
  <c r="F238"/>
  <c r="N237"/>
  <c r="M237"/>
  <c r="L237"/>
  <c r="J237"/>
  <c r="I237"/>
  <c r="H237"/>
  <c r="G237"/>
  <c r="E237"/>
  <c r="D237"/>
  <c r="F237" s="1"/>
  <c r="O236"/>
  <c r="K236"/>
  <c r="F236"/>
  <c r="N235"/>
  <c r="M235"/>
  <c r="L235"/>
  <c r="J235"/>
  <c r="I235"/>
  <c r="H235"/>
  <c r="G235"/>
  <c r="E235"/>
  <c r="D235"/>
  <c r="O234"/>
  <c r="K234"/>
  <c r="F234"/>
  <c r="N233"/>
  <c r="O232" s="1"/>
  <c r="M233"/>
  <c r="L233"/>
  <c r="J233"/>
  <c r="I233"/>
  <c r="H233"/>
  <c r="G233"/>
  <c r="E233"/>
  <c r="D233"/>
  <c r="F233" s="1"/>
  <c r="K232"/>
  <c r="F232"/>
  <c r="N231"/>
  <c r="O230" s="1"/>
  <c r="M231"/>
  <c r="L231"/>
  <c r="J231"/>
  <c r="I231"/>
  <c r="H231"/>
  <c r="G231"/>
  <c r="E231"/>
  <c r="D231"/>
  <c r="K230"/>
  <c r="F230"/>
  <c r="N229"/>
  <c r="O228" s="1"/>
  <c r="M229"/>
  <c r="L229"/>
  <c r="J229"/>
  <c r="I229"/>
  <c r="H229"/>
  <c r="G229"/>
  <c r="E229"/>
  <c r="D229"/>
  <c r="F229" s="1"/>
  <c r="K228"/>
  <c r="F228"/>
  <c r="N227"/>
  <c r="O226" s="1"/>
  <c r="M227"/>
  <c r="L227"/>
  <c r="J227"/>
  <c r="I227"/>
  <c r="H227"/>
  <c r="G227"/>
  <c r="K227" s="1"/>
  <c r="E227"/>
  <c r="D227"/>
  <c r="K226"/>
  <c r="F226"/>
  <c r="N225"/>
  <c r="O224" s="1"/>
  <c r="M225"/>
  <c r="L225"/>
  <c r="J225"/>
  <c r="I225"/>
  <c r="H225"/>
  <c r="G225"/>
  <c r="E225"/>
  <c r="D225"/>
  <c r="K224"/>
  <c r="F224"/>
  <c r="N223"/>
  <c r="M223"/>
  <c r="L223"/>
  <c r="J223"/>
  <c r="I223"/>
  <c r="H223"/>
  <c r="G223"/>
  <c r="E223"/>
  <c r="D223"/>
  <c r="F223" s="1"/>
  <c r="O222"/>
  <c r="K222"/>
  <c r="F222"/>
  <c r="N221"/>
  <c r="M221"/>
  <c r="L221"/>
  <c r="J221"/>
  <c r="I221"/>
  <c r="H221"/>
  <c r="G221"/>
  <c r="E221"/>
  <c r="D221"/>
  <c r="O220"/>
  <c r="K220"/>
  <c r="F220"/>
  <c r="N219"/>
  <c r="O218" s="1"/>
  <c r="M219"/>
  <c r="L219"/>
  <c r="J219"/>
  <c r="I219"/>
  <c r="H219"/>
  <c r="G219"/>
  <c r="E219"/>
  <c r="D219"/>
  <c r="F219" s="1"/>
  <c r="K218"/>
  <c r="F218"/>
  <c r="N217"/>
  <c r="O216" s="1"/>
  <c r="M217"/>
  <c r="L217"/>
  <c r="J217"/>
  <c r="I217"/>
  <c r="H217"/>
  <c r="G217"/>
  <c r="E217"/>
  <c r="F217" s="1"/>
  <c r="D217"/>
  <c r="K216"/>
  <c r="F216"/>
  <c r="N215"/>
  <c r="M215"/>
  <c r="L215"/>
  <c r="J215"/>
  <c r="I215"/>
  <c r="H215"/>
  <c r="G215"/>
  <c r="E215"/>
  <c r="D215"/>
  <c r="O214"/>
  <c r="K214"/>
  <c r="F214"/>
  <c r="N213"/>
  <c r="O212" s="1"/>
  <c r="M213"/>
  <c r="L213"/>
  <c r="J213"/>
  <c r="I213"/>
  <c r="H213"/>
  <c r="G213"/>
  <c r="E213"/>
  <c r="F213" s="1"/>
  <c r="D213"/>
  <c r="K212"/>
  <c r="F212"/>
  <c r="N211"/>
  <c r="M211"/>
  <c r="L211"/>
  <c r="J211"/>
  <c r="K211" s="1"/>
  <c r="I211"/>
  <c r="H211"/>
  <c r="G211"/>
  <c r="E211"/>
  <c r="D211"/>
  <c r="F211" s="1"/>
  <c r="O210"/>
  <c r="K210"/>
  <c r="F210"/>
  <c r="N209"/>
  <c r="O208" s="1"/>
  <c r="M209"/>
  <c r="L209"/>
  <c r="J209"/>
  <c r="I209"/>
  <c r="H209"/>
  <c r="G209"/>
  <c r="E209"/>
  <c r="D209"/>
  <c r="K208"/>
  <c r="F208"/>
  <c r="N207"/>
  <c r="M207"/>
  <c r="L207"/>
  <c r="J207"/>
  <c r="I207"/>
  <c r="H207"/>
  <c r="G207"/>
  <c r="E207"/>
  <c r="D207"/>
  <c r="O206"/>
  <c r="K206"/>
  <c r="F206"/>
  <c r="N205"/>
  <c r="O204" s="1"/>
  <c r="M205"/>
  <c r="L205"/>
  <c r="J205"/>
  <c r="I205"/>
  <c r="H205"/>
  <c r="G205"/>
  <c r="E205"/>
  <c r="D205"/>
  <c r="F205" s="1"/>
  <c r="K204"/>
  <c r="F204"/>
  <c r="N203"/>
  <c r="O202" s="1"/>
  <c r="M203"/>
  <c r="L203"/>
  <c r="J203"/>
  <c r="I203"/>
  <c r="H203"/>
  <c r="G203"/>
  <c r="E203"/>
  <c r="D203"/>
  <c r="F203" s="1"/>
  <c r="K202"/>
  <c r="F202"/>
  <c r="N201"/>
  <c r="O200" s="1"/>
  <c r="M201"/>
  <c r="L201"/>
  <c r="J201"/>
  <c r="I201"/>
  <c r="H201"/>
  <c r="G201"/>
  <c r="E201"/>
  <c r="F201" s="1"/>
  <c r="D201"/>
  <c r="K200"/>
  <c r="F200"/>
  <c r="N199"/>
  <c r="O198" s="1"/>
  <c r="M199"/>
  <c r="L199"/>
  <c r="J199"/>
  <c r="I199"/>
  <c r="H199"/>
  <c r="G199"/>
  <c r="E199"/>
  <c r="D199"/>
  <c r="F199" s="1"/>
  <c r="K198"/>
  <c r="F198"/>
  <c r="N197"/>
  <c r="O196" s="1"/>
  <c r="M197"/>
  <c r="L197"/>
  <c r="J197"/>
  <c r="I197"/>
  <c r="H197"/>
  <c r="G197"/>
  <c r="E197"/>
  <c r="D197"/>
  <c r="F197" s="1"/>
  <c r="K196"/>
  <c r="F196"/>
  <c r="N195"/>
  <c r="O194" s="1"/>
  <c r="M195"/>
  <c r="L195"/>
  <c r="J195"/>
  <c r="I195"/>
  <c r="H195"/>
  <c r="G195"/>
  <c r="K195" s="1"/>
  <c r="E195"/>
  <c r="F195" s="1"/>
  <c r="D195"/>
  <c r="K194"/>
  <c r="F194"/>
  <c r="N193"/>
  <c r="O192" s="1"/>
  <c r="M193"/>
  <c r="L193"/>
  <c r="J193"/>
  <c r="I193"/>
  <c r="H193"/>
  <c r="G193"/>
  <c r="E193"/>
  <c r="D193"/>
  <c r="K192"/>
  <c r="F192"/>
  <c r="N191"/>
  <c r="O190" s="1"/>
  <c r="M191"/>
  <c r="L191"/>
  <c r="J191"/>
  <c r="I191"/>
  <c r="H191"/>
  <c r="G191"/>
  <c r="E191"/>
  <c r="D191"/>
  <c r="F191" s="1"/>
  <c r="K190"/>
  <c r="F190"/>
  <c r="N189"/>
  <c r="O188" s="1"/>
  <c r="M189"/>
  <c r="L189"/>
  <c r="J189"/>
  <c r="I189"/>
  <c r="H189"/>
  <c r="G189"/>
  <c r="E189"/>
  <c r="D189"/>
  <c r="F189" s="1"/>
  <c r="K188"/>
  <c r="F188"/>
  <c r="N187"/>
  <c r="M187"/>
  <c r="L187"/>
  <c r="J187"/>
  <c r="I187"/>
  <c r="H187"/>
  <c r="G187"/>
  <c r="E187"/>
  <c r="D187"/>
  <c r="F187" s="1"/>
  <c r="O186"/>
  <c r="K186"/>
  <c r="F186"/>
  <c r="N185"/>
  <c r="O184" s="1"/>
  <c r="M185"/>
  <c r="L185"/>
  <c r="J185"/>
  <c r="I185"/>
  <c r="H185"/>
  <c r="G185"/>
  <c r="E185"/>
  <c r="D185"/>
  <c r="F185" s="1"/>
  <c r="K184"/>
  <c r="F184"/>
  <c r="N183"/>
  <c r="M183"/>
  <c r="L183"/>
  <c r="J183"/>
  <c r="I183"/>
  <c r="H183"/>
  <c r="G183"/>
  <c r="E183"/>
  <c r="D183"/>
  <c r="O182"/>
  <c r="K182"/>
  <c r="F182"/>
  <c r="N181"/>
  <c r="O180" s="1"/>
  <c r="M181"/>
  <c r="L181"/>
  <c r="J181"/>
  <c r="I181"/>
  <c r="H181"/>
  <c r="G181"/>
  <c r="E181"/>
  <c r="D181"/>
  <c r="K180"/>
  <c r="F180"/>
  <c r="N179"/>
  <c r="O178" s="1"/>
  <c r="M179"/>
  <c r="L179"/>
  <c r="J179"/>
  <c r="I179"/>
  <c r="H179"/>
  <c r="G179"/>
  <c r="E179"/>
  <c r="D179"/>
  <c r="F179" s="1"/>
  <c r="K178"/>
  <c r="F178"/>
  <c r="N177"/>
  <c r="O176" s="1"/>
  <c r="M177"/>
  <c r="L177"/>
  <c r="J177"/>
  <c r="I177"/>
  <c r="H177"/>
  <c r="G177"/>
  <c r="F177"/>
  <c r="E177"/>
  <c r="D177"/>
  <c r="K176"/>
  <c r="F176"/>
  <c r="N175"/>
  <c r="M175"/>
  <c r="L175"/>
  <c r="J175"/>
  <c r="I175"/>
  <c r="H175"/>
  <c r="G175"/>
  <c r="E175"/>
  <c r="D175"/>
  <c r="F175" s="1"/>
  <c r="O174"/>
  <c r="K174"/>
  <c r="F174"/>
  <c r="N173"/>
  <c r="O172" s="1"/>
  <c r="M173"/>
  <c r="L173"/>
  <c r="J173"/>
  <c r="I173"/>
  <c r="H173"/>
  <c r="G173"/>
  <c r="E173"/>
  <c r="D173"/>
  <c r="K172"/>
  <c r="F172"/>
  <c r="N171"/>
  <c r="O170" s="1"/>
  <c r="M171"/>
  <c r="L171"/>
  <c r="J171"/>
  <c r="I171"/>
  <c r="H171"/>
  <c r="G171"/>
  <c r="E171"/>
  <c r="D171"/>
  <c r="F171" s="1"/>
  <c r="K170"/>
  <c r="F170"/>
  <c r="N169"/>
  <c r="O168" s="1"/>
  <c r="M169"/>
  <c r="L169"/>
  <c r="J169"/>
  <c r="I169"/>
  <c r="H169"/>
  <c r="G169"/>
  <c r="E169"/>
  <c r="D169"/>
  <c r="K168"/>
  <c r="F168"/>
  <c r="N167"/>
  <c r="O166" s="1"/>
  <c r="M167"/>
  <c r="L167"/>
  <c r="J167"/>
  <c r="I167"/>
  <c r="H167"/>
  <c r="G167"/>
  <c r="E167"/>
  <c r="D167"/>
  <c r="K166"/>
  <c r="F166"/>
  <c r="N165"/>
  <c r="O164" s="1"/>
  <c r="M165"/>
  <c r="L165"/>
  <c r="J165"/>
  <c r="I165"/>
  <c r="H165"/>
  <c r="G165"/>
  <c r="E165"/>
  <c r="D165"/>
  <c r="F165" s="1"/>
  <c r="K164"/>
  <c r="F164"/>
  <c r="N163"/>
  <c r="O162" s="1"/>
  <c r="M163"/>
  <c r="L163"/>
  <c r="J163"/>
  <c r="I163"/>
  <c r="H163"/>
  <c r="G163"/>
  <c r="K163" s="1"/>
  <c r="E163"/>
  <c r="D163"/>
  <c r="K162"/>
  <c r="F162"/>
  <c r="N161"/>
  <c r="O160" s="1"/>
  <c r="M161"/>
  <c r="L161"/>
  <c r="J161"/>
  <c r="I161"/>
  <c r="H161"/>
  <c r="G161"/>
  <c r="E161"/>
  <c r="D161"/>
  <c r="F161" s="1"/>
  <c r="K160"/>
  <c r="F160"/>
  <c r="N159"/>
  <c r="O158" s="1"/>
  <c r="M159"/>
  <c r="L159"/>
  <c r="J159"/>
  <c r="I159"/>
  <c r="H159"/>
  <c r="G159"/>
  <c r="E159"/>
  <c r="D159"/>
  <c r="K158"/>
  <c r="F158"/>
  <c r="N157"/>
  <c r="M157"/>
  <c r="L157"/>
  <c r="J157"/>
  <c r="I157"/>
  <c r="H157"/>
  <c r="G157"/>
  <c r="E157"/>
  <c r="D157"/>
  <c r="F157" s="1"/>
  <c r="O156"/>
  <c r="K156"/>
  <c r="F156"/>
  <c r="N155"/>
  <c r="O154" s="1"/>
  <c r="M155"/>
  <c r="L155"/>
  <c r="J155"/>
  <c r="I155"/>
  <c r="H155"/>
  <c r="G155"/>
  <c r="E155"/>
  <c r="D155"/>
  <c r="K154"/>
  <c r="F154"/>
  <c r="N153"/>
  <c r="O152" s="1"/>
  <c r="M153"/>
  <c r="L153"/>
  <c r="J153"/>
  <c r="I153"/>
  <c r="H153"/>
  <c r="G153"/>
  <c r="E153"/>
  <c r="D153"/>
  <c r="K152"/>
  <c r="F152"/>
  <c r="N151"/>
  <c r="M151"/>
  <c r="L151"/>
  <c r="J151"/>
  <c r="I151"/>
  <c r="H151"/>
  <c r="G151"/>
  <c r="E151"/>
  <c r="D151"/>
  <c r="O150"/>
  <c r="K150"/>
  <c r="F150"/>
  <c r="N149"/>
  <c r="O148" s="1"/>
  <c r="M149"/>
  <c r="L149"/>
  <c r="J149"/>
  <c r="I149"/>
  <c r="H149"/>
  <c r="G149"/>
  <c r="E149"/>
  <c r="D149"/>
  <c r="K148"/>
  <c r="F148"/>
  <c r="N147"/>
  <c r="O146" s="1"/>
  <c r="M147"/>
  <c r="L147"/>
  <c r="J147"/>
  <c r="I147"/>
  <c r="H147"/>
  <c r="G147"/>
  <c r="E147"/>
  <c r="D147"/>
  <c r="K146"/>
  <c r="F146"/>
  <c r="N145"/>
  <c r="O144" s="1"/>
  <c r="M145"/>
  <c r="L145"/>
  <c r="J145"/>
  <c r="I145"/>
  <c r="H145"/>
  <c r="G145"/>
  <c r="E145"/>
  <c r="D145"/>
  <c r="F145" s="1"/>
  <c r="K144"/>
  <c r="F144"/>
  <c r="N143"/>
  <c r="M143"/>
  <c r="L143"/>
  <c r="J143"/>
  <c r="I143"/>
  <c r="H143"/>
  <c r="G143"/>
  <c r="E143"/>
  <c r="D143"/>
  <c r="O142"/>
  <c r="K142"/>
  <c r="F142"/>
  <c r="N141"/>
  <c r="O140" s="1"/>
  <c r="M141"/>
  <c r="L141"/>
  <c r="J141"/>
  <c r="I141"/>
  <c r="H141"/>
  <c r="G141"/>
  <c r="E141"/>
  <c r="D141"/>
  <c r="F141" s="1"/>
  <c r="K140"/>
  <c r="F140"/>
  <c r="N139"/>
  <c r="O138" s="1"/>
  <c r="M139"/>
  <c r="L139"/>
  <c r="J139"/>
  <c r="I139"/>
  <c r="H139"/>
  <c r="G139"/>
  <c r="K139" s="1"/>
  <c r="E139"/>
  <c r="D139"/>
  <c r="K138"/>
  <c r="F138"/>
  <c r="N137"/>
  <c r="O136" s="1"/>
  <c r="M137"/>
  <c r="L137"/>
  <c r="J137"/>
  <c r="I137"/>
  <c r="H137"/>
  <c r="G137"/>
  <c r="E137"/>
  <c r="D137"/>
  <c r="F137" s="1"/>
  <c r="K136"/>
  <c r="F136"/>
  <c r="N135"/>
  <c r="O134" s="1"/>
  <c r="M135"/>
  <c r="L135"/>
  <c r="J135"/>
  <c r="I135"/>
  <c r="H135"/>
  <c r="G135"/>
  <c r="E135"/>
  <c r="D135"/>
  <c r="K134"/>
  <c r="F134"/>
  <c r="N133"/>
  <c r="O132" s="1"/>
  <c r="M133"/>
  <c r="L133"/>
  <c r="J133"/>
  <c r="I133"/>
  <c r="H133"/>
  <c r="G133"/>
  <c r="E133"/>
  <c r="D133"/>
  <c r="F133" s="1"/>
  <c r="K132"/>
  <c r="F132"/>
  <c r="N131"/>
  <c r="M131"/>
  <c r="L131"/>
  <c r="J131"/>
  <c r="I131"/>
  <c r="H131"/>
  <c r="G131"/>
  <c r="E131"/>
  <c r="D131"/>
  <c r="O130"/>
  <c r="K130"/>
  <c r="F130"/>
  <c r="N129"/>
  <c r="O128" s="1"/>
  <c r="M129"/>
  <c r="L129"/>
  <c r="J129"/>
  <c r="I129"/>
  <c r="H129"/>
  <c r="G129"/>
  <c r="E129"/>
  <c r="D129"/>
  <c r="K128"/>
  <c r="F128"/>
  <c r="N127"/>
  <c r="M127"/>
  <c r="L127"/>
  <c r="J127"/>
  <c r="I127"/>
  <c r="H127"/>
  <c r="G127"/>
  <c r="E127"/>
  <c r="D127"/>
  <c r="F127" s="1"/>
  <c r="O126"/>
  <c r="K126"/>
  <c r="F126"/>
  <c r="N125"/>
  <c r="O124" s="1"/>
  <c r="M125"/>
  <c r="L125"/>
  <c r="J125"/>
  <c r="I125"/>
  <c r="H125"/>
  <c r="G125"/>
  <c r="E125"/>
  <c r="D125"/>
  <c r="K124"/>
  <c r="F124"/>
  <c r="N123"/>
  <c r="O122" s="1"/>
  <c r="M123"/>
  <c r="L123"/>
  <c r="J123"/>
  <c r="I123"/>
  <c r="H123"/>
  <c r="G123"/>
  <c r="E123"/>
  <c r="D123"/>
  <c r="F123" s="1"/>
  <c r="K122"/>
  <c r="F122"/>
  <c r="N121"/>
  <c r="O120" s="1"/>
  <c r="M121"/>
  <c r="L121"/>
  <c r="J121"/>
  <c r="I121"/>
  <c r="H121"/>
  <c r="G121"/>
  <c r="E121"/>
  <c r="D121"/>
  <c r="F121" s="1"/>
  <c r="K120"/>
  <c r="F120"/>
  <c r="N119"/>
  <c r="M119"/>
  <c r="L119"/>
  <c r="J119"/>
  <c r="I119"/>
  <c r="H119"/>
  <c r="G119"/>
  <c r="E119"/>
  <c r="D119"/>
  <c r="F119" s="1"/>
  <c r="O118"/>
  <c r="K118"/>
  <c r="F118"/>
  <c r="N117"/>
  <c r="O116" s="1"/>
  <c r="M117"/>
  <c r="L117"/>
  <c r="J117"/>
  <c r="I117"/>
  <c r="H117"/>
  <c r="G117"/>
  <c r="E117"/>
  <c r="D117"/>
  <c r="F117" s="1"/>
  <c r="K116"/>
  <c r="F116"/>
  <c r="N115"/>
  <c r="O114" s="1"/>
  <c r="M115"/>
  <c r="L115"/>
  <c r="J115"/>
  <c r="I115"/>
  <c r="H115"/>
  <c r="G115"/>
  <c r="E115"/>
  <c r="D115"/>
  <c r="F115" s="1"/>
  <c r="K114"/>
  <c r="F114"/>
  <c r="N113"/>
  <c r="O112" s="1"/>
  <c r="M113"/>
  <c r="L113"/>
  <c r="J113"/>
  <c r="I113"/>
  <c r="H113"/>
  <c r="G113"/>
  <c r="E113"/>
  <c r="D113"/>
  <c r="K112"/>
  <c r="F112"/>
  <c r="N111"/>
  <c r="M111"/>
  <c r="L111"/>
  <c r="J111"/>
  <c r="I111"/>
  <c r="H111"/>
  <c r="G111"/>
  <c r="K111" s="1"/>
  <c r="E111"/>
  <c r="D111"/>
  <c r="O110"/>
  <c r="K110"/>
  <c r="F110"/>
  <c r="N109"/>
  <c r="M109"/>
  <c r="L109"/>
  <c r="J109"/>
  <c r="I109"/>
  <c r="H109"/>
  <c r="G109"/>
  <c r="E109"/>
  <c r="D109"/>
  <c r="O108"/>
  <c r="K108"/>
  <c r="F108"/>
  <c r="N107"/>
  <c r="O106" s="1"/>
  <c r="M107"/>
  <c r="L107"/>
  <c r="J107"/>
  <c r="I107"/>
  <c r="H107"/>
  <c r="G107"/>
  <c r="E107"/>
  <c r="F107" s="1"/>
  <c r="D107"/>
  <c r="K106"/>
  <c r="F106"/>
  <c r="N104"/>
  <c r="M104"/>
  <c r="L104"/>
  <c r="J104"/>
  <c r="I104"/>
  <c r="H104"/>
  <c r="G104"/>
  <c r="E104"/>
  <c r="D104"/>
  <c r="N102"/>
  <c r="M102"/>
  <c r="L102"/>
  <c r="J102"/>
  <c r="I102"/>
  <c r="H102"/>
  <c r="G102"/>
  <c r="K102" s="1"/>
  <c r="E102"/>
  <c r="D102"/>
  <c r="D2494" s="1"/>
  <c r="N100"/>
  <c r="M100"/>
  <c r="L100"/>
  <c r="J100"/>
  <c r="I100"/>
  <c r="H100"/>
  <c r="G100"/>
  <c r="F100"/>
  <c r="E100"/>
  <c r="D100"/>
  <c r="N98"/>
  <c r="M98"/>
  <c r="L98"/>
  <c r="J98"/>
  <c r="I98"/>
  <c r="H98"/>
  <c r="H2490" s="1"/>
  <c r="G98"/>
  <c r="E98"/>
  <c r="D98"/>
  <c r="N97"/>
  <c r="O96" s="1"/>
  <c r="M97"/>
  <c r="L97"/>
  <c r="J97"/>
  <c r="I97"/>
  <c r="H97"/>
  <c r="G97"/>
  <c r="E97"/>
  <c r="D97"/>
  <c r="F97" s="1"/>
  <c r="K96"/>
  <c r="F96"/>
  <c r="N95"/>
  <c r="M95"/>
  <c r="L95"/>
  <c r="J95"/>
  <c r="I95"/>
  <c r="H95"/>
  <c r="G95"/>
  <c r="E95"/>
  <c r="D95"/>
  <c r="O94"/>
  <c r="K94"/>
  <c r="F94"/>
  <c r="N93"/>
  <c r="O92" s="1"/>
  <c r="M93"/>
  <c r="L93"/>
  <c r="J93"/>
  <c r="I93"/>
  <c r="H93"/>
  <c r="G93"/>
  <c r="E93"/>
  <c r="D93"/>
  <c r="F93" s="1"/>
  <c r="K92"/>
  <c r="F92"/>
  <c r="N91"/>
  <c r="O90" s="1"/>
  <c r="M91"/>
  <c r="L91"/>
  <c r="J91"/>
  <c r="I91"/>
  <c r="H91"/>
  <c r="G91"/>
  <c r="E91"/>
  <c r="D91"/>
  <c r="K90"/>
  <c r="F90"/>
  <c r="N89"/>
  <c r="O88" s="1"/>
  <c r="M89"/>
  <c r="L89"/>
  <c r="J89"/>
  <c r="I89"/>
  <c r="H89"/>
  <c r="G89"/>
  <c r="E89"/>
  <c r="D89"/>
  <c r="K88"/>
  <c r="F88"/>
  <c r="N87"/>
  <c r="O86" s="1"/>
  <c r="M87"/>
  <c r="L87"/>
  <c r="J87"/>
  <c r="I87"/>
  <c r="H87"/>
  <c r="G87"/>
  <c r="E87"/>
  <c r="F87" s="1"/>
  <c r="D87"/>
  <c r="K86"/>
  <c r="F86"/>
  <c r="N85"/>
  <c r="M85"/>
  <c r="L85"/>
  <c r="J85"/>
  <c r="I85"/>
  <c r="H85"/>
  <c r="G85"/>
  <c r="E85"/>
  <c r="D85"/>
  <c r="F85" s="1"/>
  <c r="O84"/>
  <c r="K84"/>
  <c r="F84"/>
  <c r="N83"/>
  <c r="O82" s="1"/>
  <c r="M83"/>
  <c r="L83"/>
  <c r="J83"/>
  <c r="I83"/>
  <c r="H83"/>
  <c r="G83"/>
  <c r="E83"/>
  <c r="D83"/>
  <c r="K82"/>
  <c r="F82"/>
  <c r="N81"/>
  <c r="M81"/>
  <c r="L81"/>
  <c r="J81"/>
  <c r="I81"/>
  <c r="H81"/>
  <c r="G81"/>
  <c r="E81"/>
  <c r="D81"/>
  <c r="O80"/>
  <c r="K80"/>
  <c r="F80"/>
  <c r="N79"/>
  <c r="O78" s="1"/>
  <c r="M79"/>
  <c r="L79"/>
  <c r="J79"/>
  <c r="I79"/>
  <c r="H79"/>
  <c r="G79"/>
  <c r="E79"/>
  <c r="D79"/>
  <c r="K78"/>
  <c r="F78"/>
  <c r="N77"/>
  <c r="O76" s="1"/>
  <c r="M77"/>
  <c r="L77"/>
  <c r="J77"/>
  <c r="I77"/>
  <c r="H77"/>
  <c r="G77"/>
  <c r="K77" s="1"/>
  <c r="E77"/>
  <c r="F77" s="1"/>
  <c r="D77"/>
  <c r="K76"/>
  <c r="F76"/>
  <c r="N75"/>
  <c r="O74" s="1"/>
  <c r="M75"/>
  <c r="L75"/>
  <c r="J75"/>
  <c r="I75"/>
  <c r="H75"/>
  <c r="G75"/>
  <c r="E75"/>
  <c r="D75"/>
  <c r="K74"/>
  <c r="F74"/>
  <c r="N73"/>
  <c r="O72" s="1"/>
  <c r="M73"/>
  <c r="L73"/>
  <c r="J73"/>
  <c r="I73"/>
  <c r="H73"/>
  <c r="G73"/>
  <c r="E73"/>
  <c r="D73"/>
  <c r="F73" s="1"/>
  <c r="K72"/>
  <c r="F72"/>
  <c r="N71"/>
  <c r="O70" s="1"/>
  <c r="M71"/>
  <c r="L71"/>
  <c r="J71"/>
  <c r="I71"/>
  <c r="H71"/>
  <c r="G71"/>
  <c r="E71"/>
  <c r="F71" s="1"/>
  <c r="D71"/>
  <c r="K70"/>
  <c r="F70"/>
  <c r="N69"/>
  <c r="O68" s="1"/>
  <c r="M69"/>
  <c r="L69"/>
  <c r="J69"/>
  <c r="I69"/>
  <c r="H69"/>
  <c r="G69"/>
  <c r="E69"/>
  <c r="D69"/>
  <c r="K68"/>
  <c r="F68"/>
  <c r="N67"/>
  <c r="O66" s="1"/>
  <c r="M67"/>
  <c r="L67"/>
  <c r="J67"/>
  <c r="I67"/>
  <c r="H67"/>
  <c r="G67"/>
  <c r="E67"/>
  <c r="F67" s="1"/>
  <c r="D67"/>
  <c r="K66"/>
  <c r="F66"/>
  <c r="N65"/>
  <c r="O64" s="1"/>
  <c r="M65"/>
  <c r="L65"/>
  <c r="J65"/>
  <c r="I65"/>
  <c r="H65"/>
  <c r="G65"/>
  <c r="E65"/>
  <c r="D65"/>
  <c r="F65" s="1"/>
  <c r="K64"/>
  <c r="F64"/>
  <c r="N63"/>
  <c r="O62" s="1"/>
  <c r="M63"/>
  <c r="L63"/>
  <c r="J63"/>
  <c r="I63"/>
  <c r="H63"/>
  <c r="G63"/>
  <c r="E63"/>
  <c r="D63"/>
  <c r="F63" s="1"/>
  <c r="K62"/>
  <c r="F62"/>
  <c r="N61"/>
  <c r="O60" s="1"/>
  <c r="M61"/>
  <c r="L61"/>
  <c r="J61"/>
  <c r="I61"/>
  <c r="H61"/>
  <c r="G61"/>
  <c r="E61"/>
  <c r="D61"/>
  <c r="K60"/>
  <c r="F60"/>
  <c r="N59"/>
  <c r="O58" s="1"/>
  <c r="M59"/>
  <c r="L59"/>
  <c r="J59"/>
  <c r="I59"/>
  <c r="H59"/>
  <c r="G59"/>
  <c r="E59"/>
  <c r="D59"/>
  <c r="F59" s="1"/>
  <c r="K58"/>
  <c r="F58"/>
  <c r="N57"/>
  <c r="O56" s="1"/>
  <c r="M57"/>
  <c r="L57"/>
  <c r="J57"/>
  <c r="I57"/>
  <c r="H57"/>
  <c r="G57"/>
  <c r="E57"/>
  <c r="D57"/>
  <c r="F57" s="1"/>
  <c r="K56"/>
  <c r="F56"/>
  <c r="N55"/>
  <c r="O54" s="1"/>
  <c r="M55"/>
  <c r="L55"/>
  <c r="J55"/>
  <c r="I55"/>
  <c r="H55"/>
  <c r="G55"/>
  <c r="E55"/>
  <c r="D55"/>
  <c r="K54"/>
  <c r="F54"/>
  <c r="N53"/>
  <c r="M53"/>
  <c r="L53"/>
  <c r="J53"/>
  <c r="I53"/>
  <c r="H53"/>
  <c r="G53"/>
  <c r="E53"/>
  <c r="D53"/>
  <c r="F53" s="1"/>
  <c r="O52"/>
  <c r="K52"/>
  <c r="F52"/>
  <c r="N51"/>
  <c r="M51"/>
  <c r="L51"/>
  <c r="J51"/>
  <c r="I51"/>
  <c r="H51"/>
  <c r="G51"/>
  <c r="K51" s="1"/>
  <c r="E51"/>
  <c r="D51"/>
  <c r="F51" s="1"/>
  <c r="O50"/>
  <c r="K50"/>
  <c r="F50"/>
  <c r="N49"/>
  <c r="O48" s="1"/>
  <c r="M49"/>
  <c r="L49"/>
  <c r="J49"/>
  <c r="I49"/>
  <c r="H49"/>
  <c r="G49"/>
  <c r="E49"/>
  <c r="D49"/>
  <c r="K48"/>
  <c r="F48"/>
  <c r="N47"/>
  <c r="O46" s="1"/>
  <c r="M47"/>
  <c r="L47"/>
  <c r="J47"/>
  <c r="I47"/>
  <c r="H47"/>
  <c r="G47"/>
  <c r="E47"/>
  <c r="D47"/>
  <c r="K46"/>
  <c r="F46"/>
  <c r="N45"/>
  <c r="O44" s="1"/>
  <c r="M45"/>
  <c r="L45"/>
  <c r="J45"/>
  <c r="I45"/>
  <c r="H45"/>
  <c r="G45"/>
  <c r="E45"/>
  <c r="D45"/>
  <c r="F45" s="1"/>
  <c r="K44"/>
  <c r="F44"/>
  <c r="N43"/>
  <c r="O42" s="1"/>
  <c r="M43"/>
  <c r="L43"/>
  <c r="J43"/>
  <c r="I43"/>
  <c r="H43"/>
  <c r="G43"/>
  <c r="E43"/>
  <c r="D43"/>
  <c r="F43" s="1"/>
  <c r="K42"/>
  <c r="F42"/>
  <c r="N41"/>
  <c r="O40" s="1"/>
  <c r="M41"/>
  <c r="L41"/>
  <c r="J41"/>
  <c r="I41"/>
  <c r="H41"/>
  <c r="G41"/>
  <c r="K41" s="1"/>
  <c r="E41"/>
  <c r="D41"/>
  <c r="K40"/>
  <c r="F40"/>
  <c r="N39"/>
  <c r="O38" s="1"/>
  <c r="M39"/>
  <c r="L39"/>
  <c r="J39"/>
  <c r="I39"/>
  <c r="H39"/>
  <c r="G39"/>
  <c r="E39"/>
  <c r="D39"/>
  <c r="K38"/>
  <c r="F38"/>
  <c r="N37"/>
  <c r="O36" s="1"/>
  <c r="M37"/>
  <c r="L37"/>
  <c r="J37"/>
  <c r="I37"/>
  <c r="H37"/>
  <c r="G37"/>
  <c r="E37"/>
  <c r="D37"/>
  <c r="K36"/>
  <c r="F36"/>
  <c r="N35"/>
  <c r="M35"/>
  <c r="L35"/>
  <c r="J35"/>
  <c r="I35"/>
  <c r="H35"/>
  <c r="G35"/>
  <c r="E35"/>
  <c r="D35"/>
  <c r="F35" s="1"/>
  <c r="O34"/>
  <c r="K34"/>
  <c r="F34"/>
  <c r="N33"/>
  <c r="O32" s="1"/>
  <c r="M33"/>
  <c r="L33"/>
  <c r="J33"/>
  <c r="I33"/>
  <c r="H33"/>
  <c r="G33"/>
  <c r="K33" s="1"/>
  <c r="E33"/>
  <c r="D33"/>
  <c r="K32"/>
  <c r="F32"/>
  <c r="N31"/>
  <c r="O30" s="1"/>
  <c r="M31"/>
  <c r="L31"/>
  <c r="J31"/>
  <c r="I31"/>
  <c r="H31"/>
  <c r="G31"/>
  <c r="E31"/>
  <c r="D31"/>
  <c r="K30"/>
  <c r="F30"/>
  <c r="N29"/>
  <c r="O28" s="1"/>
  <c r="M29"/>
  <c r="L29"/>
  <c r="J29"/>
  <c r="I29"/>
  <c r="H29"/>
  <c r="G29"/>
  <c r="K29" s="1"/>
  <c r="E29"/>
  <c r="D29"/>
  <c r="F29" s="1"/>
  <c r="K28"/>
  <c r="F28"/>
  <c r="N27"/>
  <c r="O26" s="1"/>
  <c r="M27"/>
  <c r="L27"/>
  <c r="J27"/>
  <c r="I27"/>
  <c r="H27"/>
  <c r="G27"/>
  <c r="E27"/>
  <c r="D27"/>
  <c r="K26"/>
  <c r="F26"/>
  <c r="N25"/>
  <c r="O24" s="1"/>
  <c r="M25"/>
  <c r="L25"/>
  <c r="J25"/>
  <c r="I25"/>
  <c r="H25"/>
  <c r="G25"/>
  <c r="E25"/>
  <c r="D25"/>
  <c r="K24"/>
  <c r="F24"/>
  <c r="N23"/>
  <c r="O22" s="1"/>
  <c r="M23"/>
  <c r="L23"/>
  <c r="J23"/>
  <c r="I23"/>
  <c r="H23"/>
  <c r="G23"/>
  <c r="E23"/>
  <c r="D23"/>
  <c r="K22"/>
  <c r="F22"/>
  <c r="N21"/>
  <c r="O20" s="1"/>
  <c r="M21"/>
  <c r="L21"/>
  <c r="J21"/>
  <c r="I21"/>
  <c r="H21"/>
  <c r="G21"/>
  <c r="E21"/>
  <c r="D21"/>
  <c r="F21" s="1"/>
  <c r="K20"/>
  <c r="F20"/>
  <c r="N19"/>
  <c r="M19"/>
  <c r="L19"/>
  <c r="J19"/>
  <c r="I19"/>
  <c r="H19"/>
  <c r="G19"/>
  <c r="E19"/>
  <c r="D19"/>
  <c r="F19" s="1"/>
  <c r="O18"/>
  <c r="K18"/>
  <c r="F18"/>
  <c r="N17"/>
  <c r="M17"/>
  <c r="L17"/>
  <c r="J17"/>
  <c r="I17"/>
  <c r="H17"/>
  <c r="G17"/>
  <c r="E17"/>
  <c r="D17"/>
  <c r="O16"/>
  <c r="K16"/>
  <c r="F16"/>
  <c r="N15"/>
  <c r="O14" s="1"/>
  <c r="M15"/>
  <c r="L15"/>
  <c r="J15"/>
  <c r="I15"/>
  <c r="H15"/>
  <c r="G15"/>
  <c r="E15"/>
  <c r="D15"/>
  <c r="F15" s="1"/>
  <c r="K14"/>
  <c r="F14"/>
  <c r="N13"/>
  <c r="M13"/>
  <c r="L13"/>
  <c r="J13"/>
  <c r="I13"/>
  <c r="H13"/>
  <c r="G13"/>
  <c r="K13" s="1"/>
  <c r="E13"/>
  <c r="D13"/>
  <c r="O12"/>
  <c r="K12"/>
  <c r="F12"/>
  <c r="N11"/>
  <c r="O10" s="1"/>
  <c r="M11"/>
  <c r="L11"/>
  <c r="J11"/>
  <c r="I11"/>
  <c r="H11"/>
  <c r="G11"/>
  <c r="E11"/>
  <c r="D11"/>
  <c r="F11" s="1"/>
  <c r="K10"/>
  <c r="F10"/>
  <c r="N9"/>
  <c r="O8" s="1"/>
  <c r="M9"/>
  <c r="L9"/>
  <c r="J9"/>
  <c r="I9"/>
  <c r="H9"/>
  <c r="G9"/>
  <c r="K9" s="1"/>
  <c r="E9"/>
  <c r="D9"/>
  <c r="K8"/>
  <c r="F8"/>
  <c r="N7"/>
  <c r="O6" s="1"/>
  <c r="M7"/>
  <c r="L7"/>
  <c r="J7"/>
  <c r="I7"/>
  <c r="H7"/>
  <c r="G7"/>
  <c r="E7"/>
  <c r="D7"/>
  <c r="K6"/>
  <c r="F6"/>
  <c r="N5"/>
  <c r="O4" s="1"/>
  <c r="M5"/>
  <c r="L5"/>
  <c r="J5"/>
  <c r="I5"/>
  <c r="H5"/>
  <c r="G5"/>
  <c r="E5"/>
  <c r="D5"/>
  <c r="K4"/>
  <c r="F4"/>
  <c r="N3"/>
  <c r="M3"/>
  <c r="L3"/>
  <c r="J3"/>
  <c r="I3"/>
  <c r="H3"/>
  <c r="G3"/>
  <c r="E3"/>
  <c r="D3"/>
  <c r="O2"/>
  <c r="K2"/>
  <c r="F2"/>
  <c r="K401" l="1"/>
  <c r="F1031"/>
  <c r="I1227"/>
  <c r="F61"/>
  <c r="F163"/>
  <c r="F169"/>
  <c r="F183"/>
  <c r="F329"/>
  <c r="K341"/>
  <c r="K351"/>
  <c r="F357"/>
  <c r="F461"/>
  <c r="F570"/>
  <c r="K593"/>
  <c r="F595"/>
  <c r="F609"/>
  <c r="F759"/>
  <c r="K771"/>
  <c r="K783"/>
  <c r="K785"/>
  <c r="K821"/>
  <c r="F843"/>
  <c r="J853"/>
  <c r="F983"/>
  <c r="F1011"/>
  <c r="F1133"/>
  <c r="K1151"/>
  <c r="F1219"/>
  <c r="K1293"/>
  <c r="K1655"/>
  <c r="F1721"/>
  <c r="K1729"/>
  <c r="F1785"/>
  <c r="M1059"/>
  <c r="F629"/>
  <c r="K143"/>
  <c r="F159"/>
  <c r="F279"/>
  <c r="K455"/>
  <c r="F561"/>
  <c r="K569"/>
  <c r="F572"/>
  <c r="K723"/>
  <c r="F823"/>
  <c r="F833"/>
  <c r="K937"/>
  <c r="K943"/>
  <c r="K971"/>
  <c r="K981"/>
  <c r="K1127"/>
  <c r="F1157"/>
  <c r="F1339"/>
  <c r="K1649"/>
  <c r="F499"/>
  <c r="K1415"/>
  <c r="K107"/>
  <c r="M307"/>
  <c r="K525"/>
  <c r="F917"/>
  <c r="K939"/>
  <c r="K1571"/>
  <c r="F1573"/>
  <c r="K21"/>
  <c r="F23"/>
  <c r="K37"/>
  <c r="K87"/>
  <c r="F89"/>
  <c r="K98"/>
  <c r="M2494"/>
  <c r="L2496"/>
  <c r="F310"/>
  <c r="N311"/>
  <c r="O310" s="1"/>
  <c r="F389"/>
  <c r="K391"/>
  <c r="K507"/>
  <c r="F527"/>
  <c r="F665"/>
  <c r="F679"/>
  <c r="F695"/>
  <c r="F809"/>
  <c r="I1061"/>
  <c r="E1227"/>
  <c r="F1251"/>
  <c r="K1329"/>
  <c r="K1447"/>
  <c r="K1985"/>
  <c r="F2185"/>
  <c r="K1715"/>
  <c r="F155"/>
  <c r="K831"/>
  <c r="F913"/>
  <c r="F1007"/>
  <c r="L1227"/>
  <c r="K3"/>
  <c r="K5"/>
  <c r="K53"/>
  <c r="K67"/>
  <c r="F69"/>
  <c r="F91"/>
  <c r="K117"/>
  <c r="K121"/>
  <c r="K191"/>
  <c r="F363"/>
  <c r="F369"/>
  <c r="F391"/>
  <c r="K437"/>
  <c r="F467"/>
  <c r="K471"/>
  <c r="F597"/>
  <c r="F611"/>
  <c r="K643"/>
  <c r="K689"/>
  <c r="F805"/>
  <c r="K809"/>
  <c r="F865"/>
  <c r="F957"/>
  <c r="K1101"/>
  <c r="K1161"/>
  <c r="F1269"/>
  <c r="F1323"/>
  <c r="F1413"/>
  <c r="K2325"/>
  <c r="F1431"/>
  <c r="F615"/>
  <c r="K749"/>
  <c r="F1317"/>
  <c r="F1543"/>
  <c r="F25"/>
  <c r="F31"/>
  <c r="K63"/>
  <c r="L2490"/>
  <c r="H103"/>
  <c r="K219"/>
  <c r="K223"/>
  <c r="F253"/>
  <c r="F299"/>
  <c r="L313"/>
  <c r="F327"/>
  <c r="K363"/>
  <c r="F449"/>
  <c r="K467"/>
  <c r="I573"/>
  <c r="F583"/>
  <c r="K673"/>
  <c r="K675"/>
  <c r="F707"/>
  <c r="K711"/>
  <c r="F811"/>
  <c r="F825"/>
  <c r="K865"/>
  <c r="K889"/>
  <c r="K909"/>
  <c r="K957"/>
  <c r="F975"/>
  <c r="F1023"/>
  <c r="K1033"/>
  <c r="F1053"/>
  <c r="K1097"/>
  <c r="F1103"/>
  <c r="K1111"/>
  <c r="K1163"/>
  <c r="F1221"/>
  <c r="F1253"/>
  <c r="F1283"/>
  <c r="K1313"/>
  <c r="F1361"/>
  <c r="K1369"/>
  <c r="F1809"/>
  <c r="K1867"/>
  <c r="F1999"/>
  <c r="F2057"/>
  <c r="F2081"/>
  <c r="F2091"/>
  <c r="K2113"/>
  <c r="F2163"/>
  <c r="K2307"/>
  <c r="K2369"/>
  <c r="K2029"/>
  <c r="K2189"/>
  <c r="F2195"/>
  <c r="F2205"/>
  <c r="F787"/>
  <c r="F1149"/>
  <c r="K25"/>
  <c r="K45"/>
  <c r="D2490"/>
  <c r="I103"/>
  <c r="K127"/>
  <c r="F147"/>
  <c r="K237"/>
  <c r="K271"/>
  <c r="K299"/>
  <c r="F305"/>
  <c r="F323"/>
  <c r="F355"/>
  <c r="K481"/>
  <c r="K491"/>
  <c r="K583"/>
  <c r="K611"/>
  <c r="K635"/>
  <c r="F645"/>
  <c r="K657"/>
  <c r="K671"/>
  <c r="K727"/>
  <c r="K737"/>
  <c r="F739"/>
  <c r="F933"/>
  <c r="K973"/>
  <c r="K1023"/>
  <c r="F1029"/>
  <c r="K1053"/>
  <c r="K1069"/>
  <c r="K1093"/>
  <c r="K1129"/>
  <c r="F1189"/>
  <c r="F1207"/>
  <c r="K1209"/>
  <c r="K1221"/>
  <c r="K1331"/>
  <c r="K1461"/>
  <c r="K1465"/>
  <c r="K1803"/>
  <c r="K1813"/>
  <c r="K2241"/>
  <c r="K2259"/>
  <c r="F2361"/>
  <c r="F339"/>
  <c r="K1259"/>
  <c r="K1435"/>
  <c r="F3"/>
  <c r="F17"/>
  <c r="K19"/>
  <c r="F27"/>
  <c r="F37"/>
  <c r="F41"/>
  <c r="F47"/>
  <c r="F139"/>
  <c r="F153"/>
  <c r="K189"/>
  <c r="F209"/>
  <c r="F221"/>
  <c r="F245"/>
  <c r="F249"/>
  <c r="K267"/>
  <c r="F273"/>
  <c r="K285"/>
  <c r="F306"/>
  <c r="K327"/>
  <c r="F371"/>
  <c r="F375"/>
  <c r="F441"/>
  <c r="F451"/>
  <c r="F455"/>
  <c r="K459"/>
  <c r="F465"/>
  <c r="F493"/>
  <c r="F503"/>
  <c r="F507"/>
  <c r="K519"/>
  <c r="K539"/>
  <c r="F551"/>
  <c r="K553"/>
  <c r="K559"/>
  <c r="F565"/>
  <c r="F585"/>
  <c r="K607"/>
  <c r="F613"/>
  <c r="F633"/>
  <c r="K663"/>
  <c r="F683"/>
  <c r="K721"/>
  <c r="F729"/>
  <c r="K757"/>
  <c r="K801"/>
  <c r="F817"/>
  <c r="F827"/>
  <c r="K871"/>
  <c r="F877"/>
  <c r="K953"/>
  <c r="F1015"/>
  <c r="F1025"/>
  <c r="H1061"/>
  <c r="F1079"/>
  <c r="F1105"/>
  <c r="K1117"/>
  <c r="K1131"/>
  <c r="F1223"/>
  <c r="K1225"/>
  <c r="F1228"/>
  <c r="F1241"/>
  <c r="F1263"/>
  <c r="F1275"/>
  <c r="F1293"/>
  <c r="K1301"/>
  <c r="F1307"/>
  <c r="F1315"/>
  <c r="K1319"/>
  <c r="F1325"/>
  <c r="F1333"/>
  <c r="F1357"/>
  <c r="F1367"/>
  <c r="F1371"/>
  <c r="F1375"/>
  <c r="F1381"/>
  <c r="K1471"/>
  <c r="F1511"/>
  <c r="F1567"/>
  <c r="K1645"/>
  <c r="F1655"/>
  <c r="F1661"/>
  <c r="F1779"/>
  <c r="F1795"/>
  <c r="F1805"/>
  <c r="K1809"/>
  <c r="F1835"/>
  <c r="F1945"/>
  <c r="F1955"/>
  <c r="K1969"/>
  <c r="F1991"/>
  <c r="F2049"/>
  <c r="F2219"/>
  <c r="F2233"/>
  <c r="K2237"/>
  <c r="F2265"/>
  <c r="K1371"/>
  <c r="K1375"/>
  <c r="K1399"/>
  <c r="K1423"/>
  <c r="F1445"/>
  <c r="F1479"/>
  <c r="F1575"/>
  <c r="K1611"/>
  <c r="K1671"/>
  <c r="K1683"/>
  <c r="F1849"/>
  <c r="F1961"/>
  <c r="K1965"/>
  <c r="K2057"/>
  <c r="K2081"/>
  <c r="K2213"/>
  <c r="F2261"/>
  <c r="F2373"/>
  <c r="F2435"/>
  <c r="K2437"/>
  <c r="K2443"/>
  <c r="F2449"/>
  <c r="F2463"/>
  <c r="K1395"/>
  <c r="K1619"/>
  <c r="K1639"/>
  <c r="K1713"/>
  <c r="K1731"/>
  <c r="K1765"/>
  <c r="K1825"/>
  <c r="F1865"/>
  <c r="F1929"/>
  <c r="K1937"/>
  <c r="K1961"/>
  <c r="K1987"/>
  <c r="K2025"/>
  <c r="K2043"/>
  <c r="K2087"/>
  <c r="K2163"/>
  <c r="K2215"/>
  <c r="F2249"/>
  <c r="F2281"/>
  <c r="K2363"/>
  <c r="K2439"/>
  <c r="K1353"/>
  <c r="K1377"/>
  <c r="K1495"/>
  <c r="F1571"/>
  <c r="K1667"/>
  <c r="F1719"/>
  <c r="K1801"/>
  <c r="F1807"/>
  <c r="F1837"/>
  <c r="K1849"/>
  <c r="F1939"/>
  <c r="F1953"/>
  <c r="K2027"/>
  <c r="F2033"/>
  <c r="F2099"/>
  <c r="K2151"/>
  <c r="K2159"/>
  <c r="K2181"/>
  <c r="F2197"/>
  <c r="K2281"/>
  <c r="F2329"/>
  <c r="K2449"/>
  <c r="F2455"/>
  <c r="G2483"/>
  <c r="F1355"/>
  <c r="F1387"/>
  <c r="F1407"/>
  <c r="F1439"/>
  <c r="F1447"/>
  <c r="F1471"/>
  <c r="D1501"/>
  <c r="F1519"/>
  <c r="F1527"/>
  <c r="K1603"/>
  <c r="F1631"/>
  <c r="F1659"/>
  <c r="F1697"/>
  <c r="K1699"/>
  <c r="F1711"/>
  <c r="F1725"/>
  <c r="F1735"/>
  <c r="F1753"/>
  <c r="F1763"/>
  <c r="K1797"/>
  <c r="F1803"/>
  <c r="F1833"/>
  <c r="K1889"/>
  <c r="F1894"/>
  <c r="F1935"/>
  <c r="F1963"/>
  <c r="K1975"/>
  <c r="F1989"/>
  <c r="F2011"/>
  <c r="F2015"/>
  <c r="K2019"/>
  <c r="F2047"/>
  <c r="F2051"/>
  <c r="K2073"/>
  <c r="F2095"/>
  <c r="F2121"/>
  <c r="K2129"/>
  <c r="F2161"/>
  <c r="K2183"/>
  <c r="F2203"/>
  <c r="K2245"/>
  <c r="F2251"/>
  <c r="K2267"/>
  <c r="F2273"/>
  <c r="K2277"/>
  <c r="K2329"/>
  <c r="K2351"/>
  <c r="K2355"/>
  <c r="F2441"/>
  <c r="K2445"/>
  <c r="K2481"/>
  <c r="E103"/>
  <c r="F33"/>
  <c r="K15"/>
  <c r="K23"/>
  <c r="K27"/>
  <c r="K39"/>
  <c r="K43"/>
  <c r="K75"/>
  <c r="E105"/>
  <c r="K205"/>
  <c r="K306"/>
  <c r="K331"/>
  <c r="K379"/>
  <c r="K405"/>
  <c r="K493"/>
  <c r="E573"/>
  <c r="K572"/>
  <c r="K599"/>
  <c r="K617"/>
  <c r="M853"/>
  <c r="K923"/>
  <c r="K947"/>
  <c r="K1091"/>
  <c r="K1197"/>
  <c r="D1233"/>
  <c r="L1233"/>
  <c r="K1295"/>
  <c r="F5"/>
  <c r="F9"/>
  <c r="F13"/>
  <c r="K31"/>
  <c r="K47"/>
  <c r="K55"/>
  <c r="K79"/>
  <c r="K95"/>
  <c r="F102"/>
  <c r="H2496"/>
  <c r="K109"/>
  <c r="K129"/>
  <c r="K149"/>
  <c r="K153"/>
  <c r="K201"/>
  <c r="K235"/>
  <c r="K275"/>
  <c r="E309"/>
  <c r="F333"/>
  <c r="K353"/>
  <c r="K435"/>
  <c r="K475"/>
  <c r="K501"/>
  <c r="K529"/>
  <c r="F545"/>
  <c r="L573"/>
  <c r="F601"/>
  <c r="F619"/>
  <c r="K621"/>
  <c r="F675"/>
  <c r="K693"/>
  <c r="F699"/>
  <c r="K753"/>
  <c r="F829"/>
  <c r="F837"/>
  <c r="I851"/>
  <c r="L853"/>
  <c r="F854"/>
  <c r="K873"/>
  <c r="F939"/>
  <c r="K951"/>
  <c r="K1155"/>
  <c r="I1233"/>
  <c r="K1387"/>
  <c r="K1475"/>
  <c r="K1617"/>
  <c r="F1623"/>
  <c r="J105"/>
  <c r="K389"/>
  <c r="F1069"/>
  <c r="K83"/>
  <c r="K125"/>
  <c r="K301"/>
  <c r="L307"/>
  <c r="K323"/>
  <c r="K517"/>
  <c r="K717"/>
  <c r="L1065"/>
  <c r="F2482"/>
  <c r="K57"/>
  <c r="K91"/>
  <c r="K131"/>
  <c r="K151"/>
  <c r="N571"/>
  <c r="O570" s="1"/>
  <c r="K681"/>
  <c r="K815"/>
  <c r="F821"/>
  <c r="K839"/>
  <c r="K847"/>
  <c r="K1025"/>
  <c r="L1499"/>
  <c r="J1505"/>
  <c r="K35"/>
  <c r="K71"/>
  <c r="K141"/>
  <c r="K1207"/>
  <c r="I309"/>
  <c r="K587"/>
  <c r="K1361"/>
  <c r="K2453"/>
  <c r="K85"/>
  <c r="K93"/>
  <c r="N2490"/>
  <c r="M2496"/>
  <c r="K115"/>
  <c r="K97"/>
  <c r="M2492"/>
  <c r="K147"/>
  <c r="K165"/>
  <c r="K173"/>
  <c r="K291"/>
  <c r="F312"/>
  <c r="K365"/>
  <c r="K603"/>
  <c r="K651"/>
  <c r="K677"/>
  <c r="K685"/>
  <c r="K767"/>
  <c r="K803"/>
  <c r="K863"/>
  <c r="K1005"/>
  <c r="F1051"/>
  <c r="K1181"/>
  <c r="K1861"/>
  <c r="F49"/>
  <c r="F395"/>
  <c r="F81"/>
  <c r="F131"/>
  <c r="K535"/>
  <c r="K667"/>
  <c r="K852"/>
  <c r="J99"/>
  <c r="D2496"/>
  <c r="K69"/>
  <c r="D2492"/>
  <c r="F2492" s="1"/>
  <c r="K7"/>
  <c r="K11"/>
  <c r="F55"/>
  <c r="K65"/>
  <c r="F75"/>
  <c r="F79"/>
  <c r="K81"/>
  <c r="F83"/>
  <c r="N2492"/>
  <c r="L2494"/>
  <c r="F104"/>
  <c r="F109"/>
  <c r="F113"/>
  <c r="K123"/>
  <c r="F125"/>
  <c r="F129"/>
  <c r="F149"/>
  <c r="K179"/>
  <c r="F235"/>
  <c r="K243"/>
  <c r="K251"/>
  <c r="K269"/>
  <c r="K279"/>
  <c r="K305"/>
  <c r="J311"/>
  <c r="N313"/>
  <c r="O312" s="1"/>
  <c r="J313"/>
  <c r="K339"/>
  <c r="K343"/>
  <c r="K373"/>
  <c r="F435"/>
  <c r="K443"/>
  <c r="K451"/>
  <c r="K469"/>
  <c r="K551"/>
  <c r="D571"/>
  <c r="D573"/>
  <c r="L577"/>
  <c r="K579"/>
  <c r="F623"/>
  <c r="K639"/>
  <c r="F703"/>
  <c r="K729"/>
  <c r="K769"/>
  <c r="K795"/>
  <c r="N853"/>
  <c r="O852" s="1"/>
  <c r="K859"/>
  <c r="F999"/>
  <c r="K1113"/>
  <c r="K1145"/>
  <c r="F1183"/>
  <c r="K1335"/>
  <c r="F151"/>
  <c r="K157"/>
  <c r="K177"/>
  <c r="K181"/>
  <c r="K193"/>
  <c r="K207"/>
  <c r="F227"/>
  <c r="K231"/>
  <c r="F243"/>
  <c r="K253"/>
  <c r="F259"/>
  <c r="F287"/>
  <c r="F291"/>
  <c r="J309"/>
  <c r="G311"/>
  <c r="H313"/>
  <c r="F315"/>
  <c r="K325"/>
  <c r="F331"/>
  <c r="F351"/>
  <c r="K357"/>
  <c r="K377"/>
  <c r="K381"/>
  <c r="K393"/>
  <c r="K407"/>
  <c r="F427"/>
  <c r="K431"/>
  <c r="F443"/>
  <c r="K453"/>
  <c r="F459"/>
  <c r="F479"/>
  <c r="K485"/>
  <c r="K505"/>
  <c r="K509"/>
  <c r="F525"/>
  <c r="F543"/>
  <c r="F555"/>
  <c r="F635"/>
  <c r="K637"/>
  <c r="F639"/>
  <c r="F651"/>
  <c r="K653"/>
  <c r="F659"/>
  <c r="F667"/>
  <c r="K669"/>
  <c r="K741"/>
  <c r="K745"/>
  <c r="K751"/>
  <c r="F753"/>
  <c r="F765"/>
  <c r="F781"/>
  <c r="F785"/>
  <c r="F797"/>
  <c r="K811"/>
  <c r="K819"/>
  <c r="K827"/>
  <c r="K835"/>
  <c r="K867"/>
  <c r="K875"/>
  <c r="K897"/>
  <c r="K905"/>
  <c r="K911"/>
  <c r="K987"/>
  <c r="F1055"/>
  <c r="H1059"/>
  <c r="K1067"/>
  <c r="K1083"/>
  <c r="F1089"/>
  <c r="F1093"/>
  <c r="F1163"/>
  <c r="F1187"/>
  <c r="K1249"/>
  <c r="F1279"/>
  <c r="K1311"/>
  <c r="K1317"/>
  <c r="K1343"/>
  <c r="K1365"/>
  <c r="K1393"/>
  <c r="F1477"/>
  <c r="K1749"/>
  <c r="K1769"/>
  <c r="K171"/>
  <c r="K183"/>
  <c r="K213"/>
  <c r="F225"/>
  <c r="K245"/>
  <c r="K287"/>
  <c r="N307"/>
  <c r="O306" s="1"/>
  <c r="K317"/>
  <c r="K371"/>
  <c r="K383"/>
  <c r="K413"/>
  <c r="F425"/>
  <c r="K445"/>
  <c r="F469"/>
  <c r="F473"/>
  <c r="F489"/>
  <c r="K499"/>
  <c r="K513"/>
  <c r="K521"/>
  <c r="K533"/>
  <c r="F553"/>
  <c r="F581"/>
  <c r="K591"/>
  <c r="F605"/>
  <c r="K619"/>
  <c r="F637"/>
  <c r="F653"/>
  <c r="F657"/>
  <c r="F669"/>
  <c r="K691"/>
  <c r="K699"/>
  <c r="K707"/>
  <c r="K715"/>
  <c r="K739"/>
  <c r="F763"/>
  <c r="K765"/>
  <c r="F767"/>
  <c r="F779"/>
  <c r="K781"/>
  <c r="F795"/>
  <c r="K797"/>
  <c r="F852"/>
  <c r="N855"/>
  <c r="O854" s="1"/>
  <c r="K881"/>
  <c r="F891"/>
  <c r="K975"/>
  <c r="F977"/>
  <c r="F995"/>
  <c r="K999"/>
  <c r="K1003"/>
  <c r="F1043"/>
  <c r="L1063"/>
  <c r="K1143"/>
  <c r="K1165"/>
  <c r="K1177"/>
  <c r="F1179"/>
  <c r="F1201"/>
  <c r="F1205"/>
  <c r="F1257"/>
  <c r="F1261"/>
  <c r="F1287"/>
  <c r="K1445"/>
  <c r="K159"/>
  <c r="K187"/>
  <c r="K225"/>
  <c r="K239"/>
  <c r="K249"/>
  <c r="K257"/>
  <c r="K277"/>
  <c r="K283"/>
  <c r="K303"/>
  <c r="I313"/>
  <c r="K321"/>
  <c r="K329"/>
  <c r="K359"/>
  <c r="F361"/>
  <c r="K387"/>
  <c r="K403"/>
  <c r="K425"/>
  <c r="K439"/>
  <c r="K449"/>
  <c r="K457"/>
  <c r="K487"/>
  <c r="K545"/>
  <c r="D575"/>
  <c r="K655"/>
  <c r="K845"/>
  <c r="I855"/>
  <c r="K869"/>
  <c r="K1021"/>
  <c r="K1247"/>
  <c r="K1281"/>
  <c r="K1701"/>
  <c r="K1829"/>
  <c r="K155"/>
  <c r="F173"/>
  <c r="K175"/>
  <c r="F181"/>
  <c r="F193"/>
  <c r="F215"/>
  <c r="K221"/>
  <c r="F247"/>
  <c r="K281"/>
  <c r="K293"/>
  <c r="H307"/>
  <c r="F319"/>
  <c r="K349"/>
  <c r="K355"/>
  <c r="F373"/>
  <c r="K375"/>
  <c r="F381"/>
  <c r="F393"/>
  <c r="F415"/>
  <c r="K421"/>
  <c r="F447"/>
  <c r="K477"/>
  <c r="K483"/>
  <c r="F501"/>
  <c r="K503"/>
  <c r="F509"/>
  <c r="K541"/>
  <c r="K549"/>
  <c r="K565"/>
  <c r="K623"/>
  <c r="K629"/>
  <c r="K649"/>
  <c r="K687"/>
  <c r="F693"/>
  <c r="K703"/>
  <c r="F709"/>
  <c r="K719"/>
  <c r="K731"/>
  <c r="F737"/>
  <c r="F749"/>
  <c r="K755"/>
  <c r="K787"/>
  <c r="K791"/>
  <c r="K813"/>
  <c r="F835"/>
  <c r="G853"/>
  <c r="F859"/>
  <c r="F875"/>
  <c r="F907"/>
  <c r="K941"/>
  <c r="K1017"/>
  <c r="F1027"/>
  <c r="K1057"/>
  <c r="K1095"/>
  <c r="K1157"/>
  <c r="F1175"/>
  <c r="K1189"/>
  <c r="F1197"/>
  <c r="M1233"/>
  <c r="K1239"/>
  <c r="F1249"/>
  <c r="K1333"/>
  <c r="K1351"/>
  <c r="K1359"/>
  <c r="K1381"/>
  <c r="F1395"/>
  <c r="K1429"/>
  <c r="J1501"/>
  <c r="K1553"/>
  <c r="F1689"/>
  <c r="K1697"/>
  <c r="F1703"/>
  <c r="K1743"/>
  <c r="F2060"/>
  <c r="F885"/>
  <c r="K887"/>
  <c r="K893"/>
  <c r="F929"/>
  <c r="K955"/>
  <c r="K967"/>
  <c r="K1037"/>
  <c r="J1061"/>
  <c r="K1119"/>
  <c r="K1141"/>
  <c r="F1143"/>
  <c r="F1147"/>
  <c r="F1151"/>
  <c r="F1167"/>
  <c r="K1211"/>
  <c r="K1265"/>
  <c r="F1285"/>
  <c r="K1289"/>
  <c r="K1315"/>
  <c r="F1327"/>
  <c r="F1335"/>
  <c r="F1343"/>
  <c r="K1349"/>
  <c r="F1351"/>
  <c r="F1365"/>
  <c r="F1373"/>
  <c r="K1407"/>
  <c r="K1419"/>
  <c r="K1479"/>
  <c r="K1541"/>
  <c r="F1559"/>
  <c r="F1599"/>
  <c r="K1633"/>
  <c r="F1639"/>
  <c r="F1667"/>
  <c r="F1671"/>
  <c r="F1679"/>
  <c r="F1693"/>
  <c r="K1757"/>
  <c r="F1769"/>
  <c r="F1815"/>
  <c r="D2175"/>
  <c r="F2174"/>
  <c r="K2323"/>
  <c r="K885"/>
  <c r="K895"/>
  <c r="K929"/>
  <c r="K935"/>
  <c r="K965"/>
  <c r="F981"/>
  <c r="K983"/>
  <c r="F1005"/>
  <c r="K1019"/>
  <c r="K1039"/>
  <c r="K1043"/>
  <c r="K1047"/>
  <c r="K1051"/>
  <c r="K1079"/>
  <c r="F1085"/>
  <c r="K1107"/>
  <c r="K1121"/>
  <c r="F1153"/>
  <c r="K1159"/>
  <c r="K1213"/>
  <c r="K1245"/>
  <c r="K1253"/>
  <c r="K1257"/>
  <c r="F1295"/>
  <c r="F1299"/>
  <c r="F1329"/>
  <c r="F1341"/>
  <c r="K1355"/>
  <c r="K1383"/>
  <c r="F1389"/>
  <c r="K1403"/>
  <c r="K1441"/>
  <c r="F1473"/>
  <c r="J1503"/>
  <c r="F1507"/>
  <c r="K1511"/>
  <c r="F1535"/>
  <c r="K1569"/>
  <c r="K1587"/>
  <c r="F1611"/>
  <c r="K1631"/>
  <c r="K1733"/>
  <c r="F1739"/>
  <c r="F1743"/>
  <c r="K1785"/>
  <c r="F1827"/>
  <c r="K1831"/>
  <c r="K1853"/>
  <c r="F1859"/>
  <c r="K2067"/>
  <c r="K2071"/>
  <c r="F2089"/>
  <c r="H2177"/>
  <c r="F2179"/>
  <c r="F2399"/>
  <c r="K2417"/>
  <c r="K891"/>
  <c r="K907"/>
  <c r="K949"/>
  <c r="K985"/>
  <c r="K1077"/>
  <c r="K1085"/>
  <c r="K1125"/>
  <c r="K1175"/>
  <c r="K1339"/>
  <c r="K1417"/>
  <c r="K1425"/>
  <c r="K1561"/>
  <c r="K1681"/>
  <c r="K1761"/>
  <c r="K1959"/>
  <c r="K2375"/>
  <c r="F897"/>
  <c r="F901"/>
  <c r="F971"/>
  <c r="K1001"/>
  <c r="F1009"/>
  <c r="F1013"/>
  <c r="K1015"/>
  <c r="F1041"/>
  <c r="F1049"/>
  <c r="D1061"/>
  <c r="F1087"/>
  <c r="K1115"/>
  <c r="K1133"/>
  <c r="F1177"/>
  <c r="K1193"/>
  <c r="F1199"/>
  <c r="F1211"/>
  <c r="N1233"/>
  <c r="O1232" s="1"/>
  <c r="K1235"/>
  <c r="F1247"/>
  <c r="K1283"/>
  <c r="K1303"/>
  <c r="F1311"/>
  <c r="K1325"/>
  <c r="K1337"/>
  <c r="K1367"/>
  <c r="K1401"/>
  <c r="F1415"/>
  <c r="F1419"/>
  <c r="J1499"/>
  <c r="K1575"/>
  <c r="K1601"/>
  <c r="K1669"/>
  <c r="F1687"/>
  <c r="K1777"/>
  <c r="K1857"/>
  <c r="F2415"/>
  <c r="F1425"/>
  <c r="F1455"/>
  <c r="F1463"/>
  <c r="K1533"/>
  <c r="K1545"/>
  <c r="K1557"/>
  <c r="K1573"/>
  <c r="K1605"/>
  <c r="K1613"/>
  <c r="K1637"/>
  <c r="F1643"/>
  <c r="F1647"/>
  <c r="K1661"/>
  <c r="K1673"/>
  <c r="K1685"/>
  <c r="F1701"/>
  <c r="K1737"/>
  <c r="K1747"/>
  <c r="F1761"/>
  <c r="K1781"/>
  <c r="K1789"/>
  <c r="K1817"/>
  <c r="F1831"/>
  <c r="F1843"/>
  <c r="F1847"/>
  <c r="F1887"/>
  <c r="F1896"/>
  <c r="N1897"/>
  <c r="O1896" s="1"/>
  <c r="K1905"/>
  <c r="K1929"/>
  <c r="F1965"/>
  <c r="F1969"/>
  <c r="F1977"/>
  <c r="K2017"/>
  <c r="F2027"/>
  <c r="F2037"/>
  <c r="K2051"/>
  <c r="K2109"/>
  <c r="F2187"/>
  <c r="K2223"/>
  <c r="F2277"/>
  <c r="F2285"/>
  <c r="F2289"/>
  <c r="K2379"/>
  <c r="K2391"/>
  <c r="K2421"/>
  <c r="K2457"/>
  <c r="F1441"/>
  <c r="F1453"/>
  <c r="F1465"/>
  <c r="K1467"/>
  <c r="F1481"/>
  <c r="F1485"/>
  <c r="F1521"/>
  <c r="K1579"/>
  <c r="K1583"/>
  <c r="F1591"/>
  <c r="K1595"/>
  <c r="K1607"/>
  <c r="K1623"/>
  <c r="K1627"/>
  <c r="F1641"/>
  <c r="F1649"/>
  <c r="K1739"/>
  <c r="K1807"/>
  <c r="K1827"/>
  <c r="K1855"/>
  <c r="K1859"/>
  <c r="K1877"/>
  <c r="L1893"/>
  <c r="F1923"/>
  <c r="K1947"/>
  <c r="K1953"/>
  <c r="K2009"/>
  <c r="K2013"/>
  <c r="K2023"/>
  <c r="K2045"/>
  <c r="K2049"/>
  <c r="N2063"/>
  <c r="O2062" s="1"/>
  <c r="F2125"/>
  <c r="K2141"/>
  <c r="K2165"/>
  <c r="K2409"/>
  <c r="F2411"/>
  <c r="F2451"/>
  <c r="K2473"/>
  <c r="K1469"/>
  <c r="K1473"/>
  <c r="K1483"/>
  <c r="F1509"/>
  <c r="K1523"/>
  <c r="F1529"/>
  <c r="F1537"/>
  <c r="K1559"/>
  <c r="K1567"/>
  <c r="K1591"/>
  <c r="F1609"/>
  <c r="K1647"/>
  <c r="K1651"/>
  <c r="F1657"/>
  <c r="F1665"/>
  <c r="K1687"/>
  <c r="K1695"/>
  <c r="K1711"/>
  <c r="K1723"/>
  <c r="K1735"/>
  <c r="K1751"/>
  <c r="K1755"/>
  <c r="K1771"/>
  <c r="K1791"/>
  <c r="K1811"/>
  <c r="F1829"/>
  <c r="K1837"/>
  <c r="F1857"/>
  <c r="F1861"/>
  <c r="K1913"/>
  <c r="K1917"/>
  <c r="K2033"/>
  <c r="F2035"/>
  <c r="K2119"/>
  <c r="K2137"/>
  <c r="K2211"/>
  <c r="F2305"/>
  <c r="K2339"/>
  <c r="K2405"/>
  <c r="F2475"/>
  <c r="F1497"/>
  <c r="M1499"/>
  <c r="K1507"/>
  <c r="K1517"/>
  <c r="F1553"/>
  <c r="F1557"/>
  <c r="F1577"/>
  <c r="F1585"/>
  <c r="F1593"/>
  <c r="F1601"/>
  <c r="F1617"/>
  <c r="F1621"/>
  <c r="F1637"/>
  <c r="K1641"/>
  <c r="F1681"/>
  <c r="F1685"/>
  <c r="K1719"/>
  <c r="F1737"/>
  <c r="K1763"/>
  <c r="K1779"/>
  <c r="F1781"/>
  <c r="F1793"/>
  <c r="F1797"/>
  <c r="F1801"/>
  <c r="F1813"/>
  <c r="K1833"/>
  <c r="F1867"/>
  <c r="F1892"/>
  <c r="F1943"/>
  <c r="K1967"/>
  <c r="K1979"/>
  <c r="F1995"/>
  <c r="K1997"/>
  <c r="F2073"/>
  <c r="K2145"/>
  <c r="F2191"/>
  <c r="F2223"/>
  <c r="K2257"/>
  <c r="K2291"/>
  <c r="K2309"/>
  <c r="F2337"/>
  <c r="F2341"/>
  <c r="F2345"/>
  <c r="K2361"/>
  <c r="F2367"/>
  <c r="F2403"/>
  <c r="K2425"/>
  <c r="F2439"/>
  <c r="K2451"/>
  <c r="F2457"/>
  <c r="K1865"/>
  <c r="F1905"/>
  <c r="K1925"/>
  <c r="F1933"/>
  <c r="F1937"/>
  <c r="F1949"/>
  <c r="F1957"/>
  <c r="K1963"/>
  <c r="K1981"/>
  <c r="K1993"/>
  <c r="F2003"/>
  <c r="F2019"/>
  <c r="F2041"/>
  <c r="F2045"/>
  <c r="K2075"/>
  <c r="K2091"/>
  <c r="F2093"/>
  <c r="F2101"/>
  <c r="F2105"/>
  <c r="F2123"/>
  <c r="F2131"/>
  <c r="F2155"/>
  <c r="F2159"/>
  <c r="K2193"/>
  <c r="K2201"/>
  <c r="K2221"/>
  <c r="K2231"/>
  <c r="K2243"/>
  <c r="F2245"/>
  <c r="K2275"/>
  <c r="K2279"/>
  <c r="K2311"/>
  <c r="K2315"/>
  <c r="K2335"/>
  <c r="K2343"/>
  <c r="F2349"/>
  <c r="F2353"/>
  <c r="F2387"/>
  <c r="K2389"/>
  <c r="K2401"/>
  <c r="K2413"/>
  <c r="F2425"/>
  <c r="F2465"/>
  <c r="F2469"/>
  <c r="F2473"/>
  <c r="K2488"/>
  <c r="K1871"/>
  <c r="K1907"/>
  <c r="K1923"/>
  <c r="K1933"/>
  <c r="K1949"/>
  <c r="K1973"/>
  <c r="K2031"/>
  <c r="F2039"/>
  <c r="K2041"/>
  <c r="K2069"/>
  <c r="K2085"/>
  <c r="K2101"/>
  <c r="K2131"/>
  <c r="F2133"/>
  <c r="K2155"/>
  <c r="L2171"/>
  <c r="K2195"/>
  <c r="K2205"/>
  <c r="F2221"/>
  <c r="K2229"/>
  <c r="F2255"/>
  <c r="F2259"/>
  <c r="K2265"/>
  <c r="K2289"/>
  <c r="F2297"/>
  <c r="K2305"/>
  <c r="K2313"/>
  <c r="K2317"/>
  <c r="F2355"/>
  <c r="K2371"/>
  <c r="F2377"/>
  <c r="F2385"/>
  <c r="F2389"/>
  <c r="K2395"/>
  <c r="K2407"/>
  <c r="F2467"/>
  <c r="K2469"/>
  <c r="K2475"/>
  <c r="H2483"/>
  <c r="K1883"/>
  <c r="K1903"/>
  <c r="F1985"/>
  <c r="K2035"/>
  <c r="F2103"/>
  <c r="F2149"/>
  <c r="K2209"/>
  <c r="K2225"/>
  <c r="F2239"/>
  <c r="F2243"/>
  <c r="K2261"/>
  <c r="F2267"/>
  <c r="F2275"/>
  <c r="K2297"/>
  <c r="K2387"/>
  <c r="K2415"/>
  <c r="K2435"/>
  <c r="K2465"/>
  <c r="K2479"/>
  <c r="K2484"/>
  <c r="K1887"/>
  <c r="K1915"/>
  <c r="F1925"/>
  <c r="K1943"/>
  <c r="K1951"/>
  <c r="K1955"/>
  <c r="F1997"/>
  <c r="F2001"/>
  <c r="K2005"/>
  <c r="K2055"/>
  <c r="G2063"/>
  <c r="F2071"/>
  <c r="K2079"/>
  <c r="K2095"/>
  <c r="K2107"/>
  <c r="F2115"/>
  <c r="K2121"/>
  <c r="F2137"/>
  <c r="K2167"/>
  <c r="F2181"/>
  <c r="F2193"/>
  <c r="F2211"/>
  <c r="F2215"/>
  <c r="F2231"/>
  <c r="K2233"/>
  <c r="K2247"/>
  <c r="F2283"/>
  <c r="F2291"/>
  <c r="F2299"/>
  <c r="F2307"/>
  <c r="K2321"/>
  <c r="F2323"/>
  <c r="F2327"/>
  <c r="F2339"/>
  <c r="K2341"/>
  <c r="K2347"/>
  <c r="K2381"/>
  <c r="K2385"/>
  <c r="F2401"/>
  <c r="F2405"/>
  <c r="F2413"/>
  <c r="F2417"/>
  <c r="K2419"/>
  <c r="F2433"/>
  <c r="F2477"/>
  <c r="F2481"/>
  <c r="H2492"/>
  <c r="I101"/>
  <c r="H101"/>
  <c r="K100"/>
  <c r="E101"/>
  <c r="F39"/>
  <c r="K49"/>
  <c r="K59"/>
  <c r="M2490"/>
  <c r="M99"/>
  <c r="K203"/>
  <c r="H575"/>
  <c r="M575"/>
  <c r="N575"/>
  <c r="O574" s="1"/>
  <c r="I577"/>
  <c r="M577"/>
  <c r="K576"/>
  <c r="E577"/>
  <c r="K1890"/>
  <c r="J1891"/>
  <c r="I1891"/>
  <c r="G1891"/>
  <c r="K61"/>
  <c r="N2496"/>
  <c r="N105"/>
  <c r="O104" s="1"/>
  <c r="E2490"/>
  <c r="F2490" s="1"/>
  <c r="L99"/>
  <c r="D99"/>
  <c r="F98"/>
  <c r="E99"/>
  <c r="I99"/>
  <c r="H99"/>
  <c r="F7"/>
  <c r="K17"/>
  <c r="N101"/>
  <c r="O100" s="1"/>
  <c r="J857"/>
  <c r="K856"/>
  <c r="E857"/>
  <c r="I105"/>
  <c r="K161"/>
  <c r="K185"/>
  <c r="K215"/>
  <c r="K289"/>
  <c r="G309"/>
  <c r="H311"/>
  <c r="L311"/>
  <c r="E313"/>
  <c r="K361"/>
  <c r="K385"/>
  <c r="K415"/>
  <c r="K489"/>
  <c r="K793"/>
  <c r="M851"/>
  <c r="K89"/>
  <c r="F95"/>
  <c r="G2492"/>
  <c r="G101"/>
  <c r="M101"/>
  <c r="J2494"/>
  <c r="E2496"/>
  <c r="L105"/>
  <c r="D105"/>
  <c r="F105" s="1"/>
  <c r="K135"/>
  <c r="K197"/>
  <c r="F207"/>
  <c r="K209"/>
  <c r="F231"/>
  <c r="K233"/>
  <c r="K263"/>
  <c r="J307"/>
  <c r="D309"/>
  <c r="M311"/>
  <c r="K335"/>
  <c r="K397"/>
  <c r="F407"/>
  <c r="K409"/>
  <c r="F431"/>
  <c r="K433"/>
  <c r="K463"/>
  <c r="K547"/>
  <c r="K561"/>
  <c r="G575"/>
  <c r="K574"/>
  <c r="E575"/>
  <c r="F575" s="1"/>
  <c r="L575"/>
  <c r="N577"/>
  <c r="O576" s="1"/>
  <c r="K601"/>
  <c r="F673"/>
  <c r="K683"/>
  <c r="F687"/>
  <c r="F769"/>
  <c r="K779"/>
  <c r="K841"/>
  <c r="E855"/>
  <c r="I857"/>
  <c r="N857"/>
  <c r="O856" s="1"/>
  <c r="M857"/>
  <c r="L857"/>
  <c r="K877"/>
  <c r="F899"/>
  <c r="F953"/>
  <c r="K991"/>
  <c r="K1029"/>
  <c r="G1065"/>
  <c r="K1217"/>
  <c r="H1227"/>
  <c r="K1226"/>
  <c r="M1227"/>
  <c r="D1227"/>
  <c r="F1227" s="1"/>
  <c r="G1229"/>
  <c r="F1337"/>
  <c r="M105"/>
  <c r="J103"/>
  <c r="M313"/>
  <c r="N1231"/>
  <c r="O1230" s="1"/>
  <c r="M1231"/>
  <c r="L1231"/>
  <c r="N99"/>
  <c r="O98" s="1"/>
  <c r="N2494"/>
  <c r="F111"/>
  <c r="K113"/>
  <c r="K133"/>
  <c r="F143"/>
  <c r="K145"/>
  <c r="F167"/>
  <c r="K169"/>
  <c r="K199"/>
  <c r="K261"/>
  <c r="F271"/>
  <c r="K273"/>
  <c r="F295"/>
  <c r="K297"/>
  <c r="G307"/>
  <c r="H309"/>
  <c r="L309"/>
  <c r="I311"/>
  <c r="E311"/>
  <c r="K333"/>
  <c r="F343"/>
  <c r="K345"/>
  <c r="F367"/>
  <c r="K369"/>
  <c r="K399"/>
  <c r="K461"/>
  <c r="F471"/>
  <c r="K473"/>
  <c r="F495"/>
  <c r="K497"/>
  <c r="K515"/>
  <c r="F539"/>
  <c r="K563"/>
  <c r="H571"/>
  <c r="J573"/>
  <c r="K585"/>
  <c r="K605"/>
  <c r="K647"/>
  <c r="K701"/>
  <c r="K805"/>
  <c r="K854"/>
  <c r="F911"/>
  <c r="G2496"/>
  <c r="G105"/>
  <c r="L855"/>
  <c r="I1063"/>
  <c r="H1063"/>
  <c r="J2492"/>
  <c r="E2494"/>
  <c r="L103"/>
  <c r="D103"/>
  <c r="F103" s="1"/>
  <c r="K308"/>
  <c r="G571"/>
  <c r="K570"/>
  <c r="E571"/>
  <c r="F571" s="1"/>
  <c r="L571"/>
  <c r="M855"/>
  <c r="G2494"/>
  <c r="G103"/>
  <c r="K103" s="1"/>
  <c r="M103"/>
  <c r="J2496"/>
  <c r="K119"/>
  <c r="K217"/>
  <c r="K247"/>
  <c r="D307"/>
  <c r="M309"/>
  <c r="G313"/>
  <c r="K313" s="1"/>
  <c r="K319"/>
  <c r="K417"/>
  <c r="K447"/>
  <c r="I571"/>
  <c r="K613"/>
  <c r="K665"/>
  <c r="K747"/>
  <c r="K843"/>
  <c r="G851"/>
  <c r="D851"/>
  <c r="F921"/>
  <c r="K969"/>
  <c r="F973"/>
  <c r="K1045"/>
  <c r="J1059"/>
  <c r="L1059"/>
  <c r="M1063"/>
  <c r="I575"/>
  <c r="G2490"/>
  <c r="G99"/>
  <c r="D311"/>
  <c r="J575"/>
  <c r="K73"/>
  <c r="J2490"/>
  <c r="E2492"/>
  <c r="L101"/>
  <c r="D101"/>
  <c r="J101"/>
  <c r="H2494"/>
  <c r="N103"/>
  <c r="O102" s="1"/>
  <c r="K104"/>
  <c r="H105"/>
  <c r="F135"/>
  <c r="K137"/>
  <c r="K167"/>
  <c r="K229"/>
  <c r="F239"/>
  <c r="K241"/>
  <c r="F263"/>
  <c r="K265"/>
  <c r="K295"/>
  <c r="I307"/>
  <c r="E307"/>
  <c r="N309"/>
  <c r="O308" s="1"/>
  <c r="K310"/>
  <c r="D313"/>
  <c r="F313" s="1"/>
  <c r="F335"/>
  <c r="K337"/>
  <c r="K367"/>
  <c r="K429"/>
  <c r="F439"/>
  <c r="K441"/>
  <c r="F463"/>
  <c r="K465"/>
  <c r="K495"/>
  <c r="K567"/>
  <c r="J571"/>
  <c r="M571"/>
  <c r="F641"/>
  <c r="K713"/>
  <c r="K733"/>
  <c r="K775"/>
  <c r="K829"/>
  <c r="H851"/>
  <c r="L851"/>
  <c r="K850"/>
  <c r="N851"/>
  <c r="O850" s="1"/>
  <c r="E851"/>
  <c r="G857"/>
  <c r="F873"/>
  <c r="K883"/>
  <c r="K915"/>
  <c r="K959"/>
  <c r="F1057"/>
  <c r="J1065"/>
  <c r="D1065"/>
  <c r="M1065"/>
  <c r="K1103"/>
  <c r="J1229"/>
  <c r="L1229"/>
  <c r="D1229"/>
  <c r="M1229"/>
  <c r="L2492"/>
  <c r="F2494"/>
  <c r="K511"/>
  <c r="F517"/>
  <c r="K527"/>
  <c r="F533"/>
  <c r="J577"/>
  <c r="K597"/>
  <c r="F607"/>
  <c r="K631"/>
  <c r="K661"/>
  <c r="F671"/>
  <c r="K695"/>
  <c r="K725"/>
  <c r="F735"/>
  <c r="K759"/>
  <c r="K789"/>
  <c r="F799"/>
  <c r="K823"/>
  <c r="J855"/>
  <c r="H857"/>
  <c r="D857"/>
  <c r="K861"/>
  <c r="F871"/>
  <c r="F889"/>
  <c r="F909"/>
  <c r="K927"/>
  <c r="K977"/>
  <c r="K997"/>
  <c r="I1059"/>
  <c r="M1061"/>
  <c r="D1063"/>
  <c r="K1109"/>
  <c r="F1113"/>
  <c r="K1135"/>
  <c r="K1169"/>
  <c r="I1229"/>
  <c r="F1669"/>
  <c r="J851"/>
  <c r="H853"/>
  <c r="D853"/>
  <c r="K979"/>
  <c r="G1059"/>
  <c r="K1147"/>
  <c r="I2490"/>
  <c r="I2492"/>
  <c r="I2494"/>
  <c r="I2496"/>
  <c r="G573"/>
  <c r="M573"/>
  <c r="G577"/>
  <c r="K633"/>
  <c r="K697"/>
  <c r="K761"/>
  <c r="K825"/>
  <c r="I853"/>
  <c r="E853"/>
  <c r="G855"/>
  <c r="K901"/>
  <c r="K989"/>
  <c r="K1011"/>
  <c r="G1063"/>
  <c r="K1071"/>
  <c r="F1185"/>
  <c r="F1401"/>
  <c r="K1894"/>
  <c r="J1895"/>
  <c r="I1895"/>
  <c r="G1895"/>
  <c r="F535"/>
  <c r="K543"/>
  <c r="K557"/>
  <c r="F567"/>
  <c r="H573"/>
  <c r="N573"/>
  <c r="O572" s="1"/>
  <c r="H577"/>
  <c r="D577"/>
  <c r="K581"/>
  <c r="F591"/>
  <c r="K615"/>
  <c r="K645"/>
  <c r="F655"/>
  <c r="K679"/>
  <c r="K709"/>
  <c r="F719"/>
  <c r="K743"/>
  <c r="K773"/>
  <c r="F783"/>
  <c r="K807"/>
  <c r="K837"/>
  <c r="F847"/>
  <c r="H855"/>
  <c r="D855"/>
  <c r="F855" s="1"/>
  <c r="K879"/>
  <c r="K913"/>
  <c r="K933"/>
  <c r="K1031"/>
  <c r="I1065"/>
  <c r="F1145"/>
  <c r="K1201"/>
  <c r="G1231"/>
  <c r="F1353"/>
  <c r="K899"/>
  <c r="K931"/>
  <c r="K963"/>
  <c r="K995"/>
  <c r="K1035"/>
  <c r="D1059"/>
  <c r="N1059"/>
  <c r="O1058" s="1"/>
  <c r="L1061"/>
  <c r="N1063"/>
  <c r="O1062" s="1"/>
  <c r="N1065"/>
  <c r="O1064" s="1"/>
  <c r="K1089"/>
  <c r="K1139"/>
  <c r="K1195"/>
  <c r="K1205"/>
  <c r="N1229"/>
  <c r="O1228" s="1"/>
  <c r="J1233"/>
  <c r="K1391"/>
  <c r="F1541"/>
  <c r="K1665"/>
  <c r="E2059"/>
  <c r="J2059"/>
  <c r="H2059"/>
  <c r="N2059"/>
  <c r="O2058" s="1"/>
  <c r="F905"/>
  <c r="F937"/>
  <c r="F969"/>
  <c r="F1001"/>
  <c r="K1049"/>
  <c r="F1058"/>
  <c r="E1059"/>
  <c r="F1099"/>
  <c r="F1193"/>
  <c r="K1307"/>
  <c r="H1503"/>
  <c r="D1503"/>
  <c r="L1503"/>
  <c r="M1505"/>
  <c r="L1505"/>
  <c r="K1629"/>
  <c r="F1733"/>
  <c r="K1795"/>
  <c r="K1989"/>
  <c r="F2058"/>
  <c r="K1073"/>
  <c r="K1137"/>
  <c r="K1183"/>
  <c r="K1199"/>
  <c r="N1227"/>
  <c r="O1226" s="1"/>
  <c r="I1231"/>
  <c r="G1233"/>
  <c r="F1305"/>
  <c r="K1379"/>
  <c r="K1389"/>
  <c r="K1457"/>
  <c r="M1501"/>
  <c r="L1501"/>
  <c r="K1513"/>
  <c r="K1537"/>
  <c r="F1627"/>
  <c r="K1773"/>
  <c r="H2065"/>
  <c r="G2065"/>
  <c r="N2065"/>
  <c r="O2064" s="1"/>
  <c r="K2064"/>
  <c r="K1058"/>
  <c r="K1060"/>
  <c r="E1061"/>
  <c r="K1062"/>
  <c r="E1063"/>
  <c r="F1169"/>
  <c r="K1171"/>
  <c r="K1187"/>
  <c r="K1277"/>
  <c r="F1281"/>
  <c r="K1327"/>
  <c r="F1417"/>
  <c r="K1443"/>
  <c r="F1605"/>
  <c r="K1707"/>
  <c r="K1741"/>
  <c r="K1927"/>
  <c r="G1061"/>
  <c r="J1063"/>
  <c r="H1065"/>
  <c r="K1064"/>
  <c r="E1065"/>
  <c r="K1075"/>
  <c r="K1105"/>
  <c r="K1167"/>
  <c r="K1179"/>
  <c r="K1203"/>
  <c r="H1229"/>
  <c r="K1228"/>
  <c r="E1229"/>
  <c r="D1231"/>
  <c r="K1251"/>
  <c r="K1275"/>
  <c r="K1305"/>
  <c r="K1347"/>
  <c r="F1369"/>
  <c r="K1411"/>
  <c r="F1421"/>
  <c r="F1433"/>
  <c r="K1451"/>
  <c r="K1455"/>
  <c r="K1493"/>
  <c r="H1501"/>
  <c r="D1505"/>
  <c r="K1759"/>
  <c r="L1895"/>
  <c r="K1899"/>
  <c r="K1977"/>
  <c r="H2061"/>
  <c r="G2061"/>
  <c r="K2060"/>
  <c r="N2061"/>
  <c r="O2060" s="1"/>
  <c r="K2207"/>
  <c r="N1061"/>
  <c r="O1060" s="1"/>
  <c r="K1087"/>
  <c r="F1097"/>
  <c r="K1099"/>
  <c r="F1121"/>
  <c r="K1123"/>
  <c r="K1153"/>
  <c r="K1215"/>
  <c r="F1225"/>
  <c r="J1227"/>
  <c r="H1231"/>
  <c r="K1230"/>
  <c r="E1231"/>
  <c r="K1287"/>
  <c r="F1297"/>
  <c r="K1299"/>
  <c r="F1321"/>
  <c r="K1323"/>
  <c r="F1363"/>
  <c r="F1427"/>
  <c r="F1491"/>
  <c r="D1499"/>
  <c r="M1503"/>
  <c r="K1535"/>
  <c r="K1599"/>
  <c r="K1663"/>
  <c r="K1727"/>
  <c r="K1793"/>
  <c r="I2171"/>
  <c r="K2172"/>
  <c r="G2173"/>
  <c r="L2173"/>
  <c r="H1233"/>
  <c r="K1232"/>
  <c r="E1233"/>
  <c r="F1233" s="1"/>
  <c r="K1243"/>
  <c r="K1273"/>
  <c r="K1357"/>
  <c r="K1421"/>
  <c r="K1433"/>
  <c r="F1437"/>
  <c r="K1477"/>
  <c r="K1497"/>
  <c r="H1505"/>
  <c r="K1529"/>
  <c r="K1581"/>
  <c r="K1657"/>
  <c r="K1709"/>
  <c r="N1895"/>
  <c r="O1894" s="1"/>
  <c r="F1217"/>
  <c r="K1219"/>
  <c r="G1227"/>
  <c r="J1231"/>
  <c r="K1255"/>
  <c r="F1265"/>
  <c r="K1267"/>
  <c r="F1289"/>
  <c r="K1291"/>
  <c r="K1321"/>
  <c r="K1345"/>
  <c r="K1363"/>
  <c r="K1409"/>
  <c r="K1427"/>
  <c r="K1449"/>
  <c r="K1463"/>
  <c r="F1475"/>
  <c r="H1499"/>
  <c r="K1547"/>
  <c r="K1551"/>
  <c r="F1555"/>
  <c r="K1675"/>
  <c r="K1679"/>
  <c r="F1683"/>
  <c r="K1775"/>
  <c r="K1783"/>
  <c r="N1891"/>
  <c r="O1890" s="1"/>
  <c r="F1919"/>
  <c r="F2029"/>
  <c r="M2059"/>
  <c r="F1449"/>
  <c r="K1459"/>
  <c r="K1489"/>
  <c r="I1499"/>
  <c r="I1501"/>
  <c r="I1503"/>
  <c r="I1505"/>
  <c r="F1523"/>
  <c r="K1525"/>
  <c r="K1563"/>
  <c r="F1595"/>
  <c r="K1597"/>
  <c r="K1625"/>
  <c r="F1651"/>
  <c r="K1653"/>
  <c r="K1691"/>
  <c r="F1723"/>
  <c r="K1725"/>
  <c r="K1753"/>
  <c r="K1821"/>
  <c r="K1896"/>
  <c r="J1897"/>
  <c r="I1897"/>
  <c r="G1897"/>
  <c r="F1903"/>
  <c r="K1957"/>
  <c r="K2153"/>
  <c r="K1491"/>
  <c r="N1499"/>
  <c r="O1498" s="1"/>
  <c r="N1501"/>
  <c r="O1500" s="1"/>
  <c r="N1503"/>
  <c r="O1502" s="1"/>
  <c r="N1505"/>
  <c r="O1504" s="1"/>
  <c r="K1589"/>
  <c r="K1717"/>
  <c r="K1805"/>
  <c r="N1893"/>
  <c r="O1892" s="1"/>
  <c r="L1897"/>
  <c r="K1935"/>
  <c r="K1945"/>
  <c r="G2059"/>
  <c r="E2063"/>
  <c r="J2063"/>
  <c r="H2063"/>
  <c r="M2063"/>
  <c r="K2099"/>
  <c r="K2174"/>
  <c r="L2175"/>
  <c r="G2175"/>
  <c r="E2175"/>
  <c r="M2175"/>
  <c r="M2489"/>
  <c r="E2489"/>
  <c r="D2489"/>
  <c r="J2489"/>
  <c r="I2489"/>
  <c r="F2488"/>
  <c r="K1341"/>
  <c r="K1373"/>
  <c r="K1405"/>
  <c r="K1437"/>
  <c r="F1443"/>
  <c r="F1467"/>
  <c r="E1499"/>
  <c r="E1501"/>
  <c r="E1503"/>
  <c r="E1505"/>
  <c r="K1515"/>
  <c r="F1547"/>
  <c r="K1549"/>
  <c r="K1577"/>
  <c r="F1603"/>
  <c r="K1643"/>
  <c r="F1675"/>
  <c r="K1677"/>
  <c r="K1705"/>
  <c r="F1731"/>
  <c r="F1853"/>
  <c r="L1891"/>
  <c r="K1931"/>
  <c r="F1973"/>
  <c r="K1995"/>
  <c r="K2047"/>
  <c r="F2062"/>
  <c r="E2177"/>
  <c r="J2177"/>
  <c r="I2177"/>
  <c r="G2177"/>
  <c r="H2487"/>
  <c r="G2487"/>
  <c r="F1347"/>
  <c r="F1379"/>
  <c r="F1411"/>
  <c r="K1453"/>
  <c r="F1459"/>
  <c r="F1483"/>
  <c r="K1485"/>
  <c r="G1499"/>
  <c r="K1498"/>
  <c r="G1501"/>
  <c r="K1500"/>
  <c r="G1503"/>
  <c r="K1502"/>
  <c r="G1505"/>
  <c r="K1504"/>
  <c r="K1531"/>
  <c r="F1563"/>
  <c r="K1565"/>
  <c r="K1593"/>
  <c r="F1619"/>
  <c r="K1621"/>
  <c r="K1659"/>
  <c r="F1691"/>
  <c r="K1693"/>
  <c r="K1721"/>
  <c r="F1747"/>
  <c r="K1839"/>
  <c r="K1892"/>
  <c r="J1893"/>
  <c r="I1893"/>
  <c r="G1893"/>
  <c r="K1939"/>
  <c r="F1967"/>
  <c r="F2031"/>
  <c r="F2069"/>
  <c r="F1498"/>
  <c r="F1500"/>
  <c r="F1502"/>
  <c r="F1504"/>
  <c r="F1789"/>
  <c r="F1821"/>
  <c r="K1823"/>
  <c r="K1851"/>
  <c r="F1877"/>
  <c r="K1879"/>
  <c r="M1891"/>
  <c r="E1891"/>
  <c r="D1891"/>
  <c r="M1893"/>
  <c r="E1893"/>
  <c r="D1893"/>
  <c r="F1893" s="1"/>
  <c r="M1895"/>
  <c r="E1895"/>
  <c r="D1895"/>
  <c r="M1897"/>
  <c r="E1897"/>
  <c r="D1897"/>
  <c r="K1909"/>
  <c r="K1971"/>
  <c r="F1981"/>
  <c r="K1983"/>
  <c r="F2005"/>
  <c r="K2007"/>
  <c r="F2085"/>
  <c r="K2097"/>
  <c r="E2173"/>
  <c r="J2173"/>
  <c r="I2173"/>
  <c r="N2173"/>
  <c r="O2172" s="1"/>
  <c r="M2177"/>
  <c r="K1815"/>
  <c r="H1891"/>
  <c r="H1893"/>
  <c r="H1895"/>
  <c r="H1897"/>
  <c r="K1919"/>
  <c r="F2077"/>
  <c r="F2169"/>
  <c r="M2171"/>
  <c r="M2485"/>
  <c r="E2485"/>
  <c r="D2485"/>
  <c r="J2485"/>
  <c r="I2485"/>
  <c r="F2484"/>
  <c r="K1787"/>
  <c r="K1869"/>
  <c r="K1991"/>
  <c r="K2021"/>
  <c r="K2125"/>
  <c r="D2171"/>
  <c r="F2170"/>
  <c r="H2171"/>
  <c r="G2171"/>
  <c r="E2171"/>
  <c r="K2197"/>
  <c r="K1767"/>
  <c r="K1819"/>
  <c r="F1845"/>
  <c r="K1847"/>
  <c r="K1885"/>
  <c r="F1909"/>
  <c r="K1911"/>
  <c r="K1941"/>
  <c r="K2003"/>
  <c r="F2013"/>
  <c r="K2015"/>
  <c r="F2043"/>
  <c r="K2115"/>
  <c r="F2157"/>
  <c r="K2353"/>
  <c r="K2037"/>
  <c r="D2059"/>
  <c r="L2059"/>
  <c r="I2059"/>
  <c r="D2063"/>
  <c r="L2063"/>
  <c r="I2063"/>
  <c r="K2111"/>
  <c r="F2117"/>
  <c r="K2143"/>
  <c r="J2171"/>
  <c r="H2173"/>
  <c r="D2173"/>
  <c r="M2173"/>
  <c r="D2177"/>
  <c r="F2176"/>
  <c r="N2177"/>
  <c r="O2176" s="1"/>
  <c r="K2187"/>
  <c r="K2486"/>
  <c r="K2053"/>
  <c r="D2061"/>
  <c r="L2061"/>
  <c r="I2061"/>
  <c r="D2065"/>
  <c r="L2065"/>
  <c r="I2065"/>
  <c r="K2127"/>
  <c r="H2175"/>
  <c r="K2249"/>
  <c r="E2061"/>
  <c r="M2061"/>
  <c r="J2061"/>
  <c r="E2065"/>
  <c r="M2065"/>
  <c r="J2065"/>
  <c r="K2077"/>
  <c r="K2093"/>
  <c r="I2175"/>
  <c r="K2185"/>
  <c r="K2199"/>
  <c r="K2217"/>
  <c r="K2253"/>
  <c r="F2445"/>
  <c r="K2149"/>
  <c r="J2175"/>
  <c r="L2177"/>
  <c r="F2213"/>
  <c r="K2301"/>
  <c r="K2319"/>
  <c r="K2433"/>
  <c r="K2147"/>
  <c r="N2171"/>
  <c r="O2170" s="1"/>
  <c r="K2203"/>
  <c r="K2235"/>
  <c r="K2287"/>
  <c r="M2483"/>
  <c r="E2483"/>
  <c r="D2483"/>
  <c r="J2483"/>
  <c r="I2483"/>
  <c r="F2153"/>
  <c r="K2176"/>
  <c r="F2209"/>
  <c r="K2463"/>
  <c r="H2485"/>
  <c r="G2485"/>
  <c r="K2170"/>
  <c r="N2175"/>
  <c r="O2174" s="1"/>
  <c r="K2227"/>
  <c r="K2285"/>
  <c r="K2403"/>
  <c r="F2461"/>
  <c r="M2487"/>
  <c r="E2487"/>
  <c r="D2487"/>
  <c r="J2487"/>
  <c r="I2487"/>
  <c r="F2217"/>
  <c r="K2219"/>
  <c r="K2239"/>
  <c r="K2255"/>
  <c r="F2311"/>
  <c r="K2429"/>
  <c r="K2447"/>
  <c r="K2467"/>
  <c r="K2471"/>
  <c r="K2482"/>
  <c r="H2489"/>
  <c r="G2489"/>
  <c r="F2237"/>
  <c r="F2253"/>
  <c r="K2269"/>
  <c r="F2301"/>
  <c r="K2303"/>
  <c r="K2331"/>
  <c r="F2357"/>
  <c r="K2359"/>
  <c r="K2397"/>
  <c r="F2429"/>
  <c r="K2431"/>
  <c r="K2459"/>
  <c r="N2483"/>
  <c r="O2482" s="1"/>
  <c r="N2485"/>
  <c r="O2484" s="1"/>
  <c r="N2487"/>
  <c r="O2486" s="1"/>
  <c r="N2489"/>
  <c r="O2488" s="1"/>
  <c r="K2295"/>
  <c r="K2333"/>
  <c r="K2367"/>
  <c r="K2423"/>
  <c r="K2461"/>
  <c r="F2241"/>
  <c r="K2251"/>
  <c r="F2257"/>
  <c r="K2283"/>
  <c r="F2309"/>
  <c r="K2349"/>
  <c r="F2381"/>
  <c r="K2383"/>
  <c r="K2411"/>
  <c r="F2437"/>
  <c r="K2477"/>
  <c r="F2269"/>
  <c r="K2271"/>
  <c r="K2299"/>
  <c r="F2325"/>
  <c r="K2327"/>
  <c r="K2365"/>
  <c r="F2397"/>
  <c r="K2399"/>
  <c r="K2427"/>
  <c r="F2453"/>
  <c r="K2455"/>
  <c r="L2483"/>
  <c r="L2485"/>
  <c r="L2487"/>
  <c r="L2489"/>
  <c r="H2497" l="1"/>
  <c r="F1231"/>
  <c r="I2491"/>
  <c r="M2495"/>
  <c r="K2065"/>
  <c r="K2483"/>
  <c r="F1501"/>
  <c r="K99"/>
  <c r="K311"/>
  <c r="K2489"/>
  <c r="K1499"/>
  <c r="F2175"/>
  <c r="F2177"/>
  <c r="K2171"/>
  <c r="K2177"/>
  <c r="F1061"/>
  <c r="F2061"/>
  <c r="F2173"/>
  <c r="F2063"/>
  <c r="K1503"/>
  <c r="F2489"/>
  <c r="K2061"/>
  <c r="K1061"/>
  <c r="K857"/>
  <c r="K571"/>
  <c r="K577"/>
  <c r="F1499"/>
  <c r="K853"/>
  <c r="F309"/>
  <c r="F573"/>
  <c r="F2487"/>
  <c r="K1501"/>
  <c r="K2063"/>
  <c r="F101"/>
  <c r="E2497"/>
  <c r="K309"/>
  <c r="F2059"/>
  <c r="F1897"/>
  <c r="I2493"/>
  <c r="L2491"/>
  <c r="L2493"/>
  <c r="K1505"/>
  <c r="L2497"/>
  <c r="K2494"/>
  <c r="G2495"/>
  <c r="F1505"/>
  <c r="F2496"/>
  <c r="F307"/>
  <c r="K2485"/>
  <c r="F2171"/>
  <c r="F1059"/>
  <c r="K1895"/>
  <c r="K573"/>
  <c r="D2497"/>
  <c r="F2497" s="1"/>
  <c r="F1065"/>
  <c r="E2495"/>
  <c r="K2496"/>
  <c r="G2497"/>
  <c r="K1229"/>
  <c r="K101"/>
  <c r="K1891"/>
  <c r="N2493"/>
  <c r="O2492" s="1"/>
  <c r="N2497"/>
  <c r="O2496" s="1"/>
  <c r="K1893"/>
  <c r="F2483"/>
  <c r="F2065"/>
  <c r="F2485"/>
  <c r="F1891"/>
  <c r="K2175"/>
  <c r="K2059"/>
  <c r="K1897"/>
  <c r="K1059"/>
  <c r="L2495"/>
  <c r="D2491"/>
  <c r="H2495"/>
  <c r="F851"/>
  <c r="J2493"/>
  <c r="K2492"/>
  <c r="G2493"/>
  <c r="F99"/>
  <c r="K2487"/>
  <c r="E2493"/>
  <c r="N2491"/>
  <c r="O2490" s="1"/>
  <c r="J2495"/>
  <c r="K1227"/>
  <c r="K105"/>
  <c r="K575"/>
  <c r="K1233"/>
  <c r="F1503"/>
  <c r="K1231"/>
  <c r="K1063"/>
  <c r="K855"/>
  <c r="I2497"/>
  <c r="F857"/>
  <c r="K851"/>
  <c r="K307"/>
  <c r="M2497"/>
  <c r="M2491"/>
  <c r="H2493"/>
  <c r="F1063"/>
  <c r="H2491"/>
  <c r="D2493"/>
  <c r="K2490"/>
  <c r="G2491"/>
  <c r="K1065"/>
  <c r="F577"/>
  <c r="J2491"/>
  <c r="F1895"/>
  <c r="K2173"/>
  <c r="I2495"/>
  <c r="F853"/>
  <c r="D2495"/>
  <c r="F2495" s="1"/>
  <c r="F1229"/>
  <c r="M2493"/>
  <c r="F311"/>
  <c r="J2497"/>
  <c r="N2495"/>
  <c r="O2494" s="1"/>
  <c r="E2491"/>
  <c r="K2491" l="1"/>
  <c r="F2491"/>
  <c r="K2495"/>
  <c r="K2493"/>
  <c r="K2497"/>
  <c r="F2493"/>
  <c r="E1039" i="12" l="1"/>
  <c r="D1036"/>
  <c r="E1034"/>
  <c r="D1037"/>
  <c r="E1041"/>
  <c r="E1036"/>
  <c r="D1032"/>
  <c r="E1037"/>
  <c r="D1040"/>
  <c r="E1032"/>
  <c r="D1035"/>
  <c r="E1040"/>
  <c r="E1033"/>
  <c r="E1035"/>
  <c r="D1038"/>
  <c r="D1033"/>
  <c r="E1038"/>
  <c r="D1041"/>
  <c r="D1039"/>
  <c r="D1034"/>
  <c r="H1035" l="1"/>
  <c r="H1038"/>
  <c r="H1037"/>
  <c r="H1041"/>
  <c r="H1040"/>
  <c r="H1042"/>
  <c r="H1033"/>
  <c r="H1034"/>
  <c r="H1036"/>
  <c r="H1032"/>
  <c r="H1039"/>
  <c r="Q2042" i="4" l="1"/>
  <c r="Q2041"/>
  <c r="Q2037"/>
  <c r="Q2030"/>
  <c r="Q2019"/>
  <c r="Q2013"/>
  <c r="Q1983"/>
  <c r="Q1948"/>
  <c r="Q1944"/>
  <c r="Q1942"/>
  <c r="Q1938"/>
  <c r="Q1936"/>
  <c r="Q1923"/>
  <c r="Q1907"/>
  <c r="Q1904"/>
  <c r="Q1900"/>
  <c r="Q1899"/>
  <c r="Q1892"/>
  <c r="Q1889"/>
  <c r="Q1870"/>
  <c r="Q1845"/>
  <c r="Q1838"/>
  <c r="Q1836"/>
  <c r="Q1835"/>
  <c r="Q1834"/>
  <c r="Q1832"/>
  <c r="Q1828"/>
  <c r="Q1818"/>
  <c r="Q1811"/>
  <c r="Q1759"/>
  <c r="Q1714"/>
  <c r="Q1709"/>
  <c r="Q1708"/>
  <c r="Q1707"/>
  <c r="Q1705"/>
  <c r="Q1703"/>
  <c r="Q1696"/>
  <c r="Q1691"/>
  <c r="Q1650"/>
  <c r="Q1621"/>
  <c r="Q1617"/>
  <c r="Q1616"/>
  <c r="Q1614"/>
  <c r="Q1609"/>
  <c r="Q1603"/>
  <c r="Q1601"/>
  <c r="Q1580"/>
  <c r="Q1559"/>
  <c r="Q1552"/>
  <c r="Q1550"/>
  <c r="Q1549"/>
  <c r="Q1547"/>
  <c r="Q1545"/>
  <c r="Q1541"/>
  <c r="Q1537"/>
  <c r="Q1507"/>
  <c r="Q1479"/>
  <c r="Q1474"/>
  <c r="Q1473"/>
  <c r="Q1467"/>
  <c r="Q1466"/>
  <c r="Q1463"/>
  <c r="Q1453"/>
  <c r="Q1448"/>
  <c r="Q1406"/>
  <c r="Q1371"/>
  <c r="Q1367"/>
  <c r="Q1366"/>
  <c r="Q1364"/>
  <c r="Q1363"/>
  <c r="Q1360"/>
  <c r="Q1352"/>
  <c r="Q1348"/>
  <c r="Q1312"/>
  <c r="Q1283"/>
  <c r="Q1280"/>
  <c r="Q1278"/>
  <c r="Q1272"/>
  <c r="Q1265"/>
  <c r="Q1262"/>
  <c r="Q1234"/>
  <c r="Q1206"/>
  <c r="Q1204"/>
  <c r="Q1202"/>
  <c r="Q1198"/>
  <c r="Q1196"/>
  <c r="Q1191"/>
  <c r="Q1189"/>
  <c r="Q1174"/>
  <c r="Q1159"/>
  <c r="F1795" i="5" l="1"/>
  <c r="M1795" s="1"/>
  <c r="E1795"/>
  <c r="F1794"/>
  <c r="M1794" s="1"/>
  <c r="E1794"/>
  <c r="F1793"/>
  <c r="M1793" s="1"/>
  <c r="E1793"/>
  <c r="F1792"/>
  <c r="M1792" s="1"/>
  <c r="E1792"/>
  <c r="F1791"/>
  <c r="M1791" s="1"/>
  <c r="E1791"/>
  <c r="F1790"/>
  <c r="M1790" s="1"/>
  <c r="E1790"/>
  <c r="F1789"/>
  <c r="M1789" s="1"/>
  <c r="E1789"/>
  <c r="F1788"/>
  <c r="M1788" s="1"/>
  <c r="E1788"/>
  <c r="Q1783"/>
  <c r="Q1775"/>
  <c r="Q1772"/>
  <c r="Q1767"/>
  <c r="Q1735"/>
  <c r="Q1696"/>
  <c r="Q1694"/>
  <c r="Q1692"/>
  <c r="Q1690"/>
  <c r="Q1679"/>
  <c r="Q1662"/>
  <c r="Q1659"/>
  <c r="Q1655"/>
  <c r="Q1653"/>
  <c r="Q1649"/>
  <c r="Q1629"/>
  <c r="Q1602"/>
  <c r="Q1600"/>
  <c r="Q1595"/>
  <c r="Q1587"/>
  <c r="Q1580"/>
  <c r="Q1532"/>
  <c r="Q1486"/>
  <c r="Q1484"/>
  <c r="Q1482"/>
  <c r="Q1479"/>
  <c r="Q1474"/>
  <c r="Q1442"/>
  <c r="Q1406"/>
  <c r="Q1403"/>
  <c r="Q1398"/>
  <c r="Q1395"/>
  <c r="Q1393"/>
  <c r="Q1375"/>
  <c r="Q1354"/>
  <c r="Q1353"/>
  <c r="Q1351"/>
  <c r="Q1347"/>
  <c r="Q1343"/>
  <c r="Q1314"/>
  <c r="Q1284"/>
  <c r="Q1282"/>
  <c r="Q1279"/>
  <c r="Q1274"/>
  <c r="Q1269"/>
  <c r="Q1233"/>
  <c r="Q1195"/>
  <c r="Q1194"/>
  <c r="Q1190"/>
  <c r="Q1186"/>
  <c r="Q1182"/>
  <c r="Q1150"/>
  <c r="Q1111"/>
  <c r="Q1108"/>
  <c r="Q1101"/>
  <c r="Q1098"/>
  <c r="Q1095"/>
  <c r="Q1073"/>
  <c r="Q1045"/>
  <c r="Q1042"/>
  <c r="Q1041"/>
  <c r="Q1039"/>
  <c r="Q1037"/>
  <c r="Q1022"/>
  <c r="Q1007"/>
  <c r="E1002"/>
  <c r="D995"/>
  <c r="E1001"/>
  <c r="E1796" l="1"/>
  <c r="E1797" s="1"/>
  <c r="F1796"/>
  <c r="M1796" s="1"/>
  <c r="E996"/>
  <c r="D999"/>
  <c r="D994"/>
  <c r="E999"/>
  <c r="D1002"/>
  <c r="D1000"/>
  <c r="E995"/>
  <c r="D998"/>
  <c r="D997"/>
  <c r="E997"/>
  <c r="E1000"/>
  <c r="E998"/>
  <c r="D1001"/>
  <c r="E994"/>
  <c r="D996"/>
  <c r="D1003" l="1"/>
  <c r="D1004" s="1"/>
  <c r="E1003"/>
  <c r="J997" s="1"/>
  <c r="J996" l="1"/>
  <c r="J994"/>
  <c r="J1000"/>
  <c r="J995"/>
  <c r="J999"/>
  <c r="J998"/>
  <c r="J1003"/>
  <c r="J1001"/>
  <c r="J1002"/>
  <c r="F2062" i="4" l="1"/>
  <c r="M2062" s="1"/>
  <c r="E2062"/>
  <c r="F2061"/>
  <c r="M2061" s="1"/>
  <c r="E2061"/>
  <c r="F2060"/>
  <c r="M2060" s="1"/>
  <c r="E2060"/>
  <c r="F2059"/>
  <c r="M2059" s="1"/>
  <c r="M2058"/>
  <c r="F2058"/>
  <c r="E2058"/>
  <c r="F2057"/>
  <c r="M2057" s="1"/>
  <c r="E2057"/>
  <c r="F2056"/>
  <c r="M2056" s="1"/>
  <c r="E2056"/>
  <c r="F2055"/>
  <c r="M2055" s="1"/>
  <c r="E2055"/>
  <c r="F2054"/>
  <c r="M2054" s="1"/>
  <c r="E2054"/>
  <c r="F2053"/>
  <c r="M2053" s="1"/>
  <c r="E2053"/>
  <c r="F2052"/>
  <c r="M2052" s="1"/>
  <c r="E2052"/>
  <c r="F2051"/>
  <c r="E2051"/>
  <c r="M2050"/>
  <c r="F2050"/>
  <c r="E2050"/>
  <c r="I2047"/>
  <c r="H2047"/>
  <c r="G2047"/>
  <c r="E2059" l="1"/>
  <c r="E2063"/>
  <c r="E2064" s="1"/>
  <c r="F2063"/>
  <c r="M2051"/>
  <c r="E1144" l="1"/>
  <c r="D1144"/>
  <c r="D1154"/>
  <c r="D1150"/>
  <c r="D1146"/>
  <c r="E1151"/>
  <c r="E1147"/>
  <c r="D1151"/>
  <c r="D1147"/>
  <c r="D1153"/>
  <c r="D1149"/>
  <c r="D1145"/>
  <c r="E1152"/>
  <c r="D1152"/>
  <c r="E1149"/>
  <c r="E1154"/>
  <c r="E1148"/>
  <c r="D1148"/>
  <c r="E1153"/>
  <c r="E1150"/>
  <c r="E1146"/>
  <c r="E1145"/>
  <c r="D1155" l="1"/>
  <c r="D1156" s="1"/>
  <c r="E1155"/>
  <c r="J1144" s="1"/>
  <c r="J1152" l="1"/>
  <c r="J1153"/>
  <c r="J1150"/>
  <c r="J1147"/>
  <c r="J1151"/>
  <c r="J1146"/>
  <c r="J1149"/>
  <c r="J1154"/>
  <c r="J1148"/>
  <c r="J1145"/>
  <c r="D972" i="1" l="1"/>
  <c r="D973"/>
  <c r="D762"/>
  <c r="D763"/>
  <c r="D726"/>
  <c r="D727"/>
  <c r="D632"/>
  <c r="D633"/>
  <c r="D594"/>
  <c r="D595"/>
  <c r="D583"/>
  <c r="D584"/>
  <c r="D571"/>
  <c r="D572"/>
  <c r="D529"/>
  <c r="D530"/>
  <c r="D489"/>
  <c r="D490"/>
  <c r="D491"/>
  <c r="D465"/>
  <c r="D466"/>
  <c r="D467"/>
  <c r="D157"/>
  <c r="D158"/>
  <c r="D107"/>
  <c r="D108"/>
  <c r="D1085"/>
  <c r="D1086"/>
  <c r="D1261"/>
  <c r="D1262"/>
  <c r="D758" l="1"/>
  <c r="U1128" i="2"/>
  <c r="U1127"/>
  <c r="U1126"/>
  <c r="U1125"/>
  <c r="U1124"/>
  <c r="U1123"/>
  <c r="U1122"/>
  <c r="U1121"/>
  <c r="U1120"/>
  <c r="U1119"/>
  <c r="D934" i="1" l="1"/>
  <c r="D936"/>
  <c r="D775"/>
  <c r="D776"/>
  <c r="D317"/>
  <c r="D328"/>
  <c r="D182"/>
  <c r="D183"/>
  <c r="D338"/>
  <c r="D339"/>
  <c r="D521"/>
  <c r="D522"/>
  <c r="D116"/>
  <c r="D1146" l="1"/>
  <c r="D398"/>
  <c r="D399"/>
  <c r="D535"/>
  <c r="D159" l="1"/>
  <c r="D160"/>
  <c r="D28"/>
  <c r="D29"/>
  <c r="D1168"/>
  <c r="D1169"/>
  <c r="D1109"/>
  <c r="D1110"/>
  <c r="D1064"/>
  <c r="D1065"/>
  <c r="D255"/>
  <c r="D256"/>
  <c r="D956"/>
  <c r="D356" l="1"/>
  <c r="D669"/>
  <c r="D800" l="1"/>
  <c r="D801"/>
  <c r="D719"/>
  <c r="D720"/>
  <c r="D861" l="1"/>
  <c r="D863"/>
  <c r="D1164"/>
  <c r="D1167"/>
  <c r="D1111"/>
  <c r="D766"/>
  <c r="D768"/>
  <c r="D592"/>
  <c r="D388"/>
  <c r="D392"/>
  <c r="D265"/>
  <c r="D268"/>
  <c r="D239"/>
  <c r="D1288"/>
  <c r="D1289"/>
  <c r="D1282"/>
  <c r="D1278"/>
  <c r="D1279"/>
  <c r="D1188"/>
  <c r="D701"/>
  <c r="D702"/>
  <c r="D596"/>
  <c r="D589"/>
  <c r="D590"/>
  <c r="D241"/>
  <c r="D242"/>
  <c r="D474"/>
  <c r="D475"/>
  <c r="D332"/>
  <c r="D333"/>
  <c r="D326"/>
  <c r="D327"/>
  <c r="D1236"/>
  <c r="D1237"/>
  <c r="D556"/>
  <c r="D557"/>
  <c r="D520"/>
  <c r="D516"/>
  <c r="D517"/>
  <c r="D502"/>
  <c r="D503"/>
  <c r="D480"/>
  <c r="D481"/>
  <c r="D482"/>
  <c r="D299"/>
  <c r="D300"/>
  <c r="D301"/>
  <c r="D163"/>
  <c r="D164"/>
  <c r="D41"/>
  <c r="D1253"/>
  <c r="D1254"/>
  <c r="D246" l="1"/>
  <c r="D608" l="1"/>
  <c r="D609"/>
  <c r="D248"/>
  <c r="D1174"/>
  <c r="D997"/>
  <c r="D999"/>
  <c r="D854"/>
  <c r="D857"/>
  <c r="D858"/>
  <c r="D729"/>
  <c r="D411"/>
  <c r="D414"/>
  <c r="D315"/>
  <c r="D88"/>
  <c r="D14"/>
  <c r="D16"/>
  <c r="D657"/>
  <c r="D659"/>
  <c r="D1121"/>
  <c r="D33"/>
  <c r="D20"/>
  <c r="D17"/>
  <c r="D6"/>
  <c r="D7"/>
  <c r="D324" l="1"/>
  <c r="D1264"/>
  <c r="D1150"/>
  <c r="D1152"/>
  <c r="D1014"/>
  <c r="D1016"/>
  <c r="D849"/>
  <c r="D851"/>
  <c r="D439"/>
  <c r="D441"/>
  <c r="D464"/>
  <c r="D468"/>
  <c r="D469"/>
  <c r="D470"/>
  <c r="D366"/>
  <c r="D365"/>
  <c r="D367"/>
  <c r="D865"/>
  <c r="D846" l="1"/>
  <c r="D847"/>
  <c r="D341"/>
  <c r="D342"/>
  <c r="D1293" l="1"/>
  <c r="D1295"/>
  <c r="D1241"/>
  <c r="D1243"/>
  <c r="D1181"/>
  <c r="D1183"/>
  <c r="D1165"/>
  <c r="D1136"/>
  <c r="D1103"/>
  <c r="D1089"/>
  <c r="D1091"/>
  <c r="D993"/>
  <c r="D995"/>
  <c r="D985"/>
  <c r="D987"/>
  <c r="D965"/>
  <c r="D964"/>
  <c r="D841"/>
  <c r="D839"/>
  <c r="D842"/>
  <c r="D840"/>
  <c r="D830"/>
  <c r="D832"/>
  <c r="D807"/>
  <c r="D797"/>
  <c r="D799"/>
  <c r="D754"/>
  <c r="D753"/>
  <c r="D653"/>
  <c r="D655"/>
  <c r="D615"/>
  <c r="D617"/>
  <c r="D577"/>
  <c r="D580"/>
  <c r="D567"/>
  <c r="D569"/>
  <c r="D559"/>
  <c r="D539"/>
  <c r="D497"/>
  <c r="D500"/>
  <c r="D494"/>
  <c r="D484"/>
  <c r="D487"/>
  <c r="D426"/>
  <c r="D429"/>
  <c r="D422"/>
  <c r="D421"/>
  <c r="D389"/>
  <c r="D379"/>
  <c r="D382"/>
  <c r="D370"/>
  <c r="D373"/>
  <c r="D304"/>
  <c r="D307"/>
  <c r="D289"/>
  <c r="D292"/>
  <c r="D271"/>
  <c r="D261"/>
  <c r="D263"/>
  <c r="D257"/>
  <c r="D188"/>
  <c r="D161"/>
  <c r="D146"/>
  <c r="D148"/>
  <c r="D1190"/>
  <c r="D1191"/>
  <c r="D919" l="1"/>
  <c r="D644"/>
  <c r="D646"/>
  <c r="D172"/>
  <c r="D171"/>
  <c r="D166"/>
  <c r="D1124"/>
  <c r="D1126"/>
  <c r="D1025"/>
  <c r="D666"/>
  <c r="D661"/>
  <c r="D663"/>
  <c r="Q1119" i="2" l="1"/>
  <c r="T1307" i="1"/>
  <c r="T1306"/>
  <c r="T1305"/>
  <c r="T1304"/>
  <c r="T1303"/>
  <c r="T1302"/>
  <c r="T1301"/>
  <c r="T1300"/>
  <c r="T1299"/>
  <c r="T1298"/>
  <c r="D1275"/>
  <c r="E928" i="2" l="1"/>
  <c r="E929"/>
  <c r="E931"/>
  <c r="E930"/>
  <c r="E1108"/>
  <c r="E1110"/>
  <c r="E1112"/>
  <c r="E1109"/>
  <c r="E1111"/>
  <c r="E1113"/>
  <c r="E1104"/>
  <c r="E1105"/>
  <c r="E1106"/>
  <c r="E1107"/>
  <c r="E1099"/>
  <c r="E1100"/>
  <c r="E1101"/>
  <c r="E1103"/>
  <c r="E1098"/>
  <c r="E1102"/>
  <c r="E1079"/>
  <c r="E1087"/>
  <c r="E1095"/>
  <c r="E1097"/>
  <c r="E1093"/>
  <c r="E1080"/>
  <c r="E1088"/>
  <c r="E1096"/>
  <c r="E1081"/>
  <c r="E1089"/>
  <c r="E1085"/>
  <c r="E1086"/>
  <c r="E1082"/>
  <c r="E1090"/>
  <c r="E1083"/>
  <c r="E1091"/>
  <c r="E1084"/>
  <c r="E1092"/>
  <c r="E1094"/>
  <c r="E1063"/>
  <c r="E1071"/>
  <c r="E1064"/>
  <c r="E1072"/>
  <c r="E1065"/>
  <c r="E1073"/>
  <c r="E1066"/>
  <c r="E1068"/>
  <c r="E1069"/>
  <c r="E1070"/>
  <c r="E1067"/>
  <c r="E992"/>
  <c r="E994"/>
  <c r="E993"/>
  <c r="E991"/>
  <c r="E987"/>
  <c r="E988"/>
  <c r="E989"/>
  <c r="E982"/>
  <c r="E983"/>
  <c r="E984"/>
  <c r="E985"/>
  <c r="E986"/>
  <c r="E979"/>
  <c r="E978"/>
  <c r="E943"/>
  <c r="E944"/>
  <c r="E936"/>
  <c r="E937"/>
  <c r="E938"/>
  <c r="E940"/>
  <c r="E941"/>
  <c r="E935"/>
  <c r="E939"/>
  <c r="E876"/>
  <c r="E875"/>
  <c r="E874"/>
  <c r="E871"/>
  <c r="E872"/>
  <c r="E873"/>
  <c r="E867"/>
  <c r="E868"/>
  <c r="E869"/>
  <c r="E870"/>
  <c r="E865"/>
  <c r="E866"/>
  <c r="E861"/>
  <c r="E862"/>
  <c r="E863"/>
  <c r="E864"/>
  <c r="E833"/>
  <c r="E841"/>
  <c r="E849"/>
  <c r="E857"/>
  <c r="E878"/>
  <c r="E834"/>
  <c r="E842"/>
  <c r="E850"/>
  <c r="E858"/>
  <c r="E879"/>
  <c r="E844"/>
  <c r="E860"/>
  <c r="E845"/>
  <c r="E846"/>
  <c r="E847"/>
  <c r="E840"/>
  <c r="E848"/>
  <c r="E835"/>
  <c r="E843"/>
  <c r="E851"/>
  <c r="E859"/>
  <c r="E836"/>
  <c r="E852"/>
  <c r="E837"/>
  <c r="E853"/>
  <c r="E838"/>
  <c r="E854"/>
  <c r="E839"/>
  <c r="E855"/>
  <c r="E832"/>
  <c r="E856"/>
  <c r="E877"/>
  <c r="E827"/>
  <c r="E828"/>
  <c r="E829"/>
  <c r="E830"/>
  <c r="E823"/>
  <c r="E831"/>
  <c r="E824"/>
  <c r="E825"/>
  <c r="E826"/>
  <c r="E801"/>
  <c r="E809"/>
  <c r="E802"/>
  <c r="E810"/>
  <c r="E803"/>
  <c r="E811"/>
  <c r="E808"/>
  <c r="E804"/>
  <c r="E812"/>
  <c r="E805"/>
  <c r="E806"/>
  <c r="E807"/>
  <c r="E800"/>
  <c r="E713"/>
  <c r="E711"/>
  <c r="E712"/>
  <c r="E704"/>
  <c r="E706"/>
  <c r="E705"/>
  <c r="E692"/>
  <c r="E700"/>
  <c r="E693"/>
  <c r="E701"/>
  <c r="E702"/>
  <c r="E695"/>
  <c r="E696"/>
  <c r="E697"/>
  <c r="E698"/>
  <c r="E691"/>
  <c r="E694"/>
  <c r="E699"/>
  <c r="E664"/>
  <c r="E672"/>
  <c r="E680"/>
  <c r="E665"/>
  <c r="E673"/>
  <c r="E681"/>
  <c r="E666"/>
  <c r="E674"/>
  <c r="E682"/>
  <c r="E668"/>
  <c r="E684"/>
  <c r="E677"/>
  <c r="E678"/>
  <c r="E679"/>
  <c r="E667"/>
  <c r="E675"/>
  <c r="E683"/>
  <c r="E676"/>
  <c r="E669"/>
  <c r="E670"/>
  <c r="E671"/>
  <c r="E588"/>
  <c r="E589"/>
  <c r="E590"/>
  <c r="E591"/>
  <c r="E586"/>
  <c r="E587"/>
  <c r="E583"/>
  <c r="E584"/>
  <c r="E582"/>
  <c r="E576"/>
  <c r="E577"/>
  <c r="E573"/>
  <c r="E574"/>
  <c r="E578"/>
  <c r="E579"/>
  <c r="E580"/>
  <c r="E581"/>
  <c r="E575"/>
  <c r="E568"/>
  <c r="E569"/>
  <c r="E570"/>
  <c r="E567"/>
  <c r="E502"/>
  <c r="E510"/>
  <c r="E503"/>
  <c r="E511"/>
  <c r="E504"/>
  <c r="E512"/>
  <c r="E505"/>
  <c r="E506"/>
  <c r="E507"/>
  <c r="E508"/>
  <c r="E509"/>
  <c r="E513"/>
  <c r="E514"/>
  <c r="E515"/>
  <c r="E516"/>
  <c r="E487"/>
  <c r="E495"/>
  <c r="E481"/>
  <c r="E497"/>
  <c r="E490"/>
  <c r="E483"/>
  <c r="E499"/>
  <c r="E492"/>
  <c r="E485"/>
  <c r="E501"/>
  <c r="E494"/>
  <c r="E488"/>
  <c r="E496"/>
  <c r="E489"/>
  <c r="E482"/>
  <c r="E498"/>
  <c r="E491"/>
  <c r="E484"/>
  <c r="E500"/>
  <c r="E493"/>
  <c r="E486"/>
  <c r="E459"/>
  <c r="E467"/>
  <c r="E475"/>
  <c r="E460"/>
  <c r="E468"/>
  <c r="E461"/>
  <c r="E469"/>
  <c r="E462"/>
  <c r="E470"/>
  <c r="E458"/>
  <c r="E474"/>
  <c r="E463"/>
  <c r="E471"/>
  <c r="E464"/>
  <c r="E472"/>
  <c r="E465"/>
  <c r="E473"/>
  <c r="E466"/>
  <c r="E394"/>
  <c r="E397"/>
  <c r="E398"/>
  <c r="E396"/>
  <c r="E376"/>
  <c r="E384"/>
  <c r="E377"/>
  <c r="E385"/>
  <c r="E378"/>
  <c r="E386"/>
  <c r="E379"/>
  <c r="E387"/>
  <c r="E380"/>
  <c r="E388"/>
  <c r="E373"/>
  <c r="E381"/>
  <c r="E389"/>
  <c r="E374"/>
  <c r="E382"/>
  <c r="E390"/>
  <c r="E375"/>
  <c r="E383"/>
  <c r="E391"/>
  <c r="E360"/>
  <c r="E368"/>
  <c r="E372"/>
  <c r="E361"/>
  <c r="E369"/>
  <c r="E353"/>
  <c r="E362"/>
  <c r="E370"/>
  <c r="E355"/>
  <c r="E363"/>
  <c r="E392"/>
  <c r="E356"/>
  <c r="E364"/>
  <c r="E357"/>
  <c r="E365"/>
  <c r="E358"/>
  <c r="E366"/>
  <c r="E359"/>
  <c r="E367"/>
  <c r="E332"/>
  <c r="E340"/>
  <c r="E333"/>
  <c r="E341"/>
  <c r="E334"/>
  <c r="E342"/>
  <c r="E335"/>
  <c r="E343"/>
  <c r="E347"/>
  <c r="E336"/>
  <c r="E344"/>
  <c r="E337"/>
  <c r="E345"/>
  <c r="E338"/>
  <c r="E346"/>
  <c r="E331"/>
  <c r="E339"/>
  <c r="E258"/>
  <c r="E259"/>
  <c r="E260"/>
  <c r="E257"/>
  <c r="E256"/>
  <c r="E249"/>
  <c r="E250"/>
  <c r="E251"/>
  <c r="E244"/>
  <c r="E252"/>
  <c r="E245"/>
  <c r="E253"/>
  <c r="E246"/>
  <c r="E254"/>
  <c r="E247"/>
  <c r="E255"/>
  <c r="E248"/>
  <c r="E225"/>
  <c r="E233"/>
  <c r="E241"/>
  <c r="E226"/>
  <c r="E234"/>
  <c r="E242"/>
  <c r="E227"/>
  <c r="E235"/>
  <c r="E228"/>
  <c r="E236"/>
  <c r="E229"/>
  <c r="E237"/>
  <c r="E239"/>
  <c r="E230"/>
  <c r="E238"/>
  <c r="E231"/>
  <c r="E232"/>
  <c r="E240"/>
  <c r="E209"/>
  <c r="E217"/>
  <c r="E210"/>
  <c r="E218"/>
  <c r="E211"/>
  <c r="E219"/>
  <c r="E212"/>
  <c r="E220"/>
  <c r="E205"/>
  <c r="E213"/>
  <c r="E221"/>
  <c r="E206"/>
  <c r="E214"/>
  <c r="E207"/>
  <c r="E215"/>
  <c r="E208"/>
  <c r="E216"/>
  <c r="E138"/>
  <c r="E131"/>
  <c r="E132"/>
  <c r="E133"/>
  <c r="E134"/>
  <c r="E135"/>
  <c r="E137"/>
  <c r="E136"/>
  <c r="E127"/>
  <c r="E140"/>
  <c r="E128"/>
  <c r="E141"/>
  <c r="E129"/>
  <c r="E142"/>
  <c r="E122"/>
  <c r="E130"/>
  <c r="E143"/>
  <c r="E123"/>
  <c r="E144"/>
  <c r="E124"/>
  <c r="E125"/>
  <c r="E126"/>
  <c r="E139"/>
  <c r="E115"/>
  <c r="E116"/>
  <c r="E117"/>
  <c r="E118"/>
  <c r="E120"/>
  <c r="E121"/>
  <c r="E114"/>
  <c r="E119"/>
  <c r="E98"/>
  <c r="E107"/>
  <c r="E99"/>
  <c r="E108"/>
  <c r="E100"/>
  <c r="E101"/>
  <c r="E102"/>
  <c r="E103"/>
  <c r="E112"/>
  <c r="E104"/>
  <c r="E106"/>
  <c r="E109"/>
  <c r="E110"/>
  <c r="E111"/>
  <c r="E1055"/>
  <c r="E47"/>
  <c r="E31"/>
  <c r="E48"/>
  <c r="E32"/>
  <c r="E41"/>
  <c r="E39"/>
  <c r="E33"/>
  <c r="E42"/>
  <c r="E40"/>
  <c r="E34"/>
  <c r="E43"/>
  <c r="E35"/>
  <c r="E28"/>
  <c r="E44"/>
  <c r="E36"/>
  <c r="E29"/>
  <c r="E45"/>
  <c r="E37"/>
  <c r="E30"/>
  <c r="E46"/>
  <c r="E38"/>
  <c r="E1001"/>
  <c r="E1009"/>
  <c r="E1017"/>
  <c r="E1002"/>
  <c r="E1010"/>
  <c r="E1018"/>
  <c r="E995"/>
  <c r="E1003"/>
  <c r="E1011"/>
  <c r="E1019"/>
  <c r="E996"/>
  <c r="E1004"/>
  <c r="E1012"/>
  <c r="E1020"/>
  <c r="E997"/>
  <c r="E1005"/>
  <c r="E1013"/>
  <c r="E1021"/>
  <c r="E998"/>
  <c r="E1006"/>
  <c r="E1014"/>
  <c r="E1056"/>
  <c r="E999"/>
  <c r="E1007"/>
  <c r="E1015"/>
  <c r="E1000"/>
  <c r="E1008"/>
  <c r="E1016"/>
  <c r="E956"/>
  <c r="E964"/>
  <c r="E972"/>
  <c r="E957"/>
  <c r="E965"/>
  <c r="E974"/>
  <c r="E958"/>
  <c r="E966"/>
  <c r="E975"/>
  <c r="E951"/>
  <c r="E959"/>
  <c r="E967"/>
  <c r="E952"/>
  <c r="E960"/>
  <c r="E968"/>
  <c r="E953"/>
  <c r="E961"/>
  <c r="E969"/>
  <c r="E954"/>
  <c r="E962"/>
  <c r="E970"/>
  <c r="E955"/>
  <c r="E963"/>
  <c r="E971"/>
  <c r="E888"/>
  <c r="E896"/>
  <c r="E889"/>
  <c r="E897"/>
  <c r="E890"/>
  <c r="E898"/>
  <c r="E883"/>
  <c r="E891"/>
  <c r="E899"/>
  <c r="E884"/>
  <c r="E892"/>
  <c r="E900"/>
  <c r="E885"/>
  <c r="E893"/>
  <c r="E901"/>
  <c r="E886"/>
  <c r="E894"/>
  <c r="E887"/>
  <c r="E895"/>
  <c r="E723"/>
  <c r="E731"/>
  <c r="E739"/>
  <c r="E747"/>
  <c r="E755"/>
  <c r="E724"/>
  <c r="E732"/>
  <c r="E740"/>
  <c r="E748"/>
  <c r="E756"/>
  <c r="E725"/>
  <c r="E733"/>
  <c r="E741"/>
  <c r="E749"/>
  <c r="E757"/>
  <c r="E718"/>
  <c r="E726"/>
  <c r="E734"/>
  <c r="E742"/>
  <c r="E750"/>
  <c r="E758"/>
  <c r="E719"/>
  <c r="E727"/>
  <c r="E735"/>
  <c r="E743"/>
  <c r="E751"/>
  <c r="E759"/>
  <c r="E720"/>
  <c r="E728"/>
  <c r="E736"/>
  <c r="E744"/>
  <c r="E752"/>
  <c r="E760"/>
  <c r="E721"/>
  <c r="E729"/>
  <c r="E737"/>
  <c r="E745"/>
  <c r="E753"/>
  <c r="E761"/>
  <c r="E722"/>
  <c r="E730"/>
  <c r="E738"/>
  <c r="E746"/>
  <c r="E754"/>
  <c r="E598"/>
  <c r="E606"/>
  <c r="E614"/>
  <c r="E622"/>
  <c r="E630"/>
  <c r="E638"/>
  <c r="E646"/>
  <c r="E599"/>
  <c r="E607"/>
  <c r="E615"/>
  <c r="E623"/>
  <c r="E631"/>
  <c r="E639"/>
  <c r="E647"/>
  <c r="E600"/>
  <c r="E608"/>
  <c r="E616"/>
  <c r="E624"/>
  <c r="E632"/>
  <c r="E640"/>
  <c r="E601"/>
  <c r="E609"/>
  <c r="E617"/>
  <c r="E625"/>
  <c r="E633"/>
  <c r="E641"/>
  <c r="E602"/>
  <c r="E610"/>
  <c r="E618"/>
  <c r="E626"/>
  <c r="E634"/>
  <c r="E642"/>
  <c r="E595"/>
  <c r="E603"/>
  <c r="E611"/>
  <c r="E619"/>
  <c r="E627"/>
  <c r="E635"/>
  <c r="E643"/>
  <c r="E596"/>
  <c r="E604"/>
  <c r="E612"/>
  <c r="E620"/>
  <c r="E628"/>
  <c r="E636"/>
  <c r="E644"/>
  <c r="E597"/>
  <c r="E605"/>
  <c r="E613"/>
  <c r="E621"/>
  <c r="E629"/>
  <c r="E637"/>
  <c r="E645"/>
  <c r="E527"/>
  <c r="E535"/>
  <c r="E528"/>
  <c r="E536"/>
  <c r="E529"/>
  <c r="E537"/>
  <c r="E522"/>
  <c r="E530"/>
  <c r="E538"/>
  <c r="E523"/>
  <c r="E531"/>
  <c r="E539"/>
  <c r="E524"/>
  <c r="E532"/>
  <c r="E540"/>
  <c r="E525"/>
  <c r="E533"/>
  <c r="E541"/>
  <c r="E526"/>
  <c r="E534"/>
  <c r="E409"/>
  <c r="E417"/>
  <c r="E425"/>
  <c r="E410"/>
  <c r="E418"/>
  <c r="E426"/>
  <c r="E411"/>
  <c r="E419"/>
  <c r="E427"/>
  <c r="E404"/>
  <c r="E412"/>
  <c r="E420"/>
  <c r="E428"/>
  <c r="E405"/>
  <c r="E413"/>
  <c r="E421"/>
  <c r="E406"/>
  <c r="E414"/>
  <c r="E422"/>
  <c r="E407"/>
  <c r="E415"/>
  <c r="E423"/>
  <c r="E408"/>
  <c r="E416"/>
  <c r="E424"/>
  <c r="E267"/>
  <c r="E275"/>
  <c r="E283"/>
  <c r="E291"/>
  <c r="E268"/>
  <c r="E276"/>
  <c r="E284"/>
  <c r="E292"/>
  <c r="E286"/>
  <c r="E271"/>
  <c r="E287"/>
  <c r="E280"/>
  <c r="E296"/>
  <c r="E273"/>
  <c r="E289"/>
  <c r="E274"/>
  <c r="E290"/>
  <c r="E269"/>
  <c r="E277"/>
  <c r="E285"/>
  <c r="E293"/>
  <c r="E270"/>
  <c r="E278"/>
  <c r="E294"/>
  <c r="E279"/>
  <c r="E295"/>
  <c r="E272"/>
  <c r="E288"/>
  <c r="E265"/>
  <c r="E281"/>
  <c r="E266"/>
  <c r="E282"/>
  <c r="E152"/>
  <c r="E160"/>
  <c r="E168"/>
  <c r="E145"/>
  <c r="E153"/>
  <c r="E161"/>
  <c r="E169"/>
  <c r="E146"/>
  <c r="E154"/>
  <c r="E162"/>
  <c r="E158"/>
  <c r="E159"/>
  <c r="E147"/>
  <c r="E155"/>
  <c r="E163"/>
  <c r="E148"/>
  <c r="E156"/>
  <c r="E164"/>
  <c r="E149"/>
  <c r="E157"/>
  <c r="E165"/>
  <c r="E150"/>
  <c r="E166"/>
  <c r="E151"/>
  <c r="E167"/>
  <c r="E173"/>
  <c r="E181"/>
  <c r="E189"/>
  <c r="E197"/>
  <c r="E57"/>
  <c r="E65"/>
  <c r="E73"/>
  <c r="E81"/>
  <c r="E89"/>
  <c r="E97"/>
  <c r="E8"/>
  <c r="E174"/>
  <c r="E182"/>
  <c r="E190"/>
  <c r="E198"/>
  <c r="E50"/>
  <c r="E58"/>
  <c r="E66"/>
  <c r="E74"/>
  <c r="E82"/>
  <c r="E90"/>
  <c r="E105"/>
  <c r="E9"/>
  <c r="E175"/>
  <c r="E183"/>
  <c r="E191"/>
  <c r="E199"/>
  <c r="E51"/>
  <c r="E59"/>
  <c r="E67"/>
  <c r="E75"/>
  <c r="E83"/>
  <c r="E91"/>
  <c r="E2"/>
  <c r="E10"/>
  <c r="E176"/>
  <c r="E184"/>
  <c r="E192"/>
  <c r="E200"/>
  <c r="E52"/>
  <c r="E60"/>
  <c r="E68"/>
  <c r="E76"/>
  <c r="E84"/>
  <c r="E92"/>
  <c r="E3"/>
  <c r="E11"/>
  <c r="E177"/>
  <c r="E185"/>
  <c r="E193"/>
  <c r="E201"/>
  <c r="E53"/>
  <c r="E61"/>
  <c r="E69"/>
  <c r="E77"/>
  <c r="E85"/>
  <c r="E93"/>
  <c r="E12"/>
  <c r="E170"/>
  <c r="E178"/>
  <c r="E186"/>
  <c r="E194"/>
  <c r="E202"/>
  <c r="E222"/>
  <c r="E54"/>
  <c r="E62"/>
  <c r="E70"/>
  <c r="E78"/>
  <c r="E86"/>
  <c r="E94"/>
  <c r="E5"/>
  <c r="E179"/>
  <c r="E187"/>
  <c r="E203"/>
  <c r="E223"/>
  <c r="E63"/>
  <c r="E79"/>
  <c r="E95"/>
  <c r="E4"/>
  <c r="E171"/>
  <c r="E195"/>
  <c r="E55"/>
  <c r="E71"/>
  <c r="E87"/>
  <c r="E6"/>
  <c r="E204"/>
  <c r="E7"/>
  <c r="E224"/>
  <c r="E56"/>
  <c r="E64"/>
  <c r="E172"/>
  <c r="E72"/>
  <c r="E180"/>
  <c r="E80"/>
  <c r="E188"/>
  <c r="E88"/>
  <c r="E196"/>
  <c r="E96"/>
  <c r="E942"/>
  <c r="E990"/>
  <c r="E707"/>
  <c r="E708"/>
  <c r="E980"/>
  <c r="E113"/>
  <c r="E1022"/>
  <c r="E1023"/>
  <c r="E1030"/>
  <c r="E1038"/>
  <c r="E1046"/>
  <c r="E1054"/>
  <c r="E1024"/>
  <c r="E1031"/>
  <c r="E1039"/>
  <c r="E1047"/>
  <c r="E1058"/>
  <c r="E1045"/>
  <c r="E1025"/>
  <c r="E1032"/>
  <c r="E1040"/>
  <c r="E1048"/>
  <c r="E1026"/>
  <c r="E1033"/>
  <c r="E1041"/>
  <c r="E1049"/>
  <c r="E1034"/>
  <c r="E1042"/>
  <c r="E1050"/>
  <c r="E1037"/>
  <c r="E1053"/>
  <c r="E1027"/>
  <c r="E1028"/>
  <c r="E1035"/>
  <c r="E1043"/>
  <c r="E1051"/>
  <c r="E1029"/>
  <c r="E1036"/>
  <c r="E1044"/>
  <c r="E1052"/>
  <c r="E902"/>
  <c r="E903"/>
  <c r="E904"/>
  <c r="E905"/>
  <c r="E906"/>
  <c r="E907"/>
  <c r="E908"/>
  <c r="E909"/>
  <c r="E910"/>
  <c r="E911"/>
  <c r="E912"/>
  <c r="E913"/>
  <c r="E914"/>
  <c r="E915"/>
  <c r="E916"/>
  <c r="E917"/>
  <c r="E918"/>
  <c r="E919"/>
  <c r="E922"/>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973"/>
  <c r="E648"/>
  <c r="E649"/>
  <c r="E650"/>
  <c r="E651"/>
  <c r="E652"/>
  <c r="E653"/>
  <c r="E654"/>
  <c r="E655"/>
  <c r="E656"/>
  <c r="E657"/>
  <c r="E658"/>
  <c r="E659"/>
  <c r="E660"/>
  <c r="E661"/>
  <c r="E662"/>
  <c r="E663"/>
  <c r="E542"/>
  <c r="E543"/>
  <c r="E544"/>
  <c r="E545"/>
  <c r="E546"/>
  <c r="E547"/>
  <c r="E548"/>
  <c r="E549"/>
  <c r="E550"/>
  <c r="E551"/>
  <c r="E552"/>
  <c r="E553"/>
  <c r="E554"/>
  <c r="E555"/>
  <c r="E556"/>
  <c r="E557"/>
  <c r="E558"/>
  <c r="E559"/>
  <c r="E560"/>
  <c r="E561"/>
  <c r="E562"/>
  <c r="E429"/>
  <c r="E430"/>
  <c r="E431"/>
  <c r="E432"/>
  <c r="E433"/>
  <c r="E434"/>
  <c r="E435"/>
  <c r="E436"/>
  <c r="E437"/>
  <c r="E438"/>
  <c r="E439"/>
  <c r="E440"/>
  <c r="E441"/>
  <c r="E442"/>
  <c r="E443"/>
  <c r="E444"/>
  <c r="E445"/>
  <c r="E446"/>
  <c r="E447"/>
  <c r="E448"/>
  <c r="E449"/>
  <c r="E450"/>
  <c r="E451"/>
  <c r="E452"/>
  <c r="E453"/>
  <c r="E297"/>
  <c r="E298"/>
  <c r="E299"/>
  <c r="E300"/>
  <c r="E301"/>
  <c r="E302"/>
  <c r="E303"/>
  <c r="E304"/>
  <c r="E305"/>
  <c r="E306"/>
  <c r="E307"/>
  <c r="E308"/>
  <c r="E309"/>
  <c r="E310"/>
  <c r="E311"/>
  <c r="E312"/>
  <c r="E313"/>
  <c r="E314"/>
  <c r="E315"/>
  <c r="E316"/>
  <c r="E317"/>
  <c r="E318"/>
  <c r="E319"/>
  <c r="E320"/>
  <c r="E321"/>
  <c r="E322"/>
  <c r="E323"/>
  <c r="E324"/>
  <c r="E325"/>
  <c r="E326"/>
  <c r="E327"/>
  <c r="E328"/>
  <c r="E14"/>
  <c r="E15"/>
  <c r="E16"/>
  <c r="E17"/>
  <c r="E18"/>
  <c r="E19"/>
  <c r="E20"/>
  <c r="E21"/>
  <c r="E22"/>
  <c r="E23"/>
  <c r="E24"/>
  <c r="E25"/>
  <c r="E26"/>
  <c r="E1059"/>
  <c r="E1060"/>
  <c r="E1061"/>
  <c r="E1062"/>
  <c r="E976"/>
  <c r="E977"/>
  <c r="E927"/>
  <c r="E923"/>
  <c r="E924"/>
  <c r="E925"/>
  <c r="E926"/>
  <c r="E799"/>
  <c r="E563"/>
  <c r="E564"/>
  <c r="E565"/>
  <c r="E566"/>
  <c r="E454"/>
  <c r="E455"/>
  <c r="E456"/>
  <c r="E457"/>
  <c r="E329"/>
  <c r="E330"/>
  <c r="E27"/>
  <c r="E371"/>
  <c r="E354"/>
  <c r="E703"/>
  <c r="E1057"/>
  <c r="E592"/>
  <c r="E813"/>
  <c r="E920"/>
  <c r="E981"/>
  <c r="E1078"/>
  <c r="E1077"/>
  <c r="E933"/>
  <c r="E934"/>
  <c r="E945"/>
  <c r="E820"/>
  <c r="E818"/>
  <c r="E819"/>
  <c r="E571"/>
  <c r="E690"/>
  <c r="E688"/>
  <c r="E689"/>
  <c r="E480"/>
  <c r="E479"/>
  <c r="E478"/>
  <c r="E351"/>
  <c r="E352"/>
  <c r="E572"/>
  <c r="E822"/>
  <c r="E821"/>
  <c r="E1114"/>
  <c r="E243"/>
  <c r="E261"/>
  <c r="E517"/>
  <c r="E946"/>
  <c r="E947"/>
  <c r="E710"/>
  <c r="E395"/>
  <c r="E585"/>
  <c r="E518"/>
  <c r="D45" i="1"/>
  <c r="D1081" l="1"/>
  <c r="D1083"/>
  <c r="D1068"/>
  <c r="D102"/>
  <c r="D104"/>
  <c r="D706"/>
  <c r="D708"/>
  <c r="D803"/>
  <c r="D805"/>
  <c r="D635"/>
  <c r="D1224"/>
  <c r="D1225"/>
  <c r="D664" l="1"/>
  <c r="D665"/>
  <c r="D1128"/>
  <c r="D1119"/>
  <c r="D710"/>
  <c r="D1290" l="1"/>
  <c r="D948"/>
  <c r="D779"/>
  <c r="D780"/>
  <c r="D781"/>
  <c r="D25"/>
  <c r="D968" l="1"/>
  <c r="D970"/>
  <c r="D959" l="1"/>
  <c r="D961"/>
  <c r="D731"/>
  <c r="D733"/>
  <c r="D732"/>
  <c r="D722"/>
  <c r="D723"/>
  <c r="D270"/>
  <c r="D64"/>
  <c r="D65"/>
  <c r="D1020" l="1"/>
  <c r="D1021"/>
  <c r="D1053" l="1"/>
  <c r="D1055"/>
  <c r="D1010"/>
  <c r="D1012"/>
  <c r="D1006"/>
  <c r="D1008"/>
  <c r="D1001"/>
  <c r="D989"/>
  <c r="D991"/>
  <c r="D960"/>
  <c r="D834"/>
  <c r="D836"/>
  <c r="D821" l="1"/>
  <c r="D771"/>
  <c r="D749"/>
  <c r="D552"/>
  <c r="D554"/>
  <c r="D350"/>
  <c r="D352"/>
  <c r="D185"/>
  <c r="D186"/>
  <c r="D9"/>
  <c r="D4"/>
  <c r="D563"/>
  <c r="D565"/>
  <c r="D1291" l="1"/>
  <c r="D1292"/>
  <c r="D1294"/>
  <c r="D1285" l="1"/>
  <c r="D1286"/>
  <c r="D1287"/>
  <c r="D1281" l="1"/>
  <c r="D1283"/>
  <c r="D1277"/>
  <c r="D1280"/>
  <c r="D446"/>
  <c r="D1276"/>
  <c r="D1272"/>
  <c r="D1273"/>
  <c r="D1274"/>
  <c r="D1267"/>
  <c r="D1269"/>
  <c r="D1268"/>
  <c r="D1270"/>
  <c r="D1271"/>
  <c r="D1265"/>
  <c r="D1266"/>
  <c r="D1259"/>
  <c r="D1260"/>
  <c r="D1263"/>
  <c r="D1257"/>
  <c r="D1258"/>
  <c r="D1255"/>
  <c r="D1256"/>
  <c r="D1250"/>
  <c r="D1252"/>
  <c r="D1251"/>
  <c r="D1248"/>
  <c r="D1249"/>
  <c r="D1244"/>
  <c r="D1245"/>
  <c r="D1247"/>
  <c r="D1246"/>
  <c r="D1240"/>
  <c r="D1242"/>
  <c r="D1234"/>
  <c r="D1235"/>
  <c r="D1238"/>
  <c r="D1231" l="1"/>
  <c r="D1232"/>
  <c r="D1233"/>
  <c r="D1229"/>
  <c r="D1228"/>
  <c r="D1230"/>
  <c r="D1226" l="1"/>
  <c r="D1227"/>
  <c r="D1220" l="1"/>
  <c r="D1221"/>
  <c r="D1223"/>
  <c r="D1222"/>
  <c r="D1214"/>
  <c r="D1215"/>
  <c r="D1217"/>
  <c r="D1216"/>
  <c r="D90" l="1"/>
  <c r="D91"/>
  <c r="D154" l="1"/>
  <c r="D152"/>
  <c r="D894"/>
  <c r="D1123"/>
  <c r="D1125"/>
  <c r="D320"/>
  <c r="D321"/>
  <c r="D390"/>
  <c r="D10"/>
  <c r="D125"/>
  <c r="D683" l="1"/>
  <c r="D684"/>
  <c r="D1202"/>
  <c r="D544" l="1"/>
  <c r="D545"/>
  <c r="D207"/>
  <c r="D922"/>
  <c r="D925"/>
  <c r="D401"/>
  <c r="D402"/>
  <c r="D940"/>
  <c r="D1210" l="1"/>
  <c r="D1211"/>
  <c r="D1212"/>
  <c r="D1213"/>
  <c r="D1208"/>
  <c r="D1207"/>
  <c r="D1209"/>
  <c r="D1206"/>
  <c r="D1203"/>
  <c r="D1204"/>
  <c r="D1199"/>
  <c r="D1200"/>
  <c r="D1201"/>
  <c r="D1197"/>
  <c r="D1198"/>
  <c r="D1194"/>
  <c r="D1195"/>
  <c r="D1196"/>
  <c r="D1192"/>
  <c r="D1193"/>
  <c r="D1187"/>
  <c r="D1189"/>
  <c r="D1184" l="1"/>
  <c r="D1186"/>
  <c r="D1185"/>
  <c r="D1179"/>
  <c r="D1180"/>
  <c r="D1182"/>
  <c r="D451"/>
  <c r="D452"/>
  <c r="D770" l="1"/>
  <c r="D1149" l="1"/>
  <c r="D748"/>
  <c r="D750"/>
  <c r="D693"/>
  <c r="D636"/>
  <c r="D1176" l="1"/>
  <c r="D1177"/>
  <c r="D1178"/>
  <c r="D1172"/>
  <c r="D1173"/>
  <c r="D1175"/>
  <c r="D1171"/>
  <c r="D1170"/>
  <c r="D1162"/>
  <c r="D1163"/>
  <c r="D1166"/>
  <c r="D677" l="1"/>
  <c r="D1156" l="1"/>
  <c r="D1157"/>
  <c r="D1158"/>
  <c r="D1160"/>
  <c r="D1159"/>
  <c r="D1161"/>
  <c r="D1153"/>
  <c r="D1155"/>
  <c r="D1154"/>
  <c r="D1147"/>
  <c r="D1148"/>
  <c r="D1151"/>
  <c r="D1142"/>
  <c r="D1143"/>
  <c r="D1145"/>
  <c r="D1144"/>
  <c r="D1140"/>
  <c r="D1141"/>
  <c r="D1138"/>
  <c r="D1139"/>
  <c r="D1134"/>
  <c r="D1135"/>
  <c r="D1137"/>
  <c r="D1131"/>
  <c r="D1130"/>
  <c r="D1133"/>
  <c r="D1132"/>
  <c r="D1127"/>
  <c r="D1129"/>
  <c r="D1122"/>
  <c r="D1117"/>
  <c r="D1118"/>
  <c r="D1120"/>
  <c r="D1114"/>
  <c r="D1115"/>
  <c r="D1116"/>
  <c r="D1112" l="1"/>
  <c r="D1113"/>
  <c r="D1107"/>
  <c r="D1108"/>
  <c r="D1104"/>
  <c r="D1105"/>
  <c r="D1106"/>
  <c r="D1100"/>
  <c r="D1101"/>
  <c r="D1102"/>
  <c r="D1097"/>
  <c r="D1098"/>
  <c r="D1099"/>
  <c r="D1094"/>
  <c r="D1095"/>
  <c r="D1096"/>
  <c r="D1092"/>
  <c r="D1093"/>
  <c r="D1087" l="1"/>
  <c r="D1088"/>
  <c r="D1090"/>
  <c r="D1084"/>
  <c r="D1079"/>
  <c r="D1080"/>
  <c r="D1082"/>
  <c r="D1076"/>
  <c r="D1078"/>
  <c r="D1077"/>
  <c r="D1073"/>
  <c r="D1074"/>
  <c r="D1075"/>
  <c r="D344"/>
  <c r="D1042"/>
  <c r="D1070"/>
  <c r="D1071"/>
  <c r="D1072"/>
  <c r="D1066"/>
  <c r="D1067"/>
  <c r="D1069"/>
  <c r="D1062"/>
  <c r="D1063"/>
  <c r="D1058"/>
  <c r="D1059"/>
  <c r="D1060"/>
  <c r="D1061"/>
  <c r="D1056"/>
  <c r="D1057"/>
  <c r="D1051"/>
  <c r="D1052"/>
  <c r="D1054"/>
  <c r="D1047"/>
  <c r="D1048"/>
  <c r="D1050"/>
  <c r="D1049"/>
  <c r="D1044"/>
  <c r="D1045"/>
  <c r="D1046"/>
  <c r="D1039" l="1"/>
  <c r="D1040"/>
  <c r="D1041"/>
  <c r="D1043"/>
  <c r="D1036" l="1"/>
  <c r="D1037"/>
  <c r="D1038"/>
  <c r="D1033"/>
  <c r="D1034"/>
  <c r="D1035"/>
  <c r="D1031" l="1"/>
  <c r="D1032"/>
  <c r="D1027"/>
  <c r="D1028"/>
  <c r="D1024"/>
  <c r="D1026"/>
  <c r="D1022" l="1"/>
  <c r="D1023"/>
  <c r="D1017" l="1"/>
  <c r="D1019"/>
  <c r="D1013" l="1"/>
  <c r="D1015"/>
  <c r="D1009"/>
  <c r="D1011"/>
  <c r="D1007"/>
  <c r="D1003"/>
  <c r="D1004"/>
  <c r="D1005"/>
  <c r="D1000"/>
  <c r="D1002"/>
  <c r="D996"/>
  <c r="D998"/>
  <c r="D992"/>
  <c r="D994"/>
  <c r="D988"/>
  <c r="D990"/>
  <c r="D983"/>
  <c r="D984"/>
  <c r="D986"/>
  <c r="D979"/>
  <c r="D980"/>
  <c r="D981"/>
  <c r="D982"/>
  <c r="D975"/>
  <c r="D976"/>
  <c r="D978"/>
  <c r="D977"/>
  <c r="D971"/>
  <c r="D974"/>
  <c r="D966" l="1"/>
  <c r="D967"/>
  <c r="D969"/>
  <c r="D962" l="1"/>
  <c r="D963"/>
  <c r="D957"/>
  <c r="D958"/>
  <c r="D953"/>
  <c r="D954"/>
  <c r="D955"/>
  <c r="D949" l="1"/>
  <c r="D950"/>
  <c r="D952"/>
  <c r="D951"/>
  <c r="D944"/>
  <c r="D945"/>
  <c r="D947"/>
  <c r="D946"/>
  <c r="D941"/>
  <c r="D943"/>
  <c r="D942"/>
  <c r="D935"/>
  <c r="D938"/>
  <c r="D937"/>
  <c r="D930" l="1"/>
  <c r="D931"/>
  <c r="D932"/>
  <c r="D926" l="1"/>
  <c r="D927"/>
  <c r="D929"/>
  <c r="D928"/>
  <c r="D924" l="1"/>
  <c r="D923"/>
  <c r="D917"/>
  <c r="D918"/>
  <c r="D331"/>
  <c r="D920"/>
  <c r="D913"/>
  <c r="D914"/>
  <c r="D916"/>
  <c r="D909"/>
  <c r="D910"/>
  <c r="D912"/>
  <c r="D911"/>
  <c r="D905"/>
  <c r="D906"/>
  <c r="D908"/>
  <c r="D907"/>
  <c r="D901"/>
  <c r="D902"/>
  <c r="D904"/>
  <c r="D903"/>
  <c r="D897"/>
  <c r="D898"/>
  <c r="D900"/>
  <c r="D899"/>
  <c r="D892"/>
  <c r="D893"/>
  <c r="D896"/>
  <c r="D895"/>
  <c r="D889" l="1"/>
  <c r="D890"/>
  <c r="D891"/>
  <c r="D886"/>
  <c r="D887"/>
  <c r="D888"/>
  <c r="D881"/>
  <c r="D882"/>
  <c r="D884"/>
  <c r="D885"/>
  <c r="D883"/>
  <c r="D878"/>
  <c r="D879"/>
  <c r="D880"/>
  <c r="D873"/>
  <c r="D874"/>
  <c r="D876"/>
  <c r="D915"/>
  <c r="D875"/>
  <c r="D877"/>
  <c r="D872"/>
  <c r="D867" l="1"/>
  <c r="D868"/>
  <c r="D871"/>
  <c r="D870"/>
  <c r="D869"/>
  <c r="D864" l="1"/>
  <c r="D349"/>
  <c r="D866"/>
  <c r="D859"/>
  <c r="D860"/>
  <c r="D862"/>
  <c r="D852"/>
  <c r="D856"/>
  <c r="D855"/>
  <c r="D853"/>
  <c r="D848"/>
  <c r="D850"/>
  <c r="D843"/>
  <c r="D844"/>
  <c r="D845"/>
  <c r="D837"/>
  <c r="D838"/>
  <c r="D833"/>
  <c r="D835"/>
  <c r="D828" l="1"/>
  <c r="D829"/>
  <c r="D831"/>
  <c r="D825"/>
  <c r="D827"/>
  <c r="D826"/>
  <c r="D819"/>
  <c r="D820"/>
  <c r="D822"/>
  <c r="D816" l="1"/>
  <c r="D817"/>
  <c r="D818"/>
  <c r="D813"/>
  <c r="D814"/>
  <c r="D815"/>
  <c r="D811"/>
  <c r="D812"/>
  <c r="D806"/>
  <c r="D808"/>
  <c r="D36" l="1"/>
  <c r="D37"/>
  <c r="D802"/>
  <c r="D804"/>
  <c r="D795" l="1"/>
  <c r="D796"/>
  <c r="D798"/>
  <c r="D791"/>
  <c r="D792"/>
  <c r="D793"/>
  <c r="D794"/>
  <c r="D787"/>
  <c r="D788"/>
  <c r="D790"/>
  <c r="D785"/>
  <c r="D782"/>
  <c r="D783"/>
  <c r="D784"/>
  <c r="D786"/>
  <c r="D778"/>
  <c r="D773"/>
  <c r="D774"/>
  <c r="D777"/>
  <c r="D769"/>
  <c r="D772"/>
  <c r="D764"/>
  <c r="D765"/>
  <c r="D767"/>
  <c r="D760"/>
  <c r="D761"/>
  <c r="D756"/>
  <c r="D757"/>
  <c r="D759"/>
  <c r="D751"/>
  <c r="D752"/>
  <c r="D755"/>
  <c r="D746"/>
  <c r="D747"/>
  <c r="D742"/>
  <c r="D743"/>
  <c r="D745"/>
  <c r="D744"/>
  <c r="D738"/>
  <c r="D739"/>
  <c r="D741"/>
  <c r="D740"/>
  <c r="D734"/>
  <c r="D735"/>
  <c r="D737"/>
  <c r="D736"/>
  <c r="D730"/>
  <c r="D724"/>
  <c r="D725"/>
  <c r="D728"/>
  <c r="D721"/>
  <c r="D716"/>
  <c r="D717"/>
  <c r="D718"/>
  <c r="D712"/>
  <c r="D713"/>
  <c r="D715"/>
  <c r="D714"/>
  <c r="D709"/>
  <c r="D711"/>
  <c r="D704" l="1"/>
  <c r="D705"/>
  <c r="D707"/>
  <c r="D699" l="1"/>
  <c r="D700"/>
  <c r="D703"/>
  <c r="D695"/>
  <c r="D696"/>
  <c r="D697"/>
  <c r="D698"/>
  <c r="D691"/>
  <c r="D692"/>
  <c r="D694"/>
  <c r="D687"/>
  <c r="D688"/>
  <c r="D685" l="1"/>
  <c r="D686"/>
  <c r="D678" l="1"/>
  <c r="D679"/>
  <c r="D680"/>
  <c r="D681"/>
  <c r="D682"/>
  <c r="D87" l="1"/>
  <c r="D89"/>
  <c r="D599"/>
  <c r="D600"/>
  <c r="D673" l="1"/>
  <c r="D674"/>
  <c r="D675"/>
  <c r="D676"/>
  <c r="D670"/>
  <c r="D671"/>
  <c r="D672"/>
  <c r="D668"/>
  <c r="D667"/>
  <c r="D660"/>
  <c r="D662"/>
  <c r="D656"/>
  <c r="D658"/>
  <c r="D651"/>
  <c r="D652"/>
  <c r="D654"/>
  <c r="D649"/>
  <c r="D647"/>
  <c r="D648"/>
  <c r="D650"/>
  <c r="D642"/>
  <c r="D643"/>
  <c r="D645"/>
  <c r="D639"/>
  <c r="D640"/>
  <c r="D641"/>
  <c r="D637"/>
  <c r="D638"/>
  <c r="D630"/>
  <c r="D631"/>
  <c r="D634"/>
  <c r="D627" l="1"/>
  <c r="D628"/>
  <c r="D629"/>
  <c r="D624" l="1"/>
  <c r="D625"/>
  <c r="D626"/>
  <c r="D620" l="1"/>
  <c r="D621"/>
  <c r="D622"/>
  <c r="D623"/>
  <c r="D618"/>
  <c r="D619"/>
  <c r="D613"/>
  <c r="D614"/>
  <c r="D616"/>
  <c r="D610" l="1"/>
  <c r="D612"/>
  <c r="D611"/>
  <c r="D605" l="1"/>
  <c r="D606"/>
  <c r="D607"/>
  <c r="D601"/>
  <c r="D602"/>
  <c r="D603"/>
  <c r="D604"/>
  <c r="D597"/>
  <c r="D598"/>
  <c r="D593" l="1"/>
  <c r="D587"/>
  <c r="D588"/>
  <c r="D591"/>
  <c r="D581"/>
  <c r="D582"/>
  <c r="D586"/>
  <c r="D585"/>
  <c r="D576"/>
  <c r="D579"/>
  <c r="D578"/>
  <c r="E921" i="2" l="1"/>
  <c r="E13"/>
  <c r="E1115"/>
  <c r="E1116"/>
  <c r="E1117"/>
  <c r="E1118"/>
  <c r="E949"/>
  <c r="E948"/>
  <c r="E950"/>
  <c r="E717"/>
  <c r="E716"/>
  <c r="E714"/>
  <c r="E715"/>
  <c r="E593"/>
  <c r="E594"/>
  <c r="E521"/>
  <c r="E520"/>
  <c r="E401"/>
  <c r="E399"/>
  <c r="E402"/>
  <c r="E403"/>
  <c r="E400"/>
  <c r="E263"/>
  <c r="E262"/>
  <c r="E1076"/>
  <c r="E1074"/>
  <c r="E1075"/>
  <c r="E881"/>
  <c r="E882"/>
  <c r="E880"/>
  <c r="E264"/>
  <c r="E519"/>
  <c r="E49"/>
  <c r="E932"/>
  <c r="E814"/>
  <c r="E815"/>
  <c r="E816"/>
  <c r="E817"/>
  <c r="E686"/>
  <c r="E687"/>
  <c r="E709"/>
  <c r="E685"/>
  <c r="E393"/>
  <c r="E476"/>
  <c r="E477"/>
  <c r="E348"/>
  <c r="E349"/>
  <c r="E350"/>
  <c r="D570" i="1" l="1"/>
  <c r="D573"/>
  <c r="D566" l="1"/>
  <c r="D568"/>
  <c r="D560" l="1"/>
  <c r="D561"/>
  <c r="D564"/>
  <c r="D555"/>
  <c r="D558"/>
  <c r="D550"/>
  <c r="D551"/>
  <c r="D553"/>
  <c r="D546" l="1"/>
  <c r="D549"/>
  <c r="D548"/>
  <c r="D547"/>
  <c r="D540" l="1"/>
  <c r="D541"/>
  <c r="D543"/>
  <c r="D542"/>
  <c r="D533"/>
  <c r="D534"/>
  <c r="D536"/>
  <c r="D527"/>
  <c r="D528"/>
  <c r="D531"/>
  <c r="D532"/>
  <c r="D523" l="1"/>
  <c r="D524"/>
  <c r="D525"/>
  <c r="D526"/>
  <c r="D518" l="1"/>
  <c r="D519"/>
  <c r="D562"/>
  <c r="D514" l="1"/>
  <c r="D515"/>
  <c r="D789"/>
  <c r="D512"/>
  <c r="D511"/>
  <c r="D513"/>
  <c r="D507"/>
  <c r="D508"/>
  <c r="D501"/>
  <c r="D504"/>
  <c r="D495"/>
  <c r="D496"/>
  <c r="D499"/>
  <c r="D498"/>
  <c r="D488"/>
  <c r="D493"/>
  <c r="D492"/>
  <c r="D483"/>
  <c r="D486"/>
  <c r="D485"/>
  <c r="D479" l="1"/>
  <c r="D473"/>
  <c r="D476"/>
  <c r="D463"/>
  <c r="D459" l="1"/>
  <c r="D460"/>
  <c r="D462"/>
  <c r="D461"/>
  <c r="D455" l="1"/>
  <c r="D456"/>
  <c r="D457"/>
  <c r="D458"/>
  <c r="D453" l="1"/>
  <c r="D454"/>
  <c r="D447"/>
  <c r="D448"/>
  <c r="D450"/>
  <c r="D449"/>
  <c r="D442"/>
  <c r="D445"/>
  <c r="D444"/>
  <c r="D443"/>
  <c r="D437"/>
  <c r="D438"/>
  <c r="D440"/>
  <c r="D435"/>
  <c r="D436"/>
  <c r="D430" l="1"/>
  <c r="D433"/>
  <c r="D432"/>
  <c r="D434"/>
  <c r="D431"/>
  <c r="D424"/>
  <c r="D425"/>
  <c r="D428"/>
  <c r="D427"/>
  <c r="D419"/>
  <c r="D420"/>
  <c r="D423"/>
  <c r="D415"/>
  <c r="D416"/>
  <c r="D409"/>
  <c r="D410"/>
  <c r="D413"/>
  <c r="D412"/>
  <c r="D405" l="1"/>
  <c r="D406"/>
  <c r="D408"/>
  <c r="D407"/>
  <c r="D229" l="1"/>
  <c r="D230"/>
  <c r="D404" l="1"/>
  <c r="D403"/>
  <c r="D396" l="1"/>
  <c r="D397"/>
  <c r="D400"/>
  <c r="D393"/>
  <c r="D395"/>
  <c r="D394"/>
  <c r="D386"/>
  <c r="D387"/>
  <c r="D391"/>
  <c r="D115"/>
  <c r="D383" l="1"/>
  <c r="D385"/>
  <c r="D384"/>
  <c r="D1018"/>
  <c r="D377"/>
  <c r="D378"/>
  <c r="D381"/>
  <c r="D380"/>
  <c r="D376"/>
  <c r="D374"/>
  <c r="D375"/>
  <c r="D368"/>
  <c r="D369"/>
  <c r="D372"/>
  <c r="D371"/>
  <c r="D363" l="1"/>
  <c r="D364"/>
  <c r="D360"/>
  <c r="D362"/>
  <c r="D361"/>
  <c r="D357"/>
  <c r="D358"/>
  <c r="D359"/>
  <c r="D353"/>
  <c r="D354"/>
  <c r="D355"/>
  <c r="D347" l="1"/>
  <c r="D348"/>
  <c r="D351"/>
  <c r="D346" l="1"/>
  <c r="D345"/>
  <c r="D335"/>
  <c r="D336"/>
  <c r="D340"/>
  <c r="D337"/>
  <c r="D343"/>
  <c r="D334"/>
  <c r="D330"/>
  <c r="D329"/>
  <c r="D325"/>
  <c r="D323"/>
  <c r="D322" l="1"/>
  <c r="D266" l="1"/>
  <c r="D319" l="1"/>
  <c r="D318" l="1"/>
  <c r="D316"/>
  <c r="D314"/>
  <c r="D312"/>
  <c r="D313"/>
  <c r="D310"/>
  <c r="D311"/>
  <c r="D309"/>
  <c r="D308"/>
  <c r="D306"/>
  <c r="D305"/>
  <c r="D303"/>
  <c r="D302"/>
  <c r="D3" l="1"/>
  <c r="D12"/>
  <c r="D24"/>
  <c r="D23"/>
  <c r="D32"/>
  <c r="D34"/>
  <c r="D44"/>
  <c r="D49"/>
  <c r="D50"/>
  <c r="D51"/>
  <c r="D58"/>
  <c r="D59"/>
  <c r="D66"/>
  <c r="D73"/>
  <c r="D75"/>
  <c r="D78"/>
  <c r="D79"/>
  <c r="D80"/>
  <c r="D96"/>
  <c r="D94"/>
  <c r="D97"/>
  <c r="D98"/>
  <c r="D106"/>
  <c r="D117"/>
  <c r="D118"/>
  <c r="D119"/>
  <c r="D127"/>
  <c r="D128"/>
  <c r="D131"/>
  <c r="D136"/>
  <c r="D142"/>
  <c r="D143"/>
  <c r="D144"/>
  <c r="D145"/>
  <c r="D147"/>
  <c r="D149"/>
  <c r="D153"/>
  <c r="D162"/>
  <c r="D167"/>
  <c r="D173"/>
  <c r="D177"/>
  <c r="D178"/>
  <c r="D179"/>
  <c r="D180"/>
  <c r="D184"/>
  <c r="D189"/>
  <c r="D191"/>
  <c r="D192"/>
  <c r="D194"/>
  <c r="D193"/>
  <c r="D198"/>
  <c r="D197"/>
  <c r="D201"/>
  <c r="D200"/>
  <c r="D204"/>
  <c r="D206"/>
  <c r="D205"/>
  <c r="D208"/>
  <c r="D210"/>
  <c r="D211"/>
  <c r="D214"/>
  <c r="D213"/>
  <c r="D212"/>
  <c r="D215"/>
  <c r="D217"/>
  <c r="D220"/>
  <c r="D222"/>
  <c r="D221"/>
  <c r="D223"/>
  <c r="D226"/>
  <c r="D225"/>
  <c r="D228"/>
  <c r="D232"/>
  <c r="D234"/>
  <c r="D235"/>
  <c r="D236"/>
  <c r="D238"/>
  <c r="D243"/>
  <c r="D244"/>
  <c r="D245"/>
  <c r="D247"/>
  <c r="D249"/>
  <c r="D250"/>
  <c r="D258"/>
  <c r="D259"/>
  <c r="D260"/>
  <c r="D264"/>
  <c r="D269"/>
  <c r="D272"/>
  <c r="D273"/>
  <c r="D275"/>
  <c r="D277"/>
  <c r="D276"/>
  <c r="D278"/>
  <c r="D279"/>
  <c r="D280"/>
  <c r="D282"/>
  <c r="D284"/>
  <c r="D283"/>
  <c r="D288"/>
  <c r="D291"/>
  <c r="D293"/>
  <c r="D295"/>
  <c r="D294"/>
  <c r="D2"/>
  <c r="D181" l="1"/>
  <c r="D170"/>
  <c r="D151"/>
  <c r="D134"/>
  <c r="D112"/>
  <c r="D46"/>
  <c r="D13"/>
  <c r="D43"/>
  <c r="D141"/>
  <c r="D126"/>
  <c r="D105"/>
  <c r="D86"/>
  <c r="D72"/>
  <c r="D56"/>
  <c r="D42"/>
  <c r="D22"/>
  <c r="D298"/>
  <c r="D287"/>
  <c r="D267"/>
  <c r="D254"/>
  <c r="D237"/>
  <c r="D227"/>
  <c r="D219"/>
  <c r="D199"/>
  <c r="D190"/>
  <c r="D174"/>
  <c r="D165"/>
  <c r="D150"/>
  <c r="D138"/>
  <c r="D122"/>
  <c r="D101"/>
  <c r="D83"/>
  <c r="D69"/>
  <c r="D54"/>
  <c r="D38"/>
  <c r="D18"/>
  <c r="D240"/>
  <c r="D233"/>
  <c r="D218"/>
  <c r="D203"/>
  <c r="D196"/>
  <c r="D187"/>
  <c r="D176"/>
  <c r="D168"/>
  <c r="D156"/>
  <c r="D140"/>
  <c r="D132"/>
  <c r="D124"/>
  <c r="D114"/>
  <c r="D93"/>
  <c r="D85"/>
  <c r="D77"/>
  <c r="D71"/>
  <c r="D63"/>
  <c r="D57"/>
  <c r="D48"/>
  <c r="D40"/>
  <c r="D31"/>
  <c r="D21"/>
  <c r="D11"/>
  <c r="D290"/>
  <c r="D281"/>
  <c r="D274"/>
  <c r="D262"/>
  <c r="D231"/>
  <c r="D224"/>
  <c r="D216"/>
  <c r="D209"/>
  <c r="D202"/>
  <c r="D195"/>
  <c r="D175"/>
  <c r="D169"/>
  <c r="D155"/>
  <c r="D139"/>
  <c r="D133"/>
  <c r="D123"/>
  <c r="D113"/>
  <c r="D103"/>
  <c r="D95"/>
  <c r="D84"/>
  <c r="D76"/>
  <c r="D70"/>
  <c r="D62"/>
  <c r="D55"/>
  <c r="D47"/>
  <c r="D39"/>
  <c r="D30"/>
  <c r="D19"/>
  <c r="D8"/>
  <c r="D137"/>
  <c r="D130"/>
  <c r="D121"/>
  <c r="D111"/>
  <c r="D100"/>
  <c r="D92"/>
  <c r="D82"/>
  <c r="D74"/>
  <c r="D68"/>
  <c r="D61"/>
  <c r="D53"/>
  <c r="D27"/>
  <c r="D5"/>
  <c r="D135"/>
  <c r="D129"/>
  <c r="D120"/>
  <c r="D99"/>
  <c r="D81"/>
  <c r="D67"/>
  <c r="D60"/>
  <c r="D52"/>
  <c r="D35"/>
  <c r="D26"/>
  <c r="D15"/>
  <c r="D1296" l="1"/>
</calcChain>
</file>

<file path=xl/sharedStrings.xml><?xml version="1.0" encoding="utf-8"?>
<sst xmlns="http://schemas.openxmlformats.org/spreadsheetml/2006/main" count="117437" uniqueCount="18569">
  <si>
    <t>男</t>
  </si>
  <si>
    <t>001北海道1区01</t>
    <rPh sb="3" eb="6">
      <t>ホッカイドウ</t>
    </rPh>
    <rPh sb="7" eb="8">
      <t>ク</t>
    </rPh>
    <phoneticPr fontId="3"/>
  </si>
  <si>
    <t>民主党</t>
    <rPh sb="0" eb="3">
      <t>ミンシュトウ</t>
    </rPh>
    <phoneticPr fontId="4"/>
  </si>
  <si>
    <t>001北海道1区02</t>
    <rPh sb="3" eb="6">
      <t>ホッカイドウ</t>
    </rPh>
    <rPh sb="7" eb="8">
      <t>ク</t>
    </rPh>
    <phoneticPr fontId="3"/>
  </si>
  <si>
    <t>野呂田　博之</t>
    <rPh sb="0" eb="3">
      <t>ノロタ</t>
    </rPh>
    <rPh sb="4" eb="6">
      <t>ヒロユキ</t>
    </rPh>
    <phoneticPr fontId="3"/>
  </si>
  <si>
    <t>男</t>
    <rPh sb="0" eb="1">
      <t>ダン</t>
    </rPh>
    <phoneticPr fontId="3"/>
  </si>
  <si>
    <t>新</t>
    <rPh sb="0" eb="1">
      <t>シン</t>
    </rPh>
    <phoneticPr fontId="3"/>
  </si>
  <si>
    <t>大(立命館)</t>
    <rPh sb="0" eb="1">
      <t>ダイ</t>
    </rPh>
    <rPh sb="2" eb="5">
      <t>リツメイカン</t>
    </rPh>
    <phoneticPr fontId="3"/>
  </si>
  <si>
    <t>002北海道2区01</t>
    <rPh sb="3" eb="6">
      <t>ホッカイドウ</t>
    </rPh>
    <rPh sb="7" eb="8">
      <t>ク</t>
    </rPh>
    <phoneticPr fontId="3"/>
  </si>
  <si>
    <t>002北海道2区02</t>
    <rPh sb="3" eb="6">
      <t>ホッカイドウ</t>
    </rPh>
    <rPh sb="7" eb="8">
      <t>ク</t>
    </rPh>
    <phoneticPr fontId="3"/>
  </si>
  <si>
    <t>002北海道2区03</t>
    <rPh sb="3" eb="6">
      <t>ホッカイドウ</t>
    </rPh>
    <rPh sb="7" eb="8">
      <t>ク</t>
    </rPh>
    <phoneticPr fontId="3"/>
  </si>
  <si>
    <t>002北海道2区04</t>
    <rPh sb="3" eb="6">
      <t>ホッカイドウ</t>
    </rPh>
    <rPh sb="7" eb="8">
      <t>ク</t>
    </rPh>
    <phoneticPr fontId="3"/>
  </si>
  <si>
    <t>吉川　貴盛</t>
    <rPh sb="0" eb="2">
      <t>ヨシカワ</t>
    </rPh>
    <rPh sb="3" eb="5">
      <t>タカモリ</t>
    </rPh>
    <phoneticPr fontId="3"/>
  </si>
  <si>
    <t>額賀</t>
    <rPh sb="0" eb="2">
      <t>ヌカガ</t>
    </rPh>
    <phoneticPr fontId="3"/>
  </si>
  <si>
    <t>元</t>
    <rPh sb="0" eb="1">
      <t>モト</t>
    </rPh>
    <phoneticPr fontId="3"/>
  </si>
  <si>
    <t>大院(北海道)</t>
    <rPh sb="0" eb="2">
      <t>ダイイン</t>
    </rPh>
    <rPh sb="3" eb="6">
      <t>ホッカイドウ</t>
    </rPh>
    <phoneticPr fontId="3"/>
  </si>
  <si>
    <t>北海道議(札幌市東区),議員秘書(鳩山邦夫)</t>
    <rPh sb="0" eb="3">
      <t>ホッカイドウ</t>
    </rPh>
    <rPh sb="3" eb="4">
      <t>ギ</t>
    </rPh>
    <rPh sb="5" eb="8">
      <t>サッポロシ</t>
    </rPh>
    <rPh sb="8" eb="10">
      <t>ヒガシク</t>
    </rPh>
    <rPh sb="12" eb="14">
      <t>ギイン</t>
    </rPh>
    <rPh sb="14" eb="16">
      <t>ヒショ</t>
    </rPh>
    <rPh sb="17" eb="19">
      <t>ハトヤマ</t>
    </rPh>
    <rPh sb="19" eb="21">
      <t>クニオ</t>
    </rPh>
    <phoneticPr fontId="3"/>
  </si>
  <si>
    <t>　元副大臣(経産),政務次官(北開)</t>
    <rPh sb="1" eb="2">
      <t>モト</t>
    </rPh>
    <rPh sb="2" eb="5">
      <t>フクダイジン</t>
    </rPh>
    <rPh sb="6" eb="7">
      <t>ケイ</t>
    </rPh>
    <rPh sb="7" eb="8">
      <t>サン</t>
    </rPh>
    <rPh sb="10" eb="12">
      <t>セイム</t>
    </rPh>
    <rPh sb="12" eb="14">
      <t>ジカン</t>
    </rPh>
    <rPh sb="15" eb="16">
      <t>ホク</t>
    </rPh>
    <rPh sb="16" eb="17">
      <t>カイ</t>
    </rPh>
    <phoneticPr fontId="3"/>
  </si>
  <si>
    <t>太田　秀子</t>
    <rPh sb="0" eb="2">
      <t>オオタ</t>
    </rPh>
    <rPh sb="3" eb="5">
      <t>ヒデコ</t>
    </rPh>
    <phoneticPr fontId="3"/>
  </si>
  <si>
    <t>女</t>
    <rPh sb="0" eb="1">
      <t>ジョ</t>
    </rPh>
    <phoneticPr fontId="3"/>
  </si>
  <si>
    <t>短大(北海道栄養)</t>
    <rPh sb="0" eb="2">
      <t>タンダイ</t>
    </rPh>
    <rPh sb="3" eb="6">
      <t>ホッカイドウ</t>
    </rPh>
    <rPh sb="6" eb="8">
      <t>エイヨウ</t>
    </rPh>
    <phoneticPr fontId="3"/>
  </si>
  <si>
    <t>共産党地区副委員長,保育士</t>
    <rPh sb="0" eb="3">
      <t>キョウサントウ</t>
    </rPh>
    <rPh sb="3" eb="5">
      <t>チク</t>
    </rPh>
    <rPh sb="5" eb="9">
      <t>フクイインチョウ</t>
    </rPh>
    <rPh sb="10" eb="13">
      <t>ホイクシ</t>
    </rPh>
    <phoneticPr fontId="3"/>
  </si>
  <si>
    <t>幸福</t>
    <rPh sb="0" eb="2">
      <t>コウフク</t>
    </rPh>
    <phoneticPr fontId="3"/>
  </si>
  <si>
    <t>大(北海道)</t>
    <rPh sb="0" eb="1">
      <t>ダイ</t>
    </rPh>
    <rPh sb="2" eb="5">
      <t>ホッカイドウ</t>
    </rPh>
    <phoneticPr fontId="3"/>
  </si>
  <si>
    <t>さ</t>
  </si>
  <si>
    <t>前</t>
    <rPh sb="0" eb="1">
      <t>ゼン</t>
    </rPh>
    <phoneticPr fontId="3"/>
  </si>
  <si>
    <t>003北海道3区01</t>
    <rPh sb="3" eb="6">
      <t>ホッカイドウ</t>
    </rPh>
    <rPh sb="7" eb="8">
      <t>ク</t>
    </rPh>
    <phoneticPr fontId="3"/>
  </si>
  <si>
    <t>003北海道3区02</t>
    <rPh sb="3" eb="6">
      <t>ホッカイドウ</t>
    </rPh>
    <rPh sb="7" eb="8">
      <t>ク</t>
    </rPh>
    <phoneticPr fontId="3"/>
  </si>
  <si>
    <t>003北海道3区03</t>
    <rPh sb="3" eb="6">
      <t>ホッカイドウ</t>
    </rPh>
    <rPh sb="7" eb="8">
      <t>ク</t>
    </rPh>
    <phoneticPr fontId="3"/>
  </si>
  <si>
    <t>高木　宏壽</t>
    <rPh sb="0" eb="2">
      <t>タカギ</t>
    </rPh>
    <rPh sb="3" eb="4">
      <t>ヒロシ</t>
    </rPh>
    <rPh sb="4" eb="5">
      <t>ヒサ</t>
    </rPh>
    <phoneticPr fontId="3"/>
  </si>
  <si>
    <t>無派</t>
    <rPh sb="0" eb="1">
      <t>ム</t>
    </rPh>
    <rPh sb="1" eb="2">
      <t>ハ</t>
    </rPh>
    <phoneticPr fontId="3"/>
  </si>
  <si>
    <t>大(慶應)</t>
    <rPh sb="0" eb="1">
      <t>ダイ</t>
    </rPh>
    <rPh sb="2" eb="4">
      <t>ケイオウ</t>
    </rPh>
    <phoneticPr fontId="3"/>
  </si>
  <si>
    <t>北海道議(札幌市豊平区),学校法人理事長(幌南学園)</t>
    <rPh sb="0" eb="3">
      <t>ホッカイドウ</t>
    </rPh>
    <rPh sb="3" eb="4">
      <t>ギ</t>
    </rPh>
    <rPh sb="5" eb="8">
      <t>サッポロシ</t>
    </rPh>
    <rPh sb="8" eb="11">
      <t>トヨヒラク</t>
    </rPh>
    <rPh sb="13" eb="15">
      <t>ガッコウ</t>
    </rPh>
    <rPh sb="15" eb="17">
      <t>ホウジン</t>
    </rPh>
    <rPh sb="17" eb="20">
      <t>リジチョウ</t>
    </rPh>
    <rPh sb="21" eb="22">
      <t>ホロ</t>
    </rPh>
    <rPh sb="22" eb="23">
      <t>ナン</t>
    </rPh>
    <rPh sb="23" eb="25">
      <t>ガクエン</t>
    </rPh>
    <phoneticPr fontId="3"/>
  </si>
  <si>
    <t>共産党地区政策委員長,赤旗記者</t>
    <rPh sb="0" eb="3">
      <t>キョウサントウ</t>
    </rPh>
    <rPh sb="3" eb="5">
      <t>チク</t>
    </rPh>
    <rPh sb="5" eb="7">
      <t>セイサク</t>
    </rPh>
    <rPh sb="7" eb="10">
      <t>イインチョウ</t>
    </rPh>
    <rPh sb="11" eb="13">
      <t>アカハタ</t>
    </rPh>
    <rPh sb="13" eb="15">
      <t>キシャ</t>
    </rPh>
    <phoneticPr fontId="3"/>
  </si>
  <si>
    <t>大(北海道東海)</t>
    <rPh sb="0" eb="1">
      <t>ダイ</t>
    </rPh>
    <rPh sb="2" eb="5">
      <t>ホッカイドウ</t>
    </rPh>
    <rPh sb="5" eb="7">
      <t>トウカイ</t>
    </rPh>
    <phoneticPr fontId="3"/>
  </si>
  <si>
    <t>004北海道4区01</t>
    <rPh sb="3" eb="6">
      <t>ホッカイドウ</t>
    </rPh>
    <rPh sb="7" eb="8">
      <t>ク</t>
    </rPh>
    <phoneticPr fontId="3"/>
  </si>
  <si>
    <t>004北海道4区02</t>
    <rPh sb="3" eb="6">
      <t>ホッカイドウ</t>
    </rPh>
    <rPh sb="7" eb="8">
      <t>ク</t>
    </rPh>
    <phoneticPr fontId="3"/>
  </si>
  <si>
    <t>菊地　葉子</t>
    <rPh sb="0" eb="2">
      <t>キクチ</t>
    </rPh>
    <rPh sb="3" eb="5">
      <t>ヨウコ</t>
    </rPh>
    <phoneticPr fontId="3"/>
  </si>
  <si>
    <t>他(北海道立保育専門学院)</t>
    <rPh sb="0" eb="1">
      <t>ホカ</t>
    </rPh>
    <rPh sb="2" eb="5">
      <t>ホッカイドウ</t>
    </rPh>
    <rPh sb="5" eb="6">
      <t>リツ</t>
    </rPh>
    <rPh sb="6" eb="8">
      <t>ホイク</t>
    </rPh>
    <rPh sb="8" eb="10">
      <t>センモン</t>
    </rPh>
    <rPh sb="10" eb="12">
      <t>ガクイン</t>
    </rPh>
    <phoneticPr fontId="3"/>
  </si>
  <si>
    <t>005北海道5区01</t>
    <rPh sb="3" eb="6">
      <t>ホッカイドウ</t>
    </rPh>
    <rPh sb="7" eb="8">
      <t>ク</t>
    </rPh>
    <phoneticPr fontId="3"/>
  </si>
  <si>
    <t>005北海道5区02</t>
    <rPh sb="3" eb="6">
      <t>ホッカイドウ</t>
    </rPh>
    <rPh sb="7" eb="8">
      <t>ク</t>
    </rPh>
    <phoneticPr fontId="3"/>
  </si>
  <si>
    <t>005北海道5区03</t>
    <rPh sb="3" eb="6">
      <t>ホッカイドウ</t>
    </rPh>
    <rPh sb="7" eb="8">
      <t>ク</t>
    </rPh>
    <phoneticPr fontId="3"/>
  </si>
  <si>
    <t>005北海道5区04</t>
    <rPh sb="3" eb="6">
      <t>ホッカイドウ</t>
    </rPh>
    <rPh sb="7" eb="8">
      <t>ク</t>
    </rPh>
    <phoneticPr fontId="3"/>
  </si>
  <si>
    <t>中前　茂之</t>
    <rPh sb="0" eb="2">
      <t>ナカマエ</t>
    </rPh>
    <rPh sb="3" eb="5">
      <t>シゲユキ</t>
    </rPh>
    <phoneticPr fontId="3"/>
  </si>
  <si>
    <t>他</t>
    <rPh sb="0" eb="1">
      <t>ホカ</t>
    </rPh>
    <phoneticPr fontId="3"/>
  </si>
  <si>
    <t>社</t>
    <rPh sb="0" eb="1">
      <t>シャ</t>
    </rPh>
    <phoneticPr fontId="3"/>
  </si>
  <si>
    <t>国土交通省北海道開発局千歳道路事務所長</t>
    <rPh sb="0" eb="2">
      <t>コクド</t>
    </rPh>
    <rPh sb="2" eb="5">
      <t>コウツウショウ</t>
    </rPh>
    <rPh sb="5" eb="8">
      <t>ホッカイドウ</t>
    </rPh>
    <rPh sb="8" eb="11">
      <t>カイハツキョク</t>
    </rPh>
    <rPh sb="11" eb="13">
      <t>チトセ</t>
    </rPh>
    <rPh sb="13" eb="15">
      <t>ドウロ</t>
    </rPh>
    <rPh sb="15" eb="17">
      <t>ジム</t>
    </rPh>
    <rPh sb="17" eb="19">
      <t>ショチョウ</t>
    </rPh>
    <phoneticPr fontId="3"/>
  </si>
  <si>
    <t>官</t>
    <rPh sb="0" eb="1">
      <t>カン</t>
    </rPh>
    <phoneticPr fontId="3"/>
  </si>
  <si>
    <t>町村</t>
    <rPh sb="0" eb="2">
      <t>マチムラ</t>
    </rPh>
    <phoneticPr fontId="3"/>
  </si>
  <si>
    <t>西田　雄二</t>
    <rPh sb="0" eb="2">
      <t>ニシダ</t>
    </rPh>
    <rPh sb="3" eb="5">
      <t>ユウジ</t>
    </rPh>
    <phoneticPr fontId="3"/>
  </si>
  <si>
    <t>社会保険労務士</t>
    <rPh sb="0" eb="2">
      <t>シャカイ</t>
    </rPh>
    <rPh sb="2" eb="4">
      <t>ホケン</t>
    </rPh>
    <rPh sb="4" eb="7">
      <t>ロウムシ</t>
    </rPh>
    <phoneticPr fontId="3"/>
  </si>
  <si>
    <t>鈴木　龍次</t>
    <rPh sb="0" eb="2">
      <t>スズキ</t>
    </rPh>
    <rPh sb="3" eb="5">
      <t>リュウジ</t>
    </rPh>
    <phoneticPr fontId="3"/>
  </si>
  <si>
    <t>高(清田)</t>
    <rPh sb="0" eb="1">
      <t>コウ</t>
    </rPh>
    <rPh sb="2" eb="4">
      <t>キヨタ</t>
    </rPh>
    <phoneticPr fontId="3"/>
  </si>
  <si>
    <t>共産党地区委員長</t>
    <rPh sb="0" eb="3">
      <t>キョウサントウ</t>
    </rPh>
    <rPh sb="3" eb="5">
      <t>チク</t>
    </rPh>
    <rPh sb="5" eb="8">
      <t>イインチョウ</t>
    </rPh>
    <phoneticPr fontId="3"/>
  </si>
  <si>
    <t>001北海道1区03</t>
    <rPh sb="3" eb="6">
      <t>ホッカイドウ</t>
    </rPh>
    <rPh sb="7" eb="8">
      <t>ク</t>
    </rPh>
    <phoneticPr fontId="3"/>
  </si>
  <si>
    <t>004北海道4区03</t>
    <rPh sb="3" eb="6">
      <t>ホッカイドウ</t>
    </rPh>
    <rPh sb="7" eb="8">
      <t>ク</t>
    </rPh>
    <phoneticPr fontId="3"/>
  </si>
  <si>
    <t>006北海道6区01</t>
    <rPh sb="3" eb="6">
      <t>ホッカイドウ</t>
    </rPh>
    <rPh sb="7" eb="8">
      <t>ク</t>
    </rPh>
    <phoneticPr fontId="3"/>
  </si>
  <si>
    <t>006北海道6区02</t>
    <rPh sb="3" eb="6">
      <t>ホッカイドウ</t>
    </rPh>
    <rPh sb="7" eb="8">
      <t>ク</t>
    </rPh>
    <phoneticPr fontId="3"/>
  </si>
  <si>
    <t>006北海道6区03</t>
    <rPh sb="3" eb="6">
      <t>ホッカイドウ</t>
    </rPh>
    <rPh sb="7" eb="8">
      <t>ク</t>
    </rPh>
    <phoneticPr fontId="3"/>
  </si>
  <si>
    <t>荻生　和敏</t>
    <rPh sb="0" eb="2">
      <t>オギュウ</t>
    </rPh>
    <rPh sb="3" eb="5">
      <t>カズトシ</t>
    </rPh>
    <phoneticPr fontId="3"/>
  </si>
  <si>
    <t>大(宇都宮)</t>
    <rPh sb="0" eb="1">
      <t>ダイ</t>
    </rPh>
    <rPh sb="2" eb="5">
      <t>ウツノミヤ</t>
    </rPh>
    <phoneticPr fontId="3"/>
  </si>
  <si>
    <t>007北海道7区01</t>
    <rPh sb="3" eb="6">
      <t>ホッカイドウ</t>
    </rPh>
    <rPh sb="7" eb="8">
      <t>ク</t>
    </rPh>
    <phoneticPr fontId="3"/>
  </si>
  <si>
    <t>007北海道7区02</t>
    <rPh sb="3" eb="6">
      <t>ホッカイドウ</t>
    </rPh>
    <rPh sb="7" eb="8">
      <t>ク</t>
    </rPh>
    <phoneticPr fontId="3"/>
  </si>
  <si>
    <t>007北海道7区03</t>
    <rPh sb="3" eb="6">
      <t>ホッカイドウ</t>
    </rPh>
    <rPh sb="7" eb="8">
      <t>ク</t>
    </rPh>
    <phoneticPr fontId="3"/>
  </si>
  <si>
    <t>007北海道7区04</t>
    <rPh sb="3" eb="6">
      <t>ホッカイドウ</t>
    </rPh>
    <rPh sb="7" eb="8">
      <t>ク</t>
    </rPh>
    <phoneticPr fontId="3"/>
  </si>
  <si>
    <t>伊吹</t>
    <rPh sb="0" eb="2">
      <t>イブキ</t>
    </rPh>
    <phoneticPr fontId="3"/>
  </si>
  <si>
    <t>佐々木　亮子</t>
    <rPh sb="0" eb="3">
      <t>ササキ</t>
    </rPh>
    <rPh sb="4" eb="6">
      <t>リョウコ</t>
    </rPh>
    <phoneticPr fontId="3"/>
  </si>
  <si>
    <t>高(釧路星園)</t>
    <rPh sb="0" eb="1">
      <t>コウ</t>
    </rPh>
    <rPh sb="2" eb="4">
      <t>クシロ</t>
    </rPh>
    <rPh sb="4" eb="5">
      <t>ホシ</t>
    </rPh>
    <rPh sb="5" eb="6">
      <t>エン</t>
    </rPh>
    <phoneticPr fontId="3"/>
  </si>
  <si>
    <t>北海道・釧路町議,釧路地区労連事務局次長</t>
    <rPh sb="0" eb="3">
      <t>ホッカイドウ</t>
    </rPh>
    <rPh sb="4" eb="6">
      <t>クシロ</t>
    </rPh>
    <rPh sb="6" eb="8">
      <t>チョウギ</t>
    </rPh>
    <rPh sb="9" eb="11">
      <t>クシロ</t>
    </rPh>
    <rPh sb="11" eb="13">
      <t>チク</t>
    </rPh>
    <rPh sb="13" eb="15">
      <t>ロウレン</t>
    </rPh>
    <rPh sb="15" eb="18">
      <t>ジムキョク</t>
    </rPh>
    <rPh sb="18" eb="20">
      <t>ジチョウ</t>
    </rPh>
    <phoneticPr fontId="3"/>
  </si>
  <si>
    <t>労</t>
    <rPh sb="0" eb="1">
      <t>ロウ</t>
    </rPh>
    <phoneticPr fontId="3"/>
  </si>
  <si>
    <t>008北海道8区01</t>
    <rPh sb="3" eb="6">
      <t>ホッカイドウ</t>
    </rPh>
    <rPh sb="7" eb="8">
      <t>ク</t>
    </rPh>
    <phoneticPr fontId="3"/>
  </si>
  <si>
    <t>008北海道8区02</t>
    <rPh sb="3" eb="6">
      <t>ホッカイドウ</t>
    </rPh>
    <rPh sb="7" eb="8">
      <t>ク</t>
    </rPh>
    <phoneticPr fontId="3"/>
  </si>
  <si>
    <t>008北海道8区03</t>
    <rPh sb="3" eb="6">
      <t>ホッカイドウ</t>
    </rPh>
    <rPh sb="7" eb="8">
      <t>ク</t>
    </rPh>
    <phoneticPr fontId="3"/>
  </si>
  <si>
    <t>前田　一男</t>
    <rPh sb="0" eb="2">
      <t>マエダ</t>
    </rPh>
    <rPh sb="3" eb="5">
      <t>カズオ</t>
    </rPh>
    <phoneticPr fontId="3"/>
  </si>
  <si>
    <t>北海道・松前町長,北海道庁職員</t>
    <rPh sb="0" eb="3">
      <t>ホッカイドウ</t>
    </rPh>
    <rPh sb="4" eb="6">
      <t>マツマエ</t>
    </rPh>
    <rPh sb="6" eb="8">
      <t>チョウチョウ</t>
    </rPh>
    <rPh sb="9" eb="12">
      <t>ホッカイドウ</t>
    </rPh>
    <rPh sb="12" eb="13">
      <t>チョウ</t>
    </rPh>
    <rPh sb="13" eb="15">
      <t>ショクイン</t>
    </rPh>
    <phoneticPr fontId="3"/>
  </si>
  <si>
    <t>首</t>
    <rPh sb="0" eb="1">
      <t>クビ</t>
    </rPh>
    <phoneticPr fontId="3"/>
  </si>
  <si>
    <t>高橋　佳大</t>
    <rPh sb="0" eb="2">
      <t>タカハシ</t>
    </rPh>
    <rPh sb="3" eb="4">
      <t>ヨ</t>
    </rPh>
    <rPh sb="4" eb="5">
      <t>ダイ</t>
    </rPh>
    <phoneticPr fontId="3"/>
  </si>
  <si>
    <t>大(東北)</t>
    <rPh sb="0" eb="1">
      <t>ダイ</t>
    </rPh>
    <rPh sb="2" eb="4">
      <t>トウホク</t>
    </rPh>
    <phoneticPr fontId="3"/>
  </si>
  <si>
    <t>北海道・函館市議</t>
    <rPh sb="0" eb="3">
      <t>ホッカイドウ</t>
    </rPh>
    <rPh sb="4" eb="6">
      <t>ハコダテ</t>
    </rPh>
    <rPh sb="6" eb="8">
      <t>シギ</t>
    </rPh>
    <phoneticPr fontId="3"/>
  </si>
  <si>
    <t>009北海道9区01</t>
    <rPh sb="3" eb="6">
      <t>ホッカイドウ</t>
    </rPh>
    <rPh sb="7" eb="8">
      <t>ク</t>
    </rPh>
    <phoneticPr fontId="3"/>
  </si>
  <si>
    <t>009北海道9区02</t>
    <rPh sb="3" eb="6">
      <t>ホッカイドウ</t>
    </rPh>
    <rPh sb="7" eb="8">
      <t>ク</t>
    </rPh>
    <phoneticPr fontId="3"/>
  </si>
  <si>
    <t>009北海道9区03</t>
    <rPh sb="3" eb="6">
      <t>ホッカイドウ</t>
    </rPh>
    <rPh sb="7" eb="8">
      <t>ク</t>
    </rPh>
    <phoneticPr fontId="3"/>
  </si>
  <si>
    <t>堀井　　学</t>
    <rPh sb="0" eb="2">
      <t>ホリイ</t>
    </rPh>
    <rPh sb="4" eb="5">
      <t>マナブ</t>
    </rPh>
    <phoneticPr fontId="3"/>
  </si>
  <si>
    <t>大(専修)</t>
    <rPh sb="0" eb="1">
      <t>ダイ</t>
    </rPh>
    <rPh sb="2" eb="4">
      <t>センシュウ</t>
    </rPh>
    <phoneticPr fontId="3"/>
  </si>
  <si>
    <t>北海道議(登別市),スピードスケート選手</t>
    <rPh sb="0" eb="3">
      <t>ホッカイドウ</t>
    </rPh>
    <rPh sb="3" eb="4">
      <t>ギ</t>
    </rPh>
    <rPh sb="5" eb="8">
      <t>ノボリベツシ</t>
    </rPh>
    <rPh sb="18" eb="20">
      <t>センシュ</t>
    </rPh>
    <phoneticPr fontId="3"/>
  </si>
  <si>
    <t>タ</t>
    <phoneticPr fontId="3"/>
  </si>
  <si>
    <t>花井　泰子</t>
    <rPh sb="0" eb="2">
      <t>ハナイ</t>
    </rPh>
    <rPh sb="3" eb="5">
      <t>ヤスコ</t>
    </rPh>
    <phoneticPr fontId="3"/>
  </si>
  <si>
    <t>大院(青山学院)</t>
    <rPh sb="0" eb="2">
      <t>ダイイン</t>
    </rPh>
    <rPh sb="3" eb="5">
      <t>アオヤマ</t>
    </rPh>
    <rPh sb="5" eb="7">
      <t>ガクイン</t>
    </rPh>
    <phoneticPr fontId="3"/>
  </si>
  <si>
    <t>北海道・登別市議</t>
    <rPh sb="0" eb="3">
      <t>ホッカイドウ</t>
    </rPh>
    <rPh sb="4" eb="6">
      <t>ノボリベツ</t>
    </rPh>
    <rPh sb="6" eb="8">
      <t>シギ</t>
    </rPh>
    <phoneticPr fontId="3"/>
  </si>
  <si>
    <t>北海道・小樽市議,保育士</t>
    <rPh sb="0" eb="3">
      <t>ホッカイドウ</t>
    </rPh>
    <rPh sb="4" eb="6">
      <t>オタル</t>
    </rPh>
    <rPh sb="6" eb="8">
      <t>シギ</t>
    </rPh>
    <rPh sb="9" eb="12">
      <t>ホイクシ</t>
    </rPh>
    <phoneticPr fontId="3"/>
  </si>
  <si>
    <t>010北海道10区01</t>
    <rPh sb="3" eb="6">
      <t>ホッカイドウ</t>
    </rPh>
    <rPh sb="8" eb="9">
      <t>ク</t>
    </rPh>
    <phoneticPr fontId="3"/>
  </si>
  <si>
    <t>010北海道10区02</t>
    <rPh sb="3" eb="6">
      <t>ホッカイドウ</t>
    </rPh>
    <rPh sb="8" eb="9">
      <t>ク</t>
    </rPh>
    <phoneticPr fontId="3"/>
  </si>
  <si>
    <t>010北海道10区03</t>
    <rPh sb="3" eb="6">
      <t>ホッカイドウ</t>
    </rPh>
    <rPh sb="8" eb="9">
      <t>ク</t>
    </rPh>
    <phoneticPr fontId="3"/>
  </si>
  <si>
    <t>010北海道10区04</t>
    <rPh sb="3" eb="6">
      <t>ホッカイドウ</t>
    </rPh>
    <rPh sb="8" eb="9">
      <t>ク</t>
    </rPh>
    <phoneticPr fontId="3"/>
  </si>
  <si>
    <t>木村　賢治</t>
    <rPh sb="0" eb="2">
      <t>キムラ</t>
    </rPh>
    <rPh sb="3" eb="5">
      <t>ケンジ</t>
    </rPh>
    <phoneticPr fontId="3"/>
  </si>
  <si>
    <t>大(法政)</t>
    <rPh sb="0" eb="1">
      <t>ダイ</t>
    </rPh>
    <rPh sb="2" eb="4">
      <t>ホウセイ</t>
    </rPh>
    <phoneticPr fontId="3"/>
  </si>
  <si>
    <t>北海道高教組役員</t>
    <rPh sb="0" eb="3">
      <t>ホッカイドウ</t>
    </rPh>
    <rPh sb="3" eb="4">
      <t>コウ</t>
    </rPh>
    <rPh sb="4" eb="6">
      <t>キョウソ</t>
    </rPh>
    <rPh sb="6" eb="8">
      <t>ヤクイン</t>
    </rPh>
    <phoneticPr fontId="3"/>
  </si>
  <si>
    <t>自無</t>
    <rPh sb="0" eb="1">
      <t>ジ</t>
    </rPh>
    <rPh sb="1" eb="2">
      <t>ム</t>
    </rPh>
    <phoneticPr fontId="3"/>
  </si>
  <si>
    <t>011北海道11区01</t>
    <rPh sb="3" eb="6">
      <t>ホッカイドウ</t>
    </rPh>
    <rPh sb="8" eb="9">
      <t>ク</t>
    </rPh>
    <phoneticPr fontId="3"/>
  </si>
  <si>
    <t>011北海道11区02</t>
    <rPh sb="3" eb="6">
      <t>ホッカイドウ</t>
    </rPh>
    <rPh sb="8" eb="9">
      <t>ク</t>
    </rPh>
    <phoneticPr fontId="3"/>
  </si>
  <si>
    <t>011北海道11区03</t>
    <rPh sb="3" eb="6">
      <t>ホッカイドウ</t>
    </rPh>
    <rPh sb="8" eb="9">
      <t>ク</t>
    </rPh>
    <phoneticPr fontId="3"/>
  </si>
  <si>
    <t>中川　郁子</t>
    <rPh sb="0" eb="2">
      <t>ナカガワ</t>
    </rPh>
    <rPh sb="3" eb="5">
      <t>ユウコ</t>
    </rPh>
    <phoneticPr fontId="3"/>
  </si>
  <si>
    <t>大(聖心女子)</t>
    <rPh sb="0" eb="1">
      <t>ダイ</t>
    </rPh>
    <rPh sb="2" eb="4">
      <t>セイシン</t>
    </rPh>
    <rPh sb="4" eb="6">
      <t>ジョシ</t>
    </rPh>
    <phoneticPr fontId="3"/>
  </si>
  <si>
    <t>NPO法人代表(ラ・テール)</t>
    <rPh sb="3" eb="5">
      <t>ホウジン</t>
    </rPh>
    <rPh sb="5" eb="7">
      <t>ダイヒョウ</t>
    </rPh>
    <phoneticPr fontId="3"/>
  </si>
  <si>
    <t>二</t>
    <rPh sb="0" eb="1">
      <t>ニ</t>
    </rPh>
    <phoneticPr fontId="3"/>
  </si>
  <si>
    <t>渡辺　　紫</t>
    <rPh sb="0" eb="2">
      <t>ワタナベ</t>
    </rPh>
    <rPh sb="4" eb="5">
      <t>ムラサキ</t>
    </rPh>
    <phoneticPr fontId="3"/>
  </si>
  <si>
    <t>高(芽室)</t>
    <rPh sb="0" eb="1">
      <t>コウ</t>
    </rPh>
    <rPh sb="2" eb="4">
      <t>メムロ</t>
    </rPh>
    <phoneticPr fontId="3"/>
  </si>
  <si>
    <t>北海道・紋別市議</t>
    <rPh sb="0" eb="3">
      <t>ホッカイドウ</t>
    </rPh>
    <rPh sb="4" eb="6">
      <t>モンベツ</t>
    </rPh>
    <rPh sb="6" eb="8">
      <t>シギ</t>
    </rPh>
    <phoneticPr fontId="3"/>
  </si>
  <si>
    <t>大地</t>
    <rPh sb="0" eb="2">
      <t>ダイチ</t>
    </rPh>
    <phoneticPr fontId="4"/>
  </si>
  <si>
    <t>012北海道12区01</t>
    <rPh sb="3" eb="6">
      <t>ホッカイドウ</t>
    </rPh>
    <rPh sb="8" eb="9">
      <t>ク</t>
    </rPh>
    <phoneticPr fontId="3"/>
  </si>
  <si>
    <t>012北海道12区02</t>
    <rPh sb="3" eb="6">
      <t>ホッカイドウ</t>
    </rPh>
    <rPh sb="8" eb="9">
      <t>ク</t>
    </rPh>
    <phoneticPr fontId="3"/>
  </si>
  <si>
    <t>012北海道12区03</t>
    <rPh sb="3" eb="6">
      <t>ホッカイドウ</t>
    </rPh>
    <rPh sb="8" eb="9">
      <t>ク</t>
    </rPh>
    <phoneticPr fontId="3"/>
  </si>
  <si>
    <t>012北海道12区04</t>
    <rPh sb="3" eb="6">
      <t>ホッカイドウ</t>
    </rPh>
    <rPh sb="8" eb="9">
      <t>ク</t>
    </rPh>
    <phoneticPr fontId="3"/>
  </si>
  <si>
    <t>菅原　　誠</t>
    <rPh sb="0" eb="2">
      <t>スガワラ</t>
    </rPh>
    <rPh sb="4" eb="5">
      <t>マコト</t>
    </rPh>
    <phoneticPr fontId="3"/>
  </si>
  <si>
    <t>共産党北海道委員,会社員(京セラ)</t>
    <rPh sb="0" eb="3">
      <t>キョウサントウ</t>
    </rPh>
    <rPh sb="3" eb="6">
      <t>ホッカイドウ</t>
    </rPh>
    <rPh sb="6" eb="8">
      <t>イイン</t>
    </rPh>
    <rPh sb="9" eb="12">
      <t>カイシャイン</t>
    </rPh>
    <rPh sb="13" eb="14">
      <t>キョウ</t>
    </rPh>
    <phoneticPr fontId="3"/>
  </si>
  <si>
    <t>会社役員(北海道通信社),保育園理事</t>
    <rPh sb="0" eb="2">
      <t>カイシャ</t>
    </rPh>
    <rPh sb="2" eb="4">
      <t>ヤクイン</t>
    </rPh>
    <rPh sb="5" eb="8">
      <t>ホッカイドウ</t>
    </rPh>
    <rPh sb="8" eb="11">
      <t>ツウシンシャ</t>
    </rPh>
    <phoneticPr fontId="3"/>
  </si>
  <si>
    <t>013青森1区01</t>
    <rPh sb="3" eb="5">
      <t>アオモリ</t>
    </rPh>
    <rPh sb="6" eb="7">
      <t>ク</t>
    </rPh>
    <phoneticPr fontId="3"/>
  </si>
  <si>
    <t>013青森1区02</t>
    <rPh sb="3" eb="5">
      <t>アオモリ</t>
    </rPh>
    <rPh sb="6" eb="7">
      <t>ク</t>
    </rPh>
    <phoneticPr fontId="3"/>
  </si>
  <si>
    <t>013青森1区03</t>
    <rPh sb="3" eb="5">
      <t>アオモリ</t>
    </rPh>
    <rPh sb="6" eb="7">
      <t>ク</t>
    </rPh>
    <phoneticPr fontId="3"/>
  </si>
  <si>
    <t>013青森1区04</t>
    <rPh sb="3" eb="5">
      <t>アオモリ</t>
    </rPh>
    <rPh sb="6" eb="7">
      <t>ク</t>
    </rPh>
    <phoneticPr fontId="3"/>
  </si>
  <si>
    <t>013青森1区05</t>
    <rPh sb="3" eb="5">
      <t>アオモリ</t>
    </rPh>
    <rPh sb="6" eb="7">
      <t>ク</t>
    </rPh>
    <phoneticPr fontId="3"/>
  </si>
  <si>
    <t>津島　　淳</t>
    <rPh sb="0" eb="2">
      <t>ツシマ</t>
    </rPh>
    <rPh sb="4" eb="5">
      <t>ジュン</t>
    </rPh>
    <phoneticPr fontId="3"/>
  </si>
  <si>
    <t>議員秘書(津島雄二),会社員(関電工)</t>
    <rPh sb="0" eb="2">
      <t>ギイン</t>
    </rPh>
    <rPh sb="2" eb="4">
      <t>ヒショ</t>
    </rPh>
    <rPh sb="5" eb="7">
      <t>ツシマ</t>
    </rPh>
    <rPh sb="7" eb="9">
      <t>ユウジ</t>
    </rPh>
    <rPh sb="11" eb="14">
      <t>カイシャイン</t>
    </rPh>
    <rPh sb="15" eb="18">
      <t>カンデンコウ</t>
    </rPh>
    <phoneticPr fontId="3"/>
  </si>
  <si>
    <t>大(学習院)</t>
    <rPh sb="0" eb="1">
      <t>ダイ</t>
    </rPh>
    <rPh sb="2" eb="5">
      <t>ガクシュウイン</t>
    </rPh>
    <phoneticPr fontId="3"/>
  </si>
  <si>
    <t>升田　世喜男</t>
    <rPh sb="0" eb="1">
      <t>マス</t>
    </rPh>
    <rPh sb="1" eb="2">
      <t>ダ</t>
    </rPh>
    <rPh sb="3" eb="4">
      <t>セ</t>
    </rPh>
    <rPh sb="4" eb="5">
      <t>キ</t>
    </rPh>
    <rPh sb="5" eb="6">
      <t>オトコ</t>
    </rPh>
    <phoneticPr fontId="3"/>
  </si>
  <si>
    <t>大中(拓殖)</t>
    <rPh sb="0" eb="1">
      <t>ダイ</t>
    </rPh>
    <rPh sb="1" eb="2">
      <t>チュウ</t>
    </rPh>
    <rPh sb="3" eb="5">
      <t>タクショク</t>
    </rPh>
    <phoneticPr fontId="3"/>
  </si>
  <si>
    <t>青森県議(北津軽郡),青森県・小泊村議</t>
    <rPh sb="0" eb="2">
      <t>アオモリ</t>
    </rPh>
    <rPh sb="2" eb="4">
      <t>ケンギ</t>
    </rPh>
    <rPh sb="5" eb="9">
      <t>キタツガルグン</t>
    </rPh>
    <rPh sb="11" eb="14">
      <t>アオモリケン</t>
    </rPh>
    <rPh sb="15" eb="17">
      <t>オドマリ</t>
    </rPh>
    <rPh sb="17" eb="19">
      <t>ソンギ</t>
    </rPh>
    <phoneticPr fontId="3"/>
  </si>
  <si>
    <t>014青森2区01</t>
    <rPh sb="3" eb="5">
      <t>アオモリ</t>
    </rPh>
    <rPh sb="6" eb="7">
      <t>ク</t>
    </rPh>
    <phoneticPr fontId="3"/>
  </si>
  <si>
    <t>014青森2区02</t>
    <rPh sb="3" eb="5">
      <t>アオモリ</t>
    </rPh>
    <rPh sb="6" eb="7">
      <t>ク</t>
    </rPh>
    <phoneticPr fontId="3"/>
  </si>
  <si>
    <t>014青森2区03</t>
    <rPh sb="3" eb="5">
      <t>アオモリ</t>
    </rPh>
    <rPh sb="6" eb="7">
      <t>ク</t>
    </rPh>
    <phoneticPr fontId="3"/>
  </si>
  <si>
    <t>014青森2区04</t>
    <rPh sb="3" eb="5">
      <t>アオモリ</t>
    </rPh>
    <rPh sb="6" eb="7">
      <t>ク</t>
    </rPh>
    <phoneticPr fontId="3"/>
  </si>
  <si>
    <t>社会福祉法人理事長(至誠会)</t>
    <rPh sb="0" eb="2">
      <t>シャカイ</t>
    </rPh>
    <rPh sb="2" eb="4">
      <t>フクシ</t>
    </rPh>
    <rPh sb="4" eb="6">
      <t>ホウジン</t>
    </rPh>
    <rPh sb="6" eb="9">
      <t>リジチョウ</t>
    </rPh>
    <rPh sb="10" eb="12">
      <t>シセイ</t>
    </rPh>
    <rPh sb="12" eb="13">
      <t>カイ</t>
    </rPh>
    <phoneticPr fontId="3"/>
  </si>
  <si>
    <t>整理番号</t>
    <rPh sb="0" eb="2">
      <t>セイリ</t>
    </rPh>
    <rPh sb="2" eb="4">
      <t>バンゴウ</t>
    </rPh>
    <phoneticPr fontId="3"/>
  </si>
  <si>
    <t>氏名</t>
    <rPh sb="0" eb="2">
      <t>シメイ</t>
    </rPh>
    <phoneticPr fontId="3"/>
  </si>
  <si>
    <t>齢</t>
    <rPh sb="0" eb="1">
      <t>レイ</t>
    </rPh>
    <phoneticPr fontId="3"/>
  </si>
  <si>
    <t>性</t>
    <rPh sb="0" eb="1">
      <t>セイ</t>
    </rPh>
    <phoneticPr fontId="3"/>
  </si>
  <si>
    <t>比</t>
    <rPh sb="0" eb="1">
      <t>ヒ</t>
    </rPh>
    <phoneticPr fontId="3"/>
  </si>
  <si>
    <t>政党</t>
    <rPh sb="0" eb="2">
      <t>セイトウ</t>
    </rPh>
    <phoneticPr fontId="3"/>
  </si>
  <si>
    <t>派閥</t>
    <rPh sb="0" eb="2">
      <t>ハバツ</t>
    </rPh>
    <phoneticPr fontId="3"/>
  </si>
  <si>
    <t>回</t>
    <rPh sb="0" eb="1">
      <t>カイ</t>
    </rPh>
    <phoneticPr fontId="3"/>
  </si>
  <si>
    <t>実</t>
    <rPh sb="0" eb="1">
      <t>ジツ</t>
    </rPh>
    <phoneticPr fontId="3"/>
  </si>
  <si>
    <t>最終学歴</t>
    <rPh sb="0" eb="2">
      <t>サイシュウ</t>
    </rPh>
    <rPh sb="2" eb="4">
      <t>ガクレキ</t>
    </rPh>
    <phoneticPr fontId="3"/>
  </si>
  <si>
    <t>生年月日</t>
    <rPh sb="0" eb="2">
      <t>セイネン</t>
    </rPh>
    <rPh sb="2" eb="4">
      <t>ガッピ</t>
    </rPh>
    <phoneticPr fontId="3"/>
  </si>
  <si>
    <t>経歴(議員になる前)</t>
    <rPh sb="0" eb="2">
      <t>ケイレキ</t>
    </rPh>
    <rPh sb="3" eb="5">
      <t>ギイン</t>
    </rPh>
    <rPh sb="8" eb="9">
      <t>マエ</t>
    </rPh>
    <phoneticPr fontId="3"/>
  </si>
  <si>
    <t>経歴(議員になった後)</t>
    <rPh sb="0" eb="2">
      <t>ケイレキ</t>
    </rPh>
    <rPh sb="3" eb="5">
      <t>ギイン</t>
    </rPh>
    <rPh sb="9" eb="10">
      <t>アト</t>
    </rPh>
    <phoneticPr fontId="3"/>
  </si>
  <si>
    <t>議</t>
    <rPh sb="0" eb="1">
      <t>ギ</t>
    </rPh>
    <phoneticPr fontId="3"/>
  </si>
  <si>
    <t>松</t>
    <rPh sb="0" eb="1">
      <t>マツ</t>
    </rPh>
    <phoneticPr fontId="3"/>
  </si>
  <si>
    <t>法</t>
    <rPh sb="0" eb="1">
      <t>ホウ</t>
    </rPh>
    <phoneticPr fontId="3"/>
  </si>
  <si>
    <t>議労</t>
    <rPh sb="0" eb="1">
      <t>ギ</t>
    </rPh>
    <rPh sb="1" eb="2">
      <t>ロウ</t>
    </rPh>
    <phoneticPr fontId="3"/>
  </si>
  <si>
    <t>議タ</t>
    <rPh sb="0" eb="1">
      <t>ギ</t>
    </rPh>
    <phoneticPr fontId="3"/>
  </si>
  <si>
    <t>大(防衛)</t>
    <rPh sb="0" eb="1">
      <t>ダイ</t>
    </rPh>
    <rPh sb="2" eb="4">
      <t>ボウエイ</t>
    </rPh>
    <phoneticPr fontId="3"/>
  </si>
  <si>
    <t>二</t>
    <rPh sb="0" eb="1">
      <t>ニ</t>
    </rPh>
    <phoneticPr fontId="3"/>
  </si>
  <si>
    <t>015青森3区01</t>
    <rPh sb="3" eb="5">
      <t>アオモリ</t>
    </rPh>
    <rPh sb="6" eb="7">
      <t>ク</t>
    </rPh>
    <phoneticPr fontId="3"/>
  </si>
  <si>
    <t>015青森3区02</t>
    <rPh sb="3" eb="5">
      <t>アオモリ</t>
    </rPh>
    <rPh sb="6" eb="7">
      <t>ク</t>
    </rPh>
    <phoneticPr fontId="3"/>
  </si>
  <si>
    <t>015青森3区03</t>
    <rPh sb="3" eb="5">
      <t>アオモリ</t>
    </rPh>
    <rPh sb="6" eb="7">
      <t>ク</t>
    </rPh>
    <phoneticPr fontId="3"/>
  </si>
  <si>
    <t>ジ</t>
    <phoneticPr fontId="3"/>
  </si>
  <si>
    <t>松橋　三夫</t>
    <rPh sb="0" eb="2">
      <t>マツハシ</t>
    </rPh>
    <rPh sb="3" eb="5">
      <t>ミツオ</t>
    </rPh>
    <phoneticPr fontId="3"/>
  </si>
  <si>
    <t>共産党地区政策委員長</t>
    <rPh sb="0" eb="3">
      <t>キョウサントウ</t>
    </rPh>
    <rPh sb="3" eb="5">
      <t>チク</t>
    </rPh>
    <rPh sb="5" eb="7">
      <t>セイサク</t>
    </rPh>
    <rPh sb="7" eb="10">
      <t>イインチョウ</t>
    </rPh>
    <phoneticPr fontId="3"/>
  </si>
  <si>
    <t>高(八戸)</t>
    <rPh sb="0" eb="1">
      <t>コウ</t>
    </rPh>
    <rPh sb="2" eb="4">
      <t>ハチノヘ</t>
    </rPh>
    <phoneticPr fontId="3"/>
  </si>
  <si>
    <t>大院(日本)</t>
    <rPh sb="0" eb="2">
      <t>ダイイン</t>
    </rPh>
    <rPh sb="3" eb="5">
      <t>ニホン</t>
    </rPh>
    <phoneticPr fontId="3"/>
  </si>
  <si>
    <t>016青森4区01</t>
    <rPh sb="3" eb="5">
      <t>アオモリ</t>
    </rPh>
    <rPh sb="6" eb="7">
      <t>ク</t>
    </rPh>
    <phoneticPr fontId="3"/>
  </si>
  <si>
    <t>016青森4区02</t>
    <rPh sb="3" eb="5">
      <t>アオモリ</t>
    </rPh>
    <rPh sb="6" eb="7">
      <t>ク</t>
    </rPh>
    <phoneticPr fontId="3"/>
  </si>
  <si>
    <t>016青森4区03</t>
    <rPh sb="3" eb="5">
      <t>アオモリ</t>
    </rPh>
    <rPh sb="6" eb="7">
      <t>ク</t>
    </rPh>
    <phoneticPr fontId="3"/>
  </si>
  <si>
    <t>議</t>
    <rPh sb="0" eb="1">
      <t>ギ</t>
    </rPh>
    <phoneticPr fontId="3"/>
  </si>
  <si>
    <t>大(弘前)</t>
    <rPh sb="0" eb="1">
      <t>ダイ</t>
    </rPh>
    <rPh sb="2" eb="4">
      <t>ヒロサキ</t>
    </rPh>
    <phoneticPr fontId="3"/>
  </si>
  <si>
    <t>017岩手1区01</t>
    <rPh sb="3" eb="5">
      <t>イワテ</t>
    </rPh>
    <rPh sb="6" eb="7">
      <t>ク</t>
    </rPh>
    <phoneticPr fontId="3"/>
  </si>
  <si>
    <t>017岩手1区02</t>
    <rPh sb="3" eb="5">
      <t>イワテ</t>
    </rPh>
    <rPh sb="6" eb="7">
      <t>ク</t>
    </rPh>
    <phoneticPr fontId="3"/>
  </si>
  <si>
    <t>017岩手1区03</t>
    <rPh sb="3" eb="5">
      <t>イワテ</t>
    </rPh>
    <rPh sb="6" eb="7">
      <t>ク</t>
    </rPh>
    <phoneticPr fontId="3"/>
  </si>
  <si>
    <t>017岩手1区04</t>
    <rPh sb="3" eb="5">
      <t>イワテ</t>
    </rPh>
    <rPh sb="6" eb="7">
      <t>ク</t>
    </rPh>
    <phoneticPr fontId="3"/>
  </si>
  <si>
    <t>017岩手1区05</t>
    <rPh sb="3" eb="5">
      <t>イワテ</t>
    </rPh>
    <rPh sb="6" eb="7">
      <t>ク</t>
    </rPh>
    <phoneticPr fontId="3"/>
  </si>
  <si>
    <t>法</t>
    <rPh sb="0" eb="1">
      <t>ホウ</t>
    </rPh>
    <phoneticPr fontId="3"/>
  </si>
  <si>
    <t>高橋　比奈子</t>
    <rPh sb="0" eb="2">
      <t>タカハシ</t>
    </rPh>
    <rPh sb="3" eb="6">
      <t>ヒナコ</t>
    </rPh>
    <phoneticPr fontId="3"/>
  </si>
  <si>
    <t>大(日本)</t>
    <rPh sb="0" eb="1">
      <t>ダイ</t>
    </rPh>
    <rPh sb="2" eb="4">
      <t>ニホン</t>
    </rPh>
    <phoneticPr fontId="3"/>
  </si>
  <si>
    <t>議ジ</t>
    <rPh sb="0" eb="1">
      <t>ギ</t>
    </rPh>
    <phoneticPr fontId="3"/>
  </si>
  <si>
    <t>八幡　志乃</t>
    <rPh sb="0" eb="2">
      <t>ヤハタ</t>
    </rPh>
    <rPh sb="3" eb="5">
      <t>シノ</t>
    </rPh>
    <phoneticPr fontId="3"/>
  </si>
  <si>
    <t>他(日本福祉リハビリテーション学院)</t>
    <rPh sb="0" eb="1">
      <t>ホカ</t>
    </rPh>
    <rPh sb="2" eb="4">
      <t>ニホン</t>
    </rPh>
    <rPh sb="4" eb="6">
      <t>フクシ</t>
    </rPh>
    <rPh sb="15" eb="17">
      <t>ガクイン</t>
    </rPh>
    <phoneticPr fontId="3"/>
  </si>
  <si>
    <t>共産党地区准委員,作業療法士</t>
    <rPh sb="0" eb="3">
      <t>キョウサントウ</t>
    </rPh>
    <rPh sb="3" eb="5">
      <t>チク</t>
    </rPh>
    <rPh sb="5" eb="6">
      <t>ジュン</t>
    </rPh>
    <rPh sb="6" eb="8">
      <t>イイン</t>
    </rPh>
    <rPh sb="9" eb="11">
      <t>サギョウ</t>
    </rPh>
    <rPh sb="11" eb="14">
      <t>リョウホウシ</t>
    </rPh>
    <phoneticPr fontId="3"/>
  </si>
  <si>
    <t>伊沢　昌弘</t>
    <rPh sb="0" eb="2">
      <t>イザワ</t>
    </rPh>
    <rPh sb="3" eb="5">
      <t>マサヒロ</t>
    </rPh>
    <phoneticPr fontId="3"/>
  </si>
  <si>
    <t>大(岩手)</t>
    <rPh sb="0" eb="1">
      <t>ダイ</t>
    </rPh>
    <rPh sb="2" eb="4">
      <t>イワテ</t>
    </rPh>
    <phoneticPr fontId="3"/>
  </si>
  <si>
    <t>岩手県議(盛岡市),岩手県・盛岡市議,岩手県職労書記長</t>
    <rPh sb="0" eb="2">
      <t>イワテ</t>
    </rPh>
    <rPh sb="2" eb="4">
      <t>ケンギ</t>
    </rPh>
    <rPh sb="5" eb="8">
      <t>モリオカシ</t>
    </rPh>
    <rPh sb="10" eb="13">
      <t>イワテケン</t>
    </rPh>
    <rPh sb="14" eb="16">
      <t>モリオカ</t>
    </rPh>
    <rPh sb="16" eb="18">
      <t>シギ</t>
    </rPh>
    <rPh sb="19" eb="22">
      <t>イワテケン</t>
    </rPh>
    <rPh sb="22" eb="23">
      <t>ショク</t>
    </rPh>
    <rPh sb="23" eb="24">
      <t>ロウ</t>
    </rPh>
    <rPh sb="24" eb="27">
      <t>ショキチョウ</t>
    </rPh>
    <phoneticPr fontId="3"/>
  </si>
  <si>
    <t>議労</t>
    <rPh sb="0" eb="1">
      <t>ギ</t>
    </rPh>
    <rPh sb="1" eb="2">
      <t>ロウ</t>
    </rPh>
    <phoneticPr fontId="3"/>
  </si>
  <si>
    <t>労</t>
    <rPh sb="0" eb="1">
      <t>ロウ</t>
    </rPh>
    <phoneticPr fontId="3"/>
  </si>
  <si>
    <t>大(東京都立)</t>
    <rPh sb="0" eb="1">
      <t>ダイ</t>
    </rPh>
    <rPh sb="2" eb="4">
      <t>トウキョウ</t>
    </rPh>
    <rPh sb="4" eb="6">
      <t>トリツ</t>
    </rPh>
    <phoneticPr fontId="3"/>
  </si>
  <si>
    <t>018岩手2区01</t>
    <rPh sb="3" eb="5">
      <t>イワテ</t>
    </rPh>
    <rPh sb="6" eb="7">
      <t>ク</t>
    </rPh>
    <phoneticPr fontId="3"/>
  </si>
  <si>
    <t>018岩手2区02</t>
    <rPh sb="3" eb="5">
      <t>イワテ</t>
    </rPh>
    <rPh sb="6" eb="7">
      <t>ク</t>
    </rPh>
    <phoneticPr fontId="3"/>
  </si>
  <si>
    <t>018岩手2区03</t>
    <rPh sb="3" eb="5">
      <t>イワテ</t>
    </rPh>
    <rPh sb="6" eb="7">
      <t>ク</t>
    </rPh>
    <phoneticPr fontId="3"/>
  </si>
  <si>
    <t>鈴木　俊一</t>
    <rPh sb="0" eb="2">
      <t>スズキ</t>
    </rPh>
    <rPh sb="3" eb="5">
      <t>シュンイチ</t>
    </rPh>
    <phoneticPr fontId="3"/>
  </si>
  <si>
    <t>古賀</t>
    <rPh sb="0" eb="2">
      <t>コガ</t>
    </rPh>
    <phoneticPr fontId="3"/>
  </si>
  <si>
    <t>大(早稲田)</t>
    <rPh sb="0" eb="1">
      <t>ダイ</t>
    </rPh>
    <rPh sb="2" eb="5">
      <t>ワセダ</t>
    </rPh>
    <phoneticPr fontId="3"/>
  </si>
  <si>
    <t>全漁連総務部調査役</t>
    <rPh sb="0" eb="3">
      <t>ゼンギョレン</t>
    </rPh>
    <rPh sb="3" eb="6">
      <t>ソウムブ</t>
    </rPh>
    <rPh sb="6" eb="9">
      <t>チョウサヤク</t>
    </rPh>
    <phoneticPr fontId="3"/>
  </si>
  <si>
    <t>019岩手3区01</t>
    <rPh sb="3" eb="5">
      <t>イワテ</t>
    </rPh>
    <rPh sb="6" eb="7">
      <t>ク</t>
    </rPh>
    <phoneticPr fontId="3"/>
  </si>
  <si>
    <t>019岩手3区02</t>
    <rPh sb="3" eb="5">
      <t>イワテ</t>
    </rPh>
    <rPh sb="6" eb="7">
      <t>ク</t>
    </rPh>
    <phoneticPr fontId="3"/>
  </si>
  <si>
    <t>019岩手3区03</t>
    <rPh sb="3" eb="5">
      <t>イワテ</t>
    </rPh>
    <rPh sb="6" eb="7">
      <t>ク</t>
    </rPh>
    <phoneticPr fontId="3"/>
  </si>
  <si>
    <t>019岩手3区04</t>
    <rPh sb="3" eb="5">
      <t>イワテ</t>
    </rPh>
    <rPh sb="6" eb="7">
      <t>ク</t>
    </rPh>
    <phoneticPr fontId="3"/>
  </si>
  <si>
    <t>橋本　英教</t>
    <rPh sb="0" eb="2">
      <t>ハシモト</t>
    </rPh>
    <rPh sb="3" eb="5">
      <t>ヒデノリ</t>
    </rPh>
    <phoneticPr fontId="3"/>
  </si>
  <si>
    <t>議員秘書(尾身幸次)</t>
    <rPh sb="0" eb="2">
      <t>ギイン</t>
    </rPh>
    <rPh sb="2" eb="4">
      <t>ヒショ</t>
    </rPh>
    <rPh sb="5" eb="7">
      <t>オミ</t>
    </rPh>
    <rPh sb="7" eb="9">
      <t>コウジ</t>
    </rPh>
    <phoneticPr fontId="3"/>
  </si>
  <si>
    <t>菊池　幸夫</t>
    <rPh sb="0" eb="2">
      <t>キクチ</t>
    </rPh>
    <rPh sb="3" eb="5">
      <t>ユキオ</t>
    </rPh>
    <phoneticPr fontId="3"/>
  </si>
  <si>
    <t>大中(東北)</t>
    <rPh sb="0" eb="1">
      <t>ダイ</t>
    </rPh>
    <rPh sb="1" eb="2">
      <t>チュウ</t>
    </rPh>
    <rPh sb="3" eb="5">
      <t>トウホク</t>
    </rPh>
    <phoneticPr fontId="3"/>
  </si>
  <si>
    <t>020岩手4区01</t>
    <rPh sb="3" eb="5">
      <t>イワテ</t>
    </rPh>
    <rPh sb="6" eb="7">
      <t>ク</t>
    </rPh>
    <phoneticPr fontId="3"/>
  </si>
  <si>
    <t>020岩手4区02</t>
    <rPh sb="3" eb="5">
      <t>イワテ</t>
    </rPh>
    <rPh sb="6" eb="7">
      <t>ク</t>
    </rPh>
    <phoneticPr fontId="3"/>
  </si>
  <si>
    <t>020岩手4区03</t>
    <rPh sb="3" eb="5">
      <t>イワテ</t>
    </rPh>
    <rPh sb="6" eb="7">
      <t>ク</t>
    </rPh>
    <phoneticPr fontId="3"/>
  </si>
  <si>
    <t>020岩手4区04</t>
    <rPh sb="3" eb="5">
      <t>イワテ</t>
    </rPh>
    <rPh sb="6" eb="7">
      <t>ク</t>
    </rPh>
    <phoneticPr fontId="3"/>
  </si>
  <si>
    <t>藤原　　崇</t>
    <rPh sb="0" eb="2">
      <t>フジワラ</t>
    </rPh>
    <rPh sb="4" eb="5">
      <t>タカシ</t>
    </rPh>
    <phoneticPr fontId="3"/>
  </si>
  <si>
    <t>大院(明治学院)</t>
    <rPh sb="0" eb="2">
      <t>ダイイン</t>
    </rPh>
    <rPh sb="3" eb="5">
      <t>メイジ</t>
    </rPh>
    <rPh sb="5" eb="7">
      <t>ガクイン</t>
    </rPh>
    <phoneticPr fontId="3"/>
  </si>
  <si>
    <t>議員秘書(丸山和也),弁護士</t>
    <rPh sb="0" eb="2">
      <t>ギイン</t>
    </rPh>
    <rPh sb="2" eb="4">
      <t>ヒショ</t>
    </rPh>
    <rPh sb="5" eb="7">
      <t>マルヤマ</t>
    </rPh>
    <rPh sb="7" eb="9">
      <t>カズヤ</t>
    </rPh>
    <rPh sb="11" eb="14">
      <t>ベンゴシ</t>
    </rPh>
    <phoneticPr fontId="3"/>
  </si>
  <si>
    <t>高橋　綱記</t>
    <rPh sb="0" eb="2">
      <t>タカハシ</t>
    </rPh>
    <rPh sb="3" eb="4">
      <t>ツナ</t>
    </rPh>
    <rPh sb="4" eb="5">
      <t>キ</t>
    </rPh>
    <phoneticPr fontId="3"/>
  </si>
  <si>
    <t>岩手県・花巻市議</t>
    <rPh sb="0" eb="3">
      <t>イワテケン</t>
    </rPh>
    <rPh sb="4" eb="6">
      <t>ハナマキ</t>
    </rPh>
    <rPh sb="6" eb="8">
      <t>シギ</t>
    </rPh>
    <phoneticPr fontId="3"/>
  </si>
  <si>
    <t>021宮城1区01</t>
    <rPh sb="3" eb="5">
      <t>ミヤギ</t>
    </rPh>
    <rPh sb="6" eb="7">
      <t>ク</t>
    </rPh>
    <phoneticPr fontId="3"/>
  </si>
  <si>
    <t>021宮城1区02</t>
    <rPh sb="3" eb="5">
      <t>ミヤギ</t>
    </rPh>
    <rPh sb="6" eb="7">
      <t>ク</t>
    </rPh>
    <phoneticPr fontId="3"/>
  </si>
  <si>
    <t>021宮城1区03</t>
    <rPh sb="3" eb="5">
      <t>ミヤギ</t>
    </rPh>
    <rPh sb="6" eb="7">
      <t>ク</t>
    </rPh>
    <phoneticPr fontId="3"/>
  </si>
  <si>
    <t>021宮城1区04</t>
    <rPh sb="3" eb="5">
      <t>ミヤギ</t>
    </rPh>
    <rPh sb="6" eb="7">
      <t>ク</t>
    </rPh>
    <phoneticPr fontId="3"/>
  </si>
  <si>
    <t>テレビ解説委員(東北放送)</t>
  </si>
  <si>
    <t>岩手県議(盛岡市),岩手県・盛岡市議,テレビアナウンサー(テレビ岩手)</t>
    <rPh sb="0" eb="2">
      <t>イワテ</t>
    </rPh>
    <rPh sb="2" eb="4">
      <t>ケンギ</t>
    </rPh>
    <rPh sb="5" eb="8">
      <t>モリオカシ</t>
    </rPh>
    <rPh sb="10" eb="13">
      <t>イワテケン</t>
    </rPh>
    <rPh sb="14" eb="16">
      <t>モリオカ</t>
    </rPh>
    <rPh sb="16" eb="18">
      <t>シギ</t>
    </rPh>
    <rPh sb="32" eb="34">
      <t>イワテ</t>
    </rPh>
    <phoneticPr fontId="3"/>
  </si>
  <si>
    <t>土井　　亨</t>
    <rPh sb="0" eb="2">
      <t>ドイ</t>
    </rPh>
    <rPh sb="4" eb="5">
      <t>トオル</t>
    </rPh>
    <phoneticPr fontId="3"/>
  </si>
  <si>
    <t>大(東北学院)</t>
    <rPh sb="0" eb="1">
      <t>ダイ</t>
    </rPh>
    <rPh sb="2" eb="4">
      <t>トウホク</t>
    </rPh>
    <rPh sb="4" eb="6">
      <t>ガクイン</t>
    </rPh>
    <phoneticPr fontId="3"/>
  </si>
  <si>
    <t>宮城県議(仙台市若林区)</t>
    <rPh sb="0" eb="2">
      <t>ミヤギ</t>
    </rPh>
    <rPh sb="2" eb="4">
      <t>ケンギ</t>
    </rPh>
    <rPh sb="5" eb="8">
      <t>センダイシ</t>
    </rPh>
    <rPh sb="8" eb="11">
      <t>ワカバヤシク</t>
    </rPh>
    <phoneticPr fontId="3"/>
  </si>
  <si>
    <t>男</t>
    <rPh sb="0" eb="1">
      <t>ダン</t>
    </rPh>
    <phoneticPr fontId="3"/>
  </si>
  <si>
    <t>新</t>
    <rPh sb="0" eb="1">
      <t>シン</t>
    </rPh>
    <phoneticPr fontId="3"/>
  </si>
  <si>
    <t>大院(政策研究)</t>
    <rPh sb="0" eb="2">
      <t>ダイイン</t>
    </rPh>
    <rPh sb="3" eb="5">
      <t>セイサク</t>
    </rPh>
    <rPh sb="5" eb="7">
      <t>ケンキュウ</t>
    </rPh>
    <phoneticPr fontId="3"/>
  </si>
  <si>
    <t>フリーアナウンサー</t>
    <phoneticPr fontId="3"/>
  </si>
  <si>
    <t>角野　達也</t>
    <rPh sb="0" eb="2">
      <t>カドノ</t>
    </rPh>
    <rPh sb="3" eb="5">
      <t>タツヤ</t>
    </rPh>
    <phoneticPr fontId="3"/>
  </si>
  <si>
    <t>大(東北)</t>
    <rPh sb="0" eb="1">
      <t>ダイ</t>
    </rPh>
    <rPh sb="2" eb="4">
      <t>トウホク</t>
    </rPh>
    <phoneticPr fontId="3"/>
  </si>
  <si>
    <t>共産党宮城県委員長</t>
    <rPh sb="0" eb="3">
      <t>キョウサントウ</t>
    </rPh>
    <rPh sb="3" eb="6">
      <t>ミヤギケン</t>
    </rPh>
    <rPh sb="6" eb="9">
      <t>イインチョウ</t>
    </rPh>
    <phoneticPr fontId="3"/>
  </si>
  <si>
    <t>022宮城2区01</t>
    <rPh sb="3" eb="5">
      <t>ミヤギ</t>
    </rPh>
    <rPh sb="6" eb="7">
      <t>ク</t>
    </rPh>
    <phoneticPr fontId="3"/>
  </si>
  <si>
    <t>022宮城2区02</t>
    <rPh sb="3" eb="5">
      <t>ミヤギ</t>
    </rPh>
    <rPh sb="6" eb="7">
      <t>ク</t>
    </rPh>
    <phoneticPr fontId="3"/>
  </si>
  <si>
    <t>022宮城2区03</t>
    <rPh sb="3" eb="5">
      <t>ミヤギ</t>
    </rPh>
    <rPh sb="6" eb="7">
      <t>ク</t>
    </rPh>
    <phoneticPr fontId="3"/>
  </si>
  <si>
    <t>022宮城2区04</t>
    <rPh sb="3" eb="5">
      <t>ミヤギ</t>
    </rPh>
    <rPh sb="6" eb="7">
      <t>ク</t>
    </rPh>
    <phoneticPr fontId="3"/>
  </si>
  <si>
    <t>022宮城2区05</t>
    <rPh sb="3" eb="5">
      <t>ミヤギ</t>
    </rPh>
    <rPh sb="6" eb="7">
      <t>ク</t>
    </rPh>
    <phoneticPr fontId="3"/>
  </si>
  <si>
    <t>022宮城2区06</t>
    <rPh sb="3" eb="5">
      <t>ミヤギ</t>
    </rPh>
    <rPh sb="6" eb="7">
      <t>ク</t>
    </rPh>
    <phoneticPr fontId="3"/>
  </si>
  <si>
    <t>鞍</t>
    <rPh sb="0" eb="1">
      <t>クラ</t>
    </rPh>
    <phoneticPr fontId="3"/>
  </si>
  <si>
    <t>松</t>
    <rPh sb="0" eb="1">
      <t>マツ</t>
    </rPh>
    <phoneticPr fontId="3"/>
  </si>
  <si>
    <t>福島　一恵</t>
    <rPh sb="0" eb="2">
      <t>フクシマ</t>
    </rPh>
    <rPh sb="3" eb="5">
      <t>カズエ</t>
    </rPh>
    <phoneticPr fontId="3"/>
  </si>
  <si>
    <t>大(宮城学院女子)</t>
    <rPh sb="0" eb="1">
      <t>ダイ</t>
    </rPh>
    <rPh sb="2" eb="4">
      <t>ミヤギ</t>
    </rPh>
    <rPh sb="4" eb="6">
      <t>ガクイン</t>
    </rPh>
    <rPh sb="6" eb="8">
      <t>ジョシ</t>
    </rPh>
    <phoneticPr fontId="3"/>
  </si>
  <si>
    <t>宮城県・仙台市議</t>
    <rPh sb="0" eb="3">
      <t>ミヤギケン</t>
    </rPh>
    <rPh sb="4" eb="6">
      <t>センダイ</t>
    </rPh>
    <rPh sb="6" eb="8">
      <t>シギ</t>
    </rPh>
    <phoneticPr fontId="3"/>
  </si>
  <si>
    <t>宮城県・仙台市議,中学教諭</t>
    <rPh sb="0" eb="3">
      <t>ミヤギケン</t>
    </rPh>
    <rPh sb="4" eb="6">
      <t>センダイ</t>
    </rPh>
    <rPh sb="6" eb="8">
      <t>シギ</t>
    </rPh>
    <rPh sb="9" eb="11">
      <t>チュウガク</t>
    </rPh>
    <rPh sb="11" eb="13">
      <t>キョウユ</t>
    </rPh>
    <phoneticPr fontId="3"/>
  </si>
  <si>
    <t>菊地　文博</t>
    <rPh sb="0" eb="2">
      <t>キクチ</t>
    </rPh>
    <rPh sb="3" eb="5">
      <t>フミヒロ</t>
    </rPh>
    <phoneticPr fontId="3"/>
  </si>
  <si>
    <t>高(仙台商業)</t>
    <rPh sb="0" eb="1">
      <t>コウ</t>
    </rPh>
    <rPh sb="2" eb="4">
      <t>センダイ</t>
    </rPh>
    <rPh sb="4" eb="6">
      <t>ショウギョウ</t>
    </rPh>
    <phoneticPr fontId="3"/>
  </si>
  <si>
    <t>宮城県議(仙台市宮城野区),県議秘書</t>
    <rPh sb="0" eb="2">
      <t>ミヤギ</t>
    </rPh>
    <rPh sb="2" eb="4">
      <t>ケンギ</t>
    </rPh>
    <rPh sb="5" eb="8">
      <t>センダイシ</t>
    </rPh>
    <rPh sb="8" eb="12">
      <t>ミヤギノク</t>
    </rPh>
    <rPh sb="14" eb="16">
      <t>ケンギ</t>
    </rPh>
    <rPh sb="16" eb="18">
      <t>ヒショ</t>
    </rPh>
    <phoneticPr fontId="3"/>
  </si>
  <si>
    <t>中野　正志</t>
    <rPh sb="0" eb="2">
      <t>ナカノ</t>
    </rPh>
    <rPh sb="3" eb="5">
      <t>マサシ</t>
    </rPh>
    <phoneticPr fontId="3"/>
  </si>
  <si>
    <t>　元副大臣(経産),政務官(国交)</t>
    <rPh sb="1" eb="2">
      <t>モト</t>
    </rPh>
    <rPh sb="2" eb="5">
      <t>フクダイジン</t>
    </rPh>
    <rPh sb="6" eb="8">
      <t>ケイサン</t>
    </rPh>
    <rPh sb="10" eb="13">
      <t>セイムカン</t>
    </rPh>
    <rPh sb="14" eb="16">
      <t>コッコウ</t>
    </rPh>
    <phoneticPr fontId="3"/>
  </si>
  <si>
    <t>宮城県議(仙台市宮城野区),議員秘書(三塚博)</t>
    <rPh sb="0" eb="2">
      <t>ミヤギ</t>
    </rPh>
    <rPh sb="2" eb="4">
      <t>ケンギ</t>
    </rPh>
    <rPh sb="5" eb="8">
      <t>センダイシ</t>
    </rPh>
    <rPh sb="8" eb="12">
      <t>ミヤギノク</t>
    </rPh>
    <rPh sb="14" eb="16">
      <t>ギイン</t>
    </rPh>
    <rPh sb="16" eb="18">
      <t>ヒショ</t>
    </rPh>
    <rPh sb="19" eb="21">
      <t>ミツヅカ</t>
    </rPh>
    <rPh sb="21" eb="22">
      <t>ヒロシ</t>
    </rPh>
    <phoneticPr fontId="3"/>
  </si>
  <si>
    <t>023宮城3区01</t>
    <rPh sb="3" eb="5">
      <t>ミヤギ</t>
    </rPh>
    <rPh sb="6" eb="7">
      <t>ク</t>
    </rPh>
    <phoneticPr fontId="3"/>
  </si>
  <si>
    <t>023宮城3区02</t>
    <rPh sb="3" eb="5">
      <t>ミヤギ</t>
    </rPh>
    <rPh sb="6" eb="7">
      <t>ク</t>
    </rPh>
    <phoneticPr fontId="3"/>
  </si>
  <si>
    <t>023宮城3区03</t>
    <rPh sb="3" eb="5">
      <t>ミヤギ</t>
    </rPh>
    <rPh sb="6" eb="7">
      <t>ク</t>
    </rPh>
    <phoneticPr fontId="3"/>
  </si>
  <si>
    <t>西村　明宏</t>
    <rPh sb="0" eb="2">
      <t>ニシムラ</t>
    </rPh>
    <rPh sb="3" eb="5">
      <t>アキヒロ</t>
    </rPh>
    <phoneticPr fontId="3"/>
  </si>
  <si>
    <t>大院(早稲田)</t>
    <rPh sb="0" eb="2">
      <t>ダイイン</t>
    </rPh>
    <rPh sb="3" eb="6">
      <t>ワセダ</t>
    </rPh>
    <phoneticPr fontId="3"/>
  </si>
  <si>
    <t>議員秘書(三塚博)</t>
    <rPh sb="0" eb="2">
      <t>ギイン</t>
    </rPh>
    <rPh sb="2" eb="4">
      <t>ヒショ</t>
    </rPh>
    <rPh sb="5" eb="7">
      <t>ミツヅカ</t>
    </rPh>
    <rPh sb="7" eb="8">
      <t>ヒロシ</t>
    </rPh>
    <phoneticPr fontId="3"/>
  </si>
  <si>
    <t>　元政務官(内閣)</t>
    <rPh sb="1" eb="2">
      <t>モト</t>
    </rPh>
    <rPh sb="2" eb="5">
      <t>セイムカン</t>
    </rPh>
    <rPh sb="6" eb="8">
      <t>ナイカク</t>
    </rPh>
    <phoneticPr fontId="3"/>
  </si>
  <si>
    <t>吉田　　剛</t>
    <rPh sb="0" eb="2">
      <t>ヨシダ</t>
    </rPh>
    <rPh sb="4" eb="5">
      <t>ゴウ</t>
    </rPh>
    <phoneticPr fontId="3"/>
  </si>
  <si>
    <t>大(仙台)</t>
    <rPh sb="0" eb="1">
      <t>ダイ</t>
    </rPh>
    <rPh sb="2" eb="4">
      <t>センダイ</t>
    </rPh>
    <phoneticPr fontId="3"/>
  </si>
  <si>
    <t>024宮城4区01</t>
    <rPh sb="3" eb="5">
      <t>ミヤギ</t>
    </rPh>
    <rPh sb="6" eb="7">
      <t>ク</t>
    </rPh>
    <phoneticPr fontId="3"/>
  </si>
  <si>
    <t>024宮城4区02</t>
    <rPh sb="3" eb="5">
      <t>ミヤギ</t>
    </rPh>
    <rPh sb="6" eb="7">
      <t>ク</t>
    </rPh>
    <phoneticPr fontId="3"/>
  </si>
  <si>
    <t>024宮城4区03</t>
    <rPh sb="3" eb="5">
      <t>ミヤギ</t>
    </rPh>
    <rPh sb="6" eb="7">
      <t>ク</t>
    </rPh>
    <phoneticPr fontId="3"/>
  </si>
  <si>
    <t>024宮城4区04</t>
    <rPh sb="3" eb="5">
      <t>ミヤギ</t>
    </rPh>
    <rPh sb="6" eb="7">
      <t>ク</t>
    </rPh>
    <phoneticPr fontId="3"/>
  </si>
  <si>
    <t>伊藤　信太郎</t>
    <rPh sb="0" eb="2">
      <t>イトウ</t>
    </rPh>
    <rPh sb="3" eb="6">
      <t>シンタロウ</t>
    </rPh>
    <phoneticPr fontId="3"/>
  </si>
  <si>
    <t>大院(米/ハーバード)</t>
    <rPh sb="0" eb="2">
      <t>ダイイン</t>
    </rPh>
    <rPh sb="3" eb="4">
      <t>ベイ</t>
    </rPh>
    <phoneticPr fontId="3"/>
  </si>
  <si>
    <t>　元副大臣(外務),政務官(外務)</t>
    <rPh sb="1" eb="2">
      <t>モト</t>
    </rPh>
    <rPh sb="2" eb="5">
      <t>フクダイジン</t>
    </rPh>
    <rPh sb="6" eb="8">
      <t>ガイム</t>
    </rPh>
    <rPh sb="10" eb="13">
      <t>セイムカン</t>
    </rPh>
    <rPh sb="14" eb="16">
      <t>ガイム</t>
    </rPh>
    <phoneticPr fontId="3"/>
  </si>
  <si>
    <t>大学教員(東北福祉大学教授),テレビキャスター(テレビ朝日)</t>
    <rPh sb="0" eb="2">
      <t>ダイガク</t>
    </rPh>
    <rPh sb="2" eb="4">
      <t>キョウイン</t>
    </rPh>
    <rPh sb="5" eb="7">
      <t>トウホク</t>
    </rPh>
    <rPh sb="7" eb="9">
      <t>フクシ</t>
    </rPh>
    <rPh sb="9" eb="11">
      <t>ダイガク</t>
    </rPh>
    <rPh sb="11" eb="13">
      <t>キョウジュ</t>
    </rPh>
    <rPh sb="27" eb="29">
      <t>アサヒ</t>
    </rPh>
    <phoneticPr fontId="3"/>
  </si>
  <si>
    <t>ジ二</t>
    <rPh sb="1" eb="2">
      <t>ニ</t>
    </rPh>
    <phoneticPr fontId="3"/>
  </si>
  <si>
    <t>共産党宮城県准委員</t>
    <rPh sb="0" eb="3">
      <t>キョウサントウ</t>
    </rPh>
    <rPh sb="3" eb="6">
      <t>ミヤギケン</t>
    </rPh>
    <rPh sb="6" eb="7">
      <t>ジュン</t>
    </rPh>
    <rPh sb="7" eb="9">
      <t>イイン</t>
    </rPh>
    <phoneticPr fontId="3"/>
  </si>
  <si>
    <t>共産党地区常任委員</t>
    <rPh sb="0" eb="3">
      <t>キョウサントウ</t>
    </rPh>
    <rPh sb="3" eb="5">
      <t>チク</t>
    </rPh>
    <rPh sb="5" eb="7">
      <t>ジョウニン</t>
    </rPh>
    <rPh sb="7" eb="9">
      <t>イイン</t>
    </rPh>
    <phoneticPr fontId="3"/>
  </si>
  <si>
    <t>中(塩釜市立第三)</t>
    <rPh sb="0" eb="1">
      <t>チュウ</t>
    </rPh>
    <rPh sb="2" eb="4">
      <t>シオガマ</t>
    </rPh>
    <rPh sb="4" eb="6">
      <t>シリツ</t>
    </rPh>
    <rPh sb="6" eb="8">
      <t>ダイサン</t>
    </rPh>
    <phoneticPr fontId="3"/>
  </si>
  <si>
    <t>村上　善昭</t>
    <rPh sb="0" eb="2">
      <t>ムラカミ</t>
    </rPh>
    <rPh sb="3" eb="5">
      <t>ヨシアキ</t>
    </rPh>
    <phoneticPr fontId="3"/>
  </si>
  <si>
    <t>025宮城5区01</t>
    <rPh sb="3" eb="5">
      <t>ミヤギ</t>
    </rPh>
    <rPh sb="6" eb="7">
      <t>ク</t>
    </rPh>
    <phoneticPr fontId="3"/>
  </si>
  <si>
    <t>025宮城5区02</t>
    <rPh sb="3" eb="5">
      <t>ミヤギ</t>
    </rPh>
    <rPh sb="6" eb="7">
      <t>ク</t>
    </rPh>
    <phoneticPr fontId="3"/>
  </si>
  <si>
    <t>025宮城5区03</t>
    <rPh sb="3" eb="5">
      <t>ミヤギ</t>
    </rPh>
    <rPh sb="6" eb="7">
      <t>ク</t>
    </rPh>
    <phoneticPr fontId="3"/>
  </si>
  <si>
    <t>大久保　三代</t>
    <rPh sb="0" eb="3">
      <t>オオクボ</t>
    </rPh>
    <rPh sb="4" eb="6">
      <t>ミヨ</t>
    </rPh>
    <phoneticPr fontId="3"/>
  </si>
  <si>
    <t>大院(慶應)</t>
    <rPh sb="0" eb="2">
      <t>ダイイン</t>
    </rPh>
    <rPh sb="3" eb="5">
      <t>ケイオウ</t>
    </rPh>
    <phoneticPr fontId="3"/>
  </si>
  <si>
    <t>テレビキャスター(NHK),社会福祉士</t>
    <rPh sb="14" eb="16">
      <t>シャカイ</t>
    </rPh>
    <rPh sb="16" eb="19">
      <t>フクシシ</t>
    </rPh>
    <phoneticPr fontId="3"/>
  </si>
  <si>
    <t>渡辺　昌明</t>
    <rPh sb="0" eb="2">
      <t>ワタナベ</t>
    </rPh>
    <rPh sb="3" eb="5">
      <t>マサアキ</t>
    </rPh>
    <phoneticPr fontId="3"/>
  </si>
  <si>
    <t>共産党地区役員</t>
    <rPh sb="0" eb="3">
      <t>キョウサントウ</t>
    </rPh>
    <rPh sb="3" eb="5">
      <t>チク</t>
    </rPh>
    <rPh sb="5" eb="7">
      <t>ヤクイン</t>
    </rPh>
    <phoneticPr fontId="3"/>
  </si>
  <si>
    <t>高(中標津)</t>
    <rPh sb="0" eb="1">
      <t>コウ</t>
    </rPh>
    <rPh sb="2" eb="5">
      <t>ナカシベツ</t>
    </rPh>
    <phoneticPr fontId="3"/>
  </si>
  <si>
    <t>026宮城6区01</t>
    <rPh sb="3" eb="5">
      <t>ミヤギ</t>
    </rPh>
    <rPh sb="6" eb="7">
      <t>ク</t>
    </rPh>
    <phoneticPr fontId="3"/>
  </si>
  <si>
    <t>026宮城6区02</t>
    <rPh sb="3" eb="5">
      <t>ミヤギ</t>
    </rPh>
    <rPh sb="6" eb="7">
      <t>ク</t>
    </rPh>
    <phoneticPr fontId="3"/>
  </si>
  <si>
    <t>026宮城6区03</t>
    <rPh sb="3" eb="5">
      <t>ミヤギ</t>
    </rPh>
    <rPh sb="6" eb="7">
      <t>ク</t>
    </rPh>
    <phoneticPr fontId="3"/>
  </si>
  <si>
    <t>鎌田　さゆり</t>
    <rPh sb="0" eb="2">
      <t>カマタ</t>
    </rPh>
    <phoneticPr fontId="3"/>
  </si>
  <si>
    <t>自</t>
    <rPh sb="0" eb="1">
      <t>ジ</t>
    </rPh>
    <phoneticPr fontId="3"/>
  </si>
  <si>
    <t>大院(東北学院)</t>
    <rPh sb="0" eb="2">
      <t>ダイイン</t>
    </rPh>
    <rPh sb="3" eb="5">
      <t>トウホク</t>
    </rPh>
    <rPh sb="5" eb="7">
      <t>ガクイン</t>
    </rPh>
    <phoneticPr fontId="3"/>
  </si>
  <si>
    <t>027秋田1区01</t>
    <rPh sb="3" eb="5">
      <t>アキタ</t>
    </rPh>
    <rPh sb="6" eb="7">
      <t>ク</t>
    </rPh>
    <phoneticPr fontId="3"/>
  </si>
  <si>
    <t>027秋田1区02</t>
    <rPh sb="3" eb="5">
      <t>アキタ</t>
    </rPh>
    <rPh sb="6" eb="7">
      <t>ク</t>
    </rPh>
    <phoneticPr fontId="3"/>
  </si>
  <si>
    <t>027秋田1区03</t>
    <rPh sb="3" eb="5">
      <t>アキタ</t>
    </rPh>
    <rPh sb="6" eb="7">
      <t>ク</t>
    </rPh>
    <phoneticPr fontId="3"/>
  </si>
  <si>
    <t>冨樫　博之</t>
    <rPh sb="0" eb="2">
      <t>トガシ</t>
    </rPh>
    <rPh sb="3" eb="5">
      <t>ヒロユキ</t>
    </rPh>
    <phoneticPr fontId="3"/>
  </si>
  <si>
    <t>秋田県議(秋田市),議員秘書(野呂田芳成)</t>
    <rPh sb="0" eb="2">
      <t>アキタ</t>
    </rPh>
    <rPh sb="2" eb="4">
      <t>ケンギ</t>
    </rPh>
    <rPh sb="5" eb="8">
      <t>アキタシ</t>
    </rPh>
    <rPh sb="10" eb="12">
      <t>ギイン</t>
    </rPh>
    <rPh sb="12" eb="14">
      <t>ヒショ</t>
    </rPh>
    <rPh sb="15" eb="18">
      <t>ノロタ</t>
    </rPh>
    <rPh sb="18" eb="20">
      <t>ヨシナリ</t>
    </rPh>
    <phoneticPr fontId="3"/>
  </si>
  <si>
    <t>大(秋田経済法科)</t>
    <rPh sb="0" eb="1">
      <t>ダイ</t>
    </rPh>
    <rPh sb="2" eb="4">
      <t>アキタ</t>
    </rPh>
    <rPh sb="4" eb="6">
      <t>ケイザイ</t>
    </rPh>
    <rPh sb="6" eb="8">
      <t>ホウカ</t>
    </rPh>
    <phoneticPr fontId="3"/>
  </si>
  <si>
    <t>佐竹　良夫</t>
    <rPh sb="0" eb="2">
      <t>サタケ</t>
    </rPh>
    <rPh sb="3" eb="5">
      <t>ヨシオ</t>
    </rPh>
    <phoneticPr fontId="3"/>
  </si>
  <si>
    <t>大院(秋田)</t>
    <rPh sb="0" eb="2">
      <t>ダイイン</t>
    </rPh>
    <rPh sb="3" eb="5">
      <t>アキタ</t>
    </rPh>
    <phoneticPr fontId="3"/>
  </si>
  <si>
    <t>共産党秋田県委員,日本医労連副委員長</t>
    <rPh sb="0" eb="3">
      <t>キョウサントウ</t>
    </rPh>
    <rPh sb="3" eb="6">
      <t>アキタケン</t>
    </rPh>
    <rPh sb="6" eb="8">
      <t>イイン</t>
    </rPh>
    <rPh sb="9" eb="11">
      <t>ニホン</t>
    </rPh>
    <rPh sb="11" eb="14">
      <t>イロウレン</t>
    </rPh>
    <rPh sb="14" eb="18">
      <t>フクイインチョウ</t>
    </rPh>
    <phoneticPr fontId="3"/>
  </si>
  <si>
    <t>028秋田2区01</t>
    <rPh sb="3" eb="5">
      <t>アキタ</t>
    </rPh>
    <rPh sb="6" eb="7">
      <t>ク</t>
    </rPh>
    <phoneticPr fontId="3"/>
  </si>
  <si>
    <t>028秋田2区02</t>
    <rPh sb="3" eb="5">
      <t>アキタ</t>
    </rPh>
    <rPh sb="6" eb="7">
      <t>ク</t>
    </rPh>
    <phoneticPr fontId="3"/>
  </si>
  <si>
    <t>028秋田2区03</t>
    <rPh sb="3" eb="5">
      <t>アキタ</t>
    </rPh>
    <rPh sb="6" eb="7">
      <t>ク</t>
    </rPh>
    <phoneticPr fontId="3"/>
  </si>
  <si>
    <t>028秋田2区04</t>
    <rPh sb="3" eb="5">
      <t>アキタ</t>
    </rPh>
    <rPh sb="6" eb="7">
      <t>ク</t>
    </rPh>
    <phoneticPr fontId="3"/>
  </si>
  <si>
    <t>首</t>
    <rPh sb="0" eb="1">
      <t>クビ</t>
    </rPh>
    <phoneticPr fontId="3"/>
  </si>
  <si>
    <t>佐藤　邦靖</t>
    <rPh sb="0" eb="2">
      <t>サトウ</t>
    </rPh>
    <rPh sb="3" eb="4">
      <t>クニ</t>
    </rPh>
    <rPh sb="4" eb="5">
      <t>ヤス</t>
    </rPh>
    <phoneticPr fontId="3"/>
  </si>
  <si>
    <t>高中(鷹巣農林)</t>
    <rPh sb="0" eb="1">
      <t>コウ</t>
    </rPh>
    <rPh sb="1" eb="2">
      <t>チュウ</t>
    </rPh>
    <rPh sb="3" eb="5">
      <t>タカノス</t>
    </rPh>
    <rPh sb="5" eb="7">
      <t>ノウリン</t>
    </rPh>
    <phoneticPr fontId="3"/>
  </si>
  <si>
    <t>共産党秋田県准委員,会社員(恒和薬品)</t>
    <rPh sb="0" eb="3">
      <t>キョウサントウ</t>
    </rPh>
    <rPh sb="3" eb="6">
      <t>アキタケン</t>
    </rPh>
    <rPh sb="6" eb="9">
      <t>ジュンイイン</t>
    </rPh>
    <rPh sb="10" eb="13">
      <t>カイシャイン</t>
    </rPh>
    <rPh sb="14" eb="15">
      <t>ツネ</t>
    </rPh>
    <rPh sb="15" eb="16">
      <t>ワ</t>
    </rPh>
    <rPh sb="16" eb="18">
      <t>ヤクヒン</t>
    </rPh>
    <phoneticPr fontId="3"/>
  </si>
  <si>
    <t>石田　　寛</t>
    <rPh sb="0" eb="2">
      <t>イシダ</t>
    </rPh>
    <rPh sb="4" eb="5">
      <t>ヒロシ</t>
    </rPh>
    <phoneticPr fontId="3"/>
  </si>
  <si>
    <t>秋田県議(大館市),秋田県・大館市議</t>
    <rPh sb="0" eb="2">
      <t>アキタ</t>
    </rPh>
    <rPh sb="2" eb="4">
      <t>ケンギ</t>
    </rPh>
    <rPh sb="5" eb="8">
      <t>オオダテシ</t>
    </rPh>
    <rPh sb="10" eb="13">
      <t>アキタケン</t>
    </rPh>
    <rPh sb="14" eb="16">
      <t>オオダテ</t>
    </rPh>
    <rPh sb="16" eb="18">
      <t>シギ</t>
    </rPh>
    <phoneticPr fontId="3"/>
  </si>
  <si>
    <t>029秋田3区01</t>
    <rPh sb="3" eb="5">
      <t>アキタ</t>
    </rPh>
    <rPh sb="6" eb="7">
      <t>ク</t>
    </rPh>
    <phoneticPr fontId="3"/>
  </si>
  <si>
    <t>029秋田3区02</t>
    <rPh sb="3" eb="5">
      <t>アキタ</t>
    </rPh>
    <rPh sb="6" eb="7">
      <t>ク</t>
    </rPh>
    <phoneticPr fontId="3"/>
  </si>
  <si>
    <t>029秋田3区03</t>
    <rPh sb="3" eb="5">
      <t>アキタ</t>
    </rPh>
    <rPh sb="6" eb="7">
      <t>ク</t>
    </rPh>
    <phoneticPr fontId="3"/>
  </si>
  <si>
    <t>029秋田3区04</t>
    <rPh sb="3" eb="5">
      <t>アキタ</t>
    </rPh>
    <rPh sb="6" eb="7">
      <t>ク</t>
    </rPh>
    <phoneticPr fontId="3"/>
  </si>
  <si>
    <t>御法川　信英</t>
    <rPh sb="0" eb="3">
      <t>ミノリカワ</t>
    </rPh>
    <rPh sb="4" eb="6">
      <t>ノブヒデ</t>
    </rPh>
    <phoneticPr fontId="3"/>
  </si>
  <si>
    <t>大院(米/コロンビア)</t>
    <rPh sb="0" eb="2">
      <t>ダイイン</t>
    </rPh>
    <rPh sb="3" eb="4">
      <t>ベイ</t>
    </rPh>
    <phoneticPr fontId="3"/>
  </si>
  <si>
    <t>銀行員(秋田銀行)</t>
    <rPh sb="0" eb="3">
      <t>ギンコウイン</t>
    </rPh>
    <rPh sb="4" eb="6">
      <t>アキタ</t>
    </rPh>
    <rPh sb="6" eb="8">
      <t>ギンコウ</t>
    </rPh>
    <phoneticPr fontId="3"/>
  </si>
  <si>
    <t>　元政務官(外務)</t>
    <rPh sb="1" eb="2">
      <t>モト</t>
    </rPh>
    <rPh sb="2" eb="5">
      <t>セイムカン</t>
    </rPh>
    <rPh sb="6" eb="8">
      <t>ガイム</t>
    </rPh>
    <phoneticPr fontId="3"/>
  </si>
  <si>
    <t>佐藤　長右衛門</t>
    <rPh sb="0" eb="2">
      <t>サトウ</t>
    </rPh>
    <rPh sb="3" eb="5">
      <t>チョウウ</t>
    </rPh>
    <rPh sb="5" eb="7">
      <t>エモン</t>
    </rPh>
    <phoneticPr fontId="3"/>
  </si>
  <si>
    <t>高(増田)</t>
    <rPh sb="0" eb="1">
      <t>コウ</t>
    </rPh>
    <rPh sb="2" eb="4">
      <t>マスダ</t>
    </rPh>
    <phoneticPr fontId="3"/>
  </si>
  <si>
    <t>共産党秋田県委員,秋田県農民連委員長</t>
    <rPh sb="0" eb="3">
      <t>キョウサントウ</t>
    </rPh>
    <rPh sb="3" eb="6">
      <t>アキタケン</t>
    </rPh>
    <rPh sb="6" eb="8">
      <t>イイン</t>
    </rPh>
    <rPh sb="9" eb="12">
      <t>アキタケン</t>
    </rPh>
    <rPh sb="12" eb="14">
      <t>ノウミン</t>
    </rPh>
    <rPh sb="14" eb="15">
      <t>レン</t>
    </rPh>
    <rPh sb="15" eb="18">
      <t>イインチョウ</t>
    </rPh>
    <phoneticPr fontId="3"/>
  </si>
  <si>
    <t>030山形1区01</t>
    <rPh sb="3" eb="5">
      <t>ヤマガタ</t>
    </rPh>
    <rPh sb="6" eb="7">
      <t>ク</t>
    </rPh>
    <phoneticPr fontId="3"/>
  </si>
  <si>
    <t>030山形1区02</t>
    <rPh sb="3" eb="5">
      <t>ヤマガタ</t>
    </rPh>
    <rPh sb="6" eb="7">
      <t>ク</t>
    </rPh>
    <phoneticPr fontId="3"/>
  </si>
  <si>
    <t>030山形1区03</t>
    <rPh sb="3" eb="5">
      <t>ヤマガタ</t>
    </rPh>
    <rPh sb="6" eb="7">
      <t>ク</t>
    </rPh>
    <phoneticPr fontId="3"/>
  </si>
  <si>
    <t>大(山形)</t>
    <rPh sb="0" eb="1">
      <t>ダイ</t>
    </rPh>
    <rPh sb="2" eb="4">
      <t>ヤマガタ</t>
    </rPh>
    <phoneticPr fontId="3"/>
  </si>
  <si>
    <t>031山形2区01</t>
    <rPh sb="3" eb="5">
      <t>ヤマガタ</t>
    </rPh>
    <rPh sb="6" eb="7">
      <t>ク</t>
    </rPh>
    <phoneticPr fontId="3"/>
  </si>
  <si>
    <t>031山形2区02</t>
    <rPh sb="3" eb="5">
      <t>ヤマガタ</t>
    </rPh>
    <rPh sb="6" eb="7">
      <t>ク</t>
    </rPh>
    <phoneticPr fontId="3"/>
  </si>
  <si>
    <t>031山形2区03</t>
    <rPh sb="3" eb="5">
      <t>ヤマガタ</t>
    </rPh>
    <rPh sb="6" eb="7">
      <t>ク</t>
    </rPh>
    <phoneticPr fontId="3"/>
  </si>
  <si>
    <t>031山形2区04</t>
    <rPh sb="3" eb="5">
      <t>ヤマガタ</t>
    </rPh>
    <rPh sb="6" eb="7">
      <t>ク</t>
    </rPh>
    <phoneticPr fontId="3"/>
  </si>
  <si>
    <t>鈴木　憲和</t>
    <rPh sb="0" eb="2">
      <t>スズキ</t>
    </rPh>
    <rPh sb="3" eb="5">
      <t>ノリカズ</t>
    </rPh>
    <phoneticPr fontId="3"/>
  </si>
  <si>
    <t>大(東京)</t>
    <rPh sb="0" eb="1">
      <t>ダイ</t>
    </rPh>
    <rPh sb="2" eb="4">
      <t>トウキョウ</t>
    </rPh>
    <phoneticPr fontId="3"/>
  </si>
  <si>
    <t>農林水産省消費安全局総務課総括係長</t>
    <rPh sb="0" eb="2">
      <t>ノウリン</t>
    </rPh>
    <rPh sb="2" eb="5">
      <t>スイサンショウ</t>
    </rPh>
    <rPh sb="5" eb="7">
      <t>ショウヒ</t>
    </rPh>
    <rPh sb="7" eb="10">
      <t>アンゼンキョク</t>
    </rPh>
    <rPh sb="10" eb="13">
      <t>ソウムカ</t>
    </rPh>
    <rPh sb="13" eb="15">
      <t>ソウカツ</t>
    </rPh>
    <rPh sb="15" eb="17">
      <t>カカリチョウ</t>
    </rPh>
    <phoneticPr fontId="3"/>
  </si>
  <si>
    <t>岩本　康嗣</t>
    <rPh sb="0" eb="2">
      <t>イワモト</t>
    </rPh>
    <rPh sb="3" eb="4">
      <t>ヤス</t>
    </rPh>
    <rPh sb="4" eb="5">
      <t>シ</t>
    </rPh>
    <phoneticPr fontId="3"/>
  </si>
  <si>
    <t>川野　裕章</t>
    <rPh sb="0" eb="2">
      <t>カワノ</t>
    </rPh>
    <rPh sb="3" eb="5">
      <t>ヒロアキ</t>
    </rPh>
    <phoneticPr fontId="3"/>
  </si>
  <si>
    <t>大(獨協)</t>
    <rPh sb="0" eb="1">
      <t>ダイ</t>
    </rPh>
    <rPh sb="2" eb="4">
      <t>ドッキョウ</t>
    </rPh>
    <phoneticPr fontId="3"/>
  </si>
  <si>
    <t>山形県・米沢市議</t>
    <rPh sb="0" eb="3">
      <t>ヤマガタケン</t>
    </rPh>
    <rPh sb="4" eb="6">
      <t>ヨネザワ</t>
    </rPh>
    <rPh sb="6" eb="8">
      <t>シギ</t>
    </rPh>
    <phoneticPr fontId="3"/>
  </si>
  <si>
    <t>032山形3区01</t>
    <rPh sb="3" eb="5">
      <t>ヤマガタ</t>
    </rPh>
    <rPh sb="6" eb="7">
      <t>ク</t>
    </rPh>
    <phoneticPr fontId="3"/>
  </si>
  <si>
    <t>032山形3区02</t>
    <rPh sb="3" eb="5">
      <t>ヤマガタ</t>
    </rPh>
    <rPh sb="6" eb="7">
      <t>ク</t>
    </rPh>
    <phoneticPr fontId="3"/>
  </si>
  <si>
    <t>032山形3区03</t>
    <rPh sb="3" eb="5">
      <t>ヤマガタ</t>
    </rPh>
    <rPh sb="6" eb="7">
      <t>ク</t>
    </rPh>
    <phoneticPr fontId="3"/>
  </si>
  <si>
    <t>032山形3区04</t>
    <rPh sb="3" eb="5">
      <t>ヤマガタ</t>
    </rPh>
    <rPh sb="6" eb="7">
      <t>ク</t>
    </rPh>
    <phoneticPr fontId="3"/>
  </si>
  <si>
    <t>032山形3区05</t>
    <rPh sb="3" eb="5">
      <t>ヤマガタ</t>
    </rPh>
    <rPh sb="6" eb="7">
      <t>ク</t>
    </rPh>
    <phoneticPr fontId="3"/>
  </si>
  <si>
    <t>長谷川　剛</t>
    <rPh sb="0" eb="3">
      <t>ハセガワ</t>
    </rPh>
    <rPh sb="4" eb="5">
      <t>ツヨシ</t>
    </rPh>
    <phoneticPr fontId="3"/>
  </si>
  <si>
    <t>高(羽黒)</t>
    <rPh sb="0" eb="1">
      <t>コウ</t>
    </rPh>
    <rPh sb="2" eb="4">
      <t>ハグロ</t>
    </rPh>
    <phoneticPr fontId="3"/>
  </si>
  <si>
    <t>佐藤　丈晴</t>
    <rPh sb="0" eb="2">
      <t>サトウ</t>
    </rPh>
    <rPh sb="3" eb="5">
      <t>タケハル</t>
    </rPh>
    <phoneticPr fontId="3"/>
  </si>
  <si>
    <t>山形県・酒田市議,NPO法人理事(パートナーシップオフィス)</t>
    <rPh sb="0" eb="3">
      <t>ヤマガタケン</t>
    </rPh>
    <rPh sb="4" eb="6">
      <t>サカタ</t>
    </rPh>
    <rPh sb="6" eb="8">
      <t>シギ</t>
    </rPh>
    <rPh sb="12" eb="14">
      <t>ホウジン</t>
    </rPh>
    <rPh sb="14" eb="16">
      <t>リジ</t>
    </rPh>
    <phoneticPr fontId="3"/>
  </si>
  <si>
    <t>阿部　寿一</t>
    <rPh sb="0" eb="2">
      <t>アベ</t>
    </rPh>
    <rPh sb="3" eb="5">
      <t>ジュイチ</t>
    </rPh>
    <phoneticPr fontId="3"/>
  </si>
  <si>
    <t>官首</t>
    <rPh sb="0" eb="1">
      <t>カン</t>
    </rPh>
    <rPh sb="1" eb="2">
      <t>クビ</t>
    </rPh>
    <phoneticPr fontId="3"/>
  </si>
  <si>
    <t>官</t>
    <rPh sb="0" eb="1">
      <t>カン</t>
    </rPh>
    <phoneticPr fontId="3"/>
  </si>
  <si>
    <t>033福島1区01</t>
    <rPh sb="3" eb="5">
      <t>フクシマ</t>
    </rPh>
    <rPh sb="6" eb="7">
      <t>ク</t>
    </rPh>
    <phoneticPr fontId="3"/>
  </si>
  <si>
    <t>033福島1区02</t>
    <rPh sb="3" eb="5">
      <t>フクシマ</t>
    </rPh>
    <rPh sb="6" eb="7">
      <t>ク</t>
    </rPh>
    <phoneticPr fontId="3"/>
  </si>
  <si>
    <t>033福島1区03</t>
    <rPh sb="3" eb="5">
      <t>フクシマ</t>
    </rPh>
    <rPh sb="6" eb="7">
      <t>ク</t>
    </rPh>
    <phoneticPr fontId="3"/>
  </si>
  <si>
    <t>033福島1区04</t>
    <rPh sb="3" eb="5">
      <t>フクシマ</t>
    </rPh>
    <rPh sb="6" eb="7">
      <t>ク</t>
    </rPh>
    <phoneticPr fontId="3"/>
  </si>
  <si>
    <t>亀岡　偉民</t>
    <rPh sb="0" eb="2">
      <t>カメオカ</t>
    </rPh>
    <rPh sb="3" eb="4">
      <t>イ</t>
    </rPh>
    <rPh sb="4" eb="5">
      <t>ミン</t>
    </rPh>
    <phoneticPr fontId="3"/>
  </si>
  <si>
    <t>議員秘書(亀岡高夫)</t>
    <rPh sb="0" eb="2">
      <t>ギイン</t>
    </rPh>
    <rPh sb="2" eb="4">
      <t>ヒショ</t>
    </rPh>
    <rPh sb="5" eb="7">
      <t>カメオカ</t>
    </rPh>
    <rPh sb="7" eb="9">
      <t>タカオ</t>
    </rPh>
    <phoneticPr fontId="3"/>
  </si>
  <si>
    <t>渡部　チイ子</t>
    <rPh sb="0" eb="2">
      <t>ワタナベ</t>
    </rPh>
    <rPh sb="5" eb="6">
      <t>コ</t>
    </rPh>
    <phoneticPr fontId="3"/>
  </si>
  <si>
    <t>034福島2区01</t>
    <rPh sb="3" eb="5">
      <t>フクシマ</t>
    </rPh>
    <rPh sb="6" eb="7">
      <t>ク</t>
    </rPh>
    <phoneticPr fontId="3"/>
  </si>
  <si>
    <t>034福島2区02</t>
    <rPh sb="3" eb="5">
      <t>フクシマ</t>
    </rPh>
    <rPh sb="6" eb="7">
      <t>ク</t>
    </rPh>
    <phoneticPr fontId="3"/>
  </si>
  <si>
    <t>034福島2区03</t>
    <rPh sb="3" eb="5">
      <t>フクシマ</t>
    </rPh>
    <rPh sb="6" eb="7">
      <t>ク</t>
    </rPh>
    <phoneticPr fontId="3"/>
  </si>
  <si>
    <t>034福島2区04</t>
    <rPh sb="3" eb="5">
      <t>フクシマ</t>
    </rPh>
    <rPh sb="6" eb="7">
      <t>ク</t>
    </rPh>
    <phoneticPr fontId="3"/>
  </si>
  <si>
    <t>国土交通・復興政務官</t>
    <rPh sb="0" eb="2">
      <t>コクド</t>
    </rPh>
    <rPh sb="2" eb="4">
      <t>コウツウ</t>
    </rPh>
    <rPh sb="5" eb="7">
      <t>フッコウ</t>
    </rPh>
    <rPh sb="7" eb="10">
      <t>セイムカン</t>
    </rPh>
    <phoneticPr fontId="3"/>
  </si>
  <si>
    <t>　元政務官(農水)</t>
    <rPh sb="1" eb="2">
      <t>モト</t>
    </rPh>
    <rPh sb="2" eb="5">
      <t>セイムカン</t>
    </rPh>
    <rPh sb="6" eb="8">
      <t>ノウスイ</t>
    </rPh>
    <phoneticPr fontId="3"/>
  </si>
  <si>
    <t>斎藤　美緒</t>
    <rPh sb="0" eb="2">
      <t>サイトウ</t>
    </rPh>
    <rPh sb="3" eb="5">
      <t>ミオ</t>
    </rPh>
    <phoneticPr fontId="3"/>
  </si>
  <si>
    <t>大(釧路公立)</t>
    <rPh sb="0" eb="1">
      <t>ダイ</t>
    </rPh>
    <rPh sb="2" eb="4">
      <t>クシロ</t>
    </rPh>
    <rPh sb="4" eb="6">
      <t>コウリツ</t>
    </rPh>
    <phoneticPr fontId="3"/>
  </si>
  <si>
    <t>根本　　匠</t>
    <rPh sb="0" eb="2">
      <t>ネモト</t>
    </rPh>
    <rPh sb="4" eb="5">
      <t>タクミ</t>
    </rPh>
    <phoneticPr fontId="3"/>
  </si>
  <si>
    <t>建設省政策企画官</t>
    <rPh sb="0" eb="8">
      <t>ケンセツショウセイサクキカクカン</t>
    </rPh>
    <phoneticPr fontId="3"/>
  </si>
  <si>
    <t>大(東京)</t>
    <rPh sb="0" eb="1">
      <t>ダイ</t>
    </rPh>
    <rPh sb="2" eb="4">
      <t>トウキョウ</t>
    </rPh>
    <phoneticPr fontId="3"/>
  </si>
  <si>
    <t>　元委長(経産),副大臣(内閣),政務次官(厚生),首相補佐官</t>
    <rPh sb="1" eb="2">
      <t>モト</t>
    </rPh>
    <rPh sb="2" eb="4">
      <t>イチョウ</t>
    </rPh>
    <rPh sb="5" eb="7">
      <t>ケイサン</t>
    </rPh>
    <rPh sb="9" eb="12">
      <t>フクダイジン</t>
    </rPh>
    <rPh sb="13" eb="15">
      <t>ナイカク</t>
    </rPh>
    <rPh sb="17" eb="19">
      <t>セイム</t>
    </rPh>
    <rPh sb="19" eb="21">
      <t>ジカン</t>
    </rPh>
    <rPh sb="22" eb="24">
      <t>コウセイ</t>
    </rPh>
    <rPh sb="26" eb="28">
      <t>シュショウ</t>
    </rPh>
    <rPh sb="28" eb="31">
      <t>ホサカン</t>
    </rPh>
    <phoneticPr fontId="3"/>
  </si>
  <si>
    <t>官</t>
    <rPh sb="0" eb="1">
      <t>カン</t>
    </rPh>
    <phoneticPr fontId="3"/>
  </si>
  <si>
    <t>官二</t>
    <rPh sb="0" eb="1">
      <t>カン</t>
    </rPh>
    <rPh sb="1" eb="2">
      <t>ニ</t>
    </rPh>
    <phoneticPr fontId="3"/>
  </si>
  <si>
    <t>二</t>
    <rPh sb="0" eb="1">
      <t>ニ</t>
    </rPh>
    <phoneticPr fontId="3"/>
  </si>
  <si>
    <t>議</t>
    <rPh sb="0" eb="1">
      <t>ギ</t>
    </rPh>
    <phoneticPr fontId="3"/>
  </si>
  <si>
    <t>酒井　秀光</t>
    <rPh sb="0" eb="2">
      <t>サカイ</t>
    </rPh>
    <rPh sb="3" eb="5">
      <t>ヒデミツ</t>
    </rPh>
    <phoneticPr fontId="3"/>
  </si>
  <si>
    <t>大(福島)</t>
    <rPh sb="0" eb="1">
      <t>ダイ</t>
    </rPh>
    <rPh sb="2" eb="4">
      <t>フクシマ</t>
    </rPh>
    <phoneticPr fontId="3"/>
  </si>
  <si>
    <t>035福島3区01</t>
    <rPh sb="3" eb="5">
      <t>フクシマ</t>
    </rPh>
    <rPh sb="6" eb="7">
      <t>ク</t>
    </rPh>
    <phoneticPr fontId="3"/>
  </si>
  <si>
    <t>035福島3区02</t>
    <rPh sb="3" eb="5">
      <t>フクシマ</t>
    </rPh>
    <rPh sb="6" eb="7">
      <t>ク</t>
    </rPh>
    <phoneticPr fontId="3"/>
  </si>
  <si>
    <t>035福島3区03</t>
    <rPh sb="3" eb="5">
      <t>フクシマ</t>
    </rPh>
    <rPh sb="6" eb="7">
      <t>ク</t>
    </rPh>
    <phoneticPr fontId="3"/>
  </si>
  <si>
    <t>松</t>
    <rPh sb="0" eb="1">
      <t>マツ</t>
    </rPh>
    <phoneticPr fontId="3"/>
  </si>
  <si>
    <t>共産党地区委員</t>
    <rPh sb="0" eb="3">
      <t>キョウサントウ</t>
    </rPh>
    <rPh sb="3" eb="5">
      <t>チク</t>
    </rPh>
    <rPh sb="5" eb="7">
      <t>イイン</t>
    </rPh>
    <phoneticPr fontId="3"/>
  </si>
  <si>
    <t>036福島4区01</t>
    <rPh sb="3" eb="5">
      <t>フクシマ</t>
    </rPh>
    <rPh sb="6" eb="7">
      <t>ク</t>
    </rPh>
    <phoneticPr fontId="3"/>
  </si>
  <si>
    <t>036福島4区02</t>
    <rPh sb="3" eb="5">
      <t>フクシマ</t>
    </rPh>
    <rPh sb="6" eb="7">
      <t>ク</t>
    </rPh>
    <phoneticPr fontId="3"/>
  </si>
  <si>
    <t>036福島4区03</t>
    <rPh sb="3" eb="5">
      <t>フクシマ</t>
    </rPh>
    <rPh sb="6" eb="7">
      <t>ク</t>
    </rPh>
    <phoneticPr fontId="3"/>
  </si>
  <si>
    <t>036福島4区04</t>
    <rPh sb="3" eb="5">
      <t>フクシマ</t>
    </rPh>
    <rPh sb="6" eb="7">
      <t>ク</t>
    </rPh>
    <phoneticPr fontId="3"/>
  </si>
  <si>
    <t>菅家　一郎</t>
    <rPh sb="0" eb="2">
      <t>カンケ</t>
    </rPh>
    <rPh sb="3" eb="5">
      <t>イチロウ</t>
    </rPh>
    <phoneticPr fontId="3"/>
  </si>
  <si>
    <t>福島県・会津若松市長,福島県議(会津若松市),福島県・会津若松市議</t>
    <rPh sb="0" eb="3">
      <t>フクシマケン</t>
    </rPh>
    <rPh sb="4" eb="8">
      <t>アイヅワカマツ</t>
    </rPh>
    <rPh sb="8" eb="10">
      <t>シチョウ</t>
    </rPh>
    <rPh sb="11" eb="13">
      <t>フクシマ</t>
    </rPh>
    <rPh sb="13" eb="15">
      <t>ケンギ</t>
    </rPh>
    <rPh sb="16" eb="21">
      <t>アイヅワカマツシ</t>
    </rPh>
    <rPh sb="23" eb="26">
      <t>フクシマケン</t>
    </rPh>
    <rPh sb="27" eb="31">
      <t>アイヅワカマツ</t>
    </rPh>
    <rPh sb="31" eb="33">
      <t>シギ</t>
    </rPh>
    <phoneticPr fontId="3"/>
  </si>
  <si>
    <t>議首</t>
    <rPh sb="0" eb="1">
      <t>ギ</t>
    </rPh>
    <rPh sb="1" eb="2">
      <t>クビ</t>
    </rPh>
    <phoneticPr fontId="3"/>
  </si>
  <si>
    <t>首</t>
    <rPh sb="0" eb="1">
      <t>クビ</t>
    </rPh>
    <phoneticPr fontId="3"/>
  </si>
  <si>
    <t>参</t>
    <rPh sb="0" eb="1">
      <t>サン</t>
    </rPh>
    <phoneticPr fontId="3"/>
  </si>
  <si>
    <t>　参1</t>
    <rPh sb="1" eb="2">
      <t>サン</t>
    </rPh>
    <phoneticPr fontId="3"/>
  </si>
  <si>
    <t>議鞍</t>
    <rPh sb="0" eb="1">
      <t>ギ</t>
    </rPh>
    <rPh sb="1" eb="2">
      <t>クラ</t>
    </rPh>
    <phoneticPr fontId="3"/>
  </si>
  <si>
    <t>037福島5区01</t>
    <rPh sb="3" eb="5">
      <t>フクシマ</t>
    </rPh>
    <rPh sb="6" eb="7">
      <t>ク</t>
    </rPh>
    <phoneticPr fontId="3"/>
  </si>
  <si>
    <t>037福島5区02</t>
    <rPh sb="3" eb="5">
      <t>フクシマ</t>
    </rPh>
    <rPh sb="6" eb="7">
      <t>ク</t>
    </rPh>
    <phoneticPr fontId="3"/>
  </si>
  <si>
    <t>037福島5区03</t>
    <rPh sb="3" eb="5">
      <t>フクシマ</t>
    </rPh>
    <rPh sb="6" eb="7">
      <t>ク</t>
    </rPh>
    <phoneticPr fontId="3"/>
  </si>
  <si>
    <t>　元副大臣(復興・内閣),政務官(財務・復興)</t>
    <rPh sb="1" eb="2">
      <t>モト</t>
    </rPh>
    <rPh sb="2" eb="5">
      <t>フクダイジン</t>
    </rPh>
    <rPh sb="6" eb="8">
      <t>フッコウ</t>
    </rPh>
    <rPh sb="9" eb="11">
      <t>ナイカク</t>
    </rPh>
    <rPh sb="13" eb="16">
      <t>セイムカン</t>
    </rPh>
    <rPh sb="17" eb="19">
      <t>ザイム</t>
    </rPh>
    <rPh sb="20" eb="22">
      <t>フッコウ</t>
    </rPh>
    <phoneticPr fontId="4"/>
  </si>
  <si>
    <t>坂本　剛二</t>
    <rPh sb="0" eb="2">
      <t>サカモト</t>
    </rPh>
    <rPh sb="3" eb="5">
      <t>ゴウジ</t>
    </rPh>
    <phoneticPr fontId="3"/>
  </si>
  <si>
    <t>大(中央)</t>
    <rPh sb="0" eb="1">
      <t>ダイ</t>
    </rPh>
    <rPh sb="2" eb="4">
      <t>チュウオウ</t>
    </rPh>
    <phoneticPr fontId="3"/>
  </si>
  <si>
    <t>　元委長(財金),副大臣(経産),政務次官(通産)</t>
    <rPh sb="1" eb="2">
      <t>モト</t>
    </rPh>
    <rPh sb="2" eb="4">
      <t>イチョウ</t>
    </rPh>
    <rPh sb="5" eb="6">
      <t>ザイ</t>
    </rPh>
    <rPh sb="6" eb="7">
      <t>キン</t>
    </rPh>
    <rPh sb="9" eb="12">
      <t>フクダイジン</t>
    </rPh>
    <rPh sb="13" eb="15">
      <t>ケイサン</t>
    </rPh>
    <rPh sb="17" eb="19">
      <t>セイム</t>
    </rPh>
    <rPh sb="19" eb="21">
      <t>ジカン</t>
    </rPh>
    <rPh sb="22" eb="24">
      <t>ツウサン</t>
    </rPh>
    <phoneticPr fontId="3"/>
  </si>
  <si>
    <t>福島県議(いわき市),福島県・いわき市議</t>
    <rPh sb="0" eb="2">
      <t>フクシマ</t>
    </rPh>
    <rPh sb="2" eb="4">
      <t>ケンギ</t>
    </rPh>
    <rPh sb="8" eb="9">
      <t>シ</t>
    </rPh>
    <rPh sb="11" eb="14">
      <t>フクシマケン</t>
    </rPh>
    <rPh sb="18" eb="20">
      <t>シギ</t>
    </rPh>
    <phoneticPr fontId="3"/>
  </si>
  <si>
    <t>吉田　英策</t>
    <rPh sb="0" eb="2">
      <t>ヨシダ</t>
    </rPh>
    <rPh sb="3" eb="5">
      <t>エイサク</t>
    </rPh>
    <phoneticPr fontId="3"/>
  </si>
  <si>
    <t>大(東北工)</t>
    <rPh sb="0" eb="1">
      <t>ダイ</t>
    </rPh>
    <rPh sb="2" eb="4">
      <t>トウホク</t>
    </rPh>
    <rPh sb="4" eb="5">
      <t>コウ</t>
    </rPh>
    <phoneticPr fontId="3"/>
  </si>
  <si>
    <t>共産党福島県委員</t>
    <rPh sb="0" eb="3">
      <t>キョウサントウ</t>
    </rPh>
    <rPh sb="3" eb="6">
      <t>フクシマケン</t>
    </rPh>
    <rPh sb="6" eb="8">
      <t>イイン</t>
    </rPh>
    <phoneticPr fontId="3"/>
  </si>
  <si>
    <t>038茨城1区01</t>
    <rPh sb="3" eb="5">
      <t>イバラキ</t>
    </rPh>
    <rPh sb="6" eb="7">
      <t>ク</t>
    </rPh>
    <phoneticPr fontId="3"/>
  </si>
  <si>
    <t>038茨城1区02</t>
    <rPh sb="3" eb="5">
      <t>イバラキ</t>
    </rPh>
    <rPh sb="6" eb="7">
      <t>ク</t>
    </rPh>
    <phoneticPr fontId="3"/>
  </si>
  <si>
    <t>038茨城1区03</t>
    <rPh sb="3" eb="5">
      <t>イバラキ</t>
    </rPh>
    <rPh sb="6" eb="7">
      <t>ク</t>
    </rPh>
    <phoneticPr fontId="3"/>
  </si>
  <si>
    <t>田所　嘉徳</t>
    <rPh sb="0" eb="2">
      <t>タドコロ</t>
    </rPh>
    <rPh sb="3" eb="4">
      <t>ヨシ</t>
    </rPh>
    <rPh sb="4" eb="5">
      <t>ノリ</t>
    </rPh>
    <phoneticPr fontId="3"/>
  </si>
  <si>
    <t>大(白鴎)</t>
    <rPh sb="0" eb="1">
      <t>ダイ</t>
    </rPh>
    <rPh sb="2" eb="4">
      <t>ハクオウ</t>
    </rPh>
    <phoneticPr fontId="3"/>
  </si>
  <si>
    <t>茨城県議(下館市),茨城県・下館市議,行政書士</t>
    <rPh sb="0" eb="2">
      <t>イバラキ</t>
    </rPh>
    <rPh sb="2" eb="4">
      <t>ケンギ</t>
    </rPh>
    <rPh sb="5" eb="8">
      <t>シモダテシ</t>
    </rPh>
    <rPh sb="10" eb="13">
      <t>イバラキケン</t>
    </rPh>
    <rPh sb="14" eb="16">
      <t>シモダテ</t>
    </rPh>
    <rPh sb="16" eb="18">
      <t>シギ</t>
    </rPh>
    <rPh sb="19" eb="23">
      <t>ギョウセイショシ</t>
    </rPh>
    <phoneticPr fontId="3"/>
  </si>
  <si>
    <t>田谷　武夫</t>
    <rPh sb="0" eb="2">
      <t>タヤ</t>
    </rPh>
    <rPh sb="3" eb="5">
      <t>タケオ</t>
    </rPh>
    <phoneticPr fontId="3"/>
  </si>
  <si>
    <t>高(下館工)</t>
    <rPh sb="0" eb="1">
      <t>コウ</t>
    </rPh>
    <rPh sb="2" eb="4">
      <t>シモダテ</t>
    </rPh>
    <rPh sb="4" eb="5">
      <t>コウ</t>
    </rPh>
    <phoneticPr fontId="3"/>
  </si>
  <si>
    <t>茨城県・下館市議,共産党中央委員</t>
    <rPh sb="0" eb="3">
      <t>イバラキケン</t>
    </rPh>
    <rPh sb="4" eb="6">
      <t>シモダテ</t>
    </rPh>
    <rPh sb="6" eb="8">
      <t>シギ</t>
    </rPh>
    <rPh sb="9" eb="12">
      <t>キョウサントウ</t>
    </rPh>
    <rPh sb="12" eb="14">
      <t>チュウオウ</t>
    </rPh>
    <rPh sb="14" eb="16">
      <t>イイン</t>
    </rPh>
    <phoneticPr fontId="3"/>
  </si>
  <si>
    <t>039茨城2区01</t>
    <rPh sb="3" eb="5">
      <t>イバラキ</t>
    </rPh>
    <rPh sb="6" eb="7">
      <t>ク</t>
    </rPh>
    <phoneticPr fontId="3"/>
  </si>
  <si>
    <t>039茨城2区02</t>
    <rPh sb="3" eb="5">
      <t>イバラキ</t>
    </rPh>
    <rPh sb="6" eb="7">
      <t>ク</t>
    </rPh>
    <phoneticPr fontId="3"/>
  </si>
  <si>
    <t>039茨城2区03</t>
    <rPh sb="3" eb="5">
      <t>イバラキ</t>
    </rPh>
    <rPh sb="6" eb="7">
      <t>ク</t>
    </rPh>
    <phoneticPr fontId="3"/>
  </si>
  <si>
    <t>039茨城2区04</t>
    <rPh sb="3" eb="5">
      <t>イバラキ</t>
    </rPh>
    <rPh sb="6" eb="7">
      <t>ク</t>
    </rPh>
    <phoneticPr fontId="3"/>
  </si>
  <si>
    <t>総務政務官</t>
    <rPh sb="0" eb="2">
      <t>ソウム</t>
    </rPh>
    <rPh sb="2" eb="5">
      <t>セイムカン</t>
    </rPh>
    <phoneticPr fontId="4"/>
  </si>
  <si>
    <t>議ジ</t>
    <rPh sb="0" eb="1">
      <t>ギ</t>
    </rPh>
    <phoneticPr fontId="3"/>
  </si>
  <si>
    <t>ジ</t>
    <phoneticPr fontId="3"/>
  </si>
  <si>
    <t>梅沢　田鶴子</t>
    <rPh sb="0" eb="2">
      <t>ウメザワ</t>
    </rPh>
    <rPh sb="3" eb="4">
      <t>タ</t>
    </rPh>
    <rPh sb="4" eb="5">
      <t>ツル</t>
    </rPh>
    <rPh sb="5" eb="6">
      <t>コ</t>
    </rPh>
    <phoneticPr fontId="3"/>
  </si>
  <si>
    <t>他(國學院大付属幼児教育専門学校)</t>
    <rPh sb="0" eb="1">
      <t>ホカ</t>
    </rPh>
    <rPh sb="2" eb="5">
      <t>コクガクイン</t>
    </rPh>
    <rPh sb="5" eb="6">
      <t>ダイ</t>
    </rPh>
    <rPh sb="6" eb="8">
      <t>フゾク</t>
    </rPh>
    <rPh sb="8" eb="10">
      <t>ヨウジ</t>
    </rPh>
    <rPh sb="10" eb="12">
      <t>キョウイク</t>
    </rPh>
    <rPh sb="12" eb="14">
      <t>センモン</t>
    </rPh>
    <rPh sb="14" eb="16">
      <t>ガッコウ</t>
    </rPh>
    <phoneticPr fontId="3"/>
  </si>
  <si>
    <t>茨城県・小川町議,幼稚園教諭,介護福祉士</t>
    <rPh sb="0" eb="3">
      <t>イバラキケン</t>
    </rPh>
    <rPh sb="4" eb="6">
      <t>オガワ</t>
    </rPh>
    <rPh sb="6" eb="8">
      <t>チョウギ</t>
    </rPh>
    <rPh sb="9" eb="12">
      <t>ヨウチエン</t>
    </rPh>
    <rPh sb="12" eb="14">
      <t>キョウユ</t>
    </rPh>
    <rPh sb="15" eb="17">
      <t>カイゴ</t>
    </rPh>
    <rPh sb="17" eb="20">
      <t>フクシシ</t>
    </rPh>
    <phoneticPr fontId="3"/>
  </si>
  <si>
    <t>原田　雅也</t>
    <rPh sb="0" eb="2">
      <t>ハラダ</t>
    </rPh>
    <rPh sb="3" eb="5">
      <t>マサヤ</t>
    </rPh>
    <phoneticPr fontId="3"/>
  </si>
  <si>
    <t>茨城県・鹿嶋市議</t>
    <rPh sb="0" eb="3">
      <t>イバラキケン</t>
    </rPh>
    <rPh sb="4" eb="6">
      <t>カシマ</t>
    </rPh>
    <rPh sb="6" eb="8">
      <t>シギ</t>
    </rPh>
    <phoneticPr fontId="3"/>
  </si>
  <si>
    <t>040茨城3区01</t>
    <rPh sb="3" eb="5">
      <t>イバラキ</t>
    </rPh>
    <rPh sb="6" eb="7">
      <t>ク</t>
    </rPh>
    <phoneticPr fontId="3"/>
  </si>
  <si>
    <t>040茨城3区02</t>
    <rPh sb="3" eb="5">
      <t>イバラキ</t>
    </rPh>
    <rPh sb="6" eb="7">
      <t>ク</t>
    </rPh>
    <phoneticPr fontId="3"/>
  </si>
  <si>
    <t>040茨城3区03</t>
    <rPh sb="3" eb="5">
      <t>イバラキ</t>
    </rPh>
    <rPh sb="6" eb="7">
      <t>ク</t>
    </rPh>
    <phoneticPr fontId="3"/>
  </si>
  <si>
    <t>040茨城3区04</t>
    <rPh sb="3" eb="5">
      <t>イバラキ</t>
    </rPh>
    <rPh sb="6" eb="7">
      <t>ク</t>
    </rPh>
    <phoneticPr fontId="3"/>
  </si>
  <si>
    <t>葉梨　康弘</t>
    <rPh sb="0" eb="2">
      <t>ハナシ</t>
    </rPh>
    <rPh sb="3" eb="5">
      <t>ヤスヒロ</t>
    </rPh>
    <phoneticPr fontId="3"/>
  </si>
  <si>
    <t>警察庁生活安全局少年課理事官</t>
    <rPh sb="0" eb="3">
      <t>ケイサツチョウ</t>
    </rPh>
    <rPh sb="3" eb="5">
      <t>セイカツ</t>
    </rPh>
    <rPh sb="5" eb="8">
      <t>アンゼンキョク</t>
    </rPh>
    <rPh sb="8" eb="11">
      <t>ショウネンカ</t>
    </rPh>
    <rPh sb="11" eb="14">
      <t>リジカン</t>
    </rPh>
    <phoneticPr fontId="3"/>
  </si>
  <si>
    <t>小林　恭子</t>
    <rPh sb="0" eb="2">
      <t>コバヤシ</t>
    </rPh>
    <rPh sb="3" eb="5">
      <t>キョウコ</t>
    </rPh>
    <phoneticPr fontId="3"/>
  </si>
  <si>
    <t>茨城県南農民組合事務局長</t>
    <rPh sb="0" eb="2">
      <t>イバラキ</t>
    </rPh>
    <rPh sb="2" eb="4">
      <t>ケンナン</t>
    </rPh>
    <rPh sb="4" eb="6">
      <t>ノウミン</t>
    </rPh>
    <rPh sb="6" eb="8">
      <t>クミアイ</t>
    </rPh>
    <rPh sb="8" eb="10">
      <t>ジム</t>
    </rPh>
    <rPh sb="10" eb="12">
      <t>キョクチョウ</t>
    </rPh>
    <phoneticPr fontId="3"/>
  </si>
  <si>
    <t>労</t>
    <rPh sb="0" eb="1">
      <t>ロウ</t>
    </rPh>
    <phoneticPr fontId="3"/>
  </si>
  <si>
    <t>短大(鹿児島女子)</t>
    <rPh sb="0" eb="2">
      <t>タンダイ</t>
    </rPh>
    <rPh sb="3" eb="6">
      <t>カゴシマ</t>
    </rPh>
    <rPh sb="6" eb="8">
      <t>ジョシ</t>
    </rPh>
    <phoneticPr fontId="3"/>
  </si>
  <si>
    <t>041茨城4区01</t>
    <rPh sb="3" eb="5">
      <t>イバラキ</t>
    </rPh>
    <rPh sb="6" eb="7">
      <t>ク</t>
    </rPh>
    <phoneticPr fontId="3"/>
  </si>
  <si>
    <t>041茨城4区02</t>
    <rPh sb="3" eb="5">
      <t>イバラキ</t>
    </rPh>
    <rPh sb="6" eb="7">
      <t>ク</t>
    </rPh>
    <phoneticPr fontId="3"/>
  </si>
  <si>
    <t>041茨城4区03</t>
    <rPh sb="3" eb="5">
      <t>イバラキ</t>
    </rPh>
    <rPh sb="6" eb="7">
      <t>ク</t>
    </rPh>
    <phoneticPr fontId="3"/>
  </si>
  <si>
    <t>宇野　周治</t>
    <rPh sb="0" eb="2">
      <t>ウノ</t>
    </rPh>
    <rPh sb="3" eb="5">
      <t>シュウジ</t>
    </rPh>
    <phoneticPr fontId="3"/>
  </si>
  <si>
    <t>大(茨城)</t>
    <rPh sb="0" eb="1">
      <t>ダイ</t>
    </rPh>
    <rPh sb="2" eb="4">
      <t>イバラキ</t>
    </rPh>
    <phoneticPr fontId="3"/>
  </si>
  <si>
    <t>共産党地区委員</t>
    <rPh sb="0" eb="3">
      <t>キョウサントウ</t>
    </rPh>
    <rPh sb="3" eb="5">
      <t>チク</t>
    </rPh>
    <rPh sb="5" eb="7">
      <t>イイン</t>
    </rPh>
    <phoneticPr fontId="3"/>
  </si>
  <si>
    <t>042茨城5区01</t>
    <rPh sb="3" eb="5">
      <t>イバラキ</t>
    </rPh>
    <rPh sb="6" eb="7">
      <t>ク</t>
    </rPh>
    <phoneticPr fontId="3"/>
  </si>
  <si>
    <t>042茨城5区02</t>
    <rPh sb="3" eb="5">
      <t>イバラキ</t>
    </rPh>
    <rPh sb="6" eb="7">
      <t>ク</t>
    </rPh>
    <phoneticPr fontId="3"/>
  </si>
  <si>
    <t>042茨城5区03</t>
    <rPh sb="3" eb="5">
      <t>イバラキ</t>
    </rPh>
    <rPh sb="6" eb="7">
      <t>ク</t>
    </rPh>
    <phoneticPr fontId="3"/>
  </si>
  <si>
    <t>石川　昭政</t>
    <rPh sb="0" eb="2">
      <t>イシカワ</t>
    </rPh>
    <rPh sb="3" eb="5">
      <t>アキマサ</t>
    </rPh>
    <phoneticPr fontId="3"/>
  </si>
  <si>
    <t>大院(國學院)</t>
    <rPh sb="0" eb="2">
      <t>ダイイン</t>
    </rPh>
    <rPh sb="3" eb="6">
      <t>コクガクイン</t>
    </rPh>
    <phoneticPr fontId="3"/>
  </si>
  <si>
    <t>自民党本部職員</t>
    <rPh sb="0" eb="3">
      <t>ジミントウ</t>
    </rPh>
    <rPh sb="3" eb="5">
      <t>ホンブ</t>
    </rPh>
    <rPh sb="5" eb="7">
      <t>ショクイン</t>
    </rPh>
    <phoneticPr fontId="3"/>
  </si>
  <si>
    <t>福田　　明</t>
    <rPh sb="0" eb="2">
      <t>フクダ</t>
    </rPh>
    <rPh sb="4" eb="5">
      <t>アキラ</t>
    </rPh>
    <phoneticPr fontId="3"/>
  </si>
  <si>
    <t>高(日立工)</t>
    <rPh sb="0" eb="1">
      <t>コウ</t>
    </rPh>
    <rPh sb="2" eb="4">
      <t>ヒタチ</t>
    </rPh>
    <rPh sb="4" eb="5">
      <t>コウ</t>
    </rPh>
    <phoneticPr fontId="3"/>
  </si>
  <si>
    <t>茨城県・北茨城市議</t>
    <rPh sb="0" eb="3">
      <t>イバラキケン</t>
    </rPh>
    <rPh sb="4" eb="7">
      <t>キタイバラキ</t>
    </rPh>
    <rPh sb="7" eb="9">
      <t>シギ</t>
    </rPh>
    <phoneticPr fontId="3"/>
  </si>
  <si>
    <t>043茨城6区01</t>
    <rPh sb="3" eb="5">
      <t>イバラキ</t>
    </rPh>
    <rPh sb="6" eb="7">
      <t>ク</t>
    </rPh>
    <phoneticPr fontId="3"/>
  </si>
  <si>
    <t>043茨城6区02</t>
    <rPh sb="3" eb="5">
      <t>イバラキ</t>
    </rPh>
    <rPh sb="6" eb="7">
      <t>ク</t>
    </rPh>
    <phoneticPr fontId="3"/>
  </si>
  <si>
    <t>043茨城6区03</t>
    <rPh sb="3" eb="5">
      <t>イバラキ</t>
    </rPh>
    <rPh sb="6" eb="7">
      <t>ク</t>
    </rPh>
    <phoneticPr fontId="3"/>
  </si>
  <si>
    <t>丹羽　雄哉</t>
    <rPh sb="0" eb="2">
      <t>ニワ</t>
    </rPh>
    <rPh sb="3" eb="4">
      <t>ユウ</t>
    </rPh>
    <rPh sb="4" eb="5">
      <t>ヤ</t>
    </rPh>
    <phoneticPr fontId="3"/>
  </si>
  <si>
    <t>議員秘書(大平正芳),新聞記者(読売新聞)</t>
    <rPh sb="0" eb="2">
      <t>ギイン</t>
    </rPh>
    <rPh sb="2" eb="4">
      <t>ヒショ</t>
    </rPh>
    <rPh sb="5" eb="7">
      <t>オオヒラ</t>
    </rPh>
    <rPh sb="7" eb="9">
      <t>マサヨシ</t>
    </rPh>
    <rPh sb="11" eb="13">
      <t>シンブン</t>
    </rPh>
    <rPh sb="13" eb="15">
      <t>キシャ</t>
    </rPh>
    <rPh sb="16" eb="18">
      <t>ヨミウリ</t>
    </rPh>
    <rPh sb="18" eb="20">
      <t>シンブン</t>
    </rPh>
    <phoneticPr fontId="3"/>
  </si>
  <si>
    <t>青木　道子</t>
    <rPh sb="0" eb="2">
      <t>アオキ</t>
    </rPh>
    <rPh sb="3" eb="5">
      <t>ミチコ</t>
    </rPh>
    <phoneticPr fontId="3"/>
  </si>
  <si>
    <t>高(谷田部)</t>
    <rPh sb="0" eb="1">
      <t>コウ</t>
    </rPh>
    <rPh sb="2" eb="5">
      <t>ヤタベ</t>
    </rPh>
    <phoneticPr fontId="3"/>
  </si>
  <si>
    <t>共産党茨城県委員,農業</t>
    <rPh sb="0" eb="3">
      <t>キョウサントウ</t>
    </rPh>
    <rPh sb="3" eb="6">
      <t>イバラキケン</t>
    </rPh>
    <rPh sb="6" eb="8">
      <t>イイン</t>
    </rPh>
    <rPh sb="9" eb="11">
      <t>ノウギョウ</t>
    </rPh>
    <phoneticPr fontId="3"/>
  </si>
  <si>
    <t>044茨城7区01</t>
    <rPh sb="3" eb="5">
      <t>イバラキ</t>
    </rPh>
    <rPh sb="6" eb="7">
      <t>ク</t>
    </rPh>
    <phoneticPr fontId="3"/>
  </si>
  <si>
    <t>044茨城7区02</t>
    <rPh sb="3" eb="5">
      <t>イバラキ</t>
    </rPh>
    <rPh sb="6" eb="7">
      <t>ク</t>
    </rPh>
    <phoneticPr fontId="3"/>
  </si>
  <si>
    <t>044茨城7区03</t>
    <rPh sb="3" eb="5">
      <t>イバラキ</t>
    </rPh>
    <rPh sb="6" eb="7">
      <t>ク</t>
    </rPh>
    <phoneticPr fontId="3"/>
  </si>
  <si>
    <t>044茨城7区04</t>
    <rPh sb="3" eb="5">
      <t>イバラキ</t>
    </rPh>
    <rPh sb="6" eb="7">
      <t>ク</t>
    </rPh>
    <phoneticPr fontId="3"/>
  </si>
  <si>
    <t>麻生</t>
    <rPh sb="0" eb="2">
      <t>アソウ</t>
    </rPh>
    <phoneticPr fontId="3"/>
  </si>
  <si>
    <t>自伊</t>
    <rPh sb="0" eb="1">
      <t>ジ</t>
    </rPh>
    <rPh sb="1" eb="2">
      <t>イ</t>
    </rPh>
    <phoneticPr fontId="3"/>
  </si>
  <si>
    <t>大(一橋)</t>
    <rPh sb="0" eb="1">
      <t>ダイ</t>
    </rPh>
    <rPh sb="2" eb="4">
      <t>ヒトツバシ</t>
    </rPh>
    <phoneticPr fontId="3"/>
  </si>
  <si>
    <t>大(弘前学院)</t>
    <rPh sb="0" eb="1">
      <t>ダイ</t>
    </rPh>
    <rPh sb="2" eb="4">
      <t>ヒロサキ</t>
    </rPh>
    <rPh sb="4" eb="6">
      <t>ガクイン</t>
    </rPh>
    <phoneticPr fontId="3"/>
  </si>
  <si>
    <t>大(昭和薬科)</t>
    <rPh sb="0" eb="1">
      <t>ダイ</t>
    </rPh>
    <rPh sb="2" eb="4">
      <t>ショウワ</t>
    </rPh>
    <rPh sb="4" eb="6">
      <t>ヤッカ</t>
    </rPh>
    <phoneticPr fontId="3"/>
  </si>
  <si>
    <t>大(上智)</t>
    <rPh sb="0" eb="1">
      <t>ダイ</t>
    </rPh>
    <rPh sb="2" eb="4">
      <t>ジョウチ</t>
    </rPh>
    <phoneticPr fontId="3"/>
  </si>
  <si>
    <t>大(成蹊)</t>
    <rPh sb="0" eb="1">
      <t>ダイ</t>
    </rPh>
    <rPh sb="2" eb="4">
      <t>セイケイ</t>
    </rPh>
    <phoneticPr fontId="3"/>
  </si>
  <si>
    <t>大(青山学院)</t>
    <rPh sb="0" eb="1">
      <t>ダイ</t>
    </rPh>
    <rPh sb="2" eb="4">
      <t>アオヤマ</t>
    </rPh>
    <rPh sb="4" eb="6">
      <t>ガクイン</t>
    </rPh>
    <phoneticPr fontId="3"/>
  </si>
  <si>
    <t>大(専修)</t>
    <rPh sb="0" eb="1">
      <t>ダイ</t>
    </rPh>
    <rPh sb="2" eb="4">
      <t>センシュウ</t>
    </rPh>
    <phoneticPr fontId="3"/>
  </si>
  <si>
    <t>大(東京)</t>
    <rPh sb="0" eb="1">
      <t>ダイ</t>
    </rPh>
    <rPh sb="2" eb="4">
      <t>トウキョウ</t>
    </rPh>
    <phoneticPr fontId="3"/>
  </si>
  <si>
    <t>大(東洋)</t>
    <rPh sb="0" eb="1">
      <t>ダイ</t>
    </rPh>
    <rPh sb="2" eb="4">
      <t>トウヨウ</t>
    </rPh>
    <phoneticPr fontId="3"/>
  </si>
  <si>
    <t>大(武蔵)</t>
    <rPh sb="0" eb="1">
      <t>ダイ</t>
    </rPh>
    <rPh sb="2" eb="4">
      <t>ムサシ</t>
    </rPh>
    <phoneticPr fontId="3"/>
  </si>
  <si>
    <t>大(北海道)</t>
    <rPh sb="0" eb="1">
      <t>ダイ</t>
    </rPh>
    <rPh sb="2" eb="5">
      <t>ホッカイドウ</t>
    </rPh>
    <phoneticPr fontId="3"/>
  </si>
  <si>
    <t>大(北海道教育釧路分校)</t>
    <rPh sb="0" eb="1">
      <t>ダイ</t>
    </rPh>
    <rPh sb="2" eb="5">
      <t>ホッカイドウ</t>
    </rPh>
    <rPh sb="5" eb="7">
      <t>キョウイク</t>
    </rPh>
    <rPh sb="7" eb="9">
      <t>クシロ</t>
    </rPh>
    <rPh sb="9" eb="11">
      <t>ブンコウ</t>
    </rPh>
    <phoneticPr fontId="3"/>
  </si>
  <si>
    <t>大(明治学院)</t>
    <rPh sb="0" eb="1">
      <t>ダイ</t>
    </rPh>
    <rPh sb="2" eb="4">
      <t>メイジ</t>
    </rPh>
    <rPh sb="4" eb="6">
      <t>ガクイン</t>
    </rPh>
    <phoneticPr fontId="3"/>
  </si>
  <si>
    <t>大院(筑波)</t>
    <rPh sb="0" eb="2">
      <t>ダイイン</t>
    </rPh>
    <rPh sb="3" eb="5">
      <t>ツクバ</t>
    </rPh>
    <phoneticPr fontId="3"/>
  </si>
  <si>
    <t>大院(東海)</t>
    <rPh sb="0" eb="2">
      <t>ダイイン</t>
    </rPh>
    <rPh sb="3" eb="5">
      <t>トウカイ</t>
    </rPh>
    <phoneticPr fontId="3"/>
  </si>
  <si>
    <t>大院(東京)</t>
    <rPh sb="0" eb="2">
      <t>ダイイン</t>
    </rPh>
    <rPh sb="3" eb="5">
      <t>トウキョウ</t>
    </rPh>
    <phoneticPr fontId="3"/>
  </si>
  <si>
    <t>大院(東北)</t>
    <rPh sb="0" eb="2">
      <t>ダイイン</t>
    </rPh>
    <rPh sb="3" eb="5">
      <t>トウホク</t>
    </rPh>
    <phoneticPr fontId="3"/>
  </si>
  <si>
    <t>大院(日本)</t>
    <rPh sb="0" eb="2">
      <t>ダイイン</t>
    </rPh>
    <rPh sb="3" eb="5">
      <t>ニホン</t>
    </rPh>
    <phoneticPr fontId="3"/>
  </si>
  <si>
    <t>大院(武蔵工)</t>
    <rPh sb="0" eb="2">
      <t>ダイイン</t>
    </rPh>
    <rPh sb="3" eb="5">
      <t>ムサシ</t>
    </rPh>
    <rPh sb="5" eb="6">
      <t>コウ</t>
    </rPh>
    <phoneticPr fontId="3"/>
  </si>
  <si>
    <t>大院(米/ミシガン)</t>
    <rPh sb="0" eb="2">
      <t>ダイイン</t>
    </rPh>
    <rPh sb="3" eb="4">
      <t>ベイ</t>
    </rPh>
    <phoneticPr fontId="3"/>
  </si>
  <si>
    <t>大中(早稲田)</t>
    <rPh sb="0" eb="2">
      <t>ダイチュウ</t>
    </rPh>
    <rPh sb="3" eb="6">
      <t>ワセダ</t>
    </rPh>
    <phoneticPr fontId="3"/>
  </si>
  <si>
    <t>短大(玉川学園女子)</t>
    <rPh sb="0" eb="2">
      <t>タンダイ</t>
    </rPh>
    <rPh sb="3" eb="5">
      <t>タマガワ</t>
    </rPh>
    <rPh sb="5" eb="7">
      <t>ガクエン</t>
    </rPh>
    <rPh sb="7" eb="9">
      <t>ジョシ</t>
    </rPh>
    <phoneticPr fontId="3"/>
  </si>
  <si>
    <t>み</t>
    <phoneticPr fontId="3"/>
  </si>
  <si>
    <t>045栃木1区01</t>
    <rPh sb="3" eb="5">
      <t>トチギ</t>
    </rPh>
    <rPh sb="6" eb="7">
      <t>ク</t>
    </rPh>
    <phoneticPr fontId="3"/>
  </si>
  <si>
    <t>045栃木1区02</t>
    <rPh sb="3" eb="5">
      <t>トチギ</t>
    </rPh>
    <rPh sb="6" eb="7">
      <t>ク</t>
    </rPh>
    <phoneticPr fontId="3"/>
  </si>
  <si>
    <t>045栃木1区03</t>
    <rPh sb="3" eb="5">
      <t>トチギ</t>
    </rPh>
    <rPh sb="6" eb="7">
      <t>ク</t>
    </rPh>
    <phoneticPr fontId="3"/>
  </si>
  <si>
    <t>045栃木1区04</t>
    <rPh sb="3" eb="5">
      <t>トチギ</t>
    </rPh>
    <rPh sb="6" eb="7">
      <t>ク</t>
    </rPh>
    <phoneticPr fontId="3"/>
  </si>
  <si>
    <t>大(北里)</t>
    <rPh sb="0" eb="1">
      <t>ダイ</t>
    </rPh>
    <rPh sb="2" eb="4">
      <t>キタザト</t>
    </rPh>
    <phoneticPr fontId="3"/>
  </si>
  <si>
    <t>大島</t>
    <rPh sb="0" eb="2">
      <t>オオシマ</t>
    </rPh>
    <phoneticPr fontId="3"/>
  </si>
  <si>
    <t>岸田</t>
    <rPh sb="0" eb="2">
      <t>キシダ</t>
    </rPh>
    <phoneticPr fontId="3"/>
  </si>
  <si>
    <t>船田　　元</t>
    <rPh sb="0" eb="2">
      <t>フナダ</t>
    </rPh>
    <rPh sb="4" eb="5">
      <t>ハジメ</t>
    </rPh>
    <phoneticPr fontId="3"/>
  </si>
  <si>
    <t>学校法人役員(作新学院)</t>
    <rPh sb="0" eb="2">
      <t>ガッコウ</t>
    </rPh>
    <rPh sb="2" eb="4">
      <t>ホウジン</t>
    </rPh>
    <rPh sb="4" eb="6">
      <t>ヤクイン</t>
    </rPh>
    <rPh sb="7" eb="9">
      <t>サクシン</t>
    </rPh>
    <rPh sb="9" eb="11">
      <t>ガクイン</t>
    </rPh>
    <phoneticPr fontId="3"/>
  </si>
  <si>
    <t>二</t>
    <rPh sb="0" eb="1">
      <t>ニ</t>
    </rPh>
    <phoneticPr fontId="3"/>
  </si>
  <si>
    <t>荒木　大樹</t>
    <rPh sb="0" eb="2">
      <t>アラキ</t>
    </rPh>
    <rPh sb="3" eb="4">
      <t>ダイ</t>
    </rPh>
    <rPh sb="4" eb="5">
      <t>ジュ</t>
    </rPh>
    <phoneticPr fontId="3"/>
  </si>
  <si>
    <t>会社社長(花園総業)</t>
    <rPh sb="0" eb="2">
      <t>カイシャ</t>
    </rPh>
    <rPh sb="2" eb="4">
      <t>シャチョウ</t>
    </rPh>
    <rPh sb="5" eb="7">
      <t>ハナゾノ</t>
    </rPh>
    <rPh sb="7" eb="9">
      <t>ソウギョウ</t>
    </rPh>
    <phoneticPr fontId="3"/>
  </si>
  <si>
    <t>田部　明男</t>
    <rPh sb="0" eb="2">
      <t>タベ</t>
    </rPh>
    <rPh sb="3" eb="5">
      <t>アキオ</t>
    </rPh>
    <phoneticPr fontId="3"/>
  </si>
  <si>
    <t>大中(宇都宮)</t>
    <rPh sb="0" eb="1">
      <t>ダイ</t>
    </rPh>
    <rPh sb="1" eb="2">
      <t>チュウ</t>
    </rPh>
    <rPh sb="3" eb="6">
      <t>ウツノミヤ</t>
    </rPh>
    <phoneticPr fontId="3"/>
  </si>
  <si>
    <t>共産党栃木県委員,赤旗記者</t>
    <rPh sb="0" eb="3">
      <t>キョウサントウ</t>
    </rPh>
    <rPh sb="3" eb="6">
      <t>トチギケン</t>
    </rPh>
    <rPh sb="6" eb="8">
      <t>イイン</t>
    </rPh>
    <rPh sb="9" eb="11">
      <t>アカハタ</t>
    </rPh>
    <rPh sb="11" eb="13">
      <t>キシャ</t>
    </rPh>
    <phoneticPr fontId="3"/>
  </si>
  <si>
    <t>046栃木2区01</t>
    <rPh sb="3" eb="5">
      <t>トチギ</t>
    </rPh>
    <rPh sb="6" eb="7">
      <t>ク</t>
    </rPh>
    <phoneticPr fontId="3"/>
  </si>
  <si>
    <t>046栃木2区02</t>
    <rPh sb="3" eb="5">
      <t>トチギ</t>
    </rPh>
    <rPh sb="6" eb="7">
      <t>ク</t>
    </rPh>
    <phoneticPr fontId="3"/>
  </si>
  <si>
    <t>046栃木2区03</t>
    <rPh sb="3" eb="5">
      <t>トチギ</t>
    </rPh>
    <rPh sb="6" eb="7">
      <t>ク</t>
    </rPh>
    <phoneticPr fontId="3"/>
  </si>
  <si>
    <t>046栃木2区04</t>
    <rPh sb="3" eb="5">
      <t>トチギ</t>
    </rPh>
    <rPh sb="6" eb="7">
      <t>ク</t>
    </rPh>
    <phoneticPr fontId="3"/>
  </si>
  <si>
    <t>　元政務官(総務)</t>
    <rPh sb="1" eb="2">
      <t>モト</t>
    </rPh>
    <rPh sb="2" eb="5">
      <t>セイムカン</t>
    </rPh>
    <rPh sb="6" eb="8">
      <t>ソウム</t>
    </rPh>
    <phoneticPr fontId="4"/>
  </si>
  <si>
    <t>大(東北)</t>
    <rPh sb="0" eb="1">
      <t>ダイ</t>
    </rPh>
    <rPh sb="2" eb="4">
      <t>トウホク</t>
    </rPh>
    <phoneticPr fontId="3"/>
  </si>
  <si>
    <t>首</t>
    <rPh sb="0" eb="1">
      <t>クビ</t>
    </rPh>
    <phoneticPr fontId="3"/>
  </si>
  <si>
    <t>西川　公也</t>
    <rPh sb="0" eb="2">
      <t>ニシカワ</t>
    </rPh>
    <rPh sb="3" eb="4">
      <t>コウ</t>
    </rPh>
    <rPh sb="4" eb="5">
      <t>ヤ</t>
    </rPh>
    <phoneticPr fontId="3"/>
  </si>
  <si>
    <t>大院(東京農工)</t>
    <rPh sb="0" eb="2">
      <t>ダイイン</t>
    </rPh>
    <rPh sb="3" eb="5">
      <t>トウキョウ</t>
    </rPh>
    <rPh sb="5" eb="7">
      <t>ノウコウ</t>
    </rPh>
    <phoneticPr fontId="3"/>
  </si>
  <si>
    <t>栃木県議(塩谷郡),栃木県職員</t>
    <rPh sb="0" eb="2">
      <t>トチギ</t>
    </rPh>
    <rPh sb="2" eb="4">
      <t>ケンギ</t>
    </rPh>
    <rPh sb="5" eb="8">
      <t>シオヤグン</t>
    </rPh>
    <rPh sb="10" eb="13">
      <t>トチギケン</t>
    </rPh>
    <rPh sb="13" eb="15">
      <t>ショクイン</t>
    </rPh>
    <phoneticPr fontId="3"/>
  </si>
  <si>
    <t>議</t>
    <rPh sb="0" eb="1">
      <t>ギ</t>
    </rPh>
    <phoneticPr fontId="3"/>
  </si>
  <si>
    <t>　元委長(農水),副大臣(内閣),政務官(経産,内閣)</t>
    <rPh sb="1" eb="2">
      <t>モト</t>
    </rPh>
    <rPh sb="2" eb="4">
      <t>イチョウ</t>
    </rPh>
    <rPh sb="5" eb="7">
      <t>ノウスイ</t>
    </rPh>
    <rPh sb="9" eb="12">
      <t>フクダイジン</t>
    </rPh>
    <rPh sb="13" eb="15">
      <t>ナイカク</t>
    </rPh>
    <rPh sb="17" eb="20">
      <t>セイムカン</t>
    </rPh>
    <rPh sb="21" eb="23">
      <t>ケイサン</t>
    </rPh>
    <rPh sb="24" eb="26">
      <t>ナイカク</t>
    </rPh>
    <phoneticPr fontId="3"/>
  </si>
  <si>
    <t>藤井　　豊</t>
    <rPh sb="0" eb="2">
      <t>フジイ</t>
    </rPh>
    <rPh sb="4" eb="5">
      <t>ユタカ</t>
    </rPh>
    <phoneticPr fontId="3"/>
  </si>
  <si>
    <t>高(足尾)</t>
    <rPh sb="0" eb="1">
      <t>コウ</t>
    </rPh>
    <rPh sb="2" eb="4">
      <t>アシオ</t>
    </rPh>
    <phoneticPr fontId="3"/>
  </si>
  <si>
    <t>栃木県・日光市議,栃木県・足尾町議</t>
    <rPh sb="0" eb="3">
      <t>トチギケン</t>
    </rPh>
    <rPh sb="4" eb="6">
      <t>ニッコウ</t>
    </rPh>
    <rPh sb="6" eb="8">
      <t>シギ</t>
    </rPh>
    <rPh sb="9" eb="12">
      <t>トチギケン</t>
    </rPh>
    <rPh sb="13" eb="15">
      <t>アシオ</t>
    </rPh>
    <rPh sb="15" eb="17">
      <t>チョウギ</t>
    </rPh>
    <phoneticPr fontId="3"/>
  </si>
  <si>
    <t>柏倉　祐司</t>
    <rPh sb="0" eb="2">
      <t>カシワクラ</t>
    </rPh>
    <rPh sb="3" eb="5">
      <t>ユウジ</t>
    </rPh>
    <phoneticPr fontId="3"/>
  </si>
  <si>
    <t>大院(順天堂)</t>
    <rPh sb="0" eb="2">
      <t>ダイイン</t>
    </rPh>
    <rPh sb="3" eb="6">
      <t>ジュンテンドウ</t>
    </rPh>
    <phoneticPr fontId="3"/>
  </si>
  <si>
    <t>大学教員(慶應大学大学院准教授),医師</t>
    <rPh sb="0" eb="2">
      <t>ダイガク</t>
    </rPh>
    <rPh sb="2" eb="4">
      <t>キョウイン</t>
    </rPh>
    <rPh sb="5" eb="7">
      <t>ケイオウ</t>
    </rPh>
    <rPh sb="7" eb="9">
      <t>ダイガク</t>
    </rPh>
    <rPh sb="9" eb="12">
      <t>ダイガクイン</t>
    </rPh>
    <rPh sb="12" eb="15">
      <t>ジュンキョウジュ</t>
    </rPh>
    <rPh sb="17" eb="19">
      <t>イシ</t>
    </rPh>
    <phoneticPr fontId="3"/>
  </si>
  <si>
    <t>047栃木3区01</t>
    <rPh sb="3" eb="5">
      <t>トチギ</t>
    </rPh>
    <rPh sb="6" eb="7">
      <t>ク</t>
    </rPh>
    <phoneticPr fontId="3"/>
  </si>
  <si>
    <t>047栃木3区02</t>
    <rPh sb="3" eb="5">
      <t>トチギ</t>
    </rPh>
    <rPh sb="6" eb="7">
      <t>ク</t>
    </rPh>
    <phoneticPr fontId="3"/>
  </si>
  <si>
    <t>047栃木3区03</t>
    <rPh sb="3" eb="5">
      <t>トチギ</t>
    </rPh>
    <rPh sb="6" eb="7">
      <t>ク</t>
    </rPh>
    <phoneticPr fontId="3"/>
  </si>
  <si>
    <t>簗　　和生</t>
    <rPh sb="0" eb="1">
      <t>ヤナ</t>
    </rPh>
    <rPh sb="3" eb="5">
      <t>カズオ</t>
    </rPh>
    <phoneticPr fontId="3"/>
  </si>
  <si>
    <t>大院(東京)</t>
    <rPh sb="0" eb="2">
      <t>ダイイン</t>
    </rPh>
    <rPh sb="3" eb="5">
      <t>トウキョウ</t>
    </rPh>
    <phoneticPr fontId="3"/>
  </si>
  <si>
    <t>議員秘書(岡部英明)</t>
    <rPh sb="0" eb="2">
      <t>ギイン</t>
    </rPh>
    <rPh sb="2" eb="4">
      <t>ヒショ</t>
    </rPh>
    <rPh sb="5" eb="7">
      <t>オカベ</t>
    </rPh>
    <rPh sb="7" eb="9">
      <t>ヒデアキ</t>
    </rPh>
    <phoneticPr fontId="3"/>
  </si>
  <si>
    <t>秋山　幸子</t>
    <rPh sb="0" eb="2">
      <t>アキヤマ</t>
    </rPh>
    <rPh sb="3" eb="5">
      <t>ユキコ</t>
    </rPh>
    <phoneticPr fontId="3"/>
  </si>
  <si>
    <t>高(鴎友学園女子)</t>
    <rPh sb="0" eb="1">
      <t>コウ</t>
    </rPh>
    <rPh sb="2" eb="4">
      <t>オウユウ</t>
    </rPh>
    <rPh sb="4" eb="6">
      <t>ガクエン</t>
    </rPh>
    <rPh sb="6" eb="8">
      <t>ジョシ</t>
    </rPh>
    <phoneticPr fontId="3"/>
  </si>
  <si>
    <t>栃木県・足尾町議</t>
    <rPh sb="0" eb="3">
      <t>トチギケン</t>
    </rPh>
    <rPh sb="4" eb="6">
      <t>アシオ</t>
    </rPh>
    <rPh sb="6" eb="8">
      <t>チョウギ</t>
    </rPh>
    <phoneticPr fontId="3"/>
  </si>
  <si>
    <t>048栃木4区01</t>
    <rPh sb="3" eb="5">
      <t>トチギ</t>
    </rPh>
    <rPh sb="6" eb="7">
      <t>ク</t>
    </rPh>
    <phoneticPr fontId="3"/>
  </si>
  <si>
    <t>048栃木4区02</t>
    <rPh sb="3" eb="5">
      <t>トチギ</t>
    </rPh>
    <rPh sb="6" eb="7">
      <t>ク</t>
    </rPh>
    <phoneticPr fontId="3"/>
  </si>
  <si>
    <t>048栃木4区03</t>
    <rPh sb="3" eb="5">
      <t>トチギ</t>
    </rPh>
    <rPh sb="6" eb="7">
      <t>ク</t>
    </rPh>
    <phoneticPr fontId="3"/>
  </si>
  <si>
    <t>048栃木4区04</t>
    <rPh sb="3" eb="5">
      <t>トチギ</t>
    </rPh>
    <rPh sb="6" eb="7">
      <t>ク</t>
    </rPh>
    <phoneticPr fontId="3"/>
  </si>
  <si>
    <t>048栃木4区05</t>
    <rPh sb="3" eb="5">
      <t>トチギ</t>
    </rPh>
    <rPh sb="6" eb="7">
      <t>ク</t>
    </rPh>
    <phoneticPr fontId="3"/>
  </si>
  <si>
    <t>鞍</t>
    <rPh sb="0" eb="1">
      <t>クラ</t>
    </rPh>
    <phoneticPr fontId="3"/>
  </si>
  <si>
    <t>栃木県・都賀町議</t>
    <rPh sb="0" eb="3">
      <t>トチギケン</t>
    </rPh>
    <rPh sb="4" eb="6">
      <t>ツガ</t>
    </rPh>
    <rPh sb="6" eb="8">
      <t>チョウギ</t>
    </rPh>
    <phoneticPr fontId="3"/>
  </si>
  <si>
    <t>藤岡　隆雄</t>
    <rPh sb="0" eb="2">
      <t>フジオカ</t>
    </rPh>
    <rPh sb="3" eb="5">
      <t>タカオ</t>
    </rPh>
    <phoneticPr fontId="3"/>
  </si>
  <si>
    <t>議員秘書(渡辺喜美),金融庁監督局郵便貯金監督室総括課長補佐</t>
    <rPh sb="0" eb="2">
      <t>ギイン</t>
    </rPh>
    <rPh sb="2" eb="4">
      <t>ヒショ</t>
    </rPh>
    <rPh sb="5" eb="7">
      <t>ワタナベ</t>
    </rPh>
    <rPh sb="7" eb="9">
      <t>ヨシミ</t>
    </rPh>
    <rPh sb="11" eb="14">
      <t>キンユウチョウ</t>
    </rPh>
    <rPh sb="14" eb="17">
      <t>カントクキョク</t>
    </rPh>
    <rPh sb="17" eb="19">
      <t>ユウビン</t>
    </rPh>
    <rPh sb="19" eb="21">
      <t>チョキン</t>
    </rPh>
    <rPh sb="21" eb="24">
      <t>カントクシツ</t>
    </rPh>
    <rPh sb="24" eb="26">
      <t>ソウカツ</t>
    </rPh>
    <rPh sb="26" eb="28">
      <t>カチョウ</t>
    </rPh>
    <rPh sb="28" eb="30">
      <t>ホサ</t>
    </rPh>
    <phoneticPr fontId="3"/>
  </si>
  <si>
    <t>官</t>
    <rPh sb="0" eb="1">
      <t>カン</t>
    </rPh>
    <phoneticPr fontId="3"/>
  </si>
  <si>
    <t>大院中(大阪)</t>
    <rPh sb="0" eb="2">
      <t>ダイイン</t>
    </rPh>
    <rPh sb="2" eb="3">
      <t>チュウ</t>
    </rPh>
    <rPh sb="4" eb="6">
      <t>オオサカ</t>
    </rPh>
    <phoneticPr fontId="3"/>
  </si>
  <si>
    <t>大在(慶應)</t>
    <rPh sb="0" eb="1">
      <t>ダイ</t>
    </rPh>
    <rPh sb="1" eb="2">
      <t>ザイ</t>
    </rPh>
    <rPh sb="3" eb="5">
      <t>ケイオウ</t>
    </rPh>
    <phoneticPr fontId="3"/>
  </si>
  <si>
    <t>049栃木5区01</t>
    <rPh sb="3" eb="5">
      <t>トチギ</t>
    </rPh>
    <rPh sb="6" eb="7">
      <t>ク</t>
    </rPh>
    <phoneticPr fontId="3"/>
  </si>
  <si>
    <t>049栃木5区02</t>
    <rPh sb="3" eb="5">
      <t>トチギ</t>
    </rPh>
    <rPh sb="6" eb="7">
      <t>ク</t>
    </rPh>
    <phoneticPr fontId="3"/>
  </si>
  <si>
    <t>049栃木5区03</t>
    <rPh sb="3" eb="5">
      <t>トチギ</t>
    </rPh>
    <rPh sb="6" eb="7">
      <t>ク</t>
    </rPh>
    <phoneticPr fontId="3"/>
  </si>
  <si>
    <t>会社員(マッキンゼー),新聞記者(読売新聞)</t>
    <rPh sb="0" eb="3">
      <t>カイシャイン</t>
    </rPh>
    <phoneticPr fontId="3"/>
  </si>
  <si>
    <t>ジ</t>
    <phoneticPr fontId="3"/>
  </si>
  <si>
    <t>川上　　均</t>
    <rPh sb="0" eb="2">
      <t>カワカミ</t>
    </rPh>
    <rPh sb="4" eb="5">
      <t>ヒトシ</t>
    </rPh>
    <phoneticPr fontId="3"/>
  </si>
  <si>
    <t>高(足利学園)</t>
    <rPh sb="0" eb="1">
      <t>コウ</t>
    </rPh>
    <rPh sb="2" eb="4">
      <t>アシカガ</t>
    </rPh>
    <rPh sb="4" eb="6">
      <t>ガクエン</t>
    </rPh>
    <phoneticPr fontId="3"/>
  </si>
  <si>
    <t>共産党地区副委員長</t>
    <rPh sb="0" eb="3">
      <t>キョウサントウ</t>
    </rPh>
    <rPh sb="3" eb="5">
      <t>チク</t>
    </rPh>
    <rPh sb="5" eb="9">
      <t>フクイインチョウ</t>
    </rPh>
    <phoneticPr fontId="3"/>
  </si>
  <si>
    <t>　元大臣(環境),委長(厚労),政務次官(厚生)</t>
    <rPh sb="1" eb="4">
      <t>モトダイジン</t>
    </rPh>
    <rPh sb="5" eb="7">
      <t>カンキョウ</t>
    </rPh>
    <rPh sb="9" eb="11">
      <t>イチョウ</t>
    </rPh>
    <rPh sb="12" eb="14">
      <t>コウロウ</t>
    </rPh>
    <rPh sb="16" eb="18">
      <t>セイム</t>
    </rPh>
    <rPh sb="18" eb="20">
      <t>ジカン</t>
    </rPh>
    <rPh sb="21" eb="23">
      <t>コウセイ</t>
    </rPh>
    <phoneticPr fontId="3"/>
  </si>
  <si>
    <t>　元大臣(厚生),委長(国基,社労),政務次官(厚生),自民党総務会長</t>
    <rPh sb="1" eb="4">
      <t>モトダイジン</t>
    </rPh>
    <rPh sb="5" eb="7">
      <t>コウセイ</t>
    </rPh>
    <rPh sb="9" eb="11">
      <t>イチョウ</t>
    </rPh>
    <rPh sb="12" eb="14">
      <t>クニモト</t>
    </rPh>
    <rPh sb="15" eb="16">
      <t>シャ</t>
    </rPh>
    <rPh sb="16" eb="17">
      <t>ロウ</t>
    </rPh>
    <rPh sb="19" eb="21">
      <t>セイム</t>
    </rPh>
    <rPh sb="21" eb="23">
      <t>ジカン</t>
    </rPh>
    <rPh sb="24" eb="26">
      <t>コウセイ</t>
    </rPh>
    <rPh sb="28" eb="31">
      <t>ジミントウ</t>
    </rPh>
    <rPh sb="31" eb="33">
      <t>ソウム</t>
    </rPh>
    <rPh sb="33" eb="35">
      <t>カイチョウ</t>
    </rPh>
    <phoneticPr fontId="3"/>
  </si>
  <si>
    <t>　元大臣(経企),委長(消費者特,文教),政務次官(文部,総務)</t>
    <rPh sb="1" eb="4">
      <t>モトダイジン</t>
    </rPh>
    <rPh sb="5" eb="7">
      <t>ケイキ</t>
    </rPh>
    <rPh sb="9" eb="11">
      <t>イチョウ</t>
    </rPh>
    <rPh sb="12" eb="15">
      <t>ショウヒシャ</t>
    </rPh>
    <rPh sb="15" eb="16">
      <t>トク</t>
    </rPh>
    <rPh sb="17" eb="19">
      <t>ブンキョウ</t>
    </rPh>
    <rPh sb="21" eb="23">
      <t>セイム</t>
    </rPh>
    <rPh sb="23" eb="25">
      <t>ジカン</t>
    </rPh>
    <rPh sb="26" eb="28">
      <t>モンブ</t>
    </rPh>
    <rPh sb="29" eb="31">
      <t>ソウム</t>
    </rPh>
    <phoneticPr fontId="3"/>
  </si>
  <si>
    <t>050群馬1区01</t>
    <rPh sb="3" eb="5">
      <t>グンマ</t>
    </rPh>
    <rPh sb="6" eb="7">
      <t>ク</t>
    </rPh>
    <phoneticPr fontId="3"/>
  </si>
  <si>
    <t>050群馬1区02</t>
    <rPh sb="3" eb="5">
      <t>グンマ</t>
    </rPh>
    <rPh sb="6" eb="7">
      <t>ク</t>
    </rPh>
    <phoneticPr fontId="3"/>
  </si>
  <si>
    <t>050群馬1区03</t>
    <rPh sb="3" eb="5">
      <t>グンマ</t>
    </rPh>
    <rPh sb="6" eb="7">
      <t>ク</t>
    </rPh>
    <phoneticPr fontId="3"/>
  </si>
  <si>
    <t>050群馬1区04</t>
    <rPh sb="3" eb="5">
      <t>グンマ</t>
    </rPh>
    <rPh sb="6" eb="7">
      <t>ク</t>
    </rPh>
    <phoneticPr fontId="3"/>
  </si>
  <si>
    <t>大(北海道)</t>
    <rPh sb="0" eb="1">
      <t>ダイ</t>
    </rPh>
    <rPh sb="2" eb="5">
      <t>ホッカイドウ</t>
    </rPh>
    <phoneticPr fontId="3"/>
  </si>
  <si>
    <t>生方　秀男</t>
    <rPh sb="0" eb="2">
      <t>ウブカタ</t>
    </rPh>
    <rPh sb="3" eb="5">
      <t>ヒデオ</t>
    </rPh>
    <phoneticPr fontId="3"/>
  </si>
  <si>
    <t>高(渋川工)</t>
    <rPh sb="0" eb="1">
      <t>コウ</t>
    </rPh>
    <rPh sb="2" eb="4">
      <t>シブカワ</t>
    </rPh>
    <rPh sb="4" eb="5">
      <t>タクミ</t>
    </rPh>
    <phoneticPr fontId="3"/>
  </si>
  <si>
    <t>共産党地区委員長,理研鍛造労組書記長</t>
    <rPh sb="0" eb="3">
      <t>キョウサントウ</t>
    </rPh>
    <rPh sb="3" eb="5">
      <t>チク</t>
    </rPh>
    <rPh sb="5" eb="8">
      <t>イインチョウ</t>
    </rPh>
    <rPh sb="9" eb="11">
      <t>リケン</t>
    </rPh>
    <rPh sb="11" eb="13">
      <t>タンゾウ</t>
    </rPh>
    <rPh sb="13" eb="15">
      <t>ロウソ</t>
    </rPh>
    <rPh sb="15" eb="18">
      <t>ショキチョウ</t>
    </rPh>
    <phoneticPr fontId="3"/>
  </si>
  <si>
    <t>労</t>
    <rPh sb="0" eb="1">
      <t>ロウ</t>
    </rPh>
    <phoneticPr fontId="3"/>
  </si>
  <si>
    <t>後藤　　新</t>
    <rPh sb="0" eb="2">
      <t>ゴトウ</t>
    </rPh>
    <rPh sb="4" eb="5">
      <t>アラタ</t>
    </rPh>
    <phoneticPr fontId="3"/>
  </si>
  <si>
    <t>大院(米/ハーバード)</t>
    <rPh sb="0" eb="2">
      <t>ダイイン</t>
    </rPh>
    <rPh sb="3" eb="4">
      <t>ベイ</t>
    </rPh>
    <phoneticPr fontId="3"/>
  </si>
  <si>
    <t>大(東京)</t>
    <rPh sb="0" eb="1">
      <t>ダイ</t>
    </rPh>
    <rPh sb="2" eb="4">
      <t>トウキョウ</t>
    </rPh>
    <phoneticPr fontId="3"/>
  </si>
  <si>
    <t>官議</t>
    <rPh sb="0" eb="1">
      <t>カン</t>
    </rPh>
    <rPh sb="1" eb="2">
      <t>ギ</t>
    </rPh>
    <phoneticPr fontId="3"/>
  </si>
  <si>
    <t>群馬県議(前橋市・勢多郡),群馬県知事室長(総務省)</t>
    <rPh sb="0" eb="2">
      <t>グンマ</t>
    </rPh>
    <rPh sb="2" eb="4">
      <t>ケンギ</t>
    </rPh>
    <rPh sb="5" eb="8">
      <t>マエバシシ</t>
    </rPh>
    <rPh sb="9" eb="12">
      <t>セタグン</t>
    </rPh>
    <rPh sb="14" eb="17">
      <t>グンマケン</t>
    </rPh>
    <rPh sb="17" eb="19">
      <t>チジ</t>
    </rPh>
    <rPh sb="19" eb="21">
      <t>シツチョウ</t>
    </rPh>
    <rPh sb="22" eb="25">
      <t>ソウムショウ</t>
    </rPh>
    <phoneticPr fontId="3"/>
  </si>
  <si>
    <t>050群馬1区05</t>
    <rPh sb="3" eb="5">
      <t>グンマ</t>
    </rPh>
    <rPh sb="6" eb="7">
      <t>ク</t>
    </rPh>
    <phoneticPr fontId="3"/>
  </si>
  <si>
    <t>日本維新の会国会議員団総務会長</t>
    <rPh sb="0" eb="2">
      <t>ニホン</t>
    </rPh>
    <rPh sb="2" eb="4">
      <t>イシン</t>
    </rPh>
    <rPh sb="5" eb="6">
      <t>カイ</t>
    </rPh>
    <rPh sb="6" eb="8">
      <t>コッカイ</t>
    </rPh>
    <rPh sb="8" eb="11">
      <t>ギインダン</t>
    </rPh>
    <rPh sb="11" eb="13">
      <t>ソウム</t>
    </rPh>
    <rPh sb="13" eb="15">
      <t>カイチョウ</t>
    </rPh>
    <phoneticPr fontId="4"/>
  </si>
  <si>
    <t>官鞍二</t>
    <rPh sb="0" eb="1">
      <t>カン</t>
    </rPh>
    <rPh sb="1" eb="2">
      <t>クラ</t>
    </rPh>
    <rPh sb="2" eb="3">
      <t>ニ</t>
    </rPh>
    <phoneticPr fontId="3"/>
  </si>
  <si>
    <t>051群馬2区01</t>
    <rPh sb="3" eb="5">
      <t>グンマ</t>
    </rPh>
    <rPh sb="6" eb="7">
      <t>ク</t>
    </rPh>
    <phoneticPr fontId="3"/>
  </si>
  <si>
    <t>051群馬2区02</t>
    <rPh sb="3" eb="5">
      <t>グンマ</t>
    </rPh>
    <rPh sb="6" eb="7">
      <t>ク</t>
    </rPh>
    <phoneticPr fontId="3"/>
  </si>
  <si>
    <t>051群馬2区03</t>
    <rPh sb="3" eb="5">
      <t>グンマ</t>
    </rPh>
    <rPh sb="6" eb="7">
      <t>ク</t>
    </rPh>
    <phoneticPr fontId="3"/>
  </si>
  <si>
    <t>051群馬2区04</t>
    <rPh sb="3" eb="5">
      <t>グンマ</t>
    </rPh>
    <rPh sb="6" eb="7">
      <t>ク</t>
    </rPh>
    <phoneticPr fontId="3"/>
  </si>
  <si>
    <t>井野　俊郎</t>
    <rPh sb="0" eb="2">
      <t>イノ</t>
    </rPh>
    <rPh sb="3" eb="5">
      <t>トシロウ</t>
    </rPh>
    <phoneticPr fontId="3"/>
  </si>
  <si>
    <t>大(明治)</t>
    <rPh sb="0" eb="1">
      <t>ダイ</t>
    </rPh>
    <rPh sb="2" eb="4">
      <t>メイジ</t>
    </rPh>
    <phoneticPr fontId="3"/>
  </si>
  <si>
    <t>群馬県・伊勢崎市議,弁護士</t>
    <rPh sb="0" eb="3">
      <t>グンマケン</t>
    </rPh>
    <rPh sb="4" eb="7">
      <t>イセサキ</t>
    </rPh>
    <rPh sb="7" eb="9">
      <t>シギ</t>
    </rPh>
    <rPh sb="10" eb="13">
      <t>ベンゴシ</t>
    </rPh>
    <phoneticPr fontId="3"/>
  </si>
  <si>
    <t>議法</t>
    <rPh sb="0" eb="1">
      <t>ギ</t>
    </rPh>
    <rPh sb="1" eb="2">
      <t>ホウ</t>
    </rPh>
    <phoneticPr fontId="3"/>
  </si>
  <si>
    <t>法</t>
    <rPh sb="0" eb="1">
      <t>ホウ</t>
    </rPh>
    <phoneticPr fontId="3"/>
  </si>
  <si>
    <t>関口　直久</t>
    <rPh sb="0" eb="2">
      <t>セキグチ</t>
    </rPh>
    <rPh sb="3" eb="5">
      <t>ナオヒサ</t>
    </rPh>
    <phoneticPr fontId="3"/>
  </si>
  <si>
    <t>高(桐生工)</t>
    <rPh sb="0" eb="1">
      <t>コウ</t>
    </rPh>
    <rPh sb="2" eb="4">
      <t>キリュウ</t>
    </rPh>
    <rPh sb="4" eb="5">
      <t>タクミ</t>
    </rPh>
    <phoneticPr fontId="3"/>
  </si>
  <si>
    <t>群馬県・桐生市議</t>
    <rPh sb="0" eb="3">
      <t>グンマケン</t>
    </rPh>
    <rPh sb="4" eb="6">
      <t>キリュウ</t>
    </rPh>
    <rPh sb="6" eb="8">
      <t>シギ</t>
    </rPh>
    <phoneticPr fontId="3"/>
  </si>
  <si>
    <t>民</t>
    <rPh sb="0" eb="1">
      <t>ミン</t>
    </rPh>
    <phoneticPr fontId="4"/>
  </si>
  <si>
    <t>052群馬3区01</t>
    <rPh sb="3" eb="5">
      <t>グンマ</t>
    </rPh>
    <rPh sb="6" eb="7">
      <t>ク</t>
    </rPh>
    <phoneticPr fontId="3"/>
  </si>
  <si>
    <t>052群馬3区02</t>
    <rPh sb="3" eb="5">
      <t>グンマ</t>
    </rPh>
    <rPh sb="6" eb="7">
      <t>ク</t>
    </rPh>
    <phoneticPr fontId="3"/>
  </si>
  <si>
    <t>052群馬3区03</t>
    <rPh sb="3" eb="5">
      <t>グンマ</t>
    </rPh>
    <rPh sb="6" eb="7">
      <t>ク</t>
    </rPh>
    <phoneticPr fontId="3"/>
  </si>
  <si>
    <t>052群馬3区04</t>
    <rPh sb="3" eb="5">
      <t>グンマ</t>
    </rPh>
    <rPh sb="6" eb="7">
      <t>ク</t>
    </rPh>
    <phoneticPr fontId="3"/>
  </si>
  <si>
    <t>笹川　博義</t>
    <rPh sb="0" eb="2">
      <t>ササカワ</t>
    </rPh>
    <rPh sb="3" eb="5">
      <t>ヒロヨシ</t>
    </rPh>
    <phoneticPr fontId="3"/>
  </si>
  <si>
    <t>大中(明治)</t>
    <rPh sb="0" eb="1">
      <t>ダイ</t>
    </rPh>
    <rPh sb="1" eb="2">
      <t>チュウ</t>
    </rPh>
    <rPh sb="3" eb="5">
      <t>メイジ</t>
    </rPh>
    <phoneticPr fontId="3"/>
  </si>
  <si>
    <t>群馬県議(太田市),会社社長(ヤマト発動機)</t>
    <rPh sb="0" eb="2">
      <t>グンマ</t>
    </rPh>
    <rPh sb="2" eb="4">
      <t>ケンギ</t>
    </rPh>
    <rPh sb="5" eb="8">
      <t>オオタシ</t>
    </rPh>
    <rPh sb="10" eb="12">
      <t>カイシャ</t>
    </rPh>
    <rPh sb="12" eb="14">
      <t>シャチョウ</t>
    </rPh>
    <rPh sb="18" eb="21">
      <t>ハツドウキ</t>
    </rPh>
    <phoneticPr fontId="3"/>
  </si>
  <si>
    <t>議二</t>
    <rPh sb="0" eb="1">
      <t>ギ</t>
    </rPh>
    <rPh sb="1" eb="2">
      <t>ニ</t>
    </rPh>
    <phoneticPr fontId="3"/>
  </si>
  <si>
    <t>渋澤　哲男</t>
    <rPh sb="0" eb="2">
      <t>シブサワ</t>
    </rPh>
    <rPh sb="3" eb="5">
      <t>テツオ</t>
    </rPh>
    <phoneticPr fontId="3"/>
  </si>
  <si>
    <t>大(専修)</t>
    <rPh sb="0" eb="1">
      <t>ダイ</t>
    </rPh>
    <rPh sb="2" eb="4">
      <t>センシュウ</t>
    </rPh>
    <phoneticPr fontId="3"/>
  </si>
  <si>
    <t>共産党地区委員長,群馬県民生協労組委員</t>
    <rPh sb="0" eb="3">
      <t>キョウサントウ</t>
    </rPh>
    <rPh sb="3" eb="5">
      <t>チク</t>
    </rPh>
    <rPh sb="5" eb="8">
      <t>イインチョウ</t>
    </rPh>
    <rPh sb="9" eb="11">
      <t>グンマ</t>
    </rPh>
    <rPh sb="11" eb="13">
      <t>ケンミン</t>
    </rPh>
    <rPh sb="13" eb="15">
      <t>セイキョウ</t>
    </rPh>
    <rPh sb="15" eb="17">
      <t>ロウソ</t>
    </rPh>
    <rPh sb="17" eb="19">
      <t>イイン</t>
    </rPh>
    <phoneticPr fontId="3"/>
  </si>
  <si>
    <t>長谷川　嘉一</t>
    <rPh sb="0" eb="3">
      <t>ハセガワ</t>
    </rPh>
    <rPh sb="4" eb="6">
      <t>カイチ</t>
    </rPh>
    <phoneticPr fontId="3"/>
  </si>
  <si>
    <t>大(日本歯科)</t>
    <rPh sb="0" eb="1">
      <t>ダイ</t>
    </rPh>
    <rPh sb="2" eb="4">
      <t>ニホン</t>
    </rPh>
    <rPh sb="4" eb="6">
      <t>シカ</t>
    </rPh>
    <phoneticPr fontId="3"/>
  </si>
  <si>
    <t>群馬県議(太田市),群馬県・太田市議,歯科医師</t>
    <rPh sb="0" eb="2">
      <t>グンマ</t>
    </rPh>
    <rPh sb="2" eb="4">
      <t>ケンギ</t>
    </rPh>
    <rPh sb="5" eb="8">
      <t>オオタシ</t>
    </rPh>
    <rPh sb="10" eb="13">
      <t>グンマケン</t>
    </rPh>
    <rPh sb="14" eb="16">
      <t>オオタ</t>
    </rPh>
    <rPh sb="16" eb="18">
      <t>シギ</t>
    </rPh>
    <rPh sb="19" eb="23">
      <t>シカイシ</t>
    </rPh>
    <phoneticPr fontId="3"/>
  </si>
  <si>
    <t>053群馬4区01</t>
    <rPh sb="3" eb="5">
      <t>グンマ</t>
    </rPh>
    <rPh sb="6" eb="7">
      <t>ク</t>
    </rPh>
    <phoneticPr fontId="3"/>
  </si>
  <si>
    <t>053群馬4区02</t>
    <rPh sb="3" eb="5">
      <t>グンマ</t>
    </rPh>
    <rPh sb="6" eb="7">
      <t>ク</t>
    </rPh>
    <phoneticPr fontId="3"/>
  </si>
  <si>
    <t>053群馬4区03</t>
    <rPh sb="3" eb="5">
      <t>グンマ</t>
    </rPh>
    <rPh sb="6" eb="7">
      <t>ク</t>
    </rPh>
    <phoneticPr fontId="3"/>
  </si>
  <si>
    <t>053群馬4区04</t>
    <rPh sb="3" eb="5">
      <t>グンマ</t>
    </rPh>
    <rPh sb="6" eb="7">
      <t>ク</t>
    </rPh>
    <phoneticPr fontId="3"/>
  </si>
  <si>
    <t>福田　達夫</t>
    <rPh sb="0" eb="2">
      <t>フクダ</t>
    </rPh>
    <rPh sb="3" eb="5">
      <t>タツオ</t>
    </rPh>
    <phoneticPr fontId="3"/>
  </si>
  <si>
    <t>議員秘書(福田康夫),会社員(三菱商事)</t>
    <rPh sb="0" eb="2">
      <t>ギイン</t>
    </rPh>
    <rPh sb="2" eb="4">
      <t>ヒショ</t>
    </rPh>
    <rPh sb="5" eb="7">
      <t>フクダ</t>
    </rPh>
    <rPh sb="7" eb="9">
      <t>ヤスオ</t>
    </rPh>
    <rPh sb="11" eb="14">
      <t>カイシャイン</t>
    </rPh>
    <rPh sb="15" eb="17">
      <t>ミツビシ</t>
    </rPh>
    <rPh sb="17" eb="19">
      <t>ショウジ</t>
    </rPh>
    <phoneticPr fontId="3"/>
  </si>
  <si>
    <t>萩原　貞夫</t>
    <rPh sb="0" eb="2">
      <t>ハギワラ</t>
    </rPh>
    <rPh sb="3" eb="5">
      <t>サダオ</t>
    </rPh>
    <phoneticPr fontId="3"/>
  </si>
  <si>
    <t>大(共立女子)</t>
    <rPh sb="0" eb="1">
      <t>ダイ</t>
    </rPh>
    <rPh sb="2" eb="4">
      <t>キョウリツ</t>
    </rPh>
    <rPh sb="4" eb="6">
      <t>ジョシ</t>
    </rPh>
    <phoneticPr fontId="3"/>
  </si>
  <si>
    <t>大(群馬)</t>
    <rPh sb="0" eb="1">
      <t>ダイ</t>
    </rPh>
    <rPh sb="2" eb="4">
      <t>グンマ</t>
    </rPh>
    <phoneticPr fontId="3"/>
  </si>
  <si>
    <t>共産党地区委員,全群馬教職員組合委員長</t>
    <rPh sb="0" eb="3">
      <t>キョウサントウ</t>
    </rPh>
    <rPh sb="3" eb="5">
      <t>チク</t>
    </rPh>
    <rPh sb="5" eb="7">
      <t>イイン</t>
    </rPh>
    <rPh sb="8" eb="9">
      <t>ゼン</t>
    </rPh>
    <rPh sb="9" eb="11">
      <t>グンマ</t>
    </rPh>
    <rPh sb="11" eb="14">
      <t>キョウショクイン</t>
    </rPh>
    <rPh sb="14" eb="16">
      <t>クミアイ</t>
    </rPh>
    <rPh sb="16" eb="19">
      <t>イインチョウ</t>
    </rPh>
    <phoneticPr fontId="3"/>
  </si>
  <si>
    <t>宮原田　綾香</t>
    <rPh sb="0" eb="3">
      <t>ミヤハラダ</t>
    </rPh>
    <rPh sb="4" eb="6">
      <t>アヤカ</t>
    </rPh>
    <phoneticPr fontId="3"/>
  </si>
  <si>
    <t>大院(立教)</t>
    <rPh sb="0" eb="2">
      <t>ダイイン</t>
    </rPh>
    <rPh sb="3" eb="5">
      <t>リッキョウ</t>
    </rPh>
    <phoneticPr fontId="3"/>
  </si>
  <si>
    <t>群馬県・高崎市議,議員秘書(中島政希),新聞記者(上毛新聞)</t>
    <rPh sb="0" eb="3">
      <t>グンマケン</t>
    </rPh>
    <rPh sb="4" eb="6">
      <t>タカサキ</t>
    </rPh>
    <rPh sb="6" eb="8">
      <t>シギ</t>
    </rPh>
    <rPh sb="9" eb="11">
      <t>ギイン</t>
    </rPh>
    <rPh sb="11" eb="13">
      <t>ヒショ</t>
    </rPh>
    <rPh sb="14" eb="16">
      <t>ナカジマ</t>
    </rPh>
    <rPh sb="16" eb="18">
      <t>マサキ</t>
    </rPh>
    <rPh sb="20" eb="22">
      <t>シンブン</t>
    </rPh>
    <rPh sb="22" eb="24">
      <t>キシャ</t>
    </rPh>
    <rPh sb="25" eb="27">
      <t>ジョウモウ</t>
    </rPh>
    <rPh sb="27" eb="29">
      <t>シンブン</t>
    </rPh>
    <phoneticPr fontId="3"/>
  </si>
  <si>
    <t>議ジ</t>
    <rPh sb="0" eb="1">
      <t>ギ</t>
    </rPh>
    <phoneticPr fontId="3"/>
  </si>
  <si>
    <t>054群馬5区01</t>
    <rPh sb="3" eb="5">
      <t>グンマ</t>
    </rPh>
    <rPh sb="6" eb="7">
      <t>ク</t>
    </rPh>
    <phoneticPr fontId="3"/>
  </si>
  <si>
    <t>054群馬5区02</t>
    <rPh sb="3" eb="5">
      <t>グンマ</t>
    </rPh>
    <rPh sb="6" eb="7">
      <t>ク</t>
    </rPh>
    <phoneticPr fontId="3"/>
  </si>
  <si>
    <t>054群馬5区03</t>
    <rPh sb="3" eb="5">
      <t>グンマ</t>
    </rPh>
    <rPh sb="6" eb="7">
      <t>ク</t>
    </rPh>
    <phoneticPr fontId="3"/>
  </si>
  <si>
    <t>糸井　　洋</t>
    <rPh sb="0" eb="2">
      <t>イトイ</t>
    </rPh>
    <rPh sb="4" eb="5">
      <t>ヨウ</t>
    </rPh>
    <phoneticPr fontId="3"/>
  </si>
  <si>
    <t>大(日本福祉)</t>
    <rPh sb="0" eb="1">
      <t>ダイ</t>
    </rPh>
    <rPh sb="2" eb="4">
      <t>ニホン</t>
    </rPh>
    <rPh sb="4" eb="6">
      <t>フクシ</t>
    </rPh>
    <phoneticPr fontId="3"/>
  </si>
  <si>
    <t>055埼玉1区01</t>
    <rPh sb="3" eb="5">
      <t>サイタマ</t>
    </rPh>
    <rPh sb="6" eb="7">
      <t>ク</t>
    </rPh>
    <phoneticPr fontId="3"/>
  </si>
  <si>
    <t>055埼玉1区02</t>
    <rPh sb="3" eb="5">
      <t>サイタマ</t>
    </rPh>
    <rPh sb="6" eb="7">
      <t>ク</t>
    </rPh>
    <phoneticPr fontId="3"/>
  </si>
  <si>
    <t>055埼玉1区03</t>
    <rPh sb="3" eb="5">
      <t>サイタマ</t>
    </rPh>
    <rPh sb="6" eb="7">
      <t>ク</t>
    </rPh>
    <phoneticPr fontId="3"/>
  </si>
  <si>
    <t>055埼玉1区04</t>
    <rPh sb="3" eb="5">
      <t>サイタマ</t>
    </rPh>
    <rPh sb="6" eb="7">
      <t>ク</t>
    </rPh>
    <phoneticPr fontId="3"/>
  </si>
  <si>
    <t>055埼玉1区05</t>
    <rPh sb="3" eb="5">
      <t>サイタマ</t>
    </rPh>
    <rPh sb="6" eb="7">
      <t>ク</t>
    </rPh>
    <phoneticPr fontId="3"/>
  </si>
  <si>
    <t>055埼玉1区</t>
  </si>
  <si>
    <t>進</t>
    <rPh sb="0" eb="1">
      <t>シン</t>
    </rPh>
    <phoneticPr fontId="3"/>
  </si>
  <si>
    <t>松</t>
    <rPh sb="0" eb="1">
      <t>マツ</t>
    </rPh>
    <phoneticPr fontId="3"/>
  </si>
  <si>
    <t>村井　英樹</t>
    <rPh sb="0" eb="2">
      <t>ムライ</t>
    </rPh>
    <rPh sb="3" eb="5">
      <t>ヒデキ</t>
    </rPh>
    <phoneticPr fontId="3"/>
  </si>
  <si>
    <t>財務省主税局参事官補佐</t>
    <rPh sb="0" eb="3">
      <t>ザイムショウ</t>
    </rPh>
    <rPh sb="3" eb="6">
      <t>シュゼイキョク</t>
    </rPh>
    <rPh sb="6" eb="9">
      <t>サンジカン</t>
    </rPh>
    <rPh sb="9" eb="11">
      <t>ホサ</t>
    </rPh>
    <phoneticPr fontId="3"/>
  </si>
  <si>
    <t>青柳　伸二</t>
    <rPh sb="0" eb="2">
      <t>アオヤギ</t>
    </rPh>
    <rPh sb="3" eb="5">
      <t>シンジ</t>
    </rPh>
    <phoneticPr fontId="3"/>
  </si>
  <si>
    <t>大(埼玉)</t>
    <rPh sb="0" eb="1">
      <t>ダイ</t>
    </rPh>
    <rPh sb="2" eb="4">
      <t>サイタマ</t>
    </rPh>
    <phoneticPr fontId="3"/>
  </si>
  <si>
    <t>埼玉県・さいたま市議</t>
    <rPh sb="0" eb="3">
      <t>サイタマケン</t>
    </rPh>
    <rPh sb="8" eb="10">
      <t>シギ</t>
    </rPh>
    <phoneticPr fontId="3"/>
  </si>
  <si>
    <t>日色　隆善</t>
    <rPh sb="0" eb="2">
      <t>ヒイロ</t>
    </rPh>
    <rPh sb="3" eb="5">
      <t>タカヨシ</t>
    </rPh>
    <phoneticPr fontId="3"/>
  </si>
  <si>
    <t>大院(米/タフツ)</t>
    <rPh sb="0" eb="2">
      <t>ダイイン</t>
    </rPh>
    <rPh sb="3" eb="4">
      <t>ベイ</t>
    </rPh>
    <phoneticPr fontId="3"/>
  </si>
  <si>
    <t>会社員(モルガンスタンレー証券)</t>
    <rPh sb="0" eb="3">
      <t>カイシャイン</t>
    </rPh>
    <rPh sb="13" eb="15">
      <t>ショウケン</t>
    </rPh>
    <phoneticPr fontId="3"/>
  </si>
  <si>
    <t>川上　康正</t>
    <rPh sb="0" eb="2">
      <t>カワカミ</t>
    </rPh>
    <rPh sb="3" eb="5">
      <t>ヤスマサ</t>
    </rPh>
    <phoneticPr fontId="3"/>
  </si>
  <si>
    <t>大院(淑徳)</t>
    <rPh sb="0" eb="2">
      <t>ダイイン</t>
    </rPh>
    <rPh sb="3" eb="5">
      <t>シュクトク</t>
    </rPh>
    <phoneticPr fontId="3"/>
  </si>
  <si>
    <t>056埼玉2区01</t>
    <rPh sb="3" eb="5">
      <t>サイタマ</t>
    </rPh>
    <rPh sb="6" eb="7">
      <t>ク</t>
    </rPh>
    <phoneticPr fontId="3"/>
  </si>
  <si>
    <t>056埼玉2区02</t>
    <rPh sb="3" eb="5">
      <t>サイタマ</t>
    </rPh>
    <rPh sb="6" eb="7">
      <t>ク</t>
    </rPh>
    <phoneticPr fontId="3"/>
  </si>
  <si>
    <t>056埼玉2区03</t>
    <rPh sb="3" eb="5">
      <t>サイタマ</t>
    </rPh>
    <rPh sb="6" eb="7">
      <t>ク</t>
    </rPh>
    <phoneticPr fontId="3"/>
  </si>
  <si>
    <t>056埼玉2区04</t>
    <rPh sb="3" eb="5">
      <t>サイタマ</t>
    </rPh>
    <rPh sb="6" eb="7">
      <t>ク</t>
    </rPh>
    <phoneticPr fontId="3"/>
  </si>
  <si>
    <t>056埼玉2区</t>
  </si>
  <si>
    <t>大(日本)</t>
    <rPh sb="0" eb="1">
      <t>ダイ</t>
    </rPh>
    <rPh sb="2" eb="4">
      <t>ニホン</t>
    </rPh>
    <phoneticPr fontId="3"/>
  </si>
  <si>
    <t>奥田　智子</t>
    <rPh sb="0" eb="2">
      <t>オクダ</t>
    </rPh>
    <rPh sb="3" eb="5">
      <t>トモコ</t>
    </rPh>
    <phoneticPr fontId="3"/>
  </si>
  <si>
    <t>大(東京家政)</t>
    <rPh sb="0" eb="1">
      <t>ダイ</t>
    </rPh>
    <rPh sb="2" eb="4">
      <t>トウキョウ</t>
    </rPh>
    <rPh sb="4" eb="6">
      <t>カセイ</t>
    </rPh>
    <phoneticPr fontId="3"/>
  </si>
  <si>
    <t>埼玉県・鳩ヶ谷市議,栄養士</t>
    <rPh sb="0" eb="3">
      <t>サイタマケン</t>
    </rPh>
    <rPh sb="4" eb="7">
      <t>ハトガヤ</t>
    </rPh>
    <rPh sb="7" eb="9">
      <t>シギ</t>
    </rPh>
    <rPh sb="10" eb="13">
      <t>エイヨウシ</t>
    </rPh>
    <phoneticPr fontId="3"/>
  </si>
  <si>
    <t>松本　佳和</t>
    <rPh sb="0" eb="2">
      <t>マツモト</t>
    </rPh>
    <rPh sb="3" eb="5">
      <t>ヨシカズ</t>
    </rPh>
    <phoneticPr fontId="3"/>
  </si>
  <si>
    <t>埼玉県議(川口市・南2),埼玉県・川口市議,社会福祉法人役員(白鳩会)</t>
    <rPh sb="0" eb="2">
      <t>サイタマ</t>
    </rPh>
    <rPh sb="2" eb="4">
      <t>ケンギ</t>
    </rPh>
    <rPh sb="5" eb="8">
      <t>カワグチシ</t>
    </rPh>
    <rPh sb="9" eb="10">
      <t>ミナミ</t>
    </rPh>
    <rPh sb="13" eb="16">
      <t>サイタマケン</t>
    </rPh>
    <rPh sb="17" eb="19">
      <t>カワグチ</t>
    </rPh>
    <rPh sb="19" eb="21">
      <t>シギ</t>
    </rPh>
    <rPh sb="22" eb="24">
      <t>シャカイ</t>
    </rPh>
    <rPh sb="24" eb="26">
      <t>フクシ</t>
    </rPh>
    <rPh sb="26" eb="28">
      <t>ホウジン</t>
    </rPh>
    <rPh sb="28" eb="30">
      <t>ヤクイン</t>
    </rPh>
    <rPh sb="31" eb="32">
      <t>シロ</t>
    </rPh>
    <rPh sb="32" eb="33">
      <t>ハト</t>
    </rPh>
    <rPh sb="33" eb="34">
      <t>カイ</t>
    </rPh>
    <phoneticPr fontId="3"/>
  </si>
  <si>
    <t>057埼玉3区01</t>
    <rPh sb="3" eb="5">
      <t>サイタマ</t>
    </rPh>
    <rPh sb="6" eb="7">
      <t>ク</t>
    </rPh>
    <phoneticPr fontId="3"/>
  </si>
  <si>
    <t>057埼玉3区02</t>
    <rPh sb="3" eb="5">
      <t>サイタマ</t>
    </rPh>
    <rPh sb="6" eb="7">
      <t>ク</t>
    </rPh>
    <phoneticPr fontId="3"/>
  </si>
  <si>
    <t>057埼玉3区03</t>
    <rPh sb="3" eb="5">
      <t>サイタマ</t>
    </rPh>
    <rPh sb="6" eb="7">
      <t>ク</t>
    </rPh>
    <phoneticPr fontId="3"/>
  </si>
  <si>
    <t>ジ</t>
    <phoneticPr fontId="3"/>
  </si>
  <si>
    <t>鞍ジ</t>
    <rPh sb="0" eb="1">
      <t>クラ</t>
    </rPh>
    <phoneticPr fontId="3"/>
  </si>
  <si>
    <t>官鞍</t>
    <rPh sb="0" eb="1">
      <t>カン</t>
    </rPh>
    <rPh sb="1" eb="2">
      <t>クラ</t>
    </rPh>
    <phoneticPr fontId="3"/>
  </si>
  <si>
    <t>官二</t>
    <rPh sb="0" eb="1">
      <t>カン</t>
    </rPh>
    <rPh sb="1" eb="2">
      <t>ニ</t>
    </rPh>
    <phoneticPr fontId="3"/>
  </si>
  <si>
    <t>首二法</t>
    <rPh sb="0" eb="1">
      <t>クビ</t>
    </rPh>
    <rPh sb="1" eb="2">
      <t>ニ</t>
    </rPh>
    <rPh sb="2" eb="3">
      <t>ホウ</t>
    </rPh>
    <phoneticPr fontId="3"/>
  </si>
  <si>
    <t>議松</t>
    <rPh sb="0" eb="1">
      <t>ギ</t>
    </rPh>
    <rPh sb="1" eb="2">
      <t>マツ</t>
    </rPh>
    <phoneticPr fontId="3"/>
  </si>
  <si>
    <t>議二松</t>
    <rPh sb="0" eb="1">
      <t>ギ</t>
    </rPh>
    <rPh sb="1" eb="2">
      <t>ニ</t>
    </rPh>
    <rPh sb="2" eb="3">
      <t>マツ</t>
    </rPh>
    <phoneticPr fontId="3"/>
  </si>
  <si>
    <t>ジ二</t>
    <rPh sb="1" eb="2">
      <t>ニ</t>
    </rPh>
    <phoneticPr fontId="3"/>
  </si>
  <si>
    <t>057埼玉3区</t>
  </si>
  <si>
    <t>黄川田　仁志</t>
    <rPh sb="0" eb="3">
      <t>キカワダ</t>
    </rPh>
    <rPh sb="4" eb="6">
      <t>ヒトシ</t>
    </rPh>
    <phoneticPr fontId="3"/>
  </si>
  <si>
    <t>広瀬　伸一</t>
    <rPh sb="0" eb="2">
      <t>ヒロセ</t>
    </rPh>
    <rPh sb="3" eb="5">
      <t>シンイチ</t>
    </rPh>
    <phoneticPr fontId="3"/>
  </si>
  <si>
    <t>共産党地区委員長,会社員(北東ビル総合サービス)</t>
    <rPh sb="0" eb="3">
      <t>キョウサントウ</t>
    </rPh>
    <rPh sb="3" eb="5">
      <t>チク</t>
    </rPh>
    <rPh sb="5" eb="8">
      <t>イインチョウ</t>
    </rPh>
    <rPh sb="9" eb="12">
      <t>カイシャイン</t>
    </rPh>
    <rPh sb="13" eb="15">
      <t>ホクトウ</t>
    </rPh>
    <rPh sb="17" eb="19">
      <t>ソウゴウ</t>
    </rPh>
    <phoneticPr fontId="3"/>
  </si>
  <si>
    <t>058埼玉4区01</t>
    <rPh sb="3" eb="5">
      <t>サイタマ</t>
    </rPh>
    <rPh sb="6" eb="7">
      <t>ク</t>
    </rPh>
    <phoneticPr fontId="3"/>
  </si>
  <si>
    <t>058埼玉4区02</t>
    <rPh sb="3" eb="5">
      <t>サイタマ</t>
    </rPh>
    <rPh sb="6" eb="7">
      <t>ク</t>
    </rPh>
    <phoneticPr fontId="3"/>
  </si>
  <si>
    <t>058埼玉4区03</t>
    <rPh sb="3" eb="5">
      <t>サイタマ</t>
    </rPh>
    <rPh sb="6" eb="7">
      <t>ク</t>
    </rPh>
    <phoneticPr fontId="3"/>
  </si>
  <si>
    <t>058埼玉4区</t>
  </si>
  <si>
    <t>豊田　真由子</t>
    <rPh sb="0" eb="2">
      <t>トヨタ</t>
    </rPh>
    <rPh sb="3" eb="6">
      <t>マユコ</t>
    </rPh>
    <phoneticPr fontId="3"/>
  </si>
  <si>
    <t>厚生労働省労健局課長補佐</t>
    <rPh sb="0" eb="2">
      <t>コウセイ</t>
    </rPh>
    <rPh sb="2" eb="5">
      <t>ロウドウショウ</t>
    </rPh>
    <rPh sb="5" eb="6">
      <t>ロウ</t>
    </rPh>
    <rPh sb="6" eb="7">
      <t>ケン</t>
    </rPh>
    <rPh sb="7" eb="8">
      <t>キョク</t>
    </rPh>
    <rPh sb="8" eb="10">
      <t>カチョウ</t>
    </rPh>
    <rPh sb="10" eb="12">
      <t>ホサ</t>
    </rPh>
    <phoneticPr fontId="3"/>
  </si>
  <si>
    <t>桜井　晴子</t>
    <rPh sb="0" eb="2">
      <t>サクライ</t>
    </rPh>
    <rPh sb="3" eb="5">
      <t>ハルコ</t>
    </rPh>
    <phoneticPr fontId="3"/>
  </si>
  <si>
    <t>短大(東京純心女子)</t>
    <rPh sb="0" eb="2">
      <t>タンダイ</t>
    </rPh>
    <rPh sb="3" eb="5">
      <t>トウキョウ</t>
    </rPh>
    <rPh sb="5" eb="7">
      <t>ジュンシン</t>
    </rPh>
    <rPh sb="7" eb="9">
      <t>ジョシ</t>
    </rPh>
    <phoneticPr fontId="3"/>
  </si>
  <si>
    <t>埼玉県・志木市議,音楽療法ボランティア</t>
    <rPh sb="0" eb="3">
      <t>サイタマケン</t>
    </rPh>
    <rPh sb="4" eb="6">
      <t>シキ</t>
    </rPh>
    <rPh sb="6" eb="8">
      <t>シギ</t>
    </rPh>
    <rPh sb="9" eb="11">
      <t>オンガク</t>
    </rPh>
    <rPh sb="11" eb="13">
      <t>リョウホウ</t>
    </rPh>
    <phoneticPr fontId="3"/>
  </si>
  <si>
    <t>059埼玉5区01</t>
    <rPh sb="3" eb="5">
      <t>サイタマ</t>
    </rPh>
    <rPh sb="6" eb="7">
      <t>ク</t>
    </rPh>
    <phoneticPr fontId="3"/>
  </si>
  <si>
    <t>059埼玉5区02</t>
    <rPh sb="3" eb="5">
      <t>サイタマ</t>
    </rPh>
    <rPh sb="6" eb="7">
      <t>ク</t>
    </rPh>
    <phoneticPr fontId="3"/>
  </si>
  <si>
    <t>059埼玉5区03</t>
    <rPh sb="3" eb="5">
      <t>サイタマ</t>
    </rPh>
    <rPh sb="6" eb="7">
      <t>ク</t>
    </rPh>
    <phoneticPr fontId="3"/>
  </si>
  <si>
    <t>059埼玉5区</t>
  </si>
  <si>
    <t>さ</t>
    <phoneticPr fontId="3"/>
  </si>
  <si>
    <t>牧原　秀樹</t>
    <rPh sb="0" eb="2">
      <t>マキハラ</t>
    </rPh>
    <rPh sb="3" eb="5">
      <t>ヒデキ</t>
    </rPh>
    <phoneticPr fontId="3"/>
  </si>
  <si>
    <t>大院(米/ジョージタウン)</t>
    <rPh sb="0" eb="2">
      <t>ダイイン</t>
    </rPh>
    <rPh sb="3" eb="4">
      <t>ベイ</t>
    </rPh>
    <phoneticPr fontId="3"/>
  </si>
  <si>
    <t>官法</t>
    <rPh sb="0" eb="1">
      <t>カン</t>
    </rPh>
    <rPh sb="1" eb="2">
      <t>ホウ</t>
    </rPh>
    <phoneticPr fontId="3"/>
  </si>
  <si>
    <t>弁護士,経済産業省職員</t>
    <rPh sb="0" eb="3">
      <t>ベンゴシ</t>
    </rPh>
    <rPh sb="4" eb="6">
      <t>ケイザイ</t>
    </rPh>
    <rPh sb="6" eb="9">
      <t>サンギョウショウ</t>
    </rPh>
    <rPh sb="9" eb="11">
      <t>ショクイン</t>
    </rPh>
    <phoneticPr fontId="3"/>
  </si>
  <si>
    <t>大石　　豊</t>
    <rPh sb="0" eb="2">
      <t>オオイシ</t>
    </rPh>
    <rPh sb="4" eb="5">
      <t>ユタカ</t>
    </rPh>
    <phoneticPr fontId="3"/>
  </si>
  <si>
    <t>高(浦和工)</t>
    <rPh sb="0" eb="1">
      <t>コウ</t>
    </rPh>
    <rPh sb="2" eb="4">
      <t>ウラワ</t>
    </rPh>
    <rPh sb="4" eb="5">
      <t>コウ</t>
    </rPh>
    <phoneticPr fontId="3"/>
  </si>
  <si>
    <t>埼玉県・岩槻市議</t>
    <rPh sb="0" eb="3">
      <t>サイタマケン</t>
    </rPh>
    <rPh sb="4" eb="6">
      <t>イワツキ</t>
    </rPh>
    <rPh sb="6" eb="8">
      <t>シギ</t>
    </rPh>
    <phoneticPr fontId="3"/>
  </si>
  <si>
    <t>060埼玉6区01</t>
    <rPh sb="3" eb="5">
      <t>サイタマ</t>
    </rPh>
    <rPh sb="6" eb="7">
      <t>ク</t>
    </rPh>
    <phoneticPr fontId="3"/>
  </si>
  <si>
    <t>060埼玉6区02</t>
    <rPh sb="3" eb="5">
      <t>サイタマ</t>
    </rPh>
    <rPh sb="6" eb="7">
      <t>ク</t>
    </rPh>
    <phoneticPr fontId="3"/>
  </si>
  <si>
    <t>060埼玉6区03</t>
    <rPh sb="3" eb="5">
      <t>サイタマ</t>
    </rPh>
    <rPh sb="6" eb="7">
      <t>ク</t>
    </rPh>
    <phoneticPr fontId="3"/>
  </si>
  <si>
    <t>060埼玉6区04</t>
    <rPh sb="3" eb="5">
      <t>サイタマ</t>
    </rPh>
    <rPh sb="6" eb="7">
      <t>ク</t>
    </rPh>
    <phoneticPr fontId="3"/>
  </si>
  <si>
    <t>060埼玉6区</t>
  </si>
  <si>
    <t>中根　一幸</t>
    <rPh sb="0" eb="2">
      <t>ナカネ</t>
    </rPh>
    <rPh sb="3" eb="5">
      <t>カズユキ</t>
    </rPh>
    <phoneticPr fontId="3"/>
  </si>
  <si>
    <t>大院(専修)</t>
    <rPh sb="0" eb="2">
      <t>ダイイン</t>
    </rPh>
    <rPh sb="3" eb="5">
      <t>センシュウ</t>
    </rPh>
    <phoneticPr fontId="3"/>
  </si>
  <si>
    <t>埼玉県・鴻巣市議</t>
    <rPh sb="0" eb="3">
      <t>サイタマケン</t>
    </rPh>
    <rPh sb="4" eb="6">
      <t>コウノス</t>
    </rPh>
    <rPh sb="6" eb="8">
      <t>シギ</t>
    </rPh>
    <phoneticPr fontId="3"/>
  </si>
  <si>
    <t>戸口　佐一</t>
    <rPh sb="0" eb="2">
      <t>トグチ</t>
    </rPh>
    <rPh sb="3" eb="4">
      <t>サ</t>
    </rPh>
    <rPh sb="4" eb="5">
      <t>イチ</t>
    </rPh>
    <phoneticPr fontId="3"/>
  </si>
  <si>
    <t>高(玉川工)</t>
    <rPh sb="0" eb="1">
      <t>コウ</t>
    </rPh>
    <rPh sb="2" eb="4">
      <t>タマガワ</t>
    </rPh>
    <rPh sb="4" eb="5">
      <t>コウ</t>
    </rPh>
    <phoneticPr fontId="3"/>
  </si>
  <si>
    <t>共産党地区委員</t>
    <rPh sb="0" eb="3">
      <t>キョウサントウ</t>
    </rPh>
    <rPh sb="3" eb="5">
      <t>チク</t>
    </rPh>
    <rPh sb="5" eb="7">
      <t>イイン</t>
    </rPh>
    <phoneticPr fontId="3"/>
  </si>
  <si>
    <t>院田　浩利</t>
    <rPh sb="0" eb="1">
      <t>イン</t>
    </rPh>
    <rPh sb="1" eb="2">
      <t>ダ</t>
    </rPh>
    <rPh sb="3" eb="5">
      <t>ヒロトシ</t>
    </rPh>
    <phoneticPr fontId="3"/>
  </si>
  <si>
    <t>大(関西)</t>
    <rPh sb="0" eb="1">
      <t>ダイ</t>
    </rPh>
    <rPh sb="2" eb="4">
      <t>カンサイ</t>
    </rPh>
    <phoneticPr fontId="3"/>
  </si>
  <si>
    <t>061埼玉7区01</t>
    <rPh sb="3" eb="5">
      <t>サイタマ</t>
    </rPh>
    <rPh sb="6" eb="7">
      <t>ク</t>
    </rPh>
    <phoneticPr fontId="3"/>
  </si>
  <si>
    <t>061埼玉7区02</t>
    <rPh sb="3" eb="5">
      <t>サイタマ</t>
    </rPh>
    <rPh sb="6" eb="7">
      <t>ク</t>
    </rPh>
    <phoneticPr fontId="3"/>
  </si>
  <si>
    <t>061埼玉7区03</t>
    <rPh sb="3" eb="5">
      <t>サイタマ</t>
    </rPh>
    <rPh sb="6" eb="7">
      <t>ク</t>
    </rPh>
    <phoneticPr fontId="3"/>
  </si>
  <si>
    <t>061埼玉7区04</t>
    <rPh sb="3" eb="5">
      <t>サイタマ</t>
    </rPh>
    <rPh sb="6" eb="7">
      <t>ク</t>
    </rPh>
    <phoneticPr fontId="3"/>
  </si>
  <si>
    <t>嶋田　智哉子</t>
    <rPh sb="0" eb="2">
      <t>シマダ</t>
    </rPh>
    <rPh sb="3" eb="4">
      <t>チ</t>
    </rPh>
    <rPh sb="4" eb="5">
      <t>ヤ</t>
    </rPh>
    <rPh sb="5" eb="6">
      <t>コ</t>
    </rPh>
    <phoneticPr fontId="3"/>
  </si>
  <si>
    <t>友</t>
    <rPh sb="0" eb="1">
      <t>ユウ</t>
    </rPh>
    <phoneticPr fontId="3"/>
  </si>
  <si>
    <t>大(明海)</t>
    <rPh sb="0" eb="1">
      <t>ダイ</t>
    </rPh>
    <rPh sb="2" eb="4">
      <t>メイカイ</t>
    </rPh>
    <phoneticPr fontId="3"/>
  </si>
  <si>
    <t>歯科医師,会社員(NHK)</t>
    <rPh sb="0" eb="4">
      <t>シカイシ</t>
    </rPh>
    <rPh sb="5" eb="8">
      <t>カイシャイン</t>
    </rPh>
    <phoneticPr fontId="3"/>
  </si>
  <si>
    <t>神山　佐市</t>
    <rPh sb="0" eb="2">
      <t>カミヤマ</t>
    </rPh>
    <rPh sb="3" eb="4">
      <t>サ</t>
    </rPh>
    <rPh sb="4" eb="5">
      <t>イチ</t>
    </rPh>
    <phoneticPr fontId="3"/>
  </si>
  <si>
    <t>大(高千穂商科)</t>
    <rPh sb="0" eb="1">
      <t>ダイ</t>
    </rPh>
    <rPh sb="2" eb="5">
      <t>タカチホ</t>
    </rPh>
    <rPh sb="5" eb="7">
      <t>ショウカ</t>
    </rPh>
    <phoneticPr fontId="3"/>
  </si>
  <si>
    <t>埼玉県議(富士見市・西6),会社社長(埼玉スポーツセンター)</t>
    <rPh sb="0" eb="2">
      <t>サイタマ</t>
    </rPh>
    <rPh sb="2" eb="4">
      <t>ケンギ</t>
    </rPh>
    <rPh sb="5" eb="9">
      <t>フジミシ</t>
    </rPh>
    <rPh sb="10" eb="11">
      <t>ニシ</t>
    </rPh>
    <rPh sb="14" eb="16">
      <t>カイシャ</t>
    </rPh>
    <rPh sb="16" eb="18">
      <t>シャチョウ</t>
    </rPh>
    <rPh sb="19" eb="21">
      <t>サイタマ</t>
    </rPh>
    <phoneticPr fontId="3"/>
  </si>
  <si>
    <t>061埼玉7区</t>
  </si>
  <si>
    <t>長沼　チネ</t>
    <rPh sb="0" eb="2">
      <t>ナガヌマ</t>
    </rPh>
    <phoneticPr fontId="3"/>
  </si>
  <si>
    <t>他(東京高等保育学校)</t>
    <rPh sb="0" eb="1">
      <t>ホカ</t>
    </rPh>
    <rPh sb="2" eb="4">
      <t>トウキョウ</t>
    </rPh>
    <rPh sb="4" eb="6">
      <t>コウトウ</t>
    </rPh>
    <rPh sb="6" eb="8">
      <t>ホイク</t>
    </rPh>
    <rPh sb="8" eb="10">
      <t>ガッコウ</t>
    </rPh>
    <phoneticPr fontId="3"/>
  </si>
  <si>
    <t>共産党埼玉県委員,幼稚園教諭</t>
    <rPh sb="0" eb="3">
      <t>キョウサントウ</t>
    </rPh>
    <rPh sb="3" eb="6">
      <t>サイタマケン</t>
    </rPh>
    <rPh sb="6" eb="8">
      <t>イイン</t>
    </rPh>
    <rPh sb="9" eb="12">
      <t>ヨウチエン</t>
    </rPh>
    <rPh sb="12" eb="14">
      <t>キョウユ</t>
    </rPh>
    <phoneticPr fontId="3"/>
  </si>
  <si>
    <t>062埼玉8区01</t>
    <rPh sb="3" eb="5">
      <t>サイタマ</t>
    </rPh>
    <rPh sb="6" eb="7">
      <t>ク</t>
    </rPh>
    <phoneticPr fontId="3"/>
  </si>
  <si>
    <t>062埼玉8区02</t>
    <rPh sb="3" eb="5">
      <t>サイタマ</t>
    </rPh>
    <rPh sb="6" eb="7">
      <t>ク</t>
    </rPh>
    <phoneticPr fontId="3"/>
  </si>
  <si>
    <t>062埼玉8区03</t>
    <rPh sb="3" eb="5">
      <t>サイタマ</t>
    </rPh>
    <rPh sb="6" eb="7">
      <t>ク</t>
    </rPh>
    <phoneticPr fontId="3"/>
  </si>
  <si>
    <t>062埼玉8区</t>
  </si>
  <si>
    <t>大(立教)</t>
    <rPh sb="0" eb="1">
      <t>ダイ</t>
    </rPh>
    <rPh sb="2" eb="4">
      <t>リッキョウ</t>
    </rPh>
    <phoneticPr fontId="3"/>
  </si>
  <si>
    <t>辻　　源巳</t>
    <rPh sb="0" eb="1">
      <t>ツジ</t>
    </rPh>
    <rPh sb="3" eb="4">
      <t>ゲン</t>
    </rPh>
    <rPh sb="4" eb="5">
      <t>ミ</t>
    </rPh>
    <phoneticPr fontId="3"/>
  </si>
  <si>
    <t>063埼玉9区01</t>
    <rPh sb="3" eb="5">
      <t>サイタマ</t>
    </rPh>
    <rPh sb="6" eb="7">
      <t>ク</t>
    </rPh>
    <phoneticPr fontId="3"/>
  </si>
  <si>
    <t>063埼玉9区02</t>
    <rPh sb="3" eb="5">
      <t>サイタマ</t>
    </rPh>
    <rPh sb="6" eb="7">
      <t>ク</t>
    </rPh>
    <phoneticPr fontId="3"/>
  </si>
  <si>
    <t>063埼玉9区03</t>
    <rPh sb="3" eb="5">
      <t>サイタマ</t>
    </rPh>
    <rPh sb="6" eb="7">
      <t>ク</t>
    </rPh>
    <phoneticPr fontId="3"/>
  </si>
  <si>
    <t>063埼玉9区</t>
  </si>
  <si>
    <t>ジャーナリスト,新聞記者(時事通信)</t>
    <phoneticPr fontId="3"/>
  </si>
  <si>
    <t>大塚　　拓</t>
    <rPh sb="0" eb="2">
      <t>オオツカ</t>
    </rPh>
    <rPh sb="4" eb="5">
      <t>タク</t>
    </rPh>
    <phoneticPr fontId="3"/>
  </si>
  <si>
    <t>不動産業,銀行員(東京三菱銀行)</t>
    <rPh sb="0" eb="4">
      <t>フドウサンギョウ</t>
    </rPh>
    <rPh sb="5" eb="8">
      <t>ギンコウイン</t>
    </rPh>
    <rPh sb="9" eb="11">
      <t>トウキョウ</t>
    </rPh>
    <rPh sb="11" eb="13">
      <t>ミツビシ</t>
    </rPh>
    <rPh sb="13" eb="15">
      <t>ギンコウ</t>
    </rPh>
    <phoneticPr fontId="3"/>
  </si>
  <si>
    <t>工藤　　武</t>
    <rPh sb="0" eb="2">
      <t>クドウ</t>
    </rPh>
    <rPh sb="4" eb="5">
      <t>タケシ</t>
    </rPh>
    <phoneticPr fontId="3"/>
  </si>
  <si>
    <t>短大(北海道自動車)</t>
    <rPh sb="0" eb="2">
      <t>タンダイ</t>
    </rPh>
    <rPh sb="3" eb="6">
      <t>ホッカイドウ</t>
    </rPh>
    <rPh sb="6" eb="9">
      <t>ジドウシャ</t>
    </rPh>
    <phoneticPr fontId="3"/>
  </si>
  <si>
    <t>埼玉県・名栗村議,会社員(八千代工業)</t>
    <rPh sb="0" eb="3">
      <t>サイタマケン</t>
    </rPh>
    <rPh sb="4" eb="6">
      <t>ナグリ</t>
    </rPh>
    <rPh sb="6" eb="8">
      <t>ソンギ</t>
    </rPh>
    <rPh sb="9" eb="12">
      <t>カイシャイン</t>
    </rPh>
    <rPh sb="13" eb="16">
      <t>ヤチヨ</t>
    </rPh>
    <rPh sb="16" eb="18">
      <t>コウギョウ</t>
    </rPh>
    <phoneticPr fontId="3"/>
  </si>
  <si>
    <t>064埼玉10区01</t>
    <rPh sb="3" eb="5">
      <t>サイタマ</t>
    </rPh>
    <rPh sb="7" eb="8">
      <t>ク</t>
    </rPh>
    <phoneticPr fontId="3"/>
  </si>
  <si>
    <t>064埼玉10区02</t>
    <rPh sb="3" eb="5">
      <t>サイタマ</t>
    </rPh>
    <rPh sb="7" eb="8">
      <t>ク</t>
    </rPh>
    <phoneticPr fontId="3"/>
  </si>
  <si>
    <t>064埼玉10区03</t>
    <rPh sb="3" eb="5">
      <t>サイタマ</t>
    </rPh>
    <rPh sb="7" eb="8">
      <t>ク</t>
    </rPh>
    <phoneticPr fontId="3"/>
  </si>
  <si>
    <t>064埼玉10区04</t>
    <rPh sb="3" eb="5">
      <t>サイタマ</t>
    </rPh>
    <rPh sb="7" eb="8">
      <t>ク</t>
    </rPh>
    <phoneticPr fontId="3"/>
  </si>
  <si>
    <t>064埼玉10区05</t>
    <rPh sb="3" eb="5">
      <t>サイタマ</t>
    </rPh>
    <rPh sb="7" eb="8">
      <t>ク</t>
    </rPh>
    <phoneticPr fontId="3"/>
  </si>
  <si>
    <t>山口　泰明</t>
    <rPh sb="0" eb="2">
      <t>ヤマグチ</t>
    </rPh>
    <rPh sb="3" eb="5">
      <t>タイメイ</t>
    </rPh>
    <phoneticPr fontId="3"/>
  </si>
  <si>
    <t>会社役員(武州ガス)</t>
    <rPh sb="0" eb="2">
      <t>カイシャ</t>
    </rPh>
    <rPh sb="2" eb="4">
      <t>ヤクイン</t>
    </rPh>
    <rPh sb="5" eb="7">
      <t>ブシュウ</t>
    </rPh>
    <phoneticPr fontId="3"/>
  </si>
  <si>
    <t>　元委長(外務),副大臣(内閣),政務官(外務)</t>
    <rPh sb="1" eb="2">
      <t>モト</t>
    </rPh>
    <rPh sb="2" eb="4">
      <t>イチョウ</t>
    </rPh>
    <rPh sb="5" eb="7">
      <t>ガイム</t>
    </rPh>
    <rPh sb="9" eb="12">
      <t>フクダイジン</t>
    </rPh>
    <rPh sb="13" eb="15">
      <t>ナイカク</t>
    </rPh>
    <rPh sb="17" eb="20">
      <t>セイムカン</t>
    </rPh>
    <rPh sb="21" eb="23">
      <t>ガイム</t>
    </rPh>
    <phoneticPr fontId="3"/>
  </si>
  <si>
    <t>064埼玉10区</t>
  </si>
  <si>
    <t>シンクタンク代表(現代政治分析センター),作家</t>
    <rPh sb="9" eb="11">
      <t>ゲンダイ</t>
    </rPh>
    <rPh sb="11" eb="13">
      <t>セイジ</t>
    </rPh>
    <rPh sb="13" eb="15">
      <t>ブンセキ</t>
    </rPh>
    <rPh sb="21" eb="23">
      <t>サッカ</t>
    </rPh>
    <phoneticPr fontId="3"/>
  </si>
  <si>
    <t>梅沢　永治</t>
    <rPh sb="0" eb="1">
      <t>ウメ</t>
    </rPh>
    <rPh sb="1" eb="2">
      <t>サワ</t>
    </rPh>
    <rPh sb="3" eb="5">
      <t>エイジ</t>
    </rPh>
    <phoneticPr fontId="3"/>
  </si>
  <si>
    <t>大(工学院)</t>
    <rPh sb="0" eb="1">
      <t>ダイ</t>
    </rPh>
    <rPh sb="2" eb="5">
      <t>コウガクイン</t>
    </rPh>
    <phoneticPr fontId="3"/>
  </si>
  <si>
    <t>埼玉県・東松山市議</t>
    <rPh sb="0" eb="3">
      <t>サイタマケン</t>
    </rPh>
    <rPh sb="4" eb="7">
      <t>ヒガシマツヤマ</t>
    </rPh>
    <rPh sb="7" eb="9">
      <t>シギ</t>
    </rPh>
    <phoneticPr fontId="3"/>
  </si>
  <si>
    <t>坂本　祐之輔</t>
    <rPh sb="0" eb="2">
      <t>サカモト</t>
    </rPh>
    <rPh sb="3" eb="4">
      <t>ユウ</t>
    </rPh>
    <rPh sb="4" eb="5">
      <t>ノ</t>
    </rPh>
    <rPh sb="5" eb="6">
      <t>スケ</t>
    </rPh>
    <phoneticPr fontId="3"/>
  </si>
  <si>
    <t>埼玉県・東松山市長,埼玉県・東松山市議,料亭経営</t>
    <rPh sb="0" eb="3">
      <t>サイタマケン</t>
    </rPh>
    <rPh sb="4" eb="7">
      <t>ヒガシマツヤマ</t>
    </rPh>
    <rPh sb="7" eb="9">
      <t>シチョウ</t>
    </rPh>
    <rPh sb="10" eb="13">
      <t>サイタマケン</t>
    </rPh>
    <rPh sb="14" eb="17">
      <t>ヒガシマツヤマ</t>
    </rPh>
    <rPh sb="17" eb="19">
      <t>シギ</t>
    </rPh>
    <rPh sb="20" eb="22">
      <t>リョウテイ</t>
    </rPh>
    <rPh sb="22" eb="24">
      <t>ケイエイ</t>
    </rPh>
    <phoneticPr fontId="3"/>
  </si>
  <si>
    <t>議首</t>
    <rPh sb="0" eb="1">
      <t>ギ</t>
    </rPh>
    <rPh sb="1" eb="2">
      <t>クビ</t>
    </rPh>
    <phoneticPr fontId="3"/>
  </si>
  <si>
    <t>065埼玉11区01</t>
    <rPh sb="3" eb="5">
      <t>サイタマ</t>
    </rPh>
    <rPh sb="7" eb="8">
      <t>ク</t>
    </rPh>
    <phoneticPr fontId="3"/>
  </si>
  <si>
    <t>065埼玉11区02</t>
    <rPh sb="3" eb="5">
      <t>サイタマ</t>
    </rPh>
    <rPh sb="7" eb="8">
      <t>ク</t>
    </rPh>
    <phoneticPr fontId="3"/>
  </si>
  <si>
    <t>065埼玉11区03</t>
    <rPh sb="3" eb="5">
      <t>サイタマ</t>
    </rPh>
    <rPh sb="7" eb="8">
      <t>ク</t>
    </rPh>
    <phoneticPr fontId="3"/>
  </si>
  <si>
    <t>今野　智博</t>
    <rPh sb="0" eb="2">
      <t>コンノ</t>
    </rPh>
    <rPh sb="3" eb="5">
      <t>トモヒロ</t>
    </rPh>
    <phoneticPr fontId="3"/>
  </si>
  <si>
    <t>弁護士</t>
    <rPh sb="0" eb="3">
      <t>ベンゴシ</t>
    </rPh>
    <phoneticPr fontId="3"/>
  </si>
  <si>
    <t>柴岡　祐真</t>
    <rPh sb="0" eb="2">
      <t>シバオカ</t>
    </rPh>
    <rPh sb="3" eb="4">
      <t>ユウ</t>
    </rPh>
    <rPh sb="4" eb="5">
      <t>マ</t>
    </rPh>
    <phoneticPr fontId="3"/>
  </si>
  <si>
    <t>大(帯広畜産)</t>
    <rPh sb="0" eb="1">
      <t>ダイ</t>
    </rPh>
    <rPh sb="2" eb="4">
      <t>オビヒロ</t>
    </rPh>
    <rPh sb="4" eb="6">
      <t>チクサン</t>
    </rPh>
    <phoneticPr fontId="3"/>
  </si>
  <si>
    <t>共産党埼玉県准委員</t>
    <rPh sb="0" eb="3">
      <t>キョウサントウ</t>
    </rPh>
    <rPh sb="3" eb="6">
      <t>サイタマケン</t>
    </rPh>
    <rPh sb="6" eb="9">
      <t>ジュンイイン</t>
    </rPh>
    <phoneticPr fontId="3"/>
  </si>
  <si>
    <t>065埼玉11区</t>
  </si>
  <si>
    <t>066埼玉12区01</t>
    <rPh sb="3" eb="5">
      <t>サイタマ</t>
    </rPh>
    <rPh sb="7" eb="8">
      <t>ク</t>
    </rPh>
    <phoneticPr fontId="3"/>
  </si>
  <si>
    <t>066埼玉12区02</t>
    <rPh sb="3" eb="5">
      <t>サイタマ</t>
    </rPh>
    <rPh sb="7" eb="8">
      <t>ク</t>
    </rPh>
    <phoneticPr fontId="3"/>
  </si>
  <si>
    <t>066埼玉12区04</t>
    <rPh sb="3" eb="5">
      <t>サイタマ</t>
    </rPh>
    <rPh sb="7" eb="8">
      <t>ク</t>
    </rPh>
    <phoneticPr fontId="3"/>
  </si>
  <si>
    <t>066埼玉12区05</t>
    <rPh sb="3" eb="5">
      <t>サイタマ</t>
    </rPh>
    <rPh sb="7" eb="8">
      <t>ク</t>
    </rPh>
    <phoneticPr fontId="3"/>
  </si>
  <si>
    <t>国</t>
    <rPh sb="0" eb="1">
      <t>コク</t>
    </rPh>
    <phoneticPr fontId="3"/>
  </si>
  <si>
    <t>由</t>
    <rPh sb="0" eb="1">
      <t>ユウ</t>
    </rPh>
    <phoneticPr fontId="3"/>
  </si>
  <si>
    <t>医療法人理事長(交雄会)</t>
    <rPh sb="0" eb="2">
      <t>イリョウ</t>
    </rPh>
    <rPh sb="2" eb="4">
      <t>ホウジン</t>
    </rPh>
    <rPh sb="4" eb="7">
      <t>リジチョウ</t>
    </rPh>
    <rPh sb="8" eb="9">
      <t>コウ</t>
    </rPh>
    <rPh sb="9" eb="10">
      <t>オス</t>
    </rPh>
    <rPh sb="10" eb="11">
      <t>カイ</t>
    </rPh>
    <phoneticPr fontId="3"/>
  </si>
  <si>
    <t>茨城県・取手市議,会社経営</t>
    <rPh sb="0" eb="3">
      <t>イバラキケン</t>
    </rPh>
    <rPh sb="4" eb="6">
      <t>トリデ</t>
    </rPh>
    <rPh sb="6" eb="8">
      <t>シギ</t>
    </rPh>
    <rPh sb="9" eb="11">
      <t>カイシャ</t>
    </rPh>
    <rPh sb="11" eb="13">
      <t>ケイエイ</t>
    </rPh>
    <phoneticPr fontId="3"/>
  </si>
  <si>
    <t>茨城県議(日立市),日立製作所労組執行委員</t>
    <rPh sb="0" eb="2">
      <t>イバラキ</t>
    </rPh>
    <rPh sb="2" eb="4">
      <t>ケンギ</t>
    </rPh>
    <rPh sb="5" eb="8">
      <t>ヒタチシ</t>
    </rPh>
    <rPh sb="10" eb="12">
      <t>ヒタチ</t>
    </rPh>
    <rPh sb="12" eb="15">
      <t>セイサクジョ</t>
    </rPh>
    <rPh sb="15" eb="17">
      <t>ロウソ</t>
    </rPh>
    <rPh sb="17" eb="19">
      <t>シッコウ</t>
    </rPh>
    <rPh sb="19" eb="21">
      <t>イイン</t>
    </rPh>
    <phoneticPr fontId="3"/>
  </si>
  <si>
    <t>茨城県・大洋村長,大学教員(東京大学大学院助手)</t>
    <rPh sb="0" eb="3">
      <t>イバラキケン</t>
    </rPh>
    <rPh sb="4" eb="6">
      <t>タイヨウ</t>
    </rPh>
    <rPh sb="6" eb="8">
      <t>ソンチョウ</t>
    </rPh>
    <rPh sb="9" eb="11">
      <t>ダイガク</t>
    </rPh>
    <rPh sb="11" eb="13">
      <t>キョウイン</t>
    </rPh>
    <rPh sb="14" eb="16">
      <t>トウキョウ</t>
    </rPh>
    <rPh sb="16" eb="18">
      <t>ダイガク</t>
    </rPh>
    <rPh sb="18" eb="21">
      <t>ダイガクイン</t>
    </rPh>
    <rPh sb="21" eb="23">
      <t>ジョシュ</t>
    </rPh>
    <phoneticPr fontId="3"/>
  </si>
  <si>
    <t>茨城県議(行方郡),新聞記者(産経新聞)</t>
    <rPh sb="0" eb="2">
      <t>イバラキ</t>
    </rPh>
    <rPh sb="2" eb="4">
      <t>ケンギ</t>
    </rPh>
    <rPh sb="5" eb="7">
      <t>ユクエ</t>
    </rPh>
    <rPh sb="7" eb="8">
      <t>グン</t>
    </rPh>
    <rPh sb="10" eb="12">
      <t>シンブン</t>
    </rPh>
    <rPh sb="12" eb="14">
      <t>キシャ</t>
    </rPh>
    <rPh sb="15" eb="17">
      <t>サンケイ</t>
    </rPh>
    <rPh sb="17" eb="19">
      <t>シンブン</t>
    </rPh>
    <phoneticPr fontId="3"/>
  </si>
  <si>
    <t>会社員(三菱商事)</t>
    <rPh sb="0" eb="3">
      <t>カイシャイン</t>
    </rPh>
    <rPh sb="4" eb="6">
      <t>ミツビシ</t>
    </rPh>
    <rPh sb="6" eb="8">
      <t>ショウジ</t>
    </rPh>
    <phoneticPr fontId="3"/>
  </si>
  <si>
    <t>会社役員(オフィスくおり)</t>
    <rPh sb="0" eb="2">
      <t>カイシャ</t>
    </rPh>
    <rPh sb="2" eb="4">
      <t>ヤクイン</t>
    </rPh>
    <phoneticPr fontId="3"/>
  </si>
  <si>
    <t>外務省アジア局中国課次席事務官</t>
    <rPh sb="0" eb="3">
      <t>ガイムショウ</t>
    </rPh>
    <rPh sb="6" eb="7">
      <t>キョク</t>
    </rPh>
    <rPh sb="7" eb="10">
      <t>チュウゴクカ</t>
    </rPh>
    <rPh sb="10" eb="12">
      <t>ジセキ</t>
    </rPh>
    <rPh sb="12" eb="15">
      <t>ジムカン</t>
    </rPh>
    <phoneticPr fontId="3"/>
  </si>
  <si>
    <t>岩手県議(陸前高田市),陸前高田市職員</t>
    <rPh sb="0" eb="2">
      <t>イワテ</t>
    </rPh>
    <rPh sb="2" eb="4">
      <t>ケンギ</t>
    </rPh>
    <rPh sb="5" eb="10">
      <t>リクゼンタカタシ</t>
    </rPh>
    <rPh sb="12" eb="16">
      <t>リクゼンタカタ</t>
    </rPh>
    <rPh sb="16" eb="19">
      <t>シショクイン</t>
    </rPh>
    <phoneticPr fontId="3"/>
  </si>
  <si>
    <t>気象予報士,テレビ記者(東北放送)</t>
    <rPh sb="0" eb="2">
      <t>キショウ</t>
    </rPh>
    <rPh sb="2" eb="5">
      <t>ヨホウシ</t>
    </rPh>
    <rPh sb="9" eb="11">
      <t>キシャ</t>
    </rPh>
    <rPh sb="12" eb="14">
      <t>トウホク</t>
    </rPh>
    <rPh sb="14" eb="16">
      <t>ホウソウ</t>
    </rPh>
    <phoneticPr fontId="3"/>
  </si>
  <si>
    <t>議員秘書(鹿野道彦)</t>
    <rPh sb="0" eb="2">
      <t>ギイン</t>
    </rPh>
    <rPh sb="2" eb="4">
      <t>ヒショ</t>
    </rPh>
    <rPh sb="5" eb="7">
      <t>カノ</t>
    </rPh>
    <rPh sb="7" eb="9">
      <t>ミチヒコ</t>
    </rPh>
    <phoneticPr fontId="3"/>
  </si>
  <si>
    <t>議員秘書(鹿野彦吉)</t>
    <rPh sb="0" eb="2">
      <t>ギイン</t>
    </rPh>
    <rPh sb="2" eb="4">
      <t>ヒショ</t>
    </rPh>
    <rPh sb="5" eb="7">
      <t>カノ</t>
    </rPh>
    <rPh sb="7" eb="8">
      <t>ヒコ</t>
    </rPh>
    <rPh sb="8" eb="9">
      <t>キチ</t>
    </rPh>
    <phoneticPr fontId="3"/>
  </si>
  <si>
    <t>議員秘書(小沢一郎)</t>
    <rPh sb="0" eb="2">
      <t>ギイン</t>
    </rPh>
    <rPh sb="2" eb="4">
      <t>ヒショ</t>
    </rPh>
    <rPh sb="5" eb="7">
      <t>オザワ</t>
    </rPh>
    <rPh sb="7" eb="9">
      <t>イチロウ</t>
    </rPh>
    <phoneticPr fontId="3"/>
  </si>
  <si>
    <t>議員秘書(竹下登),会社員(鉄建建設)</t>
    <rPh sb="0" eb="2">
      <t>ギイン</t>
    </rPh>
    <rPh sb="2" eb="4">
      <t>ヒショ</t>
    </rPh>
    <rPh sb="5" eb="7">
      <t>タケシタ</t>
    </rPh>
    <rPh sb="7" eb="8">
      <t>ノボル</t>
    </rPh>
    <rPh sb="10" eb="13">
      <t>カイシャイン</t>
    </rPh>
    <rPh sb="14" eb="16">
      <t>テッケン</t>
    </rPh>
    <rPh sb="16" eb="18">
      <t>ケンセツ</t>
    </rPh>
    <phoneticPr fontId="3"/>
  </si>
  <si>
    <t>議員秘書(塚原俊平),神職</t>
    <rPh sb="0" eb="2">
      <t>ギイン</t>
    </rPh>
    <rPh sb="2" eb="4">
      <t>ヒショ</t>
    </rPh>
    <rPh sb="5" eb="7">
      <t>ツカハラ</t>
    </rPh>
    <rPh sb="7" eb="9">
      <t>シュンペイ</t>
    </rPh>
    <rPh sb="11" eb="13">
      <t>シンショク</t>
    </rPh>
    <phoneticPr fontId="3"/>
  </si>
  <si>
    <t>議員秘書(田中角栄)</t>
    <rPh sb="0" eb="2">
      <t>ギイン</t>
    </rPh>
    <rPh sb="2" eb="4">
      <t>ヒショ</t>
    </rPh>
    <rPh sb="5" eb="7">
      <t>タナカ</t>
    </rPh>
    <rPh sb="7" eb="9">
      <t>カクエイ</t>
    </rPh>
    <phoneticPr fontId="3"/>
  </si>
  <si>
    <t>議員秘書(田名部匡省)</t>
    <rPh sb="0" eb="2">
      <t>ギイン</t>
    </rPh>
    <rPh sb="2" eb="4">
      <t>ヒショ</t>
    </rPh>
    <rPh sb="5" eb="8">
      <t>タナブ</t>
    </rPh>
    <rPh sb="8" eb="10">
      <t>マサミ</t>
    </rPh>
    <phoneticPr fontId="3"/>
  </si>
  <si>
    <t>議員秘書(田澤吉郎)</t>
    <rPh sb="0" eb="2">
      <t>ギイン</t>
    </rPh>
    <rPh sb="2" eb="4">
      <t>ヒショ</t>
    </rPh>
    <rPh sb="5" eb="7">
      <t>タザワ</t>
    </rPh>
    <rPh sb="7" eb="9">
      <t>キチロウ</t>
    </rPh>
    <phoneticPr fontId="3"/>
  </si>
  <si>
    <t>議員秘書(渡辺美智雄)</t>
    <rPh sb="0" eb="2">
      <t>ギイン</t>
    </rPh>
    <rPh sb="2" eb="4">
      <t>ヒショ</t>
    </rPh>
    <rPh sb="5" eb="7">
      <t>ワタナベ</t>
    </rPh>
    <rPh sb="7" eb="10">
      <t>ミチオ</t>
    </rPh>
    <phoneticPr fontId="3"/>
  </si>
  <si>
    <t>議員秘書(武正公一)</t>
    <rPh sb="0" eb="2">
      <t>ギイン</t>
    </rPh>
    <rPh sb="2" eb="4">
      <t>ヒショ</t>
    </rPh>
    <rPh sb="5" eb="7">
      <t>タケマサ</t>
    </rPh>
    <rPh sb="7" eb="9">
      <t>コウイチ</t>
    </rPh>
    <phoneticPr fontId="3"/>
  </si>
  <si>
    <t>宮城県議(仙台市泉区),大学教員(東北福祉大学講師)</t>
    <rPh sb="0" eb="2">
      <t>ミヤギ</t>
    </rPh>
    <rPh sb="2" eb="4">
      <t>ケンギ</t>
    </rPh>
    <rPh sb="5" eb="8">
      <t>センダイシ</t>
    </rPh>
    <rPh sb="8" eb="10">
      <t>イズミク</t>
    </rPh>
    <rPh sb="12" eb="14">
      <t>ダイガク</t>
    </rPh>
    <rPh sb="14" eb="16">
      <t>キョウイン</t>
    </rPh>
    <rPh sb="17" eb="19">
      <t>トウホク</t>
    </rPh>
    <rPh sb="19" eb="21">
      <t>フクシ</t>
    </rPh>
    <rPh sb="21" eb="23">
      <t>ダイガク</t>
    </rPh>
    <rPh sb="23" eb="25">
      <t>コウシ</t>
    </rPh>
    <phoneticPr fontId="3"/>
  </si>
  <si>
    <t>銀行員(みずほ銀行)</t>
    <rPh sb="0" eb="3">
      <t>ギンコウイン</t>
    </rPh>
    <rPh sb="7" eb="9">
      <t>ギンコウ</t>
    </rPh>
    <phoneticPr fontId="3"/>
  </si>
  <si>
    <t>銀行員(みずほ銀行),弁護士</t>
    <rPh sb="0" eb="3">
      <t>ギンコウイン</t>
    </rPh>
    <rPh sb="7" eb="9">
      <t>ギンコウ</t>
    </rPh>
    <rPh sb="11" eb="14">
      <t>ベンゴシ</t>
    </rPh>
    <phoneticPr fontId="3"/>
  </si>
  <si>
    <t>群馬県議(伊勢崎市),群馬県・伊勢崎市議,郵政省放送行政局係長</t>
    <rPh sb="0" eb="2">
      <t>グンマ</t>
    </rPh>
    <rPh sb="2" eb="4">
      <t>ケンギ</t>
    </rPh>
    <rPh sb="5" eb="9">
      <t>イセサキシ</t>
    </rPh>
    <rPh sb="11" eb="14">
      <t>グンマケン</t>
    </rPh>
    <rPh sb="15" eb="18">
      <t>イセサキ</t>
    </rPh>
    <rPh sb="18" eb="20">
      <t>シギ</t>
    </rPh>
    <rPh sb="21" eb="31">
      <t>ユウセイショウホウソウギョウセイキョクカカリチョウ</t>
    </rPh>
    <phoneticPr fontId="3"/>
  </si>
  <si>
    <t>鉱物工業原料商社社長,議員秘書(梶山静六)</t>
    <rPh sb="0" eb="2">
      <t>コウブツ</t>
    </rPh>
    <rPh sb="2" eb="4">
      <t>コウギョウ</t>
    </rPh>
    <rPh sb="4" eb="6">
      <t>ゲンリョウ</t>
    </rPh>
    <rPh sb="6" eb="8">
      <t>ショウシャ</t>
    </rPh>
    <rPh sb="8" eb="10">
      <t>シャチョウ</t>
    </rPh>
    <rPh sb="11" eb="13">
      <t>ギイン</t>
    </rPh>
    <rPh sb="13" eb="15">
      <t>ヒショ</t>
    </rPh>
    <rPh sb="16" eb="18">
      <t>カジヤマ</t>
    </rPh>
    <rPh sb="18" eb="20">
      <t>セイロク</t>
    </rPh>
    <phoneticPr fontId="3"/>
  </si>
  <si>
    <t>今金町農協参事</t>
    <rPh sb="0" eb="1">
      <t>イマ</t>
    </rPh>
    <rPh sb="1" eb="3">
      <t>カネマチ</t>
    </rPh>
    <rPh sb="3" eb="5">
      <t>ノウキョウ</t>
    </rPh>
    <rPh sb="5" eb="7">
      <t>サンジ</t>
    </rPh>
    <phoneticPr fontId="3"/>
  </si>
  <si>
    <t>埼玉県・川口市議,川口市役所職員</t>
    <rPh sb="0" eb="3">
      <t>サイタマケン</t>
    </rPh>
    <rPh sb="4" eb="6">
      <t>カワグチ</t>
    </rPh>
    <rPh sb="6" eb="8">
      <t>シギ</t>
    </rPh>
    <rPh sb="9" eb="11">
      <t>カワグチ</t>
    </rPh>
    <rPh sb="11" eb="14">
      <t>シヤクショ</t>
    </rPh>
    <rPh sb="14" eb="16">
      <t>ショクイン</t>
    </rPh>
    <phoneticPr fontId="3"/>
  </si>
  <si>
    <t>埼玉県議(浦和市・南3)</t>
    <rPh sb="0" eb="2">
      <t>サイタマ</t>
    </rPh>
    <rPh sb="2" eb="4">
      <t>ケンギ</t>
    </rPh>
    <rPh sb="5" eb="8">
      <t>ウラワシ</t>
    </rPh>
    <rPh sb="9" eb="10">
      <t>ミナミ</t>
    </rPh>
    <phoneticPr fontId="3"/>
  </si>
  <si>
    <t>埼玉県議(川越市・西8),会社員(NTT)</t>
    <rPh sb="0" eb="2">
      <t>サイタマ</t>
    </rPh>
    <rPh sb="2" eb="4">
      <t>ケンギ</t>
    </rPh>
    <rPh sb="5" eb="8">
      <t>カワゴエシ</t>
    </rPh>
    <rPh sb="9" eb="10">
      <t>ニシ</t>
    </rPh>
    <rPh sb="13" eb="16">
      <t>カイシャイン</t>
    </rPh>
    <phoneticPr fontId="3"/>
  </si>
  <si>
    <t>埼玉県議(鳩ヶ谷市・南14),議員秘書(稲村利幸)</t>
    <rPh sb="0" eb="2">
      <t>サイタマ</t>
    </rPh>
    <rPh sb="2" eb="4">
      <t>ケンギ</t>
    </rPh>
    <rPh sb="5" eb="9">
      <t>ハトガヤシ</t>
    </rPh>
    <rPh sb="10" eb="11">
      <t>ミナミ</t>
    </rPh>
    <rPh sb="15" eb="17">
      <t>ギイン</t>
    </rPh>
    <rPh sb="17" eb="19">
      <t>ヒショ</t>
    </rPh>
    <rPh sb="20" eb="22">
      <t>イナムラ</t>
    </rPh>
    <rPh sb="22" eb="24">
      <t>トシユキ</t>
    </rPh>
    <phoneticPr fontId="3"/>
  </si>
  <si>
    <t>作家秘書(山岡荘八)</t>
    <rPh sb="0" eb="2">
      <t>サッカ</t>
    </rPh>
    <rPh sb="2" eb="4">
      <t>ヒショ</t>
    </rPh>
    <rPh sb="5" eb="7">
      <t>ヤマオカ</t>
    </rPh>
    <rPh sb="7" eb="9">
      <t>ソウハチ</t>
    </rPh>
    <phoneticPr fontId="3"/>
  </si>
  <si>
    <t>主婦</t>
    <rPh sb="0" eb="2">
      <t>シュフ</t>
    </rPh>
    <phoneticPr fontId="3"/>
  </si>
  <si>
    <t>秋田県・小坂町長,秋田県・小坂町議,農業</t>
    <rPh sb="0" eb="3">
      <t>アキタケン</t>
    </rPh>
    <rPh sb="4" eb="6">
      <t>コサカ</t>
    </rPh>
    <rPh sb="6" eb="8">
      <t>チョウチョウ</t>
    </rPh>
    <rPh sb="9" eb="12">
      <t>アキタケン</t>
    </rPh>
    <rPh sb="13" eb="15">
      <t>コサカ</t>
    </rPh>
    <rPh sb="15" eb="17">
      <t>チョウギ</t>
    </rPh>
    <rPh sb="18" eb="20">
      <t>ノウギョウ</t>
    </rPh>
    <phoneticPr fontId="3"/>
  </si>
  <si>
    <t>秋田県議(湯沢市),会社員(協同企画)</t>
    <rPh sb="0" eb="2">
      <t>アキタ</t>
    </rPh>
    <rPh sb="2" eb="4">
      <t>ケンギ</t>
    </rPh>
    <rPh sb="5" eb="8">
      <t>ユザワシ</t>
    </rPh>
    <rPh sb="10" eb="13">
      <t>カイシャイン</t>
    </rPh>
    <rPh sb="14" eb="16">
      <t>キョウドウ</t>
    </rPh>
    <rPh sb="16" eb="18">
      <t>キカク</t>
    </rPh>
    <phoneticPr fontId="3"/>
  </si>
  <si>
    <t>新聞記者(上毛新聞)</t>
    <rPh sb="0" eb="2">
      <t>シンブン</t>
    </rPh>
    <rPh sb="2" eb="4">
      <t>キシャ</t>
    </rPh>
    <rPh sb="5" eb="6">
      <t>カミ</t>
    </rPh>
    <rPh sb="6" eb="7">
      <t>ゲ</t>
    </rPh>
    <rPh sb="7" eb="9">
      <t>シンブン</t>
    </rPh>
    <phoneticPr fontId="3"/>
  </si>
  <si>
    <t>新聞記者(日本経済新聞)</t>
    <rPh sb="0" eb="2">
      <t>シンブン</t>
    </rPh>
    <rPh sb="2" eb="4">
      <t>キシャ</t>
    </rPh>
    <rPh sb="5" eb="7">
      <t>ニホン</t>
    </rPh>
    <rPh sb="7" eb="9">
      <t>ケイザイ</t>
    </rPh>
    <rPh sb="9" eb="11">
      <t>シンブン</t>
    </rPh>
    <phoneticPr fontId="3"/>
  </si>
  <si>
    <t>青森県議(南津軽郡),議員秘書(三塚博)</t>
    <rPh sb="0" eb="2">
      <t>アオモリ</t>
    </rPh>
    <rPh sb="2" eb="4">
      <t>ケンギ</t>
    </rPh>
    <rPh sb="5" eb="9">
      <t>ミナミツガルグン</t>
    </rPh>
    <rPh sb="11" eb="13">
      <t>ギイン</t>
    </rPh>
    <rPh sb="13" eb="15">
      <t>ヒショ</t>
    </rPh>
    <rPh sb="16" eb="18">
      <t>ミツヅカ</t>
    </rPh>
    <rPh sb="18" eb="19">
      <t>ヒロシ</t>
    </rPh>
    <phoneticPr fontId="3"/>
  </si>
  <si>
    <t>青森県議(八戸市),新聞記者(毎日新聞)</t>
    <rPh sb="0" eb="2">
      <t>アオモリ</t>
    </rPh>
    <rPh sb="2" eb="4">
      <t>ケンギ</t>
    </rPh>
    <rPh sb="5" eb="8">
      <t>ハチノヘシ</t>
    </rPh>
    <rPh sb="10" eb="12">
      <t>シンブン</t>
    </rPh>
    <rPh sb="12" eb="14">
      <t>キシャ</t>
    </rPh>
    <rPh sb="15" eb="17">
      <t>マイニチ</t>
    </rPh>
    <rPh sb="17" eb="19">
      <t>シンブン</t>
    </rPh>
    <phoneticPr fontId="4"/>
  </si>
  <si>
    <t>千葉県議(松戸市),会社社長(共進住宅)</t>
    <rPh sb="0" eb="2">
      <t>チバ</t>
    </rPh>
    <rPh sb="2" eb="4">
      <t>ケンギ</t>
    </rPh>
    <rPh sb="5" eb="8">
      <t>マツドシ</t>
    </rPh>
    <rPh sb="10" eb="12">
      <t>カイシャ</t>
    </rPh>
    <rPh sb="12" eb="14">
      <t>シャチョウ</t>
    </rPh>
    <rPh sb="15" eb="17">
      <t>キョウシン</t>
    </rPh>
    <rPh sb="17" eb="19">
      <t>ジュウタク</t>
    </rPh>
    <phoneticPr fontId="3"/>
  </si>
  <si>
    <t>大学教員(弘前学院大学院教授),議員秘書(小沢一郎)</t>
    <rPh sb="0" eb="2">
      <t>ダイガク</t>
    </rPh>
    <rPh sb="2" eb="4">
      <t>キョウイン</t>
    </rPh>
    <rPh sb="5" eb="7">
      <t>ヒロサキ</t>
    </rPh>
    <rPh sb="7" eb="9">
      <t>ガクイン</t>
    </rPh>
    <rPh sb="9" eb="12">
      <t>ダイガクイン</t>
    </rPh>
    <rPh sb="12" eb="14">
      <t>キョウジュ</t>
    </rPh>
    <rPh sb="16" eb="18">
      <t>ギイン</t>
    </rPh>
    <rPh sb="18" eb="20">
      <t>ヒショ</t>
    </rPh>
    <rPh sb="21" eb="23">
      <t>オザワ</t>
    </rPh>
    <rPh sb="23" eb="25">
      <t>イチロウ</t>
    </rPh>
    <phoneticPr fontId="3"/>
  </si>
  <si>
    <t>大学教員(東北福祉大学助教授)</t>
    <rPh sb="0" eb="2">
      <t>ダイガク</t>
    </rPh>
    <rPh sb="2" eb="4">
      <t>キョウイン</t>
    </rPh>
    <rPh sb="5" eb="7">
      <t>トウホク</t>
    </rPh>
    <rPh sb="7" eb="9">
      <t>フクシ</t>
    </rPh>
    <rPh sb="9" eb="11">
      <t>ダイガク</t>
    </rPh>
    <rPh sb="11" eb="14">
      <t>ジョキョウジュ</t>
    </rPh>
    <phoneticPr fontId="3"/>
  </si>
  <si>
    <t>大学生(慶應大学)</t>
    <rPh sb="0" eb="3">
      <t>ダイガクセイ</t>
    </rPh>
    <rPh sb="4" eb="6">
      <t>ケイオウ</t>
    </rPh>
    <rPh sb="6" eb="8">
      <t>ダイガク</t>
    </rPh>
    <phoneticPr fontId="3"/>
  </si>
  <si>
    <t>大蔵省主計官</t>
    <rPh sb="0" eb="6">
      <t>オオクラショウシュケイカン</t>
    </rPh>
    <phoneticPr fontId="3"/>
  </si>
  <si>
    <t>大蔵省証券局調査室長</t>
    <rPh sb="0" eb="3">
      <t>オオクラショウ</t>
    </rPh>
    <rPh sb="3" eb="6">
      <t>ショウケンキョク</t>
    </rPh>
    <rPh sb="6" eb="8">
      <t>チョウサ</t>
    </rPh>
    <rPh sb="8" eb="10">
      <t>シツチョウ</t>
    </rPh>
    <phoneticPr fontId="3"/>
  </si>
  <si>
    <t>通商産業省国際石油企画官</t>
    <rPh sb="0" eb="5">
      <t>ツウショウサンギョウショウ</t>
    </rPh>
    <rPh sb="5" eb="7">
      <t>コクサイ</t>
    </rPh>
    <rPh sb="7" eb="9">
      <t>セキユ</t>
    </rPh>
    <rPh sb="9" eb="12">
      <t>キカクカン</t>
    </rPh>
    <phoneticPr fontId="3"/>
  </si>
  <si>
    <t>都市再生機構営業推進室チームリーダー(国土交通省)</t>
    <rPh sb="0" eb="2">
      <t>トシ</t>
    </rPh>
    <rPh sb="2" eb="4">
      <t>サイセイ</t>
    </rPh>
    <rPh sb="4" eb="6">
      <t>キコウ</t>
    </rPh>
    <rPh sb="6" eb="8">
      <t>エイギョウ</t>
    </rPh>
    <rPh sb="8" eb="11">
      <t>スイシンシツ</t>
    </rPh>
    <rPh sb="19" eb="21">
      <t>コクド</t>
    </rPh>
    <rPh sb="21" eb="24">
      <t>コウツウショウ</t>
    </rPh>
    <phoneticPr fontId="3"/>
  </si>
  <si>
    <t>栃木県議(下都賀郡),会社員(間組)</t>
    <rPh sb="0" eb="2">
      <t>トチギ</t>
    </rPh>
    <rPh sb="2" eb="4">
      <t>ケンギ</t>
    </rPh>
    <rPh sb="5" eb="9">
      <t>シモツガグン</t>
    </rPh>
    <rPh sb="11" eb="14">
      <t>カイシャイン</t>
    </rPh>
    <rPh sb="15" eb="17">
      <t>ハザマグミ</t>
    </rPh>
    <phoneticPr fontId="3"/>
  </si>
  <si>
    <t>栃木県知事,栃木県・今市市長,今市市職員</t>
    <rPh sb="0" eb="3">
      <t>トチギケン</t>
    </rPh>
    <rPh sb="3" eb="5">
      <t>チジ</t>
    </rPh>
    <rPh sb="6" eb="9">
      <t>トチギケン</t>
    </rPh>
    <rPh sb="10" eb="12">
      <t>イマイチ</t>
    </rPh>
    <rPh sb="12" eb="14">
      <t>シチョウ</t>
    </rPh>
    <rPh sb="15" eb="17">
      <t>イマイチ</t>
    </rPh>
    <rPh sb="17" eb="20">
      <t>シショクイン</t>
    </rPh>
    <phoneticPr fontId="3"/>
  </si>
  <si>
    <t>内閣官房構造改革特区参事官補佐(経済産業省)</t>
    <rPh sb="0" eb="2">
      <t>ナイカク</t>
    </rPh>
    <rPh sb="2" eb="4">
      <t>カンボウ</t>
    </rPh>
    <rPh sb="4" eb="6">
      <t>コウゾウ</t>
    </rPh>
    <rPh sb="6" eb="8">
      <t>カイカク</t>
    </rPh>
    <rPh sb="8" eb="10">
      <t>トック</t>
    </rPh>
    <rPh sb="10" eb="13">
      <t>サンジカン</t>
    </rPh>
    <rPh sb="13" eb="15">
      <t>ホサ</t>
    </rPh>
    <rPh sb="16" eb="18">
      <t>ケイザイ</t>
    </rPh>
    <rPh sb="18" eb="21">
      <t>サンギョウショウ</t>
    </rPh>
    <phoneticPr fontId="3"/>
  </si>
  <si>
    <t>内閣府参事官補佐(経済産業省)</t>
    <rPh sb="0" eb="3">
      <t>ナイカクフ</t>
    </rPh>
    <rPh sb="3" eb="6">
      <t>サンジカン</t>
    </rPh>
    <rPh sb="6" eb="8">
      <t>ホサ</t>
    </rPh>
    <rPh sb="9" eb="11">
      <t>ケイザイ</t>
    </rPh>
    <rPh sb="11" eb="14">
      <t>サンギョウショウ</t>
    </rPh>
    <phoneticPr fontId="3"/>
  </si>
  <si>
    <t>日本銀行員</t>
    <rPh sb="0" eb="2">
      <t>ニホン</t>
    </rPh>
    <rPh sb="2" eb="5">
      <t>ギンコウイン</t>
    </rPh>
    <phoneticPr fontId="3"/>
  </si>
  <si>
    <t>福島県・いわき市議,茶舗店経営</t>
    <rPh sb="0" eb="3">
      <t>フクシマケン</t>
    </rPh>
    <rPh sb="7" eb="9">
      <t>シギ</t>
    </rPh>
    <rPh sb="10" eb="13">
      <t>チャホテン</t>
    </rPh>
    <rPh sb="13" eb="15">
      <t>ケイエイ</t>
    </rPh>
    <phoneticPr fontId="3"/>
  </si>
  <si>
    <t>福島県・福島市議,会社員(明電舎)</t>
    <rPh sb="0" eb="3">
      <t>フクシマケン</t>
    </rPh>
    <rPh sb="4" eb="6">
      <t>フクシマ</t>
    </rPh>
    <rPh sb="6" eb="8">
      <t>シギ</t>
    </rPh>
    <rPh sb="9" eb="12">
      <t>カイシャイン</t>
    </rPh>
    <rPh sb="13" eb="16">
      <t>メイデンシャ</t>
    </rPh>
    <phoneticPr fontId="3"/>
  </si>
  <si>
    <t>福島県議(会津若松市),議員秘書(斎藤文昭)</t>
    <rPh sb="0" eb="2">
      <t>フクシマ</t>
    </rPh>
    <rPh sb="2" eb="4">
      <t>ケンギ</t>
    </rPh>
    <rPh sb="5" eb="10">
      <t>アイヅワカマツシ</t>
    </rPh>
    <rPh sb="12" eb="14">
      <t>ギイン</t>
    </rPh>
    <rPh sb="14" eb="16">
      <t>ヒショ</t>
    </rPh>
    <rPh sb="17" eb="19">
      <t>サイトウ</t>
    </rPh>
    <rPh sb="19" eb="21">
      <t>フミアキ</t>
    </rPh>
    <phoneticPr fontId="3"/>
  </si>
  <si>
    <t>福島県議(田村郡)</t>
    <rPh sb="0" eb="2">
      <t>フクシマ</t>
    </rPh>
    <rPh sb="2" eb="4">
      <t>ケンギ</t>
    </rPh>
    <rPh sb="5" eb="8">
      <t>タムラグン</t>
    </rPh>
    <phoneticPr fontId="3"/>
  </si>
  <si>
    <t>北海道・ニセコ町長,ニセコ町役場職員</t>
    <rPh sb="0" eb="3">
      <t>ホッカイドウ</t>
    </rPh>
    <rPh sb="7" eb="9">
      <t>チョウチョウ</t>
    </rPh>
    <rPh sb="13" eb="14">
      <t>チョウ</t>
    </rPh>
    <rPh sb="14" eb="16">
      <t>ヤクバ</t>
    </rPh>
    <rPh sb="16" eb="18">
      <t>ショクイン</t>
    </rPh>
    <phoneticPr fontId="3"/>
  </si>
  <si>
    <t>北海道・釧路市長,北海道議(釧路市)</t>
    <rPh sb="0" eb="3">
      <t>ホッカイドウ</t>
    </rPh>
    <rPh sb="4" eb="6">
      <t>クシロ</t>
    </rPh>
    <rPh sb="6" eb="8">
      <t>シチョウ</t>
    </rPh>
    <rPh sb="9" eb="11">
      <t>ホッカイ</t>
    </rPh>
    <rPh sb="11" eb="13">
      <t>ドウギ</t>
    </rPh>
    <rPh sb="14" eb="17">
      <t>クシロシ</t>
    </rPh>
    <phoneticPr fontId="3"/>
  </si>
  <si>
    <t>北海道・根室市議,英語塾経営</t>
    <rPh sb="0" eb="3">
      <t>ホッカイドウ</t>
    </rPh>
    <rPh sb="4" eb="6">
      <t>ネムロ</t>
    </rPh>
    <rPh sb="6" eb="8">
      <t>シギ</t>
    </rPh>
    <rPh sb="9" eb="12">
      <t>エイゴジュク</t>
    </rPh>
    <rPh sb="12" eb="14">
      <t>ケイエイ</t>
    </rPh>
    <phoneticPr fontId="3"/>
  </si>
  <si>
    <t>北海道議(旭川市),北海道・旭川市議</t>
    <rPh sb="0" eb="2">
      <t>ホッカイ</t>
    </rPh>
    <rPh sb="2" eb="4">
      <t>ドウギ</t>
    </rPh>
    <rPh sb="5" eb="8">
      <t>アサヒカワシ</t>
    </rPh>
    <rPh sb="10" eb="13">
      <t>ホッカイドウ</t>
    </rPh>
    <rPh sb="14" eb="16">
      <t>アサヒカワ</t>
    </rPh>
    <rPh sb="16" eb="18">
      <t>シギ</t>
    </rPh>
    <phoneticPr fontId="3"/>
  </si>
  <si>
    <t>北海道議(空知支庁),病院事務長</t>
    <rPh sb="0" eb="2">
      <t>ホッカイ</t>
    </rPh>
    <rPh sb="2" eb="4">
      <t>ドウギ</t>
    </rPh>
    <rPh sb="5" eb="7">
      <t>ソラチ</t>
    </rPh>
    <rPh sb="7" eb="9">
      <t>シチョウ</t>
    </rPh>
    <rPh sb="11" eb="13">
      <t>ビョウイン</t>
    </rPh>
    <rPh sb="13" eb="16">
      <t>ジムチョウ</t>
    </rPh>
    <phoneticPr fontId="3"/>
  </si>
  <si>
    <t>北海道議(上川支庁),北海道農民連盟役員</t>
    <rPh sb="0" eb="2">
      <t>ホッカイ</t>
    </rPh>
    <rPh sb="2" eb="4">
      <t>ドウギ</t>
    </rPh>
    <rPh sb="5" eb="7">
      <t>カミカワ</t>
    </rPh>
    <rPh sb="7" eb="9">
      <t>シチョウ</t>
    </rPh>
    <rPh sb="11" eb="14">
      <t>ホッカイドウ</t>
    </rPh>
    <rPh sb="14" eb="16">
      <t>ノウミン</t>
    </rPh>
    <rPh sb="16" eb="18">
      <t>レンメイ</t>
    </rPh>
    <rPh sb="18" eb="20">
      <t>ヤクイン</t>
    </rPh>
    <phoneticPr fontId="3"/>
  </si>
  <si>
    <t>北海道知事室長,農林水産省調査官</t>
    <rPh sb="0" eb="3">
      <t>ホッカイドウ</t>
    </rPh>
    <rPh sb="3" eb="5">
      <t>チジ</t>
    </rPh>
    <rPh sb="5" eb="7">
      <t>シツチョウ</t>
    </rPh>
    <rPh sb="8" eb="10">
      <t>ノウリン</t>
    </rPh>
    <rPh sb="10" eb="13">
      <t>スイサンショウ</t>
    </rPh>
    <rPh sb="13" eb="16">
      <t>チョウサカン</t>
    </rPh>
    <phoneticPr fontId="3"/>
  </si>
  <si>
    <t>牧場経営</t>
    <rPh sb="0" eb="2">
      <t>ボクジョウ</t>
    </rPh>
    <rPh sb="2" eb="4">
      <t>ケイエイ</t>
    </rPh>
    <phoneticPr fontId="3"/>
  </si>
  <si>
    <t>幼稚園理事長,会社員(ソニー生命)</t>
    <rPh sb="0" eb="3">
      <t>ヨウチエン</t>
    </rPh>
    <rPh sb="3" eb="6">
      <t>リジチョウ</t>
    </rPh>
    <rPh sb="7" eb="10">
      <t>カイシャイン</t>
    </rPh>
    <rPh sb="14" eb="16">
      <t>セイメイ</t>
    </rPh>
    <phoneticPr fontId="3"/>
  </si>
  <si>
    <t>研究員(理化学研究所),農業</t>
    <rPh sb="0" eb="3">
      <t>ケンキュウイン</t>
    </rPh>
    <rPh sb="4" eb="7">
      <t>リカガク</t>
    </rPh>
    <rPh sb="7" eb="10">
      <t>ケンキュウジョ</t>
    </rPh>
    <rPh sb="12" eb="14">
      <t>ノウギョウ</t>
    </rPh>
    <phoneticPr fontId="3"/>
  </si>
  <si>
    <t>衆議院議長，元衆議院副議長,委長(内閣),北海道知事,民主党副代表</t>
    <rPh sb="0" eb="3">
      <t>シュウギイン</t>
    </rPh>
    <rPh sb="3" eb="5">
      <t>ギチョウ</t>
    </rPh>
    <rPh sb="6" eb="7">
      <t>モト</t>
    </rPh>
    <rPh sb="7" eb="10">
      <t>シュウギイン</t>
    </rPh>
    <rPh sb="10" eb="13">
      <t>フクギチョウ</t>
    </rPh>
    <rPh sb="14" eb="16">
      <t>イチョウ</t>
    </rPh>
    <rPh sb="17" eb="19">
      <t>ナイカク</t>
    </rPh>
    <rPh sb="21" eb="24">
      <t>ホッカイドウ</t>
    </rPh>
    <rPh sb="24" eb="26">
      <t>チジ</t>
    </rPh>
    <rPh sb="27" eb="30">
      <t>ミンシュトウ</t>
    </rPh>
    <rPh sb="30" eb="33">
      <t>フクダイヒョウ</t>
    </rPh>
    <phoneticPr fontId="3"/>
  </si>
  <si>
    <t>　元委長(安保),副大臣(防衛)</t>
    <rPh sb="1" eb="2">
      <t>モト</t>
    </rPh>
    <rPh sb="2" eb="4">
      <t>イチョウ</t>
    </rPh>
    <rPh sb="5" eb="7">
      <t>アンポ</t>
    </rPh>
    <rPh sb="9" eb="12">
      <t>フクダイジン</t>
    </rPh>
    <rPh sb="13" eb="15">
      <t>ボウエイ</t>
    </rPh>
    <phoneticPr fontId="3"/>
  </si>
  <si>
    <t>　元委長(安保),副大臣(防衛),政務官(農水,防衛)</t>
    <rPh sb="1" eb="2">
      <t>モト</t>
    </rPh>
    <rPh sb="2" eb="4">
      <t>イチョウ</t>
    </rPh>
    <rPh sb="5" eb="7">
      <t>アンポ</t>
    </rPh>
    <rPh sb="9" eb="12">
      <t>フクダイジン</t>
    </rPh>
    <rPh sb="13" eb="15">
      <t>ボウエイ</t>
    </rPh>
    <rPh sb="17" eb="20">
      <t>セイムカン</t>
    </rPh>
    <rPh sb="21" eb="23">
      <t>ノウスイ</t>
    </rPh>
    <rPh sb="24" eb="26">
      <t>ボウエイ</t>
    </rPh>
    <phoneticPr fontId="3"/>
  </si>
  <si>
    <t>　元委長(参厚労),副大臣(外務),政務次官(農水),参2</t>
    <rPh sb="1" eb="2">
      <t>モト</t>
    </rPh>
    <rPh sb="2" eb="4">
      <t>イチョウ</t>
    </rPh>
    <rPh sb="5" eb="6">
      <t>サン</t>
    </rPh>
    <rPh sb="6" eb="8">
      <t>コウロウ</t>
    </rPh>
    <rPh sb="10" eb="13">
      <t>フクダイジン</t>
    </rPh>
    <rPh sb="14" eb="16">
      <t>ガイム</t>
    </rPh>
    <rPh sb="18" eb="20">
      <t>セイム</t>
    </rPh>
    <rPh sb="20" eb="22">
      <t>ジカン</t>
    </rPh>
    <rPh sb="23" eb="25">
      <t>ノウスイ</t>
    </rPh>
    <rPh sb="27" eb="28">
      <t>サン</t>
    </rPh>
    <phoneticPr fontId="3"/>
  </si>
  <si>
    <t>　元委長(農水),副大臣(文科),政務次官(建設),自民党幹事長代理</t>
    <rPh sb="1" eb="2">
      <t>モト</t>
    </rPh>
    <rPh sb="2" eb="4">
      <t>イチョウ</t>
    </rPh>
    <rPh sb="5" eb="7">
      <t>ノウスイ</t>
    </rPh>
    <rPh sb="9" eb="12">
      <t>フクダイジン</t>
    </rPh>
    <rPh sb="13" eb="15">
      <t>モンカ</t>
    </rPh>
    <rPh sb="17" eb="19">
      <t>セイム</t>
    </rPh>
    <rPh sb="19" eb="21">
      <t>ジカン</t>
    </rPh>
    <rPh sb="22" eb="24">
      <t>ケンセツ</t>
    </rPh>
    <rPh sb="26" eb="29">
      <t>ジミントウ</t>
    </rPh>
    <rPh sb="29" eb="32">
      <t>カンジチョウ</t>
    </rPh>
    <rPh sb="32" eb="34">
      <t>ダイリ</t>
    </rPh>
    <phoneticPr fontId="3"/>
  </si>
  <si>
    <t>　元政務官(外務)</t>
    <rPh sb="1" eb="2">
      <t>モト</t>
    </rPh>
    <rPh sb="2" eb="5">
      <t>セイムカン</t>
    </rPh>
    <rPh sb="6" eb="8">
      <t>ガイム</t>
    </rPh>
    <phoneticPr fontId="3"/>
  </si>
  <si>
    <t>　元政務官(国交)</t>
    <rPh sb="1" eb="2">
      <t>モト</t>
    </rPh>
    <rPh sb="2" eb="5">
      <t>セイムカン</t>
    </rPh>
    <rPh sb="6" eb="8">
      <t>コッコウ</t>
    </rPh>
    <phoneticPr fontId="3"/>
  </si>
  <si>
    <t>　元政務官(総務)</t>
    <rPh sb="1" eb="2">
      <t>モト</t>
    </rPh>
    <rPh sb="2" eb="5">
      <t>セイムカン</t>
    </rPh>
    <rPh sb="6" eb="8">
      <t>ソウム</t>
    </rPh>
    <phoneticPr fontId="3"/>
  </si>
  <si>
    <t>　元政務官(総務),首相補佐官</t>
    <rPh sb="1" eb="2">
      <t>モト</t>
    </rPh>
    <rPh sb="2" eb="5">
      <t>セイムカン</t>
    </rPh>
    <rPh sb="6" eb="8">
      <t>ソウム</t>
    </rPh>
    <rPh sb="10" eb="12">
      <t>シュショウ</t>
    </rPh>
    <rPh sb="12" eb="15">
      <t>ホサカン</t>
    </rPh>
    <phoneticPr fontId="3"/>
  </si>
  <si>
    <t>　元政務官(農水)</t>
    <rPh sb="1" eb="2">
      <t>モト</t>
    </rPh>
    <rPh sb="2" eb="5">
      <t>セイムカン</t>
    </rPh>
    <rPh sb="6" eb="8">
      <t>ノウスイ</t>
    </rPh>
    <phoneticPr fontId="3"/>
  </si>
  <si>
    <t>　元大臣(官房,外務,文科,文部),委長(厚生),政務次官(外務,文部)</t>
    <rPh sb="1" eb="4">
      <t>モトダイジン</t>
    </rPh>
    <rPh sb="5" eb="7">
      <t>カンボウ</t>
    </rPh>
    <rPh sb="8" eb="10">
      <t>ガイム</t>
    </rPh>
    <rPh sb="11" eb="13">
      <t>モンカ</t>
    </rPh>
    <rPh sb="14" eb="16">
      <t>モンブ</t>
    </rPh>
    <rPh sb="18" eb="20">
      <t>イチョウ</t>
    </rPh>
    <rPh sb="21" eb="23">
      <t>コウセイ</t>
    </rPh>
    <rPh sb="25" eb="27">
      <t>セイム</t>
    </rPh>
    <rPh sb="27" eb="29">
      <t>ジカン</t>
    </rPh>
    <rPh sb="30" eb="32">
      <t>ガイム</t>
    </rPh>
    <rPh sb="33" eb="35">
      <t>モンブ</t>
    </rPh>
    <phoneticPr fontId="3"/>
  </si>
  <si>
    <t>　元大臣(官房,防衛),副大臣(官房),自民党幹事長,政調会長</t>
    <rPh sb="1" eb="4">
      <t>モトダイジン</t>
    </rPh>
    <rPh sb="5" eb="7">
      <t>カンボウ</t>
    </rPh>
    <rPh sb="8" eb="10">
      <t>ボウエイ</t>
    </rPh>
    <rPh sb="12" eb="15">
      <t>フクダイジン</t>
    </rPh>
    <rPh sb="16" eb="18">
      <t>カンボウ</t>
    </rPh>
    <rPh sb="20" eb="23">
      <t>ジミントウ</t>
    </rPh>
    <rPh sb="23" eb="26">
      <t>カンジチョウ</t>
    </rPh>
    <rPh sb="27" eb="29">
      <t>セイチョウ</t>
    </rPh>
    <rPh sb="29" eb="31">
      <t>カイチョウ</t>
    </rPh>
    <phoneticPr fontId="3"/>
  </si>
  <si>
    <t>　元大臣(金融,科技・沖北・IT),委長(厚労),副大臣(外務),政務次官(通産),自民党政調会長,幹事長代理</t>
    <rPh sb="1" eb="4">
      <t>モトダイジン</t>
    </rPh>
    <rPh sb="5" eb="7">
      <t>キンユウ</t>
    </rPh>
    <rPh sb="8" eb="10">
      <t>カギ</t>
    </rPh>
    <rPh sb="11" eb="12">
      <t>オキ</t>
    </rPh>
    <rPh sb="12" eb="13">
      <t>ホク</t>
    </rPh>
    <rPh sb="18" eb="20">
      <t>イチョウ</t>
    </rPh>
    <rPh sb="21" eb="23">
      <t>コウロウ</t>
    </rPh>
    <rPh sb="25" eb="28">
      <t>フクダイジン</t>
    </rPh>
    <rPh sb="29" eb="31">
      <t>ガイム</t>
    </rPh>
    <rPh sb="33" eb="35">
      <t>セイム</t>
    </rPh>
    <rPh sb="35" eb="37">
      <t>ジカン</t>
    </rPh>
    <rPh sb="38" eb="40">
      <t>ツウサン</t>
    </rPh>
    <rPh sb="42" eb="45">
      <t>ジミントウ</t>
    </rPh>
    <rPh sb="45" eb="47">
      <t>セイチョウ</t>
    </rPh>
    <rPh sb="47" eb="49">
      <t>カイチョウ</t>
    </rPh>
    <rPh sb="50" eb="53">
      <t>カンジチョウ</t>
    </rPh>
    <rPh sb="53" eb="55">
      <t>ダイリ</t>
    </rPh>
    <phoneticPr fontId="4"/>
  </si>
  <si>
    <t>　元大臣(行革),委長(議運,総務),副大臣(総務),政務次官(郵政,文部,大蔵)</t>
    <rPh sb="1" eb="4">
      <t>モトダイジン</t>
    </rPh>
    <rPh sb="5" eb="7">
      <t>ギョウカク</t>
    </rPh>
    <rPh sb="9" eb="11">
      <t>イチョウ</t>
    </rPh>
    <rPh sb="12" eb="13">
      <t>ギ</t>
    </rPh>
    <rPh sb="13" eb="14">
      <t>ウン</t>
    </rPh>
    <rPh sb="15" eb="17">
      <t>ソウム</t>
    </rPh>
    <rPh sb="19" eb="22">
      <t>フクダイジン</t>
    </rPh>
    <rPh sb="23" eb="25">
      <t>ソウム</t>
    </rPh>
    <rPh sb="27" eb="29">
      <t>セイム</t>
    </rPh>
    <rPh sb="29" eb="31">
      <t>ジカン</t>
    </rPh>
    <rPh sb="32" eb="34">
      <t>ユウセイ</t>
    </rPh>
    <rPh sb="35" eb="37">
      <t>モンブ</t>
    </rPh>
    <rPh sb="38" eb="40">
      <t>オオクラ</t>
    </rPh>
    <phoneticPr fontId="4"/>
  </si>
  <si>
    <t>　元大臣(財務,経財,防衛),副大臣(官房),政務次官(通産),自民党政調会長</t>
    <rPh sb="1" eb="4">
      <t>モトダイジン</t>
    </rPh>
    <rPh sb="5" eb="7">
      <t>ザイム</t>
    </rPh>
    <rPh sb="8" eb="9">
      <t>キョウ</t>
    </rPh>
    <rPh sb="9" eb="10">
      <t>ザイ</t>
    </rPh>
    <rPh sb="11" eb="13">
      <t>ボウエイ</t>
    </rPh>
    <rPh sb="15" eb="18">
      <t>フクダイジン</t>
    </rPh>
    <rPh sb="19" eb="21">
      <t>カンボウ</t>
    </rPh>
    <rPh sb="23" eb="25">
      <t>セイム</t>
    </rPh>
    <rPh sb="25" eb="27">
      <t>ジカン</t>
    </rPh>
    <rPh sb="28" eb="30">
      <t>ツウサン</t>
    </rPh>
    <rPh sb="32" eb="35">
      <t>ジミントウ</t>
    </rPh>
    <rPh sb="35" eb="37">
      <t>セイチョウ</t>
    </rPh>
    <rPh sb="37" eb="39">
      <t>カイチョウ</t>
    </rPh>
    <phoneticPr fontId="3"/>
  </si>
  <si>
    <t>　元大臣(少子化),政務官(文科)</t>
    <rPh sb="1" eb="4">
      <t>モトダイジン</t>
    </rPh>
    <rPh sb="5" eb="8">
      <t>ショウシカ</t>
    </rPh>
    <rPh sb="10" eb="13">
      <t>セイムカン</t>
    </rPh>
    <rPh sb="14" eb="16">
      <t>モンカ</t>
    </rPh>
    <phoneticPr fontId="4"/>
  </si>
  <si>
    <t>　元大臣(総務,公安・沖北),委長(総務),副大臣(総務),政務官(厚労)</t>
    <rPh sb="1" eb="4">
      <t>モトダイジン</t>
    </rPh>
    <rPh sb="5" eb="7">
      <t>ソウム</t>
    </rPh>
    <rPh sb="8" eb="10">
      <t>コウアン</t>
    </rPh>
    <rPh sb="11" eb="12">
      <t>オキ</t>
    </rPh>
    <rPh sb="12" eb="13">
      <t>ホク</t>
    </rPh>
    <rPh sb="15" eb="17">
      <t>イチョウ</t>
    </rPh>
    <rPh sb="18" eb="20">
      <t>ソウム</t>
    </rPh>
    <rPh sb="22" eb="25">
      <t>フクダイジン</t>
    </rPh>
    <rPh sb="26" eb="28">
      <t>ソウム</t>
    </rPh>
    <rPh sb="30" eb="33">
      <t>セイムカン</t>
    </rPh>
    <rPh sb="34" eb="36">
      <t>コウロウ</t>
    </rPh>
    <phoneticPr fontId="3"/>
  </si>
  <si>
    <t>　元大臣(農水,文部,科技,環境),委長(議運),副大臣(官房),自民党副総裁,幹事長,国対委長</t>
    <rPh sb="1" eb="4">
      <t>モトダイジン</t>
    </rPh>
    <rPh sb="5" eb="7">
      <t>ノウスイ</t>
    </rPh>
    <rPh sb="8" eb="10">
      <t>モンブ</t>
    </rPh>
    <rPh sb="11" eb="13">
      <t>カギ</t>
    </rPh>
    <rPh sb="14" eb="16">
      <t>カンキョウ</t>
    </rPh>
    <rPh sb="18" eb="20">
      <t>イチョウ</t>
    </rPh>
    <rPh sb="21" eb="22">
      <t>ギ</t>
    </rPh>
    <rPh sb="22" eb="23">
      <t>ウン</t>
    </rPh>
    <rPh sb="25" eb="28">
      <t>フクダイジン</t>
    </rPh>
    <rPh sb="29" eb="31">
      <t>カンボウ</t>
    </rPh>
    <rPh sb="33" eb="36">
      <t>ジミントウ</t>
    </rPh>
    <rPh sb="36" eb="39">
      <t>フクソウサイ</t>
    </rPh>
    <rPh sb="40" eb="43">
      <t>カンジチョウ</t>
    </rPh>
    <rPh sb="44" eb="48">
      <t>コクタイイチョウ</t>
    </rPh>
    <phoneticPr fontId="4"/>
  </si>
  <si>
    <t>　元副大臣(防衛),政務官(内閣)</t>
    <rPh sb="1" eb="2">
      <t>モト</t>
    </rPh>
    <rPh sb="2" eb="5">
      <t>フクダイジン</t>
    </rPh>
    <rPh sb="6" eb="8">
      <t>ボウエイ</t>
    </rPh>
    <rPh sb="10" eb="13">
      <t>セイムカン</t>
    </rPh>
    <rPh sb="14" eb="16">
      <t>ナイカク</t>
    </rPh>
    <phoneticPr fontId="3"/>
  </si>
  <si>
    <t>経済産業副大臣，元政務官(経産)</t>
    <rPh sb="0" eb="2">
      <t>ケイザイ</t>
    </rPh>
    <rPh sb="2" eb="4">
      <t>サンギョウ</t>
    </rPh>
    <rPh sb="4" eb="7">
      <t>フクダイジン</t>
    </rPh>
    <rPh sb="8" eb="9">
      <t>モト</t>
    </rPh>
    <rPh sb="9" eb="12">
      <t>セイムカン</t>
    </rPh>
    <rPh sb="13" eb="15">
      <t>ケイサン</t>
    </rPh>
    <phoneticPr fontId="3"/>
  </si>
  <si>
    <t>厚生労働大臣，元副大臣(国交),民主党政調会長代理,国対委長代理,幹事長代理</t>
    <rPh sb="0" eb="2">
      <t>コウセイ</t>
    </rPh>
    <rPh sb="2" eb="4">
      <t>ロウドウ</t>
    </rPh>
    <rPh sb="4" eb="6">
      <t>ダイジン</t>
    </rPh>
    <rPh sb="7" eb="8">
      <t>モト</t>
    </rPh>
    <rPh sb="8" eb="11">
      <t>フクダイジン</t>
    </rPh>
    <rPh sb="12" eb="14">
      <t>コッコウ</t>
    </rPh>
    <rPh sb="16" eb="19">
      <t>ミンシュトウ</t>
    </rPh>
    <rPh sb="19" eb="21">
      <t>セイチョウ</t>
    </rPh>
    <rPh sb="21" eb="23">
      <t>カイチョウ</t>
    </rPh>
    <rPh sb="23" eb="25">
      <t>ダイリ</t>
    </rPh>
    <rPh sb="26" eb="30">
      <t>コクタイイチョウ</t>
    </rPh>
    <rPh sb="30" eb="32">
      <t>ダイリ</t>
    </rPh>
    <rPh sb="33" eb="36">
      <t>カンジチョウ</t>
    </rPh>
    <rPh sb="36" eb="38">
      <t>ダイリ</t>
    </rPh>
    <phoneticPr fontId="4"/>
  </si>
  <si>
    <t>国家公安委員長・消費者担当相，元委長(議運,外務,農水,逓信),政務次官(農水),民主党代議士会長</t>
    <rPh sb="0" eb="2">
      <t>コッカ</t>
    </rPh>
    <rPh sb="2" eb="4">
      <t>コウアン</t>
    </rPh>
    <rPh sb="4" eb="7">
      <t>イインチョウ</t>
    </rPh>
    <rPh sb="8" eb="11">
      <t>ショウヒシャ</t>
    </rPh>
    <rPh sb="11" eb="14">
      <t>タントウショウ</t>
    </rPh>
    <rPh sb="15" eb="16">
      <t>モト</t>
    </rPh>
    <rPh sb="16" eb="18">
      <t>イチョウ</t>
    </rPh>
    <rPh sb="19" eb="20">
      <t>ギ</t>
    </rPh>
    <rPh sb="20" eb="21">
      <t>ウン</t>
    </rPh>
    <rPh sb="22" eb="24">
      <t>ガイム</t>
    </rPh>
    <rPh sb="25" eb="27">
      <t>ノウスイ</t>
    </rPh>
    <rPh sb="28" eb="30">
      <t>テイシン</t>
    </rPh>
    <rPh sb="32" eb="34">
      <t>セイム</t>
    </rPh>
    <rPh sb="34" eb="36">
      <t>ジカン</t>
    </rPh>
    <rPh sb="37" eb="39">
      <t>ノウスイ</t>
    </rPh>
    <rPh sb="41" eb="44">
      <t>ミンシュトウ</t>
    </rPh>
    <rPh sb="44" eb="47">
      <t>ダイギシ</t>
    </rPh>
    <rPh sb="47" eb="49">
      <t>カイチョウ</t>
    </rPh>
    <phoneticPr fontId="3"/>
  </si>
  <si>
    <t>財務副大臣，元委長(総務),副大臣(外務)</t>
    <rPh sb="0" eb="2">
      <t>ザイム</t>
    </rPh>
    <rPh sb="2" eb="5">
      <t>フクダイジン</t>
    </rPh>
    <rPh sb="6" eb="7">
      <t>モト</t>
    </rPh>
    <rPh sb="7" eb="9">
      <t>イチョウ</t>
    </rPh>
    <rPh sb="10" eb="12">
      <t>ソウム</t>
    </rPh>
    <rPh sb="14" eb="17">
      <t>フクダイジン</t>
    </rPh>
    <rPh sb="18" eb="20">
      <t>ガイム</t>
    </rPh>
    <phoneticPr fontId="4"/>
  </si>
  <si>
    <t>農林水産副大臣，元政務官(農水)</t>
    <rPh sb="0" eb="2">
      <t>ノウリン</t>
    </rPh>
    <rPh sb="2" eb="4">
      <t>スイサン</t>
    </rPh>
    <rPh sb="4" eb="7">
      <t>フクダイジン</t>
    </rPh>
    <rPh sb="8" eb="9">
      <t>モト</t>
    </rPh>
    <rPh sb="9" eb="12">
      <t>セイムカン</t>
    </rPh>
    <rPh sb="13" eb="15">
      <t>ノウスイ</t>
    </rPh>
    <phoneticPr fontId="4"/>
  </si>
  <si>
    <t>復興・内閣府副大臣，元委長(参懲罰),参1</t>
    <rPh sb="0" eb="2">
      <t>フッコウ</t>
    </rPh>
    <rPh sb="3" eb="6">
      <t>ナイカクフ</t>
    </rPh>
    <rPh sb="6" eb="9">
      <t>フクダイジン</t>
    </rPh>
    <rPh sb="10" eb="11">
      <t>モト</t>
    </rPh>
    <rPh sb="11" eb="13">
      <t>イチョウ</t>
    </rPh>
    <rPh sb="14" eb="15">
      <t>サン</t>
    </rPh>
    <rPh sb="15" eb="17">
      <t>チョウバツ</t>
    </rPh>
    <rPh sb="19" eb="20">
      <t>サン</t>
    </rPh>
    <phoneticPr fontId="3"/>
  </si>
  <si>
    <t>復興副大臣，元委長(復興特),副大臣(総務)</t>
    <rPh sb="0" eb="2">
      <t>フッコウ</t>
    </rPh>
    <rPh sb="2" eb="5">
      <t>フクダイジン</t>
    </rPh>
    <rPh sb="6" eb="7">
      <t>モト</t>
    </rPh>
    <rPh sb="7" eb="9">
      <t>イチョウ</t>
    </rPh>
    <rPh sb="10" eb="12">
      <t>フッコウ</t>
    </rPh>
    <rPh sb="12" eb="13">
      <t>トク</t>
    </rPh>
    <rPh sb="15" eb="18">
      <t>フクダイジン</t>
    </rPh>
    <rPh sb="19" eb="21">
      <t>ソウム</t>
    </rPh>
    <phoneticPr fontId="3"/>
  </si>
  <si>
    <t>民主党幹事長代行，元大臣(財務),委長(安保,沖北特),副大臣(防衛),民主党国対委長,選対委長,国対委長代理</t>
    <rPh sb="0" eb="3">
      <t>ミンシュトウ</t>
    </rPh>
    <rPh sb="3" eb="6">
      <t>カンジチョウ</t>
    </rPh>
    <rPh sb="6" eb="8">
      <t>ダイコウ</t>
    </rPh>
    <rPh sb="9" eb="12">
      <t>モトダイジン</t>
    </rPh>
    <rPh sb="13" eb="15">
      <t>ザイム</t>
    </rPh>
    <rPh sb="17" eb="19">
      <t>イチョウ</t>
    </rPh>
    <rPh sb="20" eb="22">
      <t>アンポ</t>
    </rPh>
    <rPh sb="23" eb="24">
      <t>オキ</t>
    </rPh>
    <rPh sb="24" eb="26">
      <t>ホクトク</t>
    </rPh>
    <rPh sb="28" eb="31">
      <t>フクダイジン</t>
    </rPh>
    <rPh sb="32" eb="34">
      <t>ボウエイ</t>
    </rPh>
    <rPh sb="36" eb="39">
      <t>ミンシュトウ</t>
    </rPh>
    <rPh sb="39" eb="43">
      <t>コクタイイチョウ</t>
    </rPh>
    <rPh sb="44" eb="46">
      <t>センタイ</t>
    </rPh>
    <rPh sb="46" eb="48">
      <t>イチョウ</t>
    </rPh>
    <rPh sb="49" eb="53">
      <t>コクタイイチョウ</t>
    </rPh>
    <rPh sb="53" eb="55">
      <t>ダイリ</t>
    </rPh>
    <phoneticPr fontId="4"/>
  </si>
  <si>
    <t>民主党政調会長代行，元大臣(厚労),委長(決行,環境),副大臣(厚労)</t>
    <rPh sb="0" eb="3">
      <t>ミンシュトウ</t>
    </rPh>
    <rPh sb="3" eb="5">
      <t>セイチョウ</t>
    </rPh>
    <rPh sb="5" eb="7">
      <t>カイチョウ</t>
    </rPh>
    <rPh sb="7" eb="9">
      <t>ダイコウ</t>
    </rPh>
    <rPh sb="10" eb="13">
      <t>モトダイジン</t>
    </rPh>
    <rPh sb="14" eb="16">
      <t>コウロウ</t>
    </rPh>
    <rPh sb="18" eb="20">
      <t>イチョウ</t>
    </rPh>
    <rPh sb="21" eb="23">
      <t>ケッコウ</t>
    </rPh>
    <rPh sb="24" eb="26">
      <t>カンキョウ</t>
    </rPh>
    <rPh sb="28" eb="31">
      <t>フクダイジン</t>
    </rPh>
    <rPh sb="32" eb="34">
      <t>コウロウ</t>
    </rPh>
    <phoneticPr fontId="4"/>
  </si>
  <si>
    <t>民主党選対委員長，元大臣(経産),元委長(法務,厚労,農水),政務次官(大蔵),民主党副代表,国対委長</t>
    <rPh sb="0" eb="3">
      <t>ミンシュトウ</t>
    </rPh>
    <rPh sb="3" eb="5">
      <t>センタイ</t>
    </rPh>
    <rPh sb="5" eb="8">
      <t>イインチョウ</t>
    </rPh>
    <rPh sb="9" eb="12">
      <t>モトダイジン</t>
    </rPh>
    <rPh sb="13" eb="15">
      <t>ケイサン</t>
    </rPh>
    <rPh sb="17" eb="18">
      <t>モト</t>
    </rPh>
    <rPh sb="18" eb="20">
      <t>イチョウ</t>
    </rPh>
    <rPh sb="21" eb="23">
      <t>ホウム</t>
    </rPh>
    <rPh sb="24" eb="26">
      <t>コウロウ</t>
    </rPh>
    <rPh sb="27" eb="29">
      <t>ノウスイ</t>
    </rPh>
    <rPh sb="31" eb="33">
      <t>セイム</t>
    </rPh>
    <rPh sb="33" eb="35">
      <t>ジカン</t>
    </rPh>
    <rPh sb="36" eb="38">
      <t>オオクラ</t>
    </rPh>
    <rPh sb="40" eb="43">
      <t>ミンシュトウ</t>
    </rPh>
    <rPh sb="43" eb="46">
      <t>フクダイヒョウ</t>
    </rPh>
    <rPh sb="47" eb="51">
      <t>コクタイイチョウ</t>
    </rPh>
    <phoneticPr fontId="4"/>
  </si>
  <si>
    <t>民主党副代表，元大臣(農水,総務),委長(運輸),政務次官(運輸),民主党副代表,旧民政党幹事長</t>
    <rPh sb="0" eb="3">
      <t>ミンシュトウ</t>
    </rPh>
    <rPh sb="3" eb="6">
      <t>フクダイヒョウ</t>
    </rPh>
    <rPh sb="7" eb="10">
      <t>モトダイジン</t>
    </rPh>
    <rPh sb="11" eb="13">
      <t>ノウスイ</t>
    </rPh>
    <rPh sb="14" eb="16">
      <t>ソウム</t>
    </rPh>
    <rPh sb="18" eb="20">
      <t>イチョウ</t>
    </rPh>
    <rPh sb="21" eb="23">
      <t>ウンユ</t>
    </rPh>
    <rPh sb="25" eb="27">
      <t>セイム</t>
    </rPh>
    <rPh sb="27" eb="29">
      <t>ジカン</t>
    </rPh>
    <rPh sb="30" eb="32">
      <t>ウンユ</t>
    </rPh>
    <rPh sb="34" eb="37">
      <t>ミンシュトウ</t>
    </rPh>
    <rPh sb="37" eb="40">
      <t>フクダイヒョウ</t>
    </rPh>
    <rPh sb="41" eb="42">
      <t>キュウ</t>
    </rPh>
    <rPh sb="42" eb="45">
      <t>ミンセイトウ</t>
    </rPh>
    <rPh sb="45" eb="48">
      <t>カンジチョウ</t>
    </rPh>
    <phoneticPr fontId="4"/>
  </si>
  <si>
    <t>みんなの党代表，元大臣(行革・金融)</t>
    <rPh sb="4" eb="5">
      <t>トウ</t>
    </rPh>
    <rPh sb="5" eb="7">
      <t>ダイヒョウ</t>
    </rPh>
    <rPh sb="8" eb="11">
      <t>モトダイジン</t>
    </rPh>
    <rPh sb="12" eb="14">
      <t>ギョウカク</t>
    </rPh>
    <rPh sb="15" eb="17">
      <t>キンユウ</t>
    </rPh>
    <phoneticPr fontId="3"/>
  </si>
  <si>
    <t>外務大臣，元大臣(公務員・少子化),民主党政調会長,幹事長代理</t>
    <rPh sb="0" eb="2">
      <t>ガイム</t>
    </rPh>
    <rPh sb="2" eb="4">
      <t>ダイジン</t>
    </rPh>
    <rPh sb="5" eb="8">
      <t>モトダイジン</t>
    </rPh>
    <rPh sb="9" eb="12">
      <t>コウムイン</t>
    </rPh>
    <rPh sb="13" eb="16">
      <t>ショウシカ</t>
    </rPh>
    <rPh sb="18" eb="21">
      <t>ミンシュトウ</t>
    </rPh>
    <rPh sb="21" eb="23">
      <t>セイチョウ</t>
    </rPh>
    <rPh sb="23" eb="25">
      <t>カイチョウ</t>
    </rPh>
    <rPh sb="26" eb="29">
      <t>カンジチョウ</t>
    </rPh>
    <rPh sb="29" eb="31">
      <t>ダイリ</t>
    </rPh>
    <phoneticPr fontId="3"/>
  </si>
  <si>
    <t>経済産業大臣，元大臣(官房・沖北・行革,行刷),委長(決行),民主党幹事長,政調会長</t>
    <rPh sb="0" eb="2">
      <t>ケイザイ</t>
    </rPh>
    <rPh sb="2" eb="4">
      <t>サンギョウ</t>
    </rPh>
    <rPh sb="4" eb="6">
      <t>ダイジン</t>
    </rPh>
    <rPh sb="7" eb="10">
      <t>モトダイジン</t>
    </rPh>
    <rPh sb="11" eb="13">
      <t>カンボウ</t>
    </rPh>
    <rPh sb="14" eb="15">
      <t>オキ</t>
    </rPh>
    <rPh sb="15" eb="16">
      <t>ホク</t>
    </rPh>
    <rPh sb="17" eb="19">
      <t>ギョウカク</t>
    </rPh>
    <rPh sb="20" eb="21">
      <t>ギョウ</t>
    </rPh>
    <rPh sb="21" eb="22">
      <t>ズリ</t>
    </rPh>
    <rPh sb="24" eb="26">
      <t>イチョウ</t>
    </rPh>
    <rPh sb="27" eb="29">
      <t>ケッコウ</t>
    </rPh>
    <rPh sb="31" eb="34">
      <t>ミンシュトウ</t>
    </rPh>
    <rPh sb="34" eb="37">
      <t>カンジチョウ</t>
    </rPh>
    <rPh sb="38" eb="40">
      <t>セイチョウ</t>
    </rPh>
    <rPh sb="40" eb="42">
      <t>カイチョウ</t>
    </rPh>
    <phoneticPr fontId="4"/>
  </si>
  <si>
    <t>国土交通政務官</t>
    <rPh sb="0" eb="2">
      <t>コクド</t>
    </rPh>
    <rPh sb="2" eb="4">
      <t>コウツウ</t>
    </rPh>
    <rPh sb="4" eb="7">
      <t>セイムカン</t>
    </rPh>
    <phoneticPr fontId="3"/>
  </si>
  <si>
    <t>首相補佐官，元首相補佐官</t>
    <rPh sb="0" eb="2">
      <t>シュショウ</t>
    </rPh>
    <rPh sb="2" eb="5">
      <t>ホサカン</t>
    </rPh>
    <rPh sb="6" eb="9">
      <t>モトシュショウ</t>
    </rPh>
    <rPh sb="9" eb="12">
      <t>ホサカン</t>
    </rPh>
    <phoneticPr fontId="3"/>
  </si>
  <si>
    <t>衆議院憲法審査会長，元大臣(国交,経産),委長(国基,内閣),政務次官(通産)</t>
    <rPh sb="0" eb="3">
      <t>シュウギイン</t>
    </rPh>
    <rPh sb="3" eb="5">
      <t>ケンポウ</t>
    </rPh>
    <rPh sb="5" eb="7">
      <t>シンサ</t>
    </rPh>
    <rPh sb="7" eb="9">
      <t>カイチョウ</t>
    </rPh>
    <rPh sb="10" eb="13">
      <t>モトダイジン</t>
    </rPh>
    <rPh sb="14" eb="16">
      <t>コッコウ</t>
    </rPh>
    <rPh sb="17" eb="19">
      <t>ケイサン</t>
    </rPh>
    <rPh sb="21" eb="23">
      <t>イチョウ</t>
    </rPh>
    <rPh sb="24" eb="26">
      <t>クニモト</t>
    </rPh>
    <rPh sb="27" eb="29">
      <t>ナイカク</t>
    </rPh>
    <rPh sb="31" eb="33">
      <t>セイム</t>
    </rPh>
    <rPh sb="33" eb="35">
      <t>ジカン</t>
    </rPh>
    <rPh sb="36" eb="38">
      <t>ツウサン</t>
    </rPh>
    <phoneticPr fontId="3"/>
  </si>
  <si>
    <t>衆議院青少年特別委員長</t>
    <rPh sb="0" eb="3">
      <t>シュウギイン</t>
    </rPh>
    <rPh sb="3" eb="6">
      <t>セイショウネン</t>
    </rPh>
    <rPh sb="6" eb="8">
      <t>トクベツ</t>
    </rPh>
    <rPh sb="8" eb="11">
      <t>イインチョウ</t>
    </rPh>
    <phoneticPr fontId="3"/>
  </si>
  <si>
    <t>総務・内閣府副大臣，元副大臣(内閣)</t>
    <rPh sb="0" eb="2">
      <t>ソウム</t>
    </rPh>
    <rPh sb="3" eb="6">
      <t>ナイカクフ</t>
    </rPh>
    <rPh sb="6" eb="9">
      <t>フクダイジン</t>
    </rPh>
    <rPh sb="10" eb="11">
      <t>モト</t>
    </rPh>
    <rPh sb="11" eb="14">
      <t>フクダイジン</t>
    </rPh>
    <rPh sb="15" eb="17">
      <t>ナイカク</t>
    </rPh>
    <phoneticPr fontId="4"/>
  </si>
  <si>
    <t>内閣府・復興政務官</t>
    <rPh sb="0" eb="3">
      <t>ナイカクフ</t>
    </rPh>
    <rPh sb="4" eb="6">
      <t>フッコウ</t>
    </rPh>
    <rPh sb="6" eb="9">
      <t>セイムカン</t>
    </rPh>
    <phoneticPr fontId="3"/>
  </si>
  <si>
    <t>山形県議(上山市),議員秘書(近藤鉄雄)</t>
    <rPh sb="0" eb="2">
      <t>ヤマガタ</t>
    </rPh>
    <rPh sb="2" eb="4">
      <t>ケンギ</t>
    </rPh>
    <rPh sb="5" eb="7">
      <t>ウエヤマ</t>
    </rPh>
    <rPh sb="7" eb="8">
      <t>シ</t>
    </rPh>
    <rPh sb="10" eb="12">
      <t>ギイン</t>
    </rPh>
    <rPh sb="12" eb="14">
      <t>ヒショ</t>
    </rPh>
    <rPh sb="15" eb="17">
      <t>コンドウ</t>
    </rPh>
    <rPh sb="17" eb="19">
      <t>テツオ</t>
    </rPh>
    <phoneticPr fontId="3"/>
  </si>
  <si>
    <t>山形県議(東田川郡),余目町役場職員</t>
    <rPh sb="0" eb="2">
      <t>ヤマガタ</t>
    </rPh>
    <rPh sb="2" eb="4">
      <t>ケンギ</t>
    </rPh>
    <rPh sb="5" eb="9">
      <t>ヒガシタガワグン</t>
    </rPh>
    <rPh sb="11" eb="13">
      <t>アマルメ</t>
    </rPh>
    <rPh sb="13" eb="16">
      <t>マチヤクバ</t>
    </rPh>
    <rPh sb="16" eb="18">
      <t>ショクイン</t>
    </rPh>
    <phoneticPr fontId="3"/>
  </si>
  <si>
    <t>山口県副知事,厚生省社会援護局企画課長</t>
    <rPh sb="0" eb="3">
      <t>ヤマグチケン</t>
    </rPh>
    <rPh sb="3" eb="6">
      <t>フクチジ</t>
    </rPh>
    <rPh sb="7" eb="10">
      <t>コウセイショウ</t>
    </rPh>
    <rPh sb="10" eb="12">
      <t>シャカイ</t>
    </rPh>
    <rPh sb="12" eb="14">
      <t>エンゴ</t>
    </rPh>
    <rPh sb="14" eb="15">
      <t>キョク</t>
    </rPh>
    <rPh sb="15" eb="17">
      <t>キカク</t>
    </rPh>
    <rPh sb="17" eb="19">
      <t>カチョウ</t>
    </rPh>
    <phoneticPr fontId="3"/>
  </si>
  <si>
    <t>逢坂　誠二</t>
    <rPh sb="0" eb="2">
      <t>オオサカ</t>
    </rPh>
    <rPh sb="3" eb="5">
      <t>セイジ</t>
    </rPh>
    <phoneticPr fontId="3"/>
  </si>
  <si>
    <t>安住　　淳</t>
    <rPh sb="0" eb="2">
      <t>アズミ</t>
    </rPh>
    <rPh sb="4" eb="5">
      <t>ジュン</t>
    </rPh>
    <phoneticPr fontId="3"/>
  </si>
  <si>
    <t>伊東　良孝</t>
    <rPh sb="0" eb="2">
      <t>イトウ</t>
    </rPh>
    <rPh sb="3" eb="5">
      <t>ヨシタカ</t>
    </rPh>
    <phoneticPr fontId="3"/>
  </si>
  <si>
    <t>稲津　　久</t>
    <rPh sb="0" eb="2">
      <t>イナツ</t>
    </rPh>
    <rPh sb="4" eb="5">
      <t>ヒサシ</t>
    </rPh>
    <phoneticPr fontId="3"/>
  </si>
  <si>
    <t>永岡　桂子</t>
    <rPh sb="0" eb="2">
      <t>ナガオカ</t>
    </rPh>
    <rPh sb="3" eb="5">
      <t>ケイコ</t>
    </rPh>
    <phoneticPr fontId="3"/>
  </si>
  <si>
    <t>遠藤　利明</t>
    <rPh sb="0" eb="2">
      <t>エンドウ</t>
    </rPh>
    <rPh sb="3" eb="5">
      <t>トシアキ</t>
    </rPh>
    <phoneticPr fontId="3"/>
  </si>
  <si>
    <t>横山　北斗</t>
    <rPh sb="0" eb="2">
      <t>ヨコヤマ</t>
    </rPh>
    <rPh sb="3" eb="5">
      <t>ホクト</t>
    </rPh>
    <phoneticPr fontId="3"/>
  </si>
  <si>
    <t>横路　孝弘</t>
    <rPh sb="0" eb="2">
      <t>ヨコミチ</t>
    </rPh>
    <rPh sb="3" eb="5">
      <t>タカヒロ</t>
    </rPh>
    <phoneticPr fontId="3"/>
  </si>
  <si>
    <t>黄川田　徹</t>
    <rPh sb="0" eb="3">
      <t>キカワダ</t>
    </rPh>
    <rPh sb="4" eb="5">
      <t>トオル</t>
    </rPh>
    <phoneticPr fontId="3"/>
  </si>
  <si>
    <t>加藤　紘一</t>
    <rPh sb="0" eb="2">
      <t>カトウ</t>
    </rPh>
    <rPh sb="3" eb="5">
      <t>コウイチ</t>
    </rPh>
    <phoneticPr fontId="3"/>
  </si>
  <si>
    <t>階　　　猛</t>
    <rPh sb="0" eb="1">
      <t>シナ</t>
    </rPh>
    <rPh sb="4" eb="5">
      <t>タケシ</t>
    </rPh>
    <phoneticPr fontId="3"/>
  </si>
  <si>
    <t>柿沼　正明</t>
    <rPh sb="0" eb="2">
      <t>カキヌマ</t>
    </rPh>
    <rPh sb="3" eb="5">
      <t>マサアキ</t>
    </rPh>
    <phoneticPr fontId="3"/>
  </si>
  <si>
    <t>額賀　福志郎</t>
    <rPh sb="0" eb="2">
      <t>ヌカガ</t>
    </rPh>
    <rPh sb="3" eb="4">
      <t>フク</t>
    </rPh>
    <rPh sb="4" eb="6">
      <t>シロウ</t>
    </rPh>
    <phoneticPr fontId="3"/>
  </si>
  <si>
    <t>梶山　弘志</t>
    <rPh sb="0" eb="2">
      <t>カジヤマ</t>
    </rPh>
    <rPh sb="3" eb="5">
      <t>ヒロシ</t>
    </rPh>
    <phoneticPr fontId="3"/>
  </si>
  <si>
    <t>吉泉　秀男</t>
    <rPh sb="0" eb="1">
      <t>ヨシ</t>
    </rPh>
    <rPh sb="1" eb="2">
      <t>イズミ</t>
    </rPh>
    <rPh sb="3" eb="5">
      <t>ヒデオ</t>
    </rPh>
    <phoneticPr fontId="3"/>
  </si>
  <si>
    <t>吉田　　泉</t>
    <rPh sb="0" eb="2">
      <t>ヨシダ</t>
    </rPh>
    <rPh sb="4" eb="5">
      <t>イズミ</t>
    </rPh>
    <phoneticPr fontId="3"/>
  </si>
  <si>
    <t>宮崎　岳志</t>
    <rPh sb="0" eb="2">
      <t>ミヤザキ</t>
    </rPh>
    <rPh sb="3" eb="5">
      <t>タケシ</t>
    </rPh>
    <phoneticPr fontId="3"/>
  </si>
  <si>
    <t>京野　公子</t>
    <rPh sb="0" eb="2">
      <t>キョウノ</t>
    </rPh>
    <rPh sb="3" eb="5">
      <t>キミコ</t>
    </rPh>
    <phoneticPr fontId="3"/>
  </si>
  <si>
    <t>橋本　清仁</t>
    <rPh sb="0" eb="2">
      <t>ハシモト</t>
    </rPh>
    <rPh sb="3" eb="5">
      <t>キヨヒト</t>
    </rPh>
    <phoneticPr fontId="3"/>
  </si>
  <si>
    <t>近藤　洋介</t>
    <rPh sb="0" eb="2">
      <t>コンドウ</t>
    </rPh>
    <rPh sb="3" eb="5">
      <t>ヨウスケ</t>
    </rPh>
    <phoneticPr fontId="3"/>
  </si>
  <si>
    <t>金田　勝年</t>
    <rPh sb="0" eb="2">
      <t>カネダ</t>
    </rPh>
    <rPh sb="3" eb="4">
      <t>カツ</t>
    </rPh>
    <rPh sb="4" eb="5">
      <t>トシ</t>
    </rPh>
    <phoneticPr fontId="3"/>
  </si>
  <si>
    <t>郡　　和子</t>
    <rPh sb="0" eb="1">
      <t>コオリ</t>
    </rPh>
    <rPh sb="3" eb="5">
      <t>カズコ</t>
    </rPh>
    <phoneticPr fontId="3"/>
  </si>
  <si>
    <t>玄葉　光一郎</t>
    <rPh sb="0" eb="2">
      <t>ゲンバ</t>
    </rPh>
    <rPh sb="3" eb="6">
      <t>コウイチロウ</t>
    </rPh>
    <phoneticPr fontId="3"/>
  </si>
  <si>
    <t>五十嵐　文彦</t>
    <rPh sb="0" eb="3">
      <t>イガラシ</t>
    </rPh>
    <rPh sb="4" eb="6">
      <t>フミヒコ</t>
    </rPh>
    <phoneticPr fontId="3"/>
  </si>
  <si>
    <t>江渡　聡徳</t>
    <rPh sb="0" eb="1">
      <t>エ</t>
    </rPh>
    <rPh sb="1" eb="2">
      <t>ト</t>
    </rPh>
    <rPh sb="3" eb="4">
      <t>サトシ</t>
    </rPh>
    <rPh sb="4" eb="5">
      <t>トク</t>
    </rPh>
    <phoneticPr fontId="3"/>
  </si>
  <si>
    <t>荒井　　聰</t>
    <rPh sb="0" eb="2">
      <t>アライ</t>
    </rPh>
    <rPh sb="4" eb="5">
      <t>サトシ</t>
    </rPh>
    <phoneticPr fontId="3"/>
  </si>
  <si>
    <t>高野　　守</t>
    <rPh sb="0" eb="2">
      <t>タカノ</t>
    </rPh>
    <rPh sb="4" eb="5">
      <t>マモル</t>
    </rPh>
    <phoneticPr fontId="3"/>
  </si>
  <si>
    <t>今津　　寛</t>
    <rPh sb="0" eb="2">
      <t>イマズ</t>
    </rPh>
    <rPh sb="4" eb="5">
      <t>ヒロシ</t>
    </rPh>
    <phoneticPr fontId="3"/>
  </si>
  <si>
    <t>今野　　東</t>
    <rPh sb="0" eb="2">
      <t>コンノ</t>
    </rPh>
    <rPh sb="4" eb="5">
      <t>アズマ</t>
    </rPh>
    <phoneticPr fontId="3"/>
  </si>
  <si>
    <t>佐々木　隆博</t>
    <rPh sb="0" eb="3">
      <t>ササキ</t>
    </rPh>
    <rPh sb="4" eb="6">
      <t>タカヒロ</t>
    </rPh>
    <phoneticPr fontId="3"/>
  </si>
  <si>
    <t>佐田　玄一郎</t>
    <rPh sb="0" eb="2">
      <t>サタ</t>
    </rPh>
    <rPh sb="3" eb="6">
      <t>ゲンイチロウ</t>
    </rPh>
    <phoneticPr fontId="3"/>
  </si>
  <si>
    <t>佐藤　　勉</t>
    <rPh sb="0" eb="2">
      <t>サトウ</t>
    </rPh>
    <rPh sb="4" eb="5">
      <t>ツトム</t>
    </rPh>
    <phoneticPr fontId="3"/>
  </si>
  <si>
    <t>斎藤　恭紀</t>
    <rPh sb="0" eb="2">
      <t>サイトウ</t>
    </rPh>
    <rPh sb="3" eb="4">
      <t>ヤス</t>
    </rPh>
    <rPh sb="4" eb="5">
      <t>ノリ</t>
    </rPh>
    <phoneticPr fontId="3"/>
  </si>
  <si>
    <t>細川　律夫</t>
    <rPh sb="0" eb="2">
      <t>ホソカワ</t>
    </rPh>
    <rPh sb="3" eb="5">
      <t>リツオ</t>
    </rPh>
    <phoneticPr fontId="3"/>
  </si>
  <si>
    <t>三宅　雪子</t>
    <rPh sb="0" eb="2">
      <t>ミヤケ</t>
    </rPh>
    <rPh sb="3" eb="5">
      <t>ユキコ</t>
    </rPh>
    <phoneticPr fontId="3"/>
  </si>
  <si>
    <t>山岡　賢次</t>
    <rPh sb="0" eb="2">
      <t>ヤマオカ</t>
    </rPh>
    <rPh sb="3" eb="5">
      <t>ケンジ</t>
    </rPh>
    <phoneticPr fontId="3"/>
  </si>
  <si>
    <t>枝野　幸男</t>
    <rPh sb="0" eb="2">
      <t>エダノ</t>
    </rPh>
    <rPh sb="3" eb="5">
      <t>ユキオ</t>
    </rPh>
    <phoneticPr fontId="3"/>
  </si>
  <si>
    <t>寺田　　学</t>
    <rPh sb="0" eb="1">
      <t>テラ</t>
    </rPh>
    <rPh sb="1" eb="2">
      <t>タ</t>
    </rPh>
    <rPh sb="4" eb="5">
      <t>マナブ</t>
    </rPh>
    <phoneticPr fontId="3"/>
  </si>
  <si>
    <t>鹿野　道彦</t>
    <rPh sb="0" eb="2">
      <t>カノ</t>
    </rPh>
    <rPh sb="3" eb="5">
      <t>ミチヒコ</t>
    </rPh>
    <phoneticPr fontId="3"/>
  </si>
  <si>
    <t>柴山　昌彦</t>
    <rPh sb="0" eb="2">
      <t>シバヤマ</t>
    </rPh>
    <rPh sb="3" eb="5">
      <t>マサヒコ</t>
    </rPh>
    <phoneticPr fontId="3"/>
  </si>
  <si>
    <t>秋葉　賢也</t>
    <rPh sb="0" eb="2">
      <t>アキバ</t>
    </rPh>
    <rPh sb="3" eb="5">
      <t>ケンヤ</t>
    </rPh>
    <phoneticPr fontId="3"/>
  </si>
  <si>
    <t>小宮山　泰子</t>
    <rPh sb="0" eb="3">
      <t>コミヤマ</t>
    </rPh>
    <rPh sb="4" eb="6">
      <t>ヤスコ</t>
    </rPh>
    <phoneticPr fontId="3"/>
  </si>
  <si>
    <t>小熊　慎司</t>
    <rPh sb="0" eb="2">
      <t>オグマ</t>
    </rPh>
    <rPh sb="3" eb="5">
      <t>シンジ</t>
    </rPh>
    <phoneticPr fontId="3"/>
  </si>
  <si>
    <t>小泉　俊明</t>
    <rPh sb="0" eb="2">
      <t>コイズミ</t>
    </rPh>
    <rPh sb="3" eb="5">
      <t>トシアキ</t>
    </rPh>
    <phoneticPr fontId="3"/>
  </si>
  <si>
    <t>小泉　龍司</t>
    <rPh sb="0" eb="2">
      <t>コイズミ</t>
    </rPh>
    <rPh sb="3" eb="5">
      <t>リュウジ</t>
    </rPh>
    <phoneticPr fontId="3"/>
  </si>
  <si>
    <t>小沢　一郎</t>
    <rPh sb="0" eb="2">
      <t>オザワ</t>
    </rPh>
    <rPh sb="3" eb="5">
      <t>イチロウ</t>
    </rPh>
    <phoneticPr fontId="3"/>
  </si>
  <si>
    <t>小平　忠正</t>
    <rPh sb="0" eb="2">
      <t>コダイラ</t>
    </rPh>
    <rPh sb="3" eb="5">
      <t>タダマサ</t>
    </rPh>
    <phoneticPr fontId="3"/>
  </si>
  <si>
    <t>小野寺　五典</t>
    <rPh sb="0" eb="3">
      <t>オノデラ</t>
    </rPh>
    <rPh sb="4" eb="5">
      <t>イツ</t>
    </rPh>
    <rPh sb="5" eb="6">
      <t>ノリ</t>
    </rPh>
    <phoneticPr fontId="3"/>
  </si>
  <si>
    <t>小野塚　勝俊</t>
    <rPh sb="0" eb="3">
      <t>オノヅカ</t>
    </rPh>
    <rPh sb="4" eb="5">
      <t>マサ</t>
    </rPh>
    <rPh sb="5" eb="6">
      <t>トシ</t>
    </rPh>
    <phoneticPr fontId="3"/>
  </si>
  <si>
    <t>小渕　優子</t>
    <rPh sb="0" eb="2">
      <t>オブチ</t>
    </rPh>
    <rPh sb="3" eb="5">
      <t>ユウコ</t>
    </rPh>
    <phoneticPr fontId="3"/>
  </si>
  <si>
    <t>松崎　哲久</t>
    <rPh sb="0" eb="2">
      <t>マツザキ</t>
    </rPh>
    <rPh sb="3" eb="4">
      <t>テツ</t>
    </rPh>
    <rPh sb="4" eb="5">
      <t>ヒサ</t>
    </rPh>
    <phoneticPr fontId="3"/>
  </si>
  <si>
    <t>松木　謙公</t>
    <rPh sb="0" eb="2">
      <t>マツキ</t>
    </rPh>
    <rPh sb="3" eb="4">
      <t>ケン</t>
    </rPh>
    <rPh sb="4" eb="5">
      <t>コウ</t>
    </rPh>
    <phoneticPr fontId="3"/>
  </si>
  <si>
    <t>上野　宏史</t>
    <rPh sb="0" eb="2">
      <t>ウエノ</t>
    </rPh>
    <rPh sb="3" eb="5">
      <t>ヒロシ</t>
    </rPh>
    <phoneticPr fontId="3"/>
  </si>
  <si>
    <t>新藤　義孝</t>
    <rPh sb="0" eb="2">
      <t>シンドウ</t>
    </rPh>
    <rPh sb="3" eb="5">
      <t>ヨシタカ</t>
    </rPh>
    <phoneticPr fontId="3"/>
  </si>
  <si>
    <t>神風　英男</t>
    <rPh sb="0" eb="1">
      <t>ジン</t>
    </rPh>
    <rPh sb="1" eb="2">
      <t>プウ</t>
    </rPh>
    <rPh sb="3" eb="5">
      <t>ヒデオ</t>
    </rPh>
    <phoneticPr fontId="3"/>
  </si>
  <si>
    <t>石関　貴史</t>
    <rPh sb="0" eb="2">
      <t>イシゼキ</t>
    </rPh>
    <rPh sb="3" eb="5">
      <t>タカシ</t>
    </rPh>
    <phoneticPr fontId="3"/>
  </si>
  <si>
    <t>石原　洋三郎</t>
    <rPh sb="0" eb="2">
      <t>イシハラ</t>
    </rPh>
    <rPh sb="3" eb="6">
      <t>ヨウザブロウ</t>
    </rPh>
    <phoneticPr fontId="3"/>
  </si>
  <si>
    <t>石山　敬貴</t>
    <rPh sb="0" eb="2">
      <t>イシヤマ</t>
    </rPh>
    <rPh sb="3" eb="4">
      <t>ケイ</t>
    </rPh>
    <rPh sb="4" eb="5">
      <t>キ</t>
    </rPh>
    <phoneticPr fontId="3"/>
  </si>
  <si>
    <t>石森　久嗣</t>
    <rPh sb="0" eb="2">
      <t>イシモリ</t>
    </rPh>
    <rPh sb="3" eb="4">
      <t>ヒサ</t>
    </rPh>
    <rPh sb="4" eb="5">
      <t>ツグ</t>
    </rPh>
    <phoneticPr fontId="3"/>
  </si>
  <si>
    <t>石川　知裕</t>
    <rPh sb="0" eb="2">
      <t>イシカワ</t>
    </rPh>
    <rPh sb="3" eb="5">
      <t>トモヒロ</t>
    </rPh>
    <phoneticPr fontId="3"/>
  </si>
  <si>
    <t>石津　政雄</t>
    <rPh sb="0" eb="2">
      <t>イシヅ</t>
    </rPh>
    <rPh sb="3" eb="5">
      <t>マサオ</t>
    </rPh>
    <phoneticPr fontId="4"/>
  </si>
  <si>
    <t>石田　勝之</t>
    <rPh sb="0" eb="2">
      <t>イシダ</t>
    </rPh>
    <rPh sb="3" eb="5">
      <t>カツユキ</t>
    </rPh>
    <phoneticPr fontId="3"/>
  </si>
  <si>
    <t>川口　　博</t>
    <rPh sb="0" eb="2">
      <t>カワグチ</t>
    </rPh>
    <rPh sb="4" eb="5">
      <t>ヒロシ</t>
    </rPh>
    <phoneticPr fontId="3"/>
  </si>
  <si>
    <t>太田　和美</t>
    <rPh sb="0" eb="2">
      <t>オオタ</t>
    </rPh>
    <rPh sb="3" eb="5">
      <t>カズミ</t>
    </rPh>
    <phoneticPr fontId="3"/>
  </si>
  <si>
    <t>大泉　博子</t>
    <rPh sb="0" eb="2">
      <t>オオイズミ</t>
    </rPh>
    <rPh sb="3" eb="5">
      <t>ヒロコ</t>
    </rPh>
    <phoneticPr fontId="3"/>
  </si>
  <si>
    <t>大島　　敦</t>
    <rPh sb="0" eb="2">
      <t>オオシマ</t>
    </rPh>
    <rPh sb="4" eb="5">
      <t>アツシ</t>
    </rPh>
    <phoneticPr fontId="3"/>
  </si>
  <si>
    <t>大島　理森</t>
    <rPh sb="0" eb="2">
      <t>オオシマ</t>
    </rPh>
    <rPh sb="3" eb="5">
      <t>タダモリ</t>
    </rPh>
    <phoneticPr fontId="3"/>
  </si>
  <si>
    <t>大畠　章宏</t>
    <rPh sb="0" eb="2">
      <t>オオハタ</t>
    </rPh>
    <rPh sb="3" eb="5">
      <t>アキヒロ</t>
    </rPh>
    <phoneticPr fontId="3"/>
  </si>
  <si>
    <t>中村　喜四郎</t>
    <rPh sb="0" eb="2">
      <t>ナカムラ</t>
    </rPh>
    <rPh sb="3" eb="6">
      <t>キシロウ</t>
    </rPh>
    <phoneticPr fontId="3"/>
  </si>
  <si>
    <t>中野渡　詔子</t>
    <rPh sb="0" eb="2">
      <t>ナカノ</t>
    </rPh>
    <rPh sb="2" eb="3">
      <t>ワタリ</t>
    </rPh>
    <rPh sb="4" eb="6">
      <t>ノリコ</t>
    </rPh>
    <phoneticPr fontId="3"/>
  </si>
  <si>
    <t>仲野　博子</t>
    <rPh sb="0" eb="2">
      <t>ナカノ</t>
    </rPh>
    <rPh sb="3" eb="5">
      <t>ヒロコ</t>
    </rPh>
    <phoneticPr fontId="3"/>
  </si>
  <si>
    <t>町村　信孝</t>
    <rPh sb="0" eb="2">
      <t>マチムラ</t>
    </rPh>
    <rPh sb="3" eb="5">
      <t>ノブタカ</t>
    </rPh>
    <phoneticPr fontId="3"/>
  </si>
  <si>
    <t>津島　恭一</t>
    <rPh sb="0" eb="2">
      <t>ツシマ</t>
    </rPh>
    <rPh sb="3" eb="5">
      <t>キョウイチ</t>
    </rPh>
    <phoneticPr fontId="3"/>
  </si>
  <si>
    <t>田名部　匡代</t>
    <rPh sb="0" eb="3">
      <t>タナブ</t>
    </rPh>
    <rPh sb="4" eb="6">
      <t>マサヨ</t>
    </rPh>
    <phoneticPr fontId="3"/>
  </si>
  <si>
    <t>渡辺　喜美</t>
    <rPh sb="0" eb="2">
      <t>ワタナベ</t>
    </rPh>
    <rPh sb="3" eb="5">
      <t>ヨシミ</t>
    </rPh>
    <phoneticPr fontId="3"/>
  </si>
  <si>
    <t>畑　　浩治</t>
    <rPh sb="0" eb="1">
      <t>ハタ</t>
    </rPh>
    <rPh sb="3" eb="5">
      <t>コウジ</t>
    </rPh>
    <phoneticPr fontId="3"/>
  </si>
  <si>
    <t>鉢呂　吉雄</t>
    <rPh sb="0" eb="1">
      <t>ハチ</t>
    </rPh>
    <rPh sb="1" eb="2">
      <t>ロ</t>
    </rPh>
    <rPh sb="3" eb="5">
      <t>ヨシオ</t>
    </rPh>
    <phoneticPr fontId="3"/>
  </si>
  <si>
    <t>富岡　芳忠</t>
    <rPh sb="0" eb="2">
      <t>トミオカ</t>
    </rPh>
    <rPh sb="3" eb="4">
      <t>ヨシ</t>
    </rPh>
    <rPh sb="4" eb="5">
      <t>タダ</t>
    </rPh>
    <phoneticPr fontId="3"/>
  </si>
  <si>
    <t>武正　公一</t>
    <rPh sb="0" eb="2">
      <t>タケマサ</t>
    </rPh>
    <rPh sb="3" eb="5">
      <t>コウイチ</t>
    </rPh>
    <phoneticPr fontId="4"/>
  </si>
  <si>
    <t>福田　昭夫</t>
    <rPh sb="0" eb="2">
      <t>フクダ</t>
    </rPh>
    <rPh sb="3" eb="5">
      <t>アキオ</t>
    </rPh>
    <phoneticPr fontId="3"/>
  </si>
  <si>
    <t>福島　伸享</t>
    <rPh sb="0" eb="2">
      <t>フクシマ</t>
    </rPh>
    <rPh sb="3" eb="4">
      <t>ノブ</t>
    </rPh>
    <rPh sb="4" eb="5">
      <t>ユキ</t>
    </rPh>
    <phoneticPr fontId="3"/>
  </si>
  <si>
    <t>茂木　敏充</t>
    <rPh sb="0" eb="2">
      <t>モテギ</t>
    </rPh>
    <rPh sb="3" eb="4">
      <t>トシ</t>
    </rPh>
    <rPh sb="4" eb="5">
      <t>ミツ</t>
    </rPh>
    <phoneticPr fontId="3"/>
  </si>
  <si>
    <t>木村　太郎</t>
    <rPh sb="0" eb="2">
      <t>キムラ</t>
    </rPh>
    <rPh sb="3" eb="5">
      <t>タロウ</t>
    </rPh>
    <phoneticPr fontId="3"/>
  </si>
  <si>
    <t>柳田　和己</t>
    <rPh sb="0" eb="2">
      <t>ヤナギタ</t>
    </rPh>
    <rPh sb="3" eb="5">
      <t>カズミ</t>
    </rPh>
    <phoneticPr fontId="3"/>
  </si>
  <si>
    <t>船橋　利実</t>
    <rPh sb="0" eb="2">
      <t>フナハシ</t>
    </rPh>
    <rPh sb="3" eb="5">
      <t>トシミツ</t>
    </rPh>
    <phoneticPr fontId="3"/>
  </si>
  <si>
    <t>大(北海学園)</t>
    <rPh sb="0" eb="1">
      <t>ダイ</t>
    </rPh>
    <rPh sb="2" eb="4">
      <t>ホッカイ</t>
    </rPh>
    <rPh sb="4" eb="6">
      <t>ガクエン</t>
    </rPh>
    <phoneticPr fontId="3"/>
  </si>
  <si>
    <t>北海道議(北見市),北海道・北見市議,会社員(北斗建設)</t>
    <rPh sb="0" eb="3">
      <t>ホッカイドウ</t>
    </rPh>
    <rPh sb="3" eb="4">
      <t>ギ</t>
    </rPh>
    <rPh sb="5" eb="8">
      <t>キタミシ</t>
    </rPh>
    <rPh sb="10" eb="13">
      <t>ホッカイドウ</t>
    </rPh>
    <rPh sb="14" eb="16">
      <t>キタミ</t>
    </rPh>
    <rPh sb="16" eb="18">
      <t>シギ</t>
    </rPh>
    <rPh sb="19" eb="22">
      <t>カイシャイン</t>
    </rPh>
    <rPh sb="23" eb="25">
      <t>ホクト</t>
    </rPh>
    <rPh sb="25" eb="27">
      <t>ケンセツ</t>
    </rPh>
    <phoneticPr fontId="3"/>
  </si>
  <si>
    <t>議</t>
    <rPh sb="0" eb="1">
      <t>ギ</t>
    </rPh>
    <phoneticPr fontId="3"/>
  </si>
  <si>
    <t>武部　　新</t>
    <rPh sb="0" eb="2">
      <t>タケベ</t>
    </rPh>
    <rPh sb="4" eb="5">
      <t>アラタ</t>
    </rPh>
    <phoneticPr fontId="3"/>
  </si>
  <si>
    <t>山崎</t>
    <rPh sb="0" eb="2">
      <t>ヤマサキ</t>
    </rPh>
    <phoneticPr fontId="3"/>
  </si>
  <si>
    <t>大院(米/シカゴ</t>
    <rPh sb="0" eb="2">
      <t>ダイイン</t>
    </rPh>
    <rPh sb="3" eb="4">
      <t>ベイ</t>
    </rPh>
    <phoneticPr fontId="3"/>
  </si>
  <si>
    <t>議員秘書(武部勤),銀行員(日本興業銀行)</t>
    <rPh sb="0" eb="2">
      <t>ギイン</t>
    </rPh>
    <rPh sb="2" eb="4">
      <t>ヒショ</t>
    </rPh>
    <rPh sb="5" eb="7">
      <t>タケベ</t>
    </rPh>
    <rPh sb="7" eb="8">
      <t>ツトム</t>
    </rPh>
    <rPh sb="10" eb="13">
      <t>ギンコウイン</t>
    </rPh>
    <rPh sb="14" eb="16">
      <t>ニホン</t>
    </rPh>
    <rPh sb="16" eb="18">
      <t>コウギョウ</t>
    </rPh>
    <rPh sb="18" eb="20">
      <t>ギンコウ</t>
    </rPh>
    <phoneticPr fontId="3"/>
  </si>
  <si>
    <t>二</t>
    <rPh sb="0" eb="1">
      <t>ニ</t>
    </rPh>
    <phoneticPr fontId="3"/>
  </si>
  <si>
    <t>本多　平直</t>
    <rPh sb="0" eb="2">
      <t>ホンダ</t>
    </rPh>
    <rPh sb="3" eb="4">
      <t>ヒラ</t>
    </rPh>
    <rPh sb="4" eb="5">
      <t>ナオ</t>
    </rPh>
    <phoneticPr fontId="3"/>
  </si>
  <si>
    <t>066埼玉12区</t>
    <rPh sb="3" eb="5">
      <t>サイタマ</t>
    </rPh>
    <rPh sb="7" eb="8">
      <t>ク</t>
    </rPh>
    <phoneticPr fontId="3"/>
  </si>
  <si>
    <t>大(北海道)</t>
    <rPh sb="0" eb="1">
      <t>ダイ</t>
    </rPh>
    <rPh sb="2" eb="5">
      <t>ホッカイドウ</t>
    </rPh>
    <phoneticPr fontId="3"/>
  </si>
  <si>
    <t>議員秘書(枝野幸男)</t>
    <rPh sb="0" eb="2">
      <t>ギイン</t>
    </rPh>
    <rPh sb="2" eb="4">
      <t>ヒショ</t>
    </rPh>
    <rPh sb="5" eb="7">
      <t>エダノ</t>
    </rPh>
    <rPh sb="7" eb="9">
      <t>ユキオ</t>
    </rPh>
    <phoneticPr fontId="3"/>
  </si>
  <si>
    <t>経済産業・内閣府政務官，元首相補佐官</t>
    <rPh sb="0" eb="2">
      <t>ケイザイ</t>
    </rPh>
    <rPh sb="2" eb="4">
      <t>サンギョウ</t>
    </rPh>
    <rPh sb="5" eb="8">
      <t>ナイカクフ</t>
    </rPh>
    <rPh sb="8" eb="11">
      <t>セイムカン</t>
    </rPh>
    <rPh sb="12" eb="15">
      <t>モトシュショウ</t>
    </rPh>
    <rPh sb="15" eb="18">
      <t>ホサカン</t>
    </rPh>
    <phoneticPr fontId="3"/>
  </si>
  <si>
    <t>松</t>
    <rPh sb="0" eb="1">
      <t>マツ</t>
    </rPh>
    <phoneticPr fontId="3"/>
  </si>
  <si>
    <t>野中　　厚</t>
    <rPh sb="0" eb="2">
      <t>ノナカ</t>
    </rPh>
    <rPh sb="4" eb="5">
      <t>アツシ</t>
    </rPh>
    <phoneticPr fontId="3"/>
  </si>
  <si>
    <t>大野　辰男</t>
    <rPh sb="0" eb="2">
      <t>オオノ</t>
    </rPh>
    <rPh sb="3" eb="5">
      <t>タツオ</t>
    </rPh>
    <phoneticPr fontId="3"/>
  </si>
  <si>
    <t>共産党埼玉県常任委員</t>
    <rPh sb="0" eb="3">
      <t>キョウサントウ</t>
    </rPh>
    <rPh sb="3" eb="6">
      <t>サイタマケン</t>
    </rPh>
    <rPh sb="6" eb="8">
      <t>ジョウニン</t>
    </rPh>
    <rPh sb="8" eb="10">
      <t>イイン</t>
    </rPh>
    <phoneticPr fontId="3"/>
  </si>
  <si>
    <t>高(狭山工)</t>
    <rPh sb="0" eb="1">
      <t>コウ</t>
    </rPh>
    <rPh sb="2" eb="4">
      <t>サヤマ</t>
    </rPh>
    <rPh sb="4" eb="5">
      <t>タクミ</t>
    </rPh>
    <phoneticPr fontId="3"/>
  </si>
  <si>
    <t>永沼　宏之</t>
    <rPh sb="0" eb="2">
      <t>ナガヌマ</t>
    </rPh>
    <rPh sb="3" eb="5">
      <t>ヒロユキ</t>
    </rPh>
    <phoneticPr fontId="3"/>
  </si>
  <si>
    <t>埼玉県・行田市議,会社役員</t>
    <rPh sb="0" eb="3">
      <t>サイタマケン</t>
    </rPh>
    <rPh sb="4" eb="6">
      <t>コウダ</t>
    </rPh>
    <rPh sb="6" eb="8">
      <t>シギ</t>
    </rPh>
    <rPh sb="9" eb="11">
      <t>カイシャ</t>
    </rPh>
    <rPh sb="11" eb="13">
      <t>ヤクイン</t>
    </rPh>
    <phoneticPr fontId="3"/>
  </si>
  <si>
    <t>埼玉県議(加須市・鴻巣市・東4),会社役員</t>
    <rPh sb="0" eb="2">
      <t>サイタマ</t>
    </rPh>
    <rPh sb="2" eb="4">
      <t>ケンギ</t>
    </rPh>
    <rPh sb="5" eb="6">
      <t>カ</t>
    </rPh>
    <rPh sb="6" eb="7">
      <t>ス</t>
    </rPh>
    <rPh sb="7" eb="8">
      <t>シ</t>
    </rPh>
    <rPh sb="9" eb="12">
      <t>コウノスシ</t>
    </rPh>
    <rPh sb="13" eb="14">
      <t>ヒガシ</t>
    </rPh>
    <rPh sb="17" eb="19">
      <t>カイシャ</t>
    </rPh>
    <rPh sb="19" eb="21">
      <t>ヤクイン</t>
    </rPh>
    <phoneticPr fontId="3"/>
  </si>
  <si>
    <t>森田　俊和</t>
    <rPh sb="0" eb="2">
      <t>モリタ</t>
    </rPh>
    <rPh sb="3" eb="5">
      <t>トシカズ</t>
    </rPh>
    <phoneticPr fontId="3"/>
  </si>
  <si>
    <t>自無</t>
    <rPh sb="0" eb="1">
      <t>ジ</t>
    </rPh>
    <rPh sb="1" eb="2">
      <t>ム</t>
    </rPh>
    <phoneticPr fontId="3"/>
  </si>
  <si>
    <t>埼玉県議(熊谷市・北6),介護施設代表</t>
    <rPh sb="0" eb="2">
      <t>サイタマ</t>
    </rPh>
    <rPh sb="2" eb="4">
      <t>ケンギ</t>
    </rPh>
    <rPh sb="5" eb="8">
      <t>クマガヤシ</t>
    </rPh>
    <rPh sb="9" eb="10">
      <t>キタ</t>
    </rPh>
    <rPh sb="13" eb="15">
      <t>カイゴ</t>
    </rPh>
    <rPh sb="15" eb="17">
      <t>シセツ</t>
    </rPh>
    <rPh sb="17" eb="19">
      <t>ダイヒョウ</t>
    </rPh>
    <phoneticPr fontId="3"/>
  </si>
  <si>
    <t>067埼玉13区01</t>
    <rPh sb="3" eb="5">
      <t>サイタマ</t>
    </rPh>
    <rPh sb="7" eb="8">
      <t>ク</t>
    </rPh>
    <phoneticPr fontId="3"/>
  </si>
  <si>
    <t>067埼玉13区02</t>
    <rPh sb="3" eb="5">
      <t>サイタマ</t>
    </rPh>
    <rPh sb="7" eb="8">
      <t>ク</t>
    </rPh>
    <phoneticPr fontId="3"/>
  </si>
  <si>
    <t>067埼玉13区03</t>
    <rPh sb="3" eb="5">
      <t>サイタマ</t>
    </rPh>
    <rPh sb="7" eb="8">
      <t>ク</t>
    </rPh>
    <phoneticPr fontId="3"/>
  </si>
  <si>
    <t>067埼玉13区04</t>
    <rPh sb="3" eb="5">
      <t>サイタマ</t>
    </rPh>
    <rPh sb="7" eb="8">
      <t>ク</t>
    </rPh>
    <phoneticPr fontId="3"/>
  </si>
  <si>
    <t>森岡　洋一郎</t>
    <rPh sb="0" eb="2">
      <t>モリオカ</t>
    </rPh>
    <rPh sb="3" eb="6">
      <t>ヨウイチロウ</t>
    </rPh>
    <phoneticPr fontId="3"/>
  </si>
  <si>
    <t>067埼玉13区</t>
    <rPh sb="3" eb="5">
      <t>サイタマ</t>
    </rPh>
    <rPh sb="7" eb="8">
      <t>ク</t>
    </rPh>
    <phoneticPr fontId="3"/>
  </si>
  <si>
    <t>埼玉県議(春日部市・東8),議員秘書(武正公一)</t>
    <rPh sb="0" eb="2">
      <t>サイタマ</t>
    </rPh>
    <rPh sb="2" eb="4">
      <t>ケンギ</t>
    </rPh>
    <rPh sb="5" eb="9">
      <t>カスカベシ</t>
    </rPh>
    <rPh sb="10" eb="11">
      <t>ヒガシ</t>
    </rPh>
    <rPh sb="14" eb="16">
      <t>ギイン</t>
    </rPh>
    <rPh sb="16" eb="18">
      <t>ヒショ</t>
    </rPh>
    <rPh sb="19" eb="21">
      <t>タケマサ</t>
    </rPh>
    <rPh sb="21" eb="23">
      <t>コウイチ</t>
    </rPh>
    <phoneticPr fontId="3"/>
  </si>
  <si>
    <t>議松</t>
    <rPh sb="0" eb="1">
      <t>ギ</t>
    </rPh>
    <rPh sb="1" eb="2">
      <t>マツ</t>
    </rPh>
    <phoneticPr fontId="3"/>
  </si>
  <si>
    <t>土屋　品子</t>
    <rPh sb="0" eb="2">
      <t>ツチヤ</t>
    </rPh>
    <rPh sb="3" eb="5">
      <t>シナコ</t>
    </rPh>
    <phoneticPr fontId="3"/>
  </si>
  <si>
    <t>　元副大臣(環境),政務官(外務)</t>
    <rPh sb="1" eb="2">
      <t>モト</t>
    </rPh>
    <rPh sb="2" eb="5">
      <t>フクダイジン</t>
    </rPh>
    <rPh sb="6" eb="8">
      <t>カンキョウ</t>
    </rPh>
    <rPh sb="10" eb="13">
      <t>セイムカン</t>
    </rPh>
    <rPh sb="14" eb="16">
      <t>ガイム</t>
    </rPh>
    <phoneticPr fontId="3"/>
  </si>
  <si>
    <t>会社社長(フラワーメモリー),フラワーアーティスト</t>
    <rPh sb="0" eb="2">
      <t>カイシャ</t>
    </rPh>
    <rPh sb="2" eb="4">
      <t>シャチョウ</t>
    </rPh>
    <phoneticPr fontId="3"/>
  </si>
  <si>
    <t>並木　敏恵</t>
    <rPh sb="0" eb="2">
      <t>ナミキ</t>
    </rPh>
    <rPh sb="3" eb="5">
      <t>トシエ</t>
    </rPh>
    <phoneticPr fontId="3"/>
  </si>
  <si>
    <t>大(文教)</t>
    <rPh sb="0" eb="1">
      <t>ダイ</t>
    </rPh>
    <rPh sb="2" eb="4">
      <t>ブンキョウ</t>
    </rPh>
    <phoneticPr fontId="3"/>
  </si>
  <si>
    <t>埼玉県・春日部市議,埼玉土建国保組合職員</t>
    <rPh sb="0" eb="3">
      <t>サイタマケン</t>
    </rPh>
    <rPh sb="4" eb="7">
      <t>カスカベ</t>
    </rPh>
    <rPh sb="7" eb="9">
      <t>シギ</t>
    </rPh>
    <rPh sb="10" eb="12">
      <t>サイタマ</t>
    </rPh>
    <rPh sb="12" eb="14">
      <t>ドケン</t>
    </rPh>
    <rPh sb="14" eb="16">
      <t>コクホ</t>
    </rPh>
    <rPh sb="16" eb="18">
      <t>クミアイ</t>
    </rPh>
    <rPh sb="18" eb="20">
      <t>ショクイン</t>
    </rPh>
    <phoneticPr fontId="3"/>
  </si>
  <si>
    <t>労</t>
    <rPh sb="0" eb="1">
      <t>ロウ</t>
    </rPh>
    <phoneticPr fontId="3"/>
  </si>
  <si>
    <t>北角　嘉幸</t>
    <rPh sb="0" eb="2">
      <t>キタズミ</t>
    </rPh>
    <rPh sb="3" eb="5">
      <t>ヨシユキ</t>
    </rPh>
    <phoneticPr fontId="3"/>
  </si>
  <si>
    <t>議員秘書(近藤洋介)</t>
    <rPh sb="0" eb="2">
      <t>ギイン</t>
    </rPh>
    <rPh sb="2" eb="4">
      <t>ヒショ</t>
    </rPh>
    <rPh sb="5" eb="7">
      <t>コンドウ</t>
    </rPh>
    <rPh sb="7" eb="9">
      <t>ヨウスケ</t>
    </rPh>
    <phoneticPr fontId="3"/>
  </si>
  <si>
    <t>068埼玉14区01</t>
    <rPh sb="3" eb="5">
      <t>サイタマ</t>
    </rPh>
    <rPh sb="7" eb="8">
      <t>ク</t>
    </rPh>
    <phoneticPr fontId="3"/>
  </si>
  <si>
    <t>068埼玉14区02</t>
    <rPh sb="3" eb="5">
      <t>サイタマ</t>
    </rPh>
    <rPh sb="7" eb="8">
      <t>ク</t>
    </rPh>
    <phoneticPr fontId="3"/>
  </si>
  <si>
    <t>068埼玉14区03</t>
    <rPh sb="3" eb="5">
      <t>サイタマ</t>
    </rPh>
    <rPh sb="7" eb="8">
      <t>ク</t>
    </rPh>
    <phoneticPr fontId="3"/>
  </si>
  <si>
    <t>068埼玉14区04</t>
    <rPh sb="3" eb="5">
      <t>サイタマ</t>
    </rPh>
    <rPh sb="7" eb="8">
      <t>ク</t>
    </rPh>
    <phoneticPr fontId="3"/>
  </si>
  <si>
    <t>中野　　譲</t>
    <rPh sb="0" eb="2">
      <t>ナカノ</t>
    </rPh>
    <rPh sb="4" eb="5">
      <t>ジョウ</t>
    </rPh>
    <phoneticPr fontId="3"/>
  </si>
  <si>
    <t>068埼玉14区</t>
    <rPh sb="3" eb="5">
      <t>サイタマ</t>
    </rPh>
    <rPh sb="7" eb="8">
      <t>ク</t>
    </rPh>
    <phoneticPr fontId="3"/>
  </si>
  <si>
    <t>大院(米/ドレクセル)</t>
    <rPh sb="0" eb="2">
      <t>ダイイン</t>
    </rPh>
    <rPh sb="3" eb="4">
      <t>ベイ</t>
    </rPh>
    <phoneticPr fontId="3"/>
  </si>
  <si>
    <t>議員秘書(末松義規),NGO職員(国際開発救援財団)</t>
    <rPh sb="0" eb="2">
      <t>ギイン</t>
    </rPh>
    <rPh sb="2" eb="4">
      <t>ヒショ</t>
    </rPh>
    <rPh sb="5" eb="7">
      <t>スエマツ</t>
    </rPh>
    <rPh sb="7" eb="8">
      <t>ヨシ</t>
    </rPh>
    <rPh sb="8" eb="9">
      <t>ノリ</t>
    </rPh>
    <rPh sb="14" eb="16">
      <t>ショクイン</t>
    </rPh>
    <rPh sb="17" eb="19">
      <t>コクサイ</t>
    </rPh>
    <rPh sb="19" eb="21">
      <t>カイハツ</t>
    </rPh>
    <rPh sb="21" eb="23">
      <t>キュウエン</t>
    </rPh>
    <rPh sb="23" eb="25">
      <t>ザイダン</t>
    </rPh>
    <phoneticPr fontId="3"/>
  </si>
  <si>
    <t>三ツ林　裕巳</t>
    <rPh sb="0" eb="1">
      <t>ミ</t>
    </rPh>
    <rPh sb="2" eb="3">
      <t>バヤシ</t>
    </rPh>
    <rPh sb="4" eb="6">
      <t>ヒロミ</t>
    </rPh>
    <phoneticPr fontId="3"/>
  </si>
  <si>
    <t>大(日本)</t>
    <rPh sb="0" eb="1">
      <t>ダイ</t>
    </rPh>
    <rPh sb="2" eb="4">
      <t>ニホン</t>
    </rPh>
    <phoneticPr fontId="3"/>
  </si>
  <si>
    <t>医師(日本歯科大学付属病院副院長)</t>
    <rPh sb="0" eb="2">
      <t>イシ</t>
    </rPh>
    <rPh sb="3" eb="5">
      <t>ニホン</t>
    </rPh>
    <rPh sb="5" eb="9">
      <t>シカダイガク</t>
    </rPh>
    <rPh sb="9" eb="11">
      <t>フゾク</t>
    </rPh>
    <rPh sb="11" eb="13">
      <t>ビョウイン</t>
    </rPh>
    <rPh sb="13" eb="16">
      <t>フクインチョウ</t>
    </rPh>
    <phoneticPr fontId="3"/>
  </si>
  <si>
    <t>苗村　光雄</t>
    <rPh sb="0" eb="2">
      <t>ナエムラ</t>
    </rPh>
    <rPh sb="3" eb="5">
      <t>ミツオ</t>
    </rPh>
    <phoneticPr fontId="3"/>
  </si>
  <si>
    <t>大(東海)</t>
    <rPh sb="0" eb="1">
      <t>ダイ</t>
    </rPh>
    <rPh sb="2" eb="4">
      <t>トウカイ</t>
    </rPh>
    <phoneticPr fontId="3"/>
  </si>
  <si>
    <t>共産党地区副委員長,東京土建労組役員</t>
    <rPh sb="0" eb="3">
      <t>キョウサントウ</t>
    </rPh>
    <rPh sb="3" eb="5">
      <t>チク</t>
    </rPh>
    <rPh sb="5" eb="9">
      <t>フクイインチョウ</t>
    </rPh>
    <rPh sb="10" eb="12">
      <t>トウキョウ</t>
    </rPh>
    <rPh sb="12" eb="14">
      <t>ドケン</t>
    </rPh>
    <rPh sb="14" eb="16">
      <t>ロウソ</t>
    </rPh>
    <rPh sb="16" eb="18">
      <t>ヤクイン</t>
    </rPh>
    <phoneticPr fontId="3"/>
  </si>
  <si>
    <t>鈴木　義弘</t>
    <rPh sb="0" eb="2">
      <t>スズキ</t>
    </rPh>
    <rPh sb="3" eb="5">
      <t>ヨシヒロ</t>
    </rPh>
    <phoneticPr fontId="3"/>
  </si>
  <si>
    <t>埼玉県議(三郷市・東11),会社役員(三栄興業)</t>
    <rPh sb="0" eb="2">
      <t>サイタマ</t>
    </rPh>
    <rPh sb="2" eb="4">
      <t>ケンギ</t>
    </rPh>
    <rPh sb="5" eb="8">
      <t>ミサトシ</t>
    </rPh>
    <rPh sb="9" eb="10">
      <t>ヒガシ</t>
    </rPh>
    <rPh sb="14" eb="16">
      <t>カイシャ</t>
    </rPh>
    <rPh sb="16" eb="18">
      <t>ヤクイン</t>
    </rPh>
    <rPh sb="19" eb="21">
      <t>サンエイ</t>
    </rPh>
    <rPh sb="21" eb="23">
      <t>コウギョウ</t>
    </rPh>
    <phoneticPr fontId="3"/>
  </si>
  <si>
    <t>069埼玉15区01</t>
    <rPh sb="3" eb="5">
      <t>サイタマ</t>
    </rPh>
    <rPh sb="7" eb="8">
      <t>ク</t>
    </rPh>
    <phoneticPr fontId="3"/>
  </si>
  <si>
    <t>069埼玉15区02</t>
    <rPh sb="3" eb="5">
      <t>サイタマ</t>
    </rPh>
    <rPh sb="7" eb="8">
      <t>ク</t>
    </rPh>
    <phoneticPr fontId="3"/>
  </si>
  <si>
    <t>069埼玉15区03</t>
    <rPh sb="3" eb="5">
      <t>サイタマ</t>
    </rPh>
    <rPh sb="7" eb="8">
      <t>ク</t>
    </rPh>
    <phoneticPr fontId="3"/>
  </si>
  <si>
    <t>069埼玉15区04</t>
    <rPh sb="3" eb="5">
      <t>サイタマ</t>
    </rPh>
    <rPh sb="7" eb="8">
      <t>ク</t>
    </rPh>
    <phoneticPr fontId="3"/>
  </si>
  <si>
    <t>さ</t>
    <phoneticPr fontId="3"/>
  </si>
  <si>
    <t>高山　智司</t>
    <rPh sb="0" eb="2">
      <t>タカヤマ</t>
    </rPh>
    <rPh sb="3" eb="5">
      <t>サトシ</t>
    </rPh>
    <phoneticPr fontId="3"/>
  </si>
  <si>
    <t>069埼玉15区</t>
    <rPh sb="3" eb="5">
      <t>サイタマ</t>
    </rPh>
    <rPh sb="7" eb="8">
      <t>ク</t>
    </rPh>
    <phoneticPr fontId="3"/>
  </si>
  <si>
    <t>由</t>
    <rPh sb="0" eb="1">
      <t>ユウ</t>
    </rPh>
    <phoneticPr fontId="3"/>
  </si>
  <si>
    <t>大(明治)</t>
    <rPh sb="0" eb="1">
      <t>ダイ</t>
    </rPh>
    <rPh sb="2" eb="4">
      <t>メイジ</t>
    </rPh>
    <phoneticPr fontId="3"/>
  </si>
  <si>
    <t>議員秘書(森裕子)</t>
    <rPh sb="0" eb="2">
      <t>ギイン</t>
    </rPh>
    <rPh sb="2" eb="4">
      <t>ヒショ</t>
    </rPh>
    <rPh sb="5" eb="6">
      <t>モリ</t>
    </rPh>
    <rPh sb="6" eb="8">
      <t>ユウコ</t>
    </rPh>
    <phoneticPr fontId="3"/>
  </si>
  <si>
    <t>環境・内閣府政務官</t>
    <rPh sb="0" eb="2">
      <t>カンキョウ</t>
    </rPh>
    <rPh sb="3" eb="6">
      <t>ナイカクフ</t>
    </rPh>
    <rPh sb="6" eb="9">
      <t>セイムカン</t>
    </rPh>
    <phoneticPr fontId="3"/>
  </si>
  <si>
    <t>田中　良生</t>
    <rPh sb="0" eb="2">
      <t>タナカ</t>
    </rPh>
    <rPh sb="3" eb="4">
      <t>リョウ</t>
    </rPh>
    <rPh sb="4" eb="5">
      <t>セイ</t>
    </rPh>
    <phoneticPr fontId="3"/>
  </si>
  <si>
    <t>会社社長(蕨ケーブルテレビジョン)</t>
    <rPh sb="0" eb="2">
      <t>カイシャ</t>
    </rPh>
    <rPh sb="2" eb="4">
      <t>シャチョウ</t>
    </rPh>
    <rPh sb="5" eb="6">
      <t>ワラビ</t>
    </rPh>
    <phoneticPr fontId="3"/>
  </si>
  <si>
    <t>小久保　剛志</t>
    <rPh sb="0" eb="3">
      <t>コクボ</t>
    </rPh>
    <rPh sb="4" eb="6">
      <t>タケシ</t>
    </rPh>
    <phoneticPr fontId="3"/>
  </si>
  <si>
    <t>議員秘書(塩川鉄也),赤旗記者</t>
    <rPh sb="0" eb="2">
      <t>ギイン</t>
    </rPh>
    <rPh sb="2" eb="4">
      <t>ヒショ</t>
    </rPh>
    <rPh sb="5" eb="7">
      <t>シオカワ</t>
    </rPh>
    <rPh sb="7" eb="9">
      <t>テツヤ</t>
    </rPh>
    <rPh sb="11" eb="13">
      <t>アカハタ</t>
    </rPh>
    <rPh sb="13" eb="15">
      <t>キシャ</t>
    </rPh>
    <phoneticPr fontId="3"/>
  </si>
  <si>
    <t>大院(明治)</t>
    <rPh sb="0" eb="2">
      <t>ダイイン</t>
    </rPh>
    <rPh sb="3" eb="5">
      <t>メイジ</t>
    </rPh>
    <phoneticPr fontId="3"/>
  </si>
  <si>
    <t>齊藤　裕康</t>
    <rPh sb="0" eb="2">
      <t>サイトウ</t>
    </rPh>
    <rPh sb="3" eb="5">
      <t>ヒロヤス</t>
    </rPh>
    <phoneticPr fontId="3"/>
  </si>
  <si>
    <t>大学職員(明治大学)</t>
    <rPh sb="0" eb="2">
      <t>ダイガク</t>
    </rPh>
    <rPh sb="2" eb="4">
      <t>ショクイン</t>
    </rPh>
    <rPh sb="5" eb="7">
      <t>メイジ</t>
    </rPh>
    <rPh sb="7" eb="9">
      <t>ダイガク</t>
    </rPh>
    <phoneticPr fontId="3"/>
  </si>
  <si>
    <t>属性</t>
    <rPh sb="0" eb="2">
      <t>ゾクセイ</t>
    </rPh>
    <phoneticPr fontId="3"/>
  </si>
  <si>
    <t>070千葉1区01</t>
    <rPh sb="3" eb="5">
      <t>チバ</t>
    </rPh>
    <rPh sb="6" eb="7">
      <t>ク</t>
    </rPh>
    <phoneticPr fontId="3"/>
  </si>
  <si>
    <t>三井　マリ子</t>
    <rPh sb="0" eb="2">
      <t>ミツイ</t>
    </rPh>
    <rPh sb="5" eb="6">
      <t>コ</t>
    </rPh>
    <phoneticPr fontId="3"/>
  </si>
  <si>
    <t>議</t>
    <rPh sb="0" eb="1">
      <t>ギ</t>
    </rPh>
    <phoneticPr fontId="3"/>
  </si>
  <si>
    <t>東京都議(杉並区),大学教員(東海大学非常勤講師)</t>
    <rPh sb="0" eb="2">
      <t>トウキョウ</t>
    </rPh>
    <rPh sb="2" eb="4">
      <t>トギ</t>
    </rPh>
    <rPh sb="5" eb="8">
      <t>スギナミク</t>
    </rPh>
    <rPh sb="10" eb="12">
      <t>ダイガク</t>
    </rPh>
    <rPh sb="12" eb="14">
      <t>キョウイン</t>
    </rPh>
    <rPh sb="15" eb="17">
      <t>トウカイ</t>
    </rPh>
    <rPh sb="17" eb="19">
      <t>ダイガク</t>
    </rPh>
    <rPh sb="19" eb="22">
      <t>ヒジョウキン</t>
    </rPh>
    <rPh sb="22" eb="24">
      <t>コウシ</t>
    </rPh>
    <phoneticPr fontId="3"/>
  </si>
  <si>
    <t>070千葉1区02</t>
    <rPh sb="3" eb="5">
      <t>チバ</t>
    </rPh>
    <rPh sb="6" eb="7">
      <t>ク</t>
    </rPh>
    <phoneticPr fontId="3"/>
  </si>
  <si>
    <t>070千葉1区03</t>
    <rPh sb="3" eb="5">
      <t>チバ</t>
    </rPh>
    <rPh sb="6" eb="7">
      <t>ク</t>
    </rPh>
    <phoneticPr fontId="3"/>
  </si>
  <si>
    <t>070千葉1区04</t>
    <rPh sb="3" eb="5">
      <t>チバ</t>
    </rPh>
    <rPh sb="6" eb="7">
      <t>ク</t>
    </rPh>
    <phoneticPr fontId="3"/>
  </si>
  <si>
    <t>田嶋　　要</t>
    <rPh sb="0" eb="2">
      <t>タジマ</t>
    </rPh>
    <rPh sb="4" eb="5">
      <t>カナメ</t>
    </rPh>
    <phoneticPr fontId="3"/>
  </si>
  <si>
    <t>070千葉1区</t>
    <rPh sb="3" eb="5">
      <t>チバ</t>
    </rPh>
    <rPh sb="6" eb="7">
      <t>ク</t>
    </rPh>
    <phoneticPr fontId="3"/>
  </si>
  <si>
    <t>大(東京)</t>
    <rPh sb="0" eb="1">
      <t>ダイ</t>
    </rPh>
    <rPh sb="2" eb="4">
      <t>トウキョウ</t>
    </rPh>
    <phoneticPr fontId="3"/>
  </si>
  <si>
    <t>世界銀行職員,会社員(NTT)</t>
    <rPh sb="0" eb="2">
      <t>セカイ</t>
    </rPh>
    <rPh sb="2" eb="4">
      <t>ギンコウ</t>
    </rPh>
    <rPh sb="4" eb="6">
      <t>ショクイン</t>
    </rPh>
    <rPh sb="7" eb="10">
      <t>カイシャイン</t>
    </rPh>
    <phoneticPr fontId="3"/>
  </si>
  <si>
    <t>　元政務官(経産)</t>
    <rPh sb="1" eb="2">
      <t>モト</t>
    </rPh>
    <rPh sb="2" eb="5">
      <t>セイムカン</t>
    </rPh>
    <rPh sb="6" eb="8">
      <t>ケイサン</t>
    </rPh>
    <phoneticPr fontId="3"/>
  </si>
  <si>
    <t>門山　宏哲</t>
    <rPh sb="0" eb="2">
      <t>カドヤマ</t>
    </rPh>
    <rPh sb="3" eb="4">
      <t>ヒロ</t>
    </rPh>
    <rPh sb="4" eb="5">
      <t>アキ</t>
    </rPh>
    <phoneticPr fontId="3"/>
  </si>
  <si>
    <t>弁護士</t>
    <rPh sb="0" eb="3">
      <t>ベンゴシ</t>
    </rPh>
    <phoneticPr fontId="3"/>
  </si>
  <si>
    <t>法</t>
    <rPh sb="0" eb="1">
      <t>ホウ</t>
    </rPh>
    <phoneticPr fontId="3"/>
  </si>
  <si>
    <t>西野　元樹</t>
    <rPh sb="0" eb="2">
      <t>ニシノ</t>
    </rPh>
    <rPh sb="3" eb="5">
      <t>モトキ</t>
    </rPh>
    <phoneticPr fontId="3"/>
  </si>
  <si>
    <t>大(神戸市立外国語)</t>
    <rPh sb="0" eb="1">
      <t>ダイ</t>
    </rPh>
    <rPh sb="2" eb="4">
      <t>コウベ</t>
    </rPh>
    <rPh sb="4" eb="6">
      <t>シリツ</t>
    </rPh>
    <rPh sb="6" eb="9">
      <t>ガイコクゴ</t>
    </rPh>
    <phoneticPr fontId="3"/>
  </si>
  <si>
    <t>会社員(アドバンストマテリアルジャパン)</t>
    <rPh sb="0" eb="3">
      <t>カイシャイン</t>
    </rPh>
    <phoneticPr fontId="3"/>
  </si>
  <si>
    <t>071千葉2区01</t>
    <rPh sb="3" eb="5">
      <t>チバ</t>
    </rPh>
    <rPh sb="6" eb="7">
      <t>ク</t>
    </rPh>
    <phoneticPr fontId="3"/>
  </si>
  <si>
    <t>071千葉2区02</t>
    <rPh sb="3" eb="5">
      <t>チバ</t>
    </rPh>
    <rPh sb="6" eb="7">
      <t>ク</t>
    </rPh>
    <phoneticPr fontId="3"/>
  </si>
  <si>
    <t>071千葉2区03</t>
    <rPh sb="3" eb="5">
      <t>チバ</t>
    </rPh>
    <rPh sb="6" eb="7">
      <t>ク</t>
    </rPh>
    <phoneticPr fontId="3"/>
  </si>
  <si>
    <t>071千葉2区04</t>
    <rPh sb="3" eb="5">
      <t>チバ</t>
    </rPh>
    <rPh sb="6" eb="7">
      <t>ク</t>
    </rPh>
    <phoneticPr fontId="3"/>
  </si>
  <si>
    <t>071千葉2区05</t>
    <rPh sb="3" eb="5">
      <t>チバ</t>
    </rPh>
    <rPh sb="6" eb="7">
      <t>ク</t>
    </rPh>
    <phoneticPr fontId="3"/>
  </si>
  <si>
    <t>小林　鷹之</t>
    <rPh sb="0" eb="2">
      <t>コバヤシ</t>
    </rPh>
    <rPh sb="3" eb="5">
      <t>タカユキ</t>
    </rPh>
    <phoneticPr fontId="3"/>
  </si>
  <si>
    <t>官</t>
    <rPh sb="0" eb="1">
      <t>カン</t>
    </rPh>
    <phoneticPr fontId="3"/>
  </si>
  <si>
    <t>入沢　俊行</t>
    <rPh sb="0" eb="2">
      <t>イリサワ</t>
    </rPh>
    <rPh sb="3" eb="5">
      <t>トシユキ</t>
    </rPh>
    <phoneticPr fontId="3"/>
  </si>
  <si>
    <t>他(東京医療専門学校)</t>
    <rPh sb="0" eb="1">
      <t>ホカ</t>
    </rPh>
    <rPh sb="2" eb="4">
      <t>トウキョウ</t>
    </rPh>
    <rPh sb="4" eb="6">
      <t>イリョウ</t>
    </rPh>
    <rPh sb="6" eb="8">
      <t>センモン</t>
    </rPh>
    <rPh sb="8" eb="10">
      <t>ガッコウ</t>
    </rPh>
    <phoneticPr fontId="3"/>
  </si>
  <si>
    <t>千葉県・習志野市議</t>
    <rPh sb="0" eb="3">
      <t>チバケン</t>
    </rPh>
    <rPh sb="4" eb="7">
      <t>ナラシノ</t>
    </rPh>
    <rPh sb="7" eb="9">
      <t>シギ</t>
    </rPh>
    <phoneticPr fontId="3"/>
  </si>
  <si>
    <t>中田　敏博</t>
    <rPh sb="0" eb="2">
      <t>ナカダ</t>
    </rPh>
    <rPh sb="3" eb="5">
      <t>トシヒロ</t>
    </rPh>
    <phoneticPr fontId="3"/>
  </si>
  <si>
    <t>黒田　　雄</t>
    <rPh sb="0" eb="2">
      <t>クロダ</t>
    </rPh>
    <rPh sb="4" eb="5">
      <t>ユウ</t>
    </rPh>
    <phoneticPr fontId="3"/>
  </si>
  <si>
    <t>大(日本)</t>
    <rPh sb="0" eb="1">
      <t>ダイ</t>
    </rPh>
    <rPh sb="2" eb="4">
      <t>ニホン</t>
    </rPh>
    <phoneticPr fontId="3"/>
  </si>
  <si>
    <t>千葉県議(千葉市・花見川区),千葉県・千葉市議,議員秘書(岡島正之)</t>
    <rPh sb="0" eb="2">
      <t>チバ</t>
    </rPh>
    <rPh sb="2" eb="4">
      <t>ケンギ</t>
    </rPh>
    <rPh sb="5" eb="8">
      <t>チバシ</t>
    </rPh>
    <rPh sb="9" eb="13">
      <t>ハナミガワク</t>
    </rPh>
    <rPh sb="15" eb="18">
      <t>チバケン</t>
    </rPh>
    <rPh sb="19" eb="21">
      <t>チバ</t>
    </rPh>
    <rPh sb="21" eb="23">
      <t>シギ</t>
    </rPh>
    <rPh sb="24" eb="26">
      <t>ギイン</t>
    </rPh>
    <rPh sb="26" eb="28">
      <t>ヒショ</t>
    </rPh>
    <rPh sb="29" eb="31">
      <t>オカジマ</t>
    </rPh>
    <rPh sb="31" eb="33">
      <t>マサユキ</t>
    </rPh>
    <phoneticPr fontId="3"/>
  </si>
  <si>
    <t>大院(米/マサチューセッツ工科)</t>
    <rPh sb="0" eb="2">
      <t>ダイイン</t>
    </rPh>
    <rPh sb="3" eb="4">
      <t>ベイ</t>
    </rPh>
    <rPh sb="13" eb="15">
      <t>コウカ</t>
    </rPh>
    <phoneticPr fontId="3"/>
  </si>
  <si>
    <t>072千葉3区01</t>
    <rPh sb="3" eb="5">
      <t>チバ</t>
    </rPh>
    <rPh sb="6" eb="7">
      <t>ク</t>
    </rPh>
    <phoneticPr fontId="3"/>
  </si>
  <si>
    <t>071千葉2区</t>
    <rPh sb="3" eb="5">
      <t>チバ</t>
    </rPh>
    <rPh sb="6" eb="7">
      <t>ク</t>
    </rPh>
    <phoneticPr fontId="3"/>
  </si>
  <si>
    <t>072千葉3区02</t>
    <rPh sb="3" eb="5">
      <t>チバ</t>
    </rPh>
    <rPh sb="6" eb="7">
      <t>ク</t>
    </rPh>
    <phoneticPr fontId="3"/>
  </si>
  <si>
    <t>072千葉3区03</t>
    <rPh sb="3" eb="5">
      <t>チバ</t>
    </rPh>
    <rPh sb="6" eb="7">
      <t>ク</t>
    </rPh>
    <phoneticPr fontId="3"/>
  </si>
  <si>
    <t>072千葉3区04</t>
    <rPh sb="3" eb="5">
      <t>チバ</t>
    </rPh>
    <rPh sb="6" eb="7">
      <t>ク</t>
    </rPh>
    <phoneticPr fontId="3"/>
  </si>
  <si>
    <t>松野　博一</t>
    <rPh sb="0" eb="2">
      <t>マツノ</t>
    </rPh>
    <rPh sb="3" eb="5">
      <t>ヒロカズ</t>
    </rPh>
    <phoneticPr fontId="3"/>
  </si>
  <si>
    <t>304比例南関東17</t>
    <rPh sb="3" eb="5">
      <t>ヒレイ</t>
    </rPh>
    <rPh sb="5" eb="8">
      <t>ミナミカントウ</t>
    </rPh>
    <phoneticPr fontId="3"/>
  </si>
  <si>
    <t>　元副大臣(文科),政務官(厚労)</t>
    <rPh sb="1" eb="2">
      <t>モト</t>
    </rPh>
    <rPh sb="2" eb="5">
      <t>フクダイジン</t>
    </rPh>
    <rPh sb="6" eb="8">
      <t>モンカ</t>
    </rPh>
    <rPh sb="10" eb="13">
      <t>セイムカン</t>
    </rPh>
    <rPh sb="14" eb="16">
      <t>コウロウ</t>
    </rPh>
    <phoneticPr fontId="3"/>
  </si>
  <si>
    <t>松</t>
    <rPh sb="0" eb="1">
      <t>マツ</t>
    </rPh>
    <phoneticPr fontId="3"/>
  </si>
  <si>
    <t>岡島　一正</t>
    <rPh sb="0" eb="2">
      <t>オカジマ</t>
    </rPh>
    <rPh sb="3" eb="5">
      <t>カズマサ</t>
    </rPh>
    <phoneticPr fontId="3"/>
  </si>
  <si>
    <t>072千葉3区</t>
    <rPh sb="3" eb="5">
      <t>チバ</t>
    </rPh>
    <rPh sb="6" eb="7">
      <t>ク</t>
    </rPh>
    <phoneticPr fontId="3"/>
  </si>
  <si>
    <t>テレビ記者(NHK)</t>
    <rPh sb="3" eb="5">
      <t>キシャ</t>
    </rPh>
    <phoneticPr fontId="3"/>
  </si>
  <si>
    <t>ジ二</t>
    <rPh sb="1" eb="2">
      <t>ニ</t>
    </rPh>
    <phoneticPr fontId="3"/>
  </si>
  <si>
    <t>ジ</t>
    <phoneticPr fontId="3"/>
  </si>
  <si>
    <t>二</t>
    <rPh sb="0" eb="1">
      <t>ニ</t>
    </rPh>
    <phoneticPr fontId="3"/>
  </si>
  <si>
    <t>石川　　正</t>
    <rPh sb="0" eb="2">
      <t>イシカワ</t>
    </rPh>
    <rPh sb="4" eb="5">
      <t>タダシ</t>
    </rPh>
    <phoneticPr fontId="3"/>
  </si>
  <si>
    <t>高(大阪市立西第二商)</t>
    <rPh sb="0" eb="1">
      <t>コウ</t>
    </rPh>
    <rPh sb="2" eb="4">
      <t>オオサカ</t>
    </rPh>
    <rPh sb="4" eb="6">
      <t>シリツ</t>
    </rPh>
    <rPh sb="6" eb="7">
      <t>ニシ</t>
    </rPh>
    <rPh sb="7" eb="9">
      <t>ダイニ</t>
    </rPh>
    <rPh sb="9" eb="10">
      <t>ショウ</t>
    </rPh>
    <phoneticPr fontId="3"/>
  </si>
  <si>
    <t>共産党地区常任委員,会社役員</t>
    <rPh sb="0" eb="3">
      <t>キョウサントウ</t>
    </rPh>
    <rPh sb="3" eb="5">
      <t>チク</t>
    </rPh>
    <rPh sb="5" eb="7">
      <t>ジョウニン</t>
    </rPh>
    <rPh sb="7" eb="9">
      <t>イイン</t>
    </rPh>
    <rPh sb="10" eb="12">
      <t>カイシャ</t>
    </rPh>
    <rPh sb="12" eb="14">
      <t>ヤクイン</t>
    </rPh>
    <phoneticPr fontId="3"/>
  </si>
  <si>
    <t>073千葉4区01</t>
    <rPh sb="3" eb="5">
      <t>チバ</t>
    </rPh>
    <rPh sb="6" eb="7">
      <t>ク</t>
    </rPh>
    <phoneticPr fontId="3"/>
  </si>
  <si>
    <t>073千葉4区02</t>
    <rPh sb="3" eb="5">
      <t>チバ</t>
    </rPh>
    <rPh sb="6" eb="7">
      <t>ク</t>
    </rPh>
    <phoneticPr fontId="3"/>
  </si>
  <si>
    <t>073千葉4区03</t>
    <rPh sb="3" eb="5">
      <t>チバ</t>
    </rPh>
    <rPh sb="6" eb="7">
      <t>ク</t>
    </rPh>
    <phoneticPr fontId="3"/>
  </si>
  <si>
    <t>073千葉4区04</t>
    <rPh sb="3" eb="5">
      <t>チバ</t>
    </rPh>
    <rPh sb="6" eb="7">
      <t>ク</t>
    </rPh>
    <phoneticPr fontId="3"/>
  </si>
  <si>
    <t>野田　佳彦</t>
    <rPh sb="0" eb="2">
      <t>ノダ</t>
    </rPh>
    <rPh sb="3" eb="5">
      <t>ヨシヒコ</t>
    </rPh>
    <phoneticPr fontId="3"/>
  </si>
  <si>
    <t>073千葉4区</t>
    <rPh sb="3" eb="5">
      <t>チバ</t>
    </rPh>
    <rPh sb="6" eb="7">
      <t>ク</t>
    </rPh>
    <phoneticPr fontId="3"/>
  </si>
  <si>
    <t>進</t>
    <rPh sb="0" eb="1">
      <t>シン</t>
    </rPh>
    <phoneticPr fontId="3"/>
  </si>
  <si>
    <t>首相・民主党代表，元大臣(財務),委長(懲罰),副大臣(財務),民主党幹事長代理,国対委長</t>
    <rPh sb="0" eb="2">
      <t>シュショウ</t>
    </rPh>
    <rPh sb="3" eb="6">
      <t>ミンシュトウ</t>
    </rPh>
    <rPh sb="6" eb="8">
      <t>ダイヒョウ</t>
    </rPh>
    <rPh sb="9" eb="12">
      <t>モトダイジン</t>
    </rPh>
    <rPh sb="13" eb="15">
      <t>ザイム</t>
    </rPh>
    <rPh sb="17" eb="19">
      <t>イチョウ</t>
    </rPh>
    <rPh sb="20" eb="22">
      <t>チョウバツ</t>
    </rPh>
    <rPh sb="24" eb="27">
      <t>フクダイジン</t>
    </rPh>
    <rPh sb="28" eb="30">
      <t>ザイム</t>
    </rPh>
    <rPh sb="32" eb="35">
      <t>ミンシュトウ</t>
    </rPh>
    <rPh sb="35" eb="38">
      <t>カンジチョウ</t>
    </rPh>
    <rPh sb="38" eb="40">
      <t>ダイリ</t>
    </rPh>
    <rPh sb="41" eb="45">
      <t>コクタイイチョウ</t>
    </rPh>
    <phoneticPr fontId="3"/>
  </si>
  <si>
    <t>議松</t>
    <rPh sb="0" eb="1">
      <t>ギ</t>
    </rPh>
    <rPh sb="1" eb="2">
      <t>マツ</t>
    </rPh>
    <phoneticPr fontId="3"/>
  </si>
  <si>
    <t>藤田　幹雄</t>
    <rPh sb="0" eb="2">
      <t>フジタ</t>
    </rPh>
    <rPh sb="3" eb="5">
      <t>ミキオ</t>
    </rPh>
    <phoneticPr fontId="3"/>
  </si>
  <si>
    <t>元</t>
    <rPh sb="0" eb="1">
      <t>モト</t>
    </rPh>
    <phoneticPr fontId="3"/>
  </si>
  <si>
    <t>会社員(ソニー)</t>
    <rPh sb="0" eb="3">
      <t>カイシャイン</t>
    </rPh>
    <phoneticPr fontId="3"/>
  </si>
  <si>
    <t>斉藤　和子</t>
    <rPh sb="0" eb="2">
      <t>サイトウ</t>
    </rPh>
    <rPh sb="3" eb="5">
      <t>カズコ</t>
    </rPh>
    <phoneticPr fontId="3"/>
  </si>
  <si>
    <t>共産党地区常任委員,高校講師</t>
    <rPh sb="0" eb="3">
      <t>キョウサントウ</t>
    </rPh>
    <rPh sb="3" eb="5">
      <t>チク</t>
    </rPh>
    <rPh sb="5" eb="7">
      <t>ジョウニン</t>
    </rPh>
    <rPh sb="7" eb="9">
      <t>イイン</t>
    </rPh>
    <rPh sb="10" eb="12">
      <t>コウコウ</t>
    </rPh>
    <rPh sb="12" eb="14">
      <t>コウシ</t>
    </rPh>
    <phoneticPr fontId="3"/>
  </si>
  <si>
    <t>み</t>
    <phoneticPr fontId="3"/>
  </si>
  <si>
    <t>米国日本大使館一等書記官(財務省)</t>
    <rPh sb="0" eb="2">
      <t>ベイコク</t>
    </rPh>
    <rPh sb="2" eb="4">
      <t>ニホン</t>
    </rPh>
    <rPh sb="4" eb="7">
      <t>タイシカン</t>
    </rPh>
    <rPh sb="7" eb="9">
      <t>イットウ</t>
    </rPh>
    <rPh sb="9" eb="12">
      <t>ショキカン</t>
    </rPh>
    <rPh sb="13" eb="16">
      <t>ザイムショウ</t>
    </rPh>
    <phoneticPr fontId="3"/>
  </si>
  <si>
    <t>大院(北見工業)</t>
    <rPh sb="0" eb="2">
      <t>ダイイン</t>
    </rPh>
    <rPh sb="3" eb="5">
      <t>キタミ</t>
    </rPh>
    <rPh sb="5" eb="7">
      <t>コウギョウ</t>
    </rPh>
    <phoneticPr fontId="3"/>
  </si>
  <si>
    <t>062埼玉8区04</t>
    <rPh sb="3" eb="5">
      <t>サイタマ</t>
    </rPh>
    <rPh sb="6" eb="7">
      <t>ク</t>
    </rPh>
    <phoneticPr fontId="3"/>
  </si>
  <si>
    <t>並木　正芳</t>
    <rPh sb="0" eb="2">
      <t>ナミキ</t>
    </rPh>
    <rPh sb="3" eb="5">
      <t>マサヨシ</t>
    </rPh>
    <phoneticPr fontId="3"/>
  </si>
  <si>
    <t>自</t>
    <rPh sb="0" eb="1">
      <t>ジ</t>
    </rPh>
    <phoneticPr fontId="3"/>
  </si>
  <si>
    <t>元</t>
    <rPh sb="0" eb="1">
      <t>モト</t>
    </rPh>
    <phoneticPr fontId="3"/>
  </si>
  <si>
    <t>埼玉県議(所沢市・西1),埼玉県・所沢市議</t>
    <rPh sb="0" eb="2">
      <t>サイタマ</t>
    </rPh>
    <rPh sb="2" eb="4">
      <t>ケンギ</t>
    </rPh>
    <rPh sb="5" eb="8">
      <t>トコロザワシ</t>
    </rPh>
    <rPh sb="9" eb="10">
      <t>ニシ</t>
    </rPh>
    <rPh sb="13" eb="16">
      <t>サイタマケン</t>
    </rPh>
    <rPh sb="17" eb="19">
      <t>トコロザワ</t>
    </rPh>
    <rPh sb="19" eb="21">
      <t>シギ</t>
    </rPh>
    <phoneticPr fontId="3"/>
  </si>
  <si>
    <t>　元政務官(内閣,環境)</t>
    <rPh sb="1" eb="2">
      <t>モト</t>
    </rPh>
    <rPh sb="2" eb="5">
      <t>セイムカン</t>
    </rPh>
    <rPh sb="6" eb="8">
      <t>ナイカク</t>
    </rPh>
    <rPh sb="9" eb="11">
      <t>カンキョウ</t>
    </rPh>
    <phoneticPr fontId="3"/>
  </si>
  <si>
    <t>議</t>
    <rPh sb="0" eb="1">
      <t>ギ</t>
    </rPh>
    <phoneticPr fontId="3"/>
  </si>
  <si>
    <t>058埼玉4区04</t>
    <rPh sb="3" eb="5">
      <t>サイタマ</t>
    </rPh>
    <rPh sb="6" eb="7">
      <t>ク</t>
    </rPh>
    <phoneticPr fontId="3"/>
  </si>
  <si>
    <t>　元政務官(法務)</t>
    <rPh sb="1" eb="2">
      <t>モト</t>
    </rPh>
    <rPh sb="2" eb="5">
      <t>セイムカン</t>
    </rPh>
    <rPh sb="6" eb="8">
      <t>ホウム</t>
    </rPh>
    <phoneticPr fontId="3"/>
  </si>
  <si>
    <t>074千葉5区01</t>
    <rPh sb="3" eb="5">
      <t>チバ</t>
    </rPh>
    <rPh sb="6" eb="7">
      <t>ク</t>
    </rPh>
    <phoneticPr fontId="3"/>
  </si>
  <si>
    <t>074千葉5区02</t>
    <rPh sb="3" eb="5">
      <t>チバ</t>
    </rPh>
    <rPh sb="6" eb="7">
      <t>ク</t>
    </rPh>
    <phoneticPr fontId="3"/>
  </si>
  <si>
    <t>074千葉5区03</t>
    <rPh sb="3" eb="5">
      <t>チバ</t>
    </rPh>
    <rPh sb="6" eb="7">
      <t>ク</t>
    </rPh>
    <phoneticPr fontId="3"/>
  </si>
  <si>
    <t>074千葉5区04</t>
    <rPh sb="3" eb="5">
      <t>チバ</t>
    </rPh>
    <rPh sb="6" eb="7">
      <t>ク</t>
    </rPh>
    <phoneticPr fontId="3"/>
  </si>
  <si>
    <t>村越　祐民</t>
    <rPh sb="0" eb="2">
      <t>ムラコシ</t>
    </rPh>
    <rPh sb="3" eb="4">
      <t>ヒロ</t>
    </rPh>
    <rPh sb="4" eb="5">
      <t>タミ</t>
    </rPh>
    <phoneticPr fontId="3"/>
  </si>
  <si>
    <t>074千葉5区</t>
    <rPh sb="3" eb="5">
      <t>チバ</t>
    </rPh>
    <rPh sb="6" eb="7">
      <t>ク</t>
    </rPh>
    <phoneticPr fontId="3"/>
  </si>
  <si>
    <t>大院中(早稲田)</t>
    <rPh sb="0" eb="2">
      <t>ダイイン</t>
    </rPh>
    <rPh sb="2" eb="3">
      <t>チュウ</t>
    </rPh>
    <rPh sb="4" eb="7">
      <t>ワセダ</t>
    </rPh>
    <phoneticPr fontId="3"/>
  </si>
  <si>
    <t>千葉県議(市川市),会社員(日本シリコングラフィクス)</t>
    <rPh sb="0" eb="2">
      <t>チバ</t>
    </rPh>
    <rPh sb="2" eb="4">
      <t>ケンギ</t>
    </rPh>
    <rPh sb="5" eb="8">
      <t>イチカワシ</t>
    </rPh>
    <rPh sb="10" eb="13">
      <t>カイシャイン</t>
    </rPh>
    <rPh sb="14" eb="16">
      <t>ニホン</t>
    </rPh>
    <phoneticPr fontId="3"/>
  </si>
  <si>
    <t>外務政務官</t>
    <rPh sb="0" eb="2">
      <t>ガイム</t>
    </rPh>
    <rPh sb="2" eb="5">
      <t>セイムカン</t>
    </rPh>
    <phoneticPr fontId="3"/>
  </si>
  <si>
    <t>議</t>
    <rPh sb="0" eb="1">
      <t>ギ</t>
    </rPh>
    <phoneticPr fontId="3"/>
  </si>
  <si>
    <t>薗浦　健太郎</t>
    <rPh sb="0" eb="1">
      <t>ソノ</t>
    </rPh>
    <rPh sb="1" eb="2">
      <t>ウラ</t>
    </rPh>
    <rPh sb="3" eb="6">
      <t>ケンタロウ</t>
    </rPh>
    <phoneticPr fontId="3"/>
  </si>
  <si>
    <t>大(東京)</t>
    <rPh sb="0" eb="1">
      <t>ダイ</t>
    </rPh>
    <rPh sb="2" eb="4">
      <t>トウキョウ</t>
    </rPh>
    <phoneticPr fontId="3"/>
  </si>
  <si>
    <t>議員秘書(麻生太郎),新聞記者(読売新聞)</t>
    <rPh sb="0" eb="2">
      <t>ギイン</t>
    </rPh>
    <rPh sb="2" eb="4">
      <t>ヒショ</t>
    </rPh>
    <rPh sb="5" eb="7">
      <t>アソウ</t>
    </rPh>
    <rPh sb="7" eb="9">
      <t>タロウ</t>
    </rPh>
    <rPh sb="11" eb="13">
      <t>シンブン</t>
    </rPh>
    <rPh sb="13" eb="15">
      <t>キシャ</t>
    </rPh>
    <rPh sb="16" eb="18">
      <t>ヨミウリ</t>
    </rPh>
    <rPh sb="18" eb="20">
      <t>シンブン</t>
    </rPh>
    <phoneticPr fontId="3"/>
  </si>
  <si>
    <t>ジ</t>
    <phoneticPr fontId="3"/>
  </si>
  <si>
    <t>木村　長人</t>
    <rPh sb="0" eb="2">
      <t>キムラ</t>
    </rPh>
    <rPh sb="3" eb="5">
      <t>ナガト</t>
    </rPh>
    <phoneticPr fontId="3"/>
  </si>
  <si>
    <t>大院(東京)</t>
    <rPh sb="0" eb="2">
      <t>ダイイン</t>
    </rPh>
    <rPh sb="3" eb="5">
      <t>トウキョウ</t>
    </rPh>
    <phoneticPr fontId="3"/>
  </si>
  <si>
    <t>東京都・江戸川区議,議員秘書(田中甲)</t>
    <rPh sb="0" eb="3">
      <t>トウキョウト</t>
    </rPh>
    <rPh sb="4" eb="7">
      <t>エドガワ</t>
    </rPh>
    <rPh sb="7" eb="9">
      <t>クギ</t>
    </rPh>
    <rPh sb="10" eb="12">
      <t>ギイン</t>
    </rPh>
    <rPh sb="12" eb="14">
      <t>ヒショ</t>
    </rPh>
    <rPh sb="15" eb="17">
      <t>タナカ</t>
    </rPh>
    <rPh sb="17" eb="18">
      <t>コウ</t>
    </rPh>
    <phoneticPr fontId="3"/>
  </si>
  <si>
    <t>075千葉6区01</t>
    <rPh sb="3" eb="5">
      <t>チバ</t>
    </rPh>
    <rPh sb="6" eb="7">
      <t>ク</t>
    </rPh>
    <phoneticPr fontId="3"/>
  </si>
  <si>
    <t>075千葉6区02</t>
    <rPh sb="3" eb="5">
      <t>チバ</t>
    </rPh>
    <rPh sb="6" eb="7">
      <t>ク</t>
    </rPh>
    <phoneticPr fontId="3"/>
  </si>
  <si>
    <t>075千葉6区03</t>
    <rPh sb="3" eb="5">
      <t>チバ</t>
    </rPh>
    <rPh sb="6" eb="7">
      <t>ク</t>
    </rPh>
    <phoneticPr fontId="3"/>
  </si>
  <si>
    <t>075千葉6区04</t>
    <rPh sb="3" eb="5">
      <t>チバ</t>
    </rPh>
    <rPh sb="6" eb="7">
      <t>ク</t>
    </rPh>
    <phoneticPr fontId="3"/>
  </si>
  <si>
    <t>生方　幸夫</t>
    <rPh sb="0" eb="2">
      <t>ウブカタ</t>
    </rPh>
    <rPh sb="3" eb="5">
      <t>ユキオ</t>
    </rPh>
    <phoneticPr fontId="3"/>
  </si>
  <si>
    <t>075千葉6区</t>
    <rPh sb="3" eb="5">
      <t>チバ</t>
    </rPh>
    <rPh sb="6" eb="7">
      <t>ク</t>
    </rPh>
    <phoneticPr fontId="3"/>
  </si>
  <si>
    <t>さ</t>
    <phoneticPr fontId="3"/>
  </si>
  <si>
    <t>経済評論家,新聞記者(読売新聞)</t>
    <rPh sb="0" eb="2">
      <t>ケイザイ</t>
    </rPh>
    <rPh sb="2" eb="5">
      <t>ヒョウロンカ</t>
    </rPh>
    <rPh sb="6" eb="8">
      <t>シンブン</t>
    </rPh>
    <rPh sb="8" eb="10">
      <t>キシャ</t>
    </rPh>
    <rPh sb="11" eb="13">
      <t>ヨミウリ</t>
    </rPh>
    <rPh sb="13" eb="15">
      <t>シンブン</t>
    </rPh>
    <phoneticPr fontId="3"/>
  </si>
  <si>
    <t>環境副大臣，元委長(環境,消費者特)</t>
    <rPh sb="0" eb="2">
      <t>カンキョウ</t>
    </rPh>
    <rPh sb="2" eb="5">
      <t>フクダイジン</t>
    </rPh>
    <rPh sb="6" eb="7">
      <t>モト</t>
    </rPh>
    <rPh sb="7" eb="9">
      <t>イチョウ</t>
    </rPh>
    <rPh sb="10" eb="12">
      <t>カンキョウ</t>
    </rPh>
    <rPh sb="13" eb="16">
      <t>ショウヒシャ</t>
    </rPh>
    <rPh sb="16" eb="17">
      <t>トク</t>
    </rPh>
    <phoneticPr fontId="3"/>
  </si>
  <si>
    <t>渡辺　博道</t>
    <rPh sb="0" eb="2">
      <t>ワタナベ</t>
    </rPh>
    <rPh sb="3" eb="5">
      <t>ヒロミチ</t>
    </rPh>
    <phoneticPr fontId="3"/>
  </si>
  <si>
    <t>大院(明治)</t>
    <rPh sb="0" eb="2">
      <t>ダイイン</t>
    </rPh>
    <rPh sb="3" eb="5">
      <t>メイジ</t>
    </rPh>
    <phoneticPr fontId="3"/>
  </si>
  <si>
    <t>　元委長(総務),副大臣(経産),政務官(内閣)</t>
    <rPh sb="1" eb="2">
      <t>モト</t>
    </rPh>
    <rPh sb="2" eb="4">
      <t>イチョウ</t>
    </rPh>
    <rPh sb="5" eb="7">
      <t>ソウム</t>
    </rPh>
    <rPh sb="9" eb="12">
      <t>フクダイジン</t>
    </rPh>
    <rPh sb="13" eb="15">
      <t>ケイサン</t>
    </rPh>
    <rPh sb="17" eb="20">
      <t>セイムカン</t>
    </rPh>
    <rPh sb="21" eb="23">
      <t>ナイカク</t>
    </rPh>
    <phoneticPr fontId="3"/>
  </si>
  <si>
    <t>千葉県議(松戸市),会社役員(渡辺交通),松戸市役所職員</t>
    <rPh sb="0" eb="2">
      <t>チバ</t>
    </rPh>
    <rPh sb="2" eb="4">
      <t>ケンギ</t>
    </rPh>
    <rPh sb="5" eb="8">
      <t>マツドシ</t>
    </rPh>
    <rPh sb="10" eb="12">
      <t>カイシャ</t>
    </rPh>
    <rPh sb="12" eb="14">
      <t>ヤクイン</t>
    </rPh>
    <rPh sb="15" eb="17">
      <t>ワタナベ</t>
    </rPh>
    <rPh sb="17" eb="19">
      <t>コウツウ</t>
    </rPh>
    <rPh sb="21" eb="23">
      <t>マツド</t>
    </rPh>
    <rPh sb="23" eb="26">
      <t>シヤクショ</t>
    </rPh>
    <rPh sb="26" eb="28">
      <t>ショクイン</t>
    </rPh>
    <phoneticPr fontId="3"/>
  </si>
  <si>
    <t>三輪　由美</t>
    <rPh sb="0" eb="2">
      <t>ミワ</t>
    </rPh>
    <rPh sb="3" eb="5">
      <t>ヨシミ</t>
    </rPh>
    <phoneticPr fontId="3"/>
  </si>
  <si>
    <t>大院(立命館)</t>
    <rPh sb="0" eb="2">
      <t>ダイイン</t>
    </rPh>
    <rPh sb="3" eb="6">
      <t>リツメイカン</t>
    </rPh>
    <phoneticPr fontId="3"/>
  </si>
  <si>
    <t>千葉県議(松戸市)</t>
    <rPh sb="0" eb="2">
      <t>チバ</t>
    </rPh>
    <rPh sb="2" eb="4">
      <t>ケンギ</t>
    </rPh>
    <rPh sb="5" eb="8">
      <t>マツドシ</t>
    </rPh>
    <phoneticPr fontId="3"/>
  </si>
  <si>
    <t>雁野　　聡</t>
    <rPh sb="0" eb="1">
      <t>ガン</t>
    </rPh>
    <rPh sb="1" eb="2">
      <t>ノ</t>
    </rPh>
    <rPh sb="4" eb="5">
      <t>サトシ</t>
    </rPh>
    <phoneticPr fontId="3"/>
  </si>
  <si>
    <t>大院中(筑波)</t>
    <rPh sb="0" eb="2">
      <t>ダイイン</t>
    </rPh>
    <rPh sb="2" eb="3">
      <t>チュウ</t>
    </rPh>
    <rPh sb="4" eb="6">
      <t>ツクバ</t>
    </rPh>
    <phoneticPr fontId="3"/>
  </si>
  <si>
    <t>会社社長(ジーフィールド)</t>
    <rPh sb="0" eb="2">
      <t>カイシャ</t>
    </rPh>
    <rPh sb="2" eb="4">
      <t>シャチョウ</t>
    </rPh>
    <phoneticPr fontId="3"/>
  </si>
  <si>
    <t>076千葉7区01</t>
    <rPh sb="3" eb="5">
      <t>チバ</t>
    </rPh>
    <rPh sb="6" eb="7">
      <t>ク</t>
    </rPh>
    <phoneticPr fontId="3"/>
  </si>
  <si>
    <t>076千葉7区02</t>
    <rPh sb="3" eb="5">
      <t>チバ</t>
    </rPh>
    <rPh sb="6" eb="7">
      <t>ク</t>
    </rPh>
    <phoneticPr fontId="3"/>
  </si>
  <si>
    <t>076千葉7区03</t>
    <rPh sb="3" eb="5">
      <t>チバ</t>
    </rPh>
    <rPh sb="6" eb="7">
      <t>ク</t>
    </rPh>
    <phoneticPr fontId="3"/>
  </si>
  <si>
    <t>076千葉7区04</t>
    <rPh sb="3" eb="5">
      <t>チバ</t>
    </rPh>
    <rPh sb="6" eb="7">
      <t>ク</t>
    </rPh>
    <phoneticPr fontId="3"/>
  </si>
  <si>
    <t>076千葉7区05</t>
    <rPh sb="3" eb="5">
      <t>チバ</t>
    </rPh>
    <rPh sb="6" eb="7">
      <t>ク</t>
    </rPh>
    <phoneticPr fontId="3"/>
  </si>
  <si>
    <t>齋藤　　健</t>
    <rPh sb="0" eb="2">
      <t>サイトウ</t>
    </rPh>
    <rPh sb="4" eb="5">
      <t>ケン</t>
    </rPh>
    <phoneticPr fontId="3"/>
  </si>
  <si>
    <t>304比例南関東15</t>
    <rPh sb="3" eb="5">
      <t>ヒレイ</t>
    </rPh>
    <rPh sb="5" eb="8">
      <t>ミナミカントウ</t>
    </rPh>
    <phoneticPr fontId="3"/>
  </si>
  <si>
    <t>埼玉県副知事(経済産業省)</t>
    <rPh sb="0" eb="3">
      <t>サイタマケン</t>
    </rPh>
    <rPh sb="3" eb="6">
      <t>フクチジ</t>
    </rPh>
    <rPh sb="7" eb="9">
      <t>ケイザイ</t>
    </rPh>
    <rPh sb="9" eb="12">
      <t>サンギョウショウ</t>
    </rPh>
    <phoneticPr fontId="3"/>
  </si>
  <si>
    <t>官</t>
    <rPh sb="0" eb="1">
      <t>カン</t>
    </rPh>
    <phoneticPr fontId="3"/>
  </si>
  <si>
    <t>石塚　貞通</t>
    <rPh sb="0" eb="2">
      <t>イシヅカ</t>
    </rPh>
    <rPh sb="3" eb="4">
      <t>サダ</t>
    </rPh>
    <rPh sb="4" eb="5">
      <t>ミチ</t>
    </rPh>
    <phoneticPr fontId="3"/>
  </si>
  <si>
    <t>司法書士,議員秘書(齋藤健)</t>
    <rPh sb="0" eb="4">
      <t>シホウショシ</t>
    </rPh>
    <rPh sb="5" eb="7">
      <t>ギイン</t>
    </rPh>
    <rPh sb="7" eb="9">
      <t>ヒショ</t>
    </rPh>
    <rPh sb="10" eb="12">
      <t>サイトウ</t>
    </rPh>
    <rPh sb="12" eb="13">
      <t>ケン</t>
    </rPh>
    <phoneticPr fontId="3"/>
  </si>
  <si>
    <t>内山　　晃</t>
    <rPh sb="0" eb="2">
      <t>ウチヤマ</t>
    </rPh>
    <rPh sb="4" eb="5">
      <t>アキラ</t>
    </rPh>
    <phoneticPr fontId="3"/>
  </si>
  <si>
    <t>076千葉7区</t>
    <rPh sb="3" eb="5">
      <t>チバ</t>
    </rPh>
    <rPh sb="6" eb="7">
      <t>ク</t>
    </rPh>
    <phoneticPr fontId="3"/>
  </si>
  <si>
    <t>大(専修)</t>
    <rPh sb="0" eb="1">
      <t>ダイ</t>
    </rPh>
    <rPh sb="2" eb="4">
      <t>センシュウ</t>
    </rPh>
    <phoneticPr fontId="3"/>
  </si>
  <si>
    <t>社会保険労務士,流山JC理事長</t>
    <rPh sb="0" eb="2">
      <t>シャカイ</t>
    </rPh>
    <rPh sb="2" eb="4">
      <t>ホケン</t>
    </rPh>
    <rPh sb="4" eb="7">
      <t>ロウムシ</t>
    </rPh>
    <rPh sb="8" eb="10">
      <t>ナガレヤマ</t>
    </rPh>
    <rPh sb="12" eb="15">
      <t>リジチョウ</t>
    </rPh>
    <phoneticPr fontId="3"/>
  </si>
  <si>
    <t>077千葉8区01</t>
    <rPh sb="3" eb="5">
      <t>チバ</t>
    </rPh>
    <rPh sb="6" eb="7">
      <t>ク</t>
    </rPh>
    <phoneticPr fontId="3"/>
  </si>
  <si>
    <t>077千葉8区02</t>
    <rPh sb="3" eb="5">
      <t>チバ</t>
    </rPh>
    <rPh sb="6" eb="7">
      <t>ク</t>
    </rPh>
    <phoneticPr fontId="3"/>
  </si>
  <si>
    <t>077千葉8区03</t>
    <rPh sb="3" eb="5">
      <t>チバ</t>
    </rPh>
    <rPh sb="6" eb="7">
      <t>ク</t>
    </rPh>
    <phoneticPr fontId="3"/>
  </si>
  <si>
    <t>077千葉8区04</t>
    <rPh sb="3" eb="5">
      <t>チバ</t>
    </rPh>
    <rPh sb="6" eb="7">
      <t>ク</t>
    </rPh>
    <phoneticPr fontId="3"/>
  </si>
  <si>
    <t>松崎　公昭</t>
    <rPh sb="0" eb="2">
      <t>マツザキ</t>
    </rPh>
    <rPh sb="3" eb="5">
      <t>キミアキ</t>
    </rPh>
    <phoneticPr fontId="3"/>
  </si>
  <si>
    <t>077千葉8区</t>
    <rPh sb="3" eb="5">
      <t>チバ</t>
    </rPh>
    <rPh sb="6" eb="7">
      <t>ク</t>
    </rPh>
    <phoneticPr fontId="3"/>
  </si>
  <si>
    <t>千葉県議(柏市),千葉県・柏市議,会社社長(カリフ)</t>
    <rPh sb="0" eb="2">
      <t>チバ</t>
    </rPh>
    <rPh sb="2" eb="4">
      <t>ケンギ</t>
    </rPh>
    <rPh sb="5" eb="7">
      <t>カシワシ</t>
    </rPh>
    <rPh sb="9" eb="12">
      <t>チバケン</t>
    </rPh>
    <rPh sb="13" eb="14">
      <t>カシワ</t>
    </rPh>
    <rPh sb="14" eb="16">
      <t>シギ</t>
    </rPh>
    <rPh sb="17" eb="19">
      <t>カイシャ</t>
    </rPh>
    <rPh sb="19" eb="21">
      <t>シャチョウ</t>
    </rPh>
    <phoneticPr fontId="3"/>
  </si>
  <si>
    <t>　元委長(倫選特),副大臣(総務)</t>
    <rPh sb="1" eb="2">
      <t>モト</t>
    </rPh>
    <rPh sb="2" eb="4">
      <t>イチョウ</t>
    </rPh>
    <rPh sb="5" eb="7">
      <t>リンセン</t>
    </rPh>
    <rPh sb="7" eb="8">
      <t>トク</t>
    </rPh>
    <rPh sb="10" eb="13">
      <t>フクダイジン</t>
    </rPh>
    <rPh sb="14" eb="16">
      <t>ソウム</t>
    </rPh>
    <phoneticPr fontId="3"/>
  </si>
  <si>
    <t>櫻田　義孝</t>
    <rPh sb="0" eb="2">
      <t>サクラダ</t>
    </rPh>
    <rPh sb="3" eb="5">
      <t>ヨシタカ</t>
    </rPh>
    <phoneticPr fontId="3"/>
  </si>
  <si>
    <t>大(明治)</t>
    <rPh sb="0" eb="1">
      <t>ダイ</t>
    </rPh>
    <rPh sb="2" eb="4">
      <t>メイジ</t>
    </rPh>
    <phoneticPr fontId="3"/>
  </si>
  <si>
    <t>千葉県議(柏市),千葉県・柏市議,会社社長(櫻田建設)</t>
    <rPh sb="0" eb="2">
      <t>チバ</t>
    </rPh>
    <rPh sb="2" eb="4">
      <t>ケンギ</t>
    </rPh>
    <rPh sb="5" eb="7">
      <t>カシワシ</t>
    </rPh>
    <rPh sb="9" eb="12">
      <t>チバケン</t>
    </rPh>
    <rPh sb="13" eb="14">
      <t>カシワ</t>
    </rPh>
    <rPh sb="14" eb="16">
      <t>シギ</t>
    </rPh>
    <rPh sb="17" eb="19">
      <t>カイシャ</t>
    </rPh>
    <rPh sb="19" eb="21">
      <t>シャチョウ</t>
    </rPh>
    <rPh sb="22" eb="24">
      <t>サクラダ</t>
    </rPh>
    <rPh sb="24" eb="26">
      <t>ケンセツ</t>
    </rPh>
    <phoneticPr fontId="3"/>
  </si>
  <si>
    <t>　元委長(厚労),副大臣(内閣),政務官(経産,外務)</t>
    <rPh sb="1" eb="2">
      <t>モト</t>
    </rPh>
    <rPh sb="2" eb="4">
      <t>イチョウ</t>
    </rPh>
    <rPh sb="5" eb="7">
      <t>コウロウ</t>
    </rPh>
    <rPh sb="9" eb="12">
      <t>フクダイジン</t>
    </rPh>
    <rPh sb="13" eb="15">
      <t>ナイカク</t>
    </rPh>
    <rPh sb="17" eb="20">
      <t>セイムカン</t>
    </rPh>
    <rPh sb="21" eb="23">
      <t>ケイサン</t>
    </rPh>
    <rPh sb="24" eb="26">
      <t>ガイム</t>
    </rPh>
    <phoneticPr fontId="3"/>
  </si>
  <si>
    <t>武石　英紀</t>
    <rPh sb="0" eb="2">
      <t>タケイシ</t>
    </rPh>
    <rPh sb="3" eb="5">
      <t>ヒデノリ</t>
    </rPh>
    <phoneticPr fontId="3"/>
  </si>
  <si>
    <t>大(東京理科)</t>
    <rPh sb="0" eb="1">
      <t>ダイ</t>
    </rPh>
    <rPh sb="2" eb="4">
      <t>トウキョウ</t>
    </rPh>
    <rPh sb="4" eb="6">
      <t>リカ</t>
    </rPh>
    <phoneticPr fontId="3"/>
  </si>
  <si>
    <t>共産党千葉県委員</t>
    <rPh sb="0" eb="3">
      <t>キョウサントウ</t>
    </rPh>
    <rPh sb="3" eb="6">
      <t>チバケン</t>
    </rPh>
    <rPh sb="6" eb="8">
      <t>イイン</t>
    </rPh>
    <phoneticPr fontId="3"/>
  </si>
  <si>
    <t>山本　幸治</t>
    <rPh sb="0" eb="2">
      <t>ヤマモト</t>
    </rPh>
    <rPh sb="3" eb="5">
      <t>コウジ</t>
    </rPh>
    <phoneticPr fontId="3"/>
  </si>
  <si>
    <t>プロボウラー</t>
    <phoneticPr fontId="3"/>
  </si>
  <si>
    <t>タ</t>
    <phoneticPr fontId="3"/>
  </si>
  <si>
    <t>進</t>
    <rPh sb="0" eb="1">
      <t>シン</t>
    </rPh>
    <phoneticPr fontId="3"/>
  </si>
  <si>
    <t>078千葉9区01</t>
    <rPh sb="3" eb="5">
      <t>チバ</t>
    </rPh>
    <rPh sb="6" eb="7">
      <t>ク</t>
    </rPh>
    <phoneticPr fontId="3"/>
  </si>
  <si>
    <t>078千葉9区02</t>
    <rPh sb="3" eb="5">
      <t>チバ</t>
    </rPh>
    <rPh sb="6" eb="7">
      <t>ク</t>
    </rPh>
    <phoneticPr fontId="3"/>
  </si>
  <si>
    <t>078千葉9区03</t>
    <rPh sb="3" eb="5">
      <t>チバ</t>
    </rPh>
    <rPh sb="6" eb="7">
      <t>ク</t>
    </rPh>
    <phoneticPr fontId="3"/>
  </si>
  <si>
    <t>奥野　総一郎</t>
    <rPh sb="0" eb="2">
      <t>オクノ</t>
    </rPh>
    <rPh sb="3" eb="6">
      <t>ソウイチロウ</t>
    </rPh>
    <phoneticPr fontId="3"/>
  </si>
  <si>
    <t>078千葉9区</t>
    <rPh sb="3" eb="5">
      <t>チバ</t>
    </rPh>
    <rPh sb="6" eb="7">
      <t>ク</t>
    </rPh>
    <phoneticPr fontId="3"/>
  </si>
  <si>
    <t>大(東京)</t>
    <rPh sb="0" eb="1">
      <t>ダイ</t>
    </rPh>
    <rPh sb="2" eb="4">
      <t>トウキョウ</t>
    </rPh>
    <phoneticPr fontId="3"/>
  </si>
  <si>
    <t>議員秘書(広中和歌子),総務省郵政行政局調査官</t>
    <rPh sb="0" eb="2">
      <t>ギイン</t>
    </rPh>
    <rPh sb="2" eb="4">
      <t>ヒショ</t>
    </rPh>
    <rPh sb="5" eb="7">
      <t>ヒロナカ</t>
    </rPh>
    <rPh sb="7" eb="10">
      <t>ワカコ</t>
    </rPh>
    <rPh sb="12" eb="15">
      <t>ソウムショウ</t>
    </rPh>
    <rPh sb="15" eb="17">
      <t>ユウセイ</t>
    </rPh>
    <rPh sb="17" eb="19">
      <t>ギョウセイ</t>
    </rPh>
    <rPh sb="19" eb="20">
      <t>キョク</t>
    </rPh>
    <rPh sb="20" eb="23">
      <t>チョウサカン</t>
    </rPh>
    <phoneticPr fontId="3"/>
  </si>
  <si>
    <t>官</t>
    <rPh sb="0" eb="1">
      <t>カン</t>
    </rPh>
    <phoneticPr fontId="3"/>
  </si>
  <si>
    <t>秋本　真利</t>
    <rPh sb="0" eb="2">
      <t>アキモト</t>
    </rPh>
    <rPh sb="3" eb="5">
      <t>マサトシ</t>
    </rPh>
    <phoneticPr fontId="3"/>
  </si>
  <si>
    <t>大院(法政)</t>
    <rPh sb="0" eb="2">
      <t>ダイイン</t>
    </rPh>
    <rPh sb="3" eb="5">
      <t>ホウセイ</t>
    </rPh>
    <phoneticPr fontId="3"/>
  </si>
  <si>
    <t>千葉県・富里市議</t>
    <rPh sb="0" eb="3">
      <t>チバケン</t>
    </rPh>
    <rPh sb="4" eb="6">
      <t>トミサト</t>
    </rPh>
    <rPh sb="6" eb="8">
      <t>シギ</t>
    </rPh>
    <phoneticPr fontId="3"/>
  </si>
  <si>
    <t>議</t>
    <rPh sb="0" eb="1">
      <t>ギ</t>
    </rPh>
    <phoneticPr fontId="3"/>
  </si>
  <si>
    <t>078千葉9区04</t>
    <rPh sb="3" eb="5">
      <t>チバ</t>
    </rPh>
    <rPh sb="6" eb="7">
      <t>ク</t>
    </rPh>
    <phoneticPr fontId="3"/>
  </si>
  <si>
    <t>木崎　俊行</t>
    <rPh sb="0" eb="2">
      <t>キザキ</t>
    </rPh>
    <rPh sb="3" eb="5">
      <t>トシユキ</t>
    </rPh>
    <phoneticPr fontId="3"/>
  </si>
  <si>
    <t>大(淑徳)</t>
    <rPh sb="0" eb="1">
      <t>ダイ</t>
    </rPh>
    <rPh sb="2" eb="4">
      <t>シュクトク</t>
    </rPh>
    <phoneticPr fontId="3"/>
  </si>
  <si>
    <t>共産党地区副委員長,千葉県職労書記</t>
    <rPh sb="0" eb="3">
      <t>キョウサントウ</t>
    </rPh>
    <rPh sb="3" eb="5">
      <t>チク</t>
    </rPh>
    <rPh sb="5" eb="9">
      <t>フクイインチョウ</t>
    </rPh>
    <rPh sb="10" eb="13">
      <t>チバケン</t>
    </rPh>
    <rPh sb="15" eb="17">
      <t>ショキ</t>
    </rPh>
    <phoneticPr fontId="3"/>
  </si>
  <si>
    <t>労</t>
    <rPh sb="0" eb="1">
      <t>ロウ</t>
    </rPh>
    <phoneticPr fontId="3"/>
  </si>
  <si>
    <t>須藤　　浩</t>
    <rPh sb="0" eb="2">
      <t>スドウ</t>
    </rPh>
    <rPh sb="4" eb="5">
      <t>ヒロシ</t>
    </rPh>
    <phoneticPr fontId="3"/>
  </si>
  <si>
    <t>千葉県・四街道市議,四街道市職員</t>
    <rPh sb="0" eb="3">
      <t>チバケン</t>
    </rPh>
    <rPh sb="4" eb="7">
      <t>ヨツカイドウ</t>
    </rPh>
    <rPh sb="7" eb="9">
      <t>シギ</t>
    </rPh>
    <rPh sb="10" eb="13">
      <t>ヨツカイドウ</t>
    </rPh>
    <rPh sb="13" eb="16">
      <t>シショクイン</t>
    </rPh>
    <phoneticPr fontId="3"/>
  </si>
  <si>
    <t>079千葉10区01</t>
    <rPh sb="3" eb="5">
      <t>チバ</t>
    </rPh>
    <rPh sb="7" eb="8">
      <t>ク</t>
    </rPh>
    <phoneticPr fontId="3"/>
  </si>
  <si>
    <t>079千葉10区02</t>
    <rPh sb="3" eb="5">
      <t>チバ</t>
    </rPh>
    <rPh sb="7" eb="8">
      <t>ク</t>
    </rPh>
    <phoneticPr fontId="3"/>
  </si>
  <si>
    <t>079千葉10区03</t>
    <rPh sb="3" eb="5">
      <t>チバ</t>
    </rPh>
    <rPh sb="7" eb="8">
      <t>ク</t>
    </rPh>
    <phoneticPr fontId="3"/>
  </si>
  <si>
    <t>谷田川　元</t>
    <rPh sb="0" eb="3">
      <t>ヤタガワ</t>
    </rPh>
    <rPh sb="4" eb="5">
      <t>ハジメ</t>
    </rPh>
    <phoneticPr fontId="3"/>
  </si>
  <si>
    <t>079千葉10区</t>
    <rPh sb="3" eb="5">
      <t>チバ</t>
    </rPh>
    <rPh sb="7" eb="8">
      <t>ク</t>
    </rPh>
    <phoneticPr fontId="3"/>
  </si>
  <si>
    <t>議二松</t>
    <rPh sb="0" eb="1">
      <t>ギ</t>
    </rPh>
    <rPh sb="1" eb="2">
      <t>ニ</t>
    </rPh>
    <rPh sb="2" eb="3">
      <t>マツ</t>
    </rPh>
    <phoneticPr fontId="3"/>
  </si>
  <si>
    <t>二</t>
    <rPh sb="0" eb="1">
      <t>ニ</t>
    </rPh>
    <phoneticPr fontId="3"/>
  </si>
  <si>
    <t>松</t>
    <rPh sb="0" eb="1">
      <t>マツ</t>
    </rPh>
    <phoneticPr fontId="3"/>
  </si>
  <si>
    <t>千葉県議(佐原市),議員秘書(山村新治郎)</t>
    <rPh sb="0" eb="2">
      <t>チバ</t>
    </rPh>
    <rPh sb="2" eb="4">
      <t>ケンギ</t>
    </rPh>
    <rPh sb="5" eb="8">
      <t>サワラシ</t>
    </rPh>
    <rPh sb="10" eb="12">
      <t>ギイン</t>
    </rPh>
    <rPh sb="12" eb="14">
      <t>ヒショ</t>
    </rPh>
    <rPh sb="15" eb="17">
      <t>ヤマムラ</t>
    </rPh>
    <rPh sb="17" eb="20">
      <t>シンジロウ</t>
    </rPh>
    <phoneticPr fontId="3"/>
  </si>
  <si>
    <t>林　　幹雄</t>
    <rPh sb="0" eb="1">
      <t>ハヤシ</t>
    </rPh>
    <rPh sb="3" eb="5">
      <t>モトオ</t>
    </rPh>
    <phoneticPr fontId="3"/>
  </si>
  <si>
    <t>大(日本)</t>
    <rPh sb="0" eb="1">
      <t>ダイ</t>
    </rPh>
    <rPh sb="2" eb="4">
      <t>ニホン</t>
    </rPh>
    <phoneticPr fontId="3"/>
  </si>
  <si>
    <t>304比例南関東13</t>
    <rPh sb="3" eb="5">
      <t>ヒレイ</t>
    </rPh>
    <rPh sb="5" eb="8">
      <t>ミナミカントウ</t>
    </rPh>
    <phoneticPr fontId="3"/>
  </si>
  <si>
    <t>千葉県議(銚子市),議員秘書(林大幹)</t>
    <rPh sb="0" eb="2">
      <t>チバ</t>
    </rPh>
    <rPh sb="2" eb="4">
      <t>ケンギ</t>
    </rPh>
    <rPh sb="5" eb="8">
      <t>チョウシシ</t>
    </rPh>
    <rPh sb="10" eb="12">
      <t>ギイン</t>
    </rPh>
    <rPh sb="12" eb="14">
      <t>ヒショ</t>
    </rPh>
    <rPh sb="15" eb="16">
      <t>ハヤシ</t>
    </rPh>
    <rPh sb="16" eb="18">
      <t>タイカン</t>
    </rPh>
    <phoneticPr fontId="3"/>
  </si>
  <si>
    <t>議二</t>
    <rPh sb="0" eb="1">
      <t>ギ</t>
    </rPh>
    <rPh sb="1" eb="2">
      <t>ニ</t>
    </rPh>
    <phoneticPr fontId="3"/>
  </si>
  <si>
    <t>　元大臣(公安・沖北・防災),委長(国交),副大臣(国交),政務次官(運輸)</t>
    <rPh sb="1" eb="4">
      <t>モトダイジン</t>
    </rPh>
    <rPh sb="5" eb="7">
      <t>コウアン</t>
    </rPh>
    <rPh sb="8" eb="9">
      <t>オキ</t>
    </rPh>
    <rPh sb="9" eb="10">
      <t>ホク</t>
    </rPh>
    <rPh sb="11" eb="13">
      <t>ボウサイ</t>
    </rPh>
    <rPh sb="15" eb="17">
      <t>イチョウ</t>
    </rPh>
    <rPh sb="18" eb="20">
      <t>コッコウ</t>
    </rPh>
    <rPh sb="22" eb="25">
      <t>フクダイジン</t>
    </rPh>
    <rPh sb="26" eb="28">
      <t>コッコウ</t>
    </rPh>
    <rPh sb="30" eb="32">
      <t>セイム</t>
    </rPh>
    <rPh sb="32" eb="34">
      <t>ジカン</t>
    </rPh>
    <rPh sb="35" eb="37">
      <t>ウンユ</t>
    </rPh>
    <phoneticPr fontId="3"/>
  </si>
  <si>
    <t>080千葉11区01</t>
    <rPh sb="3" eb="5">
      <t>チバ</t>
    </rPh>
    <rPh sb="7" eb="8">
      <t>ク</t>
    </rPh>
    <phoneticPr fontId="3"/>
  </si>
  <si>
    <t>080千葉11区02</t>
    <rPh sb="3" eb="5">
      <t>チバ</t>
    </rPh>
    <rPh sb="7" eb="8">
      <t>ク</t>
    </rPh>
    <phoneticPr fontId="3"/>
  </si>
  <si>
    <t>080千葉11区03</t>
    <rPh sb="3" eb="5">
      <t>チバ</t>
    </rPh>
    <rPh sb="7" eb="8">
      <t>ク</t>
    </rPh>
    <phoneticPr fontId="3"/>
  </si>
  <si>
    <t>森　　英介</t>
    <rPh sb="0" eb="1">
      <t>モリ</t>
    </rPh>
    <rPh sb="3" eb="5">
      <t>エイスケ</t>
    </rPh>
    <phoneticPr fontId="3"/>
  </si>
  <si>
    <t>080千葉11区</t>
    <rPh sb="3" eb="5">
      <t>チバ</t>
    </rPh>
    <rPh sb="7" eb="8">
      <t>ク</t>
    </rPh>
    <phoneticPr fontId="3"/>
  </si>
  <si>
    <t>大(東北)</t>
    <rPh sb="0" eb="1">
      <t>ダイ</t>
    </rPh>
    <rPh sb="2" eb="4">
      <t>トウホク</t>
    </rPh>
    <phoneticPr fontId="3"/>
  </si>
  <si>
    <t>会社員(川崎重工)</t>
    <rPh sb="0" eb="3">
      <t>カイシャイン</t>
    </rPh>
    <rPh sb="4" eb="6">
      <t>カワサキ</t>
    </rPh>
    <rPh sb="6" eb="8">
      <t>ジュウコウ</t>
    </rPh>
    <phoneticPr fontId="3"/>
  </si>
  <si>
    <t>　元大臣(法務),委長(厚労),副大臣(厚労),政務次官(労働)</t>
    <rPh sb="1" eb="4">
      <t>モトダイジン</t>
    </rPh>
    <rPh sb="5" eb="7">
      <t>ホウム</t>
    </rPh>
    <rPh sb="9" eb="11">
      <t>イチョウ</t>
    </rPh>
    <rPh sb="12" eb="14">
      <t>コウロウ</t>
    </rPh>
    <rPh sb="16" eb="19">
      <t>フクダイジン</t>
    </rPh>
    <rPh sb="20" eb="22">
      <t>コウロウ</t>
    </rPh>
    <rPh sb="24" eb="26">
      <t>セイム</t>
    </rPh>
    <rPh sb="26" eb="28">
      <t>ジカン</t>
    </rPh>
    <rPh sb="29" eb="31">
      <t>ロウドウ</t>
    </rPh>
    <phoneticPr fontId="3"/>
  </si>
  <si>
    <t>金子　健一</t>
    <rPh sb="0" eb="2">
      <t>カネコ</t>
    </rPh>
    <rPh sb="3" eb="5">
      <t>ケンイチ</t>
    </rPh>
    <phoneticPr fontId="3"/>
  </si>
  <si>
    <t>304比例南関東02</t>
    <rPh sb="3" eb="5">
      <t>ヒレイ</t>
    </rPh>
    <rPh sb="5" eb="8">
      <t>ミナミカントウ</t>
    </rPh>
    <phoneticPr fontId="3"/>
  </si>
  <si>
    <t>高(一宮商)</t>
    <rPh sb="0" eb="1">
      <t>コウ</t>
    </rPh>
    <rPh sb="2" eb="4">
      <t>イチノミヤ</t>
    </rPh>
    <rPh sb="4" eb="5">
      <t>ショウ</t>
    </rPh>
    <phoneticPr fontId="3"/>
  </si>
  <si>
    <t>千葉県・一宮町議,会社社長(カネコ)</t>
    <rPh sb="0" eb="3">
      <t>チバケン</t>
    </rPh>
    <rPh sb="4" eb="6">
      <t>イチノミヤ</t>
    </rPh>
    <rPh sb="6" eb="8">
      <t>チョウギ</t>
    </rPh>
    <rPh sb="9" eb="11">
      <t>カイシャ</t>
    </rPh>
    <rPh sb="11" eb="13">
      <t>シャチョウ</t>
    </rPh>
    <phoneticPr fontId="3"/>
  </si>
  <si>
    <t>椎名　史明</t>
    <rPh sb="0" eb="2">
      <t>シイナ</t>
    </rPh>
    <rPh sb="3" eb="5">
      <t>フミアキ</t>
    </rPh>
    <phoneticPr fontId="3"/>
  </si>
  <si>
    <t>大(千葉)</t>
    <rPh sb="0" eb="1">
      <t>ダイ</t>
    </rPh>
    <rPh sb="2" eb="4">
      <t>チバ</t>
    </rPh>
    <phoneticPr fontId="3"/>
  </si>
  <si>
    <t>共産党地区委員長</t>
    <rPh sb="0" eb="3">
      <t>キョウサントウ</t>
    </rPh>
    <rPh sb="3" eb="5">
      <t>チク</t>
    </rPh>
    <rPh sb="5" eb="8">
      <t>イインチョウ</t>
    </rPh>
    <phoneticPr fontId="3"/>
  </si>
  <si>
    <t>081千葉12区01</t>
    <rPh sb="3" eb="5">
      <t>チバ</t>
    </rPh>
    <rPh sb="7" eb="8">
      <t>ク</t>
    </rPh>
    <phoneticPr fontId="3"/>
  </si>
  <si>
    <t>081千葉12区02</t>
    <rPh sb="3" eb="5">
      <t>チバ</t>
    </rPh>
    <rPh sb="7" eb="8">
      <t>ク</t>
    </rPh>
    <phoneticPr fontId="3"/>
  </si>
  <si>
    <t>081千葉12区03</t>
    <rPh sb="3" eb="5">
      <t>チバ</t>
    </rPh>
    <rPh sb="7" eb="8">
      <t>ク</t>
    </rPh>
    <phoneticPr fontId="3"/>
  </si>
  <si>
    <t>浜田　靖一</t>
    <rPh sb="0" eb="2">
      <t>ハマダ</t>
    </rPh>
    <rPh sb="3" eb="5">
      <t>ヤスカズ</t>
    </rPh>
    <phoneticPr fontId="3"/>
  </si>
  <si>
    <t>081千葉12区</t>
    <rPh sb="3" eb="5">
      <t>チバ</t>
    </rPh>
    <rPh sb="7" eb="8">
      <t>ク</t>
    </rPh>
    <phoneticPr fontId="3"/>
  </si>
  <si>
    <t>大(専修)</t>
    <rPh sb="0" eb="1">
      <t>ダイ</t>
    </rPh>
    <rPh sb="2" eb="4">
      <t>センシュウ</t>
    </rPh>
    <phoneticPr fontId="3"/>
  </si>
  <si>
    <t>議員秘書(浜田幸一)</t>
    <rPh sb="0" eb="2">
      <t>ギイン</t>
    </rPh>
    <rPh sb="2" eb="4">
      <t>ヒショ</t>
    </rPh>
    <rPh sb="5" eb="7">
      <t>ハマダ</t>
    </rPh>
    <rPh sb="7" eb="9">
      <t>コウイチ</t>
    </rPh>
    <phoneticPr fontId="3"/>
  </si>
  <si>
    <t>自民党国対委員長，元大臣(防衛),委長(テロ特,安保),副大臣(防衛),政務次官(防衛)</t>
    <rPh sb="0" eb="3">
      <t>ジミントウ</t>
    </rPh>
    <rPh sb="3" eb="5">
      <t>コクタイ</t>
    </rPh>
    <rPh sb="5" eb="8">
      <t>イインチョウ</t>
    </rPh>
    <rPh sb="9" eb="12">
      <t>モトダイジン</t>
    </rPh>
    <rPh sb="13" eb="15">
      <t>ボウエイ</t>
    </rPh>
    <rPh sb="17" eb="19">
      <t>イチョウ</t>
    </rPh>
    <rPh sb="22" eb="23">
      <t>トク</t>
    </rPh>
    <rPh sb="24" eb="26">
      <t>アンポ</t>
    </rPh>
    <rPh sb="28" eb="31">
      <t>フクダイジン</t>
    </rPh>
    <rPh sb="32" eb="34">
      <t>ボウエイ</t>
    </rPh>
    <rPh sb="36" eb="38">
      <t>セイム</t>
    </rPh>
    <rPh sb="38" eb="40">
      <t>ジカン</t>
    </rPh>
    <rPh sb="41" eb="43">
      <t>ボウエイ</t>
    </rPh>
    <phoneticPr fontId="3"/>
  </si>
  <si>
    <t>中後　　淳</t>
    <rPh sb="0" eb="1">
      <t>チュウ</t>
    </rPh>
    <rPh sb="1" eb="2">
      <t>ゴ</t>
    </rPh>
    <rPh sb="4" eb="5">
      <t>アツシ</t>
    </rPh>
    <phoneticPr fontId="3"/>
  </si>
  <si>
    <t>304比例南関東03</t>
    <rPh sb="3" eb="5">
      <t>ヒレイ</t>
    </rPh>
    <rPh sb="5" eb="8">
      <t>ミナミカントウ</t>
    </rPh>
    <phoneticPr fontId="3"/>
  </si>
  <si>
    <t>大院(東京)</t>
    <rPh sb="0" eb="2">
      <t>ダイイン</t>
    </rPh>
    <rPh sb="3" eb="5">
      <t>トウキョウ</t>
    </rPh>
    <phoneticPr fontId="3"/>
  </si>
  <si>
    <t>千葉県・富津市議,会社員(新日鐵)</t>
    <rPh sb="0" eb="3">
      <t>チバケン</t>
    </rPh>
    <rPh sb="4" eb="6">
      <t>フッツ</t>
    </rPh>
    <rPh sb="6" eb="8">
      <t>シギ</t>
    </rPh>
    <rPh sb="9" eb="12">
      <t>カイシャイン</t>
    </rPh>
    <rPh sb="13" eb="16">
      <t>シンニッテツ</t>
    </rPh>
    <phoneticPr fontId="3"/>
  </si>
  <si>
    <t>082千葉13区01</t>
    <rPh sb="3" eb="5">
      <t>チバ</t>
    </rPh>
    <rPh sb="7" eb="8">
      <t>ク</t>
    </rPh>
    <phoneticPr fontId="3"/>
  </si>
  <si>
    <t>082千葉13区02</t>
    <rPh sb="3" eb="5">
      <t>チバ</t>
    </rPh>
    <rPh sb="7" eb="8">
      <t>ク</t>
    </rPh>
    <phoneticPr fontId="3"/>
  </si>
  <si>
    <t>082千葉13区03</t>
    <rPh sb="3" eb="5">
      <t>チバ</t>
    </rPh>
    <rPh sb="7" eb="8">
      <t>ク</t>
    </rPh>
    <phoneticPr fontId="3"/>
  </si>
  <si>
    <t>082千葉13区04</t>
    <rPh sb="3" eb="5">
      <t>チバ</t>
    </rPh>
    <rPh sb="7" eb="8">
      <t>ク</t>
    </rPh>
    <phoneticPr fontId="3"/>
  </si>
  <si>
    <t>若井　康彦</t>
    <rPh sb="0" eb="2">
      <t>ワカイ</t>
    </rPh>
    <rPh sb="3" eb="5">
      <t>ヤスヒコ</t>
    </rPh>
    <phoneticPr fontId="3"/>
  </si>
  <si>
    <t>082千葉13区</t>
    <rPh sb="3" eb="5">
      <t>チバ</t>
    </rPh>
    <rPh sb="7" eb="8">
      <t>ク</t>
    </rPh>
    <phoneticPr fontId="3"/>
  </si>
  <si>
    <t>都市計画プランナー</t>
    <rPh sb="0" eb="2">
      <t>トシ</t>
    </rPh>
    <rPh sb="2" eb="4">
      <t>ケイカク</t>
    </rPh>
    <phoneticPr fontId="3"/>
  </si>
  <si>
    <t>国土交通政務官</t>
    <rPh sb="0" eb="2">
      <t>コクド</t>
    </rPh>
    <rPh sb="2" eb="4">
      <t>コウツウ</t>
    </rPh>
    <rPh sb="4" eb="7">
      <t>セイムカン</t>
    </rPh>
    <phoneticPr fontId="3"/>
  </si>
  <si>
    <t>白須賀　貴樹</t>
    <rPh sb="0" eb="3">
      <t>シラスカ</t>
    </rPh>
    <rPh sb="4" eb="6">
      <t>タカキ</t>
    </rPh>
    <phoneticPr fontId="3"/>
  </si>
  <si>
    <t>大(東京歯科)</t>
    <rPh sb="0" eb="1">
      <t>ダイ</t>
    </rPh>
    <rPh sb="2" eb="4">
      <t>トウキョウ</t>
    </rPh>
    <rPh sb="4" eb="6">
      <t>シカ</t>
    </rPh>
    <phoneticPr fontId="3"/>
  </si>
  <si>
    <t>学校法人理事長(白須賀学園),歯科医</t>
    <rPh sb="0" eb="2">
      <t>ガッコウ</t>
    </rPh>
    <rPh sb="2" eb="4">
      <t>ホウジン</t>
    </rPh>
    <rPh sb="4" eb="7">
      <t>リジチョウ</t>
    </rPh>
    <rPh sb="8" eb="11">
      <t>シラスカ</t>
    </rPh>
    <rPh sb="11" eb="13">
      <t>ガクエン</t>
    </rPh>
    <rPh sb="15" eb="18">
      <t>シカイ</t>
    </rPh>
    <phoneticPr fontId="3"/>
  </si>
  <si>
    <t>古川　裕三</t>
    <rPh sb="0" eb="2">
      <t>フルカワ</t>
    </rPh>
    <rPh sb="3" eb="5">
      <t>ユウゾウ</t>
    </rPh>
    <phoneticPr fontId="3"/>
  </si>
  <si>
    <t>083神奈川1区01</t>
    <rPh sb="3" eb="6">
      <t>カナガワ</t>
    </rPh>
    <rPh sb="7" eb="8">
      <t>ク</t>
    </rPh>
    <phoneticPr fontId="3"/>
  </si>
  <si>
    <t>083神奈川1区02</t>
    <rPh sb="3" eb="6">
      <t>カナガワ</t>
    </rPh>
    <rPh sb="7" eb="8">
      <t>ク</t>
    </rPh>
    <phoneticPr fontId="3"/>
  </si>
  <si>
    <t>083神奈川1区03</t>
    <rPh sb="3" eb="6">
      <t>カナガワ</t>
    </rPh>
    <rPh sb="7" eb="8">
      <t>ク</t>
    </rPh>
    <phoneticPr fontId="3"/>
  </si>
  <si>
    <t>083神奈川1区04</t>
    <rPh sb="3" eb="6">
      <t>カナガワ</t>
    </rPh>
    <rPh sb="7" eb="8">
      <t>ク</t>
    </rPh>
    <phoneticPr fontId="3"/>
  </si>
  <si>
    <t>中林　美恵子</t>
    <rPh sb="0" eb="2">
      <t>ナカバヤシ</t>
    </rPh>
    <rPh sb="3" eb="6">
      <t>ミエコ</t>
    </rPh>
    <phoneticPr fontId="3"/>
  </si>
  <si>
    <t>083神奈川1区</t>
    <rPh sb="3" eb="6">
      <t>カナガワ</t>
    </rPh>
    <rPh sb="7" eb="8">
      <t>ク</t>
    </rPh>
    <phoneticPr fontId="3"/>
  </si>
  <si>
    <t>大院(米/ワシントン州立)</t>
    <rPh sb="0" eb="2">
      <t>ダイイン</t>
    </rPh>
    <rPh sb="3" eb="4">
      <t>ベイ</t>
    </rPh>
    <rPh sb="10" eb="12">
      <t>シュウリツ</t>
    </rPh>
    <phoneticPr fontId="3"/>
  </si>
  <si>
    <t>松本　　純</t>
    <rPh sb="0" eb="2">
      <t>マツモト</t>
    </rPh>
    <rPh sb="4" eb="5">
      <t>ジュン</t>
    </rPh>
    <phoneticPr fontId="3"/>
  </si>
  <si>
    <t>304比例南関東14</t>
    <rPh sb="3" eb="5">
      <t>ヒレイ</t>
    </rPh>
    <rPh sb="5" eb="8">
      <t>ミナミカントウ</t>
    </rPh>
    <phoneticPr fontId="3"/>
  </si>
  <si>
    <t>大(東京薬科)</t>
    <rPh sb="0" eb="1">
      <t>ダイ</t>
    </rPh>
    <rPh sb="2" eb="4">
      <t>トウキョウ</t>
    </rPh>
    <rPh sb="4" eb="6">
      <t>ヤッカ</t>
    </rPh>
    <phoneticPr fontId="3"/>
  </si>
  <si>
    <t>神奈川県・横浜市議,薬剤師(松本薬局)</t>
    <rPh sb="0" eb="4">
      <t>カナガワケン</t>
    </rPh>
    <rPh sb="5" eb="7">
      <t>ヨコハマ</t>
    </rPh>
    <rPh sb="7" eb="9">
      <t>シギ</t>
    </rPh>
    <rPh sb="10" eb="13">
      <t>ヤクザイシ</t>
    </rPh>
    <rPh sb="14" eb="16">
      <t>マツモト</t>
    </rPh>
    <rPh sb="16" eb="18">
      <t>ヤッキョク</t>
    </rPh>
    <phoneticPr fontId="3"/>
  </si>
  <si>
    <t>　元副大臣(官房),政務官(総務)</t>
    <rPh sb="1" eb="2">
      <t>モト</t>
    </rPh>
    <rPh sb="2" eb="5">
      <t>フクダイジン</t>
    </rPh>
    <rPh sb="6" eb="8">
      <t>カンボウ</t>
    </rPh>
    <rPh sb="10" eb="13">
      <t>セイムカン</t>
    </rPh>
    <rPh sb="14" eb="16">
      <t>ソウム</t>
    </rPh>
    <phoneticPr fontId="3"/>
  </si>
  <si>
    <t>ジ</t>
    <phoneticPr fontId="3"/>
  </si>
  <si>
    <t>大学教員(跡見女子大学准教授),テレビキャスター,米国議会スタッフ</t>
    <rPh sb="0" eb="2">
      <t>ダイガク</t>
    </rPh>
    <rPh sb="2" eb="4">
      <t>キョウイン</t>
    </rPh>
    <rPh sb="5" eb="7">
      <t>アトミ</t>
    </rPh>
    <rPh sb="7" eb="9">
      <t>ジョシ</t>
    </rPh>
    <rPh sb="9" eb="11">
      <t>ダイガク</t>
    </rPh>
    <rPh sb="11" eb="14">
      <t>ジュンキョウジュ</t>
    </rPh>
    <rPh sb="25" eb="27">
      <t>ベイコク</t>
    </rPh>
    <rPh sb="27" eb="29">
      <t>ギカイ</t>
    </rPh>
    <phoneticPr fontId="3"/>
  </si>
  <si>
    <t>明石　行夫</t>
    <rPh sb="0" eb="2">
      <t>アカシ</t>
    </rPh>
    <rPh sb="3" eb="5">
      <t>ユキオ</t>
    </rPh>
    <phoneticPr fontId="3"/>
  </si>
  <si>
    <t>横浜南部民主商工会副会長,自営業</t>
    <rPh sb="0" eb="2">
      <t>ヨコハマ</t>
    </rPh>
    <rPh sb="2" eb="4">
      <t>ナンブ</t>
    </rPh>
    <rPh sb="4" eb="6">
      <t>ミンシュ</t>
    </rPh>
    <rPh sb="6" eb="9">
      <t>ショウコウカイ</t>
    </rPh>
    <rPh sb="9" eb="12">
      <t>フクカイチョウ</t>
    </rPh>
    <rPh sb="13" eb="16">
      <t>ジエイギョウ</t>
    </rPh>
    <phoneticPr fontId="3"/>
  </si>
  <si>
    <t>山下　頼行</t>
    <rPh sb="0" eb="2">
      <t>ヤマシタ</t>
    </rPh>
    <rPh sb="3" eb="4">
      <t>ヨリ</t>
    </rPh>
    <rPh sb="4" eb="5">
      <t>ユキ</t>
    </rPh>
    <phoneticPr fontId="3"/>
  </si>
  <si>
    <t>会社員(NTTコミュニケーションズ)</t>
    <rPh sb="0" eb="3">
      <t>カイシャイン</t>
    </rPh>
    <phoneticPr fontId="3"/>
  </si>
  <si>
    <t>084神奈川2区01</t>
    <rPh sb="3" eb="6">
      <t>カナガワ</t>
    </rPh>
    <rPh sb="7" eb="8">
      <t>ク</t>
    </rPh>
    <phoneticPr fontId="3"/>
  </si>
  <si>
    <t>084神奈川2区02</t>
    <rPh sb="3" eb="6">
      <t>カナガワ</t>
    </rPh>
    <rPh sb="7" eb="8">
      <t>ク</t>
    </rPh>
    <phoneticPr fontId="3"/>
  </si>
  <si>
    <t>084神奈川2区03</t>
    <rPh sb="3" eb="6">
      <t>カナガワ</t>
    </rPh>
    <rPh sb="7" eb="8">
      <t>ク</t>
    </rPh>
    <phoneticPr fontId="3"/>
  </si>
  <si>
    <t>三村　和也</t>
    <rPh sb="0" eb="2">
      <t>ミムラ</t>
    </rPh>
    <rPh sb="3" eb="5">
      <t>カズヤ</t>
    </rPh>
    <phoneticPr fontId="3"/>
  </si>
  <si>
    <t>304比例南関東01</t>
    <rPh sb="3" eb="5">
      <t>ヒレイ</t>
    </rPh>
    <rPh sb="5" eb="8">
      <t>ミナミカントウ</t>
    </rPh>
    <phoneticPr fontId="3"/>
  </si>
  <si>
    <t>大院(米/イェール)</t>
    <rPh sb="0" eb="2">
      <t>ダイイン</t>
    </rPh>
    <rPh sb="3" eb="4">
      <t>ベイ</t>
    </rPh>
    <phoneticPr fontId="3"/>
  </si>
  <si>
    <t>経済産業省大臣官房秘書課課長補佐</t>
    <rPh sb="0" eb="2">
      <t>ケイザイ</t>
    </rPh>
    <rPh sb="2" eb="5">
      <t>サンギョウショウ</t>
    </rPh>
    <rPh sb="5" eb="7">
      <t>ダイジン</t>
    </rPh>
    <rPh sb="7" eb="9">
      <t>カンボウ</t>
    </rPh>
    <rPh sb="9" eb="12">
      <t>ヒショカ</t>
    </rPh>
    <rPh sb="12" eb="14">
      <t>カチョウ</t>
    </rPh>
    <rPh sb="14" eb="16">
      <t>ホサ</t>
    </rPh>
    <phoneticPr fontId="3"/>
  </si>
  <si>
    <t>菅　　義偉</t>
    <rPh sb="0" eb="1">
      <t>スガ</t>
    </rPh>
    <rPh sb="3" eb="4">
      <t>ヨシ</t>
    </rPh>
    <rPh sb="4" eb="5">
      <t>ヒデ</t>
    </rPh>
    <phoneticPr fontId="3"/>
  </si>
  <si>
    <t>084神奈川2区</t>
    <rPh sb="3" eb="6">
      <t>カナガワ</t>
    </rPh>
    <rPh sb="7" eb="8">
      <t>ク</t>
    </rPh>
    <phoneticPr fontId="3"/>
  </si>
  <si>
    <t>神奈川県・横浜市議,議員秘書(小此木彦三郎)</t>
    <rPh sb="0" eb="4">
      <t>カナガワケン</t>
    </rPh>
    <rPh sb="5" eb="7">
      <t>ヨコハマ</t>
    </rPh>
    <rPh sb="7" eb="9">
      <t>シギ</t>
    </rPh>
    <rPh sb="10" eb="12">
      <t>ギイン</t>
    </rPh>
    <rPh sb="12" eb="14">
      <t>ヒショ</t>
    </rPh>
    <rPh sb="15" eb="18">
      <t>オコノギ</t>
    </rPh>
    <rPh sb="18" eb="21">
      <t>ヒコサブロウ</t>
    </rPh>
    <phoneticPr fontId="3"/>
  </si>
  <si>
    <t>自民党幹事長代行，元大臣(総務),副大臣(総務),政務官(経産,国交)</t>
    <rPh sb="0" eb="3">
      <t>ジミントウ</t>
    </rPh>
    <rPh sb="3" eb="6">
      <t>カンジチョウ</t>
    </rPh>
    <rPh sb="6" eb="8">
      <t>ダイコウ</t>
    </rPh>
    <rPh sb="9" eb="12">
      <t>モトダイジン</t>
    </rPh>
    <rPh sb="13" eb="15">
      <t>ソウム</t>
    </rPh>
    <rPh sb="17" eb="20">
      <t>フクダイジン</t>
    </rPh>
    <rPh sb="21" eb="23">
      <t>ソウム</t>
    </rPh>
    <rPh sb="25" eb="28">
      <t>セイムカン</t>
    </rPh>
    <rPh sb="29" eb="31">
      <t>ケイサン</t>
    </rPh>
    <rPh sb="32" eb="34">
      <t>コッコウ</t>
    </rPh>
    <phoneticPr fontId="3"/>
  </si>
  <si>
    <t>児玉　俊明</t>
    <rPh sb="0" eb="2">
      <t>コダマ</t>
    </rPh>
    <rPh sb="3" eb="5">
      <t>トシアキ</t>
    </rPh>
    <phoneticPr fontId="3"/>
  </si>
  <si>
    <t>他中(日本ジャーナリスト専門学校)</t>
    <rPh sb="0" eb="1">
      <t>ホカ</t>
    </rPh>
    <rPh sb="1" eb="2">
      <t>チュウ</t>
    </rPh>
    <rPh sb="3" eb="5">
      <t>ニホン</t>
    </rPh>
    <rPh sb="12" eb="14">
      <t>センモン</t>
    </rPh>
    <rPh sb="14" eb="16">
      <t>ガッコウ</t>
    </rPh>
    <phoneticPr fontId="3"/>
  </si>
  <si>
    <t>共産党地区常任委員,横浜建設労組事務局員,キックボクサー</t>
    <rPh sb="0" eb="3">
      <t>キョウサントウ</t>
    </rPh>
    <rPh sb="3" eb="5">
      <t>チク</t>
    </rPh>
    <rPh sb="5" eb="7">
      <t>ジョウニン</t>
    </rPh>
    <rPh sb="7" eb="9">
      <t>イイン</t>
    </rPh>
    <rPh sb="10" eb="12">
      <t>ヨコハマ</t>
    </rPh>
    <rPh sb="12" eb="14">
      <t>ケンセツ</t>
    </rPh>
    <rPh sb="14" eb="16">
      <t>ロウソ</t>
    </rPh>
    <rPh sb="16" eb="19">
      <t>ジムキョク</t>
    </rPh>
    <rPh sb="19" eb="20">
      <t>イン</t>
    </rPh>
    <phoneticPr fontId="3"/>
  </si>
  <si>
    <t>タ</t>
    <phoneticPr fontId="3"/>
  </si>
  <si>
    <t>085神奈川3区01</t>
    <rPh sb="3" eb="6">
      <t>カナガワ</t>
    </rPh>
    <rPh sb="7" eb="8">
      <t>ク</t>
    </rPh>
    <phoneticPr fontId="3"/>
  </si>
  <si>
    <t>085神奈川3区02</t>
    <rPh sb="3" eb="6">
      <t>カナガワ</t>
    </rPh>
    <rPh sb="7" eb="8">
      <t>ク</t>
    </rPh>
    <phoneticPr fontId="3"/>
  </si>
  <si>
    <t>085神奈川3区03</t>
    <rPh sb="3" eb="6">
      <t>カナガワ</t>
    </rPh>
    <rPh sb="7" eb="8">
      <t>ク</t>
    </rPh>
    <phoneticPr fontId="3"/>
  </si>
  <si>
    <t>085神奈川3区04</t>
    <rPh sb="3" eb="6">
      <t>カナガワ</t>
    </rPh>
    <rPh sb="7" eb="8">
      <t>ク</t>
    </rPh>
    <phoneticPr fontId="3"/>
  </si>
  <si>
    <t>085神奈川3区05</t>
    <rPh sb="3" eb="6">
      <t>カナガワ</t>
    </rPh>
    <rPh sb="7" eb="8">
      <t>ク</t>
    </rPh>
    <phoneticPr fontId="3"/>
  </si>
  <si>
    <t>小此木　八郎</t>
    <rPh sb="0" eb="3">
      <t>オコノギ</t>
    </rPh>
    <rPh sb="4" eb="6">
      <t>ハチロウ</t>
    </rPh>
    <phoneticPr fontId="3"/>
  </si>
  <si>
    <t>大(玉川)</t>
    <rPh sb="0" eb="1">
      <t>ダイ</t>
    </rPh>
    <rPh sb="2" eb="4">
      <t>タマガワ</t>
    </rPh>
    <phoneticPr fontId="3"/>
  </si>
  <si>
    <t>議員秘書(小此木彦三郎,渡辺美智雄)</t>
    <rPh sb="0" eb="2">
      <t>ギイン</t>
    </rPh>
    <rPh sb="2" eb="4">
      <t>ヒショ</t>
    </rPh>
    <rPh sb="5" eb="8">
      <t>オコノギ</t>
    </rPh>
    <rPh sb="8" eb="11">
      <t>ヒコサブロウ</t>
    </rPh>
    <rPh sb="12" eb="14">
      <t>ワタナベ</t>
    </rPh>
    <rPh sb="14" eb="17">
      <t>ミチオ</t>
    </rPh>
    <phoneticPr fontId="3"/>
  </si>
  <si>
    <t>　元委長(安保),副大臣(経産),政務次官(文部)</t>
    <rPh sb="1" eb="2">
      <t>モト</t>
    </rPh>
    <rPh sb="2" eb="4">
      <t>イチョウ</t>
    </rPh>
    <rPh sb="5" eb="7">
      <t>アンポ</t>
    </rPh>
    <rPh sb="9" eb="12">
      <t>フクダイジン</t>
    </rPh>
    <rPh sb="13" eb="15">
      <t>ケイサン</t>
    </rPh>
    <rPh sb="17" eb="19">
      <t>セイム</t>
    </rPh>
    <rPh sb="19" eb="21">
      <t>ジカン</t>
    </rPh>
    <rPh sb="22" eb="24">
      <t>モンブ</t>
    </rPh>
    <phoneticPr fontId="3"/>
  </si>
  <si>
    <t>岡本　英子</t>
    <rPh sb="0" eb="2">
      <t>オカモト</t>
    </rPh>
    <rPh sb="3" eb="5">
      <t>エイコ</t>
    </rPh>
    <phoneticPr fontId="3"/>
  </si>
  <si>
    <t>085神奈川3区</t>
    <rPh sb="3" eb="6">
      <t>カナガワ</t>
    </rPh>
    <rPh sb="7" eb="8">
      <t>ク</t>
    </rPh>
    <phoneticPr fontId="3"/>
  </si>
  <si>
    <t>神奈川県・横浜市議,議員秘書(塚本三郎)</t>
    <rPh sb="0" eb="4">
      <t>カナガワケン</t>
    </rPh>
    <rPh sb="5" eb="7">
      <t>ヨコハマ</t>
    </rPh>
    <rPh sb="7" eb="9">
      <t>シギ</t>
    </rPh>
    <rPh sb="10" eb="12">
      <t>ギイン</t>
    </rPh>
    <rPh sb="12" eb="14">
      <t>ヒショ</t>
    </rPh>
    <rPh sb="15" eb="17">
      <t>ツカモト</t>
    </rPh>
    <rPh sb="17" eb="19">
      <t>サブロウ</t>
    </rPh>
    <phoneticPr fontId="3"/>
  </si>
  <si>
    <t>大院在(横浜国立)</t>
    <rPh sb="0" eb="2">
      <t>ダイイン</t>
    </rPh>
    <rPh sb="2" eb="3">
      <t>ザイ</t>
    </rPh>
    <rPh sb="4" eb="6">
      <t>ヨコハマ</t>
    </rPh>
    <rPh sb="6" eb="8">
      <t>コクリツ</t>
    </rPh>
    <phoneticPr fontId="3"/>
  </si>
  <si>
    <t>本橋　佳世</t>
    <rPh sb="0" eb="2">
      <t>モトハシ</t>
    </rPh>
    <rPh sb="3" eb="5">
      <t>カヨ</t>
    </rPh>
    <phoneticPr fontId="3"/>
  </si>
  <si>
    <t>大(帝京)</t>
    <rPh sb="0" eb="1">
      <t>ダイ</t>
    </rPh>
    <rPh sb="2" eb="4">
      <t>テイキョウ</t>
    </rPh>
    <phoneticPr fontId="3"/>
  </si>
  <si>
    <t>共産党地区委員,全国福祉保育労組書記</t>
    <rPh sb="0" eb="3">
      <t>キョウサントウ</t>
    </rPh>
    <rPh sb="3" eb="5">
      <t>チク</t>
    </rPh>
    <rPh sb="5" eb="7">
      <t>イイン</t>
    </rPh>
    <rPh sb="8" eb="10">
      <t>ゼンコク</t>
    </rPh>
    <rPh sb="10" eb="12">
      <t>フクシ</t>
    </rPh>
    <rPh sb="12" eb="14">
      <t>ホイク</t>
    </rPh>
    <rPh sb="14" eb="16">
      <t>ロウソ</t>
    </rPh>
    <rPh sb="16" eb="18">
      <t>ショキ</t>
    </rPh>
    <phoneticPr fontId="3"/>
  </si>
  <si>
    <t>毛呂　武史</t>
    <rPh sb="0" eb="2">
      <t>モロ</t>
    </rPh>
    <rPh sb="3" eb="5">
      <t>タケシ</t>
    </rPh>
    <phoneticPr fontId="3"/>
  </si>
  <si>
    <t>神奈川県・逗子市議,議員秘書(浅尾慶一郎)</t>
    <rPh sb="0" eb="4">
      <t>カナガワケン</t>
    </rPh>
    <rPh sb="5" eb="7">
      <t>ズシ</t>
    </rPh>
    <rPh sb="7" eb="9">
      <t>シギ</t>
    </rPh>
    <rPh sb="10" eb="12">
      <t>ギイン</t>
    </rPh>
    <rPh sb="12" eb="14">
      <t>ヒショ</t>
    </rPh>
    <rPh sb="15" eb="17">
      <t>アサオ</t>
    </rPh>
    <rPh sb="17" eb="20">
      <t>ケイイチロウ</t>
    </rPh>
    <phoneticPr fontId="3"/>
  </si>
  <si>
    <t>086神奈川4区01</t>
    <rPh sb="3" eb="6">
      <t>カナガワ</t>
    </rPh>
    <rPh sb="7" eb="8">
      <t>ク</t>
    </rPh>
    <phoneticPr fontId="3"/>
  </si>
  <si>
    <t>086神奈川4区02</t>
    <rPh sb="3" eb="6">
      <t>カナガワ</t>
    </rPh>
    <rPh sb="7" eb="8">
      <t>ク</t>
    </rPh>
    <phoneticPr fontId="3"/>
  </si>
  <si>
    <t>086神奈川4区03</t>
    <rPh sb="3" eb="6">
      <t>カナガワ</t>
    </rPh>
    <rPh sb="7" eb="8">
      <t>ク</t>
    </rPh>
    <phoneticPr fontId="3"/>
  </si>
  <si>
    <t>086神奈川4区04</t>
    <rPh sb="3" eb="6">
      <t>カナガワ</t>
    </rPh>
    <rPh sb="7" eb="8">
      <t>ク</t>
    </rPh>
    <phoneticPr fontId="3"/>
  </si>
  <si>
    <t>山本　朋広</t>
    <rPh sb="0" eb="2">
      <t>ヤマモト</t>
    </rPh>
    <rPh sb="3" eb="5">
      <t>トモヒロ</t>
    </rPh>
    <phoneticPr fontId="3"/>
  </si>
  <si>
    <t>大院(京都)</t>
    <rPh sb="0" eb="2">
      <t>ダイイン</t>
    </rPh>
    <rPh sb="3" eb="5">
      <t>キョウト</t>
    </rPh>
    <phoneticPr fontId="3"/>
  </si>
  <si>
    <t>加藤　勝広</t>
    <rPh sb="0" eb="2">
      <t>カトウ</t>
    </rPh>
    <rPh sb="3" eb="5">
      <t>カツヒロ</t>
    </rPh>
    <phoneticPr fontId="3"/>
  </si>
  <si>
    <t>高(磐田商)</t>
    <rPh sb="0" eb="1">
      <t>コウ</t>
    </rPh>
    <rPh sb="2" eb="4">
      <t>イワタ</t>
    </rPh>
    <rPh sb="4" eb="5">
      <t>ショウ</t>
    </rPh>
    <phoneticPr fontId="3"/>
  </si>
  <si>
    <t>共産党地区副委員長,通信労組副委員長</t>
    <rPh sb="0" eb="3">
      <t>キョウサントウ</t>
    </rPh>
    <rPh sb="3" eb="5">
      <t>チク</t>
    </rPh>
    <rPh sb="5" eb="9">
      <t>フクイインチョウ</t>
    </rPh>
    <rPh sb="10" eb="12">
      <t>ツウシン</t>
    </rPh>
    <rPh sb="12" eb="14">
      <t>ロウソ</t>
    </rPh>
    <rPh sb="14" eb="18">
      <t>フクイインチョウ</t>
    </rPh>
    <phoneticPr fontId="3"/>
  </si>
  <si>
    <t>浅尾　慶一郎</t>
    <rPh sb="0" eb="2">
      <t>アサオ</t>
    </rPh>
    <rPh sb="3" eb="6">
      <t>ケイイチロウ</t>
    </rPh>
    <phoneticPr fontId="3"/>
  </si>
  <si>
    <t>304比例南関東20</t>
    <rPh sb="3" eb="5">
      <t>ヒレイ</t>
    </rPh>
    <rPh sb="5" eb="8">
      <t>ミナミカントウ</t>
    </rPh>
    <phoneticPr fontId="3"/>
  </si>
  <si>
    <t>大院(米/スタンフォード)</t>
    <rPh sb="0" eb="2">
      <t>ダイイン</t>
    </rPh>
    <rPh sb="3" eb="4">
      <t>ベイ</t>
    </rPh>
    <phoneticPr fontId="3"/>
  </si>
  <si>
    <t>銀行員(日本興業銀行)</t>
    <rPh sb="0" eb="3">
      <t>ギンコウイン</t>
    </rPh>
    <rPh sb="4" eb="6">
      <t>ニホン</t>
    </rPh>
    <rPh sb="6" eb="8">
      <t>コウギョウ</t>
    </rPh>
    <rPh sb="8" eb="10">
      <t>ギンコウ</t>
    </rPh>
    <phoneticPr fontId="3"/>
  </si>
  <si>
    <t>みんなの党政務調査会長，元委長(参財金),参2</t>
    <rPh sb="4" eb="5">
      <t>トウ</t>
    </rPh>
    <rPh sb="5" eb="7">
      <t>セイム</t>
    </rPh>
    <rPh sb="7" eb="9">
      <t>チョウサ</t>
    </rPh>
    <rPh sb="9" eb="11">
      <t>カイチョウ</t>
    </rPh>
    <rPh sb="12" eb="13">
      <t>モト</t>
    </rPh>
    <rPh sb="13" eb="15">
      <t>イチョウ</t>
    </rPh>
    <rPh sb="16" eb="17">
      <t>サン</t>
    </rPh>
    <rPh sb="17" eb="19">
      <t>ザイキン</t>
    </rPh>
    <rPh sb="21" eb="22">
      <t>サン</t>
    </rPh>
    <phoneticPr fontId="3"/>
  </si>
  <si>
    <t>鞍二</t>
    <rPh sb="0" eb="1">
      <t>クラ</t>
    </rPh>
    <rPh sb="1" eb="2">
      <t>ニ</t>
    </rPh>
    <phoneticPr fontId="3"/>
  </si>
  <si>
    <t>鞍</t>
    <rPh sb="0" eb="1">
      <t>クラ</t>
    </rPh>
    <phoneticPr fontId="3"/>
  </si>
  <si>
    <t>林　　　潤</t>
    <rPh sb="0" eb="1">
      <t>ハヤシ</t>
    </rPh>
    <rPh sb="4" eb="5">
      <t>ジュン</t>
    </rPh>
    <phoneticPr fontId="3"/>
  </si>
  <si>
    <t>自</t>
    <rPh sb="0" eb="1">
      <t>ジ</t>
    </rPh>
    <phoneticPr fontId="3"/>
  </si>
  <si>
    <t>新聞記者(毎日新聞)</t>
    <rPh sb="0" eb="2">
      <t>シンブン</t>
    </rPh>
    <rPh sb="2" eb="4">
      <t>キシャ</t>
    </rPh>
    <rPh sb="5" eb="7">
      <t>マイニチ</t>
    </rPh>
    <rPh sb="7" eb="9">
      <t>シンブン</t>
    </rPh>
    <phoneticPr fontId="3"/>
  </si>
  <si>
    <t>幸福実現党員</t>
    <rPh sb="0" eb="2">
      <t>コウフク</t>
    </rPh>
    <rPh sb="2" eb="4">
      <t>ジツゲン</t>
    </rPh>
    <rPh sb="4" eb="6">
      <t>トウイン</t>
    </rPh>
    <phoneticPr fontId="3"/>
  </si>
  <si>
    <t>303比例北関東01</t>
    <rPh sb="3" eb="5">
      <t>ヒレイ</t>
    </rPh>
    <rPh sb="5" eb="8">
      <t>キタカントウ</t>
    </rPh>
    <phoneticPr fontId="3"/>
  </si>
  <si>
    <t>303比例北関東02</t>
    <rPh sb="3" eb="5">
      <t>ヒレイ</t>
    </rPh>
    <rPh sb="5" eb="8">
      <t>キタカントウ</t>
    </rPh>
    <phoneticPr fontId="3"/>
  </si>
  <si>
    <t>303比例北関東03</t>
    <rPh sb="3" eb="5">
      <t>ヒレイ</t>
    </rPh>
    <rPh sb="5" eb="8">
      <t>キタカントウ</t>
    </rPh>
    <phoneticPr fontId="3"/>
  </si>
  <si>
    <t>303比例北関東04</t>
    <rPh sb="3" eb="5">
      <t>ヒレイ</t>
    </rPh>
    <rPh sb="5" eb="8">
      <t>キタカントウ</t>
    </rPh>
    <phoneticPr fontId="3"/>
  </si>
  <si>
    <t>303比例北関東11</t>
    <rPh sb="3" eb="5">
      <t>ヒレイ</t>
    </rPh>
    <rPh sb="5" eb="8">
      <t>キタカントウ</t>
    </rPh>
    <phoneticPr fontId="3"/>
  </si>
  <si>
    <t>303比例北関東12</t>
    <rPh sb="3" eb="5">
      <t>ヒレイ</t>
    </rPh>
    <rPh sb="5" eb="8">
      <t>キタカントウ</t>
    </rPh>
    <phoneticPr fontId="3"/>
  </si>
  <si>
    <t>303比例北関東13</t>
    <rPh sb="3" eb="5">
      <t>ヒレイ</t>
    </rPh>
    <rPh sb="5" eb="8">
      <t>キタカントウ</t>
    </rPh>
    <phoneticPr fontId="3"/>
  </si>
  <si>
    <t>303比例北関東14</t>
    <rPh sb="3" eb="5">
      <t>ヒレイ</t>
    </rPh>
    <rPh sb="5" eb="8">
      <t>キタカントウ</t>
    </rPh>
    <phoneticPr fontId="3"/>
  </si>
  <si>
    <t>303比例北関東15</t>
    <rPh sb="3" eb="5">
      <t>ヒレイ</t>
    </rPh>
    <rPh sb="5" eb="8">
      <t>キタカントウ</t>
    </rPh>
    <phoneticPr fontId="3"/>
  </si>
  <si>
    <t>303比例北関東16</t>
    <rPh sb="3" eb="5">
      <t>ヒレイ</t>
    </rPh>
    <rPh sb="5" eb="8">
      <t>キタカントウ</t>
    </rPh>
    <phoneticPr fontId="3"/>
  </si>
  <si>
    <t>301比例北海道01</t>
    <rPh sb="3" eb="5">
      <t>ヒレイ</t>
    </rPh>
    <rPh sb="5" eb="8">
      <t>ホッカイドウ</t>
    </rPh>
    <phoneticPr fontId="3"/>
  </si>
  <si>
    <t>301比例北海道06</t>
    <rPh sb="3" eb="5">
      <t>ヒレイ</t>
    </rPh>
    <rPh sb="5" eb="8">
      <t>ホッカイドウ</t>
    </rPh>
    <phoneticPr fontId="3"/>
  </si>
  <si>
    <t>301比例北海道08</t>
    <rPh sb="3" eb="5">
      <t>ヒレイ</t>
    </rPh>
    <rPh sb="5" eb="8">
      <t>ホッカイドウ</t>
    </rPh>
    <phoneticPr fontId="3"/>
  </si>
  <si>
    <t>302比例東北01</t>
    <rPh sb="3" eb="5">
      <t>ヒレイ</t>
    </rPh>
    <rPh sb="5" eb="7">
      <t>トウホク</t>
    </rPh>
    <phoneticPr fontId="3"/>
  </si>
  <si>
    <t>302比例東北02</t>
    <rPh sb="3" eb="5">
      <t>ヒレイ</t>
    </rPh>
    <rPh sb="5" eb="7">
      <t>トウホク</t>
    </rPh>
    <phoneticPr fontId="3"/>
  </si>
  <si>
    <t>302比例東北03</t>
    <rPh sb="3" eb="5">
      <t>ヒレイ</t>
    </rPh>
    <rPh sb="5" eb="7">
      <t>トウホク</t>
    </rPh>
    <phoneticPr fontId="3"/>
  </si>
  <si>
    <t>302比例東北09</t>
    <rPh sb="3" eb="5">
      <t>ヒレイ</t>
    </rPh>
    <rPh sb="5" eb="7">
      <t>トウホク</t>
    </rPh>
    <phoneticPr fontId="3"/>
  </si>
  <si>
    <t>302比例東北10</t>
    <rPh sb="3" eb="5">
      <t>ヒレイ</t>
    </rPh>
    <rPh sb="5" eb="7">
      <t>トウホク</t>
    </rPh>
    <phoneticPr fontId="3"/>
  </si>
  <si>
    <t>302比例東北11</t>
    <rPh sb="3" eb="5">
      <t>ヒレイ</t>
    </rPh>
    <rPh sb="5" eb="7">
      <t>トウホク</t>
    </rPh>
    <phoneticPr fontId="3"/>
  </si>
  <si>
    <t>302比例東北13</t>
    <rPh sb="3" eb="5">
      <t>ヒレイ</t>
    </rPh>
    <rPh sb="5" eb="7">
      <t>トウホク</t>
    </rPh>
    <phoneticPr fontId="3"/>
  </si>
  <si>
    <t>001北海道1区</t>
    <rPh sb="3" eb="6">
      <t>ホッカイドウ</t>
    </rPh>
    <rPh sb="7" eb="8">
      <t>ク</t>
    </rPh>
    <phoneticPr fontId="3"/>
  </si>
  <si>
    <t>002北海道2区</t>
    <rPh sb="3" eb="6">
      <t>ホッカイドウ</t>
    </rPh>
    <rPh sb="7" eb="8">
      <t>ク</t>
    </rPh>
    <phoneticPr fontId="3"/>
  </si>
  <si>
    <t>003北海道3区</t>
    <rPh sb="3" eb="6">
      <t>ホッカイドウ</t>
    </rPh>
    <rPh sb="7" eb="8">
      <t>ク</t>
    </rPh>
    <phoneticPr fontId="3"/>
  </si>
  <si>
    <t>004北海道4区</t>
    <rPh sb="3" eb="6">
      <t>ホッカイドウ</t>
    </rPh>
    <rPh sb="7" eb="8">
      <t>ク</t>
    </rPh>
    <phoneticPr fontId="3"/>
  </si>
  <si>
    <t>005北海道5区</t>
    <rPh sb="3" eb="6">
      <t>ホッカイドウ</t>
    </rPh>
    <rPh sb="7" eb="8">
      <t>ク</t>
    </rPh>
    <phoneticPr fontId="3"/>
  </si>
  <si>
    <t>006北海道6区</t>
    <rPh sb="3" eb="6">
      <t>ホッカイドウ</t>
    </rPh>
    <rPh sb="7" eb="8">
      <t>ク</t>
    </rPh>
    <phoneticPr fontId="3"/>
  </si>
  <si>
    <t>007北海道7区</t>
    <rPh sb="3" eb="6">
      <t>ホッカイドウ</t>
    </rPh>
    <rPh sb="7" eb="8">
      <t>ク</t>
    </rPh>
    <phoneticPr fontId="3"/>
  </si>
  <si>
    <t>008北海道8区</t>
    <rPh sb="3" eb="6">
      <t>ホッカイドウ</t>
    </rPh>
    <rPh sb="7" eb="8">
      <t>ク</t>
    </rPh>
    <phoneticPr fontId="3"/>
  </si>
  <si>
    <t>010北海道10区</t>
    <rPh sb="3" eb="6">
      <t>ホッカイドウ</t>
    </rPh>
    <rPh sb="8" eb="9">
      <t>ク</t>
    </rPh>
    <phoneticPr fontId="3"/>
  </si>
  <si>
    <t>011北海道11区</t>
    <rPh sb="3" eb="6">
      <t>ホッカイドウ</t>
    </rPh>
    <rPh sb="8" eb="9">
      <t>ク</t>
    </rPh>
    <phoneticPr fontId="3"/>
  </si>
  <si>
    <t>012北海道12区</t>
    <rPh sb="3" eb="6">
      <t>ホッカイドウ</t>
    </rPh>
    <rPh sb="8" eb="9">
      <t>ク</t>
    </rPh>
    <phoneticPr fontId="3"/>
  </si>
  <si>
    <t>013青森1区</t>
    <rPh sb="3" eb="5">
      <t>アオモリ</t>
    </rPh>
    <rPh sb="6" eb="7">
      <t>ク</t>
    </rPh>
    <phoneticPr fontId="3"/>
  </si>
  <si>
    <t>014青森2区</t>
    <rPh sb="3" eb="5">
      <t>アオモリ</t>
    </rPh>
    <rPh sb="6" eb="7">
      <t>ク</t>
    </rPh>
    <phoneticPr fontId="3"/>
  </si>
  <si>
    <t>015青森3区</t>
    <rPh sb="3" eb="5">
      <t>アオモリ</t>
    </rPh>
    <rPh sb="6" eb="7">
      <t>ク</t>
    </rPh>
    <phoneticPr fontId="3"/>
  </si>
  <si>
    <t>016青森4区</t>
    <rPh sb="3" eb="5">
      <t>アオモリ</t>
    </rPh>
    <rPh sb="6" eb="7">
      <t>ク</t>
    </rPh>
    <phoneticPr fontId="3"/>
  </si>
  <si>
    <t>017岩手1区</t>
    <rPh sb="3" eb="5">
      <t>イワテ</t>
    </rPh>
    <rPh sb="6" eb="7">
      <t>ク</t>
    </rPh>
    <phoneticPr fontId="3"/>
  </si>
  <si>
    <t>018岩手2区</t>
    <rPh sb="3" eb="5">
      <t>イワテ</t>
    </rPh>
    <rPh sb="6" eb="7">
      <t>ク</t>
    </rPh>
    <phoneticPr fontId="3"/>
  </si>
  <si>
    <t>019岩手3区</t>
    <rPh sb="3" eb="5">
      <t>イワテ</t>
    </rPh>
    <rPh sb="6" eb="7">
      <t>ク</t>
    </rPh>
    <phoneticPr fontId="3"/>
  </si>
  <si>
    <t>020岩手4区</t>
    <rPh sb="3" eb="5">
      <t>イワテ</t>
    </rPh>
    <rPh sb="6" eb="7">
      <t>ク</t>
    </rPh>
    <phoneticPr fontId="3"/>
  </si>
  <si>
    <t>021宮城1区</t>
    <rPh sb="3" eb="5">
      <t>ミヤギ</t>
    </rPh>
    <rPh sb="6" eb="7">
      <t>ク</t>
    </rPh>
    <phoneticPr fontId="3"/>
  </si>
  <si>
    <t>0751比例13</t>
    <rPh sb="4" eb="6">
      <t>ヒレイ</t>
    </rPh>
    <phoneticPr fontId="3"/>
  </si>
  <si>
    <t>022宮城2区</t>
    <rPh sb="3" eb="5">
      <t>ミヤギ</t>
    </rPh>
    <rPh sb="6" eb="7">
      <t>ク</t>
    </rPh>
    <phoneticPr fontId="3"/>
  </si>
  <si>
    <t>023宮城3区</t>
    <rPh sb="3" eb="5">
      <t>ミヤギ</t>
    </rPh>
    <rPh sb="6" eb="7">
      <t>ク</t>
    </rPh>
    <phoneticPr fontId="3"/>
  </si>
  <si>
    <t>024宮城4区</t>
    <rPh sb="3" eb="5">
      <t>ミヤギ</t>
    </rPh>
    <rPh sb="6" eb="7">
      <t>ク</t>
    </rPh>
    <phoneticPr fontId="3"/>
  </si>
  <si>
    <t>025宮城5区</t>
    <rPh sb="3" eb="5">
      <t>ミヤギ</t>
    </rPh>
    <rPh sb="6" eb="7">
      <t>ク</t>
    </rPh>
    <phoneticPr fontId="3"/>
  </si>
  <si>
    <t>026宮城6区</t>
    <rPh sb="3" eb="5">
      <t>ミヤギ</t>
    </rPh>
    <rPh sb="6" eb="7">
      <t>ク</t>
    </rPh>
    <phoneticPr fontId="3"/>
  </si>
  <si>
    <t>027秋田1区</t>
    <rPh sb="3" eb="5">
      <t>アキタ</t>
    </rPh>
    <rPh sb="6" eb="7">
      <t>ク</t>
    </rPh>
    <phoneticPr fontId="3"/>
  </si>
  <si>
    <t>028秋田2区</t>
    <rPh sb="3" eb="5">
      <t>アキタ</t>
    </rPh>
    <rPh sb="6" eb="7">
      <t>ク</t>
    </rPh>
    <phoneticPr fontId="3"/>
  </si>
  <si>
    <t>029秋田3区</t>
    <rPh sb="3" eb="5">
      <t>アキタ</t>
    </rPh>
    <rPh sb="6" eb="7">
      <t>ク</t>
    </rPh>
    <phoneticPr fontId="3"/>
  </si>
  <si>
    <t>030山形1区</t>
    <rPh sb="3" eb="5">
      <t>ヤマガタ</t>
    </rPh>
    <rPh sb="6" eb="7">
      <t>ク</t>
    </rPh>
    <phoneticPr fontId="3"/>
  </si>
  <si>
    <t>031山形2区</t>
    <rPh sb="3" eb="5">
      <t>ヤマガタ</t>
    </rPh>
    <rPh sb="6" eb="7">
      <t>ク</t>
    </rPh>
    <phoneticPr fontId="3"/>
  </si>
  <si>
    <t>032山形3区</t>
    <rPh sb="3" eb="5">
      <t>ヤマガタ</t>
    </rPh>
    <rPh sb="6" eb="7">
      <t>ク</t>
    </rPh>
    <phoneticPr fontId="3"/>
  </si>
  <si>
    <t>033福島1区</t>
    <rPh sb="3" eb="5">
      <t>フクシマ</t>
    </rPh>
    <rPh sb="6" eb="7">
      <t>ク</t>
    </rPh>
    <phoneticPr fontId="3"/>
  </si>
  <si>
    <t>034福島2区</t>
    <rPh sb="3" eb="5">
      <t>フクシマ</t>
    </rPh>
    <rPh sb="6" eb="7">
      <t>ク</t>
    </rPh>
    <phoneticPr fontId="3"/>
  </si>
  <si>
    <t>035福島3区</t>
    <rPh sb="3" eb="5">
      <t>フクシマ</t>
    </rPh>
    <rPh sb="6" eb="7">
      <t>ク</t>
    </rPh>
    <phoneticPr fontId="3"/>
  </si>
  <si>
    <t>1051比例34</t>
    <rPh sb="4" eb="6">
      <t>ヒレイ</t>
    </rPh>
    <phoneticPr fontId="3"/>
  </si>
  <si>
    <t>037福島5区</t>
    <rPh sb="3" eb="5">
      <t>フクシマ</t>
    </rPh>
    <rPh sb="6" eb="7">
      <t>ク</t>
    </rPh>
    <phoneticPr fontId="3"/>
  </si>
  <si>
    <t>038茨城1区</t>
    <rPh sb="3" eb="5">
      <t>イバラキ</t>
    </rPh>
    <rPh sb="6" eb="7">
      <t>ク</t>
    </rPh>
    <phoneticPr fontId="3"/>
  </si>
  <si>
    <t>039茨城2区</t>
    <rPh sb="3" eb="5">
      <t>イバラキ</t>
    </rPh>
    <rPh sb="6" eb="7">
      <t>ク</t>
    </rPh>
    <phoneticPr fontId="3"/>
  </si>
  <si>
    <t>040茨城3区</t>
    <rPh sb="3" eb="5">
      <t>イバラキ</t>
    </rPh>
    <rPh sb="6" eb="7">
      <t>ク</t>
    </rPh>
    <phoneticPr fontId="3"/>
  </si>
  <si>
    <t>041茨城4区</t>
    <rPh sb="3" eb="5">
      <t>イバラキ</t>
    </rPh>
    <rPh sb="6" eb="7">
      <t>ク</t>
    </rPh>
    <phoneticPr fontId="3"/>
  </si>
  <si>
    <t>042茨城5区</t>
    <rPh sb="3" eb="5">
      <t>イバラキ</t>
    </rPh>
    <rPh sb="6" eb="7">
      <t>ク</t>
    </rPh>
    <phoneticPr fontId="3"/>
  </si>
  <si>
    <t>043茨城6区</t>
    <rPh sb="3" eb="5">
      <t>イバラキ</t>
    </rPh>
    <rPh sb="6" eb="7">
      <t>ク</t>
    </rPh>
    <phoneticPr fontId="3"/>
  </si>
  <si>
    <t>044茨城7区</t>
    <rPh sb="3" eb="5">
      <t>イバラキ</t>
    </rPh>
    <rPh sb="6" eb="7">
      <t>ク</t>
    </rPh>
    <phoneticPr fontId="3"/>
  </si>
  <si>
    <t>045栃木1区</t>
    <rPh sb="3" eb="5">
      <t>トチギ</t>
    </rPh>
    <rPh sb="6" eb="7">
      <t>ク</t>
    </rPh>
    <phoneticPr fontId="3"/>
  </si>
  <si>
    <t>046栃木2区</t>
    <rPh sb="3" eb="5">
      <t>トチギ</t>
    </rPh>
    <rPh sb="6" eb="7">
      <t>ク</t>
    </rPh>
    <phoneticPr fontId="3"/>
  </si>
  <si>
    <t>047栃木3区</t>
    <rPh sb="3" eb="5">
      <t>トチギ</t>
    </rPh>
    <rPh sb="6" eb="7">
      <t>ク</t>
    </rPh>
    <phoneticPr fontId="3"/>
  </si>
  <si>
    <t>048栃木4区</t>
    <rPh sb="3" eb="5">
      <t>トチギ</t>
    </rPh>
    <rPh sb="6" eb="7">
      <t>ク</t>
    </rPh>
    <phoneticPr fontId="3"/>
  </si>
  <si>
    <t>049栃木5区</t>
    <rPh sb="3" eb="5">
      <t>トチギ</t>
    </rPh>
    <rPh sb="6" eb="7">
      <t>ク</t>
    </rPh>
    <phoneticPr fontId="3"/>
  </si>
  <si>
    <t>050群馬1区</t>
    <rPh sb="3" eb="5">
      <t>グンマ</t>
    </rPh>
    <rPh sb="6" eb="7">
      <t>ク</t>
    </rPh>
    <phoneticPr fontId="3"/>
  </si>
  <si>
    <t>1051比例31</t>
    <rPh sb="4" eb="6">
      <t>ヒレイ</t>
    </rPh>
    <phoneticPr fontId="3"/>
  </si>
  <si>
    <t>051群馬2区</t>
    <rPh sb="3" eb="5">
      <t>グンマ</t>
    </rPh>
    <rPh sb="6" eb="7">
      <t>ク</t>
    </rPh>
    <phoneticPr fontId="3"/>
  </si>
  <si>
    <t>052群馬3区</t>
    <rPh sb="3" eb="5">
      <t>グンマ</t>
    </rPh>
    <rPh sb="6" eb="7">
      <t>ク</t>
    </rPh>
    <phoneticPr fontId="3"/>
  </si>
  <si>
    <t>054群馬5区</t>
    <rPh sb="3" eb="5">
      <t>グンマ</t>
    </rPh>
    <rPh sb="6" eb="7">
      <t>ク</t>
    </rPh>
    <phoneticPr fontId="3"/>
  </si>
  <si>
    <t>027秋田1区04</t>
    <rPh sb="3" eb="5">
      <t>アキタ</t>
    </rPh>
    <rPh sb="6" eb="7">
      <t>ク</t>
    </rPh>
    <phoneticPr fontId="3"/>
  </si>
  <si>
    <t>高松　和夫</t>
    <rPh sb="0" eb="2">
      <t>タカマツ</t>
    </rPh>
    <rPh sb="3" eb="5">
      <t>カズオ</t>
    </rPh>
    <phoneticPr fontId="3"/>
  </si>
  <si>
    <t>302比例東北04</t>
    <rPh sb="3" eb="5">
      <t>ヒレイ</t>
    </rPh>
    <rPh sb="5" eb="7">
      <t>トウホク</t>
    </rPh>
    <phoneticPr fontId="3"/>
  </si>
  <si>
    <t>大院(中央)</t>
    <rPh sb="0" eb="2">
      <t>ダイイン</t>
    </rPh>
    <rPh sb="3" eb="5">
      <t>チュウオウ</t>
    </rPh>
    <phoneticPr fontId="3"/>
  </si>
  <si>
    <t>秋田県議(秋田市,山本郡)</t>
    <rPh sb="0" eb="2">
      <t>アキタ</t>
    </rPh>
    <rPh sb="2" eb="4">
      <t>ケンギ</t>
    </rPh>
    <rPh sb="5" eb="8">
      <t>アキタシ</t>
    </rPh>
    <rPh sb="9" eb="12">
      <t>ヤマモトグン</t>
    </rPh>
    <phoneticPr fontId="3"/>
  </si>
  <si>
    <t>議</t>
    <rPh sb="0" eb="1">
      <t>ギ</t>
    </rPh>
    <phoneticPr fontId="3"/>
  </si>
  <si>
    <t>087神奈川5区01</t>
    <rPh sb="3" eb="6">
      <t>カナガワ</t>
    </rPh>
    <rPh sb="7" eb="8">
      <t>ク</t>
    </rPh>
    <phoneticPr fontId="3"/>
  </si>
  <si>
    <t>087神奈川5区02</t>
    <rPh sb="3" eb="6">
      <t>カナガワ</t>
    </rPh>
    <rPh sb="7" eb="8">
      <t>ク</t>
    </rPh>
    <phoneticPr fontId="3"/>
  </si>
  <si>
    <t>087神奈川5区03</t>
    <rPh sb="3" eb="6">
      <t>カナガワ</t>
    </rPh>
    <rPh sb="7" eb="8">
      <t>ク</t>
    </rPh>
    <phoneticPr fontId="3"/>
  </si>
  <si>
    <t>田中　慶秋</t>
    <rPh sb="0" eb="2">
      <t>タナカ</t>
    </rPh>
    <rPh sb="3" eb="5">
      <t>ケイシュウ</t>
    </rPh>
    <phoneticPr fontId="3"/>
  </si>
  <si>
    <t>087神奈川5区</t>
    <rPh sb="3" eb="6">
      <t>カナガワ</t>
    </rPh>
    <rPh sb="7" eb="8">
      <t>ク</t>
    </rPh>
    <phoneticPr fontId="3"/>
  </si>
  <si>
    <t>友</t>
    <rPh sb="0" eb="1">
      <t>ユウ</t>
    </rPh>
    <phoneticPr fontId="3"/>
  </si>
  <si>
    <t>神奈川県議(横浜市戸塚区),横浜地区同盟副議長</t>
    <rPh sb="0" eb="3">
      <t>カナガワ</t>
    </rPh>
    <rPh sb="3" eb="5">
      <t>ケンギ</t>
    </rPh>
    <rPh sb="6" eb="9">
      <t>ヨコハマシ</t>
    </rPh>
    <rPh sb="9" eb="12">
      <t>トツカク</t>
    </rPh>
    <rPh sb="14" eb="16">
      <t>ヨコハマ</t>
    </rPh>
    <rPh sb="16" eb="18">
      <t>チク</t>
    </rPh>
    <rPh sb="18" eb="20">
      <t>ドウメイ</t>
    </rPh>
    <rPh sb="20" eb="23">
      <t>フクギチョウ</t>
    </rPh>
    <phoneticPr fontId="3"/>
  </si>
  <si>
    <t>議労</t>
    <rPh sb="0" eb="1">
      <t>ギ</t>
    </rPh>
    <rPh sb="1" eb="2">
      <t>ロウ</t>
    </rPh>
    <phoneticPr fontId="3"/>
  </si>
  <si>
    <t>労</t>
    <rPh sb="0" eb="1">
      <t>ロウ</t>
    </rPh>
    <phoneticPr fontId="3"/>
  </si>
  <si>
    <t>坂井　　学</t>
    <rPh sb="0" eb="2">
      <t>サカイ</t>
    </rPh>
    <rPh sb="4" eb="5">
      <t>マナブ</t>
    </rPh>
    <phoneticPr fontId="3"/>
  </si>
  <si>
    <t>大(東京)</t>
    <rPh sb="0" eb="1">
      <t>ダイ</t>
    </rPh>
    <rPh sb="2" eb="4">
      <t>トウキョウ</t>
    </rPh>
    <phoneticPr fontId="3"/>
  </si>
  <si>
    <t>議員秘書(鳩山邦夫,矢上雅義)</t>
    <rPh sb="0" eb="2">
      <t>ギイン</t>
    </rPh>
    <rPh sb="2" eb="4">
      <t>ヒショ</t>
    </rPh>
    <rPh sb="5" eb="7">
      <t>ハトヤマ</t>
    </rPh>
    <rPh sb="7" eb="9">
      <t>クニオ</t>
    </rPh>
    <rPh sb="10" eb="12">
      <t>ヤガミ</t>
    </rPh>
    <rPh sb="12" eb="14">
      <t>マサヨシ</t>
    </rPh>
    <phoneticPr fontId="3"/>
  </si>
  <si>
    <t>松</t>
    <rPh sb="0" eb="1">
      <t>マツ</t>
    </rPh>
    <phoneticPr fontId="3"/>
  </si>
  <si>
    <t>横山　征吾</t>
    <rPh sb="0" eb="2">
      <t>ヨコヤマ</t>
    </rPh>
    <rPh sb="3" eb="4">
      <t>セイ</t>
    </rPh>
    <rPh sb="4" eb="5">
      <t>ゴ</t>
    </rPh>
    <phoneticPr fontId="3"/>
  </si>
  <si>
    <t>他(東京工業専門学校)</t>
    <rPh sb="0" eb="1">
      <t>ホカ</t>
    </rPh>
    <rPh sb="2" eb="4">
      <t>トウキョウ</t>
    </rPh>
    <rPh sb="4" eb="6">
      <t>コウギョウ</t>
    </rPh>
    <rPh sb="6" eb="8">
      <t>センモン</t>
    </rPh>
    <rPh sb="8" eb="10">
      <t>ガッコウ</t>
    </rPh>
    <phoneticPr fontId="3"/>
  </si>
  <si>
    <t>共産党地区委員</t>
    <rPh sb="0" eb="3">
      <t>キョウサントウ</t>
    </rPh>
    <rPh sb="3" eb="5">
      <t>チク</t>
    </rPh>
    <rPh sb="5" eb="7">
      <t>イイン</t>
    </rPh>
    <phoneticPr fontId="3"/>
  </si>
  <si>
    <t>088神奈川6区01</t>
    <rPh sb="3" eb="6">
      <t>カナガワ</t>
    </rPh>
    <rPh sb="7" eb="8">
      <t>ク</t>
    </rPh>
    <phoneticPr fontId="3"/>
  </si>
  <si>
    <t>088神奈川6区02</t>
    <rPh sb="3" eb="6">
      <t>カナガワ</t>
    </rPh>
    <rPh sb="7" eb="8">
      <t>ク</t>
    </rPh>
    <phoneticPr fontId="3"/>
  </si>
  <si>
    <t>088神奈川6区03</t>
    <rPh sb="3" eb="6">
      <t>カナガワ</t>
    </rPh>
    <rPh sb="7" eb="8">
      <t>ク</t>
    </rPh>
    <phoneticPr fontId="3"/>
  </si>
  <si>
    <t>088神奈川6区04</t>
    <rPh sb="3" eb="6">
      <t>カナガワ</t>
    </rPh>
    <rPh sb="7" eb="8">
      <t>ク</t>
    </rPh>
    <phoneticPr fontId="3"/>
  </si>
  <si>
    <t>池田　元久</t>
    <rPh sb="0" eb="2">
      <t>イケダ</t>
    </rPh>
    <rPh sb="3" eb="5">
      <t>モトヒサ</t>
    </rPh>
    <phoneticPr fontId="3"/>
  </si>
  <si>
    <t>088神奈川6区</t>
    <rPh sb="3" eb="6">
      <t>カナガワ</t>
    </rPh>
    <rPh sb="7" eb="8">
      <t>ク</t>
    </rPh>
    <phoneticPr fontId="3"/>
  </si>
  <si>
    <t>ジ</t>
    <phoneticPr fontId="3"/>
  </si>
  <si>
    <t>上田　　勇</t>
    <rPh sb="0" eb="2">
      <t>ウエダ</t>
    </rPh>
    <rPh sb="4" eb="5">
      <t>イサム</t>
    </rPh>
    <phoneticPr fontId="3"/>
  </si>
  <si>
    <t>農林水産省海外農業土木専門官</t>
    <rPh sb="0" eb="2">
      <t>ノウリン</t>
    </rPh>
    <rPh sb="2" eb="5">
      <t>スイサンショウ</t>
    </rPh>
    <rPh sb="5" eb="7">
      <t>カイガイ</t>
    </rPh>
    <rPh sb="7" eb="9">
      <t>ノウギョウ</t>
    </rPh>
    <rPh sb="9" eb="11">
      <t>ドボク</t>
    </rPh>
    <rPh sb="11" eb="14">
      <t>センモンカン</t>
    </rPh>
    <phoneticPr fontId="3"/>
  </si>
  <si>
    <t>　元委長(経産),副大臣(財務),政務次官(法務)</t>
    <rPh sb="1" eb="2">
      <t>モト</t>
    </rPh>
    <rPh sb="2" eb="4">
      <t>イチョウ</t>
    </rPh>
    <rPh sb="5" eb="7">
      <t>ケイサン</t>
    </rPh>
    <rPh sb="9" eb="12">
      <t>フクダイジン</t>
    </rPh>
    <rPh sb="13" eb="15">
      <t>ザイム</t>
    </rPh>
    <rPh sb="17" eb="19">
      <t>セイム</t>
    </rPh>
    <rPh sb="19" eb="21">
      <t>ジカン</t>
    </rPh>
    <rPh sb="22" eb="24">
      <t>ホウム</t>
    </rPh>
    <phoneticPr fontId="3"/>
  </si>
  <si>
    <t>官</t>
    <rPh sb="0" eb="1">
      <t>カン</t>
    </rPh>
    <phoneticPr fontId="3"/>
  </si>
  <si>
    <t>青柳　陽一郎</t>
    <rPh sb="0" eb="2">
      <t>アオヤギ</t>
    </rPh>
    <rPh sb="3" eb="6">
      <t>ヨウイチロウ</t>
    </rPh>
    <phoneticPr fontId="3"/>
  </si>
  <si>
    <t>大院在(早稲田)</t>
    <rPh sb="0" eb="2">
      <t>ダイイン</t>
    </rPh>
    <rPh sb="2" eb="3">
      <t>ザイ</t>
    </rPh>
    <rPh sb="4" eb="7">
      <t>ワセダ</t>
    </rPh>
    <phoneticPr fontId="3"/>
  </si>
  <si>
    <t>議員秘書(松田岩夫)</t>
    <rPh sb="0" eb="2">
      <t>ギイン</t>
    </rPh>
    <rPh sb="2" eb="4">
      <t>ヒショ</t>
    </rPh>
    <rPh sb="5" eb="7">
      <t>マツダ</t>
    </rPh>
    <rPh sb="7" eb="9">
      <t>イワオ</t>
    </rPh>
    <phoneticPr fontId="3"/>
  </si>
  <si>
    <t>089神奈川7区01</t>
    <rPh sb="3" eb="6">
      <t>カナガワ</t>
    </rPh>
    <rPh sb="7" eb="8">
      <t>ク</t>
    </rPh>
    <phoneticPr fontId="3"/>
  </si>
  <si>
    <t>089神奈川7区02</t>
    <rPh sb="3" eb="6">
      <t>カナガワ</t>
    </rPh>
    <rPh sb="7" eb="8">
      <t>ク</t>
    </rPh>
    <phoneticPr fontId="3"/>
  </si>
  <si>
    <t>089神奈川7区03</t>
    <rPh sb="3" eb="6">
      <t>カナガワ</t>
    </rPh>
    <rPh sb="7" eb="8">
      <t>ク</t>
    </rPh>
    <phoneticPr fontId="3"/>
  </si>
  <si>
    <t>089神奈川7区04</t>
    <rPh sb="3" eb="6">
      <t>カナガワ</t>
    </rPh>
    <rPh sb="7" eb="8">
      <t>ク</t>
    </rPh>
    <phoneticPr fontId="3"/>
  </si>
  <si>
    <t>首藤　信彦</t>
    <rPh sb="0" eb="2">
      <t>ストウ</t>
    </rPh>
    <rPh sb="3" eb="5">
      <t>ノブヒコ</t>
    </rPh>
    <phoneticPr fontId="3"/>
  </si>
  <si>
    <t>089神奈川7区</t>
    <rPh sb="3" eb="6">
      <t>カナガワ</t>
    </rPh>
    <rPh sb="7" eb="8">
      <t>ク</t>
    </rPh>
    <phoneticPr fontId="3"/>
  </si>
  <si>
    <t>大学教員(東海大学教授),テレビキャスター(CNN)</t>
    <rPh sb="0" eb="2">
      <t>ダイガク</t>
    </rPh>
    <rPh sb="2" eb="4">
      <t>キョウイン</t>
    </rPh>
    <rPh sb="5" eb="7">
      <t>トウカイ</t>
    </rPh>
    <rPh sb="7" eb="9">
      <t>ダイガク</t>
    </rPh>
    <rPh sb="9" eb="11">
      <t>キョウジュ</t>
    </rPh>
    <phoneticPr fontId="3"/>
  </si>
  <si>
    <t>鈴木　馨祐</t>
    <rPh sb="0" eb="2">
      <t>スズキ</t>
    </rPh>
    <rPh sb="3" eb="4">
      <t>ケイ</t>
    </rPh>
    <rPh sb="4" eb="5">
      <t>スケ</t>
    </rPh>
    <phoneticPr fontId="3"/>
  </si>
  <si>
    <t>財務省職員</t>
    <rPh sb="0" eb="3">
      <t>ザイムショウ</t>
    </rPh>
    <rPh sb="3" eb="5">
      <t>ショクイン</t>
    </rPh>
    <phoneticPr fontId="3"/>
  </si>
  <si>
    <t>比嘉　常一</t>
    <rPh sb="0" eb="2">
      <t>ヒガ</t>
    </rPh>
    <rPh sb="3" eb="5">
      <t>ツネカズ</t>
    </rPh>
    <phoneticPr fontId="3"/>
  </si>
  <si>
    <t>他(京浜学園)</t>
    <rPh sb="0" eb="1">
      <t>ホカ</t>
    </rPh>
    <rPh sb="2" eb="4">
      <t>ケイヒン</t>
    </rPh>
    <rPh sb="4" eb="6">
      <t>ガクエン</t>
    </rPh>
    <phoneticPr fontId="3"/>
  </si>
  <si>
    <t>共産党地区委員長</t>
    <rPh sb="0" eb="3">
      <t>キョウサントウ</t>
    </rPh>
    <rPh sb="3" eb="5">
      <t>チク</t>
    </rPh>
    <rPh sb="5" eb="8">
      <t>イインチョウ</t>
    </rPh>
    <phoneticPr fontId="3"/>
  </si>
  <si>
    <t>田中　朝子</t>
    <rPh sb="0" eb="2">
      <t>タナカ</t>
    </rPh>
    <rPh sb="3" eb="5">
      <t>アサコ</t>
    </rPh>
    <phoneticPr fontId="3"/>
  </si>
  <si>
    <t>大(武蔵野音楽)</t>
    <rPh sb="0" eb="1">
      <t>ダイ</t>
    </rPh>
    <rPh sb="2" eb="5">
      <t>ムサシノ</t>
    </rPh>
    <rPh sb="5" eb="7">
      <t>オンガク</t>
    </rPh>
    <phoneticPr fontId="3"/>
  </si>
  <si>
    <t>東京都・杉並区議,会社役員(ミュージックランド)</t>
    <rPh sb="0" eb="3">
      <t>トウキョウト</t>
    </rPh>
    <rPh sb="4" eb="6">
      <t>スギナミ</t>
    </rPh>
    <rPh sb="6" eb="8">
      <t>クギ</t>
    </rPh>
    <rPh sb="9" eb="11">
      <t>カイシャ</t>
    </rPh>
    <rPh sb="11" eb="13">
      <t>ヤクイン</t>
    </rPh>
    <phoneticPr fontId="3"/>
  </si>
  <si>
    <t>090神奈川8区01</t>
    <rPh sb="3" eb="6">
      <t>カナガワ</t>
    </rPh>
    <rPh sb="7" eb="8">
      <t>ク</t>
    </rPh>
    <phoneticPr fontId="3"/>
  </si>
  <si>
    <t>090神奈川8区02</t>
    <rPh sb="3" eb="6">
      <t>カナガワ</t>
    </rPh>
    <rPh sb="7" eb="8">
      <t>ク</t>
    </rPh>
    <phoneticPr fontId="3"/>
  </si>
  <si>
    <t>090神奈川8区03</t>
    <rPh sb="3" eb="6">
      <t>カナガワ</t>
    </rPh>
    <rPh sb="7" eb="8">
      <t>ク</t>
    </rPh>
    <phoneticPr fontId="3"/>
  </si>
  <si>
    <t>090神奈川8区04</t>
    <rPh sb="3" eb="6">
      <t>カナガワ</t>
    </rPh>
    <rPh sb="7" eb="8">
      <t>ク</t>
    </rPh>
    <phoneticPr fontId="3"/>
  </si>
  <si>
    <t>福田　峰之</t>
    <rPh sb="0" eb="2">
      <t>フクダ</t>
    </rPh>
    <rPh sb="3" eb="4">
      <t>ミネ</t>
    </rPh>
    <rPh sb="4" eb="5">
      <t>ユキ</t>
    </rPh>
    <phoneticPr fontId="3"/>
  </si>
  <si>
    <t>神奈川県・横浜市議,議員秘書(亀井善之)</t>
    <rPh sb="0" eb="4">
      <t>カナガワケン</t>
    </rPh>
    <rPh sb="5" eb="7">
      <t>ヨコハマ</t>
    </rPh>
    <rPh sb="7" eb="9">
      <t>シギ</t>
    </rPh>
    <rPh sb="10" eb="12">
      <t>ギイン</t>
    </rPh>
    <rPh sb="12" eb="14">
      <t>ヒショ</t>
    </rPh>
    <rPh sb="15" eb="17">
      <t>カメイ</t>
    </rPh>
    <rPh sb="17" eb="19">
      <t>ヨシユキ</t>
    </rPh>
    <phoneticPr fontId="3"/>
  </si>
  <si>
    <t>釘丸　　進</t>
    <rPh sb="0" eb="1">
      <t>クギ</t>
    </rPh>
    <rPh sb="1" eb="2">
      <t>マル</t>
    </rPh>
    <rPh sb="4" eb="5">
      <t>ススム</t>
    </rPh>
    <phoneticPr fontId="3"/>
  </si>
  <si>
    <t>共産党地区副委員長,会社員(新日本空調)</t>
    <rPh sb="0" eb="3">
      <t>キョウサントウ</t>
    </rPh>
    <rPh sb="3" eb="5">
      <t>チク</t>
    </rPh>
    <rPh sb="5" eb="9">
      <t>フクイインチョウ</t>
    </rPh>
    <rPh sb="10" eb="13">
      <t>カイシャイン</t>
    </rPh>
    <rPh sb="14" eb="17">
      <t>シンニホン</t>
    </rPh>
    <rPh sb="17" eb="19">
      <t>クウチョウ</t>
    </rPh>
    <phoneticPr fontId="3"/>
  </si>
  <si>
    <t>江田　憲司</t>
    <rPh sb="0" eb="2">
      <t>エダ</t>
    </rPh>
    <rPh sb="3" eb="5">
      <t>ケンジ</t>
    </rPh>
    <phoneticPr fontId="3"/>
  </si>
  <si>
    <t>090神奈川8区</t>
    <rPh sb="3" eb="6">
      <t>カナガワ</t>
    </rPh>
    <rPh sb="7" eb="8">
      <t>ク</t>
    </rPh>
    <phoneticPr fontId="3"/>
  </si>
  <si>
    <t>首相秘書官(橋本龍太郎/通産省)</t>
    <rPh sb="0" eb="2">
      <t>シュショウ</t>
    </rPh>
    <rPh sb="2" eb="5">
      <t>ヒショカン</t>
    </rPh>
    <rPh sb="6" eb="8">
      <t>ハシモト</t>
    </rPh>
    <rPh sb="8" eb="11">
      <t>リュウタロウ</t>
    </rPh>
    <rPh sb="12" eb="15">
      <t>ツウサンショウ</t>
    </rPh>
    <phoneticPr fontId="3"/>
  </si>
  <si>
    <t>みんなの党幹事長</t>
    <rPh sb="4" eb="5">
      <t>トウ</t>
    </rPh>
    <rPh sb="5" eb="8">
      <t>カンジチョウ</t>
    </rPh>
    <phoneticPr fontId="3"/>
  </si>
  <si>
    <t>高(士別)</t>
    <rPh sb="0" eb="1">
      <t>コウ</t>
    </rPh>
    <rPh sb="2" eb="4">
      <t>シベツ</t>
    </rPh>
    <phoneticPr fontId="3"/>
  </si>
  <si>
    <t>高(酒田商)</t>
    <rPh sb="0" eb="1">
      <t>コウ</t>
    </rPh>
    <rPh sb="2" eb="4">
      <t>サカタ</t>
    </rPh>
    <rPh sb="4" eb="5">
      <t>ショウ</t>
    </rPh>
    <phoneticPr fontId="3"/>
  </si>
  <si>
    <t>高(沼南高柳)</t>
    <rPh sb="0" eb="1">
      <t>コウ</t>
    </rPh>
    <rPh sb="2" eb="3">
      <t>ヌマ</t>
    </rPh>
    <rPh sb="3" eb="4">
      <t>ミナミ</t>
    </rPh>
    <rPh sb="4" eb="6">
      <t>タカヤナギ</t>
    </rPh>
    <phoneticPr fontId="3"/>
  </si>
  <si>
    <t>小林　人志</t>
    <rPh sb="0" eb="2">
      <t>コバヤシ</t>
    </rPh>
    <rPh sb="3" eb="5">
      <t>ヒトシ</t>
    </rPh>
    <phoneticPr fontId="3"/>
  </si>
  <si>
    <t>議</t>
    <rPh sb="0" eb="1">
      <t>ギ</t>
    </rPh>
    <phoneticPr fontId="3"/>
  </si>
  <si>
    <t>議労</t>
    <rPh sb="0" eb="1">
      <t>ギ</t>
    </rPh>
    <rPh sb="1" eb="2">
      <t>ロウ</t>
    </rPh>
    <phoneticPr fontId="3"/>
  </si>
  <si>
    <t>労</t>
    <rPh sb="0" eb="1">
      <t>ロウ</t>
    </rPh>
    <phoneticPr fontId="3"/>
  </si>
  <si>
    <t>青山　明日香</t>
    <rPh sb="0" eb="2">
      <t>アオヤマ</t>
    </rPh>
    <rPh sb="3" eb="6">
      <t>アスカ</t>
    </rPh>
    <phoneticPr fontId="3"/>
  </si>
  <si>
    <t>091神奈川9区01</t>
    <rPh sb="3" eb="6">
      <t>カナガワ</t>
    </rPh>
    <rPh sb="7" eb="8">
      <t>ク</t>
    </rPh>
    <phoneticPr fontId="3"/>
  </si>
  <si>
    <t>091神奈川9区02</t>
    <rPh sb="3" eb="6">
      <t>カナガワ</t>
    </rPh>
    <rPh sb="7" eb="8">
      <t>ク</t>
    </rPh>
    <phoneticPr fontId="3"/>
  </si>
  <si>
    <t>091神奈川9区03</t>
    <rPh sb="3" eb="6">
      <t>カナガワ</t>
    </rPh>
    <rPh sb="7" eb="8">
      <t>ク</t>
    </rPh>
    <phoneticPr fontId="3"/>
  </si>
  <si>
    <t>091神奈川9区04</t>
    <rPh sb="3" eb="6">
      <t>カナガワ</t>
    </rPh>
    <rPh sb="7" eb="8">
      <t>ク</t>
    </rPh>
    <phoneticPr fontId="3"/>
  </si>
  <si>
    <t>笠　　浩史</t>
    <rPh sb="0" eb="1">
      <t>リュウ</t>
    </rPh>
    <rPh sb="3" eb="5">
      <t>ヒロフミ</t>
    </rPh>
    <phoneticPr fontId="3"/>
  </si>
  <si>
    <t>091神奈川9区</t>
    <rPh sb="3" eb="6">
      <t>カナガワ</t>
    </rPh>
    <rPh sb="7" eb="8">
      <t>ク</t>
    </rPh>
    <phoneticPr fontId="3"/>
  </si>
  <si>
    <t>テレビ記者(テレビ朝日)</t>
    <rPh sb="3" eb="5">
      <t>キシャ</t>
    </rPh>
    <rPh sb="9" eb="11">
      <t>アサヒ</t>
    </rPh>
    <phoneticPr fontId="3"/>
  </si>
  <si>
    <t>文部科学副大臣，政務官(文科)</t>
    <rPh sb="0" eb="2">
      <t>モンブ</t>
    </rPh>
    <rPh sb="2" eb="4">
      <t>カガク</t>
    </rPh>
    <rPh sb="4" eb="7">
      <t>フクダイジン</t>
    </rPh>
    <rPh sb="8" eb="11">
      <t>セイムカン</t>
    </rPh>
    <rPh sb="12" eb="14">
      <t>モンカ</t>
    </rPh>
    <phoneticPr fontId="3"/>
  </si>
  <si>
    <t>ジ</t>
    <phoneticPr fontId="3"/>
  </si>
  <si>
    <t>中山　展宏</t>
    <rPh sb="0" eb="2">
      <t>ナカヤマノリ</t>
    </rPh>
    <rPh sb="4" eb="5">
      <t>ヒロ</t>
    </rPh>
    <phoneticPr fontId="3"/>
  </si>
  <si>
    <t>議員秘書(江崎洋一郎),会社員(勧角証券)</t>
    <rPh sb="0" eb="2">
      <t>ギイン</t>
    </rPh>
    <rPh sb="2" eb="4">
      <t>ヒショ</t>
    </rPh>
    <rPh sb="5" eb="7">
      <t>エザキ</t>
    </rPh>
    <rPh sb="7" eb="10">
      <t>ヨウイチロウ</t>
    </rPh>
    <rPh sb="12" eb="15">
      <t>カイシャイン</t>
    </rPh>
    <rPh sb="16" eb="18">
      <t>カンカク</t>
    </rPh>
    <rPh sb="18" eb="20">
      <t>ショウケン</t>
    </rPh>
    <phoneticPr fontId="3"/>
  </si>
  <si>
    <t>堀口　　望</t>
    <rPh sb="0" eb="2">
      <t>ホリグチ</t>
    </rPh>
    <rPh sb="4" eb="5">
      <t>ノゾム</t>
    </rPh>
    <phoneticPr fontId="3"/>
  </si>
  <si>
    <t>椎名　　毅</t>
    <rPh sb="0" eb="2">
      <t>シイナ</t>
    </rPh>
    <rPh sb="4" eb="5">
      <t>ツヨシ</t>
    </rPh>
    <phoneticPr fontId="3"/>
  </si>
  <si>
    <t>大院(米/コロンビア)</t>
    <rPh sb="0" eb="2">
      <t>ダイイン</t>
    </rPh>
    <rPh sb="3" eb="4">
      <t>ベイ</t>
    </rPh>
    <phoneticPr fontId="3"/>
  </si>
  <si>
    <t>弁護士,国会職員</t>
    <rPh sb="0" eb="3">
      <t>ベンゴシ</t>
    </rPh>
    <rPh sb="4" eb="6">
      <t>コッカイ</t>
    </rPh>
    <rPh sb="6" eb="8">
      <t>ショクイン</t>
    </rPh>
    <phoneticPr fontId="3"/>
  </si>
  <si>
    <t>法</t>
    <rPh sb="0" eb="1">
      <t>ホウ</t>
    </rPh>
    <phoneticPr fontId="3"/>
  </si>
  <si>
    <t>092神奈川10区</t>
    <rPh sb="3" eb="6">
      <t>カナガワ</t>
    </rPh>
    <rPh sb="8" eb="9">
      <t>ク</t>
    </rPh>
    <phoneticPr fontId="3"/>
  </si>
  <si>
    <t>092神奈川10区01</t>
    <rPh sb="3" eb="6">
      <t>カナガワ</t>
    </rPh>
    <rPh sb="8" eb="9">
      <t>ク</t>
    </rPh>
    <phoneticPr fontId="3"/>
  </si>
  <si>
    <t>092神奈川10区02</t>
    <rPh sb="3" eb="6">
      <t>カナガワ</t>
    </rPh>
    <rPh sb="8" eb="9">
      <t>ク</t>
    </rPh>
    <phoneticPr fontId="3"/>
  </si>
  <si>
    <t>092神奈川10区03</t>
    <rPh sb="3" eb="6">
      <t>カナガワ</t>
    </rPh>
    <rPh sb="8" eb="9">
      <t>ク</t>
    </rPh>
    <phoneticPr fontId="3"/>
  </si>
  <si>
    <t>092神奈川10区04</t>
    <rPh sb="3" eb="6">
      <t>カナガワ</t>
    </rPh>
    <rPh sb="8" eb="9">
      <t>ク</t>
    </rPh>
    <phoneticPr fontId="3"/>
  </si>
  <si>
    <t>城島　光力</t>
    <rPh sb="0" eb="2">
      <t>ジョウジマ</t>
    </rPh>
    <rPh sb="3" eb="4">
      <t>コウ</t>
    </rPh>
    <rPh sb="4" eb="5">
      <t>リキ</t>
    </rPh>
    <phoneticPr fontId="3"/>
  </si>
  <si>
    <t>友</t>
    <rPh sb="0" eb="1">
      <t>ユウ</t>
    </rPh>
    <phoneticPr fontId="3"/>
  </si>
  <si>
    <t>大(東京)</t>
    <rPh sb="0" eb="1">
      <t>ダイ</t>
    </rPh>
    <rPh sb="2" eb="4">
      <t>トウキョウ</t>
    </rPh>
    <phoneticPr fontId="3"/>
  </si>
  <si>
    <t>食品労協議長,会社員(味の素)</t>
    <rPh sb="0" eb="2">
      <t>ショクヒン</t>
    </rPh>
    <rPh sb="2" eb="4">
      <t>ロウキョウ</t>
    </rPh>
    <rPh sb="4" eb="6">
      <t>ギチョウ</t>
    </rPh>
    <rPh sb="7" eb="10">
      <t>カイシャイン</t>
    </rPh>
    <rPh sb="11" eb="12">
      <t>アジ</t>
    </rPh>
    <rPh sb="13" eb="14">
      <t>モト</t>
    </rPh>
    <phoneticPr fontId="3"/>
  </si>
  <si>
    <t>財務大臣，元委長(拉致特),民主党国対委長,幹事長代理,政調会長代理</t>
    <rPh sb="0" eb="2">
      <t>ザイム</t>
    </rPh>
    <rPh sb="2" eb="4">
      <t>ダイジン</t>
    </rPh>
    <rPh sb="5" eb="6">
      <t>モト</t>
    </rPh>
    <rPh sb="6" eb="8">
      <t>イチョウ</t>
    </rPh>
    <rPh sb="9" eb="11">
      <t>ラチ</t>
    </rPh>
    <rPh sb="11" eb="12">
      <t>トク</t>
    </rPh>
    <rPh sb="14" eb="17">
      <t>ミンシュトウ</t>
    </rPh>
    <rPh sb="17" eb="21">
      <t>コクタイイチョウ</t>
    </rPh>
    <rPh sb="22" eb="25">
      <t>カンジチョウ</t>
    </rPh>
    <rPh sb="25" eb="27">
      <t>ダイリ</t>
    </rPh>
    <rPh sb="28" eb="30">
      <t>セイチョウ</t>
    </rPh>
    <rPh sb="30" eb="32">
      <t>カイチョウ</t>
    </rPh>
    <rPh sb="32" eb="34">
      <t>ダイリ</t>
    </rPh>
    <phoneticPr fontId="3"/>
  </si>
  <si>
    <t>田中　和德</t>
    <rPh sb="0" eb="2">
      <t>タナカ</t>
    </rPh>
    <rPh sb="3" eb="4">
      <t>カズ</t>
    </rPh>
    <rPh sb="4" eb="5">
      <t>ノリ</t>
    </rPh>
    <phoneticPr fontId="3"/>
  </si>
  <si>
    <t>304比例南関東16</t>
    <rPh sb="3" eb="5">
      <t>ヒレイ</t>
    </rPh>
    <rPh sb="5" eb="8">
      <t>ミナミカントウ</t>
    </rPh>
    <phoneticPr fontId="3"/>
  </si>
  <si>
    <t>神奈川県議(川崎市川崎区),神奈川県・川崎市,議員秘書(斎藤文夫)</t>
    <rPh sb="0" eb="3">
      <t>カナガワ</t>
    </rPh>
    <rPh sb="3" eb="5">
      <t>ケンギ</t>
    </rPh>
    <rPh sb="6" eb="9">
      <t>カワサキシ</t>
    </rPh>
    <rPh sb="9" eb="12">
      <t>カワサキク</t>
    </rPh>
    <rPh sb="14" eb="18">
      <t>カナガワケン</t>
    </rPh>
    <rPh sb="19" eb="22">
      <t>カワサキシ</t>
    </rPh>
    <rPh sb="23" eb="25">
      <t>ギイン</t>
    </rPh>
    <rPh sb="25" eb="27">
      <t>ヒショ</t>
    </rPh>
    <rPh sb="28" eb="30">
      <t>サイトウ</t>
    </rPh>
    <rPh sb="30" eb="32">
      <t>フミオ</t>
    </rPh>
    <phoneticPr fontId="3"/>
  </si>
  <si>
    <t>　元委長(財金),副大臣(財務),政務官(外務,財務,国交)</t>
    <rPh sb="1" eb="2">
      <t>モト</t>
    </rPh>
    <rPh sb="2" eb="4">
      <t>イチョウ</t>
    </rPh>
    <rPh sb="5" eb="7">
      <t>ザイキン</t>
    </rPh>
    <rPh sb="9" eb="12">
      <t>フクダイジン</t>
    </rPh>
    <rPh sb="13" eb="15">
      <t>ザイム</t>
    </rPh>
    <rPh sb="17" eb="20">
      <t>セイムカン</t>
    </rPh>
    <rPh sb="21" eb="23">
      <t>ガイム</t>
    </rPh>
    <rPh sb="24" eb="26">
      <t>ザイム</t>
    </rPh>
    <rPh sb="27" eb="29">
      <t>コッコウ</t>
    </rPh>
    <phoneticPr fontId="3"/>
  </si>
  <si>
    <t>中野　智裕</t>
    <rPh sb="0" eb="2">
      <t>ナカノ</t>
    </rPh>
    <rPh sb="3" eb="4">
      <t>トシ</t>
    </rPh>
    <rPh sb="4" eb="5">
      <t>ヒロ</t>
    </rPh>
    <phoneticPr fontId="3"/>
  </si>
  <si>
    <t>共産党地区委員長,会社員(毎日新聞協栄)</t>
    <rPh sb="0" eb="3">
      <t>キョウサントウ</t>
    </rPh>
    <rPh sb="3" eb="5">
      <t>チク</t>
    </rPh>
    <rPh sb="5" eb="8">
      <t>イインチョウ</t>
    </rPh>
    <rPh sb="9" eb="12">
      <t>カイシャイン</t>
    </rPh>
    <rPh sb="13" eb="15">
      <t>マイニチ</t>
    </rPh>
    <rPh sb="15" eb="17">
      <t>シンブン</t>
    </rPh>
    <rPh sb="17" eb="19">
      <t>キョウエイ</t>
    </rPh>
    <phoneticPr fontId="3"/>
  </si>
  <si>
    <t>久米　英一郎</t>
    <rPh sb="0" eb="2">
      <t>クメ</t>
    </rPh>
    <rPh sb="3" eb="6">
      <t>エイイチロウ</t>
    </rPh>
    <phoneticPr fontId="3"/>
  </si>
  <si>
    <t>議員秘書(中西健治),会社員(日本航空)</t>
    <rPh sb="0" eb="2">
      <t>ギイン</t>
    </rPh>
    <rPh sb="2" eb="4">
      <t>ヒショ</t>
    </rPh>
    <rPh sb="5" eb="7">
      <t>ナカニシ</t>
    </rPh>
    <rPh sb="7" eb="9">
      <t>ケンジ</t>
    </rPh>
    <rPh sb="11" eb="14">
      <t>カイシャイン</t>
    </rPh>
    <rPh sb="15" eb="17">
      <t>ニホン</t>
    </rPh>
    <rPh sb="17" eb="19">
      <t>コウクウ</t>
    </rPh>
    <phoneticPr fontId="3"/>
  </si>
  <si>
    <t>093神奈川11区01</t>
    <rPh sb="3" eb="6">
      <t>カナガワ</t>
    </rPh>
    <rPh sb="8" eb="9">
      <t>ク</t>
    </rPh>
    <phoneticPr fontId="3"/>
  </si>
  <si>
    <t>093神奈川11区02</t>
    <rPh sb="3" eb="6">
      <t>カナガワ</t>
    </rPh>
    <rPh sb="8" eb="9">
      <t>ク</t>
    </rPh>
    <phoneticPr fontId="3"/>
  </si>
  <si>
    <t>093神奈川11区03</t>
    <rPh sb="3" eb="6">
      <t>カナガワ</t>
    </rPh>
    <rPh sb="8" eb="9">
      <t>ク</t>
    </rPh>
    <phoneticPr fontId="3"/>
  </si>
  <si>
    <t>小泉　進次郞</t>
    <rPh sb="0" eb="2">
      <t>コイズミ</t>
    </rPh>
    <rPh sb="3" eb="6">
      <t>シンジロウ</t>
    </rPh>
    <phoneticPr fontId="3"/>
  </si>
  <si>
    <t>093神奈川11区</t>
    <rPh sb="3" eb="6">
      <t>カナガワ</t>
    </rPh>
    <rPh sb="8" eb="9">
      <t>ク</t>
    </rPh>
    <phoneticPr fontId="3"/>
  </si>
  <si>
    <t>大(関東学院)</t>
    <rPh sb="0" eb="1">
      <t>ダイ</t>
    </rPh>
    <rPh sb="2" eb="4">
      <t>カントウ</t>
    </rPh>
    <rPh sb="4" eb="6">
      <t>ガクイン</t>
    </rPh>
    <phoneticPr fontId="3"/>
  </si>
  <si>
    <t>議員秘書(小泉純一郎),研究員(戦略国際問題研究所)</t>
    <rPh sb="0" eb="2">
      <t>ギイン</t>
    </rPh>
    <rPh sb="2" eb="4">
      <t>ヒショ</t>
    </rPh>
    <rPh sb="5" eb="10">
      <t>コイズミジュンイチロウ</t>
    </rPh>
    <rPh sb="12" eb="15">
      <t>ケンキュウイン</t>
    </rPh>
    <rPh sb="16" eb="18">
      <t>センリャク</t>
    </rPh>
    <rPh sb="18" eb="20">
      <t>コクサイ</t>
    </rPh>
    <rPh sb="20" eb="22">
      <t>モンダイ</t>
    </rPh>
    <rPh sb="22" eb="25">
      <t>ケンキュウジョ</t>
    </rPh>
    <phoneticPr fontId="3"/>
  </si>
  <si>
    <t>二</t>
    <rPh sb="0" eb="1">
      <t>ニ</t>
    </rPh>
    <phoneticPr fontId="3"/>
  </si>
  <si>
    <t>斉田　道夫</t>
    <rPh sb="0" eb="2">
      <t>サイダ</t>
    </rPh>
    <rPh sb="3" eb="5">
      <t>ミチオ</t>
    </rPh>
    <phoneticPr fontId="3"/>
  </si>
  <si>
    <t>大(横浜国立)</t>
    <rPh sb="0" eb="1">
      <t>ダイ</t>
    </rPh>
    <rPh sb="2" eb="4">
      <t>ヨコハマ</t>
    </rPh>
    <rPh sb="4" eb="6">
      <t>コクリツ</t>
    </rPh>
    <phoneticPr fontId="3"/>
  </si>
  <si>
    <t>094神奈川12区01</t>
    <rPh sb="3" eb="6">
      <t>カナガワ</t>
    </rPh>
    <rPh sb="8" eb="9">
      <t>ク</t>
    </rPh>
    <phoneticPr fontId="3"/>
  </si>
  <si>
    <t>094神奈川12区02</t>
    <rPh sb="3" eb="6">
      <t>カナガワ</t>
    </rPh>
    <rPh sb="8" eb="9">
      <t>ク</t>
    </rPh>
    <phoneticPr fontId="3"/>
  </si>
  <si>
    <t>094神奈川12区03</t>
    <rPh sb="3" eb="6">
      <t>カナガワ</t>
    </rPh>
    <rPh sb="8" eb="9">
      <t>ク</t>
    </rPh>
    <phoneticPr fontId="3"/>
  </si>
  <si>
    <t>094神奈川12区04</t>
    <rPh sb="3" eb="6">
      <t>カナガワ</t>
    </rPh>
    <rPh sb="8" eb="9">
      <t>ク</t>
    </rPh>
    <phoneticPr fontId="3"/>
  </si>
  <si>
    <t>中塚　一宏</t>
    <rPh sb="0" eb="2">
      <t>ナカツカ</t>
    </rPh>
    <rPh sb="3" eb="5">
      <t>イッコウ</t>
    </rPh>
    <phoneticPr fontId="3"/>
  </si>
  <si>
    <t>094神奈川12区</t>
    <rPh sb="3" eb="6">
      <t>カナガワ</t>
    </rPh>
    <rPh sb="8" eb="9">
      <t>ク</t>
    </rPh>
    <phoneticPr fontId="3"/>
  </si>
  <si>
    <t>由</t>
    <rPh sb="0" eb="1">
      <t>ユウ</t>
    </rPh>
    <phoneticPr fontId="3"/>
  </si>
  <si>
    <t>大(京都)</t>
    <rPh sb="0" eb="1">
      <t>ダイ</t>
    </rPh>
    <rPh sb="2" eb="4">
      <t>キョウト</t>
    </rPh>
    <phoneticPr fontId="3"/>
  </si>
  <si>
    <t>議員秘書(星野行男,丹羽兵助)</t>
    <rPh sb="0" eb="2">
      <t>ギイン</t>
    </rPh>
    <rPh sb="2" eb="4">
      <t>ヒショ</t>
    </rPh>
    <rPh sb="5" eb="7">
      <t>ホシノ</t>
    </rPh>
    <rPh sb="7" eb="9">
      <t>ユキオ</t>
    </rPh>
    <rPh sb="10" eb="12">
      <t>ニワ</t>
    </rPh>
    <rPh sb="12" eb="14">
      <t>ヒョウスケ</t>
    </rPh>
    <phoneticPr fontId="3"/>
  </si>
  <si>
    <t>金融担当大臣・少子化担当相，副大臣(内閣・復興)</t>
    <rPh sb="0" eb="2">
      <t>キンユウ</t>
    </rPh>
    <rPh sb="2" eb="4">
      <t>タントウ</t>
    </rPh>
    <rPh sb="4" eb="6">
      <t>ダイジン</t>
    </rPh>
    <rPh sb="7" eb="10">
      <t>ショウシカ</t>
    </rPh>
    <rPh sb="10" eb="13">
      <t>タントウショウ</t>
    </rPh>
    <rPh sb="14" eb="17">
      <t>フクダイジン</t>
    </rPh>
    <rPh sb="18" eb="20">
      <t>ナイカク</t>
    </rPh>
    <rPh sb="21" eb="23">
      <t>フッコウ</t>
    </rPh>
    <phoneticPr fontId="3"/>
  </si>
  <si>
    <t>星野　剛士</t>
    <rPh sb="0" eb="2">
      <t>ホシノ</t>
    </rPh>
    <rPh sb="3" eb="5">
      <t>ツヨシ</t>
    </rPh>
    <phoneticPr fontId="3"/>
  </si>
  <si>
    <t>大(日本)</t>
    <rPh sb="0" eb="1">
      <t>ダイ</t>
    </rPh>
    <rPh sb="2" eb="4">
      <t>ニホン</t>
    </rPh>
    <phoneticPr fontId="3"/>
  </si>
  <si>
    <t>神奈川県議(藤沢市),新聞記者(産経新聞)</t>
    <rPh sb="0" eb="3">
      <t>カナガワ</t>
    </rPh>
    <rPh sb="3" eb="5">
      <t>ケンギ</t>
    </rPh>
    <rPh sb="6" eb="9">
      <t>フジサワシ</t>
    </rPh>
    <rPh sb="11" eb="13">
      <t>シンブン</t>
    </rPh>
    <rPh sb="13" eb="15">
      <t>キシャ</t>
    </rPh>
    <rPh sb="16" eb="18">
      <t>サンケイ</t>
    </rPh>
    <rPh sb="18" eb="20">
      <t>シンブン</t>
    </rPh>
    <phoneticPr fontId="3"/>
  </si>
  <si>
    <t>議ジ</t>
    <rPh sb="0" eb="1">
      <t>ギ</t>
    </rPh>
    <phoneticPr fontId="3"/>
  </si>
  <si>
    <t>阿部　知子</t>
    <rPh sb="0" eb="2">
      <t>アベ</t>
    </rPh>
    <rPh sb="3" eb="5">
      <t>トモコ</t>
    </rPh>
    <phoneticPr fontId="3"/>
  </si>
  <si>
    <t>304比例南関東22</t>
    <rPh sb="3" eb="5">
      <t>ヒレイ</t>
    </rPh>
    <rPh sb="5" eb="8">
      <t>ミナミカントウ</t>
    </rPh>
    <phoneticPr fontId="3"/>
  </si>
  <si>
    <t>医師(千葉徳州会病院長/小児科)</t>
    <rPh sb="0" eb="2">
      <t>イシ</t>
    </rPh>
    <rPh sb="3" eb="5">
      <t>チバ</t>
    </rPh>
    <rPh sb="5" eb="6">
      <t>トク</t>
    </rPh>
    <rPh sb="6" eb="7">
      <t>シュウ</t>
    </rPh>
    <rPh sb="7" eb="8">
      <t>カイ</t>
    </rPh>
    <rPh sb="8" eb="11">
      <t>ビョウインチョウ</t>
    </rPh>
    <rPh sb="12" eb="15">
      <t>ショウニカ</t>
    </rPh>
    <phoneticPr fontId="3"/>
  </si>
  <si>
    <t>医師(脳外科)</t>
    <rPh sb="0" eb="2">
      <t>イシ</t>
    </rPh>
    <rPh sb="3" eb="6">
      <t>ノウゲカ</t>
    </rPh>
    <phoneticPr fontId="3"/>
  </si>
  <si>
    <t>095神奈川13区01</t>
    <rPh sb="3" eb="6">
      <t>カナガワ</t>
    </rPh>
    <rPh sb="8" eb="9">
      <t>ク</t>
    </rPh>
    <phoneticPr fontId="3"/>
  </si>
  <si>
    <t>095神奈川13区02</t>
    <rPh sb="3" eb="6">
      <t>カナガワ</t>
    </rPh>
    <rPh sb="8" eb="9">
      <t>ク</t>
    </rPh>
    <phoneticPr fontId="3"/>
  </si>
  <si>
    <t>095神奈川13区03</t>
    <rPh sb="3" eb="6">
      <t>カナガワ</t>
    </rPh>
    <rPh sb="8" eb="9">
      <t>ク</t>
    </rPh>
    <phoneticPr fontId="3"/>
  </si>
  <si>
    <t>095神奈川13区04</t>
    <rPh sb="3" eb="6">
      <t>カナガワ</t>
    </rPh>
    <rPh sb="8" eb="9">
      <t>ク</t>
    </rPh>
    <phoneticPr fontId="3"/>
  </si>
  <si>
    <t>橘　　秀徳</t>
    <rPh sb="0" eb="1">
      <t>タチバナ</t>
    </rPh>
    <rPh sb="3" eb="5">
      <t>ヒデノリ</t>
    </rPh>
    <phoneticPr fontId="3"/>
  </si>
  <si>
    <t>095神奈川13区</t>
    <rPh sb="3" eb="6">
      <t>カナガワ</t>
    </rPh>
    <rPh sb="8" eb="9">
      <t>ク</t>
    </rPh>
    <phoneticPr fontId="3"/>
  </si>
  <si>
    <t>官松</t>
    <rPh sb="0" eb="1">
      <t>カン</t>
    </rPh>
    <rPh sb="1" eb="2">
      <t>マツ</t>
    </rPh>
    <phoneticPr fontId="3"/>
  </si>
  <si>
    <t>松</t>
    <rPh sb="0" eb="1">
      <t>マツ</t>
    </rPh>
    <phoneticPr fontId="3"/>
  </si>
  <si>
    <t>議員秘書(原口一博,田中甲),内閣法制局事務官</t>
    <rPh sb="0" eb="2">
      <t>ギイン</t>
    </rPh>
    <rPh sb="2" eb="4">
      <t>ヒショ</t>
    </rPh>
    <rPh sb="5" eb="7">
      <t>ハラグチ</t>
    </rPh>
    <rPh sb="7" eb="9">
      <t>カズヒロ</t>
    </rPh>
    <rPh sb="10" eb="12">
      <t>タナカ</t>
    </rPh>
    <rPh sb="12" eb="13">
      <t>コウ</t>
    </rPh>
    <rPh sb="15" eb="17">
      <t>ナイカク</t>
    </rPh>
    <rPh sb="17" eb="20">
      <t>ホウセイキョク</t>
    </rPh>
    <rPh sb="20" eb="23">
      <t>ジムカン</t>
    </rPh>
    <phoneticPr fontId="3"/>
  </si>
  <si>
    <t>甘利　　明</t>
    <rPh sb="0" eb="2">
      <t>アマリ</t>
    </rPh>
    <rPh sb="4" eb="5">
      <t>アキラ</t>
    </rPh>
    <phoneticPr fontId="3"/>
  </si>
  <si>
    <t>304比例南関東12</t>
    <rPh sb="3" eb="5">
      <t>ヒレイ</t>
    </rPh>
    <rPh sb="5" eb="8">
      <t>ミナミカントウ</t>
    </rPh>
    <phoneticPr fontId="3"/>
  </si>
  <si>
    <t>議員秘書(甘利正),会社員(ソニー)</t>
    <rPh sb="0" eb="2">
      <t>ギイン</t>
    </rPh>
    <rPh sb="2" eb="4">
      <t>ヒショ</t>
    </rPh>
    <rPh sb="5" eb="7">
      <t>アマリ</t>
    </rPh>
    <rPh sb="7" eb="8">
      <t>タダシ</t>
    </rPh>
    <rPh sb="10" eb="13">
      <t>カイシャイン</t>
    </rPh>
    <phoneticPr fontId="3"/>
  </si>
  <si>
    <t>自民党政務調査会長，元大臣(行革,経産,労働),委長(予算,商工),政務次官(通産),自民党政調会長代理</t>
    <rPh sb="0" eb="3">
      <t>ジミントウ</t>
    </rPh>
    <rPh sb="3" eb="5">
      <t>セイム</t>
    </rPh>
    <rPh sb="5" eb="7">
      <t>チョウサ</t>
    </rPh>
    <rPh sb="7" eb="9">
      <t>カイチョウ</t>
    </rPh>
    <rPh sb="10" eb="13">
      <t>モトダイジン</t>
    </rPh>
    <rPh sb="14" eb="16">
      <t>ギョウカク</t>
    </rPh>
    <rPh sb="17" eb="19">
      <t>ケイサン</t>
    </rPh>
    <rPh sb="20" eb="22">
      <t>ロウドウ</t>
    </rPh>
    <rPh sb="24" eb="26">
      <t>イチョウ</t>
    </rPh>
    <rPh sb="27" eb="29">
      <t>ヨサン</t>
    </rPh>
    <rPh sb="30" eb="32">
      <t>ショウコウ</t>
    </rPh>
    <rPh sb="34" eb="36">
      <t>セイム</t>
    </rPh>
    <rPh sb="36" eb="38">
      <t>ジカン</t>
    </rPh>
    <rPh sb="39" eb="41">
      <t>ツウサン</t>
    </rPh>
    <rPh sb="43" eb="46">
      <t>ジミントウ</t>
    </rPh>
    <rPh sb="46" eb="48">
      <t>セイチョウ</t>
    </rPh>
    <rPh sb="48" eb="50">
      <t>カイチョウ</t>
    </rPh>
    <rPh sb="50" eb="52">
      <t>ダイリ</t>
    </rPh>
    <phoneticPr fontId="3"/>
  </si>
  <si>
    <t>宮応　勝幸</t>
    <rPh sb="0" eb="1">
      <t>ミヤ</t>
    </rPh>
    <rPh sb="1" eb="2">
      <t>オウ</t>
    </rPh>
    <rPh sb="3" eb="5">
      <t>カツユキ</t>
    </rPh>
    <phoneticPr fontId="3"/>
  </si>
  <si>
    <t>共産党地区常任委員,全税関労組副委員長</t>
    <rPh sb="0" eb="3">
      <t>キョウサントウ</t>
    </rPh>
    <rPh sb="3" eb="5">
      <t>チク</t>
    </rPh>
    <rPh sb="5" eb="7">
      <t>ジョウニン</t>
    </rPh>
    <rPh sb="7" eb="9">
      <t>イイン</t>
    </rPh>
    <rPh sb="10" eb="11">
      <t>ゼン</t>
    </rPh>
    <rPh sb="11" eb="13">
      <t>ゼイカン</t>
    </rPh>
    <rPh sb="13" eb="15">
      <t>ロウソ</t>
    </rPh>
    <rPh sb="15" eb="19">
      <t>フクイインチョウ</t>
    </rPh>
    <phoneticPr fontId="3"/>
  </si>
  <si>
    <t>高(匝瑳)</t>
    <rPh sb="0" eb="1">
      <t>コウ</t>
    </rPh>
    <rPh sb="2" eb="4">
      <t>ソウサ</t>
    </rPh>
    <phoneticPr fontId="3"/>
  </si>
  <si>
    <t>菅原　直敏</t>
    <rPh sb="0" eb="2">
      <t>スガワラ</t>
    </rPh>
    <rPh sb="3" eb="5">
      <t>ナオトシ</t>
    </rPh>
    <phoneticPr fontId="3"/>
  </si>
  <si>
    <t>大(上智)</t>
    <rPh sb="0" eb="1">
      <t>ダイ</t>
    </rPh>
    <rPh sb="2" eb="4">
      <t>ジョウチ</t>
    </rPh>
    <phoneticPr fontId="3"/>
  </si>
  <si>
    <t>神奈川県議(大和市),神奈川県・大和市議</t>
    <rPh sb="0" eb="3">
      <t>カナガワ</t>
    </rPh>
    <rPh sb="3" eb="5">
      <t>ケンギ</t>
    </rPh>
    <rPh sb="6" eb="9">
      <t>ヤマトシ</t>
    </rPh>
    <rPh sb="11" eb="15">
      <t>カナガワケン</t>
    </rPh>
    <rPh sb="16" eb="18">
      <t>ヤマト</t>
    </rPh>
    <rPh sb="18" eb="20">
      <t>シギ</t>
    </rPh>
    <phoneticPr fontId="3"/>
  </si>
  <si>
    <t>096神奈川14区01</t>
    <rPh sb="3" eb="6">
      <t>カナガワ</t>
    </rPh>
    <rPh sb="8" eb="9">
      <t>ク</t>
    </rPh>
    <phoneticPr fontId="3"/>
  </si>
  <si>
    <t>096神奈川14区02</t>
    <rPh sb="3" eb="6">
      <t>カナガワ</t>
    </rPh>
    <rPh sb="8" eb="9">
      <t>ク</t>
    </rPh>
    <phoneticPr fontId="3"/>
  </si>
  <si>
    <t>096神奈川14区03</t>
    <rPh sb="3" eb="6">
      <t>カナガワ</t>
    </rPh>
    <rPh sb="8" eb="9">
      <t>ク</t>
    </rPh>
    <phoneticPr fontId="3"/>
  </si>
  <si>
    <t>096神奈川14区04</t>
    <rPh sb="3" eb="6">
      <t>カナガワ</t>
    </rPh>
    <rPh sb="8" eb="9">
      <t>ク</t>
    </rPh>
    <phoneticPr fontId="3"/>
  </si>
  <si>
    <t>096神奈川14区05</t>
    <rPh sb="3" eb="6">
      <t>カナガワ</t>
    </rPh>
    <rPh sb="8" eb="9">
      <t>ク</t>
    </rPh>
    <phoneticPr fontId="3"/>
  </si>
  <si>
    <t>096神奈川14区06</t>
    <rPh sb="3" eb="6">
      <t>カナガワ</t>
    </rPh>
    <rPh sb="8" eb="9">
      <t>ク</t>
    </rPh>
    <phoneticPr fontId="3"/>
  </si>
  <si>
    <t>本村　賢太郎</t>
    <rPh sb="0" eb="2">
      <t>モトムラ</t>
    </rPh>
    <rPh sb="3" eb="6">
      <t>ケンタロウ</t>
    </rPh>
    <phoneticPr fontId="3"/>
  </si>
  <si>
    <t>096神奈川14区</t>
    <rPh sb="3" eb="6">
      <t>カナガワ</t>
    </rPh>
    <rPh sb="8" eb="9">
      <t>ク</t>
    </rPh>
    <phoneticPr fontId="3"/>
  </si>
  <si>
    <t>議二</t>
    <rPh sb="0" eb="1">
      <t>ギ</t>
    </rPh>
    <rPh sb="1" eb="2">
      <t>ニ</t>
    </rPh>
    <phoneticPr fontId="3"/>
  </si>
  <si>
    <t>神奈川県議(相模原市),議員秘書(藤井裕久,本村和喜)</t>
    <rPh sb="0" eb="3">
      <t>カナガワ</t>
    </rPh>
    <rPh sb="3" eb="5">
      <t>ケンギ</t>
    </rPh>
    <rPh sb="6" eb="10">
      <t>サガミハラシ</t>
    </rPh>
    <rPh sb="12" eb="14">
      <t>ギイン</t>
    </rPh>
    <rPh sb="14" eb="16">
      <t>ヒショ</t>
    </rPh>
    <rPh sb="17" eb="19">
      <t>フジイ</t>
    </rPh>
    <rPh sb="19" eb="21">
      <t>ヒロヒサ</t>
    </rPh>
    <rPh sb="22" eb="24">
      <t>モトムラ</t>
    </rPh>
    <rPh sb="24" eb="26">
      <t>カズキ</t>
    </rPh>
    <phoneticPr fontId="3"/>
  </si>
  <si>
    <t>赤間　二郎</t>
    <rPh sb="0" eb="2">
      <t>アカマ</t>
    </rPh>
    <rPh sb="3" eb="5">
      <t>ジロウ</t>
    </rPh>
    <phoneticPr fontId="3"/>
  </si>
  <si>
    <t>神奈川県議(相模原市),プロボクサー</t>
    <rPh sb="0" eb="3">
      <t>カナガワ</t>
    </rPh>
    <rPh sb="3" eb="5">
      <t>ケンギ</t>
    </rPh>
    <rPh sb="6" eb="10">
      <t>サガミハラシ</t>
    </rPh>
    <phoneticPr fontId="3"/>
  </si>
  <si>
    <t>猪股　ゆり</t>
    <rPh sb="0" eb="2">
      <t>イノマタ</t>
    </rPh>
    <phoneticPr fontId="3"/>
  </si>
  <si>
    <t>大中(洗足学園音楽)</t>
    <rPh sb="0" eb="1">
      <t>ダイ</t>
    </rPh>
    <rPh sb="1" eb="2">
      <t>チュウ</t>
    </rPh>
    <rPh sb="3" eb="5">
      <t>センゾク</t>
    </rPh>
    <rPh sb="5" eb="7">
      <t>ガクエン</t>
    </rPh>
    <rPh sb="7" eb="9">
      <t>オンガク</t>
    </rPh>
    <phoneticPr fontId="3"/>
  </si>
  <si>
    <t>タ</t>
    <phoneticPr fontId="3"/>
  </si>
  <si>
    <t>議タ</t>
    <rPh sb="0" eb="1">
      <t>ギ</t>
    </rPh>
    <phoneticPr fontId="3"/>
  </si>
  <si>
    <t>共産党地区委員,相模原市平和委員会理事</t>
    <rPh sb="0" eb="3">
      <t>キョウサントウ</t>
    </rPh>
    <rPh sb="3" eb="5">
      <t>チク</t>
    </rPh>
    <rPh sb="5" eb="7">
      <t>イイン</t>
    </rPh>
    <rPh sb="8" eb="12">
      <t>サガミハラシ</t>
    </rPh>
    <rPh sb="12" eb="14">
      <t>ヘイワ</t>
    </rPh>
    <rPh sb="14" eb="17">
      <t>イインカイ</t>
    </rPh>
    <rPh sb="17" eb="19">
      <t>リジ</t>
    </rPh>
    <phoneticPr fontId="3"/>
  </si>
  <si>
    <t>今井　達也</t>
    <rPh sb="0" eb="2">
      <t>イマイ</t>
    </rPh>
    <rPh sb="3" eb="5">
      <t>タツヤ</t>
    </rPh>
    <phoneticPr fontId="3"/>
  </si>
  <si>
    <t>大中(明治学院)</t>
    <rPh sb="0" eb="1">
      <t>ダイ</t>
    </rPh>
    <rPh sb="1" eb="2">
      <t>チュウ</t>
    </rPh>
    <rPh sb="3" eb="5">
      <t>メイジ</t>
    </rPh>
    <rPh sb="5" eb="7">
      <t>ガクイン</t>
    </rPh>
    <phoneticPr fontId="3"/>
  </si>
  <si>
    <t>社民党支部常任幹事,派遣会社員</t>
    <rPh sb="0" eb="3">
      <t>シャミントウ</t>
    </rPh>
    <rPh sb="3" eb="5">
      <t>シブ</t>
    </rPh>
    <rPh sb="5" eb="7">
      <t>ジョウニン</t>
    </rPh>
    <rPh sb="7" eb="9">
      <t>カンジ</t>
    </rPh>
    <rPh sb="10" eb="12">
      <t>ハケン</t>
    </rPh>
    <rPh sb="12" eb="15">
      <t>カイシャイン</t>
    </rPh>
    <phoneticPr fontId="3"/>
  </si>
  <si>
    <t>中本　太衛</t>
    <rPh sb="0" eb="2">
      <t>ナカモト</t>
    </rPh>
    <rPh sb="3" eb="4">
      <t>タ</t>
    </rPh>
    <rPh sb="4" eb="5">
      <t>エイ</t>
    </rPh>
    <phoneticPr fontId="3"/>
  </si>
  <si>
    <t>097神奈川15区01</t>
    <rPh sb="3" eb="6">
      <t>カナガワ</t>
    </rPh>
    <rPh sb="8" eb="9">
      <t>ク</t>
    </rPh>
    <phoneticPr fontId="3"/>
  </si>
  <si>
    <t>097神奈川15区02</t>
    <rPh sb="3" eb="6">
      <t>カナガワ</t>
    </rPh>
    <rPh sb="8" eb="9">
      <t>ク</t>
    </rPh>
    <phoneticPr fontId="3"/>
  </si>
  <si>
    <t>勝又　恒一郎</t>
    <rPh sb="0" eb="1">
      <t>カツ</t>
    </rPh>
    <rPh sb="1" eb="2">
      <t>マタ</t>
    </rPh>
    <rPh sb="3" eb="6">
      <t>コウイチロウ</t>
    </rPh>
    <phoneticPr fontId="3"/>
  </si>
  <si>
    <t>大院(横浜国立)</t>
    <rPh sb="0" eb="2">
      <t>ダイイン</t>
    </rPh>
    <rPh sb="3" eb="5">
      <t>ヨコハマ</t>
    </rPh>
    <rPh sb="5" eb="7">
      <t>コクリツ</t>
    </rPh>
    <phoneticPr fontId="3"/>
  </si>
  <si>
    <t>神奈川県議(横浜市旭区),銀行員(住友銀行)</t>
    <rPh sb="0" eb="3">
      <t>カナガワ</t>
    </rPh>
    <rPh sb="3" eb="5">
      <t>ケンギ</t>
    </rPh>
    <rPh sb="6" eb="9">
      <t>ヨコハマシ</t>
    </rPh>
    <rPh sb="9" eb="11">
      <t>アサヒク</t>
    </rPh>
    <rPh sb="13" eb="16">
      <t>ギンコウイン</t>
    </rPh>
    <rPh sb="17" eb="19">
      <t>スミトモ</t>
    </rPh>
    <rPh sb="19" eb="21">
      <t>ギンコウ</t>
    </rPh>
    <phoneticPr fontId="3"/>
  </si>
  <si>
    <t>河野　太郎</t>
    <rPh sb="0" eb="2">
      <t>コウノ</t>
    </rPh>
    <rPh sb="3" eb="5">
      <t>タロウ</t>
    </rPh>
    <phoneticPr fontId="3"/>
  </si>
  <si>
    <t>097神奈川15区</t>
    <rPh sb="3" eb="6">
      <t>カナガワ</t>
    </rPh>
    <rPh sb="8" eb="9">
      <t>ク</t>
    </rPh>
    <phoneticPr fontId="3"/>
  </si>
  <si>
    <t>大(米/ジョージタウン)</t>
    <rPh sb="0" eb="1">
      <t>ダイ</t>
    </rPh>
    <rPh sb="2" eb="3">
      <t>ベイ</t>
    </rPh>
    <phoneticPr fontId="3"/>
  </si>
  <si>
    <t>会社員(日本端子,富士ゼロックス)</t>
    <rPh sb="0" eb="3">
      <t>カイシャイン</t>
    </rPh>
    <rPh sb="4" eb="6">
      <t>ニホン</t>
    </rPh>
    <rPh sb="6" eb="8">
      <t>タンシ</t>
    </rPh>
    <rPh sb="9" eb="11">
      <t>フジ</t>
    </rPh>
    <phoneticPr fontId="3"/>
  </si>
  <si>
    <t>　元委長(外務),副大臣(法務),政務官(総務),自民党幹事長代理</t>
    <rPh sb="1" eb="2">
      <t>モト</t>
    </rPh>
    <rPh sb="2" eb="4">
      <t>イチョウ</t>
    </rPh>
    <rPh sb="5" eb="7">
      <t>ガイム</t>
    </rPh>
    <rPh sb="9" eb="12">
      <t>フクダイジン</t>
    </rPh>
    <rPh sb="13" eb="15">
      <t>ホウム</t>
    </rPh>
    <rPh sb="17" eb="20">
      <t>セイムカン</t>
    </rPh>
    <rPh sb="21" eb="23">
      <t>ソウム</t>
    </rPh>
    <rPh sb="25" eb="28">
      <t>ジミントウ</t>
    </rPh>
    <rPh sb="28" eb="31">
      <t>カンジチョウ</t>
    </rPh>
    <rPh sb="31" eb="33">
      <t>ダイリ</t>
    </rPh>
    <phoneticPr fontId="3"/>
  </si>
  <si>
    <t>浅賀　由香</t>
    <rPh sb="0" eb="2">
      <t>アサカ</t>
    </rPh>
    <rPh sb="3" eb="5">
      <t>ユカ</t>
    </rPh>
    <phoneticPr fontId="3"/>
  </si>
  <si>
    <t>大(筑波)</t>
    <rPh sb="0" eb="1">
      <t>ダイ</t>
    </rPh>
    <rPh sb="2" eb="4">
      <t>ツクバ</t>
    </rPh>
    <phoneticPr fontId="3"/>
  </si>
  <si>
    <t>共産党神奈川県常任委員,会社員(遠東国際商事)</t>
    <rPh sb="0" eb="3">
      <t>キョウサントウ</t>
    </rPh>
    <rPh sb="3" eb="7">
      <t>カナガワケン</t>
    </rPh>
    <rPh sb="7" eb="9">
      <t>ジョウニン</t>
    </rPh>
    <rPh sb="9" eb="11">
      <t>イイン</t>
    </rPh>
    <rPh sb="12" eb="15">
      <t>カイシャイン</t>
    </rPh>
    <rPh sb="16" eb="17">
      <t>エン</t>
    </rPh>
    <rPh sb="17" eb="18">
      <t>トウ</t>
    </rPh>
    <rPh sb="18" eb="20">
      <t>コクサイ</t>
    </rPh>
    <rPh sb="20" eb="22">
      <t>ショウジ</t>
    </rPh>
    <phoneticPr fontId="3"/>
  </si>
  <si>
    <t>098神奈川16区01</t>
    <rPh sb="3" eb="6">
      <t>カナガワ</t>
    </rPh>
    <rPh sb="8" eb="9">
      <t>ク</t>
    </rPh>
    <phoneticPr fontId="3"/>
  </si>
  <si>
    <t>098神奈川16区02</t>
    <rPh sb="3" eb="6">
      <t>カナガワ</t>
    </rPh>
    <rPh sb="8" eb="9">
      <t>ク</t>
    </rPh>
    <phoneticPr fontId="3"/>
  </si>
  <si>
    <t>098神奈川16区03</t>
    <rPh sb="3" eb="6">
      <t>カナガワ</t>
    </rPh>
    <rPh sb="8" eb="9">
      <t>ク</t>
    </rPh>
    <phoneticPr fontId="3"/>
  </si>
  <si>
    <t>後藤　祐一</t>
    <rPh sb="0" eb="2">
      <t>ゴトウ</t>
    </rPh>
    <rPh sb="3" eb="5">
      <t>ユウイチ</t>
    </rPh>
    <phoneticPr fontId="3"/>
  </si>
  <si>
    <t>098神奈川16区</t>
    <rPh sb="3" eb="6">
      <t>カナガワ</t>
    </rPh>
    <rPh sb="8" eb="9">
      <t>ク</t>
    </rPh>
    <phoneticPr fontId="3"/>
  </si>
  <si>
    <t>官</t>
    <rPh sb="0" eb="1">
      <t>カン</t>
    </rPh>
    <phoneticPr fontId="3"/>
  </si>
  <si>
    <t>経済産業省課長補佐</t>
    <rPh sb="0" eb="2">
      <t>ケイザイ</t>
    </rPh>
    <rPh sb="2" eb="5">
      <t>サンギョウショウ</t>
    </rPh>
    <rPh sb="5" eb="7">
      <t>カチョウ</t>
    </rPh>
    <rPh sb="7" eb="9">
      <t>ホサ</t>
    </rPh>
    <phoneticPr fontId="3"/>
  </si>
  <si>
    <t>義家　弘介</t>
    <rPh sb="0" eb="2">
      <t>ヨシイエ</t>
    </rPh>
    <rPh sb="3" eb="4">
      <t>ヒロ</t>
    </rPh>
    <rPh sb="4" eb="5">
      <t>ユキ</t>
    </rPh>
    <phoneticPr fontId="3"/>
  </si>
  <si>
    <t>0751比例30</t>
    <rPh sb="4" eb="6">
      <t>ヒレイ</t>
    </rPh>
    <phoneticPr fontId="3"/>
  </si>
  <si>
    <t>参</t>
    <rPh sb="0" eb="1">
      <t>サン</t>
    </rPh>
    <phoneticPr fontId="3"/>
  </si>
  <si>
    <t>教育再生会議担当室室長,高校教諭</t>
    <rPh sb="0" eb="2">
      <t>キョウイク</t>
    </rPh>
    <rPh sb="2" eb="4">
      <t>サイセイ</t>
    </rPh>
    <rPh sb="4" eb="6">
      <t>カイギ</t>
    </rPh>
    <rPh sb="6" eb="9">
      <t>タントウシツ</t>
    </rPh>
    <rPh sb="9" eb="11">
      <t>シツチョウ</t>
    </rPh>
    <rPh sb="12" eb="14">
      <t>コウコウ</t>
    </rPh>
    <rPh sb="14" eb="16">
      <t>キョウユ</t>
    </rPh>
    <phoneticPr fontId="3"/>
  </si>
  <si>
    <t>池田　博英</t>
    <rPh sb="0" eb="2">
      <t>イケダ</t>
    </rPh>
    <rPh sb="3" eb="5">
      <t>ヒロヒデ</t>
    </rPh>
    <phoneticPr fontId="3"/>
  </si>
  <si>
    <t>鞍タ</t>
    <rPh sb="0" eb="1">
      <t>クラ</t>
    </rPh>
    <phoneticPr fontId="3"/>
  </si>
  <si>
    <t>鞍</t>
    <rPh sb="0" eb="1">
      <t>クラ</t>
    </rPh>
    <phoneticPr fontId="3"/>
  </si>
  <si>
    <t>共産党地区委員長,議員秘書(大森猛)</t>
    <rPh sb="0" eb="3">
      <t>キョウサントウ</t>
    </rPh>
    <rPh sb="3" eb="5">
      <t>チク</t>
    </rPh>
    <rPh sb="5" eb="8">
      <t>イインチョウ</t>
    </rPh>
    <rPh sb="9" eb="11">
      <t>ギイン</t>
    </rPh>
    <rPh sb="11" eb="13">
      <t>ヒショ</t>
    </rPh>
    <rPh sb="14" eb="16">
      <t>オオモリ</t>
    </rPh>
    <rPh sb="16" eb="17">
      <t>タケシ</t>
    </rPh>
    <phoneticPr fontId="3"/>
  </si>
  <si>
    <t>099神奈川17区01</t>
    <rPh sb="3" eb="6">
      <t>カナガワ</t>
    </rPh>
    <rPh sb="8" eb="9">
      <t>ク</t>
    </rPh>
    <phoneticPr fontId="3"/>
  </si>
  <si>
    <t>099神奈川17区02</t>
    <rPh sb="3" eb="6">
      <t>カナガワ</t>
    </rPh>
    <rPh sb="8" eb="9">
      <t>ク</t>
    </rPh>
    <phoneticPr fontId="3"/>
  </si>
  <si>
    <t>099神奈川17区03</t>
    <rPh sb="3" eb="6">
      <t>カナガワ</t>
    </rPh>
    <rPh sb="8" eb="9">
      <t>ク</t>
    </rPh>
    <phoneticPr fontId="3"/>
  </si>
  <si>
    <t>099神奈川17区04</t>
    <rPh sb="3" eb="6">
      <t>カナガワ</t>
    </rPh>
    <rPh sb="8" eb="9">
      <t>ク</t>
    </rPh>
    <phoneticPr fontId="3"/>
  </si>
  <si>
    <t>099神奈川17区05</t>
    <rPh sb="3" eb="6">
      <t>カナガワ</t>
    </rPh>
    <rPh sb="8" eb="9">
      <t>ク</t>
    </rPh>
    <phoneticPr fontId="3"/>
  </si>
  <si>
    <t>神山　洋介</t>
    <rPh sb="0" eb="2">
      <t>カミヤマ</t>
    </rPh>
    <rPh sb="3" eb="5">
      <t>ヨウスケ</t>
    </rPh>
    <phoneticPr fontId="3"/>
  </si>
  <si>
    <t>099神奈川17区</t>
    <rPh sb="3" eb="6">
      <t>カナガワ</t>
    </rPh>
    <rPh sb="8" eb="9">
      <t>ク</t>
    </rPh>
    <phoneticPr fontId="3"/>
  </si>
  <si>
    <t>牧島　可憐</t>
    <rPh sb="0" eb="2">
      <t>マキシマ</t>
    </rPh>
    <rPh sb="3" eb="5">
      <t>カレン</t>
    </rPh>
    <phoneticPr fontId="3"/>
  </si>
  <si>
    <t>大院(国際基督教)</t>
    <rPh sb="0" eb="2">
      <t>ダイイン</t>
    </rPh>
    <rPh sb="3" eb="5">
      <t>コクサイ</t>
    </rPh>
    <rPh sb="5" eb="8">
      <t>キリストキョウ</t>
    </rPh>
    <phoneticPr fontId="3"/>
  </si>
  <si>
    <t>大学教員(慶應義塾大学大学院非常勤講師)</t>
    <rPh sb="0" eb="2">
      <t>ダイガク</t>
    </rPh>
    <rPh sb="2" eb="4">
      <t>キョウイン</t>
    </rPh>
    <rPh sb="5" eb="7">
      <t>ケイオウ</t>
    </rPh>
    <rPh sb="7" eb="9">
      <t>ギジュク</t>
    </rPh>
    <rPh sb="9" eb="11">
      <t>ダイガク</t>
    </rPh>
    <rPh sb="11" eb="14">
      <t>ダイガクイン</t>
    </rPh>
    <rPh sb="14" eb="17">
      <t>ヒジョウキン</t>
    </rPh>
    <rPh sb="17" eb="19">
      <t>コウシ</t>
    </rPh>
    <phoneticPr fontId="3"/>
  </si>
  <si>
    <t>横田　英司</t>
    <rPh sb="0" eb="2">
      <t>ヨコタ</t>
    </rPh>
    <rPh sb="3" eb="5">
      <t>エイジ</t>
    </rPh>
    <phoneticPr fontId="3"/>
  </si>
  <si>
    <t>大(静岡)</t>
    <rPh sb="0" eb="1">
      <t>ダイ</t>
    </rPh>
    <rPh sb="2" eb="4">
      <t>シズオカ</t>
    </rPh>
    <phoneticPr fontId="3"/>
  </si>
  <si>
    <t>共産党神奈川県委員,会社員(三菱電機コンピュータソフトウェア)</t>
    <rPh sb="0" eb="3">
      <t>キョウサントウ</t>
    </rPh>
    <rPh sb="3" eb="7">
      <t>カナガワケン</t>
    </rPh>
    <rPh sb="7" eb="9">
      <t>イイン</t>
    </rPh>
    <rPh sb="10" eb="13">
      <t>カイシャイン</t>
    </rPh>
    <rPh sb="14" eb="16">
      <t>ミツビシ</t>
    </rPh>
    <rPh sb="16" eb="18">
      <t>デンキ</t>
    </rPh>
    <phoneticPr fontId="3"/>
  </si>
  <si>
    <t>井上　義行</t>
    <rPh sb="0" eb="2">
      <t>イノウエ</t>
    </rPh>
    <rPh sb="3" eb="5">
      <t>ヨシユキ</t>
    </rPh>
    <phoneticPr fontId="3"/>
  </si>
  <si>
    <t>首相秘書官(安倍晋三/内閣府)</t>
    <rPh sb="0" eb="2">
      <t>シュショウ</t>
    </rPh>
    <rPh sb="2" eb="5">
      <t>ヒショカン</t>
    </rPh>
    <rPh sb="6" eb="8">
      <t>アベ</t>
    </rPh>
    <rPh sb="8" eb="10">
      <t>シンゾウ</t>
    </rPh>
    <rPh sb="11" eb="14">
      <t>ナイカクフ</t>
    </rPh>
    <phoneticPr fontId="3"/>
  </si>
  <si>
    <t>露木　順一</t>
    <rPh sb="0" eb="2">
      <t>ツユキ</t>
    </rPh>
    <rPh sb="3" eb="5">
      <t>ジュンイチ</t>
    </rPh>
    <phoneticPr fontId="3"/>
  </si>
  <si>
    <t>神奈川県・開成町長,テレビ記者(NHK)</t>
    <rPh sb="0" eb="4">
      <t>カナガワケン</t>
    </rPh>
    <rPh sb="5" eb="7">
      <t>カイセイ</t>
    </rPh>
    <rPh sb="7" eb="9">
      <t>チョウチョウ</t>
    </rPh>
    <rPh sb="13" eb="15">
      <t>キシャ</t>
    </rPh>
    <phoneticPr fontId="3"/>
  </si>
  <si>
    <t>首ジ</t>
    <rPh sb="0" eb="1">
      <t>クビ</t>
    </rPh>
    <phoneticPr fontId="3"/>
  </si>
  <si>
    <t>首</t>
    <rPh sb="0" eb="1">
      <t>クビ</t>
    </rPh>
    <phoneticPr fontId="3"/>
  </si>
  <si>
    <t>100神奈川18区01</t>
    <rPh sb="3" eb="6">
      <t>カナガワ</t>
    </rPh>
    <rPh sb="8" eb="9">
      <t>ク</t>
    </rPh>
    <phoneticPr fontId="3"/>
  </si>
  <si>
    <t>100神奈川18区02</t>
    <rPh sb="3" eb="6">
      <t>カナガワ</t>
    </rPh>
    <rPh sb="8" eb="9">
      <t>ク</t>
    </rPh>
    <phoneticPr fontId="3"/>
  </si>
  <si>
    <t>100神奈川18区03</t>
    <rPh sb="3" eb="6">
      <t>カナガワ</t>
    </rPh>
    <rPh sb="8" eb="9">
      <t>ク</t>
    </rPh>
    <phoneticPr fontId="3"/>
  </si>
  <si>
    <t>100神奈川18区04</t>
    <rPh sb="3" eb="6">
      <t>カナガワ</t>
    </rPh>
    <rPh sb="8" eb="9">
      <t>ク</t>
    </rPh>
    <phoneticPr fontId="3"/>
  </si>
  <si>
    <t>100神奈川18区05</t>
    <rPh sb="3" eb="6">
      <t>カナガワ</t>
    </rPh>
    <rPh sb="8" eb="9">
      <t>ク</t>
    </rPh>
    <phoneticPr fontId="3"/>
  </si>
  <si>
    <t>山際　大志郎</t>
    <rPh sb="0" eb="2">
      <t>ヤマギワ</t>
    </rPh>
    <rPh sb="3" eb="4">
      <t>ダイ</t>
    </rPh>
    <rPh sb="4" eb="6">
      <t>シロウ</t>
    </rPh>
    <phoneticPr fontId="3"/>
  </si>
  <si>
    <t>大院(東京)</t>
    <rPh sb="0" eb="2">
      <t>ダイイン</t>
    </rPh>
    <rPh sb="3" eb="5">
      <t>トウキョウ</t>
    </rPh>
    <phoneticPr fontId="3"/>
  </si>
  <si>
    <t>獣医師</t>
    <rPh sb="0" eb="3">
      <t>ジュウイシ</t>
    </rPh>
    <phoneticPr fontId="3"/>
  </si>
  <si>
    <t>樋高　　剛</t>
    <rPh sb="0" eb="2">
      <t>ヒダカ</t>
    </rPh>
    <rPh sb="4" eb="5">
      <t>タケシ</t>
    </rPh>
    <phoneticPr fontId="3"/>
  </si>
  <si>
    <t>100神奈川18区</t>
    <rPh sb="3" eb="6">
      <t>カナガワ</t>
    </rPh>
    <rPh sb="8" eb="9">
      <t>ク</t>
    </rPh>
    <phoneticPr fontId="3"/>
  </si>
  <si>
    <t>議員秘書(小沢一郎),会社員(東京海上火災保険)</t>
    <rPh sb="0" eb="2">
      <t>ギイン</t>
    </rPh>
    <rPh sb="2" eb="4">
      <t>ヒショ</t>
    </rPh>
    <rPh sb="5" eb="7">
      <t>オザワ</t>
    </rPh>
    <rPh sb="7" eb="9">
      <t>イチロウ</t>
    </rPh>
    <rPh sb="11" eb="14">
      <t>カイシャイン</t>
    </rPh>
    <rPh sb="15" eb="17">
      <t>トウキョウ</t>
    </rPh>
    <rPh sb="17" eb="19">
      <t>カイジョウ</t>
    </rPh>
    <rPh sb="19" eb="23">
      <t>カサイホケン</t>
    </rPh>
    <phoneticPr fontId="3"/>
  </si>
  <si>
    <t>山崎　雅子</t>
    <rPh sb="0" eb="2">
      <t>ヤマザキ</t>
    </rPh>
    <rPh sb="3" eb="5">
      <t>マサコ</t>
    </rPh>
    <phoneticPr fontId="3"/>
  </si>
  <si>
    <t>大(放送)</t>
    <rPh sb="0" eb="1">
      <t>ダイ</t>
    </rPh>
    <rPh sb="2" eb="4">
      <t>ホウソウ</t>
    </rPh>
    <phoneticPr fontId="3"/>
  </si>
  <si>
    <t>川崎市職労役員,看護師</t>
    <rPh sb="0" eb="2">
      <t>カワサキ</t>
    </rPh>
    <rPh sb="2" eb="4">
      <t>シショク</t>
    </rPh>
    <rPh sb="4" eb="5">
      <t>ロウ</t>
    </rPh>
    <rPh sb="5" eb="7">
      <t>ヤクイン</t>
    </rPh>
    <rPh sb="8" eb="11">
      <t>カンゴシ</t>
    </rPh>
    <phoneticPr fontId="3"/>
  </si>
  <si>
    <t>舩川　治郎</t>
    <rPh sb="0" eb="2">
      <t>フナカワ</t>
    </rPh>
    <rPh sb="3" eb="5">
      <t>ジロウ</t>
    </rPh>
    <phoneticPr fontId="3"/>
  </si>
  <si>
    <t>会社社長(レイズアイ)</t>
    <rPh sb="0" eb="2">
      <t>カイシャ</t>
    </rPh>
    <rPh sb="2" eb="4">
      <t>シャチョウ</t>
    </rPh>
    <phoneticPr fontId="3"/>
  </si>
  <si>
    <t>101山梨1区01</t>
    <rPh sb="3" eb="5">
      <t>ヤマナシ</t>
    </rPh>
    <rPh sb="6" eb="7">
      <t>ク</t>
    </rPh>
    <phoneticPr fontId="3"/>
  </si>
  <si>
    <t>101山梨1区02</t>
    <rPh sb="3" eb="5">
      <t>ヤマナシ</t>
    </rPh>
    <rPh sb="6" eb="7">
      <t>ク</t>
    </rPh>
    <phoneticPr fontId="3"/>
  </si>
  <si>
    <t>101山梨1区03</t>
    <rPh sb="3" eb="5">
      <t>ヤマナシ</t>
    </rPh>
    <rPh sb="6" eb="7">
      <t>ク</t>
    </rPh>
    <phoneticPr fontId="3"/>
  </si>
  <si>
    <t>小沢　鋭仁</t>
    <rPh sb="0" eb="2">
      <t>オザワ</t>
    </rPh>
    <rPh sb="3" eb="5">
      <t>サキヒト</t>
    </rPh>
    <phoneticPr fontId="3"/>
  </si>
  <si>
    <t>101山梨1区</t>
    <rPh sb="3" eb="5">
      <t>ヤマナシ</t>
    </rPh>
    <rPh sb="6" eb="7">
      <t>ク</t>
    </rPh>
    <phoneticPr fontId="3"/>
  </si>
  <si>
    <t>大院(埼玉)</t>
    <rPh sb="0" eb="2">
      <t>ダイイン</t>
    </rPh>
    <rPh sb="3" eb="5">
      <t>サイタマ</t>
    </rPh>
    <phoneticPr fontId="3"/>
  </si>
  <si>
    <t>政策集団事務局長(自由社会フォーラム),銀行員(東京銀行)</t>
    <rPh sb="0" eb="2">
      <t>セイサク</t>
    </rPh>
    <rPh sb="2" eb="4">
      <t>シュウダン</t>
    </rPh>
    <rPh sb="4" eb="6">
      <t>ジム</t>
    </rPh>
    <rPh sb="6" eb="8">
      <t>キョクチョウ</t>
    </rPh>
    <rPh sb="9" eb="11">
      <t>ジユウ</t>
    </rPh>
    <rPh sb="11" eb="13">
      <t>シャカイ</t>
    </rPh>
    <rPh sb="20" eb="23">
      <t>ギンコウイン</t>
    </rPh>
    <rPh sb="24" eb="26">
      <t>トウキョウ</t>
    </rPh>
    <rPh sb="26" eb="28">
      <t>ギンコウ</t>
    </rPh>
    <phoneticPr fontId="3"/>
  </si>
  <si>
    <t>　元大臣(環境),委長(環境),民主党幹事長代理,国対委長代理</t>
    <rPh sb="1" eb="4">
      <t>モトダイジン</t>
    </rPh>
    <rPh sb="5" eb="7">
      <t>カンキョウ</t>
    </rPh>
    <rPh sb="9" eb="11">
      <t>イチョウ</t>
    </rPh>
    <rPh sb="12" eb="14">
      <t>カンキョウ</t>
    </rPh>
    <rPh sb="16" eb="19">
      <t>ミンシュトウ</t>
    </rPh>
    <rPh sb="19" eb="22">
      <t>カンジチョウ</t>
    </rPh>
    <rPh sb="22" eb="24">
      <t>ダイリ</t>
    </rPh>
    <rPh sb="25" eb="29">
      <t>コクタイイチョウ</t>
    </rPh>
    <rPh sb="29" eb="31">
      <t>ダイリ</t>
    </rPh>
    <phoneticPr fontId="3"/>
  </si>
  <si>
    <t>宮川　典子</t>
    <rPh sb="0" eb="2">
      <t>ミヤガワ</t>
    </rPh>
    <rPh sb="3" eb="5">
      <t>ノリコ</t>
    </rPh>
    <phoneticPr fontId="3"/>
  </si>
  <si>
    <t>植村　道隆</t>
    <rPh sb="0" eb="2">
      <t>ウエムラ</t>
    </rPh>
    <rPh sb="3" eb="5">
      <t>ミチタカ</t>
    </rPh>
    <phoneticPr fontId="3"/>
  </si>
  <si>
    <t>大(山梨学院)</t>
    <rPh sb="0" eb="1">
      <t>ダイ</t>
    </rPh>
    <rPh sb="2" eb="4">
      <t>ヤマナシ</t>
    </rPh>
    <rPh sb="4" eb="6">
      <t>ガクイン</t>
    </rPh>
    <phoneticPr fontId="3"/>
  </si>
  <si>
    <t>共産党地区委員長,民青同盟山梨県委員長</t>
    <rPh sb="0" eb="3">
      <t>キョウサントウ</t>
    </rPh>
    <rPh sb="3" eb="5">
      <t>チク</t>
    </rPh>
    <rPh sb="5" eb="8">
      <t>イインチョウ</t>
    </rPh>
    <rPh sb="9" eb="11">
      <t>ミンセイ</t>
    </rPh>
    <rPh sb="11" eb="13">
      <t>ドウメイ</t>
    </rPh>
    <rPh sb="13" eb="16">
      <t>ヤマナシケン</t>
    </rPh>
    <rPh sb="16" eb="19">
      <t>イインチョウ</t>
    </rPh>
    <phoneticPr fontId="3"/>
  </si>
  <si>
    <t>102山梨2区01</t>
    <rPh sb="3" eb="5">
      <t>ヤマナシ</t>
    </rPh>
    <rPh sb="6" eb="7">
      <t>ク</t>
    </rPh>
    <phoneticPr fontId="3"/>
  </si>
  <si>
    <t>102山梨2区02</t>
    <rPh sb="3" eb="5">
      <t>ヤマナシ</t>
    </rPh>
    <rPh sb="6" eb="7">
      <t>ク</t>
    </rPh>
    <phoneticPr fontId="3"/>
  </si>
  <si>
    <t>102山梨2区03</t>
    <rPh sb="3" eb="5">
      <t>ヤマナシ</t>
    </rPh>
    <rPh sb="6" eb="7">
      <t>ク</t>
    </rPh>
    <phoneticPr fontId="3"/>
  </si>
  <si>
    <t>102山梨2区04</t>
    <rPh sb="3" eb="5">
      <t>ヤマナシ</t>
    </rPh>
    <rPh sb="6" eb="7">
      <t>ク</t>
    </rPh>
    <phoneticPr fontId="3"/>
  </si>
  <si>
    <t>坂口　岳洋</t>
    <rPh sb="0" eb="2">
      <t>サカグチ</t>
    </rPh>
    <rPh sb="3" eb="4">
      <t>タケ</t>
    </rPh>
    <rPh sb="4" eb="5">
      <t>ヒロ</t>
    </rPh>
    <phoneticPr fontId="3"/>
  </si>
  <si>
    <t>会社顧問(筑波リエゾン研究所)</t>
    <rPh sb="0" eb="2">
      <t>カイシャ</t>
    </rPh>
    <rPh sb="2" eb="4">
      <t>コモン</t>
    </rPh>
    <rPh sb="5" eb="7">
      <t>ツクバ</t>
    </rPh>
    <rPh sb="11" eb="14">
      <t>ケンキュウジョ</t>
    </rPh>
    <phoneticPr fontId="3"/>
  </si>
  <si>
    <t>102山梨2区</t>
    <rPh sb="3" eb="5">
      <t>ヤマナシ</t>
    </rPh>
    <rPh sb="6" eb="7">
      <t>ク</t>
    </rPh>
    <phoneticPr fontId="3"/>
  </si>
  <si>
    <t>渡辺　正好</t>
    <rPh sb="0" eb="2">
      <t>ワタナベ</t>
    </rPh>
    <rPh sb="3" eb="5">
      <t>マサヨシ</t>
    </rPh>
    <phoneticPr fontId="3"/>
  </si>
  <si>
    <t>共産党山梨県委員</t>
    <rPh sb="0" eb="3">
      <t>キョウサントウ</t>
    </rPh>
    <rPh sb="3" eb="6">
      <t>ヤマナシケン</t>
    </rPh>
    <rPh sb="6" eb="8">
      <t>イイン</t>
    </rPh>
    <phoneticPr fontId="3"/>
  </si>
  <si>
    <t>長崎　幸太郎</t>
    <rPh sb="0" eb="2">
      <t>ナガサキ</t>
    </rPh>
    <rPh sb="3" eb="6">
      <t>コウタロウ</t>
    </rPh>
    <phoneticPr fontId="3"/>
  </si>
  <si>
    <t>財務省主計局主査</t>
    <rPh sb="0" eb="3">
      <t>ザイムショウ</t>
    </rPh>
    <rPh sb="3" eb="6">
      <t>シュケイキョク</t>
    </rPh>
    <rPh sb="6" eb="8">
      <t>シュサ</t>
    </rPh>
    <phoneticPr fontId="3"/>
  </si>
  <si>
    <t>議員秘書(本村賢太郎),会社員(クイック)</t>
    <rPh sb="0" eb="2">
      <t>ギイン</t>
    </rPh>
    <rPh sb="2" eb="4">
      <t>ヒショ</t>
    </rPh>
    <rPh sb="5" eb="7">
      <t>モトムラ</t>
    </rPh>
    <rPh sb="7" eb="10">
      <t>ケンタロウ</t>
    </rPh>
    <rPh sb="12" eb="15">
      <t>カイシャイン</t>
    </rPh>
    <phoneticPr fontId="3"/>
  </si>
  <si>
    <t>103山梨3区01</t>
    <rPh sb="3" eb="5">
      <t>ヤマナシ</t>
    </rPh>
    <rPh sb="6" eb="7">
      <t>ク</t>
    </rPh>
    <phoneticPr fontId="3"/>
  </si>
  <si>
    <t>後藤　　斎</t>
    <rPh sb="0" eb="2">
      <t>ゴトウ</t>
    </rPh>
    <rPh sb="4" eb="5">
      <t>ヒトシ</t>
    </rPh>
    <phoneticPr fontId="3"/>
  </si>
  <si>
    <t>103山梨3区02</t>
    <rPh sb="3" eb="5">
      <t>ヤマナシ</t>
    </rPh>
    <rPh sb="6" eb="7">
      <t>ク</t>
    </rPh>
    <phoneticPr fontId="3"/>
  </si>
  <si>
    <t>103山梨3区03</t>
    <rPh sb="3" eb="5">
      <t>ヤマナシ</t>
    </rPh>
    <rPh sb="6" eb="7">
      <t>ク</t>
    </rPh>
    <phoneticPr fontId="3"/>
  </si>
  <si>
    <t>103山梨3区04</t>
    <rPh sb="3" eb="5">
      <t>ヤマナシ</t>
    </rPh>
    <rPh sb="6" eb="7">
      <t>ク</t>
    </rPh>
    <phoneticPr fontId="3"/>
  </si>
  <si>
    <t>103山梨3区</t>
    <rPh sb="3" eb="5">
      <t>ヤマナシ</t>
    </rPh>
    <rPh sb="6" eb="7">
      <t>ク</t>
    </rPh>
    <phoneticPr fontId="3"/>
  </si>
  <si>
    <t>進</t>
    <rPh sb="0" eb="1">
      <t>シン</t>
    </rPh>
    <phoneticPr fontId="3"/>
  </si>
  <si>
    <t>大(東北)</t>
    <rPh sb="0" eb="1">
      <t>ダイ</t>
    </rPh>
    <rPh sb="2" eb="4">
      <t>トウホク</t>
    </rPh>
    <phoneticPr fontId="3"/>
  </si>
  <si>
    <t>食糧庁輸入課長補佐(農林水産省)</t>
    <rPh sb="0" eb="3">
      <t>ショクリョウチョウ</t>
    </rPh>
    <rPh sb="3" eb="5">
      <t>ユニュウ</t>
    </rPh>
    <rPh sb="5" eb="7">
      <t>カチョウ</t>
    </rPh>
    <rPh sb="7" eb="9">
      <t>ホサ</t>
    </rPh>
    <rPh sb="10" eb="12">
      <t>ノウリン</t>
    </rPh>
    <rPh sb="12" eb="15">
      <t>スイサンショウ</t>
    </rPh>
    <phoneticPr fontId="3"/>
  </si>
  <si>
    <t>　元副大臣(内閣),政務官(文科)</t>
    <rPh sb="1" eb="2">
      <t>モト</t>
    </rPh>
    <rPh sb="2" eb="5">
      <t>フクダイジン</t>
    </rPh>
    <rPh sb="6" eb="8">
      <t>ナイカク</t>
    </rPh>
    <rPh sb="10" eb="13">
      <t>セイムカン</t>
    </rPh>
    <rPh sb="14" eb="16">
      <t>モンカ</t>
    </rPh>
    <phoneticPr fontId="3"/>
  </si>
  <si>
    <t>官</t>
    <rPh sb="0" eb="1">
      <t>カン</t>
    </rPh>
    <phoneticPr fontId="3"/>
  </si>
  <si>
    <t>中谷　真一</t>
    <rPh sb="0" eb="2">
      <t>ナカタニ</t>
    </rPh>
    <rPh sb="3" eb="5">
      <t>シンイチ</t>
    </rPh>
    <phoneticPr fontId="3"/>
  </si>
  <si>
    <t>議員秘書(佐藤正久),陸上自衛官</t>
    <rPh sb="0" eb="2">
      <t>ギイン</t>
    </rPh>
    <rPh sb="2" eb="4">
      <t>ヒショ</t>
    </rPh>
    <rPh sb="5" eb="7">
      <t>サトウ</t>
    </rPh>
    <rPh sb="7" eb="9">
      <t>マサヒサ</t>
    </rPh>
    <rPh sb="11" eb="13">
      <t>リクジョウ</t>
    </rPh>
    <rPh sb="13" eb="16">
      <t>ジエイカン</t>
    </rPh>
    <phoneticPr fontId="3"/>
  </si>
  <si>
    <t>花田　　仁</t>
    <rPh sb="0" eb="2">
      <t>ハナダ</t>
    </rPh>
    <rPh sb="4" eb="5">
      <t>ヒトシ</t>
    </rPh>
    <phoneticPr fontId="3"/>
  </si>
  <si>
    <t>共産党山梨県常任委員,劇団員</t>
    <rPh sb="0" eb="3">
      <t>キョウサントウ</t>
    </rPh>
    <rPh sb="3" eb="6">
      <t>ヤマナシケン</t>
    </rPh>
    <rPh sb="6" eb="8">
      <t>ジョウニン</t>
    </rPh>
    <rPh sb="8" eb="10">
      <t>イイン</t>
    </rPh>
    <rPh sb="11" eb="14">
      <t>ゲキダンイン</t>
    </rPh>
    <phoneticPr fontId="3"/>
  </si>
  <si>
    <t>中島　克仁</t>
    <rPh sb="0" eb="2">
      <t>ナカジマ</t>
    </rPh>
    <rPh sb="3" eb="5">
      <t>カツヒト</t>
    </rPh>
    <phoneticPr fontId="3"/>
  </si>
  <si>
    <t>医師(ほくと診療所所長)</t>
    <rPh sb="0" eb="2">
      <t>イシ</t>
    </rPh>
    <rPh sb="6" eb="9">
      <t>シンリョウジョ</t>
    </rPh>
    <rPh sb="9" eb="11">
      <t>ショチョウ</t>
    </rPh>
    <phoneticPr fontId="3"/>
  </si>
  <si>
    <t>104東京1区01</t>
    <rPh sb="3" eb="5">
      <t>トウキョウ</t>
    </rPh>
    <rPh sb="6" eb="7">
      <t>ク</t>
    </rPh>
    <phoneticPr fontId="3"/>
  </si>
  <si>
    <t>104東京1区02</t>
    <rPh sb="3" eb="5">
      <t>トウキョウ</t>
    </rPh>
    <rPh sb="6" eb="7">
      <t>ク</t>
    </rPh>
    <phoneticPr fontId="3"/>
  </si>
  <si>
    <t>104東京1区03</t>
    <rPh sb="3" eb="5">
      <t>トウキョウ</t>
    </rPh>
    <rPh sb="6" eb="7">
      <t>ク</t>
    </rPh>
    <phoneticPr fontId="3"/>
  </si>
  <si>
    <t>104東京1区04</t>
    <rPh sb="3" eb="5">
      <t>トウキョウ</t>
    </rPh>
    <rPh sb="6" eb="7">
      <t>ク</t>
    </rPh>
    <phoneticPr fontId="3"/>
  </si>
  <si>
    <t>104東京1区05</t>
    <rPh sb="3" eb="5">
      <t>トウキョウ</t>
    </rPh>
    <rPh sb="6" eb="7">
      <t>ク</t>
    </rPh>
    <phoneticPr fontId="3"/>
  </si>
  <si>
    <t>104東京1区06</t>
    <rPh sb="3" eb="5">
      <t>トウキョウ</t>
    </rPh>
    <rPh sb="6" eb="7">
      <t>ク</t>
    </rPh>
    <phoneticPr fontId="3"/>
  </si>
  <si>
    <t>海江田　万里</t>
    <rPh sb="0" eb="3">
      <t>カイエダ</t>
    </rPh>
    <rPh sb="4" eb="6">
      <t>バンリ</t>
    </rPh>
    <phoneticPr fontId="3"/>
  </si>
  <si>
    <t>104東京1区</t>
    <rPh sb="3" eb="5">
      <t>トウキョウ</t>
    </rPh>
    <rPh sb="6" eb="7">
      <t>ク</t>
    </rPh>
    <phoneticPr fontId="3"/>
  </si>
  <si>
    <t>市</t>
    <rPh sb="0" eb="1">
      <t>シ</t>
    </rPh>
    <phoneticPr fontId="3"/>
  </si>
  <si>
    <t>経済評論家,ニュースキャスター(TXN)</t>
    <rPh sb="0" eb="2">
      <t>ケイザイ</t>
    </rPh>
    <rPh sb="2" eb="5">
      <t>ヒョウロンカ</t>
    </rPh>
    <phoneticPr fontId="3"/>
  </si>
  <si>
    <t>ジ</t>
    <phoneticPr fontId="3"/>
  </si>
  <si>
    <t>山田　美樹</t>
    <rPh sb="0" eb="2">
      <t>ヤマダ</t>
    </rPh>
    <rPh sb="3" eb="5">
      <t>ミキ</t>
    </rPh>
    <phoneticPr fontId="3"/>
  </si>
  <si>
    <t>大(東京)</t>
    <rPh sb="0" eb="1">
      <t>ダイ</t>
    </rPh>
    <rPh sb="2" eb="4">
      <t>トウキョウ</t>
    </rPh>
    <phoneticPr fontId="3"/>
  </si>
  <si>
    <t>会社員(エルメスジャポン),経済産業省職員</t>
    <rPh sb="0" eb="3">
      <t>カイシャイン</t>
    </rPh>
    <rPh sb="14" eb="16">
      <t>ケイザイ</t>
    </rPh>
    <rPh sb="16" eb="19">
      <t>サンギョウショウ</t>
    </rPh>
    <rPh sb="19" eb="21">
      <t>ショクイン</t>
    </rPh>
    <phoneticPr fontId="3"/>
  </si>
  <si>
    <t>冨田　直樹</t>
    <rPh sb="0" eb="2">
      <t>トミタ</t>
    </rPh>
    <rPh sb="3" eb="5">
      <t>ナオキ</t>
    </rPh>
    <phoneticPr fontId="3"/>
  </si>
  <si>
    <t>共産党地区国政対策委員長</t>
    <rPh sb="0" eb="3">
      <t>キョウサントウ</t>
    </rPh>
    <rPh sb="3" eb="5">
      <t>チク</t>
    </rPh>
    <rPh sb="5" eb="7">
      <t>コクセイ</t>
    </rPh>
    <rPh sb="7" eb="9">
      <t>タイサク</t>
    </rPh>
    <rPh sb="9" eb="12">
      <t>イインチョウ</t>
    </rPh>
    <phoneticPr fontId="3"/>
  </si>
  <si>
    <t>小斉　太郎</t>
    <rPh sb="0" eb="2">
      <t>コサイ</t>
    </rPh>
    <rPh sb="3" eb="5">
      <t>タロウ</t>
    </rPh>
    <phoneticPr fontId="3"/>
  </si>
  <si>
    <t>議</t>
    <rPh sb="0" eb="1">
      <t>ギ</t>
    </rPh>
    <phoneticPr fontId="3"/>
  </si>
  <si>
    <t>東京都・港区議,議員秘書(宇佐美登)</t>
    <rPh sb="0" eb="3">
      <t>トウキョウト</t>
    </rPh>
    <rPh sb="4" eb="5">
      <t>ミナト</t>
    </rPh>
    <rPh sb="5" eb="7">
      <t>クギ</t>
    </rPh>
    <rPh sb="8" eb="10">
      <t>ギイン</t>
    </rPh>
    <rPh sb="10" eb="12">
      <t>ヒショ</t>
    </rPh>
    <rPh sb="13" eb="16">
      <t>ウサミ</t>
    </rPh>
    <rPh sb="16" eb="17">
      <t>ノボル</t>
    </rPh>
    <phoneticPr fontId="3"/>
  </si>
  <si>
    <t>又吉　光雄</t>
    <rPh sb="0" eb="1">
      <t>マタ</t>
    </rPh>
    <rPh sb="1" eb="2">
      <t>ヨシ</t>
    </rPh>
    <rPh sb="3" eb="5">
      <t>ミツオ</t>
    </rPh>
    <phoneticPr fontId="3"/>
  </si>
  <si>
    <t>経共</t>
    <rPh sb="0" eb="1">
      <t>ケイ</t>
    </rPh>
    <rPh sb="1" eb="2">
      <t>キョウ</t>
    </rPh>
    <phoneticPr fontId="3"/>
  </si>
  <si>
    <t>世界経済共同体党代表</t>
    <rPh sb="0" eb="2">
      <t>セカイ</t>
    </rPh>
    <rPh sb="2" eb="4">
      <t>ケイザイ</t>
    </rPh>
    <rPh sb="4" eb="7">
      <t>キョウドウタイ</t>
    </rPh>
    <rPh sb="7" eb="8">
      <t>トウ</t>
    </rPh>
    <rPh sb="8" eb="10">
      <t>ダイヒョウ</t>
    </rPh>
    <phoneticPr fontId="3"/>
  </si>
  <si>
    <t>伊藤　希望</t>
    <rPh sb="0" eb="2">
      <t>イトウ</t>
    </rPh>
    <rPh sb="3" eb="5">
      <t>ノゾミ</t>
    </rPh>
    <phoneticPr fontId="3"/>
  </si>
  <si>
    <t>大(明治)</t>
    <rPh sb="0" eb="1">
      <t>ダイ</t>
    </rPh>
    <rPh sb="2" eb="4">
      <t>メイジ</t>
    </rPh>
    <phoneticPr fontId="3"/>
  </si>
  <si>
    <t>105東京2区01</t>
    <rPh sb="3" eb="5">
      <t>トウキョウ</t>
    </rPh>
    <rPh sb="6" eb="7">
      <t>ク</t>
    </rPh>
    <phoneticPr fontId="3"/>
  </si>
  <si>
    <t>105東京2区02</t>
    <rPh sb="3" eb="5">
      <t>トウキョウ</t>
    </rPh>
    <rPh sb="6" eb="7">
      <t>ク</t>
    </rPh>
    <phoneticPr fontId="3"/>
  </si>
  <si>
    <t>105東京2区03</t>
    <rPh sb="3" eb="5">
      <t>トウキョウ</t>
    </rPh>
    <rPh sb="6" eb="7">
      <t>ク</t>
    </rPh>
    <phoneticPr fontId="3"/>
  </si>
  <si>
    <t>105東京2区04</t>
    <rPh sb="3" eb="5">
      <t>トウキョウ</t>
    </rPh>
    <rPh sb="6" eb="7">
      <t>ク</t>
    </rPh>
    <phoneticPr fontId="3"/>
  </si>
  <si>
    <t>中山　義活</t>
    <rPh sb="0" eb="2">
      <t>ナカヤマ</t>
    </rPh>
    <rPh sb="3" eb="4">
      <t>ヨシ</t>
    </rPh>
    <rPh sb="4" eb="5">
      <t>カツ</t>
    </rPh>
    <phoneticPr fontId="3"/>
  </si>
  <si>
    <t>105東京2区</t>
    <rPh sb="3" eb="5">
      <t>トウキョウ</t>
    </rPh>
    <rPh sb="6" eb="7">
      <t>ク</t>
    </rPh>
    <phoneticPr fontId="3"/>
  </si>
  <si>
    <t>大(東京教育)</t>
    <rPh sb="0" eb="1">
      <t>ダイ</t>
    </rPh>
    <rPh sb="2" eb="4">
      <t>トウキョウ</t>
    </rPh>
    <rPh sb="4" eb="6">
      <t>キョウイク</t>
    </rPh>
    <phoneticPr fontId="3"/>
  </si>
  <si>
    <t>東京都議(台東区),東京都・台東区議,高校教諭</t>
    <rPh sb="0" eb="2">
      <t>トウキョウ</t>
    </rPh>
    <rPh sb="2" eb="4">
      <t>トギ</t>
    </rPh>
    <rPh sb="5" eb="8">
      <t>タイトウク</t>
    </rPh>
    <rPh sb="10" eb="13">
      <t>トウキョウト</t>
    </rPh>
    <rPh sb="14" eb="16">
      <t>タイトウ</t>
    </rPh>
    <rPh sb="16" eb="18">
      <t>クギ</t>
    </rPh>
    <rPh sb="19" eb="21">
      <t>コウコウ</t>
    </rPh>
    <rPh sb="21" eb="23">
      <t>キョウユ</t>
    </rPh>
    <phoneticPr fontId="3"/>
  </si>
  <si>
    <t>辻　　清人</t>
    <rPh sb="0" eb="1">
      <t>ツジ</t>
    </rPh>
    <rPh sb="3" eb="5">
      <t>キヨト</t>
    </rPh>
    <phoneticPr fontId="3"/>
  </si>
  <si>
    <t>研究員(戦略国際問題研究所),会社員(リクルート)</t>
    <rPh sb="0" eb="3">
      <t>ケンキュウイン</t>
    </rPh>
    <rPh sb="4" eb="6">
      <t>センリャク</t>
    </rPh>
    <rPh sb="6" eb="8">
      <t>コクサイ</t>
    </rPh>
    <rPh sb="8" eb="10">
      <t>モンダイ</t>
    </rPh>
    <rPh sb="10" eb="13">
      <t>ケンキュウジョ</t>
    </rPh>
    <rPh sb="15" eb="18">
      <t>カイシャイン</t>
    </rPh>
    <phoneticPr fontId="3"/>
  </si>
  <si>
    <t>桑名　文彦</t>
    <rPh sb="0" eb="2">
      <t>クワナ</t>
    </rPh>
    <rPh sb="3" eb="5">
      <t>フミヒコ</t>
    </rPh>
    <phoneticPr fontId="3"/>
  </si>
  <si>
    <t>高(水元)</t>
    <rPh sb="0" eb="1">
      <t>コウ</t>
    </rPh>
    <rPh sb="2" eb="4">
      <t>ミズモト</t>
    </rPh>
    <phoneticPr fontId="3"/>
  </si>
  <si>
    <t>大熊　利昭</t>
    <rPh sb="0" eb="2">
      <t>オオクマ</t>
    </rPh>
    <rPh sb="3" eb="5">
      <t>トシアキ</t>
    </rPh>
    <phoneticPr fontId="3"/>
  </si>
  <si>
    <t>国家公務員制度改革推進本部企画官,会社社長(エーシーキャピタル)</t>
    <rPh sb="0" eb="2">
      <t>コッカ</t>
    </rPh>
    <rPh sb="2" eb="5">
      <t>コウムイン</t>
    </rPh>
    <rPh sb="5" eb="7">
      <t>セイド</t>
    </rPh>
    <rPh sb="7" eb="9">
      <t>カイカク</t>
    </rPh>
    <rPh sb="9" eb="11">
      <t>スイシン</t>
    </rPh>
    <rPh sb="11" eb="13">
      <t>ホンブ</t>
    </rPh>
    <rPh sb="13" eb="16">
      <t>キカクカン</t>
    </rPh>
    <rPh sb="17" eb="19">
      <t>カイシャ</t>
    </rPh>
    <rPh sb="19" eb="21">
      <t>シャチョウ</t>
    </rPh>
    <phoneticPr fontId="3"/>
  </si>
  <si>
    <t>106東京3区01</t>
    <rPh sb="3" eb="5">
      <t>トウキョウ</t>
    </rPh>
    <rPh sb="6" eb="7">
      <t>ク</t>
    </rPh>
    <phoneticPr fontId="3"/>
  </si>
  <si>
    <t>106東京3区02</t>
    <rPh sb="3" eb="5">
      <t>トウキョウ</t>
    </rPh>
    <rPh sb="6" eb="7">
      <t>ク</t>
    </rPh>
    <phoneticPr fontId="3"/>
  </si>
  <si>
    <t>106東京3区03</t>
    <rPh sb="3" eb="5">
      <t>トウキョウ</t>
    </rPh>
    <rPh sb="6" eb="7">
      <t>ク</t>
    </rPh>
    <phoneticPr fontId="3"/>
  </si>
  <si>
    <t>松原　　仁</t>
    <rPh sb="0" eb="2">
      <t>マツバラ</t>
    </rPh>
    <rPh sb="4" eb="5">
      <t>ジン</t>
    </rPh>
    <phoneticPr fontId="3"/>
  </si>
  <si>
    <t>106東京3区</t>
    <rPh sb="3" eb="5">
      <t>トウキョウ</t>
    </rPh>
    <rPh sb="6" eb="7">
      <t>ク</t>
    </rPh>
    <phoneticPr fontId="3"/>
  </si>
  <si>
    <t>議松</t>
    <rPh sb="0" eb="1">
      <t>ギ</t>
    </rPh>
    <rPh sb="1" eb="2">
      <t>マツ</t>
    </rPh>
    <phoneticPr fontId="3"/>
  </si>
  <si>
    <t>松</t>
    <rPh sb="0" eb="1">
      <t>マツ</t>
    </rPh>
    <phoneticPr fontId="3"/>
  </si>
  <si>
    <t>　元委長(財金,海テ特,青少年特),副大臣(内閣),旧改革クラブ幹事長</t>
    <rPh sb="1" eb="2">
      <t>モト</t>
    </rPh>
    <rPh sb="2" eb="4">
      <t>イチョウ</t>
    </rPh>
    <rPh sb="5" eb="7">
      <t>ザイキン</t>
    </rPh>
    <rPh sb="8" eb="9">
      <t>ウミ</t>
    </rPh>
    <rPh sb="10" eb="11">
      <t>トク</t>
    </rPh>
    <rPh sb="12" eb="15">
      <t>セイショウネン</t>
    </rPh>
    <rPh sb="15" eb="16">
      <t>トク</t>
    </rPh>
    <rPh sb="18" eb="21">
      <t>フクダイジン</t>
    </rPh>
    <rPh sb="22" eb="24">
      <t>ナイカク</t>
    </rPh>
    <rPh sb="26" eb="27">
      <t>キュウ</t>
    </rPh>
    <rPh sb="27" eb="29">
      <t>カイカク</t>
    </rPh>
    <rPh sb="32" eb="35">
      <t>カンジチョウ</t>
    </rPh>
    <phoneticPr fontId="4"/>
  </si>
  <si>
    <t>石原　宏高</t>
    <rPh sb="0" eb="2">
      <t>イシハラ</t>
    </rPh>
    <rPh sb="3" eb="4">
      <t>ヒロ</t>
    </rPh>
    <rPh sb="4" eb="5">
      <t>タカ</t>
    </rPh>
    <phoneticPr fontId="3"/>
  </si>
  <si>
    <t>銀行員(みずほ銀行)</t>
    <rPh sb="0" eb="3">
      <t>ギンコウイン</t>
    </rPh>
    <rPh sb="7" eb="9">
      <t>ギンコウ</t>
    </rPh>
    <phoneticPr fontId="3"/>
  </si>
  <si>
    <t>二</t>
    <rPh sb="0" eb="1">
      <t>ニ</t>
    </rPh>
    <phoneticPr fontId="3"/>
  </si>
  <si>
    <t>香西　克介</t>
    <rPh sb="0" eb="2">
      <t>コウザイ</t>
    </rPh>
    <rPh sb="3" eb="5">
      <t>カツスケ</t>
    </rPh>
    <phoneticPr fontId="3"/>
  </si>
  <si>
    <t>高(大森)</t>
    <rPh sb="0" eb="1">
      <t>コウ</t>
    </rPh>
    <rPh sb="2" eb="4">
      <t>オオモリ</t>
    </rPh>
    <phoneticPr fontId="3"/>
  </si>
  <si>
    <t>共産党地区委員長,民青同盟東京都委員長</t>
    <rPh sb="0" eb="3">
      <t>キョウサントウ</t>
    </rPh>
    <rPh sb="3" eb="5">
      <t>チク</t>
    </rPh>
    <rPh sb="5" eb="8">
      <t>イインチョウ</t>
    </rPh>
    <rPh sb="9" eb="11">
      <t>ミンセイ</t>
    </rPh>
    <rPh sb="11" eb="13">
      <t>ドウメイ</t>
    </rPh>
    <rPh sb="13" eb="16">
      <t>トウキョウト</t>
    </rPh>
    <rPh sb="16" eb="19">
      <t>イインチョウ</t>
    </rPh>
    <phoneticPr fontId="3"/>
  </si>
  <si>
    <t>107東京4区01</t>
    <rPh sb="3" eb="5">
      <t>トウキョウ</t>
    </rPh>
    <rPh sb="6" eb="7">
      <t>ク</t>
    </rPh>
    <phoneticPr fontId="3"/>
  </si>
  <si>
    <t>107東京4区02</t>
    <rPh sb="3" eb="5">
      <t>トウキョウ</t>
    </rPh>
    <rPh sb="6" eb="7">
      <t>ク</t>
    </rPh>
    <phoneticPr fontId="3"/>
  </si>
  <si>
    <t>107東京4区03</t>
    <rPh sb="3" eb="5">
      <t>トウキョウ</t>
    </rPh>
    <rPh sb="6" eb="7">
      <t>ク</t>
    </rPh>
    <phoneticPr fontId="3"/>
  </si>
  <si>
    <t>107東京4区04</t>
    <rPh sb="3" eb="5">
      <t>トウキョウ</t>
    </rPh>
    <rPh sb="6" eb="7">
      <t>ク</t>
    </rPh>
    <phoneticPr fontId="3"/>
  </si>
  <si>
    <t>107東京4区05</t>
    <rPh sb="3" eb="5">
      <t>トウキョウ</t>
    </rPh>
    <rPh sb="6" eb="7">
      <t>ク</t>
    </rPh>
    <phoneticPr fontId="3"/>
  </si>
  <si>
    <t>藤田　憲彦</t>
    <rPh sb="0" eb="2">
      <t>フジタ</t>
    </rPh>
    <rPh sb="3" eb="5">
      <t>ノリヒコ</t>
    </rPh>
    <phoneticPr fontId="3"/>
  </si>
  <si>
    <t>107東京4区</t>
    <rPh sb="3" eb="5">
      <t>トウキョウ</t>
    </rPh>
    <rPh sb="6" eb="7">
      <t>ク</t>
    </rPh>
    <phoneticPr fontId="3"/>
  </si>
  <si>
    <t>会社社長(小僧com),会社員(ソニー)</t>
    <rPh sb="0" eb="2">
      <t>カイシャ</t>
    </rPh>
    <rPh sb="2" eb="4">
      <t>シャチョウ</t>
    </rPh>
    <rPh sb="5" eb="7">
      <t>コゾウ</t>
    </rPh>
    <rPh sb="12" eb="15">
      <t>カイシャイン</t>
    </rPh>
    <phoneticPr fontId="3"/>
  </si>
  <si>
    <t>平　　将明</t>
    <rPh sb="0" eb="1">
      <t>タイラ</t>
    </rPh>
    <rPh sb="3" eb="5">
      <t>マサアキ</t>
    </rPh>
    <phoneticPr fontId="3"/>
  </si>
  <si>
    <t>305比例東京10</t>
    <rPh sb="3" eb="5">
      <t>ヒレイ</t>
    </rPh>
    <rPh sb="5" eb="7">
      <t>トウキョウ</t>
    </rPh>
    <phoneticPr fontId="3"/>
  </si>
  <si>
    <t>東京JC理事長,会社社長(山邦)</t>
    <rPh sb="0" eb="2">
      <t>トウキョウ</t>
    </rPh>
    <rPh sb="4" eb="7">
      <t>リジチョウ</t>
    </rPh>
    <rPh sb="8" eb="10">
      <t>カイシャ</t>
    </rPh>
    <rPh sb="10" eb="12">
      <t>シャチョウ</t>
    </rPh>
    <rPh sb="13" eb="14">
      <t>ヤマ</t>
    </rPh>
    <rPh sb="14" eb="15">
      <t>クニ</t>
    </rPh>
    <phoneticPr fontId="3"/>
  </si>
  <si>
    <t>山本　純平</t>
    <rPh sb="0" eb="2">
      <t>ヤマモト</t>
    </rPh>
    <rPh sb="3" eb="5">
      <t>ジュンペイ</t>
    </rPh>
    <phoneticPr fontId="3"/>
  </si>
  <si>
    <t>共産党地区常任委員,赤旗出張所長</t>
    <rPh sb="0" eb="3">
      <t>キョウサントウ</t>
    </rPh>
    <rPh sb="3" eb="5">
      <t>チク</t>
    </rPh>
    <rPh sb="5" eb="7">
      <t>ジョウニン</t>
    </rPh>
    <rPh sb="7" eb="9">
      <t>イイン</t>
    </rPh>
    <rPh sb="10" eb="12">
      <t>アカハタ</t>
    </rPh>
    <rPh sb="12" eb="14">
      <t>シュッチョウ</t>
    </rPh>
    <rPh sb="14" eb="16">
      <t>ショチョウ</t>
    </rPh>
    <phoneticPr fontId="3"/>
  </si>
  <si>
    <t>広瀬　雅志</t>
    <rPh sb="0" eb="2">
      <t>ヒロセ</t>
    </rPh>
    <rPh sb="3" eb="5">
      <t>マサシ</t>
    </rPh>
    <phoneticPr fontId="3"/>
  </si>
  <si>
    <t>銀行員(バークレイズ・キャピタル)</t>
    <rPh sb="0" eb="3">
      <t>ギンコウイン</t>
    </rPh>
    <phoneticPr fontId="3"/>
  </si>
  <si>
    <t>佐野　秀光</t>
    <rPh sb="0" eb="2">
      <t>サノ</t>
    </rPh>
    <rPh sb="3" eb="5">
      <t>ヒデミツ</t>
    </rPh>
    <phoneticPr fontId="3"/>
  </si>
  <si>
    <t>大(日本)</t>
    <rPh sb="0" eb="1">
      <t>ダイ</t>
    </rPh>
    <rPh sb="2" eb="4">
      <t>ニホン</t>
    </rPh>
    <phoneticPr fontId="3"/>
  </si>
  <si>
    <t>108東京5区01</t>
    <rPh sb="3" eb="5">
      <t>トウキョウ</t>
    </rPh>
    <rPh sb="6" eb="7">
      <t>ク</t>
    </rPh>
    <phoneticPr fontId="3"/>
  </si>
  <si>
    <t>108東京5区02</t>
    <rPh sb="3" eb="5">
      <t>トウキョウ</t>
    </rPh>
    <rPh sb="6" eb="7">
      <t>ク</t>
    </rPh>
    <phoneticPr fontId="3"/>
  </si>
  <si>
    <t>108東京5区03</t>
    <rPh sb="3" eb="5">
      <t>トウキョウ</t>
    </rPh>
    <rPh sb="6" eb="7">
      <t>ク</t>
    </rPh>
    <phoneticPr fontId="3"/>
  </si>
  <si>
    <t>108東京5区04</t>
    <rPh sb="3" eb="5">
      <t>トウキョウ</t>
    </rPh>
    <rPh sb="6" eb="7">
      <t>ク</t>
    </rPh>
    <phoneticPr fontId="3"/>
  </si>
  <si>
    <t>108東京5区05</t>
    <rPh sb="3" eb="5">
      <t>トウキョウ</t>
    </rPh>
    <rPh sb="6" eb="7">
      <t>ク</t>
    </rPh>
    <phoneticPr fontId="3"/>
  </si>
  <si>
    <t>手塚　仁雄</t>
    <rPh sb="0" eb="2">
      <t>テヅカ</t>
    </rPh>
    <rPh sb="3" eb="4">
      <t>ヨシ</t>
    </rPh>
    <rPh sb="4" eb="5">
      <t>オ</t>
    </rPh>
    <phoneticPr fontId="3"/>
  </si>
  <si>
    <t>108東京5区</t>
    <rPh sb="3" eb="5">
      <t>トウキョウ</t>
    </rPh>
    <rPh sb="6" eb="7">
      <t>ク</t>
    </rPh>
    <phoneticPr fontId="3"/>
  </si>
  <si>
    <t>東京都議(目黒区)</t>
    <rPh sb="0" eb="2">
      <t>トウキョウ</t>
    </rPh>
    <rPh sb="2" eb="4">
      <t>トギ</t>
    </rPh>
    <rPh sb="5" eb="8">
      <t>メグロク</t>
    </rPh>
    <phoneticPr fontId="3"/>
  </si>
  <si>
    <t>　元首相補佐官</t>
    <rPh sb="1" eb="2">
      <t>モト</t>
    </rPh>
    <rPh sb="2" eb="4">
      <t>シュショウ</t>
    </rPh>
    <rPh sb="4" eb="7">
      <t>ホサカン</t>
    </rPh>
    <phoneticPr fontId="3"/>
  </si>
  <si>
    <t>若宮　健嗣</t>
    <rPh sb="0" eb="2">
      <t>ワカミヤ</t>
    </rPh>
    <rPh sb="3" eb="5">
      <t>ケンジ</t>
    </rPh>
    <phoneticPr fontId="3"/>
  </si>
  <si>
    <t>会社員(セゾングループ)</t>
    <rPh sb="0" eb="3">
      <t>カイシャイン</t>
    </rPh>
    <phoneticPr fontId="3"/>
  </si>
  <si>
    <t>三浦　岩男</t>
    <rPh sb="0" eb="2">
      <t>ミウラ</t>
    </rPh>
    <rPh sb="3" eb="5">
      <t>イワオ</t>
    </rPh>
    <phoneticPr fontId="3"/>
  </si>
  <si>
    <t>東京商工団体連合会相談役</t>
    <rPh sb="0" eb="2">
      <t>トウキョウ</t>
    </rPh>
    <rPh sb="2" eb="4">
      <t>ショウコウ</t>
    </rPh>
    <rPh sb="4" eb="6">
      <t>ダンタイ</t>
    </rPh>
    <rPh sb="6" eb="9">
      <t>レンゴウカイ</t>
    </rPh>
    <rPh sb="9" eb="12">
      <t>ソウダンヤク</t>
    </rPh>
    <phoneticPr fontId="3"/>
  </si>
  <si>
    <t>三谷　英弘</t>
    <rPh sb="0" eb="2">
      <t>ミタニ</t>
    </rPh>
    <rPh sb="3" eb="5">
      <t>ヒデヒロ</t>
    </rPh>
    <phoneticPr fontId="3"/>
  </si>
  <si>
    <t>弁護士</t>
    <rPh sb="0" eb="3">
      <t>ベンゴシ</t>
    </rPh>
    <phoneticPr fontId="3"/>
  </si>
  <si>
    <t>法</t>
    <rPh sb="0" eb="1">
      <t>ホウ</t>
    </rPh>
    <phoneticPr fontId="3"/>
  </si>
  <si>
    <t>曽我　周作</t>
    <rPh sb="0" eb="2">
      <t>ソガ</t>
    </rPh>
    <rPh sb="3" eb="5">
      <t>シュウサク</t>
    </rPh>
    <phoneticPr fontId="3"/>
  </si>
  <si>
    <t>大(大阪教育)</t>
    <rPh sb="0" eb="1">
      <t>ダイ</t>
    </rPh>
    <rPh sb="2" eb="4">
      <t>オオサカ</t>
    </rPh>
    <rPh sb="4" eb="6">
      <t>キョウイク</t>
    </rPh>
    <phoneticPr fontId="3"/>
  </si>
  <si>
    <t>幸福実現党員,会社員(関電工)</t>
    <rPh sb="0" eb="2">
      <t>コウフク</t>
    </rPh>
    <rPh sb="2" eb="4">
      <t>ジツゲン</t>
    </rPh>
    <rPh sb="4" eb="6">
      <t>トウイン</t>
    </rPh>
    <rPh sb="7" eb="10">
      <t>カイシャイン</t>
    </rPh>
    <rPh sb="11" eb="14">
      <t>カンデンコウ</t>
    </rPh>
    <phoneticPr fontId="3"/>
  </si>
  <si>
    <t>109東京6区01</t>
    <rPh sb="3" eb="5">
      <t>トウキョウ</t>
    </rPh>
    <rPh sb="6" eb="7">
      <t>ク</t>
    </rPh>
    <phoneticPr fontId="3"/>
  </si>
  <si>
    <t>109東京6区02</t>
    <rPh sb="3" eb="5">
      <t>トウキョウ</t>
    </rPh>
    <rPh sb="6" eb="7">
      <t>ク</t>
    </rPh>
    <phoneticPr fontId="3"/>
  </si>
  <si>
    <t>109東京6区03</t>
    <rPh sb="3" eb="5">
      <t>トウキョウ</t>
    </rPh>
    <rPh sb="6" eb="7">
      <t>ク</t>
    </rPh>
    <phoneticPr fontId="3"/>
  </si>
  <si>
    <t>109東京6区04</t>
    <rPh sb="3" eb="5">
      <t>トウキョウ</t>
    </rPh>
    <rPh sb="6" eb="7">
      <t>ク</t>
    </rPh>
    <phoneticPr fontId="3"/>
  </si>
  <si>
    <t>小宮山　洋子</t>
    <rPh sb="0" eb="3">
      <t>コミヤマ</t>
    </rPh>
    <rPh sb="4" eb="6">
      <t>ヨウコ</t>
    </rPh>
    <phoneticPr fontId="3"/>
  </si>
  <si>
    <t>109東京6区</t>
    <rPh sb="3" eb="5">
      <t>トウキョウ</t>
    </rPh>
    <rPh sb="6" eb="7">
      <t>ク</t>
    </rPh>
    <phoneticPr fontId="3"/>
  </si>
  <si>
    <t>大(成城)</t>
    <rPh sb="0" eb="1">
      <t>ダイ</t>
    </rPh>
    <rPh sb="2" eb="4">
      <t>セイジョウ</t>
    </rPh>
    <phoneticPr fontId="3"/>
  </si>
  <si>
    <t>テレビ解説委員(NHK)</t>
    <rPh sb="3" eb="5">
      <t>カイセツ</t>
    </rPh>
    <rPh sb="5" eb="7">
      <t>イイン</t>
    </rPh>
    <phoneticPr fontId="3"/>
  </si>
  <si>
    <t>鞍ジ二</t>
    <rPh sb="0" eb="1">
      <t>クラ</t>
    </rPh>
    <rPh sb="2" eb="3">
      <t>ニ</t>
    </rPh>
    <phoneticPr fontId="3"/>
  </si>
  <si>
    <t>鞍</t>
    <rPh sb="0" eb="1">
      <t>クラ</t>
    </rPh>
    <phoneticPr fontId="3"/>
  </si>
  <si>
    <t>ニ</t>
    <phoneticPr fontId="3"/>
  </si>
  <si>
    <t>越智　隆雄</t>
    <rPh sb="0" eb="2">
      <t>オチ</t>
    </rPh>
    <rPh sb="3" eb="5">
      <t>タカオ</t>
    </rPh>
    <phoneticPr fontId="3"/>
  </si>
  <si>
    <t>大院(東京)</t>
    <rPh sb="0" eb="2">
      <t>ダイイン</t>
    </rPh>
    <rPh sb="3" eb="5">
      <t>トウキョウ</t>
    </rPh>
    <phoneticPr fontId="3"/>
  </si>
  <si>
    <t>議員秘書(越智通雄),銀行員(住友銀行)</t>
    <rPh sb="0" eb="2">
      <t>ギイン</t>
    </rPh>
    <rPh sb="2" eb="4">
      <t>ヒショ</t>
    </rPh>
    <rPh sb="5" eb="7">
      <t>オチ</t>
    </rPh>
    <rPh sb="7" eb="9">
      <t>ミチオ</t>
    </rPh>
    <rPh sb="11" eb="14">
      <t>ギンコウイン</t>
    </rPh>
    <rPh sb="15" eb="17">
      <t>スミトモ</t>
    </rPh>
    <rPh sb="17" eb="19">
      <t>ギンコウ</t>
    </rPh>
    <phoneticPr fontId="3"/>
  </si>
  <si>
    <t>佐藤　直樹</t>
    <rPh sb="0" eb="2">
      <t>サトウ</t>
    </rPh>
    <rPh sb="3" eb="5">
      <t>ナオキ</t>
    </rPh>
    <phoneticPr fontId="3"/>
  </si>
  <si>
    <t>他(東京アナウンス学院)</t>
    <rPh sb="0" eb="1">
      <t>ホカ</t>
    </rPh>
    <rPh sb="2" eb="4">
      <t>トウキョウ</t>
    </rPh>
    <rPh sb="9" eb="11">
      <t>ガクイン</t>
    </rPh>
    <phoneticPr fontId="3"/>
  </si>
  <si>
    <t>共産党地区常任委員,民青同盟世田谷区委員長</t>
    <rPh sb="0" eb="3">
      <t>キョウサントウ</t>
    </rPh>
    <rPh sb="3" eb="5">
      <t>チク</t>
    </rPh>
    <rPh sb="5" eb="7">
      <t>ジョウニン</t>
    </rPh>
    <rPh sb="7" eb="9">
      <t>イイン</t>
    </rPh>
    <rPh sb="10" eb="12">
      <t>ミンセイ</t>
    </rPh>
    <rPh sb="12" eb="14">
      <t>ドウメイ</t>
    </rPh>
    <rPh sb="14" eb="18">
      <t>セタガヤク</t>
    </rPh>
    <rPh sb="18" eb="21">
      <t>イインチョウ</t>
    </rPh>
    <phoneticPr fontId="3"/>
  </si>
  <si>
    <t>落合　貴之</t>
    <rPh sb="0" eb="2">
      <t>オチアイ</t>
    </rPh>
    <rPh sb="3" eb="5">
      <t>タカユキ</t>
    </rPh>
    <phoneticPr fontId="3"/>
  </si>
  <si>
    <t>議員秘書(松田公太,江田憲司),銀行員(三井住友銀行)</t>
    <rPh sb="0" eb="2">
      <t>ギイン</t>
    </rPh>
    <rPh sb="2" eb="4">
      <t>ヒショ</t>
    </rPh>
    <rPh sb="5" eb="7">
      <t>マツダ</t>
    </rPh>
    <rPh sb="7" eb="9">
      <t>コウタ</t>
    </rPh>
    <rPh sb="10" eb="12">
      <t>エダ</t>
    </rPh>
    <rPh sb="12" eb="14">
      <t>ケンジ</t>
    </rPh>
    <rPh sb="16" eb="19">
      <t>ギンコウイン</t>
    </rPh>
    <rPh sb="20" eb="22">
      <t>ミツイ</t>
    </rPh>
    <rPh sb="22" eb="24">
      <t>スミトモ</t>
    </rPh>
    <rPh sb="24" eb="26">
      <t>ギンコウ</t>
    </rPh>
    <phoneticPr fontId="3"/>
  </si>
  <si>
    <t>110東京7区01</t>
    <rPh sb="3" eb="5">
      <t>トウキョウ</t>
    </rPh>
    <rPh sb="6" eb="7">
      <t>ク</t>
    </rPh>
    <phoneticPr fontId="3"/>
  </si>
  <si>
    <t>110東京7区02</t>
    <rPh sb="3" eb="5">
      <t>トウキョウ</t>
    </rPh>
    <rPh sb="6" eb="7">
      <t>ク</t>
    </rPh>
    <phoneticPr fontId="3"/>
  </si>
  <si>
    <t>110東京7区03</t>
    <rPh sb="3" eb="5">
      <t>トウキョウ</t>
    </rPh>
    <rPh sb="6" eb="7">
      <t>ク</t>
    </rPh>
    <phoneticPr fontId="3"/>
  </si>
  <si>
    <t>長妻　　昭</t>
    <rPh sb="0" eb="2">
      <t>ナガツマ</t>
    </rPh>
    <rPh sb="4" eb="5">
      <t>アキラ</t>
    </rPh>
    <phoneticPr fontId="3"/>
  </si>
  <si>
    <t>110東京7区</t>
    <rPh sb="3" eb="5">
      <t>トウキョウ</t>
    </rPh>
    <rPh sb="6" eb="7">
      <t>ク</t>
    </rPh>
    <phoneticPr fontId="3"/>
  </si>
  <si>
    <t>さ</t>
    <phoneticPr fontId="3"/>
  </si>
  <si>
    <t>雑誌記者(日経ビジネス),会社員(日本電気)</t>
    <rPh sb="0" eb="2">
      <t>ザッシ</t>
    </rPh>
    <rPh sb="2" eb="4">
      <t>キシャ</t>
    </rPh>
    <rPh sb="5" eb="7">
      <t>ニッケイ</t>
    </rPh>
    <rPh sb="13" eb="16">
      <t>カイシャイン</t>
    </rPh>
    <rPh sb="17" eb="19">
      <t>ニホン</t>
    </rPh>
    <rPh sb="19" eb="21">
      <t>デンキ</t>
    </rPh>
    <phoneticPr fontId="3"/>
  </si>
  <si>
    <t>松本　文明</t>
    <rPh sb="0" eb="2">
      <t>マツモト</t>
    </rPh>
    <rPh sb="3" eb="5">
      <t>フミアキ</t>
    </rPh>
    <phoneticPr fontId="3"/>
  </si>
  <si>
    <t>東京都議(中野区),議員秘書(高橋一郎,石井桂)</t>
    <rPh sb="0" eb="2">
      <t>トウキョウ</t>
    </rPh>
    <rPh sb="2" eb="4">
      <t>トギ</t>
    </rPh>
    <rPh sb="5" eb="8">
      <t>ナカノク</t>
    </rPh>
    <rPh sb="10" eb="12">
      <t>ギイン</t>
    </rPh>
    <rPh sb="12" eb="14">
      <t>ヒショ</t>
    </rPh>
    <rPh sb="15" eb="17">
      <t>タカハシ</t>
    </rPh>
    <rPh sb="17" eb="19">
      <t>イチロウ</t>
    </rPh>
    <rPh sb="20" eb="22">
      <t>イシイ</t>
    </rPh>
    <rPh sb="22" eb="23">
      <t>ケイ</t>
    </rPh>
    <phoneticPr fontId="3"/>
  </si>
  <si>
    <t>太田　宜興</t>
    <rPh sb="0" eb="2">
      <t>オオタ</t>
    </rPh>
    <rPh sb="3" eb="4">
      <t>ノリ</t>
    </rPh>
    <rPh sb="4" eb="5">
      <t>オキ</t>
    </rPh>
    <phoneticPr fontId="3"/>
  </si>
  <si>
    <t>大(大阪経済)</t>
    <rPh sb="0" eb="1">
      <t>ダイ</t>
    </rPh>
    <rPh sb="2" eb="4">
      <t>オオサカ</t>
    </rPh>
    <rPh sb="4" eb="6">
      <t>ケイザイ</t>
    </rPh>
    <phoneticPr fontId="3"/>
  </si>
  <si>
    <t>共産党地区委員,サークル代表(中野ピースナウ)</t>
    <rPh sb="0" eb="3">
      <t>キョウサントウ</t>
    </rPh>
    <rPh sb="3" eb="5">
      <t>チク</t>
    </rPh>
    <rPh sb="5" eb="7">
      <t>イイン</t>
    </rPh>
    <rPh sb="12" eb="14">
      <t>ダイヒョウ</t>
    </rPh>
    <rPh sb="15" eb="17">
      <t>ナカノ</t>
    </rPh>
    <phoneticPr fontId="3"/>
  </si>
  <si>
    <t>111東京8区01</t>
    <rPh sb="3" eb="5">
      <t>トウキョウ</t>
    </rPh>
    <rPh sb="6" eb="7">
      <t>ク</t>
    </rPh>
    <phoneticPr fontId="3"/>
  </si>
  <si>
    <t>111東京8区02</t>
    <rPh sb="3" eb="5">
      <t>トウキョウ</t>
    </rPh>
    <rPh sb="6" eb="7">
      <t>ク</t>
    </rPh>
    <phoneticPr fontId="3"/>
  </si>
  <si>
    <t>111東京8区03</t>
    <rPh sb="3" eb="5">
      <t>トウキョウ</t>
    </rPh>
    <rPh sb="6" eb="7">
      <t>ク</t>
    </rPh>
    <phoneticPr fontId="3"/>
  </si>
  <si>
    <t>石原　伸晃</t>
    <rPh sb="0" eb="2">
      <t>イシハラ</t>
    </rPh>
    <rPh sb="3" eb="4">
      <t>ノブ</t>
    </rPh>
    <rPh sb="4" eb="5">
      <t>テル</t>
    </rPh>
    <phoneticPr fontId="3"/>
  </si>
  <si>
    <t>111東京8区</t>
    <rPh sb="3" eb="5">
      <t>トウキョウ</t>
    </rPh>
    <rPh sb="6" eb="7">
      <t>ク</t>
    </rPh>
    <phoneticPr fontId="3"/>
  </si>
  <si>
    <t>テレビ記者(日本テレビ)</t>
    <rPh sb="3" eb="5">
      <t>キシャ</t>
    </rPh>
    <rPh sb="6" eb="8">
      <t>ニホン</t>
    </rPh>
    <phoneticPr fontId="3"/>
  </si>
  <si>
    <t>ジ二</t>
    <rPh sb="1" eb="2">
      <t>ニ</t>
    </rPh>
    <phoneticPr fontId="3"/>
  </si>
  <si>
    <t>　元大臣(国交・観光,行革),委長(法務),政務次官(通産),自民党幹事長,政調会長,幹事長代理</t>
    <rPh sb="1" eb="4">
      <t>モトダイジン</t>
    </rPh>
    <rPh sb="5" eb="7">
      <t>コッコウ</t>
    </rPh>
    <rPh sb="8" eb="10">
      <t>カンコウ</t>
    </rPh>
    <rPh sb="11" eb="13">
      <t>ギョウカク</t>
    </rPh>
    <rPh sb="15" eb="17">
      <t>イチョウ</t>
    </rPh>
    <rPh sb="18" eb="20">
      <t>ホウム</t>
    </rPh>
    <rPh sb="22" eb="24">
      <t>セイム</t>
    </rPh>
    <rPh sb="24" eb="26">
      <t>ジカン</t>
    </rPh>
    <rPh sb="27" eb="29">
      <t>ツウサン</t>
    </rPh>
    <rPh sb="31" eb="34">
      <t>ジミントウ</t>
    </rPh>
    <rPh sb="34" eb="37">
      <t>カンジチョウ</t>
    </rPh>
    <rPh sb="38" eb="40">
      <t>セイチョウ</t>
    </rPh>
    <rPh sb="40" eb="42">
      <t>カイチョウ</t>
    </rPh>
    <rPh sb="43" eb="46">
      <t>カンジチョウ</t>
    </rPh>
    <rPh sb="46" eb="48">
      <t>ダイリ</t>
    </rPh>
    <phoneticPr fontId="3"/>
  </si>
  <si>
    <t>上保　匡勇</t>
    <rPh sb="0" eb="2">
      <t>ジョウホ</t>
    </rPh>
    <rPh sb="3" eb="4">
      <t>マサ</t>
    </rPh>
    <rPh sb="4" eb="5">
      <t>タケ</t>
    </rPh>
    <phoneticPr fontId="3"/>
  </si>
  <si>
    <t>民青同盟東京都常任委員</t>
    <rPh sb="0" eb="2">
      <t>ミンセイ</t>
    </rPh>
    <rPh sb="2" eb="4">
      <t>ドウメイ</t>
    </rPh>
    <rPh sb="4" eb="7">
      <t>トウキョウト</t>
    </rPh>
    <rPh sb="7" eb="9">
      <t>ジョウニン</t>
    </rPh>
    <rPh sb="9" eb="11">
      <t>イイン</t>
    </rPh>
    <phoneticPr fontId="3"/>
  </si>
  <si>
    <t>112東京9区01</t>
    <rPh sb="3" eb="5">
      <t>トウキョウ</t>
    </rPh>
    <rPh sb="6" eb="7">
      <t>ク</t>
    </rPh>
    <phoneticPr fontId="3"/>
  </si>
  <si>
    <t>112東京9区02</t>
    <rPh sb="3" eb="5">
      <t>トウキョウ</t>
    </rPh>
    <rPh sb="6" eb="7">
      <t>ク</t>
    </rPh>
    <phoneticPr fontId="3"/>
  </si>
  <si>
    <t>112東京9区03</t>
    <rPh sb="3" eb="5">
      <t>トウキョウ</t>
    </rPh>
    <rPh sb="6" eb="7">
      <t>ク</t>
    </rPh>
    <phoneticPr fontId="3"/>
  </si>
  <si>
    <t>112東京9区04</t>
    <rPh sb="3" eb="5">
      <t>トウキョウ</t>
    </rPh>
    <rPh sb="6" eb="7">
      <t>ク</t>
    </rPh>
    <phoneticPr fontId="3"/>
  </si>
  <si>
    <t>菅原　一秀</t>
    <rPh sb="0" eb="2">
      <t>スガワラ</t>
    </rPh>
    <rPh sb="3" eb="4">
      <t>イッ</t>
    </rPh>
    <rPh sb="4" eb="5">
      <t>シュウ</t>
    </rPh>
    <phoneticPr fontId="3"/>
  </si>
  <si>
    <t>305比例東京13</t>
    <rPh sb="3" eb="5">
      <t>ヒレイ</t>
    </rPh>
    <rPh sb="5" eb="7">
      <t>トウキョウ</t>
    </rPh>
    <phoneticPr fontId="3"/>
  </si>
  <si>
    <t>東京都議(練馬区),東京都・練馬区議,会社員(日商岩井)</t>
    <rPh sb="0" eb="2">
      <t>トウキョウ</t>
    </rPh>
    <rPh sb="2" eb="4">
      <t>トギ</t>
    </rPh>
    <rPh sb="5" eb="8">
      <t>ネリマク</t>
    </rPh>
    <rPh sb="10" eb="13">
      <t>トウキョウト</t>
    </rPh>
    <rPh sb="14" eb="16">
      <t>ネリマ</t>
    </rPh>
    <rPh sb="16" eb="18">
      <t>クギ</t>
    </rPh>
    <rPh sb="19" eb="22">
      <t>カイシャイン</t>
    </rPh>
    <rPh sb="23" eb="25">
      <t>ニッショウ</t>
    </rPh>
    <rPh sb="25" eb="27">
      <t>イワイ</t>
    </rPh>
    <phoneticPr fontId="3"/>
  </si>
  <si>
    <t>　元政務官(厚労)</t>
    <rPh sb="1" eb="2">
      <t>モト</t>
    </rPh>
    <rPh sb="2" eb="5">
      <t>セイムカン</t>
    </rPh>
    <rPh sb="6" eb="8">
      <t>コウロウ</t>
    </rPh>
    <phoneticPr fontId="3"/>
  </si>
  <si>
    <t>坂尻　正由喜</t>
    <rPh sb="0" eb="2">
      <t>サカジリ</t>
    </rPh>
    <rPh sb="3" eb="4">
      <t>マサ</t>
    </rPh>
    <rPh sb="4" eb="6">
      <t>ユキ</t>
    </rPh>
    <phoneticPr fontId="3"/>
  </si>
  <si>
    <t>高(練馬工)</t>
    <rPh sb="0" eb="1">
      <t>コウ</t>
    </rPh>
    <rPh sb="2" eb="4">
      <t>ネリマ</t>
    </rPh>
    <rPh sb="4" eb="5">
      <t>コウ</t>
    </rPh>
    <phoneticPr fontId="3"/>
  </si>
  <si>
    <t>幸福実現党員,幸福の科学職員</t>
    <rPh sb="0" eb="2">
      <t>コウフク</t>
    </rPh>
    <rPh sb="2" eb="4">
      <t>ジツゲン</t>
    </rPh>
    <rPh sb="4" eb="6">
      <t>トウイン</t>
    </rPh>
    <rPh sb="7" eb="9">
      <t>コウフク</t>
    </rPh>
    <rPh sb="10" eb="12">
      <t>カガク</t>
    </rPh>
    <rPh sb="12" eb="14">
      <t>ショクイン</t>
    </rPh>
    <phoneticPr fontId="3"/>
  </si>
  <si>
    <t>木内　孝胤</t>
    <rPh sb="0" eb="2">
      <t>キウチ</t>
    </rPh>
    <rPh sb="3" eb="5">
      <t>タカタネ</t>
    </rPh>
    <phoneticPr fontId="3"/>
  </si>
  <si>
    <t>112東京9区</t>
    <rPh sb="3" eb="5">
      <t>トウキョウ</t>
    </rPh>
    <rPh sb="6" eb="7">
      <t>ク</t>
    </rPh>
    <phoneticPr fontId="3"/>
  </si>
  <si>
    <t>会社員(メリルリンチ日本証券),銀行員(三菱銀行)</t>
    <rPh sb="0" eb="3">
      <t>カイシャイン</t>
    </rPh>
    <rPh sb="10" eb="12">
      <t>ニホン</t>
    </rPh>
    <rPh sb="12" eb="14">
      <t>ショウケン</t>
    </rPh>
    <rPh sb="16" eb="19">
      <t>ギンコウイン</t>
    </rPh>
    <rPh sb="20" eb="22">
      <t>ミツビシ</t>
    </rPh>
    <rPh sb="22" eb="24">
      <t>ギンコウ</t>
    </rPh>
    <phoneticPr fontId="3"/>
  </si>
  <si>
    <t>113東京10区01</t>
    <rPh sb="3" eb="5">
      <t>トウキョウ</t>
    </rPh>
    <rPh sb="7" eb="8">
      <t>ク</t>
    </rPh>
    <phoneticPr fontId="3"/>
  </si>
  <si>
    <t>113東京10区02</t>
    <rPh sb="3" eb="5">
      <t>トウキョウ</t>
    </rPh>
    <rPh sb="7" eb="8">
      <t>ク</t>
    </rPh>
    <phoneticPr fontId="3"/>
  </si>
  <si>
    <t>113東京10区03</t>
    <rPh sb="3" eb="5">
      <t>トウキョウ</t>
    </rPh>
    <rPh sb="7" eb="8">
      <t>ク</t>
    </rPh>
    <phoneticPr fontId="3"/>
  </si>
  <si>
    <t>113東京10区04</t>
    <rPh sb="3" eb="5">
      <t>トウキョウ</t>
    </rPh>
    <rPh sb="7" eb="8">
      <t>ク</t>
    </rPh>
    <phoneticPr fontId="3"/>
  </si>
  <si>
    <t>江端　貴子</t>
    <rPh sb="0" eb="2">
      <t>エバタ</t>
    </rPh>
    <rPh sb="3" eb="5">
      <t>タカコ</t>
    </rPh>
    <phoneticPr fontId="3"/>
  </si>
  <si>
    <t>113東京10区</t>
    <rPh sb="3" eb="5">
      <t>トウキョウ</t>
    </rPh>
    <rPh sb="7" eb="8">
      <t>ク</t>
    </rPh>
    <phoneticPr fontId="3"/>
  </si>
  <si>
    <t>大学教員(東京大学特任准教授),会社役員(アステラス製薬)</t>
    <rPh sb="0" eb="2">
      <t>ダイガク</t>
    </rPh>
    <rPh sb="2" eb="4">
      <t>キョウイン</t>
    </rPh>
    <rPh sb="5" eb="7">
      <t>トウキョウ</t>
    </rPh>
    <rPh sb="7" eb="9">
      <t>ダイガク</t>
    </rPh>
    <rPh sb="9" eb="11">
      <t>トクニン</t>
    </rPh>
    <rPh sb="11" eb="14">
      <t>ジュンキョウジュ</t>
    </rPh>
    <rPh sb="16" eb="18">
      <t>カイシャ</t>
    </rPh>
    <rPh sb="18" eb="20">
      <t>ヤクイン</t>
    </rPh>
    <rPh sb="26" eb="28">
      <t>セイヤク</t>
    </rPh>
    <phoneticPr fontId="3"/>
  </si>
  <si>
    <t>小池　百合子</t>
    <rPh sb="0" eb="2">
      <t>コイケ</t>
    </rPh>
    <rPh sb="3" eb="6">
      <t>ユリコ</t>
    </rPh>
    <phoneticPr fontId="3"/>
  </si>
  <si>
    <t>305比例東京12</t>
    <rPh sb="3" eb="5">
      <t>ヒレイ</t>
    </rPh>
    <rPh sb="5" eb="7">
      <t>トウキョウ</t>
    </rPh>
    <phoneticPr fontId="3"/>
  </si>
  <si>
    <t>大(エジプト/カイロ)</t>
    <rPh sb="0" eb="1">
      <t>ダイ</t>
    </rPh>
    <phoneticPr fontId="3"/>
  </si>
  <si>
    <t>鞍ジ</t>
    <rPh sb="0" eb="1">
      <t>クラ</t>
    </rPh>
    <phoneticPr fontId="3"/>
  </si>
  <si>
    <t>テレビキャスター,ジャーナリスト</t>
    <phoneticPr fontId="3"/>
  </si>
  <si>
    <t>　元大臣(防衛,環境・沖北),委長(科技),政務次官(経企,総務),首相補佐官,自民党総務会長,参1</t>
    <rPh sb="1" eb="4">
      <t>モトダイジン</t>
    </rPh>
    <rPh sb="5" eb="7">
      <t>ボウエイ</t>
    </rPh>
    <rPh sb="8" eb="10">
      <t>カンキョウ</t>
    </rPh>
    <rPh sb="11" eb="12">
      <t>オキ</t>
    </rPh>
    <rPh sb="12" eb="13">
      <t>ホク</t>
    </rPh>
    <rPh sb="15" eb="17">
      <t>イチョウ</t>
    </rPh>
    <rPh sb="18" eb="20">
      <t>カギ</t>
    </rPh>
    <rPh sb="22" eb="24">
      <t>セイム</t>
    </rPh>
    <rPh sb="24" eb="26">
      <t>ジカン</t>
    </rPh>
    <rPh sb="27" eb="29">
      <t>ケイキ</t>
    </rPh>
    <rPh sb="30" eb="32">
      <t>ソウム</t>
    </rPh>
    <rPh sb="34" eb="36">
      <t>シュショウ</t>
    </rPh>
    <rPh sb="36" eb="39">
      <t>ホサカン</t>
    </rPh>
    <rPh sb="40" eb="43">
      <t>ジミントウ</t>
    </rPh>
    <rPh sb="43" eb="45">
      <t>ソウム</t>
    </rPh>
    <rPh sb="45" eb="47">
      <t>カイチョウ</t>
    </rPh>
    <rPh sb="48" eb="49">
      <t>サン</t>
    </rPh>
    <phoneticPr fontId="3"/>
  </si>
  <si>
    <t>今　　秀子</t>
    <rPh sb="0" eb="1">
      <t>コン</t>
    </rPh>
    <rPh sb="3" eb="5">
      <t>ヒデコ</t>
    </rPh>
    <phoneticPr fontId="3"/>
  </si>
  <si>
    <t>大中(お茶の水)</t>
    <rPh sb="0" eb="1">
      <t>ダイ</t>
    </rPh>
    <rPh sb="1" eb="2">
      <t>チュウ</t>
    </rPh>
    <rPh sb="4" eb="5">
      <t>チャ</t>
    </rPh>
    <rPh sb="6" eb="7">
      <t>ミズ</t>
    </rPh>
    <phoneticPr fontId="3"/>
  </si>
  <si>
    <t>共産党地区役員,保育士</t>
    <rPh sb="0" eb="3">
      <t>キョウサントウ</t>
    </rPh>
    <rPh sb="3" eb="5">
      <t>チク</t>
    </rPh>
    <rPh sb="5" eb="7">
      <t>ヤクイン</t>
    </rPh>
    <rPh sb="8" eb="11">
      <t>ホイクシ</t>
    </rPh>
    <phoneticPr fontId="3"/>
  </si>
  <si>
    <t>小林　興起</t>
    <rPh sb="0" eb="2">
      <t>コバヤシ</t>
    </rPh>
    <rPh sb="3" eb="5">
      <t>コウキ</t>
    </rPh>
    <phoneticPr fontId="3"/>
  </si>
  <si>
    <t>305比例東京04</t>
    <rPh sb="3" eb="5">
      <t>ヒレイ</t>
    </rPh>
    <rPh sb="5" eb="7">
      <t>トウキョウ</t>
    </rPh>
    <phoneticPr fontId="3"/>
  </si>
  <si>
    <t>大院(米/ペンシルバニア)</t>
    <rPh sb="0" eb="2">
      <t>ダイイン</t>
    </rPh>
    <rPh sb="3" eb="4">
      <t>ベイ</t>
    </rPh>
    <phoneticPr fontId="3"/>
  </si>
  <si>
    <t>中小企業庁サービス業振興室長(通商産業省)</t>
    <rPh sb="0" eb="2">
      <t>チュウショウ</t>
    </rPh>
    <rPh sb="2" eb="5">
      <t>キギョウチョウ</t>
    </rPh>
    <rPh sb="9" eb="10">
      <t>ギョウ</t>
    </rPh>
    <rPh sb="10" eb="12">
      <t>シンコウ</t>
    </rPh>
    <rPh sb="12" eb="14">
      <t>シツチョウ</t>
    </rPh>
    <rPh sb="15" eb="20">
      <t>ツウショウサンギョウショウ</t>
    </rPh>
    <phoneticPr fontId="3"/>
  </si>
  <si>
    <t>幸福実現党員,会社社長(学コミ)</t>
    <rPh sb="0" eb="2">
      <t>コウフク</t>
    </rPh>
    <rPh sb="2" eb="4">
      <t>ジツゲン</t>
    </rPh>
    <rPh sb="4" eb="6">
      <t>トウイン</t>
    </rPh>
    <rPh sb="7" eb="9">
      <t>カイシャ</t>
    </rPh>
    <rPh sb="9" eb="11">
      <t>シャチョウ</t>
    </rPh>
    <rPh sb="12" eb="13">
      <t>ガク</t>
    </rPh>
    <phoneticPr fontId="3"/>
  </si>
  <si>
    <t>幸福実現党員,会社員(アックス福島)</t>
    <rPh sb="0" eb="2">
      <t>コウフク</t>
    </rPh>
    <rPh sb="2" eb="4">
      <t>ジツゲン</t>
    </rPh>
    <rPh sb="4" eb="6">
      <t>トウイン</t>
    </rPh>
    <rPh sb="7" eb="10">
      <t>カイシャイン</t>
    </rPh>
    <rPh sb="15" eb="17">
      <t>フクシマ</t>
    </rPh>
    <phoneticPr fontId="3"/>
  </si>
  <si>
    <t>114東京11区01</t>
    <rPh sb="3" eb="5">
      <t>トウキョウ</t>
    </rPh>
    <rPh sb="7" eb="8">
      <t>ク</t>
    </rPh>
    <phoneticPr fontId="3"/>
  </si>
  <si>
    <t>114東京11区02</t>
    <rPh sb="3" eb="5">
      <t>トウキョウ</t>
    </rPh>
    <rPh sb="7" eb="8">
      <t>ク</t>
    </rPh>
    <phoneticPr fontId="3"/>
  </si>
  <si>
    <t>114東京11区03</t>
    <rPh sb="3" eb="5">
      <t>トウキョウ</t>
    </rPh>
    <rPh sb="7" eb="8">
      <t>ク</t>
    </rPh>
    <phoneticPr fontId="3"/>
  </si>
  <si>
    <t>114東京11区04</t>
    <rPh sb="3" eb="5">
      <t>トウキョウ</t>
    </rPh>
    <rPh sb="7" eb="8">
      <t>ク</t>
    </rPh>
    <phoneticPr fontId="3"/>
  </si>
  <si>
    <t>下村　博文</t>
    <rPh sb="0" eb="2">
      <t>シモムラ</t>
    </rPh>
    <rPh sb="3" eb="5">
      <t>ハクブン</t>
    </rPh>
    <phoneticPr fontId="3"/>
  </si>
  <si>
    <t>114東京11区</t>
    <rPh sb="3" eb="5">
      <t>トウキョウ</t>
    </rPh>
    <rPh sb="7" eb="8">
      <t>ク</t>
    </rPh>
    <phoneticPr fontId="3"/>
  </si>
  <si>
    <t>東京都議(板橋区),学習塾経営</t>
    <rPh sb="0" eb="2">
      <t>トウキョウ</t>
    </rPh>
    <rPh sb="2" eb="4">
      <t>トギ</t>
    </rPh>
    <rPh sb="5" eb="8">
      <t>イタバシク</t>
    </rPh>
    <rPh sb="10" eb="13">
      <t>ガクシュウジュク</t>
    </rPh>
    <rPh sb="13" eb="15">
      <t>ケイエイ</t>
    </rPh>
    <phoneticPr fontId="3"/>
  </si>
  <si>
    <t>議</t>
    <rPh sb="0" eb="1">
      <t>ギ</t>
    </rPh>
    <phoneticPr fontId="3"/>
  </si>
  <si>
    <t>　元委長(法務),副大臣(官房),政務官(文科,法務)</t>
    <rPh sb="1" eb="2">
      <t>モト</t>
    </rPh>
    <rPh sb="2" eb="4">
      <t>イチョウ</t>
    </rPh>
    <rPh sb="5" eb="7">
      <t>ホウム</t>
    </rPh>
    <rPh sb="9" eb="12">
      <t>フクダイジン</t>
    </rPh>
    <rPh sb="13" eb="15">
      <t>カンボウ</t>
    </rPh>
    <rPh sb="17" eb="20">
      <t>セイムカン</t>
    </rPh>
    <rPh sb="21" eb="23">
      <t>モンカ</t>
    </rPh>
    <rPh sb="24" eb="26">
      <t>ホウム</t>
    </rPh>
    <phoneticPr fontId="3"/>
  </si>
  <si>
    <t>須藤　武美</t>
    <rPh sb="0" eb="2">
      <t>スドウ</t>
    </rPh>
    <rPh sb="3" eb="5">
      <t>タケヨシ</t>
    </rPh>
    <phoneticPr fontId="3"/>
  </si>
  <si>
    <t>共産党東京都委員</t>
    <rPh sb="0" eb="3">
      <t>キョウサントウ</t>
    </rPh>
    <rPh sb="3" eb="6">
      <t>トウキョウト</t>
    </rPh>
    <rPh sb="6" eb="8">
      <t>イイン</t>
    </rPh>
    <phoneticPr fontId="3"/>
  </si>
  <si>
    <t>渡辺　浩一郎</t>
    <rPh sb="0" eb="2">
      <t>ワタナベ</t>
    </rPh>
    <rPh sb="3" eb="6">
      <t>コウイチロウ</t>
    </rPh>
    <phoneticPr fontId="3"/>
  </si>
  <si>
    <t>305比例東京08</t>
    <rPh sb="3" eb="5">
      <t>ヒレイ</t>
    </rPh>
    <rPh sb="5" eb="7">
      <t>トウキョウ</t>
    </rPh>
    <phoneticPr fontId="3"/>
  </si>
  <si>
    <t>議員秘書(藤井裕久),会社員(大成建設),一級建築士</t>
    <rPh sb="0" eb="2">
      <t>ギイン</t>
    </rPh>
    <rPh sb="2" eb="4">
      <t>ヒショ</t>
    </rPh>
    <rPh sb="5" eb="7">
      <t>フジイ</t>
    </rPh>
    <rPh sb="7" eb="9">
      <t>ヒロヒサ</t>
    </rPh>
    <rPh sb="11" eb="14">
      <t>カイシャイン</t>
    </rPh>
    <rPh sb="15" eb="17">
      <t>タイセイ</t>
    </rPh>
    <rPh sb="17" eb="19">
      <t>ケンセツ</t>
    </rPh>
    <rPh sb="21" eb="23">
      <t>イッキュウ</t>
    </rPh>
    <rPh sb="23" eb="26">
      <t>ケンチクシ</t>
    </rPh>
    <phoneticPr fontId="3"/>
  </si>
  <si>
    <t>115東京12区01</t>
    <rPh sb="3" eb="5">
      <t>トウキョウ</t>
    </rPh>
    <rPh sb="7" eb="8">
      <t>ク</t>
    </rPh>
    <phoneticPr fontId="3"/>
  </si>
  <si>
    <t>115東京12区02</t>
    <rPh sb="3" eb="5">
      <t>トウキョウ</t>
    </rPh>
    <rPh sb="7" eb="8">
      <t>ク</t>
    </rPh>
    <phoneticPr fontId="3"/>
  </si>
  <si>
    <t>115東京12区03</t>
    <rPh sb="3" eb="5">
      <t>トウキョウ</t>
    </rPh>
    <rPh sb="7" eb="8">
      <t>ク</t>
    </rPh>
    <phoneticPr fontId="3"/>
  </si>
  <si>
    <t>115東京12区04</t>
    <rPh sb="3" eb="5">
      <t>トウキョウ</t>
    </rPh>
    <rPh sb="7" eb="8">
      <t>ク</t>
    </rPh>
    <phoneticPr fontId="3"/>
  </si>
  <si>
    <t>青木　　愛</t>
    <rPh sb="0" eb="2">
      <t>アオキ</t>
    </rPh>
    <rPh sb="4" eb="5">
      <t>アイ</t>
    </rPh>
    <phoneticPr fontId="3"/>
  </si>
  <si>
    <t>115東京12区</t>
    <rPh sb="3" eb="5">
      <t>トウキョウ</t>
    </rPh>
    <rPh sb="7" eb="8">
      <t>ク</t>
    </rPh>
    <phoneticPr fontId="3"/>
  </si>
  <si>
    <t>大院(千葉)</t>
    <rPh sb="0" eb="2">
      <t>ダイイン</t>
    </rPh>
    <rPh sb="3" eb="5">
      <t>チバ</t>
    </rPh>
    <phoneticPr fontId="3"/>
  </si>
  <si>
    <t>社会福祉法人理事(櫻の会),タレント,保育士</t>
    <rPh sb="0" eb="2">
      <t>シャカイ</t>
    </rPh>
    <rPh sb="2" eb="4">
      <t>フクシ</t>
    </rPh>
    <rPh sb="4" eb="6">
      <t>ホウジン</t>
    </rPh>
    <rPh sb="6" eb="8">
      <t>リジ</t>
    </rPh>
    <rPh sb="9" eb="10">
      <t>サクラ</t>
    </rPh>
    <rPh sb="11" eb="12">
      <t>カイ</t>
    </rPh>
    <rPh sb="19" eb="22">
      <t>ホイクシ</t>
    </rPh>
    <phoneticPr fontId="3"/>
  </si>
  <si>
    <t>　元委長(消費特),参1</t>
    <rPh sb="1" eb="2">
      <t>モト</t>
    </rPh>
    <rPh sb="2" eb="4">
      <t>イチョウ</t>
    </rPh>
    <rPh sb="5" eb="7">
      <t>ショウヒ</t>
    </rPh>
    <rPh sb="7" eb="8">
      <t>トク</t>
    </rPh>
    <rPh sb="10" eb="11">
      <t>サン</t>
    </rPh>
    <phoneticPr fontId="3"/>
  </si>
  <si>
    <t>鞍タ</t>
    <rPh sb="0" eb="1">
      <t>クラ</t>
    </rPh>
    <phoneticPr fontId="3"/>
  </si>
  <si>
    <t>鞍</t>
    <rPh sb="0" eb="1">
      <t>クラ</t>
    </rPh>
    <phoneticPr fontId="3"/>
  </si>
  <si>
    <t>タ</t>
    <phoneticPr fontId="3"/>
  </si>
  <si>
    <t>太田　昭宏</t>
    <rPh sb="0" eb="2">
      <t>オオタ</t>
    </rPh>
    <rPh sb="3" eb="5">
      <t>アキヒロ</t>
    </rPh>
    <phoneticPr fontId="3"/>
  </si>
  <si>
    <t>公明新聞記者,創価学会青年部長</t>
    <rPh sb="0" eb="2">
      <t>コウメイ</t>
    </rPh>
    <rPh sb="2" eb="4">
      <t>シンブン</t>
    </rPh>
    <rPh sb="4" eb="6">
      <t>キシャ</t>
    </rPh>
    <rPh sb="7" eb="9">
      <t>ソウカ</t>
    </rPh>
    <rPh sb="9" eb="11">
      <t>ガッカイ</t>
    </rPh>
    <rPh sb="11" eb="13">
      <t>セイネン</t>
    </rPh>
    <rPh sb="13" eb="15">
      <t>ブチョウ</t>
    </rPh>
    <phoneticPr fontId="3"/>
  </si>
  <si>
    <t>公明党全国代表者会議議長，元公明党代表,国対委長,幹事長代行</t>
    <rPh sb="0" eb="3">
      <t>コウメイトウ</t>
    </rPh>
    <rPh sb="3" eb="5">
      <t>ゼンコク</t>
    </rPh>
    <rPh sb="5" eb="8">
      <t>ダイヒョウシャ</t>
    </rPh>
    <rPh sb="8" eb="10">
      <t>カイギ</t>
    </rPh>
    <rPh sb="10" eb="12">
      <t>ギチョウ</t>
    </rPh>
    <rPh sb="13" eb="14">
      <t>モト</t>
    </rPh>
    <rPh sb="14" eb="17">
      <t>コウメイトウ</t>
    </rPh>
    <rPh sb="17" eb="19">
      <t>ダイヒョウ</t>
    </rPh>
    <rPh sb="20" eb="24">
      <t>コクタイイチョウ</t>
    </rPh>
    <rPh sb="25" eb="28">
      <t>カンジチョウ</t>
    </rPh>
    <rPh sb="28" eb="30">
      <t>ダイコウ</t>
    </rPh>
    <phoneticPr fontId="3"/>
  </si>
  <si>
    <t>池内　沙織</t>
    <rPh sb="0" eb="2">
      <t>イケウチ</t>
    </rPh>
    <rPh sb="3" eb="5">
      <t>サオリ</t>
    </rPh>
    <phoneticPr fontId="3"/>
  </si>
  <si>
    <t>共産党東京都委員,民青同盟東京都副委員長</t>
    <rPh sb="0" eb="3">
      <t>キョウサントウ</t>
    </rPh>
    <rPh sb="3" eb="6">
      <t>トウキョウト</t>
    </rPh>
    <rPh sb="6" eb="8">
      <t>イイン</t>
    </rPh>
    <rPh sb="9" eb="11">
      <t>ミンセイ</t>
    </rPh>
    <rPh sb="11" eb="13">
      <t>ドウメイ</t>
    </rPh>
    <rPh sb="13" eb="16">
      <t>トウキョウト</t>
    </rPh>
    <rPh sb="16" eb="20">
      <t>フクイインチョウ</t>
    </rPh>
    <phoneticPr fontId="3"/>
  </si>
  <si>
    <t>服部　聖巳</t>
    <rPh sb="0" eb="2">
      <t>ハットリ</t>
    </rPh>
    <rPh sb="3" eb="4">
      <t>マサ</t>
    </rPh>
    <rPh sb="4" eb="5">
      <t>ミ</t>
    </rPh>
    <phoneticPr fontId="3"/>
  </si>
  <si>
    <t>大(京都嵯峨芸術)</t>
    <rPh sb="0" eb="1">
      <t>ダイ</t>
    </rPh>
    <rPh sb="2" eb="4">
      <t>キョウト</t>
    </rPh>
    <rPh sb="4" eb="6">
      <t>サガ</t>
    </rPh>
    <rPh sb="6" eb="8">
      <t>ゲイジュツ</t>
    </rPh>
    <phoneticPr fontId="3"/>
  </si>
  <si>
    <t>幸福実現党員,会社員(日本エルデイアイ)</t>
    <rPh sb="0" eb="2">
      <t>コウフク</t>
    </rPh>
    <rPh sb="2" eb="4">
      <t>ジツゲン</t>
    </rPh>
    <rPh sb="4" eb="6">
      <t>トウイン</t>
    </rPh>
    <rPh sb="7" eb="10">
      <t>カイシャイン</t>
    </rPh>
    <rPh sb="11" eb="13">
      <t>ニホン</t>
    </rPh>
    <phoneticPr fontId="3"/>
  </si>
  <si>
    <t>116東京13区01</t>
    <rPh sb="3" eb="5">
      <t>トウキョウ</t>
    </rPh>
    <rPh sb="7" eb="8">
      <t>ク</t>
    </rPh>
    <phoneticPr fontId="3"/>
  </si>
  <si>
    <t>116東京13区02</t>
    <rPh sb="3" eb="5">
      <t>トウキョウ</t>
    </rPh>
    <rPh sb="7" eb="8">
      <t>ク</t>
    </rPh>
    <phoneticPr fontId="3"/>
  </si>
  <si>
    <t>116東京13区03</t>
    <rPh sb="3" eb="5">
      <t>トウキョウ</t>
    </rPh>
    <rPh sb="7" eb="8">
      <t>ク</t>
    </rPh>
    <phoneticPr fontId="3"/>
  </si>
  <si>
    <t>116東京13区04</t>
    <rPh sb="3" eb="5">
      <t>トウキョウ</t>
    </rPh>
    <rPh sb="7" eb="8">
      <t>ク</t>
    </rPh>
    <phoneticPr fontId="3"/>
  </si>
  <si>
    <t>鴨下　一郎</t>
    <rPh sb="0" eb="2">
      <t>カモシタ</t>
    </rPh>
    <rPh sb="3" eb="5">
      <t>イチロウ</t>
    </rPh>
    <phoneticPr fontId="3"/>
  </si>
  <si>
    <t>305比例東京09</t>
    <rPh sb="3" eb="5">
      <t>ヒレイ</t>
    </rPh>
    <rPh sb="5" eb="7">
      <t>トウキョウ</t>
    </rPh>
    <phoneticPr fontId="3"/>
  </si>
  <si>
    <t>大(日本)</t>
    <rPh sb="0" eb="1">
      <t>ダイ</t>
    </rPh>
    <rPh sb="2" eb="4">
      <t>ニホン</t>
    </rPh>
    <phoneticPr fontId="3"/>
  </si>
  <si>
    <t>医療法人理事長(青十字会),医師(心療内科医)</t>
    <rPh sb="0" eb="2">
      <t>イリョウ</t>
    </rPh>
    <rPh sb="2" eb="4">
      <t>ホウジン</t>
    </rPh>
    <rPh sb="4" eb="7">
      <t>リジチョウ</t>
    </rPh>
    <rPh sb="8" eb="9">
      <t>アオ</t>
    </rPh>
    <rPh sb="9" eb="10">
      <t>ジュウ</t>
    </rPh>
    <rPh sb="10" eb="11">
      <t>ジ</t>
    </rPh>
    <rPh sb="11" eb="12">
      <t>カイ</t>
    </rPh>
    <rPh sb="14" eb="16">
      <t>イシ</t>
    </rPh>
    <rPh sb="17" eb="19">
      <t>シンリョウ</t>
    </rPh>
    <rPh sb="19" eb="22">
      <t>ナイカイ</t>
    </rPh>
    <phoneticPr fontId="3"/>
  </si>
  <si>
    <t>自民党幹事長代理，元大臣(環境),委長(厚労),副大臣(厚労),政務次官(環境),自民党政調会長代理</t>
    <rPh sb="0" eb="3">
      <t>ジミントウ</t>
    </rPh>
    <rPh sb="3" eb="6">
      <t>カンジチョウ</t>
    </rPh>
    <rPh sb="6" eb="8">
      <t>ダイリ</t>
    </rPh>
    <rPh sb="9" eb="12">
      <t>モトダイジン</t>
    </rPh>
    <rPh sb="13" eb="15">
      <t>カンキョウ</t>
    </rPh>
    <rPh sb="17" eb="19">
      <t>イチョウ</t>
    </rPh>
    <rPh sb="20" eb="22">
      <t>コウロウ</t>
    </rPh>
    <rPh sb="24" eb="27">
      <t>フクダイジン</t>
    </rPh>
    <rPh sb="28" eb="30">
      <t>コウロウ</t>
    </rPh>
    <rPh sb="32" eb="34">
      <t>セイム</t>
    </rPh>
    <rPh sb="34" eb="36">
      <t>ジカン</t>
    </rPh>
    <rPh sb="37" eb="39">
      <t>カンキョウ</t>
    </rPh>
    <rPh sb="41" eb="44">
      <t>ジミントウ</t>
    </rPh>
    <rPh sb="44" eb="46">
      <t>セイチョウ</t>
    </rPh>
    <rPh sb="46" eb="48">
      <t>カイチョウ</t>
    </rPh>
    <rPh sb="48" eb="50">
      <t>ダイリ</t>
    </rPh>
    <phoneticPr fontId="3"/>
  </si>
  <si>
    <t>祖父江　元希</t>
    <rPh sb="0" eb="3">
      <t>ソブエ</t>
    </rPh>
    <rPh sb="4" eb="5">
      <t>モト</t>
    </rPh>
    <rPh sb="5" eb="6">
      <t>キ</t>
    </rPh>
    <phoneticPr fontId="3"/>
  </si>
  <si>
    <t>共産党准中央委員</t>
    <rPh sb="0" eb="3">
      <t>キョウサントウ</t>
    </rPh>
    <rPh sb="3" eb="4">
      <t>ジュン</t>
    </rPh>
    <rPh sb="4" eb="6">
      <t>チュウオウ</t>
    </rPh>
    <rPh sb="6" eb="8">
      <t>イイン</t>
    </rPh>
    <phoneticPr fontId="3"/>
  </si>
  <si>
    <t>共産党准中央委員,病院職員</t>
    <rPh sb="0" eb="3">
      <t>キョウサントウ</t>
    </rPh>
    <rPh sb="3" eb="4">
      <t>ジュン</t>
    </rPh>
    <rPh sb="4" eb="6">
      <t>チュウオウ</t>
    </rPh>
    <rPh sb="6" eb="8">
      <t>イイン</t>
    </rPh>
    <rPh sb="9" eb="11">
      <t>ビョウイン</t>
    </rPh>
    <rPh sb="11" eb="13">
      <t>ショクイン</t>
    </rPh>
    <phoneticPr fontId="3"/>
  </si>
  <si>
    <t>117東京14区01</t>
    <rPh sb="3" eb="5">
      <t>トウキョウ</t>
    </rPh>
    <rPh sb="7" eb="8">
      <t>ク</t>
    </rPh>
    <phoneticPr fontId="3"/>
  </si>
  <si>
    <t>117東京14区02</t>
    <rPh sb="3" eb="5">
      <t>トウキョウ</t>
    </rPh>
    <rPh sb="7" eb="8">
      <t>ク</t>
    </rPh>
    <phoneticPr fontId="3"/>
  </si>
  <si>
    <t>117東京14区03</t>
    <rPh sb="3" eb="5">
      <t>トウキョウ</t>
    </rPh>
    <rPh sb="7" eb="8">
      <t>ク</t>
    </rPh>
    <phoneticPr fontId="3"/>
  </si>
  <si>
    <t>117東京14区04</t>
    <rPh sb="3" eb="5">
      <t>トウキョウ</t>
    </rPh>
    <rPh sb="7" eb="8">
      <t>ク</t>
    </rPh>
    <phoneticPr fontId="3"/>
  </si>
  <si>
    <t>117東京14区05</t>
    <rPh sb="3" eb="5">
      <t>トウキョウ</t>
    </rPh>
    <rPh sb="7" eb="8">
      <t>ク</t>
    </rPh>
    <phoneticPr fontId="3"/>
  </si>
  <si>
    <t>松島　みどり</t>
    <rPh sb="0" eb="2">
      <t>マツシマ</t>
    </rPh>
    <phoneticPr fontId="3"/>
  </si>
  <si>
    <t>大(東京)</t>
    <rPh sb="0" eb="1">
      <t>ダイ</t>
    </rPh>
    <rPh sb="2" eb="4">
      <t>トウキョウ</t>
    </rPh>
    <phoneticPr fontId="3"/>
  </si>
  <si>
    <t>新聞記者(朝日新聞)</t>
    <rPh sb="0" eb="2">
      <t>シンブン</t>
    </rPh>
    <rPh sb="2" eb="4">
      <t>キシャ</t>
    </rPh>
    <rPh sb="5" eb="7">
      <t>アサヒ</t>
    </rPh>
    <rPh sb="7" eb="9">
      <t>シンブン</t>
    </rPh>
    <phoneticPr fontId="3"/>
  </si>
  <si>
    <t>　元副大臣(国交),政務官(外務)</t>
    <rPh sb="1" eb="2">
      <t>モト</t>
    </rPh>
    <rPh sb="2" eb="5">
      <t>フクダイジン</t>
    </rPh>
    <rPh sb="6" eb="8">
      <t>コッコウ</t>
    </rPh>
    <rPh sb="10" eb="13">
      <t>セイムカン</t>
    </rPh>
    <rPh sb="14" eb="16">
      <t>ガイム</t>
    </rPh>
    <phoneticPr fontId="3"/>
  </si>
  <si>
    <t>ジ</t>
    <phoneticPr fontId="3"/>
  </si>
  <si>
    <t>木村　剛司</t>
    <rPh sb="0" eb="2">
      <t>キムラ</t>
    </rPh>
    <rPh sb="3" eb="4">
      <t>タケ</t>
    </rPh>
    <rPh sb="4" eb="5">
      <t>ツカ</t>
    </rPh>
    <phoneticPr fontId="3"/>
  </si>
  <si>
    <t>117東京14区</t>
    <rPh sb="3" eb="5">
      <t>トウキョウ</t>
    </rPh>
    <rPh sb="7" eb="8">
      <t>ク</t>
    </rPh>
    <phoneticPr fontId="3"/>
  </si>
  <si>
    <t>東京都・墨田区議,議員秘書(西川太一郎)</t>
    <rPh sb="0" eb="3">
      <t>トウキョウト</t>
    </rPh>
    <rPh sb="4" eb="6">
      <t>スミダ</t>
    </rPh>
    <rPh sb="6" eb="8">
      <t>クギ</t>
    </rPh>
    <rPh sb="9" eb="11">
      <t>ギイン</t>
    </rPh>
    <rPh sb="11" eb="13">
      <t>ヒショ</t>
    </rPh>
    <rPh sb="14" eb="16">
      <t>ニシカワ</t>
    </rPh>
    <rPh sb="16" eb="17">
      <t>タイ</t>
    </rPh>
    <rPh sb="17" eb="19">
      <t>イチロウ</t>
    </rPh>
    <phoneticPr fontId="3"/>
  </si>
  <si>
    <t>阿藤　和之</t>
    <rPh sb="0" eb="2">
      <t>アトウ</t>
    </rPh>
    <rPh sb="3" eb="5">
      <t>カズユキ</t>
    </rPh>
    <phoneticPr fontId="3"/>
  </si>
  <si>
    <t>118東京15区01</t>
    <rPh sb="3" eb="5">
      <t>トウキョウ</t>
    </rPh>
    <rPh sb="7" eb="8">
      <t>ク</t>
    </rPh>
    <phoneticPr fontId="3"/>
  </si>
  <si>
    <t>118東京15区02</t>
    <rPh sb="3" eb="5">
      <t>トウキョウ</t>
    </rPh>
    <rPh sb="7" eb="8">
      <t>ク</t>
    </rPh>
    <phoneticPr fontId="3"/>
  </si>
  <si>
    <t>118東京15区03</t>
    <rPh sb="3" eb="5">
      <t>トウキョウ</t>
    </rPh>
    <rPh sb="7" eb="8">
      <t>ク</t>
    </rPh>
    <phoneticPr fontId="3"/>
  </si>
  <si>
    <t>118東京15区04</t>
    <rPh sb="3" eb="5">
      <t>トウキョウ</t>
    </rPh>
    <rPh sb="7" eb="8">
      <t>ク</t>
    </rPh>
    <phoneticPr fontId="3"/>
  </si>
  <si>
    <t>118東京15区05</t>
    <rPh sb="3" eb="5">
      <t>トウキョウ</t>
    </rPh>
    <rPh sb="7" eb="8">
      <t>ク</t>
    </rPh>
    <phoneticPr fontId="3"/>
  </si>
  <si>
    <t>秋元　　司</t>
    <rPh sb="0" eb="2">
      <t>アキモト</t>
    </rPh>
    <rPh sb="4" eb="5">
      <t>ツカサ</t>
    </rPh>
    <phoneticPr fontId="3"/>
  </si>
  <si>
    <t>大(大東文化)</t>
    <rPh sb="0" eb="1">
      <t>ダイ</t>
    </rPh>
    <rPh sb="2" eb="4">
      <t>ダイトウ</t>
    </rPh>
    <rPh sb="4" eb="6">
      <t>ブンカ</t>
    </rPh>
    <phoneticPr fontId="3"/>
  </si>
  <si>
    <t>議員秘書(小林興起)</t>
    <rPh sb="0" eb="2">
      <t>ギイン</t>
    </rPh>
    <rPh sb="2" eb="4">
      <t>ヒショ</t>
    </rPh>
    <rPh sb="5" eb="7">
      <t>コバヤシ</t>
    </rPh>
    <rPh sb="7" eb="9">
      <t>コウキ</t>
    </rPh>
    <phoneticPr fontId="3"/>
  </si>
  <si>
    <t>　元政務官(防衛),参1</t>
    <rPh sb="1" eb="2">
      <t>モト</t>
    </rPh>
    <rPh sb="2" eb="5">
      <t>セイムカン</t>
    </rPh>
    <rPh sb="6" eb="8">
      <t>ボウエイ</t>
    </rPh>
    <rPh sb="10" eb="11">
      <t>サン</t>
    </rPh>
    <phoneticPr fontId="3"/>
  </si>
  <si>
    <t>東　　祥三</t>
    <rPh sb="0" eb="1">
      <t>アズマ</t>
    </rPh>
    <rPh sb="3" eb="5">
      <t>ショウゾウ</t>
    </rPh>
    <phoneticPr fontId="3"/>
  </si>
  <si>
    <t>118東京15区</t>
    <rPh sb="3" eb="5">
      <t>トウキョウ</t>
    </rPh>
    <rPh sb="7" eb="8">
      <t>ク</t>
    </rPh>
    <phoneticPr fontId="3"/>
  </si>
  <si>
    <t>大院(創価)</t>
    <rPh sb="0" eb="2">
      <t>ダイイン</t>
    </rPh>
    <rPh sb="3" eb="5">
      <t>ソウカ</t>
    </rPh>
    <phoneticPr fontId="3"/>
  </si>
  <si>
    <t>国連職員(国連難民高等弁務官事務所)</t>
    <rPh sb="0" eb="2">
      <t>コクレン</t>
    </rPh>
    <rPh sb="2" eb="4">
      <t>ショクイン</t>
    </rPh>
    <rPh sb="5" eb="7">
      <t>コクレン</t>
    </rPh>
    <rPh sb="7" eb="9">
      <t>ナンミン</t>
    </rPh>
    <rPh sb="9" eb="11">
      <t>コウトウ</t>
    </rPh>
    <rPh sb="11" eb="14">
      <t>ベンムカン</t>
    </rPh>
    <rPh sb="14" eb="17">
      <t>ジムショ</t>
    </rPh>
    <phoneticPr fontId="3"/>
  </si>
  <si>
    <t>吉田　年男</t>
    <rPh sb="0" eb="2">
      <t>ヨシダ</t>
    </rPh>
    <rPh sb="3" eb="5">
      <t>トシオ</t>
    </rPh>
    <phoneticPr fontId="3"/>
  </si>
  <si>
    <t>高(日大東北工)</t>
    <rPh sb="0" eb="1">
      <t>コウ</t>
    </rPh>
    <rPh sb="2" eb="4">
      <t>ニチダイ</t>
    </rPh>
    <rPh sb="4" eb="6">
      <t>トウホク</t>
    </rPh>
    <rPh sb="6" eb="7">
      <t>コウ</t>
    </rPh>
    <phoneticPr fontId="3"/>
  </si>
  <si>
    <t>共産党地区委員長</t>
    <rPh sb="0" eb="3">
      <t>キョウサントウ</t>
    </rPh>
    <rPh sb="3" eb="5">
      <t>チク</t>
    </rPh>
    <rPh sb="5" eb="8">
      <t>イインチョウ</t>
    </rPh>
    <phoneticPr fontId="3"/>
  </si>
  <si>
    <t>柿澤　未途</t>
    <rPh sb="0" eb="2">
      <t>カキザワ</t>
    </rPh>
    <rPh sb="3" eb="4">
      <t>ミ</t>
    </rPh>
    <rPh sb="4" eb="5">
      <t>ト</t>
    </rPh>
    <phoneticPr fontId="3"/>
  </si>
  <si>
    <t>305比例東京17</t>
    <rPh sb="3" eb="5">
      <t>ヒレイ</t>
    </rPh>
    <rPh sb="5" eb="7">
      <t>トウキョウ</t>
    </rPh>
    <phoneticPr fontId="3"/>
  </si>
  <si>
    <t>東京都議(江東区),テレビ記者(NHK)</t>
    <rPh sb="0" eb="2">
      <t>トウキョウ</t>
    </rPh>
    <rPh sb="2" eb="4">
      <t>トギ</t>
    </rPh>
    <rPh sb="5" eb="8">
      <t>コウトウク</t>
    </rPh>
    <rPh sb="13" eb="15">
      <t>キシャ</t>
    </rPh>
    <phoneticPr fontId="3"/>
  </si>
  <si>
    <t>議ジ二</t>
    <rPh sb="0" eb="1">
      <t>ギ</t>
    </rPh>
    <rPh sb="2" eb="3">
      <t>ニ</t>
    </rPh>
    <phoneticPr fontId="3"/>
  </si>
  <si>
    <t>二</t>
    <rPh sb="0" eb="1">
      <t>ニ</t>
    </rPh>
    <phoneticPr fontId="3"/>
  </si>
  <si>
    <t>119東京16区01</t>
    <rPh sb="3" eb="5">
      <t>トウキョウ</t>
    </rPh>
    <rPh sb="7" eb="8">
      <t>ク</t>
    </rPh>
    <phoneticPr fontId="3"/>
  </si>
  <si>
    <t>119東京16区02</t>
    <rPh sb="3" eb="5">
      <t>トウキョウ</t>
    </rPh>
    <rPh sb="7" eb="8">
      <t>ク</t>
    </rPh>
    <phoneticPr fontId="3"/>
  </si>
  <si>
    <t>119東京16区03</t>
    <rPh sb="3" eb="5">
      <t>トウキョウ</t>
    </rPh>
    <rPh sb="7" eb="8">
      <t>ク</t>
    </rPh>
    <phoneticPr fontId="3"/>
  </si>
  <si>
    <t>119東京16区04</t>
    <rPh sb="3" eb="5">
      <t>トウキョウ</t>
    </rPh>
    <rPh sb="7" eb="8">
      <t>ク</t>
    </rPh>
    <phoneticPr fontId="3"/>
  </si>
  <si>
    <t>119東京16区05</t>
    <rPh sb="3" eb="5">
      <t>トウキョウ</t>
    </rPh>
    <rPh sb="7" eb="8">
      <t>ク</t>
    </rPh>
    <phoneticPr fontId="3"/>
  </si>
  <si>
    <t>初鹿　明博</t>
    <rPh sb="0" eb="2">
      <t>ハツシカ</t>
    </rPh>
    <rPh sb="3" eb="5">
      <t>アキヒロ</t>
    </rPh>
    <phoneticPr fontId="3"/>
  </si>
  <si>
    <t>119東京16区</t>
    <rPh sb="3" eb="5">
      <t>トウキョウ</t>
    </rPh>
    <rPh sb="7" eb="8">
      <t>ク</t>
    </rPh>
    <phoneticPr fontId="3"/>
  </si>
  <si>
    <t>東京都議(江戸川区),議員秘書(鳩山由紀夫,逢沢一郎)</t>
    <rPh sb="0" eb="2">
      <t>トウキョウ</t>
    </rPh>
    <rPh sb="2" eb="4">
      <t>トギ</t>
    </rPh>
    <rPh sb="5" eb="9">
      <t>エドガワク</t>
    </rPh>
    <rPh sb="11" eb="13">
      <t>ギイン</t>
    </rPh>
    <rPh sb="13" eb="15">
      <t>ヒショ</t>
    </rPh>
    <rPh sb="16" eb="18">
      <t>ハトヤマ</t>
    </rPh>
    <rPh sb="18" eb="21">
      <t>ユキオ</t>
    </rPh>
    <rPh sb="22" eb="24">
      <t>アイサワ</t>
    </rPh>
    <rPh sb="24" eb="26">
      <t>イチロウ</t>
    </rPh>
    <phoneticPr fontId="3"/>
  </si>
  <si>
    <t>大西　英男</t>
    <rPh sb="0" eb="2">
      <t>オオニシ</t>
    </rPh>
    <rPh sb="3" eb="5">
      <t>ヒデオ</t>
    </rPh>
    <phoneticPr fontId="3"/>
  </si>
  <si>
    <t>大(國學院)</t>
    <rPh sb="0" eb="1">
      <t>ダイ</t>
    </rPh>
    <rPh sb="2" eb="5">
      <t>コクガクイン</t>
    </rPh>
    <phoneticPr fontId="3"/>
  </si>
  <si>
    <t>東京都議(江戸川区),東京都・江戸川区議,議員秘書(島村一郎)</t>
    <rPh sb="0" eb="2">
      <t>トウキョウ</t>
    </rPh>
    <rPh sb="2" eb="4">
      <t>トギ</t>
    </rPh>
    <rPh sb="5" eb="9">
      <t>エドガワク</t>
    </rPh>
    <rPh sb="11" eb="14">
      <t>トウキョウト</t>
    </rPh>
    <rPh sb="15" eb="18">
      <t>エドガワ</t>
    </rPh>
    <rPh sb="18" eb="20">
      <t>クギ</t>
    </rPh>
    <rPh sb="21" eb="23">
      <t>ギイン</t>
    </rPh>
    <rPh sb="23" eb="25">
      <t>ヒショ</t>
    </rPh>
    <rPh sb="26" eb="28">
      <t>シマムラ</t>
    </rPh>
    <rPh sb="28" eb="30">
      <t>イチロウ</t>
    </rPh>
    <phoneticPr fontId="3"/>
  </si>
  <si>
    <t>島長　香代子</t>
    <rPh sb="0" eb="1">
      <t>シマ</t>
    </rPh>
    <rPh sb="1" eb="2">
      <t>ナガ</t>
    </rPh>
    <rPh sb="3" eb="6">
      <t>カヨコ</t>
    </rPh>
    <phoneticPr fontId="3"/>
  </si>
  <si>
    <t>上田　令子</t>
    <rPh sb="0" eb="2">
      <t>ウエダ</t>
    </rPh>
    <rPh sb="3" eb="5">
      <t>レイコ</t>
    </rPh>
    <phoneticPr fontId="3"/>
  </si>
  <si>
    <t>大(白百合女子)</t>
    <rPh sb="0" eb="1">
      <t>ダイ</t>
    </rPh>
    <rPh sb="2" eb="5">
      <t>シラユリ</t>
    </rPh>
    <rPh sb="5" eb="7">
      <t>ジョシ</t>
    </rPh>
    <phoneticPr fontId="3"/>
  </si>
  <si>
    <t>東京都・江戸川区議,会社員</t>
    <rPh sb="0" eb="3">
      <t>トウキョウト</t>
    </rPh>
    <rPh sb="4" eb="7">
      <t>エドガワ</t>
    </rPh>
    <rPh sb="7" eb="9">
      <t>クギ</t>
    </rPh>
    <rPh sb="10" eb="13">
      <t>カイシャイン</t>
    </rPh>
    <phoneticPr fontId="3"/>
  </si>
  <si>
    <t>中津川　博郷</t>
    <rPh sb="0" eb="3">
      <t>ナカツガワ</t>
    </rPh>
    <rPh sb="4" eb="5">
      <t>ヒロ</t>
    </rPh>
    <rPh sb="5" eb="6">
      <t>サト</t>
    </rPh>
    <phoneticPr fontId="3"/>
  </si>
  <si>
    <t>305比例東京07</t>
    <rPh sb="3" eb="5">
      <t>ヒレイ</t>
    </rPh>
    <rPh sb="5" eb="7">
      <t>トウキョウ</t>
    </rPh>
    <phoneticPr fontId="3"/>
  </si>
  <si>
    <t>東京都・江戸川区議,学習塾理事長</t>
    <rPh sb="0" eb="3">
      <t>トウキョウト</t>
    </rPh>
    <rPh sb="4" eb="7">
      <t>エドガワ</t>
    </rPh>
    <rPh sb="7" eb="9">
      <t>クギ</t>
    </rPh>
    <rPh sb="10" eb="13">
      <t>ガクシュウジュク</t>
    </rPh>
    <rPh sb="13" eb="16">
      <t>リジチョウ</t>
    </rPh>
    <phoneticPr fontId="3"/>
  </si>
  <si>
    <t>　元委長(拉致特)</t>
    <rPh sb="1" eb="2">
      <t>モト</t>
    </rPh>
    <rPh sb="2" eb="4">
      <t>イチョウ</t>
    </rPh>
    <rPh sb="5" eb="8">
      <t>ラチトク</t>
    </rPh>
    <phoneticPr fontId="3"/>
  </si>
  <si>
    <t>120東京17区01</t>
    <rPh sb="3" eb="5">
      <t>トウキョウ</t>
    </rPh>
    <rPh sb="7" eb="8">
      <t>ク</t>
    </rPh>
    <phoneticPr fontId="3"/>
  </si>
  <si>
    <t>120東京17区02</t>
    <rPh sb="3" eb="5">
      <t>トウキョウ</t>
    </rPh>
    <rPh sb="7" eb="8">
      <t>ク</t>
    </rPh>
    <phoneticPr fontId="3"/>
  </si>
  <si>
    <t>120東京17区03</t>
    <rPh sb="3" eb="5">
      <t>トウキョウ</t>
    </rPh>
    <rPh sb="7" eb="8">
      <t>ク</t>
    </rPh>
    <phoneticPr fontId="3"/>
  </si>
  <si>
    <t>早川　久美子</t>
    <rPh sb="0" eb="2">
      <t>ハヤカワ</t>
    </rPh>
    <rPh sb="3" eb="6">
      <t>クミコ</t>
    </rPh>
    <phoneticPr fontId="3"/>
  </si>
  <si>
    <t>305比例東京01</t>
    <rPh sb="3" eb="5">
      <t>ヒレイ</t>
    </rPh>
    <rPh sb="5" eb="7">
      <t>トウキョウ</t>
    </rPh>
    <phoneticPr fontId="3"/>
  </si>
  <si>
    <t>大(米/カリフォルニア州サクラメント)</t>
    <rPh sb="0" eb="1">
      <t>ダイ</t>
    </rPh>
    <rPh sb="2" eb="3">
      <t>ベイ</t>
    </rPh>
    <rPh sb="11" eb="12">
      <t>シュウ</t>
    </rPh>
    <phoneticPr fontId="3"/>
  </si>
  <si>
    <t>東京都・葛飾区議,会社員</t>
    <rPh sb="0" eb="3">
      <t>トウキョウト</t>
    </rPh>
    <rPh sb="4" eb="6">
      <t>カツシカ</t>
    </rPh>
    <rPh sb="6" eb="8">
      <t>クギ</t>
    </rPh>
    <rPh sb="9" eb="12">
      <t>カイシャイン</t>
    </rPh>
    <phoneticPr fontId="3"/>
  </si>
  <si>
    <t>平沢　勝栄</t>
    <rPh sb="0" eb="2">
      <t>ヒラサワ</t>
    </rPh>
    <rPh sb="3" eb="4">
      <t>カツ</t>
    </rPh>
    <rPh sb="4" eb="5">
      <t>エイ</t>
    </rPh>
    <phoneticPr fontId="3"/>
  </si>
  <si>
    <t>120東京17区</t>
    <rPh sb="3" eb="5">
      <t>トウキョウ</t>
    </rPh>
    <rPh sb="7" eb="8">
      <t>ク</t>
    </rPh>
    <phoneticPr fontId="3"/>
  </si>
  <si>
    <t>大院(米/デューク)</t>
    <rPh sb="0" eb="2">
      <t>ダイイン</t>
    </rPh>
    <rPh sb="3" eb="4">
      <t>ベイ</t>
    </rPh>
    <phoneticPr fontId="3"/>
  </si>
  <si>
    <t>警察庁官房審議官</t>
    <rPh sb="0" eb="3">
      <t>ケイサツチョウ</t>
    </rPh>
    <rPh sb="3" eb="5">
      <t>カンボウ</t>
    </rPh>
    <rPh sb="5" eb="8">
      <t>シンギカン</t>
    </rPh>
    <phoneticPr fontId="3"/>
  </si>
  <si>
    <t>官</t>
    <rPh sb="0" eb="1">
      <t>カン</t>
    </rPh>
    <phoneticPr fontId="3"/>
  </si>
  <si>
    <t>　元委長(外務,拉致特),副大臣(内閣),政務官(総務,防衛)</t>
    <rPh sb="1" eb="2">
      <t>モト</t>
    </rPh>
    <rPh sb="2" eb="4">
      <t>イチョウ</t>
    </rPh>
    <rPh sb="5" eb="7">
      <t>ガイム</t>
    </rPh>
    <rPh sb="8" eb="11">
      <t>ラチトク</t>
    </rPh>
    <rPh sb="13" eb="16">
      <t>フクダイジン</t>
    </rPh>
    <rPh sb="17" eb="19">
      <t>ナイカク</t>
    </rPh>
    <rPh sb="21" eb="24">
      <t>セイムカン</t>
    </rPh>
    <rPh sb="25" eb="27">
      <t>ソウム</t>
    </rPh>
    <rPh sb="28" eb="30">
      <t>ボウエイ</t>
    </rPh>
    <phoneticPr fontId="3"/>
  </si>
  <si>
    <t>新井　杉生</t>
    <rPh sb="0" eb="2">
      <t>アライ</t>
    </rPh>
    <rPh sb="3" eb="4">
      <t>スギ</t>
    </rPh>
    <rPh sb="4" eb="5">
      <t>オ</t>
    </rPh>
    <phoneticPr fontId="3"/>
  </si>
  <si>
    <t>他(国際鍼灸専門)</t>
    <rPh sb="0" eb="1">
      <t>ホカ</t>
    </rPh>
    <rPh sb="2" eb="4">
      <t>コクサイ</t>
    </rPh>
    <rPh sb="4" eb="5">
      <t>ハリ</t>
    </rPh>
    <rPh sb="5" eb="6">
      <t>キュウ</t>
    </rPh>
    <rPh sb="6" eb="8">
      <t>センモン</t>
    </rPh>
    <phoneticPr fontId="3"/>
  </si>
  <si>
    <t>共産党地区副委員長</t>
    <rPh sb="0" eb="3">
      <t>キョウサントウ</t>
    </rPh>
    <rPh sb="3" eb="5">
      <t>チク</t>
    </rPh>
    <rPh sb="5" eb="9">
      <t>フクイインチョウ</t>
    </rPh>
    <phoneticPr fontId="3"/>
  </si>
  <si>
    <t>共産党地区副委員長,原水協地区役員</t>
    <rPh sb="0" eb="3">
      <t>キョウサントウ</t>
    </rPh>
    <rPh sb="3" eb="5">
      <t>チク</t>
    </rPh>
    <rPh sb="5" eb="9">
      <t>フクイインチョウ</t>
    </rPh>
    <rPh sb="10" eb="13">
      <t>ゲンスイキョウ</t>
    </rPh>
    <rPh sb="13" eb="15">
      <t>チク</t>
    </rPh>
    <rPh sb="15" eb="17">
      <t>ヤクイン</t>
    </rPh>
    <phoneticPr fontId="3"/>
  </si>
  <si>
    <t>121東京18区01</t>
    <rPh sb="3" eb="5">
      <t>トウキョウ</t>
    </rPh>
    <rPh sb="7" eb="8">
      <t>ク</t>
    </rPh>
    <phoneticPr fontId="3"/>
  </si>
  <si>
    <t>121東京18区02</t>
    <rPh sb="3" eb="5">
      <t>トウキョウ</t>
    </rPh>
    <rPh sb="7" eb="8">
      <t>ク</t>
    </rPh>
    <phoneticPr fontId="3"/>
  </si>
  <si>
    <t>121東京18区03</t>
    <rPh sb="3" eb="5">
      <t>トウキョウ</t>
    </rPh>
    <rPh sb="7" eb="8">
      <t>ク</t>
    </rPh>
    <phoneticPr fontId="3"/>
  </si>
  <si>
    <t>121東京18区04</t>
    <rPh sb="3" eb="5">
      <t>トウキョウ</t>
    </rPh>
    <rPh sb="7" eb="8">
      <t>ク</t>
    </rPh>
    <phoneticPr fontId="3"/>
  </si>
  <si>
    <t>菅　　直人</t>
    <rPh sb="0" eb="1">
      <t>カン</t>
    </rPh>
    <rPh sb="3" eb="5">
      <t>ナオト</t>
    </rPh>
    <phoneticPr fontId="3"/>
  </si>
  <si>
    <t>121東京18区</t>
    <rPh sb="3" eb="5">
      <t>トウキョウ</t>
    </rPh>
    <rPh sb="7" eb="8">
      <t>ク</t>
    </rPh>
    <phoneticPr fontId="3"/>
  </si>
  <si>
    <t>さ</t>
    <phoneticPr fontId="3"/>
  </si>
  <si>
    <t>大(東京工業)</t>
    <rPh sb="0" eb="1">
      <t>ダイ</t>
    </rPh>
    <rPh sb="2" eb="4">
      <t>トウキョウ</t>
    </rPh>
    <rPh sb="4" eb="6">
      <t>コウギョウ</t>
    </rPh>
    <phoneticPr fontId="3"/>
  </si>
  <si>
    <t>　元首相・民主党代表,大臣(副総理・財務,戦略・経財,厚生),委長(外務),民主党代表,幹事長,旧さきがけ政調会長</t>
    <rPh sb="1" eb="4">
      <t>モトシュショウ</t>
    </rPh>
    <rPh sb="5" eb="8">
      <t>ミンシュトウ</t>
    </rPh>
    <rPh sb="8" eb="10">
      <t>ダイヒョウ</t>
    </rPh>
    <rPh sb="11" eb="13">
      <t>ダイジン</t>
    </rPh>
    <rPh sb="14" eb="17">
      <t>フクソウリ</t>
    </rPh>
    <rPh sb="18" eb="20">
      <t>ザイム</t>
    </rPh>
    <rPh sb="21" eb="23">
      <t>センリャク</t>
    </rPh>
    <rPh sb="24" eb="25">
      <t>キョウ</t>
    </rPh>
    <rPh sb="25" eb="26">
      <t>ザイ</t>
    </rPh>
    <rPh sb="27" eb="29">
      <t>コウセイ</t>
    </rPh>
    <rPh sb="31" eb="33">
      <t>イチョウ</t>
    </rPh>
    <rPh sb="34" eb="36">
      <t>ガイム</t>
    </rPh>
    <rPh sb="38" eb="41">
      <t>ミンシュトウ</t>
    </rPh>
    <rPh sb="41" eb="43">
      <t>ダイヒョウ</t>
    </rPh>
    <rPh sb="44" eb="47">
      <t>カンジチョウ</t>
    </rPh>
    <rPh sb="48" eb="49">
      <t>キュウ</t>
    </rPh>
    <rPh sb="53" eb="55">
      <t>セイチョウ</t>
    </rPh>
    <rPh sb="55" eb="57">
      <t>カイチョウ</t>
    </rPh>
    <phoneticPr fontId="3"/>
  </si>
  <si>
    <t>土屋　正忠</t>
    <rPh sb="0" eb="2">
      <t>ツチヤ</t>
    </rPh>
    <rPh sb="3" eb="4">
      <t>マサ</t>
    </rPh>
    <rPh sb="4" eb="5">
      <t>タダ</t>
    </rPh>
    <phoneticPr fontId="3"/>
  </si>
  <si>
    <t>首</t>
    <rPh sb="0" eb="1">
      <t>クビ</t>
    </rPh>
    <phoneticPr fontId="3"/>
  </si>
  <si>
    <t>　元政務官(総務)</t>
    <rPh sb="1" eb="2">
      <t>モト</t>
    </rPh>
    <rPh sb="2" eb="5">
      <t>セイムカン</t>
    </rPh>
    <rPh sb="6" eb="8">
      <t>ソウム</t>
    </rPh>
    <phoneticPr fontId="3"/>
  </si>
  <si>
    <t>議首労</t>
    <rPh sb="0" eb="1">
      <t>ギ</t>
    </rPh>
    <rPh sb="1" eb="2">
      <t>クビ</t>
    </rPh>
    <rPh sb="2" eb="3">
      <t>ロウ</t>
    </rPh>
    <phoneticPr fontId="3"/>
  </si>
  <si>
    <t>東京都・武蔵野市長,東京都・武蔵野市議,武蔵野市職労委員長</t>
    <rPh sb="0" eb="3">
      <t>トウキョウト</t>
    </rPh>
    <rPh sb="4" eb="7">
      <t>ムサシノ</t>
    </rPh>
    <rPh sb="7" eb="9">
      <t>シチョウ</t>
    </rPh>
    <rPh sb="10" eb="13">
      <t>トウキョウト</t>
    </rPh>
    <rPh sb="14" eb="17">
      <t>ムサシノ</t>
    </rPh>
    <rPh sb="17" eb="19">
      <t>シギ</t>
    </rPh>
    <rPh sb="20" eb="23">
      <t>ムサシノ</t>
    </rPh>
    <rPh sb="23" eb="25">
      <t>シショク</t>
    </rPh>
    <rPh sb="25" eb="26">
      <t>ロウ</t>
    </rPh>
    <rPh sb="26" eb="29">
      <t>イインチョウ</t>
    </rPh>
    <phoneticPr fontId="3"/>
  </si>
  <si>
    <t>柳　　孝義</t>
    <rPh sb="0" eb="1">
      <t>ヤナギ</t>
    </rPh>
    <rPh sb="3" eb="5">
      <t>タカヨシ</t>
    </rPh>
    <phoneticPr fontId="3"/>
  </si>
  <si>
    <t>大(法政)</t>
    <rPh sb="0" eb="1">
      <t>ダイ</t>
    </rPh>
    <rPh sb="2" eb="4">
      <t>ホウセイ</t>
    </rPh>
    <phoneticPr fontId="3"/>
  </si>
  <si>
    <t>労</t>
    <rPh sb="0" eb="1">
      <t>ロウ</t>
    </rPh>
    <phoneticPr fontId="3"/>
  </si>
  <si>
    <t>東京都・国分寺市議</t>
    <rPh sb="0" eb="3">
      <t>トウキョウト</t>
    </rPh>
    <rPh sb="4" eb="7">
      <t>コクブンジ</t>
    </rPh>
    <rPh sb="7" eb="9">
      <t>シギ</t>
    </rPh>
    <phoneticPr fontId="3"/>
  </si>
  <si>
    <t>横粂　勝仁</t>
    <rPh sb="0" eb="1">
      <t>ヨコ</t>
    </rPh>
    <rPh sb="1" eb="2">
      <t>クメ</t>
    </rPh>
    <rPh sb="3" eb="5">
      <t>カツヒト</t>
    </rPh>
    <phoneticPr fontId="3"/>
  </si>
  <si>
    <t>304比例南関東05</t>
    <rPh sb="3" eb="5">
      <t>ヒレイ</t>
    </rPh>
    <rPh sb="5" eb="8">
      <t>ミナミカントウ</t>
    </rPh>
    <phoneticPr fontId="3"/>
  </si>
  <si>
    <t>弁護士</t>
    <rPh sb="0" eb="3">
      <t>ベンゴシ</t>
    </rPh>
    <phoneticPr fontId="3"/>
  </si>
  <si>
    <t>改革の志士代表</t>
    <rPh sb="0" eb="2">
      <t>カイカク</t>
    </rPh>
    <rPh sb="3" eb="5">
      <t>シシ</t>
    </rPh>
    <rPh sb="5" eb="7">
      <t>ダイヒョウ</t>
    </rPh>
    <phoneticPr fontId="3"/>
  </si>
  <si>
    <t>法</t>
    <rPh sb="0" eb="1">
      <t>ホウ</t>
    </rPh>
    <phoneticPr fontId="3"/>
  </si>
  <si>
    <t>122東京19区01</t>
    <rPh sb="3" eb="5">
      <t>トウキョウ</t>
    </rPh>
    <rPh sb="7" eb="8">
      <t>ク</t>
    </rPh>
    <phoneticPr fontId="3"/>
  </si>
  <si>
    <t>122東京19区02</t>
    <rPh sb="3" eb="5">
      <t>トウキョウ</t>
    </rPh>
    <rPh sb="7" eb="8">
      <t>ク</t>
    </rPh>
    <phoneticPr fontId="3"/>
  </si>
  <si>
    <t>122東京19区03</t>
    <rPh sb="3" eb="5">
      <t>トウキョウ</t>
    </rPh>
    <rPh sb="7" eb="8">
      <t>ク</t>
    </rPh>
    <phoneticPr fontId="3"/>
  </si>
  <si>
    <t>末松　義規</t>
    <rPh sb="0" eb="2">
      <t>スエマツ</t>
    </rPh>
    <rPh sb="3" eb="4">
      <t>ヨシ</t>
    </rPh>
    <rPh sb="4" eb="5">
      <t>ノリ</t>
    </rPh>
    <phoneticPr fontId="3"/>
  </si>
  <si>
    <t>122東京19区</t>
    <rPh sb="3" eb="5">
      <t>トウキョウ</t>
    </rPh>
    <rPh sb="7" eb="8">
      <t>ク</t>
    </rPh>
    <phoneticPr fontId="3"/>
  </si>
  <si>
    <t>大院(米/プリンストン)</t>
    <rPh sb="0" eb="2">
      <t>ダイイン</t>
    </rPh>
    <rPh sb="3" eb="4">
      <t>ベイ</t>
    </rPh>
    <phoneticPr fontId="3"/>
  </si>
  <si>
    <t>弁理士,社会民主連合役員</t>
    <rPh sb="0" eb="3">
      <t>ベンリシ</t>
    </rPh>
    <rPh sb="4" eb="6">
      <t>シャカイ</t>
    </rPh>
    <rPh sb="6" eb="8">
      <t>ミンシュ</t>
    </rPh>
    <rPh sb="8" eb="10">
      <t>レンゴウ</t>
    </rPh>
    <rPh sb="10" eb="12">
      <t>ヤクイン</t>
    </rPh>
    <phoneticPr fontId="3"/>
  </si>
  <si>
    <t>外務省経済協力局調査計画課首席事務官</t>
    <rPh sb="0" eb="3">
      <t>ガイムショウ</t>
    </rPh>
    <rPh sb="3" eb="5">
      <t>ケイザイ</t>
    </rPh>
    <rPh sb="5" eb="7">
      <t>キョウリョク</t>
    </rPh>
    <rPh sb="7" eb="8">
      <t>キョク</t>
    </rPh>
    <rPh sb="8" eb="10">
      <t>チョウサ</t>
    </rPh>
    <rPh sb="10" eb="13">
      <t>ケイカクカ</t>
    </rPh>
    <rPh sb="13" eb="15">
      <t>シュセキ</t>
    </rPh>
    <rPh sb="15" eb="18">
      <t>ジムカン</t>
    </rPh>
    <phoneticPr fontId="3"/>
  </si>
  <si>
    <t>松本　洋平</t>
    <rPh sb="0" eb="2">
      <t>マツモト</t>
    </rPh>
    <rPh sb="3" eb="5">
      <t>ヨウヘイ</t>
    </rPh>
    <phoneticPr fontId="3"/>
  </si>
  <si>
    <t>銀行員(UFJ銀行)</t>
    <rPh sb="0" eb="3">
      <t>ギンコウイン</t>
    </rPh>
    <rPh sb="7" eb="9">
      <t>ギンコウ</t>
    </rPh>
    <phoneticPr fontId="3"/>
  </si>
  <si>
    <t>井手重　美津子</t>
    <rPh sb="0" eb="2">
      <t>イデ</t>
    </rPh>
    <rPh sb="2" eb="3">
      <t>シゲ</t>
    </rPh>
    <rPh sb="4" eb="7">
      <t>ミツコ</t>
    </rPh>
    <phoneticPr fontId="3"/>
  </si>
  <si>
    <t>短大(武蔵野美術)</t>
    <rPh sb="0" eb="2">
      <t>タンダイ</t>
    </rPh>
    <rPh sb="3" eb="6">
      <t>ムサシノ</t>
    </rPh>
    <rPh sb="6" eb="8">
      <t>ビジュツ</t>
    </rPh>
    <phoneticPr fontId="3"/>
  </si>
  <si>
    <t>123東京20区01</t>
    <rPh sb="3" eb="5">
      <t>トウキョウ</t>
    </rPh>
    <rPh sb="7" eb="8">
      <t>ク</t>
    </rPh>
    <phoneticPr fontId="3"/>
  </si>
  <si>
    <t>123東京20区02</t>
    <rPh sb="3" eb="5">
      <t>トウキョウ</t>
    </rPh>
    <rPh sb="7" eb="8">
      <t>ク</t>
    </rPh>
    <phoneticPr fontId="3"/>
  </si>
  <si>
    <t>123東京20区03</t>
    <rPh sb="3" eb="5">
      <t>トウキョウ</t>
    </rPh>
    <rPh sb="7" eb="8">
      <t>ク</t>
    </rPh>
    <phoneticPr fontId="3"/>
  </si>
  <si>
    <t>加藤　公一</t>
    <rPh sb="0" eb="2">
      <t>カトウ</t>
    </rPh>
    <rPh sb="3" eb="5">
      <t>コウイチ</t>
    </rPh>
    <phoneticPr fontId="3"/>
  </si>
  <si>
    <t>123東京20区</t>
    <rPh sb="3" eb="5">
      <t>トウキョウ</t>
    </rPh>
    <rPh sb="7" eb="8">
      <t>ク</t>
    </rPh>
    <phoneticPr fontId="3"/>
  </si>
  <si>
    <t>大(上智)</t>
    <rPh sb="0" eb="1">
      <t>ダイ</t>
    </rPh>
    <rPh sb="2" eb="4">
      <t>ジョウチ</t>
    </rPh>
    <phoneticPr fontId="3"/>
  </si>
  <si>
    <t>会社員(リクルート)</t>
    <rPh sb="0" eb="3">
      <t>カイシャイン</t>
    </rPh>
    <phoneticPr fontId="3"/>
  </si>
  <si>
    <t>木原　誠二</t>
    <rPh sb="0" eb="2">
      <t>キハラ</t>
    </rPh>
    <rPh sb="3" eb="5">
      <t>セイジ</t>
    </rPh>
    <phoneticPr fontId="3"/>
  </si>
  <si>
    <t>大(東京)</t>
    <rPh sb="0" eb="1">
      <t>ダイ</t>
    </rPh>
    <rPh sb="2" eb="4">
      <t>トウキョウ</t>
    </rPh>
    <phoneticPr fontId="3"/>
  </si>
  <si>
    <t>財務省国際局課長補佐</t>
    <rPh sb="0" eb="3">
      <t>ザイムショウ</t>
    </rPh>
    <rPh sb="3" eb="6">
      <t>コクサイキョク</t>
    </rPh>
    <rPh sb="6" eb="8">
      <t>カチョウ</t>
    </rPh>
    <rPh sb="8" eb="10">
      <t>ホサ</t>
    </rPh>
    <phoneticPr fontId="3"/>
  </si>
  <si>
    <t>官</t>
    <rPh sb="0" eb="1">
      <t>カン</t>
    </rPh>
    <phoneticPr fontId="3"/>
  </si>
  <si>
    <t>池田　真理子</t>
    <rPh sb="0" eb="2">
      <t>イケダ</t>
    </rPh>
    <rPh sb="3" eb="6">
      <t>マリコ</t>
    </rPh>
    <phoneticPr fontId="3"/>
  </si>
  <si>
    <t>共産党東京都常任委員</t>
    <rPh sb="0" eb="3">
      <t>キョウサントウ</t>
    </rPh>
    <rPh sb="3" eb="6">
      <t>トウキョウト</t>
    </rPh>
    <rPh sb="6" eb="8">
      <t>ジョウニン</t>
    </rPh>
    <rPh sb="8" eb="10">
      <t>イイン</t>
    </rPh>
    <phoneticPr fontId="3"/>
  </si>
  <si>
    <t>124東京21区01</t>
    <rPh sb="3" eb="5">
      <t>トウキョウ</t>
    </rPh>
    <rPh sb="7" eb="8">
      <t>ク</t>
    </rPh>
    <phoneticPr fontId="3"/>
  </si>
  <si>
    <t>124東京21区02</t>
    <rPh sb="3" eb="5">
      <t>トウキョウ</t>
    </rPh>
    <rPh sb="7" eb="8">
      <t>ク</t>
    </rPh>
    <phoneticPr fontId="3"/>
  </si>
  <si>
    <t>124東京21区03</t>
    <rPh sb="3" eb="5">
      <t>トウキョウ</t>
    </rPh>
    <rPh sb="7" eb="8">
      <t>ク</t>
    </rPh>
    <phoneticPr fontId="3"/>
  </si>
  <si>
    <t>長島　昭久</t>
    <rPh sb="0" eb="2">
      <t>ナガシマ</t>
    </rPh>
    <rPh sb="3" eb="5">
      <t>アキヒサ</t>
    </rPh>
    <phoneticPr fontId="3"/>
  </si>
  <si>
    <t>124東京21区</t>
    <rPh sb="3" eb="5">
      <t>トウキョウ</t>
    </rPh>
    <rPh sb="7" eb="8">
      <t>ク</t>
    </rPh>
    <phoneticPr fontId="3"/>
  </si>
  <si>
    <t>大院(米/ジョンズホプキンス)</t>
    <rPh sb="0" eb="2">
      <t>ダイイン</t>
    </rPh>
    <rPh sb="3" eb="4">
      <t>ベイ</t>
    </rPh>
    <phoneticPr fontId="3"/>
  </si>
  <si>
    <t>研究員(東京財団),議員秘書(石原伸晃)</t>
    <rPh sb="0" eb="3">
      <t>ケンキュウイン</t>
    </rPh>
    <rPh sb="4" eb="6">
      <t>トウキョウ</t>
    </rPh>
    <rPh sb="6" eb="8">
      <t>ザイダン</t>
    </rPh>
    <rPh sb="10" eb="12">
      <t>ギイン</t>
    </rPh>
    <rPh sb="12" eb="14">
      <t>ヒショ</t>
    </rPh>
    <rPh sb="15" eb="17">
      <t>イシハラ</t>
    </rPh>
    <rPh sb="17" eb="19">
      <t>ノブテル</t>
    </rPh>
    <phoneticPr fontId="3"/>
  </si>
  <si>
    <t>防衛副大臣，元政務官(防衛),首相補佐官</t>
    <rPh sb="0" eb="2">
      <t>ボウエイ</t>
    </rPh>
    <rPh sb="2" eb="5">
      <t>フクダイジン</t>
    </rPh>
    <rPh sb="6" eb="7">
      <t>モト</t>
    </rPh>
    <rPh sb="7" eb="10">
      <t>セイムカン</t>
    </rPh>
    <rPh sb="11" eb="13">
      <t>ボウエイ</t>
    </rPh>
    <rPh sb="15" eb="17">
      <t>シュショウ</t>
    </rPh>
    <rPh sb="17" eb="20">
      <t>ホサカン</t>
    </rPh>
    <phoneticPr fontId="3"/>
  </si>
  <si>
    <t>小田原　潔</t>
    <rPh sb="0" eb="3">
      <t>オダワラ</t>
    </rPh>
    <rPh sb="4" eb="5">
      <t>キヨシ</t>
    </rPh>
    <phoneticPr fontId="3"/>
  </si>
  <si>
    <t>吉岡　正史</t>
    <rPh sb="0" eb="2">
      <t>ヨシオカ</t>
    </rPh>
    <rPh sb="3" eb="5">
      <t>マサフミ</t>
    </rPh>
    <phoneticPr fontId="3"/>
  </si>
  <si>
    <t>共産党准中央委員,民青同盟東京都委員長</t>
    <rPh sb="0" eb="3">
      <t>キョウサントウ</t>
    </rPh>
    <rPh sb="3" eb="4">
      <t>ジュン</t>
    </rPh>
    <rPh sb="4" eb="6">
      <t>チュウオウ</t>
    </rPh>
    <rPh sb="6" eb="8">
      <t>イイン</t>
    </rPh>
    <rPh sb="9" eb="11">
      <t>ミンセイ</t>
    </rPh>
    <rPh sb="11" eb="13">
      <t>ドウメイ</t>
    </rPh>
    <rPh sb="13" eb="16">
      <t>トウキョウト</t>
    </rPh>
    <rPh sb="16" eb="19">
      <t>イインチョウ</t>
    </rPh>
    <phoneticPr fontId="3"/>
  </si>
  <si>
    <t>125東京22区01</t>
    <rPh sb="3" eb="5">
      <t>トウキョウ</t>
    </rPh>
    <rPh sb="7" eb="8">
      <t>ク</t>
    </rPh>
    <phoneticPr fontId="3"/>
  </si>
  <si>
    <t>125東京22区02</t>
    <rPh sb="3" eb="5">
      <t>トウキョウ</t>
    </rPh>
    <rPh sb="7" eb="8">
      <t>ク</t>
    </rPh>
    <phoneticPr fontId="3"/>
  </si>
  <si>
    <t>125東京22区03</t>
    <rPh sb="3" eb="5">
      <t>トウキョウ</t>
    </rPh>
    <rPh sb="7" eb="8">
      <t>ク</t>
    </rPh>
    <phoneticPr fontId="3"/>
  </si>
  <si>
    <t>125東京22区04</t>
    <rPh sb="3" eb="5">
      <t>トウキョウ</t>
    </rPh>
    <rPh sb="7" eb="8">
      <t>ク</t>
    </rPh>
    <phoneticPr fontId="3"/>
  </si>
  <si>
    <t>125東京22区05</t>
    <rPh sb="3" eb="5">
      <t>トウキョウ</t>
    </rPh>
    <rPh sb="7" eb="8">
      <t>ク</t>
    </rPh>
    <phoneticPr fontId="3"/>
  </si>
  <si>
    <t>山花　郁夫</t>
    <rPh sb="0" eb="2">
      <t>ヤマハナ</t>
    </rPh>
    <rPh sb="3" eb="5">
      <t>イクオ</t>
    </rPh>
    <phoneticPr fontId="3"/>
  </si>
  <si>
    <t>125東京22区</t>
    <rPh sb="3" eb="5">
      <t>トウキョウ</t>
    </rPh>
    <rPh sb="7" eb="8">
      <t>ク</t>
    </rPh>
    <phoneticPr fontId="3"/>
  </si>
  <si>
    <t>市</t>
    <rPh sb="0" eb="1">
      <t>シ</t>
    </rPh>
    <phoneticPr fontId="3"/>
  </si>
  <si>
    <t>議員秘書(鳩山由紀夫),予備校講師(東京リーガルマインド)</t>
    <rPh sb="0" eb="2">
      <t>ギイン</t>
    </rPh>
    <rPh sb="2" eb="4">
      <t>ヒショ</t>
    </rPh>
    <rPh sb="5" eb="7">
      <t>ハトヤマ</t>
    </rPh>
    <rPh sb="7" eb="10">
      <t>ユキオ</t>
    </rPh>
    <rPh sb="12" eb="15">
      <t>ヨビコウ</t>
    </rPh>
    <rPh sb="15" eb="17">
      <t>コウシ</t>
    </rPh>
    <rPh sb="18" eb="20">
      <t>トウキョウ</t>
    </rPh>
    <phoneticPr fontId="3"/>
  </si>
  <si>
    <t>法務副大臣，元政務官(外務)</t>
    <rPh sb="0" eb="2">
      <t>ホウム</t>
    </rPh>
    <rPh sb="2" eb="5">
      <t>フクダイジン</t>
    </rPh>
    <rPh sb="6" eb="7">
      <t>モト</t>
    </rPh>
    <rPh sb="7" eb="10">
      <t>セイムカン</t>
    </rPh>
    <rPh sb="11" eb="13">
      <t>ガイム</t>
    </rPh>
    <phoneticPr fontId="3"/>
  </si>
  <si>
    <t>二</t>
    <rPh sb="0" eb="1">
      <t>ニ</t>
    </rPh>
    <phoneticPr fontId="3"/>
  </si>
  <si>
    <t>伊藤　達也</t>
    <rPh sb="0" eb="2">
      <t>イトウ</t>
    </rPh>
    <rPh sb="3" eb="5">
      <t>タツヤ</t>
    </rPh>
    <phoneticPr fontId="3"/>
  </si>
  <si>
    <t>松</t>
    <rPh sb="0" eb="1">
      <t>マツ</t>
    </rPh>
    <phoneticPr fontId="3"/>
  </si>
  <si>
    <t>　元大臣(金融),委長(財金),副大臣(内閣),政務次官(通産),首相補佐官</t>
    <rPh sb="1" eb="4">
      <t>モトダイジン</t>
    </rPh>
    <rPh sb="5" eb="7">
      <t>キンユウ</t>
    </rPh>
    <rPh sb="9" eb="11">
      <t>イチョウ</t>
    </rPh>
    <rPh sb="12" eb="14">
      <t>ザイキン</t>
    </rPh>
    <rPh sb="16" eb="19">
      <t>フクダイジン</t>
    </rPh>
    <rPh sb="20" eb="22">
      <t>ナイカク</t>
    </rPh>
    <rPh sb="24" eb="26">
      <t>セイム</t>
    </rPh>
    <rPh sb="26" eb="28">
      <t>ジカン</t>
    </rPh>
    <rPh sb="29" eb="31">
      <t>ツウサン</t>
    </rPh>
    <rPh sb="33" eb="35">
      <t>シュショウ</t>
    </rPh>
    <rPh sb="35" eb="38">
      <t>ホサカン</t>
    </rPh>
    <phoneticPr fontId="3"/>
  </si>
  <si>
    <t>研究所所長(ブレーン21),米国サクラメント市長スタッフ</t>
    <rPh sb="0" eb="3">
      <t>ケンキュウジョ</t>
    </rPh>
    <rPh sb="3" eb="5">
      <t>ショチョウ</t>
    </rPh>
    <rPh sb="14" eb="16">
      <t>ベイコク</t>
    </rPh>
    <rPh sb="22" eb="24">
      <t>シチョウ</t>
    </rPh>
    <phoneticPr fontId="3"/>
  </si>
  <si>
    <t>坂内　　淳</t>
    <rPh sb="0" eb="2">
      <t>サカウチ</t>
    </rPh>
    <rPh sb="4" eb="5">
      <t>ジュン</t>
    </rPh>
    <phoneticPr fontId="3"/>
  </si>
  <si>
    <t>大中(信州)</t>
    <rPh sb="0" eb="1">
      <t>ダイ</t>
    </rPh>
    <rPh sb="1" eb="2">
      <t>チュウ</t>
    </rPh>
    <rPh sb="3" eb="5">
      <t>シンシュウ</t>
    </rPh>
    <phoneticPr fontId="3"/>
  </si>
  <si>
    <t>共産党地区国政対策委員長,民青同盟地区委員長</t>
    <rPh sb="0" eb="3">
      <t>キョウサントウ</t>
    </rPh>
    <rPh sb="3" eb="5">
      <t>チク</t>
    </rPh>
    <rPh sb="5" eb="7">
      <t>コクセイ</t>
    </rPh>
    <rPh sb="7" eb="9">
      <t>タイサク</t>
    </rPh>
    <rPh sb="9" eb="12">
      <t>イインチョウ</t>
    </rPh>
    <rPh sb="13" eb="15">
      <t>ミンセイ</t>
    </rPh>
    <rPh sb="15" eb="17">
      <t>ドウメイ</t>
    </rPh>
    <rPh sb="17" eb="19">
      <t>チク</t>
    </rPh>
    <rPh sb="19" eb="22">
      <t>イインチョウ</t>
    </rPh>
    <phoneticPr fontId="3"/>
  </si>
  <si>
    <t>津山　　謙</t>
    <rPh sb="0" eb="2">
      <t>ツヤマ</t>
    </rPh>
    <rPh sb="4" eb="5">
      <t>ユズル</t>
    </rPh>
    <phoneticPr fontId="3"/>
  </si>
  <si>
    <t>大院(米/ハーバード)</t>
    <rPh sb="0" eb="2">
      <t>ダイイン</t>
    </rPh>
    <rPh sb="3" eb="4">
      <t>ベイ</t>
    </rPh>
    <phoneticPr fontId="3"/>
  </si>
  <si>
    <t>議員秘書(松田公太),研究員(ベルファー研究センター)</t>
    <rPh sb="0" eb="2">
      <t>ギイン</t>
    </rPh>
    <rPh sb="2" eb="4">
      <t>ヒショ</t>
    </rPh>
    <rPh sb="5" eb="7">
      <t>マツダ</t>
    </rPh>
    <rPh sb="7" eb="9">
      <t>コウタ</t>
    </rPh>
    <rPh sb="11" eb="14">
      <t>ケンキュウイン</t>
    </rPh>
    <rPh sb="20" eb="22">
      <t>ケンキュウ</t>
    </rPh>
    <phoneticPr fontId="3"/>
  </si>
  <si>
    <t>井原　義博</t>
    <rPh sb="0" eb="2">
      <t>イハラ</t>
    </rPh>
    <rPh sb="3" eb="5">
      <t>ヨシヒロ</t>
    </rPh>
    <phoneticPr fontId="3"/>
  </si>
  <si>
    <t>幸福実現党員,会社員(ユニコンプロダクト)</t>
    <rPh sb="0" eb="2">
      <t>コウフク</t>
    </rPh>
    <rPh sb="2" eb="4">
      <t>ジツゲン</t>
    </rPh>
    <rPh sb="4" eb="6">
      <t>トウイン</t>
    </rPh>
    <rPh sb="7" eb="10">
      <t>カイシャイン</t>
    </rPh>
    <phoneticPr fontId="3"/>
  </si>
  <si>
    <t>126東京23区01</t>
    <rPh sb="3" eb="5">
      <t>トウキョウ</t>
    </rPh>
    <rPh sb="7" eb="8">
      <t>ク</t>
    </rPh>
    <phoneticPr fontId="3"/>
  </si>
  <si>
    <t>126東京23区02</t>
    <rPh sb="3" eb="5">
      <t>トウキョウ</t>
    </rPh>
    <rPh sb="7" eb="8">
      <t>ク</t>
    </rPh>
    <phoneticPr fontId="3"/>
  </si>
  <si>
    <t>126東京23区03</t>
    <rPh sb="3" eb="5">
      <t>トウキョウ</t>
    </rPh>
    <rPh sb="7" eb="8">
      <t>ク</t>
    </rPh>
    <phoneticPr fontId="3"/>
  </si>
  <si>
    <t>126東京23区04</t>
    <rPh sb="3" eb="5">
      <t>トウキョウ</t>
    </rPh>
    <rPh sb="7" eb="8">
      <t>ク</t>
    </rPh>
    <phoneticPr fontId="3"/>
  </si>
  <si>
    <t>126東京23区05</t>
    <rPh sb="3" eb="5">
      <t>トウキョウ</t>
    </rPh>
    <rPh sb="7" eb="8">
      <t>ク</t>
    </rPh>
    <phoneticPr fontId="3"/>
  </si>
  <si>
    <t>126東京23区06</t>
    <rPh sb="3" eb="5">
      <t>トウキョウ</t>
    </rPh>
    <rPh sb="7" eb="8">
      <t>ク</t>
    </rPh>
    <phoneticPr fontId="3"/>
  </si>
  <si>
    <t>櫛渕　万里</t>
    <rPh sb="0" eb="2">
      <t>クシブチ</t>
    </rPh>
    <rPh sb="3" eb="5">
      <t>マリ</t>
    </rPh>
    <phoneticPr fontId="3"/>
  </si>
  <si>
    <t>126東京23区</t>
    <rPh sb="3" eb="5">
      <t>トウキョウ</t>
    </rPh>
    <rPh sb="7" eb="8">
      <t>ク</t>
    </rPh>
    <phoneticPr fontId="3"/>
  </si>
  <si>
    <t>NGO事務局長(ピースボート)</t>
    <rPh sb="3" eb="5">
      <t>ジム</t>
    </rPh>
    <rPh sb="5" eb="7">
      <t>キョクチョウ</t>
    </rPh>
    <phoneticPr fontId="3"/>
  </si>
  <si>
    <t>小倉　將信</t>
    <rPh sb="0" eb="2">
      <t>オグラ</t>
    </rPh>
    <rPh sb="3" eb="5">
      <t>マサノブ</t>
    </rPh>
    <phoneticPr fontId="3"/>
  </si>
  <si>
    <t>大院(英/オックスフォード)</t>
    <rPh sb="0" eb="2">
      <t>ダイイン</t>
    </rPh>
    <rPh sb="3" eb="4">
      <t>エイ</t>
    </rPh>
    <phoneticPr fontId="3"/>
  </si>
  <si>
    <t>社会福祉法人副理事長,日本銀行員</t>
    <rPh sb="0" eb="2">
      <t>シャカイ</t>
    </rPh>
    <rPh sb="2" eb="4">
      <t>フクシ</t>
    </rPh>
    <rPh sb="4" eb="6">
      <t>ホウジン</t>
    </rPh>
    <rPh sb="6" eb="10">
      <t>フクリジチョウ</t>
    </rPh>
    <rPh sb="11" eb="13">
      <t>ニホン</t>
    </rPh>
    <rPh sb="13" eb="16">
      <t>ギンコウイン</t>
    </rPh>
    <phoneticPr fontId="3"/>
  </si>
  <si>
    <t>松村　亮佑</t>
    <rPh sb="0" eb="2">
      <t>マツムラ</t>
    </rPh>
    <rPh sb="3" eb="5">
      <t>リョウスケ</t>
    </rPh>
    <phoneticPr fontId="3"/>
  </si>
  <si>
    <t>大(和光)</t>
    <rPh sb="0" eb="1">
      <t>ダイ</t>
    </rPh>
    <rPh sb="2" eb="4">
      <t>ワコウ</t>
    </rPh>
    <phoneticPr fontId="3"/>
  </si>
  <si>
    <t>共産党地区副委員長,民青同盟東京都副委員長</t>
    <rPh sb="0" eb="3">
      <t>キョウサントウ</t>
    </rPh>
    <rPh sb="3" eb="5">
      <t>チク</t>
    </rPh>
    <rPh sb="5" eb="9">
      <t>フクイインチョウ</t>
    </rPh>
    <rPh sb="10" eb="14">
      <t>ミンセイドウメイ</t>
    </rPh>
    <rPh sb="14" eb="17">
      <t>トウキョウト</t>
    </rPh>
    <rPh sb="17" eb="21">
      <t>フクイインチョウ</t>
    </rPh>
    <phoneticPr fontId="3"/>
  </si>
  <si>
    <t>白川　哲也</t>
    <rPh sb="0" eb="2">
      <t>シラカワ</t>
    </rPh>
    <rPh sb="3" eb="5">
      <t>テツヤ</t>
    </rPh>
    <phoneticPr fontId="3"/>
  </si>
  <si>
    <t>東京都・町田市議,銀行員(横浜銀行)</t>
    <rPh sb="0" eb="3">
      <t>トウキョウト</t>
    </rPh>
    <rPh sb="4" eb="6">
      <t>マチダ</t>
    </rPh>
    <rPh sb="6" eb="8">
      <t>シギ</t>
    </rPh>
    <rPh sb="9" eb="12">
      <t>ギンコウイン</t>
    </rPh>
    <rPh sb="13" eb="15">
      <t>ヨコハマ</t>
    </rPh>
    <rPh sb="15" eb="17">
      <t>ギンコウ</t>
    </rPh>
    <phoneticPr fontId="3"/>
  </si>
  <si>
    <t>議</t>
    <rPh sb="0" eb="1">
      <t>ギ</t>
    </rPh>
    <phoneticPr fontId="3"/>
  </si>
  <si>
    <t>127東京24区01</t>
    <rPh sb="3" eb="5">
      <t>トウキョウ</t>
    </rPh>
    <rPh sb="7" eb="8">
      <t>ク</t>
    </rPh>
    <phoneticPr fontId="3"/>
  </si>
  <si>
    <t>127東京24区02</t>
    <rPh sb="3" eb="5">
      <t>トウキョウ</t>
    </rPh>
    <rPh sb="7" eb="8">
      <t>ク</t>
    </rPh>
    <phoneticPr fontId="3"/>
  </si>
  <si>
    <t>127東京24区03</t>
    <rPh sb="3" eb="5">
      <t>トウキョウ</t>
    </rPh>
    <rPh sb="7" eb="8">
      <t>ク</t>
    </rPh>
    <phoneticPr fontId="3"/>
  </si>
  <si>
    <t>127東京24区04</t>
    <rPh sb="3" eb="5">
      <t>トウキョウ</t>
    </rPh>
    <rPh sb="7" eb="8">
      <t>ク</t>
    </rPh>
    <phoneticPr fontId="3"/>
  </si>
  <si>
    <t>阿久津　幸彦</t>
    <rPh sb="0" eb="3">
      <t>アクツ</t>
    </rPh>
    <rPh sb="4" eb="6">
      <t>ユキヒコ</t>
    </rPh>
    <phoneticPr fontId="3"/>
  </si>
  <si>
    <t>127東京24区</t>
    <rPh sb="3" eb="5">
      <t>トウキョウ</t>
    </rPh>
    <rPh sb="7" eb="8">
      <t>ク</t>
    </rPh>
    <phoneticPr fontId="3"/>
  </si>
  <si>
    <t>さ</t>
    <phoneticPr fontId="3"/>
  </si>
  <si>
    <t>大院(米/ジョージワシントン)</t>
    <rPh sb="0" eb="2">
      <t>ダイイン</t>
    </rPh>
    <rPh sb="3" eb="4">
      <t>ベイ</t>
    </rPh>
    <phoneticPr fontId="3"/>
  </si>
  <si>
    <t>議員秘書(石原慎太郎)</t>
    <rPh sb="0" eb="2">
      <t>ギイン</t>
    </rPh>
    <rPh sb="2" eb="4">
      <t>ヒショ</t>
    </rPh>
    <rPh sb="5" eb="7">
      <t>イシハラ</t>
    </rPh>
    <rPh sb="7" eb="10">
      <t>シンタロウ</t>
    </rPh>
    <phoneticPr fontId="3"/>
  </si>
  <si>
    <t>衆議院消費者問題特別委員長，元政務官(内閣・復興),首相補佐官</t>
    <rPh sb="0" eb="3">
      <t>シュウギイン</t>
    </rPh>
    <rPh sb="3" eb="6">
      <t>ショウヒシャ</t>
    </rPh>
    <rPh sb="6" eb="8">
      <t>モンダイ</t>
    </rPh>
    <rPh sb="8" eb="10">
      <t>トクベツ</t>
    </rPh>
    <rPh sb="10" eb="13">
      <t>イインチョウ</t>
    </rPh>
    <rPh sb="14" eb="15">
      <t>モト</t>
    </rPh>
    <rPh sb="15" eb="18">
      <t>セイムカン</t>
    </rPh>
    <rPh sb="19" eb="21">
      <t>ナイカク</t>
    </rPh>
    <rPh sb="22" eb="24">
      <t>フッコウ</t>
    </rPh>
    <rPh sb="26" eb="28">
      <t>シュショウ</t>
    </rPh>
    <rPh sb="28" eb="31">
      <t>ホサカン</t>
    </rPh>
    <phoneticPr fontId="3"/>
  </si>
  <si>
    <t>萩生田　光一</t>
    <rPh sb="0" eb="3">
      <t>ハギウダ</t>
    </rPh>
    <rPh sb="4" eb="6">
      <t>コウイチ</t>
    </rPh>
    <phoneticPr fontId="3"/>
  </si>
  <si>
    <t>大(明治)</t>
    <rPh sb="0" eb="1">
      <t>ダイ</t>
    </rPh>
    <rPh sb="2" eb="4">
      <t>メイジ</t>
    </rPh>
    <phoneticPr fontId="3"/>
  </si>
  <si>
    <t>東京都議(八王子市),東京都・八王子市議,議員秘書(小野清子)</t>
    <rPh sb="0" eb="2">
      <t>トウキョウ</t>
    </rPh>
    <rPh sb="2" eb="4">
      <t>トギ</t>
    </rPh>
    <rPh sb="5" eb="9">
      <t>ハチオウジシ</t>
    </rPh>
    <rPh sb="11" eb="14">
      <t>トウキョウト</t>
    </rPh>
    <rPh sb="15" eb="18">
      <t>ハチオウジ</t>
    </rPh>
    <rPh sb="18" eb="20">
      <t>シギ</t>
    </rPh>
    <rPh sb="21" eb="23">
      <t>ギイン</t>
    </rPh>
    <rPh sb="23" eb="25">
      <t>ヒショ</t>
    </rPh>
    <rPh sb="26" eb="28">
      <t>オノ</t>
    </rPh>
    <rPh sb="28" eb="30">
      <t>キヨコ</t>
    </rPh>
    <phoneticPr fontId="3"/>
  </si>
  <si>
    <t>　元政務官(文科)</t>
    <rPh sb="1" eb="2">
      <t>モト</t>
    </rPh>
    <rPh sb="2" eb="5">
      <t>セイムカン</t>
    </rPh>
    <rPh sb="6" eb="8">
      <t>モンカ</t>
    </rPh>
    <phoneticPr fontId="3"/>
  </si>
  <si>
    <t>峯岸　益生</t>
    <rPh sb="0" eb="2">
      <t>ミネギシ</t>
    </rPh>
    <rPh sb="3" eb="4">
      <t>マス</t>
    </rPh>
    <rPh sb="4" eb="5">
      <t>オ</t>
    </rPh>
    <phoneticPr fontId="3"/>
  </si>
  <si>
    <t>高(第二商)</t>
    <rPh sb="0" eb="1">
      <t>コウ</t>
    </rPh>
    <rPh sb="2" eb="4">
      <t>ダイニ</t>
    </rPh>
    <rPh sb="4" eb="5">
      <t>ショウ</t>
    </rPh>
    <phoneticPr fontId="3"/>
  </si>
  <si>
    <t>東京土建八王子支部書記</t>
    <rPh sb="0" eb="2">
      <t>トウキョウ</t>
    </rPh>
    <rPh sb="2" eb="4">
      <t>ドケン</t>
    </rPh>
    <rPh sb="4" eb="7">
      <t>ハチオウジ</t>
    </rPh>
    <rPh sb="7" eb="9">
      <t>シブ</t>
    </rPh>
    <rPh sb="9" eb="11">
      <t>ショキ</t>
    </rPh>
    <phoneticPr fontId="3"/>
  </si>
  <si>
    <t>労</t>
    <rPh sb="0" eb="1">
      <t>ロウ</t>
    </rPh>
    <phoneticPr fontId="3"/>
  </si>
  <si>
    <t>小林　弘幸</t>
    <rPh sb="0" eb="2">
      <t>コバヤシ</t>
    </rPh>
    <rPh sb="3" eb="5">
      <t>ヒロユキ</t>
    </rPh>
    <phoneticPr fontId="3"/>
  </si>
  <si>
    <t>東京都・八王子市議,議員秘書(加藤紘一)</t>
    <rPh sb="0" eb="3">
      <t>トウキョウト</t>
    </rPh>
    <rPh sb="4" eb="7">
      <t>ハチオウジ</t>
    </rPh>
    <rPh sb="7" eb="9">
      <t>シギ</t>
    </rPh>
    <rPh sb="10" eb="12">
      <t>ギイン</t>
    </rPh>
    <rPh sb="12" eb="14">
      <t>ヒショ</t>
    </rPh>
    <rPh sb="15" eb="17">
      <t>カトウ</t>
    </rPh>
    <rPh sb="17" eb="19">
      <t>コウイチ</t>
    </rPh>
    <phoneticPr fontId="3"/>
  </si>
  <si>
    <t>128東京25区01</t>
    <rPh sb="3" eb="5">
      <t>トウキョウ</t>
    </rPh>
    <rPh sb="7" eb="8">
      <t>ク</t>
    </rPh>
    <phoneticPr fontId="3"/>
  </si>
  <si>
    <t>128東京25区02</t>
    <rPh sb="3" eb="5">
      <t>トウキョウ</t>
    </rPh>
    <rPh sb="7" eb="8">
      <t>ク</t>
    </rPh>
    <phoneticPr fontId="3"/>
  </si>
  <si>
    <t>128東京25区03</t>
    <rPh sb="3" eb="5">
      <t>トウキョウ</t>
    </rPh>
    <rPh sb="7" eb="8">
      <t>ク</t>
    </rPh>
    <phoneticPr fontId="3"/>
  </si>
  <si>
    <t>竹田　光明</t>
    <rPh sb="0" eb="2">
      <t>タケダ</t>
    </rPh>
    <rPh sb="3" eb="5">
      <t>ミツアキ</t>
    </rPh>
    <phoneticPr fontId="3"/>
  </si>
  <si>
    <t>305比例東京02</t>
    <rPh sb="3" eb="5">
      <t>ヒレイ</t>
    </rPh>
    <rPh sb="5" eb="7">
      <t>トウキョウ</t>
    </rPh>
    <phoneticPr fontId="3"/>
  </si>
  <si>
    <t>社会福祉法人理事(緑風会),会社社長(竹田屋)</t>
    <rPh sb="0" eb="2">
      <t>シャカイ</t>
    </rPh>
    <rPh sb="2" eb="4">
      <t>フクシ</t>
    </rPh>
    <rPh sb="4" eb="6">
      <t>ホウジン</t>
    </rPh>
    <rPh sb="6" eb="8">
      <t>リジ</t>
    </rPh>
    <rPh sb="9" eb="11">
      <t>リョクフウ</t>
    </rPh>
    <rPh sb="11" eb="12">
      <t>カイ</t>
    </rPh>
    <rPh sb="14" eb="16">
      <t>カイシャ</t>
    </rPh>
    <rPh sb="16" eb="18">
      <t>シャチョウ</t>
    </rPh>
    <rPh sb="19" eb="22">
      <t>タケダヤ</t>
    </rPh>
    <phoneticPr fontId="3"/>
  </si>
  <si>
    <t>井上　信治</t>
    <rPh sb="0" eb="2">
      <t>イノウエ</t>
    </rPh>
    <rPh sb="3" eb="5">
      <t>シンジ</t>
    </rPh>
    <phoneticPr fontId="3"/>
  </si>
  <si>
    <t>128東京25区</t>
    <rPh sb="3" eb="5">
      <t>トウキョウ</t>
    </rPh>
    <rPh sb="7" eb="8">
      <t>ク</t>
    </rPh>
    <phoneticPr fontId="3"/>
  </si>
  <si>
    <t>大院(英/ケンブリッジ)</t>
    <rPh sb="0" eb="2">
      <t>ダイイン</t>
    </rPh>
    <rPh sb="3" eb="4">
      <t>エイ</t>
    </rPh>
    <phoneticPr fontId="3"/>
  </si>
  <si>
    <t>国土交通省住宅局建築指導課長補佐</t>
    <rPh sb="0" eb="2">
      <t>コクド</t>
    </rPh>
    <rPh sb="2" eb="5">
      <t>コウツウショウ</t>
    </rPh>
    <rPh sb="5" eb="8">
      <t>ジュウタクキョク</t>
    </rPh>
    <rPh sb="8" eb="10">
      <t>ケンチク</t>
    </rPh>
    <rPh sb="10" eb="12">
      <t>シドウ</t>
    </rPh>
    <rPh sb="12" eb="14">
      <t>カチョウ</t>
    </rPh>
    <rPh sb="14" eb="16">
      <t>ホサ</t>
    </rPh>
    <phoneticPr fontId="3"/>
  </si>
  <si>
    <t>井上　　宣</t>
    <rPh sb="0" eb="2">
      <t>イノウエ</t>
    </rPh>
    <rPh sb="4" eb="5">
      <t>タカシ</t>
    </rPh>
    <phoneticPr fontId="3"/>
  </si>
  <si>
    <t>共産党地区副委員長</t>
    <rPh sb="0" eb="3">
      <t>キョウサントウ</t>
    </rPh>
    <rPh sb="3" eb="5">
      <t>チク</t>
    </rPh>
    <rPh sb="5" eb="9">
      <t>フクイインチョウ</t>
    </rPh>
    <phoneticPr fontId="3"/>
  </si>
  <si>
    <t>堀内　詔子</t>
    <rPh sb="0" eb="2">
      <t>ホリウチ</t>
    </rPh>
    <rPh sb="3" eb="5">
      <t>ノリコ</t>
    </rPh>
    <phoneticPr fontId="3"/>
  </si>
  <si>
    <t>山崎　摩耶</t>
    <rPh sb="0" eb="2">
      <t>ヤマザキ</t>
    </rPh>
    <rPh sb="3" eb="5">
      <t>マヤ</t>
    </rPh>
    <phoneticPr fontId="3"/>
  </si>
  <si>
    <t>女</t>
    <rPh sb="0" eb="1">
      <t>ジョ</t>
    </rPh>
    <phoneticPr fontId="3"/>
  </si>
  <si>
    <t>前</t>
    <rPh sb="0" eb="1">
      <t>ゼン</t>
    </rPh>
    <phoneticPr fontId="3"/>
  </si>
  <si>
    <t>他(北海道立衛生学院)</t>
    <rPh sb="0" eb="1">
      <t>ホカ</t>
    </rPh>
    <rPh sb="2" eb="5">
      <t>ホッカイドウ</t>
    </rPh>
    <rPh sb="5" eb="6">
      <t>リツ</t>
    </rPh>
    <rPh sb="6" eb="8">
      <t>エイセイ</t>
    </rPh>
    <rPh sb="8" eb="10">
      <t>ガクイン</t>
    </rPh>
    <phoneticPr fontId="3"/>
  </si>
  <si>
    <t>大学教員(岩手県立大学教授),日本看護協会常任理事</t>
    <rPh sb="0" eb="2">
      <t>ダイガク</t>
    </rPh>
    <rPh sb="2" eb="4">
      <t>キョウイン</t>
    </rPh>
    <rPh sb="5" eb="7">
      <t>イワテ</t>
    </rPh>
    <rPh sb="7" eb="9">
      <t>ケンリツ</t>
    </rPh>
    <rPh sb="9" eb="11">
      <t>ダイガク</t>
    </rPh>
    <rPh sb="11" eb="13">
      <t>キョウジュ</t>
    </rPh>
    <rPh sb="15" eb="17">
      <t>ニホン</t>
    </rPh>
    <rPh sb="17" eb="19">
      <t>カンゴ</t>
    </rPh>
    <rPh sb="19" eb="21">
      <t>キョウカイ</t>
    </rPh>
    <rPh sb="21" eb="23">
      <t>ジョウニン</t>
    </rPh>
    <rPh sb="23" eb="25">
      <t>リジ</t>
    </rPh>
    <phoneticPr fontId="3"/>
  </si>
  <si>
    <t>山岡　達丸</t>
    <rPh sb="0" eb="2">
      <t>ヤマオカ</t>
    </rPh>
    <rPh sb="3" eb="4">
      <t>タツ</t>
    </rPh>
    <rPh sb="4" eb="5">
      <t>マル</t>
    </rPh>
    <phoneticPr fontId="3"/>
  </si>
  <si>
    <t>男</t>
    <rPh sb="0" eb="1">
      <t>ダン</t>
    </rPh>
    <phoneticPr fontId="3"/>
  </si>
  <si>
    <t>大(慶應)</t>
    <rPh sb="0" eb="1">
      <t>ダイ</t>
    </rPh>
    <rPh sb="2" eb="4">
      <t>ケイオウ</t>
    </rPh>
    <phoneticPr fontId="3"/>
  </si>
  <si>
    <t>二</t>
    <rPh sb="0" eb="1">
      <t>ニ</t>
    </rPh>
    <phoneticPr fontId="3"/>
  </si>
  <si>
    <t>工藤　仁美</t>
    <rPh sb="0" eb="2">
      <t>クドウ</t>
    </rPh>
    <rPh sb="3" eb="5">
      <t>ヒトミ</t>
    </rPh>
    <phoneticPr fontId="3"/>
  </si>
  <si>
    <t>短大(藤女子)</t>
    <rPh sb="0" eb="2">
      <t>タンダイ</t>
    </rPh>
    <rPh sb="3" eb="4">
      <t>フジ</t>
    </rPh>
    <rPh sb="4" eb="6">
      <t>ジョシ</t>
    </rPh>
    <phoneticPr fontId="3"/>
  </si>
  <si>
    <t>労</t>
    <rPh sb="0" eb="1">
      <t>ロウ</t>
    </rPh>
    <phoneticPr fontId="3"/>
  </si>
  <si>
    <t>札幌パートユニオン事務局長</t>
    <rPh sb="0" eb="2">
      <t>サッポロ</t>
    </rPh>
    <rPh sb="9" eb="11">
      <t>ジム</t>
    </rPh>
    <rPh sb="11" eb="13">
      <t>キョクチョウ</t>
    </rPh>
    <phoneticPr fontId="3"/>
  </si>
  <si>
    <t>佐藤　英道</t>
    <rPh sb="0" eb="2">
      <t>サトウ</t>
    </rPh>
    <rPh sb="3" eb="5">
      <t>ヒデミチ</t>
    </rPh>
    <phoneticPr fontId="3"/>
  </si>
  <si>
    <t>新</t>
    <rPh sb="0" eb="1">
      <t>シン</t>
    </rPh>
    <phoneticPr fontId="3"/>
  </si>
  <si>
    <t>大院(創価)</t>
    <rPh sb="0" eb="2">
      <t>ダイイン</t>
    </rPh>
    <rPh sb="3" eb="5">
      <t>ソウカ</t>
    </rPh>
    <phoneticPr fontId="3"/>
  </si>
  <si>
    <t>北海道議(札幌市北区),公明新聞記者</t>
    <rPh sb="0" eb="3">
      <t>ホッカイドウ</t>
    </rPh>
    <rPh sb="3" eb="4">
      <t>ギ</t>
    </rPh>
    <rPh sb="5" eb="8">
      <t>サッポロシ</t>
    </rPh>
    <rPh sb="8" eb="10">
      <t>キタク</t>
    </rPh>
    <rPh sb="12" eb="14">
      <t>コウメイ</t>
    </rPh>
    <rPh sb="14" eb="16">
      <t>シンブン</t>
    </rPh>
    <rPh sb="16" eb="18">
      <t>キシャ</t>
    </rPh>
    <phoneticPr fontId="3"/>
  </si>
  <si>
    <t>議</t>
    <rPh sb="0" eb="1">
      <t>ギ</t>
    </rPh>
    <phoneticPr fontId="3"/>
  </si>
  <si>
    <t>畠山　和也</t>
    <rPh sb="0" eb="2">
      <t>ハタヤマ</t>
    </rPh>
    <rPh sb="3" eb="5">
      <t>カズヤ</t>
    </rPh>
    <phoneticPr fontId="3"/>
  </si>
  <si>
    <t>大院(北海道教育)</t>
    <rPh sb="0" eb="2">
      <t>ダイイン</t>
    </rPh>
    <rPh sb="3" eb="6">
      <t>ホッカイドウ</t>
    </rPh>
    <rPh sb="6" eb="8">
      <t>キョウイク</t>
    </rPh>
    <phoneticPr fontId="3"/>
  </si>
  <si>
    <t>共産党北海道政策委員長,中学教諭</t>
    <rPh sb="0" eb="3">
      <t>キョウサントウ</t>
    </rPh>
    <rPh sb="3" eb="6">
      <t>ホッカイドウ</t>
    </rPh>
    <rPh sb="6" eb="8">
      <t>セイサク</t>
    </rPh>
    <rPh sb="8" eb="11">
      <t>イインチョウ</t>
    </rPh>
    <rPh sb="12" eb="14">
      <t>チュウガク</t>
    </rPh>
    <rPh sb="14" eb="16">
      <t>キョウユ</t>
    </rPh>
    <phoneticPr fontId="3"/>
  </si>
  <si>
    <t>3004比例北海道公明01</t>
    <rPh sb="4" eb="6">
      <t>ヒレイ</t>
    </rPh>
    <rPh sb="6" eb="9">
      <t>ホッカイドウ</t>
    </rPh>
    <rPh sb="9" eb="11">
      <t>コウメイ</t>
    </rPh>
    <phoneticPr fontId="3"/>
  </si>
  <si>
    <t>大院(神戸)</t>
    <rPh sb="0" eb="2">
      <t>ダイイン</t>
    </rPh>
    <rPh sb="3" eb="5">
      <t>コウベ</t>
    </rPh>
    <phoneticPr fontId="3"/>
  </si>
  <si>
    <t>菊池　長右エ門</t>
    <rPh sb="0" eb="2">
      <t>キクチ</t>
    </rPh>
    <rPh sb="3" eb="4">
      <t>チョウ</t>
    </rPh>
    <rPh sb="4" eb="5">
      <t>ウ</t>
    </rPh>
    <rPh sb="6" eb="7">
      <t>モン</t>
    </rPh>
    <phoneticPr fontId="3"/>
  </si>
  <si>
    <t>302比例東北05</t>
    <rPh sb="3" eb="5">
      <t>ヒレイ</t>
    </rPh>
    <rPh sb="5" eb="7">
      <t>トウホク</t>
    </rPh>
    <phoneticPr fontId="3"/>
  </si>
  <si>
    <t>岩手県・宮古市長,岩手県議(宮古市),会社社長(菊長商店)</t>
    <rPh sb="0" eb="3">
      <t>イワテケン</t>
    </rPh>
    <rPh sb="4" eb="6">
      <t>ミヤコ</t>
    </rPh>
    <rPh sb="6" eb="8">
      <t>シチョウ</t>
    </rPh>
    <rPh sb="9" eb="11">
      <t>イワテ</t>
    </rPh>
    <rPh sb="11" eb="13">
      <t>ケンギ</t>
    </rPh>
    <rPh sb="14" eb="17">
      <t>ミヤコシ</t>
    </rPh>
    <rPh sb="19" eb="21">
      <t>カイシャ</t>
    </rPh>
    <rPh sb="21" eb="23">
      <t>シャチョウ</t>
    </rPh>
    <rPh sb="24" eb="25">
      <t>キク</t>
    </rPh>
    <rPh sb="25" eb="26">
      <t>チョウ</t>
    </rPh>
    <rPh sb="26" eb="28">
      <t>ショウテン</t>
    </rPh>
    <phoneticPr fontId="3"/>
  </si>
  <si>
    <t>議首二</t>
    <rPh sb="0" eb="1">
      <t>ギ</t>
    </rPh>
    <rPh sb="1" eb="2">
      <t>クビ</t>
    </rPh>
    <rPh sb="2" eb="3">
      <t>ニ</t>
    </rPh>
    <phoneticPr fontId="3"/>
  </si>
  <si>
    <t>首</t>
    <rPh sb="0" eb="1">
      <t>クビ</t>
    </rPh>
    <phoneticPr fontId="3"/>
  </si>
  <si>
    <t>議労</t>
    <rPh sb="0" eb="1">
      <t>ギ</t>
    </rPh>
    <rPh sb="1" eb="2">
      <t>ロウ</t>
    </rPh>
    <phoneticPr fontId="3"/>
  </si>
  <si>
    <t>3104比例東北公明01</t>
    <rPh sb="4" eb="6">
      <t>ヒレイ</t>
    </rPh>
    <rPh sb="6" eb="8">
      <t>トウホク</t>
    </rPh>
    <rPh sb="8" eb="10">
      <t>コウメイ</t>
    </rPh>
    <phoneticPr fontId="3"/>
  </si>
  <si>
    <t>3104比例東北公明02</t>
    <rPh sb="4" eb="6">
      <t>ヒレイ</t>
    </rPh>
    <rPh sb="6" eb="8">
      <t>トウホク</t>
    </rPh>
    <rPh sb="8" eb="10">
      <t>コウメイ</t>
    </rPh>
    <phoneticPr fontId="3"/>
  </si>
  <si>
    <t>井上　義久</t>
    <rPh sb="0" eb="2">
      <t>イノウエ</t>
    </rPh>
    <rPh sb="3" eb="5">
      <t>ヨシヒサ</t>
    </rPh>
    <phoneticPr fontId="3"/>
  </si>
  <si>
    <t>302比例東北12</t>
    <rPh sb="3" eb="5">
      <t>ヒレイ</t>
    </rPh>
    <rPh sb="5" eb="7">
      <t>トウホク</t>
    </rPh>
    <phoneticPr fontId="3"/>
  </si>
  <si>
    <t>大(東北)</t>
    <rPh sb="0" eb="1">
      <t>ダイ</t>
    </rPh>
    <rPh sb="2" eb="4">
      <t>トウホク</t>
    </rPh>
    <phoneticPr fontId="3"/>
  </si>
  <si>
    <t>公明新聞記者</t>
    <rPh sb="0" eb="2">
      <t>コウメイ</t>
    </rPh>
    <rPh sb="2" eb="4">
      <t>シンブン</t>
    </rPh>
    <rPh sb="4" eb="6">
      <t>キシャ</t>
    </rPh>
    <phoneticPr fontId="3"/>
  </si>
  <si>
    <t>真山　祐一</t>
    <rPh sb="0" eb="2">
      <t>マヤマ</t>
    </rPh>
    <rPh sb="3" eb="5">
      <t>ユウイチ</t>
    </rPh>
    <phoneticPr fontId="3"/>
  </si>
  <si>
    <t>大(東北学院)</t>
    <rPh sb="0" eb="1">
      <t>ダイ</t>
    </rPh>
    <rPh sb="2" eb="4">
      <t>トウホク</t>
    </rPh>
    <rPh sb="4" eb="6">
      <t>ガクイン</t>
    </rPh>
    <phoneticPr fontId="3"/>
  </si>
  <si>
    <t>公明党福島県本部職員</t>
    <rPh sb="0" eb="3">
      <t>コウメイトウ</t>
    </rPh>
    <rPh sb="3" eb="6">
      <t>フクシマケン</t>
    </rPh>
    <rPh sb="6" eb="8">
      <t>ホンブ</t>
    </rPh>
    <rPh sb="8" eb="10">
      <t>ショクイン</t>
    </rPh>
    <phoneticPr fontId="3"/>
  </si>
  <si>
    <t>公明党幹事長，元委長(建設),公明党副代表,政調会長,幹事長代理</t>
    <rPh sb="0" eb="3">
      <t>コウメイトウ</t>
    </rPh>
    <rPh sb="3" eb="6">
      <t>カンジチョウ</t>
    </rPh>
    <rPh sb="7" eb="8">
      <t>モト</t>
    </rPh>
    <rPh sb="8" eb="10">
      <t>イチョウ</t>
    </rPh>
    <rPh sb="11" eb="13">
      <t>ケンセツ</t>
    </rPh>
    <rPh sb="15" eb="18">
      <t>コウメイトウ</t>
    </rPh>
    <rPh sb="18" eb="21">
      <t>フクダイヒョウ</t>
    </rPh>
    <rPh sb="22" eb="24">
      <t>セイチョウ</t>
    </rPh>
    <rPh sb="24" eb="26">
      <t>カイチョウ</t>
    </rPh>
    <rPh sb="27" eb="30">
      <t>カンジチョウ</t>
    </rPh>
    <rPh sb="30" eb="32">
      <t>ダイリ</t>
    </rPh>
    <phoneticPr fontId="3"/>
  </si>
  <si>
    <t>高橋　千鶴子</t>
    <rPh sb="0" eb="2">
      <t>タカハシ</t>
    </rPh>
    <rPh sb="3" eb="6">
      <t>チヅコ</t>
    </rPh>
    <phoneticPr fontId="3"/>
  </si>
  <si>
    <t>302比例東北14</t>
    <rPh sb="3" eb="5">
      <t>ヒレイ</t>
    </rPh>
    <rPh sb="5" eb="7">
      <t>トウホク</t>
    </rPh>
    <phoneticPr fontId="3"/>
  </si>
  <si>
    <t>大(弘前)</t>
    <rPh sb="0" eb="1">
      <t>ダイ</t>
    </rPh>
    <rPh sb="2" eb="4">
      <t>ヒロサキ</t>
    </rPh>
    <phoneticPr fontId="3"/>
  </si>
  <si>
    <t>青森県議(青森市),高校教諭</t>
    <rPh sb="0" eb="2">
      <t>アオモリ</t>
    </rPh>
    <rPh sb="2" eb="4">
      <t>ケンギ</t>
    </rPh>
    <rPh sb="5" eb="8">
      <t>アオモリシ</t>
    </rPh>
    <rPh sb="10" eb="12">
      <t>コウコウ</t>
    </rPh>
    <rPh sb="12" eb="14">
      <t>キョウユ</t>
    </rPh>
    <phoneticPr fontId="3"/>
  </si>
  <si>
    <t>山名　文世</t>
    <rPh sb="0" eb="2">
      <t>ヤマナ</t>
    </rPh>
    <rPh sb="3" eb="5">
      <t>フミヨ</t>
    </rPh>
    <phoneticPr fontId="3"/>
  </si>
  <si>
    <t>青森県・八戸市議,全自交青森地連委員長</t>
    <rPh sb="0" eb="3">
      <t>アオモリケン</t>
    </rPh>
    <rPh sb="4" eb="6">
      <t>ハチノヘ</t>
    </rPh>
    <rPh sb="6" eb="8">
      <t>シギ</t>
    </rPh>
    <rPh sb="9" eb="10">
      <t>ゼン</t>
    </rPh>
    <rPh sb="10" eb="11">
      <t>ジ</t>
    </rPh>
    <rPh sb="12" eb="14">
      <t>アオモリ</t>
    </rPh>
    <rPh sb="14" eb="16">
      <t>チレン</t>
    </rPh>
    <rPh sb="16" eb="19">
      <t>イインチョウ</t>
    </rPh>
    <phoneticPr fontId="3"/>
  </si>
  <si>
    <t>石井　　章</t>
    <rPh sb="0" eb="2">
      <t>イシイ</t>
    </rPh>
    <rPh sb="4" eb="5">
      <t>アキラ</t>
    </rPh>
    <phoneticPr fontId="3"/>
  </si>
  <si>
    <t>303比例北関東06</t>
    <rPh sb="3" eb="5">
      <t>ヒレイ</t>
    </rPh>
    <rPh sb="5" eb="8">
      <t>キタカントウ</t>
    </rPh>
    <phoneticPr fontId="3"/>
  </si>
  <si>
    <t>大在(専修)</t>
    <rPh sb="0" eb="1">
      <t>ダイ</t>
    </rPh>
    <rPh sb="1" eb="2">
      <t>ザイ</t>
    </rPh>
    <rPh sb="3" eb="5">
      <t>センシュウ</t>
    </rPh>
    <phoneticPr fontId="3"/>
  </si>
  <si>
    <t>茨城県・取手市議</t>
    <rPh sb="0" eb="3">
      <t>イバラキケン</t>
    </rPh>
    <rPh sb="4" eb="6">
      <t>トリデ</t>
    </rPh>
    <rPh sb="6" eb="8">
      <t>シギ</t>
    </rPh>
    <phoneticPr fontId="3"/>
  </si>
  <si>
    <t>議</t>
    <rPh sb="0" eb="1">
      <t>ギ</t>
    </rPh>
    <phoneticPr fontId="3"/>
  </si>
  <si>
    <t>3204比例北関東公明01</t>
    <rPh sb="4" eb="6">
      <t>ヒレイ</t>
    </rPh>
    <rPh sb="6" eb="9">
      <t>キタカントウ</t>
    </rPh>
    <rPh sb="9" eb="11">
      <t>コウメイ</t>
    </rPh>
    <phoneticPr fontId="3"/>
  </si>
  <si>
    <t>石井　啓一</t>
    <rPh sb="0" eb="2">
      <t>イシイ</t>
    </rPh>
    <rPh sb="3" eb="5">
      <t>ケイイチ</t>
    </rPh>
    <phoneticPr fontId="3"/>
  </si>
  <si>
    <t>3204比例北関東公明02</t>
    <rPh sb="4" eb="6">
      <t>ヒレイ</t>
    </rPh>
    <rPh sb="6" eb="9">
      <t>キタカントウ</t>
    </rPh>
    <rPh sb="9" eb="11">
      <t>コウメイ</t>
    </rPh>
    <phoneticPr fontId="3"/>
  </si>
  <si>
    <t>3204比例北関東公明03</t>
    <rPh sb="4" eb="6">
      <t>ヒレイ</t>
    </rPh>
    <rPh sb="6" eb="9">
      <t>キタカントウ</t>
    </rPh>
    <rPh sb="9" eb="11">
      <t>コウメイ</t>
    </rPh>
    <phoneticPr fontId="3"/>
  </si>
  <si>
    <t>303比例北関東17</t>
    <rPh sb="3" eb="5">
      <t>ヒレイ</t>
    </rPh>
    <rPh sb="5" eb="8">
      <t>キタカントウ</t>
    </rPh>
    <phoneticPr fontId="3"/>
  </si>
  <si>
    <t>大(東京)</t>
    <rPh sb="0" eb="1">
      <t>ダイ</t>
    </rPh>
    <rPh sb="2" eb="4">
      <t>トウキョウ</t>
    </rPh>
    <phoneticPr fontId="3"/>
  </si>
  <si>
    <t>建設省道路局路政課長補佐</t>
    <rPh sb="0" eb="6">
      <t>ケンセツショウドウロキョク</t>
    </rPh>
    <rPh sb="6" eb="7">
      <t>ロ</t>
    </rPh>
    <rPh sb="7" eb="8">
      <t>セイ</t>
    </rPh>
    <rPh sb="8" eb="10">
      <t>カチョウ</t>
    </rPh>
    <rPh sb="10" eb="12">
      <t>ホサ</t>
    </rPh>
    <phoneticPr fontId="3"/>
  </si>
  <si>
    <t>公明党政務調査会長，元副大臣(財務),公明党政調会長代理</t>
    <rPh sb="0" eb="3">
      <t>コウメイトウ</t>
    </rPh>
    <rPh sb="3" eb="5">
      <t>セイム</t>
    </rPh>
    <rPh sb="5" eb="7">
      <t>チョウサ</t>
    </rPh>
    <rPh sb="7" eb="9">
      <t>カイチョウ</t>
    </rPh>
    <rPh sb="10" eb="11">
      <t>モト</t>
    </rPh>
    <rPh sb="11" eb="14">
      <t>フクダイジン</t>
    </rPh>
    <rPh sb="15" eb="17">
      <t>ザイム</t>
    </rPh>
    <rPh sb="19" eb="22">
      <t>コウメイトウ</t>
    </rPh>
    <rPh sb="22" eb="24">
      <t>セイチョウ</t>
    </rPh>
    <rPh sb="24" eb="26">
      <t>カイチョウ</t>
    </rPh>
    <rPh sb="26" eb="28">
      <t>ダイリ</t>
    </rPh>
    <phoneticPr fontId="3"/>
  </si>
  <si>
    <t>官</t>
    <rPh sb="0" eb="1">
      <t>カン</t>
    </rPh>
    <phoneticPr fontId="3"/>
  </si>
  <si>
    <t>岡本　三成</t>
    <rPh sb="0" eb="2">
      <t>オカモト</t>
    </rPh>
    <rPh sb="3" eb="5">
      <t>ミツナリ</t>
    </rPh>
    <phoneticPr fontId="3"/>
  </si>
  <si>
    <t>大(創価)</t>
    <rPh sb="0" eb="1">
      <t>ダイ</t>
    </rPh>
    <rPh sb="2" eb="4">
      <t>ソウカ</t>
    </rPh>
    <phoneticPr fontId="3"/>
  </si>
  <si>
    <t>会社役員(ゴールドマン・サックス証券)</t>
    <rPh sb="0" eb="2">
      <t>カイシャ</t>
    </rPh>
    <rPh sb="2" eb="4">
      <t>ヤクイン</t>
    </rPh>
    <rPh sb="16" eb="18">
      <t>ショウケン</t>
    </rPh>
    <phoneticPr fontId="3"/>
  </si>
  <si>
    <t>輿水　恵一</t>
    <rPh sb="0" eb="2">
      <t>コシミズ</t>
    </rPh>
    <rPh sb="3" eb="5">
      <t>ケイイチ</t>
    </rPh>
    <phoneticPr fontId="3"/>
  </si>
  <si>
    <t>大(青山学院)</t>
    <rPh sb="0" eb="1">
      <t>ダイ</t>
    </rPh>
    <rPh sb="2" eb="4">
      <t>アオヤマ</t>
    </rPh>
    <rPh sb="4" eb="6">
      <t>ガクイン</t>
    </rPh>
    <phoneticPr fontId="3"/>
  </si>
  <si>
    <t>埼玉県・さいたま市議,会社員(キャノン)</t>
    <rPh sb="0" eb="3">
      <t>サイタマケン</t>
    </rPh>
    <rPh sb="8" eb="10">
      <t>シギ</t>
    </rPh>
    <rPh sb="11" eb="14">
      <t>カイシャイン</t>
    </rPh>
    <phoneticPr fontId="3"/>
  </si>
  <si>
    <t>塩川　鉄也</t>
    <rPh sb="0" eb="2">
      <t>シオカワ</t>
    </rPh>
    <rPh sb="3" eb="5">
      <t>テツヤ</t>
    </rPh>
    <phoneticPr fontId="3"/>
  </si>
  <si>
    <t>303比例北関東20</t>
    <rPh sb="3" eb="5">
      <t>ヒレイ</t>
    </rPh>
    <rPh sb="5" eb="8">
      <t>キタカントウ</t>
    </rPh>
    <phoneticPr fontId="3"/>
  </si>
  <si>
    <t>大(東京都立)</t>
    <rPh sb="0" eb="1">
      <t>ダイ</t>
    </rPh>
    <rPh sb="2" eb="4">
      <t>トウキョウ</t>
    </rPh>
    <rPh sb="4" eb="6">
      <t>トリツ</t>
    </rPh>
    <phoneticPr fontId="3"/>
  </si>
  <si>
    <t>共産党地区委員長,埼玉県・日高市職員</t>
    <rPh sb="0" eb="3">
      <t>キョウサントウ</t>
    </rPh>
    <rPh sb="3" eb="5">
      <t>チク</t>
    </rPh>
    <rPh sb="5" eb="8">
      <t>イインチョウ</t>
    </rPh>
    <rPh sb="9" eb="12">
      <t>サイタマケン</t>
    </rPh>
    <rPh sb="13" eb="15">
      <t>ヒダカ</t>
    </rPh>
    <rPh sb="15" eb="18">
      <t>シショクイン</t>
    </rPh>
    <phoneticPr fontId="3"/>
  </si>
  <si>
    <t>梅村　早江子</t>
    <rPh sb="0" eb="2">
      <t>ウメムラ</t>
    </rPh>
    <rPh sb="3" eb="6">
      <t>サエコ</t>
    </rPh>
    <phoneticPr fontId="3"/>
  </si>
  <si>
    <t>大(立命館)</t>
    <rPh sb="0" eb="1">
      <t>ダイ</t>
    </rPh>
    <rPh sb="2" eb="5">
      <t>リツメイカン</t>
    </rPh>
    <phoneticPr fontId="3"/>
  </si>
  <si>
    <t>共産党准中央委員,消費税をなくす全国の会事務局長</t>
    <rPh sb="0" eb="3">
      <t>キョウサントウ</t>
    </rPh>
    <rPh sb="3" eb="4">
      <t>ジュン</t>
    </rPh>
    <rPh sb="4" eb="6">
      <t>チュウオウ</t>
    </rPh>
    <rPh sb="6" eb="8">
      <t>イイン</t>
    </rPh>
    <rPh sb="9" eb="12">
      <t>ショウヒゼイ</t>
    </rPh>
    <rPh sb="16" eb="18">
      <t>ゼンコク</t>
    </rPh>
    <rPh sb="19" eb="20">
      <t>カイ</t>
    </rPh>
    <rPh sb="20" eb="22">
      <t>ジム</t>
    </rPh>
    <rPh sb="22" eb="24">
      <t>キョクチョウ</t>
    </rPh>
    <phoneticPr fontId="3"/>
  </si>
  <si>
    <t>鞍</t>
    <rPh sb="0" eb="1">
      <t>クラ</t>
    </rPh>
    <phoneticPr fontId="3"/>
  </si>
  <si>
    <t>齋藤　　勁</t>
    <rPh sb="0" eb="2">
      <t>サイトウ</t>
    </rPh>
    <rPh sb="4" eb="5">
      <t>ツヨシ</t>
    </rPh>
    <phoneticPr fontId="3"/>
  </si>
  <si>
    <t>大(神奈川)</t>
    <rPh sb="0" eb="1">
      <t>ダイ</t>
    </rPh>
    <rPh sb="2" eb="5">
      <t>カナガワ</t>
    </rPh>
    <phoneticPr fontId="3"/>
  </si>
  <si>
    <t>神奈川県・横浜市議,横浜市職労役員</t>
    <rPh sb="0" eb="4">
      <t>カナガワケン</t>
    </rPh>
    <rPh sb="5" eb="7">
      <t>ヨコハマ</t>
    </rPh>
    <rPh sb="7" eb="9">
      <t>シギ</t>
    </rPh>
    <rPh sb="10" eb="13">
      <t>ヨコハマシ</t>
    </rPh>
    <rPh sb="13" eb="14">
      <t>ショク</t>
    </rPh>
    <rPh sb="14" eb="15">
      <t>ロウ</t>
    </rPh>
    <rPh sb="15" eb="17">
      <t>ヤクイン</t>
    </rPh>
    <phoneticPr fontId="3"/>
  </si>
  <si>
    <t>3304比例南関東公明01</t>
    <rPh sb="4" eb="6">
      <t>ヒレイ</t>
    </rPh>
    <rPh sb="6" eb="9">
      <t>ミナミカントウ</t>
    </rPh>
    <rPh sb="9" eb="11">
      <t>コウメイ</t>
    </rPh>
    <phoneticPr fontId="3"/>
  </si>
  <si>
    <t>3304比例南関東公明02</t>
    <rPh sb="4" eb="6">
      <t>ヒレイ</t>
    </rPh>
    <rPh sb="6" eb="9">
      <t>ミナミカントウ</t>
    </rPh>
    <rPh sb="9" eb="11">
      <t>コウメイ</t>
    </rPh>
    <phoneticPr fontId="3"/>
  </si>
  <si>
    <t>3304比例南関東公明03</t>
    <rPh sb="4" eb="6">
      <t>ヒレイ</t>
    </rPh>
    <rPh sb="6" eb="9">
      <t>ミナミカントウ</t>
    </rPh>
    <rPh sb="9" eb="11">
      <t>コウメイ</t>
    </rPh>
    <phoneticPr fontId="3"/>
  </si>
  <si>
    <t>富田　茂之</t>
    <rPh sb="0" eb="2">
      <t>トミタ</t>
    </rPh>
    <rPh sb="3" eb="5">
      <t>シゲユキ</t>
    </rPh>
    <phoneticPr fontId="3"/>
  </si>
  <si>
    <t>304比例南関東18</t>
    <rPh sb="3" eb="5">
      <t>ヒレイ</t>
    </rPh>
    <rPh sb="5" eb="8">
      <t>ミナミカントウ</t>
    </rPh>
    <phoneticPr fontId="3"/>
  </si>
  <si>
    <t>大(一橋)</t>
    <rPh sb="0" eb="1">
      <t>ダイ</t>
    </rPh>
    <rPh sb="2" eb="4">
      <t>ヒトツバシ</t>
    </rPh>
    <phoneticPr fontId="3"/>
  </si>
  <si>
    <t>弁護士</t>
    <rPh sb="0" eb="3">
      <t>ベンゴシ</t>
    </rPh>
    <phoneticPr fontId="3"/>
  </si>
  <si>
    <t>　元委長(青少特),副大臣(財務,法務),政務官(法務)</t>
    <rPh sb="1" eb="2">
      <t>モト</t>
    </rPh>
    <rPh sb="2" eb="4">
      <t>イチョウ</t>
    </rPh>
    <rPh sb="5" eb="6">
      <t>アオ</t>
    </rPh>
    <rPh sb="6" eb="7">
      <t>ショウ</t>
    </rPh>
    <rPh sb="7" eb="8">
      <t>トク</t>
    </rPh>
    <rPh sb="10" eb="13">
      <t>フクダイジン</t>
    </rPh>
    <rPh sb="14" eb="16">
      <t>ザイム</t>
    </rPh>
    <rPh sb="17" eb="19">
      <t>ホウム</t>
    </rPh>
    <rPh sb="21" eb="24">
      <t>セイムカン</t>
    </rPh>
    <rPh sb="25" eb="27">
      <t>ホウム</t>
    </rPh>
    <phoneticPr fontId="3"/>
  </si>
  <si>
    <t>法</t>
    <rPh sb="0" eb="1">
      <t>ホウ</t>
    </rPh>
    <phoneticPr fontId="3"/>
  </si>
  <si>
    <t>古屋　範子</t>
    <rPh sb="0" eb="2">
      <t>フルヤ</t>
    </rPh>
    <rPh sb="3" eb="5">
      <t>ノリコ</t>
    </rPh>
    <phoneticPr fontId="3"/>
  </si>
  <si>
    <t>304比例南関東19</t>
    <rPh sb="3" eb="5">
      <t>ヒレイ</t>
    </rPh>
    <rPh sb="5" eb="8">
      <t>ミナミカントウ</t>
    </rPh>
    <phoneticPr fontId="3"/>
  </si>
  <si>
    <t>大(早稲田)</t>
    <rPh sb="0" eb="1">
      <t>ダイ</t>
    </rPh>
    <rPh sb="2" eb="5">
      <t>ワセダ</t>
    </rPh>
    <phoneticPr fontId="3"/>
  </si>
  <si>
    <t>　元政務官(総務)</t>
    <rPh sb="1" eb="2">
      <t>モト</t>
    </rPh>
    <rPh sb="2" eb="5">
      <t>セイムカン</t>
    </rPh>
    <rPh sb="6" eb="8">
      <t>ソウム</t>
    </rPh>
    <phoneticPr fontId="3"/>
  </si>
  <si>
    <t>会社員(聖教新聞社出版局)</t>
    <rPh sb="0" eb="3">
      <t>カイシャイン</t>
    </rPh>
    <rPh sb="4" eb="6">
      <t>セイキョウ</t>
    </rPh>
    <rPh sb="6" eb="9">
      <t>シンブンシャ</t>
    </rPh>
    <rPh sb="9" eb="12">
      <t>シュッパンキョク</t>
    </rPh>
    <phoneticPr fontId="3"/>
  </si>
  <si>
    <t>石毛　宏幸</t>
    <rPh sb="0" eb="2">
      <t>イシゲ</t>
    </rPh>
    <rPh sb="3" eb="5">
      <t>ヒロユキ</t>
    </rPh>
    <phoneticPr fontId="3"/>
  </si>
  <si>
    <t>公明新聞論説部長</t>
    <rPh sb="0" eb="2">
      <t>コウメイ</t>
    </rPh>
    <rPh sb="2" eb="4">
      <t>シンブン</t>
    </rPh>
    <rPh sb="4" eb="6">
      <t>ロンセツ</t>
    </rPh>
    <rPh sb="6" eb="8">
      <t>ブチョウ</t>
    </rPh>
    <phoneticPr fontId="3"/>
  </si>
  <si>
    <t>志位　和夫</t>
    <rPh sb="0" eb="2">
      <t>シイ</t>
    </rPh>
    <rPh sb="3" eb="5">
      <t>カズオ</t>
    </rPh>
    <phoneticPr fontId="3"/>
  </si>
  <si>
    <t>304比例南関東21</t>
    <rPh sb="3" eb="5">
      <t>ヒレイ</t>
    </rPh>
    <rPh sb="5" eb="8">
      <t>ミナミカントウ</t>
    </rPh>
    <phoneticPr fontId="3"/>
  </si>
  <si>
    <t>共産党書記局長</t>
    <rPh sb="0" eb="3">
      <t>キョウサントウ</t>
    </rPh>
    <rPh sb="3" eb="5">
      <t>ショキ</t>
    </rPh>
    <rPh sb="5" eb="7">
      <t>キョクチョウ</t>
    </rPh>
    <phoneticPr fontId="3"/>
  </si>
  <si>
    <t>共産党幹部会委員長</t>
    <rPh sb="0" eb="3">
      <t>キョウサントウ</t>
    </rPh>
    <rPh sb="3" eb="6">
      <t>カンブカイ</t>
    </rPh>
    <rPh sb="6" eb="9">
      <t>イインチョウ</t>
    </rPh>
    <phoneticPr fontId="3"/>
  </si>
  <si>
    <t>畑野　君枝</t>
    <rPh sb="0" eb="2">
      <t>ハタノ</t>
    </rPh>
    <rPh sb="3" eb="5">
      <t>キミエ</t>
    </rPh>
    <phoneticPr fontId="3"/>
  </si>
  <si>
    <t>大(横浜国立)</t>
    <rPh sb="0" eb="1">
      <t>ダイ</t>
    </rPh>
    <rPh sb="2" eb="4">
      <t>ヨコハマ</t>
    </rPh>
    <rPh sb="4" eb="6">
      <t>コクリツ</t>
    </rPh>
    <phoneticPr fontId="3"/>
  </si>
  <si>
    <t>民青同盟神奈川県委員長,中学教諭</t>
    <rPh sb="0" eb="4">
      <t>ミンセイドウメイ</t>
    </rPh>
    <rPh sb="4" eb="8">
      <t>カナガワケン</t>
    </rPh>
    <rPh sb="8" eb="11">
      <t>イインチョウ</t>
    </rPh>
    <rPh sb="12" eb="14">
      <t>チュウガク</t>
    </rPh>
    <rPh sb="14" eb="16">
      <t>キョウユ</t>
    </rPh>
    <phoneticPr fontId="3"/>
  </si>
  <si>
    <t>　参1</t>
    <rPh sb="1" eb="2">
      <t>サン</t>
    </rPh>
    <phoneticPr fontId="3"/>
  </si>
  <si>
    <t>大(日本女子)</t>
    <rPh sb="0" eb="1">
      <t>ダイ</t>
    </rPh>
    <rPh sb="2" eb="4">
      <t>ニホン</t>
    </rPh>
    <rPh sb="4" eb="6">
      <t>ジョシ</t>
    </rPh>
    <phoneticPr fontId="3"/>
  </si>
  <si>
    <t>川島　智太郎</t>
    <rPh sb="0" eb="2">
      <t>カワシマ</t>
    </rPh>
    <rPh sb="3" eb="4">
      <t>トモ</t>
    </rPh>
    <rPh sb="4" eb="6">
      <t>タロウ</t>
    </rPh>
    <phoneticPr fontId="3"/>
  </si>
  <si>
    <t>305比例東京06</t>
    <rPh sb="3" eb="5">
      <t>ヒレイ</t>
    </rPh>
    <rPh sb="5" eb="7">
      <t>トウキョウ</t>
    </rPh>
    <phoneticPr fontId="3"/>
  </si>
  <si>
    <t>大(日本)</t>
    <rPh sb="0" eb="1">
      <t>ダイ</t>
    </rPh>
    <rPh sb="2" eb="4">
      <t>ニホン</t>
    </rPh>
    <phoneticPr fontId="3"/>
  </si>
  <si>
    <t>議員秘書(小沢一郎),空手家</t>
    <rPh sb="0" eb="2">
      <t>ギイン</t>
    </rPh>
    <rPh sb="2" eb="4">
      <t>ヒショ</t>
    </rPh>
    <rPh sb="5" eb="7">
      <t>オザワ</t>
    </rPh>
    <rPh sb="7" eb="9">
      <t>イチロウ</t>
    </rPh>
    <rPh sb="11" eb="14">
      <t>カラテカ</t>
    </rPh>
    <phoneticPr fontId="3"/>
  </si>
  <si>
    <t>タ</t>
    <phoneticPr fontId="3"/>
  </si>
  <si>
    <t>3404比例東京公明01</t>
    <rPh sb="4" eb="6">
      <t>ヒレイ</t>
    </rPh>
    <rPh sb="6" eb="8">
      <t>トウキョウ</t>
    </rPh>
    <rPh sb="8" eb="10">
      <t>コウメイ</t>
    </rPh>
    <phoneticPr fontId="3"/>
  </si>
  <si>
    <t>3404比例東京公明02</t>
    <rPh sb="4" eb="6">
      <t>ヒレイ</t>
    </rPh>
    <rPh sb="6" eb="8">
      <t>トウキョウ</t>
    </rPh>
    <rPh sb="8" eb="10">
      <t>コウメイ</t>
    </rPh>
    <phoneticPr fontId="3"/>
  </si>
  <si>
    <t>高木　陽介</t>
    <rPh sb="0" eb="2">
      <t>タカギ</t>
    </rPh>
    <rPh sb="3" eb="5">
      <t>ヨウスケ</t>
    </rPh>
    <phoneticPr fontId="3"/>
  </si>
  <si>
    <t>新聞記者(毎日新聞)</t>
    <rPh sb="0" eb="2">
      <t>シンブン</t>
    </rPh>
    <rPh sb="2" eb="4">
      <t>キシャ</t>
    </rPh>
    <rPh sb="5" eb="7">
      <t>マイニチ</t>
    </rPh>
    <rPh sb="7" eb="9">
      <t>シンブン</t>
    </rPh>
    <phoneticPr fontId="3"/>
  </si>
  <si>
    <t>ジ</t>
    <phoneticPr fontId="3"/>
  </si>
  <si>
    <t>公明党選対委員長，元政務官(国交)</t>
    <rPh sb="0" eb="3">
      <t>コウメイトウ</t>
    </rPh>
    <rPh sb="3" eb="5">
      <t>センタイ</t>
    </rPh>
    <rPh sb="5" eb="8">
      <t>イインチョウ</t>
    </rPh>
    <rPh sb="9" eb="10">
      <t>モト</t>
    </rPh>
    <rPh sb="10" eb="13">
      <t>セイムカン</t>
    </rPh>
    <rPh sb="14" eb="16">
      <t>コッコウ</t>
    </rPh>
    <phoneticPr fontId="3"/>
  </si>
  <si>
    <t>高木　美智代</t>
    <rPh sb="0" eb="2">
      <t>タカギ</t>
    </rPh>
    <rPh sb="3" eb="6">
      <t>ミチヨ</t>
    </rPh>
    <phoneticPr fontId="3"/>
  </si>
  <si>
    <t>305比例東京14</t>
    <rPh sb="3" eb="5">
      <t>ヒレイ</t>
    </rPh>
    <rPh sb="5" eb="7">
      <t>トウキョウ</t>
    </rPh>
    <phoneticPr fontId="3"/>
  </si>
  <si>
    <t>305比例東京15</t>
    <rPh sb="3" eb="5">
      <t>ヒレイ</t>
    </rPh>
    <rPh sb="5" eb="7">
      <t>トウキョウ</t>
    </rPh>
    <phoneticPr fontId="3"/>
  </si>
  <si>
    <t>　元委長(青少特),政務官(経産)</t>
    <rPh sb="1" eb="2">
      <t>モト</t>
    </rPh>
    <rPh sb="2" eb="4">
      <t>イチョウ</t>
    </rPh>
    <rPh sb="5" eb="6">
      <t>アオ</t>
    </rPh>
    <rPh sb="6" eb="7">
      <t>ショウ</t>
    </rPh>
    <rPh sb="7" eb="8">
      <t>トク</t>
    </rPh>
    <rPh sb="10" eb="13">
      <t>セイムカン</t>
    </rPh>
    <rPh sb="14" eb="16">
      <t>ケイサン</t>
    </rPh>
    <phoneticPr fontId="3"/>
  </si>
  <si>
    <t>創価学会本部職員</t>
    <rPh sb="0" eb="2">
      <t>ソウカ</t>
    </rPh>
    <rPh sb="2" eb="4">
      <t>ガッカイ</t>
    </rPh>
    <rPh sb="4" eb="6">
      <t>ホンブ</t>
    </rPh>
    <rPh sb="6" eb="8">
      <t>ショクイン</t>
    </rPh>
    <phoneticPr fontId="3"/>
  </si>
  <si>
    <t>笠井　　亮</t>
    <rPh sb="0" eb="2">
      <t>カサイ</t>
    </rPh>
    <rPh sb="4" eb="5">
      <t>アキラ</t>
    </rPh>
    <phoneticPr fontId="3"/>
  </si>
  <si>
    <t>305比例東京16</t>
    <rPh sb="3" eb="5">
      <t>ヒレイ</t>
    </rPh>
    <rPh sb="5" eb="7">
      <t>トウキョウ</t>
    </rPh>
    <phoneticPr fontId="3"/>
  </si>
  <si>
    <t>　元委長(参沖北特),参1</t>
    <rPh sb="1" eb="2">
      <t>モト</t>
    </rPh>
    <rPh sb="2" eb="4">
      <t>イチョウ</t>
    </rPh>
    <rPh sb="5" eb="6">
      <t>サン</t>
    </rPh>
    <rPh sb="6" eb="7">
      <t>オキ</t>
    </rPh>
    <rPh sb="7" eb="9">
      <t>ホクトク</t>
    </rPh>
    <rPh sb="11" eb="12">
      <t>サン</t>
    </rPh>
    <phoneticPr fontId="3"/>
  </si>
  <si>
    <t>原水協常任理事,赤旗記者</t>
    <rPh sb="0" eb="3">
      <t>ゲンスイキョウ</t>
    </rPh>
    <rPh sb="3" eb="5">
      <t>ジョウニン</t>
    </rPh>
    <rPh sb="5" eb="7">
      <t>リジ</t>
    </rPh>
    <rPh sb="8" eb="10">
      <t>アカハタ</t>
    </rPh>
    <rPh sb="10" eb="12">
      <t>キシャ</t>
    </rPh>
    <phoneticPr fontId="3"/>
  </si>
  <si>
    <t>宮本　　徹</t>
    <rPh sb="0" eb="2">
      <t>ミヤモト</t>
    </rPh>
    <rPh sb="4" eb="5">
      <t>トオル</t>
    </rPh>
    <phoneticPr fontId="3"/>
  </si>
  <si>
    <t>共産党准中央委員</t>
    <rPh sb="0" eb="3">
      <t>キョウサントウ</t>
    </rPh>
    <rPh sb="3" eb="4">
      <t>ジュン</t>
    </rPh>
    <rPh sb="4" eb="6">
      <t>チュウオウ</t>
    </rPh>
    <rPh sb="6" eb="8">
      <t>イイン</t>
    </rPh>
    <phoneticPr fontId="3"/>
  </si>
  <si>
    <t>129新潟1区01</t>
    <rPh sb="3" eb="5">
      <t>ニイガタ</t>
    </rPh>
    <rPh sb="6" eb="7">
      <t>ク</t>
    </rPh>
    <phoneticPr fontId="3"/>
  </si>
  <si>
    <t>129新潟1区02</t>
    <rPh sb="3" eb="5">
      <t>ニイガタ</t>
    </rPh>
    <rPh sb="6" eb="7">
      <t>ク</t>
    </rPh>
    <phoneticPr fontId="3"/>
  </si>
  <si>
    <t>129新潟1区03</t>
    <rPh sb="3" eb="5">
      <t>ニイガタ</t>
    </rPh>
    <rPh sb="6" eb="7">
      <t>ク</t>
    </rPh>
    <phoneticPr fontId="3"/>
  </si>
  <si>
    <t>西村　智奈美</t>
    <rPh sb="0" eb="2">
      <t>ニシムラ</t>
    </rPh>
    <rPh sb="3" eb="6">
      <t>チナミ</t>
    </rPh>
    <phoneticPr fontId="3"/>
  </si>
  <si>
    <t>129新潟1区</t>
    <rPh sb="3" eb="5">
      <t>ニイガタ</t>
    </rPh>
    <rPh sb="6" eb="7">
      <t>ク</t>
    </rPh>
    <phoneticPr fontId="3"/>
  </si>
  <si>
    <t>大院(新潟)</t>
    <rPh sb="0" eb="2">
      <t>ダイイン</t>
    </rPh>
    <rPh sb="3" eb="5">
      <t>ニイガタ</t>
    </rPh>
    <phoneticPr fontId="3"/>
  </si>
  <si>
    <t>新潟県議(新潟市),大学教員(新潟産業大学非常勤講師)</t>
    <rPh sb="0" eb="2">
      <t>ニイガタ</t>
    </rPh>
    <rPh sb="2" eb="4">
      <t>ケンギ</t>
    </rPh>
    <rPh sb="5" eb="8">
      <t>ニイガタシ</t>
    </rPh>
    <rPh sb="10" eb="12">
      <t>ダイガク</t>
    </rPh>
    <rPh sb="12" eb="14">
      <t>キョウイン</t>
    </rPh>
    <rPh sb="15" eb="17">
      <t>ニイガタ</t>
    </rPh>
    <rPh sb="17" eb="19">
      <t>サンギョウ</t>
    </rPh>
    <rPh sb="19" eb="21">
      <t>ダイガク</t>
    </rPh>
    <rPh sb="21" eb="24">
      <t>ヒジョウキン</t>
    </rPh>
    <rPh sb="24" eb="26">
      <t>コウシ</t>
    </rPh>
    <phoneticPr fontId="3"/>
  </si>
  <si>
    <t>厚生労働副大臣，元政務官(外務)</t>
    <rPh sb="0" eb="2">
      <t>コウセイ</t>
    </rPh>
    <rPh sb="2" eb="4">
      <t>ロウドウ</t>
    </rPh>
    <rPh sb="4" eb="7">
      <t>フクダイジン</t>
    </rPh>
    <rPh sb="8" eb="9">
      <t>モト</t>
    </rPh>
    <rPh sb="9" eb="12">
      <t>セイムカン</t>
    </rPh>
    <rPh sb="13" eb="15">
      <t>ガイム</t>
    </rPh>
    <phoneticPr fontId="3"/>
  </si>
  <si>
    <t>議</t>
    <rPh sb="0" eb="1">
      <t>ギ</t>
    </rPh>
    <phoneticPr fontId="3"/>
  </si>
  <si>
    <t>石崎　　徹</t>
    <rPh sb="0" eb="2">
      <t>イシザキ</t>
    </rPh>
    <rPh sb="4" eb="5">
      <t>トオル</t>
    </rPh>
    <phoneticPr fontId="3"/>
  </si>
  <si>
    <t>内閣官房国家戦略室主査(財務省)</t>
    <rPh sb="0" eb="2">
      <t>ナイカク</t>
    </rPh>
    <rPh sb="2" eb="4">
      <t>カンボウ</t>
    </rPh>
    <rPh sb="4" eb="6">
      <t>コッカ</t>
    </rPh>
    <rPh sb="6" eb="9">
      <t>センリャクシツ</t>
    </rPh>
    <rPh sb="9" eb="11">
      <t>シュサ</t>
    </rPh>
    <rPh sb="12" eb="15">
      <t>ザイムショウ</t>
    </rPh>
    <phoneticPr fontId="3"/>
  </si>
  <si>
    <t>官</t>
    <rPh sb="0" eb="1">
      <t>カン</t>
    </rPh>
    <phoneticPr fontId="3"/>
  </si>
  <si>
    <t>武田　勝利</t>
    <rPh sb="0" eb="2">
      <t>タケダ</t>
    </rPh>
    <rPh sb="3" eb="5">
      <t>カツトシ</t>
    </rPh>
    <phoneticPr fontId="3"/>
  </si>
  <si>
    <t>共産党新潟県政策委員長</t>
    <rPh sb="0" eb="3">
      <t>キョウサントウ</t>
    </rPh>
    <rPh sb="3" eb="6">
      <t>ニイガタケン</t>
    </rPh>
    <rPh sb="6" eb="8">
      <t>セイサク</t>
    </rPh>
    <rPh sb="8" eb="11">
      <t>イインチョウ</t>
    </rPh>
    <phoneticPr fontId="3"/>
  </si>
  <si>
    <t>130新潟2区01</t>
    <rPh sb="3" eb="5">
      <t>ニイガタ</t>
    </rPh>
    <rPh sb="6" eb="7">
      <t>ク</t>
    </rPh>
    <phoneticPr fontId="3"/>
  </si>
  <si>
    <t>130新潟2区02</t>
    <rPh sb="3" eb="5">
      <t>ニイガタ</t>
    </rPh>
    <rPh sb="6" eb="7">
      <t>ク</t>
    </rPh>
    <phoneticPr fontId="3"/>
  </si>
  <si>
    <t>130新潟2区03</t>
    <rPh sb="3" eb="5">
      <t>ニイガタ</t>
    </rPh>
    <rPh sb="6" eb="7">
      <t>ク</t>
    </rPh>
    <phoneticPr fontId="3"/>
  </si>
  <si>
    <t>130新潟2区04</t>
    <rPh sb="3" eb="5">
      <t>ニイガタ</t>
    </rPh>
    <rPh sb="6" eb="7">
      <t>ク</t>
    </rPh>
    <phoneticPr fontId="3"/>
  </si>
  <si>
    <t>鷲尾　英一郎</t>
    <rPh sb="0" eb="2">
      <t>ワシオ</t>
    </rPh>
    <rPh sb="3" eb="6">
      <t>エイイチロウ</t>
    </rPh>
    <phoneticPr fontId="3"/>
  </si>
  <si>
    <t>130新潟2区</t>
    <rPh sb="3" eb="5">
      <t>ニイガタ</t>
    </rPh>
    <rPh sb="6" eb="7">
      <t>ク</t>
    </rPh>
    <phoneticPr fontId="3"/>
  </si>
  <si>
    <t>大(東京)</t>
    <rPh sb="0" eb="1">
      <t>ダイ</t>
    </rPh>
    <rPh sb="2" eb="4">
      <t>トウキョウ</t>
    </rPh>
    <phoneticPr fontId="3"/>
  </si>
  <si>
    <t>公認会計士</t>
    <rPh sb="0" eb="2">
      <t>コウニン</t>
    </rPh>
    <rPh sb="2" eb="5">
      <t>カイケイシ</t>
    </rPh>
    <phoneticPr fontId="3"/>
  </si>
  <si>
    <t>農林水産政務官</t>
    <rPh sb="0" eb="2">
      <t>ノウリン</t>
    </rPh>
    <rPh sb="2" eb="4">
      <t>スイサン</t>
    </rPh>
    <rPh sb="4" eb="7">
      <t>セイムカン</t>
    </rPh>
    <phoneticPr fontId="3"/>
  </si>
  <si>
    <t>細田　健一</t>
    <rPh sb="0" eb="2">
      <t>ホソダ</t>
    </rPh>
    <rPh sb="3" eb="5">
      <t>ケンイチ</t>
    </rPh>
    <phoneticPr fontId="3"/>
  </si>
  <si>
    <t>議員秘書(齋藤健),原子力安全保安院保安課長補佐(経済産業省)</t>
    <rPh sb="0" eb="2">
      <t>ギイン</t>
    </rPh>
    <rPh sb="2" eb="4">
      <t>ヒショ</t>
    </rPh>
    <rPh sb="5" eb="7">
      <t>サイトウ</t>
    </rPh>
    <rPh sb="7" eb="8">
      <t>ケン</t>
    </rPh>
    <rPh sb="10" eb="13">
      <t>ゲンシリョク</t>
    </rPh>
    <rPh sb="13" eb="15">
      <t>アンゼン</t>
    </rPh>
    <rPh sb="15" eb="18">
      <t>ホアンイン</t>
    </rPh>
    <rPh sb="18" eb="20">
      <t>ホアン</t>
    </rPh>
    <rPh sb="20" eb="22">
      <t>カチョウ</t>
    </rPh>
    <rPh sb="22" eb="24">
      <t>ホサ</t>
    </rPh>
    <rPh sb="25" eb="27">
      <t>ケイザイ</t>
    </rPh>
    <rPh sb="27" eb="30">
      <t>サンギョウショウ</t>
    </rPh>
    <phoneticPr fontId="3"/>
  </si>
  <si>
    <t>宮路　敏裕</t>
    <rPh sb="0" eb="2">
      <t>ミヤジ</t>
    </rPh>
    <rPh sb="3" eb="5">
      <t>トシヒロ</t>
    </rPh>
    <phoneticPr fontId="3"/>
  </si>
  <si>
    <t>大(東京経済)</t>
    <rPh sb="0" eb="1">
      <t>ダイ</t>
    </rPh>
    <rPh sb="2" eb="4">
      <t>トウキョウ</t>
    </rPh>
    <rPh sb="4" eb="6">
      <t>ケイザイ</t>
    </rPh>
    <phoneticPr fontId="3"/>
  </si>
  <si>
    <t>共産党地区常任委員,洋食器製造業</t>
    <rPh sb="0" eb="3">
      <t>キョウサントウ</t>
    </rPh>
    <rPh sb="3" eb="5">
      <t>チク</t>
    </rPh>
    <rPh sb="5" eb="7">
      <t>ジョウニン</t>
    </rPh>
    <rPh sb="7" eb="9">
      <t>イイン</t>
    </rPh>
    <rPh sb="10" eb="13">
      <t>ヨウショッキ</t>
    </rPh>
    <rPh sb="13" eb="16">
      <t>セイゾウギョウ</t>
    </rPh>
    <phoneticPr fontId="3"/>
  </si>
  <si>
    <t>大(駒澤)</t>
    <rPh sb="0" eb="1">
      <t>ダイ</t>
    </rPh>
    <rPh sb="2" eb="4">
      <t>コマザワ</t>
    </rPh>
    <phoneticPr fontId="3"/>
  </si>
  <si>
    <t>新潟県平和運動センター議長,新潟県高教組委員長</t>
    <rPh sb="0" eb="3">
      <t>ニイガタケン</t>
    </rPh>
    <rPh sb="3" eb="5">
      <t>ヘイワ</t>
    </rPh>
    <rPh sb="5" eb="7">
      <t>ウンドウ</t>
    </rPh>
    <rPh sb="11" eb="13">
      <t>ギチョウ</t>
    </rPh>
    <rPh sb="14" eb="17">
      <t>ニイガタケン</t>
    </rPh>
    <rPh sb="17" eb="20">
      <t>コウキョウソ</t>
    </rPh>
    <rPh sb="20" eb="23">
      <t>イインチョウ</t>
    </rPh>
    <phoneticPr fontId="3"/>
  </si>
  <si>
    <t>労</t>
    <rPh sb="0" eb="1">
      <t>ロウ</t>
    </rPh>
    <phoneticPr fontId="3"/>
  </si>
  <si>
    <t>渡辺　英明</t>
    <rPh sb="0" eb="2">
      <t>ワタナベ</t>
    </rPh>
    <rPh sb="3" eb="5">
      <t>ヒデアキ</t>
    </rPh>
    <phoneticPr fontId="3"/>
  </si>
  <si>
    <t>131新潟3区01</t>
    <rPh sb="3" eb="5">
      <t>ニイガタ</t>
    </rPh>
    <rPh sb="6" eb="7">
      <t>ク</t>
    </rPh>
    <phoneticPr fontId="3"/>
  </si>
  <si>
    <t>131新潟3区02</t>
    <rPh sb="3" eb="5">
      <t>ニイガタ</t>
    </rPh>
    <rPh sb="6" eb="7">
      <t>ク</t>
    </rPh>
    <phoneticPr fontId="3"/>
  </si>
  <si>
    <t>131新潟3区03</t>
    <rPh sb="3" eb="5">
      <t>ニイガタ</t>
    </rPh>
    <rPh sb="6" eb="7">
      <t>ク</t>
    </rPh>
    <phoneticPr fontId="3"/>
  </si>
  <si>
    <t>黒岩　宇洋</t>
    <rPh sb="0" eb="2">
      <t>クロイワ</t>
    </rPh>
    <rPh sb="3" eb="5">
      <t>タカヒロ</t>
    </rPh>
    <phoneticPr fontId="3"/>
  </si>
  <si>
    <t>131新潟3区</t>
    <rPh sb="3" eb="5">
      <t>ニイガタ</t>
    </rPh>
    <rPh sb="6" eb="7">
      <t>ク</t>
    </rPh>
    <phoneticPr fontId="3"/>
  </si>
  <si>
    <t>大中(東京)</t>
    <rPh sb="0" eb="1">
      <t>ダイ</t>
    </rPh>
    <rPh sb="1" eb="2">
      <t>チュウ</t>
    </rPh>
    <rPh sb="3" eb="5">
      <t>トウキョウ</t>
    </rPh>
    <phoneticPr fontId="3"/>
  </si>
  <si>
    <t>議員秘書(黒岩秩子),研究所代表(黒岩地域福祉研究所)</t>
    <rPh sb="0" eb="2">
      <t>ギイン</t>
    </rPh>
    <rPh sb="2" eb="4">
      <t>ヒショ</t>
    </rPh>
    <rPh sb="5" eb="7">
      <t>クロイワ</t>
    </rPh>
    <rPh sb="7" eb="9">
      <t>チツコ</t>
    </rPh>
    <rPh sb="11" eb="14">
      <t>ケンキュウジョ</t>
    </rPh>
    <rPh sb="14" eb="16">
      <t>ダイヒョウ</t>
    </rPh>
    <rPh sb="17" eb="19">
      <t>クロイワ</t>
    </rPh>
    <rPh sb="19" eb="21">
      <t>チイキ</t>
    </rPh>
    <rPh sb="21" eb="23">
      <t>フクシ</t>
    </rPh>
    <rPh sb="23" eb="26">
      <t>ケンキュウジョ</t>
    </rPh>
    <phoneticPr fontId="3"/>
  </si>
  <si>
    <t>　元委長(参沖北特),政務官(法務),参1</t>
    <rPh sb="1" eb="2">
      <t>モト</t>
    </rPh>
    <rPh sb="2" eb="4">
      <t>イチョウ</t>
    </rPh>
    <rPh sb="5" eb="6">
      <t>サン</t>
    </rPh>
    <rPh sb="6" eb="7">
      <t>オキ</t>
    </rPh>
    <rPh sb="7" eb="9">
      <t>ホクトク</t>
    </rPh>
    <rPh sb="11" eb="14">
      <t>セイムカン</t>
    </rPh>
    <rPh sb="15" eb="17">
      <t>ホウム</t>
    </rPh>
    <rPh sb="19" eb="20">
      <t>サン</t>
    </rPh>
    <phoneticPr fontId="3"/>
  </si>
  <si>
    <t>鞍二</t>
    <rPh sb="0" eb="1">
      <t>クラ</t>
    </rPh>
    <rPh sb="1" eb="2">
      <t>ニ</t>
    </rPh>
    <phoneticPr fontId="3"/>
  </si>
  <si>
    <t>鞍</t>
    <rPh sb="0" eb="1">
      <t>クラ</t>
    </rPh>
    <phoneticPr fontId="3"/>
  </si>
  <si>
    <t>二</t>
    <rPh sb="0" eb="1">
      <t>ニ</t>
    </rPh>
    <phoneticPr fontId="3"/>
  </si>
  <si>
    <t>斎藤　洋明</t>
    <rPh sb="0" eb="2">
      <t>サイトウ</t>
    </rPh>
    <rPh sb="3" eb="5">
      <t>ヒロアキ</t>
    </rPh>
    <phoneticPr fontId="3"/>
  </si>
  <si>
    <t>大院(神戸)</t>
    <rPh sb="0" eb="2">
      <t>ダイイン</t>
    </rPh>
    <rPh sb="3" eb="5">
      <t>コウベ</t>
    </rPh>
    <phoneticPr fontId="3"/>
  </si>
  <si>
    <t>内閣府公共サービス改革推進室参事官補佐</t>
    <rPh sb="0" eb="3">
      <t>ナイカクフ</t>
    </rPh>
    <rPh sb="3" eb="5">
      <t>コウキョウ</t>
    </rPh>
    <rPh sb="9" eb="11">
      <t>カイカク</t>
    </rPh>
    <rPh sb="11" eb="14">
      <t>スイシンシツ</t>
    </rPh>
    <rPh sb="14" eb="17">
      <t>サンジカン</t>
    </rPh>
    <rPh sb="17" eb="19">
      <t>ホサ</t>
    </rPh>
    <phoneticPr fontId="3"/>
  </si>
  <si>
    <t>田中　眞一</t>
    <rPh sb="0" eb="2">
      <t>タナカ</t>
    </rPh>
    <rPh sb="3" eb="5">
      <t>シンイチ</t>
    </rPh>
    <phoneticPr fontId="3"/>
  </si>
  <si>
    <t>高(新潟明訓)</t>
    <rPh sb="0" eb="1">
      <t>コウ</t>
    </rPh>
    <rPh sb="2" eb="4">
      <t>ニイガタ</t>
    </rPh>
    <rPh sb="4" eb="6">
      <t>メイクン</t>
    </rPh>
    <phoneticPr fontId="3"/>
  </si>
  <si>
    <t>共産党地区委員長</t>
    <rPh sb="0" eb="3">
      <t>キョウサントウ</t>
    </rPh>
    <rPh sb="3" eb="5">
      <t>チク</t>
    </rPh>
    <rPh sb="5" eb="8">
      <t>イインチョウ</t>
    </rPh>
    <phoneticPr fontId="3"/>
  </si>
  <si>
    <t>132新潟4区01</t>
    <rPh sb="3" eb="5">
      <t>ニイガタ</t>
    </rPh>
    <rPh sb="6" eb="7">
      <t>ク</t>
    </rPh>
    <phoneticPr fontId="3"/>
  </si>
  <si>
    <t>132新潟4区02</t>
    <rPh sb="3" eb="5">
      <t>ニイガタ</t>
    </rPh>
    <rPh sb="6" eb="7">
      <t>ク</t>
    </rPh>
    <phoneticPr fontId="3"/>
  </si>
  <si>
    <t>132新潟4区03</t>
    <rPh sb="3" eb="5">
      <t>ニイガタ</t>
    </rPh>
    <rPh sb="6" eb="7">
      <t>ク</t>
    </rPh>
    <phoneticPr fontId="3"/>
  </si>
  <si>
    <t>132新潟4区04</t>
    <rPh sb="3" eb="5">
      <t>ニイガタ</t>
    </rPh>
    <rPh sb="6" eb="7">
      <t>ク</t>
    </rPh>
    <phoneticPr fontId="3"/>
  </si>
  <si>
    <t>菊田　真紀子</t>
    <rPh sb="0" eb="2">
      <t>キクタ</t>
    </rPh>
    <rPh sb="3" eb="6">
      <t>マキコ</t>
    </rPh>
    <phoneticPr fontId="3"/>
  </si>
  <si>
    <t>132新潟4区</t>
    <rPh sb="3" eb="5">
      <t>ニイガタ</t>
    </rPh>
    <rPh sb="6" eb="7">
      <t>ク</t>
    </rPh>
    <phoneticPr fontId="3"/>
  </si>
  <si>
    <t>由</t>
    <rPh sb="0" eb="1">
      <t>ユウ</t>
    </rPh>
    <phoneticPr fontId="3"/>
  </si>
  <si>
    <t>高(加茂)</t>
    <rPh sb="0" eb="1">
      <t>コウ</t>
    </rPh>
    <rPh sb="2" eb="4">
      <t>カモ</t>
    </rPh>
    <phoneticPr fontId="3"/>
  </si>
  <si>
    <t>新潟県・加茂市議,語学教室経営</t>
    <rPh sb="0" eb="3">
      <t>ニイガタケン</t>
    </rPh>
    <rPh sb="4" eb="6">
      <t>カモ</t>
    </rPh>
    <rPh sb="6" eb="8">
      <t>シギ</t>
    </rPh>
    <rPh sb="9" eb="11">
      <t>ゴガク</t>
    </rPh>
    <rPh sb="11" eb="13">
      <t>キョウシツ</t>
    </rPh>
    <rPh sb="13" eb="15">
      <t>ケイエイ</t>
    </rPh>
    <phoneticPr fontId="3"/>
  </si>
  <si>
    <t>議</t>
    <rPh sb="0" eb="1">
      <t>ギ</t>
    </rPh>
    <phoneticPr fontId="3"/>
  </si>
  <si>
    <t>金子　恵美</t>
    <rPh sb="0" eb="2">
      <t>カネコ</t>
    </rPh>
    <rPh sb="3" eb="5">
      <t>メグミ</t>
    </rPh>
    <phoneticPr fontId="3"/>
  </si>
  <si>
    <t>議ジ</t>
    <rPh sb="0" eb="1">
      <t>ギ</t>
    </rPh>
    <phoneticPr fontId="3"/>
  </si>
  <si>
    <t>ジ</t>
    <phoneticPr fontId="3"/>
  </si>
  <si>
    <t>新潟県議(新潟市南区),新潟県・新潟市議,フリーライター</t>
    <rPh sb="0" eb="2">
      <t>ニイガタ</t>
    </rPh>
    <rPh sb="2" eb="4">
      <t>ケンギ</t>
    </rPh>
    <rPh sb="5" eb="8">
      <t>ニイガタシ</t>
    </rPh>
    <rPh sb="8" eb="10">
      <t>ミナミク</t>
    </rPh>
    <rPh sb="12" eb="15">
      <t>ニイガタケン</t>
    </rPh>
    <rPh sb="16" eb="18">
      <t>ニイガタ</t>
    </rPh>
    <rPh sb="18" eb="20">
      <t>シギ</t>
    </rPh>
    <phoneticPr fontId="3"/>
  </si>
  <si>
    <t>西澤　　博</t>
    <rPh sb="0" eb="2">
      <t>ニシザワ</t>
    </rPh>
    <rPh sb="4" eb="5">
      <t>ヒロシ</t>
    </rPh>
    <phoneticPr fontId="3"/>
  </si>
  <si>
    <t>大(敬和学園)</t>
    <rPh sb="0" eb="1">
      <t>ダイ</t>
    </rPh>
    <rPh sb="2" eb="4">
      <t>ケイワ</t>
    </rPh>
    <rPh sb="4" eb="6">
      <t>ガクエン</t>
    </rPh>
    <phoneticPr fontId="3"/>
  </si>
  <si>
    <t>共産党新潟県委員,民青同盟新潟県委員長</t>
    <rPh sb="0" eb="3">
      <t>キョウサントウ</t>
    </rPh>
    <rPh sb="3" eb="6">
      <t>ニイガタケン</t>
    </rPh>
    <rPh sb="6" eb="8">
      <t>イイン</t>
    </rPh>
    <rPh sb="9" eb="13">
      <t>ミンセイドウメイ</t>
    </rPh>
    <rPh sb="13" eb="16">
      <t>ニイガタケン</t>
    </rPh>
    <rPh sb="16" eb="19">
      <t>イインチョウ</t>
    </rPh>
    <phoneticPr fontId="3"/>
  </si>
  <si>
    <t>栗原　博久</t>
    <rPh sb="0" eb="2">
      <t>クリハラ</t>
    </rPh>
    <rPh sb="3" eb="5">
      <t>ヒロヒサ</t>
    </rPh>
    <phoneticPr fontId="3"/>
  </si>
  <si>
    <t>大(新潟)</t>
    <rPh sb="0" eb="1">
      <t>ダイ</t>
    </rPh>
    <rPh sb="2" eb="4">
      <t>ニイガタ</t>
    </rPh>
    <phoneticPr fontId="3"/>
  </si>
  <si>
    <t>議員秘書(旗野進一),新潟県職員</t>
    <rPh sb="0" eb="2">
      <t>ギイン</t>
    </rPh>
    <rPh sb="2" eb="4">
      <t>ヒショ</t>
    </rPh>
    <rPh sb="5" eb="6">
      <t>ハタ</t>
    </rPh>
    <rPh sb="6" eb="7">
      <t>ノ</t>
    </rPh>
    <rPh sb="7" eb="9">
      <t>シンイチ</t>
    </rPh>
    <rPh sb="11" eb="14">
      <t>ニイガタケン</t>
    </rPh>
    <rPh sb="14" eb="16">
      <t>ショクイン</t>
    </rPh>
    <phoneticPr fontId="3"/>
  </si>
  <si>
    <t>　元副大臣(農水),政務次官(環境)</t>
    <rPh sb="1" eb="2">
      <t>モト</t>
    </rPh>
    <rPh sb="2" eb="5">
      <t>フクダイジン</t>
    </rPh>
    <rPh sb="6" eb="8">
      <t>ノウスイ</t>
    </rPh>
    <rPh sb="10" eb="12">
      <t>セイム</t>
    </rPh>
    <rPh sb="12" eb="14">
      <t>ジカン</t>
    </rPh>
    <rPh sb="15" eb="17">
      <t>カンキョウ</t>
    </rPh>
    <phoneticPr fontId="3"/>
  </si>
  <si>
    <t>133新潟5区01</t>
    <rPh sb="3" eb="5">
      <t>ニイガタ</t>
    </rPh>
    <rPh sb="6" eb="7">
      <t>ク</t>
    </rPh>
    <phoneticPr fontId="3"/>
  </si>
  <si>
    <t>133新潟5区02</t>
    <rPh sb="3" eb="5">
      <t>ニイガタ</t>
    </rPh>
    <rPh sb="6" eb="7">
      <t>ク</t>
    </rPh>
    <phoneticPr fontId="3"/>
  </si>
  <si>
    <t>133新潟5区03</t>
    <rPh sb="3" eb="5">
      <t>ニイガタ</t>
    </rPh>
    <rPh sb="6" eb="7">
      <t>ク</t>
    </rPh>
    <phoneticPr fontId="3"/>
  </si>
  <si>
    <t>田中　眞紀子</t>
    <rPh sb="0" eb="2">
      <t>タナカ</t>
    </rPh>
    <rPh sb="3" eb="6">
      <t>マキコ</t>
    </rPh>
    <phoneticPr fontId="3"/>
  </si>
  <si>
    <t>133新潟5区</t>
    <rPh sb="3" eb="5">
      <t>ニイガタ</t>
    </rPh>
    <rPh sb="6" eb="7">
      <t>ク</t>
    </rPh>
    <phoneticPr fontId="3"/>
  </si>
  <si>
    <t>会社役員(越後交通)</t>
    <rPh sb="0" eb="2">
      <t>カイシャ</t>
    </rPh>
    <rPh sb="2" eb="4">
      <t>ヤクイン</t>
    </rPh>
    <rPh sb="5" eb="7">
      <t>エチゴ</t>
    </rPh>
    <rPh sb="7" eb="9">
      <t>コウツウ</t>
    </rPh>
    <phoneticPr fontId="3"/>
  </si>
  <si>
    <t>文部科学大臣，元大臣(外務,科技),委長(外務,文科)</t>
    <rPh sb="0" eb="2">
      <t>モンブ</t>
    </rPh>
    <rPh sb="2" eb="4">
      <t>カガク</t>
    </rPh>
    <rPh sb="4" eb="6">
      <t>ダイジン</t>
    </rPh>
    <rPh sb="7" eb="10">
      <t>モトダイジン</t>
    </rPh>
    <rPh sb="11" eb="13">
      <t>ガイム</t>
    </rPh>
    <rPh sb="14" eb="16">
      <t>カギ</t>
    </rPh>
    <rPh sb="18" eb="20">
      <t>イチョウ</t>
    </rPh>
    <rPh sb="21" eb="23">
      <t>ガイム</t>
    </rPh>
    <rPh sb="24" eb="26">
      <t>モンカ</t>
    </rPh>
    <phoneticPr fontId="3"/>
  </si>
  <si>
    <t>二</t>
    <rPh sb="0" eb="1">
      <t>ニ</t>
    </rPh>
    <phoneticPr fontId="3"/>
  </si>
  <si>
    <t>長島　忠美</t>
    <rPh sb="0" eb="2">
      <t>ナガシマ</t>
    </rPh>
    <rPh sb="3" eb="5">
      <t>タダヨシ</t>
    </rPh>
    <phoneticPr fontId="3"/>
  </si>
  <si>
    <t>306比例北信越07</t>
    <rPh sb="3" eb="5">
      <t>ヒレイ</t>
    </rPh>
    <rPh sb="5" eb="8">
      <t>ホクシンエツ</t>
    </rPh>
    <phoneticPr fontId="3"/>
  </si>
  <si>
    <t>新潟県・山古志村長,新潟県・山古志村議,農業</t>
    <rPh sb="0" eb="3">
      <t>ニイガタケン</t>
    </rPh>
    <rPh sb="4" eb="7">
      <t>ヤマコシ</t>
    </rPh>
    <rPh sb="7" eb="9">
      <t>ソンチョウ</t>
    </rPh>
    <rPh sb="10" eb="13">
      <t>ニイガタケン</t>
    </rPh>
    <rPh sb="14" eb="17">
      <t>ヤマコシ</t>
    </rPh>
    <rPh sb="17" eb="19">
      <t>ソンギ</t>
    </rPh>
    <rPh sb="20" eb="22">
      <t>ノウギョウ</t>
    </rPh>
    <phoneticPr fontId="3"/>
  </si>
  <si>
    <t>議首</t>
    <rPh sb="0" eb="1">
      <t>ギ</t>
    </rPh>
    <rPh sb="1" eb="2">
      <t>クビ</t>
    </rPh>
    <phoneticPr fontId="3"/>
  </si>
  <si>
    <t>首</t>
    <rPh sb="0" eb="1">
      <t>クビ</t>
    </rPh>
    <phoneticPr fontId="3"/>
  </si>
  <si>
    <t>服部　耕一</t>
    <rPh sb="0" eb="2">
      <t>ハットリ</t>
    </rPh>
    <rPh sb="3" eb="5">
      <t>コウイチ</t>
    </rPh>
    <phoneticPr fontId="3"/>
  </si>
  <si>
    <t>共産党新潟県委員,みやぎ生協労組役員</t>
    <rPh sb="0" eb="3">
      <t>キョウサントウ</t>
    </rPh>
    <rPh sb="3" eb="6">
      <t>ニイガタケン</t>
    </rPh>
    <rPh sb="6" eb="8">
      <t>イイン</t>
    </rPh>
    <rPh sb="12" eb="14">
      <t>セイキョウ</t>
    </rPh>
    <rPh sb="14" eb="16">
      <t>ロウソ</t>
    </rPh>
    <rPh sb="16" eb="18">
      <t>ヤクイン</t>
    </rPh>
    <phoneticPr fontId="3"/>
  </si>
  <si>
    <t>労</t>
    <rPh sb="0" eb="1">
      <t>ロウ</t>
    </rPh>
    <phoneticPr fontId="3"/>
  </si>
  <si>
    <t>134新潟6区01</t>
    <rPh sb="3" eb="5">
      <t>ニイガタ</t>
    </rPh>
    <rPh sb="6" eb="7">
      <t>ク</t>
    </rPh>
    <phoneticPr fontId="3"/>
  </si>
  <si>
    <t>134新潟6区02</t>
    <rPh sb="3" eb="5">
      <t>ニイガタ</t>
    </rPh>
    <rPh sb="6" eb="7">
      <t>ク</t>
    </rPh>
    <phoneticPr fontId="3"/>
  </si>
  <si>
    <t>134新潟6区03</t>
    <rPh sb="3" eb="5">
      <t>ニイガタ</t>
    </rPh>
    <rPh sb="6" eb="7">
      <t>ク</t>
    </rPh>
    <phoneticPr fontId="3"/>
  </si>
  <si>
    <t>筒井　信隆</t>
    <rPh sb="0" eb="2">
      <t>ツツイ</t>
    </rPh>
    <rPh sb="3" eb="5">
      <t>ノブタカ</t>
    </rPh>
    <phoneticPr fontId="3"/>
  </si>
  <si>
    <t>134新潟6区</t>
    <rPh sb="3" eb="5">
      <t>ニイガタ</t>
    </rPh>
    <rPh sb="6" eb="7">
      <t>ク</t>
    </rPh>
    <phoneticPr fontId="3"/>
  </si>
  <si>
    <t>弁護士</t>
    <rPh sb="0" eb="3">
      <t>ベンゴシ</t>
    </rPh>
    <phoneticPr fontId="3"/>
  </si>
  <si>
    <t>法</t>
    <rPh sb="0" eb="1">
      <t>ホウ</t>
    </rPh>
    <phoneticPr fontId="3"/>
  </si>
  <si>
    <t>　元委長(農水,決行),副大臣(農水)</t>
    <rPh sb="1" eb="2">
      <t>モト</t>
    </rPh>
    <rPh sb="2" eb="4">
      <t>イチョウ</t>
    </rPh>
    <rPh sb="5" eb="7">
      <t>ノウスイ</t>
    </rPh>
    <rPh sb="8" eb="10">
      <t>ケッコウ</t>
    </rPh>
    <rPh sb="12" eb="15">
      <t>フクダイジン</t>
    </rPh>
    <rPh sb="16" eb="18">
      <t>ノウスイ</t>
    </rPh>
    <phoneticPr fontId="3"/>
  </si>
  <si>
    <t>高鳥　修一</t>
    <rPh sb="0" eb="2">
      <t>タカトリ</t>
    </rPh>
    <rPh sb="3" eb="5">
      <t>シュウイチ</t>
    </rPh>
    <phoneticPr fontId="3"/>
  </si>
  <si>
    <t>議員秘書(高鳥修),会社員(大沢商会)</t>
    <rPh sb="0" eb="2">
      <t>ギイン</t>
    </rPh>
    <rPh sb="2" eb="4">
      <t>ヒショ</t>
    </rPh>
    <rPh sb="5" eb="7">
      <t>タカトリ</t>
    </rPh>
    <rPh sb="7" eb="8">
      <t>オサム</t>
    </rPh>
    <rPh sb="10" eb="13">
      <t>カイシャイン</t>
    </rPh>
    <rPh sb="14" eb="16">
      <t>オオサワ</t>
    </rPh>
    <rPh sb="16" eb="18">
      <t>ショウカイ</t>
    </rPh>
    <phoneticPr fontId="3"/>
  </si>
  <si>
    <t>高橋　ミキ子</t>
    <rPh sb="0" eb="2">
      <t>タカハシ</t>
    </rPh>
    <rPh sb="5" eb="6">
      <t>コ</t>
    </rPh>
    <phoneticPr fontId="3"/>
  </si>
  <si>
    <t>短大(新潟)</t>
    <rPh sb="0" eb="2">
      <t>タンダイ</t>
    </rPh>
    <rPh sb="3" eb="5">
      <t>ニイガタ</t>
    </rPh>
    <phoneticPr fontId="3"/>
  </si>
  <si>
    <t>新潟県公務公共一般労組書記次長</t>
    <rPh sb="0" eb="3">
      <t>ニイガタケン</t>
    </rPh>
    <rPh sb="3" eb="5">
      <t>コウム</t>
    </rPh>
    <rPh sb="5" eb="7">
      <t>コウキョウ</t>
    </rPh>
    <rPh sb="7" eb="9">
      <t>イッパン</t>
    </rPh>
    <rPh sb="9" eb="11">
      <t>ロウソ</t>
    </rPh>
    <rPh sb="11" eb="13">
      <t>ショキ</t>
    </rPh>
    <rPh sb="13" eb="15">
      <t>ジチョウ</t>
    </rPh>
    <phoneticPr fontId="3"/>
  </si>
  <si>
    <t>135富山1区01</t>
    <rPh sb="3" eb="5">
      <t>トヤマ</t>
    </rPh>
    <rPh sb="6" eb="7">
      <t>ク</t>
    </rPh>
    <phoneticPr fontId="3"/>
  </si>
  <si>
    <t>135富山1区02</t>
    <rPh sb="3" eb="5">
      <t>トヤマ</t>
    </rPh>
    <rPh sb="6" eb="7">
      <t>ク</t>
    </rPh>
    <phoneticPr fontId="3"/>
  </si>
  <si>
    <t>135富山1区03</t>
    <rPh sb="3" eb="5">
      <t>トヤマ</t>
    </rPh>
    <rPh sb="6" eb="7">
      <t>ク</t>
    </rPh>
    <phoneticPr fontId="3"/>
  </si>
  <si>
    <t>135富山1区04</t>
    <rPh sb="3" eb="5">
      <t>トヤマ</t>
    </rPh>
    <rPh sb="6" eb="7">
      <t>ク</t>
    </rPh>
    <phoneticPr fontId="3"/>
  </si>
  <si>
    <t>村井　宗明</t>
    <rPh sb="0" eb="2">
      <t>ムライ</t>
    </rPh>
    <rPh sb="3" eb="5">
      <t>ムネアキ</t>
    </rPh>
    <phoneticPr fontId="3"/>
  </si>
  <si>
    <t>135富山1区</t>
    <rPh sb="3" eb="5">
      <t>トヤマ</t>
    </rPh>
    <rPh sb="6" eb="7">
      <t>ク</t>
    </rPh>
    <phoneticPr fontId="3"/>
  </si>
  <si>
    <t>大(同志社)</t>
    <rPh sb="0" eb="1">
      <t>ダイ</t>
    </rPh>
    <rPh sb="2" eb="5">
      <t>ドウシシャ</t>
    </rPh>
    <phoneticPr fontId="3"/>
  </si>
  <si>
    <t>民主党本部職員</t>
    <rPh sb="0" eb="3">
      <t>ミンシュトウ</t>
    </rPh>
    <rPh sb="3" eb="5">
      <t>ホンブ</t>
    </rPh>
    <rPh sb="5" eb="7">
      <t>ショクイン</t>
    </rPh>
    <phoneticPr fontId="3"/>
  </si>
  <si>
    <t>文部科学政務官，元委長(災害特)</t>
    <rPh sb="0" eb="2">
      <t>モンブ</t>
    </rPh>
    <rPh sb="2" eb="4">
      <t>カガク</t>
    </rPh>
    <rPh sb="4" eb="7">
      <t>セイムカン</t>
    </rPh>
    <rPh sb="8" eb="9">
      <t>モト</t>
    </rPh>
    <rPh sb="9" eb="11">
      <t>イチョウ</t>
    </rPh>
    <rPh sb="12" eb="14">
      <t>サイガイ</t>
    </rPh>
    <rPh sb="14" eb="15">
      <t>トク</t>
    </rPh>
    <phoneticPr fontId="3"/>
  </si>
  <si>
    <t>田畑　裕明</t>
    <rPh sb="0" eb="2">
      <t>タバタ</t>
    </rPh>
    <rPh sb="3" eb="5">
      <t>ヒロアキ</t>
    </rPh>
    <phoneticPr fontId="3"/>
  </si>
  <si>
    <t>富山県議(富山市第1),銀行員(富山第一銀行)</t>
    <rPh sb="0" eb="2">
      <t>トヤマ</t>
    </rPh>
    <rPh sb="2" eb="4">
      <t>ケンギ</t>
    </rPh>
    <rPh sb="5" eb="8">
      <t>トヤマシ</t>
    </rPh>
    <rPh sb="8" eb="9">
      <t>ダイ</t>
    </rPh>
    <rPh sb="12" eb="15">
      <t>ギンコウイン</t>
    </rPh>
    <rPh sb="16" eb="18">
      <t>トヤマ</t>
    </rPh>
    <rPh sb="18" eb="20">
      <t>ダイイチ</t>
    </rPh>
    <rPh sb="20" eb="22">
      <t>ギンコウ</t>
    </rPh>
    <phoneticPr fontId="3"/>
  </si>
  <si>
    <t>山田　哲男</t>
    <rPh sb="0" eb="2">
      <t>ヤマダ</t>
    </rPh>
    <rPh sb="3" eb="5">
      <t>テツオ</t>
    </rPh>
    <phoneticPr fontId="3"/>
  </si>
  <si>
    <t>短大中(富山大学経営短大部)</t>
    <rPh sb="0" eb="2">
      <t>タンダイ</t>
    </rPh>
    <rPh sb="2" eb="3">
      <t>チュウ</t>
    </rPh>
    <rPh sb="4" eb="6">
      <t>トヤマ</t>
    </rPh>
    <rPh sb="6" eb="8">
      <t>ダイガク</t>
    </rPh>
    <rPh sb="8" eb="10">
      <t>ケイエイ</t>
    </rPh>
    <rPh sb="10" eb="13">
      <t>タンダイブ</t>
    </rPh>
    <phoneticPr fontId="3"/>
  </si>
  <si>
    <t>共産党地区副委員長</t>
    <rPh sb="0" eb="3">
      <t>キョウサントウ</t>
    </rPh>
    <rPh sb="3" eb="5">
      <t>チク</t>
    </rPh>
    <rPh sb="5" eb="9">
      <t>フクイインチョウ</t>
    </rPh>
    <phoneticPr fontId="3"/>
  </si>
  <si>
    <t>吉田　豊史</t>
    <rPh sb="0" eb="2">
      <t>ヨシダ</t>
    </rPh>
    <rPh sb="3" eb="5">
      <t>トヨフミ</t>
    </rPh>
    <phoneticPr fontId="3"/>
  </si>
  <si>
    <t>富山県議(富山市第1),会社役員(ESTカフェ)</t>
    <rPh sb="0" eb="2">
      <t>トヤマ</t>
    </rPh>
    <rPh sb="2" eb="4">
      <t>ケンギ</t>
    </rPh>
    <rPh sb="5" eb="8">
      <t>トヤマシ</t>
    </rPh>
    <rPh sb="8" eb="9">
      <t>ダイ</t>
    </rPh>
    <rPh sb="12" eb="14">
      <t>カイシャ</t>
    </rPh>
    <rPh sb="14" eb="16">
      <t>ヤクイン</t>
    </rPh>
    <phoneticPr fontId="3"/>
  </si>
  <si>
    <t>136富山2区01</t>
    <rPh sb="3" eb="5">
      <t>トヤマ</t>
    </rPh>
    <rPh sb="6" eb="7">
      <t>ク</t>
    </rPh>
    <phoneticPr fontId="3"/>
  </si>
  <si>
    <t>136富山2区02</t>
    <rPh sb="3" eb="5">
      <t>トヤマ</t>
    </rPh>
    <rPh sb="6" eb="7">
      <t>ク</t>
    </rPh>
    <phoneticPr fontId="3"/>
  </si>
  <si>
    <t>136富山2区03</t>
    <rPh sb="3" eb="5">
      <t>トヤマ</t>
    </rPh>
    <rPh sb="6" eb="7">
      <t>ク</t>
    </rPh>
    <phoneticPr fontId="3"/>
  </si>
  <si>
    <t>宮腰　光寛</t>
    <rPh sb="0" eb="2">
      <t>ミヤコシ</t>
    </rPh>
    <rPh sb="3" eb="5">
      <t>ミツヒロ</t>
    </rPh>
    <phoneticPr fontId="3"/>
  </si>
  <si>
    <t>136富山2区</t>
    <rPh sb="3" eb="5">
      <t>トヤマ</t>
    </rPh>
    <rPh sb="6" eb="7">
      <t>ク</t>
    </rPh>
    <phoneticPr fontId="3"/>
  </si>
  <si>
    <t>大中(京都)</t>
    <rPh sb="0" eb="1">
      <t>ダイ</t>
    </rPh>
    <rPh sb="1" eb="2">
      <t>チュウ</t>
    </rPh>
    <rPh sb="3" eb="5">
      <t>キョウト</t>
    </rPh>
    <phoneticPr fontId="3"/>
  </si>
  <si>
    <t>富山県議(黒部市),黒部JC理事長</t>
    <rPh sb="0" eb="2">
      <t>トヤマ</t>
    </rPh>
    <rPh sb="2" eb="4">
      <t>ケンギ</t>
    </rPh>
    <rPh sb="5" eb="8">
      <t>クロベシ</t>
    </rPh>
    <rPh sb="10" eb="12">
      <t>クロベ</t>
    </rPh>
    <rPh sb="14" eb="17">
      <t>リジチョウ</t>
    </rPh>
    <phoneticPr fontId="3"/>
  </si>
  <si>
    <t>　元委長(農水),副大臣(農水),政務官(内閣,農水)</t>
    <rPh sb="1" eb="2">
      <t>モト</t>
    </rPh>
    <rPh sb="2" eb="4">
      <t>イチョウ</t>
    </rPh>
    <rPh sb="5" eb="7">
      <t>ノウスイ</t>
    </rPh>
    <rPh sb="9" eb="12">
      <t>フクダイジン</t>
    </rPh>
    <rPh sb="13" eb="15">
      <t>ノウスイ</t>
    </rPh>
    <rPh sb="17" eb="20">
      <t>セイムカン</t>
    </rPh>
    <rPh sb="21" eb="23">
      <t>ナイカク</t>
    </rPh>
    <rPh sb="24" eb="26">
      <t>ノウスイ</t>
    </rPh>
    <phoneticPr fontId="3"/>
  </si>
  <si>
    <t>議</t>
    <rPh sb="0" eb="1">
      <t>ギ</t>
    </rPh>
    <phoneticPr fontId="3"/>
  </si>
  <si>
    <t>東　　　篤</t>
    <rPh sb="0" eb="1">
      <t>アズマ</t>
    </rPh>
    <rPh sb="4" eb="5">
      <t>アツシ</t>
    </rPh>
    <phoneticPr fontId="3"/>
  </si>
  <si>
    <t>高(八尾)</t>
    <rPh sb="0" eb="1">
      <t>コウ</t>
    </rPh>
    <rPh sb="2" eb="4">
      <t>ヤオ</t>
    </rPh>
    <phoneticPr fontId="3"/>
  </si>
  <si>
    <t>労</t>
    <rPh sb="0" eb="1">
      <t>ロウ</t>
    </rPh>
    <phoneticPr fontId="3"/>
  </si>
  <si>
    <t>浅野　隆雄</t>
    <rPh sb="0" eb="2">
      <t>アサノ</t>
    </rPh>
    <rPh sb="3" eb="5">
      <t>タカオ</t>
    </rPh>
    <phoneticPr fontId="3"/>
  </si>
  <si>
    <t>大(千葉商科)</t>
    <rPh sb="0" eb="1">
      <t>ダイ</t>
    </rPh>
    <rPh sb="2" eb="4">
      <t>チバ</t>
    </rPh>
    <rPh sb="4" eb="6">
      <t>ショウカ</t>
    </rPh>
    <phoneticPr fontId="3"/>
  </si>
  <si>
    <t>労</t>
    <rPh sb="0" eb="1">
      <t>ロウ</t>
    </rPh>
    <phoneticPr fontId="3"/>
  </si>
  <si>
    <t>社民党北海道連合幹事長,議員秘書(山内惠子),全逓地区役員</t>
    <rPh sb="0" eb="3">
      <t>シャミントウ</t>
    </rPh>
    <rPh sb="3" eb="6">
      <t>ホッカイドウ</t>
    </rPh>
    <rPh sb="6" eb="8">
      <t>レンゴウ</t>
    </rPh>
    <rPh sb="8" eb="11">
      <t>カンジチョウ</t>
    </rPh>
    <rPh sb="12" eb="14">
      <t>ギイン</t>
    </rPh>
    <rPh sb="14" eb="16">
      <t>ヒショ</t>
    </rPh>
    <rPh sb="17" eb="19">
      <t>ヤマウチ</t>
    </rPh>
    <rPh sb="19" eb="21">
      <t>ケイコ</t>
    </rPh>
    <rPh sb="23" eb="25">
      <t>ゼンテイ</t>
    </rPh>
    <rPh sb="25" eb="27">
      <t>チク</t>
    </rPh>
    <rPh sb="27" eb="29">
      <t>ヤクイン</t>
    </rPh>
    <phoneticPr fontId="3"/>
  </si>
  <si>
    <t>議員秘書(又市征治),富山県平和運動センター事務局長,国労地区役員</t>
    <rPh sb="0" eb="2">
      <t>ギイン</t>
    </rPh>
    <rPh sb="2" eb="4">
      <t>ヒショ</t>
    </rPh>
    <rPh sb="5" eb="6">
      <t>マタ</t>
    </rPh>
    <rPh sb="6" eb="7">
      <t>イチ</t>
    </rPh>
    <rPh sb="7" eb="9">
      <t>セイジ</t>
    </rPh>
    <rPh sb="11" eb="14">
      <t>トヤマケン</t>
    </rPh>
    <rPh sb="14" eb="16">
      <t>ヘイワ</t>
    </rPh>
    <rPh sb="16" eb="18">
      <t>ウンドウ</t>
    </rPh>
    <rPh sb="22" eb="24">
      <t>ジム</t>
    </rPh>
    <rPh sb="24" eb="26">
      <t>キョクチョウ</t>
    </rPh>
    <rPh sb="27" eb="29">
      <t>コクロウ</t>
    </rPh>
    <rPh sb="29" eb="31">
      <t>チク</t>
    </rPh>
    <rPh sb="31" eb="33">
      <t>ヤクイン</t>
    </rPh>
    <phoneticPr fontId="3"/>
  </si>
  <si>
    <t>137富山3区01</t>
    <rPh sb="3" eb="5">
      <t>トヤマ</t>
    </rPh>
    <rPh sb="6" eb="7">
      <t>ク</t>
    </rPh>
    <phoneticPr fontId="3"/>
  </si>
  <si>
    <t>137富山3区02</t>
    <rPh sb="3" eb="5">
      <t>トヤマ</t>
    </rPh>
    <rPh sb="6" eb="7">
      <t>ク</t>
    </rPh>
    <phoneticPr fontId="3"/>
  </si>
  <si>
    <t>137富山3区03</t>
    <rPh sb="3" eb="5">
      <t>トヤマ</t>
    </rPh>
    <rPh sb="6" eb="7">
      <t>ク</t>
    </rPh>
    <phoneticPr fontId="3"/>
  </si>
  <si>
    <t>橘　慶一郎</t>
    <rPh sb="0" eb="1">
      <t>タチバナ</t>
    </rPh>
    <rPh sb="2" eb="5">
      <t>ケイイチロウ</t>
    </rPh>
    <phoneticPr fontId="3"/>
  </si>
  <si>
    <t>137富山3区</t>
    <rPh sb="3" eb="5">
      <t>トヤマ</t>
    </rPh>
    <rPh sb="6" eb="7">
      <t>ク</t>
    </rPh>
    <phoneticPr fontId="3"/>
  </si>
  <si>
    <t>大院(英/ケンブリッジ)</t>
    <rPh sb="0" eb="2">
      <t>ダイイン</t>
    </rPh>
    <rPh sb="3" eb="4">
      <t>エイ</t>
    </rPh>
    <phoneticPr fontId="3"/>
  </si>
  <si>
    <t>富山県・高岡市長,会社社長(伏木海陸運送),北海道開発庁企画室開発専門官</t>
    <rPh sb="0" eb="3">
      <t>トヤマケン</t>
    </rPh>
    <rPh sb="4" eb="6">
      <t>タカオカ</t>
    </rPh>
    <rPh sb="6" eb="8">
      <t>シチョウ</t>
    </rPh>
    <rPh sb="9" eb="11">
      <t>カイシャ</t>
    </rPh>
    <rPh sb="11" eb="13">
      <t>シャチョウ</t>
    </rPh>
    <rPh sb="14" eb="16">
      <t>フセキ</t>
    </rPh>
    <rPh sb="16" eb="18">
      <t>カイリク</t>
    </rPh>
    <rPh sb="18" eb="20">
      <t>ウンソウ</t>
    </rPh>
    <rPh sb="22" eb="25">
      <t>ホッカイドウ</t>
    </rPh>
    <rPh sb="25" eb="28">
      <t>カイハツチョウ</t>
    </rPh>
    <rPh sb="28" eb="31">
      <t>キカクシツ</t>
    </rPh>
    <rPh sb="31" eb="33">
      <t>カイハツ</t>
    </rPh>
    <rPh sb="33" eb="36">
      <t>センモンカン</t>
    </rPh>
    <phoneticPr fontId="3"/>
  </si>
  <si>
    <t>官首二</t>
    <rPh sb="0" eb="1">
      <t>カン</t>
    </rPh>
    <rPh sb="1" eb="2">
      <t>クビ</t>
    </rPh>
    <rPh sb="2" eb="3">
      <t>ニ</t>
    </rPh>
    <phoneticPr fontId="3"/>
  </si>
  <si>
    <t>官</t>
    <rPh sb="0" eb="1">
      <t>カン</t>
    </rPh>
    <phoneticPr fontId="3"/>
  </si>
  <si>
    <t>首</t>
    <rPh sb="0" eb="1">
      <t>クビ</t>
    </rPh>
    <phoneticPr fontId="3"/>
  </si>
  <si>
    <t>二</t>
    <rPh sb="0" eb="1">
      <t>ニ</t>
    </rPh>
    <phoneticPr fontId="3"/>
  </si>
  <si>
    <t>泉野　和之</t>
    <rPh sb="0" eb="2">
      <t>イズミノ</t>
    </rPh>
    <rPh sb="3" eb="5">
      <t>カズユキ</t>
    </rPh>
    <phoneticPr fontId="3"/>
  </si>
  <si>
    <t>大(東北)</t>
    <rPh sb="0" eb="1">
      <t>ダイ</t>
    </rPh>
    <rPh sb="2" eb="4">
      <t>トウホク</t>
    </rPh>
    <phoneticPr fontId="3"/>
  </si>
  <si>
    <t>共産党地区委員長,民青同盟富山県委員長</t>
    <rPh sb="0" eb="3">
      <t>キョウサントウ</t>
    </rPh>
    <rPh sb="3" eb="5">
      <t>チク</t>
    </rPh>
    <rPh sb="5" eb="8">
      <t>イインチョウ</t>
    </rPh>
    <rPh sb="9" eb="11">
      <t>ミンセイ</t>
    </rPh>
    <rPh sb="11" eb="13">
      <t>ドウメイ</t>
    </rPh>
    <rPh sb="13" eb="16">
      <t>トヤマケン</t>
    </rPh>
    <rPh sb="16" eb="19">
      <t>イインチョウ</t>
    </rPh>
    <phoneticPr fontId="3"/>
  </si>
  <si>
    <t>138石川1区01</t>
    <rPh sb="3" eb="5">
      <t>イシカワ</t>
    </rPh>
    <rPh sb="6" eb="7">
      <t>ク</t>
    </rPh>
    <phoneticPr fontId="3"/>
  </si>
  <si>
    <t>138石川1区02</t>
    <rPh sb="3" eb="5">
      <t>イシカワ</t>
    </rPh>
    <rPh sb="6" eb="7">
      <t>ク</t>
    </rPh>
    <phoneticPr fontId="3"/>
  </si>
  <si>
    <t>138石川1区03</t>
    <rPh sb="3" eb="5">
      <t>イシカワ</t>
    </rPh>
    <rPh sb="6" eb="7">
      <t>ク</t>
    </rPh>
    <phoneticPr fontId="3"/>
  </si>
  <si>
    <t>奥田　　建</t>
    <rPh sb="0" eb="2">
      <t>オクダ</t>
    </rPh>
    <rPh sb="4" eb="5">
      <t>ケン</t>
    </rPh>
    <phoneticPr fontId="3"/>
  </si>
  <si>
    <t>138石川1区</t>
    <rPh sb="3" eb="5">
      <t>イシカワ</t>
    </rPh>
    <rPh sb="6" eb="7">
      <t>ク</t>
    </rPh>
    <phoneticPr fontId="3"/>
  </si>
  <si>
    <t>進</t>
    <rPh sb="0" eb="1">
      <t>シン</t>
    </rPh>
    <phoneticPr fontId="3"/>
  </si>
  <si>
    <t>大(日本)</t>
    <rPh sb="0" eb="1">
      <t>ダイ</t>
    </rPh>
    <rPh sb="2" eb="4">
      <t>ニホン</t>
    </rPh>
    <phoneticPr fontId="3"/>
  </si>
  <si>
    <t>会社役員(治山社)</t>
    <rPh sb="0" eb="2">
      <t>カイシャ</t>
    </rPh>
    <rPh sb="2" eb="4">
      <t>ヤクイン</t>
    </rPh>
    <rPh sb="5" eb="7">
      <t>チサン</t>
    </rPh>
    <rPh sb="7" eb="8">
      <t>シャ</t>
    </rPh>
    <phoneticPr fontId="3"/>
  </si>
  <si>
    <t>　元委長(法務,安保),副大臣(国交)</t>
    <rPh sb="1" eb="2">
      <t>モト</t>
    </rPh>
    <rPh sb="2" eb="4">
      <t>イチョウ</t>
    </rPh>
    <rPh sb="5" eb="7">
      <t>ホウム</t>
    </rPh>
    <rPh sb="8" eb="10">
      <t>アンポ</t>
    </rPh>
    <rPh sb="12" eb="15">
      <t>フクダイジン</t>
    </rPh>
    <rPh sb="16" eb="18">
      <t>コッコウ</t>
    </rPh>
    <phoneticPr fontId="3"/>
  </si>
  <si>
    <t>馳　　　浩</t>
    <rPh sb="0" eb="1">
      <t>ハセ</t>
    </rPh>
    <rPh sb="4" eb="5">
      <t>ヒロシ</t>
    </rPh>
    <phoneticPr fontId="3"/>
  </si>
  <si>
    <t>306比例北信越09</t>
    <rPh sb="3" eb="5">
      <t>ヒレイ</t>
    </rPh>
    <rPh sb="5" eb="8">
      <t>ホクシンエツ</t>
    </rPh>
    <phoneticPr fontId="3"/>
  </si>
  <si>
    <t>大(専修)</t>
    <rPh sb="0" eb="1">
      <t>ダイ</t>
    </rPh>
    <rPh sb="2" eb="4">
      <t>センシュウ</t>
    </rPh>
    <phoneticPr fontId="3"/>
  </si>
  <si>
    <t>プロレスラー,高校教諭</t>
    <rPh sb="7" eb="9">
      <t>コウコウ</t>
    </rPh>
    <rPh sb="9" eb="11">
      <t>キョウユ</t>
    </rPh>
    <phoneticPr fontId="3"/>
  </si>
  <si>
    <t>鞍タ</t>
    <rPh sb="0" eb="1">
      <t>クラ</t>
    </rPh>
    <phoneticPr fontId="3"/>
  </si>
  <si>
    <t>鞍</t>
    <rPh sb="0" eb="1">
      <t>クラ</t>
    </rPh>
    <phoneticPr fontId="3"/>
  </si>
  <si>
    <t>タ</t>
    <phoneticPr fontId="3"/>
  </si>
  <si>
    <t>　元副大臣(文科),政務官(文科),参1</t>
    <rPh sb="1" eb="2">
      <t>モト</t>
    </rPh>
    <rPh sb="2" eb="5">
      <t>フクダイジン</t>
    </rPh>
    <rPh sb="6" eb="8">
      <t>モンカ</t>
    </rPh>
    <rPh sb="10" eb="13">
      <t>セイムカン</t>
    </rPh>
    <rPh sb="14" eb="16">
      <t>モンカ</t>
    </rPh>
    <rPh sb="18" eb="19">
      <t>サン</t>
    </rPh>
    <phoneticPr fontId="3"/>
  </si>
  <si>
    <t>黒崎　清則</t>
    <rPh sb="0" eb="2">
      <t>クロサキ</t>
    </rPh>
    <rPh sb="3" eb="5">
      <t>キヨノリ</t>
    </rPh>
    <phoneticPr fontId="3"/>
  </si>
  <si>
    <t>高(羽咋工)</t>
    <rPh sb="0" eb="1">
      <t>コウ</t>
    </rPh>
    <rPh sb="2" eb="4">
      <t>ハクイ</t>
    </rPh>
    <rPh sb="4" eb="5">
      <t>コウ</t>
    </rPh>
    <phoneticPr fontId="3"/>
  </si>
  <si>
    <t>共産党地区委員長,東京都職員</t>
    <rPh sb="0" eb="3">
      <t>キョウサントウ</t>
    </rPh>
    <rPh sb="3" eb="5">
      <t>チク</t>
    </rPh>
    <rPh sb="5" eb="8">
      <t>イインチョウ</t>
    </rPh>
    <rPh sb="9" eb="12">
      <t>トウキョウト</t>
    </rPh>
    <rPh sb="12" eb="14">
      <t>ショクイン</t>
    </rPh>
    <phoneticPr fontId="3"/>
  </si>
  <si>
    <t>139石川2区01</t>
    <rPh sb="3" eb="5">
      <t>イシカワ</t>
    </rPh>
    <rPh sb="6" eb="7">
      <t>ク</t>
    </rPh>
    <phoneticPr fontId="3"/>
  </si>
  <si>
    <t>139石川2区02</t>
    <rPh sb="3" eb="5">
      <t>イシカワ</t>
    </rPh>
    <rPh sb="6" eb="7">
      <t>ク</t>
    </rPh>
    <phoneticPr fontId="3"/>
  </si>
  <si>
    <t>139石川2区03</t>
    <rPh sb="3" eb="5">
      <t>イシカワ</t>
    </rPh>
    <rPh sb="6" eb="7">
      <t>ク</t>
    </rPh>
    <phoneticPr fontId="3"/>
  </si>
  <si>
    <t>139石川2区04</t>
    <rPh sb="3" eb="5">
      <t>イシカワ</t>
    </rPh>
    <rPh sb="6" eb="7">
      <t>ク</t>
    </rPh>
    <phoneticPr fontId="3"/>
  </si>
  <si>
    <t>田中　美絵子</t>
    <rPh sb="0" eb="2">
      <t>タナカ</t>
    </rPh>
    <rPh sb="3" eb="6">
      <t>ミエコ</t>
    </rPh>
    <phoneticPr fontId="3"/>
  </si>
  <si>
    <t>議員秘書(河村たかし,平田健二),ツアーコンダクター</t>
    <rPh sb="0" eb="2">
      <t>ギイン</t>
    </rPh>
    <rPh sb="2" eb="4">
      <t>ヒショ</t>
    </rPh>
    <rPh sb="5" eb="7">
      <t>カワムラ</t>
    </rPh>
    <rPh sb="11" eb="13">
      <t>ヒラタ</t>
    </rPh>
    <rPh sb="13" eb="15">
      <t>ケンジ</t>
    </rPh>
    <phoneticPr fontId="3"/>
  </si>
  <si>
    <t>佐々木　紀</t>
    <rPh sb="0" eb="3">
      <t>ササキ</t>
    </rPh>
    <rPh sb="4" eb="5">
      <t>ハジメ</t>
    </rPh>
    <phoneticPr fontId="3"/>
  </si>
  <si>
    <t>小松JC理事長,会社役員(ビルカン)</t>
    <rPh sb="0" eb="2">
      <t>コマツ</t>
    </rPh>
    <rPh sb="4" eb="7">
      <t>リジチョウ</t>
    </rPh>
    <rPh sb="8" eb="10">
      <t>カイシャ</t>
    </rPh>
    <rPh sb="10" eb="12">
      <t>ヤクイン</t>
    </rPh>
    <phoneticPr fontId="3"/>
  </si>
  <si>
    <t>西村　祐士</t>
    <rPh sb="0" eb="2">
      <t>ニシムラ</t>
    </rPh>
    <rPh sb="3" eb="5">
      <t>ヒロシ</t>
    </rPh>
    <phoneticPr fontId="3"/>
  </si>
  <si>
    <t>共産党地区委員長</t>
    <rPh sb="0" eb="3">
      <t>キョウサントウ</t>
    </rPh>
    <rPh sb="3" eb="5">
      <t>チク</t>
    </rPh>
    <rPh sb="5" eb="8">
      <t>イインチョウ</t>
    </rPh>
    <phoneticPr fontId="3"/>
  </si>
  <si>
    <t>大(金沢)</t>
    <rPh sb="0" eb="1">
      <t>ダイ</t>
    </rPh>
    <rPh sb="2" eb="4">
      <t>カナザワ</t>
    </rPh>
    <phoneticPr fontId="3"/>
  </si>
  <si>
    <t>細野　祐治</t>
    <rPh sb="0" eb="2">
      <t>ホソノ</t>
    </rPh>
    <rPh sb="3" eb="5">
      <t>ユウジ</t>
    </rPh>
    <phoneticPr fontId="3"/>
  </si>
  <si>
    <t>石川県・加賀市議,石川県教組役員</t>
    <rPh sb="0" eb="3">
      <t>イシカワケン</t>
    </rPh>
    <rPh sb="4" eb="6">
      <t>カガ</t>
    </rPh>
    <rPh sb="6" eb="8">
      <t>シギ</t>
    </rPh>
    <rPh sb="9" eb="12">
      <t>イシカワケン</t>
    </rPh>
    <rPh sb="12" eb="14">
      <t>キョウソ</t>
    </rPh>
    <rPh sb="14" eb="16">
      <t>ヤクイン</t>
    </rPh>
    <phoneticPr fontId="3"/>
  </si>
  <si>
    <t>議労</t>
    <rPh sb="0" eb="1">
      <t>ギ</t>
    </rPh>
    <rPh sb="1" eb="2">
      <t>ロウ</t>
    </rPh>
    <phoneticPr fontId="3"/>
  </si>
  <si>
    <t>140石川3区01</t>
    <rPh sb="3" eb="5">
      <t>イシカワ</t>
    </rPh>
    <rPh sb="6" eb="7">
      <t>ク</t>
    </rPh>
    <phoneticPr fontId="3"/>
  </si>
  <si>
    <t>140石川3区02</t>
    <rPh sb="3" eb="5">
      <t>イシカワ</t>
    </rPh>
    <rPh sb="6" eb="7">
      <t>ク</t>
    </rPh>
    <phoneticPr fontId="3"/>
  </si>
  <si>
    <t>140石川3区03</t>
    <rPh sb="3" eb="5">
      <t>イシカワ</t>
    </rPh>
    <rPh sb="6" eb="7">
      <t>ク</t>
    </rPh>
    <phoneticPr fontId="3"/>
  </si>
  <si>
    <t>近藤　和也</t>
    <rPh sb="0" eb="2">
      <t>コンドウ</t>
    </rPh>
    <rPh sb="3" eb="5">
      <t>カズヤ</t>
    </rPh>
    <phoneticPr fontId="3"/>
  </si>
  <si>
    <t>140石川3区</t>
    <rPh sb="3" eb="5">
      <t>イシカワ</t>
    </rPh>
    <rPh sb="6" eb="7">
      <t>ク</t>
    </rPh>
    <phoneticPr fontId="3"/>
  </si>
  <si>
    <t>他</t>
    <rPh sb="0" eb="1">
      <t>ホカ</t>
    </rPh>
    <phoneticPr fontId="3"/>
  </si>
  <si>
    <t>大(京都)</t>
    <rPh sb="0" eb="1">
      <t>ダイ</t>
    </rPh>
    <rPh sb="2" eb="4">
      <t>キョウト</t>
    </rPh>
    <phoneticPr fontId="3"/>
  </si>
  <si>
    <t>会社員(野村證券)</t>
    <rPh sb="0" eb="3">
      <t>カイシャイン</t>
    </rPh>
    <rPh sb="4" eb="6">
      <t>ノムラ</t>
    </rPh>
    <rPh sb="6" eb="8">
      <t>ショウケン</t>
    </rPh>
    <phoneticPr fontId="3"/>
  </si>
  <si>
    <t>北村　茂男</t>
    <rPh sb="0" eb="2">
      <t>キタムラ</t>
    </rPh>
    <rPh sb="3" eb="5">
      <t>シゲオ</t>
    </rPh>
    <phoneticPr fontId="3"/>
  </si>
  <si>
    <t>306比例北信越08</t>
    <rPh sb="3" eb="5">
      <t>ヒレイ</t>
    </rPh>
    <rPh sb="5" eb="8">
      <t>ホクシンエツ</t>
    </rPh>
    <phoneticPr fontId="3"/>
  </si>
  <si>
    <t>大(明治)</t>
    <rPh sb="0" eb="1">
      <t>ダイ</t>
    </rPh>
    <rPh sb="2" eb="4">
      <t>メイジ</t>
    </rPh>
    <phoneticPr fontId="3"/>
  </si>
  <si>
    <t>石川県議(輪島市),議員秘書(稲村左近四郎)</t>
    <rPh sb="0" eb="2">
      <t>イシカワ</t>
    </rPh>
    <rPh sb="2" eb="4">
      <t>ケンギ</t>
    </rPh>
    <rPh sb="5" eb="8">
      <t>ワジマシ</t>
    </rPh>
    <rPh sb="10" eb="12">
      <t>ギイン</t>
    </rPh>
    <rPh sb="12" eb="14">
      <t>ヒショ</t>
    </rPh>
    <rPh sb="15" eb="17">
      <t>イナムラ</t>
    </rPh>
    <rPh sb="17" eb="19">
      <t>サコン</t>
    </rPh>
    <rPh sb="19" eb="21">
      <t>シロウ</t>
    </rPh>
    <phoneticPr fontId="3"/>
  </si>
  <si>
    <t>渡辺　裕子</t>
    <rPh sb="0" eb="2">
      <t>ワタナベ</t>
    </rPh>
    <rPh sb="3" eb="5">
      <t>ユウコ</t>
    </rPh>
    <phoneticPr fontId="3"/>
  </si>
  <si>
    <t>短大(富山大学高岡)</t>
    <rPh sb="0" eb="2">
      <t>タンダイ</t>
    </rPh>
    <rPh sb="3" eb="5">
      <t>トヤマ</t>
    </rPh>
    <rPh sb="5" eb="7">
      <t>ダイガク</t>
    </rPh>
    <rPh sb="7" eb="9">
      <t>タカオカ</t>
    </rPh>
    <phoneticPr fontId="3"/>
  </si>
  <si>
    <t>民青同盟石川県委員,会社員(ドクターケーニッヒ)</t>
    <rPh sb="0" eb="4">
      <t>ミンセイドウメイ</t>
    </rPh>
    <rPh sb="4" eb="7">
      <t>イシカワケン</t>
    </rPh>
    <rPh sb="7" eb="9">
      <t>イイン</t>
    </rPh>
    <rPh sb="10" eb="13">
      <t>カイシャイン</t>
    </rPh>
    <phoneticPr fontId="3"/>
  </si>
  <si>
    <t>141福井1区01</t>
    <rPh sb="3" eb="5">
      <t>フクイ</t>
    </rPh>
    <rPh sb="6" eb="7">
      <t>ク</t>
    </rPh>
    <phoneticPr fontId="3"/>
  </si>
  <si>
    <t>141福井1区02</t>
    <rPh sb="3" eb="5">
      <t>フクイ</t>
    </rPh>
    <rPh sb="6" eb="7">
      <t>ク</t>
    </rPh>
    <phoneticPr fontId="3"/>
  </si>
  <si>
    <t>141福井1区03</t>
    <rPh sb="3" eb="5">
      <t>フクイ</t>
    </rPh>
    <rPh sb="6" eb="7">
      <t>ク</t>
    </rPh>
    <phoneticPr fontId="3"/>
  </si>
  <si>
    <t>141福井1区04</t>
    <rPh sb="3" eb="5">
      <t>フクイ</t>
    </rPh>
    <rPh sb="6" eb="7">
      <t>ク</t>
    </rPh>
    <phoneticPr fontId="3"/>
  </si>
  <si>
    <t>笹木　竜三</t>
    <rPh sb="0" eb="2">
      <t>ササキ</t>
    </rPh>
    <rPh sb="3" eb="5">
      <t>リュウゾウ</t>
    </rPh>
    <phoneticPr fontId="3"/>
  </si>
  <si>
    <t>306比例北信越04</t>
    <rPh sb="3" eb="5">
      <t>ヒレイ</t>
    </rPh>
    <rPh sb="5" eb="8">
      <t>ホクシンエツ</t>
    </rPh>
    <phoneticPr fontId="3"/>
  </si>
  <si>
    <t>松</t>
    <rPh sb="0" eb="1">
      <t>マツ</t>
    </rPh>
    <phoneticPr fontId="3"/>
  </si>
  <si>
    <t>福井経済同友会幹事</t>
    <rPh sb="0" eb="2">
      <t>フクイ</t>
    </rPh>
    <rPh sb="2" eb="4">
      <t>ケイザイ</t>
    </rPh>
    <rPh sb="4" eb="7">
      <t>ドウユウカイ</t>
    </rPh>
    <rPh sb="7" eb="9">
      <t>カンジ</t>
    </rPh>
    <phoneticPr fontId="3"/>
  </si>
  <si>
    <t>稲田　朋美</t>
    <rPh sb="0" eb="2">
      <t>イナダ</t>
    </rPh>
    <rPh sb="3" eb="5">
      <t>トモミ</t>
    </rPh>
    <phoneticPr fontId="3"/>
  </si>
  <si>
    <t>141福井1区</t>
    <rPh sb="3" eb="5">
      <t>フクイ</t>
    </rPh>
    <rPh sb="6" eb="7">
      <t>ク</t>
    </rPh>
    <phoneticPr fontId="3"/>
  </si>
  <si>
    <t>弁護士</t>
    <rPh sb="0" eb="3">
      <t>ベンゴシ</t>
    </rPh>
    <phoneticPr fontId="3"/>
  </si>
  <si>
    <t>法</t>
    <rPh sb="0" eb="1">
      <t>ホウ</t>
    </rPh>
    <phoneticPr fontId="3"/>
  </si>
  <si>
    <t>金元　幸枝</t>
    <rPh sb="0" eb="2">
      <t>カネモト</t>
    </rPh>
    <rPh sb="3" eb="5">
      <t>ユキエ</t>
    </rPh>
    <phoneticPr fontId="3"/>
  </si>
  <si>
    <t>大(福井)</t>
    <rPh sb="0" eb="1">
      <t>ダイ</t>
    </rPh>
    <rPh sb="2" eb="4">
      <t>フクイ</t>
    </rPh>
    <phoneticPr fontId="3"/>
  </si>
  <si>
    <t>共産党福井県書記長,赤旗記者</t>
    <rPh sb="0" eb="3">
      <t>キョウサントウ</t>
    </rPh>
    <rPh sb="3" eb="6">
      <t>フクイケン</t>
    </rPh>
    <rPh sb="6" eb="9">
      <t>ショキチョウ</t>
    </rPh>
    <rPh sb="10" eb="12">
      <t>アカハタ</t>
    </rPh>
    <rPh sb="12" eb="14">
      <t>キシャ</t>
    </rPh>
    <phoneticPr fontId="3"/>
  </si>
  <si>
    <t>山崎　隆敏</t>
    <rPh sb="0" eb="2">
      <t>ヤマザキ</t>
    </rPh>
    <rPh sb="3" eb="5">
      <t>タカトシ</t>
    </rPh>
    <phoneticPr fontId="3"/>
  </si>
  <si>
    <t>大院中(龍谷)</t>
    <rPh sb="0" eb="2">
      <t>ダイイン</t>
    </rPh>
    <rPh sb="2" eb="3">
      <t>チュウ</t>
    </rPh>
    <rPh sb="4" eb="6">
      <t>リュウコク</t>
    </rPh>
    <phoneticPr fontId="3"/>
  </si>
  <si>
    <t>福井県・越前市議,市民団体代表(サヨナラ原発福井ネット)</t>
    <rPh sb="0" eb="3">
      <t>フクイケン</t>
    </rPh>
    <rPh sb="4" eb="6">
      <t>エチゼン</t>
    </rPh>
    <rPh sb="6" eb="8">
      <t>シギ</t>
    </rPh>
    <rPh sb="9" eb="11">
      <t>シミン</t>
    </rPh>
    <rPh sb="11" eb="13">
      <t>ダンタイ</t>
    </rPh>
    <rPh sb="13" eb="15">
      <t>ダイヒョウ</t>
    </rPh>
    <rPh sb="20" eb="22">
      <t>ゲンパツ</t>
    </rPh>
    <rPh sb="22" eb="24">
      <t>フクイ</t>
    </rPh>
    <phoneticPr fontId="3"/>
  </si>
  <si>
    <t>142福井2区01</t>
    <rPh sb="3" eb="5">
      <t>フクイ</t>
    </rPh>
    <rPh sb="6" eb="7">
      <t>ク</t>
    </rPh>
    <phoneticPr fontId="3"/>
  </si>
  <si>
    <t>142福井2区02</t>
    <rPh sb="3" eb="5">
      <t>フクイ</t>
    </rPh>
    <rPh sb="6" eb="7">
      <t>ク</t>
    </rPh>
    <phoneticPr fontId="3"/>
  </si>
  <si>
    <t>142福井2区03</t>
    <rPh sb="3" eb="5">
      <t>フクイ</t>
    </rPh>
    <rPh sb="6" eb="7">
      <t>ク</t>
    </rPh>
    <phoneticPr fontId="3"/>
  </si>
  <si>
    <t>糸川　正晃</t>
    <rPh sb="0" eb="2">
      <t>イトカワ</t>
    </rPh>
    <rPh sb="3" eb="5">
      <t>マサアキ</t>
    </rPh>
    <phoneticPr fontId="3"/>
  </si>
  <si>
    <t>306比例北信越01</t>
    <rPh sb="3" eb="5">
      <t>ヒレイ</t>
    </rPh>
    <rPh sb="5" eb="8">
      <t>ホクシンエツ</t>
    </rPh>
    <phoneticPr fontId="3"/>
  </si>
  <si>
    <t>国</t>
    <rPh sb="0" eb="1">
      <t>コク</t>
    </rPh>
    <phoneticPr fontId="3"/>
  </si>
  <si>
    <t>厚生労働政務官，元国民新党国対委長</t>
    <rPh sb="0" eb="2">
      <t>コウセイ</t>
    </rPh>
    <rPh sb="2" eb="4">
      <t>ロウドウ</t>
    </rPh>
    <rPh sb="4" eb="7">
      <t>セイムカン</t>
    </rPh>
    <rPh sb="8" eb="9">
      <t>モト</t>
    </rPh>
    <rPh sb="9" eb="11">
      <t>コクミン</t>
    </rPh>
    <rPh sb="11" eb="13">
      <t>シントウ</t>
    </rPh>
    <rPh sb="13" eb="17">
      <t>コクタイイチョウ</t>
    </rPh>
    <phoneticPr fontId="3"/>
  </si>
  <si>
    <t>会社社長(エル・エヌ・シー)</t>
    <rPh sb="0" eb="2">
      <t>カイシャ</t>
    </rPh>
    <rPh sb="2" eb="4">
      <t>シャチョウ</t>
    </rPh>
    <phoneticPr fontId="3"/>
  </si>
  <si>
    <t>山本　　拓</t>
    <rPh sb="0" eb="2">
      <t>ヤマモト</t>
    </rPh>
    <rPh sb="4" eb="5">
      <t>タク</t>
    </rPh>
    <phoneticPr fontId="3"/>
  </si>
  <si>
    <t>142福井2区</t>
    <rPh sb="3" eb="5">
      <t>フクイ</t>
    </rPh>
    <rPh sb="6" eb="7">
      <t>ク</t>
    </rPh>
    <phoneticPr fontId="3"/>
  </si>
  <si>
    <t>福井県議(鯖江市),鯖江JC理事長</t>
    <rPh sb="0" eb="2">
      <t>フクイ</t>
    </rPh>
    <rPh sb="2" eb="4">
      <t>ケンギ</t>
    </rPh>
    <rPh sb="5" eb="8">
      <t>サバエシ</t>
    </rPh>
    <rPh sb="10" eb="12">
      <t>サバエ</t>
    </rPh>
    <rPh sb="14" eb="17">
      <t>リジチョウ</t>
    </rPh>
    <phoneticPr fontId="3"/>
  </si>
  <si>
    <t>藤岡　繁樹</t>
    <rPh sb="0" eb="2">
      <t>フジオカ</t>
    </rPh>
    <rPh sb="3" eb="5">
      <t>シゲキ</t>
    </rPh>
    <phoneticPr fontId="3"/>
  </si>
  <si>
    <t>高(北陸)</t>
    <rPh sb="0" eb="1">
      <t>コウ</t>
    </rPh>
    <rPh sb="2" eb="4">
      <t>ホクリク</t>
    </rPh>
    <phoneticPr fontId="3"/>
  </si>
  <si>
    <t>福井県・丸岡町議,国労地区役員</t>
    <rPh sb="0" eb="3">
      <t>フクイケン</t>
    </rPh>
    <rPh sb="4" eb="6">
      <t>マルオカ</t>
    </rPh>
    <rPh sb="6" eb="8">
      <t>チョウギ</t>
    </rPh>
    <rPh sb="9" eb="11">
      <t>コクロウ</t>
    </rPh>
    <rPh sb="11" eb="13">
      <t>チク</t>
    </rPh>
    <rPh sb="13" eb="15">
      <t>ヤクイン</t>
    </rPh>
    <phoneticPr fontId="3"/>
  </si>
  <si>
    <t>142福井2区04</t>
    <rPh sb="3" eb="5">
      <t>フクイ</t>
    </rPh>
    <rPh sb="6" eb="7">
      <t>ク</t>
    </rPh>
    <phoneticPr fontId="3"/>
  </si>
  <si>
    <t>武田　将一朗</t>
    <rPh sb="0" eb="2">
      <t>タケダ</t>
    </rPh>
    <rPh sb="3" eb="5">
      <t>ショウイチ</t>
    </rPh>
    <rPh sb="5" eb="6">
      <t>ロウ</t>
    </rPh>
    <phoneticPr fontId="3"/>
  </si>
  <si>
    <t>会社代表(ショーケース),福井県庁職員</t>
    <rPh sb="0" eb="2">
      <t>カイシャ</t>
    </rPh>
    <rPh sb="2" eb="4">
      <t>ダイヒョウ</t>
    </rPh>
    <rPh sb="13" eb="15">
      <t>フクイ</t>
    </rPh>
    <rPh sb="15" eb="17">
      <t>ケンチョウ</t>
    </rPh>
    <rPh sb="17" eb="19">
      <t>ショクイン</t>
    </rPh>
    <phoneticPr fontId="3"/>
  </si>
  <si>
    <t>143福井3区01</t>
    <rPh sb="3" eb="5">
      <t>フクイ</t>
    </rPh>
    <rPh sb="6" eb="7">
      <t>ク</t>
    </rPh>
    <phoneticPr fontId="3"/>
  </si>
  <si>
    <t>143福井3区02</t>
    <rPh sb="3" eb="5">
      <t>フクイ</t>
    </rPh>
    <rPh sb="6" eb="7">
      <t>ク</t>
    </rPh>
    <phoneticPr fontId="3"/>
  </si>
  <si>
    <t>143福井3区03</t>
    <rPh sb="3" eb="5">
      <t>フクイ</t>
    </rPh>
    <rPh sb="6" eb="7">
      <t>ク</t>
    </rPh>
    <phoneticPr fontId="3"/>
  </si>
  <si>
    <t>松宮　　勲</t>
    <rPh sb="0" eb="2">
      <t>マツミヤ</t>
    </rPh>
    <rPh sb="4" eb="5">
      <t>イサオ</t>
    </rPh>
    <phoneticPr fontId="3"/>
  </si>
  <si>
    <t>306比例北信越03</t>
    <rPh sb="3" eb="5">
      <t>ヒレイ</t>
    </rPh>
    <rPh sb="5" eb="8">
      <t>ホクシンエツ</t>
    </rPh>
    <phoneticPr fontId="3"/>
  </si>
  <si>
    <t>自</t>
    <rPh sb="0" eb="1">
      <t>ジ</t>
    </rPh>
    <phoneticPr fontId="3"/>
  </si>
  <si>
    <t>大(東京)</t>
    <rPh sb="0" eb="1">
      <t>ダイ</t>
    </rPh>
    <rPh sb="2" eb="4">
      <t>トウキョウ</t>
    </rPh>
    <phoneticPr fontId="3"/>
  </si>
  <si>
    <t>通商産業省大臣官房審議官</t>
    <rPh sb="0" eb="12">
      <t>ツウショウサンギョウショウダイジンカンボウシンギカン</t>
    </rPh>
    <phoneticPr fontId="3"/>
  </si>
  <si>
    <t>経済産業・内閣府副大臣，元委長(科技特),政務官(外務)</t>
    <rPh sb="0" eb="2">
      <t>ケイザイ</t>
    </rPh>
    <rPh sb="2" eb="4">
      <t>サンギョウ</t>
    </rPh>
    <rPh sb="5" eb="8">
      <t>ナイカクフ</t>
    </rPh>
    <rPh sb="8" eb="11">
      <t>フクダイジン</t>
    </rPh>
    <rPh sb="12" eb="13">
      <t>モト</t>
    </rPh>
    <rPh sb="13" eb="15">
      <t>イチョウ</t>
    </rPh>
    <rPh sb="16" eb="18">
      <t>カギ</t>
    </rPh>
    <rPh sb="18" eb="19">
      <t>トク</t>
    </rPh>
    <rPh sb="21" eb="24">
      <t>セイムカン</t>
    </rPh>
    <rPh sb="25" eb="27">
      <t>ガイム</t>
    </rPh>
    <phoneticPr fontId="3"/>
  </si>
  <si>
    <t>髙木　　毅</t>
    <rPh sb="0" eb="2">
      <t>タカギ</t>
    </rPh>
    <rPh sb="4" eb="5">
      <t>ツヨシ</t>
    </rPh>
    <phoneticPr fontId="3"/>
  </si>
  <si>
    <t>143福井3区</t>
    <rPh sb="3" eb="5">
      <t>フクイ</t>
    </rPh>
    <rPh sb="6" eb="7">
      <t>ク</t>
    </rPh>
    <phoneticPr fontId="3"/>
  </si>
  <si>
    <t>JC北陸信越地区会長,会社社長(髙木商事)</t>
    <rPh sb="2" eb="4">
      <t>ホクリク</t>
    </rPh>
    <rPh sb="4" eb="6">
      <t>シンエツ</t>
    </rPh>
    <rPh sb="6" eb="8">
      <t>チク</t>
    </rPh>
    <rPh sb="8" eb="10">
      <t>カイチョウ</t>
    </rPh>
    <rPh sb="11" eb="13">
      <t>カイシャ</t>
    </rPh>
    <rPh sb="13" eb="15">
      <t>シャチョウ</t>
    </rPh>
    <rPh sb="16" eb="18">
      <t>タカギ</t>
    </rPh>
    <rPh sb="18" eb="20">
      <t>ショウジ</t>
    </rPh>
    <phoneticPr fontId="3"/>
  </si>
  <si>
    <t>　元政務官(防衛)</t>
    <rPh sb="1" eb="2">
      <t>モト</t>
    </rPh>
    <rPh sb="2" eb="5">
      <t>セイムカン</t>
    </rPh>
    <rPh sb="6" eb="8">
      <t>ボウエイ</t>
    </rPh>
    <phoneticPr fontId="3"/>
  </si>
  <si>
    <t>山本　雅彦</t>
    <rPh sb="0" eb="2">
      <t>ヤマモト</t>
    </rPh>
    <rPh sb="3" eb="5">
      <t>マサヒコ</t>
    </rPh>
    <phoneticPr fontId="3"/>
  </si>
  <si>
    <t>高中(敦賀)</t>
    <rPh sb="0" eb="1">
      <t>コウ</t>
    </rPh>
    <rPh sb="1" eb="2">
      <t>チュウ</t>
    </rPh>
    <rPh sb="3" eb="5">
      <t>ツルガ</t>
    </rPh>
    <phoneticPr fontId="3"/>
  </si>
  <si>
    <t>共産党地区委員長,劇団員</t>
    <rPh sb="0" eb="3">
      <t>キョウサントウ</t>
    </rPh>
    <rPh sb="3" eb="5">
      <t>チク</t>
    </rPh>
    <rPh sb="5" eb="8">
      <t>イインチョウ</t>
    </rPh>
    <rPh sb="9" eb="12">
      <t>ゲキダンイン</t>
    </rPh>
    <phoneticPr fontId="3"/>
  </si>
  <si>
    <t>144長野1区01</t>
    <rPh sb="3" eb="5">
      <t>ナガノ</t>
    </rPh>
    <rPh sb="6" eb="7">
      <t>ク</t>
    </rPh>
    <phoneticPr fontId="3"/>
  </si>
  <si>
    <t>144長野1区02</t>
    <rPh sb="3" eb="5">
      <t>ナガノ</t>
    </rPh>
    <rPh sb="6" eb="7">
      <t>ク</t>
    </rPh>
    <phoneticPr fontId="3"/>
  </si>
  <si>
    <t>144長野1区03</t>
    <rPh sb="3" eb="5">
      <t>ナガノ</t>
    </rPh>
    <rPh sb="6" eb="7">
      <t>ク</t>
    </rPh>
    <phoneticPr fontId="3"/>
  </si>
  <si>
    <t>篠原　　孝</t>
    <rPh sb="0" eb="2">
      <t>シノハラ</t>
    </rPh>
    <rPh sb="4" eb="5">
      <t>タカシ</t>
    </rPh>
    <phoneticPr fontId="3"/>
  </si>
  <si>
    <t>144長野1区</t>
    <rPh sb="3" eb="5">
      <t>ナガノ</t>
    </rPh>
    <rPh sb="6" eb="7">
      <t>ク</t>
    </rPh>
    <phoneticPr fontId="3"/>
  </si>
  <si>
    <t>農林水産省農林水産政策研究所長</t>
    <rPh sb="0" eb="2">
      <t>ノウリン</t>
    </rPh>
    <rPh sb="2" eb="5">
      <t>スイサンショウ</t>
    </rPh>
    <rPh sb="5" eb="7">
      <t>ノウリン</t>
    </rPh>
    <rPh sb="7" eb="9">
      <t>スイサン</t>
    </rPh>
    <rPh sb="9" eb="11">
      <t>セイサク</t>
    </rPh>
    <rPh sb="11" eb="13">
      <t>ケンキュウ</t>
    </rPh>
    <rPh sb="13" eb="15">
      <t>ショチョウ</t>
    </rPh>
    <phoneticPr fontId="3"/>
  </si>
  <si>
    <t>　元副大臣(農水)</t>
    <rPh sb="1" eb="2">
      <t>モト</t>
    </rPh>
    <rPh sb="2" eb="5">
      <t>フクダイジン</t>
    </rPh>
    <rPh sb="6" eb="8">
      <t>ノウスイ</t>
    </rPh>
    <phoneticPr fontId="3"/>
  </si>
  <si>
    <t>小松　　裕</t>
    <rPh sb="0" eb="2">
      <t>コマツ</t>
    </rPh>
    <rPh sb="4" eb="5">
      <t>ユタカ</t>
    </rPh>
    <phoneticPr fontId="3"/>
  </si>
  <si>
    <t>大(信州)</t>
    <rPh sb="0" eb="1">
      <t>ダイ</t>
    </rPh>
    <rPh sb="2" eb="4">
      <t>シンシュウ</t>
    </rPh>
    <phoneticPr fontId="3"/>
  </si>
  <si>
    <t>武田　良介</t>
    <rPh sb="0" eb="2">
      <t>タケダ</t>
    </rPh>
    <rPh sb="3" eb="5">
      <t>リョウスケ</t>
    </rPh>
    <phoneticPr fontId="3"/>
  </si>
  <si>
    <t>共産党長野県委員,民青同盟長野県委員長</t>
    <rPh sb="0" eb="3">
      <t>キョウサントウ</t>
    </rPh>
    <rPh sb="3" eb="6">
      <t>ナガノケン</t>
    </rPh>
    <rPh sb="6" eb="8">
      <t>イイン</t>
    </rPh>
    <rPh sb="9" eb="13">
      <t>ミンセイドウメイ</t>
    </rPh>
    <rPh sb="13" eb="16">
      <t>ナガノケン</t>
    </rPh>
    <rPh sb="16" eb="19">
      <t>イインチョウ</t>
    </rPh>
    <phoneticPr fontId="3"/>
  </si>
  <si>
    <t>145長野2区01</t>
    <rPh sb="3" eb="5">
      <t>ナガノ</t>
    </rPh>
    <rPh sb="6" eb="7">
      <t>ク</t>
    </rPh>
    <phoneticPr fontId="3"/>
  </si>
  <si>
    <t>145長野2区02</t>
    <rPh sb="3" eb="5">
      <t>ナガノ</t>
    </rPh>
    <rPh sb="6" eb="7">
      <t>ク</t>
    </rPh>
    <phoneticPr fontId="3"/>
  </si>
  <si>
    <t>145長野2区03</t>
    <rPh sb="3" eb="5">
      <t>ナガノ</t>
    </rPh>
    <rPh sb="6" eb="7">
      <t>ク</t>
    </rPh>
    <phoneticPr fontId="3"/>
  </si>
  <si>
    <t>145長野2区04</t>
    <rPh sb="3" eb="5">
      <t>ナガノ</t>
    </rPh>
    <rPh sb="6" eb="7">
      <t>ク</t>
    </rPh>
    <phoneticPr fontId="3"/>
  </si>
  <si>
    <t>下条　みつ</t>
    <rPh sb="0" eb="2">
      <t>シモジョウ</t>
    </rPh>
    <phoneticPr fontId="3"/>
  </si>
  <si>
    <t>145長野2区</t>
    <rPh sb="3" eb="5">
      <t>ナガノ</t>
    </rPh>
    <rPh sb="6" eb="7">
      <t>ク</t>
    </rPh>
    <phoneticPr fontId="3"/>
  </si>
  <si>
    <t>議員秘書(下条進一郎),銀行員(富士銀行)</t>
    <rPh sb="0" eb="2">
      <t>ギイン</t>
    </rPh>
    <rPh sb="2" eb="4">
      <t>ヒショ</t>
    </rPh>
    <rPh sb="5" eb="7">
      <t>シモジョウ</t>
    </rPh>
    <rPh sb="7" eb="10">
      <t>シンイチロウ</t>
    </rPh>
    <rPh sb="12" eb="15">
      <t>ギンコウイン</t>
    </rPh>
    <rPh sb="16" eb="18">
      <t>フジ</t>
    </rPh>
    <rPh sb="18" eb="20">
      <t>ギンコウ</t>
    </rPh>
    <phoneticPr fontId="3"/>
  </si>
  <si>
    <t>務台　俊介</t>
    <rPh sb="0" eb="2">
      <t>ムタイ</t>
    </rPh>
    <rPh sb="3" eb="5">
      <t>シュンスケ</t>
    </rPh>
    <phoneticPr fontId="3"/>
  </si>
  <si>
    <t>大学教員(神奈川大学教授),総務省大臣官房参事官</t>
    <rPh sb="0" eb="2">
      <t>ダイガク</t>
    </rPh>
    <rPh sb="2" eb="4">
      <t>キョウイン</t>
    </rPh>
    <rPh sb="5" eb="8">
      <t>カナガワ</t>
    </rPh>
    <rPh sb="8" eb="10">
      <t>ダイガク</t>
    </rPh>
    <rPh sb="10" eb="12">
      <t>キョウジュ</t>
    </rPh>
    <rPh sb="14" eb="17">
      <t>ソウムショウ</t>
    </rPh>
    <rPh sb="17" eb="19">
      <t>ダイジン</t>
    </rPh>
    <rPh sb="19" eb="21">
      <t>カンボウ</t>
    </rPh>
    <rPh sb="21" eb="24">
      <t>サンジカン</t>
    </rPh>
    <phoneticPr fontId="3"/>
  </si>
  <si>
    <t>北村　正弘</t>
    <rPh sb="0" eb="2">
      <t>キタムラ</t>
    </rPh>
    <rPh sb="3" eb="5">
      <t>マサヒロ</t>
    </rPh>
    <phoneticPr fontId="3"/>
  </si>
  <si>
    <t>味岡　淳二</t>
    <rPh sb="0" eb="2">
      <t>アジオカ</t>
    </rPh>
    <rPh sb="3" eb="5">
      <t>ジュンジ</t>
    </rPh>
    <phoneticPr fontId="3"/>
  </si>
  <si>
    <t>幸福実現党員,会社員(セイコーエプソン)</t>
    <rPh sb="0" eb="2">
      <t>コウフク</t>
    </rPh>
    <rPh sb="2" eb="4">
      <t>ジツゲン</t>
    </rPh>
    <rPh sb="4" eb="6">
      <t>トウイン</t>
    </rPh>
    <rPh sb="7" eb="10">
      <t>カイシャイン</t>
    </rPh>
    <phoneticPr fontId="3"/>
  </si>
  <si>
    <t>146長野3区01</t>
    <rPh sb="3" eb="5">
      <t>ナガノ</t>
    </rPh>
    <rPh sb="6" eb="7">
      <t>ク</t>
    </rPh>
    <phoneticPr fontId="3"/>
  </si>
  <si>
    <t>146長野3区02</t>
    <rPh sb="3" eb="5">
      <t>ナガノ</t>
    </rPh>
    <rPh sb="6" eb="7">
      <t>ク</t>
    </rPh>
    <phoneticPr fontId="3"/>
  </si>
  <si>
    <t>146長野3区03</t>
    <rPh sb="3" eb="5">
      <t>ナガノ</t>
    </rPh>
    <rPh sb="6" eb="7">
      <t>ク</t>
    </rPh>
    <phoneticPr fontId="3"/>
  </si>
  <si>
    <t>146長野3区04</t>
    <rPh sb="3" eb="5">
      <t>ナガノ</t>
    </rPh>
    <rPh sb="6" eb="7">
      <t>ク</t>
    </rPh>
    <phoneticPr fontId="3"/>
  </si>
  <si>
    <t>木内　　均</t>
    <rPh sb="0" eb="2">
      <t>キウチ</t>
    </rPh>
    <rPh sb="4" eb="5">
      <t>ヒトシ</t>
    </rPh>
    <phoneticPr fontId="3"/>
  </si>
  <si>
    <t>長野県議(佐久市・北佐久郡),長野県・佐久市議</t>
    <rPh sb="0" eb="2">
      <t>ナガノ</t>
    </rPh>
    <rPh sb="2" eb="4">
      <t>ケンギ</t>
    </rPh>
    <rPh sb="5" eb="8">
      <t>サクシ</t>
    </rPh>
    <rPh sb="9" eb="13">
      <t>キタサクグン</t>
    </rPh>
    <rPh sb="15" eb="18">
      <t>ナガノケン</t>
    </rPh>
    <rPh sb="19" eb="21">
      <t>サク</t>
    </rPh>
    <rPh sb="21" eb="23">
      <t>シギ</t>
    </rPh>
    <phoneticPr fontId="3"/>
  </si>
  <si>
    <t>議松</t>
    <rPh sb="0" eb="1">
      <t>ギ</t>
    </rPh>
    <rPh sb="1" eb="2">
      <t>マツ</t>
    </rPh>
    <phoneticPr fontId="3"/>
  </si>
  <si>
    <t>岩谷　昇介</t>
    <rPh sb="0" eb="2">
      <t>イワヤ</t>
    </rPh>
    <rPh sb="3" eb="4">
      <t>ショウ</t>
    </rPh>
    <rPh sb="4" eb="5">
      <t>スケ</t>
    </rPh>
    <phoneticPr fontId="3"/>
  </si>
  <si>
    <t>高(湯沢)</t>
    <rPh sb="0" eb="1">
      <t>コウ</t>
    </rPh>
    <rPh sb="2" eb="4">
      <t>ユザワ</t>
    </rPh>
    <phoneticPr fontId="3"/>
  </si>
  <si>
    <t>井出　庸生</t>
    <rPh sb="0" eb="2">
      <t>イデ</t>
    </rPh>
    <rPh sb="3" eb="4">
      <t>ヨウ</t>
    </rPh>
    <rPh sb="4" eb="5">
      <t>セイ</t>
    </rPh>
    <phoneticPr fontId="3"/>
  </si>
  <si>
    <t>テレビ記者(NHK)</t>
    <rPh sb="3" eb="5">
      <t>キシャ</t>
    </rPh>
    <phoneticPr fontId="3"/>
  </si>
  <si>
    <t>ジ二</t>
    <rPh sb="1" eb="2">
      <t>ニ</t>
    </rPh>
    <phoneticPr fontId="3"/>
  </si>
  <si>
    <t>ジ</t>
    <phoneticPr fontId="3"/>
  </si>
  <si>
    <t>147長野4区01</t>
    <rPh sb="3" eb="5">
      <t>ナガノ</t>
    </rPh>
    <rPh sb="6" eb="7">
      <t>ク</t>
    </rPh>
    <phoneticPr fontId="3"/>
  </si>
  <si>
    <t>147長野4区02</t>
    <rPh sb="3" eb="5">
      <t>ナガノ</t>
    </rPh>
    <rPh sb="6" eb="7">
      <t>ク</t>
    </rPh>
    <phoneticPr fontId="3"/>
  </si>
  <si>
    <t>147長野4区03</t>
    <rPh sb="3" eb="5">
      <t>ナガノ</t>
    </rPh>
    <rPh sb="6" eb="7">
      <t>ク</t>
    </rPh>
    <phoneticPr fontId="3"/>
  </si>
  <si>
    <t>147長野4区04</t>
    <rPh sb="3" eb="5">
      <t>ナガノ</t>
    </rPh>
    <rPh sb="6" eb="7">
      <t>ク</t>
    </rPh>
    <phoneticPr fontId="3"/>
  </si>
  <si>
    <t>矢崎　公二</t>
    <rPh sb="0" eb="2">
      <t>ヤザキ</t>
    </rPh>
    <rPh sb="3" eb="5">
      <t>コウジ</t>
    </rPh>
    <phoneticPr fontId="3"/>
  </si>
  <si>
    <t>147長野4区</t>
    <rPh sb="3" eb="5">
      <t>ナガノ</t>
    </rPh>
    <rPh sb="6" eb="7">
      <t>ク</t>
    </rPh>
    <phoneticPr fontId="3"/>
  </si>
  <si>
    <t>新聞記者(毎日新聞)</t>
    <rPh sb="0" eb="2">
      <t>シンブン</t>
    </rPh>
    <rPh sb="2" eb="4">
      <t>キシャ</t>
    </rPh>
    <rPh sb="5" eb="7">
      <t>マイニチ</t>
    </rPh>
    <rPh sb="7" eb="9">
      <t>シンブン</t>
    </rPh>
    <phoneticPr fontId="3"/>
  </si>
  <si>
    <t>後藤　茂之</t>
    <rPh sb="0" eb="2">
      <t>ゴトウ</t>
    </rPh>
    <rPh sb="3" eb="5">
      <t>シゲユキ</t>
    </rPh>
    <phoneticPr fontId="3"/>
  </si>
  <si>
    <t>大院(米/ブラウン)</t>
    <rPh sb="0" eb="2">
      <t>ダイイン</t>
    </rPh>
    <rPh sb="3" eb="4">
      <t>ベイ</t>
    </rPh>
    <phoneticPr fontId="3"/>
  </si>
  <si>
    <t>大蔵省主税局企画調整室長</t>
    <rPh sb="0" eb="6">
      <t>オオクラショウシュゼイキョク</t>
    </rPh>
    <rPh sb="6" eb="8">
      <t>キカク</t>
    </rPh>
    <rPh sb="8" eb="10">
      <t>チョウセイ</t>
    </rPh>
    <rPh sb="10" eb="12">
      <t>シツチョウ</t>
    </rPh>
    <phoneticPr fontId="3"/>
  </si>
  <si>
    <t>三浦　茂樹</t>
    <rPh sb="0" eb="2">
      <t>ミウラ</t>
    </rPh>
    <rPh sb="3" eb="5">
      <t>シゲキ</t>
    </rPh>
    <phoneticPr fontId="3"/>
  </si>
  <si>
    <t>大(朝日)</t>
    <rPh sb="0" eb="1">
      <t>ダイ</t>
    </rPh>
    <rPh sb="2" eb="4">
      <t>アサヒ</t>
    </rPh>
    <phoneticPr fontId="3"/>
  </si>
  <si>
    <t>議員秘書(堀込征雄),服飾小売業</t>
    <rPh sb="0" eb="2">
      <t>ギイン</t>
    </rPh>
    <rPh sb="2" eb="4">
      <t>ヒショ</t>
    </rPh>
    <rPh sb="5" eb="7">
      <t>ホリゴメ</t>
    </rPh>
    <rPh sb="7" eb="9">
      <t>イクオ</t>
    </rPh>
    <rPh sb="11" eb="13">
      <t>フクショク</t>
    </rPh>
    <rPh sb="13" eb="16">
      <t>コウリギョウ</t>
    </rPh>
    <phoneticPr fontId="3"/>
  </si>
  <si>
    <t>上田　秀昭</t>
    <rPh sb="0" eb="2">
      <t>ウエダ</t>
    </rPh>
    <rPh sb="3" eb="5">
      <t>ヒデアキ</t>
    </rPh>
    <phoneticPr fontId="3"/>
  </si>
  <si>
    <t>高(長岡工)</t>
    <rPh sb="0" eb="1">
      <t>コウ</t>
    </rPh>
    <rPh sb="2" eb="4">
      <t>ナガオカ</t>
    </rPh>
    <rPh sb="4" eb="5">
      <t>コウ</t>
    </rPh>
    <phoneticPr fontId="3"/>
  </si>
  <si>
    <t>共産党地区委員長,帝国ピストンリング労組役員</t>
    <rPh sb="0" eb="3">
      <t>キョウサントウ</t>
    </rPh>
    <rPh sb="3" eb="5">
      <t>チク</t>
    </rPh>
    <rPh sb="5" eb="8">
      <t>イインチョウ</t>
    </rPh>
    <rPh sb="9" eb="11">
      <t>テイコク</t>
    </rPh>
    <rPh sb="18" eb="20">
      <t>ロウソ</t>
    </rPh>
    <rPh sb="20" eb="22">
      <t>ヤクイン</t>
    </rPh>
    <phoneticPr fontId="3"/>
  </si>
  <si>
    <t>148長野5区01</t>
    <rPh sb="3" eb="5">
      <t>ナガノ</t>
    </rPh>
    <rPh sb="6" eb="7">
      <t>ク</t>
    </rPh>
    <phoneticPr fontId="3"/>
  </si>
  <si>
    <t>148長野5区02</t>
    <rPh sb="3" eb="5">
      <t>ナガノ</t>
    </rPh>
    <rPh sb="6" eb="7">
      <t>ク</t>
    </rPh>
    <phoneticPr fontId="3"/>
  </si>
  <si>
    <t>148長野5区03</t>
    <rPh sb="3" eb="5">
      <t>ナガノ</t>
    </rPh>
    <rPh sb="6" eb="7">
      <t>ク</t>
    </rPh>
    <phoneticPr fontId="3"/>
  </si>
  <si>
    <t>148長野5区04</t>
    <rPh sb="3" eb="5">
      <t>ナガノ</t>
    </rPh>
    <rPh sb="6" eb="7">
      <t>ク</t>
    </rPh>
    <phoneticPr fontId="3"/>
  </si>
  <si>
    <t>宮下　一郎</t>
    <rPh sb="0" eb="2">
      <t>ミヤシタ</t>
    </rPh>
    <rPh sb="3" eb="5">
      <t>イチロウ</t>
    </rPh>
    <phoneticPr fontId="3"/>
  </si>
  <si>
    <t>　元政務官(財務)</t>
    <rPh sb="1" eb="2">
      <t>モト</t>
    </rPh>
    <rPh sb="2" eb="5">
      <t>セイムカン</t>
    </rPh>
    <rPh sb="6" eb="8">
      <t>ザイム</t>
    </rPh>
    <phoneticPr fontId="3"/>
  </si>
  <si>
    <t>議員秘書(宮下創平),銀行員(住友銀行)</t>
    <rPh sb="0" eb="2">
      <t>ギイン</t>
    </rPh>
    <rPh sb="2" eb="4">
      <t>ヒショ</t>
    </rPh>
    <rPh sb="5" eb="7">
      <t>ミヤシタ</t>
    </rPh>
    <rPh sb="7" eb="9">
      <t>ソウヘイ</t>
    </rPh>
    <rPh sb="11" eb="14">
      <t>ギンコウイン</t>
    </rPh>
    <rPh sb="15" eb="17">
      <t>スミトモ</t>
    </rPh>
    <rPh sb="17" eb="19">
      <t>ギンコウ</t>
    </rPh>
    <phoneticPr fontId="3"/>
  </si>
  <si>
    <t>加藤　　学</t>
    <rPh sb="0" eb="2">
      <t>カトウ</t>
    </rPh>
    <rPh sb="4" eb="5">
      <t>ガク</t>
    </rPh>
    <phoneticPr fontId="3"/>
  </si>
  <si>
    <t>148長野5区</t>
    <rPh sb="3" eb="5">
      <t>ナガノ</t>
    </rPh>
    <rPh sb="6" eb="7">
      <t>ク</t>
    </rPh>
    <phoneticPr fontId="3"/>
  </si>
  <si>
    <t>研究員(JETROアジア経済研究所),テレビディレクター(NHK)</t>
    <rPh sb="0" eb="3">
      <t>ケンキュウイン</t>
    </rPh>
    <rPh sb="12" eb="14">
      <t>ケイザイ</t>
    </rPh>
    <rPh sb="14" eb="17">
      <t>ケンキュウジョ</t>
    </rPh>
    <phoneticPr fontId="3"/>
  </si>
  <si>
    <t>三沢　好夫</t>
    <rPh sb="0" eb="2">
      <t>ミサワ</t>
    </rPh>
    <rPh sb="3" eb="5">
      <t>ヨシオ</t>
    </rPh>
    <phoneticPr fontId="3"/>
  </si>
  <si>
    <t>高(上伊那農)</t>
    <rPh sb="0" eb="1">
      <t>コウ</t>
    </rPh>
    <rPh sb="2" eb="5">
      <t>カミイナ</t>
    </rPh>
    <rPh sb="5" eb="6">
      <t>ノウ</t>
    </rPh>
    <phoneticPr fontId="3"/>
  </si>
  <si>
    <t>共産党地区委員長,オリンパス労組役員</t>
    <rPh sb="0" eb="3">
      <t>キョウサントウ</t>
    </rPh>
    <rPh sb="3" eb="5">
      <t>チク</t>
    </rPh>
    <rPh sb="5" eb="8">
      <t>イインチョウ</t>
    </rPh>
    <rPh sb="14" eb="16">
      <t>ロウソ</t>
    </rPh>
    <rPh sb="16" eb="18">
      <t>ヤクイン</t>
    </rPh>
    <phoneticPr fontId="3"/>
  </si>
  <si>
    <t>大学教員(鹿屋体育大学客員准教授),医師(スポーツ内科)</t>
    <rPh sb="0" eb="2">
      <t>ダイガク</t>
    </rPh>
    <rPh sb="2" eb="4">
      <t>キョウイン</t>
    </rPh>
    <rPh sb="5" eb="7">
      <t>カノヤ</t>
    </rPh>
    <rPh sb="7" eb="9">
      <t>タイイク</t>
    </rPh>
    <rPh sb="9" eb="11">
      <t>ダイガク</t>
    </rPh>
    <rPh sb="11" eb="13">
      <t>キャクイン</t>
    </rPh>
    <rPh sb="13" eb="16">
      <t>ジュンキョウジュ</t>
    </rPh>
    <rPh sb="18" eb="20">
      <t>イシ</t>
    </rPh>
    <rPh sb="25" eb="27">
      <t>ナイカ</t>
    </rPh>
    <phoneticPr fontId="3"/>
  </si>
  <si>
    <t>石原　慎太郎</t>
    <rPh sb="0" eb="2">
      <t>イシハラ</t>
    </rPh>
    <rPh sb="3" eb="6">
      <t>シンタロウ</t>
    </rPh>
    <phoneticPr fontId="3"/>
  </si>
  <si>
    <t>作家(芥川賞)</t>
    <rPh sb="0" eb="2">
      <t>サッカ</t>
    </rPh>
    <rPh sb="3" eb="6">
      <t>アクタガワショウ</t>
    </rPh>
    <phoneticPr fontId="3"/>
  </si>
  <si>
    <t>鞍</t>
    <rPh sb="0" eb="1">
      <t>クラ</t>
    </rPh>
    <phoneticPr fontId="3"/>
  </si>
  <si>
    <t>首</t>
    <rPh sb="0" eb="1">
      <t>クビ</t>
    </rPh>
    <phoneticPr fontId="3"/>
  </si>
  <si>
    <t>タ</t>
    <phoneticPr fontId="3"/>
  </si>
  <si>
    <t>首鞍タ</t>
    <rPh sb="0" eb="1">
      <t>クビ</t>
    </rPh>
    <rPh sb="1" eb="2">
      <t>クラ</t>
    </rPh>
    <phoneticPr fontId="3"/>
  </si>
  <si>
    <t>若泉　征三</t>
    <rPh sb="0" eb="2">
      <t>ワカイズミ</t>
    </rPh>
    <rPh sb="3" eb="5">
      <t>セイゾウ</t>
    </rPh>
    <phoneticPr fontId="3"/>
  </si>
  <si>
    <t>306比例北信越06</t>
    <rPh sb="3" eb="5">
      <t>ヒレイ</t>
    </rPh>
    <rPh sb="5" eb="8">
      <t>ホクシンエツ</t>
    </rPh>
    <phoneticPr fontId="3"/>
  </si>
  <si>
    <t>福井県・今立町長,福井県・今立町議</t>
    <rPh sb="0" eb="3">
      <t>フクイケン</t>
    </rPh>
    <rPh sb="4" eb="6">
      <t>イマダテ</t>
    </rPh>
    <rPh sb="6" eb="8">
      <t>チョウチョウ</t>
    </rPh>
    <rPh sb="9" eb="12">
      <t>フクイケン</t>
    </rPh>
    <rPh sb="13" eb="15">
      <t>イマダテ</t>
    </rPh>
    <rPh sb="15" eb="17">
      <t>チョウギ</t>
    </rPh>
    <phoneticPr fontId="3"/>
  </si>
  <si>
    <t>　元政務官(財務・復興)</t>
    <rPh sb="1" eb="2">
      <t>モト</t>
    </rPh>
    <rPh sb="2" eb="5">
      <t>セイムカン</t>
    </rPh>
    <rPh sb="6" eb="8">
      <t>ザイム</t>
    </rPh>
    <rPh sb="9" eb="11">
      <t>フッコウ</t>
    </rPh>
    <phoneticPr fontId="3"/>
  </si>
  <si>
    <t>議首</t>
    <rPh sb="0" eb="1">
      <t>ギ</t>
    </rPh>
    <rPh sb="1" eb="2">
      <t>クビ</t>
    </rPh>
    <phoneticPr fontId="3"/>
  </si>
  <si>
    <t>議</t>
    <rPh sb="0" eb="1">
      <t>ギ</t>
    </rPh>
    <phoneticPr fontId="3"/>
  </si>
  <si>
    <t>3504比例北信越公明01</t>
    <rPh sb="4" eb="6">
      <t>ヒレイ</t>
    </rPh>
    <rPh sb="6" eb="9">
      <t>ホクシンエツ</t>
    </rPh>
    <rPh sb="9" eb="11">
      <t>コウメイ</t>
    </rPh>
    <phoneticPr fontId="3"/>
  </si>
  <si>
    <t>漆原　良夫</t>
    <rPh sb="0" eb="2">
      <t>ウルシバラ</t>
    </rPh>
    <rPh sb="3" eb="5">
      <t>ヨシオ</t>
    </rPh>
    <phoneticPr fontId="3"/>
  </si>
  <si>
    <t>306比例北信越11</t>
    <rPh sb="3" eb="5">
      <t>ヒレイ</t>
    </rPh>
    <rPh sb="5" eb="8">
      <t>ホクシンエツ</t>
    </rPh>
    <phoneticPr fontId="3"/>
  </si>
  <si>
    <t>大(明治)</t>
    <rPh sb="0" eb="1">
      <t>ダイ</t>
    </rPh>
    <rPh sb="2" eb="4">
      <t>メイジ</t>
    </rPh>
    <phoneticPr fontId="3"/>
  </si>
  <si>
    <t>法</t>
    <rPh sb="0" eb="1">
      <t>ホウ</t>
    </rPh>
    <phoneticPr fontId="3"/>
  </si>
  <si>
    <t>公明党国対委員長，元公明党幹事長代理</t>
    <rPh sb="0" eb="3">
      <t>コウメイトウ</t>
    </rPh>
    <rPh sb="3" eb="5">
      <t>コクタイ</t>
    </rPh>
    <rPh sb="5" eb="8">
      <t>イインチョウ</t>
    </rPh>
    <rPh sb="9" eb="10">
      <t>モト</t>
    </rPh>
    <rPh sb="10" eb="13">
      <t>コウメイトウ</t>
    </rPh>
    <rPh sb="13" eb="16">
      <t>カンジチョウ</t>
    </rPh>
    <rPh sb="16" eb="18">
      <t>ダイリ</t>
    </rPh>
    <phoneticPr fontId="3"/>
  </si>
  <si>
    <t>衆議院総務委員長，元大臣(厚労・少子化),委長(青少特,参環境),副大臣(厚労),参1</t>
    <rPh sb="0" eb="3">
      <t>シュウギイン</t>
    </rPh>
    <rPh sb="3" eb="5">
      <t>ソウム</t>
    </rPh>
    <rPh sb="5" eb="8">
      <t>イインチョウ</t>
    </rPh>
    <rPh sb="9" eb="12">
      <t>モトダイジン</t>
    </rPh>
    <rPh sb="13" eb="15">
      <t>コウロウ</t>
    </rPh>
    <rPh sb="16" eb="19">
      <t>ショウシカ</t>
    </rPh>
    <rPh sb="21" eb="23">
      <t>イチョウ</t>
    </rPh>
    <rPh sb="24" eb="25">
      <t>アオ</t>
    </rPh>
    <rPh sb="25" eb="26">
      <t>ショウ</t>
    </rPh>
    <rPh sb="26" eb="27">
      <t>トク</t>
    </rPh>
    <rPh sb="28" eb="29">
      <t>サン</t>
    </rPh>
    <rPh sb="29" eb="31">
      <t>カンキョウ</t>
    </rPh>
    <rPh sb="33" eb="36">
      <t>フクダイジン</t>
    </rPh>
    <rPh sb="37" eb="39">
      <t>コウロウ</t>
    </rPh>
    <rPh sb="41" eb="42">
      <t>サン</t>
    </rPh>
    <phoneticPr fontId="3"/>
  </si>
  <si>
    <t>衆議院外務委員長，元委長(経産,拉致特),政務官(経産),首相補佐官</t>
    <rPh sb="0" eb="3">
      <t>シュウギイン</t>
    </rPh>
    <rPh sb="3" eb="5">
      <t>ガイム</t>
    </rPh>
    <rPh sb="5" eb="8">
      <t>イインチョウ</t>
    </rPh>
    <rPh sb="9" eb="10">
      <t>モト</t>
    </rPh>
    <rPh sb="10" eb="12">
      <t>イチョウ</t>
    </rPh>
    <rPh sb="13" eb="15">
      <t>ケイサン</t>
    </rPh>
    <rPh sb="16" eb="18">
      <t>ラチ</t>
    </rPh>
    <rPh sb="18" eb="19">
      <t>トク</t>
    </rPh>
    <rPh sb="21" eb="24">
      <t>セイムカン</t>
    </rPh>
    <rPh sb="25" eb="27">
      <t>ケイサン</t>
    </rPh>
    <rPh sb="29" eb="31">
      <t>シュショウ</t>
    </rPh>
    <rPh sb="31" eb="34">
      <t>ホサカン</t>
    </rPh>
    <phoneticPr fontId="3"/>
  </si>
  <si>
    <t>衆議院財務金融委員長，元委長(災害特),副大臣(財務)</t>
    <rPh sb="0" eb="3">
      <t>シュウギイン</t>
    </rPh>
    <rPh sb="3" eb="5">
      <t>ザイム</t>
    </rPh>
    <rPh sb="5" eb="7">
      <t>キンユウ</t>
    </rPh>
    <rPh sb="7" eb="10">
      <t>イインチョウ</t>
    </rPh>
    <rPh sb="11" eb="12">
      <t>モト</t>
    </rPh>
    <rPh sb="12" eb="14">
      <t>イチョウ</t>
    </rPh>
    <rPh sb="15" eb="17">
      <t>サイガイ</t>
    </rPh>
    <rPh sb="17" eb="18">
      <t>トク</t>
    </rPh>
    <rPh sb="20" eb="23">
      <t>フクダイジン</t>
    </rPh>
    <rPh sb="24" eb="26">
      <t>ザイム</t>
    </rPh>
    <phoneticPr fontId="4"/>
  </si>
  <si>
    <t>衆議院厚生労働委員長，元大臣(厚労・年金),民主党政調会長代理</t>
    <rPh sb="0" eb="3">
      <t>シュウギイン</t>
    </rPh>
    <rPh sb="3" eb="5">
      <t>コウセイ</t>
    </rPh>
    <rPh sb="5" eb="7">
      <t>ロウドウ</t>
    </rPh>
    <rPh sb="7" eb="10">
      <t>イインチョウ</t>
    </rPh>
    <rPh sb="11" eb="14">
      <t>モトダイジン</t>
    </rPh>
    <rPh sb="15" eb="17">
      <t>コウロウ</t>
    </rPh>
    <rPh sb="18" eb="20">
      <t>ネンキン</t>
    </rPh>
    <rPh sb="22" eb="25">
      <t>ミンシュトウ</t>
    </rPh>
    <rPh sb="25" eb="27">
      <t>セイチョウ</t>
    </rPh>
    <rPh sb="27" eb="29">
      <t>カイチョウ</t>
    </rPh>
    <rPh sb="29" eb="31">
      <t>ダイリ</t>
    </rPh>
    <phoneticPr fontId="3"/>
  </si>
  <si>
    <t>衆議院農林水産委員長</t>
    <rPh sb="0" eb="3">
      <t>シュウギイン</t>
    </rPh>
    <rPh sb="3" eb="5">
      <t>ノウリン</t>
    </rPh>
    <rPh sb="5" eb="7">
      <t>スイサン</t>
    </rPh>
    <rPh sb="7" eb="10">
      <t>イインチョウ</t>
    </rPh>
    <phoneticPr fontId="3"/>
  </si>
  <si>
    <t>衆議院経済産業委員長，元大臣(経産,経財・科技),委長(財金),民主党政調会長,旧市民リーグ代表</t>
    <rPh sb="0" eb="3">
      <t>シュウギイン</t>
    </rPh>
    <rPh sb="3" eb="5">
      <t>ケイザイ</t>
    </rPh>
    <rPh sb="5" eb="7">
      <t>サンギョウ</t>
    </rPh>
    <rPh sb="7" eb="10">
      <t>イインチョウ</t>
    </rPh>
    <rPh sb="11" eb="14">
      <t>モトダイジン</t>
    </rPh>
    <rPh sb="15" eb="17">
      <t>ケイサン</t>
    </rPh>
    <rPh sb="18" eb="19">
      <t>ケイ</t>
    </rPh>
    <rPh sb="19" eb="20">
      <t>ザイ</t>
    </rPh>
    <rPh sb="21" eb="23">
      <t>カギ</t>
    </rPh>
    <rPh sb="25" eb="27">
      <t>イチョウ</t>
    </rPh>
    <rPh sb="28" eb="30">
      <t>ザイキン</t>
    </rPh>
    <rPh sb="32" eb="35">
      <t>ミンシュトウ</t>
    </rPh>
    <rPh sb="35" eb="37">
      <t>セイチョウ</t>
    </rPh>
    <rPh sb="37" eb="39">
      <t>カイチョウ</t>
    </rPh>
    <rPh sb="40" eb="41">
      <t>キュウ</t>
    </rPh>
    <rPh sb="41" eb="43">
      <t>シミン</t>
    </rPh>
    <rPh sb="46" eb="48">
      <t>ダイヒョウ</t>
    </rPh>
    <phoneticPr fontId="3"/>
  </si>
  <si>
    <t>　元委長(安保),副大臣(文科)</t>
    <rPh sb="1" eb="2">
      <t>モト</t>
    </rPh>
    <rPh sb="2" eb="4">
      <t>イチョウ</t>
    </rPh>
    <rPh sb="5" eb="7">
      <t>アンポ</t>
    </rPh>
    <rPh sb="9" eb="12">
      <t>フクダイジン</t>
    </rPh>
    <rPh sb="13" eb="15">
      <t>モンカ</t>
    </rPh>
    <phoneticPr fontId="3"/>
  </si>
  <si>
    <t>衆議院安全保障委員長，元政務官(防衛)</t>
    <rPh sb="0" eb="3">
      <t>シュウギイン</t>
    </rPh>
    <rPh sb="3" eb="5">
      <t>アンゼン</t>
    </rPh>
    <rPh sb="5" eb="7">
      <t>ホショウ</t>
    </rPh>
    <rPh sb="7" eb="10">
      <t>イインチョウ</t>
    </rPh>
    <rPh sb="11" eb="12">
      <t>モト</t>
    </rPh>
    <rPh sb="12" eb="15">
      <t>セイムカン</t>
    </rPh>
    <rPh sb="16" eb="18">
      <t>ボウエイ</t>
    </rPh>
    <phoneticPr fontId="4"/>
  </si>
  <si>
    <t>　元大臣(法務・拉致),委長(国基,内閣,経産,労働),民主党副代表</t>
    <rPh sb="1" eb="2">
      <t>モト</t>
    </rPh>
    <rPh sb="2" eb="4">
      <t>ダイジン</t>
    </rPh>
    <rPh sb="5" eb="7">
      <t>ホウム</t>
    </rPh>
    <rPh sb="8" eb="10">
      <t>ラチ</t>
    </rPh>
    <rPh sb="12" eb="14">
      <t>イチョウ</t>
    </rPh>
    <rPh sb="15" eb="17">
      <t>クニモト</t>
    </rPh>
    <rPh sb="16" eb="17">
      <t>モト</t>
    </rPh>
    <rPh sb="18" eb="20">
      <t>ナイカク</t>
    </rPh>
    <rPh sb="21" eb="23">
      <t>ケイサン</t>
    </rPh>
    <rPh sb="24" eb="26">
      <t>ロウドウ</t>
    </rPh>
    <rPh sb="28" eb="31">
      <t>ミンシュトウ</t>
    </rPh>
    <rPh sb="31" eb="34">
      <t>フクダイヒョウ</t>
    </rPh>
    <phoneticPr fontId="3"/>
  </si>
  <si>
    <t>　元委長(決行),副大臣(経産),政務官(外務,総務)</t>
    <rPh sb="1" eb="2">
      <t>モト</t>
    </rPh>
    <rPh sb="2" eb="4">
      <t>イチョウ</t>
    </rPh>
    <rPh sb="5" eb="7">
      <t>ケッコウ</t>
    </rPh>
    <rPh sb="9" eb="12">
      <t>フクダイジン</t>
    </rPh>
    <rPh sb="13" eb="15">
      <t>ケイサン</t>
    </rPh>
    <rPh sb="17" eb="20">
      <t>セイムカン</t>
    </rPh>
    <rPh sb="21" eb="23">
      <t>ガイム</t>
    </rPh>
    <rPh sb="24" eb="26">
      <t>ソウム</t>
    </rPh>
    <phoneticPr fontId="3"/>
  </si>
  <si>
    <t>衆議院懲罰委員長，元委長(拉致特),副大臣(農水)</t>
    <rPh sb="0" eb="3">
      <t>シュウギイン</t>
    </rPh>
    <rPh sb="3" eb="5">
      <t>チョウバツ</t>
    </rPh>
    <rPh sb="5" eb="8">
      <t>イインチョウ</t>
    </rPh>
    <rPh sb="9" eb="10">
      <t>モト</t>
    </rPh>
    <rPh sb="10" eb="12">
      <t>イチョウ</t>
    </rPh>
    <rPh sb="13" eb="16">
      <t>ラチトク</t>
    </rPh>
    <rPh sb="18" eb="21">
      <t>フクダイジン</t>
    </rPh>
    <rPh sb="22" eb="24">
      <t>ノウスイ</t>
    </rPh>
    <phoneticPr fontId="3"/>
  </si>
  <si>
    <t>衆議院災害対策特別委員長，元大臣(戦略・消費者),委長(内閣),旧日本新党代表幹事</t>
    <rPh sb="0" eb="3">
      <t>シュウギイン</t>
    </rPh>
    <rPh sb="3" eb="5">
      <t>サイガイ</t>
    </rPh>
    <rPh sb="5" eb="7">
      <t>タイサク</t>
    </rPh>
    <rPh sb="7" eb="9">
      <t>トクベツ</t>
    </rPh>
    <rPh sb="9" eb="12">
      <t>イインチョウ</t>
    </rPh>
    <rPh sb="13" eb="16">
      <t>モトダイジン</t>
    </rPh>
    <rPh sb="17" eb="19">
      <t>センリャク</t>
    </rPh>
    <rPh sb="20" eb="23">
      <t>ショウヒシャ</t>
    </rPh>
    <rPh sb="25" eb="27">
      <t>イチョウ</t>
    </rPh>
    <rPh sb="28" eb="30">
      <t>ナイカク</t>
    </rPh>
    <rPh sb="32" eb="33">
      <t>キュウ</t>
    </rPh>
    <rPh sb="33" eb="35">
      <t>ニホン</t>
    </rPh>
    <rPh sb="35" eb="37">
      <t>シントウ</t>
    </rPh>
    <rPh sb="37" eb="39">
      <t>ダイヒョウ</t>
    </rPh>
    <rPh sb="39" eb="41">
      <t>カンジ</t>
    </rPh>
    <phoneticPr fontId="3"/>
  </si>
  <si>
    <t>衆議院政治倫理公選法特別委員長，元副大臣(法務),首相補佐官,民主党国対委長代理</t>
    <rPh sb="0" eb="3">
      <t>シュウギイン</t>
    </rPh>
    <rPh sb="3" eb="5">
      <t>セイジ</t>
    </rPh>
    <rPh sb="5" eb="7">
      <t>リンリ</t>
    </rPh>
    <rPh sb="7" eb="10">
      <t>コウセンホウ</t>
    </rPh>
    <rPh sb="10" eb="12">
      <t>トクベツ</t>
    </rPh>
    <rPh sb="12" eb="15">
      <t>イインチョウ</t>
    </rPh>
    <rPh sb="16" eb="17">
      <t>モト</t>
    </rPh>
    <rPh sb="17" eb="20">
      <t>フクダイジン</t>
    </rPh>
    <rPh sb="21" eb="23">
      <t>ホウム</t>
    </rPh>
    <rPh sb="25" eb="27">
      <t>シュショウ</t>
    </rPh>
    <rPh sb="27" eb="30">
      <t>ホサカン</t>
    </rPh>
    <rPh sb="31" eb="34">
      <t>ミンシュトウ</t>
    </rPh>
    <rPh sb="34" eb="38">
      <t>コクタイイチョウ</t>
    </rPh>
    <rPh sb="38" eb="40">
      <t>ダイリ</t>
    </rPh>
    <phoneticPr fontId="3"/>
  </si>
  <si>
    <t>衆議院沖縄北方特別委員長，元副大臣(外務),政務官(外務)</t>
    <rPh sb="0" eb="3">
      <t>シュウギイン</t>
    </rPh>
    <rPh sb="3" eb="5">
      <t>オキナワ</t>
    </rPh>
    <rPh sb="5" eb="7">
      <t>ホッポウ</t>
    </rPh>
    <rPh sb="7" eb="9">
      <t>トクベツ</t>
    </rPh>
    <rPh sb="9" eb="12">
      <t>イインチョウ</t>
    </rPh>
    <rPh sb="13" eb="14">
      <t>モト</t>
    </rPh>
    <rPh sb="14" eb="17">
      <t>フクダイジン</t>
    </rPh>
    <rPh sb="18" eb="20">
      <t>ガイム</t>
    </rPh>
    <rPh sb="22" eb="25">
      <t>セイムカン</t>
    </rPh>
    <rPh sb="26" eb="28">
      <t>ガイム</t>
    </rPh>
    <phoneticPr fontId="3"/>
  </si>
  <si>
    <t>　元委長(海テ特)</t>
    <rPh sb="1" eb="2">
      <t>モト</t>
    </rPh>
    <rPh sb="2" eb="4">
      <t>イチョウ</t>
    </rPh>
    <rPh sb="5" eb="6">
      <t>ウミ</t>
    </rPh>
    <rPh sb="7" eb="8">
      <t>トッ</t>
    </rPh>
    <phoneticPr fontId="3"/>
  </si>
  <si>
    <t>衆議院拉致問題特別委員長，元大臣(公安・消費者・拉致),委長(海テ特),副大臣(国交)</t>
    <rPh sb="0" eb="3">
      <t>シュウギイン</t>
    </rPh>
    <rPh sb="3" eb="5">
      <t>ラチ</t>
    </rPh>
    <rPh sb="5" eb="7">
      <t>モンダイ</t>
    </rPh>
    <rPh sb="7" eb="9">
      <t>トクベツ</t>
    </rPh>
    <rPh sb="9" eb="12">
      <t>イインチョウ</t>
    </rPh>
    <rPh sb="13" eb="16">
      <t>モトダイジン</t>
    </rPh>
    <rPh sb="17" eb="19">
      <t>コウアン</t>
    </rPh>
    <rPh sb="20" eb="23">
      <t>ショウヒシャ</t>
    </rPh>
    <rPh sb="24" eb="26">
      <t>ラチ</t>
    </rPh>
    <rPh sb="28" eb="30">
      <t>イチョウ</t>
    </rPh>
    <rPh sb="31" eb="32">
      <t>カイ</t>
    </rPh>
    <rPh sb="33" eb="34">
      <t>トク</t>
    </rPh>
    <rPh sb="36" eb="39">
      <t>フクダイジン</t>
    </rPh>
    <rPh sb="40" eb="42">
      <t>コッコウ</t>
    </rPh>
    <phoneticPr fontId="3"/>
  </si>
  <si>
    <t>衆議院科学技術特別委員長，元委長(厚労,懲罰,外務),副大臣(経産,財務)</t>
    <rPh sb="0" eb="3">
      <t>シュウギイン</t>
    </rPh>
    <rPh sb="3" eb="5">
      <t>カガク</t>
    </rPh>
    <rPh sb="5" eb="7">
      <t>ギジュツ</t>
    </rPh>
    <rPh sb="7" eb="9">
      <t>トクベツ</t>
    </rPh>
    <rPh sb="9" eb="12">
      <t>イインチョウ</t>
    </rPh>
    <rPh sb="13" eb="14">
      <t>モト</t>
    </rPh>
    <rPh sb="14" eb="16">
      <t>イチョウ</t>
    </rPh>
    <rPh sb="17" eb="19">
      <t>コウロウ</t>
    </rPh>
    <rPh sb="20" eb="22">
      <t>チョウバツ</t>
    </rPh>
    <rPh sb="23" eb="25">
      <t>ガイム</t>
    </rPh>
    <rPh sb="27" eb="30">
      <t>フクダイジン</t>
    </rPh>
    <rPh sb="31" eb="33">
      <t>ケイサン</t>
    </rPh>
    <rPh sb="34" eb="36">
      <t>ザイム</t>
    </rPh>
    <phoneticPr fontId="3"/>
  </si>
  <si>
    <t>衆議院震災復興特別委員長，元委長(消費特,青少特),副大臣(復興・内閣),首相補佐官</t>
    <rPh sb="0" eb="12">
      <t>シュウギインシンサイフッコウトクベツイインチョウ</t>
    </rPh>
    <rPh sb="13" eb="14">
      <t>モト</t>
    </rPh>
    <rPh sb="14" eb="16">
      <t>イチョウ</t>
    </rPh>
    <rPh sb="17" eb="19">
      <t>ショウヒ</t>
    </rPh>
    <rPh sb="19" eb="20">
      <t>トク</t>
    </rPh>
    <rPh sb="21" eb="22">
      <t>アオ</t>
    </rPh>
    <rPh sb="22" eb="23">
      <t>ショウ</t>
    </rPh>
    <rPh sb="23" eb="24">
      <t>トク</t>
    </rPh>
    <rPh sb="26" eb="29">
      <t>フクダイジン</t>
    </rPh>
    <rPh sb="30" eb="32">
      <t>フッコウ</t>
    </rPh>
    <rPh sb="33" eb="35">
      <t>ナイカク</t>
    </rPh>
    <rPh sb="37" eb="39">
      <t>シュショウ</t>
    </rPh>
    <rPh sb="39" eb="42">
      <t>ホサカン</t>
    </rPh>
    <phoneticPr fontId="3"/>
  </si>
  <si>
    <t>藤野　保史</t>
    <rPh sb="0" eb="2">
      <t>フジノ</t>
    </rPh>
    <rPh sb="3" eb="5">
      <t>ヤスフミ</t>
    </rPh>
    <phoneticPr fontId="3"/>
  </si>
  <si>
    <t>大(京都)</t>
    <rPh sb="0" eb="1">
      <t>ダイ</t>
    </rPh>
    <rPh sb="2" eb="4">
      <t>キョウト</t>
    </rPh>
    <phoneticPr fontId="3"/>
  </si>
  <si>
    <t>共産党准中央委員,議員秘書(吉井英勝,穀田恵二)</t>
    <rPh sb="0" eb="3">
      <t>キョウサントウ</t>
    </rPh>
    <rPh sb="3" eb="4">
      <t>ジュン</t>
    </rPh>
    <rPh sb="4" eb="6">
      <t>チュウオウ</t>
    </rPh>
    <rPh sb="6" eb="8">
      <t>イイン</t>
    </rPh>
    <rPh sb="9" eb="11">
      <t>ギイン</t>
    </rPh>
    <rPh sb="11" eb="13">
      <t>ヒショ</t>
    </rPh>
    <rPh sb="14" eb="16">
      <t>ヨシイ</t>
    </rPh>
    <rPh sb="16" eb="18">
      <t>ヒデカツ</t>
    </rPh>
    <rPh sb="19" eb="21">
      <t>コクタ</t>
    </rPh>
    <rPh sb="21" eb="23">
      <t>ケイジ</t>
    </rPh>
    <phoneticPr fontId="3"/>
  </si>
  <si>
    <t>129新潟1区04</t>
    <rPh sb="3" eb="5">
      <t>ニイガタ</t>
    </rPh>
    <rPh sb="6" eb="7">
      <t>ク</t>
    </rPh>
    <phoneticPr fontId="3"/>
  </si>
  <si>
    <t>内山　　航</t>
    <rPh sb="0" eb="2">
      <t>ウチヤマ</t>
    </rPh>
    <rPh sb="4" eb="5">
      <t>コウ</t>
    </rPh>
    <phoneticPr fontId="3"/>
  </si>
  <si>
    <t>021宮城1区05</t>
    <rPh sb="3" eb="5">
      <t>ミヤギ</t>
    </rPh>
    <rPh sb="6" eb="7">
      <t>ク</t>
    </rPh>
    <phoneticPr fontId="3"/>
  </si>
  <si>
    <t>横田　匡人</t>
    <rPh sb="0" eb="2">
      <t>ヨコタ</t>
    </rPh>
    <rPh sb="3" eb="5">
      <t>マサト</t>
    </rPh>
    <phoneticPr fontId="3"/>
  </si>
  <si>
    <t>宮城県・仙台市議</t>
    <rPh sb="0" eb="3">
      <t>ミヤギケン</t>
    </rPh>
    <rPh sb="4" eb="6">
      <t>センダイ</t>
    </rPh>
    <rPh sb="6" eb="8">
      <t>シギ</t>
    </rPh>
    <phoneticPr fontId="3"/>
  </si>
  <si>
    <t>議</t>
    <rPh sb="0" eb="1">
      <t>ギ</t>
    </rPh>
    <phoneticPr fontId="3"/>
  </si>
  <si>
    <t>大中(東北学院)</t>
    <rPh sb="0" eb="1">
      <t>ダイ</t>
    </rPh>
    <rPh sb="1" eb="2">
      <t>チュウ</t>
    </rPh>
    <rPh sb="3" eb="5">
      <t>トウホク</t>
    </rPh>
    <rPh sb="5" eb="7">
      <t>ガクイン</t>
    </rPh>
    <phoneticPr fontId="3"/>
  </si>
  <si>
    <t>149岐阜1区01</t>
    <rPh sb="3" eb="5">
      <t>ギフ</t>
    </rPh>
    <rPh sb="6" eb="7">
      <t>ク</t>
    </rPh>
    <phoneticPr fontId="3"/>
  </si>
  <si>
    <t>149岐阜1区02</t>
    <rPh sb="3" eb="5">
      <t>ギフ</t>
    </rPh>
    <rPh sb="6" eb="7">
      <t>ク</t>
    </rPh>
    <phoneticPr fontId="3"/>
  </si>
  <si>
    <t>149岐阜1区03</t>
    <rPh sb="3" eb="5">
      <t>ギフ</t>
    </rPh>
    <rPh sb="6" eb="7">
      <t>ク</t>
    </rPh>
    <phoneticPr fontId="3"/>
  </si>
  <si>
    <t>149岐阜1区04</t>
    <rPh sb="3" eb="5">
      <t>ギフ</t>
    </rPh>
    <rPh sb="6" eb="7">
      <t>ク</t>
    </rPh>
    <phoneticPr fontId="3"/>
  </si>
  <si>
    <t>149岐阜1区05</t>
    <rPh sb="3" eb="5">
      <t>ギフ</t>
    </rPh>
    <rPh sb="6" eb="7">
      <t>ク</t>
    </rPh>
    <phoneticPr fontId="3"/>
  </si>
  <si>
    <t>柴橋　正直</t>
    <rPh sb="0" eb="2">
      <t>シバハシ</t>
    </rPh>
    <rPh sb="3" eb="5">
      <t>マサナオ</t>
    </rPh>
    <phoneticPr fontId="3"/>
  </si>
  <si>
    <t>149岐阜1区</t>
    <rPh sb="3" eb="5">
      <t>ギフ</t>
    </rPh>
    <rPh sb="6" eb="7">
      <t>ク</t>
    </rPh>
    <phoneticPr fontId="3"/>
  </si>
  <si>
    <t>大(大阪)</t>
    <rPh sb="0" eb="1">
      <t>ダイ</t>
    </rPh>
    <rPh sb="2" eb="4">
      <t>オオサカ</t>
    </rPh>
    <phoneticPr fontId="3"/>
  </si>
  <si>
    <t>野田　聖子</t>
    <rPh sb="0" eb="2">
      <t>ノダ</t>
    </rPh>
    <rPh sb="3" eb="5">
      <t>セイコ</t>
    </rPh>
    <phoneticPr fontId="3"/>
  </si>
  <si>
    <t>307比例東海15</t>
    <rPh sb="3" eb="5">
      <t>ヒレイ</t>
    </rPh>
    <rPh sb="5" eb="7">
      <t>トウカイ</t>
    </rPh>
    <phoneticPr fontId="3"/>
  </si>
  <si>
    <t>岐阜県議(岐阜市),会社員(帝国ホテル)</t>
    <rPh sb="0" eb="2">
      <t>ギフ</t>
    </rPh>
    <rPh sb="2" eb="4">
      <t>ケンギ</t>
    </rPh>
    <rPh sb="5" eb="8">
      <t>ギフシ</t>
    </rPh>
    <rPh sb="10" eb="13">
      <t>カイシャイン</t>
    </rPh>
    <rPh sb="14" eb="16">
      <t>テイコク</t>
    </rPh>
    <phoneticPr fontId="3"/>
  </si>
  <si>
    <t>二</t>
    <rPh sb="0" eb="1">
      <t>ニ</t>
    </rPh>
    <phoneticPr fontId="3"/>
  </si>
  <si>
    <t>　元大臣(消費者,郵政),政務次官(郵政)</t>
    <rPh sb="1" eb="4">
      <t>モトダイジン</t>
    </rPh>
    <rPh sb="5" eb="8">
      <t>ショウヒシャ</t>
    </rPh>
    <rPh sb="9" eb="11">
      <t>ユウセイ</t>
    </rPh>
    <rPh sb="13" eb="15">
      <t>セイム</t>
    </rPh>
    <rPh sb="15" eb="17">
      <t>ジカン</t>
    </rPh>
    <rPh sb="18" eb="20">
      <t>ユウセイ</t>
    </rPh>
    <phoneticPr fontId="3"/>
  </si>
  <si>
    <t>笠原　多見子</t>
    <rPh sb="0" eb="2">
      <t>カサハラ</t>
    </rPh>
    <rPh sb="3" eb="6">
      <t>タミコ</t>
    </rPh>
    <phoneticPr fontId="3"/>
  </si>
  <si>
    <t>307比例東海05</t>
    <rPh sb="3" eb="5">
      <t>ヒレイ</t>
    </rPh>
    <rPh sb="5" eb="7">
      <t>トウカイ</t>
    </rPh>
    <phoneticPr fontId="3"/>
  </si>
  <si>
    <t>大(東京国際)</t>
    <rPh sb="0" eb="1">
      <t>ダイ</t>
    </rPh>
    <rPh sb="2" eb="4">
      <t>トウキョウ</t>
    </rPh>
    <rPh sb="4" eb="6">
      <t>コクサイ</t>
    </rPh>
    <phoneticPr fontId="3"/>
  </si>
  <si>
    <t>岐阜県議(岐阜市)</t>
    <rPh sb="0" eb="2">
      <t>ギフ</t>
    </rPh>
    <rPh sb="2" eb="4">
      <t>ケンギ</t>
    </rPh>
    <rPh sb="5" eb="8">
      <t>ギフシ</t>
    </rPh>
    <phoneticPr fontId="3"/>
  </si>
  <si>
    <t>議二</t>
    <rPh sb="0" eb="1">
      <t>ギ</t>
    </rPh>
    <rPh sb="1" eb="2">
      <t>ニ</t>
    </rPh>
    <phoneticPr fontId="3"/>
  </si>
  <si>
    <t>鈴木　正典</t>
    <rPh sb="0" eb="2">
      <t>スズキ</t>
    </rPh>
    <rPh sb="3" eb="5">
      <t>マサノリ</t>
    </rPh>
    <phoneticPr fontId="3"/>
  </si>
  <si>
    <t>大(岐阜)</t>
    <rPh sb="0" eb="1">
      <t>ダイ</t>
    </rPh>
    <rPh sb="2" eb="4">
      <t>ギフ</t>
    </rPh>
    <phoneticPr fontId="3"/>
  </si>
  <si>
    <t>共産党岐阜県常任委員,岐阜大生協労組委員長</t>
    <rPh sb="0" eb="3">
      <t>キョウサントウ</t>
    </rPh>
    <rPh sb="3" eb="6">
      <t>ギフケン</t>
    </rPh>
    <rPh sb="6" eb="8">
      <t>ジョウニン</t>
    </rPh>
    <rPh sb="8" eb="10">
      <t>イイン</t>
    </rPh>
    <rPh sb="11" eb="13">
      <t>ギフ</t>
    </rPh>
    <rPh sb="13" eb="14">
      <t>ダイ</t>
    </rPh>
    <rPh sb="14" eb="16">
      <t>セイキョウ</t>
    </rPh>
    <rPh sb="16" eb="18">
      <t>ロウソ</t>
    </rPh>
    <rPh sb="18" eb="21">
      <t>イインチョウ</t>
    </rPh>
    <phoneticPr fontId="3"/>
  </si>
  <si>
    <t>労</t>
    <rPh sb="0" eb="1">
      <t>ロウ</t>
    </rPh>
    <phoneticPr fontId="3"/>
  </si>
  <si>
    <t>野原　典子</t>
    <rPh sb="0" eb="2">
      <t>ノハラ</t>
    </rPh>
    <rPh sb="3" eb="5">
      <t>ノリコ</t>
    </rPh>
    <phoneticPr fontId="3"/>
  </si>
  <si>
    <t>大(南山)</t>
    <rPh sb="0" eb="1">
      <t>ダイ</t>
    </rPh>
    <rPh sb="2" eb="4">
      <t>ナンザン</t>
    </rPh>
    <phoneticPr fontId="3"/>
  </si>
  <si>
    <t>ジ</t>
    <phoneticPr fontId="3"/>
  </si>
  <si>
    <t>幸福実現党員,医療法人理事(野原クリニック),テレビキャスター(NHK)</t>
    <rPh sb="0" eb="2">
      <t>コウフク</t>
    </rPh>
    <rPh sb="2" eb="4">
      <t>ジツゲン</t>
    </rPh>
    <rPh sb="4" eb="6">
      <t>トウイン</t>
    </rPh>
    <rPh sb="7" eb="9">
      <t>イリョウ</t>
    </rPh>
    <rPh sb="9" eb="11">
      <t>ホウジン</t>
    </rPh>
    <rPh sb="11" eb="13">
      <t>リジ</t>
    </rPh>
    <rPh sb="14" eb="16">
      <t>ノハラ</t>
    </rPh>
    <phoneticPr fontId="3"/>
  </si>
  <si>
    <t>150岐阜2区01</t>
    <rPh sb="3" eb="5">
      <t>ギフ</t>
    </rPh>
    <rPh sb="6" eb="7">
      <t>ク</t>
    </rPh>
    <phoneticPr fontId="3"/>
  </si>
  <si>
    <t>150岐阜2区02</t>
    <rPh sb="3" eb="5">
      <t>ギフ</t>
    </rPh>
    <rPh sb="6" eb="7">
      <t>ク</t>
    </rPh>
    <phoneticPr fontId="3"/>
  </si>
  <si>
    <t>150岐阜2区03</t>
    <rPh sb="3" eb="5">
      <t>ギフ</t>
    </rPh>
    <rPh sb="6" eb="7">
      <t>ク</t>
    </rPh>
    <phoneticPr fontId="3"/>
  </si>
  <si>
    <t>橋本　　勉</t>
    <rPh sb="0" eb="2">
      <t>ハシモト</t>
    </rPh>
    <rPh sb="4" eb="5">
      <t>ベン</t>
    </rPh>
    <phoneticPr fontId="3"/>
  </si>
  <si>
    <t>307比例東海03</t>
    <rPh sb="3" eb="5">
      <t>ヒレイ</t>
    </rPh>
    <rPh sb="5" eb="7">
      <t>トウカイ</t>
    </rPh>
    <phoneticPr fontId="3"/>
  </si>
  <si>
    <t>税理士,会社員(ジーク証券),国税庁職員</t>
    <rPh sb="0" eb="3">
      <t>ゼイリシ</t>
    </rPh>
    <rPh sb="4" eb="7">
      <t>カイシャイン</t>
    </rPh>
    <rPh sb="11" eb="13">
      <t>ショウケン</t>
    </rPh>
    <rPh sb="15" eb="18">
      <t>コクゼイチョウ</t>
    </rPh>
    <rPh sb="18" eb="20">
      <t>ショクイン</t>
    </rPh>
    <phoneticPr fontId="3"/>
  </si>
  <si>
    <t>棚橋　泰文</t>
    <rPh sb="0" eb="2">
      <t>タナハシ</t>
    </rPh>
    <rPh sb="3" eb="5">
      <t>ヤスフミ</t>
    </rPh>
    <phoneticPr fontId="3"/>
  </si>
  <si>
    <t>150岐阜2区</t>
    <rPh sb="3" eb="5">
      <t>ギフ</t>
    </rPh>
    <rPh sb="6" eb="7">
      <t>ク</t>
    </rPh>
    <phoneticPr fontId="3"/>
  </si>
  <si>
    <t>大(東京)</t>
    <rPh sb="0" eb="1">
      <t>ダイ</t>
    </rPh>
    <rPh sb="2" eb="4">
      <t>トウキョウ</t>
    </rPh>
    <phoneticPr fontId="3"/>
  </si>
  <si>
    <t>弁護士,通商産業省電子政策課企画官</t>
    <rPh sb="0" eb="3">
      <t>ベンゴシ</t>
    </rPh>
    <rPh sb="4" eb="9">
      <t>ツウショウサンギョウショウ</t>
    </rPh>
    <rPh sb="9" eb="11">
      <t>デンシ</t>
    </rPh>
    <rPh sb="11" eb="13">
      <t>セイサク</t>
    </rPh>
    <rPh sb="13" eb="14">
      <t>カ</t>
    </rPh>
    <rPh sb="14" eb="17">
      <t>キカクカン</t>
    </rPh>
    <phoneticPr fontId="3"/>
  </si>
  <si>
    <t>官二法</t>
    <rPh sb="0" eb="1">
      <t>カン</t>
    </rPh>
    <rPh sb="1" eb="2">
      <t>ニ</t>
    </rPh>
    <rPh sb="2" eb="3">
      <t>ホウ</t>
    </rPh>
    <phoneticPr fontId="3"/>
  </si>
  <si>
    <t>法</t>
    <rPh sb="0" eb="1">
      <t>ホウ</t>
    </rPh>
    <phoneticPr fontId="3"/>
  </si>
  <si>
    <t>　元大臣(科技・食安・IT),委長(倫選特)</t>
    <rPh sb="1" eb="4">
      <t>モトダイジン</t>
    </rPh>
    <rPh sb="5" eb="7">
      <t>カギ</t>
    </rPh>
    <rPh sb="8" eb="9">
      <t>ショク</t>
    </rPh>
    <rPh sb="9" eb="10">
      <t>ヤスシ</t>
    </rPh>
    <rPh sb="15" eb="17">
      <t>イチョウ</t>
    </rPh>
    <rPh sb="18" eb="20">
      <t>リンセン</t>
    </rPh>
    <rPh sb="20" eb="21">
      <t>トク</t>
    </rPh>
    <phoneticPr fontId="3"/>
  </si>
  <si>
    <t>高木　光弘</t>
    <rPh sb="0" eb="2">
      <t>タカギ</t>
    </rPh>
    <rPh sb="3" eb="5">
      <t>ミツヒロ</t>
    </rPh>
    <phoneticPr fontId="3"/>
  </si>
  <si>
    <t>大(名古屋工)</t>
    <rPh sb="0" eb="1">
      <t>ダイ</t>
    </rPh>
    <rPh sb="2" eb="5">
      <t>ナゴヤ</t>
    </rPh>
    <rPh sb="5" eb="6">
      <t>コウ</t>
    </rPh>
    <phoneticPr fontId="3"/>
  </si>
  <si>
    <t>共産党地区委員長,会社員(晃和整染)</t>
    <rPh sb="0" eb="3">
      <t>キョウサントウ</t>
    </rPh>
    <rPh sb="3" eb="5">
      <t>チク</t>
    </rPh>
    <rPh sb="5" eb="8">
      <t>イインチョウ</t>
    </rPh>
    <rPh sb="9" eb="12">
      <t>カイシャイン</t>
    </rPh>
    <rPh sb="13" eb="15">
      <t>コウワ</t>
    </rPh>
    <rPh sb="15" eb="17">
      <t>セイセン</t>
    </rPh>
    <phoneticPr fontId="3"/>
  </si>
  <si>
    <t>151岐阜3区01</t>
    <rPh sb="3" eb="5">
      <t>ギフ</t>
    </rPh>
    <rPh sb="6" eb="7">
      <t>ク</t>
    </rPh>
    <phoneticPr fontId="3"/>
  </si>
  <si>
    <t>151岐阜3区02</t>
    <rPh sb="3" eb="5">
      <t>ギフ</t>
    </rPh>
    <rPh sb="6" eb="7">
      <t>ク</t>
    </rPh>
    <phoneticPr fontId="3"/>
  </si>
  <si>
    <t>151岐阜3区03</t>
    <rPh sb="3" eb="5">
      <t>ギフ</t>
    </rPh>
    <rPh sb="6" eb="7">
      <t>ク</t>
    </rPh>
    <phoneticPr fontId="3"/>
  </si>
  <si>
    <t>園田　康博</t>
    <rPh sb="0" eb="2">
      <t>ソノダ</t>
    </rPh>
    <rPh sb="3" eb="5">
      <t>ヤスヒロ</t>
    </rPh>
    <phoneticPr fontId="3"/>
  </si>
  <si>
    <t>151岐阜3区</t>
    <rPh sb="3" eb="5">
      <t>ギフ</t>
    </rPh>
    <rPh sb="6" eb="7">
      <t>ク</t>
    </rPh>
    <phoneticPr fontId="3"/>
  </si>
  <si>
    <t>大学教員(慶應大学通信教育部講師)</t>
    <rPh sb="0" eb="2">
      <t>ダイガク</t>
    </rPh>
    <rPh sb="2" eb="4">
      <t>キョウイン</t>
    </rPh>
    <rPh sb="5" eb="7">
      <t>ケイオウ</t>
    </rPh>
    <rPh sb="7" eb="9">
      <t>ダイガク</t>
    </rPh>
    <rPh sb="9" eb="11">
      <t>ツウシン</t>
    </rPh>
    <rPh sb="11" eb="14">
      <t>キョウイクブ</t>
    </rPh>
    <rPh sb="14" eb="16">
      <t>コウシ</t>
    </rPh>
    <phoneticPr fontId="3"/>
  </si>
  <si>
    <t>環境・内閣府副大臣，元政務官(内閣)</t>
    <rPh sb="0" eb="2">
      <t>カンキョウ</t>
    </rPh>
    <rPh sb="3" eb="6">
      <t>ナイカクフ</t>
    </rPh>
    <rPh sb="6" eb="9">
      <t>フクダイジン</t>
    </rPh>
    <rPh sb="10" eb="11">
      <t>モト</t>
    </rPh>
    <rPh sb="11" eb="14">
      <t>セイムカン</t>
    </rPh>
    <rPh sb="15" eb="17">
      <t>ナイカク</t>
    </rPh>
    <phoneticPr fontId="3"/>
  </si>
  <si>
    <t>武藤　容治</t>
    <rPh sb="0" eb="2">
      <t>ムトウ</t>
    </rPh>
    <rPh sb="3" eb="5">
      <t>ヨウジ</t>
    </rPh>
    <phoneticPr fontId="3"/>
  </si>
  <si>
    <t>議員秘書(武藤嘉文),会社社長(菊川)</t>
    <rPh sb="0" eb="2">
      <t>ギイン</t>
    </rPh>
    <rPh sb="2" eb="4">
      <t>ヒショ</t>
    </rPh>
    <rPh sb="5" eb="7">
      <t>ムトウ</t>
    </rPh>
    <rPh sb="7" eb="8">
      <t>カ</t>
    </rPh>
    <rPh sb="8" eb="9">
      <t>ブン</t>
    </rPh>
    <rPh sb="11" eb="13">
      <t>カイシャ</t>
    </rPh>
    <rPh sb="13" eb="15">
      <t>シャチョウ</t>
    </rPh>
    <rPh sb="16" eb="18">
      <t>キクカワ</t>
    </rPh>
    <phoneticPr fontId="3"/>
  </si>
  <si>
    <t>152岐阜4区01</t>
    <rPh sb="3" eb="5">
      <t>ギフ</t>
    </rPh>
    <rPh sb="6" eb="7">
      <t>ク</t>
    </rPh>
    <phoneticPr fontId="3"/>
  </si>
  <si>
    <t>152岐阜4区02</t>
    <rPh sb="3" eb="5">
      <t>ギフ</t>
    </rPh>
    <rPh sb="6" eb="7">
      <t>ク</t>
    </rPh>
    <phoneticPr fontId="3"/>
  </si>
  <si>
    <t>152岐阜4区03</t>
    <rPh sb="3" eb="5">
      <t>ギフ</t>
    </rPh>
    <rPh sb="6" eb="7">
      <t>ク</t>
    </rPh>
    <phoneticPr fontId="3"/>
  </si>
  <si>
    <t>金子　一義</t>
    <rPh sb="0" eb="2">
      <t>カネコ</t>
    </rPh>
    <rPh sb="3" eb="5">
      <t>カズヨシ</t>
    </rPh>
    <phoneticPr fontId="3"/>
  </si>
  <si>
    <t>152岐阜4区</t>
    <rPh sb="3" eb="5">
      <t>ギフ</t>
    </rPh>
    <rPh sb="6" eb="7">
      <t>ク</t>
    </rPh>
    <phoneticPr fontId="3"/>
  </si>
  <si>
    <t>議員秘書(金子一平),銀行員(長銀)</t>
    <rPh sb="0" eb="2">
      <t>ギイン</t>
    </rPh>
    <rPh sb="2" eb="4">
      <t>ヒショ</t>
    </rPh>
    <rPh sb="5" eb="7">
      <t>カネコ</t>
    </rPh>
    <rPh sb="7" eb="9">
      <t>イッペイ</t>
    </rPh>
    <rPh sb="11" eb="14">
      <t>ギンコウイン</t>
    </rPh>
    <rPh sb="15" eb="17">
      <t>チョウギン</t>
    </rPh>
    <phoneticPr fontId="3"/>
  </si>
  <si>
    <t>　元大臣(国交,行革・産再),委長(予算,大蔵,厚生),政務次官(建設)</t>
    <rPh sb="1" eb="4">
      <t>モトダイジン</t>
    </rPh>
    <rPh sb="5" eb="7">
      <t>コッコウ</t>
    </rPh>
    <rPh sb="8" eb="10">
      <t>ギョウカク</t>
    </rPh>
    <rPh sb="11" eb="12">
      <t>サン</t>
    </rPh>
    <rPh sb="12" eb="13">
      <t>サイ</t>
    </rPh>
    <rPh sb="15" eb="17">
      <t>イチョウ</t>
    </rPh>
    <rPh sb="18" eb="20">
      <t>ヨサン</t>
    </rPh>
    <rPh sb="21" eb="23">
      <t>オオクラ</t>
    </rPh>
    <rPh sb="24" eb="26">
      <t>コウセイ</t>
    </rPh>
    <rPh sb="28" eb="30">
      <t>セイム</t>
    </rPh>
    <rPh sb="30" eb="32">
      <t>ジカン</t>
    </rPh>
    <rPh sb="33" eb="35">
      <t>ケンセツ</t>
    </rPh>
    <phoneticPr fontId="3"/>
  </si>
  <si>
    <t>日下部　俊雄</t>
    <rPh sb="0" eb="3">
      <t>クサカベ</t>
    </rPh>
    <rPh sb="4" eb="6">
      <t>トシオ</t>
    </rPh>
    <phoneticPr fontId="3"/>
  </si>
  <si>
    <t>高(斐太)</t>
    <rPh sb="0" eb="1">
      <t>コウ</t>
    </rPh>
    <rPh sb="2" eb="3">
      <t>ヒ</t>
    </rPh>
    <rPh sb="3" eb="4">
      <t>ダ</t>
    </rPh>
    <phoneticPr fontId="3"/>
  </si>
  <si>
    <t>岐阜県・下呂市議,農業</t>
    <rPh sb="0" eb="3">
      <t>ギフケン</t>
    </rPh>
    <rPh sb="4" eb="6">
      <t>ゲロ</t>
    </rPh>
    <rPh sb="6" eb="8">
      <t>シギ</t>
    </rPh>
    <rPh sb="9" eb="11">
      <t>ノウギョウ</t>
    </rPh>
    <phoneticPr fontId="3"/>
  </si>
  <si>
    <t>会社社長(グローバルインフォ),銀行員(UFJ銀行)</t>
    <rPh sb="0" eb="2">
      <t>カイシャ</t>
    </rPh>
    <rPh sb="2" eb="4">
      <t>シャチョウ</t>
    </rPh>
    <rPh sb="16" eb="19">
      <t>ギンコウイン</t>
    </rPh>
    <rPh sb="23" eb="25">
      <t>ギンコウ</t>
    </rPh>
    <phoneticPr fontId="3"/>
  </si>
  <si>
    <t>153岐阜5区01</t>
    <rPh sb="3" eb="5">
      <t>ギフ</t>
    </rPh>
    <rPh sb="6" eb="7">
      <t>ク</t>
    </rPh>
    <phoneticPr fontId="3"/>
  </si>
  <si>
    <t>153岐阜5区02</t>
    <rPh sb="3" eb="5">
      <t>ギフ</t>
    </rPh>
    <rPh sb="6" eb="7">
      <t>ク</t>
    </rPh>
    <phoneticPr fontId="3"/>
  </si>
  <si>
    <t>153岐阜5区03</t>
    <rPh sb="3" eb="5">
      <t>ギフ</t>
    </rPh>
    <rPh sb="6" eb="7">
      <t>ク</t>
    </rPh>
    <phoneticPr fontId="3"/>
  </si>
  <si>
    <t>153岐阜5区04</t>
    <rPh sb="3" eb="5">
      <t>ギフ</t>
    </rPh>
    <rPh sb="6" eb="7">
      <t>ク</t>
    </rPh>
    <phoneticPr fontId="3"/>
  </si>
  <si>
    <t>阿知波　吉信</t>
    <rPh sb="0" eb="3">
      <t>アチハ</t>
    </rPh>
    <rPh sb="4" eb="6">
      <t>ヨシノブ</t>
    </rPh>
    <phoneticPr fontId="3"/>
  </si>
  <si>
    <t>153岐阜5区</t>
    <rPh sb="3" eb="5">
      <t>ギフ</t>
    </rPh>
    <rPh sb="6" eb="7">
      <t>ク</t>
    </rPh>
    <phoneticPr fontId="3"/>
  </si>
  <si>
    <t>総務省情報流通高度化推進室長,議員秘書(小渕恵三)</t>
    <rPh sb="0" eb="3">
      <t>ソウムショウ</t>
    </rPh>
    <rPh sb="3" eb="5">
      <t>ジョウホウ</t>
    </rPh>
    <rPh sb="5" eb="7">
      <t>リュウツウ</t>
    </rPh>
    <rPh sb="7" eb="10">
      <t>コウドカ</t>
    </rPh>
    <rPh sb="10" eb="12">
      <t>スイシン</t>
    </rPh>
    <rPh sb="12" eb="14">
      <t>シツチョウ</t>
    </rPh>
    <rPh sb="15" eb="17">
      <t>ギイン</t>
    </rPh>
    <rPh sb="17" eb="19">
      <t>ヒショ</t>
    </rPh>
    <rPh sb="20" eb="22">
      <t>オブチ</t>
    </rPh>
    <rPh sb="22" eb="24">
      <t>ケイゾウ</t>
    </rPh>
    <phoneticPr fontId="3"/>
  </si>
  <si>
    <t>官</t>
    <rPh sb="0" eb="1">
      <t>カン</t>
    </rPh>
    <phoneticPr fontId="3"/>
  </si>
  <si>
    <t>古屋　圭司</t>
    <rPh sb="0" eb="2">
      <t>フルヤ</t>
    </rPh>
    <rPh sb="3" eb="5">
      <t>ケイジ</t>
    </rPh>
    <phoneticPr fontId="3"/>
  </si>
  <si>
    <t>307比例東海16</t>
    <rPh sb="3" eb="5">
      <t>ヒレイ</t>
    </rPh>
    <rPh sb="5" eb="7">
      <t>トウカイ</t>
    </rPh>
    <phoneticPr fontId="3"/>
  </si>
  <si>
    <t>議員秘書(古屋亨,安倍晋太郎),会社員(大正海上火災)</t>
    <rPh sb="0" eb="2">
      <t>ギイン</t>
    </rPh>
    <rPh sb="2" eb="4">
      <t>ヒショ</t>
    </rPh>
    <rPh sb="5" eb="7">
      <t>フルヤ</t>
    </rPh>
    <rPh sb="7" eb="8">
      <t>トオル</t>
    </rPh>
    <rPh sb="9" eb="11">
      <t>アベ</t>
    </rPh>
    <rPh sb="11" eb="14">
      <t>シンタロウ</t>
    </rPh>
    <rPh sb="16" eb="19">
      <t>カイシャイン</t>
    </rPh>
    <rPh sb="20" eb="22">
      <t>タイショウ</t>
    </rPh>
    <rPh sb="22" eb="24">
      <t>カイジョウ</t>
    </rPh>
    <rPh sb="24" eb="26">
      <t>カサイ</t>
    </rPh>
    <phoneticPr fontId="3"/>
  </si>
  <si>
    <t>　元委長(文科,商工),副大臣(経産),政務次官(法務)</t>
    <rPh sb="1" eb="2">
      <t>モト</t>
    </rPh>
    <rPh sb="2" eb="4">
      <t>イチョウ</t>
    </rPh>
    <rPh sb="5" eb="7">
      <t>モンカ</t>
    </rPh>
    <rPh sb="8" eb="10">
      <t>ショウコウ</t>
    </rPh>
    <rPh sb="12" eb="15">
      <t>フクダイジン</t>
    </rPh>
    <rPh sb="16" eb="18">
      <t>ケイサン</t>
    </rPh>
    <rPh sb="20" eb="22">
      <t>セイム</t>
    </rPh>
    <rPh sb="22" eb="24">
      <t>ジカン</t>
    </rPh>
    <rPh sb="25" eb="27">
      <t>ホウム</t>
    </rPh>
    <phoneticPr fontId="3"/>
  </si>
  <si>
    <t>井上　　諭</t>
    <rPh sb="0" eb="2">
      <t>イノウエ</t>
    </rPh>
    <rPh sb="4" eb="5">
      <t>サトシ</t>
    </rPh>
    <phoneticPr fontId="3"/>
  </si>
  <si>
    <t>短大(岐阜大工業短大部)</t>
    <rPh sb="0" eb="2">
      <t>タンダイ</t>
    </rPh>
    <rPh sb="3" eb="5">
      <t>ギフ</t>
    </rPh>
    <rPh sb="5" eb="6">
      <t>ダイ</t>
    </rPh>
    <rPh sb="6" eb="8">
      <t>コウギョウ</t>
    </rPh>
    <rPh sb="8" eb="11">
      <t>タンダイブ</t>
    </rPh>
    <phoneticPr fontId="3"/>
  </si>
  <si>
    <t>共産党岐阜県委員,会社員(ナカガワ)</t>
    <rPh sb="0" eb="3">
      <t>キョウサントウ</t>
    </rPh>
    <rPh sb="3" eb="6">
      <t>ギフケン</t>
    </rPh>
    <rPh sb="6" eb="8">
      <t>イイン</t>
    </rPh>
    <rPh sb="9" eb="12">
      <t>カイシャイン</t>
    </rPh>
    <phoneticPr fontId="3"/>
  </si>
  <si>
    <t>加納　有輝彦</t>
    <rPh sb="0" eb="2">
      <t>カノウ</t>
    </rPh>
    <rPh sb="3" eb="4">
      <t>ユ</t>
    </rPh>
    <rPh sb="4" eb="5">
      <t>キ</t>
    </rPh>
    <rPh sb="5" eb="6">
      <t>ヒコ</t>
    </rPh>
    <phoneticPr fontId="3"/>
  </si>
  <si>
    <t>他(岐阜高専)</t>
    <rPh sb="0" eb="1">
      <t>ホカ</t>
    </rPh>
    <rPh sb="2" eb="4">
      <t>ギフ</t>
    </rPh>
    <rPh sb="4" eb="6">
      <t>コウセン</t>
    </rPh>
    <phoneticPr fontId="3"/>
  </si>
  <si>
    <t>幸福実現党岐阜県幹事長,酒造会社員</t>
    <rPh sb="0" eb="2">
      <t>コウフク</t>
    </rPh>
    <rPh sb="2" eb="4">
      <t>ジツゲン</t>
    </rPh>
    <rPh sb="4" eb="5">
      <t>トウ</t>
    </rPh>
    <rPh sb="5" eb="8">
      <t>ギフケン</t>
    </rPh>
    <rPh sb="8" eb="11">
      <t>カンジチョウ</t>
    </rPh>
    <rPh sb="12" eb="14">
      <t>シュゾウ</t>
    </rPh>
    <rPh sb="14" eb="17">
      <t>カイシャイン</t>
    </rPh>
    <phoneticPr fontId="3"/>
  </si>
  <si>
    <t>154静岡1区01</t>
    <rPh sb="3" eb="5">
      <t>シズオカ</t>
    </rPh>
    <rPh sb="6" eb="7">
      <t>ク</t>
    </rPh>
    <phoneticPr fontId="3"/>
  </si>
  <si>
    <t>154静岡1区02</t>
    <rPh sb="3" eb="5">
      <t>シズオカ</t>
    </rPh>
    <rPh sb="6" eb="7">
      <t>ク</t>
    </rPh>
    <phoneticPr fontId="3"/>
  </si>
  <si>
    <t>154静岡1区03</t>
    <rPh sb="3" eb="5">
      <t>シズオカ</t>
    </rPh>
    <rPh sb="6" eb="7">
      <t>ク</t>
    </rPh>
    <phoneticPr fontId="3"/>
  </si>
  <si>
    <t>154静岡1区04</t>
    <rPh sb="3" eb="5">
      <t>シズオカ</t>
    </rPh>
    <rPh sb="6" eb="7">
      <t>ク</t>
    </rPh>
    <phoneticPr fontId="3"/>
  </si>
  <si>
    <t>牧野　聖修</t>
    <rPh sb="0" eb="2">
      <t>マキノ</t>
    </rPh>
    <rPh sb="3" eb="4">
      <t>セイ</t>
    </rPh>
    <rPh sb="4" eb="5">
      <t>シュウ</t>
    </rPh>
    <phoneticPr fontId="3"/>
  </si>
  <si>
    <t>154静岡1区</t>
    <rPh sb="3" eb="5">
      <t>シズオカ</t>
    </rPh>
    <rPh sb="6" eb="7">
      <t>ク</t>
    </rPh>
    <phoneticPr fontId="3"/>
  </si>
  <si>
    <t>静岡県議(静岡市),静岡県・静岡市議</t>
    <rPh sb="0" eb="2">
      <t>シズオカ</t>
    </rPh>
    <rPh sb="2" eb="4">
      <t>ケンギ</t>
    </rPh>
    <rPh sb="5" eb="8">
      <t>シズオカシ</t>
    </rPh>
    <rPh sb="10" eb="13">
      <t>シズオカケン</t>
    </rPh>
    <rPh sb="14" eb="16">
      <t>シズオカ</t>
    </rPh>
    <rPh sb="16" eb="18">
      <t>シギ</t>
    </rPh>
    <phoneticPr fontId="3"/>
  </si>
  <si>
    <t>　元委長(倫選特),副大臣(経産),政務次官(法務),民主党国対委長代理</t>
    <rPh sb="1" eb="2">
      <t>モト</t>
    </rPh>
    <rPh sb="2" eb="4">
      <t>イチョウ</t>
    </rPh>
    <rPh sb="5" eb="7">
      <t>リンセン</t>
    </rPh>
    <rPh sb="7" eb="8">
      <t>トク</t>
    </rPh>
    <rPh sb="10" eb="13">
      <t>フクダイジン</t>
    </rPh>
    <rPh sb="14" eb="16">
      <t>ケイサン</t>
    </rPh>
    <rPh sb="18" eb="20">
      <t>セイム</t>
    </rPh>
    <rPh sb="20" eb="22">
      <t>ジカン</t>
    </rPh>
    <rPh sb="23" eb="25">
      <t>ホウム</t>
    </rPh>
    <rPh sb="27" eb="30">
      <t>ミンシュトウ</t>
    </rPh>
    <rPh sb="30" eb="34">
      <t>コクタイイチョウ</t>
    </rPh>
    <rPh sb="34" eb="36">
      <t>ダイリ</t>
    </rPh>
    <phoneticPr fontId="3"/>
  </si>
  <si>
    <t>上川　陽子</t>
    <rPh sb="0" eb="2">
      <t>カミカワ</t>
    </rPh>
    <rPh sb="3" eb="5">
      <t>ヨウコ</t>
    </rPh>
    <phoneticPr fontId="3"/>
  </si>
  <si>
    <t>会社社長(グローバリンク),研究員(三菱総研)</t>
    <rPh sb="0" eb="2">
      <t>カイシャ</t>
    </rPh>
    <rPh sb="2" eb="4">
      <t>シャチョウ</t>
    </rPh>
    <rPh sb="14" eb="17">
      <t>ケンキュウイン</t>
    </rPh>
    <rPh sb="18" eb="20">
      <t>ミツビシ</t>
    </rPh>
    <rPh sb="20" eb="22">
      <t>ソウケン</t>
    </rPh>
    <phoneticPr fontId="3"/>
  </si>
  <si>
    <t>　元大臣(少子化),政務官(総務)</t>
    <rPh sb="1" eb="4">
      <t>モトダイジン</t>
    </rPh>
    <rPh sb="5" eb="8">
      <t>ショウシカ</t>
    </rPh>
    <rPh sb="10" eb="13">
      <t>セイムカン</t>
    </rPh>
    <rPh sb="14" eb="16">
      <t>ソウム</t>
    </rPh>
    <phoneticPr fontId="4"/>
  </si>
  <si>
    <t>河瀬　幸代</t>
    <rPh sb="0" eb="2">
      <t>カワセ</t>
    </rPh>
    <rPh sb="3" eb="5">
      <t>サチヨ</t>
    </rPh>
    <phoneticPr fontId="3"/>
  </si>
  <si>
    <t>静岡県・静岡市議</t>
    <rPh sb="0" eb="3">
      <t>シズオカケン</t>
    </rPh>
    <rPh sb="4" eb="6">
      <t>シズオカ</t>
    </rPh>
    <rPh sb="6" eb="8">
      <t>シギ</t>
    </rPh>
    <phoneticPr fontId="3"/>
  </si>
  <si>
    <t>小池　政就</t>
    <rPh sb="0" eb="2">
      <t>コイケ</t>
    </rPh>
    <rPh sb="3" eb="4">
      <t>マサ</t>
    </rPh>
    <rPh sb="4" eb="5">
      <t>ナリ</t>
    </rPh>
    <phoneticPr fontId="3"/>
  </si>
  <si>
    <t>大院(東京)</t>
    <rPh sb="0" eb="2">
      <t>ダイイン</t>
    </rPh>
    <rPh sb="3" eb="5">
      <t>トウキョウ</t>
    </rPh>
    <phoneticPr fontId="3"/>
  </si>
  <si>
    <t>大学教員(東京大学特任助教),会社員(丸紅)</t>
    <rPh sb="0" eb="2">
      <t>ダイガク</t>
    </rPh>
    <rPh sb="2" eb="4">
      <t>キョウイン</t>
    </rPh>
    <rPh sb="5" eb="7">
      <t>トウキョウ</t>
    </rPh>
    <rPh sb="7" eb="9">
      <t>ダイガク</t>
    </rPh>
    <rPh sb="9" eb="11">
      <t>トクニン</t>
    </rPh>
    <rPh sb="11" eb="13">
      <t>ジョキョウ</t>
    </rPh>
    <rPh sb="15" eb="18">
      <t>カイシャイン</t>
    </rPh>
    <rPh sb="19" eb="21">
      <t>マルベニ</t>
    </rPh>
    <phoneticPr fontId="3"/>
  </si>
  <si>
    <t>タ労</t>
    <rPh sb="1" eb="2">
      <t>ロウ</t>
    </rPh>
    <phoneticPr fontId="3"/>
  </si>
  <si>
    <t>155静岡2区01</t>
    <rPh sb="3" eb="5">
      <t>シズオカ</t>
    </rPh>
    <rPh sb="6" eb="7">
      <t>ク</t>
    </rPh>
    <phoneticPr fontId="3"/>
  </si>
  <si>
    <t>155静岡2区02</t>
    <rPh sb="3" eb="5">
      <t>シズオカ</t>
    </rPh>
    <rPh sb="6" eb="7">
      <t>ク</t>
    </rPh>
    <phoneticPr fontId="3"/>
  </si>
  <si>
    <t>155静岡2区03</t>
    <rPh sb="3" eb="5">
      <t>シズオカ</t>
    </rPh>
    <rPh sb="6" eb="7">
      <t>ク</t>
    </rPh>
    <phoneticPr fontId="3"/>
  </si>
  <si>
    <t>津川　祥吾</t>
    <rPh sb="0" eb="2">
      <t>ツガワ</t>
    </rPh>
    <rPh sb="3" eb="5">
      <t>ショウゴ</t>
    </rPh>
    <phoneticPr fontId="3"/>
  </si>
  <si>
    <t>155静岡2区</t>
    <rPh sb="3" eb="5">
      <t>シズオカ</t>
    </rPh>
    <rPh sb="6" eb="7">
      <t>ク</t>
    </rPh>
    <phoneticPr fontId="3"/>
  </si>
  <si>
    <t>大(北海道)</t>
    <rPh sb="0" eb="1">
      <t>ダイ</t>
    </rPh>
    <rPh sb="2" eb="5">
      <t>ホッカイドウ</t>
    </rPh>
    <phoneticPr fontId="3"/>
  </si>
  <si>
    <t>会社員(日本国土開発)</t>
    <rPh sb="0" eb="3">
      <t>カイシャイン</t>
    </rPh>
    <rPh sb="4" eb="6">
      <t>ニホン</t>
    </rPh>
    <rPh sb="6" eb="8">
      <t>コクド</t>
    </rPh>
    <rPh sb="8" eb="10">
      <t>カイハツ</t>
    </rPh>
    <phoneticPr fontId="3"/>
  </si>
  <si>
    <t>　元政務官(国交・復興)</t>
    <rPh sb="1" eb="2">
      <t>モト</t>
    </rPh>
    <rPh sb="2" eb="5">
      <t>セイムカン</t>
    </rPh>
    <rPh sb="6" eb="8">
      <t>コッコウ</t>
    </rPh>
    <rPh sb="9" eb="11">
      <t>フッコウ</t>
    </rPh>
    <phoneticPr fontId="3"/>
  </si>
  <si>
    <t>井林　辰憲</t>
    <rPh sb="0" eb="2">
      <t>イバヤシ</t>
    </rPh>
    <rPh sb="3" eb="5">
      <t>タツノリ</t>
    </rPh>
    <phoneticPr fontId="3"/>
  </si>
  <si>
    <t>官</t>
    <rPh sb="0" eb="1">
      <t>カン</t>
    </rPh>
    <phoneticPr fontId="3"/>
  </si>
  <si>
    <t>国土交通省中部地方整備局域道路課長</t>
    <rPh sb="0" eb="2">
      <t>コクド</t>
    </rPh>
    <rPh sb="2" eb="5">
      <t>コウツウショウ</t>
    </rPh>
    <rPh sb="5" eb="7">
      <t>チュウブ</t>
    </rPh>
    <rPh sb="7" eb="9">
      <t>チホウ</t>
    </rPh>
    <rPh sb="9" eb="12">
      <t>セイビキョク</t>
    </rPh>
    <rPh sb="12" eb="13">
      <t>イキ</t>
    </rPh>
    <rPh sb="13" eb="15">
      <t>ドウロ</t>
    </rPh>
    <rPh sb="15" eb="17">
      <t>カチョウ</t>
    </rPh>
    <phoneticPr fontId="3"/>
  </si>
  <si>
    <t>四ッ谷　恵</t>
    <rPh sb="0" eb="3">
      <t>ヨツヤ</t>
    </rPh>
    <rPh sb="4" eb="5">
      <t>メグミ</t>
    </rPh>
    <phoneticPr fontId="3"/>
  </si>
  <si>
    <t>高(川越女子)</t>
    <rPh sb="0" eb="1">
      <t>コウ</t>
    </rPh>
    <rPh sb="2" eb="4">
      <t>カワゴエ</t>
    </rPh>
    <rPh sb="4" eb="6">
      <t>ジョシ</t>
    </rPh>
    <phoneticPr fontId="3"/>
  </si>
  <si>
    <t>共産党地区常任委員</t>
    <rPh sb="0" eb="3">
      <t>キョウサントウ</t>
    </rPh>
    <rPh sb="3" eb="5">
      <t>チク</t>
    </rPh>
    <rPh sb="5" eb="7">
      <t>ジョウニン</t>
    </rPh>
    <rPh sb="7" eb="9">
      <t>イイン</t>
    </rPh>
    <phoneticPr fontId="3"/>
  </si>
  <si>
    <t>156静岡3区01</t>
    <rPh sb="3" eb="5">
      <t>シズオカ</t>
    </rPh>
    <rPh sb="6" eb="7">
      <t>ク</t>
    </rPh>
    <phoneticPr fontId="3"/>
  </si>
  <si>
    <t>156静岡3区02</t>
    <rPh sb="3" eb="5">
      <t>シズオカ</t>
    </rPh>
    <rPh sb="6" eb="7">
      <t>ク</t>
    </rPh>
    <phoneticPr fontId="3"/>
  </si>
  <si>
    <t>156静岡3区03</t>
    <rPh sb="3" eb="5">
      <t>シズオカ</t>
    </rPh>
    <rPh sb="6" eb="7">
      <t>ク</t>
    </rPh>
    <phoneticPr fontId="3"/>
  </si>
  <si>
    <t>小山　展弘</t>
    <rPh sb="0" eb="2">
      <t>コヤマ</t>
    </rPh>
    <rPh sb="3" eb="5">
      <t>ノブヒロ</t>
    </rPh>
    <phoneticPr fontId="3"/>
  </si>
  <si>
    <t>156静岡3区</t>
    <rPh sb="3" eb="5">
      <t>シズオカ</t>
    </rPh>
    <rPh sb="6" eb="7">
      <t>ク</t>
    </rPh>
    <phoneticPr fontId="3"/>
  </si>
  <si>
    <t>農林中央金庫職員</t>
    <rPh sb="0" eb="2">
      <t>ノウリン</t>
    </rPh>
    <rPh sb="2" eb="4">
      <t>チュウオウ</t>
    </rPh>
    <rPh sb="4" eb="6">
      <t>キンコ</t>
    </rPh>
    <rPh sb="6" eb="8">
      <t>ショクイン</t>
    </rPh>
    <phoneticPr fontId="3"/>
  </si>
  <si>
    <t>松</t>
    <rPh sb="0" eb="1">
      <t>マツ</t>
    </rPh>
    <phoneticPr fontId="3"/>
  </si>
  <si>
    <t>宮澤　博行</t>
    <rPh sb="0" eb="2">
      <t>ミヤザワ</t>
    </rPh>
    <rPh sb="3" eb="5">
      <t>ヒロユキ</t>
    </rPh>
    <phoneticPr fontId="3"/>
  </si>
  <si>
    <t>大(東京)</t>
    <rPh sb="0" eb="1">
      <t>ダイ</t>
    </rPh>
    <rPh sb="2" eb="4">
      <t>トウキョウ</t>
    </rPh>
    <phoneticPr fontId="3"/>
  </si>
  <si>
    <t>静岡県・磐田市議</t>
    <rPh sb="0" eb="3">
      <t>シズオカケン</t>
    </rPh>
    <rPh sb="4" eb="6">
      <t>イワタ</t>
    </rPh>
    <rPh sb="6" eb="8">
      <t>シギ</t>
    </rPh>
    <phoneticPr fontId="3"/>
  </si>
  <si>
    <t>議</t>
    <rPh sb="0" eb="1">
      <t>ギ</t>
    </rPh>
    <phoneticPr fontId="3"/>
  </si>
  <si>
    <t>岡村　哲志</t>
    <rPh sb="0" eb="2">
      <t>オカムラ</t>
    </rPh>
    <rPh sb="3" eb="5">
      <t>サトシ</t>
    </rPh>
    <phoneticPr fontId="3"/>
  </si>
  <si>
    <t>共産党静岡県委員</t>
    <rPh sb="0" eb="3">
      <t>キョウサントウ</t>
    </rPh>
    <rPh sb="3" eb="6">
      <t>シズオカケン</t>
    </rPh>
    <rPh sb="6" eb="8">
      <t>イイン</t>
    </rPh>
    <phoneticPr fontId="3"/>
  </si>
  <si>
    <t>157静岡4区01</t>
    <rPh sb="3" eb="5">
      <t>シズオカ</t>
    </rPh>
    <rPh sb="6" eb="7">
      <t>ク</t>
    </rPh>
    <phoneticPr fontId="3"/>
  </si>
  <si>
    <t>157静岡4区02</t>
    <rPh sb="3" eb="5">
      <t>シズオカ</t>
    </rPh>
    <rPh sb="6" eb="7">
      <t>ク</t>
    </rPh>
    <phoneticPr fontId="3"/>
  </si>
  <si>
    <t>157静岡4区03</t>
    <rPh sb="3" eb="5">
      <t>シズオカ</t>
    </rPh>
    <rPh sb="6" eb="7">
      <t>ク</t>
    </rPh>
    <phoneticPr fontId="3"/>
  </si>
  <si>
    <t>157静岡4区04</t>
    <rPh sb="3" eb="5">
      <t>シズオカ</t>
    </rPh>
    <rPh sb="6" eb="7">
      <t>ク</t>
    </rPh>
    <phoneticPr fontId="3"/>
  </si>
  <si>
    <t>田村　謙治</t>
    <rPh sb="0" eb="2">
      <t>タムラ</t>
    </rPh>
    <rPh sb="3" eb="5">
      <t>ケンジ</t>
    </rPh>
    <phoneticPr fontId="3"/>
  </si>
  <si>
    <t>157静岡4区</t>
    <rPh sb="3" eb="5">
      <t>シズオカ</t>
    </rPh>
    <rPh sb="6" eb="7">
      <t>ク</t>
    </rPh>
    <phoneticPr fontId="3"/>
  </si>
  <si>
    <t>議員秘書(山村健),国税庁官房国際業務課長補佐(財務省)</t>
    <rPh sb="0" eb="2">
      <t>ギイン</t>
    </rPh>
    <rPh sb="2" eb="4">
      <t>ヒショ</t>
    </rPh>
    <rPh sb="5" eb="7">
      <t>ヤマムラ</t>
    </rPh>
    <rPh sb="7" eb="8">
      <t>タケシ</t>
    </rPh>
    <rPh sb="10" eb="13">
      <t>コクゼイチョウ</t>
    </rPh>
    <rPh sb="13" eb="15">
      <t>カンボウ</t>
    </rPh>
    <rPh sb="15" eb="17">
      <t>コクサイ</t>
    </rPh>
    <rPh sb="17" eb="19">
      <t>ギョウム</t>
    </rPh>
    <rPh sb="19" eb="21">
      <t>カチョウ</t>
    </rPh>
    <rPh sb="21" eb="23">
      <t>ホサ</t>
    </rPh>
    <rPh sb="24" eb="27">
      <t>ザイムショウ</t>
    </rPh>
    <phoneticPr fontId="3"/>
  </si>
  <si>
    <t>　元政務官(内閣)</t>
    <rPh sb="1" eb="2">
      <t>モト</t>
    </rPh>
    <rPh sb="2" eb="5">
      <t>セイムカン</t>
    </rPh>
    <rPh sb="6" eb="8">
      <t>ナイカク</t>
    </rPh>
    <phoneticPr fontId="3"/>
  </si>
  <si>
    <t>望月　義夫</t>
    <rPh sb="0" eb="2">
      <t>モチヅキ</t>
    </rPh>
    <rPh sb="3" eb="5">
      <t>ヨシオ</t>
    </rPh>
    <phoneticPr fontId="3"/>
  </si>
  <si>
    <t>307比例東海18</t>
    <rPh sb="3" eb="5">
      <t>ヒレイ</t>
    </rPh>
    <rPh sb="5" eb="7">
      <t>トウカイ</t>
    </rPh>
    <phoneticPr fontId="3"/>
  </si>
  <si>
    <t>静岡県議(清水市),静岡県・清水市議</t>
    <rPh sb="0" eb="2">
      <t>シズオカ</t>
    </rPh>
    <rPh sb="2" eb="4">
      <t>ケンギ</t>
    </rPh>
    <rPh sb="5" eb="8">
      <t>シミズシ</t>
    </rPh>
    <rPh sb="10" eb="13">
      <t>シズオカケン</t>
    </rPh>
    <rPh sb="14" eb="16">
      <t>シミズ</t>
    </rPh>
    <rPh sb="16" eb="18">
      <t>シギ</t>
    </rPh>
    <phoneticPr fontId="3"/>
  </si>
  <si>
    <t>　元委長(国交),副大臣(国交),政務官(環境,外務)</t>
    <rPh sb="1" eb="2">
      <t>モト</t>
    </rPh>
    <rPh sb="2" eb="4">
      <t>イチョウ</t>
    </rPh>
    <rPh sb="5" eb="7">
      <t>コッコウ</t>
    </rPh>
    <rPh sb="9" eb="12">
      <t>フクダイジン</t>
    </rPh>
    <rPh sb="13" eb="15">
      <t>コッコウ</t>
    </rPh>
    <rPh sb="17" eb="20">
      <t>セイムカン</t>
    </rPh>
    <rPh sb="21" eb="23">
      <t>カンキョウ</t>
    </rPh>
    <rPh sb="24" eb="26">
      <t>ガイム</t>
    </rPh>
    <phoneticPr fontId="3"/>
  </si>
  <si>
    <t>藤浪　義浩</t>
    <rPh sb="0" eb="2">
      <t>フジナミ</t>
    </rPh>
    <rPh sb="3" eb="5">
      <t>ヨシヒロ</t>
    </rPh>
    <phoneticPr fontId="3"/>
  </si>
  <si>
    <t>共産党地区委員長</t>
    <rPh sb="0" eb="3">
      <t>キョウサントウ</t>
    </rPh>
    <rPh sb="3" eb="5">
      <t>チク</t>
    </rPh>
    <rPh sb="5" eb="8">
      <t>イインチョウ</t>
    </rPh>
    <phoneticPr fontId="3"/>
  </si>
  <si>
    <t>高(清水工)</t>
    <rPh sb="0" eb="1">
      <t>コウ</t>
    </rPh>
    <rPh sb="2" eb="4">
      <t>シミズ</t>
    </rPh>
    <rPh sb="4" eb="5">
      <t>コウ</t>
    </rPh>
    <phoneticPr fontId="3"/>
  </si>
  <si>
    <t>小林　正枝</t>
    <rPh sb="0" eb="2">
      <t>コバヤシ</t>
    </rPh>
    <rPh sb="3" eb="5">
      <t>マサエ</t>
    </rPh>
    <phoneticPr fontId="3"/>
  </si>
  <si>
    <t>307比例東海10</t>
    <rPh sb="3" eb="5">
      <t>ヒレイ</t>
    </rPh>
    <rPh sb="5" eb="7">
      <t>トウカイ</t>
    </rPh>
    <phoneticPr fontId="3"/>
  </si>
  <si>
    <t>会社役員(小林園),議員秘書(松田岩夫)</t>
    <rPh sb="0" eb="2">
      <t>カイシャ</t>
    </rPh>
    <rPh sb="2" eb="4">
      <t>ヤクイン</t>
    </rPh>
    <rPh sb="5" eb="7">
      <t>コバヤシ</t>
    </rPh>
    <rPh sb="7" eb="8">
      <t>エン</t>
    </rPh>
    <rPh sb="10" eb="12">
      <t>ギイン</t>
    </rPh>
    <rPh sb="12" eb="14">
      <t>ヒショ</t>
    </rPh>
    <rPh sb="15" eb="17">
      <t>マツダ</t>
    </rPh>
    <rPh sb="17" eb="19">
      <t>イワオ</t>
    </rPh>
    <phoneticPr fontId="3"/>
  </si>
  <si>
    <t>158静岡5区01</t>
    <rPh sb="3" eb="5">
      <t>シズオカ</t>
    </rPh>
    <rPh sb="6" eb="7">
      <t>ク</t>
    </rPh>
    <phoneticPr fontId="3"/>
  </si>
  <si>
    <t>158静岡5区02</t>
    <rPh sb="3" eb="5">
      <t>シズオカ</t>
    </rPh>
    <rPh sb="6" eb="7">
      <t>ク</t>
    </rPh>
    <phoneticPr fontId="3"/>
  </si>
  <si>
    <t>158静岡5区03</t>
    <rPh sb="3" eb="5">
      <t>シズオカ</t>
    </rPh>
    <rPh sb="6" eb="7">
      <t>ク</t>
    </rPh>
    <phoneticPr fontId="3"/>
  </si>
  <si>
    <t>細野　豪志</t>
    <rPh sb="0" eb="2">
      <t>ホソノ</t>
    </rPh>
    <rPh sb="3" eb="5">
      <t>ゴウシ</t>
    </rPh>
    <phoneticPr fontId="3"/>
  </si>
  <si>
    <t>158静岡5区</t>
    <rPh sb="3" eb="5">
      <t>シズオカ</t>
    </rPh>
    <rPh sb="6" eb="7">
      <t>ク</t>
    </rPh>
    <phoneticPr fontId="3"/>
  </si>
  <si>
    <t>大(京都)</t>
    <rPh sb="0" eb="1">
      <t>ダイ</t>
    </rPh>
    <rPh sb="2" eb="4">
      <t>キョウト</t>
    </rPh>
    <phoneticPr fontId="3"/>
  </si>
  <si>
    <t>研究員(三和総研)</t>
    <rPh sb="0" eb="3">
      <t>ケンキュウイン</t>
    </rPh>
    <rPh sb="4" eb="6">
      <t>サンワ</t>
    </rPh>
    <rPh sb="6" eb="8">
      <t>ソウケン</t>
    </rPh>
    <phoneticPr fontId="3"/>
  </si>
  <si>
    <t>民主党政策調査会長，元大臣(環境・原発・消費者),首相補佐官,民主党幹事長代理,政調会長代理</t>
    <rPh sb="0" eb="3">
      <t>ミンシュトウ</t>
    </rPh>
    <rPh sb="3" eb="5">
      <t>セイサク</t>
    </rPh>
    <rPh sb="5" eb="7">
      <t>チョウサ</t>
    </rPh>
    <rPh sb="7" eb="9">
      <t>カイチョウ</t>
    </rPh>
    <rPh sb="10" eb="13">
      <t>モトダイジン</t>
    </rPh>
    <rPh sb="14" eb="16">
      <t>カンキョウ</t>
    </rPh>
    <rPh sb="17" eb="19">
      <t>ゲンパツ</t>
    </rPh>
    <rPh sb="20" eb="23">
      <t>ショウヒシャ</t>
    </rPh>
    <rPh sb="25" eb="27">
      <t>シュショウ</t>
    </rPh>
    <rPh sb="27" eb="30">
      <t>ホサカン</t>
    </rPh>
    <rPh sb="31" eb="34">
      <t>ミンシュトウ</t>
    </rPh>
    <rPh sb="34" eb="37">
      <t>カンジチョウ</t>
    </rPh>
    <rPh sb="37" eb="39">
      <t>ダイリ</t>
    </rPh>
    <rPh sb="40" eb="42">
      <t>セイチョウ</t>
    </rPh>
    <rPh sb="42" eb="44">
      <t>カイチョウ</t>
    </rPh>
    <rPh sb="44" eb="46">
      <t>ダイリ</t>
    </rPh>
    <phoneticPr fontId="3"/>
  </si>
  <si>
    <t>吉川　　赳</t>
    <rPh sb="0" eb="2">
      <t>ヨシカワ</t>
    </rPh>
    <rPh sb="4" eb="5">
      <t>タケル</t>
    </rPh>
    <phoneticPr fontId="3"/>
  </si>
  <si>
    <t>議員秘書(宮澤洋一,岩井茂樹)</t>
    <rPh sb="0" eb="2">
      <t>ギイン</t>
    </rPh>
    <rPh sb="2" eb="4">
      <t>ヒショ</t>
    </rPh>
    <rPh sb="5" eb="7">
      <t>ミヤザワ</t>
    </rPh>
    <rPh sb="7" eb="9">
      <t>ヨウイチ</t>
    </rPh>
    <rPh sb="10" eb="12">
      <t>イワイ</t>
    </rPh>
    <rPh sb="12" eb="14">
      <t>シゲキ</t>
    </rPh>
    <phoneticPr fontId="3"/>
  </si>
  <si>
    <t>大庭　桃子</t>
    <rPh sb="0" eb="2">
      <t>オオバ</t>
    </rPh>
    <rPh sb="3" eb="5">
      <t>モモコ</t>
    </rPh>
    <phoneticPr fontId="3"/>
  </si>
  <si>
    <t>静岡県・函南町議</t>
    <rPh sb="0" eb="3">
      <t>シズオカケン</t>
    </rPh>
    <rPh sb="4" eb="6">
      <t>カンナミ</t>
    </rPh>
    <rPh sb="6" eb="8">
      <t>チョウギ</t>
    </rPh>
    <phoneticPr fontId="3"/>
  </si>
  <si>
    <t>159静岡6区01</t>
    <rPh sb="3" eb="5">
      <t>シズオカ</t>
    </rPh>
    <rPh sb="6" eb="7">
      <t>ク</t>
    </rPh>
    <phoneticPr fontId="3"/>
  </si>
  <si>
    <t>159静岡6区02</t>
    <rPh sb="3" eb="5">
      <t>シズオカ</t>
    </rPh>
    <rPh sb="6" eb="7">
      <t>ク</t>
    </rPh>
    <phoneticPr fontId="3"/>
  </si>
  <si>
    <t>159静岡6区03</t>
    <rPh sb="3" eb="5">
      <t>シズオカ</t>
    </rPh>
    <rPh sb="6" eb="7">
      <t>ク</t>
    </rPh>
    <phoneticPr fontId="3"/>
  </si>
  <si>
    <t>渡辺　　周</t>
    <rPh sb="0" eb="2">
      <t>ワタナベ</t>
    </rPh>
    <rPh sb="4" eb="5">
      <t>シュウ</t>
    </rPh>
    <phoneticPr fontId="3"/>
  </si>
  <si>
    <t>159静岡6区</t>
    <rPh sb="3" eb="5">
      <t>シズオカ</t>
    </rPh>
    <rPh sb="6" eb="7">
      <t>ク</t>
    </rPh>
    <phoneticPr fontId="3"/>
  </si>
  <si>
    <t>友</t>
    <rPh sb="0" eb="1">
      <t>ユウ</t>
    </rPh>
    <phoneticPr fontId="3"/>
  </si>
  <si>
    <t>静岡県議(沼津市),新聞記者(読売新聞)</t>
    <rPh sb="0" eb="2">
      <t>シズオカ</t>
    </rPh>
    <rPh sb="2" eb="4">
      <t>ケンギ</t>
    </rPh>
    <rPh sb="5" eb="8">
      <t>ヌマヅシ</t>
    </rPh>
    <rPh sb="10" eb="12">
      <t>シンブン</t>
    </rPh>
    <rPh sb="12" eb="14">
      <t>キシャ</t>
    </rPh>
    <rPh sb="15" eb="17">
      <t>ヨミウリ</t>
    </rPh>
    <rPh sb="17" eb="19">
      <t>シンブン</t>
    </rPh>
    <phoneticPr fontId="3"/>
  </si>
  <si>
    <t>ジ</t>
    <phoneticPr fontId="3"/>
  </si>
  <si>
    <t>二</t>
    <rPh sb="0" eb="1">
      <t>ニ</t>
    </rPh>
    <phoneticPr fontId="3"/>
  </si>
  <si>
    <t>　元副大臣(防衛,総務)</t>
    <rPh sb="1" eb="2">
      <t>モト</t>
    </rPh>
    <rPh sb="2" eb="5">
      <t>フクダイジン</t>
    </rPh>
    <rPh sb="6" eb="8">
      <t>ボウエイ</t>
    </rPh>
    <rPh sb="9" eb="11">
      <t>ソウム</t>
    </rPh>
    <phoneticPr fontId="3"/>
  </si>
  <si>
    <t>勝俣　孝明</t>
    <rPh sb="0" eb="1">
      <t>カツ</t>
    </rPh>
    <rPh sb="1" eb="2">
      <t>マタ</t>
    </rPh>
    <rPh sb="3" eb="5">
      <t>タカアキ</t>
    </rPh>
    <phoneticPr fontId="3"/>
  </si>
  <si>
    <t>銀行員(スルガ銀行)</t>
    <rPh sb="0" eb="3">
      <t>ギンコウイン</t>
    </rPh>
    <rPh sb="7" eb="9">
      <t>ギンコウ</t>
    </rPh>
    <phoneticPr fontId="3"/>
  </si>
  <si>
    <t>井口　昌彦</t>
    <rPh sb="0" eb="2">
      <t>イグチ</t>
    </rPh>
    <rPh sb="3" eb="5">
      <t>マサヒコ</t>
    </rPh>
    <phoneticPr fontId="3"/>
  </si>
  <si>
    <t>議ジ二</t>
    <rPh sb="0" eb="1">
      <t>ギ</t>
    </rPh>
    <rPh sb="2" eb="3">
      <t>ニ</t>
    </rPh>
    <phoneticPr fontId="3"/>
  </si>
  <si>
    <t>共産党地区副委員長</t>
    <rPh sb="0" eb="3">
      <t>キョウサントウ</t>
    </rPh>
    <rPh sb="3" eb="5">
      <t>チク</t>
    </rPh>
    <rPh sb="5" eb="9">
      <t>フクイインチョウ</t>
    </rPh>
    <phoneticPr fontId="3"/>
  </si>
  <si>
    <t>160静岡7区01</t>
    <rPh sb="3" eb="5">
      <t>シズオカ</t>
    </rPh>
    <rPh sb="6" eb="7">
      <t>ク</t>
    </rPh>
    <phoneticPr fontId="3"/>
  </si>
  <si>
    <t>160静岡7区02</t>
    <rPh sb="3" eb="5">
      <t>シズオカ</t>
    </rPh>
    <rPh sb="6" eb="7">
      <t>ク</t>
    </rPh>
    <phoneticPr fontId="3"/>
  </si>
  <si>
    <t>160静岡7区03</t>
    <rPh sb="3" eb="5">
      <t>シズオカ</t>
    </rPh>
    <rPh sb="6" eb="7">
      <t>ク</t>
    </rPh>
    <phoneticPr fontId="3"/>
  </si>
  <si>
    <t>斉木　武志</t>
    <rPh sb="0" eb="2">
      <t>サイキ</t>
    </rPh>
    <rPh sb="3" eb="5">
      <t>タケシ</t>
    </rPh>
    <phoneticPr fontId="3"/>
  </si>
  <si>
    <t>307比例東海04</t>
    <rPh sb="3" eb="5">
      <t>ヒレイ</t>
    </rPh>
    <rPh sb="5" eb="7">
      <t>トウカイ</t>
    </rPh>
    <phoneticPr fontId="3"/>
  </si>
  <si>
    <t>テレビアナウンサー(NHK)</t>
    <phoneticPr fontId="3"/>
  </si>
  <si>
    <t>城内　　実</t>
    <rPh sb="0" eb="2">
      <t>キウチ</t>
    </rPh>
    <rPh sb="4" eb="5">
      <t>ミノル</t>
    </rPh>
    <phoneticPr fontId="3"/>
  </si>
  <si>
    <t>160静岡7区</t>
    <rPh sb="3" eb="5">
      <t>シズオカ</t>
    </rPh>
    <rPh sb="6" eb="7">
      <t>ク</t>
    </rPh>
    <phoneticPr fontId="3"/>
  </si>
  <si>
    <t>外務省欧州局西欧第一課首席事務官</t>
    <rPh sb="0" eb="3">
      <t>ガイムショウ</t>
    </rPh>
    <rPh sb="3" eb="5">
      <t>オウシュウ</t>
    </rPh>
    <rPh sb="5" eb="6">
      <t>キョク</t>
    </rPh>
    <rPh sb="6" eb="8">
      <t>セイオウ</t>
    </rPh>
    <rPh sb="8" eb="11">
      <t>ダイイッカ</t>
    </rPh>
    <rPh sb="11" eb="13">
      <t>シュセキ</t>
    </rPh>
    <rPh sb="13" eb="16">
      <t>ジムカン</t>
    </rPh>
    <phoneticPr fontId="3"/>
  </si>
  <si>
    <t>161静岡8区01</t>
    <rPh sb="3" eb="5">
      <t>シズオカ</t>
    </rPh>
    <rPh sb="6" eb="7">
      <t>ク</t>
    </rPh>
    <phoneticPr fontId="3"/>
  </si>
  <si>
    <t>161静岡8区02</t>
    <rPh sb="3" eb="5">
      <t>シズオカ</t>
    </rPh>
    <rPh sb="6" eb="7">
      <t>ク</t>
    </rPh>
    <phoneticPr fontId="3"/>
  </si>
  <si>
    <t>161静岡8区03</t>
    <rPh sb="3" eb="5">
      <t>シズオカ</t>
    </rPh>
    <rPh sb="6" eb="7">
      <t>ク</t>
    </rPh>
    <phoneticPr fontId="3"/>
  </si>
  <si>
    <t>斉藤　　進</t>
    <rPh sb="0" eb="2">
      <t>サイトウ</t>
    </rPh>
    <rPh sb="4" eb="5">
      <t>ススム</t>
    </rPh>
    <phoneticPr fontId="3"/>
  </si>
  <si>
    <t>161静岡8区</t>
    <rPh sb="3" eb="5">
      <t>シズオカ</t>
    </rPh>
    <rPh sb="6" eb="7">
      <t>ク</t>
    </rPh>
    <phoneticPr fontId="3"/>
  </si>
  <si>
    <t>東京都・小平市議,議員秘書(末松義規)</t>
    <rPh sb="0" eb="3">
      <t>トウキョウト</t>
    </rPh>
    <rPh sb="4" eb="6">
      <t>コダイラ</t>
    </rPh>
    <rPh sb="6" eb="8">
      <t>シギ</t>
    </rPh>
    <rPh sb="9" eb="11">
      <t>ギイン</t>
    </rPh>
    <rPh sb="11" eb="13">
      <t>ヒショ</t>
    </rPh>
    <rPh sb="14" eb="16">
      <t>スエマツ</t>
    </rPh>
    <rPh sb="16" eb="18">
      <t>ヨシノリ</t>
    </rPh>
    <phoneticPr fontId="3"/>
  </si>
  <si>
    <t>塩谷　　立</t>
    <rPh sb="0" eb="2">
      <t>シオノヤ</t>
    </rPh>
    <rPh sb="4" eb="5">
      <t>リュウ</t>
    </rPh>
    <phoneticPr fontId="3"/>
  </si>
  <si>
    <t>307比例東海14</t>
    <rPh sb="3" eb="5">
      <t>ヒレイ</t>
    </rPh>
    <rPh sb="5" eb="7">
      <t>トウカイ</t>
    </rPh>
    <phoneticPr fontId="3"/>
  </si>
  <si>
    <t>　元大臣(文科),委長(国交),副大臣(官房,文科),政務次官(総務),自民党総務会長</t>
    <rPh sb="1" eb="4">
      <t>モトダイジン</t>
    </rPh>
    <rPh sb="5" eb="7">
      <t>モンカ</t>
    </rPh>
    <rPh sb="9" eb="11">
      <t>イチョウ</t>
    </rPh>
    <rPh sb="12" eb="14">
      <t>コッコウ</t>
    </rPh>
    <rPh sb="16" eb="19">
      <t>フクダイジン</t>
    </rPh>
    <rPh sb="20" eb="22">
      <t>カンボウ</t>
    </rPh>
    <rPh sb="23" eb="25">
      <t>モンカ</t>
    </rPh>
    <rPh sb="27" eb="29">
      <t>セイム</t>
    </rPh>
    <rPh sb="29" eb="31">
      <t>ジカン</t>
    </rPh>
    <rPh sb="32" eb="34">
      <t>ソウム</t>
    </rPh>
    <rPh sb="36" eb="39">
      <t>ジミントウ</t>
    </rPh>
    <rPh sb="39" eb="41">
      <t>ソウム</t>
    </rPh>
    <rPh sb="41" eb="43">
      <t>カイチョウ</t>
    </rPh>
    <phoneticPr fontId="3"/>
  </si>
  <si>
    <t>財団法人会長(国際青少年研修協会)</t>
    <rPh sb="0" eb="4">
      <t>ザイダンホウジン</t>
    </rPh>
    <rPh sb="4" eb="6">
      <t>カイチョウ</t>
    </rPh>
    <rPh sb="7" eb="9">
      <t>コクサイ</t>
    </rPh>
    <rPh sb="9" eb="12">
      <t>セイショウネン</t>
    </rPh>
    <rPh sb="12" eb="14">
      <t>ケンシュウ</t>
    </rPh>
    <rPh sb="14" eb="16">
      <t>キョウカイ</t>
    </rPh>
    <phoneticPr fontId="3"/>
  </si>
  <si>
    <t>大(慶應)</t>
    <rPh sb="0" eb="1">
      <t>ダイ</t>
    </rPh>
    <rPh sb="2" eb="4">
      <t>ケイオウ</t>
    </rPh>
    <phoneticPr fontId="3"/>
  </si>
  <si>
    <t>平賀　高成</t>
    <rPh sb="0" eb="2">
      <t>ヒラガ</t>
    </rPh>
    <rPh sb="3" eb="4">
      <t>タカ</t>
    </rPh>
    <rPh sb="4" eb="5">
      <t>シゲ</t>
    </rPh>
    <phoneticPr fontId="3"/>
  </si>
  <si>
    <t>短大(静岡大工業短大部)</t>
    <rPh sb="0" eb="2">
      <t>タンダイ</t>
    </rPh>
    <rPh sb="3" eb="5">
      <t>シズオカ</t>
    </rPh>
    <rPh sb="5" eb="6">
      <t>ダイ</t>
    </rPh>
    <rPh sb="6" eb="8">
      <t>コウギョウ</t>
    </rPh>
    <rPh sb="8" eb="11">
      <t>タンダイブ</t>
    </rPh>
    <phoneticPr fontId="3"/>
  </si>
  <si>
    <t>労</t>
    <rPh sb="0" eb="1">
      <t>ロウ</t>
    </rPh>
    <phoneticPr fontId="3"/>
  </si>
  <si>
    <t>共産党静岡県委員,静岡大教職員組合執行委員</t>
    <rPh sb="0" eb="3">
      <t>キョウサントウ</t>
    </rPh>
    <rPh sb="3" eb="6">
      <t>シズオカケン</t>
    </rPh>
    <rPh sb="6" eb="8">
      <t>イイン</t>
    </rPh>
    <rPh sb="9" eb="11">
      <t>シズオカ</t>
    </rPh>
    <rPh sb="11" eb="12">
      <t>ダイ</t>
    </rPh>
    <rPh sb="12" eb="15">
      <t>キョウショクイン</t>
    </rPh>
    <rPh sb="15" eb="17">
      <t>クミアイ</t>
    </rPh>
    <rPh sb="17" eb="19">
      <t>シッコウ</t>
    </rPh>
    <rPh sb="19" eb="21">
      <t>イイン</t>
    </rPh>
    <phoneticPr fontId="3"/>
  </si>
  <si>
    <t>162愛知1区01</t>
    <rPh sb="3" eb="5">
      <t>アイチ</t>
    </rPh>
    <rPh sb="6" eb="7">
      <t>ク</t>
    </rPh>
    <phoneticPr fontId="3"/>
  </si>
  <si>
    <t>162愛知1区02</t>
    <rPh sb="3" eb="5">
      <t>アイチ</t>
    </rPh>
    <rPh sb="6" eb="7">
      <t>ク</t>
    </rPh>
    <phoneticPr fontId="3"/>
  </si>
  <si>
    <t>162愛知1区03</t>
    <rPh sb="3" eb="5">
      <t>アイチ</t>
    </rPh>
    <rPh sb="6" eb="7">
      <t>ク</t>
    </rPh>
    <phoneticPr fontId="3"/>
  </si>
  <si>
    <t>162愛知1区04</t>
    <rPh sb="3" eb="5">
      <t>アイチ</t>
    </rPh>
    <rPh sb="6" eb="7">
      <t>ク</t>
    </rPh>
    <phoneticPr fontId="3"/>
  </si>
  <si>
    <t>テレビ記者(NHK)</t>
    <rPh sb="3" eb="5">
      <t>キシャ</t>
    </rPh>
    <phoneticPr fontId="3"/>
  </si>
  <si>
    <t>テレビ記者(フジテレビ)</t>
    <rPh sb="3" eb="5">
      <t>キシャ</t>
    </rPh>
    <phoneticPr fontId="3"/>
  </si>
  <si>
    <t>吉田　統彦</t>
    <rPh sb="0" eb="2">
      <t>ヨシダ</t>
    </rPh>
    <rPh sb="3" eb="5">
      <t>ツネヒコ</t>
    </rPh>
    <phoneticPr fontId="3"/>
  </si>
  <si>
    <t>307比例東海08</t>
    <rPh sb="3" eb="5">
      <t>ヒレイ</t>
    </rPh>
    <rPh sb="5" eb="7">
      <t>トウカイ</t>
    </rPh>
    <phoneticPr fontId="3"/>
  </si>
  <si>
    <t>大院(名古屋)</t>
    <rPh sb="0" eb="2">
      <t>ダイイン</t>
    </rPh>
    <rPh sb="3" eb="6">
      <t>ナゴヤ</t>
    </rPh>
    <phoneticPr fontId="3"/>
  </si>
  <si>
    <t>医師(ジョンズ・ホプキンス大学/眼科)</t>
    <rPh sb="0" eb="2">
      <t>イシ</t>
    </rPh>
    <rPh sb="13" eb="15">
      <t>ダイガク</t>
    </rPh>
    <rPh sb="16" eb="18">
      <t>ガンカ</t>
    </rPh>
    <phoneticPr fontId="3"/>
  </si>
  <si>
    <t>熊田　裕通</t>
    <rPh sb="0" eb="2">
      <t>クマダ</t>
    </rPh>
    <rPh sb="3" eb="5">
      <t>ヒロミチ</t>
    </rPh>
    <phoneticPr fontId="3"/>
  </si>
  <si>
    <t>大(神奈川)</t>
    <rPh sb="0" eb="1">
      <t>ダイ</t>
    </rPh>
    <rPh sb="2" eb="5">
      <t>カナガワ</t>
    </rPh>
    <phoneticPr fontId="3"/>
  </si>
  <si>
    <t>愛知県議(名古屋市西区),議員秘書(海部俊樹)</t>
    <rPh sb="0" eb="2">
      <t>アイチ</t>
    </rPh>
    <rPh sb="2" eb="4">
      <t>ケンギ</t>
    </rPh>
    <rPh sb="5" eb="9">
      <t>ナゴヤシ</t>
    </rPh>
    <rPh sb="9" eb="11">
      <t>ニシク</t>
    </rPh>
    <rPh sb="13" eb="15">
      <t>ギイン</t>
    </rPh>
    <rPh sb="15" eb="17">
      <t>ヒショ</t>
    </rPh>
    <rPh sb="18" eb="20">
      <t>カイフ</t>
    </rPh>
    <rPh sb="20" eb="22">
      <t>トシキ</t>
    </rPh>
    <phoneticPr fontId="3"/>
  </si>
  <si>
    <t>大野　宙光</t>
    <rPh sb="0" eb="2">
      <t>オオノ</t>
    </rPh>
    <rPh sb="3" eb="5">
      <t>ヒロミツ</t>
    </rPh>
    <phoneticPr fontId="3"/>
  </si>
  <si>
    <t>大中(名古屋)</t>
    <rPh sb="0" eb="1">
      <t>ダイ</t>
    </rPh>
    <rPh sb="1" eb="2">
      <t>チュウ</t>
    </rPh>
    <rPh sb="3" eb="6">
      <t>ナゴヤ</t>
    </rPh>
    <phoneticPr fontId="3"/>
  </si>
  <si>
    <t>共産党地区委員長,原水協愛知県理事</t>
    <rPh sb="0" eb="3">
      <t>キョウサントウ</t>
    </rPh>
    <rPh sb="3" eb="5">
      <t>チク</t>
    </rPh>
    <rPh sb="5" eb="8">
      <t>イインチョウ</t>
    </rPh>
    <rPh sb="9" eb="12">
      <t>ゲンスイキョウ</t>
    </rPh>
    <rPh sb="12" eb="15">
      <t>アイチケン</t>
    </rPh>
    <rPh sb="15" eb="17">
      <t>リジ</t>
    </rPh>
    <phoneticPr fontId="3"/>
  </si>
  <si>
    <t>佐藤　夕子</t>
    <rPh sb="0" eb="2">
      <t>サトウ</t>
    </rPh>
    <rPh sb="3" eb="5">
      <t>ユウコ</t>
    </rPh>
    <phoneticPr fontId="3"/>
  </si>
  <si>
    <t>162愛知1区</t>
    <rPh sb="3" eb="5">
      <t>アイチ</t>
    </rPh>
    <rPh sb="6" eb="7">
      <t>ク</t>
    </rPh>
    <phoneticPr fontId="3"/>
  </si>
  <si>
    <t>短大(金城学院大学短大部)</t>
    <rPh sb="0" eb="2">
      <t>タンダイ</t>
    </rPh>
    <rPh sb="3" eb="5">
      <t>キンジョウ</t>
    </rPh>
    <rPh sb="5" eb="7">
      <t>ガクイン</t>
    </rPh>
    <rPh sb="7" eb="9">
      <t>ダイガク</t>
    </rPh>
    <rPh sb="9" eb="12">
      <t>タンダイブ</t>
    </rPh>
    <phoneticPr fontId="3"/>
  </si>
  <si>
    <t>愛知県議(名古屋市東区),議員秘書(河村たかし),幼稚園教諭</t>
    <rPh sb="0" eb="2">
      <t>アイチ</t>
    </rPh>
    <rPh sb="2" eb="4">
      <t>ケンギ</t>
    </rPh>
    <rPh sb="5" eb="9">
      <t>ナゴヤシ</t>
    </rPh>
    <rPh sb="9" eb="11">
      <t>ヒガシク</t>
    </rPh>
    <rPh sb="13" eb="15">
      <t>ギイン</t>
    </rPh>
    <rPh sb="15" eb="17">
      <t>ヒショ</t>
    </rPh>
    <rPh sb="18" eb="20">
      <t>カワムラ</t>
    </rPh>
    <rPh sb="25" eb="28">
      <t>ヨウチエン</t>
    </rPh>
    <rPh sb="28" eb="30">
      <t>キョウユ</t>
    </rPh>
    <phoneticPr fontId="3"/>
  </si>
  <si>
    <t>163愛知2区01</t>
    <rPh sb="3" eb="5">
      <t>アイチ</t>
    </rPh>
    <rPh sb="6" eb="7">
      <t>ク</t>
    </rPh>
    <phoneticPr fontId="3"/>
  </si>
  <si>
    <t>163愛知2区02</t>
    <rPh sb="3" eb="5">
      <t>アイチ</t>
    </rPh>
    <rPh sb="6" eb="7">
      <t>ク</t>
    </rPh>
    <phoneticPr fontId="3"/>
  </si>
  <si>
    <t>163愛知2区03</t>
    <rPh sb="3" eb="5">
      <t>アイチ</t>
    </rPh>
    <rPh sb="6" eb="7">
      <t>ク</t>
    </rPh>
    <phoneticPr fontId="3"/>
  </si>
  <si>
    <t>163愛知2区04</t>
    <rPh sb="3" eb="5">
      <t>アイチ</t>
    </rPh>
    <rPh sb="6" eb="7">
      <t>ク</t>
    </rPh>
    <phoneticPr fontId="3"/>
  </si>
  <si>
    <t>古川　元久</t>
    <rPh sb="0" eb="2">
      <t>フルカワ</t>
    </rPh>
    <rPh sb="3" eb="5">
      <t>モトヒサ</t>
    </rPh>
    <phoneticPr fontId="3"/>
  </si>
  <si>
    <t>163愛知2区</t>
    <rPh sb="3" eb="5">
      <t>アイチ</t>
    </rPh>
    <rPh sb="6" eb="7">
      <t>ク</t>
    </rPh>
    <phoneticPr fontId="3"/>
  </si>
  <si>
    <t>衆議院内閣委員長，元大臣(経財・科技・戦略),副大臣(官房,内閣),民主党政調会長代理</t>
    <rPh sb="0" eb="3">
      <t>シュウギイン</t>
    </rPh>
    <rPh sb="3" eb="5">
      <t>ナイカク</t>
    </rPh>
    <rPh sb="5" eb="8">
      <t>イインチョウ</t>
    </rPh>
    <rPh sb="9" eb="12">
      <t>モトダイジン</t>
    </rPh>
    <rPh sb="13" eb="14">
      <t>キョウ</t>
    </rPh>
    <rPh sb="14" eb="15">
      <t>ザイ</t>
    </rPh>
    <rPh sb="16" eb="18">
      <t>カギ</t>
    </rPh>
    <rPh sb="19" eb="21">
      <t>センリャク</t>
    </rPh>
    <rPh sb="23" eb="26">
      <t>フクダイジン</t>
    </rPh>
    <rPh sb="27" eb="29">
      <t>カンボウ</t>
    </rPh>
    <rPh sb="30" eb="32">
      <t>ナイカク</t>
    </rPh>
    <rPh sb="34" eb="37">
      <t>ミンシュトウ</t>
    </rPh>
    <rPh sb="37" eb="39">
      <t>セイチョウ</t>
    </rPh>
    <rPh sb="39" eb="41">
      <t>カイチョウ</t>
    </rPh>
    <rPh sb="41" eb="43">
      <t>ダイリ</t>
    </rPh>
    <phoneticPr fontId="3"/>
  </si>
  <si>
    <t>大蔵省官房調査企画課企画係長</t>
    <rPh sb="0" eb="3">
      <t>オオクラショウ</t>
    </rPh>
    <rPh sb="3" eb="5">
      <t>カンボウ</t>
    </rPh>
    <rPh sb="5" eb="7">
      <t>チョウサ</t>
    </rPh>
    <rPh sb="7" eb="10">
      <t>キカクカ</t>
    </rPh>
    <rPh sb="10" eb="12">
      <t>キカク</t>
    </rPh>
    <rPh sb="12" eb="14">
      <t>カカリチョウ</t>
    </rPh>
    <phoneticPr fontId="3"/>
  </si>
  <si>
    <t>黒田　二郎</t>
    <rPh sb="0" eb="2">
      <t>クロダ</t>
    </rPh>
    <rPh sb="3" eb="5">
      <t>ジロウ</t>
    </rPh>
    <phoneticPr fontId="3"/>
  </si>
  <si>
    <t>愛知県・名古屋市議,名古屋水道労組役員</t>
    <rPh sb="0" eb="3">
      <t>アイチケン</t>
    </rPh>
    <rPh sb="4" eb="7">
      <t>ナゴヤ</t>
    </rPh>
    <rPh sb="7" eb="9">
      <t>シギ</t>
    </rPh>
    <rPh sb="10" eb="13">
      <t>ナゴヤ</t>
    </rPh>
    <rPh sb="13" eb="15">
      <t>スイドウ</t>
    </rPh>
    <rPh sb="15" eb="17">
      <t>ロウソ</t>
    </rPh>
    <rPh sb="17" eb="19">
      <t>ヤクイン</t>
    </rPh>
    <phoneticPr fontId="3"/>
  </si>
  <si>
    <t>議労</t>
    <rPh sb="0" eb="1">
      <t>ギ</t>
    </rPh>
    <rPh sb="1" eb="2">
      <t>ロウ</t>
    </rPh>
    <phoneticPr fontId="3"/>
  </si>
  <si>
    <t>大院(名古屋工)</t>
    <rPh sb="0" eb="2">
      <t>ダイイン</t>
    </rPh>
    <rPh sb="3" eb="6">
      <t>ナゴヤ</t>
    </rPh>
    <rPh sb="6" eb="7">
      <t>コウ</t>
    </rPh>
    <phoneticPr fontId="3"/>
  </si>
  <si>
    <t>164愛知3区01</t>
    <rPh sb="3" eb="5">
      <t>アイチ</t>
    </rPh>
    <rPh sb="6" eb="7">
      <t>ク</t>
    </rPh>
    <phoneticPr fontId="3"/>
  </si>
  <si>
    <t>164愛知3区02</t>
    <rPh sb="3" eb="5">
      <t>アイチ</t>
    </rPh>
    <rPh sb="6" eb="7">
      <t>ク</t>
    </rPh>
    <phoneticPr fontId="3"/>
  </si>
  <si>
    <t>164愛知3区03</t>
    <rPh sb="3" eb="5">
      <t>アイチ</t>
    </rPh>
    <rPh sb="6" eb="7">
      <t>ク</t>
    </rPh>
    <phoneticPr fontId="3"/>
  </si>
  <si>
    <t>164愛知3区04</t>
    <rPh sb="3" eb="5">
      <t>アイチ</t>
    </rPh>
    <rPh sb="6" eb="7">
      <t>ク</t>
    </rPh>
    <phoneticPr fontId="3"/>
  </si>
  <si>
    <t>近藤　昭一</t>
    <rPh sb="0" eb="2">
      <t>コンドウ</t>
    </rPh>
    <rPh sb="3" eb="5">
      <t>ショウイチ</t>
    </rPh>
    <phoneticPr fontId="3"/>
  </si>
  <si>
    <t>164愛知3区</t>
    <rPh sb="3" eb="5">
      <t>アイチ</t>
    </rPh>
    <rPh sb="6" eb="7">
      <t>ク</t>
    </rPh>
    <phoneticPr fontId="3"/>
  </si>
  <si>
    <t>さ</t>
    <phoneticPr fontId="3"/>
  </si>
  <si>
    <t>新聞記者(中日新聞)</t>
    <rPh sb="0" eb="2">
      <t>シンブン</t>
    </rPh>
    <rPh sb="2" eb="4">
      <t>キシャ</t>
    </rPh>
    <rPh sb="5" eb="7">
      <t>チュウニチ</t>
    </rPh>
    <rPh sb="7" eb="9">
      <t>シンブン</t>
    </rPh>
    <phoneticPr fontId="3"/>
  </si>
  <si>
    <t>　元委長(総務,青少特),副大臣(環境)</t>
    <rPh sb="1" eb="2">
      <t>モト</t>
    </rPh>
    <rPh sb="2" eb="4">
      <t>イチョウ</t>
    </rPh>
    <rPh sb="5" eb="7">
      <t>ソウム</t>
    </rPh>
    <rPh sb="8" eb="9">
      <t>アオ</t>
    </rPh>
    <rPh sb="9" eb="10">
      <t>ショウ</t>
    </rPh>
    <rPh sb="10" eb="11">
      <t>トク</t>
    </rPh>
    <rPh sb="13" eb="16">
      <t>フクダイジン</t>
    </rPh>
    <rPh sb="17" eb="19">
      <t>カンキョウ</t>
    </rPh>
    <phoneticPr fontId="3"/>
  </si>
  <si>
    <t>池田　佳隆</t>
    <rPh sb="0" eb="2">
      <t>イケダ</t>
    </rPh>
    <rPh sb="3" eb="5">
      <t>ヨシタカ</t>
    </rPh>
    <phoneticPr fontId="3"/>
  </si>
  <si>
    <t>JC会頭,会社社長(三興コロイド化学)</t>
    <rPh sb="2" eb="4">
      <t>カイトウ</t>
    </rPh>
    <rPh sb="5" eb="7">
      <t>カイシャ</t>
    </rPh>
    <rPh sb="7" eb="9">
      <t>シャチョウ</t>
    </rPh>
    <rPh sb="10" eb="11">
      <t>サン</t>
    </rPh>
    <rPh sb="16" eb="18">
      <t>カガク</t>
    </rPh>
    <phoneticPr fontId="3"/>
  </si>
  <si>
    <t>石川　　寿</t>
    <rPh sb="0" eb="2">
      <t>イシカワ</t>
    </rPh>
    <rPh sb="4" eb="5">
      <t>ヒサシ</t>
    </rPh>
    <phoneticPr fontId="3"/>
  </si>
  <si>
    <t>大(愛知)</t>
    <rPh sb="0" eb="1">
      <t>ダイ</t>
    </rPh>
    <rPh sb="2" eb="4">
      <t>アイチ</t>
    </rPh>
    <phoneticPr fontId="3"/>
  </si>
  <si>
    <t>共産党地区委員長,民青同盟地区委員長</t>
    <rPh sb="0" eb="3">
      <t>キョウサントウ</t>
    </rPh>
    <rPh sb="3" eb="5">
      <t>チク</t>
    </rPh>
    <rPh sb="5" eb="8">
      <t>イインチョウ</t>
    </rPh>
    <rPh sb="9" eb="13">
      <t>ミンセイドウメイ</t>
    </rPh>
    <rPh sb="13" eb="15">
      <t>チク</t>
    </rPh>
    <rPh sb="15" eb="18">
      <t>イインチョウ</t>
    </rPh>
    <phoneticPr fontId="3"/>
  </si>
  <si>
    <t>165愛知4区01</t>
    <rPh sb="3" eb="5">
      <t>アイチ</t>
    </rPh>
    <rPh sb="6" eb="7">
      <t>ク</t>
    </rPh>
    <phoneticPr fontId="3"/>
  </si>
  <si>
    <t>165愛知4区02</t>
    <rPh sb="3" eb="5">
      <t>アイチ</t>
    </rPh>
    <rPh sb="6" eb="7">
      <t>ク</t>
    </rPh>
    <phoneticPr fontId="3"/>
  </si>
  <si>
    <t>165愛知4区03</t>
    <rPh sb="3" eb="5">
      <t>アイチ</t>
    </rPh>
    <rPh sb="6" eb="7">
      <t>ク</t>
    </rPh>
    <phoneticPr fontId="3"/>
  </si>
  <si>
    <t>165愛知4区04</t>
    <rPh sb="3" eb="5">
      <t>アイチ</t>
    </rPh>
    <rPh sb="6" eb="7">
      <t>ク</t>
    </rPh>
    <phoneticPr fontId="3"/>
  </si>
  <si>
    <t>165愛知4区05</t>
    <rPh sb="3" eb="5">
      <t>アイチ</t>
    </rPh>
    <rPh sb="6" eb="7">
      <t>ク</t>
    </rPh>
    <phoneticPr fontId="3"/>
  </si>
  <si>
    <t>工藤　彰三</t>
    <rPh sb="0" eb="2">
      <t>クドウ</t>
    </rPh>
    <rPh sb="3" eb="5">
      <t>ショウゾウ</t>
    </rPh>
    <phoneticPr fontId="3"/>
  </si>
  <si>
    <t>愛知県・名古屋市議,議員秘書(片岡武司)</t>
    <rPh sb="0" eb="3">
      <t>アイチケン</t>
    </rPh>
    <rPh sb="4" eb="7">
      <t>ナゴヤ</t>
    </rPh>
    <rPh sb="7" eb="9">
      <t>シギ</t>
    </rPh>
    <rPh sb="10" eb="12">
      <t>ギイン</t>
    </rPh>
    <rPh sb="12" eb="14">
      <t>ヒショ</t>
    </rPh>
    <rPh sb="15" eb="17">
      <t>カタオカ</t>
    </rPh>
    <rPh sb="17" eb="19">
      <t>タケシ</t>
    </rPh>
    <phoneticPr fontId="3"/>
  </si>
  <si>
    <t>牧　　義夫</t>
    <rPh sb="0" eb="1">
      <t>マキ</t>
    </rPh>
    <rPh sb="3" eb="5">
      <t>ヨシオ</t>
    </rPh>
    <phoneticPr fontId="3"/>
  </si>
  <si>
    <t>165愛知4区</t>
    <rPh sb="3" eb="5">
      <t>アイチ</t>
    </rPh>
    <rPh sb="6" eb="7">
      <t>ク</t>
    </rPh>
    <phoneticPr fontId="3"/>
  </si>
  <si>
    <t>大中(上智)</t>
    <rPh sb="0" eb="1">
      <t>ダイ</t>
    </rPh>
    <rPh sb="1" eb="2">
      <t>チュウ</t>
    </rPh>
    <rPh sb="3" eb="5">
      <t>ジョウチ</t>
    </rPh>
    <phoneticPr fontId="3"/>
  </si>
  <si>
    <t>議員秘書(鳩山邦夫)</t>
    <rPh sb="0" eb="2">
      <t>ギイン</t>
    </rPh>
    <rPh sb="2" eb="4">
      <t>ヒショ</t>
    </rPh>
    <rPh sb="5" eb="7">
      <t>ハトヤマ</t>
    </rPh>
    <rPh sb="7" eb="9">
      <t>クニオ</t>
    </rPh>
    <phoneticPr fontId="3"/>
  </si>
  <si>
    <t>西田　敏子</t>
    <rPh sb="0" eb="2">
      <t>ニシダ</t>
    </rPh>
    <rPh sb="3" eb="5">
      <t>トシコ</t>
    </rPh>
    <phoneticPr fontId="3"/>
  </si>
  <si>
    <t>高(住吉商)</t>
    <rPh sb="0" eb="1">
      <t>コウ</t>
    </rPh>
    <rPh sb="2" eb="4">
      <t>スミヨシ</t>
    </rPh>
    <rPh sb="4" eb="5">
      <t>ショウ</t>
    </rPh>
    <phoneticPr fontId="3"/>
  </si>
  <si>
    <t>共産党愛知県委員,新婦人の会愛知県委員</t>
    <rPh sb="0" eb="3">
      <t>キョウサントウ</t>
    </rPh>
    <rPh sb="3" eb="6">
      <t>アイチケン</t>
    </rPh>
    <rPh sb="6" eb="8">
      <t>イイン</t>
    </rPh>
    <rPh sb="9" eb="12">
      <t>シンフジン</t>
    </rPh>
    <rPh sb="13" eb="14">
      <t>カイ</t>
    </rPh>
    <rPh sb="14" eb="17">
      <t>アイチケン</t>
    </rPh>
    <rPh sb="17" eb="19">
      <t>イイン</t>
    </rPh>
    <phoneticPr fontId="3"/>
  </si>
  <si>
    <t>166愛知5区01</t>
    <rPh sb="3" eb="5">
      <t>アイチ</t>
    </rPh>
    <rPh sb="6" eb="7">
      <t>ク</t>
    </rPh>
    <phoneticPr fontId="3"/>
  </si>
  <si>
    <t>166愛知5区02</t>
    <rPh sb="3" eb="5">
      <t>アイチ</t>
    </rPh>
    <rPh sb="6" eb="7">
      <t>ク</t>
    </rPh>
    <phoneticPr fontId="3"/>
  </si>
  <si>
    <t>166愛知5区03</t>
    <rPh sb="3" eb="5">
      <t>アイチ</t>
    </rPh>
    <rPh sb="6" eb="7">
      <t>ク</t>
    </rPh>
    <phoneticPr fontId="3"/>
  </si>
  <si>
    <t>166愛知5区04</t>
    <rPh sb="3" eb="5">
      <t>アイチ</t>
    </rPh>
    <rPh sb="6" eb="7">
      <t>ク</t>
    </rPh>
    <phoneticPr fontId="3"/>
  </si>
  <si>
    <t>赤松　広隆</t>
    <rPh sb="0" eb="2">
      <t>アカマツ</t>
    </rPh>
    <rPh sb="3" eb="5">
      <t>ヒロタカ</t>
    </rPh>
    <phoneticPr fontId="3"/>
  </si>
  <si>
    <t>166愛知5区</t>
    <rPh sb="3" eb="5">
      <t>アイチ</t>
    </rPh>
    <rPh sb="6" eb="7">
      <t>ク</t>
    </rPh>
    <phoneticPr fontId="3"/>
  </si>
  <si>
    <t>愛知県議(名古屋市中村区),全日通労組役員</t>
    <rPh sb="0" eb="2">
      <t>アイチ</t>
    </rPh>
    <rPh sb="2" eb="4">
      <t>ケンギ</t>
    </rPh>
    <rPh sb="5" eb="9">
      <t>ナゴヤシ</t>
    </rPh>
    <rPh sb="9" eb="12">
      <t>ナカムラク</t>
    </rPh>
    <rPh sb="14" eb="15">
      <t>ゼン</t>
    </rPh>
    <rPh sb="15" eb="17">
      <t>ニッツウ</t>
    </rPh>
    <rPh sb="17" eb="19">
      <t>ロウソ</t>
    </rPh>
    <rPh sb="19" eb="21">
      <t>ヤクイン</t>
    </rPh>
    <phoneticPr fontId="3"/>
  </si>
  <si>
    <t>議二労</t>
    <rPh sb="0" eb="1">
      <t>ギ</t>
    </rPh>
    <rPh sb="1" eb="2">
      <t>ニ</t>
    </rPh>
    <rPh sb="2" eb="3">
      <t>ロウ</t>
    </rPh>
    <phoneticPr fontId="3"/>
  </si>
  <si>
    <t>衆議院海賊テロ対策特別委員長・民主党副代表，元大臣(農水),委長(倫選特,郵政特,外務,労働,石炭特,国移特),民主党国対委長,旧社会党書記長</t>
    <rPh sb="0" eb="3">
      <t>シュウギイン</t>
    </rPh>
    <rPh sb="3" eb="5">
      <t>カイゾク</t>
    </rPh>
    <rPh sb="7" eb="9">
      <t>タイサク</t>
    </rPh>
    <rPh sb="9" eb="11">
      <t>トクベツ</t>
    </rPh>
    <rPh sb="11" eb="14">
      <t>イインチョウ</t>
    </rPh>
    <rPh sb="15" eb="18">
      <t>ミンシュトウ</t>
    </rPh>
    <rPh sb="18" eb="21">
      <t>フクダイヒョウ</t>
    </rPh>
    <rPh sb="22" eb="25">
      <t>モトダイジン</t>
    </rPh>
    <rPh sb="26" eb="28">
      <t>ノウスイ</t>
    </rPh>
    <rPh sb="30" eb="32">
      <t>イチョウ</t>
    </rPh>
    <rPh sb="33" eb="35">
      <t>リンセン</t>
    </rPh>
    <rPh sb="35" eb="36">
      <t>トク</t>
    </rPh>
    <rPh sb="37" eb="39">
      <t>ユウセイ</t>
    </rPh>
    <rPh sb="39" eb="40">
      <t>トク</t>
    </rPh>
    <rPh sb="41" eb="43">
      <t>ガイム</t>
    </rPh>
    <rPh sb="44" eb="46">
      <t>ロウドウ</t>
    </rPh>
    <rPh sb="47" eb="49">
      <t>セキタン</t>
    </rPh>
    <rPh sb="49" eb="50">
      <t>トク</t>
    </rPh>
    <rPh sb="51" eb="52">
      <t>クニ</t>
    </rPh>
    <rPh sb="52" eb="53">
      <t>ワタル</t>
    </rPh>
    <rPh sb="53" eb="54">
      <t>トク</t>
    </rPh>
    <rPh sb="56" eb="59">
      <t>ミンシュトウ</t>
    </rPh>
    <rPh sb="59" eb="63">
      <t>コクタイイチョウ</t>
    </rPh>
    <rPh sb="64" eb="68">
      <t>キュウシャカイトウ</t>
    </rPh>
    <rPh sb="68" eb="71">
      <t>ショキチョウ</t>
    </rPh>
    <phoneticPr fontId="3"/>
  </si>
  <si>
    <t>藤井　博樹</t>
    <rPh sb="0" eb="2">
      <t>フジイ</t>
    </rPh>
    <rPh sb="3" eb="5">
      <t>ヒロキ</t>
    </rPh>
    <phoneticPr fontId="3"/>
  </si>
  <si>
    <t>共産党地区国政対策委員長,会社員(サンクス)</t>
    <rPh sb="0" eb="3">
      <t>キョウサントウ</t>
    </rPh>
    <rPh sb="3" eb="5">
      <t>チク</t>
    </rPh>
    <rPh sb="5" eb="7">
      <t>コクセイ</t>
    </rPh>
    <rPh sb="7" eb="9">
      <t>タイサク</t>
    </rPh>
    <rPh sb="9" eb="12">
      <t>イインチョウ</t>
    </rPh>
    <rPh sb="13" eb="16">
      <t>カイシャイン</t>
    </rPh>
    <phoneticPr fontId="3"/>
  </si>
  <si>
    <t>167愛知6区01</t>
    <rPh sb="3" eb="5">
      <t>アイチ</t>
    </rPh>
    <rPh sb="6" eb="7">
      <t>ク</t>
    </rPh>
    <phoneticPr fontId="3"/>
  </si>
  <si>
    <t>167愛知6区02</t>
    <rPh sb="3" eb="5">
      <t>アイチ</t>
    </rPh>
    <rPh sb="6" eb="7">
      <t>ク</t>
    </rPh>
    <phoneticPr fontId="3"/>
  </si>
  <si>
    <t>167愛知6区03</t>
    <rPh sb="3" eb="5">
      <t>アイチ</t>
    </rPh>
    <rPh sb="6" eb="7">
      <t>ク</t>
    </rPh>
    <phoneticPr fontId="3"/>
  </si>
  <si>
    <t>167愛知6区04</t>
    <rPh sb="3" eb="5">
      <t>アイチ</t>
    </rPh>
    <rPh sb="6" eb="7">
      <t>ク</t>
    </rPh>
    <phoneticPr fontId="3"/>
  </si>
  <si>
    <t>天野　正基</t>
    <rPh sb="0" eb="2">
      <t>アマノ</t>
    </rPh>
    <rPh sb="3" eb="5">
      <t>マサキ</t>
    </rPh>
    <phoneticPr fontId="3"/>
  </si>
  <si>
    <t>大(関西)</t>
    <rPh sb="0" eb="1">
      <t>ダイ</t>
    </rPh>
    <rPh sb="2" eb="4">
      <t>カンサイ</t>
    </rPh>
    <phoneticPr fontId="3"/>
  </si>
  <si>
    <t>愛知県議(小牧市),議員秘書(前田雄吉),会社員(東京海上火災保険)</t>
    <rPh sb="0" eb="2">
      <t>アイチ</t>
    </rPh>
    <rPh sb="2" eb="4">
      <t>ケンギ</t>
    </rPh>
    <rPh sb="5" eb="8">
      <t>コマキシ</t>
    </rPh>
    <rPh sb="10" eb="12">
      <t>ギイン</t>
    </rPh>
    <rPh sb="12" eb="14">
      <t>ヒショ</t>
    </rPh>
    <rPh sb="15" eb="17">
      <t>マエダ</t>
    </rPh>
    <rPh sb="17" eb="19">
      <t>ユウキチ</t>
    </rPh>
    <rPh sb="21" eb="24">
      <t>カイシャイン</t>
    </rPh>
    <rPh sb="25" eb="27">
      <t>トウキョウ</t>
    </rPh>
    <rPh sb="27" eb="29">
      <t>カイジョウ</t>
    </rPh>
    <rPh sb="29" eb="33">
      <t>カサイホケン</t>
    </rPh>
    <phoneticPr fontId="3"/>
  </si>
  <si>
    <t>丹羽　秀樹</t>
    <rPh sb="0" eb="2">
      <t>ニワ</t>
    </rPh>
    <rPh sb="3" eb="5">
      <t>ヒデキ</t>
    </rPh>
    <phoneticPr fontId="3"/>
  </si>
  <si>
    <t>167愛知6区</t>
    <rPh sb="3" eb="5">
      <t>アイチ</t>
    </rPh>
    <rPh sb="6" eb="7">
      <t>ク</t>
    </rPh>
    <phoneticPr fontId="3"/>
  </si>
  <si>
    <t>大島</t>
    <rPh sb="0" eb="2">
      <t>オオシマ</t>
    </rPh>
    <phoneticPr fontId="3"/>
  </si>
  <si>
    <t>議員秘書(高村正彦),会社員(アーク証券)</t>
    <rPh sb="0" eb="2">
      <t>ギイン</t>
    </rPh>
    <rPh sb="2" eb="4">
      <t>ヒショ</t>
    </rPh>
    <rPh sb="5" eb="7">
      <t>コウムラ</t>
    </rPh>
    <rPh sb="7" eb="9">
      <t>マサヒコ</t>
    </rPh>
    <rPh sb="11" eb="14">
      <t>カイシャイン</t>
    </rPh>
    <rPh sb="18" eb="20">
      <t>ショウケン</t>
    </rPh>
    <phoneticPr fontId="3"/>
  </si>
  <si>
    <t>柳沢　けさ美</t>
    <rPh sb="0" eb="2">
      <t>ヤナギサワ</t>
    </rPh>
    <rPh sb="5" eb="6">
      <t>ミ</t>
    </rPh>
    <phoneticPr fontId="3"/>
  </si>
  <si>
    <t>大(名城)</t>
    <rPh sb="0" eb="1">
      <t>ダイ</t>
    </rPh>
    <rPh sb="2" eb="4">
      <t>メイジョウ</t>
    </rPh>
    <phoneticPr fontId="3"/>
  </si>
  <si>
    <t>共産党愛知県委員,春日井市職労書記</t>
    <rPh sb="0" eb="3">
      <t>キョウサントウ</t>
    </rPh>
    <rPh sb="3" eb="6">
      <t>アイチケン</t>
    </rPh>
    <rPh sb="6" eb="8">
      <t>イイン</t>
    </rPh>
    <rPh sb="9" eb="12">
      <t>カスガイ</t>
    </rPh>
    <rPh sb="12" eb="13">
      <t>シ</t>
    </rPh>
    <rPh sb="13" eb="14">
      <t>ショク</t>
    </rPh>
    <rPh sb="15" eb="17">
      <t>ショキ</t>
    </rPh>
    <phoneticPr fontId="3"/>
  </si>
  <si>
    <t>168愛知7区01</t>
    <rPh sb="3" eb="5">
      <t>アイチ</t>
    </rPh>
    <rPh sb="6" eb="7">
      <t>ク</t>
    </rPh>
    <phoneticPr fontId="3"/>
  </si>
  <si>
    <t>168愛知7区02</t>
    <rPh sb="3" eb="5">
      <t>アイチ</t>
    </rPh>
    <rPh sb="6" eb="7">
      <t>ク</t>
    </rPh>
    <phoneticPr fontId="3"/>
  </si>
  <si>
    <t>168愛知7区03</t>
    <rPh sb="3" eb="5">
      <t>アイチ</t>
    </rPh>
    <rPh sb="6" eb="7">
      <t>ク</t>
    </rPh>
    <phoneticPr fontId="3"/>
  </si>
  <si>
    <t>山尾　志桜里</t>
    <rPh sb="0" eb="2">
      <t>ヤマオ</t>
    </rPh>
    <rPh sb="3" eb="6">
      <t>シオリ</t>
    </rPh>
    <phoneticPr fontId="3"/>
  </si>
  <si>
    <t>168愛知7区</t>
    <rPh sb="3" eb="5">
      <t>アイチ</t>
    </rPh>
    <rPh sb="6" eb="7">
      <t>ク</t>
    </rPh>
    <phoneticPr fontId="3"/>
  </si>
  <si>
    <t>検察官</t>
    <rPh sb="0" eb="3">
      <t>ケンサツカン</t>
    </rPh>
    <phoneticPr fontId="3"/>
  </si>
  <si>
    <t>鈴木　淳司</t>
    <rPh sb="0" eb="2">
      <t>スズキ</t>
    </rPh>
    <rPh sb="3" eb="5">
      <t>ジュンジ</t>
    </rPh>
    <phoneticPr fontId="3"/>
  </si>
  <si>
    <t>議松</t>
    <rPh sb="0" eb="1">
      <t>ギ</t>
    </rPh>
    <rPh sb="1" eb="2">
      <t>マツ</t>
    </rPh>
    <phoneticPr fontId="3"/>
  </si>
  <si>
    <t>　元政務官(総務)</t>
    <rPh sb="1" eb="2">
      <t>モト</t>
    </rPh>
    <rPh sb="2" eb="5">
      <t>セイムカン</t>
    </rPh>
    <rPh sb="6" eb="8">
      <t>ソウム</t>
    </rPh>
    <phoneticPr fontId="3"/>
  </si>
  <si>
    <t>郷右近　修</t>
    <rPh sb="0" eb="1">
      <t>ゴウ</t>
    </rPh>
    <rPh sb="1" eb="3">
      <t>ウコン</t>
    </rPh>
    <rPh sb="4" eb="5">
      <t>オサム</t>
    </rPh>
    <phoneticPr fontId="3"/>
  </si>
  <si>
    <t>共産党地区常任委員,民青同盟愛知県常任委員</t>
    <rPh sb="0" eb="3">
      <t>キョウサントウ</t>
    </rPh>
    <rPh sb="3" eb="5">
      <t>チク</t>
    </rPh>
    <rPh sb="5" eb="7">
      <t>ジョウニン</t>
    </rPh>
    <rPh sb="7" eb="9">
      <t>イイン</t>
    </rPh>
    <rPh sb="10" eb="14">
      <t>ミンセイドウメイ</t>
    </rPh>
    <rPh sb="14" eb="17">
      <t>アイチケン</t>
    </rPh>
    <rPh sb="17" eb="19">
      <t>ジョウニン</t>
    </rPh>
    <rPh sb="19" eb="21">
      <t>イイン</t>
    </rPh>
    <phoneticPr fontId="3"/>
  </si>
  <si>
    <t>169愛知8区01</t>
    <rPh sb="3" eb="5">
      <t>アイチ</t>
    </rPh>
    <rPh sb="6" eb="7">
      <t>ク</t>
    </rPh>
    <phoneticPr fontId="3"/>
  </si>
  <si>
    <t>169愛知8区02</t>
    <rPh sb="3" eb="5">
      <t>アイチ</t>
    </rPh>
    <rPh sb="6" eb="7">
      <t>ク</t>
    </rPh>
    <phoneticPr fontId="3"/>
  </si>
  <si>
    <t>169愛知8区03</t>
    <rPh sb="3" eb="5">
      <t>アイチ</t>
    </rPh>
    <rPh sb="6" eb="7">
      <t>ク</t>
    </rPh>
    <phoneticPr fontId="3"/>
  </si>
  <si>
    <t>伴野　　豊</t>
    <rPh sb="0" eb="2">
      <t>バンノ</t>
    </rPh>
    <rPh sb="4" eb="5">
      <t>ユタカ</t>
    </rPh>
    <phoneticPr fontId="3"/>
  </si>
  <si>
    <t>169愛知8区</t>
    <rPh sb="3" eb="5">
      <t>アイチ</t>
    </rPh>
    <rPh sb="6" eb="7">
      <t>ク</t>
    </rPh>
    <phoneticPr fontId="3"/>
  </si>
  <si>
    <t>進</t>
    <rPh sb="0" eb="1">
      <t>シン</t>
    </rPh>
    <phoneticPr fontId="3"/>
  </si>
  <si>
    <t>国土交通副大臣，元委長(国交),副大臣(外務)</t>
    <rPh sb="0" eb="2">
      <t>コクド</t>
    </rPh>
    <rPh sb="2" eb="4">
      <t>コウツウ</t>
    </rPh>
    <rPh sb="4" eb="7">
      <t>フクダイジン</t>
    </rPh>
    <rPh sb="8" eb="9">
      <t>モト</t>
    </rPh>
    <rPh sb="9" eb="11">
      <t>イチョウ</t>
    </rPh>
    <rPh sb="12" eb="14">
      <t>コッコウ</t>
    </rPh>
    <rPh sb="16" eb="19">
      <t>フクダイジン</t>
    </rPh>
    <rPh sb="20" eb="22">
      <t>ガイム</t>
    </rPh>
    <phoneticPr fontId="3"/>
  </si>
  <si>
    <t>議員秘書(河村たかし),会社員(JR東海)</t>
    <rPh sb="0" eb="2">
      <t>ギイン</t>
    </rPh>
    <rPh sb="2" eb="4">
      <t>ヒショ</t>
    </rPh>
    <rPh sb="5" eb="7">
      <t>カワムラ</t>
    </rPh>
    <rPh sb="12" eb="15">
      <t>カイシャイン</t>
    </rPh>
    <rPh sb="18" eb="20">
      <t>トウカイ</t>
    </rPh>
    <phoneticPr fontId="3"/>
  </si>
  <si>
    <t>伊藤　忠彦</t>
    <rPh sb="0" eb="2">
      <t>イトウ</t>
    </rPh>
    <rPh sb="3" eb="5">
      <t>タダヒコ</t>
    </rPh>
    <phoneticPr fontId="3"/>
  </si>
  <si>
    <t>愛知県議(知多市),議員秘書(小渕恵三,武村正義)</t>
    <rPh sb="0" eb="2">
      <t>アイチ</t>
    </rPh>
    <rPh sb="2" eb="4">
      <t>ケンギ</t>
    </rPh>
    <rPh sb="5" eb="8">
      <t>チタシ</t>
    </rPh>
    <rPh sb="10" eb="12">
      <t>ギイン</t>
    </rPh>
    <rPh sb="12" eb="14">
      <t>ヒショ</t>
    </rPh>
    <rPh sb="15" eb="17">
      <t>オブチ</t>
    </rPh>
    <rPh sb="17" eb="19">
      <t>ケイゾウ</t>
    </rPh>
    <rPh sb="20" eb="22">
      <t>タケムラ</t>
    </rPh>
    <rPh sb="22" eb="24">
      <t>マサヨシ</t>
    </rPh>
    <phoneticPr fontId="3"/>
  </si>
  <si>
    <t>長友　忠弘</t>
    <rPh sb="0" eb="2">
      <t>ナガトモ</t>
    </rPh>
    <rPh sb="3" eb="5">
      <t>タダヒロ</t>
    </rPh>
    <phoneticPr fontId="3"/>
  </si>
  <si>
    <t>高(宮崎工)</t>
    <rPh sb="0" eb="1">
      <t>コウ</t>
    </rPh>
    <rPh sb="2" eb="4">
      <t>ミヤザキ</t>
    </rPh>
    <rPh sb="4" eb="5">
      <t>コウ</t>
    </rPh>
    <phoneticPr fontId="3"/>
  </si>
  <si>
    <t>170愛知9区01</t>
    <rPh sb="3" eb="5">
      <t>アイチ</t>
    </rPh>
    <rPh sb="6" eb="7">
      <t>ク</t>
    </rPh>
    <phoneticPr fontId="3"/>
  </si>
  <si>
    <t>170愛知9区02</t>
    <rPh sb="3" eb="5">
      <t>アイチ</t>
    </rPh>
    <rPh sb="6" eb="7">
      <t>ク</t>
    </rPh>
    <phoneticPr fontId="3"/>
  </si>
  <si>
    <t>170愛知9区03</t>
    <rPh sb="3" eb="5">
      <t>アイチ</t>
    </rPh>
    <rPh sb="6" eb="7">
      <t>ク</t>
    </rPh>
    <phoneticPr fontId="3"/>
  </si>
  <si>
    <t>岡本　充功</t>
    <rPh sb="0" eb="2">
      <t>オカモト</t>
    </rPh>
    <rPh sb="3" eb="4">
      <t>ミツ</t>
    </rPh>
    <rPh sb="4" eb="5">
      <t>ノリ</t>
    </rPh>
    <phoneticPr fontId="3"/>
  </si>
  <si>
    <t>170愛知9区</t>
    <rPh sb="3" eb="5">
      <t>アイチ</t>
    </rPh>
    <rPh sb="6" eb="7">
      <t>ク</t>
    </rPh>
    <phoneticPr fontId="3"/>
  </si>
  <si>
    <t>医師(津島市民病院/内科)</t>
    <rPh sb="0" eb="2">
      <t>イシ</t>
    </rPh>
    <rPh sb="3" eb="5">
      <t>ツシマ</t>
    </rPh>
    <rPh sb="5" eb="7">
      <t>シミン</t>
    </rPh>
    <rPh sb="7" eb="9">
      <t>ビョウイン</t>
    </rPh>
    <rPh sb="10" eb="12">
      <t>ナイカ</t>
    </rPh>
    <phoneticPr fontId="3"/>
  </si>
  <si>
    <t>長坂　康正</t>
    <rPh sb="0" eb="2">
      <t>ナガサカ</t>
    </rPh>
    <rPh sb="3" eb="5">
      <t>ヤスマサ</t>
    </rPh>
    <phoneticPr fontId="3"/>
  </si>
  <si>
    <t>愛知県議(一宮市),議員秘書(海部俊樹)</t>
    <rPh sb="0" eb="2">
      <t>アイチ</t>
    </rPh>
    <rPh sb="2" eb="4">
      <t>ケンギ</t>
    </rPh>
    <rPh sb="5" eb="8">
      <t>イチノミヤシ</t>
    </rPh>
    <rPh sb="10" eb="12">
      <t>ギイン</t>
    </rPh>
    <rPh sb="12" eb="14">
      <t>ヒショ</t>
    </rPh>
    <rPh sb="15" eb="17">
      <t>カイフ</t>
    </rPh>
    <rPh sb="17" eb="19">
      <t>トシキ</t>
    </rPh>
    <phoneticPr fontId="3"/>
  </si>
  <si>
    <t>松崎　省三</t>
    <rPh sb="0" eb="2">
      <t>マツザキ</t>
    </rPh>
    <rPh sb="3" eb="5">
      <t>ショウゾウ</t>
    </rPh>
    <phoneticPr fontId="3"/>
  </si>
  <si>
    <t>高(下関中央工)</t>
    <rPh sb="0" eb="1">
      <t>コウ</t>
    </rPh>
    <rPh sb="2" eb="4">
      <t>シモノセキ</t>
    </rPh>
    <rPh sb="4" eb="6">
      <t>チュウオウ</t>
    </rPh>
    <rPh sb="6" eb="7">
      <t>コウ</t>
    </rPh>
    <phoneticPr fontId="3"/>
  </si>
  <si>
    <t>共産党地区委員長,会社員(石川島播磨重工)</t>
    <rPh sb="0" eb="3">
      <t>キョウサントウ</t>
    </rPh>
    <rPh sb="3" eb="5">
      <t>チク</t>
    </rPh>
    <rPh sb="5" eb="8">
      <t>イインチョウ</t>
    </rPh>
    <rPh sb="9" eb="12">
      <t>カイシャイン</t>
    </rPh>
    <rPh sb="13" eb="16">
      <t>イシカワジマ</t>
    </rPh>
    <rPh sb="16" eb="18">
      <t>ハリマ</t>
    </rPh>
    <rPh sb="18" eb="20">
      <t>ジュウコウ</t>
    </rPh>
    <phoneticPr fontId="3"/>
  </si>
  <si>
    <t>171愛知10区01</t>
    <rPh sb="3" eb="5">
      <t>アイチ</t>
    </rPh>
    <rPh sb="7" eb="8">
      <t>ク</t>
    </rPh>
    <phoneticPr fontId="3"/>
  </si>
  <si>
    <t>171愛知10区02</t>
    <rPh sb="3" eb="5">
      <t>アイチ</t>
    </rPh>
    <rPh sb="7" eb="8">
      <t>ク</t>
    </rPh>
    <phoneticPr fontId="3"/>
  </si>
  <si>
    <t>171愛知10区03</t>
    <rPh sb="3" eb="5">
      <t>アイチ</t>
    </rPh>
    <rPh sb="7" eb="8">
      <t>ク</t>
    </rPh>
    <phoneticPr fontId="3"/>
  </si>
  <si>
    <t>171愛知10区04</t>
    <rPh sb="3" eb="5">
      <t>アイチ</t>
    </rPh>
    <rPh sb="7" eb="8">
      <t>ク</t>
    </rPh>
    <phoneticPr fontId="3"/>
  </si>
  <si>
    <t>江崎　鐵磨</t>
    <rPh sb="0" eb="2">
      <t>エサキ</t>
    </rPh>
    <rPh sb="3" eb="4">
      <t>テツ</t>
    </rPh>
    <rPh sb="4" eb="5">
      <t>マ</t>
    </rPh>
    <phoneticPr fontId="3"/>
  </si>
  <si>
    <t>議員秘書(江崎真澄)</t>
    <rPh sb="0" eb="2">
      <t>ギイン</t>
    </rPh>
    <rPh sb="2" eb="4">
      <t>ヒショ</t>
    </rPh>
    <rPh sb="5" eb="7">
      <t>エサキ</t>
    </rPh>
    <rPh sb="7" eb="9">
      <t>マスミ</t>
    </rPh>
    <phoneticPr fontId="3"/>
  </si>
  <si>
    <t>　元副大臣(国交),政務次官(外務)</t>
    <rPh sb="1" eb="2">
      <t>モト</t>
    </rPh>
    <rPh sb="2" eb="5">
      <t>フクダイジン</t>
    </rPh>
    <rPh sb="6" eb="8">
      <t>コッコウ</t>
    </rPh>
    <rPh sb="10" eb="12">
      <t>セイム</t>
    </rPh>
    <rPh sb="12" eb="14">
      <t>ジカン</t>
    </rPh>
    <rPh sb="15" eb="17">
      <t>ガイム</t>
    </rPh>
    <phoneticPr fontId="3"/>
  </si>
  <si>
    <t>板倉　正文</t>
    <rPh sb="0" eb="2">
      <t>イタクラ</t>
    </rPh>
    <rPh sb="3" eb="5">
      <t>マサフミ</t>
    </rPh>
    <phoneticPr fontId="3"/>
  </si>
  <si>
    <t>愛知県・一宮市議,愛知医労連支部役員</t>
    <rPh sb="0" eb="3">
      <t>アイチケン</t>
    </rPh>
    <rPh sb="4" eb="6">
      <t>イチノミヤ</t>
    </rPh>
    <rPh sb="6" eb="8">
      <t>シギ</t>
    </rPh>
    <rPh sb="9" eb="11">
      <t>アイチ</t>
    </rPh>
    <rPh sb="11" eb="14">
      <t>イロウレン</t>
    </rPh>
    <rPh sb="14" eb="16">
      <t>シブ</t>
    </rPh>
    <rPh sb="16" eb="18">
      <t>ヤクイン</t>
    </rPh>
    <phoneticPr fontId="3"/>
  </si>
  <si>
    <t>杉本　和巳</t>
    <rPh sb="0" eb="2">
      <t>スギモト</t>
    </rPh>
    <rPh sb="3" eb="5">
      <t>カズミ</t>
    </rPh>
    <phoneticPr fontId="3"/>
  </si>
  <si>
    <t>171愛知10区</t>
    <rPh sb="3" eb="5">
      <t>アイチ</t>
    </rPh>
    <rPh sb="7" eb="8">
      <t>ク</t>
    </rPh>
    <phoneticPr fontId="3"/>
  </si>
  <si>
    <t>大院(米/ハーバード)</t>
    <rPh sb="0" eb="2">
      <t>ダイイン</t>
    </rPh>
    <rPh sb="3" eb="4">
      <t>ベイ</t>
    </rPh>
    <phoneticPr fontId="3"/>
  </si>
  <si>
    <t>銀行員(みずほフィナンシャルグループ)</t>
    <rPh sb="0" eb="3">
      <t>ギンコウイン</t>
    </rPh>
    <phoneticPr fontId="3"/>
  </si>
  <si>
    <t>172愛知11区01</t>
    <rPh sb="3" eb="5">
      <t>アイチ</t>
    </rPh>
    <rPh sb="7" eb="8">
      <t>ク</t>
    </rPh>
    <phoneticPr fontId="3"/>
  </si>
  <si>
    <t>172愛知11区02</t>
    <rPh sb="3" eb="5">
      <t>アイチ</t>
    </rPh>
    <rPh sb="7" eb="8">
      <t>ク</t>
    </rPh>
    <phoneticPr fontId="3"/>
  </si>
  <si>
    <t>172愛知11区03</t>
    <rPh sb="3" eb="5">
      <t>アイチ</t>
    </rPh>
    <rPh sb="7" eb="8">
      <t>ク</t>
    </rPh>
    <phoneticPr fontId="3"/>
  </si>
  <si>
    <t>古本　伸一郎</t>
    <rPh sb="0" eb="2">
      <t>フルモト</t>
    </rPh>
    <rPh sb="3" eb="6">
      <t>シンイチロウ</t>
    </rPh>
    <phoneticPr fontId="3"/>
  </si>
  <si>
    <t>172愛知11区</t>
    <rPh sb="3" eb="5">
      <t>アイチ</t>
    </rPh>
    <rPh sb="7" eb="8">
      <t>ク</t>
    </rPh>
    <phoneticPr fontId="3"/>
  </si>
  <si>
    <t>全トヨタ労連顧問,研究員(中部産業労働政策研究会)</t>
    <rPh sb="0" eb="1">
      <t>ゼン</t>
    </rPh>
    <rPh sb="4" eb="6">
      <t>ロウレン</t>
    </rPh>
    <rPh sb="6" eb="8">
      <t>コモン</t>
    </rPh>
    <rPh sb="9" eb="12">
      <t>ケンキュウイン</t>
    </rPh>
    <rPh sb="13" eb="15">
      <t>チュウブ</t>
    </rPh>
    <rPh sb="15" eb="17">
      <t>サンギョウ</t>
    </rPh>
    <rPh sb="17" eb="19">
      <t>ロウドウ</t>
    </rPh>
    <rPh sb="19" eb="21">
      <t>セイサク</t>
    </rPh>
    <rPh sb="21" eb="24">
      <t>ケンキュウカイ</t>
    </rPh>
    <phoneticPr fontId="3"/>
  </si>
  <si>
    <t>173愛知12区01</t>
    <rPh sb="3" eb="5">
      <t>アイチ</t>
    </rPh>
    <rPh sb="7" eb="8">
      <t>ク</t>
    </rPh>
    <phoneticPr fontId="3"/>
  </si>
  <si>
    <t>173愛知12区02</t>
    <rPh sb="3" eb="5">
      <t>アイチ</t>
    </rPh>
    <rPh sb="7" eb="8">
      <t>ク</t>
    </rPh>
    <phoneticPr fontId="3"/>
  </si>
  <si>
    <t>173愛知12区03</t>
    <rPh sb="3" eb="5">
      <t>アイチ</t>
    </rPh>
    <rPh sb="7" eb="8">
      <t>ク</t>
    </rPh>
    <phoneticPr fontId="3"/>
  </si>
  <si>
    <t>173愛知12区04</t>
    <rPh sb="3" eb="5">
      <t>アイチ</t>
    </rPh>
    <rPh sb="7" eb="8">
      <t>ク</t>
    </rPh>
    <phoneticPr fontId="3"/>
  </si>
  <si>
    <t>中根　康浩</t>
    <rPh sb="0" eb="2">
      <t>ナカネ</t>
    </rPh>
    <rPh sb="3" eb="5">
      <t>ヤスヒロ</t>
    </rPh>
    <phoneticPr fontId="3"/>
  </si>
  <si>
    <t>173愛知12区</t>
    <rPh sb="3" eb="5">
      <t>アイチ</t>
    </rPh>
    <rPh sb="7" eb="8">
      <t>ク</t>
    </rPh>
    <phoneticPr fontId="3"/>
  </si>
  <si>
    <t>愛知県・岡崎市議</t>
    <rPh sb="0" eb="3">
      <t>アイチケン</t>
    </rPh>
    <rPh sb="4" eb="6">
      <t>オカザキ</t>
    </rPh>
    <rPh sb="6" eb="8">
      <t>シギ</t>
    </rPh>
    <phoneticPr fontId="3"/>
  </si>
  <si>
    <t>173愛知12区05</t>
    <rPh sb="3" eb="5">
      <t>アイチ</t>
    </rPh>
    <rPh sb="7" eb="8">
      <t>ク</t>
    </rPh>
    <phoneticPr fontId="3"/>
  </si>
  <si>
    <t>青山　周平</t>
    <rPh sb="0" eb="2">
      <t>アオヤマ</t>
    </rPh>
    <rPh sb="3" eb="5">
      <t>シュウヘイ</t>
    </rPh>
    <phoneticPr fontId="3"/>
  </si>
  <si>
    <t>自民党愛知県連青年部政調会長,幼稚園事務長(みやこ第二幼稚園)</t>
    <rPh sb="0" eb="3">
      <t>ジミントウ</t>
    </rPh>
    <rPh sb="3" eb="5">
      <t>アイチ</t>
    </rPh>
    <rPh sb="5" eb="7">
      <t>ケンレン</t>
    </rPh>
    <rPh sb="7" eb="10">
      <t>セイネンブ</t>
    </rPh>
    <rPh sb="10" eb="12">
      <t>セイチョウ</t>
    </rPh>
    <rPh sb="12" eb="14">
      <t>カイチョウ</t>
    </rPh>
    <rPh sb="15" eb="18">
      <t>ヨウチエン</t>
    </rPh>
    <rPh sb="18" eb="21">
      <t>ジムチョウ</t>
    </rPh>
    <rPh sb="25" eb="27">
      <t>ダイニ</t>
    </rPh>
    <rPh sb="27" eb="30">
      <t>ヨウチエン</t>
    </rPh>
    <phoneticPr fontId="3"/>
  </si>
  <si>
    <t>都築　　譲</t>
    <rPh sb="0" eb="2">
      <t>ツヅキ</t>
    </rPh>
    <rPh sb="4" eb="5">
      <t>ユズル</t>
    </rPh>
    <phoneticPr fontId="3"/>
  </si>
  <si>
    <t>労働省労働基準局労働時間課長</t>
    <rPh sb="0" eb="8">
      <t>ロウドウショウロウドウキジュンキョク</t>
    </rPh>
    <rPh sb="8" eb="10">
      <t>ロウドウ</t>
    </rPh>
    <rPh sb="10" eb="12">
      <t>ジカン</t>
    </rPh>
    <rPh sb="12" eb="14">
      <t>カチョウ</t>
    </rPh>
    <phoneticPr fontId="3"/>
  </si>
  <si>
    <t>官首鞍</t>
    <rPh sb="0" eb="1">
      <t>カン</t>
    </rPh>
    <rPh sb="1" eb="2">
      <t>クビ</t>
    </rPh>
    <rPh sb="2" eb="3">
      <t>クラ</t>
    </rPh>
    <phoneticPr fontId="3"/>
  </si>
  <si>
    <t>首</t>
    <rPh sb="0" eb="1">
      <t>クビ</t>
    </rPh>
    <phoneticPr fontId="3"/>
  </si>
  <si>
    <t>鞍</t>
    <rPh sb="0" eb="1">
      <t>クラ</t>
    </rPh>
    <phoneticPr fontId="3"/>
  </si>
  <si>
    <t>重徳　和彦</t>
    <rPh sb="0" eb="1">
      <t>シゲ</t>
    </rPh>
    <rPh sb="1" eb="2">
      <t>トク</t>
    </rPh>
    <rPh sb="3" eb="5">
      <t>カズヒコ</t>
    </rPh>
    <phoneticPr fontId="3"/>
  </si>
  <si>
    <t>内閣府行政刷新会議事務局参事官補佐(総務省)</t>
    <rPh sb="0" eb="3">
      <t>ナイカクフ</t>
    </rPh>
    <rPh sb="3" eb="5">
      <t>ギョウセイ</t>
    </rPh>
    <rPh sb="5" eb="7">
      <t>サッシン</t>
    </rPh>
    <rPh sb="7" eb="9">
      <t>カイギ</t>
    </rPh>
    <rPh sb="9" eb="12">
      <t>ジムキョク</t>
    </rPh>
    <rPh sb="12" eb="15">
      <t>サンジカン</t>
    </rPh>
    <rPh sb="15" eb="17">
      <t>ホサ</t>
    </rPh>
    <rPh sb="18" eb="21">
      <t>ソウムショウ</t>
    </rPh>
    <phoneticPr fontId="3"/>
  </si>
  <si>
    <t>174愛知13区01</t>
    <rPh sb="3" eb="5">
      <t>アイチ</t>
    </rPh>
    <rPh sb="7" eb="8">
      <t>ク</t>
    </rPh>
    <phoneticPr fontId="3"/>
  </si>
  <si>
    <t>174愛知13区02</t>
    <rPh sb="3" eb="5">
      <t>アイチ</t>
    </rPh>
    <rPh sb="7" eb="8">
      <t>ク</t>
    </rPh>
    <phoneticPr fontId="3"/>
  </si>
  <si>
    <t>174愛知13区03</t>
    <rPh sb="3" eb="5">
      <t>アイチ</t>
    </rPh>
    <rPh sb="7" eb="8">
      <t>ク</t>
    </rPh>
    <phoneticPr fontId="3"/>
  </si>
  <si>
    <t>大西　健介</t>
    <rPh sb="0" eb="2">
      <t>オオニシ</t>
    </rPh>
    <rPh sb="3" eb="5">
      <t>ケンスケ</t>
    </rPh>
    <phoneticPr fontId="3"/>
  </si>
  <si>
    <t>174愛知13区</t>
    <rPh sb="3" eb="5">
      <t>アイチ</t>
    </rPh>
    <rPh sb="7" eb="8">
      <t>ク</t>
    </rPh>
    <phoneticPr fontId="3"/>
  </si>
  <si>
    <t>議員秘書(馬淵澄夫),参議院事務局職員</t>
    <rPh sb="0" eb="2">
      <t>ギイン</t>
    </rPh>
    <rPh sb="2" eb="4">
      <t>ヒショ</t>
    </rPh>
    <rPh sb="5" eb="7">
      <t>マブチ</t>
    </rPh>
    <rPh sb="7" eb="9">
      <t>スミオ</t>
    </rPh>
    <rPh sb="11" eb="14">
      <t>サンギイン</t>
    </rPh>
    <rPh sb="14" eb="17">
      <t>ジムキョク</t>
    </rPh>
    <rPh sb="17" eb="19">
      <t>ショクイン</t>
    </rPh>
    <phoneticPr fontId="3"/>
  </si>
  <si>
    <t>大見　　正</t>
    <rPh sb="0" eb="2">
      <t>オオミ</t>
    </rPh>
    <rPh sb="4" eb="5">
      <t>セイ</t>
    </rPh>
    <phoneticPr fontId="3"/>
  </si>
  <si>
    <t>大(関西外国語)</t>
    <rPh sb="0" eb="1">
      <t>ダイ</t>
    </rPh>
    <rPh sb="2" eb="4">
      <t>カンサイ</t>
    </rPh>
    <rPh sb="4" eb="7">
      <t>ガイコクゴ</t>
    </rPh>
    <phoneticPr fontId="3"/>
  </si>
  <si>
    <t>愛知県議(安城市),愛知県・安城市議,議員秘書(浦野烋興)</t>
    <rPh sb="0" eb="2">
      <t>アイチ</t>
    </rPh>
    <rPh sb="2" eb="4">
      <t>ケンギ</t>
    </rPh>
    <rPh sb="5" eb="8">
      <t>アンジョウシ</t>
    </rPh>
    <rPh sb="10" eb="13">
      <t>アイチケン</t>
    </rPh>
    <rPh sb="14" eb="16">
      <t>アンジョウ</t>
    </rPh>
    <rPh sb="16" eb="18">
      <t>シギ</t>
    </rPh>
    <rPh sb="19" eb="21">
      <t>ギイン</t>
    </rPh>
    <rPh sb="21" eb="23">
      <t>ヒショ</t>
    </rPh>
    <rPh sb="24" eb="26">
      <t>ウラノ</t>
    </rPh>
    <rPh sb="26" eb="28">
      <t>ヤスオキ</t>
    </rPh>
    <phoneticPr fontId="3"/>
  </si>
  <si>
    <t>175愛知14区01</t>
    <rPh sb="3" eb="5">
      <t>アイチ</t>
    </rPh>
    <rPh sb="7" eb="8">
      <t>ク</t>
    </rPh>
    <phoneticPr fontId="3"/>
  </si>
  <si>
    <t>175愛知14区02</t>
    <rPh sb="3" eb="5">
      <t>アイチ</t>
    </rPh>
    <rPh sb="7" eb="8">
      <t>ク</t>
    </rPh>
    <phoneticPr fontId="3"/>
  </si>
  <si>
    <t>175愛知14区03</t>
    <rPh sb="3" eb="5">
      <t>アイチ</t>
    </rPh>
    <rPh sb="7" eb="8">
      <t>ク</t>
    </rPh>
    <phoneticPr fontId="3"/>
  </si>
  <si>
    <t>175愛知14区04</t>
    <rPh sb="3" eb="5">
      <t>アイチ</t>
    </rPh>
    <rPh sb="7" eb="8">
      <t>ク</t>
    </rPh>
    <phoneticPr fontId="3"/>
  </si>
  <si>
    <t>今枝　宗一郎</t>
    <rPh sb="0" eb="2">
      <t>イマエダ</t>
    </rPh>
    <rPh sb="3" eb="6">
      <t>ソウイチロウ</t>
    </rPh>
    <phoneticPr fontId="3"/>
  </si>
  <si>
    <t>大(名古屋)</t>
    <rPh sb="0" eb="1">
      <t>ダイ</t>
    </rPh>
    <rPh sb="2" eb="5">
      <t>ナゴヤ</t>
    </rPh>
    <phoneticPr fontId="3"/>
  </si>
  <si>
    <t>医師(新城市民病院)</t>
    <rPh sb="0" eb="2">
      <t>イシ</t>
    </rPh>
    <rPh sb="3" eb="5">
      <t>シンジョウ</t>
    </rPh>
    <rPh sb="5" eb="7">
      <t>シミン</t>
    </rPh>
    <rPh sb="7" eb="9">
      <t>ビョウイン</t>
    </rPh>
    <phoneticPr fontId="3"/>
  </si>
  <si>
    <t>鈴木　克昌</t>
    <rPh sb="0" eb="2">
      <t>スズキ</t>
    </rPh>
    <rPh sb="3" eb="5">
      <t>カツマサ</t>
    </rPh>
    <phoneticPr fontId="3"/>
  </si>
  <si>
    <t>175愛知14区</t>
    <rPh sb="3" eb="5">
      <t>アイチ</t>
    </rPh>
    <rPh sb="7" eb="8">
      <t>ク</t>
    </rPh>
    <phoneticPr fontId="3"/>
  </si>
  <si>
    <t>大(日本)</t>
    <rPh sb="0" eb="1">
      <t>ダイ</t>
    </rPh>
    <rPh sb="2" eb="4">
      <t>ニホン</t>
    </rPh>
    <phoneticPr fontId="3"/>
  </si>
  <si>
    <t>愛知県・蒲郡市長,愛知県議(蒲郡市),蒲郡JC理事長</t>
    <rPh sb="0" eb="3">
      <t>アイチケン</t>
    </rPh>
    <rPh sb="4" eb="6">
      <t>ガマゴオリ</t>
    </rPh>
    <rPh sb="6" eb="8">
      <t>シチョウ</t>
    </rPh>
    <rPh sb="9" eb="11">
      <t>アイチ</t>
    </rPh>
    <rPh sb="11" eb="13">
      <t>ケンギ</t>
    </rPh>
    <rPh sb="14" eb="17">
      <t>ガマゴオリシ</t>
    </rPh>
    <rPh sb="19" eb="21">
      <t>ガマゴオリ</t>
    </rPh>
    <rPh sb="23" eb="26">
      <t>リジチョウ</t>
    </rPh>
    <phoneticPr fontId="3"/>
  </si>
  <si>
    <t>議首</t>
    <rPh sb="0" eb="1">
      <t>ギ</t>
    </rPh>
    <rPh sb="1" eb="2">
      <t>クビ</t>
    </rPh>
    <phoneticPr fontId="3"/>
  </si>
  <si>
    <t>176愛知15区01</t>
    <rPh sb="3" eb="5">
      <t>アイチ</t>
    </rPh>
    <rPh sb="7" eb="8">
      <t>ク</t>
    </rPh>
    <phoneticPr fontId="3"/>
  </si>
  <si>
    <t>176愛知15区02</t>
    <rPh sb="3" eb="5">
      <t>アイチ</t>
    </rPh>
    <rPh sb="7" eb="8">
      <t>ク</t>
    </rPh>
    <phoneticPr fontId="3"/>
  </si>
  <si>
    <t>176愛知15区03</t>
    <rPh sb="3" eb="5">
      <t>アイチ</t>
    </rPh>
    <rPh sb="7" eb="8">
      <t>ク</t>
    </rPh>
    <phoneticPr fontId="3"/>
  </si>
  <si>
    <t>176愛知15区04</t>
    <rPh sb="3" eb="5">
      <t>アイチ</t>
    </rPh>
    <rPh sb="7" eb="8">
      <t>ク</t>
    </rPh>
    <phoneticPr fontId="3"/>
  </si>
  <si>
    <t>森本　和義</t>
    <rPh sb="0" eb="2">
      <t>モリモト</t>
    </rPh>
    <rPh sb="3" eb="5">
      <t>カズヨシ</t>
    </rPh>
    <phoneticPr fontId="3"/>
  </si>
  <si>
    <t>176愛知15区</t>
    <rPh sb="3" eb="5">
      <t>アイチ</t>
    </rPh>
    <rPh sb="7" eb="8">
      <t>ク</t>
    </rPh>
    <phoneticPr fontId="3"/>
  </si>
  <si>
    <t>議員秘書(古川元久),銀行員(東海銀行)</t>
    <rPh sb="0" eb="2">
      <t>ギイン</t>
    </rPh>
    <rPh sb="2" eb="4">
      <t>ヒショ</t>
    </rPh>
    <rPh sb="5" eb="7">
      <t>フルカワ</t>
    </rPh>
    <rPh sb="7" eb="9">
      <t>モトヒサ</t>
    </rPh>
    <rPh sb="11" eb="14">
      <t>ギンコウイン</t>
    </rPh>
    <rPh sb="15" eb="17">
      <t>トウカイ</t>
    </rPh>
    <rPh sb="17" eb="19">
      <t>ギンコウ</t>
    </rPh>
    <phoneticPr fontId="3"/>
  </si>
  <si>
    <t>根本　幸典</t>
    <rPh sb="0" eb="2">
      <t>ネモト</t>
    </rPh>
    <rPh sb="3" eb="5">
      <t>ユキノリ</t>
    </rPh>
    <phoneticPr fontId="3"/>
  </si>
  <si>
    <t>愛知県・豊橋市議</t>
    <rPh sb="0" eb="3">
      <t>アイチケン</t>
    </rPh>
    <rPh sb="4" eb="6">
      <t>トヨハシ</t>
    </rPh>
    <rPh sb="6" eb="8">
      <t>シギ</t>
    </rPh>
    <phoneticPr fontId="3"/>
  </si>
  <si>
    <t>愛知県・豊橋市議,会社員(リクルート)</t>
    <rPh sb="0" eb="3">
      <t>アイチケン</t>
    </rPh>
    <rPh sb="4" eb="6">
      <t>トヨハシ</t>
    </rPh>
    <rPh sb="6" eb="8">
      <t>シギ</t>
    </rPh>
    <rPh sb="9" eb="12">
      <t>カイシャイン</t>
    </rPh>
    <phoneticPr fontId="3"/>
  </si>
  <si>
    <t>串田　真吾</t>
    <rPh sb="0" eb="2">
      <t>クシダ</t>
    </rPh>
    <rPh sb="3" eb="5">
      <t>シンゴ</t>
    </rPh>
    <phoneticPr fontId="3"/>
  </si>
  <si>
    <t>大(名古屋学院)</t>
    <rPh sb="0" eb="1">
      <t>ダイ</t>
    </rPh>
    <rPh sb="2" eb="5">
      <t>ナゴヤ</t>
    </rPh>
    <rPh sb="5" eb="7">
      <t>ガクイン</t>
    </rPh>
    <phoneticPr fontId="3"/>
  </si>
  <si>
    <t>共産党愛知県委員,民青同盟愛知県委員長</t>
    <rPh sb="0" eb="3">
      <t>キョウサントウ</t>
    </rPh>
    <rPh sb="3" eb="6">
      <t>アイチケン</t>
    </rPh>
    <rPh sb="6" eb="8">
      <t>イイン</t>
    </rPh>
    <rPh sb="9" eb="13">
      <t>ミンセイドウメイ</t>
    </rPh>
    <rPh sb="13" eb="16">
      <t>アイチケン</t>
    </rPh>
    <rPh sb="16" eb="19">
      <t>イインチョウ</t>
    </rPh>
    <phoneticPr fontId="3"/>
  </si>
  <si>
    <t>短大(浪速)</t>
    <rPh sb="0" eb="2">
      <t>タンダイ</t>
    </rPh>
    <rPh sb="3" eb="5">
      <t>ナニワ</t>
    </rPh>
    <phoneticPr fontId="3"/>
  </si>
  <si>
    <t>豊田　八千代</t>
    <rPh sb="0" eb="2">
      <t>トヨダ</t>
    </rPh>
    <rPh sb="3" eb="6">
      <t>ヤチヨ</t>
    </rPh>
    <phoneticPr fontId="3"/>
  </si>
  <si>
    <t>山形県・酒田市長,建設省大臣官房人事課長補佐</t>
    <rPh sb="0" eb="3">
      <t>ヤマガタケン</t>
    </rPh>
    <rPh sb="4" eb="6">
      <t>サカタ</t>
    </rPh>
    <rPh sb="6" eb="8">
      <t>シチョウ</t>
    </rPh>
    <rPh sb="9" eb="12">
      <t>ケンセツショウ</t>
    </rPh>
    <rPh sb="12" eb="14">
      <t>ダイジン</t>
    </rPh>
    <rPh sb="14" eb="16">
      <t>カンボウ</t>
    </rPh>
    <rPh sb="16" eb="18">
      <t>ジンジ</t>
    </rPh>
    <rPh sb="18" eb="20">
      <t>カチョウ</t>
    </rPh>
    <rPh sb="20" eb="22">
      <t>ホサ</t>
    </rPh>
    <phoneticPr fontId="3"/>
  </si>
  <si>
    <t>177三重1区01</t>
    <rPh sb="3" eb="5">
      <t>ミエ</t>
    </rPh>
    <rPh sb="6" eb="7">
      <t>ク</t>
    </rPh>
    <phoneticPr fontId="3"/>
  </si>
  <si>
    <t>177三重1区02</t>
    <rPh sb="3" eb="5">
      <t>ミエ</t>
    </rPh>
    <rPh sb="6" eb="7">
      <t>ク</t>
    </rPh>
    <phoneticPr fontId="3"/>
  </si>
  <si>
    <t>177三重1区03</t>
    <rPh sb="3" eb="5">
      <t>ミエ</t>
    </rPh>
    <rPh sb="6" eb="7">
      <t>ク</t>
    </rPh>
    <phoneticPr fontId="3"/>
  </si>
  <si>
    <t>177三重1区04</t>
    <rPh sb="3" eb="5">
      <t>ミエ</t>
    </rPh>
    <rPh sb="6" eb="7">
      <t>ク</t>
    </rPh>
    <phoneticPr fontId="3"/>
  </si>
  <si>
    <t>008北海道8区04</t>
    <rPh sb="3" eb="6">
      <t>ホッカイドウ</t>
    </rPh>
    <rPh sb="7" eb="8">
      <t>ク</t>
    </rPh>
    <phoneticPr fontId="3"/>
  </si>
  <si>
    <t>川崎　二郎</t>
    <rPh sb="0" eb="2">
      <t>カワサキ</t>
    </rPh>
    <rPh sb="3" eb="5">
      <t>ジロウ</t>
    </rPh>
    <phoneticPr fontId="3"/>
  </si>
  <si>
    <t>307比例東海17</t>
    <rPh sb="3" eb="5">
      <t>ヒレイ</t>
    </rPh>
    <rPh sb="5" eb="7">
      <t>トウカイ</t>
    </rPh>
    <phoneticPr fontId="3"/>
  </si>
  <si>
    <t>会社員(松下電器)</t>
    <rPh sb="0" eb="3">
      <t>カイシャイン</t>
    </rPh>
    <rPh sb="4" eb="6">
      <t>マツシタ</t>
    </rPh>
    <rPh sb="6" eb="8">
      <t>デンキ</t>
    </rPh>
    <phoneticPr fontId="3"/>
  </si>
  <si>
    <t>二</t>
    <rPh sb="0" eb="1">
      <t>ニ</t>
    </rPh>
    <phoneticPr fontId="3"/>
  </si>
  <si>
    <t>　元大臣(厚労,北開・運輸),委長(議運,地行),政務次官(郵政),自民党国対委長</t>
    <rPh sb="1" eb="4">
      <t>モトダイジン</t>
    </rPh>
    <rPh sb="5" eb="7">
      <t>コウロウ</t>
    </rPh>
    <rPh sb="8" eb="10">
      <t>ホクカイ</t>
    </rPh>
    <rPh sb="11" eb="13">
      <t>ウンユ</t>
    </rPh>
    <rPh sb="15" eb="17">
      <t>イチョウ</t>
    </rPh>
    <rPh sb="18" eb="19">
      <t>ギ</t>
    </rPh>
    <rPh sb="19" eb="20">
      <t>ウン</t>
    </rPh>
    <rPh sb="21" eb="22">
      <t>チ</t>
    </rPh>
    <rPh sb="22" eb="23">
      <t>ギョウ</t>
    </rPh>
    <rPh sb="25" eb="27">
      <t>セイム</t>
    </rPh>
    <rPh sb="27" eb="29">
      <t>ジカン</t>
    </rPh>
    <rPh sb="30" eb="32">
      <t>ユウセイ</t>
    </rPh>
    <rPh sb="34" eb="37">
      <t>ジミントウ</t>
    </rPh>
    <rPh sb="37" eb="41">
      <t>コクタイイチョウ</t>
    </rPh>
    <phoneticPr fontId="3"/>
  </si>
  <si>
    <t>岡野　恵美</t>
    <rPh sb="0" eb="2">
      <t>オカノ</t>
    </rPh>
    <rPh sb="3" eb="5">
      <t>エミ</t>
    </rPh>
    <phoneticPr fontId="3"/>
  </si>
  <si>
    <t>他(三重県立公衆衛生学院)</t>
    <rPh sb="0" eb="1">
      <t>ホカ</t>
    </rPh>
    <rPh sb="2" eb="4">
      <t>ミエ</t>
    </rPh>
    <rPh sb="4" eb="6">
      <t>ケンリツ</t>
    </rPh>
    <rPh sb="6" eb="8">
      <t>コウシュウ</t>
    </rPh>
    <rPh sb="8" eb="10">
      <t>エイセイ</t>
    </rPh>
    <rPh sb="10" eb="12">
      <t>ガクイン</t>
    </rPh>
    <phoneticPr fontId="3"/>
  </si>
  <si>
    <t>三重県・津市議,保健師</t>
    <rPh sb="0" eb="3">
      <t>ミエケン</t>
    </rPh>
    <rPh sb="4" eb="5">
      <t>ツ</t>
    </rPh>
    <rPh sb="5" eb="7">
      <t>シギ</t>
    </rPh>
    <rPh sb="8" eb="11">
      <t>ホケンシ</t>
    </rPh>
    <phoneticPr fontId="3"/>
  </si>
  <si>
    <t>議</t>
    <rPh sb="0" eb="1">
      <t>ギ</t>
    </rPh>
    <phoneticPr fontId="3"/>
  </si>
  <si>
    <t>178三重2区01</t>
    <rPh sb="3" eb="5">
      <t>ミエ</t>
    </rPh>
    <rPh sb="6" eb="7">
      <t>ク</t>
    </rPh>
    <phoneticPr fontId="3"/>
  </si>
  <si>
    <t>178三重2区02</t>
    <rPh sb="3" eb="5">
      <t>ミエ</t>
    </rPh>
    <rPh sb="6" eb="7">
      <t>ク</t>
    </rPh>
    <phoneticPr fontId="3"/>
  </si>
  <si>
    <t>178三重2区03</t>
    <rPh sb="3" eb="5">
      <t>ミエ</t>
    </rPh>
    <rPh sb="6" eb="7">
      <t>ク</t>
    </rPh>
    <phoneticPr fontId="3"/>
  </si>
  <si>
    <t>中川　正春</t>
    <rPh sb="0" eb="2">
      <t>ナカガワ</t>
    </rPh>
    <rPh sb="3" eb="5">
      <t>マサハル</t>
    </rPh>
    <phoneticPr fontId="3"/>
  </si>
  <si>
    <t>178三重2区</t>
    <rPh sb="3" eb="5">
      <t>ミエ</t>
    </rPh>
    <rPh sb="6" eb="7">
      <t>ク</t>
    </rPh>
    <phoneticPr fontId="3"/>
  </si>
  <si>
    <t>三重県議(松阪市・飯南郡),国際交流基金職員</t>
    <rPh sb="0" eb="2">
      <t>ミエ</t>
    </rPh>
    <rPh sb="2" eb="4">
      <t>ケンギ</t>
    </rPh>
    <rPh sb="5" eb="8">
      <t>マツサカシ</t>
    </rPh>
    <rPh sb="9" eb="12">
      <t>イイナングン</t>
    </rPh>
    <rPh sb="14" eb="16">
      <t>コクサイ</t>
    </rPh>
    <rPh sb="16" eb="18">
      <t>コウリュウ</t>
    </rPh>
    <rPh sb="18" eb="20">
      <t>キキン</t>
    </rPh>
    <rPh sb="20" eb="22">
      <t>ショクイン</t>
    </rPh>
    <phoneticPr fontId="3"/>
  </si>
  <si>
    <t>　元大臣(防災・公務員・少子化,文科),副大臣(文科),民主党政調会長代理</t>
    <rPh sb="1" eb="4">
      <t>モトダイジン</t>
    </rPh>
    <rPh sb="5" eb="7">
      <t>ボウサイ</t>
    </rPh>
    <rPh sb="8" eb="11">
      <t>コウムイン</t>
    </rPh>
    <rPh sb="12" eb="15">
      <t>ショウシカ</t>
    </rPh>
    <rPh sb="16" eb="18">
      <t>モンカ</t>
    </rPh>
    <rPh sb="20" eb="23">
      <t>フクダイジン</t>
    </rPh>
    <rPh sb="24" eb="26">
      <t>モンカ</t>
    </rPh>
    <rPh sb="28" eb="31">
      <t>ミンシュトウ</t>
    </rPh>
    <rPh sb="31" eb="33">
      <t>セイチョウ</t>
    </rPh>
    <rPh sb="33" eb="35">
      <t>カイチョウ</t>
    </rPh>
    <rPh sb="35" eb="37">
      <t>ダイリ</t>
    </rPh>
    <phoneticPr fontId="3"/>
  </si>
  <si>
    <t>島田　佳和</t>
    <rPh sb="0" eb="2">
      <t>シマダ</t>
    </rPh>
    <rPh sb="3" eb="5">
      <t>ヨシカズ</t>
    </rPh>
    <phoneticPr fontId="3"/>
  </si>
  <si>
    <t>大中(米/ユタ州立)</t>
    <rPh sb="0" eb="1">
      <t>ダイ</t>
    </rPh>
    <rPh sb="1" eb="2">
      <t>チュウ</t>
    </rPh>
    <rPh sb="3" eb="4">
      <t>ベイ</t>
    </rPh>
    <rPh sb="7" eb="9">
      <t>シュウリツ</t>
    </rPh>
    <phoneticPr fontId="3"/>
  </si>
  <si>
    <t>中野　武史</t>
    <rPh sb="0" eb="2">
      <t>ナカノ</t>
    </rPh>
    <rPh sb="3" eb="5">
      <t>タケシ</t>
    </rPh>
    <phoneticPr fontId="3"/>
  </si>
  <si>
    <t>大(都留文科)</t>
    <rPh sb="0" eb="1">
      <t>ダイ</t>
    </rPh>
    <rPh sb="2" eb="4">
      <t>ツル</t>
    </rPh>
    <rPh sb="4" eb="6">
      <t>ブンカ</t>
    </rPh>
    <phoneticPr fontId="3"/>
  </si>
  <si>
    <t>会社員(レッドブルジャパン)</t>
    <rPh sb="0" eb="3">
      <t>カイシャイン</t>
    </rPh>
    <phoneticPr fontId="3"/>
  </si>
  <si>
    <t>共産党准中央委員,民青同盟三重県委員長</t>
    <rPh sb="0" eb="3">
      <t>キョウサントウ</t>
    </rPh>
    <rPh sb="3" eb="4">
      <t>ジュン</t>
    </rPh>
    <rPh sb="4" eb="6">
      <t>チュウオウ</t>
    </rPh>
    <rPh sb="6" eb="8">
      <t>イイン</t>
    </rPh>
    <rPh sb="9" eb="13">
      <t>ミンセイドウメイ</t>
    </rPh>
    <rPh sb="13" eb="16">
      <t>ミエケン</t>
    </rPh>
    <rPh sb="16" eb="19">
      <t>イインチョウ</t>
    </rPh>
    <phoneticPr fontId="3"/>
  </si>
  <si>
    <t>179三重3区01</t>
    <rPh sb="3" eb="5">
      <t>ミエ</t>
    </rPh>
    <rPh sb="6" eb="7">
      <t>ク</t>
    </rPh>
    <phoneticPr fontId="3"/>
  </si>
  <si>
    <t>179三重3区02</t>
    <rPh sb="3" eb="5">
      <t>ミエ</t>
    </rPh>
    <rPh sb="6" eb="7">
      <t>ク</t>
    </rPh>
    <phoneticPr fontId="3"/>
  </si>
  <si>
    <t>179三重3区03</t>
    <rPh sb="3" eb="5">
      <t>ミエ</t>
    </rPh>
    <rPh sb="6" eb="7">
      <t>ク</t>
    </rPh>
    <phoneticPr fontId="3"/>
  </si>
  <si>
    <t>岡田　克也</t>
    <rPh sb="0" eb="2">
      <t>オカダ</t>
    </rPh>
    <rPh sb="3" eb="5">
      <t>カツヤ</t>
    </rPh>
    <phoneticPr fontId="3"/>
  </si>
  <si>
    <t>179三重3区</t>
    <rPh sb="3" eb="5">
      <t>ミエ</t>
    </rPh>
    <rPh sb="6" eb="7">
      <t>ク</t>
    </rPh>
    <phoneticPr fontId="3"/>
  </si>
  <si>
    <t>大(東京)</t>
    <rPh sb="0" eb="1">
      <t>ダイ</t>
    </rPh>
    <rPh sb="2" eb="4">
      <t>トウキョウ</t>
    </rPh>
    <phoneticPr fontId="3"/>
  </si>
  <si>
    <t>通商産業省官房総務課企画調査官</t>
    <rPh sb="0" eb="5">
      <t>ツウショウサンギョウショウ</t>
    </rPh>
    <rPh sb="5" eb="7">
      <t>カンボウ</t>
    </rPh>
    <rPh sb="7" eb="10">
      <t>ソウムカ</t>
    </rPh>
    <rPh sb="10" eb="12">
      <t>キカク</t>
    </rPh>
    <rPh sb="12" eb="15">
      <t>チョウサカン</t>
    </rPh>
    <phoneticPr fontId="3"/>
  </si>
  <si>
    <t>副総理・行政刷新・一体改革担当相，元大臣(外務),委長(安保),民主党代表,副代表,幹事長,政調会長,幹事長代理</t>
    <rPh sb="0" eb="3">
      <t>フクソウリ</t>
    </rPh>
    <rPh sb="4" eb="6">
      <t>ギョウセイ</t>
    </rPh>
    <rPh sb="6" eb="8">
      <t>サッシン</t>
    </rPh>
    <rPh sb="9" eb="13">
      <t>イッタイカイカク</t>
    </rPh>
    <rPh sb="13" eb="16">
      <t>タントウショウ</t>
    </rPh>
    <rPh sb="17" eb="20">
      <t>モトダイジン</t>
    </rPh>
    <rPh sb="21" eb="23">
      <t>ガイム</t>
    </rPh>
    <rPh sb="25" eb="27">
      <t>イチョウ</t>
    </rPh>
    <rPh sb="28" eb="30">
      <t>アンポ</t>
    </rPh>
    <rPh sb="32" eb="35">
      <t>ミンシュトウ</t>
    </rPh>
    <rPh sb="35" eb="37">
      <t>ダイヒョウ</t>
    </rPh>
    <rPh sb="38" eb="41">
      <t>フクダイヒョウ</t>
    </rPh>
    <rPh sb="42" eb="45">
      <t>カンジチョウ</t>
    </rPh>
    <rPh sb="46" eb="48">
      <t>セイチョウ</t>
    </rPh>
    <rPh sb="48" eb="50">
      <t>カイチョウ</t>
    </rPh>
    <rPh sb="51" eb="54">
      <t>カンジチョウ</t>
    </rPh>
    <rPh sb="54" eb="56">
      <t>ダイリ</t>
    </rPh>
    <phoneticPr fontId="3"/>
  </si>
  <si>
    <t>官二</t>
    <rPh sb="0" eb="1">
      <t>カン</t>
    </rPh>
    <rPh sb="1" eb="2">
      <t>ニ</t>
    </rPh>
    <phoneticPr fontId="3"/>
  </si>
  <si>
    <t>桜井　　宏</t>
    <rPh sb="0" eb="2">
      <t>サクライ</t>
    </rPh>
    <rPh sb="4" eb="5">
      <t>ヒロシ</t>
    </rPh>
    <phoneticPr fontId="3"/>
  </si>
  <si>
    <t>大学教員(北見工業大学准教授),会社員(大成建設)</t>
    <rPh sb="0" eb="2">
      <t>ダイガク</t>
    </rPh>
    <rPh sb="2" eb="4">
      <t>キョウイン</t>
    </rPh>
    <rPh sb="5" eb="7">
      <t>キタミ</t>
    </rPh>
    <rPh sb="7" eb="9">
      <t>コウギョウ</t>
    </rPh>
    <rPh sb="9" eb="11">
      <t>ダイガク</t>
    </rPh>
    <rPh sb="11" eb="14">
      <t>ジュンキョウジュ</t>
    </rPh>
    <rPh sb="16" eb="19">
      <t>カイシャイン</t>
    </rPh>
    <rPh sb="20" eb="22">
      <t>タイセイ</t>
    </rPh>
    <rPh sb="22" eb="24">
      <t>ケンセツ</t>
    </rPh>
    <phoneticPr fontId="3"/>
  </si>
  <si>
    <t>180三重4区01</t>
    <rPh sb="3" eb="5">
      <t>ミエ</t>
    </rPh>
    <rPh sb="6" eb="7">
      <t>ク</t>
    </rPh>
    <phoneticPr fontId="3"/>
  </si>
  <si>
    <t>180三重4区02</t>
    <rPh sb="3" eb="5">
      <t>ミエ</t>
    </rPh>
    <rPh sb="6" eb="7">
      <t>ク</t>
    </rPh>
    <phoneticPr fontId="3"/>
  </si>
  <si>
    <t>180三重4区03</t>
    <rPh sb="3" eb="5">
      <t>ミエ</t>
    </rPh>
    <rPh sb="6" eb="7">
      <t>ク</t>
    </rPh>
    <phoneticPr fontId="3"/>
  </si>
  <si>
    <t>森本　哲生</t>
    <rPh sb="0" eb="2">
      <t>モリモト</t>
    </rPh>
    <rPh sb="3" eb="5">
      <t>テツオ</t>
    </rPh>
    <phoneticPr fontId="3"/>
  </si>
  <si>
    <t>180三重4区</t>
    <rPh sb="3" eb="5">
      <t>ミエ</t>
    </rPh>
    <rPh sb="6" eb="7">
      <t>ク</t>
    </rPh>
    <phoneticPr fontId="3"/>
  </si>
  <si>
    <t>短大(三重)</t>
    <rPh sb="0" eb="2">
      <t>タンダイ</t>
    </rPh>
    <rPh sb="3" eb="5">
      <t>ミエ</t>
    </rPh>
    <phoneticPr fontId="3"/>
  </si>
  <si>
    <t>三重県議(松阪市・飯南郡),飯南町役場職員</t>
    <rPh sb="0" eb="2">
      <t>ミエ</t>
    </rPh>
    <rPh sb="2" eb="4">
      <t>ケンギ</t>
    </rPh>
    <rPh sb="5" eb="8">
      <t>マツサカシ</t>
    </rPh>
    <rPh sb="9" eb="12">
      <t>イイナングン</t>
    </rPh>
    <rPh sb="14" eb="17">
      <t>イイナンチョウ</t>
    </rPh>
    <rPh sb="17" eb="19">
      <t>ヤクバ</t>
    </rPh>
    <rPh sb="19" eb="21">
      <t>ショクイン</t>
    </rPh>
    <phoneticPr fontId="3"/>
  </si>
  <si>
    <t>307比例東海13</t>
    <rPh sb="3" eb="5">
      <t>ヒレイ</t>
    </rPh>
    <rPh sb="5" eb="7">
      <t>トウカイ</t>
    </rPh>
    <phoneticPr fontId="3"/>
  </si>
  <si>
    <t>田村　憲久</t>
    <rPh sb="0" eb="2">
      <t>タムラ</t>
    </rPh>
    <rPh sb="3" eb="5">
      <t>ノリヒサ</t>
    </rPh>
    <phoneticPr fontId="3"/>
  </si>
  <si>
    <t>大(千葉)</t>
    <rPh sb="0" eb="1">
      <t>ダイ</t>
    </rPh>
    <rPh sb="2" eb="4">
      <t>チバ</t>
    </rPh>
    <phoneticPr fontId="3"/>
  </si>
  <si>
    <t>議員秘書(田村元),会社員(日本土建)</t>
    <rPh sb="0" eb="2">
      <t>ギイン</t>
    </rPh>
    <rPh sb="2" eb="4">
      <t>ヒショ</t>
    </rPh>
    <rPh sb="5" eb="7">
      <t>タムラ</t>
    </rPh>
    <rPh sb="7" eb="8">
      <t>ハジメ</t>
    </rPh>
    <rPh sb="10" eb="13">
      <t>カイシャイン</t>
    </rPh>
    <rPh sb="14" eb="16">
      <t>ニホン</t>
    </rPh>
    <rPh sb="16" eb="18">
      <t>ドケン</t>
    </rPh>
    <phoneticPr fontId="3"/>
  </si>
  <si>
    <t>　元委長(厚労),副大臣(総務),政務官(文科,厚労)</t>
    <rPh sb="1" eb="2">
      <t>モト</t>
    </rPh>
    <rPh sb="2" eb="4">
      <t>イチョウ</t>
    </rPh>
    <rPh sb="5" eb="7">
      <t>コウロウ</t>
    </rPh>
    <rPh sb="9" eb="12">
      <t>フクダイジン</t>
    </rPh>
    <rPh sb="13" eb="15">
      <t>ソウム</t>
    </rPh>
    <rPh sb="17" eb="20">
      <t>セイムカン</t>
    </rPh>
    <rPh sb="21" eb="23">
      <t>ブンカ</t>
    </rPh>
    <rPh sb="24" eb="26">
      <t>コウロウ</t>
    </rPh>
    <phoneticPr fontId="3"/>
  </si>
  <si>
    <t>中川　民英</t>
    <rPh sb="0" eb="2">
      <t>ナカガワ</t>
    </rPh>
    <rPh sb="3" eb="4">
      <t>タミ</t>
    </rPh>
    <rPh sb="4" eb="5">
      <t>ヒデ</t>
    </rPh>
    <phoneticPr fontId="3"/>
  </si>
  <si>
    <t>大院(茨城)</t>
    <rPh sb="0" eb="2">
      <t>ダイイン</t>
    </rPh>
    <rPh sb="3" eb="5">
      <t>イバラキ</t>
    </rPh>
    <phoneticPr fontId="3"/>
  </si>
  <si>
    <t>共産党三重県委員,会社員(パンピー食品)</t>
    <rPh sb="0" eb="3">
      <t>キョウサントウ</t>
    </rPh>
    <rPh sb="3" eb="6">
      <t>ミエケン</t>
    </rPh>
    <rPh sb="6" eb="8">
      <t>イイン</t>
    </rPh>
    <rPh sb="9" eb="12">
      <t>カイシャイン</t>
    </rPh>
    <rPh sb="17" eb="19">
      <t>ショクヒン</t>
    </rPh>
    <phoneticPr fontId="3"/>
  </si>
  <si>
    <t>181三重5区01</t>
    <rPh sb="3" eb="5">
      <t>ミエ</t>
    </rPh>
    <rPh sb="6" eb="7">
      <t>ク</t>
    </rPh>
    <phoneticPr fontId="3"/>
  </si>
  <si>
    <t>181三重5区02</t>
    <rPh sb="3" eb="5">
      <t>ミエ</t>
    </rPh>
    <rPh sb="6" eb="7">
      <t>ク</t>
    </rPh>
    <phoneticPr fontId="3"/>
  </si>
  <si>
    <t>181三重5区03</t>
    <rPh sb="3" eb="5">
      <t>ミエ</t>
    </rPh>
    <rPh sb="6" eb="7">
      <t>ク</t>
    </rPh>
    <phoneticPr fontId="3"/>
  </si>
  <si>
    <t>藤田　大助</t>
    <rPh sb="0" eb="2">
      <t>フジタ</t>
    </rPh>
    <rPh sb="3" eb="5">
      <t>ダイスケ</t>
    </rPh>
    <phoneticPr fontId="3"/>
  </si>
  <si>
    <t>307比例東海01</t>
    <rPh sb="3" eb="5">
      <t>ヒレイ</t>
    </rPh>
    <rPh sb="5" eb="7">
      <t>トウカイ</t>
    </rPh>
    <phoneticPr fontId="3"/>
  </si>
  <si>
    <t>会社社長(エフ・ワイ)</t>
    <rPh sb="0" eb="2">
      <t>カイシャ</t>
    </rPh>
    <rPh sb="2" eb="4">
      <t>シャチョウ</t>
    </rPh>
    <phoneticPr fontId="3"/>
  </si>
  <si>
    <t>三ツ矢　憲生</t>
    <rPh sb="0" eb="1">
      <t>ミ</t>
    </rPh>
    <rPh sb="2" eb="3">
      <t>ヤ</t>
    </rPh>
    <rPh sb="4" eb="6">
      <t>ノリオ</t>
    </rPh>
    <phoneticPr fontId="3"/>
  </si>
  <si>
    <t>181三重5区</t>
    <rPh sb="3" eb="5">
      <t>ミエ</t>
    </rPh>
    <rPh sb="6" eb="7">
      <t>ク</t>
    </rPh>
    <phoneticPr fontId="3"/>
  </si>
  <si>
    <t>国土交通省航空局監理部長</t>
    <rPh sb="0" eb="2">
      <t>コクド</t>
    </rPh>
    <rPh sb="2" eb="5">
      <t>コウツウショウ</t>
    </rPh>
    <rPh sb="5" eb="8">
      <t>コウクウキョク</t>
    </rPh>
    <rPh sb="8" eb="10">
      <t>カンリ</t>
    </rPh>
    <rPh sb="10" eb="12">
      <t>ブチョウ</t>
    </rPh>
    <phoneticPr fontId="3"/>
  </si>
  <si>
    <t>官</t>
    <rPh sb="0" eb="1">
      <t>カン</t>
    </rPh>
    <phoneticPr fontId="3"/>
  </si>
  <si>
    <t>内藤　弘一</t>
    <rPh sb="0" eb="2">
      <t>ナイトウ</t>
    </rPh>
    <rPh sb="3" eb="5">
      <t>コウイチ</t>
    </rPh>
    <phoneticPr fontId="3"/>
  </si>
  <si>
    <t>大(大同工)</t>
    <rPh sb="0" eb="1">
      <t>ダイ</t>
    </rPh>
    <rPh sb="2" eb="4">
      <t>ダイドウ</t>
    </rPh>
    <rPh sb="4" eb="5">
      <t>タクミ</t>
    </rPh>
    <phoneticPr fontId="3"/>
  </si>
  <si>
    <t>共産党地区副委員長,桑名員弁民主商工会役員</t>
    <rPh sb="0" eb="3">
      <t>キョウサントウ</t>
    </rPh>
    <rPh sb="3" eb="5">
      <t>チク</t>
    </rPh>
    <rPh sb="5" eb="9">
      <t>フクイインチョウ</t>
    </rPh>
    <rPh sb="10" eb="12">
      <t>クワナ</t>
    </rPh>
    <rPh sb="12" eb="14">
      <t>イナベ</t>
    </rPh>
    <rPh sb="14" eb="16">
      <t>ミンシュ</t>
    </rPh>
    <rPh sb="16" eb="19">
      <t>ショウコウカイ</t>
    </rPh>
    <rPh sb="19" eb="21">
      <t>ヤクイン</t>
    </rPh>
    <phoneticPr fontId="3"/>
  </si>
  <si>
    <t>磯谷　香代子</t>
    <rPh sb="0" eb="2">
      <t>イソガイ</t>
    </rPh>
    <rPh sb="3" eb="6">
      <t>カヨコ</t>
    </rPh>
    <phoneticPr fontId="3"/>
  </si>
  <si>
    <t>大(愛知県立)</t>
    <rPh sb="0" eb="1">
      <t>ダイ</t>
    </rPh>
    <rPh sb="2" eb="4">
      <t>アイチ</t>
    </rPh>
    <rPh sb="4" eb="6">
      <t>ケンリツ</t>
    </rPh>
    <phoneticPr fontId="3"/>
  </si>
  <si>
    <t>産業カウンセラー</t>
    <rPh sb="0" eb="2">
      <t>サンギョウ</t>
    </rPh>
    <phoneticPr fontId="3"/>
  </si>
  <si>
    <t>大山　昌宏</t>
    <rPh sb="0" eb="2">
      <t>オオヤマ</t>
    </rPh>
    <rPh sb="3" eb="5">
      <t>マサヒロ</t>
    </rPh>
    <phoneticPr fontId="3"/>
  </si>
  <si>
    <t>307比例東海11</t>
    <rPh sb="3" eb="5">
      <t>ヒレイ</t>
    </rPh>
    <rPh sb="5" eb="7">
      <t>トウカイ</t>
    </rPh>
    <phoneticPr fontId="3"/>
  </si>
  <si>
    <t>議員秘書(岡本充功),学習塾経営</t>
    <rPh sb="0" eb="2">
      <t>ギイン</t>
    </rPh>
    <rPh sb="2" eb="4">
      <t>ヒショ</t>
    </rPh>
    <rPh sb="5" eb="7">
      <t>オカモト</t>
    </rPh>
    <rPh sb="7" eb="9">
      <t>ミツノリ</t>
    </rPh>
    <rPh sb="11" eb="14">
      <t>ガクシュウジュク</t>
    </rPh>
    <rPh sb="14" eb="16">
      <t>ケイエイ</t>
    </rPh>
    <phoneticPr fontId="3"/>
  </si>
  <si>
    <t>3604比例東海公明01</t>
    <rPh sb="4" eb="6">
      <t>ヒレイ</t>
    </rPh>
    <rPh sb="6" eb="8">
      <t>トウカイ</t>
    </rPh>
    <rPh sb="8" eb="10">
      <t>コウメイ</t>
    </rPh>
    <phoneticPr fontId="3"/>
  </si>
  <si>
    <t>3604比例東海公明02</t>
    <rPh sb="4" eb="6">
      <t>ヒレイ</t>
    </rPh>
    <rPh sb="6" eb="8">
      <t>トウカイ</t>
    </rPh>
    <rPh sb="8" eb="10">
      <t>コウメイ</t>
    </rPh>
    <phoneticPr fontId="3"/>
  </si>
  <si>
    <t>3604比例東海公明03</t>
    <rPh sb="4" eb="6">
      <t>ヒレイ</t>
    </rPh>
    <rPh sb="6" eb="8">
      <t>トウカイ</t>
    </rPh>
    <rPh sb="8" eb="10">
      <t>コウメイ</t>
    </rPh>
    <phoneticPr fontId="3"/>
  </si>
  <si>
    <t>大口　善徳</t>
    <rPh sb="0" eb="2">
      <t>オオグチ</t>
    </rPh>
    <rPh sb="3" eb="5">
      <t>ヨシノリ</t>
    </rPh>
    <phoneticPr fontId="3"/>
  </si>
  <si>
    <t>307比例東海20</t>
    <rPh sb="3" eb="5">
      <t>ヒレイ</t>
    </rPh>
    <rPh sb="5" eb="7">
      <t>トウカイ</t>
    </rPh>
    <phoneticPr fontId="3"/>
  </si>
  <si>
    <t>　元委長(建設),政務官(農水)</t>
    <rPh sb="1" eb="2">
      <t>モト</t>
    </rPh>
    <rPh sb="2" eb="4">
      <t>イチョウ</t>
    </rPh>
    <rPh sb="5" eb="7">
      <t>ケンセツ</t>
    </rPh>
    <rPh sb="9" eb="12">
      <t>セイムカン</t>
    </rPh>
    <rPh sb="13" eb="15">
      <t>ノウスイ</t>
    </rPh>
    <phoneticPr fontId="3"/>
  </si>
  <si>
    <t>法</t>
    <rPh sb="0" eb="1">
      <t>ホウ</t>
    </rPh>
    <phoneticPr fontId="3"/>
  </si>
  <si>
    <t>伊藤　　渉</t>
    <rPh sb="0" eb="2">
      <t>イトウ</t>
    </rPh>
    <rPh sb="4" eb="5">
      <t>ワタル</t>
    </rPh>
    <phoneticPr fontId="3"/>
  </si>
  <si>
    <t>大院(大阪)</t>
    <rPh sb="0" eb="2">
      <t>ダイイン</t>
    </rPh>
    <rPh sb="3" eb="5">
      <t>オオサカ</t>
    </rPh>
    <phoneticPr fontId="3"/>
  </si>
  <si>
    <t>会社員(JR東海)</t>
    <rPh sb="0" eb="3">
      <t>カイシャイン</t>
    </rPh>
    <rPh sb="6" eb="8">
      <t>トウカイ</t>
    </rPh>
    <phoneticPr fontId="3"/>
  </si>
  <si>
    <t>　元政務官(厚労)</t>
    <rPh sb="1" eb="2">
      <t>モト</t>
    </rPh>
    <rPh sb="2" eb="5">
      <t>セイムカン</t>
    </rPh>
    <rPh sb="6" eb="8">
      <t>コウロウ</t>
    </rPh>
    <phoneticPr fontId="3"/>
  </si>
  <si>
    <t>岡　　明彦</t>
    <rPh sb="0" eb="1">
      <t>オカ</t>
    </rPh>
    <rPh sb="3" eb="5">
      <t>アキヒコ</t>
    </rPh>
    <phoneticPr fontId="3"/>
  </si>
  <si>
    <t>大(筑波)</t>
    <rPh sb="0" eb="1">
      <t>ダイ</t>
    </rPh>
    <rPh sb="2" eb="4">
      <t>ツクバ</t>
    </rPh>
    <phoneticPr fontId="3"/>
  </si>
  <si>
    <t>佐々木　憲昭</t>
    <rPh sb="0" eb="3">
      <t>ササキ</t>
    </rPh>
    <rPh sb="4" eb="5">
      <t>ケン</t>
    </rPh>
    <rPh sb="5" eb="6">
      <t>ショウ</t>
    </rPh>
    <phoneticPr fontId="3"/>
  </si>
  <si>
    <t>307比例東海21</t>
    <rPh sb="3" eb="5">
      <t>ヒレイ</t>
    </rPh>
    <rPh sb="5" eb="7">
      <t>トウカイ</t>
    </rPh>
    <phoneticPr fontId="3"/>
  </si>
  <si>
    <t>大院(大阪市立)</t>
    <rPh sb="0" eb="2">
      <t>ダイイン</t>
    </rPh>
    <rPh sb="3" eb="5">
      <t>オオサカ</t>
    </rPh>
    <rPh sb="5" eb="7">
      <t>シリツ</t>
    </rPh>
    <phoneticPr fontId="3"/>
  </si>
  <si>
    <t>共産党幹部会委員</t>
    <rPh sb="0" eb="3">
      <t>キョウサントウ</t>
    </rPh>
    <rPh sb="3" eb="6">
      <t>カンブカイ</t>
    </rPh>
    <rPh sb="6" eb="8">
      <t>イイン</t>
    </rPh>
    <phoneticPr fontId="3"/>
  </si>
  <si>
    <t>河江　明美</t>
    <rPh sb="0" eb="2">
      <t>カワエ</t>
    </rPh>
    <rPh sb="3" eb="5">
      <t>アケミ</t>
    </rPh>
    <phoneticPr fontId="3"/>
  </si>
  <si>
    <t>大(同朋)</t>
    <rPh sb="0" eb="1">
      <t>ダイ</t>
    </rPh>
    <rPh sb="2" eb="4">
      <t>ドウホウ</t>
    </rPh>
    <phoneticPr fontId="3"/>
  </si>
  <si>
    <t>共産党准中央委員,民青同盟地区委員長</t>
    <rPh sb="0" eb="3">
      <t>キョウサントウ</t>
    </rPh>
    <rPh sb="3" eb="4">
      <t>ジュン</t>
    </rPh>
    <rPh sb="4" eb="6">
      <t>チュウオウ</t>
    </rPh>
    <rPh sb="6" eb="8">
      <t>イイン</t>
    </rPh>
    <rPh sb="9" eb="13">
      <t>ミンセイドウメイ</t>
    </rPh>
    <rPh sb="13" eb="15">
      <t>チク</t>
    </rPh>
    <rPh sb="15" eb="18">
      <t>イインチョウ</t>
    </rPh>
    <phoneticPr fontId="3"/>
  </si>
  <si>
    <t>三輪　信昭</t>
    <rPh sb="0" eb="2">
      <t>ミワ</t>
    </rPh>
    <rPh sb="3" eb="5">
      <t>ノブアキ</t>
    </rPh>
    <phoneticPr fontId="3"/>
  </si>
  <si>
    <t>307比例東海09</t>
    <rPh sb="3" eb="5">
      <t>ヒレイ</t>
    </rPh>
    <rPh sb="5" eb="7">
      <t>トウカイ</t>
    </rPh>
    <phoneticPr fontId="3"/>
  </si>
  <si>
    <t>高中(桑名)</t>
    <rPh sb="0" eb="1">
      <t>コウ</t>
    </rPh>
    <rPh sb="1" eb="2">
      <t>チュウ</t>
    </rPh>
    <rPh sb="3" eb="5">
      <t>クワナ</t>
    </rPh>
    <phoneticPr fontId="3"/>
  </si>
  <si>
    <t>愛知県議(名古屋市天白区),会社社長(カネ美食品)</t>
    <rPh sb="0" eb="2">
      <t>アイチ</t>
    </rPh>
    <rPh sb="2" eb="4">
      <t>ケンギ</t>
    </rPh>
    <rPh sb="5" eb="9">
      <t>ナゴヤシ</t>
    </rPh>
    <rPh sb="9" eb="12">
      <t>テンパクク</t>
    </rPh>
    <rPh sb="14" eb="16">
      <t>カイシャ</t>
    </rPh>
    <rPh sb="16" eb="18">
      <t>シャチョウ</t>
    </rPh>
    <rPh sb="21" eb="22">
      <t>ミ</t>
    </rPh>
    <rPh sb="22" eb="24">
      <t>ショクヒン</t>
    </rPh>
    <phoneticPr fontId="3"/>
  </si>
  <si>
    <t>182滋賀1区01</t>
    <rPh sb="3" eb="5">
      <t>シガ</t>
    </rPh>
    <rPh sb="6" eb="7">
      <t>ク</t>
    </rPh>
    <phoneticPr fontId="3"/>
  </si>
  <si>
    <t>182滋賀1区02</t>
    <rPh sb="3" eb="5">
      <t>シガ</t>
    </rPh>
    <rPh sb="6" eb="7">
      <t>ク</t>
    </rPh>
    <phoneticPr fontId="3"/>
  </si>
  <si>
    <t>182滋賀1区03</t>
    <rPh sb="3" eb="5">
      <t>シガ</t>
    </rPh>
    <rPh sb="6" eb="7">
      <t>ク</t>
    </rPh>
    <phoneticPr fontId="3"/>
  </si>
  <si>
    <t>川端　達夫</t>
    <rPh sb="0" eb="2">
      <t>カワバタ</t>
    </rPh>
    <rPh sb="3" eb="5">
      <t>タツオ</t>
    </rPh>
    <phoneticPr fontId="3"/>
  </si>
  <si>
    <t>182滋賀1区</t>
    <rPh sb="3" eb="5">
      <t>シガ</t>
    </rPh>
    <rPh sb="6" eb="7">
      <t>ク</t>
    </rPh>
    <phoneticPr fontId="3"/>
  </si>
  <si>
    <t>友</t>
    <rPh sb="0" eb="1">
      <t>ユウ</t>
    </rPh>
    <phoneticPr fontId="3"/>
  </si>
  <si>
    <t>東レ労組滋賀支部長</t>
    <rPh sb="0" eb="1">
      <t>トウ</t>
    </rPh>
    <rPh sb="2" eb="4">
      <t>ロウソ</t>
    </rPh>
    <rPh sb="4" eb="6">
      <t>シガ</t>
    </rPh>
    <rPh sb="6" eb="9">
      <t>シブチョウ</t>
    </rPh>
    <phoneticPr fontId="3"/>
  </si>
  <si>
    <t>労</t>
    <rPh sb="0" eb="1">
      <t>ロウ</t>
    </rPh>
    <phoneticPr fontId="3"/>
  </si>
  <si>
    <t>民主党副代表，元大臣(総務・沖北,文科・科技),委長(議運,決行,安保,災害特),民主党副代表,幹事長,国対委長</t>
    <rPh sb="0" eb="3">
      <t>ミンシュトウ</t>
    </rPh>
    <rPh sb="3" eb="6">
      <t>フクダイヒョウ</t>
    </rPh>
    <rPh sb="7" eb="10">
      <t>モトダイジン</t>
    </rPh>
    <rPh sb="11" eb="13">
      <t>ソウム</t>
    </rPh>
    <rPh sb="14" eb="15">
      <t>オキ</t>
    </rPh>
    <rPh sb="15" eb="16">
      <t>ホク</t>
    </rPh>
    <rPh sb="17" eb="19">
      <t>モンカ</t>
    </rPh>
    <rPh sb="20" eb="22">
      <t>カギ</t>
    </rPh>
    <rPh sb="24" eb="26">
      <t>イチョウ</t>
    </rPh>
    <rPh sb="27" eb="28">
      <t>ギ</t>
    </rPh>
    <rPh sb="28" eb="29">
      <t>ウン</t>
    </rPh>
    <rPh sb="30" eb="32">
      <t>ケッコウ</t>
    </rPh>
    <rPh sb="33" eb="35">
      <t>アンポ</t>
    </rPh>
    <rPh sb="36" eb="38">
      <t>サイガイ</t>
    </rPh>
    <rPh sb="38" eb="39">
      <t>トク</t>
    </rPh>
    <rPh sb="41" eb="44">
      <t>ミンシュトウ</t>
    </rPh>
    <rPh sb="44" eb="47">
      <t>フクダイヒョウ</t>
    </rPh>
    <rPh sb="48" eb="51">
      <t>カンジチョウ</t>
    </rPh>
    <rPh sb="52" eb="56">
      <t>コクタイイチョウ</t>
    </rPh>
    <phoneticPr fontId="3"/>
  </si>
  <si>
    <t>大岡　敏孝</t>
    <rPh sb="0" eb="2">
      <t>オオオカ</t>
    </rPh>
    <rPh sb="3" eb="5">
      <t>トシタカ</t>
    </rPh>
    <phoneticPr fontId="3"/>
  </si>
  <si>
    <t>静岡県議(浜松市中区),静岡県・浜松市議,会社員(スズキ)</t>
    <rPh sb="0" eb="2">
      <t>シズオカ</t>
    </rPh>
    <rPh sb="2" eb="4">
      <t>ケンギ</t>
    </rPh>
    <rPh sb="5" eb="8">
      <t>ハママツシ</t>
    </rPh>
    <rPh sb="8" eb="10">
      <t>ナカク</t>
    </rPh>
    <rPh sb="12" eb="15">
      <t>シズオカケン</t>
    </rPh>
    <rPh sb="16" eb="18">
      <t>ハママツ</t>
    </rPh>
    <rPh sb="18" eb="20">
      <t>シギ</t>
    </rPh>
    <rPh sb="21" eb="24">
      <t>カイシャイン</t>
    </rPh>
    <phoneticPr fontId="3"/>
  </si>
  <si>
    <t>議</t>
    <rPh sb="0" eb="1">
      <t>ギ</t>
    </rPh>
    <phoneticPr fontId="3"/>
  </si>
  <si>
    <t>節木　三千代</t>
    <rPh sb="0" eb="1">
      <t>フシ</t>
    </rPh>
    <rPh sb="1" eb="2">
      <t>キ</t>
    </rPh>
    <rPh sb="3" eb="6">
      <t>ミチヨ</t>
    </rPh>
    <phoneticPr fontId="3"/>
  </si>
  <si>
    <t>他(滋賀県総合保健専門学校)</t>
    <rPh sb="0" eb="1">
      <t>ホカ</t>
    </rPh>
    <rPh sb="2" eb="5">
      <t>シガケン</t>
    </rPh>
    <rPh sb="5" eb="7">
      <t>ソウゴウ</t>
    </rPh>
    <rPh sb="7" eb="9">
      <t>ホケン</t>
    </rPh>
    <rPh sb="9" eb="11">
      <t>センモン</t>
    </rPh>
    <rPh sb="11" eb="13">
      <t>ガッコウ</t>
    </rPh>
    <phoneticPr fontId="3"/>
  </si>
  <si>
    <t>滋賀県議(大津市),滋賀県・大津市議,看護師</t>
    <rPh sb="0" eb="2">
      <t>シガ</t>
    </rPh>
    <rPh sb="2" eb="4">
      <t>ケンギ</t>
    </rPh>
    <rPh sb="5" eb="8">
      <t>オオツシ</t>
    </rPh>
    <rPh sb="10" eb="13">
      <t>シガケン</t>
    </rPh>
    <rPh sb="14" eb="16">
      <t>オオツ</t>
    </rPh>
    <rPh sb="16" eb="18">
      <t>シギ</t>
    </rPh>
    <rPh sb="19" eb="22">
      <t>カンゴシ</t>
    </rPh>
    <phoneticPr fontId="3"/>
  </si>
  <si>
    <t>183滋賀2区01</t>
    <rPh sb="3" eb="5">
      <t>シガ</t>
    </rPh>
    <rPh sb="6" eb="7">
      <t>ク</t>
    </rPh>
    <phoneticPr fontId="3"/>
  </si>
  <si>
    <t>183滋賀2区02</t>
    <rPh sb="3" eb="5">
      <t>シガ</t>
    </rPh>
    <rPh sb="6" eb="7">
      <t>ク</t>
    </rPh>
    <phoneticPr fontId="3"/>
  </si>
  <si>
    <t>183滋賀2区03</t>
    <rPh sb="3" eb="5">
      <t>シガ</t>
    </rPh>
    <rPh sb="6" eb="7">
      <t>ク</t>
    </rPh>
    <phoneticPr fontId="3"/>
  </si>
  <si>
    <t>183滋賀2区04</t>
    <rPh sb="3" eb="5">
      <t>シガ</t>
    </rPh>
    <rPh sb="6" eb="7">
      <t>ク</t>
    </rPh>
    <phoneticPr fontId="3"/>
  </si>
  <si>
    <t>田島　一成</t>
    <rPh sb="0" eb="2">
      <t>タジマ</t>
    </rPh>
    <rPh sb="3" eb="5">
      <t>イッセイ</t>
    </rPh>
    <phoneticPr fontId="3"/>
  </si>
  <si>
    <t>183滋賀2区</t>
    <rPh sb="3" eb="5">
      <t>シガ</t>
    </rPh>
    <rPh sb="6" eb="7">
      <t>ク</t>
    </rPh>
    <phoneticPr fontId="3"/>
  </si>
  <si>
    <t>さ</t>
    <phoneticPr fontId="3"/>
  </si>
  <si>
    <t>大院(同志社)</t>
    <rPh sb="0" eb="2">
      <t>ダイイン</t>
    </rPh>
    <rPh sb="3" eb="6">
      <t>ドウシシャ</t>
    </rPh>
    <phoneticPr fontId="3"/>
  </si>
  <si>
    <t>滋賀県議(彦根市),滋賀県・彦根市議,会社員(田島物産)</t>
    <rPh sb="0" eb="2">
      <t>シガ</t>
    </rPh>
    <rPh sb="2" eb="4">
      <t>ケンギ</t>
    </rPh>
    <rPh sb="5" eb="8">
      <t>ヒコネシ</t>
    </rPh>
    <rPh sb="10" eb="13">
      <t>シガケン</t>
    </rPh>
    <rPh sb="14" eb="16">
      <t>ヒコネ</t>
    </rPh>
    <rPh sb="16" eb="18">
      <t>シギ</t>
    </rPh>
    <rPh sb="19" eb="22">
      <t>カイシャイン</t>
    </rPh>
    <rPh sb="23" eb="25">
      <t>タジマ</t>
    </rPh>
    <rPh sb="25" eb="27">
      <t>ブッサン</t>
    </rPh>
    <phoneticPr fontId="3"/>
  </si>
  <si>
    <t>　元副大臣(環境)</t>
    <rPh sb="1" eb="2">
      <t>モト</t>
    </rPh>
    <rPh sb="2" eb="5">
      <t>フクダイジン</t>
    </rPh>
    <rPh sb="6" eb="8">
      <t>カンキョウ</t>
    </rPh>
    <phoneticPr fontId="3"/>
  </si>
  <si>
    <t>上野　賢一郎</t>
    <rPh sb="0" eb="2">
      <t>ウエノ</t>
    </rPh>
    <rPh sb="3" eb="6">
      <t>ケンイチロウ</t>
    </rPh>
    <phoneticPr fontId="3"/>
  </si>
  <si>
    <t>大(京都)</t>
    <rPh sb="0" eb="1">
      <t>ダイ</t>
    </rPh>
    <rPh sb="2" eb="4">
      <t>キョウト</t>
    </rPh>
    <phoneticPr fontId="3"/>
  </si>
  <si>
    <t>官</t>
    <rPh sb="0" eb="1">
      <t>カン</t>
    </rPh>
    <phoneticPr fontId="3"/>
  </si>
  <si>
    <t>内閣官房構造改革特区推進室参事官補佐(総務省)</t>
    <rPh sb="0" eb="2">
      <t>ナイカク</t>
    </rPh>
    <rPh sb="2" eb="4">
      <t>カンボウ</t>
    </rPh>
    <rPh sb="4" eb="6">
      <t>コウゾウ</t>
    </rPh>
    <rPh sb="6" eb="8">
      <t>カイカク</t>
    </rPh>
    <rPh sb="8" eb="10">
      <t>トック</t>
    </rPh>
    <rPh sb="10" eb="13">
      <t>スイシンシツ</t>
    </rPh>
    <rPh sb="13" eb="16">
      <t>サンジカン</t>
    </rPh>
    <rPh sb="16" eb="18">
      <t>ホサ</t>
    </rPh>
    <rPh sb="19" eb="22">
      <t>ソウムショウ</t>
    </rPh>
    <phoneticPr fontId="3"/>
  </si>
  <si>
    <t>中川　睦子</t>
    <rPh sb="0" eb="2">
      <t>ナカガワ</t>
    </rPh>
    <rPh sb="3" eb="5">
      <t>ムツコ</t>
    </rPh>
    <phoneticPr fontId="3"/>
  </si>
  <si>
    <t>短大(成安女子)</t>
    <rPh sb="0" eb="2">
      <t>タンダイ</t>
    </rPh>
    <rPh sb="3" eb="5">
      <t>セイアン</t>
    </rPh>
    <rPh sb="5" eb="7">
      <t>ジョシ</t>
    </rPh>
    <phoneticPr fontId="3"/>
  </si>
  <si>
    <t>共産党地区常任委員,滋賀県高教組役員</t>
    <rPh sb="0" eb="3">
      <t>キョウサントウ</t>
    </rPh>
    <rPh sb="3" eb="5">
      <t>チク</t>
    </rPh>
    <rPh sb="5" eb="7">
      <t>ジョウニン</t>
    </rPh>
    <rPh sb="7" eb="9">
      <t>イイン</t>
    </rPh>
    <rPh sb="10" eb="13">
      <t>シガケン</t>
    </rPh>
    <rPh sb="13" eb="14">
      <t>コウ</t>
    </rPh>
    <rPh sb="14" eb="16">
      <t>キョウソ</t>
    </rPh>
    <rPh sb="16" eb="18">
      <t>ヤクイン</t>
    </rPh>
    <phoneticPr fontId="3"/>
  </si>
  <si>
    <t>世一　良幸</t>
    <rPh sb="0" eb="2">
      <t>ヨイチ</t>
    </rPh>
    <rPh sb="3" eb="5">
      <t>ヨシユキ</t>
    </rPh>
    <phoneticPr fontId="3"/>
  </si>
  <si>
    <t>防衛省地方協力局環境対策室長(環境省)</t>
    <rPh sb="0" eb="3">
      <t>ボウエイショウ</t>
    </rPh>
    <rPh sb="3" eb="5">
      <t>チホウ</t>
    </rPh>
    <rPh sb="5" eb="7">
      <t>キョウリョク</t>
    </rPh>
    <rPh sb="7" eb="8">
      <t>キョク</t>
    </rPh>
    <rPh sb="8" eb="10">
      <t>カンキョウ</t>
    </rPh>
    <rPh sb="10" eb="12">
      <t>タイサク</t>
    </rPh>
    <rPh sb="12" eb="14">
      <t>シツチョウ</t>
    </rPh>
    <rPh sb="15" eb="18">
      <t>カンキョウショウ</t>
    </rPh>
    <phoneticPr fontId="3"/>
  </si>
  <si>
    <t>184滋賀3区01</t>
    <rPh sb="3" eb="5">
      <t>シガ</t>
    </rPh>
    <rPh sb="6" eb="7">
      <t>ク</t>
    </rPh>
    <phoneticPr fontId="3"/>
  </si>
  <si>
    <t>184滋賀3区02</t>
    <rPh sb="3" eb="5">
      <t>シガ</t>
    </rPh>
    <rPh sb="6" eb="7">
      <t>ク</t>
    </rPh>
    <phoneticPr fontId="3"/>
  </si>
  <si>
    <t>184滋賀3区03</t>
    <rPh sb="3" eb="5">
      <t>シガ</t>
    </rPh>
    <rPh sb="6" eb="7">
      <t>ク</t>
    </rPh>
    <phoneticPr fontId="3"/>
  </si>
  <si>
    <t>三日月　大造</t>
    <rPh sb="0" eb="3">
      <t>ミカヅキ</t>
    </rPh>
    <rPh sb="4" eb="6">
      <t>タイゾウ</t>
    </rPh>
    <phoneticPr fontId="3"/>
  </si>
  <si>
    <t>184滋賀3区</t>
    <rPh sb="3" eb="5">
      <t>シガ</t>
    </rPh>
    <rPh sb="6" eb="7">
      <t>ク</t>
    </rPh>
    <phoneticPr fontId="3"/>
  </si>
  <si>
    <t>松労</t>
    <rPh sb="0" eb="1">
      <t>マツ</t>
    </rPh>
    <rPh sb="1" eb="2">
      <t>ロウ</t>
    </rPh>
    <phoneticPr fontId="3"/>
  </si>
  <si>
    <t>松</t>
    <rPh sb="0" eb="1">
      <t>マツ</t>
    </rPh>
    <phoneticPr fontId="3"/>
  </si>
  <si>
    <t>　元副大臣(国交),政務官(国交)</t>
    <rPh sb="1" eb="2">
      <t>モト</t>
    </rPh>
    <rPh sb="2" eb="5">
      <t>フクダイジン</t>
    </rPh>
    <rPh sb="6" eb="8">
      <t>コッコウ</t>
    </rPh>
    <rPh sb="10" eb="13">
      <t>セイムカン</t>
    </rPh>
    <rPh sb="14" eb="16">
      <t>コッコウ</t>
    </rPh>
    <phoneticPr fontId="3"/>
  </si>
  <si>
    <t>武村　展英</t>
    <rPh sb="0" eb="2">
      <t>タケムラ</t>
    </rPh>
    <rPh sb="3" eb="4">
      <t>ノブ</t>
    </rPh>
    <rPh sb="4" eb="5">
      <t>ヒデ</t>
    </rPh>
    <phoneticPr fontId="3"/>
  </si>
  <si>
    <t>公認会計士,議員秘書(石崎岳)</t>
    <rPh sb="0" eb="2">
      <t>コウニン</t>
    </rPh>
    <rPh sb="2" eb="5">
      <t>カイケイシ</t>
    </rPh>
    <rPh sb="6" eb="8">
      <t>ギイン</t>
    </rPh>
    <rPh sb="8" eb="10">
      <t>ヒショ</t>
    </rPh>
    <rPh sb="11" eb="13">
      <t>イシザキ</t>
    </rPh>
    <rPh sb="13" eb="14">
      <t>ガク</t>
    </rPh>
    <phoneticPr fontId="3"/>
  </si>
  <si>
    <t>西川　　仁</t>
    <rPh sb="0" eb="2">
      <t>ニシカワ</t>
    </rPh>
    <rPh sb="4" eb="5">
      <t>ヒトシ</t>
    </rPh>
    <phoneticPr fontId="3"/>
  </si>
  <si>
    <t>高(洛北)</t>
    <rPh sb="0" eb="1">
      <t>コウ</t>
    </rPh>
    <rPh sb="2" eb="4">
      <t>ラクホク</t>
    </rPh>
    <phoneticPr fontId="3"/>
  </si>
  <si>
    <t>滋賀県議(草津市),滋賀県・草津市議,イサム塗料労組書記長</t>
    <rPh sb="0" eb="2">
      <t>シガ</t>
    </rPh>
    <rPh sb="2" eb="4">
      <t>ケンギ</t>
    </rPh>
    <rPh sb="5" eb="8">
      <t>クサツシ</t>
    </rPh>
    <rPh sb="10" eb="13">
      <t>シガケン</t>
    </rPh>
    <rPh sb="14" eb="16">
      <t>クサツ</t>
    </rPh>
    <rPh sb="16" eb="18">
      <t>シギ</t>
    </rPh>
    <rPh sb="22" eb="24">
      <t>トリョウ</t>
    </rPh>
    <rPh sb="24" eb="26">
      <t>ロウソ</t>
    </rPh>
    <rPh sb="26" eb="29">
      <t>ショキチョウ</t>
    </rPh>
    <phoneticPr fontId="3"/>
  </si>
  <si>
    <t>議労</t>
    <rPh sb="0" eb="1">
      <t>ギ</t>
    </rPh>
    <rPh sb="1" eb="2">
      <t>ロウ</t>
    </rPh>
    <phoneticPr fontId="3"/>
  </si>
  <si>
    <t>185滋賀4区01</t>
    <rPh sb="3" eb="5">
      <t>シガ</t>
    </rPh>
    <rPh sb="6" eb="7">
      <t>ク</t>
    </rPh>
    <phoneticPr fontId="3"/>
  </si>
  <si>
    <t>185滋賀4区02</t>
    <rPh sb="3" eb="5">
      <t>シガ</t>
    </rPh>
    <rPh sb="6" eb="7">
      <t>ク</t>
    </rPh>
    <phoneticPr fontId="3"/>
  </si>
  <si>
    <t>185滋賀4区03</t>
    <rPh sb="3" eb="5">
      <t>シガ</t>
    </rPh>
    <rPh sb="6" eb="7">
      <t>ク</t>
    </rPh>
    <phoneticPr fontId="3"/>
  </si>
  <si>
    <t>185滋賀4区04</t>
    <rPh sb="3" eb="5">
      <t>シガ</t>
    </rPh>
    <rPh sb="6" eb="7">
      <t>ク</t>
    </rPh>
    <phoneticPr fontId="3"/>
  </si>
  <si>
    <t>奥村　展三</t>
    <rPh sb="0" eb="2">
      <t>オクムラ</t>
    </rPh>
    <rPh sb="3" eb="4">
      <t>テン</t>
    </rPh>
    <rPh sb="4" eb="5">
      <t>ゾウ</t>
    </rPh>
    <phoneticPr fontId="3"/>
  </si>
  <si>
    <t>185滋賀4区</t>
    <rPh sb="3" eb="5">
      <t>シガ</t>
    </rPh>
    <rPh sb="6" eb="7">
      <t>ク</t>
    </rPh>
    <phoneticPr fontId="3"/>
  </si>
  <si>
    <t>大中(立命館)</t>
    <rPh sb="0" eb="1">
      <t>ダイ</t>
    </rPh>
    <rPh sb="1" eb="2">
      <t>チュウ</t>
    </rPh>
    <rPh sb="3" eb="6">
      <t>リツメイカン</t>
    </rPh>
    <phoneticPr fontId="3"/>
  </si>
  <si>
    <t>滋賀県議(甲賀郡),滋賀県・甲西町議,水口JC理事長</t>
    <rPh sb="0" eb="2">
      <t>シガ</t>
    </rPh>
    <rPh sb="2" eb="4">
      <t>ケンギ</t>
    </rPh>
    <rPh sb="5" eb="7">
      <t>コウガ</t>
    </rPh>
    <rPh sb="7" eb="8">
      <t>グン</t>
    </rPh>
    <rPh sb="10" eb="13">
      <t>シガケン</t>
    </rPh>
    <rPh sb="14" eb="17">
      <t>コウセイチョウ</t>
    </rPh>
    <rPh sb="17" eb="18">
      <t>ギ</t>
    </rPh>
    <rPh sb="19" eb="21">
      <t>ミズグチ</t>
    </rPh>
    <rPh sb="23" eb="26">
      <t>リジチョウ</t>
    </rPh>
    <phoneticPr fontId="3"/>
  </si>
  <si>
    <t>民主党国対委員長代行，元委長(拉致特),副大臣(文科),旧さきがけ幹事長,参1</t>
    <rPh sb="0" eb="3">
      <t>ミンシュトウ</t>
    </rPh>
    <rPh sb="3" eb="5">
      <t>コクタイ</t>
    </rPh>
    <rPh sb="5" eb="8">
      <t>イインチョウ</t>
    </rPh>
    <rPh sb="8" eb="10">
      <t>ダイコウ</t>
    </rPh>
    <rPh sb="11" eb="12">
      <t>モト</t>
    </rPh>
    <rPh sb="12" eb="14">
      <t>イチョウ</t>
    </rPh>
    <rPh sb="15" eb="18">
      <t>ラチトク</t>
    </rPh>
    <rPh sb="20" eb="23">
      <t>フクダイジン</t>
    </rPh>
    <rPh sb="24" eb="26">
      <t>モンカ</t>
    </rPh>
    <rPh sb="28" eb="29">
      <t>キュウ</t>
    </rPh>
    <rPh sb="33" eb="36">
      <t>カンジチョウ</t>
    </rPh>
    <rPh sb="37" eb="38">
      <t>サン</t>
    </rPh>
    <phoneticPr fontId="3"/>
  </si>
  <si>
    <t>鞍</t>
    <rPh sb="0" eb="1">
      <t>クラ</t>
    </rPh>
    <phoneticPr fontId="3"/>
  </si>
  <si>
    <t>武藤　貴也</t>
    <rPh sb="0" eb="2">
      <t>ムトウ</t>
    </rPh>
    <rPh sb="3" eb="5">
      <t>タカヤ</t>
    </rPh>
    <phoneticPr fontId="3"/>
  </si>
  <si>
    <t>大院(京都)</t>
    <rPh sb="0" eb="2">
      <t>ダイイン</t>
    </rPh>
    <rPh sb="3" eb="5">
      <t>キョウト</t>
    </rPh>
    <phoneticPr fontId="3"/>
  </si>
  <si>
    <t>滋賀県議会会派政策スタッフ</t>
    <rPh sb="0" eb="3">
      <t>シガケン</t>
    </rPh>
    <rPh sb="3" eb="5">
      <t>ギカイ</t>
    </rPh>
    <rPh sb="5" eb="7">
      <t>カイハ</t>
    </rPh>
    <rPh sb="7" eb="9">
      <t>セイサク</t>
    </rPh>
    <phoneticPr fontId="3"/>
  </si>
  <si>
    <t>西澤　耕一</t>
    <rPh sb="0" eb="2">
      <t>ニシザワ</t>
    </rPh>
    <rPh sb="3" eb="5">
      <t>コウイチ</t>
    </rPh>
    <phoneticPr fontId="3"/>
  </si>
  <si>
    <t>大(花園)</t>
    <rPh sb="0" eb="1">
      <t>ダイ</t>
    </rPh>
    <rPh sb="2" eb="4">
      <t>ハナゾノ</t>
    </rPh>
    <phoneticPr fontId="3"/>
  </si>
  <si>
    <t>共産党地区国政対策委員長,滋賀青年ユニオン役員</t>
    <rPh sb="0" eb="3">
      <t>キョウサントウ</t>
    </rPh>
    <rPh sb="3" eb="5">
      <t>チク</t>
    </rPh>
    <rPh sb="5" eb="7">
      <t>コクセイ</t>
    </rPh>
    <rPh sb="7" eb="9">
      <t>タイサク</t>
    </rPh>
    <rPh sb="9" eb="12">
      <t>イインチョウ</t>
    </rPh>
    <rPh sb="13" eb="15">
      <t>シガ</t>
    </rPh>
    <rPh sb="15" eb="17">
      <t>セイネン</t>
    </rPh>
    <rPh sb="21" eb="23">
      <t>ヤクイン</t>
    </rPh>
    <phoneticPr fontId="3"/>
  </si>
  <si>
    <t>小西　　理</t>
    <rPh sb="0" eb="2">
      <t>コニシ</t>
    </rPh>
    <rPh sb="4" eb="5">
      <t>オサム</t>
    </rPh>
    <phoneticPr fontId="3"/>
  </si>
  <si>
    <t>大(東京)</t>
    <rPh sb="0" eb="1">
      <t>ダイ</t>
    </rPh>
    <rPh sb="2" eb="4">
      <t>トウキョウ</t>
    </rPh>
    <phoneticPr fontId="3"/>
  </si>
  <si>
    <t>議員秘書(小西哲),会社員(三井海上火災保険)</t>
    <rPh sb="0" eb="2">
      <t>ギイン</t>
    </rPh>
    <rPh sb="2" eb="4">
      <t>ヒショ</t>
    </rPh>
    <rPh sb="5" eb="7">
      <t>コニシ</t>
    </rPh>
    <rPh sb="7" eb="8">
      <t>アキラ</t>
    </rPh>
    <rPh sb="10" eb="13">
      <t>カイシャイン</t>
    </rPh>
    <rPh sb="14" eb="16">
      <t>ミツイ</t>
    </rPh>
    <rPh sb="16" eb="18">
      <t>カイジョウ</t>
    </rPh>
    <rPh sb="18" eb="22">
      <t>カサイホケン</t>
    </rPh>
    <phoneticPr fontId="3"/>
  </si>
  <si>
    <t>　元政務官(総務)</t>
    <rPh sb="1" eb="2">
      <t>モト</t>
    </rPh>
    <rPh sb="2" eb="5">
      <t>セイムカン</t>
    </rPh>
    <rPh sb="6" eb="8">
      <t>ソウム</t>
    </rPh>
    <phoneticPr fontId="3"/>
  </si>
  <si>
    <t>二</t>
    <rPh sb="0" eb="1">
      <t>ニ</t>
    </rPh>
    <phoneticPr fontId="3"/>
  </si>
  <si>
    <t>186京都1区01</t>
    <rPh sb="3" eb="5">
      <t>キョウト</t>
    </rPh>
    <rPh sb="6" eb="7">
      <t>ク</t>
    </rPh>
    <phoneticPr fontId="3"/>
  </si>
  <si>
    <t>186京都1区02</t>
    <rPh sb="3" eb="5">
      <t>キョウト</t>
    </rPh>
    <rPh sb="6" eb="7">
      <t>ク</t>
    </rPh>
    <phoneticPr fontId="3"/>
  </si>
  <si>
    <t>186京都1区03</t>
    <rPh sb="3" eb="5">
      <t>キョウト</t>
    </rPh>
    <rPh sb="6" eb="7">
      <t>ク</t>
    </rPh>
    <phoneticPr fontId="3"/>
  </si>
  <si>
    <t>186京都1区04</t>
    <rPh sb="3" eb="5">
      <t>キョウト</t>
    </rPh>
    <rPh sb="6" eb="7">
      <t>ク</t>
    </rPh>
    <phoneticPr fontId="3"/>
  </si>
  <si>
    <t>186京都1区05</t>
    <rPh sb="3" eb="5">
      <t>キョウト</t>
    </rPh>
    <rPh sb="6" eb="7">
      <t>ク</t>
    </rPh>
    <phoneticPr fontId="3"/>
  </si>
  <si>
    <t>祐野　　恵</t>
    <rPh sb="0" eb="2">
      <t>ユウノ</t>
    </rPh>
    <rPh sb="4" eb="5">
      <t>メグミ</t>
    </rPh>
    <phoneticPr fontId="3"/>
  </si>
  <si>
    <t>大(奈良女子)</t>
    <rPh sb="0" eb="1">
      <t>ダイ</t>
    </rPh>
    <rPh sb="2" eb="4">
      <t>ナラ</t>
    </rPh>
    <rPh sb="4" eb="6">
      <t>ジョシ</t>
    </rPh>
    <phoneticPr fontId="3"/>
  </si>
  <si>
    <t>京都府・長岡京市議,行政書士,フリーアナウンサー</t>
    <rPh sb="0" eb="3">
      <t>キョウトフ</t>
    </rPh>
    <rPh sb="4" eb="7">
      <t>ナガオカキョウ</t>
    </rPh>
    <rPh sb="7" eb="9">
      <t>シギ</t>
    </rPh>
    <rPh sb="10" eb="14">
      <t>ギョウセイショシ</t>
    </rPh>
    <phoneticPr fontId="3"/>
  </si>
  <si>
    <t>伊吹　文明</t>
    <rPh sb="0" eb="2">
      <t>イブキ</t>
    </rPh>
    <rPh sb="3" eb="5">
      <t>ブンメイ</t>
    </rPh>
    <phoneticPr fontId="3"/>
  </si>
  <si>
    <t>308比例近畿18</t>
    <rPh sb="3" eb="5">
      <t>ヒレイ</t>
    </rPh>
    <rPh sb="5" eb="7">
      <t>キンキ</t>
    </rPh>
    <phoneticPr fontId="3"/>
  </si>
  <si>
    <t>大蔵省大臣秘書官</t>
    <rPh sb="0" eb="8">
      <t>オオクラショウダイジンヒショカン</t>
    </rPh>
    <phoneticPr fontId="3"/>
  </si>
  <si>
    <t>　元大臣(財務,文科,公安・防災,労働),委長(行革特,文教),政務次官(厚生),自民党幹事長</t>
    <rPh sb="1" eb="4">
      <t>モトダイジン</t>
    </rPh>
    <rPh sb="5" eb="7">
      <t>ザイム</t>
    </rPh>
    <rPh sb="8" eb="10">
      <t>モンカ</t>
    </rPh>
    <rPh sb="11" eb="13">
      <t>コウアン</t>
    </rPh>
    <rPh sb="14" eb="16">
      <t>ボウサイ</t>
    </rPh>
    <rPh sb="17" eb="19">
      <t>ロウドウ</t>
    </rPh>
    <rPh sb="21" eb="23">
      <t>イチョウ</t>
    </rPh>
    <rPh sb="24" eb="26">
      <t>ギョウカク</t>
    </rPh>
    <rPh sb="26" eb="27">
      <t>トク</t>
    </rPh>
    <rPh sb="28" eb="30">
      <t>ブンキョウ</t>
    </rPh>
    <rPh sb="32" eb="34">
      <t>セイム</t>
    </rPh>
    <rPh sb="34" eb="36">
      <t>ジカン</t>
    </rPh>
    <rPh sb="37" eb="39">
      <t>コウセイ</t>
    </rPh>
    <rPh sb="41" eb="44">
      <t>ジミントウ</t>
    </rPh>
    <rPh sb="44" eb="47">
      <t>カンジチョウ</t>
    </rPh>
    <phoneticPr fontId="3"/>
  </si>
  <si>
    <t>穀田　恵二</t>
    <rPh sb="0" eb="2">
      <t>コクタ</t>
    </rPh>
    <rPh sb="3" eb="5">
      <t>ケイジ</t>
    </rPh>
    <phoneticPr fontId="3"/>
  </si>
  <si>
    <t>308比例近畿26</t>
    <rPh sb="3" eb="5">
      <t>ヒレイ</t>
    </rPh>
    <rPh sb="5" eb="7">
      <t>キンキ</t>
    </rPh>
    <phoneticPr fontId="3"/>
  </si>
  <si>
    <t>京都府・京都市議,立命館大学職員</t>
    <rPh sb="0" eb="3">
      <t>キョウトフ</t>
    </rPh>
    <rPh sb="4" eb="6">
      <t>キョウト</t>
    </rPh>
    <rPh sb="6" eb="8">
      <t>シギ</t>
    </rPh>
    <rPh sb="9" eb="12">
      <t>リツメイカン</t>
    </rPh>
    <rPh sb="12" eb="14">
      <t>ダイガク</t>
    </rPh>
    <rPh sb="14" eb="16">
      <t>ショクイン</t>
    </rPh>
    <phoneticPr fontId="3"/>
  </si>
  <si>
    <t>共産党国対委員長</t>
    <rPh sb="0" eb="3">
      <t>キョウサントウ</t>
    </rPh>
    <rPh sb="3" eb="5">
      <t>コクタイ</t>
    </rPh>
    <rPh sb="5" eb="8">
      <t>イインチョウ</t>
    </rPh>
    <phoneticPr fontId="3"/>
  </si>
  <si>
    <t>田部　雄治</t>
    <rPh sb="0" eb="2">
      <t>タナベ</t>
    </rPh>
    <rPh sb="3" eb="5">
      <t>ユウジ</t>
    </rPh>
    <phoneticPr fontId="3"/>
  </si>
  <si>
    <t>幸福実現党員,会社員(キーエンス)</t>
    <rPh sb="0" eb="2">
      <t>コウフク</t>
    </rPh>
    <rPh sb="2" eb="4">
      <t>ジツゲン</t>
    </rPh>
    <rPh sb="4" eb="6">
      <t>トウイン</t>
    </rPh>
    <rPh sb="7" eb="10">
      <t>カイシャイン</t>
    </rPh>
    <phoneticPr fontId="3"/>
  </si>
  <si>
    <t>平　　智之</t>
    <rPh sb="0" eb="1">
      <t>タイラ</t>
    </rPh>
    <rPh sb="3" eb="5">
      <t>トモユキ</t>
    </rPh>
    <phoneticPr fontId="3"/>
  </si>
  <si>
    <t>186京都1区</t>
    <rPh sb="3" eb="5">
      <t>キョウト</t>
    </rPh>
    <rPh sb="6" eb="7">
      <t>ク</t>
    </rPh>
    <phoneticPr fontId="3"/>
  </si>
  <si>
    <t>大院(米/カリフォルニア州立ロサンゼルス)</t>
    <rPh sb="0" eb="2">
      <t>ダイイン</t>
    </rPh>
    <rPh sb="3" eb="4">
      <t>ベイ</t>
    </rPh>
    <rPh sb="12" eb="14">
      <t>シュウリツ</t>
    </rPh>
    <phoneticPr fontId="3"/>
  </si>
  <si>
    <t>大学教員(東洋大学非常勤講師),ラジオタレント</t>
    <rPh sb="0" eb="2">
      <t>ダイガク</t>
    </rPh>
    <rPh sb="2" eb="4">
      <t>キョウイン</t>
    </rPh>
    <rPh sb="5" eb="7">
      <t>トウヨウ</t>
    </rPh>
    <rPh sb="7" eb="9">
      <t>ダイガク</t>
    </rPh>
    <rPh sb="9" eb="12">
      <t>ヒジョウキン</t>
    </rPh>
    <rPh sb="12" eb="14">
      <t>コウシ</t>
    </rPh>
    <phoneticPr fontId="3"/>
  </si>
  <si>
    <t>タ</t>
    <phoneticPr fontId="3"/>
  </si>
  <si>
    <t>187京都2区01</t>
    <rPh sb="3" eb="5">
      <t>キョウト</t>
    </rPh>
    <rPh sb="6" eb="7">
      <t>ク</t>
    </rPh>
    <phoneticPr fontId="3"/>
  </si>
  <si>
    <t>187京都2区02</t>
    <rPh sb="3" eb="5">
      <t>キョウト</t>
    </rPh>
    <rPh sb="6" eb="7">
      <t>ク</t>
    </rPh>
    <phoneticPr fontId="3"/>
  </si>
  <si>
    <t>187京都2区03</t>
    <rPh sb="3" eb="5">
      <t>キョウト</t>
    </rPh>
    <rPh sb="6" eb="7">
      <t>ク</t>
    </rPh>
    <phoneticPr fontId="3"/>
  </si>
  <si>
    <t>前原　誠司</t>
    <rPh sb="0" eb="2">
      <t>マエハラ</t>
    </rPh>
    <rPh sb="3" eb="5">
      <t>セイジ</t>
    </rPh>
    <phoneticPr fontId="3"/>
  </si>
  <si>
    <t>187京都2区</t>
    <rPh sb="3" eb="5">
      <t>キョウト</t>
    </rPh>
    <rPh sb="6" eb="7">
      <t>ク</t>
    </rPh>
    <phoneticPr fontId="3"/>
  </si>
  <si>
    <t>議松</t>
    <rPh sb="0" eb="1">
      <t>ギ</t>
    </rPh>
    <rPh sb="1" eb="2">
      <t>マツ</t>
    </rPh>
    <phoneticPr fontId="3"/>
  </si>
  <si>
    <t>国家戦略担当大臣・経済財政・科学技術担当相，元大臣(外務,国交・沖北),委長(沖北特),民主党政調会長,代表,副代表,幹事長代理</t>
    <rPh sb="0" eb="2">
      <t>コッカ</t>
    </rPh>
    <rPh sb="2" eb="4">
      <t>センリャク</t>
    </rPh>
    <rPh sb="4" eb="6">
      <t>タントウ</t>
    </rPh>
    <rPh sb="6" eb="8">
      <t>ダイジン</t>
    </rPh>
    <rPh sb="9" eb="11">
      <t>ケイザイ</t>
    </rPh>
    <rPh sb="11" eb="13">
      <t>ザイセイ</t>
    </rPh>
    <rPh sb="14" eb="16">
      <t>カガク</t>
    </rPh>
    <rPh sb="16" eb="18">
      <t>ギジュツ</t>
    </rPh>
    <rPh sb="18" eb="21">
      <t>タントウショウ</t>
    </rPh>
    <rPh sb="22" eb="25">
      <t>モトダイジン</t>
    </rPh>
    <rPh sb="26" eb="28">
      <t>ガイム</t>
    </rPh>
    <rPh sb="29" eb="31">
      <t>コッコウ</t>
    </rPh>
    <rPh sb="32" eb="34">
      <t>オキホク</t>
    </rPh>
    <rPh sb="36" eb="38">
      <t>イチョウ</t>
    </rPh>
    <rPh sb="39" eb="40">
      <t>オキ</t>
    </rPh>
    <rPh sb="40" eb="42">
      <t>ホクトク</t>
    </rPh>
    <rPh sb="44" eb="47">
      <t>ミンシュトウ</t>
    </rPh>
    <rPh sb="47" eb="49">
      <t>セイチョウ</t>
    </rPh>
    <rPh sb="49" eb="51">
      <t>カイチョウ</t>
    </rPh>
    <rPh sb="52" eb="54">
      <t>ダイヒョウ</t>
    </rPh>
    <rPh sb="55" eb="58">
      <t>フクダイヒョウ</t>
    </rPh>
    <rPh sb="59" eb="62">
      <t>カンジチョウ</t>
    </rPh>
    <rPh sb="62" eb="64">
      <t>ダイリ</t>
    </rPh>
    <phoneticPr fontId="3"/>
  </si>
  <si>
    <t>上中　康司</t>
    <rPh sb="0" eb="2">
      <t>ウエナカ</t>
    </rPh>
    <rPh sb="3" eb="5">
      <t>コウジ</t>
    </rPh>
    <phoneticPr fontId="3"/>
  </si>
  <si>
    <t>会社社長(エフエードットコム),銀行員(シティバンク)</t>
    <rPh sb="0" eb="2">
      <t>カイシャ</t>
    </rPh>
    <rPh sb="2" eb="4">
      <t>シャチョウ</t>
    </rPh>
    <rPh sb="16" eb="19">
      <t>ギンコウイン</t>
    </rPh>
    <phoneticPr fontId="3"/>
  </si>
  <si>
    <t>原　　俊史</t>
    <rPh sb="0" eb="1">
      <t>ハラ</t>
    </rPh>
    <rPh sb="3" eb="5">
      <t>トシフミ</t>
    </rPh>
    <phoneticPr fontId="3"/>
  </si>
  <si>
    <t>共産党京都府委員,民青同盟京都府委員長</t>
    <rPh sb="0" eb="3">
      <t>キョウサントウ</t>
    </rPh>
    <rPh sb="3" eb="6">
      <t>キョウトフ</t>
    </rPh>
    <rPh sb="6" eb="8">
      <t>イイン</t>
    </rPh>
    <rPh sb="9" eb="13">
      <t>ミンセイドウメイ</t>
    </rPh>
    <rPh sb="13" eb="16">
      <t>キョウトフ</t>
    </rPh>
    <rPh sb="16" eb="19">
      <t>イインチョウ</t>
    </rPh>
    <phoneticPr fontId="3"/>
  </si>
  <si>
    <t>188京都3区01</t>
    <rPh sb="3" eb="5">
      <t>キョウト</t>
    </rPh>
    <rPh sb="6" eb="7">
      <t>ク</t>
    </rPh>
    <phoneticPr fontId="3"/>
  </si>
  <si>
    <t>188京都3区02</t>
    <rPh sb="3" eb="5">
      <t>キョウト</t>
    </rPh>
    <rPh sb="6" eb="7">
      <t>ク</t>
    </rPh>
    <phoneticPr fontId="3"/>
  </si>
  <si>
    <t>188京都3区03</t>
    <rPh sb="3" eb="5">
      <t>キョウト</t>
    </rPh>
    <rPh sb="6" eb="7">
      <t>ク</t>
    </rPh>
    <phoneticPr fontId="3"/>
  </si>
  <si>
    <t>188京都3区04</t>
    <rPh sb="3" eb="5">
      <t>キョウト</t>
    </rPh>
    <rPh sb="6" eb="7">
      <t>ク</t>
    </rPh>
    <phoneticPr fontId="3"/>
  </si>
  <si>
    <t>泉　　健太</t>
    <rPh sb="0" eb="1">
      <t>イズミ</t>
    </rPh>
    <rPh sb="3" eb="5">
      <t>ケンタ</t>
    </rPh>
    <phoneticPr fontId="3"/>
  </si>
  <si>
    <t>188京都3区</t>
    <rPh sb="3" eb="5">
      <t>キョウト</t>
    </rPh>
    <rPh sb="6" eb="7">
      <t>ク</t>
    </rPh>
    <phoneticPr fontId="3"/>
  </si>
  <si>
    <t>議員秘書(福山哲郎)</t>
    <rPh sb="0" eb="2">
      <t>ギイン</t>
    </rPh>
    <rPh sb="2" eb="4">
      <t>ヒショ</t>
    </rPh>
    <rPh sb="5" eb="7">
      <t>フクヤマ</t>
    </rPh>
    <rPh sb="7" eb="9">
      <t>テツロウ</t>
    </rPh>
    <phoneticPr fontId="3"/>
  </si>
  <si>
    <t>　元政務官(内閣)</t>
    <rPh sb="1" eb="2">
      <t>モト</t>
    </rPh>
    <rPh sb="2" eb="5">
      <t>セイムカン</t>
    </rPh>
    <rPh sb="6" eb="8">
      <t>ナイカク</t>
    </rPh>
    <phoneticPr fontId="3"/>
  </si>
  <si>
    <t>宮崎　謙介</t>
    <rPh sb="0" eb="2">
      <t>ミヤザキ</t>
    </rPh>
    <rPh sb="3" eb="5">
      <t>ケンスケ</t>
    </rPh>
    <phoneticPr fontId="3"/>
  </si>
  <si>
    <t>大学教員(京都大学大学院非常勤講師),会社役員(ネオトラディション)</t>
    <rPh sb="0" eb="2">
      <t>ダイガク</t>
    </rPh>
    <rPh sb="2" eb="4">
      <t>キョウイン</t>
    </rPh>
    <rPh sb="5" eb="7">
      <t>キョウト</t>
    </rPh>
    <rPh sb="7" eb="9">
      <t>ダイガク</t>
    </rPh>
    <rPh sb="9" eb="12">
      <t>ダイガクイン</t>
    </rPh>
    <rPh sb="12" eb="15">
      <t>ヒジョウキン</t>
    </rPh>
    <rPh sb="15" eb="17">
      <t>コウシ</t>
    </rPh>
    <rPh sb="19" eb="21">
      <t>カイシャ</t>
    </rPh>
    <rPh sb="21" eb="23">
      <t>ヤクイン</t>
    </rPh>
    <phoneticPr fontId="3"/>
  </si>
  <si>
    <t>石村　和子</t>
    <rPh sb="0" eb="2">
      <t>イシムラ</t>
    </rPh>
    <rPh sb="3" eb="5">
      <t>カズコ</t>
    </rPh>
    <phoneticPr fontId="3"/>
  </si>
  <si>
    <t>共産党京都府委員,小学校教諭</t>
    <rPh sb="0" eb="3">
      <t>キョウサントウ</t>
    </rPh>
    <rPh sb="3" eb="6">
      <t>キョウトフ</t>
    </rPh>
    <rPh sb="6" eb="8">
      <t>イイン</t>
    </rPh>
    <rPh sb="9" eb="12">
      <t>ショウガッコウ</t>
    </rPh>
    <rPh sb="12" eb="14">
      <t>キョウユ</t>
    </rPh>
    <phoneticPr fontId="3"/>
  </si>
  <si>
    <t>大院(大阪医科)</t>
    <rPh sb="0" eb="2">
      <t>ダイイン</t>
    </rPh>
    <rPh sb="3" eb="5">
      <t>オオサカ</t>
    </rPh>
    <rPh sb="5" eb="7">
      <t>イカ</t>
    </rPh>
    <phoneticPr fontId="3"/>
  </si>
  <si>
    <t>189京都4区01</t>
    <rPh sb="3" eb="5">
      <t>キョウト</t>
    </rPh>
    <rPh sb="6" eb="7">
      <t>ク</t>
    </rPh>
    <phoneticPr fontId="3"/>
  </si>
  <si>
    <t>189京都4区02</t>
    <rPh sb="3" eb="5">
      <t>キョウト</t>
    </rPh>
    <rPh sb="6" eb="7">
      <t>ク</t>
    </rPh>
    <phoneticPr fontId="3"/>
  </si>
  <si>
    <t>189京都4区03</t>
    <rPh sb="3" eb="5">
      <t>キョウト</t>
    </rPh>
    <rPh sb="6" eb="7">
      <t>ク</t>
    </rPh>
    <phoneticPr fontId="3"/>
  </si>
  <si>
    <t>189京都4区04</t>
    <rPh sb="3" eb="5">
      <t>キョウト</t>
    </rPh>
    <rPh sb="6" eb="7">
      <t>ク</t>
    </rPh>
    <phoneticPr fontId="3"/>
  </si>
  <si>
    <t>189京都4区05</t>
    <rPh sb="3" eb="5">
      <t>キョウト</t>
    </rPh>
    <rPh sb="6" eb="7">
      <t>ク</t>
    </rPh>
    <phoneticPr fontId="3"/>
  </si>
  <si>
    <t>189京都4区06</t>
    <rPh sb="3" eb="5">
      <t>キョウト</t>
    </rPh>
    <rPh sb="6" eb="7">
      <t>ク</t>
    </rPh>
    <phoneticPr fontId="3"/>
  </si>
  <si>
    <t>189京都4区07</t>
    <rPh sb="3" eb="5">
      <t>キョウト</t>
    </rPh>
    <rPh sb="6" eb="7">
      <t>ク</t>
    </rPh>
    <phoneticPr fontId="3"/>
  </si>
  <si>
    <t>北神　圭朗</t>
    <rPh sb="0" eb="2">
      <t>キタガミ</t>
    </rPh>
    <rPh sb="3" eb="4">
      <t>ケイ</t>
    </rPh>
    <rPh sb="4" eb="5">
      <t>ロウ</t>
    </rPh>
    <phoneticPr fontId="3"/>
  </si>
  <si>
    <t>189京都4区</t>
    <rPh sb="3" eb="5">
      <t>キョウト</t>
    </rPh>
    <rPh sb="6" eb="7">
      <t>ク</t>
    </rPh>
    <phoneticPr fontId="3"/>
  </si>
  <si>
    <t>岩手県農水部企画課長(財務省)</t>
    <rPh sb="0" eb="3">
      <t>イワテケン</t>
    </rPh>
    <rPh sb="3" eb="5">
      <t>ノウスイ</t>
    </rPh>
    <rPh sb="5" eb="6">
      <t>ブ</t>
    </rPh>
    <rPh sb="6" eb="8">
      <t>キカク</t>
    </rPh>
    <rPh sb="8" eb="10">
      <t>カチョウ</t>
    </rPh>
    <rPh sb="11" eb="14">
      <t>ザイムショウ</t>
    </rPh>
    <phoneticPr fontId="3"/>
  </si>
  <si>
    <t>首相補佐官，元政務官(経産・内閣)</t>
    <rPh sb="0" eb="2">
      <t>シュショウ</t>
    </rPh>
    <rPh sb="2" eb="5">
      <t>ホサカン</t>
    </rPh>
    <rPh sb="6" eb="7">
      <t>モト</t>
    </rPh>
    <rPh sb="7" eb="10">
      <t>セイムカン</t>
    </rPh>
    <rPh sb="11" eb="13">
      <t>ケイサン</t>
    </rPh>
    <rPh sb="14" eb="16">
      <t>ナイカク</t>
    </rPh>
    <phoneticPr fontId="3"/>
  </si>
  <si>
    <t>田中　英之</t>
    <rPh sb="0" eb="2">
      <t>タナカ</t>
    </rPh>
    <rPh sb="3" eb="5">
      <t>ヒデユキ</t>
    </rPh>
    <phoneticPr fontId="3"/>
  </si>
  <si>
    <t>大(京都外国語)</t>
    <rPh sb="0" eb="1">
      <t>ダイ</t>
    </rPh>
    <rPh sb="2" eb="4">
      <t>キョウト</t>
    </rPh>
    <rPh sb="4" eb="7">
      <t>ガイコクゴ</t>
    </rPh>
    <phoneticPr fontId="3"/>
  </si>
  <si>
    <t>京都府・京都市議,保育園理事長(川勝寺)</t>
    <rPh sb="0" eb="3">
      <t>キョウトフ</t>
    </rPh>
    <rPh sb="4" eb="6">
      <t>キョウト</t>
    </rPh>
    <rPh sb="6" eb="8">
      <t>シギ</t>
    </rPh>
    <rPh sb="9" eb="12">
      <t>ホイクエン</t>
    </rPh>
    <rPh sb="12" eb="15">
      <t>リジチョウ</t>
    </rPh>
    <rPh sb="16" eb="18">
      <t>カワカツ</t>
    </rPh>
    <rPh sb="18" eb="19">
      <t>テラ</t>
    </rPh>
    <phoneticPr fontId="3"/>
  </si>
  <si>
    <t>吉田　幸一</t>
    <rPh sb="0" eb="2">
      <t>ヨシダ</t>
    </rPh>
    <rPh sb="3" eb="5">
      <t>コウイチ</t>
    </rPh>
    <phoneticPr fontId="3"/>
  </si>
  <si>
    <t>共産党京都府委員,京都府学生自治連書記長</t>
    <rPh sb="0" eb="3">
      <t>キョウサントウ</t>
    </rPh>
    <rPh sb="3" eb="6">
      <t>キョウトフ</t>
    </rPh>
    <rPh sb="6" eb="8">
      <t>イイン</t>
    </rPh>
    <rPh sb="9" eb="12">
      <t>キョウトフ</t>
    </rPh>
    <rPh sb="12" eb="14">
      <t>ガクセイ</t>
    </rPh>
    <rPh sb="14" eb="16">
      <t>ジチ</t>
    </rPh>
    <rPh sb="16" eb="17">
      <t>レン</t>
    </rPh>
    <rPh sb="17" eb="20">
      <t>ショキチョウ</t>
    </rPh>
    <phoneticPr fontId="3"/>
  </si>
  <si>
    <t>石田　哲雄</t>
    <rPh sb="0" eb="2">
      <t>イシダ</t>
    </rPh>
    <rPh sb="3" eb="5">
      <t>テツオ</t>
    </rPh>
    <phoneticPr fontId="3"/>
  </si>
  <si>
    <t>大院(大阪学院)</t>
    <rPh sb="0" eb="2">
      <t>ダイイン</t>
    </rPh>
    <rPh sb="3" eb="5">
      <t>オオサカ</t>
    </rPh>
    <rPh sb="5" eb="7">
      <t>ガクイン</t>
    </rPh>
    <phoneticPr fontId="3"/>
  </si>
  <si>
    <t>税理士,会社社長(石さん)</t>
    <rPh sb="0" eb="3">
      <t>ゼイリシ</t>
    </rPh>
    <rPh sb="4" eb="6">
      <t>カイシャ</t>
    </rPh>
    <rPh sb="6" eb="8">
      <t>シャチョウ</t>
    </rPh>
    <rPh sb="9" eb="10">
      <t>イシ</t>
    </rPh>
    <phoneticPr fontId="3"/>
  </si>
  <si>
    <t>豊田　潤多郎</t>
    <rPh sb="0" eb="2">
      <t>トヨダ</t>
    </rPh>
    <rPh sb="3" eb="4">
      <t>ジュン</t>
    </rPh>
    <rPh sb="4" eb="6">
      <t>タロウ</t>
    </rPh>
    <phoneticPr fontId="3"/>
  </si>
  <si>
    <t>308比例近畿10</t>
    <rPh sb="3" eb="5">
      <t>ヒレイ</t>
    </rPh>
    <rPh sb="5" eb="7">
      <t>キンキ</t>
    </rPh>
    <phoneticPr fontId="3"/>
  </si>
  <si>
    <t>大蔵省大臣官房企画官</t>
    <rPh sb="0" eb="10">
      <t>オオクラショウダイジンカンボウキカクカン</t>
    </rPh>
    <phoneticPr fontId="3"/>
  </si>
  <si>
    <t>和田　美奈</t>
    <rPh sb="0" eb="2">
      <t>ワダ</t>
    </rPh>
    <rPh sb="3" eb="5">
      <t>ミナ</t>
    </rPh>
    <phoneticPr fontId="3"/>
  </si>
  <si>
    <t>大院(佛教)</t>
    <rPh sb="0" eb="2">
      <t>ダイイン</t>
    </rPh>
    <rPh sb="3" eb="5">
      <t>ブッキョウ</t>
    </rPh>
    <phoneticPr fontId="3"/>
  </si>
  <si>
    <t>幸福実現党員,専門学校講師</t>
    <rPh sb="0" eb="2">
      <t>コウフク</t>
    </rPh>
    <rPh sb="2" eb="4">
      <t>ジツゲン</t>
    </rPh>
    <rPh sb="4" eb="6">
      <t>トウイン</t>
    </rPh>
    <rPh sb="7" eb="9">
      <t>センモン</t>
    </rPh>
    <rPh sb="9" eb="11">
      <t>ガッコウ</t>
    </rPh>
    <rPh sb="11" eb="13">
      <t>コウシ</t>
    </rPh>
    <phoneticPr fontId="3"/>
  </si>
  <si>
    <t>中川　泰宏</t>
    <rPh sb="0" eb="2">
      <t>ナカガワ</t>
    </rPh>
    <rPh sb="3" eb="5">
      <t>ヤスヒロ</t>
    </rPh>
    <phoneticPr fontId="3"/>
  </si>
  <si>
    <t>自無</t>
    <rPh sb="0" eb="1">
      <t>ジ</t>
    </rPh>
    <rPh sb="1" eb="2">
      <t>ム</t>
    </rPh>
    <phoneticPr fontId="3"/>
  </si>
  <si>
    <t>高(園部)</t>
    <rPh sb="0" eb="1">
      <t>コウ</t>
    </rPh>
    <rPh sb="2" eb="4">
      <t>ソノベ</t>
    </rPh>
    <phoneticPr fontId="3"/>
  </si>
  <si>
    <t>京都府・八木町長,京都府・八木町議,JA京都会長</t>
    <rPh sb="0" eb="3">
      <t>キョウトフ</t>
    </rPh>
    <rPh sb="4" eb="6">
      <t>ヤギ</t>
    </rPh>
    <rPh sb="6" eb="8">
      <t>チョウチョウ</t>
    </rPh>
    <rPh sb="9" eb="12">
      <t>キョウトフ</t>
    </rPh>
    <rPh sb="13" eb="15">
      <t>ヤギ</t>
    </rPh>
    <rPh sb="15" eb="17">
      <t>チョウギ</t>
    </rPh>
    <rPh sb="20" eb="22">
      <t>キョウト</t>
    </rPh>
    <rPh sb="22" eb="24">
      <t>カイチョウ</t>
    </rPh>
    <phoneticPr fontId="3"/>
  </si>
  <si>
    <t>議首</t>
    <rPh sb="0" eb="1">
      <t>ギ</t>
    </rPh>
    <rPh sb="1" eb="2">
      <t>クビ</t>
    </rPh>
    <phoneticPr fontId="3"/>
  </si>
  <si>
    <t>首</t>
    <rPh sb="0" eb="1">
      <t>クビ</t>
    </rPh>
    <phoneticPr fontId="3"/>
  </si>
  <si>
    <t>190京都5区01</t>
    <rPh sb="3" eb="5">
      <t>キョウト</t>
    </rPh>
    <rPh sb="6" eb="7">
      <t>ク</t>
    </rPh>
    <phoneticPr fontId="3"/>
  </si>
  <si>
    <t>190京都5区02</t>
    <rPh sb="3" eb="5">
      <t>キョウト</t>
    </rPh>
    <rPh sb="6" eb="7">
      <t>ク</t>
    </rPh>
    <phoneticPr fontId="3"/>
  </si>
  <si>
    <t>190京都5区03</t>
    <rPh sb="3" eb="5">
      <t>キョウト</t>
    </rPh>
    <rPh sb="6" eb="7">
      <t>ク</t>
    </rPh>
    <phoneticPr fontId="3"/>
  </si>
  <si>
    <t>小原　　舞</t>
    <rPh sb="0" eb="2">
      <t>オハラ</t>
    </rPh>
    <rPh sb="4" eb="5">
      <t>マイ</t>
    </rPh>
    <phoneticPr fontId="3"/>
  </si>
  <si>
    <t>308比例近畿02</t>
    <rPh sb="3" eb="5">
      <t>ヒレイ</t>
    </rPh>
    <rPh sb="5" eb="7">
      <t>キンキ</t>
    </rPh>
    <phoneticPr fontId="3"/>
  </si>
  <si>
    <t>谷垣　禎一</t>
    <rPh sb="0" eb="2">
      <t>タニガキ</t>
    </rPh>
    <rPh sb="3" eb="5">
      <t>サダカズ</t>
    </rPh>
    <phoneticPr fontId="3"/>
  </si>
  <si>
    <t>190京都5区</t>
    <rPh sb="3" eb="5">
      <t>キョウト</t>
    </rPh>
    <rPh sb="6" eb="7">
      <t>ク</t>
    </rPh>
    <phoneticPr fontId="3"/>
  </si>
  <si>
    <t>弁護士</t>
    <rPh sb="0" eb="3">
      <t>ベンゴシ</t>
    </rPh>
    <phoneticPr fontId="3"/>
  </si>
  <si>
    <t>　元大臣(国交,財務,公安・産業再生,金融,科技),委長(議運,逓信),政務次官(大蔵,防衛,郵政),自民党総裁,政調会長</t>
    <rPh sb="1" eb="4">
      <t>モトダイジン</t>
    </rPh>
    <rPh sb="5" eb="7">
      <t>コッコウ</t>
    </rPh>
    <rPh sb="8" eb="10">
      <t>ザイム</t>
    </rPh>
    <rPh sb="11" eb="13">
      <t>コウアン</t>
    </rPh>
    <rPh sb="14" eb="16">
      <t>サンギョウ</t>
    </rPh>
    <rPh sb="16" eb="18">
      <t>サイセイ</t>
    </rPh>
    <rPh sb="19" eb="21">
      <t>キンユウ</t>
    </rPh>
    <rPh sb="22" eb="24">
      <t>カギ</t>
    </rPh>
    <rPh sb="26" eb="28">
      <t>イチョウ</t>
    </rPh>
    <rPh sb="29" eb="30">
      <t>ギ</t>
    </rPh>
    <rPh sb="30" eb="31">
      <t>ウン</t>
    </rPh>
    <rPh sb="32" eb="34">
      <t>テイシン</t>
    </rPh>
    <rPh sb="36" eb="38">
      <t>セイム</t>
    </rPh>
    <rPh sb="38" eb="40">
      <t>ジカン</t>
    </rPh>
    <rPh sb="41" eb="43">
      <t>オオクラ</t>
    </rPh>
    <rPh sb="44" eb="46">
      <t>ボウエイ</t>
    </rPh>
    <rPh sb="47" eb="49">
      <t>ユウセイ</t>
    </rPh>
    <rPh sb="51" eb="54">
      <t>ジミントウ</t>
    </rPh>
    <rPh sb="54" eb="56">
      <t>ソウサイ</t>
    </rPh>
    <rPh sb="57" eb="59">
      <t>セイチョウ</t>
    </rPh>
    <rPh sb="59" eb="61">
      <t>カイチョウ</t>
    </rPh>
    <phoneticPr fontId="3"/>
  </si>
  <si>
    <t>二法</t>
    <rPh sb="0" eb="1">
      <t>ニ</t>
    </rPh>
    <rPh sb="1" eb="2">
      <t>ホウ</t>
    </rPh>
    <phoneticPr fontId="3"/>
  </si>
  <si>
    <t>法</t>
    <rPh sb="0" eb="1">
      <t>ホウ</t>
    </rPh>
    <phoneticPr fontId="3"/>
  </si>
  <si>
    <t>吉田　早由美</t>
    <rPh sb="0" eb="2">
      <t>ヨシダ</t>
    </rPh>
    <rPh sb="3" eb="6">
      <t>サユミ</t>
    </rPh>
    <phoneticPr fontId="3"/>
  </si>
  <si>
    <t>大(龍谷)</t>
    <rPh sb="0" eb="1">
      <t>ダイ</t>
    </rPh>
    <rPh sb="2" eb="4">
      <t>リュウコク</t>
    </rPh>
    <phoneticPr fontId="3"/>
  </si>
  <si>
    <t>京都府・峰山町議,保育士</t>
    <rPh sb="0" eb="3">
      <t>キョウトフ</t>
    </rPh>
    <rPh sb="4" eb="6">
      <t>ミネヤマ</t>
    </rPh>
    <rPh sb="6" eb="8">
      <t>チョウギ</t>
    </rPh>
    <rPh sb="9" eb="12">
      <t>ホイクシ</t>
    </rPh>
    <phoneticPr fontId="3"/>
  </si>
  <si>
    <t>191京都6区01</t>
    <rPh sb="3" eb="5">
      <t>キョウト</t>
    </rPh>
    <rPh sb="6" eb="7">
      <t>ク</t>
    </rPh>
    <phoneticPr fontId="3"/>
  </si>
  <si>
    <t>191京都6区02</t>
    <rPh sb="3" eb="5">
      <t>キョウト</t>
    </rPh>
    <rPh sb="6" eb="7">
      <t>ク</t>
    </rPh>
    <phoneticPr fontId="3"/>
  </si>
  <si>
    <t>191京都6区03</t>
    <rPh sb="3" eb="5">
      <t>キョウト</t>
    </rPh>
    <rPh sb="6" eb="7">
      <t>ク</t>
    </rPh>
    <phoneticPr fontId="3"/>
  </si>
  <si>
    <t>山井　和則</t>
    <rPh sb="0" eb="2">
      <t>ヤマノイ</t>
    </rPh>
    <rPh sb="3" eb="5">
      <t>カズノリ</t>
    </rPh>
    <phoneticPr fontId="3"/>
  </si>
  <si>
    <t>191京都6区</t>
    <rPh sb="3" eb="5">
      <t>キョウト</t>
    </rPh>
    <rPh sb="6" eb="7">
      <t>ク</t>
    </rPh>
    <phoneticPr fontId="3"/>
  </si>
  <si>
    <t>民主党国対委員長，元政務官(厚労)</t>
    <rPh sb="0" eb="3">
      <t>ミンシュトウ</t>
    </rPh>
    <rPh sb="3" eb="5">
      <t>コクタイ</t>
    </rPh>
    <rPh sb="5" eb="8">
      <t>イインチョウ</t>
    </rPh>
    <rPh sb="9" eb="10">
      <t>モト</t>
    </rPh>
    <rPh sb="10" eb="13">
      <t>セイムカン</t>
    </rPh>
    <rPh sb="14" eb="16">
      <t>コウロウ</t>
    </rPh>
    <phoneticPr fontId="3"/>
  </si>
  <si>
    <t>安藤　　裕</t>
    <rPh sb="0" eb="2">
      <t>アンドウ</t>
    </rPh>
    <rPh sb="4" eb="5">
      <t>ヒロシ</t>
    </rPh>
    <phoneticPr fontId="3"/>
  </si>
  <si>
    <t>税理士,会社員(相模鉄道)</t>
    <rPh sb="0" eb="3">
      <t>ゼイリシ</t>
    </rPh>
    <rPh sb="4" eb="7">
      <t>カイシャイン</t>
    </rPh>
    <rPh sb="8" eb="10">
      <t>サガミ</t>
    </rPh>
    <rPh sb="10" eb="12">
      <t>テツドウ</t>
    </rPh>
    <phoneticPr fontId="3"/>
  </si>
  <si>
    <t>河上　満栄</t>
    <rPh sb="0" eb="2">
      <t>カワカミ</t>
    </rPh>
    <rPh sb="3" eb="4">
      <t>ミツ</t>
    </rPh>
    <rPh sb="4" eb="5">
      <t>エ</t>
    </rPh>
    <phoneticPr fontId="3"/>
  </si>
  <si>
    <t>会社員(ノースウエスト航空,全日空)</t>
    <rPh sb="0" eb="3">
      <t>カイシャイン</t>
    </rPh>
    <rPh sb="11" eb="13">
      <t>コウクウ</t>
    </rPh>
    <rPh sb="14" eb="17">
      <t>ゼンニックウ</t>
    </rPh>
    <phoneticPr fontId="3"/>
  </si>
  <si>
    <t>上條　亮一</t>
    <rPh sb="0" eb="2">
      <t>カミジョウ</t>
    </rPh>
    <rPh sb="3" eb="5">
      <t>リョウイチ</t>
    </rPh>
    <phoneticPr fontId="3"/>
  </si>
  <si>
    <t>大院(大阪)</t>
    <rPh sb="0" eb="2">
      <t>ダイイン</t>
    </rPh>
    <rPh sb="3" eb="5">
      <t>オオサカ</t>
    </rPh>
    <phoneticPr fontId="3"/>
  </si>
  <si>
    <t>共産党京都府委員,京都府学生自治連書記次長</t>
    <rPh sb="0" eb="3">
      <t>キョウサントウ</t>
    </rPh>
    <rPh sb="3" eb="6">
      <t>キョウトフ</t>
    </rPh>
    <rPh sb="6" eb="8">
      <t>イイン</t>
    </rPh>
    <rPh sb="9" eb="12">
      <t>キョウトフ</t>
    </rPh>
    <rPh sb="12" eb="14">
      <t>ガクセイ</t>
    </rPh>
    <rPh sb="14" eb="16">
      <t>ジチ</t>
    </rPh>
    <rPh sb="16" eb="17">
      <t>レン</t>
    </rPh>
    <rPh sb="17" eb="19">
      <t>ショキ</t>
    </rPh>
    <rPh sb="19" eb="21">
      <t>ジチョウ</t>
    </rPh>
    <phoneticPr fontId="3"/>
  </si>
  <si>
    <t>192大阪1区01</t>
    <rPh sb="3" eb="5">
      <t>オオサカ</t>
    </rPh>
    <rPh sb="6" eb="7">
      <t>ク</t>
    </rPh>
    <phoneticPr fontId="3"/>
  </si>
  <si>
    <t>192大阪1区02</t>
    <rPh sb="3" eb="5">
      <t>オオサカ</t>
    </rPh>
    <rPh sb="6" eb="7">
      <t>ク</t>
    </rPh>
    <phoneticPr fontId="3"/>
  </si>
  <si>
    <t>192大阪1区03</t>
    <rPh sb="3" eb="5">
      <t>オオサカ</t>
    </rPh>
    <rPh sb="6" eb="7">
      <t>ク</t>
    </rPh>
    <phoneticPr fontId="3"/>
  </si>
  <si>
    <t>192大阪1区04</t>
    <rPh sb="3" eb="5">
      <t>オオサカ</t>
    </rPh>
    <rPh sb="6" eb="7">
      <t>ク</t>
    </rPh>
    <phoneticPr fontId="3"/>
  </si>
  <si>
    <t>192大阪1区05</t>
    <rPh sb="3" eb="5">
      <t>オオサカ</t>
    </rPh>
    <rPh sb="6" eb="7">
      <t>ク</t>
    </rPh>
    <phoneticPr fontId="3"/>
  </si>
  <si>
    <t>192大阪1区06</t>
    <rPh sb="3" eb="5">
      <t>オオサカ</t>
    </rPh>
    <rPh sb="6" eb="7">
      <t>ク</t>
    </rPh>
    <phoneticPr fontId="3"/>
  </si>
  <si>
    <t>佐藤　奈保美</t>
    <rPh sb="0" eb="2">
      <t>サトウ</t>
    </rPh>
    <rPh sb="3" eb="6">
      <t>ナオミ</t>
    </rPh>
    <phoneticPr fontId="3"/>
  </si>
  <si>
    <t>短大(生活学園)</t>
    <rPh sb="0" eb="2">
      <t>タンダイ</t>
    </rPh>
    <rPh sb="3" eb="5">
      <t>セイカツ</t>
    </rPh>
    <rPh sb="5" eb="7">
      <t>ガクエン</t>
    </rPh>
    <phoneticPr fontId="3"/>
  </si>
  <si>
    <t>温泉旅館経営,議員秘書(菅原喜重郎)</t>
    <rPh sb="0" eb="2">
      <t>オンセン</t>
    </rPh>
    <rPh sb="2" eb="4">
      <t>リョカン</t>
    </rPh>
    <rPh sb="4" eb="6">
      <t>ケイエイ</t>
    </rPh>
    <rPh sb="7" eb="9">
      <t>ギイン</t>
    </rPh>
    <rPh sb="9" eb="11">
      <t>ヒショ</t>
    </rPh>
    <rPh sb="12" eb="14">
      <t>スガワラ</t>
    </rPh>
    <rPh sb="14" eb="17">
      <t>キジュウロウ</t>
    </rPh>
    <phoneticPr fontId="3"/>
  </si>
  <si>
    <t>大西　宏幸</t>
    <rPh sb="0" eb="2">
      <t>オオニシ</t>
    </rPh>
    <rPh sb="3" eb="5">
      <t>ヒロユキ</t>
    </rPh>
    <phoneticPr fontId="3"/>
  </si>
  <si>
    <t>大(芦屋)</t>
    <rPh sb="0" eb="1">
      <t>ダイ</t>
    </rPh>
    <rPh sb="2" eb="4">
      <t>アシヤ</t>
    </rPh>
    <phoneticPr fontId="3"/>
  </si>
  <si>
    <t>大阪府・大阪市議,大阪市議秘書</t>
    <rPh sb="0" eb="3">
      <t>オオサカフ</t>
    </rPh>
    <rPh sb="4" eb="6">
      <t>オオサカ</t>
    </rPh>
    <rPh sb="6" eb="8">
      <t>シギ</t>
    </rPh>
    <rPh sb="9" eb="11">
      <t>オオサカ</t>
    </rPh>
    <rPh sb="11" eb="13">
      <t>シギ</t>
    </rPh>
    <rPh sb="13" eb="15">
      <t>ヒショ</t>
    </rPh>
    <phoneticPr fontId="3"/>
  </si>
  <si>
    <t>議</t>
    <rPh sb="0" eb="1">
      <t>ギ</t>
    </rPh>
    <phoneticPr fontId="3"/>
  </si>
  <si>
    <t>大院(桃山学院)</t>
    <rPh sb="0" eb="2">
      <t>ダイイン</t>
    </rPh>
    <rPh sb="3" eb="5">
      <t>モモヤマ</t>
    </rPh>
    <rPh sb="5" eb="7">
      <t>ガクイン</t>
    </rPh>
    <phoneticPr fontId="3"/>
  </si>
  <si>
    <t>議員秘書(湯川宏)</t>
    <rPh sb="0" eb="2">
      <t>ギイン</t>
    </rPh>
    <rPh sb="2" eb="4">
      <t>ヒショ</t>
    </rPh>
    <rPh sb="5" eb="7">
      <t>ユカワ</t>
    </rPh>
    <rPh sb="7" eb="8">
      <t>ヒロシ</t>
    </rPh>
    <phoneticPr fontId="3"/>
  </si>
  <si>
    <t>吉川　玲子</t>
    <rPh sb="0" eb="2">
      <t>ヨシカワ</t>
    </rPh>
    <rPh sb="3" eb="5">
      <t>レイコ</t>
    </rPh>
    <phoneticPr fontId="3"/>
  </si>
  <si>
    <t>大(同朋)</t>
    <rPh sb="0" eb="1">
      <t>ダイ</t>
    </rPh>
    <rPh sb="2" eb="4">
      <t>ドウホウ</t>
    </rPh>
    <phoneticPr fontId="3"/>
  </si>
  <si>
    <t>共産党地区国政対策委員長,民青同盟大阪府常任委員</t>
    <rPh sb="0" eb="3">
      <t>キョウサントウ</t>
    </rPh>
    <rPh sb="3" eb="5">
      <t>チク</t>
    </rPh>
    <rPh sb="5" eb="7">
      <t>コクセイ</t>
    </rPh>
    <rPh sb="7" eb="9">
      <t>タイサク</t>
    </rPh>
    <rPh sb="9" eb="12">
      <t>イインチョウ</t>
    </rPh>
    <rPh sb="13" eb="17">
      <t>ミンセイドウメイ</t>
    </rPh>
    <rPh sb="17" eb="20">
      <t>オオサカフ</t>
    </rPh>
    <rPh sb="20" eb="22">
      <t>ジョウニン</t>
    </rPh>
    <rPh sb="22" eb="24">
      <t>イイン</t>
    </rPh>
    <phoneticPr fontId="3"/>
  </si>
  <si>
    <t>熊田　篤嗣</t>
    <rPh sb="0" eb="2">
      <t>クマダ</t>
    </rPh>
    <rPh sb="3" eb="4">
      <t>アツ</t>
    </rPh>
    <rPh sb="4" eb="5">
      <t>シ</t>
    </rPh>
    <phoneticPr fontId="3"/>
  </si>
  <si>
    <t>192大阪1区</t>
    <rPh sb="3" eb="5">
      <t>オオサカ</t>
    </rPh>
    <rPh sb="6" eb="7">
      <t>ク</t>
    </rPh>
    <phoneticPr fontId="3"/>
  </si>
  <si>
    <t>大(京都)</t>
    <rPh sb="0" eb="1">
      <t>ダイ</t>
    </rPh>
    <rPh sb="2" eb="4">
      <t>キョウト</t>
    </rPh>
    <phoneticPr fontId="3"/>
  </si>
  <si>
    <t>議員秘書(吉田治,福山哲郎),会社員(三菱電機)</t>
    <rPh sb="0" eb="2">
      <t>ギイン</t>
    </rPh>
    <rPh sb="2" eb="4">
      <t>ヒショ</t>
    </rPh>
    <rPh sb="5" eb="7">
      <t>ヨシダ</t>
    </rPh>
    <rPh sb="7" eb="8">
      <t>オサム</t>
    </rPh>
    <rPh sb="9" eb="11">
      <t>フクヤマ</t>
    </rPh>
    <rPh sb="11" eb="13">
      <t>テツロウ</t>
    </rPh>
    <rPh sb="15" eb="18">
      <t>カイシャイン</t>
    </rPh>
    <rPh sb="19" eb="21">
      <t>ミツビシ</t>
    </rPh>
    <rPh sb="21" eb="23">
      <t>デンキ</t>
    </rPh>
    <phoneticPr fontId="3"/>
  </si>
  <si>
    <t>中馬　弘毅</t>
    <rPh sb="0" eb="2">
      <t>チュウマ</t>
    </rPh>
    <rPh sb="3" eb="5">
      <t>コウキ</t>
    </rPh>
    <phoneticPr fontId="3"/>
  </si>
  <si>
    <t>大(東京)</t>
    <rPh sb="0" eb="1">
      <t>ダイ</t>
    </rPh>
    <rPh sb="2" eb="4">
      <t>トウキョウ</t>
    </rPh>
    <phoneticPr fontId="3"/>
  </si>
  <si>
    <t>会社員(住友重機)</t>
    <rPh sb="0" eb="3">
      <t>カイシャイン</t>
    </rPh>
    <rPh sb="4" eb="6">
      <t>スミトモ</t>
    </rPh>
    <rPh sb="6" eb="8">
      <t>ジュウキ</t>
    </rPh>
    <phoneticPr fontId="3"/>
  </si>
  <si>
    <t>　元大臣(行革),委長(倫選特,外務,公選特,地行,科技),副大臣(国交),政務次官(運輸,自治,環境)</t>
    <rPh sb="1" eb="4">
      <t>モトダイジン</t>
    </rPh>
    <rPh sb="5" eb="7">
      <t>ギョウカク</t>
    </rPh>
    <rPh sb="9" eb="11">
      <t>イチョウ</t>
    </rPh>
    <rPh sb="12" eb="14">
      <t>リンセン</t>
    </rPh>
    <rPh sb="14" eb="15">
      <t>トク</t>
    </rPh>
    <rPh sb="16" eb="18">
      <t>ガイム</t>
    </rPh>
    <rPh sb="19" eb="21">
      <t>コウセン</t>
    </rPh>
    <rPh sb="21" eb="22">
      <t>トク</t>
    </rPh>
    <rPh sb="23" eb="24">
      <t>チ</t>
    </rPh>
    <rPh sb="26" eb="28">
      <t>カギ</t>
    </rPh>
    <rPh sb="30" eb="33">
      <t>フクダイジン</t>
    </rPh>
    <rPh sb="34" eb="36">
      <t>コッコウ</t>
    </rPh>
    <rPh sb="38" eb="40">
      <t>セイム</t>
    </rPh>
    <rPh sb="40" eb="42">
      <t>ジカン</t>
    </rPh>
    <rPh sb="43" eb="45">
      <t>ウンユ</t>
    </rPh>
    <rPh sb="46" eb="48">
      <t>ジチ</t>
    </rPh>
    <rPh sb="49" eb="51">
      <t>カンキョウ</t>
    </rPh>
    <phoneticPr fontId="3"/>
  </si>
  <si>
    <t>193大阪2区01</t>
    <rPh sb="3" eb="5">
      <t>オオサカ</t>
    </rPh>
    <rPh sb="6" eb="7">
      <t>ク</t>
    </rPh>
    <phoneticPr fontId="3"/>
  </si>
  <si>
    <t>193大阪2区02</t>
    <rPh sb="3" eb="5">
      <t>オオサカ</t>
    </rPh>
    <rPh sb="6" eb="7">
      <t>ク</t>
    </rPh>
    <phoneticPr fontId="3"/>
  </si>
  <si>
    <t>193大阪2区03</t>
    <rPh sb="3" eb="5">
      <t>オオサカ</t>
    </rPh>
    <rPh sb="6" eb="7">
      <t>ク</t>
    </rPh>
    <phoneticPr fontId="3"/>
  </si>
  <si>
    <t>193大阪2区04</t>
    <rPh sb="3" eb="5">
      <t>オオサカ</t>
    </rPh>
    <rPh sb="6" eb="7">
      <t>ク</t>
    </rPh>
    <phoneticPr fontId="3"/>
  </si>
  <si>
    <t>193大阪2区05</t>
    <rPh sb="3" eb="5">
      <t>オオサカ</t>
    </rPh>
    <rPh sb="6" eb="7">
      <t>ク</t>
    </rPh>
    <phoneticPr fontId="3"/>
  </si>
  <si>
    <t>左藤　　章</t>
    <rPh sb="0" eb="2">
      <t>サトウ</t>
    </rPh>
    <rPh sb="4" eb="5">
      <t>アキラ</t>
    </rPh>
    <phoneticPr fontId="3"/>
  </si>
  <si>
    <t>二</t>
    <rPh sb="0" eb="1">
      <t>ニ</t>
    </rPh>
    <phoneticPr fontId="3"/>
  </si>
  <si>
    <t>学校法人評議員(大谷学園),議員秘書(左藤恵)</t>
    <rPh sb="0" eb="2">
      <t>ガッコウ</t>
    </rPh>
    <rPh sb="2" eb="4">
      <t>ホウジン</t>
    </rPh>
    <rPh sb="4" eb="7">
      <t>ヒョウギイン</t>
    </rPh>
    <rPh sb="8" eb="10">
      <t>オオタニ</t>
    </rPh>
    <rPh sb="10" eb="12">
      <t>ガクエン</t>
    </rPh>
    <rPh sb="14" eb="16">
      <t>ギイン</t>
    </rPh>
    <rPh sb="16" eb="18">
      <t>ヒショ</t>
    </rPh>
    <rPh sb="19" eb="21">
      <t>サトウ</t>
    </rPh>
    <rPh sb="21" eb="22">
      <t>メグム</t>
    </rPh>
    <phoneticPr fontId="3"/>
  </si>
  <si>
    <t>萩原　　仁</t>
    <rPh sb="0" eb="2">
      <t>ハギハラ</t>
    </rPh>
    <rPh sb="4" eb="5">
      <t>ヒトシ</t>
    </rPh>
    <phoneticPr fontId="3"/>
  </si>
  <si>
    <t>193大阪2区</t>
    <rPh sb="3" eb="5">
      <t>オオサカ</t>
    </rPh>
    <rPh sb="6" eb="7">
      <t>ク</t>
    </rPh>
    <phoneticPr fontId="3"/>
  </si>
  <si>
    <t>大(近畿)</t>
    <rPh sb="0" eb="1">
      <t>ダイ</t>
    </rPh>
    <rPh sb="2" eb="4">
      <t>キンキ</t>
    </rPh>
    <phoneticPr fontId="3"/>
  </si>
  <si>
    <t>会社社長(萩原都市建築研究所),会社員(松下電工)</t>
    <rPh sb="0" eb="2">
      <t>カイシャ</t>
    </rPh>
    <rPh sb="2" eb="4">
      <t>シャチョウ</t>
    </rPh>
    <rPh sb="5" eb="7">
      <t>ハギハラ</t>
    </rPh>
    <rPh sb="7" eb="9">
      <t>トシ</t>
    </rPh>
    <rPh sb="9" eb="11">
      <t>ケンチク</t>
    </rPh>
    <rPh sb="11" eb="14">
      <t>ケンキュウジョ</t>
    </rPh>
    <rPh sb="16" eb="19">
      <t>カイシャイン</t>
    </rPh>
    <rPh sb="20" eb="22">
      <t>マツシタ</t>
    </rPh>
    <rPh sb="22" eb="24">
      <t>デンコウ</t>
    </rPh>
    <phoneticPr fontId="3"/>
  </si>
  <si>
    <t>山本　陽子</t>
    <rPh sb="0" eb="2">
      <t>ヤマモト</t>
    </rPh>
    <rPh sb="3" eb="5">
      <t>ヨウコ</t>
    </rPh>
    <phoneticPr fontId="3"/>
  </si>
  <si>
    <t>大(大阪外国語)</t>
    <rPh sb="0" eb="1">
      <t>ダイ</t>
    </rPh>
    <rPh sb="2" eb="4">
      <t>オオサカ</t>
    </rPh>
    <rPh sb="4" eb="7">
      <t>ガイコクゴ</t>
    </rPh>
    <phoneticPr fontId="3"/>
  </si>
  <si>
    <t>大阪府議(大阪市平野区),大阪府高教組役員</t>
    <rPh sb="0" eb="2">
      <t>オオサカ</t>
    </rPh>
    <rPh sb="2" eb="4">
      <t>フギ</t>
    </rPh>
    <rPh sb="5" eb="8">
      <t>オオサカシ</t>
    </rPh>
    <rPh sb="8" eb="11">
      <t>ヒラノク</t>
    </rPh>
    <rPh sb="13" eb="16">
      <t>オオサカフ</t>
    </rPh>
    <rPh sb="16" eb="17">
      <t>コウ</t>
    </rPh>
    <rPh sb="17" eb="19">
      <t>キョウソ</t>
    </rPh>
    <rPh sb="19" eb="21">
      <t>ヤクイン</t>
    </rPh>
    <phoneticPr fontId="3"/>
  </si>
  <si>
    <t>議労</t>
    <rPh sb="0" eb="1">
      <t>ギ</t>
    </rPh>
    <rPh sb="1" eb="2">
      <t>ロウ</t>
    </rPh>
    <phoneticPr fontId="3"/>
  </si>
  <si>
    <t>労</t>
    <rPh sb="0" eb="1">
      <t>ロウ</t>
    </rPh>
    <phoneticPr fontId="3"/>
  </si>
  <si>
    <t>石井　竜馬</t>
    <rPh sb="0" eb="2">
      <t>イシイ</t>
    </rPh>
    <rPh sb="3" eb="5">
      <t>リョウマ</t>
    </rPh>
    <phoneticPr fontId="3"/>
  </si>
  <si>
    <t>大院(米/ミシガン)</t>
    <rPh sb="0" eb="2">
      <t>ダイイン</t>
    </rPh>
    <rPh sb="3" eb="4">
      <t>ベイ</t>
    </rPh>
    <phoneticPr fontId="3"/>
  </si>
  <si>
    <t>会社役員(シルバ),会社員(伊藤忠商事)</t>
    <rPh sb="0" eb="2">
      <t>カイシャ</t>
    </rPh>
    <rPh sb="2" eb="4">
      <t>ヤクイン</t>
    </rPh>
    <rPh sb="10" eb="13">
      <t>カイシャイン</t>
    </rPh>
    <rPh sb="14" eb="17">
      <t>イトウチュウ</t>
    </rPh>
    <rPh sb="17" eb="19">
      <t>ショウジ</t>
    </rPh>
    <phoneticPr fontId="3"/>
  </si>
  <si>
    <t>川条　志嘉</t>
    <rPh sb="0" eb="1">
      <t>カワ</t>
    </rPh>
    <rPh sb="1" eb="2">
      <t>ジョウ</t>
    </rPh>
    <rPh sb="3" eb="4">
      <t>シ</t>
    </rPh>
    <rPh sb="4" eb="5">
      <t>カ</t>
    </rPh>
    <phoneticPr fontId="3"/>
  </si>
  <si>
    <t>タ松</t>
    <rPh sb="1" eb="2">
      <t>マツ</t>
    </rPh>
    <phoneticPr fontId="3"/>
  </si>
  <si>
    <t>タ</t>
    <phoneticPr fontId="3"/>
  </si>
  <si>
    <t>松</t>
    <rPh sb="0" eb="1">
      <t>マツ</t>
    </rPh>
    <phoneticPr fontId="3"/>
  </si>
  <si>
    <t>194大阪3区01</t>
    <rPh sb="3" eb="5">
      <t>オオサカ</t>
    </rPh>
    <rPh sb="6" eb="7">
      <t>ク</t>
    </rPh>
    <phoneticPr fontId="3"/>
  </si>
  <si>
    <t>194大阪3区02</t>
    <rPh sb="3" eb="5">
      <t>オオサカ</t>
    </rPh>
    <rPh sb="6" eb="7">
      <t>ク</t>
    </rPh>
    <phoneticPr fontId="3"/>
  </si>
  <si>
    <t>194大阪3区03</t>
    <rPh sb="3" eb="5">
      <t>オオサカ</t>
    </rPh>
    <rPh sb="6" eb="7">
      <t>ク</t>
    </rPh>
    <phoneticPr fontId="3"/>
  </si>
  <si>
    <t>佐藤　茂樹</t>
    <rPh sb="0" eb="2">
      <t>サトウ</t>
    </rPh>
    <rPh sb="3" eb="5">
      <t>シゲキ</t>
    </rPh>
    <phoneticPr fontId="3"/>
  </si>
  <si>
    <t>308比例近畿23</t>
    <rPh sb="3" eb="5">
      <t>ヒレイ</t>
    </rPh>
    <rPh sb="5" eb="7">
      <t>キンキ</t>
    </rPh>
    <phoneticPr fontId="3"/>
  </si>
  <si>
    <t>会社員(日本IBM)</t>
    <rPh sb="0" eb="3">
      <t>カイシャイン</t>
    </rPh>
    <rPh sb="4" eb="6">
      <t>ニホン</t>
    </rPh>
    <phoneticPr fontId="3"/>
  </si>
  <si>
    <t>　元委長(文科),政務官(国交)</t>
    <rPh sb="1" eb="2">
      <t>モト</t>
    </rPh>
    <rPh sb="2" eb="4">
      <t>イチョウ</t>
    </rPh>
    <rPh sb="5" eb="7">
      <t>モンカ</t>
    </rPh>
    <rPh sb="9" eb="12">
      <t>セイムカン</t>
    </rPh>
    <rPh sb="13" eb="15">
      <t>コッコウ</t>
    </rPh>
    <phoneticPr fontId="3"/>
  </si>
  <si>
    <t>渡部　　結</t>
    <rPh sb="0" eb="2">
      <t>ワタナベ</t>
    </rPh>
    <rPh sb="4" eb="5">
      <t>ユイ</t>
    </rPh>
    <phoneticPr fontId="3"/>
  </si>
  <si>
    <t>共産党地区国政対策委員長,民青同盟地区委員長</t>
    <rPh sb="0" eb="3">
      <t>キョウサントウ</t>
    </rPh>
    <rPh sb="3" eb="5">
      <t>チク</t>
    </rPh>
    <rPh sb="5" eb="7">
      <t>コクセイ</t>
    </rPh>
    <rPh sb="7" eb="9">
      <t>タイサク</t>
    </rPh>
    <rPh sb="9" eb="12">
      <t>イインチョウ</t>
    </rPh>
    <rPh sb="13" eb="17">
      <t>ミンセイドウメイ</t>
    </rPh>
    <rPh sb="17" eb="19">
      <t>チク</t>
    </rPh>
    <rPh sb="19" eb="22">
      <t>イインチョウ</t>
    </rPh>
    <phoneticPr fontId="3"/>
  </si>
  <si>
    <t>195大阪4区01</t>
    <rPh sb="3" eb="5">
      <t>オオサカ</t>
    </rPh>
    <rPh sb="6" eb="7">
      <t>ク</t>
    </rPh>
    <phoneticPr fontId="3"/>
  </si>
  <si>
    <t>195大阪4区02</t>
    <rPh sb="3" eb="5">
      <t>オオサカ</t>
    </rPh>
    <rPh sb="6" eb="7">
      <t>ク</t>
    </rPh>
    <phoneticPr fontId="3"/>
  </si>
  <si>
    <t>195大阪4区03</t>
    <rPh sb="3" eb="5">
      <t>オオサカ</t>
    </rPh>
    <rPh sb="6" eb="7">
      <t>ク</t>
    </rPh>
    <phoneticPr fontId="3"/>
  </si>
  <si>
    <t>195大阪4区04</t>
    <rPh sb="3" eb="5">
      <t>オオサカ</t>
    </rPh>
    <rPh sb="6" eb="7">
      <t>ク</t>
    </rPh>
    <phoneticPr fontId="3"/>
  </si>
  <si>
    <t>195大阪4区05</t>
    <rPh sb="3" eb="5">
      <t>オオサカ</t>
    </rPh>
    <rPh sb="6" eb="7">
      <t>ク</t>
    </rPh>
    <phoneticPr fontId="3"/>
  </si>
  <si>
    <t>吉田　　治</t>
    <rPh sb="0" eb="2">
      <t>ヨシダ</t>
    </rPh>
    <rPh sb="4" eb="5">
      <t>オサム</t>
    </rPh>
    <phoneticPr fontId="3"/>
  </si>
  <si>
    <t>195大阪4区</t>
    <rPh sb="3" eb="5">
      <t>オオサカ</t>
    </rPh>
    <rPh sb="6" eb="7">
      <t>ク</t>
    </rPh>
    <phoneticPr fontId="3"/>
  </si>
  <si>
    <t>友</t>
    <rPh sb="0" eb="1">
      <t>ユウ</t>
    </rPh>
    <phoneticPr fontId="3"/>
  </si>
  <si>
    <t>大院中(京都)</t>
    <rPh sb="0" eb="2">
      <t>ダイイン</t>
    </rPh>
    <rPh sb="2" eb="3">
      <t>チュウ</t>
    </rPh>
    <rPh sb="4" eb="6">
      <t>キョウト</t>
    </rPh>
    <phoneticPr fontId="3"/>
  </si>
  <si>
    <t>　元委長(経産,災害特),副大臣(国交)</t>
    <rPh sb="1" eb="2">
      <t>モト</t>
    </rPh>
    <rPh sb="2" eb="4">
      <t>イチョウ</t>
    </rPh>
    <rPh sb="5" eb="7">
      <t>ケイサン</t>
    </rPh>
    <rPh sb="8" eb="10">
      <t>サイガイ</t>
    </rPh>
    <rPh sb="10" eb="11">
      <t>トク</t>
    </rPh>
    <rPh sb="13" eb="16">
      <t>フクダイジン</t>
    </rPh>
    <rPh sb="17" eb="19">
      <t>コッコウ</t>
    </rPh>
    <phoneticPr fontId="3"/>
  </si>
  <si>
    <t>中山　泰秀</t>
    <rPh sb="0" eb="2">
      <t>ナカヤマ</t>
    </rPh>
    <rPh sb="3" eb="5">
      <t>ヤスヒデ</t>
    </rPh>
    <phoneticPr fontId="3"/>
  </si>
  <si>
    <t>議員秘書(小池百合子,中山正暉),会社員(電通)</t>
    <rPh sb="0" eb="2">
      <t>ギイン</t>
    </rPh>
    <rPh sb="2" eb="4">
      <t>ヒショ</t>
    </rPh>
    <rPh sb="5" eb="7">
      <t>コイケ</t>
    </rPh>
    <rPh sb="7" eb="10">
      <t>ユリコ</t>
    </rPh>
    <rPh sb="11" eb="13">
      <t>ナカヤマ</t>
    </rPh>
    <rPh sb="13" eb="15">
      <t>マサアキ</t>
    </rPh>
    <rPh sb="17" eb="20">
      <t>カイシャイン</t>
    </rPh>
    <rPh sb="21" eb="23">
      <t>デンツウ</t>
    </rPh>
    <phoneticPr fontId="3"/>
  </si>
  <si>
    <t>清水　忠史</t>
    <rPh sb="0" eb="2">
      <t>シミズ</t>
    </rPh>
    <rPh sb="3" eb="5">
      <t>タダシ</t>
    </rPh>
    <phoneticPr fontId="3"/>
  </si>
  <si>
    <t>大中(大阪経済)</t>
    <rPh sb="0" eb="1">
      <t>ダイ</t>
    </rPh>
    <rPh sb="1" eb="2">
      <t>チュウ</t>
    </rPh>
    <rPh sb="3" eb="5">
      <t>オオサカ</t>
    </rPh>
    <rPh sb="5" eb="7">
      <t>ケイザイ</t>
    </rPh>
    <phoneticPr fontId="3"/>
  </si>
  <si>
    <t>議タ</t>
    <rPh sb="0" eb="1">
      <t>ギ</t>
    </rPh>
    <phoneticPr fontId="3"/>
  </si>
  <si>
    <t>大阪府・大阪市議,漫才師</t>
    <rPh sb="0" eb="3">
      <t>オオサカフ</t>
    </rPh>
    <rPh sb="4" eb="6">
      <t>オオサカ</t>
    </rPh>
    <rPh sb="6" eb="8">
      <t>シギ</t>
    </rPh>
    <rPh sb="9" eb="12">
      <t>マンザイシ</t>
    </rPh>
    <phoneticPr fontId="3"/>
  </si>
  <si>
    <t>井上　幸洋</t>
    <rPh sb="0" eb="2">
      <t>イノウエ</t>
    </rPh>
    <rPh sb="3" eb="5">
      <t>ユキヒロ</t>
    </rPh>
    <phoneticPr fontId="3"/>
  </si>
  <si>
    <t>高(産業)</t>
    <rPh sb="0" eb="1">
      <t>コウ</t>
    </rPh>
    <rPh sb="2" eb="4">
      <t>サンギョウ</t>
    </rPh>
    <phoneticPr fontId="3"/>
  </si>
  <si>
    <t>環境カウンセラー,会社員(シャープ)</t>
    <rPh sb="0" eb="2">
      <t>カンキョウ</t>
    </rPh>
    <rPh sb="9" eb="12">
      <t>カイシャイン</t>
    </rPh>
    <phoneticPr fontId="3"/>
  </si>
  <si>
    <t>196大阪5区01</t>
    <rPh sb="3" eb="5">
      <t>オオサカ</t>
    </rPh>
    <rPh sb="6" eb="7">
      <t>ク</t>
    </rPh>
    <phoneticPr fontId="3"/>
  </si>
  <si>
    <t>196大阪5区02</t>
    <rPh sb="3" eb="5">
      <t>オオサカ</t>
    </rPh>
    <rPh sb="6" eb="7">
      <t>ク</t>
    </rPh>
    <phoneticPr fontId="3"/>
  </si>
  <si>
    <t>196大阪5区03</t>
    <rPh sb="3" eb="5">
      <t>オオサカ</t>
    </rPh>
    <rPh sb="6" eb="7">
      <t>ク</t>
    </rPh>
    <phoneticPr fontId="3"/>
  </si>
  <si>
    <t>国重　　徹</t>
    <rPh sb="0" eb="2">
      <t>クニシゲ</t>
    </rPh>
    <rPh sb="4" eb="5">
      <t>トオル</t>
    </rPh>
    <phoneticPr fontId="3"/>
  </si>
  <si>
    <t>大(創価)</t>
    <rPh sb="0" eb="1">
      <t>ダイ</t>
    </rPh>
    <rPh sb="2" eb="4">
      <t>ソウカ</t>
    </rPh>
    <phoneticPr fontId="3"/>
  </si>
  <si>
    <t>弁護士</t>
    <rPh sb="0" eb="3">
      <t>ベンゴシ</t>
    </rPh>
    <phoneticPr fontId="3"/>
  </si>
  <si>
    <t>法</t>
    <rPh sb="0" eb="1">
      <t>ホウ</t>
    </rPh>
    <phoneticPr fontId="3"/>
  </si>
  <si>
    <t>瀬戸　一正</t>
    <rPh sb="0" eb="2">
      <t>セト</t>
    </rPh>
    <rPh sb="3" eb="5">
      <t>カズマサ</t>
    </rPh>
    <phoneticPr fontId="3"/>
  </si>
  <si>
    <t>大阪府・大阪市議,医療法人理事(此花博愛会)</t>
    <rPh sb="0" eb="3">
      <t>オオサカフ</t>
    </rPh>
    <rPh sb="4" eb="6">
      <t>オオサカ</t>
    </rPh>
    <rPh sb="6" eb="8">
      <t>シギ</t>
    </rPh>
    <rPh sb="9" eb="11">
      <t>イリョウ</t>
    </rPh>
    <rPh sb="11" eb="13">
      <t>ホウジン</t>
    </rPh>
    <rPh sb="13" eb="15">
      <t>リジ</t>
    </rPh>
    <rPh sb="16" eb="18">
      <t>コノハナ</t>
    </rPh>
    <rPh sb="18" eb="20">
      <t>ハクアイ</t>
    </rPh>
    <rPh sb="20" eb="21">
      <t>カイ</t>
    </rPh>
    <phoneticPr fontId="3"/>
  </si>
  <si>
    <t>197大阪6区01</t>
    <rPh sb="3" eb="5">
      <t>オオサカ</t>
    </rPh>
    <rPh sb="6" eb="7">
      <t>ク</t>
    </rPh>
    <phoneticPr fontId="3"/>
  </si>
  <si>
    <t>197大阪6区02</t>
    <rPh sb="3" eb="5">
      <t>オオサカ</t>
    </rPh>
    <rPh sb="6" eb="7">
      <t>ク</t>
    </rPh>
    <phoneticPr fontId="3"/>
  </si>
  <si>
    <t>197大阪6区03</t>
    <rPh sb="3" eb="5">
      <t>オオサカ</t>
    </rPh>
    <rPh sb="6" eb="7">
      <t>ク</t>
    </rPh>
    <phoneticPr fontId="3"/>
  </si>
  <si>
    <t>村上　史好</t>
    <rPh sb="0" eb="2">
      <t>ムラカミ</t>
    </rPh>
    <rPh sb="3" eb="4">
      <t>フミ</t>
    </rPh>
    <rPh sb="4" eb="5">
      <t>ヨシ</t>
    </rPh>
    <phoneticPr fontId="3"/>
  </si>
  <si>
    <t>197大阪6区</t>
    <rPh sb="3" eb="5">
      <t>オオサカ</t>
    </rPh>
    <rPh sb="6" eb="7">
      <t>ク</t>
    </rPh>
    <phoneticPr fontId="3"/>
  </si>
  <si>
    <t>大(京都産業)</t>
    <rPh sb="0" eb="1">
      <t>ダイ</t>
    </rPh>
    <rPh sb="2" eb="4">
      <t>キョウト</t>
    </rPh>
    <rPh sb="4" eb="6">
      <t>サンギョウ</t>
    </rPh>
    <phoneticPr fontId="3"/>
  </si>
  <si>
    <t>大阪府・大阪市議,議員秘書(中村鋭一,中野寛成)</t>
    <rPh sb="0" eb="3">
      <t>オオサカフ</t>
    </rPh>
    <rPh sb="4" eb="6">
      <t>オオサカ</t>
    </rPh>
    <rPh sb="6" eb="8">
      <t>シギ</t>
    </rPh>
    <rPh sb="9" eb="11">
      <t>ギイン</t>
    </rPh>
    <rPh sb="11" eb="13">
      <t>ヒショ</t>
    </rPh>
    <rPh sb="14" eb="16">
      <t>ナカムラ</t>
    </rPh>
    <rPh sb="16" eb="18">
      <t>エイイチ</t>
    </rPh>
    <rPh sb="19" eb="21">
      <t>ナカノ</t>
    </rPh>
    <rPh sb="21" eb="23">
      <t>カンセイ</t>
    </rPh>
    <phoneticPr fontId="3"/>
  </si>
  <si>
    <t>伊佐　進一</t>
    <rPh sb="0" eb="2">
      <t>イサ</t>
    </rPh>
    <rPh sb="3" eb="5">
      <t>シンイチ</t>
    </rPh>
    <phoneticPr fontId="3"/>
  </si>
  <si>
    <t>文部科学省副大臣秘書官</t>
    <rPh sb="0" eb="2">
      <t>モンブ</t>
    </rPh>
    <rPh sb="2" eb="5">
      <t>カガクショウ</t>
    </rPh>
    <rPh sb="5" eb="8">
      <t>フクダイジン</t>
    </rPh>
    <rPh sb="8" eb="11">
      <t>ヒショカン</t>
    </rPh>
    <phoneticPr fontId="3"/>
  </si>
  <si>
    <t>官</t>
    <rPh sb="0" eb="1">
      <t>カン</t>
    </rPh>
    <phoneticPr fontId="3"/>
  </si>
  <si>
    <t>北原　洋子</t>
    <rPh sb="0" eb="2">
      <t>キタハラ</t>
    </rPh>
    <rPh sb="3" eb="5">
      <t>ヨウコ</t>
    </rPh>
    <phoneticPr fontId="3"/>
  </si>
  <si>
    <t>高中(帝国女子)</t>
    <rPh sb="0" eb="1">
      <t>コウ</t>
    </rPh>
    <rPh sb="1" eb="2">
      <t>チュウ</t>
    </rPh>
    <rPh sb="3" eb="5">
      <t>テイコク</t>
    </rPh>
    <rPh sb="5" eb="7">
      <t>ジョシ</t>
    </rPh>
    <phoneticPr fontId="3"/>
  </si>
  <si>
    <t>共産党地区副委員長,大阪府職労分会書記</t>
    <rPh sb="0" eb="3">
      <t>キョウサントウ</t>
    </rPh>
    <rPh sb="3" eb="5">
      <t>チク</t>
    </rPh>
    <rPh sb="5" eb="9">
      <t>フクイインチョウ</t>
    </rPh>
    <rPh sb="10" eb="13">
      <t>オオサカフ</t>
    </rPh>
    <rPh sb="13" eb="14">
      <t>ショク</t>
    </rPh>
    <rPh sb="14" eb="15">
      <t>ロウ</t>
    </rPh>
    <rPh sb="15" eb="17">
      <t>ブンカイ</t>
    </rPh>
    <rPh sb="17" eb="19">
      <t>ショキ</t>
    </rPh>
    <phoneticPr fontId="3"/>
  </si>
  <si>
    <t>198大阪7区01</t>
    <rPh sb="3" eb="5">
      <t>オオサカ</t>
    </rPh>
    <rPh sb="6" eb="7">
      <t>ク</t>
    </rPh>
    <phoneticPr fontId="3"/>
  </si>
  <si>
    <t>198大阪7区02</t>
    <rPh sb="3" eb="5">
      <t>オオサカ</t>
    </rPh>
    <rPh sb="6" eb="7">
      <t>ク</t>
    </rPh>
    <phoneticPr fontId="3"/>
  </si>
  <si>
    <t>198大阪7区03</t>
    <rPh sb="3" eb="5">
      <t>オオサカ</t>
    </rPh>
    <rPh sb="6" eb="7">
      <t>ク</t>
    </rPh>
    <phoneticPr fontId="3"/>
  </si>
  <si>
    <t>198大阪7区04</t>
    <rPh sb="3" eb="5">
      <t>オオサカ</t>
    </rPh>
    <rPh sb="6" eb="7">
      <t>ク</t>
    </rPh>
    <phoneticPr fontId="3"/>
  </si>
  <si>
    <t>藤村　　修</t>
    <rPh sb="0" eb="2">
      <t>フジムラ</t>
    </rPh>
    <rPh sb="4" eb="5">
      <t>オサム</t>
    </rPh>
    <phoneticPr fontId="3"/>
  </si>
  <si>
    <t>198大阪7区</t>
    <rPh sb="3" eb="5">
      <t>オオサカ</t>
    </rPh>
    <rPh sb="6" eb="7">
      <t>ク</t>
    </rPh>
    <phoneticPr fontId="3"/>
  </si>
  <si>
    <t>進</t>
    <rPh sb="0" eb="1">
      <t>シン</t>
    </rPh>
    <phoneticPr fontId="3"/>
  </si>
  <si>
    <t>大(広島)</t>
    <rPh sb="0" eb="1">
      <t>ダイ</t>
    </rPh>
    <rPh sb="2" eb="4">
      <t>ヒロシマ</t>
    </rPh>
    <phoneticPr fontId="3"/>
  </si>
  <si>
    <t>団体顧問(あしなが育英会)</t>
    <rPh sb="0" eb="2">
      <t>ダンタイ</t>
    </rPh>
    <rPh sb="2" eb="4">
      <t>コモン</t>
    </rPh>
    <rPh sb="9" eb="12">
      <t>イクエイカイ</t>
    </rPh>
    <phoneticPr fontId="3"/>
  </si>
  <si>
    <t>内閣官房長官・拉致担当相，元委長(厚労,沖北特,青少特),副大臣(厚労,外務),民主党幹事長代理,国対委長代理</t>
    <rPh sb="0" eb="2">
      <t>ナイカク</t>
    </rPh>
    <rPh sb="2" eb="4">
      <t>カンボウ</t>
    </rPh>
    <rPh sb="4" eb="6">
      <t>チョウカン</t>
    </rPh>
    <rPh sb="7" eb="9">
      <t>ラチ</t>
    </rPh>
    <rPh sb="9" eb="12">
      <t>タントウショウ</t>
    </rPh>
    <rPh sb="13" eb="14">
      <t>モト</t>
    </rPh>
    <rPh sb="14" eb="16">
      <t>イチョウ</t>
    </rPh>
    <rPh sb="17" eb="19">
      <t>コウロウ</t>
    </rPh>
    <rPh sb="20" eb="22">
      <t>オキホク</t>
    </rPh>
    <rPh sb="22" eb="23">
      <t>トク</t>
    </rPh>
    <rPh sb="24" eb="25">
      <t>アオ</t>
    </rPh>
    <rPh sb="25" eb="26">
      <t>ショウ</t>
    </rPh>
    <rPh sb="26" eb="27">
      <t>トク</t>
    </rPh>
    <rPh sb="29" eb="32">
      <t>フクダイジン</t>
    </rPh>
    <rPh sb="33" eb="35">
      <t>コウロウ</t>
    </rPh>
    <rPh sb="36" eb="38">
      <t>ガイム</t>
    </rPh>
    <rPh sb="40" eb="43">
      <t>ミンシュトウ</t>
    </rPh>
    <rPh sb="43" eb="46">
      <t>カンジチョウ</t>
    </rPh>
    <rPh sb="46" eb="48">
      <t>ダイリ</t>
    </rPh>
    <rPh sb="49" eb="53">
      <t>コクタイイチョウ</t>
    </rPh>
    <rPh sb="53" eb="55">
      <t>ダイリ</t>
    </rPh>
    <phoneticPr fontId="3"/>
  </si>
  <si>
    <t>渡嘉敷　奈緒美</t>
    <rPh sb="0" eb="3">
      <t>トカシキ</t>
    </rPh>
    <rPh sb="4" eb="7">
      <t>ナオミ</t>
    </rPh>
    <phoneticPr fontId="3"/>
  </si>
  <si>
    <t>大(昭和)</t>
    <rPh sb="0" eb="1">
      <t>ダイ</t>
    </rPh>
    <rPh sb="2" eb="4">
      <t>ショウワ</t>
    </rPh>
    <phoneticPr fontId="3"/>
  </si>
  <si>
    <t>東京都・杉並区議,会社員(資生堂),薬剤師</t>
    <rPh sb="0" eb="3">
      <t>トウキョウト</t>
    </rPh>
    <rPh sb="4" eb="6">
      <t>スギナミ</t>
    </rPh>
    <rPh sb="6" eb="8">
      <t>クギ</t>
    </rPh>
    <rPh sb="9" eb="12">
      <t>カイシャイン</t>
    </rPh>
    <rPh sb="13" eb="16">
      <t>シセイドウ</t>
    </rPh>
    <rPh sb="18" eb="21">
      <t>ヤクザイシ</t>
    </rPh>
    <phoneticPr fontId="3"/>
  </si>
  <si>
    <t>議</t>
    <rPh sb="0" eb="1">
      <t>ギ</t>
    </rPh>
    <phoneticPr fontId="3"/>
  </si>
  <si>
    <t>石川　多枝</t>
    <rPh sb="0" eb="2">
      <t>イシカワ</t>
    </rPh>
    <rPh sb="3" eb="5">
      <t>タエ</t>
    </rPh>
    <phoneticPr fontId="3"/>
  </si>
  <si>
    <t>他(大阪保育研究所付属保育専門学校)</t>
    <rPh sb="0" eb="1">
      <t>ホカ</t>
    </rPh>
    <rPh sb="2" eb="4">
      <t>オオサカ</t>
    </rPh>
    <rPh sb="4" eb="6">
      <t>ホイク</t>
    </rPh>
    <rPh sb="6" eb="9">
      <t>ケンキュウジョ</t>
    </rPh>
    <rPh sb="9" eb="11">
      <t>フゾク</t>
    </rPh>
    <rPh sb="11" eb="13">
      <t>ホイク</t>
    </rPh>
    <rPh sb="13" eb="15">
      <t>センモン</t>
    </rPh>
    <rPh sb="15" eb="17">
      <t>ガッコウ</t>
    </rPh>
    <phoneticPr fontId="3"/>
  </si>
  <si>
    <t>共産党地区国政対策委員長,民青同盟大阪府副委員長</t>
    <rPh sb="0" eb="3">
      <t>キョウサントウ</t>
    </rPh>
    <rPh sb="3" eb="5">
      <t>チク</t>
    </rPh>
    <rPh sb="5" eb="7">
      <t>コクセイ</t>
    </rPh>
    <rPh sb="7" eb="9">
      <t>タイサク</t>
    </rPh>
    <rPh sb="9" eb="12">
      <t>イインチョウ</t>
    </rPh>
    <rPh sb="13" eb="17">
      <t>ミンセイドウメイ</t>
    </rPh>
    <rPh sb="17" eb="20">
      <t>オオサカフ</t>
    </rPh>
    <rPh sb="20" eb="24">
      <t>フクイインチョウ</t>
    </rPh>
    <phoneticPr fontId="3"/>
  </si>
  <si>
    <t>199大阪8区01</t>
    <rPh sb="3" eb="5">
      <t>オオサカ</t>
    </rPh>
    <rPh sb="6" eb="7">
      <t>ク</t>
    </rPh>
    <phoneticPr fontId="3"/>
  </si>
  <si>
    <t>199大阪8区02</t>
    <rPh sb="3" eb="5">
      <t>オオサカ</t>
    </rPh>
    <rPh sb="6" eb="7">
      <t>ク</t>
    </rPh>
    <phoneticPr fontId="3"/>
  </si>
  <si>
    <t>199大阪8区03</t>
    <rPh sb="3" eb="5">
      <t>オオサカ</t>
    </rPh>
    <rPh sb="6" eb="7">
      <t>ク</t>
    </rPh>
    <phoneticPr fontId="3"/>
  </si>
  <si>
    <t>199大阪8区04</t>
    <rPh sb="3" eb="5">
      <t>オオサカ</t>
    </rPh>
    <rPh sb="6" eb="7">
      <t>ク</t>
    </rPh>
    <phoneticPr fontId="3"/>
  </si>
  <si>
    <t>大(関西)</t>
    <rPh sb="0" eb="1">
      <t>ダイ</t>
    </rPh>
    <rPh sb="2" eb="4">
      <t>カンサイ</t>
    </rPh>
    <phoneticPr fontId="3"/>
  </si>
  <si>
    <t>大塚　高司</t>
    <rPh sb="0" eb="2">
      <t>オオツカ</t>
    </rPh>
    <rPh sb="3" eb="5">
      <t>タカシ</t>
    </rPh>
    <phoneticPr fontId="3"/>
  </si>
  <si>
    <t>大(追手門学院)</t>
    <rPh sb="0" eb="1">
      <t>ダイ</t>
    </rPh>
    <rPh sb="2" eb="5">
      <t>オウテモン</t>
    </rPh>
    <rPh sb="5" eb="7">
      <t>ガクイン</t>
    </rPh>
    <phoneticPr fontId="3"/>
  </si>
  <si>
    <t>議員秘書(谷川秀善,原田憲,坪井一宇)</t>
    <rPh sb="0" eb="2">
      <t>ギイン</t>
    </rPh>
    <rPh sb="2" eb="4">
      <t>ヒショ</t>
    </rPh>
    <rPh sb="5" eb="7">
      <t>タニガワ</t>
    </rPh>
    <rPh sb="7" eb="9">
      <t>シュウゼン</t>
    </rPh>
    <rPh sb="10" eb="12">
      <t>ハラダ</t>
    </rPh>
    <rPh sb="12" eb="13">
      <t>ケン</t>
    </rPh>
    <rPh sb="14" eb="16">
      <t>ツボイ</t>
    </rPh>
    <rPh sb="16" eb="18">
      <t>カズタカ</t>
    </rPh>
    <phoneticPr fontId="3"/>
  </si>
  <si>
    <t>五十川　和洋</t>
    <rPh sb="0" eb="2">
      <t>イソ</t>
    </rPh>
    <rPh sb="2" eb="3">
      <t>ガワ</t>
    </rPh>
    <rPh sb="4" eb="6">
      <t>カズヒロ</t>
    </rPh>
    <phoneticPr fontId="3"/>
  </si>
  <si>
    <t>大(名古屋)</t>
    <rPh sb="0" eb="1">
      <t>ダイ</t>
    </rPh>
    <rPh sb="2" eb="5">
      <t>ナゴヤ</t>
    </rPh>
    <phoneticPr fontId="3"/>
  </si>
  <si>
    <t>大阪府・豊中市議,愛知県学生自治連副委員長</t>
    <rPh sb="0" eb="3">
      <t>オオサカフ</t>
    </rPh>
    <rPh sb="4" eb="6">
      <t>トヨナカ</t>
    </rPh>
    <rPh sb="6" eb="8">
      <t>シギ</t>
    </rPh>
    <rPh sb="9" eb="12">
      <t>アイチケン</t>
    </rPh>
    <rPh sb="12" eb="14">
      <t>ガクセイ</t>
    </rPh>
    <rPh sb="14" eb="16">
      <t>ジチ</t>
    </rPh>
    <rPh sb="16" eb="17">
      <t>レン</t>
    </rPh>
    <rPh sb="17" eb="21">
      <t>フクイインチョウ</t>
    </rPh>
    <phoneticPr fontId="3"/>
  </si>
  <si>
    <t>200大阪9区01</t>
    <rPh sb="3" eb="5">
      <t>オオサカ</t>
    </rPh>
    <rPh sb="6" eb="7">
      <t>ク</t>
    </rPh>
    <phoneticPr fontId="3"/>
  </si>
  <si>
    <t>200大阪9区02</t>
    <rPh sb="3" eb="5">
      <t>オオサカ</t>
    </rPh>
    <rPh sb="6" eb="7">
      <t>ク</t>
    </rPh>
    <phoneticPr fontId="3"/>
  </si>
  <si>
    <t>200大阪9区03</t>
    <rPh sb="3" eb="5">
      <t>オオサカ</t>
    </rPh>
    <rPh sb="6" eb="7">
      <t>ク</t>
    </rPh>
    <phoneticPr fontId="3"/>
  </si>
  <si>
    <t>200大阪9区04</t>
    <rPh sb="3" eb="5">
      <t>オオサカ</t>
    </rPh>
    <rPh sb="6" eb="7">
      <t>ク</t>
    </rPh>
    <phoneticPr fontId="3"/>
  </si>
  <si>
    <t>大谷　信盛</t>
    <rPh sb="0" eb="2">
      <t>オオタニ</t>
    </rPh>
    <rPh sb="3" eb="4">
      <t>ノブ</t>
    </rPh>
    <rPh sb="4" eb="5">
      <t>モリ</t>
    </rPh>
    <phoneticPr fontId="3"/>
  </si>
  <si>
    <t>200大阪9区</t>
    <rPh sb="3" eb="5">
      <t>オオサカ</t>
    </rPh>
    <rPh sb="6" eb="7">
      <t>ク</t>
    </rPh>
    <phoneticPr fontId="3"/>
  </si>
  <si>
    <t>さ</t>
    <phoneticPr fontId="3"/>
  </si>
  <si>
    <t>旧新党さきがけ政策委員,会社員(エディ・マイ)</t>
    <rPh sb="0" eb="3">
      <t>キュウシントウ</t>
    </rPh>
    <rPh sb="7" eb="9">
      <t>セイサク</t>
    </rPh>
    <rPh sb="9" eb="11">
      <t>イイン</t>
    </rPh>
    <rPh sb="12" eb="15">
      <t>カイシャイン</t>
    </rPh>
    <phoneticPr fontId="3"/>
  </si>
  <si>
    <t>　元政務官(環境)</t>
    <rPh sb="1" eb="2">
      <t>モト</t>
    </rPh>
    <rPh sb="2" eb="5">
      <t>セイムカン</t>
    </rPh>
    <rPh sb="6" eb="8">
      <t>カンキョウ</t>
    </rPh>
    <phoneticPr fontId="3"/>
  </si>
  <si>
    <t>原田　憲治</t>
    <rPh sb="0" eb="2">
      <t>ハラダ</t>
    </rPh>
    <rPh sb="3" eb="5">
      <t>ケンジ</t>
    </rPh>
    <phoneticPr fontId="3"/>
  </si>
  <si>
    <t>大(日本)</t>
    <rPh sb="0" eb="1">
      <t>ダイ</t>
    </rPh>
    <rPh sb="2" eb="4">
      <t>ニホン</t>
    </rPh>
    <phoneticPr fontId="3"/>
  </si>
  <si>
    <t>大阪府議(箕面市・豊能郡),箕面JC理事長,議員秘書(原田憲)</t>
    <rPh sb="0" eb="2">
      <t>オオサカ</t>
    </rPh>
    <rPh sb="2" eb="4">
      <t>フギ</t>
    </rPh>
    <rPh sb="5" eb="8">
      <t>ミノオシ</t>
    </rPh>
    <rPh sb="9" eb="12">
      <t>トヨノグン</t>
    </rPh>
    <rPh sb="14" eb="16">
      <t>ミノオ</t>
    </rPh>
    <rPh sb="18" eb="21">
      <t>リジチョウ</t>
    </rPh>
    <rPh sb="22" eb="24">
      <t>ギイン</t>
    </rPh>
    <rPh sb="24" eb="26">
      <t>ヒショ</t>
    </rPh>
    <rPh sb="27" eb="29">
      <t>ハラダ</t>
    </rPh>
    <rPh sb="29" eb="30">
      <t>ケン</t>
    </rPh>
    <phoneticPr fontId="3"/>
  </si>
  <si>
    <t>末武　和美</t>
    <rPh sb="0" eb="2">
      <t>スエタケ</t>
    </rPh>
    <rPh sb="3" eb="5">
      <t>カズミ</t>
    </rPh>
    <phoneticPr fontId="3"/>
  </si>
  <si>
    <t>高(山口農)</t>
    <rPh sb="0" eb="1">
      <t>コウ</t>
    </rPh>
    <rPh sb="2" eb="4">
      <t>ヤマグチ</t>
    </rPh>
    <rPh sb="4" eb="5">
      <t>ノウ</t>
    </rPh>
    <phoneticPr fontId="3"/>
  </si>
  <si>
    <t>共産党地区国政対策委員長,大阪府職労本部執行委員</t>
    <rPh sb="0" eb="3">
      <t>キョウサントウ</t>
    </rPh>
    <rPh sb="3" eb="5">
      <t>チク</t>
    </rPh>
    <rPh sb="5" eb="7">
      <t>コクセイ</t>
    </rPh>
    <rPh sb="7" eb="9">
      <t>タイサク</t>
    </rPh>
    <rPh sb="9" eb="12">
      <t>イインチョウ</t>
    </rPh>
    <rPh sb="13" eb="16">
      <t>オオサカフ</t>
    </rPh>
    <rPh sb="16" eb="17">
      <t>ショク</t>
    </rPh>
    <rPh sb="17" eb="18">
      <t>ロウ</t>
    </rPh>
    <rPh sb="18" eb="20">
      <t>ホンブ</t>
    </rPh>
    <rPh sb="20" eb="22">
      <t>シッコウ</t>
    </rPh>
    <rPh sb="22" eb="24">
      <t>イイン</t>
    </rPh>
    <phoneticPr fontId="3"/>
  </si>
  <si>
    <t>議二</t>
    <rPh sb="0" eb="1">
      <t>ギ</t>
    </rPh>
    <rPh sb="1" eb="2">
      <t>ニ</t>
    </rPh>
    <phoneticPr fontId="3"/>
  </si>
  <si>
    <t>二</t>
    <rPh sb="0" eb="1">
      <t>ニ</t>
    </rPh>
    <phoneticPr fontId="3"/>
  </si>
  <si>
    <t>労</t>
    <rPh sb="0" eb="1">
      <t>ロウ</t>
    </rPh>
    <phoneticPr fontId="3"/>
  </si>
  <si>
    <t>201大阪10区01</t>
    <rPh sb="3" eb="5">
      <t>オオサカ</t>
    </rPh>
    <rPh sb="7" eb="8">
      <t>ク</t>
    </rPh>
    <phoneticPr fontId="3"/>
  </si>
  <si>
    <t>201大阪10区02</t>
    <rPh sb="3" eb="5">
      <t>オオサカ</t>
    </rPh>
    <rPh sb="7" eb="8">
      <t>ク</t>
    </rPh>
    <phoneticPr fontId="3"/>
  </si>
  <si>
    <t>201大阪10区03</t>
    <rPh sb="3" eb="5">
      <t>オオサカ</t>
    </rPh>
    <rPh sb="7" eb="8">
      <t>ク</t>
    </rPh>
    <phoneticPr fontId="3"/>
  </si>
  <si>
    <t>201大阪10区04</t>
    <rPh sb="3" eb="5">
      <t>オオサカ</t>
    </rPh>
    <rPh sb="7" eb="8">
      <t>ク</t>
    </rPh>
    <phoneticPr fontId="3"/>
  </si>
  <si>
    <t>辻元　清美</t>
    <rPh sb="0" eb="2">
      <t>ツジモト</t>
    </rPh>
    <rPh sb="3" eb="5">
      <t>キヨミ</t>
    </rPh>
    <phoneticPr fontId="3"/>
  </si>
  <si>
    <t>201大阪10区</t>
    <rPh sb="3" eb="5">
      <t>オオサカ</t>
    </rPh>
    <rPh sb="7" eb="8">
      <t>ク</t>
    </rPh>
    <phoneticPr fontId="3"/>
  </si>
  <si>
    <t>NGO共同代表(ピースボート)</t>
    <rPh sb="3" eb="5">
      <t>キョウドウ</t>
    </rPh>
    <rPh sb="5" eb="7">
      <t>ダイヒョウ</t>
    </rPh>
    <phoneticPr fontId="3"/>
  </si>
  <si>
    <t>　元副大臣(国交),首相補佐官,社民党国対委長,政審会長</t>
    <rPh sb="1" eb="2">
      <t>モト</t>
    </rPh>
    <rPh sb="2" eb="5">
      <t>フクダイジン</t>
    </rPh>
    <rPh sb="6" eb="8">
      <t>コッコウ</t>
    </rPh>
    <rPh sb="10" eb="12">
      <t>シュショウ</t>
    </rPh>
    <rPh sb="12" eb="15">
      <t>ホサカン</t>
    </rPh>
    <rPh sb="16" eb="19">
      <t>シャミントウ</t>
    </rPh>
    <rPh sb="19" eb="23">
      <t>コクタイイチョウ</t>
    </rPh>
    <rPh sb="24" eb="26">
      <t>セイシン</t>
    </rPh>
    <rPh sb="26" eb="28">
      <t>カイチョウ</t>
    </rPh>
    <phoneticPr fontId="3"/>
  </si>
  <si>
    <t>浅沼　和仁</t>
    <rPh sb="0" eb="2">
      <t>アサヌマ</t>
    </rPh>
    <rPh sb="3" eb="5">
      <t>カズヒト</t>
    </rPh>
    <phoneticPr fontId="3"/>
  </si>
  <si>
    <t>共産党地区副委員長,生協職員</t>
    <rPh sb="0" eb="3">
      <t>キョウサントウ</t>
    </rPh>
    <rPh sb="3" eb="5">
      <t>チク</t>
    </rPh>
    <rPh sb="5" eb="9">
      <t>フクイインチョウ</t>
    </rPh>
    <rPh sb="10" eb="12">
      <t>セイキョウ</t>
    </rPh>
    <rPh sb="12" eb="14">
      <t>ショクイン</t>
    </rPh>
    <phoneticPr fontId="3"/>
  </si>
  <si>
    <t>松浪　健太</t>
    <rPh sb="0" eb="2">
      <t>マツナミ</t>
    </rPh>
    <rPh sb="3" eb="5">
      <t>ケンタ</t>
    </rPh>
    <phoneticPr fontId="3"/>
  </si>
  <si>
    <t>308比例近畿17</t>
    <rPh sb="3" eb="5">
      <t>ヒレイ</t>
    </rPh>
    <rPh sb="5" eb="7">
      <t>キンキ</t>
    </rPh>
    <phoneticPr fontId="3"/>
  </si>
  <si>
    <t>自</t>
    <rPh sb="0" eb="1">
      <t>ジ</t>
    </rPh>
    <phoneticPr fontId="3"/>
  </si>
  <si>
    <t>新聞記者(産経新聞)</t>
    <rPh sb="0" eb="2">
      <t>シンブン</t>
    </rPh>
    <rPh sb="2" eb="4">
      <t>キシャ</t>
    </rPh>
    <rPh sb="5" eb="7">
      <t>サンケイ</t>
    </rPh>
    <rPh sb="7" eb="9">
      <t>シンブン</t>
    </rPh>
    <phoneticPr fontId="3"/>
  </si>
  <si>
    <t>日本維新の会国会議員団幹事長・党副幹事長，元政務官(内閣,厚労)</t>
    <rPh sb="0" eb="2">
      <t>ニホン</t>
    </rPh>
    <rPh sb="2" eb="4">
      <t>イシン</t>
    </rPh>
    <rPh sb="5" eb="6">
      <t>カイ</t>
    </rPh>
    <rPh sb="6" eb="8">
      <t>コッカイ</t>
    </rPh>
    <rPh sb="8" eb="11">
      <t>ギインダン</t>
    </rPh>
    <rPh sb="11" eb="14">
      <t>カンジチョウ</t>
    </rPh>
    <rPh sb="15" eb="16">
      <t>トウ</t>
    </rPh>
    <rPh sb="16" eb="20">
      <t>フクカンジチョウ</t>
    </rPh>
    <rPh sb="21" eb="22">
      <t>モト</t>
    </rPh>
    <rPh sb="22" eb="25">
      <t>セイムカン</t>
    </rPh>
    <rPh sb="26" eb="28">
      <t>ナイカク</t>
    </rPh>
    <rPh sb="29" eb="31">
      <t>コウロウ</t>
    </rPh>
    <phoneticPr fontId="3"/>
  </si>
  <si>
    <t>ジ二</t>
    <rPh sb="1" eb="2">
      <t>ニ</t>
    </rPh>
    <phoneticPr fontId="3"/>
  </si>
  <si>
    <t>ジ</t>
    <phoneticPr fontId="3"/>
  </si>
  <si>
    <t>202大阪11区01</t>
    <rPh sb="3" eb="5">
      <t>オオサカ</t>
    </rPh>
    <rPh sb="7" eb="8">
      <t>ク</t>
    </rPh>
    <phoneticPr fontId="3"/>
  </si>
  <si>
    <t>202大阪11区02</t>
    <rPh sb="3" eb="5">
      <t>オオサカ</t>
    </rPh>
    <rPh sb="7" eb="8">
      <t>ク</t>
    </rPh>
    <phoneticPr fontId="3"/>
  </si>
  <si>
    <t>202大阪11区03</t>
    <rPh sb="3" eb="5">
      <t>オオサカ</t>
    </rPh>
    <rPh sb="7" eb="8">
      <t>ク</t>
    </rPh>
    <phoneticPr fontId="3"/>
  </si>
  <si>
    <t>202大阪11区04</t>
    <rPh sb="3" eb="5">
      <t>オオサカ</t>
    </rPh>
    <rPh sb="7" eb="8">
      <t>ク</t>
    </rPh>
    <phoneticPr fontId="3"/>
  </si>
  <si>
    <t>平野　博文</t>
    <rPh sb="0" eb="2">
      <t>ヒラノ</t>
    </rPh>
    <rPh sb="3" eb="5">
      <t>ヒロフミ</t>
    </rPh>
    <phoneticPr fontId="3"/>
  </si>
  <si>
    <t>202大阪11区</t>
    <rPh sb="3" eb="5">
      <t>オオサカ</t>
    </rPh>
    <rPh sb="7" eb="8">
      <t>ク</t>
    </rPh>
    <phoneticPr fontId="3"/>
  </si>
  <si>
    <t>電機連合顧問,議員秘書(中村正男)</t>
    <rPh sb="0" eb="2">
      <t>デンキ</t>
    </rPh>
    <rPh sb="2" eb="4">
      <t>レンゴウ</t>
    </rPh>
    <rPh sb="4" eb="6">
      <t>コモン</t>
    </rPh>
    <rPh sb="7" eb="9">
      <t>ギイン</t>
    </rPh>
    <rPh sb="9" eb="11">
      <t>ヒショ</t>
    </rPh>
    <rPh sb="12" eb="14">
      <t>ナカムラ</t>
    </rPh>
    <rPh sb="14" eb="16">
      <t>マサオ</t>
    </rPh>
    <phoneticPr fontId="3"/>
  </si>
  <si>
    <t>衆議院国土交通委員長，元大臣(文科,官房),委長(安保),民主党国対委長,幹事長代理,国対委長代理</t>
    <rPh sb="0" eb="3">
      <t>シュウギイン</t>
    </rPh>
    <rPh sb="3" eb="5">
      <t>コクド</t>
    </rPh>
    <rPh sb="5" eb="7">
      <t>コウツウ</t>
    </rPh>
    <rPh sb="7" eb="10">
      <t>イインチョウ</t>
    </rPh>
    <rPh sb="11" eb="14">
      <t>モトダイジン</t>
    </rPh>
    <rPh sb="15" eb="17">
      <t>モンカ</t>
    </rPh>
    <rPh sb="18" eb="20">
      <t>カンボウ</t>
    </rPh>
    <rPh sb="22" eb="24">
      <t>イチョウ</t>
    </rPh>
    <rPh sb="25" eb="27">
      <t>アンポ</t>
    </rPh>
    <rPh sb="29" eb="32">
      <t>ミンシュトウ</t>
    </rPh>
    <rPh sb="32" eb="36">
      <t>コクタイイチョウ</t>
    </rPh>
    <rPh sb="37" eb="40">
      <t>カンジチョウ</t>
    </rPh>
    <rPh sb="40" eb="42">
      <t>ダイリ</t>
    </rPh>
    <rPh sb="43" eb="47">
      <t>コクタイイチョウ</t>
    </rPh>
    <rPh sb="47" eb="49">
      <t>ダイリ</t>
    </rPh>
    <phoneticPr fontId="3"/>
  </si>
  <si>
    <t>井脇　ノブ子</t>
    <rPh sb="0" eb="2">
      <t>イワキ</t>
    </rPh>
    <rPh sb="5" eb="6">
      <t>コ</t>
    </rPh>
    <phoneticPr fontId="3"/>
  </si>
  <si>
    <t>大院(拓殖)</t>
    <rPh sb="0" eb="2">
      <t>ダイイン</t>
    </rPh>
    <rPh sb="3" eb="5">
      <t>タクショク</t>
    </rPh>
    <phoneticPr fontId="3"/>
  </si>
  <si>
    <t>学校法人理事長(国際開洋学園)</t>
    <rPh sb="0" eb="2">
      <t>ガッコウ</t>
    </rPh>
    <rPh sb="2" eb="4">
      <t>ホウジン</t>
    </rPh>
    <rPh sb="4" eb="7">
      <t>リジチョウ</t>
    </rPh>
    <rPh sb="8" eb="10">
      <t>コクサイ</t>
    </rPh>
    <rPh sb="10" eb="11">
      <t>カイ</t>
    </rPh>
    <rPh sb="11" eb="12">
      <t>ヨウ</t>
    </rPh>
    <rPh sb="12" eb="14">
      <t>ガクエン</t>
    </rPh>
    <phoneticPr fontId="3"/>
  </si>
  <si>
    <t>三和　智之</t>
    <rPh sb="0" eb="2">
      <t>ミワ</t>
    </rPh>
    <rPh sb="3" eb="5">
      <t>トモユキ</t>
    </rPh>
    <phoneticPr fontId="3"/>
  </si>
  <si>
    <t>高(淀川工)</t>
    <rPh sb="0" eb="1">
      <t>コウ</t>
    </rPh>
    <rPh sb="2" eb="4">
      <t>ヨドガワ</t>
    </rPh>
    <rPh sb="4" eb="5">
      <t>コウ</t>
    </rPh>
    <phoneticPr fontId="3"/>
  </si>
  <si>
    <t>共産党地区副委員長,民青同盟大阪府委員長</t>
    <rPh sb="0" eb="3">
      <t>キョウサントウ</t>
    </rPh>
    <rPh sb="3" eb="5">
      <t>チク</t>
    </rPh>
    <rPh sb="5" eb="9">
      <t>フクイインチョウ</t>
    </rPh>
    <rPh sb="10" eb="14">
      <t>ミンセイドウメイ</t>
    </rPh>
    <rPh sb="14" eb="17">
      <t>オオサカフ</t>
    </rPh>
    <rPh sb="17" eb="20">
      <t>イインチョウ</t>
    </rPh>
    <phoneticPr fontId="3"/>
  </si>
  <si>
    <t>203大阪12区01</t>
    <rPh sb="3" eb="5">
      <t>オオサカ</t>
    </rPh>
    <rPh sb="7" eb="8">
      <t>ク</t>
    </rPh>
    <phoneticPr fontId="3"/>
  </si>
  <si>
    <t>203大阪12区02</t>
    <rPh sb="3" eb="5">
      <t>オオサカ</t>
    </rPh>
    <rPh sb="7" eb="8">
      <t>ク</t>
    </rPh>
    <phoneticPr fontId="3"/>
  </si>
  <si>
    <t>203大阪12区03</t>
    <rPh sb="3" eb="5">
      <t>オオサカ</t>
    </rPh>
    <rPh sb="7" eb="8">
      <t>ク</t>
    </rPh>
    <phoneticPr fontId="3"/>
  </si>
  <si>
    <t>樽床　伸二</t>
    <rPh sb="0" eb="2">
      <t>タルトコ</t>
    </rPh>
    <rPh sb="3" eb="5">
      <t>シンジ</t>
    </rPh>
    <phoneticPr fontId="3"/>
  </si>
  <si>
    <t>203大阪12区</t>
    <rPh sb="3" eb="5">
      <t>オオサカ</t>
    </rPh>
    <rPh sb="7" eb="8">
      <t>ク</t>
    </rPh>
    <phoneticPr fontId="3"/>
  </si>
  <si>
    <t>大(大阪)</t>
    <rPh sb="0" eb="1">
      <t>ダイ</t>
    </rPh>
    <rPh sb="2" eb="4">
      <t>オオサカ</t>
    </rPh>
    <phoneticPr fontId="3"/>
  </si>
  <si>
    <t>松</t>
    <rPh sb="0" eb="1">
      <t>マツ</t>
    </rPh>
    <phoneticPr fontId="3"/>
  </si>
  <si>
    <t>総務大臣・沖北担当相，元委長(国基,環境),民主党幹事長代行,国対委員長</t>
    <rPh sb="0" eb="2">
      <t>ソウム</t>
    </rPh>
    <rPh sb="2" eb="4">
      <t>ダイジン</t>
    </rPh>
    <rPh sb="5" eb="7">
      <t>オキホク</t>
    </rPh>
    <rPh sb="7" eb="10">
      <t>タントウショウ</t>
    </rPh>
    <rPh sb="11" eb="12">
      <t>モト</t>
    </rPh>
    <rPh sb="12" eb="14">
      <t>イチョウ</t>
    </rPh>
    <rPh sb="15" eb="17">
      <t>クニモト</t>
    </rPh>
    <rPh sb="18" eb="20">
      <t>カンキョウ</t>
    </rPh>
    <rPh sb="22" eb="25">
      <t>ミンシュトウ</t>
    </rPh>
    <rPh sb="25" eb="28">
      <t>カンジチョウ</t>
    </rPh>
    <rPh sb="28" eb="30">
      <t>ダイコウ</t>
    </rPh>
    <rPh sb="31" eb="33">
      <t>コクタイ</t>
    </rPh>
    <rPh sb="33" eb="36">
      <t>イインチョウ</t>
    </rPh>
    <phoneticPr fontId="3"/>
  </si>
  <si>
    <t>北川　知克</t>
    <rPh sb="0" eb="2">
      <t>キタガワ</t>
    </rPh>
    <rPh sb="3" eb="5">
      <t>トモカツ</t>
    </rPh>
    <phoneticPr fontId="3"/>
  </si>
  <si>
    <t>議員秘書(北川石松)</t>
    <rPh sb="0" eb="2">
      <t>ギイン</t>
    </rPh>
    <rPh sb="2" eb="4">
      <t>ヒショ</t>
    </rPh>
    <rPh sb="5" eb="7">
      <t>キタガワ</t>
    </rPh>
    <rPh sb="7" eb="9">
      <t>イシマツ</t>
    </rPh>
    <phoneticPr fontId="3"/>
  </si>
  <si>
    <t>吉井　芳子</t>
    <rPh sb="0" eb="2">
      <t>ヨシイ</t>
    </rPh>
    <rPh sb="3" eb="5">
      <t>ヨシコ</t>
    </rPh>
    <phoneticPr fontId="3"/>
  </si>
  <si>
    <t>短大(京都女子大学短期大学部)</t>
    <rPh sb="0" eb="2">
      <t>タンダイ</t>
    </rPh>
    <rPh sb="3" eb="14">
      <t>キョウトジョシダイガクタンキダイガクブ</t>
    </rPh>
    <phoneticPr fontId="3"/>
  </si>
  <si>
    <t>共産党地区国政対策委員長</t>
    <rPh sb="0" eb="3">
      <t>キョウサントウ</t>
    </rPh>
    <rPh sb="3" eb="5">
      <t>チク</t>
    </rPh>
    <rPh sb="5" eb="7">
      <t>コクセイ</t>
    </rPh>
    <rPh sb="7" eb="9">
      <t>タイサク</t>
    </rPh>
    <rPh sb="9" eb="12">
      <t>イインチョウ</t>
    </rPh>
    <phoneticPr fontId="3"/>
  </si>
  <si>
    <t>204大阪13区01</t>
    <rPh sb="3" eb="5">
      <t>オオサカ</t>
    </rPh>
    <rPh sb="7" eb="8">
      <t>ク</t>
    </rPh>
    <phoneticPr fontId="3"/>
  </si>
  <si>
    <t>204大阪13区02</t>
    <rPh sb="3" eb="5">
      <t>オオサカ</t>
    </rPh>
    <rPh sb="7" eb="8">
      <t>ク</t>
    </rPh>
    <phoneticPr fontId="3"/>
  </si>
  <si>
    <t>204大阪13区03</t>
    <rPh sb="3" eb="5">
      <t>オオサカ</t>
    </rPh>
    <rPh sb="7" eb="8">
      <t>ク</t>
    </rPh>
    <phoneticPr fontId="3"/>
  </si>
  <si>
    <t>204大阪13区04</t>
    <rPh sb="3" eb="5">
      <t>オオサカ</t>
    </rPh>
    <rPh sb="7" eb="8">
      <t>ク</t>
    </rPh>
    <phoneticPr fontId="3"/>
  </si>
  <si>
    <t>308比例近畿11</t>
    <rPh sb="3" eb="5">
      <t>ヒレイ</t>
    </rPh>
    <rPh sb="5" eb="7">
      <t>キンキ</t>
    </rPh>
    <phoneticPr fontId="3"/>
  </si>
  <si>
    <t>東京都議(中野区),会社社長(ヒグチ産業),薬剤師</t>
    <rPh sb="0" eb="2">
      <t>トウキョウ</t>
    </rPh>
    <rPh sb="2" eb="4">
      <t>トギ</t>
    </rPh>
    <rPh sb="5" eb="8">
      <t>ナカノク</t>
    </rPh>
    <rPh sb="10" eb="12">
      <t>カイシャ</t>
    </rPh>
    <rPh sb="12" eb="14">
      <t>シャチョウ</t>
    </rPh>
    <rPh sb="18" eb="20">
      <t>サンギョウ</t>
    </rPh>
    <rPh sb="22" eb="25">
      <t>ヤクザイシ</t>
    </rPh>
    <phoneticPr fontId="3"/>
  </si>
  <si>
    <t>鞍</t>
    <rPh sb="0" eb="1">
      <t>クラ</t>
    </rPh>
    <phoneticPr fontId="3"/>
  </si>
  <si>
    <t>樋口　俊一</t>
    <rPh sb="0" eb="2">
      <t>ヒグチ</t>
    </rPh>
    <rPh sb="3" eb="5">
      <t>トシカズ</t>
    </rPh>
    <phoneticPr fontId="3"/>
  </si>
  <si>
    <t>白石　純子</t>
    <rPh sb="0" eb="2">
      <t>シライシ</t>
    </rPh>
    <rPh sb="3" eb="5">
      <t>ジュンコ</t>
    </rPh>
    <phoneticPr fontId="3"/>
  </si>
  <si>
    <t>高(御影)</t>
    <rPh sb="0" eb="1">
      <t>コウ</t>
    </rPh>
    <rPh sb="2" eb="4">
      <t>ミカゲ</t>
    </rPh>
    <phoneticPr fontId="3"/>
  </si>
  <si>
    <t>会社員(全日空)</t>
    <rPh sb="0" eb="3">
      <t>カイシャイン</t>
    </rPh>
    <rPh sb="4" eb="7">
      <t>ゼンニックウ</t>
    </rPh>
    <phoneticPr fontId="3"/>
  </si>
  <si>
    <t>寺山　初代</t>
    <rPh sb="0" eb="2">
      <t>テラヤマ</t>
    </rPh>
    <rPh sb="3" eb="5">
      <t>ハツヨ</t>
    </rPh>
    <phoneticPr fontId="3"/>
  </si>
  <si>
    <t>205大阪14区01</t>
    <rPh sb="3" eb="5">
      <t>オオサカ</t>
    </rPh>
    <rPh sb="7" eb="8">
      <t>ク</t>
    </rPh>
    <phoneticPr fontId="3"/>
  </si>
  <si>
    <t>205大阪14区02</t>
    <rPh sb="3" eb="5">
      <t>オオサカ</t>
    </rPh>
    <rPh sb="7" eb="8">
      <t>ク</t>
    </rPh>
    <phoneticPr fontId="3"/>
  </si>
  <si>
    <t>205大阪14区03</t>
    <rPh sb="3" eb="5">
      <t>オオサカ</t>
    </rPh>
    <rPh sb="7" eb="8">
      <t>ク</t>
    </rPh>
    <phoneticPr fontId="3"/>
  </si>
  <si>
    <t>205大阪14区04</t>
    <rPh sb="3" eb="5">
      <t>オオサカ</t>
    </rPh>
    <rPh sb="7" eb="8">
      <t>ク</t>
    </rPh>
    <phoneticPr fontId="3"/>
  </si>
  <si>
    <t>長尾　　敬</t>
    <rPh sb="0" eb="2">
      <t>ナガオ</t>
    </rPh>
    <rPh sb="4" eb="5">
      <t>タカシ</t>
    </rPh>
    <phoneticPr fontId="3"/>
  </si>
  <si>
    <t>205大阪14区</t>
    <rPh sb="3" eb="5">
      <t>オオサカ</t>
    </rPh>
    <rPh sb="7" eb="8">
      <t>ク</t>
    </rPh>
    <phoneticPr fontId="3"/>
  </si>
  <si>
    <t>会社員(明治生命保険)</t>
    <rPh sb="0" eb="3">
      <t>カイシャイン</t>
    </rPh>
    <rPh sb="4" eb="6">
      <t>メイジ</t>
    </rPh>
    <rPh sb="6" eb="8">
      <t>セイメイ</t>
    </rPh>
    <rPh sb="8" eb="10">
      <t>ホケン</t>
    </rPh>
    <phoneticPr fontId="3"/>
  </si>
  <si>
    <t>野沢　倫昭</t>
    <rPh sb="0" eb="2">
      <t>ノザワ</t>
    </rPh>
    <rPh sb="3" eb="4">
      <t>ミチ</t>
    </rPh>
    <rPh sb="4" eb="5">
      <t>アキ</t>
    </rPh>
    <phoneticPr fontId="3"/>
  </si>
  <si>
    <t>大(大阪府立)</t>
    <rPh sb="0" eb="1">
      <t>ダイ</t>
    </rPh>
    <rPh sb="2" eb="4">
      <t>オオサカ</t>
    </rPh>
    <rPh sb="4" eb="6">
      <t>フリツ</t>
    </rPh>
    <phoneticPr fontId="3"/>
  </si>
  <si>
    <t>大阪府・八尾市議,八尾市職員</t>
    <rPh sb="0" eb="3">
      <t>オオサカフ</t>
    </rPh>
    <rPh sb="4" eb="6">
      <t>ヤオ</t>
    </rPh>
    <rPh sb="6" eb="8">
      <t>シギ</t>
    </rPh>
    <rPh sb="9" eb="11">
      <t>ヤオ</t>
    </rPh>
    <rPh sb="11" eb="14">
      <t>シショクイン</t>
    </rPh>
    <phoneticPr fontId="3"/>
  </si>
  <si>
    <t>谷畑　　孝</t>
    <rPh sb="0" eb="2">
      <t>タニハタ</t>
    </rPh>
    <rPh sb="4" eb="5">
      <t>タカシ</t>
    </rPh>
    <phoneticPr fontId="3"/>
  </si>
  <si>
    <t>308比例近畿20</t>
    <rPh sb="3" eb="5">
      <t>ヒレイ</t>
    </rPh>
    <rPh sb="5" eb="7">
      <t>キンキ</t>
    </rPh>
    <phoneticPr fontId="3"/>
  </si>
  <si>
    <t>議員秘書(上田卓三),池田市職員</t>
    <rPh sb="0" eb="2">
      <t>ギイン</t>
    </rPh>
    <rPh sb="2" eb="4">
      <t>ヒショ</t>
    </rPh>
    <rPh sb="5" eb="7">
      <t>ウエダ</t>
    </rPh>
    <rPh sb="7" eb="8">
      <t>タク</t>
    </rPh>
    <rPh sb="8" eb="9">
      <t>ミ</t>
    </rPh>
    <rPh sb="11" eb="14">
      <t>イケダシ</t>
    </rPh>
    <rPh sb="14" eb="16">
      <t>ショクイン</t>
    </rPh>
    <phoneticPr fontId="3"/>
  </si>
  <si>
    <t>日本維新の会国会議員団両院議員総会長，元委長(経産),副大臣(厚労),政務次官(通産),参1</t>
    <rPh sb="0" eb="4">
      <t>ニホンイシン</t>
    </rPh>
    <rPh sb="5" eb="18">
      <t>カイコッカイギインダンリョウインギインソウカイチョウ</t>
    </rPh>
    <rPh sb="19" eb="20">
      <t>モト</t>
    </rPh>
    <rPh sb="20" eb="22">
      <t>イチョウ</t>
    </rPh>
    <rPh sb="23" eb="25">
      <t>ケイサン</t>
    </rPh>
    <rPh sb="27" eb="30">
      <t>フクダイジン</t>
    </rPh>
    <rPh sb="31" eb="33">
      <t>コウロウ</t>
    </rPh>
    <rPh sb="35" eb="37">
      <t>セイム</t>
    </rPh>
    <rPh sb="37" eb="39">
      <t>ジカン</t>
    </rPh>
    <rPh sb="40" eb="42">
      <t>ツウサン</t>
    </rPh>
    <rPh sb="44" eb="45">
      <t>サン</t>
    </rPh>
    <phoneticPr fontId="3"/>
  </si>
  <si>
    <t>法</t>
    <rPh sb="0" eb="1">
      <t>ホウ</t>
    </rPh>
    <phoneticPr fontId="3"/>
  </si>
  <si>
    <t>大院(学習院)</t>
    <rPh sb="0" eb="2">
      <t>ダイイン</t>
    </rPh>
    <rPh sb="3" eb="6">
      <t>ガクシュウイン</t>
    </rPh>
    <phoneticPr fontId="3"/>
  </si>
  <si>
    <t>206大阪15区01</t>
    <rPh sb="3" eb="5">
      <t>オオサカ</t>
    </rPh>
    <rPh sb="7" eb="8">
      <t>ク</t>
    </rPh>
    <phoneticPr fontId="3"/>
  </si>
  <si>
    <t>206大阪15区02</t>
    <rPh sb="3" eb="5">
      <t>オオサカ</t>
    </rPh>
    <rPh sb="7" eb="8">
      <t>ク</t>
    </rPh>
    <phoneticPr fontId="3"/>
  </si>
  <si>
    <t>206大阪15区03</t>
    <rPh sb="3" eb="5">
      <t>オオサカ</t>
    </rPh>
    <rPh sb="7" eb="8">
      <t>ク</t>
    </rPh>
    <phoneticPr fontId="3"/>
  </si>
  <si>
    <t>206大阪15区04</t>
    <rPh sb="3" eb="5">
      <t>オオサカ</t>
    </rPh>
    <rPh sb="7" eb="8">
      <t>ク</t>
    </rPh>
    <phoneticPr fontId="3"/>
  </si>
  <si>
    <t>竹本　直一</t>
    <rPh sb="0" eb="2">
      <t>タケモト</t>
    </rPh>
    <rPh sb="3" eb="4">
      <t>ナオ</t>
    </rPh>
    <rPh sb="4" eb="5">
      <t>カズ</t>
    </rPh>
    <phoneticPr fontId="3"/>
  </si>
  <si>
    <t>308比例近畿15</t>
    <rPh sb="3" eb="5">
      <t>ヒレイ</t>
    </rPh>
    <rPh sb="5" eb="7">
      <t>キンキ</t>
    </rPh>
    <phoneticPr fontId="3"/>
  </si>
  <si>
    <t>大(京都)</t>
    <rPh sb="0" eb="1">
      <t>ダイ</t>
    </rPh>
    <rPh sb="2" eb="4">
      <t>キョウト</t>
    </rPh>
    <phoneticPr fontId="3"/>
  </si>
  <si>
    <t>大院(米/カリフォルニア州立バークレー)</t>
    <rPh sb="0" eb="2">
      <t>ダイイン</t>
    </rPh>
    <rPh sb="3" eb="4">
      <t>ベイ</t>
    </rPh>
    <rPh sb="12" eb="14">
      <t>シュウリツ</t>
    </rPh>
    <phoneticPr fontId="3"/>
  </si>
  <si>
    <t>国土庁官房審議官(建設省)</t>
    <rPh sb="0" eb="8">
      <t>コクドチョウカンボウシンギカン</t>
    </rPh>
    <rPh sb="9" eb="12">
      <t>ケンセツショウ</t>
    </rPh>
    <phoneticPr fontId="3"/>
  </si>
  <si>
    <t>　元委長(国交),副大臣(財務),政務官(厚労,経産)</t>
    <rPh sb="1" eb="2">
      <t>モト</t>
    </rPh>
    <rPh sb="2" eb="4">
      <t>イチョウ</t>
    </rPh>
    <rPh sb="5" eb="7">
      <t>コッコウ</t>
    </rPh>
    <rPh sb="9" eb="12">
      <t>フクダイジン</t>
    </rPh>
    <rPh sb="13" eb="15">
      <t>ザイム</t>
    </rPh>
    <rPh sb="17" eb="20">
      <t>セイムカン</t>
    </rPh>
    <rPh sb="21" eb="23">
      <t>コウロウ</t>
    </rPh>
    <rPh sb="24" eb="26">
      <t>ケイサン</t>
    </rPh>
    <phoneticPr fontId="3"/>
  </si>
  <si>
    <t>官</t>
    <rPh sb="0" eb="1">
      <t>カン</t>
    </rPh>
    <phoneticPr fontId="3"/>
  </si>
  <si>
    <t>大谷　　啓</t>
    <rPh sb="0" eb="2">
      <t>オオタニ</t>
    </rPh>
    <rPh sb="4" eb="5">
      <t>ケイ</t>
    </rPh>
    <phoneticPr fontId="3"/>
  </si>
  <si>
    <t>206大阪15区</t>
    <rPh sb="3" eb="5">
      <t>オオサカ</t>
    </rPh>
    <rPh sb="7" eb="8">
      <t>ク</t>
    </rPh>
    <phoneticPr fontId="3"/>
  </si>
  <si>
    <t>大(東京)</t>
    <rPh sb="0" eb="1">
      <t>ダイ</t>
    </rPh>
    <rPh sb="2" eb="4">
      <t>トウキョウ</t>
    </rPh>
    <phoneticPr fontId="3"/>
  </si>
  <si>
    <t>会社員(住友商事)</t>
    <rPh sb="0" eb="3">
      <t>カイシャイン</t>
    </rPh>
    <rPh sb="4" eb="6">
      <t>スミトモ</t>
    </rPh>
    <rPh sb="6" eb="8">
      <t>ショウジ</t>
    </rPh>
    <phoneticPr fontId="3"/>
  </si>
  <si>
    <t>為　　仁史</t>
    <rPh sb="0" eb="1">
      <t>タメ</t>
    </rPh>
    <rPh sb="3" eb="4">
      <t>キミ</t>
    </rPh>
    <rPh sb="4" eb="5">
      <t>ヒト</t>
    </rPh>
    <phoneticPr fontId="3"/>
  </si>
  <si>
    <t>共産党地区委員,富田林民商事務局長</t>
    <rPh sb="0" eb="3">
      <t>キョウサントウ</t>
    </rPh>
    <rPh sb="3" eb="5">
      <t>チク</t>
    </rPh>
    <rPh sb="5" eb="7">
      <t>イイン</t>
    </rPh>
    <rPh sb="8" eb="11">
      <t>トンダバヤシ</t>
    </rPh>
    <rPh sb="11" eb="12">
      <t>ミン</t>
    </rPh>
    <rPh sb="12" eb="13">
      <t>ショウ</t>
    </rPh>
    <rPh sb="13" eb="15">
      <t>ジム</t>
    </rPh>
    <rPh sb="15" eb="17">
      <t>キョクチョウ</t>
    </rPh>
    <phoneticPr fontId="3"/>
  </si>
  <si>
    <t>207大阪16区01</t>
    <rPh sb="3" eb="5">
      <t>オオサカ</t>
    </rPh>
    <rPh sb="7" eb="8">
      <t>ク</t>
    </rPh>
    <phoneticPr fontId="3"/>
  </si>
  <si>
    <t>207大阪16区02</t>
    <rPh sb="3" eb="5">
      <t>オオサカ</t>
    </rPh>
    <rPh sb="7" eb="8">
      <t>ク</t>
    </rPh>
    <phoneticPr fontId="3"/>
  </si>
  <si>
    <t>207大阪16区03</t>
    <rPh sb="3" eb="5">
      <t>オオサカ</t>
    </rPh>
    <rPh sb="7" eb="8">
      <t>ク</t>
    </rPh>
    <phoneticPr fontId="3"/>
  </si>
  <si>
    <t>森山　浩行</t>
    <rPh sb="0" eb="2">
      <t>モリヤマ</t>
    </rPh>
    <rPh sb="3" eb="5">
      <t>ヒロユキ</t>
    </rPh>
    <phoneticPr fontId="3"/>
  </si>
  <si>
    <t>207大阪16区</t>
    <rPh sb="3" eb="5">
      <t>オオサカ</t>
    </rPh>
    <rPh sb="7" eb="8">
      <t>ク</t>
    </rPh>
    <phoneticPr fontId="3"/>
  </si>
  <si>
    <t>大(明治)</t>
    <rPh sb="0" eb="1">
      <t>ダイ</t>
    </rPh>
    <rPh sb="2" eb="4">
      <t>メイジ</t>
    </rPh>
    <phoneticPr fontId="3"/>
  </si>
  <si>
    <t>大阪府議(堺市),大阪府・堺市議,テレビ記者(関西テレビ)</t>
    <rPh sb="0" eb="2">
      <t>オオサカ</t>
    </rPh>
    <rPh sb="2" eb="4">
      <t>フギ</t>
    </rPh>
    <rPh sb="5" eb="7">
      <t>サカイシ</t>
    </rPh>
    <rPh sb="9" eb="12">
      <t>オオサカフ</t>
    </rPh>
    <rPh sb="13" eb="14">
      <t>サカイ</t>
    </rPh>
    <rPh sb="14" eb="16">
      <t>シギ</t>
    </rPh>
    <rPh sb="20" eb="22">
      <t>キシャ</t>
    </rPh>
    <rPh sb="23" eb="25">
      <t>カンサイ</t>
    </rPh>
    <phoneticPr fontId="3"/>
  </si>
  <si>
    <t>議ジ</t>
    <rPh sb="0" eb="1">
      <t>ギ</t>
    </rPh>
    <phoneticPr fontId="3"/>
  </si>
  <si>
    <t>議</t>
    <rPh sb="0" eb="1">
      <t>ギ</t>
    </rPh>
    <phoneticPr fontId="3"/>
  </si>
  <si>
    <t>ジ</t>
    <phoneticPr fontId="3"/>
  </si>
  <si>
    <t>北側　一雄</t>
    <rPh sb="0" eb="2">
      <t>キタガワ</t>
    </rPh>
    <rPh sb="3" eb="5">
      <t>カズオ</t>
    </rPh>
    <phoneticPr fontId="3"/>
  </si>
  <si>
    <t>弁護士</t>
    <rPh sb="0" eb="3">
      <t>ベンゴシ</t>
    </rPh>
    <phoneticPr fontId="3"/>
  </si>
  <si>
    <t>二法</t>
    <rPh sb="0" eb="1">
      <t>ニ</t>
    </rPh>
    <rPh sb="1" eb="2">
      <t>ホウ</t>
    </rPh>
    <phoneticPr fontId="3"/>
  </si>
  <si>
    <t>二</t>
    <rPh sb="0" eb="1">
      <t>ニ</t>
    </rPh>
    <phoneticPr fontId="3"/>
  </si>
  <si>
    <t>法</t>
    <rPh sb="0" eb="1">
      <t>ホウ</t>
    </rPh>
    <phoneticPr fontId="3"/>
  </si>
  <si>
    <t>　元大臣(国交・観光),元委長(科技),政務次官(大蔵),公明党幹事長,政審会長</t>
    <rPh sb="1" eb="4">
      <t>モトダイジン</t>
    </rPh>
    <rPh sb="5" eb="7">
      <t>コッコウ</t>
    </rPh>
    <rPh sb="8" eb="10">
      <t>カンコウ</t>
    </rPh>
    <rPh sb="12" eb="13">
      <t>モト</t>
    </rPh>
    <rPh sb="13" eb="15">
      <t>イチョウ</t>
    </rPh>
    <rPh sb="16" eb="18">
      <t>カギ</t>
    </rPh>
    <rPh sb="20" eb="22">
      <t>セイム</t>
    </rPh>
    <rPh sb="22" eb="24">
      <t>ジカン</t>
    </rPh>
    <rPh sb="25" eb="27">
      <t>オオクラ</t>
    </rPh>
    <rPh sb="29" eb="32">
      <t>コウメイトウ</t>
    </rPh>
    <rPh sb="32" eb="35">
      <t>カンジチョウ</t>
    </rPh>
    <rPh sb="36" eb="38">
      <t>セイシン</t>
    </rPh>
    <rPh sb="38" eb="40">
      <t>カイチョウ</t>
    </rPh>
    <phoneticPr fontId="3"/>
  </si>
  <si>
    <t>岡井　　勤</t>
    <rPh sb="0" eb="2">
      <t>オカイ</t>
    </rPh>
    <rPh sb="4" eb="5">
      <t>ツトム</t>
    </rPh>
    <phoneticPr fontId="3"/>
  </si>
  <si>
    <t>他(なんばデザイナー学院)</t>
    <rPh sb="0" eb="1">
      <t>ホカ</t>
    </rPh>
    <rPh sb="10" eb="12">
      <t>ガクイン</t>
    </rPh>
    <phoneticPr fontId="3"/>
  </si>
  <si>
    <t>大阪府・堺市議,堺学童保育連副会長</t>
    <rPh sb="0" eb="3">
      <t>オオサカフ</t>
    </rPh>
    <rPh sb="4" eb="5">
      <t>サカイ</t>
    </rPh>
    <rPh sb="5" eb="7">
      <t>シギ</t>
    </rPh>
    <rPh sb="8" eb="9">
      <t>サカイ</t>
    </rPh>
    <rPh sb="9" eb="11">
      <t>ガクドウ</t>
    </rPh>
    <rPh sb="11" eb="13">
      <t>ホイク</t>
    </rPh>
    <rPh sb="13" eb="14">
      <t>レン</t>
    </rPh>
    <rPh sb="14" eb="17">
      <t>フクカイチョウ</t>
    </rPh>
    <phoneticPr fontId="3"/>
  </si>
  <si>
    <t>208大阪17区02</t>
    <rPh sb="3" eb="5">
      <t>オオサカ</t>
    </rPh>
    <rPh sb="7" eb="8">
      <t>ク</t>
    </rPh>
    <phoneticPr fontId="3"/>
  </si>
  <si>
    <t>208大阪17区03</t>
    <rPh sb="3" eb="5">
      <t>オオサカ</t>
    </rPh>
    <rPh sb="7" eb="8">
      <t>ク</t>
    </rPh>
    <phoneticPr fontId="3"/>
  </si>
  <si>
    <t>208大阪17区04</t>
    <rPh sb="3" eb="5">
      <t>オオサカ</t>
    </rPh>
    <rPh sb="7" eb="8">
      <t>ク</t>
    </rPh>
    <phoneticPr fontId="3"/>
  </si>
  <si>
    <t>辻　　　惠</t>
    <rPh sb="0" eb="1">
      <t>ツジ</t>
    </rPh>
    <rPh sb="4" eb="5">
      <t>メグム</t>
    </rPh>
    <phoneticPr fontId="3"/>
  </si>
  <si>
    <t>208大阪17区</t>
    <rPh sb="3" eb="5">
      <t>オオサカ</t>
    </rPh>
    <rPh sb="7" eb="8">
      <t>ク</t>
    </rPh>
    <phoneticPr fontId="3"/>
  </si>
  <si>
    <t>岡下　信子</t>
    <rPh sb="0" eb="2">
      <t>オカシタ</t>
    </rPh>
    <rPh sb="3" eb="5">
      <t>ノブコ</t>
    </rPh>
    <phoneticPr fontId="3"/>
  </si>
  <si>
    <t>短大(学習院女子)</t>
    <rPh sb="0" eb="2">
      <t>タンダイ</t>
    </rPh>
    <rPh sb="3" eb="6">
      <t>ガクシュウイン</t>
    </rPh>
    <rPh sb="6" eb="8">
      <t>ジョシ</t>
    </rPh>
    <phoneticPr fontId="3"/>
  </si>
  <si>
    <t>　元政務官(内閣)</t>
    <rPh sb="1" eb="2">
      <t>モト</t>
    </rPh>
    <rPh sb="2" eb="5">
      <t>セイムカン</t>
    </rPh>
    <rPh sb="6" eb="8">
      <t>ナイカク</t>
    </rPh>
    <phoneticPr fontId="3"/>
  </si>
  <si>
    <t>主婦,候補秘書</t>
    <rPh sb="0" eb="2">
      <t>シュフ</t>
    </rPh>
    <rPh sb="3" eb="5">
      <t>コウホ</t>
    </rPh>
    <rPh sb="5" eb="7">
      <t>ヒショ</t>
    </rPh>
    <phoneticPr fontId="3"/>
  </si>
  <si>
    <t>吉岡　孝嘉</t>
    <rPh sb="0" eb="2">
      <t>ヨシオカ</t>
    </rPh>
    <rPh sb="3" eb="4">
      <t>タカ</t>
    </rPh>
    <rPh sb="4" eb="5">
      <t>ヨシ</t>
    </rPh>
    <phoneticPr fontId="3"/>
  </si>
  <si>
    <t>共産党地区国政対策委員長,学習塾経営</t>
    <rPh sb="0" eb="3">
      <t>キョウサントウ</t>
    </rPh>
    <rPh sb="3" eb="5">
      <t>チク</t>
    </rPh>
    <rPh sb="5" eb="7">
      <t>コクセイ</t>
    </rPh>
    <rPh sb="7" eb="9">
      <t>タイサク</t>
    </rPh>
    <rPh sb="9" eb="12">
      <t>イインチョウ</t>
    </rPh>
    <rPh sb="13" eb="16">
      <t>ガクシュウジュク</t>
    </rPh>
    <rPh sb="16" eb="18">
      <t>ケイエイ</t>
    </rPh>
    <phoneticPr fontId="3"/>
  </si>
  <si>
    <t>209大阪18区01</t>
    <rPh sb="3" eb="5">
      <t>オオサカ</t>
    </rPh>
    <rPh sb="7" eb="8">
      <t>ク</t>
    </rPh>
    <phoneticPr fontId="3"/>
  </si>
  <si>
    <t>209大阪18区02</t>
    <rPh sb="3" eb="5">
      <t>オオサカ</t>
    </rPh>
    <rPh sb="7" eb="8">
      <t>ク</t>
    </rPh>
    <phoneticPr fontId="3"/>
  </si>
  <si>
    <t>209大阪18区03</t>
    <rPh sb="3" eb="5">
      <t>オオサカ</t>
    </rPh>
    <rPh sb="7" eb="8">
      <t>ク</t>
    </rPh>
    <phoneticPr fontId="3"/>
  </si>
  <si>
    <t>209大阪18区04</t>
    <rPh sb="3" eb="5">
      <t>オオサカ</t>
    </rPh>
    <rPh sb="7" eb="8">
      <t>ク</t>
    </rPh>
    <phoneticPr fontId="3"/>
  </si>
  <si>
    <t>中川　　治</t>
    <rPh sb="0" eb="2">
      <t>ナカガワ</t>
    </rPh>
    <rPh sb="4" eb="5">
      <t>オサム</t>
    </rPh>
    <phoneticPr fontId="3"/>
  </si>
  <si>
    <t>209大阪18区</t>
    <rPh sb="3" eb="5">
      <t>オオサカ</t>
    </rPh>
    <rPh sb="7" eb="8">
      <t>ク</t>
    </rPh>
    <phoneticPr fontId="3"/>
  </si>
  <si>
    <t>大中(大阪市立)</t>
    <rPh sb="0" eb="1">
      <t>ダイ</t>
    </rPh>
    <rPh sb="1" eb="2">
      <t>チュウ</t>
    </rPh>
    <rPh sb="3" eb="5">
      <t>オオサカ</t>
    </rPh>
    <rPh sb="5" eb="7">
      <t>シリツ</t>
    </rPh>
    <phoneticPr fontId="3"/>
  </si>
  <si>
    <t>大阪府議(和泉市),議員秘書(上田卓三)</t>
    <rPh sb="0" eb="2">
      <t>オオサカ</t>
    </rPh>
    <rPh sb="2" eb="4">
      <t>フギ</t>
    </rPh>
    <rPh sb="5" eb="8">
      <t>イズミシ</t>
    </rPh>
    <rPh sb="10" eb="12">
      <t>ギイン</t>
    </rPh>
    <rPh sb="12" eb="14">
      <t>ヒショ</t>
    </rPh>
    <rPh sb="15" eb="17">
      <t>ウエダ</t>
    </rPh>
    <rPh sb="17" eb="19">
      <t>タクミ</t>
    </rPh>
    <phoneticPr fontId="3"/>
  </si>
  <si>
    <t>矢野　忠重</t>
    <rPh sb="0" eb="2">
      <t>ヤノ</t>
    </rPh>
    <rPh sb="3" eb="5">
      <t>タダシゲ</t>
    </rPh>
    <phoneticPr fontId="3"/>
  </si>
  <si>
    <t>高(佐野工)</t>
    <rPh sb="0" eb="1">
      <t>コウ</t>
    </rPh>
    <rPh sb="2" eb="4">
      <t>サノ</t>
    </rPh>
    <rPh sb="4" eb="5">
      <t>コウ</t>
    </rPh>
    <phoneticPr fontId="3"/>
  </si>
  <si>
    <t>共産党地区国政対策委員長,全金野村労組役員</t>
    <rPh sb="0" eb="12">
      <t>キョウサントウチクコクセイタイサクイインチョウ</t>
    </rPh>
    <rPh sb="13" eb="14">
      <t>ゼン</t>
    </rPh>
    <rPh sb="14" eb="15">
      <t>キン</t>
    </rPh>
    <rPh sb="15" eb="17">
      <t>ノムラ</t>
    </rPh>
    <rPh sb="17" eb="19">
      <t>ロウソ</t>
    </rPh>
    <rPh sb="19" eb="21">
      <t>ヤクイン</t>
    </rPh>
    <phoneticPr fontId="3"/>
  </si>
  <si>
    <t>労</t>
    <rPh sb="0" eb="1">
      <t>ロウ</t>
    </rPh>
    <phoneticPr fontId="3"/>
  </si>
  <si>
    <t>神谷　　昇</t>
    <rPh sb="0" eb="2">
      <t>カミタニ</t>
    </rPh>
    <rPh sb="4" eb="5">
      <t>ノボル</t>
    </rPh>
    <phoneticPr fontId="3"/>
  </si>
  <si>
    <t>高(泉大津)</t>
    <rPh sb="0" eb="1">
      <t>コウ</t>
    </rPh>
    <rPh sb="2" eb="5">
      <t>イズミオオツ</t>
    </rPh>
    <phoneticPr fontId="3"/>
  </si>
  <si>
    <t>大阪府・泉大津市長,大阪府議(泉大津市),大阪府・泉大津市議</t>
    <rPh sb="0" eb="3">
      <t>オオサカフ</t>
    </rPh>
    <rPh sb="4" eb="7">
      <t>イズミオオツ</t>
    </rPh>
    <rPh sb="7" eb="9">
      <t>シチョウ</t>
    </rPh>
    <rPh sb="10" eb="12">
      <t>オオサカ</t>
    </rPh>
    <rPh sb="12" eb="14">
      <t>フギ</t>
    </rPh>
    <rPh sb="15" eb="19">
      <t>イズミオオツシ</t>
    </rPh>
    <rPh sb="21" eb="24">
      <t>オオサカフ</t>
    </rPh>
    <rPh sb="25" eb="28">
      <t>イズミオオツ</t>
    </rPh>
    <rPh sb="28" eb="30">
      <t>シギ</t>
    </rPh>
    <phoneticPr fontId="3"/>
  </si>
  <si>
    <t>議首</t>
    <rPh sb="0" eb="1">
      <t>ギ</t>
    </rPh>
    <rPh sb="1" eb="2">
      <t>クビ</t>
    </rPh>
    <phoneticPr fontId="3"/>
  </si>
  <si>
    <t>首</t>
    <rPh sb="0" eb="1">
      <t>クビ</t>
    </rPh>
    <phoneticPr fontId="3"/>
  </si>
  <si>
    <t>遠藤　　敬</t>
    <rPh sb="0" eb="2">
      <t>エンドウ</t>
    </rPh>
    <rPh sb="4" eb="5">
      <t>タカシ</t>
    </rPh>
    <phoneticPr fontId="3"/>
  </si>
  <si>
    <t>高(大阪産業大学附属)</t>
    <rPh sb="0" eb="1">
      <t>コウ</t>
    </rPh>
    <rPh sb="2" eb="4">
      <t>オオサカ</t>
    </rPh>
    <rPh sb="4" eb="6">
      <t>サンギョウ</t>
    </rPh>
    <rPh sb="6" eb="8">
      <t>ダイガク</t>
    </rPh>
    <rPh sb="8" eb="10">
      <t>フゾク</t>
    </rPh>
    <phoneticPr fontId="3"/>
  </si>
  <si>
    <t>JC大阪ブロック協議会会長,会社社長(源泉)</t>
    <rPh sb="2" eb="4">
      <t>オオサカ</t>
    </rPh>
    <rPh sb="8" eb="11">
      <t>キョウギカイ</t>
    </rPh>
    <rPh sb="11" eb="13">
      <t>カイチョウ</t>
    </rPh>
    <rPh sb="14" eb="16">
      <t>カイシャ</t>
    </rPh>
    <rPh sb="16" eb="18">
      <t>シャチョウ</t>
    </rPh>
    <rPh sb="19" eb="21">
      <t>ゲンセン</t>
    </rPh>
    <phoneticPr fontId="3"/>
  </si>
  <si>
    <t>210大阪19区01</t>
    <rPh sb="3" eb="5">
      <t>オオサカ</t>
    </rPh>
    <rPh sb="7" eb="8">
      <t>ク</t>
    </rPh>
    <phoneticPr fontId="3"/>
  </si>
  <si>
    <t>210大阪19区02</t>
    <rPh sb="3" eb="5">
      <t>オオサカ</t>
    </rPh>
    <rPh sb="7" eb="8">
      <t>ク</t>
    </rPh>
    <phoneticPr fontId="3"/>
  </si>
  <si>
    <t>210大阪19区03</t>
    <rPh sb="3" eb="5">
      <t>オオサカ</t>
    </rPh>
    <rPh sb="7" eb="8">
      <t>ク</t>
    </rPh>
    <phoneticPr fontId="3"/>
  </si>
  <si>
    <t>210大阪19区04</t>
    <rPh sb="3" eb="5">
      <t>オオサカ</t>
    </rPh>
    <rPh sb="7" eb="8">
      <t>ク</t>
    </rPh>
    <phoneticPr fontId="3"/>
  </si>
  <si>
    <t>長安　　豊</t>
    <rPh sb="0" eb="2">
      <t>ナガヤス</t>
    </rPh>
    <rPh sb="4" eb="5">
      <t>タカシ</t>
    </rPh>
    <phoneticPr fontId="3"/>
  </si>
  <si>
    <t>210大阪19区</t>
    <rPh sb="3" eb="5">
      <t>オオサカ</t>
    </rPh>
    <rPh sb="7" eb="8">
      <t>ク</t>
    </rPh>
    <phoneticPr fontId="3"/>
  </si>
  <si>
    <t>会社員(三井物産)</t>
    <rPh sb="0" eb="3">
      <t>カイシャイン</t>
    </rPh>
    <rPh sb="4" eb="6">
      <t>ミツイ</t>
    </rPh>
    <rPh sb="6" eb="8">
      <t>ブッサン</t>
    </rPh>
    <phoneticPr fontId="3"/>
  </si>
  <si>
    <t>国土交通副大臣，元政務官(国交)</t>
    <rPh sb="0" eb="2">
      <t>コクド</t>
    </rPh>
    <rPh sb="2" eb="4">
      <t>コウツウ</t>
    </rPh>
    <rPh sb="4" eb="7">
      <t>フクダイジン</t>
    </rPh>
    <rPh sb="8" eb="9">
      <t>モト</t>
    </rPh>
    <rPh sb="9" eb="12">
      <t>セイムカン</t>
    </rPh>
    <rPh sb="13" eb="15">
      <t>コッコウ</t>
    </rPh>
    <phoneticPr fontId="3"/>
  </si>
  <si>
    <t>会社役員(大阪機工),会社員(三井物産)</t>
    <rPh sb="0" eb="2">
      <t>カイシャ</t>
    </rPh>
    <rPh sb="2" eb="4">
      <t>ヤクイン</t>
    </rPh>
    <rPh sb="5" eb="7">
      <t>オオサカ</t>
    </rPh>
    <rPh sb="7" eb="9">
      <t>キコウ</t>
    </rPh>
    <rPh sb="11" eb="14">
      <t>カイシャイン</t>
    </rPh>
    <rPh sb="15" eb="17">
      <t>ミツイ</t>
    </rPh>
    <rPh sb="17" eb="19">
      <t>ブッサン</t>
    </rPh>
    <phoneticPr fontId="3"/>
  </si>
  <si>
    <t>谷川　與秀</t>
    <rPh sb="0" eb="2">
      <t>タニガワ</t>
    </rPh>
    <rPh sb="3" eb="4">
      <t>トモ</t>
    </rPh>
    <rPh sb="4" eb="5">
      <t>ヒデ</t>
    </rPh>
    <phoneticPr fontId="3"/>
  </si>
  <si>
    <t>大院(大阪)</t>
    <rPh sb="0" eb="2">
      <t>ダイイン</t>
    </rPh>
    <rPh sb="3" eb="5">
      <t>オオサカ</t>
    </rPh>
    <phoneticPr fontId="3"/>
  </si>
  <si>
    <t>議員秘書(谷川秀善),俳優,僧侶(万徳寺)</t>
    <rPh sb="0" eb="2">
      <t>ギイン</t>
    </rPh>
    <rPh sb="2" eb="4">
      <t>ヒショ</t>
    </rPh>
    <rPh sb="5" eb="7">
      <t>タニガワ</t>
    </rPh>
    <rPh sb="7" eb="9">
      <t>シュウゼン</t>
    </rPh>
    <rPh sb="11" eb="13">
      <t>ハイユウ</t>
    </rPh>
    <rPh sb="14" eb="16">
      <t>ソウリョ</t>
    </rPh>
    <rPh sb="17" eb="19">
      <t>マントク</t>
    </rPh>
    <rPh sb="19" eb="20">
      <t>ジ</t>
    </rPh>
    <phoneticPr fontId="3"/>
  </si>
  <si>
    <t>タ二</t>
    <rPh sb="1" eb="2">
      <t>ニ</t>
    </rPh>
    <phoneticPr fontId="3"/>
  </si>
  <si>
    <t>タ</t>
    <phoneticPr fontId="3"/>
  </si>
  <si>
    <t>ニ</t>
    <phoneticPr fontId="3"/>
  </si>
  <si>
    <t>田上　聡太郎</t>
    <rPh sb="0" eb="2">
      <t>タノウエ</t>
    </rPh>
    <rPh sb="3" eb="6">
      <t>ソウタロウ</t>
    </rPh>
    <phoneticPr fontId="3"/>
  </si>
  <si>
    <t>大(四天王寺)</t>
    <rPh sb="0" eb="1">
      <t>ダイ</t>
    </rPh>
    <rPh sb="2" eb="6">
      <t>シテンノウジ</t>
    </rPh>
    <phoneticPr fontId="3"/>
  </si>
  <si>
    <t>共産党地区委員</t>
    <rPh sb="0" eb="3">
      <t>キョウサントウ</t>
    </rPh>
    <rPh sb="3" eb="5">
      <t>チク</t>
    </rPh>
    <rPh sb="5" eb="7">
      <t>イイン</t>
    </rPh>
    <phoneticPr fontId="3"/>
  </si>
  <si>
    <t>中村　友信</t>
    <rPh sb="0" eb="2">
      <t>ナカムラ</t>
    </rPh>
    <rPh sb="3" eb="5">
      <t>トモノブ</t>
    </rPh>
    <phoneticPr fontId="3"/>
  </si>
  <si>
    <t>青森県議(十和田市),青森県・十和田市議,衆議院事務局職員</t>
    <rPh sb="0" eb="2">
      <t>アオモリ</t>
    </rPh>
    <rPh sb="2" eb="4">
      <t>ケンギ</t>
    </rPh>
    <rPh sb="5" eb="9">
      <t>トワダシ</t>
    </rPh>
    <rPh sb="11" eb="14">
      <t>アオモリケン</t>
    </rPh>
    <rPh sb="15" eb="18">
      <t>トワダ</t>
    </rPh>
    <rPh sb="18" eb="20">
      <t>シギ</t>
    </rPh>
    <rPh sb="21" eb="24">
      <t>シュウギイン</t>
    </rPh>
    <rPh sb="24" eb="27">
      <t>ジムキョク</t>
    </rPh>
    <rPh sb="27" eb="29">
      <t>ショクイン</t>
    </rPh>
    <phoneticPr fontId="3"/>
  </si>
  <si>
    <t>211兵庫1区01</t>
    <rPh sb="3" eb="5">
      <t>ヒョウゴ</t>
    </rPh>
    <rPh sb="6" eb="7">
      <t>ク</t>
    </rPh>
    <phoneticPr fontId="3"/>
  </si>
  <si>
    <t>211兵庫1区02</t>
    <rPh sb="3" eb="5">
      <t>ヒョウゴ</t>
    </rPh>
    <rPh sb="6" eb="7">
      <t>ク</t>
    </rPh>
    <phoneticPr fontId="3"/>
  </si>
  <si>
    <t>211兵庫1区03</t>
    <rPh sb="3" eb="5">
      <t>ヒョウゴ</t>
    </rPh>
    <rPh sb="6" eb="7">
      <t>ク</t>
    </rPh>
    <phoneticPr fontId="3"/>
  </si>
  <si>
    <t>211兵庫1区04</t>
    <rPh sb="3" eb="5">
      <t>ヒョウゴ</t>
    </rPh>
    <rPh sb="6" eb="7">
      <t>ク</t>
    </rPh>
    <phoneticPr fontId="3"/>
  </si>
  <si>
    <t>井戸　正枝</t>
    <rPh sb="0" eb="2">
      <t>イド</t>
    </rPh>
    <rPh sb="3" eb="5">
      <t>マサエ</t>
    </rPh>
    <phoneticPr fontId="3"/>
  </si>
  <si>
    <t>211兵庫1区</t>
    <rPh sb="3" eb="5">
      <t>ヒョウゴ</t>
    </rPh>
    <rPh sb="6" eb="7">
      <t>ク</t>
    </rPh>
    <phoneticPr fontId="3"/>
  </si>
  <si>
    <t>大(東京女子)</t>
    <rPh sb="0" eb="1">
      <t>ダイ</t>
    </rPh>
    <rPh sb="2" eb="4">
      <t>トウキョウ</t>
    </rPh>
    <rPh sb="4" eb="6">
      <t>ジョシ</t>
    </rPh>
    <phoneticPr fontId="3"/>
  </si>
  <si>
    <t>議ジ松</t>
    <rPh sb="0" eb="1">
      <t>ギ</t>
    </rPh>
    <rPh sb="2" eb="3">
      <t>マツ</t>
    </rPh>
    <phoneticPr fontId="3"/>
  </si>
  <si>
    <t>松</t>
    <rPh sb="0" eb="1">
      <t>マツ</t>
    </rPh>
    <phoneticPr fontId="3"/>
  </si>
  <si>
    <t>兵庫県議(神戸市東灘区),会社員(東洋経済新報)</t>
    <rPh sb="0" eb="2">
      <t>ヒョウゴ</t>
    </rPh>
    <rPh sb="2" eb="4">
      <t>ケンギ</t>
    </rPh>
    <rPh sb="5" eb="8">
      <t>コウベシ</t>
    </rPh>
    <rPh sb="8" eb="11">
      <t>ヒガシナダク</t>
    </rPh>
    <rPh sb="13" eb="16">
      <t>カイシャイン</t>
    </rPh>
    <rPh sb="17" eb="19">
      <t>トウヨウ</t>
    </rPh>
    <rPh sb="19" eb="21">
      <t>ケイザイ</t>
    </rPh>
    <rPh sb="21" eb="23">
      <t>シンポウ</t>
    </rPh>
    <phoneticPr fontId="3"/>
  </si>
  <si>
    <t>盛山　正仁</t>
    <rPh sb="0" eb="2">
      <t>モリヤマ</t>
    </rPh>
    <rPh sb="3" eb="5">
      <t>マサヒト</t>
    </rPh>
    <phoneticPr fontId="3"/>
  </si>
  <si>
    <t>国土交通省総合政策局情報管理部長</t>
    <rPh sb="0" eb="2">
      <t>コクド</t>
    </rPh>
    <rPh sb="2" eb="5">
      <t>コウツウショウ</t>
    </rPh>
    <rPh sb="5" eb="7">
      <t>ソウゴウ</t>
    </rPh>
    <rPh sb="7" eb="10">
      <t>セイサクキョク</t>
    </rPh>
    <rPh sb="10" eb="12">
      <t>ジョウホウ</t>
    </rPh>
    <rPh sb="12" eb="14">
      <t>カンリ</t>
    </rPh>
    <rPh sb="14" eb="16">
      <t>ブチョウ</t>
    </rPh>
    <phoneticPr fontId="3"/>
  </si>
  <si>
    <t>筒井　哲二朗</t>
    <rPh sb="0" eb="2">
      <t>ツツイ</t>
    </rPh>
    <rPh sb="3" eb="6">
      <t>テツジロウ</t>
    </rPh>
    <phoneticPr fontId="3"/>
  </si>
  <si>
    <t>大(大阪市立)</t>
    <rPh sb="0" eb="1">
      <t>ダイ</t>
    </rPh>
    <rPh sb="2" eb="4">
      <t>オオサカ</t>
    </rPh>
    <rPh sb="4" eb="6">
      <t>シリツ</t>
    </rPh>
    <phoneticPr fontId="3"/>
  </si>
  <si>
    <t>共産党地区国政対策委員長,赤旗出張所長</t>
    <rPh sb="0" eb="3">
      <t>キョウサントウ</t>
    </rPh>
    <rPh sb="3" eb="5">
      <t>チク</t>
    </rPh>
    <rPh sb="5" eb="7">
      <t>コクセイ</t>
    </rPh>
    <rPh sb="7" eb="9">
      <t>タイサク</t>
    </rPh>
    <rPh sb="9" eb="12">
      <t>イインチョウ</t>
    </rPh>
    <rPh sb="13" eb="15">
      <t>アカハタ</t>
    </rPh>
    <rPh sb="15" eb="17">
      <t>シュッチョウ</t>
    </rPh>
    <rPh sb="17" eb="19">
      <t>ショチョウ</t>
    </rPh>
    <phoneticPr fontId="3"/>
  </si>
  <si>
    <t>井坂　信彦</t>
    <rPh sb="0" eb="2">
      <t>イサカ</t>
    </rPh>
    <rPh sb="3" eb="5">
      <t>ノブヒコ</t>
    </rPh>
    <phoneticPr fontId="3"/>
  </si>
  <si>
    <t>兵庫県・神戸市議,行政書士</t>
    <rPh sb="0" eb="3">
      <t>ヒョウゴケン</t>
    </rPh>
    <rPh sb="4" eb="6">
      <t>コウベ</t>
    </rPh>
    <rPh sb="6" eb="8">
      <t>シギ</t>
    </rPh>
    <rPh sb="9" eb="13">
      <t>ギョウセイショシ</t>
    </rPh>
    <phoneticPr fontId="3"/>
  </si>
  <si>
    <t>212兵庫2区01</t>
    <rPh sb="3" eb="5">
      <t>ヒョウゴ</t>
    </rPh>
    <rPh sb="6" eb="7">
      <t>ク</t>
    </rPh>
    <phoneticPr fontId="3"/>
  </si>
  <si>
    <t>212兵庫2区02</t>
    <rPh sb="3" eb="5">
      <t>ヒョウゴ</t>
    </rPh>
    <rPh sb="6" eb="7">
      <t>ク</t>
    </rPh>
    <phoneticPr fontId="3"/>
  </si>
  <si>
    <t>212兵庫2区03</t>
    <rPh sb="3" eb="5">
      <t>ヒョウゴ</t>
    </rPh>
    <rPh sb="6" eb="7">
      <t>ク</t>
    </rPh>
    <phoneticPr fontId="3"/>
  </si>
  <si>
    <t>向山　好一</t>
    <rPh sb="0" eb="2">
      <t>ムコヤマ</t>
    </rPh>
    <rPh sb="3" eb="5">
      <t>コウイチ</t>
    </rPh>
    <phoneticPr fontId="3"/>
  </si>
  <si>
    <t>212兵庫2区</t>
    <rPh sb="3" eb="5">
      <t>ヒョウゴ</t>
    </rPh>
    <rPh sb="6" eb="7">
      <t>ク</t>
    </rPh>
    <phoneticPr fontId="3"/>
  </si>
  <si>
    <t>大(大阪)</t>
    <rPh sb="0" eb="1">
      <t>ダイ</t>
    </rPh>
    <rPh sb="2" eb="4">
      <t>オオサカ</t>
    </rPh>
    <phoneticPr fontId="3"/>
  </si>
  <si>
    <t>兵庫県・神戸市議,議員秘書(西村眞悟),大阪ガス労組役員</t>
    <rPh sb="0" eb="3">
      <t>ヒョウゴケン</t>
    </rPh>
    <rPh sb="4" eb="6">
      <t>コウベ</t>
    </rPh>
    <rPh sb="6" eb="8">
      <t>シギ</t>
    </rPh>
    <rPh sb="9" eb="11">
      <t>ギイン</t>
    </rPh>
    <rPh sb="11" eb="13">
      <t>ヒショ</t>
    </rPh>
    <rPh sb="14" eb="16">
      <t>ニシムラ</t>
    </rPh>
    <rPh sb="16" eb="18">
      <t>シンゴ</t>
    </rPh>
    <rPh sb="20" eb="22">
      <t>オオサカ</t>
    </rPh>
    <rPh sb="24" eb="26">
      <t>ロウソ</t>
    </rPh>
    <rPh sb="26" eb="28">
      <t>ヤクイン</t>
    </rPh>
    <phoneticPr fontId="3"/>
  </si>
  <si>
    <t>議労</t>
    <rPh sb="0" eb="1">
      <t>ギ</t>
    </rPh>
    <rPh sb="1" eb="2">
      <t>ロウ</t>
    </rPh>
    <phoneticPr fontId="3"/>
  </si>
  <si>
    <t>赤羽　一嘉</t>
    <rPh sb="0" eb="2">
      <t>アカバ</t>
    </rPh>
    <rPh sb="3" eb="5">
      <t>カズヨシ</t>
    </rPh>
    <phoneticPr fontId="3"/>
  </si>
  <si>
    <t>　元委長(国交,災害特),副大臣(財務)</t>
    <rPh sb="1" eb="2">
      <t>モト</t>
    </rPh>
    <rPh sb="2" eb="4">
      <t>イチョウ</t>
    </rPh>
    <rPh sb="5" eb="7">
      <t>コッコウ</t>
    </rPh>
    <rPh sb="8" eb="10">
      <t>サイガイ</t>
    </rPh>
    <rPh sb="10" eb="11">
      <t>トク</t>
    </rPh>
    <rPh sb="13" eb="16">
      <t>フクダイジン</t>
    </rPh>
    <rPh sb="17" eb="19">
      <t>ザイム</t>
    </rPh>
    <phoneticPr fontId="3"/>
  </si>
  <si>
    <t>貫名　ユウナ</t>
    <rPh sb="0" eb="2">
      <t>ヌキナ</t>
    </rPh>
    <phoneticPr fontId="3"/>
  </si>
  <si>
    <t>共産党地区副委員長,原水協地区委員</t>
    <rPh sb="0" eb="3">
      <t>キョウサントウ</t>
    </rPh>
    <rPh sb="3" eb="5">
      <t>チク</t>
    </rPh>
    <rPh sb="5" eb="9">
      <t>フクイインチョウ</t>
    </rPh>
    <rPh sb="10" eb="13">
      <t>ゲンスイキョウ</t>
    </rPh>
    <rPh sb="13" eb="15">
      <t>チク</t>
    </rPh>
    <rPh sb="15" eb="17">
      <t>イイン</t>
    </rPh>
    <phoneticPr fontId="3"/>
  </si>
  <si>
    <t>短大(兵庫女子)</t>
    <rPh sb="0" eb="2">
      <t>タンダイ</t>
    </rPh>
    <rPh sb="3" eb="5">
      <t>ヒョウゴ</t>
    </rPh>
    <rPh sb="5" eb="7">
      <t>ジョシ</t>
    </rPh>
    <phoneticPr fontId="3"/>
  </si>
  <si>
    <t>213兵庫3区01</t>
    <rPh sb="3" eb="5">
      <t>ヒョウゴ</t>
    </rPh>
    <rPh sb="6" eb="7">
      <t>ク</t>
    </rPh>
    <phoneticPr fontId="3"/>
  </si>
  <si>
    <t>213兵庫3区02</t>
    <rPh sb="3" eb="5">
      <t>ヒョウゴ</t>
    </rPh>
    <rPh sb="6" eb="7">
      <t>ク</t>
    </rPh>
    <phoneticPr fontId="3"/>
  </si>
  <si>
    <t>213兵庫3区03</t>
    <rPh sb="3" eb="5">
      <t>ヒョウゴ</t>
    </rPh>
    <rPh sb="6" eb="7">
      <t>ク</t>
    </rPh>
    <phoneticPr fontId="3"/>
  </si>
  <si>
    <t>213兵庫3区04</t>
    <rPh sb="3" eb="5">
      <t>ヒョウゴ</t>
    </rPh>
    <rPh sb="6" eb="7">
      <t>ク</t>
    </rPh>
    <phoneticPr fontId="3"/>
  </si>
  <si>
    <t>横畑　和幸</t>
    <rPh sb="0" eb="2">
      <t>ヨコハタ</t>
    </rPh>
    <rPh sb="3" eb="5">
      <t>カズユキ</t>
    </rPh>
    <phoneticPr fontId="3"/>
  </si>
  <si>
    <t>大(関西学院)</t>
    <rPh sb="0" eb="1">
      <t>ダイ</t>
    </rPh>
    <rPh sb="2" eb="4">
      <t>カンサイ</t>
    </rPh>
    <rPh sb="4" eb="6">
      <t>ガクイン</t>
    </rPh>
    <phoneticPr fontId="3"/>
  </si>
  <si>
    <t>兵庫県・神戸市議,議員秘書(石井一),会社員(日興証券)</t>
    <rPh sb="0" eb="3">
      <t>ヒョウゴケン</t>
    </rPh>
    <rPh sb="4" eb="6">
      <t>コウベ</t>
    </rPh>
    <rPh sb="6" eb="8">
      <t>シギ</t>
    </rPh>
    <rPh sb="9" eb="11">
      <t>ギイン</t>
    </rPh>
    <rPh sb="11" eb="13">
      <t>ヒショ</t>
    </rPh>
    <rPh sb="14" eb="16">
      <t>イシイ</t>
    </rPh>
    <rPh sb="16" eb="17">
      <t>ハジメ</t>
    </rPh>
    <rPh sb="19" eb="22">
      <t>カイシャイン</t>
    </rPh>
    <rPh sb="23" eb="25">
      <t>ニッコウ</t>
    </rPh>
    <rPh sb="25" eb="27">
      <t>ショウケン</t>
    </rPh>
    <phoneticPr fontId="3"/>
  </si>
  <si>
    <t>関　　芳弘</t>
    <rPh sb="0" eb="1">
      <t>セキ</t>
    </rPh>
    <rPh sb="3" eb="5">
      <t>ヨシヒロ</t>
    </rPh>
    <phoneticPr fontId="3"/>
  </si>
  <si>
    <t>銀行員(三井住友銀行)</t>
    <rPh sb="0" eb="3">
      <t>ギンコウイン</t>
    </rPh>
    <rPh sb="4" eb="6">
      <t>ミツイ</t>
    </rPh>
    <rPh sb="6" eb="8">
      <t>スミトモ</t>
    </rPh>
    <rPh sb="8" eb="10">
      <t>ギンコウ</t>
    </rPh>
    <phoneticPr fontId="3"/>
  </si>
  <si>
    <t>大椙　鉄夫</t>
    <rPh sb="0" eb="2">
      <t>オオスギ</t>
    </rPh>
    <rPh sb="3" eb="5">
      <t>テツオ</t>
    </rPh>
    <phoneticPr fontId="3"/>
  </si>
  <si>
    <t>大(岡山)</t>
    <rPh sb="0" eb="1">
      <t>ダイ</t>
    </rPh>
    <rPh sb="2" eb="4">
      <t>オカヤマ</t>
    </rPh>
    <phoneticPr fontId="3"/>
  </si>
  <si>
    <t>共産党地区委員長,会社員(KKイモト)</t>
    <rPh sb="0" eb="3">
      <t>キョウサントウ</t>
    </rPh>
    <rPh sb="3" eb="5">
      <t>チク</t>
    </rPh>
    <rPh sb="5" eb="8">
      <t>イインチョウ</t>
    </rPh>
    <rPh sb="9" eb="12">
      <t>カイシャイン</t>
    </rPh>
    <phoneticPr fontId="3"/>
  </si>
  <si>
    <t>214兵庫4区01</t>
    <rPh sb="3" eb="5">
      <t>ヒョウゴ</t>
    </rPh>
    <rPh sb="6" eb="7">
      <t>ク</t>
    </rPh>
    <phoneticPr fontId="3"/>
  </si>
  <si>
    <t>214兵庫4区02</t>
    <rPh sb="3" eb="5">
      <t>ヒョウゴ</t>
    </rPh>
    <rPh sb="6" eb="7">
      <t>ク</t>
    </rPh>
    <phoneticPr fontId="3"/>
  </si>
  <si>
    <t>214兵庫4区03</t>
    <rPh sb="3" eb="5">
      <t>ヒョウゴ</t>
    </rPh>
    <rPh sb="6" eb="7">
      <t>ク</t>
    </rPh>
    <phoneticPr fontId="3"/>
  </si>
  <si>
    <t>高橋　昭一</t>
    <rPh sb="0" eb="2">
      <t>タカハシ</t>
    </rPh>
    <rPh sb="3" eb="5">
      <t>ショウイチ</t>
    </rPh>
    <phoneticPr fontId="3"/>
  </si>
  <si>
    <t>214兵庫4区</t>
    <rPh sb="3" eb="5">
      <t>ヒョウゴ</t>
    </rPh>
    <rPh sb="6" eb="7">
      <t>ク</t>
    </rPh>
    <phoneticPr fontId="3"/>
  </si>
  <si>
    <t>さ</t>
    <phoneticPr fontId="3"/>
  </si>
  <si>
    <t>大中(神戸)</t>
    <rPh sb="0" eb="1">
      <t>ダイ</t>
    </rPh>
    <rPh sb="1" eb="2">
      <t>チュウ</t>
    </rPh>
    <rPh sb="3" eb="5">
      <t>コウベ</t>
    </rPh>
    <phoneticPr fontId="3"/>
  </si>
  <si>
    <t>議員秘書(田中甲),メディアプランナー</t>
    <rPh sb="0" eb="2">
      <t>ギイン</t>
    </rPh>
    <rPh sb="2" eb="4">
      <t>ヒショ</t>
    </rPh>
    <rPh sb="5" eb="7">
      <t>タナカ</t>
    </rPh>
    <rPh sb="7" eb="8">
      <t>コウ</t>
    </rPh>
    <phoneticPr fontId="3"/>
  </si>
  <si>
    <t>藤井　比早之</t>
    <rPh sb="0" eb="2">
      <t>フジイ</t>
    </rPh>
    <rPh sb="3" eb="4">
      <t>ヒ</t>
    </rPh>
    <rPh sb="4" eb="5">
      <t>サ</t>
    </rPh>
    <rPh sb="5" eb="6">
      <t>ユキ</t>
    </rPh>
    <phoneticPr fontId="3"/>
  </si>
  <si>
    <t>彦根市副市長(総務省)</t>
    <rPh sb="0" eb="3">
      <t>ヒコネシ</t>
    </rPh>
    <rPh sb="3" eb="6">
      <t>フクシチョウ</t>
    </rPh>
    <rPh sb="7" eb="10">
      <t>ソウムショウ</t>
    </rPh>
    <phoneticPr fontId="3"/>
  </si>
  <si>
    <t>松本　勝雄</t>
    <rPh sb="0" eb="2">
      <t>マツモト</t>
    </rPh>
    <rPh sb="3" eb="5">
      <t>カツオ</t>
    </rPh>
    <phoneticPr fontId="3"/>
  </si>
  <si>
    <t>高(豊岡実業)</t>
    <rPh sb="0" eb="1">
      <t>コウ</t>
    </rPh>
    <rPh sb="2" eb="4">
      <t>トヨオカ</t>
    </rPh>
    <rPh sb="4" eb="6">
      <t>ジツギョウ</t>
    </rPh>
    <phoneticPr fontId="3"/>
  </si>
  <si>
    <t>共産党地区国政対策委員長,神戸市職員</t>
    <rPh sb="0" eb="3">
      <t>キョウサントウ</t>
    </rPh>
    <rPh sb="3" eb="5">
      <t>チク</t>
    </rPh>
    <rPh sb="5" eb="7">
      <t>コクセイ</t>
    </rPh>
    <rPh sb="7" eb="9">
      <t>タイサク</t>
    </rPh>
    <rPh sb="9" eb="12">
      <t>イインチョウ</t>
    </rPh>
    <rPh sb="13" eb="16">
      <t>コウベシ</t>
    </rPh>
    <rPh sb="16" eb="18">
      <t>ショクイン</t>
    </rPh>
    <phoneticPr fontId="3"/>
  </si>
  <si>
    <t>三井　辨雄</t>
    <rPh sb="0" eb="2">
      <t>ミツイ</t>
    </rPh>
    <rPh sb="3" eb="5">
      <t>ワキオ</t>
    </rPh>
    <phoneticPr fontId="3"/>
  </si>
  <si>
    <t>松岡　広隆</t>
    <rPh sb="0" eb="2">
      <t>マツオカ</t>
    </rPh>
    <rPh sb="3" eb="5">
      <t>ヒロタカ</t>
    </rPh>
    <phoneticPr fontId="3"/>
  </si>
  <si>
    <t>308比例近畿09</t>
    <rPh sb="3" eb="5">
      <t>ヒレイ</t>
    </rPh>
    <rPh sb="5" eb="7">
      <t>キンキ</t>
    </rPh>
    <phoneticPr fontId="3"/>
  </si>
  <si>
    <t>会社員(関西電力)</t>
    <rPh sb="0" eb="3">
      <t>カイシャイン</t>
    </rPh>
    <rPh sb="4" eb="6">
      <t>カンサイ</t>
    </rPh>
    <rPh sb="6" eb="8">
      <t>デンリョク</t>
    </rPh>
    <phoneticPr fontId="3"/>
  </si>
  <si>
    <t>215兵庫5区01</t>
    <rPh sb="3" eb="5">
      <t>ヒョウゴ</t>
    </rPh>
    <rPh sb="6" eb="7">
      <t>ク</t>
    </rPh>
    <phoneticPr fontId="3"/>
  </si>
  <si>
    <t>215兵庫5区02</t>
    <rPh sb="3" eb="5">
      <t>ヒョウゴ</t>
    </rPh>
    <rPh sb="6" eb="7">
      <t>ク</t>
    </rPh>
    <phoneticPr fontId="3"/>
  </si>
  <si>
    <t>215兵庫5区03</t>
    <rPh sb="3" eb="5">
      <t>ヒョウゴ</t>
    </rPh>
    <rPh sb="6" eb="7">
      <t>ク</t>
    </rPh>
    <phoneticPr fontId="3"/>
  </si>
  <si>
    <t>梶原　康弘</t>
    <rPh sb="0" eb="2">
      <t>カジワラ</t>
    </rPh>
    <rPh sb="3" eb="5">
      <t>ヤスヒロ</t>
    </rPh>
    <phoneticPr fontId="3"/>
  </si>
  <si>
    <t>215兵庫5区</t>
    <rPh sb="3" eb="5">
      <t>ヒョウゴ</t>
    </rPh>
    <rPh sb="6" eb="7">
      <t>ク</t>
    </rPh>
    <phoneticPr fontId="3"/>
  </si>
  <si>
    <t>由</t>
    <rPh sb="0" eb="1">
      <t>ユウ</t>
    </rPh>
    <phoneticPr fontId="3"/>
  </si>
  <si>
    <t>議員秘書(梶原清)</t>
    <rPh sb="0" eb="2">
      <t>ギイン</t>
    </rPh>
    <rPh sb="2" eb="4">
      <t>ヒショ</t>
    </rPh>
    <rPh sb="5" eb="7">
      <t>カジワラ</t>
    </rPh>
    <rPh sb="7" eb="8">
      <t>キヨシ</t>
    </rPh>
    <phoneticPr fontId="3"/>
  </si>
  <si>
    <t>農林水産政務官</t>
    <rPh sb="0" eb="2">
      <t>ノウリン</t>
    </rPh>
    <rPh sb="2" eb="4">
      <t>スイサン</t>
    </rPh>
    <rPh sb="4" eb="7">
      <t>セイムカン</t>
    </rPh>
    <phoneticPr fontId="3"/>
  </si>
  <si>
    <t>二</t>
    <rPh sb="0" eb="1">
      <t>ニ</t>
    </rPh>
    <phoneticPr fontId="3"/>
  </si>
  <si>
    <t>谷　　公一</t>
    <rPh sb="0" eb="1">
      <t>タニ</t>
    </rPh>
    <rPh sb="3" eb="5">
      <t>コウイチ</t>
    </rPh>
    <phoneticPr fontId="3"/>
  </si>
  <si>
    <t>308比例近畿19</t>
    <rPh sb="3" eb="5">
      <t>ヒレイ</t>
    </rPh>
    <rPh sb="5" eb="7">
      <t>キンキ</t>
    </rPh>
    <phoneticPr fontId="3"/>
  </si>
  <si>
    <t>大(明治)</t>
    <rPh sb="0" eb="1">
      <t>ダイ</t>
    </rPh>
    <rPh sb="2" eb="4">
      <t>メイジ</t>
    </rPh>
    <phoneticPr fontId="3"/>
  </si>
  <si>
    <t>兵庫県政策室長</t>
    <rPh sb="0" eb="3">
      <t>ヒョウゴケン</t>
    </rPh>
    <rPh sb="3" eb="5">
      <t>セイサク</t>
    </rPh>
    <rPh sb="5" eb="7">
      <t>シツチョウ</t>
    </rPh>
    <phoneticPr fontId="3"/>
  </si>
  <si>
    <t>　元政務官(国交)</t>
    <rPh sb="1" eb="2">
      <t>モト</t>
    </rPh>
    <rPh sb="2" eb="5">
      <t>セイムカン</t>
    </rPh>
    <rPh sb="6" eb="8">
      <t>コッコウ</t>
    </rPh>
    <phoneticPr fontId="3"/>
  </si>
  <si>
    <t>平山　和志</t>
    <rPh sb="0" eb="2">
      <t>ヒラヤマ</t>
    </rPh>
    <rPh sb="3" eb="5">
      <t>カズシ</t>
    </rPh>
    <phoneticPr fontId="3"/>
  </si>
  <si>
    <t>他中(日本写真専門学校)</t>
    <rPh sb="0" eb="1">
      <t>ホカ</t>
    </rPh>
    <rPh sb="1" eb="2">
      <t>チュウ</t>
    </rPh>
    <rPh sb="3" eb="5">
      <t>ニホン</t>
    </rPh>
    <rPh sb="5" eb="7">
      <t>シャシン</t>
    </rPh>
    <rPh sb="7" eb="9">
      <t>センモン</t>
    </rPh>
    <rPh sb="9" eb="11">
      <t>ガッコウ</t>
    </rPh>
    <phoneticPr fontId="3"/>
  </si>
  <si>
    <t>兵庫県・青垣町議</t>
    <rPh sb="0" eb="3">
      <t>ヒョウゴケン</t>
    </rPh>
    <rPh sb="4" eb="6">
      <t>アオガキ</t>
    </rPh>
    <rPh sb="6" eb="8">
      <t>チョウギ</t>
    </rPh>
    <phoneticPr fontId="3"/>
  </si>
  <si>
    <t>議</t>
    <rPh sb="0" eb="1">
      <t>ギ</t>
    </rPh>
    <phoneticPr fontId="3"/>
  </si>
  <si>
    <t>216兵庫6区01</t>
    <rPh sb="3" eb="5">
      <t>ヒョウゴ</t>
    </rPh>
    <rPh sb="6" eb="7">
      <t>ク</t>
    </rPh>
    <phoneticPr fontId="3"/>
  </si>
  <si>
    <t>216兵庫6区02</t>
    <rPh sb="3" eb="5">
      <t>ヒョウゴ</t>
    </rPh>
    <rPh sb="6" eb="7">
      <t>ク</t>
    </rPh>
    <phoneticPr fontId="3"/>
  </si>
  <si>
    <t>216兵庫6区03</t>
    <rPh sb="3" eb="5">
      <t>ヒョウゴ</t>
    </rPh>
    <rPh sb="6" eb="7">
      <t>ク</t>
    </rPh>
    <phoneticPr fontId="3"/>
  </si>
  <si>
    <t>216兵庫6区04</t>
    <rPh sb="3" eb="5">
      <t>ヒョウゴ</t>
    </rPh>
    <rPh sb="6" eb="7">
      <t>ク</t>
    </rPh>
    <phoneticPr fontId="3"/>
  </si>
  <si>
    <t>市村　浩一郎</t>
    <rPh sb="0" eb="2">
      <t>イチムラ</t>
    </rPh>
    <rPh sb="3" eb="6">
      <t>コウイチロウ</t>
    </rPh>
    <phoneticPr fontId="3"/>
  </si>
  <si>
    <t>216兵庫6区</t>
    <rPh sb="3" eb="5">
      <t>ヒョウゴ</t>
    </rPh>
    <rPh sb="6" eb="7">
      <t>ク</t>
    </rPh>
    <phoneticPr fontId="3"/>
  </si>
  <si>
    <t>NPO事務局長(阪神淡路コミュニティ基金),旧新進党職員</t>
    <rPh sb="3" eb="5">
      <t>ジム</t>
    </rPh>
    <rPh sb="5" eb="7">
      <t>キョクチョウ</t>
    </rPh>
    <rPh sb="8" eb="10">
      <t>ハンシン</t>
    </rPh>
    <rPh sb="10" eb="12">
      <t>アワジ</t>
    </rPh>
    <rPh sb="18" eb="20">
      <t>キキン</t>
    </rPh>
    <rPh sb="22" eb="26">
      <t>キュウシンシントウ</t>
    </rPh>
    <rPh sb="26" eb="28">
      <t>ショクイン</t>
    </rPh>
    <phoneticPr fontId="3"/>
  </si>
  <si>
    <t>松</t>
    <rPh sb="0" eb="1">
      <t>マツ</t>
    </rPh>
    <phoneticPr fontId="3"/>
  </si>
  <si>
    <t>大串　正樹</t>
    <rPh sb="0" eb="2">
      <t>オオグシ</t>
    </rPh>
    <rPh sb="3" eb="5">
      <t>マサキ</t>
    </rPh>
    <phoneticPr fontId="3"/>
  </si>
  <si>
    <t>大院(北陸先端科学技術)</t>
    <rPh sb="0" eb="2">
      <t>ダイイン</t>
    </rPh>
    <rPh sb="3" eb="5">
      <t>ホクリク</t>
    </rPh>
    <rPh sb="5" eb="7">
      <t>センタン</t>
    </rPh>
    <rPh sb="7" eb="9">
      <t>カガク</t>
    </rPh>
    <rPh sb="9" eb="11">
      <t>ギジュツ</t>
    </rPh>
    <phoneticPr fontId="3"/>
  </si>
  <si>
    <t>大学教員(西武文理大学客員教授),会社員(石川島播磨重工業)</t>
    <rPh sb="0" eb="2">
      <t>ダイガク</t>
    </rPh>
    <rPh sb="2" eb="4">
      <t>キョウイン</t>
    </rPh>
    <rPh sb="5" eb="7">
      <t>セイブ</t>
    </rPh>
    <rPh sb="7" eb="9">
      <t>ブンリ</t>
    </rPh>
    <rPh sb="9" eb="11">
      <t>ダイガク</t>
    </rPh>
    <rPh sb="11" eb="13">
      <t>キャクイン</t>
    </rPh>
    <rPh sb="13" eb="15">
      <t>キョウジュ</t>
    </rPh>
    <rPh sb="17" eb="20">
      <t>カイシャイン</t>
    </rPh>
    <rPh sb="21" eb="24">
      <t>イシカワジマ</t>
    </rPh>
    <rPh sb="24" eb="26">
      <t>ハリマ</t>
    </rPh>
    <rPh sb="26" eb="29">
      <t>ジュウコウギョウ</t>
    </rPh>
    <phoneticPr fontId="3"/>
  </si>
  <si>
    <t>吉見　秋彦</t>
    <rPh sb="0" eb="2">
      <t>ヨシミ</t>
    </rPh>
    <rPh sb="3" eb="5">
      <t>アキヒコ</t>
    </rPh>
    <phoneticPr fontId="3"/>
  </si>
  <si>
    <t>大中(甲子園)</t>
    <rPh sb="0" eb="1">
      <t>ダイ</t>
    </rPh>
    <rPh sb="1" eb="2">
      <t>チュウ</t>
    </rPh>
    <rPh sb="3" eb="6">
      <t>コウシエン</t>
    </rPh>
    <phoneticPr fontId="3"/>
  </si>
  <si>
    <t>共産党地区国政対策委員長,民青同盟地区委員長</t>
    <rPh sb="0" eb="12">
      <t>キョウサントウチクコクセイタイサクイインチョウ</t>
    </rPh>
    <rPh sb="13" eb="17">
      <t>ミンセイドウメイ</t>
    </rPh>
    <rPh sb="17" eb="19">
      <t>チク</t>
    </rPh>
    <rPh sb="19" eb="22">
      <t>イインチョウ</t>
    </rPh>
    <phoneticPr fontId="3"/>
  </si>
  <si>
    <t>杉田　水脈</t>
    <rPh sb="0" eb="2">
      <t>スギタ</t>
    </rPh>
    <rPh sb="3" eb="5">
      <t>ミオ</t>
    </rPh>
    <phoneticPr fontId="3"/>
  </si>
  <si>
    <t>大(鳥取)</t>
    <rPh sb="0" eb="1">
      <t>ダイ</t>
    </rPh>
    <rPh sb="2" eb="4">
      <t>トットリ</t>
    </rPh>
    <phoneticPr fontId="3"/>
  </si>
  <si>
    <t>西宮市職員,会社員(積水ハウス木造)</t>
    <rPh sb="0" eb="3">
      <t>ニシノミヤシ</t>
    </rPh>
    <rPh sb="3" eb="5">
      <t>ショクイン</t>
    </rPh>
    <rPh sb="6" eb="9">
      <t>カイシャイン</t>
    </rPh>
    <rPh sb="10" eb="12">
      <t>セキスイ</t>
    </rPh>
    <rPh sb="15" eb="17">
      <t>モクゾウ</t>
    </rPh>
    <phoneticPr fontId="3"/>
  </si>
  <si>
    <t>217兵庫7区01</t>
    <rPh sb="3" eb="5">
      <t>ヒョウゴ</t>
    </rPh>
    <rPh sb="6" eb="7">
      <t>ク</t>
    </rPh>
    <phoneticPr fontId="3"/>
  </si>
  <si>
    <t>217兵庫7区02</t>
    <rPh sb="3" eb="5">
      <t>ヒョウゴ</t>
    </rPh>
    <rPh sb="6" eb="7">
      <t>ク</t>
    </rPh>
    <phoneticPr fontId="3"/>
  </si>
  <si>
    <t>217兵庫7区03</t>
    <rPh sb="3" eb="5">
      <t>ヒョウゴ</t>
    </rPh>
    <rPh sb="6" eb="7">
      <t>ク</t>
    </rPh>
    <phoneticPr fontId="3"/>
  </si>
  <si>
    <t>217兵庫7区04</t>
    <rPh sb="3" eb="5">
      <t>ヒョウゴ</t>
    </rPh>
    <rPh sb="6" eb="7">
      <t>ク</t>
    </rPh>
    <phoneticPr fontId="3"/>
  </si>
  <si>
    <t>石井　登志郎</t>
    <rPh sb="0" eb="2">
      <t>イシイ</t>
    </rPh>
    <rPh sb="3" eb="6">
      <t>トシロウ</t>
    </rPh>
    <phoneticPr fontId="3"/>
  </si>
  <si>
    <t>217兵庫7区</t>
    <rPh sb="3" eb="5">
      <t>ヒョウゴ</t>
    </rPh>
    <rPh sb="6" eb="7">
      <t>ク</t>
    </rPh>
    <phoneticPr fontId="3"/>
  </si>
  <si>
    <t>議員秘書(鈴木寛,石井一),研究員(日本総研)</t>
    <rPh sb="0" eb="2">
      <t>ギイン</t>
    </rPh>
    <rPh sb="2" eb="4">
      <t>ヒショ</t>
    </rPh>
    <rPh sb="5" eb="7">
      <t>スズキ</t>
    </rPh>
    <rPh sb="7" eb="8">
      <t>カン</t>
    </rPh>
    <rPh sb="9" eb="11">
      <t>イシイ</t>
    </rPh>
    <rPh sb="11" eb="12">
      <t>ハジメ</t>
    </rPh>
    <rPh sb="14" eb="17">
      <t>ケンキュウイン</t>
    </rPh>
    <rPh sb="18" eb="20">
      <t>ニホン</t>
    </rPh>
    <rPh sb="20" eb="22">
      <t>ソウケン</t>
    </rPh>
    <phoneticPr fontId="3"/>
  </si>
  <si>
    <t>大院(米/ペンシルベニア)</t>
    <rPh sb="0" eb="2">
      <t>ダイイン</t>
    </rPh>
    <rPh sb="3" eb="4">
      <t>ベイ</t>
    </rPh>
    <phoneticPr fontId="3"/>
  </si>
  <si>
    <t>山田　賢司</t>
    <rPh sb="0" eb="2">
      <t>ヤマダ</t>
    </rPh>
    <rPh sb="3" eb="5">
      <t>ケンジ</t>
    </rPh>
    <phoneticPr fontId="3"/>
  </si>
  <si>
    <t>大(神戸)</t>
    <rPh sb="0" eb="1">
      <t>ダイ</t>
    </rPh>
    <rPh sb="2" eb="4">
      <t>コウベ</t>
    </rPh>
    <phoneticPr fontId="3"/>
  </si>
  <si>
    <t>銀行員(SG信託銀行)</t>
    <rPh sb="0" eb="3">
      <t>ギンコウイン</t>
    </rPh>
    <rPh sb="6" eb="8">
      <t>シンタク</t>
    </rPh>
    <rPh sb="8" eb="10">
      <t>ギンコウ</t>
    </rPh>
    <phoneticPr fontId="3"/>
  </si>
  <si>
    <t>畠中　光成</t>
    <rPh sb="0" eb="2">
      <t>ハタナカ</t>
    </rPh>
    <rPh sb="3" eb="5">
      <t>ミツナリ</t>
    </rPh>
    <phoneticPr fontId="3"/>
  </si>
  <si>
    <t>218兵庫8区01</t>
    <rPh sb="3" eb="5">
      <t>ヒョウゴ</t>
    </rPh>
    <rPh sb="6" eb="7">
      <t>ク</t>
    </rPh>
    <phoneticPr fontId="3"/>
  </si>
  <si>
    <t>218兵庫8区02</t>
    <rPh sb="3" eb="5">
      <t>ヒョウゴ</t>
    </rPh>
    <rPh sb="6" eb="7">
      <t>ク</t>
    </rPh>
    <phoneticPr fontId="3"/>
  </si>
  <si>
    <t>218兵庫8区03</t>
    <rPh sb="3" eb="5">
      <t>ヒョウゴ</t>
    </rPh>
    <rPh sb="6" eb="7">
      <t>ク</t>
    </rPh>
    <phoneticPr fontId="3"/>
  </si>
  <si>
    <t>218兵庫8区04</t>
    <rPh sb="3" eb="5">
      <t>ヒョウゴ</t>
    </rPh>
    <rPh sb="6" eb="7">
      <t>ク</t>
    </rPh>
    <phoneticPr fontId="3"/>
  </si>
  <si>
    <t>中野　洋昌</t>
    <rPh sb="0" eb="2">
      <t>ナカノ</t>
    </rPh>
    <rPh sb="3" eb="5">
      <t>ヒロマサ</t>
    </rPh>
    <phoneticPr fontId="3"/>
  </si>
  <si>
    <t>大(東京)</t>
    <rPh sb="0" eb="1">
      <t>ダイ</t>
    </rPh>
    <rPh sb="2" eb="4">
      <t>トウキョウ</t>
    </rPh>
    <phoneticPr fontId="3"/>
  </si>
  <si>
    <t>国土交通省建設業課課長補佐</t>
    <rPh sb="0" eb="2">
      <t>コクド</t>
    </rPh>
    <rPh sb="2" eb="5">
      <t>コウツウショウ</t>
    </rPh>
    <rPh sb="5" eb="9">
      <t>ケンセツギョウカ</t>
    </rPh>
    <rPh sb="9" eb="11">
      <t>カチョウ</t>
    </rPh>
    <rPh sb="11" eb="13">
      <t>ホサ</t>
    </rPh>
    <phoneticPr fontId="3"/>
  </si>
  <si>
    <t>官</t>
    <rPh sb="0" eb="1">
      <t>カン</t>
    </rPh>
    <phoneticPr fontId="3"/>
  </si>
  <si>
    <t>大院(米/コロンビア)</t>
    <rPh sb="0" eb="2">
      <t>ダイイン</t>
    </rPh>
    <rPh sb="3" eb="4">
      <t>ベイ</t>
    </rPh>
    <phoneticPr fontId="3"/>
  </si>
  <si>
    <t>庄本　悦子</t>
    <rPh sb="0" eb="2">
      <t>ショウモト</t>
    </rPh>
    <rPh sb="3" eb="5">
      <t>エツコ</t>
    </rPh>
    <phoneticPr fontId="3"/>
  </si>
  <si>
    <t>共産党地区副委員長,原水協地区事務局次長</t>
    <rPh sb="0" eb="3">
      <t>キョウサントウ</t>
    </rPh>
    <rPh sb="3" eb="5">
      <t>チク</t>
    </rPh>
    <rPh sb="5" eb="9">
      <t>フクイインチョウ</t>
    </rPh>
    <rPh sb="10" eb="13">
      <t>ゲンスイキョウ</t>
    </rPh>
    <rPh sb="13" eb="15">
      <t>チク</t>
    </rPh>
    <rPh sb="15" eb="18">
      <t>ジムキョク</t>
    </rPh>
    <rPh sb="18" eb="20">
      <t>ジチョウ</t>
    </rPh>
    <phoneticPr fontId="3"/>
  </si>
  <si>
    <t>田中　康夫</t>
    <rPh sb="0" eb="2">
      <t>タナカ</t>
    </rPh>
    <rPh sb="3" eb="5">
      <t>ヤスオ</t>
    </rPh>
    <phoneticPr fontId="3"/>
  </si>
  <si>
    <t>218兵庫8区</t>
    <rPh sb="3" eb="5">
      <t>ヒョウゴ</t>
    </rPh>
    <rPh sb="6" eb="7">
      <t>ク</t>
    </rPh>
    <phoneticPr fontId="3"/>
  </si>
  <si>
    <t>長野県知事,作家(文藝賞)</t>
    <rPh sb="0" eb="3">
      <t>ナガノケン</t>
    </rPh>
    <rPh sb="3" eb="5">
      <t>チジ</t>
    </rPh>
    <rPh sb="6" eb="8">
      <t>サッカ</t>
    </rPh>
    <rPh sb="9" eb="11">
      <t>ブンゲイ</t>
    </rPh>
    <rPh sb="11" eb="12">
      <t>ショウ</t>
    </rPh>
    <phoneticPr fontId="3"/>
  </si>
  <si>
    <t>新党日本代表，参1</t>
    <rPh sb="0" eb="2">
      <t>シントウ</t>
    </rPh>
    <rPh sb="2" eb="4">
      <t>ニホン</t>
    </rPh>
    <rPh sb="4" eb="6">
      <t>ダイヒョウ</t>
    </rPh>
    <rPh sb="7" eb="8">
      <t>サン</t>
    </rPh>
    <phoneticPr fontId="3"/>
  </si>
  <si>
    <t>首鞍タ</t>
    <rPh sb="0" eb="1">
      <t>クビ</t>
    </rPh>
    <rPh sb="1" eb="2">
      <t>クラ</t>
    </rPh>
    <phoneticPr fontId="3"/>
  </si>
  <si>
    <t>首</t>
    <rPh sb="0" eb="1">
      <t>クビ</t>
    </rPh>
    <phoneticPr fontId="3"/>
  </si>
  <si>
    <t>鞍</t>
    <rPh sb="0" eb="1">
      <t>クラ</t>
    </rPh>
    <phoneticPr fontId="3"/>
  </si>
  <si>
    <t>タ</t>
    <phoneticPr fontId="3"/>
  </si>
  <si>
    <t>219兵庫9区01</t>
    <rPh sb="3" eb="5">
      <t>ヒョウゴ</t>
    </rPh>
    <rPh sb="6" eb="7">
      <t>ク</t>
    </rPh>
    <phoneticPr fontId="3"/>
  </si>
  <si>
    <t>219兵庫9区02</t>
    <rPh sb="3" eb="5">
      <t>ヒョウゴ</t>
    </rPh>
    <rPh sb="6" eb="7">
      <t>ク</t>
    </rPh>
    <phoneticPr fontId="3"/>
  </si>
  <si>
    <t>219兵庫9区03</t>
    <rPh sb="3" eb="5">
      <t>ヒョウゴ</t>
    </rPh>
    <rPh sb="6" eb="7">
      <t>ク</t>
    </rPh>
    <phoneticPr fontId="3"/>
  </si>
  <si>
    <t>西村　康稔</t>
    <rPh sb="0" eb="2">
      <t>ニシムラ</t>
    </rPh>
    <rPh sb="3" eb="4">
      <t>ヤス</t>
    </rPh>
    <rPh sb="4" eb="5">
      <t>トシ</t>
    </rPh>
    <phoneticPr fontId="3"/>
  </si>
  <si>
    <t>219兵庫9区</t>
    <rPh sb="3" eb="5">
      <t>ヒョウゴ</t>
    </rPh>
    <rPh sb="6" eb="7">
      <t>ク</t>
    </rPh>
    <phoneticPr fontId="3"/>
  </si>
  <si>
    <t>大院(米/メリーランド)</t>
    <rPh sb="0" eb="2">
      <t>ダイイン</t>
    </rPh>
    <rPh sb="3" eb="4">
      <t>ベイ</t>
    </rPh>
    <phoneticPr fontId="3"/>
  </si>
  <si>
    <t>議員秘書(原健三郎),通産省環境立地局調査官</t>
    <rPh sb="0" eb="2">
      <t>ギイン</t>
    </rPh>
    <rPh sb="2" eb="4">
      <t>ヒショ</t>
    </rPh>
    <rPh sb="5" eb="6">
      <t>ハラ</t>
    </rPh>
    <rPh sb="6" eb="9">
      <t>ケンザブロウ</t>
    </rPh>
    <rPh sb="11" eb="14">
      <t>ツウサンショウ</t>
    </rPh>
    <rPh sb="14" eb="16">
      <t>カンキョウ</t>
    </rPh>
    <rPh sb="16" eb="19">
      <t>リッチキョク</t>
    </rPh>
    <rPh sb="19" eb="22">
      <t>チョウサカン</t>
    </rPh>
    <phoneticPr fontId="3"/>
  </si>
  <si>
    <t>官二</t>
    <rPh sb="0" eb="1">
      <t>カン</t>
    </rPh>
    <rPh sb="1" eb="2">
      <t>ニ</t>
    </rPh>
    <phoneticPr fontId="3"/>
  </si>
  <si>
    <t>新町　美千代</t>
    <rPh sb="0" eb="2">
      <t>シンマチ</t>
    </rPh>
    <rPh sb="3" eb="6">
      <t>ミチヨ</t>
    </rPh>
    <phoneticPr fontId="3"/>
  </si>
  <si>
    <t>高(明石南)</t>
    <rPh sb="0" eb="1">
      <t>コウ</t>
    </rPh>
    <rPh sb="2" eb="4">
      <t>アカシ</t>
    </rPh>
    <rPh sb="4" eb="5">
      <t>ミナミ</t>
    </rPh>
    <phoneticPr fontId="3"/>
  </si>
  <si>
    <t>兵庫県議(明石市),神戸医療生協理事</t>
    <rPh sb="0" eb="2">
      <t>ヒョウゴ</t>
    </rPh>
    <rPh sb="2" eb="4">
      <t>ケンギ</t>
    </rPh>
    <rPh sb="5" eb="8">
      <t>アカシシ</t>
    </rPh>
    <rPh sb="10" eb="12">
      <t>コウベ</t>
    </rPh>
    <rPh sb="12" eb="14">
      <t>イリョウ</t>
    </rPh>
    <rPh sb="14" eb="16">
      <t>セイキョウ</t>
    </rPh>
    <rPh sb="16" eb="18">
      <t>リジ</t>
    </rPh>
    <phoneticPr fontId="3"/>
  </si>
  <si>
    <t>220兵庫10区01</t>
    <rPh sb="3" eb="5">
      <t>ヒョウゴ</t>
    </rPh>
    <rPh sb="7" eb="8">
      <t>ク</t>
    </rPh>
    <phoneticPr fontId="3"/>
  </si>
  <si>
    <t>220兵庫10区02</t>
    <rPh sb="3" eb="5">
      <t>ヒョウゴ</t>
    </rPh>
    <rPh sb="7" eb="8">
      <t>ク</t>
    </rPh>
    <phoneticPr fontId="3"/>
  </si>
  <si>
    <t>220兵庫10区03</t>
    <rPh sb="3" eb="5">
      <t>ヒョウゴ</t>
    </rPh>
    <rPh sb="7" eb="8">
      <t>ク</t>
    </rPh>
    <phoneticPr fontId="3"/>
  </si>
  <si>
    <t>岡田　康裕</t>
    <rPh sb="0" eb="2">
      <t>オカダ</t>
    </rPh>
    <rPh sb="3" eb="5">
      <t>ヤスヒロ</t>
    </rPh>
    <phoneticPr fontId="3"/>
  </si>
  <si>
    <t>220兵庫10区</t>
    <rPh sb="3" eb="5">
      <t>ヒョウゴ</t>
    </rPh>
    <rPh sb="7" eb="8">
      <t>ク</t>
    </rPh>
    <phoneticPr fontId="3"/>
  </si>
  <si>
    <t>大院(米/ハーバード)</t>
    <rPh sb="0" eb="2">
      <t>ダイイン</t>
    </rPh>
    <rPh sb="3" eb="4">
      <t>ベイ</t>
    </rPh>
    <phoneticPr fontId="3"/>
  </si>
  <si>
    <t>経営アナリスト</t>
    <rPh sb="0" eb="2">
      <t>ケイエイ</t>
    </rPh>
    <phoneticPr fontId="3"/>
  </si>
  <si>
    <t>渡海　紀三朗</t>
    <rPh sb="0" eb="2">
      <t>トカイ</t>
    </rPh>
    <rPh sb="3" eb="4">
      <t>キ</t>
    </rPh>
    <rPh sb="4" eb="6">
      <t>サブロウ</t>
    </rPh>
    <phoneticPr fontId="3"/>
  </si>
  <si>
    <t>議員秘書(安倍晋太郎),一級建築士,会社員(日建設計)</t>
    <rPh sb="0" eb="2">
      <t>ギイン</t>
    </rPh>
    <rPh sb="2" eb="4">
      <t>ヒショ</t>
    </rPh>
    <rPh sb="5" eb="7">
      <t>アベ</t>
    </rPh>
    <rPh sb="7" eb="10">
      <t>シンタロウ</t>
    </rPh>
    <rPh sb="12" eb="14">
      <t>イッキュウ</t>
    </rPh>
    <rPh sb="14" eb="17">
      <t>ケンチクシ</t>
    </rPh>
    <rPh sb="18" eb="21">
      <t>カイシャイン</t>
    </rPh>
    <rPh sb="22" eb="24">
      <t>ニッケン</t>
    </rPh>
    <rPh sb="24" eb="26">
      <t>セッケイ</t>
    </rPh>
    <phoneticPr fontId="3"/>
  </si>
  <si>
    <t>　元大臣(文科),委長(決行),副大臣(文科),政務次官(科技),首相補佐官,旧さきがけ国対委長,政調会長</t>
    <rPh sb="1" eb="4">
      <t>モトダイジン</t>
    </rPh>
    <rPh sb="5" eb="7">
      <t>モンカ</t>
    </rPh>
    <rPh sb="9" eb="11">
      <t>イチョウ</t>
    </rPh>
    <rPh sb="12" eb="14">
      <t>ケッコウ</t>
    </rPh>
    <rPh sb="16" eb="19">
      <t>フクダイジン</t>
    </rPh>
    <rPh sb="20" eb="22">
      <t>ブンカ</t>
    </rPh>
    <rPh sb="24" eb="26">
      <t>セイム</t>
    </rPh>
    <rPh sb="26" eb="28">
      <t>ジカン</t>
    </rPh>
    <rPh sb="29" eb="31">
      <t>カギ</t>
    </rPh>
    <rPh sb="33" eb="35">
      <t>シュショウ</t>
    </rPh>
    <rPh sb="35" eb="38">
      <t>ホサカン</t>
    </rPh>
    <rPh sb="39" eb="40">
      <t>キュウ</t>
    </rPh>
    <rPh sb="44" eb="46">
      <t>コクタイ</t>
    </rPh>
    <rPh sb="46" eb="48">
      <t>イチョウ</t>
    </rPh>
    <rPh sb="49" eb="51">
      <t>セイチョウ</t>
    </rPh>
    <rPh sb="51" eb="53">
      <t>カイチョウ</t>
    </rPh>
    <phoneticPr fontId="3"/>
  </si>
  <si>
    <t>井澤　孝典</t>
    <rPh sb="0" eb="2">
      <t>イザワ</t>
    </rPh>
    <rPh sb="3" eb="5">
      <t>タカノリ</t>
    </rPh>
    <phoneticPr fontId="3"/>
  </si>
  <si>
    <t>共産党地区政策委員長,兵庫県高教組役員</t>
    <rPh sb="0" eb="3">
      <t>キョウサントウ</t>
    </rPh>
    <rPh sb="3" eb="5">
      <t>チク</t>
    </rPh>
    <rPh sb="5" eb="7">
      <t>セイサク</t>
    </rPh>
    <rPh sb="7" eb="10">
      <t>イインチョウ</t>
    </rPh>
    <rPh sb="11" eb="14">
      <t>ヒョウゴケン</t>
    </rPh>
    <rPh sb="14" eb="15">
      <t>コウ</t>
    </rPh>
    <rPh sb="15" eb="17">
      <t>キョウソ</t>
    </rPh>
    <rPh sb="17" eb="19">
      <t>ヤクイン</t>
    </rPh>
    <phoneticPr fontId="3"/>
  </si>
  <si>
    <t>労</t>
    <rPh sb="0" eb="1">
      <t>ロウ</t>
    </rPh>
    <phoneticPr fontId="3"/>
  </si>
  <si>
    <t>221兵庫11区01</t>
    <rPh sb="3" eb="5">
      <t>ヒョウゴ</t>
    </rPh>
    <rPh sb="7" eb="8">
      <t>ク</t>
    </rPh>
    <phoneticPr fontId="3"/>
  </si>
  <si>
    <t>221兵庫11区02</t>
    <rPh sb="3" eb="5">
      <t>ヒョウゴ</t>
    </rPh>
    <rPh sb="7" eb="8">
      <t>ク</t>
    </rPh>
    <phoneticPr fontId="3"/>
  </si>
  <si>
    <t>221兵庫11区03</t>
    <rPh sb="3" eb="5">
      <t>ヒョウゴ</t>
    </rPh>
    <rPh sb="7" eb="8">
      <t>ク</t>
    </rPh>
    <phoneticPr fontId="3"/>
  </si>
  <si>
    <t>松本　剛明</t>
    <rPh sb="0" eb="2">
      <t>マツモト</t>
    </rPh>
    <rPh sb="3" eb="5">
      <t>タケアキ</t>
    </rPh>
    <phoneticPr fontId="3"/>
  </si>
  <si>
    <t>221兵庫11区</t>
    <rPh sb="3" eb="5">
      <t>ヒョウゴ</t>
    </rPh>
    <rPh sb="7" eb="8">
      <t>ク</t>
    </rPh>
    <phoneticPr fontId="3"/>
  </si>
  <si>
    <t>民主党幹事長代理，元大臣(外務),委長(議運),副大臣(外務),民主党政調会長,国対委長代理</t>
    <rPh sb="0" eb="3">
      <t>ミンシュトウ</t>
    </rPh>
    <rPh sb="3" eb="6">
      <t>カンジチョウ</t>
    </rPh>
    <rPh sb="6" eb="8">
      <t>ダイリ</t>
    </rPh>
    <rPh sb="9" eb="12">
      <t>モトダイジン</t>
    </rPh>
    <rPh sb="13" eb="15">
      <t>ガイム</t>
    </rPh>
    <rPh sb="17" eb="19">
      <t>イチョウ</t>
    </rPh>
    <rPh sb="20" eb="21">
      <t>ギ</t>
    </rPh>
    <rPh sb="21" eb="22">
      <t>ウン</t>
    </rPh>
    <rPh sb="24" eb="27">
      <t>フクダイジン</t>
    </rPh>
    <rPh sb="28" eb="30">
      <t>ガイム</t>
    </rPh>
    <rPh sb="32" eb="35">
      <t>ミンシュトウ</t>
    </rPh>
    <rPh sb="35" eb="37">
      <t>セイチョウ</t>
    </rPh>
    <rPh sb="37" eb="39">
      <t>カイチョウ</t>
    </rPh>
    <rPh sb="40" eb="44">
      <t>コクタイイチョウ</t>
    </rPh>
    <rPh sb="44" eb="46">
      <t>ダイリ</t>
    </rPh>
    <phoneticPr fontId="3"/>
  </si>
  <si>
    <t>議員秘書(松本十郎),銀行員(日本興業銀行)</t>
    <rPh sb="0" eb="2">
      <t>ギイン</t>
    </rPh>
    <rPh sb="2" eb="4">
      <t>ヒショ</t>
    </rPh>
    <rPh sb="5" eb="7">
      <t>マツモト</t>
    </rPh>
    <rPh sb="7" eb="9">
      <t>ジュウロウ</t>
    </rPh>
    <rPh sb="11" eb="14">
      <t>ギンコウイン</t>
    </rPh>
    <rPh sb="15" eb="17">
      <t>ニホン</t>
    </rPh>
    <rPh sb="17" eb="19">
      <t>コウギョウ</t>
    </rPh>
    <rPh sb="19" eb="21">
      <t>ギンコウ</t>
    </rPh>
    <phoneticPr fontId="3"/>
  </si>
  <si>
    <t>頭師　暢秀</t>
    <rPh sb="0" eb="2">
      <t>ズシ</t>
    </rPh>
    <rPh sb="3" eb="4">
      <t>ノブ</t>
    </rPh>
    <rPh sb="4" eb="5">
      <t>ヒデ</t>
    </rPh>
    <phoneticPr fontId="3"/>
  </si>
  <si>
    <t>大院(米/ニューヨーク市立)</t>
    <rPh sb="0" eb="2">
      <t>ダイイン</t>
    </rPh>
    <rPh sb="3" eb="4">
      <t>ベイ</t>
    </rPh>
    <rPh sb="11" eb="13">
      <t>シリツ</t>
    </rPh>
    <phoneticPr fontId="3"/>
  </si>
  <si>
    <t>大学教員(流通科学大学准教授)</t>
    <rPh sb="0" eb="2">
      <t>ダイガク</t>
    </rPh>
    <rPh sb="2" eb="4">
      <t>キョウイン</t>
    </rPh>
    <rPh sb="5" eb="7">
      <t>リュウツウ</t>
    </rPh>
    <rPh sb="7" eb="9">
      <t>カガク</t>
    </rPh>
    <rPh sb="9" eb="11">
      <t>ダイガク</t>
    </rPh>
    <rPh sb="11" eb="14">
      <t>ジュンキョウジュ</t>
    </rPh>
    <phoneticPr fontId="3"/>
  </si>
  <si>
    <t>白髪　みどり</t>
    <rPh sb="0" eb="1">
      <t>シラ</t>
    </rPh>
    <rPh sb="1" eb="2">
      <t>カミ</t>
    </rPh>
    <phoneticPr fontId="3"/>
  </si>
  <si>
    <t>高中(姫路商)</t>
    <rPh sb="0" eb="1">
      <t>コウ</t>
    </rPh>
    <rPh sb="1" eb="2">
      <t>チュウ</t>
    </rPh>
    <rPh sb="3" eb="5">
      <t>ヒメジ</t>
    </rPh>
    <rPh sb="5" eb="6">
      <t>ショウ</t>
    </rPh>
    <phoneticPr fontId="3"/>
  </si>
  <si>
    <t>姫路民主商工会事務局長</t>
    <rPh sb="0" eb="2">
      <t>ヒメジ</t>
    </rPh>
    <rPh sb="2" eb="4">
      <t>ミンシュ</t>
    </rPh>
    <rPh sb="4" eb="7">
      <t>ショウコウカイ</t>
    </rPh>
    <rPh sb="7" eb="10">
      <t>ジムキョク</t>
    </rPh>
    <phoneticPr fontId="3"/>
  </si>
  <si>
    <t>222兵庫12区01</t>
    <rPh sb="3" eb="5">
      <t>ヒョウゴ</t>
    </rPh>
    <rPh sb="7" eb="8">
      <t>ク</t>
    </rPh>
    <phoneticPr fontId="3"/>
  </si>
  <si>
    <t>222兵庫12区02</t>
    <rPh sb="3" eb="5">
      <t>ヒョウゴ</t>
    </rPh>
    <rPh sb="7" eb="8">
      <t>ク</t>
    </rPh>
    <phoneticPr fontId="3"/>
  </si>
  <si>
    <t>222兵庫12区03</t>
    <rPh sb="3" eb="5">
      <t>ヒョウゴ</t>
    </rPh>
    <rPh sb="7" eb="8">
      <t>ク</t>
    </rPh>
    <phoneticPr fontId="3"/>
  </si>
  <si>
    <t>山口　　壯</t>
    <rPh sb="0" eb="2">
      <t>ヤマグチ</t>
    </rPh>
    <rPh sb="4" eb="5">
      <t>ツヨシ</t>
    </rPh>
    <phoneticPr fontId="3"/>
  </si>
  <si>
    <t>222兵庫12区</t>
    <rPh sb="3" eb="5">
      <t>ヒョウゴ</t>
    </rPh>
    <rPh sb="7" eb="8">
      <t>ク</t>
    </rPh>
    <phoneticPr fontId="3"/>
  </si>
  <si>
    <t>　元副大臣(外務,内閣)</t>
    <rPh sb="1" eb="2">
      <t>モト</t>
    </rPh>
    <rPh sb="2" eb="5">
      <t>フクダイジン</t>
    </rPh>
    <rPh sb="6" eb="8">
      <t>ガイム</t>
    </rPh>
    <rPh sb="9" eb="11">
      <t>ナイカク</t>
    </rPh>
    <phoneticPr fontId="3"/>
  </si>
  <si>
    <t>外務省総合外交政策局国際科学協力室長</t>
    <rPh sb="0" eb="3">
      <t>ガイムショウ</t>
    </rPh>
    <rPh sb="3" eb="5">
      <t>ソウゴウ</t>
    </rPh>
    <rPh sb="5" eb="7">
      <t>ガイコウ</t>
    </rPh>
    <rPh sb="7" eb="10">
      <t>セイサクキョク</t>
    </rPh>
    <rPh sb="10" eb="12">
      <t>コクサイ</t>
    </rPh>
    <rPh sb="12" eb="14">
      <t>カガク</t>
    </rPh>
    <rPh sb="14" eb="16">
      <t>キョウリョク</t>
    </rPh>
    <rPh sb="16" eb="18">
      <t>シツチョウ</t>
    </rPh>
    <phoneticPr fontId="3"/>
  </si>
  <si>
    <t>大院(米/ジョンズホプキンス)</t>
    <rPh sb="0" eb="2">
      <t>ダイイン</t>
    </rPh>
    <rPh sb="3" eb="4">
      <t>ベイ</t>
    </rPh>
    <phoneticPr fontId="3"/>
  </si>
  <si>
    <t>岡崎　　晃</t>
    <rPh sb="0" eb="2">
      <t>オカザキ</t>
    </rPh>
    <rPh sb="4" eb="5">
      <t>アキラ</t>
    </rPh>
    <phoneticPr fontId="3"/>
  </si>
  <si>
    <t>弁護士</t>
    <rPh sb="0" eb="3">
      <t>ベンゴシ</t>
    </rPh>
    <phoneticPr fontId="3"/>
  </si>
  <si>
    <t>法</t>
    <rPh sb="0" eb="1">
      <t>ホウ</t>
    </rPh>
    <phoneticPr fontId="3"/>
  </si>
  <si>
    <t>223奈良1区01</t>
    <rPh sb="3" eb="5">
      <t>ナラ</t>
    </rPh>
    <rPh sb="6" eb="7">
      <t>ク</t>
    </rPh>
    <phoneticPr fontId="3"/>
  </si>
  <si>
    <t>223奈良1区02</t>
    <rPh sb="3" eb="5">
      <t>ナラ</t>
    </rPh>
    <rPh sb="6" eb="7">
      <t>ク</t>
    </rPh>
    <phoneticPr fontId="3"/>
  </si>
  <si>
    <t>223奈良1区03</t>
    <rPh sb="3" eb="5">
      <t>ナラ</t>
    </rPh>
    <rPh sb="6" eb="7">
      <t>ク</t>
    </rPh>
    <phoneticPr fontId="3"/>
  </si>
  <si>
    <t>馬淵　澄夫</t>
    <rPh sb="0" eb="2">
      <t>マブチ</t>
    </rPh>
    <rPh sb="3" eb="5">
      <t>スミオ</t>
    </rPh>
    <phoneticPr fontId="3"/>
  </si>
  <si>
    <t>223奈良1区</t>
    <rPh sb="3" eb="5">
      <t>ナラ</t>
    </rPh>
    <rPh sb="6" eb="7">
      <t>ク</t>
    </rPh>
    <phoneticPr fontId="3"/>
  </si>
  <si>
    <t>会社役員(ゼネラル)</t>
    <rPh sb="0" eb="2">
      <t>カイシャ</t>
    </rPh>
    <rPh sb="2" eb="4">
      <t>ヤクイン</t>
    </rPh>
    <phoneticPr fontId="3"/>
  </si>
  <si>
    <t>民主党政調会長代理，元大臣(国交・沖北),委長(災害特),副大臣(国交),首相補佐官</t>
    <rPh sb="0" eb="3">
      <t>ミンシュトウ</t>
    </rPh>
    <rPh sb="3" eb="5">
      <t>セイチョウ</t>
    </rPh>
    <rPh sb="5" eb="7">
      <t>カイチョウ</t>
    </rPh>
    <rPh sb="7" eb="9">
      <t>ダイリ</t>
    </rPh>
    <rPh sb="10" eb="13">
      <t>モトダイジン</t>
    </rPh>
    <rPh sb="14" eb="16">
      <t>コッコウ</t>
    </rPh>
    <rPh sb="17" eb="19">
      <t>オキホク</t>
    </rPh>
    <rPh sb="21" eb="23">
      <t>イチョウ</t>
    </rPh>
    <rPh sb="24" eb="26">
      <t>サイガイ</t>
    </rPh>
    <rPh sb="26" eb="27">
      <t>トク</t>
    </rPh>
    <rPh sb="29" eb="32">
      <t>フクダイジン</t>
    </rPh>
    <rPh sb="33" eb="35">
      <t>コッコウ</t>
    </rPh>
    <rPh sb="37" eb="39">
      <t>シュショウ</t>
    </rPh>
    <rPh sb="39" eb="42">
      <t>ホサカン</t>
    </rPh>
    <phoneticPr fontId="3"/>
  </si>
  <si>
    <t>小林　茂樹</t>
    <rPh sb="0" eb="2">
      <t>コバヤシ</t>
    </rPh>
    <rPh sb="3" eb="5">
      <t>シゲキ</t>
    </rPh>
    <phoneticPr fontId="3"/>
  </si>
  <si>
    <t>奈良県議(山辺郡・奈良市),会社社長(三和住宅)</t>
    <rPh sb="0" eb="2">
      <t>ナラ</t>
    </rPh>
    <rPh sb="2" eb="4">
      <t>ケンギ</t>
    </rPh>
    <rPh sb="5" eb="8">
      <t>ヤマベグン</t>
    </rPh>
    <rPh sb="9" eb="12">
      <t>ナラシ</t>
    </rPh>
    <rPh sb="14" eb="16">
      <t>カイシャ</t>
    </rPh>
    <rPh sb="16" eb="18">
      <t>シャチョウ</t>
    </rPh>
    <rPh sb="19" eb="21">
      <t>サンワ</t>
    </rPh>
    <rPh sb="21" eb="23">
      <t>ジュウタク</t>
    </rPh>
    <phoneticPr fontId="3"/>
  </si>
  <si>
    <t>伊藤　恵美子</t>
    <rPh sb="0" eb="2">
      <t>イトウ</t>
    </rPh>
    <rPh sb="3" eb="6">
      <t>エミコ</t>
    </rPh>
    <phoneticPr fontId="3"/>
  </si>
  <si>
    <t>他中(泉州看護専門学校)</t>
    <rPh sb="0" eb="1">
      <t>ホカ</t>
    </rPh>
    <rPh sb="1" eb="2">
      <t>チュウ</t>
    </rPh>
    <rPh sb="3" eb="5">
      <t>センシュウ</t>
    </rPh>
    <rPh sb="5" eb="7">
      <t>カンゴ</t>
    </rPh>
    <rPh sb="7" eb="9">
      <t>センモン</t>
    </rPh>
    <rPh sb="9" eb="11">
      <t>ガッコウ</t>
    </rPh>
    <phoneticPr fontId="3"/>
  </si>
  <si>
    <t>三重県・津市議,看護師</t>
    <rPh sb="0" eb="3">
      <t>ミエケン</t>
    </rPh>
    <rPh sb="4" eb="5">
      <t>ツ</t>
    </rPh>
    <rPh sb="5" eb="7">
      <t>シギ</t>
    </rPh>
    <rPh sb="8" eb="11">
      <t>カンゴシ</t>
    </rPh>
    <phoneticPr fontId="3"/>
  </si>
  <si>
    <t>224奈良2区01</t>
    <rPh sb="3" eb="5">
      <t>ナラ</t>
    </rPh>
    <rPh sb="6" eb="7">
      <t>ク</t>
    </rPh>
    <phoneticPr fontId="3"/>
  </si>
  <si>
    <t>224奈良2区02</t>
    <rPh sb="3" eb="5">
      <t>ナラ</t>
    </rPh>
    <rPh sb="6" eb="7">
      <t>ク</t>
    </rPh>
    <phoneticPr fontId="3"/>
  </si>
  <si>
    <t>224奈良2区03</t>
    <rPh sb="3" eb="5">
      <t>ナラ</t>
    </rPh>
    <rPh sb="6" eb="7">
      <t>ク</t>
    </rPh>
    <phoneticPr fontId="3"/>
  </si>
  <si>
    <t>百武　　威</t>
    <rPh sb="0" eb="2">
      <t>ヒャクタケ</t>
    </rPh>
    <rPh sb="4" eb="5">
      <t>タケル</t>
    </rPh>
    <phoneticPr fontId="3"/>
  </si>
  <si>
    <t>大(徳島)</t>
    <rPh sb="0" eb="1">
      <t>ダイ</t>
    </rPh>
    <rPh sb="2" eb="4">
      <t>トクシマ</t>
    </rPh>
    <phoneticPr fontId="3"/>
  </si>
  <si>
    <t>医師(八尾徳州会総合病院/呼吸器外科)</t>
    <rPh sb="0" eb="2">
      <t>イシ</t>
    </rPh>
    <rPh sb="3" eb="5">
      <t>ヤオ</t>
    </rPh>
    <rPh sb="5" eb="8">
      <t>トクシュウカイ</t>
    </rPh>
    <rPh sb="8" eb="10">
      <t>ソウゴウ</t>
    </rPh>
    <rPh sb="10" eb="12">
      <t>ビョウイン</t>
    </rPh>
    <rPh sb="13" eb="16">
      <t>コキュウキ</t>
    </rPh>
    <rPh sb="16" eb="18">
      <t>ゲカ</t>
    </rPh>
    <phoneticPr fontId="3"/>
  </si>
  <si>
    <t>高市　早苗</t>
    <rPh sb="0" eb="2">
      <t>タカイチ</t>
    </rPh>
    <rPh sb="3" eb="5">
      <t>サナエ</t>
    </rPh>
    <phoneticPr fontId="3"/>
  </si>
  <si>
    <t>308比例近畿14</t>
    <rPh sb="3" eb="5">
      <t>ヒレイ</t>
    </rPh>
    <rPh sb="5" eb="7">
      <t>キンキ</t>
    </rPh>
    <phoneticPr fontId="3"/>
  </si>
  <si>
    <t>政治評論家,短大教員(日本経済短期大学助手)</t>
    <rPh sb="0" eb="2">
      <t>セイジ</t>
    </rPh>
    <rPh sb="2" eb="5">
      <t>ヒョウロンカ</t>
    </rPh>
    <rPh sb="6" eb="8">
      <t>タンダイ</t>
    </rPh>
    <rPh sb="8" eb="10">
      <t>キョウイン</t>
    </rPh>
    <rPh sb="11" eb="13">
      <t>ニホン</t>
    </rPh>
    <rPh sb="13" eb="15">
      <t>ケイザイ</t>
    </rPh>
    <rPh sb="15" eb="17">
      <t>タンキ</t>
    </rPh>
    <rPh sb="17" eb="19">
      <t>ダイガク</t>
    </rPh>
    <rPh sb="19" eb="21">
      <t>ジョシュ</t>
    </rPh>
    <phoneticPr fontId="3"/>
  </si>
  <si>
    <t>　元大臣(沖北・科技・少子化),委長(文科),副大臣(経産),政務次官(通産)</t>
    <rPh sb="1" eb="4">
      <t>モトダイジン</t>
    </rPh>
    <rPh sb="5" eb="7">
      <t>オキホク</t>
    </rPh>
    <rPh sb="8" eb="10">
      <t>カギ</t>
    </rPh>
    <rPh sb="11" eb="14">
      <t>ショウシカ</t>
    </rPh>
    <rPh sb="16" eb="18">
      <t>イチョウ</t>
    </rPh>
    <rPh sb="19" eb="21">
      <t>モンカ</t>
    </rPh>
    <rPh sb="23" eb="26">
      <t>フクダイジン</t>
    </rPh>
    <rPh sb="27" eb="29">
      <t>ケイサン</t>
    </rPh>
    <rPh sb="31" eb="33">
      <t>セイム</t>
    </rPh>
    <rPh sb="33" eb="35">
      <t>ジカン</t>
    </rPh>
    <rPh sb="36" eb="38">
      <t>ツウサン</t>
    </rPh>
    <phoneticPr fontId="3"/>
  </si>
  <si>
    <t>224奈良2区04</t>
    <rPh sb="3" eb="5">
      <t>ナラ</t>
    </rPh>
    <rPh sb="6" eb="7">
      <t>ク</t>
    </rPh>
    <phoneticPr fontId="3"/>
  </si>
  <si>
    <t>中村　哲治</t>
    <rPh sb="0" eb="2">
      <t>ナカムラ</t>
    </rPh>
    <rPh sb="3" eb="5">
      <t>テツジ</t>
    </rPh>
    <phoneticPr fontId="3"/>
  </si>
  <si>
    <t>参</t>
    <rPh sb="0" eb="1">
      <t>サン</t>
    </rPh>
    <phoneticPr fontId="3"/>
  </si>
  <si>
    <t>大(京都)</t>
    <rPh sb="0" eb="1">
      <t>ダイ</t>
    </rPh>
    <rPh sb="2" eb="4">
      <t>キョウト</t>
    </rPh>
    <phoneticPr fontId="3"/>
  </si>
  <si>
    <t>議員秘書(海野徹,坪井一宇)</t>
    <rPh sb="0" eb="2">
      <t>ギイン</t>
    </rPh>
    <rPh sb="2" eb="4">
      <t>ヒショ</t>
    </rPh>
    <rPh sb="5" eb="7">
      <t>ウンノ</t>
    </rPh>
    <rPh sb="7" eb="8">
      <t>トオル</t>
    </rPh>
    <rPh sb="9" eb="11">
      <t>ツボイ</t>
    </rPh>
    <rPh sb="11" eb="13">
      <t>カズタカ</t>
    </rPh>
    <phoneticPr fontId="3"/>
  </si>
  <si>
    <t>中野　明美</t>
    <rPh sb="0" eb="2">
      <t>ナカノ</t>
    </rPh>
    <rPh sb="3" eb="5">
      <t>アケミ</t>
    </rPh>
    <phoneticPr fontId="3"/>
  </si>
  <si>
    <t>高(石山)</t>
    <rPh sb="0" eb="1">
      <t>コウ</t>
    </rPh>
    <rPh sb="2" eb="4">
      <t>イシヤマ</t>
    </rPh>
    <phoneticPr fontId="3"/>
  </si>
  <si>
    <t>奈良県議(生駒市),会社員(近鉄百貨店)</t>
    <rPh sb="0" eb="2">
      <t>ナラ</t>
    </rPh>
    <rPh sb="2" eb="4">
      <t>ケンギ</t>
    </rPh>
    <rPh sb="5" eb="8">
      <t>イコマシ</t>
    </rPh>
    <rPh sb="10" eb="13">
      <t>カイシャイン</t>
    </rPh>
    <rPh sb="14" eb="16">
      <t>キンテツ</t>
    </rPh>
    <rPh sb="16" eb="19">
      <t>ヒャッカテン</t>
    </rPh>
    <phoneticPr fontId="3"/>
  </si>
  <si>
    <t>225奈良3区01</t>
    <rPh sb="3" eb="5">
      <t>ナラ</t>
    </rPh>
    <rPh sb="6" eb="7">
      <t>ク</t>
    </rPh>
    <phoneticPr fontId="3"/>
  </si>
  <si>
    <t>225奈良3区02</t>
    <rPh sb="3" eb="5">
      <t>ナラ</t>
    </rPh>
    <rPh sb="6" eb="7">
      <t>ク</t>
    </rPh>
    <phoneticPr fontId="3"/>
  </si>
  <si>
    <t>225奈良3区03</t>
    <rPh sb="3" eb="5">
      <t>ナラ</t>
    </rPh>
    <rPh sb="6" eb="7">
      <t>ク</t>
    </rPh>
    <phoneticPr fontId="3"/>
  </si>
  <si>
    <t>吉川　政重</t>
    <rPh sb="0" eb="2">
      <t>ヨシカワ</t>
    </rPh>
    <rPh sb="3" eb="5">
      <t>マサシゲ</t>
    </rPh>
    <phoneticPr fontId="3"/>
  </si>
  <si>
    <t>225奈良3区</t>
    <rPh sb="3" eb="5">
      <t>ナラ</t>
    </rPh>
    <rPh sb="6" eb="7">
      <t>ク</t>
    </rPh>
    <phoneticPr fontId="3"/>
  </si>
  <si>
    <t>奈良県議(香芝市),奈良県・香芝市議,行政書士</t>
    <rPh sb="0" eb="2">
      <t>ナラ</t>
    </rPh>
    <rPh sb="2" eb="4">
      <t>ケンギ</t>
    </rPh>
    <rPh sb="5" eb="8">
      <t>カシバシ</t>
    </rPh>
    <rPh sb="10" eb="13">
      <t>ナラケン</t>
    </rPh>
    <rPh sb="14" eb="16">
      <t>カシバ</t>
    </rPh>
    <rPh sb="16" eb="18">
      <t>シギ</t>
    </rPh>
    <rPh sb="19" eb="23">
      <t>ギョウセイショシ</t>
    </rPh>
    <phoneticPr fontId="3"/>
  </si>
  <si>
    <t>奥野　信亮</t>
    <rPh sb="0" eb="2">
      <t>オクノ</t>
    </rPh>
    <rPh sb="3" eb="4">
      <t>シン</t>
    </rPh>
    <rPh sb="4" eb="5">
      <t>スケ</t>
    </rPh>
    <phoneticPr fontId="3"/>
  </si>
  <si>
    <t>会社社長(バンテック),会社役員(日産自動車)</t>
    <rPh sb="0" eb="2">
      <t>カイシャ</t>
    </rPh>
    <rPh sb="2" eb="4">
      <t>シャチョウ</t>
    </rPh>
    <rPh sb="12" eb="14">
      <t>カイシャ</t>
    </rPh>
    <rPh sb="14" eb="16">
      <t>ヤクイン</t>
    </rPh>
    <rPh sb="17" eb="19">
      <t>ニッサン</t>
    </rPh>
    <rPh sb="19" eb="22">
      <t>ジドウシャ</t>
    </rPh>
    <phoneticPr fontId="3"/>
  </si>
  <si>
    <t>　元政務官(法務)</t>
    <rPh sb="1" eb="2">
      <t>モト</t>
    </rPh>
    <rPh sb="2" eb="5">
      <t>セイムカン</t>
    </rPh>
    <rPh sb="6" eb="8">
      <t>ホウム</t>
    </rPh>
    <phoneticPr fontId="3"/>
  </si>
  <si>
    <t>豆田　至功</t>
    <rPh sb="0" eb="2">
      <t>マメダ</t>
    </rPh>
    <rPh sb="3" eb="4">
      <t>ヨシ</t>
    </rPh>
    <rPh sb="4" eb="5">
      <t>ノリ</t>
    </rPh>
    <phoneticPr fontId="3"/>
  </si>
  <si>
    <t>奈良県・田原本町議,国民金融公庫職員</t>
    <rPh sb="0" eb="3">
      <t>ナラケン</t>
    </rPh>
    <rPh sb="4" eb="7">
      <t>タワラモト</t>
    </rPh>
    <rPh sb="7" eb="9">
      <t>チョウギ</t>
    </rPh>
    <rPh sb="10" eb="12">
      <t>コクミン</t>
    </rPh>
    <rPh sb="12" eb="14">
      <t>キンユウ</t>
    </rPh>
    <rPh sb="14" eb="16">
      <t>コウコ</t>
    </rPh>
    <rPh sb="16" eb="18">
      <t>ショクイン</t>
    </rPh>
    <phoneticPr fontId="3"/>
  </si>
  <si>
    <t>226奈良4区01</t>
    <rPh sb="3" eb="5">
      <t>ナラ</t>
    </rPh>
    <rPh sb="6" eb="7">
      <t>ク</t>
    </rPh>
    <phoneticPr fontId="3"/>
  </si>
  <si>
    <t>226奈良4区02</t>
    <rPh sb="3" eb="5">
      <t>ナラ</t>
    </rPh>
    <rPh sb="6" eb="7">
      <t>ク</t>
    </rPh>
    <phoneticPr fontId="3"/>
  </si>
  <si>
    <t>226奈良4区03</t>
    <rPh sb="3" eb="5">
      <t>ナラ</t>
    </rPh>
    <rPh sb="6" eb="7">
      <t>ク</t>
    </rPh>
    <phoneticPr fontId="3"/>
  </si>
  <si>
    <t>大西　孝典</t>
    <rPh sb="0" eb="2">
      <t>オオニシ</t>
    </rPh>
    <rPh sb="3" eb="5">
      <t>タカノリ</t>
    </rPh>
    <phoneticPr fontId="3"/>
  </si>
  <si>
    <t>308比例近畿01</t>
    <rPh sb="3" eb="5">
      <t>ヒレイ</t>
    </rPh>
    <rPh sb="5" eb="7">
      <t>キンキ</t>
    </rPh>
    <phoneticPr fontId="3"/>
  </si>
  <si>
    <t>民主党本部職員,議員秘書(前田武志)</t>
    <rPh sb="0" eb="3">
      <t>ミンシュトウ</t>
    </rPh>
    <rPh sb="3" eb="5">
      <t>ホンブ</t>
    </rPh>
    <rPh sb="5" eb="7">
      <t>ショクイン</t>
    </rPh>
    <rPh sb="8" eb="10">
      <t>ギイン</t>
    </rPh>
    <rPh sb="10" eb="12">
      <t>ヒショ</t>
    </rPh>
    <rPh sb="13" eb="15">
      <t>マエダ</t>
    </rPh>
    <rPh sb="15" eb="17">
      <t>タケシ</t>
    </rPh>
    <phoneticPr fontId="3"/>
  </si>
  <si>
    <t>田野瀬　太道</t>
    <rPh sb="0" eb="2">
      <t>タノ</t>
    </rPh>
    <rPh sb="2" eb="3">
      <t>セ</t>
    </rPh>
    <rPh sb="4" eb="5">
      <t>タイ</t>
    </rPh>
    <rPh sb="5" eb="6">
      <t>ドウ</t>
    </rPh>
    <phoneticPr fontId="3"/>
  </si>
  <si>
    <t>議員秘書(田野瀬良太郎),橿原JC理事長</t>
    <rPh sb="0" eb="2">
      <t>ギイン</t>
    </rPh>
    <rPh sb="2" eb="4">
      <t>ヒショ</t>
    </rPh>
    <rPh sb="5" eb="7">
      <t>タノ</t>
    </rPh>
    <rPh sb="7" eb="8">
      <t>セ</t>
    </rPh>
    <rPh sb="8" eb="11">
      <t>リョウタロウ</t>
    </rPh>
    <rPh sb="13" eb="15">
      <t>カシハラ</t>
    </rPh>
    <rPh sb="17" eb="20">
      <t>リジチョウ</t>
    </rPh>
    <phoneticPr fontId="3"/>
  </si>
  <si>
    <t>山﨑　タヨ</t>
    <rPh sb="0" eb="2">
      <t>ヤマサキ</t>
    </rPh>
    <phoneticPr fontId="3"/>
  </si>
  <si>
    <t>高(屋久島)</t>
    <rPh sb="0" eb="1">
      <t>コウ</t>
    </rPh>
    <rPh sb="2" eb="5">
      <t>ヤクシマ</t>
    </rPh>
    <phoneticPr fontId="3"/>
  </si>
  <si>
    <t>共産党地区役員</t>
    <rPh sb="0" eb="3">
      <t>キョウサントウ</t>
    </rPh>
    <rPh sb="3" eb="5">
      <t>チク</t>
    </rPh>
    <rPh sb="5" eb="7">
      <t>ヤクイン</t>
    </rPh>
    <phoneticPr fontId="3"/>
  </si>
  <si>
    <t>227和歌山1区01</t>
    <rPh sb="3" eb="6">
      <t>ワカヤマ</t>
    </rPh>
    <rPh sb="7" eb="8">
      <t>ク</t>
    </rPh>
    <phoneticPr fontId="3"/>
  </si>
  <si>
    <t>227和歌山1区02</t>
    <rPh sb="3" eb="6">
      <t>ワカヤマ</t>
    </rPh>
    <rPh sb="7" eb="8">
      <t>ク</t>
    </rPh>
    <phoneticPr fontId="3"/>
  </si>
  <si>
    <t>227和歌山1区03</t>
    <rPh sb="3" eb="6">
      <t>ワカヤマ</t>
    </rPh>
    <rPh sb="7" eb="8">
      <t>ク</t>
    </rPh>
    <phoneticPr fontId="3"/>
  </si>
  <si>
    <t>岸本　周平</t>
    <rPh sb="0" eb="2">
      <t>キシモト</t>
    </rPh>
    <rPh sb="3" eb="5">
      <t>シュウヘイ</t>
    </rPh>
    <phoneticPr fontId="3"/>
  </si>
  <si>
    <t>227和歌山1区</t>
    <rPh sb="3" eb="6">
      <t>ワカヤマ</t>
    </rPh>
    <rPh sb="7" eb="8">
      <t>ク</t>
    </rPh>
    <phoneticPr fontId="3"/>
  </si>
  <si>
    <t>大(東京)</t>
    <rPh sb="0" eb="1">
      <t>ダイ</t>
    </rPh>
    <rPh sb="2" eb="4">
      <t>トウキョウ</t>
    </rPh>
    <phoneticPr fontId="3"/>
  </si>
  <si>
    <t>会社員(トヨタ自動車),財務省理財局国庫課長</t>
    <rPh sb="0" eb="3">
      <t>カイシャイン</t>
    </rPh>
    <rPh sb="7" eb="10">
      <t>ジドウシャ</t>
    </rPh>
    <rPh sb="12" eb="15">
      <t>ザイムショウ</t>
    </rPh>
    <rPh sb="15" eb="18">
      <t>リザイキョク</t>
    </rPh>
    <rPh sb="18" eb="20">
      <t>コッコ</t>
    </rPh>
    <rPh sb="20" eb="22">
      <t>カチョウ</t>
    </rPh>
    <phoneticPr fontId="3"/>
  </si>
  <si>
    <t>経済産業・内閣府政務官</t>
    <rPh sb="0" eb="2">
      <t>ケイザイ</t>
    </rPh>
    <rPh sb="2" eb="4">
      <t>サンギョウ</t>
    </rPh>
    <rPh sb="5" eb="8">
      <t>ナイカクフ</t>
    </rPh>
    <rPh sb="8" eb="11">
      <t>セイムカン</t>
    </rPh>
    <phoneticPr fontId="3"/>
  </si>
  <si>
    <t>官</t>
    <rPh sb="0" eb="1">
      <t>カン</t>
    </rPh>
    <phoneticPr fontId="3"/>
  </si>
  <si>
    <t>門　　博文</t>
    <rPh sb="0" eb="1">
      <t>カド</t>
    </rPh>
    <rPh sb="3" eb="5">
      <t>ヒロフミ</t>
    </rPh>
    <phoneticPr fontId="3"/>
  </si>
  <si>
    <t>大(和歌山)</t>
    <rPh sb="0" eb="1">
      <t>ダイ</t>
    </rPh>
    <rPh sb="2" eb="5">
      <t>ワカヤマ</t>
    </rPh>
    <phoneticPr fontId="3"/>
  </si>
  <si>
    <t>会社社長(ロイヤルパインズ),会社員(松下興産)</t>
    <rPh sb="0" eb="2">
      <t>カイシャ</t>
    </rPh>
    <rPh sb="2" eb="4">
      <t>シャチョウ</t>
    </rPh>
    <rPh sb="15" eb="18">
      <t>カイシャイン</t>
    </rPh>
    <rPh sb="19" eb="21">
      <t>マツシタ</t>
    </rPh>
    <rPh sb="21" eb="23">
      <t>コウサン</t>
    </rPh>
    <phoneticPr fontId="3"/>
  </si>
  <si>
    <t>国重　秀明</t>
    <rPh sb="0" eb="2">
      <t>クニシゲ</t>
    </rPh>
    <rPh sb="3" eb="5">
      <t>ヒデアキ</t>
    </rPh>
    <phoneticPr fontId="3"/>
  </si>
  <si>
    <t>共産党和歌山県常任委員,赤旗記者</t>
    <rPh sb="0" eb="3">
      <t>キョウサントウ</t>
    </rPh>
    <rPh sb="3" eb="7">
      <t>ワカヤマケン</t>
    </rPh>
    <rPh sb="7" eb="9">
      <t>ジョウニン</t>
    </rPh>
    <rPh sb="9" eb="11">
      <t>イイン</t>
    </rPh>
    <rPh sb="12" eb="14">
      <t>アカハタ</t>
    </rPh>
    <rPh sb="14" eb="16">
      <t>キシャ</t>
    </rPh>
    <phoneticPr fontId="3"/>
  </si>
  <si>
    <t>228和歌山2区01</t>
    <rPh sb="3" eb="6">
      <t>ワカヤマ</t>
    </rPh>
    <rPh sb="7" eb="8">
      <t>ク</t>
    </rPh>
    <phoneticPr fontId="3"/>
  </si>
  <si>
    <t>228和歌山2区02</t>
    <rPh sb="3" eb="6">
      <t>ワカヤマ</t>
    </rPh>
    <rPh sb="7" eb="8">
      <t>ク</t>
    </rPh>
    <phoneticPr fontId="3"/>
  </si>
  <si>
    <t>228和歌山2区03</t>
    <rPh sb="3" eb="6">
      <t>ワカヤマ</t>
    </rPh>
    <rPh sb="7" eb="8">
      <t>ク</t>
    </rPh>
    <phoneticPr fontId="3"/>
  </si>
  <si>
    <t>阪口　直人</t>
    <rPh sb="0" eb="2">
      <t>サカグチ</t>
    </rPh>
    <rPh sb="3" eb="5">
      <t>ナオト</t>
    </rPh>
    <phoneticPr fontId="3"/>
  </si>
  <si>
    <t>228和歌山2区</t>
    <rPh sb="3" eb="6">
      <t>ワカヤマ</t>
    </rPh>
    <rPh sb="7" eb="8">
      <t>ク</t>
    </rPh>
    <phoneticPr fontId="3"/>
  </si>
  <si>
    <t>大院(名古屋)</t>
    <rPh sb="0" eb="2">
      <t>ダイイン</t>
    </rPh>
    <rPh sb="3" eb="6">
      <t>ナゴヤ</t>
    </rPh>
    <phoneticPr fontId="3"/>
  </si>
  <si>
    <t>議員秘書(首藤信彦),NGO事務局長(インターバンド)</t>
    <rPh sb="0" eb="2">
      <t>ギイン</t>
    </rPh>
    <rPh sb="2" eb="4">
      <t>ヒショ</t>
    </rPh>
    <rPh sb="5" eb="7">
      <t>ストウ</t>
    </rPh>
    <rPh sb="7" eb="9">
      <t>ノブヒコ</t>
    </rPh>
    <rPh sb="14" eb="16">
      <t>ジム</t>
    </rPh>
    <rPh sb="16" eb="18">
      <t>キョクチョウ</t>
    </rPh>
    <phoneticPr fontId="3"/>
  </si>
  <si>
    <t>石田　真敏</t>
    <rPh sb="0" eb="2">
      <t>イシダ</t>
    </rPh>
    <rPh sb="3" eb="5">
      <t>マサトシ</t>
    </rPh>
    <phoneticPr fontId="3"/>
  </si>
  <si>
    <t>308比例近畿16</t>
    <rPh sb="3" eb="5">
      <t>ヒレイ</t>
    </rPh>
    <rPh sb="5" eb="7">
      <t>キンキ</t>
    </rPh>
    <phoneticPr fontId="3"/>
  </si>
  <si>
    <t>和歌山県・海南市長,和歌山県議(海南市),議員秘書(坊秀男)</t>
    <rPh sb="0" eb="4">
      <t>ワカヤマケン</t>
    </rPh>
    <rPh sb="5" eb="7">
      <t>カイナン</t>
    </rPh>
    <rPh sb="7" eb="9">
      <t>シチョウ</t>
    </rPh>
    <rPh sb="10" eb="13">
      <t>ワカヤマ</t>
    </rPh>
    <rPh sb="13" eb="15">
      <t>ケンギ</t>
    </rPh>
    <rPh sb="16" eb="19">
      <t>カイナンシ</t>
    </rPh>
    <rPh sb="21" eb="23">
      <t>ギイン</t>
    </rPh>
    <rPh sb="23" eb="25">
      <t>ヒショ</t>
    </rPh>
    <rPh sb="26" eb="27">
      <t>ボウ</t>
    </rPh>
    <rPh sb="27" eb="29">
      <t>ヒデオ</t>
    </rPh>
    <phoneticPr fontId="3"/>
  </si>
  <si>
    <t>　元副大臣(財務),政務官(国交)</t>
    <rPh sb="1" eb="2">
      <t>モト</t>
    </rPh>
    <rPh sb="2" eb="5">
      <t>フクダイジン</t>
    </rPh>
    <rPh sb="6" eb="8">
      <t>ザイム</t>
    </rPh>
    <rPh sb="10" eb="13">
      <t>セイムカン</t>
    </rPh>
    <rPh sb="14" eb="16">
      <t>コッコウ</t>
    </rPh>
    <phoneticPr fontId="3"/>
  </si>
  <si>
    <t>議首</t>
    <rPh sb="0" eb="1">
      <t>ギ</t>
    </rPh>
    <rPh sb="1" eb="2">
      <t>クビ</t>
    </rPh>
    <phoneticPr fontId="3"/>
  </si>
  <si>
    <t>議</t>
    <rPh sb="0" eb="1">
      <t>ギ</t>
    </rPh>
    <phoneticPr fontId="3"/>
  </si>
  <si>
    <t>首</t>
    <rPh sb="0" eb="1">
      <t>クビ</t>
    </rPh>
    <phoneticPr fontId="3"/>
  </si>
  <si>
    <t>吉田　雅哉</t>
    <rPh sb="0" eb="2">
      <t>ヨシダ</t>
    </rPh>
    <rPh sb="3" eb="5">
      <t>マサヤ</t>
    </rPh>
    <phoneticPr fontId="3"/>
  </si>
  <si>
    <t>大(高野山)</t>
    <rPh sb="0" eb="1">
      <t>ダイ</t>
    </rPh>
    <rPh sb="2" eb="5">
      <t>コウヤサン</t>
    </rPh>
    <phoneticPr fontId="3"/>
  </si>
  <si>
    <t>229和歌山3区01</t>
    <rPh sb="3" eb="6">
      <t>ワカヤマ</t>
    </rPh>
    <rPh sb="7" eb="8">
      <t>ク</t>
    </rPh>
    <phoneticPr fontId="3"/>
  </si>
  <si>
    <t>229和歌山3区02</t>
    <rPh sb="3" eb="6">
      <t>ワカヤマ</t>
    </rPh>
    <rPh sb="7" eb="8">
      <t>ク</t>
    </rPh>
    <phoneticPr fontId="3"/>
  </si>
  <si>
    <t>229和歌山3区03</t>
    <rPh sb="3" eb="6">
      <t>ワカヤマ</t>
    </rPh>
    <rPh sb="7" eb="8">
      <t>ク</t>
    </rPh>
    <phoneticPr fontId="3"/>
  </si>
  <si>
    <t>共産党地区副委員長,民青同盟和歌山県委員長</t>
    <rPh sb="0" eb="3">
      <t>キョウサントウ</t>
    </rPh>
    <rPh sb="3" eb="5">
      <t>チク</t>
    </rPh>
    <rPh sb="5" eb="9">
      <t>フクイインチョウ</t>
    </rPh>
    <rPh sb="10" eb="14">
      <t>ミンセイドウメイ</t>
    </rPh>
    <rPh sb="14" eb="18">
      <t>ワカヤマケン</t>
    </rPh>
    <rPh sb="18" eb="21">
      <t>イインチョウ</t>
    </rPh>
    <phoneticPr fontId="3"/>
  </si>
  <si>
    <t>二階　俊博</t>
    <rPh sb="0" eb="2">
      <t>ニカイ</t>
    </rPh>
    <rPh sb="3" eb="5">
      <t>トシヒロ</t>
    </rPh>
    <phoneticPr fontId="3"/>
  </si>
  <si>
    <t>229和歌山3区</t>
    <rPh sb="3" eb="6">
      <t>ワカヤマ</t>
    </rPh>
    <rPh sb="7" eb="8">
      <t>ク</t>
    </rPh>
    <phoneticPr fontId="3"/>
  </si>
  <si>
    <t>和歌山県議(御坊市),議員秘書(遠藤三郎)</t>
    <rPh sb="0" eb="3">
      <t>ワカヤマ</t>
    </rPh>
    <rPh sb="3" eb="5">
      <t>ケンギ</t>
    </rPh>
    <rPh sb="6" eb="9">
      <t>ゴボウシ</t>
    </rPh>
    <rPh sb="11" eb="13">
      <t>ギイン</t>
    </rPh>
    <rPh sb="13" eb="15">
      <t>ヒショ</t>
    </rPh>
    <rPh sb="16" eb="18">
      <t>エンドウ</t>
    </rPh>
    <rPh sb="18" eb="20">
      <t>サブロウ</t>
    </rPh>
    <phoneticPr fontId="3"/>
  </si>
  <si>
    <t>　元大臣(経産,運輸・北開),委長(郵政特,建設),政務次官(運輸),自民党総務会長,国対委長,旧保守新党幹事長,旧自由党国対委長</t>
    <rPh sb="1" eb="4">
      <t>モトダイジン</t>
    </rPh>
    <rPh sb="5" eb="7">
      <t>ケイサン</t>
    </rPh>
    <rPh sb="8" eb="10">
      <t>ウンユ</t>
    </rPh>
    <rPh sb="11" eb="13">
      <t>ホクカイ</t>
    </rPh>
    <rPh sb="15" eb="17">
      <t>イチョウ</t>
    </rPh>
    <rPh sb="18" eb="20">
      <t>ユウセイ</t>
    </rPh>
    <rPh sb="20" eb="21">
      <t>トク</t>
    </rPh>
    <rPh sb="22" eb="24">
      <t>ケンセツ</t>
    </rPh>
    <rPh sb="26" eb="28">
      <t>セイム</t>
    </rPh>
    <rPh sb="28" eb="30">
      <t>ジカン</t>
    </rPh>
    <rPh sb="31" eb="33">
      <t>ウンユ</t>
    </rPh>
    <rPh sb="35" eb="38">
      <t>ジミントウ</t>
    </rPh>
    <rPh sb="38" eb="40">
      <t>ソウム</t>
    </rPh>
    <rPh sb="40" eb="42">
      <t>カイチョウ</t>
    </rPh>
    <rPh sb="43" eb="47">
      <t>コクタイイチョウ</t>
    </rPh>
    <rPh sb="48" eb="49">
      <t>キュウ</t>
    </rPh>
    <rPh sb="49" eb="51">
      <t>ホシュ</t>
    </rPh>
    <rPh sb="51" eb="53">
      <t>シントウ</t>
    </rPh>
    <rPh sb="53" eb="56">
      <t>カンジチョウ</t>
    </rPh>
    <rPh sb="57" eb="61">
      <t>キュウジユウトウ</t>
    </rPh>
    <rPh sb="61" eb="65">
      <t>コクタイイチョウ</t>
    </rPh>
    <phoneticPr fontId="3"/>
  </si>
  <si>
    <t>原　矢寸久</t>
    <rPh sb="0" eb="1">
      <t>ハラ</t>
    </rPh>
    <rPh sb="2" eb="5">
      <t>ヤスヒサ</t>
    </rPh>
    <phoneticPr fontId="3"/>
  </si>
  <si>
    <t>大中(立命館)</t>
    <rPh sb="0" eb="1">
      <t>ダイ</t>
    </rPh>
    <rPh sb="1" eb="2">
      <t>チュウ</t>
    </rPh>
    <rPh sb="3" eb="6">
      <t>リツメイカン</t>
    </rPh>
    <phoneticPr fontId="3"/>
  </si>
  <si>
    <t>ジ</t>
    <phoneticPr fontId="3"/>
  </si>
  <si>
    <t>共産党和歌山県副委員長,新聞記者</t>
    <rPh sb="0" eb="3">
      <t>キョウサントウ</t>
    </rPh>
    <rPh sb="3" eb="7">
      <t>ワカヤマケン</t>
    </rPh>
    <rPh sb="7" eb="11">
      <t>フクイインチョウ</t>
    </rPh>
    <rPh sb="12" eb="14">
      <t>シンブン</t>
    </rPh>
    <rPh sb="14" eb="16">
      <t>キシャ</t>
    </rPh>
    <phoneticPr fontId="3"/>
  </si>
  <si>
    <t>室井　秀子</t>
    <rPh sb="0" eb="2">
      <t>ムロイ</t>
    </rPh>
    <rPh sb="3" eb="5">
      <t>ヒデコ</t>
    </rPh>
    <phoneticPr fontId="3"/>
  </si>
  <si>
    <t>大(西南学院)</t>
    <rPh sb="0" eb="1">
      <t>ダイ</t>
    </rPh>
    <rPh sb="2" eb="4">
      <t>セイナン</t>
    </rPh>
    <rPh sb="4" eb="6">
      <t>ガクイン</t>
    </rPh>
    <phoneticPr fontId="3"/>
  </si>
  <si>
    <t>兵庫県議(尼崎市),議員秘書(室井邦彦)</t>
    <rPh sb="0" eb="2">
      <t>ヒョウゴ</t>
    </rPh>
    <rPh sb="2" eb="4">
      <t>ケンギ</t>
    </rPh>
    <rPh sb="5" eb="8">
      <t>アマガサキシ</t>
    </rPh>
    <rPh sb="10" eb="12">
      <t>ギイン</t>
    </rPh>
    <rPh sb="12" eb="14">
      <t>ヒショ</t>
    </rPh>
    <rPh sb="15" eb="17">
      <t>ムロイ</t>
    </rPh>
    <rPh sb="17" eb="19">
      <t>クニヒコ</t>
    </rPh>
    <phoneticPr fontId="3"/>
  </si>
  <si>
    <t>議</t>
    <rPh sb="0" eb="1">
      <t>ギ</t>
    </rPh>
    <phoneticPr fontId="3"/>
  </si>
  <si>
    <t>浜本　　宏</t>
    <rPh sb="0" eb="2">
      <t>ハマモト</t>
    </rPh>
    <rPh sb="4" eb="5">
      <t>ヒロシ</t>
    </rPh>
    <phoneticPr fontId="3"/>
  </si>
  <si>
    <t>大院(関西)</t>
    <rPh sb="0" eb="2">
      <t>ダイイン</t>
    </rPh>
    <rPh sb="3" eb="5">
      <t>カンサイ</t>
    </rPh>
    <phoneticPr fontId="3"/>
  </si>
  <si>
    <t>大学教員(芦屋大学教授),議員秘書(永江一仁)</t>
    <rPh sb="0" eb="2">
      <t>ダイガク</t>
    </rPh>
    <rPh sb="2" eb="4">
      <t>キョウイン</t>
    </rPh>
    <rPh sb="5" eb="7">
      <t>アシヤ</t>
    </rPh>
    <rPh sb="7" eb="9">
      <t>ダイガク</t>
    </rPh>
    <rPh sb="9" eb="11">
      <t>キョウジュ</t>
    </rPh>
    <rPh sb="13" eb="15">
      <t>ギイン</t>
    </rPh>
    <rPh sb="15" eb="17">
      <t>ヒショ</t>
    </rPh>
    <rPh sb="18" eb="20">
      <t>ナガエ</t>
    </rPh>
    <rPh sb="20" eb="22">
      <t>カズヒト</t>
    </rPh>
    <phoneticPr fontId="3"/>
  </si>
  <si>
    <t>熊谷　貞俊</t>
    <rPh sb="0" eb="2">
      <t>クマガイ</t>
    </rPh>
    <rPh sb="3" eb="5">
      <t>サダトシ</t>
    </rPh>
    <phoneticPr fontId="3"/>
  </si>
  <si>
    <t>308比例近畿05</t>
    <rPh sb="3" eb="5">
      <t>ヒレイ</t>
    </rPh>
    <rPh sb="5" eb="7">
      <t>キンキ</t>
    </rPh>
    <phoneticPr fontId="3"/>
  </si>
  <si>
    <t>大院(大阪)</t>
    <rPh sb="0" eb="2">
      <t>ダイイン</t>
    </rPh>
    <rPh sb="3" eb="5">
      <t>オオサカ</t>
    </rPh>
    <phoneticPr fontId="3"/>
  </si>
  <si>
    <t>大学教員(大阪大学名誉教授)</t>
    <rPh sb="0" eb="2">
      <t>ダイガク</t>
    </rPh>
    <rPh sb="2" eb="4">
      <t>キョウイン</t>
    </rPh>
    <rPh sb="5" eb="7">
      <t>オオサカ</t>
    </rPh>
    <rPh sb="7" eb="9">
      <t>ダイガク</t>
    </rPh>
    <rPh sb="9" eb="13">
      <t>メイヨキョウジュ</t>
    </rPh>
    <phoneticPr fontId="3"/>
  </si>
  <si>
    <t>3704比例近畿公明01</t>
    <rPh sb="4" eb="6">
      <t>ヒレイ</t>
    </rPh>
    <rPh sb="6" eb="8">
      <t>キンキ</t>
    </rPh>
    <rPh sb="8" eb="10">
      <t>コウメイ</t>
    </rPh>
    <phoneticPr fontId="3"/>
  </si>
  <si>
    <t>3704比例近畿公明02</t>
    <rPh sb="4" eb="6">
      <t>ヒレイ</t>
    </rPh>
    <rPh sb="6" eb="8">
      <t>キンキ</t>
    </rPh>
    <rPh sb="8" eb="10">
      <t>コウメイ</t>
    </rPh>
    <phoneticPr fontId="3"/>
  </si>
  <si>
    <t>3704比例近畿公明03</t>
    <rPh sb="4" eb="6">
      <t>ヒレイ</t>
    </rPh>
    <rPh sb="6" eb="8">
      <t>キンキ</t>
    </rPh>
    <rPh sb="8" eb="10">
      <t>コウメイ</t>
    </rPh>
    <phoneticPr fontId="3"/>
  </si>
  <si>
    <t>3704比例近畿公明04</t>
    <rPh sb="4" eb="6">
      <t>ヒレイ</t>
    </rPh>
    <rPh sb="6" eb="8">
      <t>キンキ</t>
    </rPh>
    <rPh sb="8" eb="10">
      <t>コウメイ</t>
    </rPh>
    <phoneticPr fontId="3"/>
  </si>
  <si>
    <t>竹内　　譲</t>
    <rPh sb="0" eb="2">
      <t>タケウチ</t>
    </rPh>
    <rPh sb="4" eb="5">
      <t>ユズル</t>
    </rPh>
    <phoneticPr fontId="3"/>
  </si>
  <si>
    <t>308比例近畿24</t>
    <rPh sb="3" eb="5">
      <t>ヒレイ</t>
    </rPh>
    <rPh sb="5" eb="7">
      <t>キンキ</t>
    </rPh>
    <phoneticPr fontId="3"/>
  </si>
  <si>
    <t>銀行員(三和銀行)</t>
    <rPh sb="0" eb="3">
      <t>ギンコウイン</t>
    </rPh>
    <rPh sb="4" eb="6">
      <t>サンワ</t>
    </rPh>
    <rPh sb="6" eb="8">
      <t>ギンコウ</t>
    </rPh>
    <phoneticPr fontId="3"/>
  </si>
  <si>
    <t>　元京都府・京都市議</t>
    <rPh sb="1" eb="2">
      <t>モト</t>
    </rPh>
    <rPh sb="2" eb="5">
      <t>キョウトフ</t>
    </rPh>
    <rPh sb="6" eb="8">
      <t>キョウト</t>
    </rPh>
    <rPh sb="8" eb="10">
      <t>シギ</t>
    </rPh>
    <phoneticPr fontId="3"/>
  </si>
  <si>
    <t>浮島　智子</t>
    <rPh sb="0" eb="2">
      <t>ウキシマ</t>
    </rPh>
    <rPh sb="3" eb="5">
      <t>トモコ</t>
    </rPh>
    <phoneticPr fontId="3"/>
  </si>
  <si>
    <t>高(立正)</t>
    <rPh sb="0" eb="1">
      <t>コウ</t>
    </rPh>
    <rPh sb="2" eb="4">
      <t>リッショウ</t>
    </rPh>
    <phoneticPr fontId="3"/>
  </si>
  <si>
    <t>バレリーナ</t>
    <phoneticPr fontId="3"/>
  </si>
  <si>
    <t>　元政務官(文科),参1</t>
    <rPh sb="1" eb="2">
      <t>モト</t>
    </rPh>
    <rPh sb="2" eb="5">
      <t>セイムカン</t>
    </rPh>
    <rPh sb="6" eb="8">
      <t>モンカ</t>
    </rPh>
    <rPh sb="10" eb="11">
      <t>サン</t>
    </rPh>
    <phoneticPr fontId="3"/>
  </si>
  <si>
    <t>鞍タ</t>
    <rPh sb="0" eb="1">
      <t>クラ</t>
    </rPh>
    <phoneticPr fontId="3"/>
  </si>
  <si>
    <t>鞍</t>
    <rPh sb="0" eb="1">
      <t>クラ</t>
    </rPh>
    <phoneticPr fontId="3"/>
  </si>
  <si>
    <t>タ</t>
    <phoneticPr fontId="3"/>
  </si>
  <si>
    <t>樋口　尚也</t>
    <rPh sb="0" eb="2">
      <t>ヒグチ</t>
    </rPh>
    <rPh sb="3" eb="5">
      <t>ナオヤ</t>
    </rPh>
    <phoneticPr fontId="3"/>
  </si>
  <si>
    <t>会社員(清水建設)</t>
    <rPh sb="0" eb="3">
      <t>カイシャイン</t>
    </rPh>
    <rPh sb="4" eb="6">
      <t>シミズ</t>
    </rPh>
    <rPh sb="6" eb="8">
      <t>ケンセツ</t>
    </rPh>
    <phoneticPr fontId="3"/>
  </si>
  <si>
    <t>濱村　　進</t>
    <rPh sb="0" eb="2">
      <t>ハマムラ</t>
    </rPh>
    <rPh sb="4" eb="5">
      <t>ススム</t>
    </rPh>
    <phoneticPr fontId="3"/>
  </si>
  <si>
    <t>大(関西学院)</t>
    <rPh sb="0" eb="1">
      <t>ダイ</t>
    </rPh>
    <rPh sb="2" eb="4">
      <t>カンサイ</t>
    </rPh>
    <rPh sb="4" eb="6">
      <t>ガクイン</t>
    </rPh>
    <phoneticPr fontId="3"/>
  </si>
  <si>
    <t>研究員(野村総研)</t>
    <rPh sb="0" eb="3">
      <t>ケンキュウイン</t>
    </rPh>
    <rPh sb="4" eb="6">
      <t>ノムラ</t>
    </rPh>
    <rPh sb="6" eb="8">
      <t>ソウケン</t>
    </rPh>
    <phoneticPr fontId="3"/>
  </si>
  <si>
    <t>宮本　岳志</t>
    <rPh sb="0" eb="2">
      <t>ミヤモト</t>
    </rPh>
    <rPh sb="3" eb="5">
      <t>タケシ</t>
    </rPh>
    <phoneticPr fontId="3"/>
  </si>
  <si>
    <t>308比例近畿28</t>
    <rPh sb="3" eb="5">
      <t>ヒレイ</t>
    </rPh>
    <rPh sb="5" eb="7">
      <t>キンキ</t>
    </rPh>
    <phoneticPr fontId="3"/>
  </si>
  <si>
    <t>大中(和歌山)</t>
    <rPh sb="0" eb="1">
      <t>ダイ</t>
    </rPh>
    <rPh sb="1" eb="2">
      <t>チュウ</t>
    </rPh>
    <rPh sb="3" eb="6">
      <t>ワカヤマ</t>
    </rPh>
    <phoneticPr fontId="3"/>
  </si>
  <si>
    <t>共産党大阪府常任委員,民青同盟大阪府委員長</t>
    <rPh sb="0" eb="3">
      <t>キョウサントウ</t>
    </rPh>
    <rPh sb="3" eb="6">
      <t>オオサカフ</t>
    </rPh>
    <rPh sb="6" eb="8">
      <t>ジョウニン</t>
    </rPh>
    <rPh sb="8" eb="10">
      <t>イイン</t>
    </rPh>
    <rPh sb="11" eb="15">
      <t>ミンセイドウメイ</t>
    </rPh>
    <rPh sb="15" eb="18">
      <t>オオサカフ</t>
    </rPh>
    <rPh sb="18" eb="21">
      <t>イインチョウ</t>
    </rPh>
    <phoneticPr fontId="3"/>
  </si>
  <si>
    <t>堀内　照文</t>
    <rPh sb="0" eb="2">
      <t>ホリウチ</t>
    </rPh>
    <rPh sb="3" eb="4">
      <t>テル</t>
    </rPh>
    <rPh sb="4" eb="5">
      <t>フミ</t>
    </rPh>
    <phoneticPr fontId="3"/>
  </si>
  <si>
    <t>大(神戸)</t>
    <rPh sb="0" eb="1">
      <t>ダイ</t>
    </rPh>
    <rPh sb="2" eb="4">
      <t>コウベ</t>
    </rPh>
    <phoneticPr fontId="3"/>
  </si>
  <si>
    <t>共産党准中央委員</t>
    <rPh sb="0" eb="3">
      <t>キョウサントウ</t>
    </rPh>
    <rPh sb="3" eb="4">
      <t>ジュン</t>
    </rPh>
    <rPh sb="4" eb="6">
      <t>チュウオウ</t>
    </rPh>
    <rPh sb="6" eb="8">
      <t>イイン</t>
    </rPh>
    <phoneticPr fontId="3"/>
  </si>
  <si>
    <t>立木　秀学</t>
    <rPh sb="0" eb="2">
      <t>ツイキ</t>
    </rPh>
    <rPh sb="3" eb="4">
      <t>シュウ</t>
    </rPh>
    <rPh sb="4" eb="5">
      <t>ガク</t>
    </rPh>
    <phoneticPr fontId="3"/>
  </si>
  <si>
    <t>幸福</t>
    <rPh sb="0" eb="2">
      <t>コウフク</t>
    </rPh>
    <phoneticPr fontId="3"/>
  </si>
  <si>
    <t>大(東京)</t>
    <rPh sb="0" eb="1">
      <t>ダイ</t>
    </rPh>
    <rPh sb="2" eb="4">
      <t>トウキョウ</t>
    </rPh>
    <phoneticPr fontId="3"/>
  </si>
  <si>
    <t>幸福実現党党首,幸福の科学専務理事</t>
    <rPh sb="0" eb="2">
      <t>コウフク</t>
    </rPh>
    <rPh sb="2" eb="4">
      <t>ジツゲン</t>
    </rPh>
    <rPh sb="4" eb="5">
      <t>トウ</t>
    </rPh>
    <rPh sb="5" eb="7">
      <t>トウシュ</t>
    </rPh>
    <rPh sb="8" eb="10">
      <t>コウフク</t>
    </rPh>
    <rPh sb="11" eb="13">
      <t>カガク</t>
    </rPh>
    <rPh sb="13" eb="15">
      <t>センム</t>
    </rPh>
    <rPh sb="15" eb="17">
      <t>リジ</t>
    </rPh>
    <phoneticPr fontId="3"/>
  </si>
  <si>
    <t>230鳥取1区</t>
    <rPh sb="3" eb="5">
      <t>トットリ</t>
    </rPh>
    <rPh sb="6" eb="7">
      <t>ク</t>
    </rPh>
    <phoneticPr fontId="3"/>
  </si>
  <si>
    <t>230鳥取1区01</t>
    <rPh sb="3" eb="5">
      <t>トットリ</t>
    </rPh>
    <rPh sb="6" eb="7">
      <t>ク</t>
    </rPh>
    <phoneticPr fontId="3"/>
  </si>
  <si>
    <t>230鳥取1区02</t>
    <rPh sb="3" eb="5">
      <t>トットリ</t>
    </rPh>
    <rPh sb="6" eb="7">
      <t>ク</t>
    </rPh>
    <phoneticPr fontId="3"/>
  </si>
  <si>
    <t>石破　　茂</t>
    <rPh sb="0" eb="2">
      <t>イシバ</t>
    </rPh>
    <rPh sb="4" eb="5">
      <t>シゲル</t>
    </rPh>
    <phoneticPr fontId="3"/>
  </si>
  <si>
    <t>銀行員(三井銀行)</t>
    <rPh sb="0" eb="3">
      <t>ギンコウイン</t>
    </rPh>
    <rPh sb="4" eb="6">
      <t>ミツイ</t>
    </rPh>
    <rPh sb="6" eb="8">
      <t>ギンコウ</t>
    </rPh>
    <phoneticPr fontId="3"/>
  </si>
  <si>
    <t>二</t>
    <rPh sb="0" eb="1">
      <t>ニ</t>
    </rPh>
    <phoneticPr fontId="3"/>
  </si>
  <si>
    <t>自民党幹事長，元大臣(農水,防衛),委長(運輸,規制特),副大臣(防衛),政務次官(農水),自民党政調会長</t>
    <rPh sb="0" eb="3">
      <t>ジミントウ</t>
    </rPh>
    <rPh sb="3" eb="6">
      <t>カンジチョウ</t>
    </rPh>
    <rPh sb="7" eb="10">
      <t>モトダイジン</t>
    </rPh>
    <rPh sb="11" eb="13">
      <t>ノウスイ</t>
    </rPh>
    <rPh sb="14" eb="16">
      <t>ボウエイ</t>
    </rPh>
    <rPh sb="18" eb="20">
      <t>イチョウ</t>
    </rPh>
    <rPh sb="21" eb="23">
      <t>ウンユ</t>
    </rPh>
    <rPh sb="24" eb="26">
      <t>キセイ</t>
    </rPh>
    <rPh sb="26" eb="27">
      <t>トク</t>
    </rPh>
    <rPh sb="29" eb="32">
      <t>フクダイジン</t>
    </rPh>
    <rPh sb="33" eb="35">
      <t>ボウエイ</t>
    </rPh>
    <rPh sb="37" eb="39">
      <t>セイム</t>
    </rPh>
    <rPh sb="39" eb="41">
      <t>ジカン</t>
    </rPh>
    <rPh sb="42" eb="44">
      <t>ノウスイ</t>
    </rPh>
    <rPh sb="46" eb="49">
      <t>ジミントウ</t>
    </rPh>
    <rPh sb="49" eb="51">
      <t>セイチョウ</t>
    </rPh>
    <rPh sb="51" eb="53">
      <t>カイチョウ</t>
    </rPh>
    <phoneticPr fontId="3"/>
  </si>
  <si>
    <t>塚田　成幸</t>
    <rPh sb="0" eb="2">
      <t>ツカダ</t>
    </rPh>
    <rPh sb="3" eb="4">
      <t>ナル</t>
    </rPh>
    <rPh sb="4" eb="5">
      <t>ユキ</t>
    </rPh>
    <phoneticPr fontId="3"/>
  </si>
  <si>
    <t>共産党地区委員長,民青同盟鳥取県委員長</t>
    <rPh sb="0" eb="3">
      <t>キョウサントウ</t>
    </rPh>
    <rPh sb="3" eb="5">
      <t>チク</t>
    </rPh>
    <rPh sb="5" eb="8">
      <t>イインチョウ</t>
    </rPh>
    <rPh sb="9" eb="13">
      <t>ミンセイドウメイ</t>
    </rPh>
    <rPh sb="13" eb="16">
      <t>トットリケン</t>
    </rPh>
    <rPh sb="16" eb="19">
      <t>イインチョウ</t>
    </rPh>
    <phoneticPr fontId="3"/>
  </si>
  <si>
    <t>231鳥取2区01</t>
    <rPh sb="3" eb="5">
      <t>トットリ</t>
    </rPh>
    <rPh sb="6" eb="7">
      <t>ク</t>
    </rPh>
    <phoneticPr fontId="3"/>
  </si>
  <si>
    <t>231鳥取2区02</t>
    <rPh sb="3" eb="5">
      <t>トットリ</t>
    </rPh>
    <rPh sb="6" eb="7">
      <t>ク</t>
    </rPh>
    <phoneticPr fontId="3"/>
  </si>
  <si>
    <t>231鳥取2区03</t>
    <rPh sb="3" eb="5">
      <t>トットリ</t>
    </rPh>
    <rPh sb="6" eb="7">
      <t>ク</t>
    </rPh>
    <phoneticPr fontId="3"/>
  </si>
  <si>
    <t>湯原　俊二</t>
    <rPh sb="0" eb="2">
      <t>ユハラ</t>
    </rPh>
    <rPh sb="3" eb="5">
      <t>シュンジ</t>
    </rPh>
    <phoneticPr fontId="3"/>
  </si>
  <si>
    <t>309比例中国01</t>
    <rPh sb="3" eb="5">
      <t>ヒレイ</t>
    </rPh>
    <rPh sb="5" eb="7">
      <t>チュウゴク</t>
    </rPh>
    <phoneticPr fontId="3"/>
  </si>
  <si>
    <t>鳥取県議(米子市),鳥取県・米子市議,議員秘書(相澤英之)</t>
    <rPh sb="0" eb="2">
      <t>トットリ</t>
    </rPh>
    <rPh sb="2" eb="4">
      <t>ケンギ</t>
    </rPh>
    <rPh sb="5" eb="8">
      <t>ヨナゴシ</t>
    </rPh>
    <rPh sb="10" eb="13">
      <t>トットリケン</t>
    </rPh>
    <rPh sb="14" eb="16">
      <t>ヨナゴ</t>
    </rPh>
    <rPh sb="16" eb="18">
      <t>シギ</t>
    </rPh>
    <rPh sb="19" eb="21">
      <t>ギイン</t>
    </rPh>
    <rPh sb="21" eb="23">
      <t>ヒショ</t>
    </rPh>
    <rPh sb="24" eb="26">
      <t>アイザワ</t>
    </rPh>
    <rPh sb="26" eb="28">
      <t>ヒデユキ</t>
    </rPh>
    <phoneticPr fontId="3"/>
  </si>
  <si>
    <t>赤澤　亮正</t>
    <rPh sb="0" eb="2">
      <t>アカザワ</t>
    </rPh>
    <rPh sb="3" eb="4">
      <t>リョウ</t>
    </rPh>
    <rPh sb="4" eb="5">
      <t>セイ</t>
    </rPh>
    <phoneticPr fontId="3"/>
  </si>
  <si>
    <t>231鳥取2区</t>
    <rPh sb="3" eb="5">
      <t>トットリ</t>
    </rPh>
    <rPh sb="6" eb="7">
      <t>ク</t>
    </rPh>
    <phoneticPr fontId="3"/>
  </si>
  <si>
    <t>日本郵政公社郵便事業総本部海外事業部長(国土交通省)</t>
    <rPh sb="0" eb="6">
      <t>ニホンユウセイコウシャ</t>
    </rPh>
    <rPh sb="6" eb="8">
      <t>ユウビン</t>
    </rPh>
    <rPh sb="8" eb="10">
      <t>ジギョウ</t>
    </rPh>
    <rPh sb="10" eb="13">
      <t>ソウホンブ</t>
    </rPh>
    <rPh sb="13" eb="15">
      <t>カイガイ</t>
    </rPh>
    <rPh sb="15" eb="17">
      <t>ジギョウ</t>
    </rPh>
    <rPh sb="17" eb="19">
      <t>ブチョウ</t>
    </rPh>
    <rPh sb="20" eb="22">
      <t>コクド</t>
    </rPh>
    <rPh sb="22" eb="25">
      <t>コウツウショウ</t>
    </rPh>
    <phoneticPr fontId="3"/>
  </si>
  <si>
    <t>官二</t>
    <rPh sb="0" eb="1">
      <t>カン</t>
    </rPh>
    <rPh sb="1" eb="2">
      <t>ニ</t>
    </rPh>
    <phoneticPr fontId="3"/>
  </si>
  <si>
    <t>福住　英行</t>
    <rPh sb="0" eb="2">
      <t>フクズミ</t>
    </rPh>
    <rPh sb="3" eb="5">
      <t>ヒデユキ</t>
    </rPh>
    <phoneticPr fontId="3"/>
  </si>
  <si>
    <t>共産党地区委員長,赤旗記者</t>
    <rPh sb="0" eb="3">
      <t>キョウサントウ</t>
    </rPh>
    <rPh sb="3" eb="5">
      <t>チク</t>
    </rPh>
    <rPh sb="5" eb="8">
      <t>イインチョウ</t>
    </rPh>
    <rPh sb="9" eb="11">
      <t>アカハタ</t>
    </rPh>
    <rPh sb="11" eb="13">
      <t>キシャ</t>
    </rPh>
    <phoneticPr fontId="3"/>
  </si>
  <si>
    <t>232島根1区01</t>
    <rPh sb="3" eb="5">
      <t>シマネ</t>
    </rPh>
    <rPh sb="6" eb="7">
      <t>ク</t>
    </rPh>
    <phoneticPr fontId="3"/>
  </si>
  <si>
    <t>232島根1区02</t>
    <rPh sb="3" eb="5">
      <t>シマネ</t>
    </rPh>
    <rPh sb="6" eb="7">
      <t>ク</t>
    </rPh>
    <phoneticPr fontId="3"/>
  </si>
  <si>
    <t>232島根1区03</t>
    <rPh sb="3" eb="5">
      <t>シマネ</t>
    </rPh>
    <rPh sb="6" eb="7">
      <t>ク</t>
    </rPh>
    <phoneticPr fontId="3"/>
  </si>
  <si>
    <t>小室　寿明</t>
    <rPh sb="0" eb="2">
      <t>コムロ</t>
    </rPh>
    <rPh sb="3" eb="5">
      <t>ヒサアキ</t>
    </rPh>
    <phoneticPr fontId="3"/>
  </si>
  <si>
    <t>309比例中国05</t>
    <rPh sb="3" eb="5">
      <t>ヒレイ</t>
    </rPh>
    <rPh sb="5" eb="7">
      <t>チュウゴク</t>
    </rPh>
    <phoneticPr fontId="3"/>
  </si>
  <si>
    <t>大中(防衛)</t>
    <rPh sb="0" eb="1">
      <t>ダイ</t>
    </rPh>
    <rPh sb="1" eb="2">
      <t>チュウ</t>
    </rPh>
    <rPh sb="3" eb="5">
      <t>ボウエイ</t>
    </rPh>
    <phoneticPr fontId="3"/>
  </si>
  <si>
    <t>島根県議(松江市),島根県職労書記長</t>
    <rPh sb="0" eb="2">
      <t>シマネ</t>
    </rPh>
    <rPh sb="2" eb="4">
      <t>ケンギ</t>
    </rPh>
    <rPh sb="5" eb="8">
      <t>マツエシ</t>
    </rPh>
    <rPh sb="10" eb="13">
      <t>シマネケン</t>
    </rPh>
    <rPh sb="13" eb="14">
      <t>ショク</t>
    </rPh>
    <rPh sb="14" eb="15">
      <t>ロウ</t>
    </rPh>
    <rPh sb="15" eb="18">
      <t>ショキチョウ</t>
    </rPh>
    <phoneticPr fontId="3"/>
  </si>
  <si>
    <t>議労</t>
    <rPh sb="0" eb="1">
      <t>ギ</t>
    </rPh>
    <rPh sb="1" eb="2">
      <t>ロウ</t>
    </rPh>
    <phoneticPr fontId="3"/>
  </si>
  <si>
    <t>議</t>
    <rPh sb="0" eb="1">
      <t>ギ</t>
    </rPh>
    <phoneticPr fontId="3"/>
  </si>
  <si>
    <t>労</t>
    <rPh sb="0" eb="1">
      <t>ロウ</t>
    </rPh>
    <phoneticPr fontId="3"/>
  </si>
  <si>
    <t>細田　博之</t>
    <rPh sb="0" eb="2">
      <t>ホソダ</t>
    </rPh>
    <rPh sb="3" eb="5">
      <t>ヒロユキ</t>
    </rPh>
    <phoneticPr fontId="3"/>
  </si>
  <si>
    <t>232島根1区</t>
    <rPh sb="3" eb="5">
      <t>シマネ</t>
    </rPh>
    <rPh sb="6" eb="7">
      <t>ク</t>
    </rPh>
    <phoneticPr fontId="3"/>
  </si>
  <si>
    <t>大(東京)</t>
    <rPh sb="0" eb="1">
      <t>ダイ</t>
    </rPh>
    <rPh sb="2" eb="4">
      <t>トウキョウ</t>
    </rPh>
    <phoneticPr fontId="3"/>
  </si>
  <si>
    <t>議員秘書(細田吉蔵),通商産業省産業政策局物価対策課長</t>
    <rPh sb="0" eb="2">
      <t>ギイン</t>
    </rPh>
    <rPh sb="2" eb="4">
      <t>ヒショ</t>
    </rPh>
    <rPh sb="5" eb="7">
      <t>ホソダ</t>
    </rPh>
    <rPh sb="7" eb="8">
      <t>キチ</t>
    </rPh>
    <rPh sb="8" eb="9">
      <t>ゾウ</t>
    </rPh>
    <rPh sb="11" eb="16">
      <t>ツウショウサンギョウショウ</t>
    </rPh>
    <rPh sb="16" eb="18">
      <t>サンギョウ</t>
    </rPh>
    <rPh sb="18" eb="21">
      <t>セイサクキョク</t>
    </rPh>
    <rPh sb="21" eb="23">
      <t>ブッカ</t>
    </rPh>
    <rPh sb="23" eb="25">
      <t>タイサク</t>
    </rPh>
    <rPh sb="25" eb="27">
      <t>カチョウ</t>
    </rPh>
    <phoneticPr fontId="3"/>
  </si>
  <si>
    <t>官二</t>
    <rPh sb="0" eb="1">
      <t>カン</t>
    </rPh>
    <rPh sb="1" eb="2">
      <t>ニ</t>
    </rPh>
    <phoneticPr fontId="3"/>
  </si>
  <si>
    <t>官</t>
    <rPh sb="0" eb="1">
      <t>カン</t>
    </rPh>
    <phoneticPr fontId="3"/>
  </si>
  <si>
    <t>二</t>
    <rPh sb="0" eb="1">
      <t>ニ</t>
    </rPh>
    <phoneticPr fontId="3"/>
  </si>
  <si>
    <t>自由民主党総務会長，元大臣(官房,沖北・科技・IT),副大臣(官房),政務次官(経企),自民党幹事長,幹事長代理,国対委長</t>
    <rPh sb="0" eb="2">
      <t>ジユウ</t>
    </rPh>
    <rPh sb="2" eb="5">
      <t>ミンシュトウ</t>
    </rPh>
    <rPh sb="5" eb="7">
      <t>ソウム</t>
    </rPh>
    <rPh sb="7" eb="9">
      <t>カイチョウ</t>
    </rPh>
    <rPh sb="10" eb="13">
      <t>モトダイジン</t>
    </rPh>
    <rPh sb="14" eb="16">
      <t>カンボウ</t>
    </rPh>
    <rPh sb="17" eb="19">
      <t>オキホク</t>
    </rPh>
    <rPh sb="20" eb="22">
      <t>カギ</t>
    </rPh>
    <rPh sb="27" eb="30">
      <t>フクダイジン</t>
    </rPh>
    <rPh sb="31" eb="33">
      <t>カンボウ</t>
    </rPh>
    <rPh sb="35" eb="37">
      <t>セイム</t>
    </rPh>
    <rPh sb="37" eb="39">
      <t>ジカン</t>
    </rPh>
    <rPh sb="40" eb="42">
      <t>ケイキ</t>
    </rPh>
    <rPh sb="44" eb="47">
      <t>ジミントウ</t>
    </rPh>
    <rPh sb="47" eb="50">
      <t>カンジチョウ</t>
    </rPh>
    <rPh sb="51" eb="54">
      <t>カンジチョウ</t>
    </rPh>
    <rPh sb="54" eb="56">
      <t>ダイリ</t>
    </rPh>
    <rPh sb="57" eb="61">
      <t>コクタイイチョウ</t>
    </rPh>
    <phoneticPr fontId="3"/>
  </si>
  <si>
    <t>吉儀　敬子</t>
    <rPh sb="0" eb="1">
      <t>ヨシ</t>
    </rPh>
    <rPh sb="1" eb="2">
      <t>ギ</t>
    </rPh>
    <rPh sb="3" eb="5">
      <t>ケイコ</t>
    </rPh>
    <phoneticPr fontId="3"/>
  </si>
  <si>
    <t>短大(名古屋市立保育)</t>
    <rPh sb="0" eb="2">
      <t>タンダイ</t>
    </rPh>
    <rPh sb="3" eb="6">
      <t>ナゴヤ</t>
    </rPh>
    <rPh sb="6" eb="8">
      <t>シリツ</t>
    </rPh>
    <rPh sb="8" eb="10">
      <t>ホイク</t>
    </rPh>
    <phoneticPr fontId="3"/>
  </si>
  <si>
    <t>島根県・東出雲町議,保育士</t>
    <rPh sb="0" eb="3">
      <t>シマネケン</t>
    </rPh>
    <rPh sb="4" eb="7">
      <t>ヒガシイズモ</t>
    </rPh>
    <rPh sb="7" eb="9">
      <t>チョウギ</t>
    </rPh>
    <rPh sb="10" eb="13">
      <t>ホイクシ</t>
    </rPh>
    <phoneticPr fontId="3"/>
  </si>
  <si>
    <t>233島根2区01</t>
    <rPh sb="3" eb="5">
      <t>シマネ</t>
    </rPh>
    <rPh sb="6" eb="7">
      <t>ク</t>
    </rPh>
    <phoneticPr fontId="3"/>
  </si>
  <si>
    <t>233島根2区02</t>
    <rPh sb="3" eb="5">
      <t>シマネ</t>
    </rPh>
    <rPh sb="6" eb="7">
      <t>ク</t>
    </rPh>
    <phoneticPr fontId="3"/>
  </si>
  <si>
    <t>233島根2区03</t>
    <rPh sb="3" eb="5">
      <t>シマネ</t>
    </rPh>
    <rPh sb="6" eb="7">
      <t>ク</t>
    </rPh>
    <phoneticPr fontId="3"/>
  </si>
  <si>
    <t>竹下　　亘</t>
    <rPh sb="0" eb="2">
      <t>タケシタ</t>
    </rPh>
    <rPh sb="4" eb="5">
      <t>ワタル</t>
    </rPh>
    <phoneticPr fontId="3"/>
  </si>
  <si>
    <t>233島根2区</t>
    <rPh sb="3" eb="5">
      <t>シマネ</t>
    </rPh>
    <rPh sb="6" eb="7">
      <t>ク</t>
    </rPh>
    <phoneticPr fontId="3"/>
  </si>
  <si>
    <t>議員秘書(竹下登),テレビキャスター(NHK)</t>
    <rPh sb="0" eb="2">
      <t>ギイン</t>
    </rPh>
    <rPh sb="2" eb="4">
      <t>ヒショ</t>
    </rPh>
    <rPh sb="5" eb="7">
      <t>タケシタ</t>
    </rPh>
    <rPh sb="7" eb="8">
      <t>ノボル</t>
    </rPh>
    <phoneticPr fontId="3"/>
  </si>
  <si>
    <t>　元副大臣(財務),政務官(環境)</t>
    <rPh sb="1" eb="2">
      <t>モト</t>
    </rPh>
    <rPh sb="2" eb="5">
      <t>フクダイジン</t>
    </rPh>
    <rPh sb="6" eb="8">
      <t>ザイム</t>
    </rPh>
    <rPh sb="10" eb="13">
      <t>セイムカン</t>
    </rPh>
    <rPh sb="14" eb="16">
      <t>カンキョウ</t>
    </rPh>
    <phoneticPr fontId="3"/>
  </si>
  <si>
    <t>ジ二</t>
    <rPh sb="1" eb="2">
      <t>ニ</t>
    </rPh>
    <phoneticPr fontId="3"/>
  </si>
  <si>
    <t>ジ</t>
    <phoneticPr fontId="3"/>
  </si>
  <si>
    <t>向瀬　慎一</t>
    <rPh sb="0" eb="2">
      <t>ムコセ</t>
    </rPh>
    <rPh sb="3" eb="5">
      <t>シンイチ</t>
    </rPh>
    <phoneticPr fontId="3"/>
  </si>
  <si>
    <t>大院(山形)</t>
    <rPh sb="0" eb="2">
      <t>ダイイン</t>
    </rPh>
    <rPh sb="3" eb="5">
      <t>ヤマガタ</t>
    </rPh>
    <phoneticPr fontId="3"/>
  </si>
  <si>
    <t>共産党地区副委員長,民青同盟島根県委員長</t>
    <rPh sb="0" eb="3">
      <t>キョウサントウ</t>
    </rPh>
    <rPh sb="3" eb="5">
      <t>チク</t>
    </rPh>
    <rPh sb="5" eb="9">
      <t>フクイインチョウ</t>
    </rPh>
    <rPh sb="10" eb="14">
      <t>ミンセイドウメイ</t>
    </rPh>
    <rPh sb="14" eb="17">
      <t>シマネケン</t>
    </rPh>
    <rPh sb="17" eb="20">
      <t>イインチョウ</t>
    </rPh>
    <phoneticPr fontId="3"/>
  </si>
  <si>
    <t>234岡山1区01</t>
    <rPh sb="3" eb="5">
      <t>オカヤマ</t>
    </rPh>
    <rPh sb="6" eb="7">
      <t>ク</t>
    </rPh>
    <phoneticPr fontId="3"/>
  </si>
  <si>
    <t>234岡山1区02</t>
    <rPh sb="3" eb="5">
      <t>オカヤマ</t>
    </rPh>
    <rPh sb="6" eb="7">
      <t>ク</t>
    </rPh>
    <phoneticPr fontId="3"/>
  </si>
  <si>
    <t>234岡山1区04</t>
    <rPh sb="3" eb="5">
      <t>オカヤマ</t>
    </rPh>
    <rPh sb="6" eb="7">
      <t>ク</t>
    </rPh>
    <phoneticPr fontId="3"/>
  </si>
  <si>
    <t>234岡山1区05</t>
    <rPh sb="3" eb="5">
      <t>オカヤマ</t>
    </rPh>
    <rPh sb="6" eb="7">
      <t>ク</t>
    </rPh>
    <phoneticPr fontId="3"/>
  </si>
  <si>
    <t>高井　崇志</t>
    <rPh sb="0" eb="2">
      <t>タカイ</t>
    </rPh>
    <rPh sb="3" eb="5">
      <t>タカシ</t>
    </rPh>
    <phoneticPr fontId="3"/>
  </si>
  <si>
    <t>309比例中国02</t>
    <rPh sb="3" eb="5">
      <t>ヒレイ</t>
    </rPh>
    <rPh sb="5" eb="7">
      <t>チュウゴク</t>
    </rPh>
    <phoneticPr fontId="3"/>
  </si>
  <si>
    <t>議員秘書(江田五月),岡山県企画振興部情報政策課長(総務省)</t>
    <rPh sb="0" eb="2">
      <t>ギイン</t>
    </rPh>
    <rPh sb="2" eb="4">
      <t>ヒショ</t>
    </rPh>
    <rPh sb="5" eb="7">
      <t>エダ</t>
    </rPh>
    <rPh sb="7" eb="9">
      <t>サツキ</t>
    </rPh>
    <rPh sb="11" eb="14">
      <t>オカヤマケン</t>
    </rPh>
    <rPh sb="14" eb="16">
      <t>キカク</t>
    </rPh>
    <rPh sb="16" eb="19">
      <t>シンコウブ</t>
    </rPh>
    <rPh sb="19" eb="21">
      <t>ジョウホウ</t>
    </rPh>
    <rPh sb="21" eb="23">
      <t>セイサク</t>
    </rPh>
    <rPh sb="23" eb="25">
      <t>カチョウ</t>
    </rPh>
    <rPh sb="26" eb="29">
      <t>ソウムショウ</t>
    </rPh>
    <phoneticPr fontId="3"/>
  </si>
  <si>
    <t>逢沢　一郎</t>
    <rPh sb="0" eb="2">
      <t>アイサワ</t>
    </rPh>
    <rPh sb="3" eb="5">
      <t>イチロウ</t>
    </rPh>
    <phoneticPr fontId="3"/>
  </si>
  <si>
    <t>234岡山1区</t>
    <rPh sb="3" eb="5">
      <t>オカヤマ</t>
    </rPh>
    <rPh sb="6" eb="7">
      <t>ク</t>
    </rPh>
    <phoneticPr fontId="3"/>
  </si>
  <si>
    <t>二松</t>
    <rPh sb="0" eb="1">
      <t>ニ</t>
    </rPh>
    <rPh sb="1" eb="2">
      <t>マツ</t>
    </rPh>
    <phoneticPr fontId="3"/>
  </si>
  <si>
    <t>松</t>
    <rPh sb="0" eb="1">
      <t>マツ</t>
    </rPh>
    <phoneticPr fontId="3"/>
  </si>
  <si>
    <t>　元委長(予算,議運,外務),副大臣(外務),政務次官(通産),自民党国対委長,幹事長代理</t>
    <rPh sb="1" eb="2">
      <t>モト</t>
    </rPh>
    <rPh sb="2" eb="4">
      <t>イチョウ</t>
    </rPh>
    <rPh sb="5" eb="7">
      <t>ヨサン</t>
    </rPh>
    <rPh sb="8" eb="9">
      <t>ギ</t>
    </rPh>
    <rPh sb="9" eb="10">
      <t>ウン</t>
    </rPh>
    <rPh sb="11" eb="13">
      <t>ガイム</t>
    </rPh>
    <rPh sb="15" eb="18">
      <t>フクダイジン</t>
    </rPh>
    <rPh sb="19" eb="21">
      <t>ガイム</t>
    </rPh>
    <rPh sb="23" eb="25">
      <t>セイム</t>
    </rPh>
    <rPh sb="25" eb="27">
      <t>ジカン</t>
    </rPh>
    <rPh sb="28" eb="30">
      <t>ツウサン</t>
    </rPh>
    <rPh sb="32" eb="35">
      <t>ジミントウ</t>
    </rPh>
    <rPh sb="35" eb="39">
      <t>コクタイイチョウ</t>
    </rPh>
    <rPh sb="40" eb="43">
      <t>カンジチョウ</t>
    </rPh>
    <rPh sb="43" eb="45">
      <t>ダイリ</t>
    </rPh>
    <phoneticPr fontId="3"/>
  </si>
  <si>
    <t>垣内　雄一</t>
    <rPh sb="0" eb="2">
      <t>カキウチ</t>
    </rPh>
    <rPh sb="3" eb="5">
      <t>ユウイチ</t>
    </rPh>
    <phoneticPr fontId="3"/>
  </si>
  <si>
    <t>大(神戸学院)</t>
    <rPh sb="0" eb="1">
      <t>ダイ</t>
    </rPh>
    <rPh sb="2" eb="4">
      <t>コウベ</t>
    </rPh>
    <rPh sb="4" eb="6">
      <t>ガクイン</t>
    </rPh>
    <phoneticPr fontId="3"/>
  </si>
  <si>
    <t>共産党岡山県委員,民青同盟岡山県副委員長</t>
    <rPh sb="0" eb="3">
      <t>キョウサントウ</t>
    </rPh>
    <rPh sb="3" eb="6">
      <t>オカヤマケン</t>
    </rPh>
    <rPh sb="6" eb="8">
      <t>イイン</t>
    </rPh>
    <rPh sb="9" eb="13">
      <t>ミンセイドウメイ</t>
    </rPh>
    <rPh sb="13" eb="16">
      <t>オカヤマケン</t>
    </rPh>
    <rPh sb="16" eb="20">
      <t>フクイインチョウ</t>
    </rPh>
    <phoneticPr fontId="3"/>
  </si>
  <si>
    <t>赤木　正幸</t>
    <rPh sb="0" eb="2">
      <t>アカギ</t>
    </rPh>
    <rPh sb="3" eb="5">
      <t>マサユキ</t>
    </rPh>
    <phoneticPr fontId="3"/>
  </si>
  <si>
    <t>会社員(森ビル,パソナ)</t>
    <rPh sb="0" eb="3">
      <t>カイシャイン</t>
    </rPh>
    <rPh sb="4" eb="5">
      <t>モリ</t>
    </rPh>
    <phoneticPr fontId="3"/>
  </si>
  <si>
    <t>安原　園枝</t>
    <rPh sb="0" eb="2">
      <t>ヤスハラ</t>
    </rPh>
    <rPh sb="3" eb="4">
      <t>ソノ</t>
    </rPh>
    <rPh sb="4" eb="5">
      <t>エ</t>
    </rPh>
    <phoneticPr fontId="3"/>
  </si>
  <si>
    <t>他(享栄タイピスト専門学校)</t>
    <rPh sb="0" eb="1">
      <t>ホカ</t>
    </rPh>
    <rPh sb="2" eb="3">
      <t>キョウ</t>
    </rPh>
    <rPh sb="3" eb="4">
      <t>エイ</t>
    </rPh>
    <rPh sb="9" eb="11">
      <t>センモン</t>
    </rPh>
    <rPh sb="11" eb="13">
      <t>ガッコウ</t>
    </rPh>
    <phoneticPr fontId="3"/>
  </si>
  <si>
    <t>幸福実現党員,主婦,会社員(広島化成)</t>
    <rPh sb="0" eb="2">
      <t>コウフク</t>
    </rPh>
    <rPh sb="2" eb="4">
      <t>ジツゲン</t>
    </rPh>
    <rPh sb="4" eb="6">
      <t>トウイン</t>
    </rPh>
    <rPh sb="7" eb="9">
      <t>シュフ</t>
    </rPh>
    <rPh sb="10" eb="13">
      <t>カイシャイン</t>
    </rPh>
    <rPh sb="14" eb="16">
      <t>ヒロシマ</t>
    </rPh>
    <rPh sb="16" eb="18">
      <t>カセイ</t>
    </rPh>
    <phoneticPr fontId="3"/>
  </si>
  <si>
    <t>235岡山2区01</t>
    <rPh sb="3" eb="5">
      <t>オカヤマ</t>
    </rPh>
    <rPh sb="6" eb="7">
      <t>ク</t>
    </rPh>
    <phoneticPr fontId="3"/>
  </si>
  <si>
    <t>235岡山2区02</t>
    <rPh sb="3" eb="5">
      <t>オカヤマ</t>
    </rPh>
    <rPh sb="6" eb="7">
      <t>ク</t>
    </rPh>
    <phoneticPr fontId="3"/>
  </si>
  <si>
    <t>235岡山2区03</t>
    <rPh sb="3" eb="5">
      <t>オカヤマ</t>
    </rPh>
    <rPh sb="6" eb="7">
      <t>ク</t>
    </rPh>
    <phoneticPr fontId="3"/>
  </si>
  <si>
    <t>津村　啓介</t>
    <rPh sb="0" eb="2">
      <t>ツムラ</t>
    </rPh>
    <rPh sb="3" eb="5">
      <t>ケイスケ</t>
    </rPh>
    <phoneticPr fontId="3"/>
  </si>
  <si>
    <t>235岡山2区</t>
    <rPh sb="3" eb="5">
      <t>オカヤマ</t>
    </rPh>
    <rPh sb="6" eb="7">
      <t>ク</t>
    </rPh>
    <phoneticPr fontId="3"/>
  </si>
  <si>
    <t>日本銀行員</t>
    <rPh sb="0" eb="2">
      <t>ニホン</t>
    </rPh>
    <rPh sb="2" eb="5">
      <t>ギンコウイン</t>
    </rPh>
    <phoneticPr fontId="3"/>
  </si>
  <si>
    <t>　元政務官(内閣)</t>
    <rPh sb="1" eb="2">
      <t>モト</t>
    </rPh>
    <rPh sb="2" eb="5">
      <t>セイムカン</t>
    </rPh>
    <rPh sb="6" eb="8">
      <t>ナイカク</t>
    </rPh>
    <phoneticPr fontId="3"/>
  </si>
  <si>
    <t>山下　貴司</t>
    <rPh sb="0" eb="2">
      <t>ヤマシタ</t>
    </rPh>
    <rPh sb="3" eb="5">
      <t>タカシ</t>
    </rPh>
    <phoneticPr fontId="3"/>
  </si>
  <si>
    <t>法</t>
    <rPh sb="0" eb="1">
      <t>ホウ</t>
    </rPh>
    <phoneticPr fontId="3"/>
  </si>
  <si>
    <t>弁護士,法務省国際刑事企画官</t>
    <rPh sb="0" eb="3">
      <t>ベンゴシ</t>
    </rPh>
    <rPh sb="4" eb="7">
      <t>ホウムショウ</t>
    </rPh>
    <rPh sb="7" eb="9">
      <t>コクサイ</t>
    </rPh>
    <rPh sb="9" eb="11">
      <t>ケイジ</t>
    </rPh>
    <rPh sb="11" eb="14">
      <t>キカクカン</t>
    </rPh>
    <phoneticPr fontId="3"/>
  </si>
  <si>
    <t>井上　素子</t>
    <rPh sb="0" eb="2">
      <t>イノウエ</t>
    </rPh>
    <rPh sb="3" eb="5">
      <t>モトコ</t>
    </rPh>
    <phoneticPr fontId="3"/>
  </si>
  <si>
    <t>大(米/コロンビア)</t>
    <rPh sb="0" eb="1">
      <t>ダイ</t>
    </rPh>
    <rPh sb="2" eb="3">
      <t>ベイ</t>
    </rPh>
    <phoneticPr fontId="3"/>
  </si>
  <si>
    <t>大(日本社会事業)</t>
    <rPh sb="0" eb="1">
      <t>ダイ</t>
    </rPh>
    <rPh sb="2" eb="4">
      <t>ニホン</t>
    </rPh>
    <rPh sb="4" eb="6">
      <t>シャカイ</t>
    </rPh>
    <rPh sb="6" eb="8">
      <t>ジギョウ</t>
    </rPh>
    <phoneticPr fontId="3"/>
  </si>
  <si>
    <t>岡山県・玉野市議,全沖縄労連執行委員</t>
    <rPh sb="0" eb="3">
      <t>オカヤマケン</t>
    </rPh>
    <rPh sb="4" eb="6">
      <t>タマノ</t>
    </rPh>
    <rPh sb="6" eb="8">
      <t>シギ</t>
    </rPh>
    <rPh sb="9" eb="10">
      <t>ゼン</t>
    </rPh>
    <rPh sb="10" eb="12">
      <t>オキナワ</t>
    </rPh>
    <rPh sb="12" eb="14">
      <t>ロウレン</t>
    </rPh>
    <rPh sb="14" eb="16">
      <t>シッコウ</t>
    </rPh>
    <rPh sb="16" eb="18">
      <t>イイン</t>
    </rPh>
    <phoneticPr fontId="3"/>
  </si>
  <si>
    <t>236岡山3区01</t>
    <rPh sb="3" eb="5">
      <t>オカヤマ</t>
    </rPh>
    <rPh sb="6" eb="7">
      <t>ク</t>
    </rPh>
    <phoneticPr fontId="3"/>
  </si>
  <si>
    <t>236岡山3区02</t>
    <rPh sb="3" eb="5">
      <t>オカヤマ</t>
    </rPh>
    <rPh sb="6" eb="7">
      <t>ク</t>
    </rPh>
    <phoneticPr fontId="3"/>
  </si>
  <si>
    <t>236岡山3区03</t>
    <rPh sb="3" eb="5">
      <t>オカヤマ</t>
    </rPh>
    <rPh sb="6" eb="7">
      <t>ク</t>
    </rPh>
    <phoneticPr fontId="3"/>
  </si>
  <si>
    <t>236岡山3区04</t>
    <rPh sb="3" eb="5">
      <t>オカヤマ</t>
    </rPh>
    <rPh sb="6" eb="7">
      <t>ク</t>
    </rPh>
    <phoneticPr fontId="3"/>
  </si>
  <si>
    <t>西村　啓聡</t>
    <rPh sb="0" eb="2">
      <t>ニシムラ</t>
    </rPh>
    <rPh sb="3" eb="5">
      <t>ケイト</t>
    </rPh>
    <phoneticPr fontId="3"/>
  </si>
  <si>
    <t>弁護士</t>
    <rPh sb="0" eb="3">
      <t>ベンゴシ</t>
    </rPh>
    <phoneticPr fontId="3"/>
  </si>
  <si>
    <t>阿部　俊子</t>
    <rPh sb="0" eb="2">
      <t>アベ</t>
    </rPh>
    <rPh sb="3" eb="5">
      <t>トシコ</t>
    </rPh>
    <phoneticPr fontId="3"/>
  </si>
  <si>
    <t>309比例中国07</t>
    <rPh sb="3" eb="5">
      <t>ヒレイ</t>
    </rPh>
    <rPh sb="5" eb="7">
      <t>チュウゴク</t>
    </rPh>
    <phoneticPr fontId="3"/>
  </si>
  <si>
    <t>大院(米/イリノイ州立)</t>
    <rPh sb="0" eb="2">
      <t>ダイイン</t>
    </rPh>
    <rPh sb="3" eb="4">
      <t>ベイ</t>
    </rPh>
    <rPh sb="9" eb="11">
      <t>シュウリツ</t>
    </rPh>
    <phoneticPr fontId="3"/>
  </si>
  <si>
    <t>日本看護協会副会長,大学教員(東京医科歯科大学助教授)</t>
    <rPh sb="0" eb="2">
      <t>ニホン</t>
    </rPh>
    <rPh sb="2" eb="4">
      <t>カンゴ</t>
    </rPh>
    <rPh sb="4" eb="6">
      <t>キョウカイ</t>
    </rPh>
    <rPh sb="6" eb="9">
      <t>フクカイチョウ</t>
    </rPh>
    <rPh sb="10" eb="12">
      <t>ダイガク</t>
    </rPh>
    <rPh sb="12" eb="14">
      <t>キョウイン</t>
    </rPh>
    <rPh sb="15" eb="17">
      <t>トウキョウ</t>
    </rPh>
    <rPh sb="17" eb="21">
      <t>イカシカ</t>
    </rPh>
    <rPh sb="21" eb="23">
      <t>ダイガク</t>
    </rPh>
    <rPh sb="23" eb="26">
      <t>ジョキョウジュ</t>
    </rPh>
    <phoneticPr fontId="3"/>
  </si>
  <si>
    <t>古松　国昭</t>
    <rPh sb="0" eb="2">
      <t>フルマツ</t>
    </rPh>
    <rPh sb="3" eb="5">
      <t>クニアキ</t>
    </rPh>
    <phoneticPr fontId="3"/>
  </si>
  <si>
    <t>共産党岡山県委員,会社員(松下電器)</t>
    <rPh sb="0" eb="3">
      <t>キョウサントウ</t>
    </rPh>
    <rPh sb="3" eb="6">
      <t>オカヤマケン</t>
    </rPh>
    <rPh sb="6" eb="8">
      <t>イイン</t>
    </rPh>
    <rPh sb="9" eb="12">
      <t>カイシャイン</t>
    </rPh>
    <rPh sb="13" eb="15">
      <t>マツシタ</t>
    </rPh>
    <rPh sb="15" eb="17">
      <t>デンキ</t>
    </rPh>
    <phoneticPr fontId="3"/>
  </si>
  <si>
    <t>高(詫間電波)</t>
    <rPh sb="0" eb="1">
      <t>コウ</t>
    </rPh>
    <rPh sb="2" eb="4">
      <t>タクマ</t>
    </rPh>
    <rPh sb="4" eb="6">
      <t>デンパ</t>
    </rPh>
    <phoneticPr fontId="3"/>
  </si>
  <si>
    <t>平沼　赳夫</t>
    <rPh sb="0" eb="2">
      <t>ヒラヌマ</t>
    </rPh>
    <rPh sb="3" eb="5">
      <t>タケオ</t>
    </rPh>
    <phoneticPr fontId="3"/>
  </si>
  <si>
    <t>236岡山3区</t>
    <rPh sb="3" eb="5">
      <t>オカヤマ</t>
    </rPh>
    <rPh sb="6" eb="7">
      <t>ク</t>
    </rPh>
    <phoneticPr fontId="3"/>
  </si>
  <si>
    <t>大(慶應)</t>
    <rPh sb="0" eb="1">
      <t>ダイ</t>
    </rPh>
    <rPh sb="2" eb="4">
      <t>ケイオウ</t>
    </rPh>
    <phoneticPr fontId="3"/>
  </si>
  <si>
    <t>議員秘書(中川一郎,佐藤栄作),会社員(日東紡績)</t>
    <rPh sb="0" eb="2">
      <t>ギイン</t>
    </rPh>
    <rPh sb="2" eb="4">
      <t>ヒショ</t>
    </rPh>
    <rPh sb="5" eb="7">
      <t>ナカガワ</t>
    </rPh>
    <rPh sb="7" eb="9">
      <t>イチロウ</t>
    </rPh>
    <rPh sb="10" eb="12">
      <t>サトウ</t>
    </rPh>
    <rPh sb="12" eb="14">
      <t>エイサク</t>
    </rPh>
    <rPh sb="16" eb="19">
      <t>カイシャイン</t>
    </rPh>
    <rPh sb="20" eb="22">
      <t>ニットウ</t>
    </rPh>
    <rPh sb="22" eb="24">
      <t>ボウセキ</t>
    </rPh>
    <phoneticPr fontId="3"/>
  </si>
  <si>
    <t>237岡山4区01</t>
    <rPh sb="3" eb="5">
      <t>オカヤマ</t>
    </rPh>
    <rPh sb="6" eb="7">
      <t>ク</t>
    </rPh>
    <phoneticPr fontId="3"/>
  </si>
  <si>
    <t>237岡山4区02</t>
    <rPh sb="3" eb="5">
      <t>オカヤマ</t>
    </rPh>
    <rPh sb="6" eb="7">
      <t>ク</t>
    </rPh>
    <phoneticPr fontId="3"/>
  </si>
  <si>
    <t>237岡山4区03</t>
    <rPh sb="3" eb="5">
      <t>オカヤマ</t>
    </rPh>
    <rPh sb="6" eb="7">
      <t>ク</t>
    </rPh>
    <phoneticPr fontId="3"/>
  </si>
  <si>
    <t>柚木　道義</t>
    <rPh sb="0" eb="2">
      <t>ユノキ</t>
    </rPh>
    <rPh sb="3" eb="5">
      <t>ミチヨシ</t>
    </rPh>
    <phoneticPr fontId="3"/>
  </si>
  <si>
    <t>237岡山4区</t>
    <rPh sb="3" eb="5">
      <t>オカヤマ</t>
    </rPh>
    <rPh sb="6" eb="7">
      <t>ク</t>
    </rPh>
    <phoneticPr fontId="3"/>
  </si>
  <si>
    <t>議員秘書(江田五月),会社員(有隣堂)</t>
    <rPh sb="0" eb="2">
      <t>ギイン</t>
    </rPh>
    <rPh sb="2" eb="4">
      <t>ヒショ</t>
    </rPh>
    <rPh sb="5" eb="7">
      <t>エダ</t>
    </rPh>
    <rPh sb="7" eb="9">
      <t>サツキ</t>
    </rPh>
    <rPh sb="11" eb="14">
      <t>カイシャイン</t>
    </rPh>
    <rPh sb="15" eb="18">
      <t>ユウリンドウ</t>
    </rPh>
    <phoneticPr fontId="3"/>
  </si>
  <si>
    <t>財務政務官</t>
    <rPh sb="0" eb="2">
      <t>ザイム</t>
    </rPh>
    <rPh sb="2" eb="5">
      <t>セイムカン</t>
    </rPh>
    <phoneticPr fontId="3"/>
  </si>
  <si>
    <t>橋本　　岳</t>
    <rPh sb="0" eb="2">
      <t>ハシモト</t>
    </rPh>
    <rPh sb="4" eb="5">
      <t>ガク</t>
    </rPh>
    <phoneticPr fontId="3"/>
  </si>
  <si>
    <t>大学教員(静岡大学客員助教授),研究員(三菱総研)</t>
    <rPh sb="0" eb="2">
      <t>ダイガク</t>
    </rPh>
    <rPh sb="2" eb="4">
      <t>キョウイン</t>
    </rPh>
    <rPh sb="5" eb="7">
      <t>シズオカ</t>
    </rPh>
    <rPh sb="7" eb="9">
      <t>ダイガク</t>
    </rPh>
    <rPh sb="9" eb="11">
      <t>キャクイン</t>
    </rPh>
    <rPh sb="11" eb="14">
      <t>ジョキョウジュ</t>
    </rPh>
    <rPh sb="16" eb="19">
      <t>ケンキュウイン</t>
    </rPh>
    <rPh sb="20" eb="22">
      <t>ミツビシ</t>
    </rPh>
    <rPh sb="22" eb="24">
      <t>ソウケン</t>
    </rPh>
    <phoneticPr fontId="3"/>
  </si>
  <si>
    <t>他(兵庫県立看護学校)</t>
    <rPh sb="0" eb="1">
      <t>ホカ</t>
    </rPh>
    <rPh sb="2" eb="4">
      <t>ヒョウゴ</t>
    </rPh>
    <rPh sb="4" eb="6">
      <t>ケンリツ</t>
    </rPh>
    <rPh sb="6" eb="8">
      <t>カンゴ</t>
    </rPh>
    <rPh sb="8" eb="10">
      <t>ガッコウ</t>
    </rPh>
    <phoneticPr fontId="3"/>
  </si>
  <si>
    <t>岡山県・早島町議,看護師</t>
    <rPh sb="0" eb="3">
      <t>オカヤマケン</t>
    </rPh>
    <rPh sb="4" eb="6">
      <t>ハヤシマ</t>
    </rPh>
    <rPh sb="6" eb="8">
      <t>チョウギ</t>
    </rPh>
    <rPh sb="9" eb="12">
      <t>カンゴシ</t>
    </rPh>
    <phoneticPr fontId="3"/>
  </si>
  <si>
    <t>238岡山5区01</t>
    <rPh sb="3" eb="5">
      <t>オカヤマ</t>
    </rPh>
    <rPh sb="6" eb="7">
      <t>ク</t>
    </rPh>
    <phoneticPr fontId="3"/>
  </si>
  <si>
    <t>238岡山5区02</t>
    <rPh sb="3" eb="5">
      <t>オカヤマ</t>
    </rPh>
    <rPh sb="6" eb="7">
      <t>ク</t>
    </rPh>
    <phoneticPr fontId="3"/>
  </si>
  <si>
    <t>238岡山5区03</t>
    <rPh sb="3" eb="5">
      <t>オカヤマ</t>
    </rPh>
    <rPh sb="6" eb="7">
      <t>ク</t>
    </rPh>
    <phoneticPr fontId="3"/>
  </si>
  <si>
    <t>花咲　宏基</t>
    <rPh sb="0" eb="2">
      <t>ハナサキ</t>
    </rPh>
    <rPh sb="3" eb="5">
      <t>ヒロキ</t>
    </rPh>
    <phoneticPr fontId="3"/>
  </si>
  <si>
    <t>309比例中国04</t>
    <rPh sb="3" eb="5">
      <t>ヒレイ</t>
    </rPh>
    <rPh sb="5" eb="7">
      <t>チュウゴク</t>
    </rPh>
    <phoneticPr fontId="3"/>
  </si>
  <si>
    <t>議員秘書(長島昭久),会社員(リクルート)</t>
    <rPh sb="0" eb="2">
      <t>ギイン</t>
    </rPh>
    <rPh sb="2" eb="4">
      <t>ヒショ</t>
    </rPh>
    <rPh sb="5" eb="7">
      <t>ナガシマ</t>
    </rPh>
    <rPh sb="7" eb="9">
      <t>アキヒサ</t>
    </rPh>
    <rPh sb="11" eb="14">
      <t>カイシャイン</t>
    </rPh>
    <phoneticPr fontId="3"/>
  </si>
  <si>
    <t>古松　健治</t>
    <rPh sb="0" eb="2">
      <t>フルマツ</t>
    </rPh>
    <rPh sb="3" eb="5">
      <t>ケンジ</t>
    </rPh>
    <phoneticPr fontId="3"/>
  </si>
  <si>
    <t>共産党地区国政対策委員長</t>
    <rPh sb="0" eb="3">
      <t>キョウサントウ</t>
    </rPh>
    <rPh sb="3" eb="5">
      <t>チク</t>
    </rPh>
    <rPh sb="5" eb="7">
      <t>コクセイ</t>
    </rPh>
    <rPh sb="7" eb="9">
      <t>タイサク</t>
    </rPh>
    <rPh sb="9" eb="12">
      <t>イインチョウ</t>
    </rPh>
    <phoneticPr fontId="3"/>
  </si>
  <si>
    <t>大中(桐蔭学園横浜)</t>
    <rPh sb="0" eb="1">
      <t>ダイ</t>
    </rPh>
    <rPh sb="1" eb="2">
      <t>チュウ</t>
    </rPh>
    <rPh sb="3" eb="5">
      <t>トウイン</t>
    </rPh>
    <rPh sb="5" eb="7">
      <t>ガクエン</t>
    </rPh>
    <rPh sb="7" eb="9">
      <t>ヨコハマ</t>
    </rPh>
    <phoneticPr fontId="3"/>
  </si>
  <si>
    <t>239広島1区01</t>
    <rPh sb="3" eb="5">
      <t>ヒロシマ</t>
    </rPh>
    <rPh sb="6" eb="7">
      <t>ク</t>
    </rPh>
    <phoneticPr fontId="3"/>
  </si>
  <si>
    <t>239広島1区02</t>
    <rPh sb="3" eb="5">
      <t>ヒロシマ</t>
    </rPh>
    <rPh sb="6" eb="7">
      <t>ク</t>
    </rPh>
    <phoneticPr fontId="3"/>
  </si>
  <si>
    <t>239広島1区03</t>
    <rPh sb="3" eb="5">
      <t>ヒロシマ</t>
    </rPh>
    <rPh sb="6" eb="7">
      <t>ク</t>
    </rPh>
    <phoneticPr fontId="3"/>
  </si>
  <si>
    <t>239広島1区04</t>
    <rPh sb="3" eb="5">
      <t>ヒロシマ</t>
    </rPh>
    <rPh sb="6" eb="7">
      <t>ク</t>
    </rPh>
    <phoneticPr fontId="3"/>
  </si>
  <si>
    <t>岸田　文雄</t>
    <rPh sb="0" eb="2">
      <t>キシダ</t>
    </rPh>
    <rPh sb="3" eb="5">
      <t>フミオ</t>
    </rPh>
    <phoneticPr fontId="3"/>
  </si>
  <si>
    <t>239広島1区</t>
    <rPh sb="3" eb="5">
      <t>ヒロシマ</t>
    </rPh>
    <rPh sb="6" eb="7">
      <t>ク</t>
    </rPh>
    <phoneticPr fontId="3"/>
  </si>
  <si>
    <t>議員秘書(岸田文武),銀行員(日本長期信用銀行)</t>
    <rPh sb="0" eb="2">
      <t>ギイン</t>
    </rPh>
    <rPh sb="2" eb="4">
      <t>ヒショ</t>
    </rPh>
    <rPh sb="5" eb="7">
      <t>キシダ</t>
    </rPh>
    <rPh sb="7" eb="9">
      <t>フミタケ</t>
    </rPh>
    <rPh sb="11" eb="14">
      <t>ギンコウイン</t>
    </rPh>
    <rPh sb="15" eb="17">
      <t>ニホン</t>
    </rPh>
    <rPh sb="17" eb="19">
      <t>チョウキ</t>
    </rPh>
    <rPh sb="19" eb="21">
      <t>シンヨウ</t>
    </rPh>
    <rPh sb="21" eb="23">
      <t>ギンコウ</t>
    </rPh>
    <phoneticPr fontId="3"/>
  </si>
  <si>
    <t>　元大臣(消費者,沖北・科技),委長(厚労),副大臣(文科),政務次官(建設),自民党国対委長</t>
    <rPh sb="1" eb="4">
      <t>モトダイジン</t>
    </rPh>
    <rPh sb="5" eb="8">
      <t>ショウヒシャ</t>
    </rPh>
    <rPh sb="9" eb="11">
      <t>オキホク</t>
    </rPh>
    <rPh sb="12" eb="14">
      <t>カギ</t>
    </rPh>
    <rPh sb="16" eb="18">
      <t>イチョウ</t>
    </rPh>
    <rPh sb="19" eb="21">
      <t>コウロウ</t>
    </rPh>
    <rPh sb="23" eb="26">
      <t>フクダイジン</t>
    </rPh>
    <rPh sb="27" eb="29">
      <t>モンカ</t>
    </rPh>
    <rPh sb="31" eb="33">
      <t>セイム</t>
    </rPh>
    <rPh sb="33" eb="35">
      <t>ジカン</t>
    </rPh>
    <rPh sb="36" eb="38">
      <t>ケンセツ</t>
    </rPh>
    <rPh sb="40" eb="43">
      <t>ジミントウ</t>
    </rPh>
    <rPh sb="43" eb="47">
      <t>コクタイイチョウ</t>
    </rPh>
    <phoneticPr fontId="3"/>
  </si>
  <si>
    <t>菅川　　洋</t>
    <rPh sb="0" eb="1">
      <t>スゲ</t>
    </rPh>
    <rPh sb="1" eb="2">
      <t>カワ</t>
    </rPh>
    <rPh sb="4" eb="5">
      <t>ヒロシ</t>
    </rPh>
    <phoneticPr fontId="3"/>
  </si>
  <si>
    <t>309比例中国03</t>
    <rPh sb="3" eb="5">
      <t>ヒレイ</t>
    </rPh>
    <rPh sb="5" eb="7">
      <t>チュウゴク</t>
    </rPh>
    <phoneticPr fontId="3"/>
  </si>
  <si>
    <t>大(日本)</t>
    <rPh sb="0" eb="1">
      <t>ダイ</t>
    </rPh>
    <rPh sb="2" eb="4">
      <t>ニホン</t>
    </rPh>
    <phoneticPr fontId="3"/>
  </si>
  <si>
    <t>税理士</t>
    <rPh sb="0" eb="3">
      <t>ゼイリシ</t>
    </rPh>
    <phoneticPr fontId="3"/>
  </si>
  <si>
    <t>大西　　理</t>
    <rPh sb="0" eb="2">
      <t>オオニシ</t>
    </rPh>
    <rPh sb="4" eb="5">
      <t>オサム</t>
    </rPh>
    <phoneticPr fontId="3"/>
  </si>
  <si>
    <t>大中(大阪経済法科)</t>
    <rPh sb="0" eb="1">
      <t>ダイ</t>
    </rPh>
    <rPh sb="1" eb="2">
      <t>チュウ</t>
    </rPh>
    <rPh sb="3" eb="5">
      <t>オオサカ</t>
    </rPh>
    <rPh sb="5" eb="7">
      <t>ケイザイ</t>
    </rPh>
    <rPh sb="7" eb="9">
      <t>ホウカ</t>
    </rPh>
    <phoneticPr fontId="3"/>
  </si>
  <si>
    <t>共産党広島県常任委員,赤旗出張所長</t>
    <rPh sb="0" eb="3">
      <t>キョウサントウ</t>
    </rPh>
    <rPh sb="3" eb="6">
      <t>ヒロシマケン</t>
    </rPh>
    <rPh sb="6" eb="8">
      <t>ジョウニン</t>
    </rPh>
    <rPh sb="8" eb="10">
      <t>イイン</t>
    </rPh>
    <rPh sb="11" eb="13">
      <t>アカハタ</t>
    </rPh>
    <rPh sb="13" eb="15">
      <t>シュッチョウ</t>
    </rPh>
    <rPh sb="15" eb="17">
      <t>ショチョウ</t>
    </rPh>
    <phoneticPr fontId="3"/>
  </si>
  <si>
    <t>240広島2区01</t>
    <rPh sb="3" eb="5">
      <t>ヒロシマ</t>
    </rPh>
    <rPh sb="6" eb="7">
      <t>ク</t>
    </rPh>
    <phoneticPr fontId="3"/>
  </si>
  <si>
    <t>240広島2区02</t>
    <rPh sb="3" eb="5">
      <t>ヒロシマ</t>
    </rPh>
    <rPh sb="6" eb="7">
      <t>ク</t>
    </rPh>
    <phoneticPr fontId="3"/>
  </si>
  <si>
    <t>240広島2区03</t>
    <rPh sb="3" eb="5">
      <t>ヒロシマ</t>
    </rPh>
    <rPh sb="6" eb="7">
      <t>ク</t>
    </rPh>
    <phoneticPr fontId="3"/>
  </si>
  <si>
    <t>松本　大輔</t>
    <rPh sb="0" eb="2">
      <t>マツモト</t>
    </rPh>
    <rPh sb="3" eb="5">
      <t>ダイスケ</t>
    </rPh>
    <phoneticPr fontId="3"/>
  </si>
  <si>
    <t>240広島2区</t>
    <rPh sb="3" eb="5">
      <t>ヒロシマ</t>
    </rPh>
    <rPh sb="6" eb="7">
      <t>ク</t>
    </rPh>
    <phoneticPr fontId="3"/>
  </si>
  <si>
    <t>文部科学副大臣，政務官(防衛)</t>
    <rPh sb="0" eb="2">
      <t>モンブ</t>
    </rPh>
    <rPh sb="2" eb="4">
      <t>カガク</t>
    </rPh>
    <rPh sb="4" eb="7">
      <t>フクダイジン</t>
    </rPh>
    <rPh sb="8" eb="11">
      <t>セイムカン</t>
    </rPh>
    <rPh sb="12" eb="14">
      <t>ボウエイ</t>
    </rPh>
    <phoneticPr fontId="3"/>
  </si>
  <si>
    <t>平口　　洋</t>
    <rPh sb="0" eb="2">
      <t>ヒラグチ</t>
    </rPh>
    <rPh sb="4" eb="5">
      <t>ヒロシ</t>
    </rPh>
    <phoneticPr fontId="3"/>
  </si>
  <si>
    <t>国土交通省河川局次長</t>
    <rPh sb="0" eb="2">
      <t>コクド</t>
    </rPh>
    <rPh sb="2" eb="5">
      <t>コウツウショウ</t>
    </rPh>
    <rPh sb="5" eb="8">
      <t>カセンキョク</t>
    </rPh>
    <rPh sb="8" eb="10">
      <t>ジチョウ</t>
    </rPh>
    <phoneticPr fontId="3"/>
  </si>
  <si>
    <t>中森　辰一</t>
    <rPh sb="0" eb="2">
      <t>ナカモリ</t>
    </rPh>
    <rPh sb="3" eb="4">
      <t>タツ</t>
    </rPh>
    <rPh sb="4" eb="5">
      <t>イチ</t>
    </rPh>
    <phoneticPr fontId="3"/>
  </si>
  <si>
    <t>大中(広島)</t>
    <rPh sb="0" eb="1">
      <t>ダイ</t>
    </rPh>
    <rPh sb="1" eb="2">
      <t>チュウ</t>
    </rPh>
    <rPh sb="3" eb="5">
      <t>ヒロシマ</t>
    </rPh>
    <phoneticPr fontId="3"/>
  </si>
  <si>
    <t>広島県・広島市議,広島中央保健生協職員</t>
    <rPh sb="0" eb="3">
      <t>ヒロシマケン</t>
    </rPh>
    <rPh sb="4" eb="6">
      <t>ヒロシマ</t>
    </rPh>
    <rPh sb="6" eb="8">
      <t>シギ</t>
    </rPh>
    <rPh sb="9" eb="11">
      <t>ヒロシマ</t>
    </rPh>
    <rPh sb="11" eb="13">
      <t>チュウオウ</t>
    </rPh>
    <rPh sb="13" eb="15">
      <t>ホケン</t>
    </rPh>
    <rPh sb="15" eb="17">
      <t>セイキョウ</t>
    </rPh>
    <rPh sb="17" eb="19">
      <t>ショクイン</t>
    </rPh>
    <phoneticPr fontId="3"/>
  </si>
  <si>
    <t>241広島3区01</t>
    <rPh sb="3" eb="5">
      <t>ヒロシマ</t>
    </rPh>
    <rPh sb="6" eb="7">
      <t>ク</t>
    </rPh>
    <phoneticPr fontId="3"/>
  </si>
  <si>
    <t>241広島3区02</t>
    <rPh sb="3" eb="5">
      <t>ヒロシマ</t>
    </rPh>
    <rPh sb="6" eb="7">
      <t>ク</t>
    </rPh>
    <phoneticPr fontId="3"/>
  </si>
  <si>
    <t>241広島3区03</t>
    <rPh sb="3" eb="5">
      <t>ヒロシマ</t>
    </rPh>
    <rPh sb="6" eb="7">
      <t>ク</t>
    </rPh>
    <phoneticPr fontId="3"/>
  </si>
  <si>
    <t>橋本　博明</t>
    <rPh sb="0" eb="2">
      <t>ハシモト</t>
    </rPh>
    <rPh sb="3" eb="5">
      <t>ヒロアキ</t>
    </rPh>
    <phoneticPr fontId="3"/>
  </si>
  <si>
    <t>241広島3区</t>
    <rPh sb="3" eb="5">
      <t>ヒロシマ</t>
    </rPh>
    <rPh sb="6" eb="7">
      <t>ク</t>
    </rPh>
    <phoneticPr fontId="3"/>
  </si>
  <si>
    <t>大院(広島)</t>
    <rPh sb="0" eb="2">
      <t>ダイイン</t>
    </rPh>
    <rPh sb="3" eb="5">
      <t>ヒロシマ</t>
    </rPh>
    <phoneticPr fontId="3"/>
  </si>
  <si>
    <t>議員秘書(中村哲治),内閣官房行革推進事務局(科学技術庁)</t>
    <rPh sb="0" eb="2">
      <t>ギイン</t>
    </rPh>
    <rPh sb="2" eb="4">
      <t>ヒショ</t>
    </rPh>
    <rPh sb="5" eb="7">
      <t>ナカムラ</t>
    </rPh>
    <rPh sb="7" eb="9">
      <t>テツジ</t>
    </rPh>
    <rPh sb="11" eb="13">
      <t>ナイカク</t>
    </rPh>
    <rPh sb="13" eb="15">
      <t>カンボウ</t>
    </rPh>
    <rPh sb="15" eb="17">
      <t>ギョウカク</t>
    </rPh>
    <rPh sb="17" eb="19">
      <t>スイシン</t>
    </rPh>
    <rPh sb="19" eb="22">
      <t>ジムキョク</t>
    </rPh>
    <rPh sb="23" eb="28">
      <t>カガクギジュツチョウ</t>
    </rPh>
    <phoneticPr fontId="3"/>
  </si>
  <si>
    <t>河井　克行</t>
    <rPh sb="0" eb="2">
      <t>カワイ</t>
    </rPh>
    <rPh sb="3" eb="5">
      <t>カツユキ</t>
    </rPh>
    <phoneticPr fontId="3"/>
  </si>
  <si>
    <t>309比例中国09</t>
    <rPh sb="3" eb="5">
      <t>ヒレイ</t>
    </rPh>
    <rPh sb="5" eb="7">
      <t>チュウゴク</t>
    </rPh>
    <phoneticPr fontId="3"/>
  </si>
  <si>
    <t>　元副大臣(法務),政務官(外務)</t>
    <rPh sb="1" eb="2">
      <t>モト</t>
    </rPh>
    <rPh sb="2" eb="5">
      <t>フクダイジン</t>
    </rPh>
    <rPh sb="6" eb="8">
      <t>ホウム</t>
    </rPh>
    <rPh sb="10" eb="13">
      <t>セイムカン</t>
    </rPh>
    <rPh sb="14" eb="16">
      <t>ガイム</t>
    </rPh>
    <phoneticPr fontId="3"/>
  </si>
  <si>
    <t>藤井　敏子</t>
    <rPh sb="0" eb="2">
      <t>フジイ</t>
    </rPh>
    <rPh sb="3" eb="5">
      <t>トシコ</t>
    </rPh>
    <phoneticPr fontId="3"/>
  </si>
  <si>
    <t>広島県・広島市議,広島医療生協理事</t>
    <rPh sb="0" eb="3">
      <t>ヒロシマケン</t>
    </rPh>
    <rPh sb="4" eb="6">
      <t>ヒロシマ</t>
    </rPh>
    <rPh sb="6" eb="8">
      <t>シギ</t>
    </rPh>
    <rPh sb="9" eb="11">
      <t>ヒロシマ</t>
    </rPh>
    <rPh sb="11" eb="13">
      <t>イリョウ</t>
    </rPh>
    <rPh sb="13" eb="15">
      <t>セイキョウ</t>
    </rPh>
    <rPh sb="15" eb="17">
      <t>リジ</t>
    </rPh>
    <phoneticPr fontId="3"/>
  </si>
  <si>
    <t>242広島4区01</t>
    <rPh sb="3" eb="5">
      <t>ヒロシマ</t>
    </rPh>
    <rPh sb="6" eb="7">
      <t>ク</t>
    </rPh>
    <phoneticPr fontId="3"/>
  </si>
  <si>
    <t>242広島4区02</t>
    <rPh sb="3" eb="5">
      <t>ヒロシマ</t>
    </rPh>
    <rPh sb="6" eb="7">
      <t>ク</t>
    </rPh>
    <phoneticPr fontId="3"/>
  </si>
  <si>
    <t>242広島4区03</t>
    <rPh sb="3" eb="5">
      <t>ヒロシマ</t>
    </rPh>
    <rPh sb="6" eb="7">
      <t>ク</t>
    </rPh>
    <phoneticPr fontId="3"/>
  </si>
  <si>
    <t>空本　誠喜</t>
    <rPh sb="0" eb="1">
      <t>ソラ</t>
    </rPh>
    <rPh sb="1" eb="2">
      <t>モト</t>
    </rPh>
    <rPh sb="3" eb="5">
      <t>セイキ</t>
    </rPh>
    <phoneticPr fontId="3"/>
  </si>
  <si>
    <t>242広島4区</t>
    <rPh sb="3" eb="5">
      <t>ヒロシマ</t>
    </rPh>
    <rPh sb="6" eb="7">
      <t>ク</t>
    </rPh>
    <phoneticPr fontId="3"/>
  </si>
  <si>
    <t>由</t>
    <rPh sb="0" eb="1">
      <t>ユウ</t>
    </rPh>
    <phoneticPr fontId="3"/>
  </si>
  <si>
    <t>大院(東京)</t>
    <rPh sb="0" eb="2">
      <t>ダイイン</t>
    </rPh>
    <rPh sb="3" eb="5">
      <t>トウキョウ</t>
    </rPh>
    <phoneticPr fontId="3"/>
  </si>
  <si>
    <t>会社員(東芝)</t>
    <rPh sb="0" eb="3">
      <t>カイシャイン</t>
    </rPh>
    <rPh sb="4" eb="6">
      <t>トウシバ</t>
    </rPh>
    <phoneticPr fontId="3"/>
  </si>
  <si>
    <t>中川　俊直</t>
    <rPh sb="0" eb="2">
      <t>ナカガワ</t>
    </rPh>
    <rPh sb="3" eb="5">
      <t>トシナオ</t>
    </rPh>
    <phoneticPr fontId="3"/>
  </si>
  <si>
    <t>議員秘書(中川秀直),テレビ記者(テレビ東京)</t>
    <rPh sb="0" eb="2">
      <t>ギイン</t>
    </rPh>
    <rPh sb="2" eb="4">
      <t>ヒショ</t>
    </rPh>
    <rPh sb="5" eb="7">
      <t>ナカガワ</t>
    </rPh>
    <rPh sb="7" eb="9">
      <t>ヒデナオ</t>
    </rPh>
    <rPh sb="14" eb="16">
      <t>キシャ</t>
    </rPh>
    <rPh sb="20" eb="22">
      <t>トウキョウ</t>
    </rPh>
    <phoneticPr fontId="3"/>
  </si>
  <si>
    <t>　元大臣(建設,科技),委長(建設),政務次官(防衛,建設)</t>
    <rPh sb="1" eb="4">
      <t>モトダイジン</t>
    </rPh>
    <rPh sb="5" eb="7">
      <t>ケンセツ</t>
    </rPh>
    <rPh sb="8" eb="10">
      <t>カギ</t>
    </rPh>
    <rPh sb="12" eb="14">
      <t>イチョウ</t>
    </rPh>
    <rPh sb="15" eb="17">
      <t>ケンセツ</t>
    </rPh>
    <rPh sb="19" eb="21">
      <t>セイム</t>
    </rPh>
    <rPh sb="21" eb="23">
      <t>ジカン</t>
    </rPh>
    <rPh sb="24" eb="26">
      <t>ボウエイ</t>
    </rPh>
    <rPh sb="27" eb="29">
      <t>ケンセツ</t>
    </rPh>
    <phoneticPr fontId="3"/>
  </si>
  <si>
    <t>中石　　仁</t>
    <rPh sb="0" eb="2">
      <t>ナカイシ</t>
    </rPh>
    <rPh sb="4" eb="5">
      <t>ヒトシ</t>
    </rPh>
    <phoneticPr fontId="3"/>
  </si>
  <si>
    <t>高(音戸)</t>
    <rPh sb="0" eb="1">
      <t>コウ</t>
    </rPh>
    <rPh sb="2" eb="4">
      <t>オンド</t>
    </rPh>
    <phoneticPr fontId="3"/>
  </si>
  <si>
    <t>共産党地区常任委員,会社員(広島電鉄)</t>
    <rPh sb="0" eb="3">
      <t>キョウサントウ</t>
    </rPh>
    <rPh sb="3" eb="5">
      <t>チク</t>
    </rPh>
    <rPh sb="5" eb="7">
      <t>ジョウニン</t>
    </rPh>
    <rPh sb="7" eb="9">
      <t>イイン</t>
    </rPh>
    <rPh sb="10" eb="13">
      <t>カイシャイン</t>
    </rPh>
    <rPh sb="14" eb="16">
      <t>ヒロシマ</t>
    </rPh>
    <rPh sb="16" eb="18">
      <t>デンテツ</t>
    </rPh>
    <phoneticPr fontId="3"/>
  </si>
  <si>
    <t>243広島5区01</t>
    <rPh sb="3" eb="5">
      <t>ヒロシマ</t>
    </rPh>
    <rPh sb="6" eb="7">
      <t>ク</t>
    </rPh>
    <phoneticPr fontId="3"/>
  </si>
  <si>
    <t>243広島5区02</t>
    <rPh sb="3" eb="5">
      <t>ヒロシマ</t>
    </rPh>
    <rPh sb="6" eb="7">
      <t>ク</t>
    </rPh>
    <phoneticPr fontId="3"/>
  </si>
  <si>
    <t>243広島5区03</t>
    <rPh sb="3" eb="5">
      <t>ヒロシマ</t>
    </rPh>
    <rPh sb="6" eb="7">
      <t>ク</t>
    </rPh>
    <phoneticPr fontId="3"/>
  </si>
  <si>
    <t>姫井　由美子</t>
    <rPh sb="0" eb="2">
      <t>ヒメイ</t>
    </rPh>
    <rPh sb="3" eb="6">
      <t>ユミコ</t>
    </rPh>
    <phoneticPr fontId="3"/>
  </si>
  <si>
    <t>0733岡山県01</t>
    <rPh sb="4" eb="7">
      <t>オカヤマケン</t>
    </rPh>
    <phoneticPr fontId="3"/>
  </si>
  <si>
    <t>参</t>
    <rPh sb="0" eb="1">
      <t>サン</t>
    </rPh>
    <phoneticPr fontId="3"/>
  </si>
  <si>
    <t>大院(岡山)</t>
    <rPh sb="0" eb="2">
      <t>ダイイン</t>
    </rPh>
    <rPh sb="3" eb="5">
      <t>オカヤマ</t>
    </rPh>
    <phoneticPr fontId="3"/>
  </si>
  <si>
    <t>岡山県議(岡山市第一),司法書士,岡山JC常任理事</t>
    <rPh sb="0" eb="2">
      <t>オカヤマ</t>
    </rPh>
    <rPh sb="2" eb="4">
      <t>ケンギ</t>
    </rPh>
    <rPh sb="5" eb="8">
      <t>オカヤマシ</t>
    </rPh>
    <rPh sb="8" eb="10">
      <t>ダイイチ</t>
    </rPh>
    <rPh sb="12" eb="16">
      <t>シホウショシ</t>
    </rPh>
    <rPh sb="17" eb="19">
      <t>オカヤマ</t>
    </rPh>
    <rPh sb="21" eb="23">
      <t>ジョウニン</t>
    </rPh>
    <rPh sb="23" eb="25">
      <t>リジ</t>
    </rPh>
    <phoneticPr fontId="3"/>
  </si>
  <si>
    <t>　参1</t>
    <rPh sb="1" eb="2">
      <t>サン</t>
    </rPh>
    <phoneticPr fontId="3"/>
  </si>
  <si>
    <t>鞍</t>
    <rPh sb="0" eb="1">
      <t>クラ</t>
    </rPh>
    <phoneticPr fontId="3"/>
  </si>
  <si>
    <t>三谷　光男</t>
    <rPh sb="0" eb="2">
      <t>ミタニ</t>
    </rPh>
    <rPh sb="3" eb="5">
      <t>ミツオ</t>
    </rPh>
    <phoneticPr fontId="3"/>
  </si>
  <si>
    <t>243広島5区</t>
    <rPh sb="3" eb="5">
      <t>ヒロシマ</t>
    </rPh>
    <rPh sb="6" eb="7">
      <t>ク</t>
    </rPh>
    <phoneticPr fontId="3"/>
  </si>
  <si>
    <t>大(大阪)</t>
    <rPh sb="0" eb="1">
      <t>ダイ</t>
    </rPh>
    <rPh sb="2" eb="4">
      <t>オオサカ</t>
    </rPh>
    <phoneticPr fontId="3"/>
  </si>
  <si>
    <t>議員秘書(宮澤洋一,宮澤喜一)</t>
    <rPh sb="0" eb="2">
      <t>ギイン</t>
    </rPh>
    <rPh sb="2" eb="4">
      <t>ヒショ</t>
    </rPh>
    <rPh sb="5" eb="7">
      <t>ミヤザワ</t>
    </rPh>
    <rPh sb="7" eb="9">
      <t>ヨウイチ</t>
    </rPh>
    <rPh sb="10" eb="12">
      <t>ミヤザワ</t>
    </rPh>
    <rPh sb="12" eb="14">
      <t>キイチ</t>
    </rPh>
    <phoneticPr fontId="3"/>
  </si>
  <si>
    <t>首相補佐官，元政務官(財務・復興)</t>
    <rPh sb="0" eb="2">
      <t>シュショウ</t>
    </rPh>
    <rPh sb="2" eb="5">
      <t>ホサカン</t>
    </rPh>
    <rPh sb="6" eb="7">
      <t>モト</t>
    </rPh>
    <rPh sb="7" eb="10">
      <t>セイムカン</t>
    </rPh>
    <rPh sb="11" eb="13">
      <t>ザイム</t>
    </rPh>
    <rPh sb="14" eb="16">
      <t>フッコウ</t>
    </rPh>
    <phoneticPr fontId="3"/>
  </si>
  <si>
    <t>寺田　　稔</t>
    <rPh sb="0" eb="2">
      <t>テラダ</t>
    </rPh>
    <rPh sb="4" eb="5">
      <t>ミノル</t>
    </rPh>
    <phoneticPr fontId="3"/>
  </si>
  <si>
    <t>内閣府参事官(大蔵省)</t>
    <rPh sb="0" eb="3">
      <t>ナイカクフ</t>
    </rPh>
    <rPh sb="3" eb="6">
      <t>サンジカン</t>
    </rPh>
    <rPh sb="7" eb="10">
      <t>オオクラショウ</t>
    </rPh>
    <phoneticPr fontId="3"/>
  </si>
  <si>
    <t>　元政務官(防衛)</t>
    <rPh sb="1" eb="2">
      <t>モト</t>
    </rPh>
    <rPh sb="2" eb="5">
      <t>セイムカン</t>
    </rPh>
    <rPh sb="6" eb="8">
      <t>ボウエイ</t>
    </rPh>
    <phoneticPr fontId="3"/>
  </si>
  <si>
    <t>尾崎　　光</t>
    <rPh sb="0" eb="2">
      <t>オザキ</t>
    </rPh>
    <rPh sb="4" eb="5">
      <t>ヒカル</t>
    </rPh>
    <phoneticPr fontId="3"/>
  </si>
  <si>
    <t>高中(東予工)</t>
    <rPh sb="0" eb="1">
      <t>コウ</t>
    </rPh>
    <rPh sb="1" eb="2">
      <t>チュウ</t>
    </rPh>
    <rPh sb="3" eb="5">
      <t>トウヨ</t>
    </rPh>
    <rPh sb="5" eb="6">
      <t>コウ</t>
    </rPh>
    <phoneticPr fontId="3"/>
  </si>
  <si>
    <t>広島県・府中町議</t>
    <rPh sb="0" eb="3">
      <t>ヒロシマケン</t>
    </rPh>
    <rPh sb="4" eb="6">
      <t>フチュウ</t>
    </rPh>
    <rPh sb="6" eb="8">
      <t>チョウギ</t>
    </rPh>
    <phoneticPr fontId="3"/>
  </si>
  <si>
    <t>244広島6区01</t>
    <rPh sb="3" eb="5">
      <t>ヒロシマ</t>
    </rPh>
    <rPh sb="6" eb="7">
      <t>ク</t>
    </rPh>
    <phoneticPr fontId="3"/>
  </si>
  <si>
    <t>244広島6区02</t>
    <rPh sb="3" eb="5">
      <t>ヒロシマ</t>
    </rPh>
    <rPh sb="6" eb="7">
      <t>ク</t>
    </rPh>
    <phoneticPr fontId="3"/>
  </si>
  <si>
    <t>244広島6区03</t>
    <rPh sb="3" eb="5">
      <t>ヒロシマ</t>
    </rPh>
    <rPh sb="6" eb="7">
      <t>ク</t>
    </rPh>
    <phoneticPr fontId="3"/>
  </si>
  <si>
    <t>小島　敏文</t>
    <rPh sb="0" eb="2">
      <t>コジマ</t>
    </rPh>
    <rPh sb="3" eb="5">
      <t>トシフミ</t>
    </rPh>
    <phoneticPr fontId="3"/>
  </si>
  <si>
    <t>広島県議(三原市・世羅郡),議員秘書(宮澤喜一,中山正暉)</t>
    <rPh sb="0" eb="2">
      <t>ヒロシマ</t>
    </rPh>
    <rPh sb="2" eb="4">
      <t>ケンギ</t>
    </rPh>
    <rPh sb="5" eb="8">
      <t>ミハラシ</t>
    </rPh>
    <rPh sb="9" eb="12">
      <t>セラグン</t>
    </rPh>
    <rPh sb="14" eb="16">
      <t>ギイン</t>
    </rPh>
    <rPh sb="16" eb="18">
      <t>ヒショ</t>
    </rPh>
    <rPh sb="19" eb="21">
      <t>ミヤザワ</t>
    </rPh>
    <rPh sb="21" eb="23">
      <t>キイチ</t>
    </rPh>
    <rPh sb="24" eb="26">
      <t>ナカヤマ</t>
    </rPh>
    <rPh sb="26" eb="28">
      <t>マサアキ</t>
    </rPh>
    <phoneticPr fontId="3"/>
  </si>
  <si>
    <t>花岡　多美世</t>
    <rPh sb="0" eb="2">
      <t>ハナオカ</t>
    </rPh>
    <rPh sb="3" eb="6">
      <t>タミヨ</t>
    </rPh>
    <phoneticPr fontId="3"/>
  </si>
  <si>
    <t>大中(同志社)</t>
    <rPh sb="0" eb="1">
      <t>ダイ</t>
    </rPh>
    <rPh sb="1" eb="2">
      <t>チュウ</t>
    </rPh>
    <rPh sb="3" eb="6">
      <t>ドウシシャ</t>
    </rPh>
    <phoneticPr fontId="3"/>
  </si>
  <si>
    <t>共産党広島県准委員,府中民商事務局長</t>
    <rPh sb="0" eb="3">
      <t>キョウサントウ</t>
    </rPh>
    <rPh sb="3" eb="6">
      <t>ヒロシマケン</t>
    </rPh>
    <rPh sb="6" eb="9">
      <t>ジュンイイン</t>
    </rPh>
    <rPh sb="10" eb="12">
      <t>フチュウ</t>
    </rPh>
    <rPh sb="12" eb="13">
      <t>ミン</t>
    </rPh>
    <rPh sb="13" eb="14">
      <t>ショウ</t>
    </rPh>
    <rPh sb="14" eb="16">
      <t>ジム</t>
    </rPh>
    <rPh sb="16" eb="18">
      <t>キョクチョウ</t>
    </rPh>
    <phoneticPr fontId="3"/>
  </si>
  <si>
    <t>亀井　靜香</t>
    <rPh sb="0" eb="2">
      <t>カメイ</t>
    </rPh>
    <rPh sb="3" eb="5">
      <t>シズカ</t>
    </rPh>
    <phoneticPr fontId="3"/>
  </si>
  <si>
    <t>244広島6区</t>
    <rPh sb="3" eb="5">
      <t>ヒロシマ</t>
    </rPh>
    <rPh sb="6" eb="7">
      <t>ク</t>
    </rPh>
    <phoneticPr fontId="3"/>
  </si>
  <si>
    <t>警察庁長官官房調査官</t>
    <rPh sb="0" eb="3">
      <t>ケイサツチョウ</t>
    </rPh>
    <rPh sb="3" eb="5">
      <t>チョウカン</t>
    </rPh>
    <rPh sb="5" eb="7">
      <t>カンボウ</t>
    </rPh>
    <rPh sb="7" eb="10">
      <t>チョウサカン</t>
    </rPh>
    <phoneticPr fontId="3"/>
  </si>
  <si>
    <t>245広島7区01</t>
    <rPh sb="3" eb="5">
      <t>ヒロシマ</t>
    </rPh>
    <rPh sb="6" eb="7">
      <t>ク</t>
    </rPh>
    <phoneticPr fontId="3"/>
  </si>
  <si>
    <t>245広島7区02</t>
    <rPh sb="3" eb="5">
      <t>ヒロシマ</t>
    </rPh>
    <rPh sb="6" eb="7">
      <t>ク</t>
    </rPh>
    <phoneticPr fontId="3"/>
  </si>
  <si>
    <t>245広島7区03</t>
    <rPh sb="3" eb="5">
      <t>ヒロシマ</t>
    </rPh>
    <rPh sb="6" eb="7">
      <t>ク</t>
    </rPh>
    <phoneticPr fontId="3"/>
  </si>
  <si>
    <t>稲生　俊郎</t>
    <rPh sb="0" eb="2">
      <t>イノウ</t>
    </rPh>
    <rPh sb="3" eb="5">
      <t>トシオ</t>
    </rPh>
    <phoneticPr fontId="3"/>
  </si>
  <si>
    <t>服部　頼義</t>
    <rPh sb="0" eb="2">
      <t>ハットリ</t>
    </rPh>
    <rPh sb="3" eb="5">
      <t>ヨリヨシ</t>
    </rPh>
    <phoneticPr fontId="3"/>
  </si>
  <si>
    <t>熊崎　陽一</t>
    <rPh sb="0" eb="2">
      <t>クマザキ</t>
    </rPh>
    <rPh sb="3" eb="5">
      <t>ヨウイチ</t>
    </rPh>
    <phoneticPr fontId="3"/>
  </si>
  <si>
    <t>議員秘書(江田五月)</t>
    <rPh sb="0" eb="2">
      <t>ギイン</t>
    </rPh>
    <rPh sb="2" eb="4">
      <t>ヒショ</t>
    </rPh>
    <rPh sb="5" eb="7">
      <t>エダ</t>
    </rPh>
    <rPh sb="7" eb="9">
      <t>サツキ</t>
    </rPh>
    <phoneticPr fontId="3"/>
  </si>
  <si>
    <t>和田　隆志</t>
    <rPh sb="0" eb="2">
      <t>ワダ</t>
    </rPh>
    <rPh sb="3" eb="5">
      <t>タカシ</t>
    </rPh>
    <phoneticPr fontId="3"/>
  </si>
  <si>
    <t>245広島7区</t>
    <rPh sb="3" eb="5">
      <t>ヒロシマ</t>
    </rPh>
    <rPh sb="6" eb="7">
      <t>ク</t>
    </rPh>
    <phoneticPr fontId="3"/>
  </si>
  <si>
    <t>金融庁総務企画局総務課長補佐(財務省)</t>
    <rPh sb="0" eb="3">
      <t>キンユウチョウ</t>
    </rPh>
    <rPh sb="3" eb="5">
      <t>ソウム</t>
    </rPh>
    <rPh sb="5" eb="8">
      <t>キカクキョク</t>
    </rPh>
    <rPh sb="8" eb="10">
      <t>ソウム</t>
    </rPh>
    <rPh sb="10" eb="12">
      <t>カチョウ</t>
    </rPh>
    <rPh sb="12" eb="14">
      <t>ホサ</t>
    </rPh>
    <rPh sb="15" eb="18">
      <t>ザイムショウ</t>
    </rPh>
    <phoneticPr fontId="3"/>
  </si>
  <si>
    <t>小林　史明</t>
    <rPh sb="0" eb="2">
      <t>コバヤシ</t>
    </rPh>
    <rPh sb="3" eb="5">
      <t>フミアキ</t>
    </rPh>
    <phoneticPr fontId="3"/>
  </si>
  <si>
    <t>会社員(NTTドコモ)</t>
    <rPh sb="0" eb="3">
      <t>カイシャイン</t>
    </rPh>
    <phoneticPr fontId="3"/>
  </si>
  <si>
    <t>神原　卓志</t>
    <rPh sb="0" eb="2">
      <t>カンバラ</t>
    </rPh>
    <rPh sb="3" eb="5">
      <t>タクシ</t>
    </rPh>
    <phoneticPr fontId="3"/>
  </si>
  <si>
    <t>共産党地区支部長,古書店経営</t>
    <rPh sb="0" eb="3">
      <t>キョウサントウ</t>
    </rPh>
    <rPh sb="3" eb="5">
      <t>チク</t>
    </rPh>
    <rPh sb="5" eb="8">
      <t>シブチョウ</t>
    </rPh>
    <rPh sb="9" eb="12">
      <t>コショテン</t>
    </rPh>
    <rPh sb="12" eb="14">
      <t>ケイエイ</t>
    </rPh>
    <phoneticPr fontId="3"/>
  </si>
  <si>
    <t>大中(高知)</t>
    <rPh sb="0" eb="1">
      <t>ダイ</t>
    </rPh>
    <rPh sb="1" eb="2">
      <t>チュウ</t>
    </rPh>
    <rPh sb="3" eb="5">
      <t>コウチ</t>
    </rPh>
    <phoneticPr fontId="3"/>
  </si>
  <si>
    <t>246山口1区01</t>
    <rPh sb="3" eb="5">
      <t>ヤマグチ</t>
    </rPh>
    <rPh sb="6" eb="7">
      <t>ク</t>
    </rPh>
    <phoneticPr fontId="3"/>
  </si>
  <si>
    <t>246山口1区02</t>
    <rPh sb="3" eb="5">
      <t>ヤマグチ</t>
    </rPh>
    <rPh sb="6" eb="7">
      <t>ク</t>
    </rPh>
    <phoneticPr fontId="3"/>
  </si>
  <si>
    <t>246山口1区03</t>
    <rPh sb="3" eb="5">
      <t>ヤマグチ</t>
    </rPh>
    <rPh sb="6" eb="7">
      <t>ク</t>
    </rPh>
    <phoneticPr fontId="3"/>
  </si>
  <si>
    <t>冨村　郷司</t>
    <rPh sb="0" eb="2">
      <t>トミムラ</t>
    </rPh>
    <rPh sb="3" eb="5">
      <t>サトシ</t>
    </rPh>
    <phoneticPr fontId="3"/>
  </si>
  <si>
    <t>大(山口)</t>
    <rPh sb="0" eb="1">
      <t>ダイ</t>
    </rPh>
    <rPh sb="2" eb="4">
      <t>ヤマグチ</t>
    </rPh>
    <phoneticPr fontId="3"/>
  </si>
  <si>
    <t>銀行員(山口銀行)</t>
    <rPh sb="0" eb="3">
      <t>ギンコウイン</t>
    </rPh>
    <rPh sb="4" eb="6">
      <t>ヤマグチ</t>
    </rPh>
    <rPh sb="6" eb="8">
      <t>ギンコウ</t>
    </rPh>
    <phoneticPr fontId="3"/>
  </si>
  <si>
    <t>高村　正彦</t>
    <rPh sb="0" eb="2">
      <t>コウムラ</t>
    </rPh>
    <rPh sb="3" eb="5">
      <t>マサヒコ</t>
    </rPh>
    <phoneticPr fontId="3"/>
  </si>
  <si>
    <t>246山口1区</t>
    <rPh sb="3" eb="5">
      <t>ヤマグチ</t>
    </rPh>
    <rPh sb="6" eb="7">
      <t>ク</t>
    </rPh>
    <phoneticPr fontId="3"/>
  </si>
  <si>
    <t>二法</t>
    <rPh sb="0" eb="1">
      <t>ニ</t>
    </rPh>
    <rPh sb="1" eb="2">
      <t>ホウ</t>
    </rPh>
    <phoneticPr fontId="3"/>
  </si>
  <si>
    <t>自民党副総裁，元大臣(外務,防衛,法務,経企),委長(テロ特,農水,災害特),政務次官(外務,大蔵,防衛)</t>
    <rPh sb="0" eb="3">
      <t>ジミントウ</t>
    </rPh>
    <rPh sb="3" eb="6">
      <t>フクソウサイ</t>
    </rPh>
    <rPh sb="7" eb="10">
      <t>モトダイジン</t>
    </rPh>
    <rPh sb="11" eb="13">
      <t>ガイム</t>
    </rPh>
    <rPh sb="14" eb="16">
      <t>ボウエイ</t>
    </rPh>
    <rPh sb="17" eb="19">
      <t>ホウム</t>
    </rPh>
    <rPh sb="20" eb="22">
      <t>ケイキ</t>
    </rPh>
    <rPh sb="24" eb="26">
      <t>イチョウ</t>
    </rPh>
    <rPh sb="29" eb="30">
      <t>トク</t>
    </rPh>
    <rPh sb="31" eb="33">
      <t>ノウスイ</t>
    </rPh>
    <rPh sb="34" eb="36">
      <t>サイガイ</t>
    </rPh>
    <rPh sb="36" eb="37">
      <t>トク</t>
    </rPh>
    <rPh sb="39" eb="41">
      <t>セイム</t>
    </rPh>
    <rPh sb="41" eb="43">
      <t>ジカン</t>
    </rPh>
    <rPh sb="44" eb="46">
      <t>ガイム</t>
    </rPh>
    <rPh sb="47" eb="49">
      <t>オオクラ</t>
    </rPh>
    <rPh sb="50" eb="52">
      <t>ボウエイ</t>
    </rPh>
    <phoneticPr fontId="3"/>
  </si>
  <si>
    <t>魚永　智行</t>
    <rPh sb="0" eb="1">
      <t>ウオ</t>
    </rPh>
    <rPh sb="1" eb="2">
      <t>ナガ</t>
    </rPh>
    <rPh sb="3" eb="5">
      <t>トモユキ</t>
    </rPh>
    <phoneticPr fontId="3"/>
  </si>
  <si>
    <t>山口県・徳山市議,山口県部落解放運動連合書記</t>
    <rPh sb="0" eb="3">
      <t>ヤマグチケン</t>
    </rPh>
    <rPh sb="4" eb="6">
      <t>トクヤマ</t>
    </rPh>
    <rPh sb="6" eb="8">
      <t>シギ</t>
    </rPh>
    <rPh sb="9" eb="12">
      <t>ヤマグチケン</t>
    </rPh>
    <rPh sb="12" eb="14">
      <t>ブラク</t>
    </rPh>
    <rPh sb="14" eb="16">
      <t>カイホウ</t>
    </rPh>
    <rPh sb="16" eb="18">
      <t>ウンドウ</t>
    </rPh>
    <rPh sb="18" eb="20">
      <t>レンゴウ</t>
    </rPh>
    <rPh sb="20" eb="22">
      <t>ショキ</t>
    </rPh>
    <phoneticPr fontId="3"/>
  </si>
  <si>
    <t>247山口2区01</t>
    <rPh sb="3" eb="5">
      <t>ヤマグチ</t>
    </rPh>
    <rPh sb="6" eb="7">
      <t>ク</t>
    </rPh>
    <phoneticPr fontId="3"/>
  </si>
  <si>
    <t>247山口2区02</t>
    <rPh sb="3" eb="5">
      <t>ヤマグチ</t>
    </rPh>
    <rPh sb="6" eb="7">
      <t>ク</t>
    </rPh>
    <phoneticPr fontId="3"/>
  </si>
  <si>
    <t>247山口2区03</t>
    <rPh sb="3" eb="5">
      <t>ヤマグチ</t>
    </rPh>
    <rPh sb="6" eb="7">
      <t>ク</t>
    </rPh>
    <phoneticPr fontId="3"/>
  </si>
  <si>
    <t>平岡　秀夫</t>
    <rPh sb="0" eb="2">
      <t>ヒラオカ</t>
    </rPh>
    <rPh sb="3" eb="5">
      <t>ヒデオ</t>
    </rPh>
    <phoneticPr fontId="3"/>
  </si>
  <si>
    <t>247山口2区</t>
    <rPh sb="3" eb="5">
      <t>ヤマグチ</t>
    </rPh>
    <rPh sb="6" eb="7">
      <t>ク</t>
    </rPh>
    <phoneticPr fontId="3"/>
  </si>
  <si>
    <t>弁護士,国税庁法人税課長(大蔵省)</t>
    <rPh sb="0" eb="3">
      <t>ベンゴシ</t>
    </rPh>
    <rPh sb="4" eb="7">
      <t>コクゼイチョウ</t>
    </rPh>
    <rPh sb="7" eb="10">
      <t>ホウジンゼイ</t>
    </rPh>
    <rPh sb="10" eb="12">
      <t>カチョウ</t>
    </rPh>
    <rPh sb="13" eb="16">
      <t>オオクラショウ</t>
    </rPh>
    <phoneticPr fontId="3"/>
  </si>
  <si>
    <t>官法</t>
    <rPh sb="0" eb="1">
      <t>カン</t>
    </rPh>
    <rPh sb="1" eb="2">
      <t>ホウ</t>
    </rPh>
    <phoneticPr fontId="3"/>
  </si>
  <si>
    <t>衆議院法務委員長，元大臣(法務),副大臣(総務,内閣)</t>
    <rPh sb="0" eb="3">
      <t>シュウギイン</t>
    </rPh>
    <rPh sb="3" eb="5">
      <t>ホウム</t>
    </rPh>
    <rPh sb="5" eb="8">
      <t>イインチョウ</t>
    </rPh>
    <rPh sb="9" eb="12">
      <t>モトダイジン</t>
    </rPh>
    <rPh sb="13" eb="15">
      <t>ホウム</t>
    </rPh>
    <rPh sb="17" eb="20">
      <t>フクダイジン</t>
    </rPh>
    <rPh sb="21" eb="23">
      <t>ソウム</t>
    </rPh>
    <rPh sb="24" eb="26">
      <t>ナイカク</t>
    </rPh>
    <phoneticPr fontId="3"/>
  </si>
  <si>
    <t>岸　　信夫</t>
    <rPh sb="0" eb="1">
      <t>キシ</t>
    </rPh>
    <rPh sb="3" eb="5">
      <t>ノブオ</t>
    </rPh>
    <phoneticPr fontId="3"/>
  </si>
  <si>
    <t>1035山口県01</t>
    <rPh sb="4" eb="7">
      <t>ヤマグチケン</t>
    </rPh>
    <phoneticPr fontId="3"/>
  </si>
  <si>
    <t>会社員(住友商事)</t>
    <rPh sb="0" eb="3">
      <t>カイシャイン</t>
    </rPh>
    <rPh sb="4" eb="6">
      <t>スミトモ</t>
    </rPh>
    <rPh sb="6" eb="8">
      <t>ショウジ</t>
    </rPh>
    <phoneticPr fontId="3"/>
  </si>
  <si>
    <t>　元委長(参沖北特),政務官(防衛),参2</t>
    <rPh sb="1" eb="2">
      <t>モト</t>
    </rPh>
    <rPh sb="2" eb="4">
      <t>イチョウ</t>
    </rPh>
    <rPh sb="5" eb="6">
      <t>サン</t>
    </rPh>
    <rPh sb="6" eb="7">
      <t>オキ</t>
    </rPh>
    <rPh sb="7" eb="9">
      <t>ホクトク</t>
    </rPh>
    <rPh sb="11" eb="14">
      <t>セイムカン</t>
    </rPh>
    <rPh sb="15" eb="17">
      <t>ボウエイ</t>
    </rPh>
    <rPh sb="19" eb="20">
      <t>サン</t>
    </rPh>
    <phoneticPr fontId="3"/>
  </si>
  <si>
    <t>鞍二</t>
    <rPh sb="0" eb="1">
      <t>クラ</t>
    </rPh>
    <rPh sb="1" eb="2">
      <t>ニ</t>
    </rPh>
    <phoneticPr fontId="3"/>
  </si>
  <si>
    <t>赤松　義生</t>
    <rPh sb="0" eb="2">
      <t>アカマツ</t>
    </rPh>
    <rPh sb="3" eb="5">
      <t>ヨシオ</t>
    </rPh>
    <phoneticPr fontId="3"/>
  </si>
  <si>
    <t>高(柳井工)</t>
    <rPh sb="0" eb="1">
      <t>コウ</t>
    </rPh>
    <rPh sb="2" eb="4">
      <t>ヤナイ</t>
    </rPh>
    <rPh sb="4" eb="5">
      <t>コウ</t>
    </rPh>
    <phoneticPr fontId="3"/>
  </si>
  <si>
    <t>山口県・平生町議,会社員(三沢鉄工所)</t>
    <rPh sb="0" eb="3">
      <t>ヤマグチケン</t>
    </rPh>
    <rPh sb="4" eb="6">
      <t>ヒラオ</t>
    </rPh>
    <rPh sb="6" eb="8">
      <t>チョウギ</t>
    </rPh>
    <rPh sb="9" eb="12">
      <t>カイシャイン</t>
    </rPh>
    <rPh sb="13" eb="15">
      <t>ミサワ</t>
    </rPh>
    <rPh sb="15" eb="18">
      <t>テッコウジョ</t>
    </rPh>
    <phoneticPr fontId="3"/>
  </si>
  <si>
    <t>248山口3区01</t>
    <rPh sb="3" eb="5">
      <t>ヤマグチ</t>
    </rPh>
    <rPh sb="6" eb="7">
      <t>ク</t>
    </rPh>
    <phoneticPr fontId="3"/>
  </si>
  <si>
    <t>248山口3区02</t>
    <rPh sb="3" eb="5">
      <t>ヤマグチ</t>
    </rPh>
    <rPh sb="6" eb="7">
      <t>ク</t>
    </rPh>
    <phoneticPr fontId="3"/>
  </si>
  <si>
    <t>248山口3区03</t>
    <rPh sb="3" eb="5">
      <t>ヤマグチ</t>
    </rPh>
    <rPh sb="6" eb="7">
      <t>ク</t>
    </rPh>
    <phoneticPr fontId="3"/>
  </si>
  <si>
    <t>中屋　大介</t>
    <rPh sb="0" eb="2">
      <t>ナカヤ</t>
    </rPh>
    <rPh sb="3" eb="5">
      <t>ダイスケ</t>
    </rPh>
    <phoneticPr fontId="3"/>
  </si>
  <si>
    <t>311比例九州09</t>
    <rPh sb="3" eb="5">
      <t>ヒレイ</t>
    </rPh>
    <rPh sb="5" eb="7">
      <t>キュウシュウ</t>
    </rPh>
    <phoneticPr fontId="3"/>
  </si>
  <si>
    <t>大院(九州)</t>
    <rPh sb="0" eb="2">
      <t>ダイイン</t>
    </rPh>
    <rPh sb="3" eb="5">
      <t>キュウシュウ</t>
    </rPh>
    <phoneticPr fontId="3"/>
  </si>
  <si>
    <t>研究員(福岡県人権研究所)</t>
    <rPh sb="0" eb="3">
      <t>ケンキュウイン</t>
    </rPh>
    <rPh sb="4" eb="6">
      <t>フクオカ</t>
    </rPh>
    <rPh sb="6" eb="7">
      <t>ケン</t>
    </rPh>
    <rPh sb="7" eb="9">
      <t>ジンケン</t>
    </rPh>
    <rPh sb="9" eb="12">
      <t>ケンキュウショ</t>
    </rPh>
    <phoneticPr fontId="3"/>
  </si>
  <si>
    <t>河村　建夫</t>
    <rPh sb="0" eb="2">
      <t>カワムラ</t>
    </rPh>
    <rPh sb="3" eb="5">
      <t>タケオ</t>
    </rPh>
    <phoneticPr fontId="3"/>
  </si>
  <si>
    <t>248山口3区</t>
    <rPh sb="3" eb="5">
      <t>ヤマグチ</t>
    </rPh>
    <rPh sb="6" eb="7">
      <t>ク</t>
    </rPh>
    <phoneticPr fontId="3"/>
  </si>
  <si>
    <t>山口県議(萩市),会社員(西部石油)</t>
    <rPh sb="0" eb="2">
      <t>ヤマグチ</t>
    </rPh>
    <rPh sb="2" eb="4">
      <t>ケンギ</t>
    </rPh>
    <rPh sb="5" eb="7">
      <t>ハギシ</t>
    </rPh>
    <rPh sb="9" eb="12">
      <t>カイシャイン</t>
    </rPh>
    <rPh sb="13" eb="15">
      <t>セイブ</t>
    </rPh>
    <rPh sb="15" eb="17">
      <t>セキユ</t>
    </rPh>
    <phoneticPr fontId="3"/>
  </si>
  <si>
    <t>議</t>
    <rPh sb="0" eb="1">
      <t>ギ</t>
    </rPh>
    <phoneticPr fontId="3"/>
  </si>
  <si>
    <t>自民党選対局長，元大臣(官房・拉致,文科),委長(懲罰,文科),副大臣(文科),政務次官(文部,法務),自民党政調会長代理</t>
    <rPh sb="0" eb="3">
      <t>ジミントウ</t>
    </rPh>
    <rPh sb="3" eb="5">
      <t>センタイ</t>
    </rPh>
    <rPh sb="5" eb="7">
      <t>キョクチョウ</t>
    </rPh>
    <rPh sb="8" eb="11">
      <t>モトダイジン</t>
    </rPh>
    <rPh sb="12" eb="14">
      <t>カンボウ</t>
    </rPh>
    <rPh sb="15" eb="17">
      <t>ラチ</t>
    </rPh>
    <rPh sb="18" eb="20">
      <t>モンカ</t>
    </rPh>
    <rPh sb="22" eb="24">
      <t>イチョウ</t>
    </rPh>
    <rPh sb="25" eb="27">
      <t>チョウバツ</t>
    </rPh>
    <rPh sb="28" eb="30">
      <t>モンカ</t>
    </rPh>
    <rPh sb="32" eb="35">
      <t>フクダイジン</t>
    </rPh>
    <rPh sb="36" eb="38">
      <t>モンカ</t>
    </rPh>
    <rPh sb="40" eb="42">
      <t>セイム</t>
    </rPh>
    <rPh sb="42" eb="44">
      <t>ジカン</t>
    </rPh>
    <rPh sb="45" eb="47">
      <t>モンブ</t>
    </rPh>
    <rPh sb="48" eb="50">
      <t>ホウム</t>
    </rPh>
    <rPh sb="52" eb="55">
      <t>ジミントウ</t>
    </rPh>
    <rPh sb="55" eb="57">
      <t>セイチョウ</t>
    </rPh>
    <rPh sb="57" eb="59">
      <t>カイチョウ</t>
    </rPh>
    <rPh sb="59" eb="61">
      <t>ダイリ</t>
    </rPh>
    <phoneticPr fontId="3"/>
  </si>
  <si>
    <t>五十嵐　仁美</t>
    <rPh sb="0" eb="3">
      <t>イガラシ</t>
    </rPh>
    <rPh sb="4" eb="6">
      <t>ヒトミ</t>
    </rPh>
    <phoneticPr fontId="3"/>
  </si>
  <si>
    <t>短大(九州女子)</t>
    <rPh sb="0" eb="2">
      <t>タンダイ</t>
    </rPh>
    <rPh sb="3" eb="5">
      <t>キュウシュウ</t>
    </rPh>
    <rPh sb="5" eb="7">
      <t>ジョシ</t>
    </rPh>
    <phoneticPr fontId="3"/>
  </si>
  <si>
    <t>共産党地区常任委員,小学校教諭</t>
    <rPh sb="0" eb="3">
      <t>キョウサントウ</t>
    </rPh>
    <rPh sb="3" eb="5">
      <t>チク</t>
    </rPh>
    <rPh sb="5" eb="7">
      <t>ジョウニン</t>
    </rPh>
    <rPh sb="7" eb="9">
      <t>イイン</t>
    </rPh>
    <rPh sb="10" eb="13">
      <t>ショウガッコウ</t>
    </rPh>
    <rPh sb="13" eb="15">
      <t>キョウユ</t>
    </rPh>
    <phoneticPr fontId="3"/>
  </si>
  <si>
    <t>249山口4区01</t>
    <rPh sb="3" eb="5">
      <t>ヤマグチ</t>
    </rPh>
    <rPh sb="6" eb="7">
      <t>ク</t>
    </rPh>
    <phoneticPr fontId="3"/>
  </si>
  <si>
    <t>249山口4区02</t>
    <rPh sb="3" eb="5">
      <t>ヤマグチ</t>
    </rPh>
    <rPh sb="6" eb="7">
      <t>ク</t>
    </rPh>
    <phoneticPr fontId="3"/>
  </si>
  <si>
    <t>249山口4区03</t>
    <rPh sb="3" eb="5">
      <t>ヤマグチ</t>
    </rPh>
    <rPh sb="6" eb="7">
      <t>ク</t>
    </rPh>
    <phoneticPr fontId="3"/>
  </si>
  <si>
    <t>安倍　晋三</t>
    <rPh sb="0" eb="2">
      <t>アベ</t>
    </rPh>
    <rPh sb="3" eb="5">
      <t>シンゾウ</t>
    </rPh>
    <phoneticPr fontId="3"/>
  </si>
  <si>
    <t>249山口4区</t>
    <rPh sb="3" eb="5">
      <t>ヤマグチ</t>
    </rPh>
    <rPh sb="6" eb="7">
      <t>ク</t>
    </rPh>
    <phoneticPr fontId="3"/>
  </si>
  <si>
    <t>議員秘書(安倍晋太郎),会社員(神戸製鋼所)</t>
    <rPh sb="0" eb="2">
      <t>ギイン</t>
    </rPh>
    <rPh sb="2" eb="4">
      <t>ヒショ</t>
    </rPh>
    <rPh sb="5" eb="7">
      <t>アベ</t>
    </rPh>
    <rPh sb="7" eb="10">
      <t>シンタロウ</t>
    </rPh>
    <rPh sb="12" eb="15">
      <t>カイシャイン</t>
    </rPh>
    <rPh sb="16" eb="18">
      <t>コウベ</t>
    </rPh>
    <rPh sb="18" eb="21">
      <t>セイコウジョ</t>
    </rPh>
    <phoneticPr fontId="3"/>
  </si>
  <si>
    <t>二</t>
    <rPh sb="0" eb="1">
      <t>ニ</t>
    </rPh>
    <phoneticPr fontId="3"/>
  </si>
  <si>
    <t>自民党総裁，元首相・自民党総裁,大臣(官房),副大臣(官房),自民党総裁,幹事長代理</t>
    <rPh sb="0" eb="3">
      <t>ジミントウ</t>
    </rPh>
    <rPh sb="3" eb="5">
      <t>ソウサイ</t>
    </rPh>
    <rPh sb="6" eb="9">
      <t>モトシュショウ</t>
    </rPh>
    <rPh sb="10" eb="13">
      <t>ジミントウ</t>
    </rPh>
    <rPh sb="13" eb="15">
      <t>ソウサイ</t>
    </rPh>
    <rPh sb="16" eb="18">
      <t>ダイジン</t>
    </rPh>
    <rPh sb="19" eb="21">
      <t>カンボウ</t>
    </rPh>
    <rPh sb="23" eb="26">
      <t>フクダイジン</t>
    </rPh>
    <rPh sb="27" eb="29">
      <t>カンボウ</t>
    </rPh>
    <rPh sb="31" eb="34">
      <t>ジミントウ</t>
    </rPh>
    <rPh sb="34" eb="36">
      <t>ソウサイ</t>
    </rPh>
    <rPh sb="37" eb="40">
      <t>カンジチョウ</t>
    </rPh>
    <rPh sb="40" eb="42">
      <t>ダイリ</t>
    </rPh>
    <phoneticPr fontId="3"/>
  </si>
  <si>
    <t>桧垣　徳雄</t>
    <rPh sb="0" eb="2">
      <t>ヒガキ</t>
    </rPh>
    <rPh sb="3" eb="5">
      <t>ノリオ</t>
    </rPh>
    <phoneticPr fontId="3"/>
  </si>
  <si>
    <t>大(香川)</t>
    <rPh sb="0" eb="1">
      <t>ダイ</t>
    </rPh>
    <rPh sb="2" eb="4">
      <t>カガワ</t>
    </rPh>
    <phoneticPr fontId="3"/>
  </si>
  <si>
    <t>山口県・下関市議,会社員(林兼産業)</t>
    <rPh sb="0" eb="3">
      <t>ヤマグチケン</t>
    </rPh>
    <rPh sb="4" eb="6">
      <t>シモノセキ</t>
    </rPh>
    <rPh sb="6" eb="8">
      <t>シギ</t>
    </rPh>
    <rPh sb="9" eb="12">
      <t>カイシャイン</t>
    </rPh>
    <rPh sb="13" eb="14">
      <t>リン</t>
    </rPh>
    <rPh sb="14" eb="15">
      <t>ケン</t>
    </rPh>
    <rPh sb="15" eb="17">
      <t>サンギョウ</t>
    </rPh>
    <phoneticPr fontId="3"/>
  </si>
  <si>
    <t>三浦　　昇</t>
    <rPh sb="0" eb="2">
      <t>ミウラ</t>
    </rPh>
    <rPh sb="4" eb="5">
      <t>ノボル</t>
    </rPh>
    <phoneticPr fontId="3"/>
  </si>
  <si>
    <t>309比例中国06</t>
    <rPh sb="3" eb="5">
      <t>ヒレイ</t>
    </rPh>
    <rPh sb="5" eb="7">
      <t>チュウゴク</t>
    </rPh>
    <phoneticPr fontId="3"/>
  </si>
  <si>
    <t>大院(慶應)</t>
    <rPh sb="0" eb="2">
      <t>ダイイン</t>
    </rPh>
    <rPh sb="3" eb="5">
      <t>ケイオウ</t>
    </rPh>
    <phoneticPr fontId="3"/>
  </si>
  <si>
    <t>山口県議(宇部市),会社役員(テリンクスドットコム)</t>
    <rPh sb="0" eb="2">
      <t>ヤマグチ</t>
    </rPh>
    <rPh sb="2" eb="4">
      <t>ケンギ</t>
    </rPh>
    <rPh sb="5" eb="8">
      <t>ウベシ</t>
    </rPh>
    <rPh sb="10" eb="12">
      <t>カイシャ</t>
    </rPh>
    <rPh sb="12" eb="14">
      <t>ヤクイン</t>
    </rPh>
    <phoneticPr fontId="3"/>
  </si>
  <si>
    <t>加藤　勝信</t>
    <rPh sb="0" eb="2">
      <t>カトウ</t>
    </rPh>
    <rPh sb="3" eb="5">
      <t>カツノブ</t>
    </rPh>
    <phoneticPr fontId="3"/>
  </si>
  <si>
    <t>大(東京)</t>
    <rPh sb="0" eb="1">
      <t>ダイ</t>
    </rPh>
    <rPh sb="2" eb="4">
      <t>トウキョウ</t>
    </rPh>
    <phoneticPr fontId="3"/>
  </si>
  <si>
    <t>議員秘書(加藤六月),大蔵省大臣官房企画官</t>
    <rPh sb="0" eb="2">
      <t>ギイン</t>
    </rPh>
    <rPh sb="2" eb="4">
      <t>ヒショ</t>
    </rPh>
    <rPh sb="5" eb="7">
      <t>カトウ</t>
    </rPh>
    <rPh sb="7" eb="9">
      <t>ムツキ</t>
    </rPh>
    <rPh sb="11" eb="21">
      <t>オオクラショウダイジンカンボウキカクカン</t>
    </rPh>
    <phoneticPr fontId="3"/>
  </si>
  <si>
    <t>官二</t>
    <rPh sb="0" eb="1">
      <t>カン</t>
    </rPh>
    <rPh sb="1" eb="2">
      <t>ニ</t>
    </rPh>
    <phoneticPr fontId="3"/>
  </si>
  <si>
    <t>3804比例中国公明01</t>
    <rPh sb="4" eb="6">
      <t>ヒレイ</t>
    </rPh>
    <rPh sb="6" eb="8">
      <t>チュウゴク</t>
    </rPh>
    <rPh sb="8" eb="10">
      <t>コウメイ</t>
    </rPh>
    <phoneticPr fontId="3"/>
  </si>
  <si>
    <t>3804比例中国公明02</t>
    <rPh sb="4" eb="6">
      <t>ヒレイ</t>
    </rPh>
    <rPh sb="6" eb="8">
      <t>チュウゴク</t>
    </rPh>
    <rPh sb="8" eb="10">
      <t>コウメイ</t>
    </rPh>
    <phoneticPr fontId="3"/>
  </si>
  <si>
    <t>斉藤　鉄夫</t>
    <rPh sb="0" eb="2">
      <t>サイトウ</t>
    </rPh>
    <rPh sb="3" eb="5">
      <t>テツオ</t>
    </rPh>
    <phoneticPr fontId="3"/>
  </si>
  <si>
    <t>309比例中国11</t>
    <rPh sb="3" eb="5">
      <t>ヒレイ</t>
    </rPh>
    <rPh sb="5" eb="7">
      <t>チュウゴク</t>
    </rPh>
    <phoneticPr fontId="3"/>
  </si>
  <si>
    <t>大院(東京工業)</t>
    <rPh sb="0" eb="2">
      <t>ダイイン</t>
    </rPh>
    <rPh sb="3" eb="5">
      <t>トウキョウ</t>
    </rPh>
    <rPh sb="5" eb="7">
      <t>コウギョウ</t>
    </rPh>
    <phoneticPr fontId="3"/>
  </si>
  <si>
    <t>会社員(清水建設)</t>
    <rPh sb="0" eb="3">
      <t>カイシャイン</t>
    </rPh>
    <rPh sb="4" eb="6">
      <t>シミズ</t>
    </rPh>
    <rPh sb="6" eb="8">
      <t>ケンセツ</t>
    </rPh>
    <phoneticPr fontId="3"/>
  </si>
  <si>
    <t>公明党幹事長代行，元大臣(環境),委長(文科),政務次官(科技),公明党政調会長</t>
    <rPh sb="0" eb="3">
      <t>コウメイトウ</t>
    </rPh>
    <rPh sb="3" eb="6">
      <t>カンジチョウ</t>
    </rPh>
    <rPh sb="6" eb="8">
      <t>ダイコウ</t>
    </rPh>
    <rPh sb="9" eb="12">
      <t>モトダイジン</t>
    </rPh>
    <rPh sb="13" eb="15">
      <t>カンキョウ</t>
    </rPh>
    <rPh sb="17" eb="19">
      <t>イチョウ</t>
    </rPh>
    <rPh sb="20" eb="22">
      <t>モンカ</t>
    </rPh>
    <rPh sb="24" eb="26">
      <t>セイム</t>
    </rPh>
    <rPh sb="26" eb="28">
      <t>ジカン</t>
    </rPh>
    <rPh sb="29" eb="31">
      <t>カギ</t>
    </rPh>
    <rPh sb="33" eb="36">
      <t>コウメイトウ</t>
    </rPh>
    <rPh sb="36" eb="38">
      <t>セイチョウ</t>
    </rPh>
    <rPh sb="38" eb="40">
      <t>カイチョウ</t>
    </rPh>
    <phoneticPr fontId="3"/>
  </si>
  <si>
    <t>桝屋　敬悟</t>
    <rPh sb="0" eb="2">
      <t>マスヤ</t>
    </rPh>
    <rPh sb="3" eb="5">
      <t>ケイゴ</t>
    </rPh>
    <phoneticPr fontId="3"/>
  </si>
  <si>
    <t>山口県民生部高齢福祉課長補佐</t>
    <rPh sb="0" eb="3">
      <t>ヤマグチケン</t>
    </rPh>
    <rPh sb="3" eb="6">
      <t>ミンセイブ</t>
    </rPh>
    <rPh sb="6" eb="8">
      <t>コウレイ</t>
    </rPh>
    <rPh sb="8" eb="10">
      <t>フクシ</t>
    </rPh>
    <rPh sb="10" eb="12">
      <t>カチョウ</t>
    </rPh>
    <rPh sb="12" eb="14">
      <t>ホサ</t>
    </rPh>
    <phoneticPr fontId="3"/>
  </si>
  <si>
    <t>　元委長(文科),副大臣(厚労),政務次官(厚生)</t>
    <rPh sb="1" eb="2">
      <t>モト</t>
    </rPh>
    <rPh sb="2" eb="4">
      <t>イチョウ</t>
    </rPh>
    <rPh sb="5" eb="7">
      <t>モンカ</t>
    </rPh>
    <rPh sb="9" eb="12">
      <t>フクダイジン</t>
    </rPh>
    <rPh sb="13" eb="15">
      <t>コウロウ</t>
    </rPh>
    <rPh sb="17" eb="19">
      <t>セイム</t>
    </rPh>
    <rPh sb="19" eb="21">
      <t>ジカン</t>
    </rPh>
    <rPh sb="22" eb="24">
      <t>コウセイ</t>
    </rPh>
    <phoneticPr fontId="3"/>
  </si>
  <si>
    <t>石村　智子</t>
    <rPh sb="0" eb="2">
      <t>イシムラ</t>
    </rPh>
    <rPh sb="3" eb="5">
      <t>トモコ</t>
    </rPh>
    <phoneticPr fontId="3"/>
  </si>
  <si>
    <t>高(岡山南)</t>
    <rPh sb="0" eb="1">
      <t>コウ</t>
    </rPh>
    <rPh sb="2" eb="4">
      <t>オカヤマ</t>
    </rPh>
    <rPh sb="4" eb="5">
      <t>ミナミ</t>
    </rPh>
    <phoneticPr fontId="3"/>
  </si>
  <si>
    <t>共産党岡山県常任委員,民青同盟岡山県委員長</t>
    <rPh sb="0" eb="3">
      <t>キョウサントウ</t>
    </rPh>
    <rPh sb="3" eb="6">
      <t>オカヤマケン</t>
    </rPh>
    <rPh sb="6" eb="8">
      <t>ジョウニン</t>
    </rPh>
    <rPh sb="8" eb="10">
      <t>イイン</t>
    </rPh>
    <rPh sb="11" eb="15">
      <t>ミンセイドウメイ</t>
    </rPh>
    <rPh sb="15" eb="18">
      <t>オカヤマケン</t>
    </rPh>
    <rPh sb="18" eb="21">
      <t>イインチョウ</t>
    </rPh>
    <phoneticPr fontId="3"/>
  </si>
  <si>
    <t>金子　哲夫</t>
    <rPh sb="0" eb="2">
      <t>カネコ</t>
    </rPh>
    <rPh sb="3" eb="5">
      <t>テツオ</t>
    </rPh>
    <phoneticPr fontId="3"/>
  </si>
  <si>
    <t>高(出雲)</t>
    <rPh sb="0" eb="1">
      <t>コウ</t>
    </rPh>
    <rPh sb="2" eb="4">
      <t>イズモ</t>
    </rPh>
    <phoneticPr fontId="3"/>
  </si>
  <si>
    <t>労</t>
    <rPh sb="0" eb="1">
      <t>ロウ</t>
    </rPh>
    <phoneticPr fontId="3"/>
  </si>
  <si>
    <t>議員秘書(栗原君子),全電通労組役員</t>
    <rPh sb="0" eb="2">
      <t>ギイン</t>
    </rPh>
    <rPh sb="2" eb="4">
      <t>ヒショ</t>
    </rPh>
    <rPh sb="5" eb="7">
      <t>クリハラ</t>
    </rPh>
    <rPh sb="7" eb="9">
      <t>キミコ</t>
    </rPh>
    <rPh sb="11" eb="14">
      <t>ゼンデンツウ</t>
    </rPh>
    <rPh sb="14" eb="16">
      <t>ロウソ</t>
    </rPh>
    <rPh sb="16" eb="18">
      <t>ヤクイン</t>
    </rPh>
    <phoneticPr fontId="3"/>
  </si>
  <si>
    <t>250徳島1区01</t>
    <rPh sb="3" eb="5">
      <t>トクシマ</t>
    </rPh>
    <rPh sb="6" eb="7">
      <t>ク</t>
    </rPh>
    <phoneticPr fontId="3"/>
  </si>
  <si>
    <t>250徳島1区02</t>
    <rPh sb="3" eb="5">
      <t>トクシマ</t>
    </rPh>
    <rPh sb="6" eb="7">
      <t>ク</t>
    </rPh>
    <phoneticPr fontId="3"/>
  </si>
  <si>
    <t>250徳島1区03</t>
    <rPh sb="3" eb="5">
      <t>トクシマ</t>
    </rPh>
    <rPh sb="6" eb="7">
      <t>ク</t>
    </rPh>
    <phoneticPr fontId="3"/>
  </si>
  <si>
    <t>仙谷　由人</t>
    <rPh sb="0" eb="2">
      <t>センゴク</t>
    </rPh>
    <rPh sb="3" eb="5">
      <t>ヨシト</t>
    </rPh>
    <phoneticPr fontId="3"/>
  </si>
  <si>
    <t>250徳島1区</t>
    <rPh sb="3" eb="5">
      <t>トクシマ</t>
    </rPh>
    <rPh sb="6" eb="7">
      <t>ク</t>
    </rPh>
    <phoneticPr fontId="3"/>
  </si>
  <si>
    <t>弁護士</t>
    <rPh sb="0" eb="3">
      <t>ベンゴシ</t>
    </rPh>
    <phoneticPr fontId="3"/>
  </si>
  <si>
    <t>福山　　守</t>
    <rPh sb="0" eb="2">
      <t>フクヤマ</t>
    </rPh>
    <rPh sb="4" eb="5">
      <t>マモル</t>
    </rPh>
    <phoneticPr fontId="3"/>
  </si>
  <si>
    <t>大(麻布獣医科)</t>
    <rPh sb="0" eb="1">
      <t>ダイ</t>
    </rPh>
    <rPh sb="2" eb="4">
      <t>アザブ</t>
    </rPh>
    <rPh sb="4" eb="5">
      <t>ジュウ</t>
    </rPh>
    <rPh sb="5" eb="7">
      <t>イカ</t>
    </rPh>
    <phoneticPr fontId="3"/>
  </si>
  <si>
    <t>法</t>
    <rPh sb="0" eb="1">
      <t>ホウ</t>
    </rPh>
    <phoneticPr fontId="3"/>
  </si>
  <si>
    <t>古田　元則</t>
    <rPh sb="0" eb="2">
      <t>フルタ</t>
    </rPh>
    <rPh sb="3" eb="5">
      <t>モトノリ</t>
    </rPh>
    <phoneticPr fontId="3"/>
  </si>
  <si>
    <t>共産党徳島県書記長,小学校教諭</t>
    <rPh sb="0" eb="3">
      <t>キョウサントウ</t>
    </rPh>
    <rPh sb="3" eb="6">
      <t>トクシマケン</t>
    </rPh>
    <rPh sb="6" eb="9">
      <t>ショキチョウ</t>
    </rPh>
    <rPh sb="10" eb="15">
      <t>ショウガッコウキョウユ</t>
    </rPh>
    <phoneticPr fontId="3"/>
  </si>
  <si>
    <t>251徳島2区01</t>
    <rPh sb="3" eb="5">
      <t>トクシマ</t>
    </rPh>
    <rPh sb="6" eb="7">
      <t>ク</t>
    </rPh>
    <phoneticPr fontId="3"/>
  </si>
  <si>
    <t>徳島県議(徳島),徳島県・徳島市議</t>
    <rPh sb="0" eb="2">
      <t>トクシマ</t>
    </rPh>
    <rPh sb="2" eb="4">
      <t>ケンギ</t>
    </rPh>
    <rPh sb="5" eb="7">
      <t>トクシマ</t>
    </rPh>
    <rPh sb="9" eb="12">
      <t>トクシマケン</t>
    </rPh>
    <rPh sb="13" eb="15">
      <t>トクシマ</t>
    </rPh>
    <rPh sb="15" eb="17">
      <t>シギ</t>
    </rPh>
    <phoneticPr fontId="3"/>
  </si>
  <si>
    <t>251徳島2区02</t>
    <rPh sb="3" eb="5">
      <t>トクシマ</t>
    </rPh>
    <rPh sb="6" eb="7">
      <t>ク</t>
    </rPh>
    <phoneticPr fontId="3"/>
  </si>
  <si>
    <t>251徳島2区03</t>
    <rPh sb="3" eb="5">
      <t>トクシマ</t>
    </rPh>
    <rPh sb="6" eb="7">
      <t>ク</t>
    </rPh>
    <phoneticPr fontId="3"/>
  </si>
  <si>
    <t>高井　美穂</t>
    <rPh sb="0" eb="2">
      <t>タカイ</t>
    </rPh>
    <rPh sb="3" eb="5">
      <t>ミホ</t>
    </rPh>
    <phoneticPr fontId="3"/>
  </si>
  <si>
    <t>251徳島2区</t>
    <rPh sb="3" eb="5">
      <t>トクシマ</t>
    </rPh>
    <rPh sb="6" eb="7">
      <t>ク</t>
    </rPh>
    <phoneticPr fontId="3"/>
  </si>
  <si>
    <t>会社員(ダイエー)</t>
    <rPh sb="0" eb="3">
      <t>カイシャイン</t>
    </rPh>
    <phoneticPr fontId="3"/>
  </si>
  <si>
    <t>　元副大臣(文科),政務官(文科)</t>
    <rPh sb="1" eb="2">
      <t>モト</t>
    </rPh>
    <rPh sb="2" eb="5">
      <t>フクダイジン</t>
    </rPh>
    <rPh sb="6" eb="8">
      <t>モンカ</t>
    </rPh>
    <rPh sb="10" eb="13">
      <t>セイムカン</t>
    </rPh>
    <rPh sb="14" eb="16">
      <t>モンカ</t>
    </rPh>
    <phoneticPr fontId="3"/>
  </si>
  <si>
    <t>山口　俊一</t>
    <rPh sb="0" eb="2">
      <t>ヤマグチ</t>
    </rPh>
    <rPh sb="3" eb="5">
      <t>シュンイチ</t>
    </rPh>
    <phoneticPr fontId="3"/>
  </si>
  <si>
    <t>大(青山学院)</t>
    <rPh sb="0" eb="1">
      <t>ダイ</t>
    </rPh>
    <rPh sb="2" eb="4">
      <t>アオヤマ</t>
    </rPh>
    <rPh sb="4" eb="6">
      <t>ガクイン</t>
    </rPh>
    <phoneticPr fontId="3"/>
  </si>
  <si>
    <t>麻生</t>
    <rPh sb="0" eb="2">
      <t>アソウ</t>
    </rPh>
    <phoneticPr fontId="3"/>
  </si>
  <si>
    <t>徳島県議(三好)</t>
    <rPh sb="0" eb="2">
      <t>トクシマ</t>
    </rPh>
    <rPh sb="2" eb="4">
      <t>ケンギ</t>
    </rPh>
    <rPh sb="5" eb="7">
      <t>ミヨシ</t>
    </rPh>
    <phoneticPr fontId="3"/>
  </si>
  <si>
    <t>　元委長(決行,財金),副大臣(総務),政務次官(郵政),首相補佐官,自民党総務会長代理</t>
    <rPh sb="1" eb="2">
      <t>モト</t>
    </rPh>
    <rPh sb="2" eb="4">
      <t>イチョウ</t>
    </rPh>
    <rPh sb="5" eb="7">
      <t>ケッコウ</t>
    </rPh>
    <rPh sb="8" eb="10">
      <t>ザイキン</t>
    </rPh>
    <rPh sb="12" eb="15">
      <t>フクダイジン</t>
    </rPh>
    <rPh sb="16" eb="18">
      <t>ソウム</t>
    </rPh>
    <rPh sb="20" eb="22">
      <t>セイム</t>
    </rPh>
    <rPh sb="22" eb="24">
      <t>ジカン</t>
    </rPh>
    <rPh sb="25" eb="27">
      <t>ユウセイ</t>
    </rPh>
    <rPh sb="29" eb="34">
      <t>シュショウホサカン</t>
    </rPh>
    <rPh sb="35" eb="38">
      <t>ジミントウ</t>
    </rPh>
    <rPh sb="38" eb="40">
      <t>ソウム</t>
    </rPh>
    <rPh sb="40" eb="42">
      <t>カイチョウ</t>
    </rPh>
    <rPh sb="42" eb="44">
      <t>ダイリ</t>
    </rPh>
    <phoneticPr fontId="3"/>
  </si>
  <si>
    <t>310比例四国05</t>
    <rPh sb="3" eb="5">
      <t>ヒレイ</t>
    </rPh>
    <rPh sb="5" eb="7">
      <t>シコク</t>
    </rPh>
    <phoneticPr fontId="3"/>
  </si>
  <si>
    <t>手塚　弘司</t>
    <rPh sb="0" eb="2">
      <t>テヅカ</t>
    </rPh>
    <rPh sb="3" eb="5">
      <t>コウジ</t>
    </rPh>
    <phoneticPr fontId="3"/>
  </si>
  <si>
    <t>高(板野)</t>
    <rPh sb="0" eb="1">
      <t>コウ</t>
    </rPh>
    <rPh sb="2" eb="4">
      <t>イタノ</t>
    </rPh>
    <phoneticPr fontId="3"/>
  </si>
  <si>
    <t>共産党地区副委員長,鳴門信用金庫労組役員</t>
    <rPh sb="0" eb="3">
      <t>キョウサントウ</t>
    </rPh>
    <rPh sb="3" eb="5">
      <t>チク</t>
    </rPh>
    <rPh sb="5" eb="9">
      <t>フクイインチョウ</t>
    </rPh>
    <rPh sb="10" eb="12">
      <t>ナルト</t>
    </rPh>
    <rPh sb="12" eb="14">
      <t>シンヨウ</t>
    </rPh>
    <rPh sb="14" eb="16">
      <t>キンコ</t>
    </rPh>
    <rPh sb="16" eb="18">
      <t>ロウソ</t>
    </rPh>
    <rPh sb="18" eb="20">
      <t>ヤクイン</t>
    </rPh>
    <phoneticPr fontId="3"/>
  </si>
  <si>
    <t>252徳島3区01</t>
    <rPh sb="3" eb="5">
      <t>トクシマ</t>
    </rPh>
    <rPh sb="6" eb="7">
      <t>ク</t>
    </rPh>
    <phoneticPr fontId="3"/>
  </si>
  <si>
    <t>252徳島3区02</t>
    <rPh sb="3" eb="5">
      <t>トクシマ</t>
    </rPh>
    <rPh sb="6" eb="7">
      <t>ク</t>
    </rPh>
    <phoneticPr fontId="3"/>
  </si>
  <si>
    <t>252徳島3区03</t>
    <rPh sb="3" eb="5">
      <t>トクシマ</t>
    </rPh>
    <rPh sb="6" eb="7">
      <t>ク</t>
    </rPh>
    <phoneticPr fontId="3"/>
  </si>
  <si>
    <t>252徳島3区04</t>
    <rPh sb="3" eb="5">
      <t>トクシマ</t>
    </rPh>
    <rPh sb="6" eb="7">
      <t>ク</t>
    </rPh>
    <phoneticPr fontId="3"/>
  </si>
  <si>
    <t>仁木　博文</t>
    <rPh sb="0" eb="2">
      <t>ニキ</t>
    </rPh>
    <rPh sb="3" eb="5">
      <t>ヒロブミ</t>
    </rPh>
    <phoneticPr fontId="3"/>
  </si>
  <si>
    <t>310比例四国01</t>
    <rPh sb="3" eb="5">
      <t>ヒレイ</t>
    </rPh>
    <rPh sb="5" eb="7">
      <t>シコク</t>
    </rPh>
    <phoneticPr fontId="3"/>
  </si>
  <si>
    <t>医師(徳島県立海部病院/産婦人科)</t>
    <rPh sb="0" eb="2">
      <t>イシ</t>
    </rPh>
    <rPh sb="3" eb="5">
      <t>トクシマ</t>
    </rPh>
    <rPh sb="5" eb="7">
      <t>ケンリツ</t>
    </rPh>
    <rPh sb="7" eb="9">
      <t>カイフ</t>
    </rPh>
    <rPh sb="9" eb="11">
      <t>ビョウイン</t>
    </rPh>
    <rPh sb="12" eb="16">
      <t>サンフジンカ</t>
    </rPh>
    <phoneticPr fontId="3"/>
  </si>
  <si>
    <t>後藤田　正純</t>
    <rPh sb="0" eb="3">
      <t>ゴトウダ</t>
    </rPh>
    <rPh sb="4" eb="6">
      <t>マサズミ</t>
    </rPh>
    <phoneticPr fontId="3"/>
  </si>
  <si>
    <t>252徳島3区</t>
    <rPh sb="3" eb="5">
      <t>トクシマ</t>
    </rPh>
    <rPh sb="6" eb="7">
      <t>ク</t>
    </rPh>
    <phoneticPr fontId="3"/>
  </si>
  <si>
    <t>会社員(三菱商事),議員秘書(後藤田正晴)</t>
    <rPh sb="0" eb="3">
      <t>カイシャイン</t>
    </rPh>
    <rPh sb="4" eb="6">
      <t>ミツビシ</t>
    </rPh>
    <rPh sb="6" eb="8">
      <t>ショウジ</t>
    </rPh>
    <rPh sb="10" eb="12">
      <t>ギイン</t>
    </rPh>
    <rPh sb="12" eb="14">
      <t>ヒショ</t>
    </rPh>
    <rPh sb="15" eb="18">
      <t>ゴトウダ</t>
    </rPh>
    <rPh sb="18" eb="20">
      <t>マサハル</t>
    </rPh>
    <phoneticPr fontId="3"/>
  </si>
  <si>
    <t>衆議院決算行政監視委員長，元政務官(内閣)</t>
    <rPh sb="0" eb="3">
      <t>シュウギイン</t>
    </rPh>
    <rPh sb="3" eb="5">
      <t>ケッサン</t>
    </rPh>
    <rPh sb="5" eb="7">
      <t>ギョウセイ</t>
    </rPh>
    <rPh sb="7" eb="9">
      <t>カンシ</t>
    </rPh>
    <rPh sb="9" eb="12">
      <t>イインチョウ</t>
    </rPh>
    <rPh sb="13" eb="14">
      <t>モト</t>
    </rPh>
    <rPh sb="14" eb="17">
      <t>セイムカン</t>
    </rPh>
    <rPh sb="18" eb="20">
      <t>ナイカク</t>
    </rPh>
    <phoneticPr fontId="3"/>
  </si>
  <si>
    <t>谷内　智和</t>
    <rPh sb="0" eb="2">
      <t>タニウチ</t>
    </rPh>
    <rPh sb="3" eb="5">
      <t>トモカズ</t>
    </rPh>
    <phoneticPr fontId="3"/>
  </si>
  <si>
    <t>大(四国)</t>
    <rPh sb="0" eb="1">
      <t>ダイ</t>
    </rPh>
    <rPh sb="2" eb="4">
      <t>シコク</t>
    </rPh>
    <phoneticPr fontId="3"/>
  </si>
  <si>
    <t>共産党地区常任委員,赤旗記者</t>
    <rPh sb="0" eb="3">
      <t>キョウサントウ</t>
    </rPh>
    <rPh sb="3" eb="5">
      <t>チク</t>
    </rPh>
    <rPh sb="5" eb="7">
      <t>ジョウニン</t>
    </rPh>
    <rPh sb="7" eb="9">
      <t>イイン</t>
    </rPh>
    <rPh sb="10" eb="12">
      <t>アカハタ</t>
    </rPh>
    <rPh sb="12" eb="14">
      <t>キシャ</t>
    </rPh>
    <phoneticPr fontId="3"/>
  </si>
  <si>
    <t>小松　由佳</t>
    <rPh sb="0" eb="2">
      <t>コマツ</t>
    </rPh>
    <rPh sb="3" eb="5">
      <t>ユカ</t>
    </rPh>
    <phoneticPr fontId="3"/>
  </si>
  <si>
    <t>幸福実現党員</t>
    <rPh sb="0" eb="2">
      <t>コウフク</t>
    </rPh>
    <rPh sb="2" eb="4">
      <t>ジツゲン</t>
    </rPh>
    <rPh sb="4" eb="6">
      <t>トウイン</t>
    </rPh>
    <phoneticPr fontId="3"/>
  </si>
  <si>
    <t>253香川1区01</t>
    <rPh sb="3" eb="5">
      <t>カガワ</t>
    </rPh>
    <rPh sb="6" eb="7">
      <t>ク</t>
    </rPh>
    <phoneticPr fontId="3"/>
  </si>
  <si>
    <t>253香川1区02</t>
    <rPh sb="3" eb="5">
      <t>カガワ</t>
    </rPh>
    <rPh sb="6" eb="7">
      <t>ク</t>
    </rPh>
    <phoneticPr fontId="3"/>
  </si>
  <si>
    <t>253香川1区03</t>
    <rPh sb="3" eb="5">
      <t>カガワ</t>
    </rPh>
    <rPh sb="6" eb="7">
      <t>ク</t>
    </rPh>
    <phoneticPr fontId="3"/>
  </si>
  <si>
    <t>小川　淳也</t>
    <rPh sb="0" eb="2">
      <t>オガワ</t>
    </rPh>
    <rPh sb="3" eb="5">
      <t>ジュンヤ</t>
    </rPh>
    <phoneticPr fontId="3"/>
  </si>
  <si>
    <t>253香川1区</t>
    <rPh sb="3" eb="5">
      <t>カガワ</t>
    </rPh>
    <rPh sb="6" eb="7">
      <t>ク</t>
    </rPh>
    <phoneticPr fontId="3"/>
  </si>
  <si>
    <t>総務省大臣官房秘書課課長補佐</t>
    <rPh sb="0" eb="3">
      <t>ソウムショウ</t>
    </rPh>
    <rPh sb="3" eb="5">
      <t>ダイジン</t>
    </rPh>
    <rPh sb="5" eb="7">
      <t>カンボウ</t>
    </rPh>
    <rPh sb="7" eb="10">
      <t>ヒショカ</t>
    </rPh>
    <rPh sb="10" eb="12">
      <t>カチョウ</t>
    </rPh>
    <rPh sb="12" eb="14">
      <t>ホサ</t>
    </rPh>
    <phoneticPr fontId="3"/>
  </si>
  <si>
    <t>　元政務官(総務)</t>
    <rPh sb="1" eb="2">
      <t>モト</t>
    </rPh>
    <rPh sb="2" eb="5">
      <t>セイムカン</t>
    </rPh>
    <rPh sb="6" eb="8">
      <t>ソウム</t>
    </rPh>
    <phoneticPr fontId="3"/>
  </si>
  <si>
    <t>官</t>
    <rPh sb="0" eb="1">
      <t>カン</t>
    </rPh>
    <phoneticPr fontId="3"/>
  </si>
  <si>
    <t>平井　卓也</t>
    <rPh sb="0" eb="2">
      <t>ヒライ</t>
    </rPh>
    <rPh sb="3" eb="5">
      <t>タクヤ</t>
    </rPh>
    <phoneticPr fontId="3"/>
  </si>
  <si>
    <t>310比例四国04</t>
    <rPh sb="3" eb="5">
      <t>ヒレイ</t>
    </rPh>
    <rPh sb="5" eb="7">
      <t>シコク</t>
    </rPh>
    <phoneticPr fontId="3"/>
  </si>
  <si>
    <t>会社社長(西日本放送),学校法人理事長(高松中央高校)</t>
    <rPh sb="0" eb="2">
      <t>カイシャ</t>
    </rPh>
    <rPh sb="2" eb="4">
      <t>シャチョウ</t>
    </rPh>
    <rPh sb="5" eb="8">
      <t>ニシニホン</t>
    </rPh>
    <rPh sb="8" eb="10">
      <t>ホウソウ</t>
    </rPh>
    <rPh sb="12" eb="19">
      <t>ガッコウホウジンリジチョウ</t>
    </rPh>
    <rPh sb="20" eb="26">
      <t>タカマツチュウオウコウコウ</t>
    </rPh>
    <phoneticPr fontId="3"/>
  </si>
  <si>
    <t>　元副大臣(国交),政務官(内閣)</t>
    <rPh sb="1" eb="2">
      <t>モト</t>
    </rPh>
    <rPh sb="2" eb="5">
      <t>フクダイジン</t>
    </rPh>
    <rPh sb="6" eb="8">
      <t>コッコウ</t>
    </rPh>
    <rPh sb="10" eb="13">
      <t>セイムカン</t>
    </rPh>
    <rPh sb="14" eb="16">
      <t>ナイカク</t>
    </rPh>
    <phoneticPr fontId="3"/>
  </si>
  <si>
    <t>河村　　整</t>
    <rPh sb="0" eb="2">
      <t>カワムラ</t>
    </rPh>
    <rPh sb="4" eb="5">
      <t>タダシ</t>
    </rPh>
    <phoneticPr fontId="3"/>
  </si>
  <si>
    <t>共産党香川県書記長,香川県生協労組書記長</t>
    <rPh sb="0" eb="3">
      <t>キョウサントウ</t>
    </rPh>
    <rPh sb="3" eb="6">
      <t>カガワケン</t>
    </rPh>
    <rPh sb="6" eb="9">
      <t>ショキチョウ</t>
    </rPh>
    <rPh sb="10" eb="13">
      <t>カガワケン</t>
    </rPh>
    <rPh sb="13" eb="15">
      <t>セイキョウ</t>
    </rPh>
    <rPh sb="15" eb="17">
      <t>ロウソ</t>
    </rPh>
    <rPh sb="17" eb="20">
      <t>ショキチョウ</t>
    </rPh>
    <phoneticPr fontId="3"/>
  </si>
  <si>
    <t>254香川2区01</t>
    <rPh sb="3" eb="5">
      <t>カガワ</t>
    </rPh>
    <rPh sb="6" eb="7">
      <t>ク</t>
    </rPh>
    <phoneticPr fontId="3"/>
  </si>
  <si>
    <t>254香川2区02</t>
    <rPh sb="3" eb="5">
      <t>カガワ</t>
    </rPh>
    <rPh sb="6" eb="7">
      <t>ク</t>
    </rPh>
    <phoneticPr fontId="3"/>
  </si>
  <si>
    <t>254香川2区03</t>
    <rPh sb="3" eb="5">
      <t>カガワ</t>
    </rPh>
    <rPh sb="6" eb="7">
      <t>ク</t>
    </rPh>
    <phoneticPr fontId="3"/>
  </si>
  <si>
    <t>玉木　雄一郎</t>
    <rPh sb="0" eb="2">
      <t>タマキ</t>
    </rPh>
    <rPh sb="3" eb="6">
      <t>ユウイチロウ</t>
    </rPh>
    <phoneticPr fontId="3"/>
  </si>
  <si>
    <t>254香川2区</t>
    <rPh sb="3" eb="5">
      <t>カガワ</t>
    </rPh>
    <rPh sb="6" eb="7">
      <t>ク</t>
    </rPh>
    <phoneticPr fontId="3"/>
  </si>
  <si>
    <t>瀬戸　隆一</t>
    <rPh sb="0" eb="2">
      <t>セト</t>
    </rPh>
    <rPh sb="3" eb="5">
      <t>タカカズ</t>
    </rPh>
    <phoneticPr fontId="3"/>
  </si>
  <si>
    <t>内閣府被災者支援チーム企画官(総務省)</t>
    <rPh sb="0" eb="3">
      <t>ナイカクフ</t>
    </rPh>
    <rPh sb="3" eb="6">
      <t>ヒサイシャ</t>
    </rPh>
    <rPh sb="6" eb="8">
      <t>シエン</t>
    </rPh>
    <rPh sb="11" eb="14">
      <t>キカクカン</t>
    </rPh>
    <rPh sb="15" eb="18">
      <t>ソウムショウ</t>
    </rPh>
    <phoneticPr fontId="3"/>
  </si>
  <si>
    <t>波多野　里奈</t>
    <rPh sb="0" eb="3">
      <t>ハタノ</t>
    </rPh>
    <rPh sb="4" eb="6">
      <t>リナ</t>
    </rPh>
    <phoneticPr fontId="3"/>
  </si>
  <si>
    <t>会社社長(ファイナンシャルアナウンサー),テレビアナウンサー(青森朝日放送)</t>
    <rPh sb="0" eb="2">
      <t>カイシャ</t>
    </rPh>
    <rPh sb="2" eb="4">
      <t>シャチョウ</t>
    </rPh>
    <rPh sb="31" eb="33">
      <t>アオモリ</t>
    </rPh>
    <rPh sb="33" eb="35">
      <t>アサヒ</t>
    </rPh>
    <rPh sb="35" eb="37">
      <t>ホウソウ</t>
    </rPh>
    <phoneticPr fontId="3"/>
  </si>
  <si>
    <t>ジ</t>
    <phoneticPr fontId="3"/>
  </si>
  <si>
    <t>255香川3区01</t>
    <rPh sb="3" eb="5">
      <t>カガワ</t>
    </rPh>
    <rPh sb="6" eb="7">
      <t>ク</t>
    </rPh>
    <phoneticPr fontId="3"/>
  </si>
  <si>
    <t>255香川3区02</t>
    <rPh sb="3" eb="5">
      <t>カガワ</t>
    </rPh>
    <rPh sb="6" eb="7">
      <t>ク</t>
    </rPh>
    <phoneticPr fontId="3"/>
  </si>
  <si>
    <t>255香川3区03</t>
    <rPh sb="3" eb="5">
      <t>カガワ</t>
    </rPh>
    <rPh sb="6" eb="7">
      <t>ク</t>
    </rPh>
    <phoneticPr fontId="3"/>
  </si>
  <si>
    <t>大野　敬太郎</t>
    <rPh sb="0" eb="2">
      <t>オオノ</t>
    </rPh>
    <rPh sb="3" eb="6">
      <t>ケイタロウ</t>
    </rPh>
    <phoneticPr fontId="3"/>
  </si>
  <si>
    <t>議員秘書(大野功統),会社員(富士通研究所)</t>
    <rPh sb="0" eb="2">
      <t>ギイン</t>
    </rPh>
    <rPh sb="2" eb="4">
      <t>ヒショ</t>
    </rPh>
    <rPh sb="5" eb="7">
      <t>オオノ</t>
    </rPh>
    <rPh sb="7" eb="9">
      <t>ヨシノリ</t>
    </rPh>
    <rPh sb="11" eb="14">
      <t>カイシャイン</t>
    </rPh>
    <rPh sb="15" eb="18">
      <t>フジツウ</t>
    </rPh>
    <rPh sb="18" eb="21">
      <t>ケンキュウジョ</t>
    </rPh>
    <phoneticPr fontId="3"/>
  </si>
  <si>
    <t>藤田　　均</t>
    <rPh sb="0" eb="2">
      <t>フジタ</t>
    </rPh>
    <rPh sb="4" eb="5">
      <t>ヒトシ</t>
    </rPh>
    <phoneticPr fontId="3"/>
  </si>
  <si>
    <t>米田　晴彦</t>
    <rPh sb="0" eb="2">
      <t>マイダ</t>
    </rPh>
    <rPh sb="3" eb="5">
      <t>ハルヒコ</t>
    </rPh>
    <phoneticPr fontId="3"/>
  </si>
  <si>
    <t>社民党香川県連合副代表,丸亀市職労書記長</t>
    <rPh sb="0" eb="3">
      <t>シャミントウ</t>
    </rPh>
    <rPh sb="3" eb="5">
      <t>カガワ</t>
    </rPh>
    <rPh sb="5" eb="6">
      <t>ケン</t>
    </rPh>
    <rPh sb="6" eb="8">
      <t>レンゴウ</t>
    </rPh>
    <rPh sb="8" eb="11">
      <t>フクダイヒョウ</t>
    </rPh>
    <rPh sb="12" eb="14">
      <t>マルガメ</t>
    </rPh>
    <rPh sb="14" eb="17">
      <t>シショクロウ</t>
    </rPh>
    <rPh sb="17" eb="20">
      <t>ショキチョウ</t>
    </rPh>
    <phoneticPr fontId="3"/>
  </si>
  <si>
    <t>256愛媛1区01</t>
    <rPh sb="3" eb="5">
      <t>エヒメ</t>
    </rPh>
    <rPh sb="6" eb="7">
      <t>ク</t>
    </rPh>
    <phoneticPr fontId="3"/>
  </si>
  <si>
    <t>256愛媛1区02</t>
    <rPh sb="3" eb="5">
      <t>エヒメ</t>
    </rPh>
    <rPh sb="6" eb="7">
      <t>ク</t>
    </rPh>
    <phoneticPr fontId="3"/>
  </si>
  <si>
    <t>256愛媛1区03</t>
    <rPh sb="3" eb="5">
      <t>エヒメ</t>
    </rPh>
    <rPh sb="6" eb="7">
      <t>ク</t>
    </rPh>
    <phoneticPr fontId="3"/>
  </si>
  <si>
    <t>議二</t>
    <rPh sb="0" eb="1">
      <t>ギ</t>
    </rPh>
    <rPh sb="1" eb="2">
      <t>ニ</t>
    </rPh>
    <phoneticPr fontId="3"/>
  </si>
  <si>
    <t>308比例近畿04</t>
    <rPh sb="3" eb="5">
      <t>ヒレイ</t>
    </rPh>
    <rPh sb="5" eb="7">
      <t>キンキ</t>
    </rPh>
    <phoneticPr fontId="3"/>
  </si>
  <si>
    <t>共産党地区副委員長,民青同盟岐阜県委員長,航空自衛隊員</t>
    <rPh sb="0" eb="3">
      <t>キョウサントウ</t>
    </rPh>
    <rPh sb="3" eb="5">
      <t>チク</t>
    </rPh>
    <rPh sb="5" eb="9">
      <t>フクイインチョウ</t>
    </rPh>
    <rPh sb="10" eb="14">
      <t>ミンセイドウメイ</t>
    </rPh>
    <rPh sb="14" eb="17">
      <t>ギフケン</t>
    </rPh>
    <rPh sb="17" eb="20">
      <t>イインチョウ</t>
    </rPh>
    <rPh sb="21" eb="23">
      <t>コウクウ</t>
    </rPh>
    <rPh sb="23" eb="25">
      <t>ジエイ</t>
    </rPh>
    <rPh sb="25" eb="27">
      <t>タイイン</t>
    </rPh>
    <phoneticPr fontId="3"/>
  </si>
  <si>
    <t>永江　孝子</t>
    <rPh sb="0" eb="2">
      <t>ナガエ</t>
    </rPh>
    <rPh sb="3" eb="5">
      <t>タカコ</t>
    </rPh>
    <phoneticPr fontId="3"/>
  </si>
  <si>
    <t>310比例四国02</t>
    <rPh sb="3" eb="5">
      <t>ヒレイ</t>
    </rPh>
    <rPh sb="5" eb="7">
      <t>シコク</t>
    </rPh>
    <phoneticPr fontId="3"/>
  </si>
  <si>
    <t>大(神戸)</t>
    <rPh sb="0" eb="1">
      <t>ダイ</t>
    </rPh>
    <rPh sb="2" eb="4">
      <t>コウベ</t>
    </rPh>
    <phoneticPr fontId="3"/>
  </si>
  <si>
    <t>テレビアナウンサー(南海放送)</t>
    <rPh sb="10" eb="12">
      <t>ナンカイ</t>
    </rPh>
    <rPh sb="12" eb="14">
      <t>ホウソウ</t>
    </rPh>
    <phoneticPr fontId="3"/>
  </si>
  <si>
    <t>塩崎　恭久</t>
    <rPh sb="0" eb="2">
      <t>シオザキ</t>
    </rPh>
    <rPh sb="3" eb="5">
      <t>ヤスヒサ</t>
    </rPh>
    <phoneticPr fontId="3"/>
  </si>
  <si>
    <t>256愛媛1区</t>
    <rPh sb="3" eb="5">
      <t>エヒメ</t>
    </rPh>
    <rPh sb="6" eb="7">
      <t>ク</t>
    </rPh>
    <phoneticPr fontId="3"/>
  </si>
  <si>
    <t>議員秘書(塩崎潤),日本銀行員</t>
    <rPh sb="0" eb="2">
      <t>ギイン</t>
    </rPh>
    <rPh sb="2" eb="4">
      <t>ヒショ</t>
    </rPh>
    <rPh sb="5" eb="7">
      <t>シオザキ</t>
    </rPh>
    <rPh sb="7" eb="8">
      <t>ジュン</t>
    </rPh>
    <rPh sb="10" eb="12">
      <t>ニホン</t>
    </rPh>
    <rPh sb="12" eb="15">
      <t>ギンコウイン</t>
    </rPh>
    <phoneticPr fontId="3"/>
  </si>
  <si>
    <t>　元大臣(官房・拉致),委長(法務),副大臣(外務),政務次官(大蔵),参1</t>
    <rPh sb="1" eb="4">
      <t>モトダイジン</t>
    </rPh>
    <rPh sb="5" eb="7">
      <t>カンボウ</t>
    </rPh>
    <rPh sb="8" eb="10">
      <t>ラチ</t>
    </rPh>
    <rPh sb="12" eb="14">
      <t>イチョウ</t>
    </rPh>
    <rPh sb="15" eb="17">
      <t>ホウム</t>
    </rPh>
    <rPh sb="19" eb="22">
      <t>フクダイジン</t>
    </rPh>
    <rPh sb="23" eb="25">
      <t>ガイム</t>
    </rPh>
    <rPh sb="27" eb="29">
      <t>セイム</t>
    </rPh>
    <rPh sb="29" eb="31">
      <t>ジカン</t>
    </rPh>
    <rPh sb="32" eb="34">
      <t>オオクラ</t>
    </rPh>
    <rPh sb="36" eb="37">
      <t>サン</t>
    </rPh>
    <phoneticPr fontId="3"/>
  </si>
  <si>
    <t>鞍二</t>
    <rPh sb="0" eb="1">
      <t>クラ</t>
    </rPh>
    <rPh sb="1" eb="2">
      <t>ニ</t>
    </rPh>
    <phoneticPr fontId="3"/>
  </si>
  <si>
    <t>鞍</t>
    <rPh sb="0" eb="1">
      <t>クラ</t>
    </rPh>
    <phoneticPr fontId="3"/>
  </si>
  <si>
    <t>友近　聡朗</t>
    <rPh sb="0" eb="2">
      <t>トモチカ</t>
    </rPh>
    <rPh sb="3" eb="5">
      <t>トシロウ</t>
    </rPh>
    <phoneticPr fontId="3"/>
  </si>
  <si>
    <t>参</t>
    <rPh sb="0" eb="1">
      <t>サン</t>
    </rPh>
    <phoneticPr fontId="3"/>
  </si>
  <si>
    <t>田中　克彦</t>
    <rPh sb="0" eb="2">
      <t>タナカ</t>
    </rPh>
    <rPh sb="3" eb="5">
      <t>カツヒコ</t>
    </rPh>
    <phoneticPr fontId="3"/>
  </si>
  <si>
    <t>高(海南)</t>
    <rPh sb="0" eb="1">
      <t>コウ</t>
    </rPh>
    <rPh sb="2" eb="4">
      <t>カイナン</t>
    </rPh>
    <phoneticPr fontId="3"/>
  </si>
  <si>
    <t>共産党地区委員長,運輸省職員</t>
    <rPh sb="0" eb="3">
      <t>キョウサントウ</t>
    </rPh>
    <rPh sb="3" eb="5">
      <t>チク</t>
    </rPh>
    <rPh sb="5" eb="8">
      <t>イインチョウ</t>
    </rPh>
    <rPh sb="9" eb="12">
      <t>ウンユショウ</t>
    </rPh>
    <rPh sb="12" eb="14">
      <t>ショクイン</t>
    </rPh>
    <phoneticPr fontId="3"/>
  </si>
  <si>
    <t>257愛媛2区01</t>
    <rPh sb="3" eb="5">
      <t>エヒメ</t>
    </rPh>
    <rPh sb="6" eb="7">
      <t>ク</t>
    </rPh>
    <phoneticPr fontId="3"/>
  </si>
  <si>
    <t>257愛媛2区02</t>
    <rPh sb="3" eb="5">
      <t>エヒメ</t>
    </rPh>
    <rPh sb="6" eb="7">
      <t>ク</t>
    </rPh>
    <phoneticPr fontId="3"/>
  </si>
  <si>
    <t>257愛媛2区03</t>
    <rPh sb="3" eb="5">
      <t>エヒメ</t>
    </rPh>
    <rPh sb="6" eb="7">
      <t>ク</t>
    </rPh>
    <phoneticPr fontId="3"/>
  </si>
  <si>
    <t>村上　誠一郎</t>
    <rPh sb="0" eb="2">
      <t>ムラカミ</t>
    </rPh>
    <rPh sb="3" eb="6">
      <t>セイイチロウ</t>
    </rPh>
    <phoneticPr fontId="3"/>
  </si>
  <si>
    <t>257愛媛2区</t>
    <rPh sb="3" eb="5">
      <t>エヒメ</t>
    </rPh>
    <rPh sb="6" eb="7">
      <t>ク</t>
    </rPh>
    <phoneticPr fontId="3"/>
  </si>
  <si>
    <t>議員秘書(河本敏夫)</t>
    <rPh sb="0" eb="2">
      <t>ギイン</t>
    </rPh>
    <rPh sb="2" eb="4">
      <t>ヒショ</t>
    </rPh>
    <rPh sb="5" eb="7">
      <t>コウモト</t>
    </rPh>
    <rPh sb="7" eb="9">
      <t>トシオ</t>
    </rPh>
    <phoneticPr fontId="3"/>
  </si>
  <si>
    <t>　元大臣(行革・規制),委長(大蔵,石炭特),副大臣(財務),政務次官(大蔵)</t>
    <rPh sb="1" eb="4">
      <t>モトダイジン</t>
    </rPh>
    <rPh sb="5" eb="7">
      <t>ギョウカク</t>
    </rPh>
    <rPh sb="8" eb="10">
      <t>キセイ</t>
    </rPh>
    <rPh sb="12" eb="14">
      <t>イチョウ</t>
    </rPh>
    <rPh sb="15" eb="17">
      <t>オオクラ</t>
    </rPh>
    <rPh sb="18" eb="20">
      <t>セキタン</t>
    </rPh>
    <rPh sb="20" eb="21">
      <t>トク</t>
    </rPh>
    <rPh sb="23" eb="26">
      <t>フクダイジン</t>
    </rPh>
    <rPh sb="27" eb="29">
      <t>ザイム</t>
    </rPh>
    <rPh sb="31" eb="33">
      <t>セイム</t>
    </rPh>
    <rPh sb="33" eb="35">
      <t>ジカン</t>
    </rPh>
    <rPh sb="36" eb="38">
      <t>オオクラ</t>
    </rPh>
    <phoneticPr fontId="3"/>
  </si>
  <si>
    <t>258愛媛3区01</t>
    <rPh sb="3" eb="5">
      <t>エヒメ</t>
    </rPh>
    <rPh sb="6" eb="7">
      <t>ク</t>
    </rPh>
    <phoneticPr fontId="3"/>
  </si>
  <si>
    <t>258愛媛3区02</t>
    <rPh sb="3" eb="5">
      <t>エヒメ</t>
    </rPh>
    <rPh sb="6" eb="7">
      <t>ク</t>
    </rPh>
    <phoneticPr fontId="3"/>
  </si>
  <si>
    <t>258愛媛3区03</t>
    <rPh sb="3" eb="5">
      <t>エヒメ</t>
    </rPh>
    <rPh sb="6" eb="7">
      <t>ク</t>
    </rPh>
    <phoneticPr fontId="3"/>
  </si>
  <si>
    <t>白石　洋一</t>
    <rPh sb="0" eb="2">
      <t>シライシ</t>
    </rPh>
    <rPh sb="3" eb="5">
      <t>ヨウイチ</t>
    </rPh>
    <phoneticPr fontId="3"/>
  </si>
  <si>
    <t>258愛媛3区</t>
    <rPh sb="3" eb="5">
      <t>エヒメ</t>
    </rPh>
    <rPh sb="6" eb="7">
      <t>ク</t>
    </rPh>
    <phoneticPr fontId="3"/>
  </si>
  <si>
    <t>大院(カリフォルニア州立大バークレー)</t>
    <rPh sb="0" eb="2">
      <t>ダイイン</t>
    </rPh>
    <rPh sb="10" eb="13">
      <t>シュウリツダイ</t>
    </rPh>
    <phoneticPr fontId="3"/>
  </si>
  <si>
    <t>会社員(監査法人KPMG),銀行員(日本長期信用銀行)</t>
    <rPh sb="0" eb="3">
      <t>カイシャイン</t>
    </rPh>
    <rPh sb="4" eb="6">
      <t>カンサ</t>
    </rPh>
    <rPh sb="6" eb="8">
      <t>ホウジン</t>
    </rPh>
    <rPh sb="14" eb="17">
      <t>ギンコウイン</t>
    </rPh>
    <rPh sb="18" eb="20">
      <t>ニホン</t>
    </rPh>
    <rPh sb="20" eb="22">
      <t>チョウキ</t>
    </rPh>
    <rPh sb="22" eb="24">
      <t>シンヨウ</t>
    </rPh>
    <rPh sb="24" eb="26">
      <t>ギンコウ</t>
    </rPh>
    <phoneticPr fontId="3"/>
  </si>
  <si>
    <t>白石　　徹</t>
    <rPh sb="0" eb="2">
      <t>シライシ</t>
    </rPh>
    <rPh sb="4" eb="5">
      <t>トオル</t>
    </rPh>
    <phoneticPr fontId="3"/>
  </si>
  <si>
    <t>愛媛県議(新居浜市),JC副会頭,会社役員(新居浜テレコムプラザ)</t>
    <rPh sb="0" eb="2">
      <t>エヒメ</t>
    </rPh>
    <rPh sb="2" eb="4">
      <t>ケンギ</t>
    </rPh>
    <rPh sb="5" eb="9">
      <t>ニイハマシ</t>
    </rPh>
    <rPh sb="13" eb="16">
      <t>フクカイトウ</t>
    </rPh>
    <rPh sb="17" eb="19">
      <t>カイシャ</t>
    </rPh>
    <rPh sb="19" eb="21">
      <t>ヤクイン</t>
    </rPh>
    <rPh sb="22" eb="25">
      <t>ニイハマ</t>
    </rPh>
    <phoneticPr fontId="3"/>
  </si>
  <si>
    <t>植木　正勝</t>
    <rPh sb="0" eb="2">
      <t>ウエキ</t>
    </rPh>
    <rPh sb="3" eb="5">
      <t>マサカツ</t>
    </rPh>
    <phoneticPr fontId="3"/>
  </si>
  <si>
    <t>大(高知)</t>
    <rPh sb="0" eb="1">
      <t>ダイ</t>
    </rPh>
    <rPh sb="2" eb="4">
      <t>コウチ</t>
    </rPh>
    <phoneticPr fontId="3"/>
  </si>
  <si>
    <t>共産党地区委員長,周桑民商副会長</t>
    <rPh sb="0" eb="3">
      <t>キョウサントウ</t>
    </rPh>
    <rPh sb="3" eb="5">
      <t>チク</t>
    </rPh>
    <rPh sb="5" eb="8">
      <t>イインチョウ</t>
    </rPh>
    <rPh sb="9" eb="11">
      <t>シュウソウ</t>
    </rPh>
    <rPh sb="11" eb="12">
      <t>ミン</t>
    </rPh>
    <rPh sb="12" eb="13">
      <t>ショウ</t>
    </rPh>
    <rPh sb="13" eb="16">
      <t>フクカイチョウ</t>
    </rPh>
    <phoneticPr fontId="3"/>
  </si>
  <si>
    <t>共産党地区委員長,赤旗出張所長</t>
    <rPh sb="0" eb="3">
      <t>キョウサントウ</t>
    </rPh>
    <rPh sb="3" eb="5">
      <t>チク</t>
    </rPh>
    <rPh sb="5" eb="8">
      <t>イインチョウ</t>
    </rPh>
    <rPh sb="9" eb="11">
      <t>アカハタ</t>
    </rPh>
    <rPh sb="11" eb="13">
      <t>シュッチョウ</t>
    </rPh>
    <rPh sb="13" eb="15">
      <t>ショチョウ</t>
    </rPh>
    <phoneticPr fontId="3"/>
  </si>
  <si>
    <t>259愛媛4区01</t>
    <rPh sb="3" eb="5">
      <t>エヒメ</t>
    </rPh>
    <rPh sb="6" eb="7">
      <t>ク</t>
    </rPh>
    <phoneticPr fontId="3"/>
  </si>
  <si>
    <t>259愛媛4区02</t>
    <rPh sb="3" eb="5">
      <t>エヒメ</t>
    </rPh>
    <rPh sb="6" eb="7">
      <t>ク</t>
    </rPh>
    <phoneticPr fontId="3"/>
  </si>
  <si>
    <t>259愛媛4区03</t>
    <rPh sb="3" eb="5">
      <t>エヒメ</t>
    </rPh>
    <rPh sb="6" eb="7">
      <t>ク</t>
    </rPh>
    <phoneticPr fontId="3"/>
  </si>
  <si>
    <t>259愛媛4区04</t>
    <rPh sb="3" eb="5">
      <t>エヒメ</t>
    </rPh>
    <rPh sb="6" eb="7">
      <t>ク</t>
    </rPh>
    <phoneticPr fontId="3"/>
  </si>
  <si>
    <t>山本　公一</t>
    <rPh sb="0" eb="2">
      <t>ヤマモト</t>
    </rPh>
    <rPh sb="3" eb="5">
      <t>コウイチ</t>
    </rPh>
    <phoneticPr fontId="3"/>
  </si>
  <si>
    <t>259愛媛4区</t>
    <rPh sb="3" eb="5">
      <t>エヒメ</t>
    </rPh>
    <rPh sb="6" eb="7">
      <t>ク</t>
    </rPh>
    <phoneticPr fontId="3"/>
  </si>
  <si>
    <t>愛媛県議(宇和島市),愛媛経済同友会幹事</t>
    <rPh sb="0" eb="2">
      <t>エヒメ</t>
    </rPh>
    <rPh sb="2" eb="4">
      <t>ケンギ</t>
    </rPh>
    <rPh sb="5" eb="9">
      <t>ウワジマシ</t>
    </rPh>
    <rPh sb="11" eb="13">
      <t>エヒメ</t>
    </rPh>
    <rPh sb="13" eb="15">
      <t>ケイザイ</t>
    </rPh>
    <rPh sb="15" eb="18">
      <t>ドウユウカイ</t>
    </rPh>
    <rPh sb="18" eb="20">
      <t>カンジ</t>
    </rPh>
    <phoneticPr fontId="3"/>
  </si>
  <si>
    <t>　元委長(沖北特,内閣),副大臣(総務),政務次官(環境)</t>
    <rPh sb="1" eb="2">
      <t>モト</t>
    </rPh>
    <rPh sb="2" eb="4">
      <t>イチョウ</t>
    </rPh>
    <rPh sb="5" eb="6">
      <t>オキ</t>
    </rPh>
    <rPh sb="6" eb="8">
      <t>ホクトク</t>
    </rPh>
    <rPh sb="9" eb="11">
      <t>ナイカク</t>
    </rPh>
    <rPh sb="13" eb="16">
      <t>フクダイジン</t>
    </rPh>
    <rPh sb="17" eb="19">
      <t>ソウム</t>
    </rPh>
    <rPh sb="21" eb="23">
      <t>セイム</t>
    </rPh>
    <rPh sb="23" eb="25">
      <t>ジカン</t>
    </rPh>
    <rPh sb="26" eb="28">
      <t>カンキョウ</t>
    </rPh>
    <phoneticPr fontId="3"/>
  </si>
  <si>
    <t>高橋　英行</t>
    <rPh sb="0" eb="2">
      <t>タカハシ</t>
    </rPh>
    <rPh sb="3" eb="5">
      <t>ヒデユキ</t>
    </rPh>
    <phoneticPr fontId="3"/>
  </si>
  <si>
    <t>310比例四国03</t>
    <rPh sb="3" eb="5">
      <t>ヒレイ</t>
    </rPh>
    <rPh sb="5" eb="7">
      <t>シコク</t>
    </rPh>
    <phoneticPr fontId="3"/>
  </si>
  <si>
    <t>大(拓殖)</t>
    <rPh sb="0" eb="1">
      <t>ダイ</t>
    </rPh>
    <rPh sb="2" eb="4">
      <t>タクショク</t>
    </rPh>
    <phoneticPr fontId="3"/>
  </si>
  <si>
    <t>会社員(丸三産業)</t>
    <rPh sb="0" eb="3">
      <t>カイシャイン</t>
    </rPh>
    <rPh sb="4" eb="6">
      <t>マルサン</t>
    </rPh>
    <rPh sb="6" eb="8">
      <t>サンギョウ</t>
    </rPh>
    <phoneticPr fontId="3"/>
  </si>
  <si>
    <t>西井　直人</t>
    <rPh sb="0" eb="2">
      <t>ニシイ</t>
    </rPh>
    <rPh sb="3" eb="5">
      <t>ナオヒト</t>
    </rPh>
    <phoneticPr fontId="3"/>
  </si>
  <si>
    <t>大(愛媛)</t>
    <rPh sb="0" eb="1">
      <t>ダイ</t>
    </rPh>
    <rPh sb="2" eb="4">
      <t>エヒメ</t>
    </rPh>
    <phoneticPr fontId="3"/>
  </si>
  <si>
    <t>共産党地区委員長</t>
    <rPh sb="0" eb="3">
      <t>キョウサントウ</t>
    </rPh>
    <rPh sb="3" eb="5">
      <t>チク</t>
    </rPh>
    <rPh sb="5" eb="8">
      <t>イインチョウ</t>
    </rPh>
    <phoneticPr fontId="3"/>
  </si>
  <si>
    <t>櫻内　文城</t>
    <rPh sb="0" eb="2">
      <t>サクラウチ</t>
    </rPh>
    <rPh sb="3" eb="5">
      <t>フミキ</t>
    </rPh>
    <phoneticPr fontId="3"/>
  </si>
  <si>
    <t>1051比例35</t>
    <rPh sb="4" eb="6">
      <t>ヒレイ</t>
    </rPh>
    <phoneticPr fontId="3"/>
  </si>
  <si>
    <t>み</t>
    <phoneticPr fontId="3"/>
  </si>
  <si>
    <t>大院(マレーシア/マラヤ)</t>
    <rPh sb="0" eb="2">
      <t>ダイイン</t>
    </rPh>
    <phoneticPr fontId="3"/>
  </si>
  <si>
    <t>経済財政諮問会議専門委員(財務省)</t>
    <rPh sb="0" eb="2">
      <t>ケイザイ</t>
    </rPh>
    <rPh sb="2" eb="4">
      <t>ザイセイ</t>
    </rPh>
    <rPh sb="4" eb="6">
      <t>シモン</t>
    </rPh>
    <rPh sb="6" eb="8">
      <t>カイギ</t>
    </rPh>
    <rPh sb="8" eb="10">
      <t>センモン</t>
    </rPh>
    <rPh sb="10" eb="12">
      <t>イイン</t>
    </rPh>
    <rPh sb="13" eb="16">
      <t>ザイムショウ</t>
    </rPh>
    <phoneticPr fontId="3"/>
  </si>
  <si>
    <t>日本維新の会国会議員団政調会長</t>
    <rPh sb="0" eb="2">
      <t>ニホン</t>
    </rPh>
    <rPh sb="2" eb="4">
      <t>イシン</t>
    </rPh>
    <rPh sb="5" eb="6">
      <t>カイ</t>
    </rPh>
    <rPh sb="6" eb="8">
      <t>コッカイ</t>
    </rPh>
    <rPh sb="8" eb="11">
      <t>ギインダン</t>
    </rPh>
    <rPh sb="11" eb="13">
      <t>セイチョウ</t>
    </rPh>
    <rPh sb="13" eb="15">
      <t>カイチョウ</t>
    </rPh>
    <phoneticPr fontId="3"/>
  </si>
  <si>
    <t>260高知1区01</t>
    <rPh sb="3" eb="5">
      <t>コウチ</t>
    </rPh>
    <rPh sb="6" eb="7">
      <t>ク</t>
    </rPh>
    <phoneticPr fontId="3"/>
  </si>
  <si>
    <t>260高知1区02</t>
    <rPh sb="3" eb="5">
      <t>コウチ</t>
    </rPh>
    <rPh sb="6" eb="7">
      <t>ク</t>
    </rPh>
    <phoneticPr fontId="3"/>
  </si>
  <si>
    <t>260高知1区03</t>
    <rPh sb="3" eb="5">
      <t>コウチ</t>
    </rPh>
    <rPh sb="6" eb="7">
      <t>ク</t>
    </rPh>
    <phoneticPr fontId="3"/>
  </si>
  <si>
    <t>大石　　宗</t>
    <rPh sb="0" eb="2">
      <t>オオイシ</t>
    </rPh>
    <rPh sb="4" eb="5">
      <t>シュウ</t>
    </rPh>
    <phoneticPr fontId="3"/>
  </si>
  <si>
    <t>大(日本)</t>
    <rPh sb="0" eb="1">
      <t>ダイ</t>
    </rPh>
    <rPh sb="2" eb="4">
      <t>ニホン</t>
    </rPh>
    <phoneticPr fontId="3"/>
  </si>
  <si>
    <t>高知県議(高知市),議員秘書(五島正規),会社員(神戸製鋼所)</t>
    <rPh sb="0" eb="2">
      <t>コウチ</t>
    </rPh>
    <rPh sb="2" eb="4">
      <t>ケンギ</t>
    </rPh>
    <rPh sb="5" eb="8">
      <t>コウチシ</t>
    </rPh>
    <rPh sb="10" eb="12">
      <t>ギイン</t>
    </rPh>
    <rPh sb="12" eb="14">
      <t>ヒショ</t>
    </rPh>
    <rPh sb="15" eb="17">
      <t>ゴトウ</t>
    </rPh>
    <rPh sb="17" eb="19">
      <t>マサノリ</t>
    </rPh>
    <rPh sb="21" eb="24">
      <t>カイシャイン</t>
    </rPh>
    <rPh sb="25" eb="27">
      <t>コウベ</t>
    </rPh>
    <rPh sb="27" eb="30">
      <t>セイコウジョ</t>
    </rPh>
    <phoneticPr fontId="3"/>
  </si>
  <si>
    <t>福井　　照</t>
    <rPh sb="0" eb="2">
      <t>フクイ</t>
    </rPh>
    <rPh sb="4" eb="5">
      <t>テル</t>
    </rPh>
    <phoneticPr fontId="3"/>
  </si>
  <si>
    <t>260高知1区</t>
    <rPh sb="3" eb="5">
      <t>コウチ</t>
    </rPh>
    <rPh sb="6" eb="7">
      <t>ク</t>
    </rPh>
    <phoneticPr fontId="3"/>
  </si>
  <si>
    <t>建設省都市局都市計画課都市交通室長</t>
    <rPh sb="0" eb="3">
      <t>ケンセツショウ</t>
    </rPh>
    <rPh sb="3" eb="5">
      <t>トシ</t>
    </rPh>
    <rPh sb="5" eb="6">
      <t>キョク</t>
    </rPh>
    <rPh sb="6" eb="8">
      <t>トシ</t>
    </rPh>
    <rPh sb="8" eb="10">
      <t>ケイカク</t>
    </rPh>
    <rPh sb="10" eb="11">
      <t>カ</t>
    </rPh>
    <rPh sb="11" eb="13">
      <t>トシ</t>
    </rPh>
    <rPh sb="13" eb="15">
      <t>コウツウ</t>
    </rPh>
    <rPh sb="15" eb="17">
      <t>シツチョウ</t>
    </rPh>
    <phoneticPr fontId="3"/>
  </si>
  <si>
    <t>　元委長(沖北特),政務官(農水)</t>
    <rPh sb="1" eb="2">
      <t>モト</t>
    </rPh>
    <rPh sb="2" eb="4">
      <t>イチョウ</t>
    </rPh>
    <rPh sb="5" eb="6">
      <t>オキ</t>
    </rPh>
    <rPh sb="6" eb="8">
      <t>ホクトク</t>
    </rPh>
    <rPh sb="10" eb="13">
      <t>セイムカン</t>
    </rPh>
    <rPh sb="14" eb="16">
      <t>ノウスイ</t>
    </rPh>
    <phoneticPr fontId="3"/>
  </si>
  <si>
    <t>春名　直章</t>
    <rPh sb="0" eb="2">
      <t>ハルナ</t>
    </rPh>
    <rPh sb="3" eb="5">
      <t>ナオアキ</t>
    </rPh>
    <phoneticPr fontId="3"/>
  </si>
  <si>
    <t>共産党高知県常任委員,民青同盟中央副委員長</t>
    <rPh sb="0" eb="3">
      <t>キョウサントウ</t>
    </rPh>
    <rPh sb="3" eb="6">
      <t>コウチケン</t>
    </rPh>
    <rPh sb="6" eb="8">
      <t>ジョウニン</t>
    </rPh>
    <rPh sb="8" eb="10">
      <t>イイン</t>
    </rPh>
    <rPh sb="11" eb="15">
      <t>ミンセイドウメイ</t>
    </rPh>
    <rPh sb="15" eb="17">
      <t>チュウオウ</t>
    </rPh>
    <rPh sb="17" eb="21">
      <t>フクイインチョウ</t>
    </rPh>
    <phoneticPr fontId="3"/>
  </si>
  <si>
    <t>261高知2区01</t>
    <rPh sb="3" eb="5">
      <t>コウチ</t>
    </rPh>
    <rPh sb="6" eb="7">
      <t>ク</t>
    </rPh>
    <phoneticPr fontId="3"/>
  </si>
  <si>
    <t>261高知2区02</t>
    <rPh sb="3" eb="5">
      <t>コウチ</t>
    </rPh>
    <rPh sb="6" eb="7">
      <t>ク</t>
    </rPh>
    <phoneticPr fontId="3"/>
  </si>
  <si>
    <t>中谷　　元</t>
    <rPh sb="0" eb="2">
      <t>ナカタニ</t>
    </rPh>
    <rPh sb="4" eb="5">
      <t>ゲン</t>
    </rPh>
    <phoneticPr fontId="3"/>
  </si>
  <si>
    <t>261高知2区</t>
    <rPh sb="3" eb="5">
      <t>コウチ</t>
    </rPh>
    <rPh sb="6" eb="7">
      <t>ク</t>
    </rPh>
    <phoneticPr fontId="3"/>
  </si>
  <si>
    <t>議員秘書(宮澤喜一,今井勇,加藤紘一),陸上自衛官</t>
    <rPh sb="0" eb="2">
      <t>ギイン</t>
    </rPh>
    <rPh sb="2" eb="4">
      <t>ヒショ</t>
    </rPh>
    <rPh sb="5" eb="7">
      <t>ミヤザワ</t>
    </rPh>
    <rPh sb="7" eb="9">
      <t>キイチ</t>
    </rPh>
    <rPh sb="10" eb="12">
      <t>イマイ</t>
    </rPh>
    <rPh sb="12" eb="13">
      <t>イサム</t>
    </rPh>
    <rPh sb="14" eb="16">
      <t>カトウ</t>
    </rPh>
    <rPh sb="16" eb="18">
      <t>コウイチ</t>
    </rPh>
    <rPh sb="20" eb="22">
      <t>リクジョウ</t>
    </rPh>
    <rPh sb="22" eb="25">
      <t>ジエイカン</t>
    </rPh>
    <phoneticPr fontId="3"/>
  </si>
  <si>
    <t>　元大臣(防衛),委長(総務),政務次官(自治,郵政,国土),自民党政調会長代理</t>
    <rPh sb="1" eb="4">
      <t>モトダイジン</t>
    </rPh>
    <rPh sb="5" eb="7">
      <t>ボウエイ</t>
    </rPh>
    <rPh sb="9" eb="11">
      <t>イチョウ</t>
    </rPh>
    <rPh sb="12" eb="14">
      <t>ソウム</t>
    </rPh>
    <rPh sb="16" eb="18">
      <t>セイム</t>
    </rPh>
    <rPh sb="18" eb="20">
      <t>ジカン</t>
    </rPh>
    <rPh sb="21" eb="23">
      <t>ジチ</t>
    </rPh>
    <rPh sb="24" eb="26">
      <t>ユウセイ</t>
    </rPh>
    <rPh sb="27" eb="29">
      <t>コクド</t>
    </rPh>
    <rPh sb="31" eb="34">
      <t>ジミントウ</t>
    </rPh>
    <rPh sb="34" eb="36">
      <t>セイチョウ</t>
    </rPh>
    <rPh sb="36" eb="38">
      <t>カイチョウ</t>
    </rPh>
    <rPh sb="38" eb="40">
      <t>ダイリ</t>
    </rPh>
    <phoneticPr fontId="3"/>
  </si>
  <si>
    <t>岡田　芳秀</t>
    <rPh sb="0" eb="2">
      <t>オカダ</t>
    </rPh>
    <rPh sb="3" eb="5">
      <t>ヨシヒデ</t>
    </rPh>
    <phoneticPr fontId="3"/>
  </si>
  <si>
    <t>高(高知西)</t>
    <rPh sb="0" eb="1">
      <t>コウ</t>
    </rPh>
    <rPh sb="2" eb="4">
      <t>コウチ</t>
    </rPh>
    <rPh sb="4" eb="5">
      <t>ニシ</t>
    </rPh>
    <phoneticPr fontId="3"/>
  </si>
  <si>
    <t>共産党地区副委員長,会社員(高菱電機)</t>
    <rPh sb="0" eb="3">
      <t>キョウサントウ</t>
    </rPh>
    <rPh sb="3" eb="5">
      <t>チク</t>
    </rPh>
    <rPh sb="5" eb="9">
      <t>フクイインチョウ</t>
    </rPh>
    <rPh sb="10" eb="13">
      <t>カイシャイン</t>
    </rPh>
    <rPh sb="14" eb="15">
      <t>タカ</t>
    </rPh>
    <rPh sb="15" eb="16">
      <t>ビシ</t>
    </rPh>
    <rPh sb="16" eb="18">
      <t>デンキ</t>
    </rPh>
    <phoneticPr fontId="3"/>
  </si>
  <si>
    <t>262高知3区01</t>
    <rPh sb="3" eb="5">
      <t>コウチ</t>
    </rPh>
    <rPh sb="6" eb="7">
      <t>ク</t>
    </rPh>
    <phoneticPr fontId="3"/>
  </si>
  <si>
    <t>262高知3区02</t>
    <rPh sb="3" eb="5">
      <t>コウチ</t>
    </rPh>
    <rPh sb="6" eb="7">
      <t>ク</t>
    </rPh>
    <phoneticPr fontId="3"/>
  </si>
  <si>
    <t>山本　有二</t>
    <rPh sb="0" eb="2">
      <t>ヤマモト</t>
    </rPh>
    <rPh sb="3" eb="5">
      <t>ユウジ</t>
    </rPh>
    <phoneticPr fontId="3"/>
  </si>
  <si>
    <t>262高知3区</t>
    <rPh sb="3" eb="5">
      <t>コウチ</t>
    </rPh>
    <rPh sb="6" eb="7">
      <t>ク</t>
    </rPh>
    <phoneticPr fontId="3"/>
  </si>
  <si>
    <t>高知県議(須崎市),弁護士</t>
    <rPh sb="0" eb="2">
      <t>コウチ</t>
    </rPh>
    <rPh sb="2" eb="4">
      <t>ケンギ</t>
    </rPh>
    <rPh sb="5" eb="8">
      <t>スサキシ</t>
    </rPh>
    <rPh sb="10" eb="13">
      <t>ベンゴシ</t>
    </rPh>
    <phoneticPr fontId="3"/>
  </si>
  <si>
    <t>議法</t>
    <rPh sb="0" eb="1">
      <t>ギ</t>
    </rPh>
    <rPh sb="1" eb="2">
      <t>ホウ</t>
    </rPh>
    <phoneticPr fontId="3"/>
  </si>
  <si>
    <t>　元大臣(金融),委長(懲罰,法務,経産),副大臣(財務),政務次官(法務,自治)</t>
    <rPh sb="1" eb="4">
      <t>モトダイジン</t>
    </rPh>
    <rPh sb="5" eb="7">
      <t>キンユウ</t>
    </rPh>
    <rPh sb="9" eb="11">
      <t>イチョウ</t>
    </rPh>
    <rPh sb="12" eb="14">
      <t>チョウバツ</t>
    </rPh>
    <rPh sb="15" eb="17">
      <t>ホウム</t>
    </rPh>
    <rPh sb="18" eb="20">
      <t>ケイサン</t>
    </rPh>
    <rPh sb="22" eb="25">
      <t>フクダイジン</t>
    </rPh>
    <rPh sb="26" eb="28">
      <t>ザイム</t>
    </rPh>
    <rPh sb="30" eb="32">
      <t>セイム</t>
    </rPh>
    <rPh sb="32" eb="34">
      <t>ジカン</t>
    </rPh>
    <rPh sb="35" eb="37">
      <t>ホウム</t>
    </rPh>
    <rPh sb="38" eb="40">
      <t>ジチ</t>
    </rPh>
    <phoneticPr fontId="3"/>
  </si>
  <si>
    <t>橋元　陽一</t>
    <rPh sb="0" eb="2">
      <t>ハシモト</t>
    </rPh>
    <rPh sb="3" eb="5">
      <t>ヨウイチ</t>
    </rPh>
    <phoneticPr fontId="3"/>
  </si>
  <si>
    <t>共産党高知県委員,高知県高教組委員長</t>
    <rPh sb="0" eb="3">
      <t>キョウサントウ</t>
    </rPh>
    <rPh sb="3" eb="6">
      <t>コウチケン</t>
    </rPh>
    <rPh sb="6" eb="8">
      <t>イイン</t>
    </rPh>
    <rPh sb="9" eb="12">
      <t>コウチケン</t>
    </rPh>
    <rPh sb="12" eb="13">
      <t>コウ</t>
    </rPh>
    <rPh sb="13" eb="15">
      <t>キョウソ</t>
    </rPh>
    <rPh sb="15" eb="18">
      <t>イインチョウ</t>
    </rPh>
    <phoneticPr fontId="3"/>
  </si>
  <si>
    <t>3904比例四国公明01</t>
    <rPh sb="4" eb="6">
      <t>ヒレイ</t>
    </rPh>
    <rPh sb="6" eb="8">
      <t>シコク</t>
    </rPh>
    <rPh sb="8" eb="10">
      <t>コウメイ</t>
    </rPh>
    <phoneticPr fontId="3"/>
  </si>
  <si>
    <t>石田　祝稔</t>
    <rPh sb="0" eb="2">
      <t>イシダ</t>
    </rPh>
    <rPh sb="3" eb="4">
      <t>ノリ</t>
    </rPh>
    <rPh sb="4" eb="5">
      <t>トシ</t>
    </rPh>
    <phoneticPr fontId="3"/>
  </si>
  <si>
    <t>310比例四国06</t>
    <rPh sb="3" eb="5">
      <t>ヒレイ</t>
    </rPh>
    <rPh sb="5" eb="7">
      <t>シコク</t>
    </rPh>
    <phoneticPr fontId="3"/>
  </si>
  <si>
    <t>東京都職員</t>
    <rPh sb="0" eb="3">
      <t>トウキョウト</t>
    </rPh>
    <rPh sb="3" eb="5">
      <t>ショクイン</t>
    </rPh>
    <phoneticPr fontId="3"/>
  </si>
  <si>
    <t>　元委長(経産),副大臣(農水,厚労),政務次官(大蔵)</t>
    <rPh sb="1" eb="2">
      <t>モト</t>
    </rPh>
    <rPh sb="2" eb="4">
      <t>イチョウ</t>
    </rPh>
    <rPh sb="5" eb="7">
      <t>ケイサン</t>
    </rPh>
    <rPh sb="9" eb="12">
      <t>フクダイジン</t>
    </rPh>
    <rPh sb="13" eb="15">
      <t>ノウスイ</t>
    </rPh>
    <rPh sb="16" eb="18">
      <t>コウロウ</t>
    </rPh>
    <rPh sb="20" eb="22">
      <t>セイム</t>
    </rPh>
    <rPh sb="22" eb="24">
      <t>ジカン</t>
    </rPh>
    <rPh sb="25" eb="27">
      <t>オオクラ</t>
    </rPh>
    <phoneticPr fontId="3"/>
  </si>
  <si>
    <t>笹岡　　優</t>
    <rPh sb="0" eb="2">
      <t>ササオカ</t>
    </rPh>
    <rPh sb="4" eb="5">
      <t>マサル</t>
    </rPh>
    <phoneticPr fontId="3"/>
  </si>
  <si>
    <t>高(高知東工)</t>
    <rPh sb="0" eb="1">
      <t>コウ</t>
    </rPh>
    <rPh sb="2" eb="4">
      <t>コウチ</t>
    </rPh>
    <rPh sb="4" eb="5">
      <t>ヒガシ</t>
    </rPh>
    <rPh sb="5" eb="6">
      <t>コウ</t>
    </rPh>
    <phoneticPr fontId="3"/>
  </si>
  <si>
    <t>高知県・香美市議,全金協和農機労組役員</t>
    <rPh sb="0" eb="3">
      <t>コウチケン</t>
    </rPh>
    <rPh sb="4" eb="6">
      <t>カミ</t>
    </rPh>
    <rPh sb="6" eb="8">
      <t>シギ</t>
    </rPh>
    <rPh sb="9" eb="11">
      <t>ゼンキン</t>
    </rPh>
    <rPh sb="11" eb="13">
      <t>キョウワ</t>
    </rPh>
    <rPh sb="13" eb="15">
      <t>ノウキ</t>
    </rPh>
    <rPh sb="15" eb="17">
      <t>ロウソ</t>
    </rPh>
    <rPh sb="17" eb="19">
      <t>ヤクイン</t>
    </rPh>
    <phoneticPr fontId="3"/>
  </si>
  <si>
    <t>263福岡1区01</t>
    <rPh sb="3" eb="5">
      <t>フクオカ</t>
    </rPh>
    <rPh sb="6" eb="7">
      <t>ク</t>
    </rPh>
    <phoneticPr fontId="3"/>
  </si>
  <si>
    <t>263福岡1区02</t>
    <rPh sb="3" eb="5">
      <t>フクオカ</t>
    </rPh>
    <rPh sb="6" eb="7">
      <t>ク</t>
    </rPh>
    <phoneticPr fontId="3"/>
  </si>
  <si>
    <t>263福岡1区03</t>
    <rPh sb="3" eb="5">
      <t>フクオカ</t>
    </rPh>
    <rPh sb="6" eb="7">
      <t>ク</t>
    </rPh>
    <phoneticPr fontId="3"/>
  </si>
  <si>
    <t>263福岡1区04</t>
    <rPh sb="3" eb="5">
      <t>フクオカ</t>
    </rPh>
    <rPh sb="6" eb="7">
      <t>ク</t>
    </rPh>
    <phoneticPr fontId="3"/>
  </si>
  <si>
    <t>松本　　龍</t>
    <rPh sb="0" eb="2">
      <t>マツモト</t>
    </rPh>
    <rPh sb="4" eb="5">
      <t>リュウ</t>
    </rPh>
    <phoneticPr fontId="3"/>
  </si>
  <si>
    <t>263福岡1区</t>
    <rPh sb="3" eb="5">
      <t>フクオカ</t>
    </rPh>
    <rPh sb="6" eb="7">
      <t>ク</t>
    </rPh>
    <phoneticPr fontId="3"/>
  </si>
  <si>
    <t>議員秘書(松本英一),会社員(松本組)</t>
    <rPh sb="0" eb="2">
      <t>ギイン</t>
    </rPh>
    <rPh sb="2" eb="4">
      <t>ヒショ</t>
    </rPh>
    <rPh sb="5" eb="7">
      <t>マツモト</t>
    </rPh>
    <rPh sb="7" eb="9">
      <t>エイイチ</t>
    </rPh>
    <rPh sb="11" eb="14">
      <t>カイシャイン</t>
    </rPh>
    <rPh sb="15" eb="17">
      <t>マツモト</t>
    </rPh>
    <rPh sb="17" eb="18">
      <t>グミ</t>
    </rPh>
    <phoneticPr fontId="3"/>
  </si>
  <si>
    <t>衆議院政治倫理審査会長，元大臣(復興・防災,環境),委長(環境,国移特)</t>
    <rPh sb="0" eb="3">
      <t>シュウギイン</t>
    </rPh>
    <rPh sb="3" eb="5">
      <t>セイジ</t>
    </rPh>
    <rPh sb="5" eb="7">
      <t>リンリ</t>
    </rPh>
    <rPh sb="7" eb="11">
      <t>シンサカイチョウ</t>
    </rPh>
    <rPh sb="12" eb="15">
      <t>モトダイジン</t>
    </rPh>
    <rPh sb="16" eb="18">
      <t>フッコウ</t>
    </rPh>
    <rPh sb="19" eb="21">
      <t>ボウサイ</t>
    </rPh>
    <rPh sb="22" eb="24">
      <t>カンキョウ</t>
    </rPh>
    <rPh sb="26" eb="28">
      <t>イチョウ</t>
    </rPh>
    <rPh sb="29" eb="31">
      <t>カンキョウ</t>
    </rPh>
    <rPh sb="32" eb="33">
      <t>クニ</t>
    </rPh>
    <rPh sb="33" eb="34">
      <t>ワタル</t>
    </rPh>
    <rPh sb="34" eb="35">
      <t>トク</t>
    </rPh>
    <phoneticPr fontId="3"/>
  </si>
  <si>
    <t>比江嶋　俊和</t>
    <rPh sb="0" eb="1">
      <t>ヒ</t>
    </rPh>
    <rPh sb="1" eb="3">
      <t>エジマ</t>
    </rPh>
    <rPh sb="4" eb="6">
      <t>トシカズ</t>
    </rPh>
    <phoneticPr fontId="3"/>
  </si>
  <si>
    <t>大(九州歯科)</t>
    <rPh sb="0" eb="1">
      <t>ダイ</t>
    </rPh>
    <rPh sb="2" eb="4">
      <t>キュウシュウ</t>
    </rPh>
    <rPh sb="4" eb="6">
      <t>シカ</t>
    </rPh>
    <phoneticPr fontId="3"/>
  </si>
  <si>
    <t>福岡県・福岡市議,歯科医師</t>
    <rPh sb="0" eb="3">
      <t>フクオカケン</t>
    </rPh>
    <rPh sb="4" eb="6">
      <t>フクオカ</t>
    </rPh>
    <rPh sb="6" eb="8">
      <t>シギ</t>
    </rPh>
    <rPh sb="9" eb="13">
      <t>シカイシ</t>
    </rPh>
    <phoneticPr fontId="3"/>
  </si>
  <si>
    <t>竹内　今日生</t>
    <rPh sb="0" eb="2">
      <t>タケウチ</t>
    </rPh>
    <rPh sb="3" eb="6">
      <t>ヒビキ</t>
    </rPh>
    <phoneticPr fontId="3"/>
  </si>
  <si>
    <t>医師(福岡大学病院助教/精神科)</t>
    <rPh sb="0" eb="2">
      <t>イシ</t>
    </rPh>
    <rPh sb="3" eb="5">
      <t>フクオカ</t>
    </rPh>
    <rPh sb="5" eb="7">
      <t>ダイガク</t>
    </rPh>
    <rPh sb="7" eb="9">
      <t>ビョウイン</t>
    </rPh>
    <rPh sb="9" eb="11">
      <t>ジョキョウ</t>
    </rPh>
    <rPh sb="12" eb="14">
      <t>セイシン</t>
    </rPh>
    <rPh sb="14" eb="15">
      <t>カ</t>
    </rPh>
    <phoneticPr fontId="3"/>
  </si>
  <si>
    <t>264福岡2区01</t>
    <rPh sb="3" eb="5">
      <t>フクオカ</t>
    </rPh>
    <rPh sb="6" eb="7">
      <t>ク</t>
    </rPh>
    <phoneticPr fontId="3"/>
  </si>
  <si>
    <t>264福岡2区02</t>
    <rPh sb="3" eb="5">
      <t>フクオカ</t>
    </rPh>
    <rPh sb="6" eb="7">
      <t>ク</t>
    </rPh>
    <phoneticPr fontId="3"/>
  </si>
  <si>
    <t>264福岡2区03</t>
    <rPh sb="3" eb="5">
      <t>フクオカ</t>
    </rPh>
    <rPh sb="6" eb="7">
      <t>ク</t>
    </rPh>
    <phoneticPr fontId="3"/>
  </si>
  <si>
    <t>稲富　修二</t>
    <rPh sb="0" eb="2">
      <t>イナトミ</t>
    </rPh>
    <rPh sb="3" eb="5">
      <t>シュウジ</t>
    </rPh>
    <phoneticPr fontId="3"/>
  </si>
  <si>
    <t>264福岡2区</t>
    <rPh sb="3" eb="5">
      <t>フクオカ</t>
    </rPh>
    <rPh sb="6" eb="7">
      <t>ク</t>
    </rPh>
    <phoneticPr fontId="3"/>
  </si>
  <si>
    <t>松</t>
    <rPh sb="0" eb="1">
      <t>マツ</t>
    </rPh>
    <phoneticPr fontId="3"/>
  </si>
  <si>
    <t>鬼木　　誠</t>
    <rPh sb="0" eb="2">
      <t>オニキ</t>
    </rPh>
    <rPh sb="4" eb="5">
      <t>マコト</t>
    </rPh>
    <phoneticPr fontId="3"/>
  </si>
  <si>
    <t>大(九州)</t>
    <rPh sb="0" eb="1">
      <t>ダイ</t>
    </rPh>
    <rPh sb="2" eb="4">
      <t>キュウシュウ</t>
    </rPh>
    <phoneticPr fontId="3"/>
  </si>
  <si>
    <t>福岡県議(福岡市中央区),銀行員(西日本銀行)</t>
    <rPh sb="0" eb="2">
      <t>フクオカ</t>
    </rPh>
    <rPh sb="2" eb="4">
      <t>ケンギ</t>
    </rPh>
    <rPh sb="5" eb="8">
      <t>フクオカシ</t>
    </rPh>
    <rPh sb="8" eb="11">
      <t>チュウオウク</t>
    </rPh>
    <rPh sb="13" eb="16">
      <t>ギンコウイン</t>
    </rPh>
    <rPh sb="17" eb="20">
      <t>ニシニホン</t>
    </rPh>
    <rPh sb="20" eb="22">
      <t>ギンコウ</t>
    </rPh>
    <phoneticPr fontId="3"/>
  </si>
  <si>
    <t>倉元　達朗</t>
    <rPh sb="0" eb="2">
      <t>クラモト</t>
    </rPh>
    <rPh sb="3" eb="5">
      <t>タツオ</t>
    </rPh>
    <phoneticPr fontId="3"/>
  </si>
  <si>
    <t>福岡県・福岡市議</t>
    <rPh sb="0" eb="3">
      <t>フクオカケン</t>
    </rPh>
    <rPh sb="4" eb="6">
      <t>フクオカ</t>
    </rPh>
    <rPh sb="6" eb="8">
      <t>シギ</t>
    </rPh>
    <phoneticPr fontId="3"/>
  </si>
  <si>
    <t>265福岡3区01</t>
    <rPh sb="3" eb="5">
      <t>フクオカ</t>
    </rPh>
    <rPh sb="6" eb="7">
      <t>ク</t>
    </rPh>
    <phoneticPr fontId="3"/>
  </si>
  <si>
    <t>265福岡3区02</t>
    <rPh sb="3" eb="5">
      <t>フクオカ</t>
    </rPh>
    <rPh sb="6" eb="7">
      <t>ク</t>
    </rPh>
    <phoneticPr fontId="3"/>
  </si>
  <si>
    <t>265福岡3区03</t>
    <rPh sb="3" eb="5">
      <t>フクオカ</t>
    </rPh>
    <rPh sb="6" eb="7">
      <t>ク</t>
    </rPh>
    <phoneticPr fontId="3"/>
  </si>
  <si>
    <t>265福岡3区04</t>
    <rPh sb="3" eb="5">
      <t>フクオカ</t>
    </rPh>
    <rPh sb="6" eb="7">
      <t>ク</t>
    </rPh>
    <phoneticPr fontId="3"/>
  </si>
  <si>
    <t>藤田　一枝</t>
    <rPh sb="0" eb="2">
      <t>フジタ</t>
    </rPh>
    <rPh sb="3" eb="5">
      <t>カズエ</t>
    </rPh>
    <phoneticPr fontId="3"/>
  </si>
  <si>
    <t>265福岡3区</t>
    <rPh sb="3" eb="5">
      <t>フクオカ</t>
    </rPh>
    <rPh sb="6" eb="7">
      <t>ク</t>
    </rPh>
    <phoneticPr fontId="3"/>
  </si>
  <si>
    <t>大中(明治)</t>
    <rPh sb="0" eb="1">
      <t>ダイ</t>
    </rPh>
    <rPh sb="1" eb="2">
      <t>チュウ</t>
    </rPh>
    <rPh sb="3" eb="5">
      <t>メイジ</t>
    </rPh>
    <phoneticPr fontId="3"/>
  </si>
  <si>
    <t>議労</t>
    <rPh sb="0" eb="1">
      <t>ギ</t>
    </rPh>
    <rPh sb="1" eb="2">
      <t>ロウ</t>
    </rPh>
    <phoneticPr fontId="3"/>
  </si>
  <si>
    <t>福岡県議(福岡市早良区),福岡市学校給食公社労組役員</t>
    <rPh sb="0" eb="2">
      <t>フクオカ</t>
    </rPh>
    <rPh sb="2" eb="4">
      <t>ケンギ</t>
    </rPh>
    <rPh sb="5" eb="8">
      <t>フクオカシ</t>
    </rPh>
    <rPh sb="8" eb="11">
      <t>サワラク</t>
    </rPh>
    <rPh sb="13" eb="16">
      <t>フクオカシ</t>
    </rPh>
    <rPh sb="16" eb="18">
      <t>ガッコウ</t>
    </rPh>
    <rPh sb="18" eb="20">
      <t>キュウショク</t>
    </rPh>
    <rPh sb="20" eb="22">
      <t>コウシャ</t>
    </rPh>
    <rPh sb="22" eb="24">
      <t>ロウソ</t>
    </rPh>
    <rPh sb="24" eb="26">
      <t>ヤクイン</t>
    </rPh>
    <phoneticPr fontId="3"/>
  </si>
  <si>
    <t>古賀　　篤</t>
    <rPh sb="0" eb="2">
      <t>コガ</t>
    </rPh>
    <rPh sb="4" eb="5">
      <t>アツシ</t>
    </rPh>
    <phoneticPr fontId="3"/>
  </si>
  <si>
    <t>金融庁総務企画局政策課長補佐(財務省)</t>
    <rPh sb="0" eb="3">
      <t>キンユウチョウ</t>
    </rPh>
    <rPh sb="3" eb="5">
      <t>ソウム</t>
    </rPh>
    <rPh sb="5" eb="8">
      <t>キカクキョク</t>
    </rPh>
    <rPh sb="8" eb="10">
      <t>セイサク</t>
    </rPh>
    <rPh sb="10" eb="12">
      <t>カチョウ</t>
    </rPh>
    <rPh sb="12" eb="14">
      <t>ホサ</t>
    </rPh>
    <rPh sb="15" eb="18">
      <t>ザイムショウ</t>
    </rPh>
    <phoneticPr fontId="3"/>
  </si>
  <si>
    <t>川原　康裕</t>
    <rPh sb="0" eb="2">
      <t>カワハラ</t>
    </rPh>
    <rPh sb="3" eb="5">
      <t>ヤスヒロ</t>
    </rPh>
    <phoneticPr fontId="3"/>
  </si>
  <si>
    <t>大(福岡)</t>
    <rPh sb="0" eb="1">
      <t>ダイ</t>
    </rPh>
    <rPh sb="2" eb="4">
      <t>フクオカ</t>
    </rPh>
    <phoneticPr fontId="3"/>
  </si>
  <si>
    <t>共産党福岡県委員,民青同盟福岡県委員</t>
    <rPh sb="0" eb="3">
      <t>キョウサントウ</t>
    </rPh>
    <rPh sb="3" eb="6">
      <t>フクオカケン</t>
    </rPh>
    <rPh sb="6" eb="8">
      <t>イイン</t>
    </rPh>
    <rPh sb="9" eb="13">
      <t>ミンセイドウメイ</t>
    </rPh>
    <rPh sb="13" eb="16">
      <t>フクオカケン</t>
    </rPh>
    <rPh sb="16" eb="18">
      <t>イイン</t>
    </rPh>
    <phoneticPr fontId="3"/>
  </si>
  <si>
    <t>寺島　浩幸</t>
    <rPh sb="0" eb="2">
      <t>テラシマ</t>
    </rPh>
    <rPh sb="3" eb="5">
      <t>ヒロユキ</t>
    </rPh>
    <phoneticPr fontId="3"/>
  </si>
  <si>
    <t>福岡県・福岡市議,行政書士,福岡市職員</t>
    <rPh sb="0" eb="3">
      <t>フクオカケン</t>
    </rPh>
    <rPh sb="4" eb="6">
      <t>フクオカ</t>
    </rPh>
    <rPh sb="6" eb="8">
      <t>シギ</t>
    </rPh>
    <rPh sb="9" eb="13">
      <t>ギョウセイショシ</t>
    </rPh>
    <rPh sb="14" eb="17">
      <t>フクオカシ</t>
    </rPh>
    <rPh sb="17" eb="19">
      <t>ショクイン</t>
    </rPh>
    <phoneticPr fontId="3"/>
  </si>
  <si>
    <t>266福岡4区01</t>
    <rPh sb="3" eb="5">
      <t>フクオカ</t>
    </rPh>
    <rPh sb="6" eb="7">
      <t>ク</t>
    </rPh>
    <phoneticPr fontId="3"/>
  </si>
  <si>
    <t>266福岡4区02</t>
    <rPh sb="3" eb="5">
      <t>フクオカ</t>
    </rPh>
    <rPh sb="6" eb="7">
      <t>ク</t>
    </rPh>
    <phoneticPr fontId="3"/>
  </si>
  <si>
    <t>266福岡4区03</t>
    <rPh sb="3" eb="5">
      <t>フクオカ</t>
    </rPh>
    <rPh sb="6" eb="7">
      <t>ク</t>
    </rPh>
    <phoneticPr fontId="3"/>
  </si>
  <si>
    <t>266福岡4区04</t>
    <rPh sb="3" eb="5">
      <t>フクオカ</t>
    </rPh>
    <rPh sb="6" eb="7">
      <t>ク</t>
    </rPh>
    <phoneticPr fontId="3"/>
  </si>
  <si>
    <t>266福岡4区05</t>
    <rPh sb="3" eb="5">
      <t>フクオカ</t>
    </rPh>
    <rPh sb="6" eb="7">
      <t>ク</t>
    </rPh>
    <phoneticPr fontId="3"/>
  </si>
  <si>
    <t>266福岡4区06</t>
    <rPh sb="3" eb="5">
      <t>フクオカ</t>
    </rPh>
    <rPh sb="6" eb="7">
      <t>ク</t>
    </rPh>
    <phoneticPr fontId="3"/>
  </si>
  <si>
    <t>宮内　秀樹</t>
    <rPh sb="0" eb="2">
      <t>ミヤウチ</t>
    </rPh>
    <rPh sb="3" eb="5">
      <t>ヒデキ</t>
    </rPh>
    <phoneticPr fontId="3"/>
  </si>
  <si>
    <t>議員秘書(渡辺具能,塩崎恭久,塩崎潤)</t>
    <rPh sb="0" eb="2">
      <t>ギイン</t>
    </rPh>
    <rPh sb="2" eb="4">
      <t>ヒショ</t>
    </rPh>
    <rPh sb="5" eb="7">
      <t>ワタナベ</t>
    </rPh>
    <rPh sb="7" eb="8">
      <t>トモ</t>
    </rPh>
    <rPh sb="8" eb="9">
      <t>ヨシ</t>
    </rPh>
    <rPh sb="10" eb="12">
      <t>シオザキ</t>
    </rPh>
    <rPh sb="12" eb="14">
      <t>ヤスヒサ</t>
    </rPh>
    <rPh sb="15" eb="17">
      <t>シオザキ</t>
    </rPh>
    <rPh sb="17" eb="18">
      <t>ジュン</t>
    </rPh>
    <phoneticPr fontId="3"/>
  </si>
  <si>
    <t>148長野5区05</t>
    <rPh sb="3" eb="5">
      <t>ナガノ</t>
    </rPh>
    <rPh sb="6" eb="7">
      <t>ク</t>
    </rPh>
    <phoneticPr fontId="3"/>
  </si>
  <si>
    <t>池田　幸代</t>
    <rPh sb="0" eb="2">
      <t>イケダ</t>
    </rPh>
    <rPh sb="3" eb="5">
      <t>サチヨ</t>
    </rPh>
    <phoneticPr fontId="3"/>
  </si>
  <si>
    <t>議員秘書(福島瑞穂),業界紙記者(福祉新聞)</t>
    <rPh sb="0" eb="2">
      <t>ギイン</t>
    </rPh>
    <rPh sb="2" eb="4">
      <t>ヒショ</t>
    </rPh>
    <rPh sb="5" eb="7">
      <t>フクシマ</t>
    </rPh>
    <rPh sb="7" eb="9">
      <t>ミズホ</t>
    </rPh>
    <rPh sb="11" eb="14">
      <t>ギョウカイシ</t>
    </rPh>
    <rPh sb="14" eb="16">
      <t>キシャ</t>
    </rPh>
    <rPh sb="17" eb="19">
      <t>フクシ</t>
    </rPh>
    <rPh sb="19" eb="21">
      <t>シンブン</t>
    </rPh>
    <phoneticPr fontId="3"/>
  </si>
  <si>
    <t>古賀　敬章</t>
    <rPh sb="0" eb="2">
      <t>コガ</t>
    </rPh>
    <rPh sb="3" eb="5">
      <t>タカアキ</t>
    </rPh>
    <phoneticPr fontId="3"/>
  </si>
  <si>
    <t>266福岡4区</t>
    <rPh sb="3" eb="5">
      <t>フクオカ</t>
    </rPh>
    <rPh sb="6" eb="7">
      <t>ク</t>
    </rPh>
    <phoneticPr fontId="3"/>
  </si>
  <si>
    <t>大(東京)</t>
    <rPh sb="0" eb="1">
      <t>ダイ</t>
    </rPh>
    <rPh sb="2" eb="4">
      <t>トウキョウ</t>
    </rPh>
    <phoneticPr fontId="3"/>
  </si>
  <si>
    <t>議</t>
    <rPh sb="0" eb="1">
      <t>ギ</t>
    </rPh>
    <phoneticPr fontId="3"/>
  </si>
  <si>
    <t>山口県議(下関市),議員秘書(中川昭一),会社員(全日空)</t>
    <rPh sb="0" eb="2">
      <t>ヤマグチ</t>
    </rPh>
    <rPh sb="2" eb="4">
      <t>ケンギ</t>
    </rPh>
    <rPh sb="5" eb="8">
      <t>シモノセキシ</t>
    </rPh>
    <rPh sb="10" eb="12">
      <t>ギイン</t>
    </rPh>
    <rPh sb="12" eb="14">
      <t>ヒショ</t>
    </rPh>
    <rPh sb="15" eb="17">
      <t>ナカガワ</t>
    </rPh>
    <rPh sb="17" eb="19">
      <t>ショウイチ</t>
    </rPh>
    <rPh sb="21" eb="24">
      <t>カイシャイン</t>
    </rPh>
    <rPh sb="25" eb="28">
      <t>ゼンニックウ</t>
    </rPh>
    <phoneticPr fontId="3"/>
  </si>
  <si>
    <t>新留　清隆</t>
    <rPh sb="0" eb="2">
      <t>シンドメ</t>
    </rPh>
    <rPh sb="3" eb="5">
      <t>キヨタカ</t>
    </rPh>
    <phoneticPr fontId="3"/>
  </si>
  <si>
    <t>他(鹿児島水産高専門科)</t>
    <rPh sb="0" eb="1">
      <t>ホカ</t>
    </rPh>
    <rPh sb="2" eb="5">
      <t>カゴシマ</t>
    </rPh>
    <rPh sb="5" eb="7">
      <t>スイサン</t>
    </rPh>
    <rPh sb="7" eb="8">
      <t>コウ</t>
    </rPh>
    <rPh sb="8" eb="11">
      <t>センモンカ</t>
    </rPh>
    <phoneticPr fontId="3"/>
  </si>
  <si>
    <t>共産党地区委員長</t>
    <rPh sb="0" eb="3">
      <t>キョウサントウ</t>
    </rPh>
    <rPh sb="3" eb="5">
      <t>チク</t>
    </rPh>
    <rPh sb="5" eb="8">
      <t>イインチョウ</t>
    </rPh>
    <phoneticPr fontId="3"/>
  </si>
  <si>
    <t>河野　正美</t>
    <rPh sb="0" eb="2">
      <t>カワノ</t>
    </rPh>
    <rPh sb="3" eb="5">
      <t>マサミ</t>
    </rPh>
    <phoneticPr fontId="3"/>
  </si>
  <si>
    <t>大院中(九州)</t>
    <rPh sb="0" eb="2">
      <t>ダイイン</t>
    </rPh>
    <rPh sb="2" eb="3">
      <t>チュウ</t>
    </rPh>
    <rPh sb="4" eb="6">
      <t>キュウシュウ</t>
    </rPh>
    <phoneticPr fontId="3"/>
  </si>
  <si>
    <t>二</t>
    <rPh sb="0" eb="1">
      <t>ニ</t>
    </rPh>
    <phoneticPr fontId="3"/>
  </si>
  <si>
    <t>医師(河野病院院長/精神科)</t>
    <rPh sb="0" eb="2">
      <t>イシ</t>
    </rPh>
    <rPh sb="3" eb="5">
      <t>カワノ</t>
    </rPh>
    <rPh sb="5" eb="7">
      <t>ビョウイン</t>
    </rPh>
    <rPh sb="7" eb="9">
      <t>インチョウ</t>
    </rPh>
    <rPh sb="10" eb="13">
      <t>セイシンカ</t>
    </rPh>
    <phoneticPr fontId="3"/>
  </si>
  <si>
    <t>吉冨　和枝</t>
    <rPh sb="0" eb="2">
      <t>ヨシトミ</t>
    </rPh>
    <rPh sb="3" eb="5">
      <t>カズエ</t>
    </rPh>
    <phoneticPr fontId="3"/>
  </si>
  <si>
    <t>幸福実現党員,小学校教諭</t>
    <rPh sb="0" eb="2">
      <t>コウフク</t>
    </rPh>
    <rPh sb="2" eb="4">
      <t>ジツゲン</t>
    </rPh>
    <rPh sb="4" eb="5">
      <t>トウ</t>
    </rPh>
    <rPh sb="5" eb="6">
      <t>イン</t>
    </rPh>
    <rPh sb="7" eb="10">
      <t>ショウガッコウ</t>
    </rPh>
    <rPh sb="10" eb="12">
      <t>キョウユ</t>
    </rPh>
    <phoneticPr fontId="3"/>
  </si>
  <si>
    <t>楠田　大蔵</t>
    <rPh sb="0" eb="2">
      <t>クスダ</t>
    </rPh>
    <rPh sb="3" eb="5">
      <t>ダイゾウ</t>
    </rPh>
    <phoneticPr fontId="3"/>
  </si>
  <si>
    <t>267福岡5区</t>
    <rPh sb="3" eb="5">
      <t>フクオカ</t>
    </rPh>
    <rPh sb="6" eb="7">
      <t>ク</t>
    </rPh>
    <phoneticPr fontId="3"/>
  </si>
  <si>
    <t>議員秘書(古賀一成,羽田孜),銀行員(住友銀行)</t>
    <rPh sb="0" eb="2">
      <t>ギイン</t>
    </rPh>
    <rPh sb="2" eb="4">
      <t>ヒショ</t>
    </rPh>
    <rPh sb="5" eb="7">
      <t>コガ</t>
    </rPh>
    <rPh sb="7" eb="9">
      <t>イッセイ</t>
    </rPh>
    <rPh sb="10" eb="12">
      <t>ハタ</t>
    </rPh>
    <rPh sb="12" eb="13">
      <t>ツトム</t>
    </rPh>
    <rPh sb="15" eb="18">
      <t>ギンコウイン</t>
    </rPh>
    <rPh sb="19" eb="21">
      <t>スミトモ</t>
    </rPh>
    <rPh sb="21" eb="23">
      <t>ギンコウ</t>
    </rPh>
    <phoneticPr fontId="3"/>
  </si>
  <si>
    <t>　元政務官(防衛)</t>
    <rPh sb="1" eb="2">
      <t>モト</t>
    </rPh>
    <rPh sb="2" eb="5">
      <t>セイムカン</t>
    </rPh>
    <rPh sb="6" eb="8">
      <t>ボウエイ</t>
    </rPh>
    <phoneticPr fontId="3"/>
  </si>
  <si>
    <t>原田　義昭</t>
    <rPh sb="0" eb="2">
      <t>ハラダ</t>
    </rPh>
    <rPh sb="3" eb="5">
      <t>ヨシアキ</t>
    </rPh>
    <phoneticPr fontId="3"/>
  </si>
  <si>
    <t>通産大臣秘書官,弁護士</t>
    <rPh sb="0" eb="2">
      <t>ツウサン</t>
    </rPh>
    <rPh sb="2" eb="4">
      <t>ダイジン</t>
    </rPh>
    <rPh sb="4" eb="7">
      <t>ヒショカン</t>
    </rPh>
    <rPh sb="8" eb="11">
      <t>ベンゴシ</t>
    </rPh>
    <phoneticPr fontId="3"/>
  </si>
  <si>
    <t>官二法</t>
    <rPh sb="0" eb="1">
      <t>カン</t>
    </rPh>
    <rPh sb="1" eb="2">
      <t>ニ</t>
    </rPh>
    <rPh sb="2" eb="3">
      <t>ホウ</t>
    </rPh>
    <phoneticPr fontId="3"/>
  </si>
  <si>
    <t>法</t>
    <rPh sb="0" eb="1">
      <t>ホウ</t>
    </rPh>
    <phoneticPr fontId="3"/>
  </si>
  <si>
    <t>　元委長(財金,外務),副大臣(文科),政務次官(厚生)</t>
    <rPh sb="1" eb="2">
      <t>モト</t>
    </rPh>
    <rPh sb="2" eb="4">
      <t>イチョウ</t>
    </rPh>
    <rPh sb="5" eb="7">
      <t>ザイキン</t>
    </rPh>
    <rPh sb="8" eb="10">
      <t>ガイム</t>
    </rPh>
    <rPh sb="12" eb="15">
      <t>フクダイジン</t>
    </rPh>
    <rPh sb="16" eb="18">
      <t>モンカ</t>
    </rPh>
    <rPh sb="20" eb="22">
      <t>セイム</t>
    </rPh>
    <rPh sb="22" eb="24">
      <t>ジカン</t>
    </rPh>
    <rPh sb="25" eb="27">
      <t>コウセイ</t>
    </rPh>
    <phoneticPr fontId="3"/>
  </si>
  <si>
    <t>田中　陽二</t>
    <rPh sb="0" eb="2">
      <t>タナカ</t>
    </rPh>
    <rPh sb="3" eb="5">
      <t>ヨウジ</t>
    </rPh>
    <phoneticPr fontId="3"/>
  </si>
  <si>
    <t>共産党地区国政対策責任者,赤旗記者</t>
    <rPh sb="0" eb="3">
      <t>キョウサントウ</t>
    </rPh>
    <rPh sb="3" eb="5">
      <t>チク</t>
    </rPh>
    <rPh sb="5" eb="7">
      <t>コクセイ</t>
    </rPh>
    <rPh sb="7" eb="9">
      <t>タイサク</t>
    </rPh>
    <rPh sb="9" eb="12">
      <t>セキニンシャ</t>
    </rPh>
    <rPh sb="13" eb="15">
      <t>アカハタ</t>
    </rPh>
    <rPh sb="15" eb="17">
      <t>キシャ</t>
    </rPh>
    <phoneticPr fontId="3"/>
  </si>
  <si>
    <t>古賀　一成</t>
    <rPh sb="0" eb="2">
      <t>コガ</t>
    </rPh>
    <rPh sb="3" eb="5">
      <t>イッセイ</t>
    </rPh>
    <phoneticPr fontId="3"/>
  </si>
  <si>
    <t>311比例九州02</t>
    <rPh sb="3" eb="5">
      <t>ヒレイ</t>
    </rPh>
    <rPh sb="5" eb="7">
      <t>キュウシュウ</t>
    </rPh>
    <phoneticPr fontId="3"/>
  </si>
  <si>
    <t>官</t>
    <rPh sb="0" eb="1">
      <t>カン</t>
    </rPh>
    <phoneticPr fontId="3"/>
  </si>
  <si>
    <t>衆議院国家基本政策委員長，元委長(復興,国交,科技),政務次官(経企)</t>
    <rPh sb="0" eb="3">
      <t>シュウギイン</t>
    </rPh>
    <rPh sb="3" eb="5">
      <t>コッカ</t>
    </rPh>
    <rPh sb="5" eb="7">
      <t>キホン</t>
    </rPh>
    <rPh sb="7" eb="9">
      <t>セイサク</t>
    </rPh>
    <rPh sb="9" eb="12">
      <t>イインチョウ</t>
    </rPh>
    <rPh sb="13" eb="14">
      <t>モト</t>
    </rPh>
    <rPh sb="14" eb="16">
      <t>イチョウ</t>
    </rPh>
    <rPh sb="17" eb="19">
      <t>フッコウ</t>
    </rPh>
    <rPh sb="20" eb="22">
      <t>コッコウ</t>
    </rPh>
    <rPh sb="23" eb="25">
      <t>カギ</t>
    </rPh>
    <rPh sb="27" eb="29">
      <t>セイム</t>
    </rPh>
    <rPh sb="29" eb="31">
      <t>ジカン</t>
    </rPh>
    <rPh sb="32" eb="34">
      <t>ケイキ</t>
    </rPh>
    <phoneticPr fontId="3"/>
  </si>
  <si>
    <t>建設省都市局公園緑地企画官</t>
    <rPh sb="0" eb="3">
      <t>ケンセツショウ</t>
    </rPh>
    <rPh sb="3" eb="5">
      <t>トシ</t>
    </rPh>
    <rPh sb="5" eb="6">
      <t>キョク</t>
    </rPh>
    <rPh sb="6" eb="8">
      <t>コウエン</t>
    </rPh>
    <rPh sb="8" eb="10">
      <t>リョクチ</t>
    </rPh>
    <rPh sb="10" eb="12">
      <t>キカク</t>
    </rPh>
    <rPh sb="12" eb="13">
      <t>カン</t>
    </rPh>
    <phoneticPr fontId="3"/>
  </si>
  <si>
    <t>金子　睦美</t>
    <rPh sb="0" eb="2">
      <t>カネコ</t>
    </rPh>
    <rPh sb="3" eb="5">
      <t>ムツミ</t>
    </rPh>
    <phoneticPr fontId="3"/>
  </si>
  <si>
    <t>共産党福岡県委員,民青同盟中央委員</t>
    <rPh sb="0" eb="3">
      <t>キョウサントウ</t>
    </rPh>
    <rPh sb="3" eb="6">
      <t>フクオカケン</t>
    </rPh>
    <rPh sb="6" eb="8">
      <t>イイン</t>
    </rPh>
    <rPh sb="9" eb="13">
      <t>ミンセイドウメイ</t>
    </rPh>
    <rPh sb="13" eb="15">
      <t>チュウオウ</t>
    </rPh>
    <rPh sb="15" eb="17">
      <t>イイン</t>
    </rPh>
    <phoneticPr fontId="3"/>
  </si>
  <si>
    <t>鳩山　邦夫</t>
    <rPh sb="0" eb="2">
      <t>ハトヤマ</t>
    </rPh>
    <rPh sb="3" eb="5">
      <t>クニオ</t>
    </rPh>
    <phoneticPr fontId="3"/>
  </si>
  <si>
    <t>268福岡6区</t>
    <rPh sb="3" eb="5">
      <t>フクオカ</t>
    </rPh>
    <rPh sb="6" eb="7">
      <t>ク</t>
    </rPh>
    <phoneticPr fontId="3"/>
  </si>
  <si>
    <t>議員秘書(鳩山威一郎,田中角栄)</t>
    <rPh sb="0" eb="2">
      <t>ギイン</t>
    </rPh>
    <rPh sb="2" eb="4">
      <t>ヒショ</t>
    </rPh>
    <rPh sb="5" eb="7">
      <t>ハトヤマ</t>
    </rPh>
    <rPh sb="7" eb="8">
      <t>イ</t>
    </rPh>
    <rPh sb="8" eb="10">
      <t>イチロウ</t>
    </rPh>
    <rPh sb="11" eb="13">
      <t>タナカ</t>
    </rPh>
    <rPh sb="13" eb="15">
      <t>カクエイ</t>
    </rPh>
    <phoneticPr fontId="3"/>
  </si>
  <si>
    <t>　元大臣(総務,法務,労働,文部),委長(武力特,議運,文教),政務次官(文部,行管),民主党副代表</t>
    <rPh sb="1" eb="4">
      <t>モトダイジン</t>
    </rPh>
    <rPh sb="5" eb="7">
      <t>ソウム</t>
    </rPh>
    <rPh sb="8" eb="10">
      <t>ホウム</t>
    </rPh>
    <rPh sb="11" eb="13">
      <t>ロウドウ</t>
    </rPh>
    <rPh sb="14" eb="16">
      <t>モンブ</t>
    </rPh>
    <rPh sb="18" eb="20">
      <t>イチョウ</t>
    </rPh>
    <rPh sb="21" eb="23">
      <t>ブリョク</t>
    </rPh>
    <rPh sb="23" eb="24">
      <t>トク</t>
    </rPh>
    <rPh sb="25" eb="26">
      <t>ギ</t>
    </rPh>
    <rPh sb="26" eb="27">
      <t>ウン</t>
    </rPh>
    <rPh sb="28" eb="30">
      <t>ブンキョウ</t>
    </rPh>
    <rPh sb="32" eb="34">
      <t>セイム</t>
    </rPh>
    <rPh sb="34" eb="36">
      <t>ジカン</t>
    </rPh>
    <rPh sb="37" eb="39">
      <t>モンブ</t>
    </rPh>
    <rPh sb="40" eb="41">
      <t>ギョウ</t>
    </rPh>
    <rPh sb="41" eb="42">
      <t>カン</t>
    </rPh>
    <rPh sb="44" eb="47">
      <t>ミンシュトウ</t>
    </rPh>
    <rPh sb="47" eb="48">
      <t>フク</t>
    </rPh>
    <rPh sb="48" eb="50">
      <t>ダイヒョウ</t>
    </rPh>
    <phoneticPr fontId="3"/>
  </si>
  <si>
    <t>野田　国義</t>
    <rPh sb="0" eb="2">
      <t>ノダ</t>
    </rPh>
    <rPh sb="3" eb="5">
      <t>クニヨシ</t>
    </rPh>
    <phoneticPr fontId="3"/>
  </si>
  <si>
    <t>311比例九州03</t>
    <rPh sb="3" eb="5">
      <t>ヒレイ</t>
    </rPh>
    <rPh sb="5" eb="7">
      <t>キュウシュウ</t>
    </rPh>
    <phoneticPr fontId="3"/>
  </si>
  <si>
    <t>大(日本)</t>
    <rPh sb="0" eb="1">
      <t>ダイ</t>
    </rPh>
    <rPh sb="2" eb="4">
      <t>ニホン</t>
    </rPh>
    <phoneticPr fontId="3"/>
  </si>
  <si>
    <t>福岡県・八女市長,議員秘書(古賀誠)</t>
    <rPh sb="0" eb="3">
      <t>フクオカケン</t>
    </rPh>
    <rPh sb="4" eb="6">
      <t>ヤメ</t>
    </rPh>
    <rPh sb="6" eb="8">
      <t>シチョウ</t>
    </rPh>
    <rPh sb="9" eb="11">
      <t>ギイン</t>
    </rPh>
    <rPh sb="11" eb="13">
      <t>ヒショ</t>
    </rPh>
    <rPh sb="14" eb="16">
      <t>コガ</t>
    </rPh>
    <rPh sb="16" eb="17">
      <t>マコト</t>
    </rPh>
    <phoneticPr fontId="3"/>
  </si>
  <si>
    <t>首</t>
    <rPh sb="0" eb="1">
      <t>クビ</t>
    </rPh>
    <phoneticPr fontId="3"/>
  </si>
  <si>
    <t>267福岡5区01</t>
    <rPh sb="3" eb="5">
      <t>フクオカ</t>
    </rPh>
    <rPh sb="6" eb="7">
      <t>ク</t>
    </rPh>
    <phoneticPr fontId="3"/>
  </si>
  <si>
    <t>267福岡5区02</t>
    <rPh sb="3" eb="5">
      <t>フクオカ</t>
    </rPh>
    <rPh sb="6" eb="7">
      <t>ク</t>
    </rPh>
    <phoneticPr fontId="3"/>
  </si>
  <si>
    <t>267福岡5区03</t>
    <rPh sb="3" eb="5">
      <t>フクオカ</t>
    </rPh>
    <rPh sb="6" eb="7">
      <t>ク</t>
    </rPh>
    <phoneticPr fontId="3"/>
  </si>
  <si>
    <t>268福岡6区01</t>
    <rPh sb="3" eb="5">
      <t>フクオカ</t>
    </rPh>
    <rPh sb="6" eb="7">
      <t>ク</t>
    </rPh>
    <phoneticPr fontId="3"/>
  </si>
  <si>
    <t>268福岡6区02</t>
    <rPh sb="3" eb="5">
      <t>フクオカ</t>
    </rPh>
    <rPh sb="6" eb="7">
      <t>ク</t>
    </rPh>
    <phoneticPr fontId="3"/>
  </si>
  <si>
    <t>268福岡6区03</t>
    <rPh sb="3" eb="5">
      <t>フクオカ</t>
    </rPh>
    <rPh sb="6" eb="7">
      <t>ク</t>
    </rPh>
    <phoneticPr fontId="3"/>
  </si>
  <si>
    <t>268福岡6区04</t>
    <rPh sb="3" eb="5">
      <t>フクオカ</t>
    </rPh>
    <rPh sb="6" eb="7">
      <t>ク</t>
    </rPh>
    <phoneticPr fontId="3"/>
  </si>
  <si>
    <t>269福岡7区01</t>
    <rPh sb="3" eb="5">
      <t>フクオカ</t>
    </rPh>
    <rPh sb="6" eb="7">
      <t>ク</t>
    </rPh>
    <phoneticPr fontId="3"/>
  </si>
  <si>
    <t>269福岡7区02</t>
    <rPh sb="3" eb="5">
      <t>フクオカ</t>
    </rPh>
    <rPh sb="6" eb="7">
      <t>ク</t>
    </rPh>
    <phoneticPr fontId="3"/>
  </si>
  <si>
    <t>269福岡7区03</t>
    <rPh sb="3" eb="5">
      <t>フクオカ</t>
    </rPh>
    <rPh sb="6" eb="7">
      <t>ク</t>
    </rPh>
    <phoneticPr fontId="3"/>
  </si>
  <si>
    <t>江口　　学</t>
    <rPh sb="0" eb="2">
      <t>エグチ</t>
    </rPh>
    <rPh sb="4" eb="5">
      <t>マナブ</t>
    </rPh>
    <phoneticPr fontId="3"/>
  </si>
  <si>
    <t>共産党地区常任委員</t>
    <rPh sb="0" eb="3">
      <t>キョウサントウ</t>
    </rPh>
    <rPh sb="3" eb="5">
      <t>チク</t>
    </rPh>
    <rPh sb="5" eb="7">
      <t>ジョウニン</t>
    </rPh>
    <rPh sb="7" eb="9">
      <t>イイン</t>
    </rPh>
    <phoneticPr fontId="3"/>
  </si>
  <si>
    <t>270福岡8区01</t>
    <rPh sb="3" eb="5">
      <t>フクオカ</t>
    </rPh>
    <rPh sb="6" eb="7">
      <t>ク</t>
    </rPh>
    <phoneticPr fontId="3"/>
  </si>
  <si>
    <t>270福岡8区02</t>
    <rPh sb="3" eb="5">
      <t>フクオカ</t>
    </rPh>
    <rPh sb="6" eb="7">
      <t>ク</t>
    </rPh>
    <phoneticPr fontId="3"/>
  </si>
  <si>
    <t>270福岡8区03</t>
    <rPh sb="3" eb="5">
      <t>フクオカ</t>
    </rPh>
    <rPh sb="6" eb="7">
      <t>ク</t>
    </rPh>
    <phoneticPr fontId="3"/>
  </si>
  <si>
    <t>山本　剛正</t>
    <rPh sb="0" eb="2">
      <t>ヤマモト</t>
    </rPh>
    <rPh sb="3" eb="4">
      <t>ゴウ</t>
    </rPh>
    <rPh sb="4" eb="5">
      <t>セイ</t>
    </rPh>
    <phoneticPr fontId="3"/>
  </si>
  <si>
    <t>311比例九州07</t>
    <rPh sb="3" eb="5">
      <t>ヒレイ</t>
    </rPh>
    <rPh sb="5" eb="7">
      <t>キュウシュウ</t>
    </rPh>
    <phoneticPr fontId="3"/>
  </si>
  <si>
    <t>議員秘書(大久保勉,樽床伸二),会社員(伊藤忠燃料)</t>
    <rPh sb="0" eb="2">
      <t>ギイン</t>
    </rPh>
    <rPh sb="2" eb="4">
      <t>ヒショ</t>
    </rPh>
    <rPh sb="5" eb="8">
      <t>オオクボ</t>
    </rPh>
    <rPh sb="8" eb="9">
      <t>ツトム</t>
    </rPh>
    <rPh sb="10" eb="12">
      <t>タルトコ</t>
    </rPh>
    <rPh sb="12" eb="14">
      <t>シンジ</t>
    </rPh>
    <rPh sb="16" eb="19">
      <t>カイシャイン</t>
    </rPh>
    <rPh sb="20" eb="23">
      <t>イトウチュウ</t>
    </rPh>
    <rPh sb="23" eb="25">
      <t>ネンリョウ</t>
    </rPh>
    <phoneticPr fontId="3"/>
  </si>
  <si>
    <t>麻生　太郎</t>
    <rPh sb="0" eb="2">
      <t>アソウ</t>
    </rPh>
    <rPh sb="3" eb="5">
      <t>タロウ</t>
    </rPh>
    <phoneticPr fontId="3"/>
  </si>
  <si>
    <t>270福岡8区</t>
    <rPh sb="3" eb="5">
      <t>フクオカ</t>
    </rPh>
    <rPh sb="6" eb="7">
      <t>ク</t>
    </rPh>
    <phoneticPr fontId="3"/>
  </si>
  <si>
    <t>会社社長(麻生セメント),JC会頭</t>
    <rPh sb="0" eb="2">
      <t>カイシャ</t>
    </rPh>
    <rPh sb="2" eb="4">
      <t>シャチョウ</t>
    </rPh>
    <rPh sb="5" eb="7">
      <t>アソウ</t>
    </rPh>
    <rPh sb="15" eb="17">
      <t>カイトウ</t>
    </rPh>
    <phoneticPr fontId="3"/>
  </si>
  <si>
    <t>　元首相・自民党総裁,大臣(外務,総務,経財,経企),委長(外務,石炭特),政務次官(文部),自民党幹事長,政調会長</t>
    <rPh sb="1" eb="4">
      <t>モトシュショウ</t>
    </rPh>
    <rPh sb="5" eb="8">
      <t>ジミントウ</t>
    </rPh>
    <rPh sb="8" eb="10">
      <t>ソウサイ</t>
    </rPh>
    <rPh sb="11" eb="13">
      <t>ダイジン</t>
    </rPh>
    <rPh sb="14" eb="16">
      <t>ガイム</t>
    </rPh>
    <rPh sb="17" eb="19">
      <t>ソウム</t>
    </rPh>
    <rPh sb="20" eb="21">
      <t>キョウ</t>
    </rPh>
    <rPh sb="21" eb="22">
      <t>ザイ</t>
    </rPh>
    <rPh sb="23" eb="25">
      <t>ケイキ</t>
    </rPh>
    <rPh sb="27" eb="29">
      <t>イチョウ</t>
    </rPh>
    <rPh sb="30" eb="32">
      <t>ガイム</t>
    </rPh>
    <rPh sb="33" eb="35">
      <t>セキタン</t>
    </rPh>
    <rPh sb="35" eb="36">
      <t>トク</t>
    </rPh>
    <rPh sb="38" eb="40">
      <t>セイム</t>
    </rPh>
    <rPh sb="40" eb="42">
      <t>ジカン</t>
    </rPh>
    <rPh sb="43" eb="45">
      <t>モンブ</t>
    </rPh>
    <rPh sb="47" eb="50">
      <t>ジミントウ</t>
    </rPh>
    <rPh sb="50" eb="53">
      <t>カンジチョウ</t>
    </rPh>
    <rPh sb="54" eb="56">
      <t>セイチョウ</t>
    </rPh>
    <rPh sb="56" eb="58">
      <t>カイチョウ</t>
    </rPh>
    <phoneticPr fontId="3"/>
  </si>
  <si>
    <t>306比例北信越02</t>
    <rPh sb="3" eb="5">
      <t>ヒレイ</t>
    </rPh>
    <rPh sb="5" eb="8">
      <t>ホクシンエツ</t>
    </rPh>
    <phoneticPr fontId="3"/>
  </si>
  <si>
    <t>304比例南関東04</t>
    <rPh sb="3" eb="5">
      <t>ヒレイ</t>
    </rPh>
    <rPh sb="5" eb="8">
      <t>ミナミカントウ</t>
    </rPh>
    <phoneticPr fontId="3"/>
  </si>
  <si>
    <t>さ</t>
    <phoneticPr fontId="3"/>
  </si>
  <si>
    <t>松</t>
    <rPh sb="0" eb="1">
      <t>マツ</t>
    </rPh>
    <phoneticPr fontId="3"/>
  </si>
  <si>
    <t>議</t>
    <rPh sb="0" eb="1">
      <t>ギ</t>
    </rPh>
    <phoneticPr fontId="3"/>
  </si>
  <si>
    <t>林　公太郎</t>
    <rPh sb="0" eb="1">
      <t>ハヤシ</t>
    </rPh>
    <rPh sb="2" eb="5">
      <t>コウタロウ</t>
    </rPh>
    <phoneticPr fontId="3"/>
  </si>
  <si>
    <t>福村　　隆</t>
    <rPh sb="0" eb="2">
      <t>フクムラ</t>
    </rPh>
    <rPh sb="4" eb="5">
      <t>タカシ</t>
    </rPh>
    <phoneticPr fontId="3"/>
  </si>
  <si>
    <t>井上　英孝</t>
    <rPh sb="0" eb="2">
      <t>イノウエ</t>
    </rPh>
    <rPh sb="3" eb="5">
      <t>ヒデタカ</t>
    </rPh>
    <phoneticPr fontId="3"/>
  </si>
  <si>
    <t>浦野　靖人</t>
    <rPh sb="0" eb="2">
      <t>ウラノ</t>
    </rPh>
    <rPh sb="3" eb="5">
      <t>ヤスト</t>
    </rPh>
    <phoneticPr fontId="3"/>
  </si>
  <si>
    <t>大(聖和)</t>
    <rPh sb="0" eb="1">
      <t>ダイ</t>
    </rPh>
    <rPh sb="2" eb="4">
      <t>セイワ</t>
    </rPh>
    <phoneticPr fontId="3"/>
  </si>
  <si>
    <t>大阪府議(松原市),社会福祉法人理事(立青福祉会),保育士</t>
    <rPh sb="0" eb="2">
      <t>オオサカ</t>
    </rPh>
    <rPh sb="2" eb="4">
      <t>フギ</t>
    </rPh>
    <rPh sb="5" eb="8">
      <t>マツバラシ</t>
    </rPh>
    <rPh sb="10" eb="12">
      <t>シャカイ</t>
    </rPh>
    <rPh sb="12" eb="14">
      <t>フクシ</t>
    </rPh>
    <rPh sb="14" eb="16">
      <t>ホウジン</t>
    </rPh>
    <rPh sb="16" eb="18">
      <t>リジ</t>
    </rPh>
    <rPh sb="19" eb="20">
      <t>リツ</t>
    </rPh>
    <rPh sb="20" eb="21">
      <t>セイ</t>
    </rPh>
    <rPh sb="21" eb="24">
      <t>フクシカイ</t>
    </rPh>
    <rPh sb="26" eb="29">
      <t>ホイクシ</t>
    </rPh>
    <phoneticPr fontId="3"/>
  </si>
  <si>
    <t>馬場　伸幸</t>
    <rPh sb="0" eb="2">
      <t>ババ</t>
    </rPh>
    <rPh sb="3" eb="5">
      <t>ノブユキ</t>
    </rPh>
    <phoneticPr fontId="3"/>
  </si>
  <si>
    <t>高(鳳)</t>
    <rPh sb="0" eb="1">
      <t>コウ</t>
    </rPh>
    <rPh sb="2" eb="3">
      <t>オオトリ</t>
    </rPh>
    <phoneticPr fontId="3"/>
  </si>
  <si>
    <t>大阪府・堺市議,議員秘書(中山太郎),会社員(オージーロイヤル)</t>
    <rPh sb="0" eb="3">
      <t>オオサカフ</t>
    </rPh>
    <rPh sb="4" eb="5">
      <t>サカイ</t>
    </rPh>
    <rPh sb="5" eb="7">
      <t>シギ</t>
    </rPh>
    <rPh sb="8" eb="10">
      <t>ギイン</t>
    </rPh>
    <rPh sb="10" eb="12">
      <t>ヒショ</t>
    </rPh>
    <rPh sb="13" eb="15">
      <t>ナカヤマ</t>
    </rPh>
    <rPh sb="15" eb="17">
      <t>タロウ</t>
    </rPh>
    <rPh sb="19" eb="22">
      <t>カイシャイン</t>
    </rPh>
    <phoneticPr fontId="3"/>
  </si>
  <si>
    <t>今井　雅人</t>
    <rPh sb="0" eb="2">
      <t>イマイ</t>
    </rPh>
    <rPh sb="3" eb="5">
      <t>マサト</t>
    </rPh>
    <phoneticPr fontId="3"/>
  </si>
  <si>
    <t>307比例東海02</t>
    <rPh sb="3" eb="5">
      <t>ヒレイ</t>
    </rPh>
    <rPh sb="5" eb="7">
      <t>トウカイ</t>
    </rPh>
    <phoneticPr fontId="3"/>
  </si>
  <si>
    <t>民</t>
    <rPh sb="0" eb="1">
      <t>ミン</t>
    </rPh>
    <phoneticPr fontId="3"/>
  </si>
  <si>
    <t>264福岡2区04</t>
    <rPh sb="3" eb="5">
      <t>フクオカ</t>
    </rPh>
    <rPh sb="6" eb="7">
      <t>ク</t>
    </rPh>
    <phoneticPr fontId="3"/>
  </si>
  <si>
    <t>小谷　　学</t>
    <rPh sb="0" eb="2">
      <t>コタニ</t>
    </rPh>
    <rPh sb="4" eb="5">
      <t>マナブ</t>
    </rPh>
    <phoneticPr fontId="3"/>
  </si>
  <si>
    <t>大中(東京商船)</t>
    <rPh sb="0" eb="1">
      <t>ダイ</t>
    </rPh>
    <rPh sb="1" eb="2">
      <t>チュウ</t>
    </rPh>
    <rPh sb="3" eb="5">
      <t>トウキョウ</t>
    </rPh>
    <rPh sb="5" eb="7">
      <t>ショウセン</t>
    </rPh>
    <phoneticPr fontId="3"/>
  </si>
  <si>
    <t>会社代表(上海泉能貿易有限公司)</t>
    <rPh sb="0" eb="2">
      <t>カイシャ</t>
    </rPh>
    <rPh sb="2" eb="4">
      <t>ダイヒョウ</t>
    </rPh>
    <rPh sb="5" eb="7">
      <t>シャンハイ</t>
    </rPh>
    <rPh sb="7" eb="8">
      <t>イズミ</t>
    </rPh>
    <rPh sb="8" eb="9">
      <t>ノウ</t>
    </rPh>
    <rPh sb="9" eb="11">
      <t>ボウエキ</t>
    </rPh>
    <rPh sb="11" eb="13">
      <t>ユウゲン</t>
    </rPh>
    <rPh sb="13" eb="15">
      <t>コウシ</t>
    </rPh>
    <phoneticPr fontId="3"/>
  </si>
  <si>
    <t>170愛知9区04</t>
    <rPh sb="3" eb="5">
      <t>アイチ</t>
    </rPh>
    <rPh sb="6" eb="7">
      <t>ク</t>
    </rPh>
    <phoneticPr fontId="3"/>
  </si>
  <si>
    <t>井桁　　亮</t>
    <rPh sb="0" eb="2">
      <t>イゲタ</t>
    </rPh>
    <rPh sb="4" eb="5">
      <t>マコト</t>
    </rPh>
    <phoneticPr fontId="3"/>
  </si>
  <si>
    <t>大(上智)</t>
    <rPh sb="0" eb="1">
      <t>ダイ</t>
    </rPh>
    <rPh sb="2" eb="4">
      <t>ジョウチ</t>
    </rPh>
    <phoneticPr fontId="3"/>
  </si>
  <si>
    <t>愛知県・津島市議,愛知県議(津島市)</t>
    <rPh sb="0" eb="3">
      <t>アイチケン</t>
    </rPh>
    <rPh sb="4" eb="6">
      <t>ツシマ</t>
    </rPh>
    <rPh sb="6" eb="8">
      <t>シギ</t>
    </rPh>
    <rPh sb="9" eb="11">
      <t>アイチ</t>
    </rPh>
    <rPh sb="11" eb="13">
      <t>ケンギ</t>
    </rPh>
    <rPh sb="14" eb="17">
      <t>ツシマシ</t>
    </rPh>
    <phoneticPr fontId="3"/>
  </si>
  <si>
    <t>大院(英/リヴァプール)</t>
    <rPh sb="0" eb="2">
      <t>ダイイン</t>
    </rPh>
    <rPh sb="3" eb="4">
      <t>エイ</t>
    </rPh>
    <phoneticPr fontId="3"/>
  </si>
  <si>
    <t>議員秘書(柚木道義)</t>
    <rPh sb="0" eb="2">
      <t>ギイン</t>
    </rPh>
    <rPh sb="2" eb="4">
      <t>ヒショ</t>
    </rPh>
    <rPh sb="5" eb="7">
      <t>ユノキ</t>
    </rPh>
    <rPh sb="7" eb="9">
      <t>ミチヨシ</t>
    </rPh>
    <phoneticPr fontId="3"/>
  </si>
  <si>
    <t>会社顧問(SRF建設),会社社長(メリルリンチ日本ファイナンス)</t>
    <rPh sb="0" eb="2">
      <t>カイシャ</t>
    </rPh>
    <rPh sb="2" eb="4">
      <t>コモン</t>
    </rPh>
    <rPh sb="8" eb="10">
      <t>ケンセツ</t>
    </rPh>
    <rPh sb="12" eb="14">
      <t>カイシャ</t>
    </rPh>
    <rPh sb="14" eb="16">
      <t>シャチョウ</t>
    </rPh>
    <rPh sb="23" eb="25">
      <t>ニホン</t>
    </rPh>
    <phoneticPr fontId="3"/>
  </si>
  <si>
    <t>101山梨1区04</t>
    <rPh sb="3" eb="5">
      <t>ヤマナシ</t>
    </rPh>
    <rPh sb="6" eb="7">
      <t>ク</t>
    </rPh>
    <phoneticPr fontId="3"/>
  </si>
  <si>
    <t>271福岡9区01</t>
    <rPh sb="3" eb="5">
      <t>フクオカ</t>
    </rPh>
    <rPh sb="6" eb="7">
      <t>ク</t>
    </rPh>
    <phoneticPr fontId="3"/>
  </si>
  <si>
    <t>271福岡9区02</t>
    <rPh sb="3" eb="5">
      <t>フクオカ</t>
    </rPh>
    <rPh sb="6" eb="7">
      <t>ク</t>
    </rPh>
    <phoneticPr fontId="3"/>
  </si>
  <si>
    <t>271福岡9区03</t>
    <rPh sb="3" eb="5">
      <t>フクオカ</t>
    </rPh>
    <rPh sb="6" eb="7">
      <t>ク</t>
    </rPh>
    <phoneticPr fontId="3"/>
  </si>
  <si>
    <t>緒方　林太郎</t>
    <rPh sb="0" eb="2">
      <t>オガタ</t>
    </rPh>
    <rPh sb="3" eb="6">
      <t>リンタロウ</t>
    </rPh>
    <phoneticPr fontId="3"/>
  </si>
  <si>
    <t>271福岡9区</t>
    <rPh sb="3" eb="5">
      <t>フクオカ</t>
    </rPh>
    <rPh sb="6" eb="7">
      <t>ク</t>
    </rPh>
    <phoneticPr fontId="3"/>
  </si>
  <si>
    <t>大中(東京)</t>
    <rPh sb="0" eb="1">
      <t>ダイ</t>
    </rPh>
    <rPh sb="1" eb="2">
      <t>チュウ</t>
    </rPh>
    <rPh sb="3" eb="5">
      <t>トウキョウ</t>
    </rPh>
    <phoneticPr fontId="3"/>
  </si>
  <si>
    <t>議員秘書(白眞勲,末松義規),外務省国際法局条約課長補佐</t>
    <rPh sb="0" eb="2">
      <t>ギイン</t>
    </rPh>
    <rPh sb="2" eb="4">
      <t>ヒショ</t>
    </rPh>
    <rPh sb="5" eb="7">
      <t>ハクシン</t>
    </rPh>
    <rPh sb="7" eb="8">
      <t>クン</t>
    </rPh>
    <rPh sb="9" eb="11">
      <t>スエマツ</t>
    </rPh>
    <rPh sb="11" eb="13">
      <t>ヨシノリ</t>
    </rPh>
    <rPh sb="15" eb="28">
      <t>ガイムショウコクサイホウキョクジョウヤクカチョウホサ</t>
    </rPh>
    <phoneticPr fontId="3"/>
  </si>
  <si>
    <t>官</t>
    <rPh sb="0" eb="1">
      <t>カン</t>
    </rPh>
    <phoneticPr fontId="3"/>
  </si>
  <si>
    <t>三原　朝彦</t>
    <rPh sb="0" eb="2">
      <t>ミハラ</t>
    </rPh>
    <rPh sb="3" eb="5">
      <t>アサヒコ</t>
    </rPh>
    <phoneticPr fontId="3"/>
  </si>
  <si>
    <t>大院(加/カールトン)</t>
    <rPh sb="0" eb="2">
      <t>ダイイン</t>
    </rPh>
    <rPh sb="3" eb="4">
      <t>カ</t>
    </rPh>
    <phoneticPr fontId="3"/>
  </si>
  <si>
    <t>議員秘書(三原朝雄)</t>
    <rPh sb="0" eb="2">
      <t>ギイン</t>
    </rPh>
    <rPh sb="2" eb="4">
      <t>ヒショ</t>
    </rPh>
    <rPh sb="5" eb="7">
      <t>ミハラ</t>
    </rPh>
    <rPh sb="7" eb="9">
      <t>アサオ</t>
    </rPh>
    <phoneticPr fontId="3"/>
  </si>
  <si>
    <t>二</t>
    <rPh sb="0" eb="1">
      <t>ニ</t>
    </rPh>
    <phoneticPr fontId="3"/>
  </si>
  <si>
    <t>　元委長(テロ特,外務),政務次官(防衛)</t>
    <rPh sb="1" eb="2">
      <t>モト</t>
    </rPh>
    <rPh sb="2" eb="4">
      <t>イチョウ</t>
    </rPh>
    <rPh sb="7" eb="8">
      <t>トク</t>
    </rPh>
    <rPh sb="9" eb="11">
      <t>ガイム</t>
    </rPh>
    <rPh sb="13" eb="15">
      <t>セイム</t>
    </rPh>
    <rPh sb="15" eb="17">
      <t>ジカン</t>
    </rPh>
    <rPh sb="18" eb="20">
      <t>ボウエイ</t>
    </rPh>
    <phoneticPr fontId="3"/>
  </si>
  <si>
    <t>真島　省三</t>
    <rPh sb="0" eb="2">
      <t>マジマ</t>
    </rPh>
    <rPh sb="3" eb="5">
      <t>ショウゾウ</t>
    </rPh>
    <phoneticPr fontId="3"/>
  </si>
  <si>
    <t>大中(九州工業)</t>
    <rPh sb="0" eb="1">
      <t>ダイ</t>
    </rPh>
    <rPh sb="1" eb="2">
      <t>チュウ</t>
    </rPh>
    <rPh sb="3" eb="5">
      <t>キュウシュウ</t>
    </rPh>
    <rPh sb="5" eb="7">
      <t>コウギョウ</t>
    </rPh>
    <phoneticPr fontId="3"/>
  </si>
  <si>
    <t>福岡県議(北九州市八幡西区)</t>
    <rPh sb="0" eb="2">
      <t>フクオカ</t>
    </rPh>
    <rPh sb="2" eb="4">
      <t>ケンギ</t>
    </rPh>
    <rPh sb="5" eb="9">
      <t>キタキュウシュウシ</t>
    </rPh>
    <rPh sb="9" eb="13">
      <t>ヤハタニシク</t>
    </rPh>
    <phoneticPr fontId="3"/>
  </si>
  <si>
    <t>議</t>
    <rPh sb="0" eb="1">
      <t>ギ</t>
    </rPh>
    <phoneticPr fontId="3"/>
  </si>
  <si>
    <t>272福岡10区01</t>
    <rPh sb="3" eb="5">
      <t>フクオカ</t>
    </rPh>
    <rPh sb="7" eb="8">
      <t>ク</t>
    </rPh>
    <phoneticPr fontId="3"/>
  </si>
  <si>
    <t>272福岡10区02</t>
    <rPh sb="3" eb="5">
      <t>フクオカ</t>
    </rPh>
    <rPh sb="7" eb="8">
      <t>ク</t>
    </rPh>
    <phoneticPr fontId="3"/>
  </si>
  <si>
    <t>272福岡10区03</t>
    <rPh sb="3" eb="5">
      <t>フクオカ</t>
    </rPh>
    <rPh sb="7" eb="8">
      <t>ク</t>
    </rPh>
    <phoneticPr fontId="3"/>
  </si>
  <si>
    <t>272福岡10区04</t>
    <rPh sb="3" eb="5">
      <t>フクオカ</t>
    </rPh>
    <rPh sb="7" eb="8">
      <t>ク</t>
    </rPh>
    <phoneticPr fontId="3"/>
  </si>
  <si>
    <t>城井　　崇</t>
    <rPh sb="0" eb="2">
      <t>キイ</t>
    </rPh>
    <rPh sb="4" eb="5">
      <t>タカシ</t>
    </rPh>
    <phoneticPr fontId="3"/>
  </si>
  <si>
    <t>272福岡10区</t>
    <rPh sb="3" eb="5">
      <t>フクオカ</t>
    </rPh>
    <rPh sb="7" eb="8">
      <t>ク</t>
    </rPh>
    <phoneticPr fontId="3"/>
  </si>
  <si>
    <t>大(京都)</t>
    <rPh sb="0" eb="1">
      <t>ダイ</t>
    </rPh>
    <rPh sb="2" eb="4">
      <t>キョウト</t>
    </rPh>
    <phoneticPr fontId="3"/>
  </si>
  <si>
    <t>松</t>
    <rPh sb="0" eb="1">
      <t>マツ</t>
    </rPh>
    <phoneticPr fontId="3"/>
  </si>
  <si>
    <t>山本　幸三</t>
    <rPh sb="0" eb="2">
      <t>ヤマモト</t>
    </rPh>
    <rPh sb="3" eb="5">
      <t>コウゾウ</t>
    </rPh>
    <phoneticPr fontId="3"/>
  </si>
  <si>
    <t>311比例九州11</t>
    <rPh sb="3" eb="5">
      <t>ヒレイ</t>
    </rPh>
    <rPh sb="5" eb="7">
      <t>キュウシュウ</t>
    </rPh>
    <phoneticPr fontId="3"/>
  </si>
  <si>
    <t>大(東京)</t>
    <rPh sb="0" eb="1">
      <t>ダイ</t>
    </rPh>
    <rPh sb="2" eb="4">
      <t>トウキョウ</t>
    </rPh>
    <phoneticPr fontId="3"/>
  </si>
  <si>
    <t>大学教員(九州国際大学講師),大蔵大臣秘書官</t>
    <rPh sb="0" eb="2">
      <t>ダイガク</t>
    </rPh>
    <rPh sb="2" eb="4">
      <t>キョウイン</t>
    </rPh>
    <rPh sb="5" eb="7">
      <t>キュウシュウ</t>
    </rPh>
    <rPh sb="7" eb="9">
      <t>コクサイ</t>
    </rPh>
    <rPh sb="9" eb="11">
      <t>ダイガク</t>
    </rPh>
    <rPh sb="11" eb="13">
      <t>コウシ</t>
    </rPh>
    <rPh sb="15" eb="17">
      <t>オオクラ</t>
    </rPh>
    <rPh sb="17" eb="19">
      <t>ダイジン</t>
    </rPh>
    <rPh sb="19" eb="22">
      <t>ヒショカン</t>
    </rPh>
    <phoneticPr fontId="3"/>
  </si>
  <si>
    <t>　元委長(法務),副大臣(経産)</t>
    <rPh sb="1" eb="2">
      <t>モト</t>
    </rPh>
    <rPh sb="2" eb="4">
      <t>イチョウ</t>
    </rPh>
    <rPh sb="5" eb="7">
      <t>ホウム</t>
    </rPh>
    <rPh sb="9" eb="12">
      <t>フクダイジン</t>
    </rPh>
    <rPh sb="13" eb="15">
      <t>ケイサン</t>
    </rPh>
    <phoneticPr fontId="3"/>
  </si>
  <si>
    <t>高瀬　菜穂子</t>
    <rPh sb="0" eb="2">
      <t>タカセ</t>
    </rPh>
    <rPh sb="3" eb="6">
      <t>ナホコ</t>
    </rPh>
    <phoneticPr fontId="3"/>
  </si>
  <si>
    <t>福岡県議(北九州市小倉南区),中学校教諭</t>
    <rPh sb="0" eb="2">
      <t>フクオカ</t>
    </rPh>
    <rPh sb="2" eb="4">
      <t>ケンギ</t>
    </rPh>
    <rPh sb="5" eb="9">
      <t>キタキュウシュウシ</t>
    </rPh>
    <rPh sb="9" eb="13">
      <t>コクラミナミク</t>
    </rPh>
    <rPh sb="15" eb="18">
      <t>チュウガッコウ</t>
    </rPh>
    <rPh sb="18" eb="20">
      <t>キョウユ</t>
    </rPh>
    <phoneticPr fontId="3"/>
  </si>
  <si>
    <t>佐藤　正夫</t>
    <rPh sb="0" eb="2">
      <t>サトウ</t>
    </rPh>
    <rPh sb="3" eb="5">
      <t>マサオ</t>
    </rPh>
    <phoneticPr fontId="3"/>
  </si>
  <si>
    <t>大(日本)</t>
    <rPh sb="0" eb="1">
      <t>ダイ</t>
    </rPh>
    <rPh sb="2" eb="4">
      <t>ニホン</t>
    </rPh>
    <phoneticPr fontId="3"/>
  </si>
  <si>
    <t>福岡県議(北九州市小倉北区),工務店経営</t>
    <rPh sb="0" eb="2">
      <t>フクオカ</t>
    </rPh>
    <rPh sb="2" eb="4">
      <t>ケンギ</t>
    </rPh>
    <rPh sb="5" eb="9">
      <t>キタキュウシュウシ</t>
    </rPh>
    <rPh sb="9" eb="13">
      <t>コクラキタク</t>
    </rPh>
    <rPh sb="15" eb="18">
      <t>コウムテン</t>
    </rPh>
    <rPh sb="18" eb="20">
      <t>ケイエイ</t>
    </rPh>
    <phoneticPr fontId="3"/>
  </si>
  <si>
    <t>273福岡11区01</t>
    <rPh sb="3" eb="5">
      <t>フクオカ</t>
    </rPh>
    <rPh sb="7" eb="8">
      <t>ク</t>
    </rPh>
    <phoneticPr fontId="3"/>
  </si>
  <si>
    <t>273福岡11区02</t>
    <rPh sb="3" eb="5">
      <t>フクオカ</t>
    </rPh>
    <rPh sb="7" eb="8">
      <t>ク</t>
    </rPh>
    <phoneticPr fontId="3"/>
  </si>
  <si>
    <t>273福岡11区03</t>
    <rPh sb="3" eb="5">
      <t>フクオカ</t>
    </rPh>
    <rPh sb="7" eb="8">
      <t>ク</t>
    </rPh>
    <phoneticPr fontId="3"/>
  </si>
  <si>
    <t>武田　良太</t>
    <rPh sb="0" eb="2">
      <t>タケダ</t>
    </rPh>
    <rPh sb="3" eb="5">
      <t>リョウタ</t>
    </rPh>
    <phoneticPr fontId="3"/>
  </si>
  <si>
    <t>273福岡11区</t>
    <rPh sb="3" eb="5">
      <t>フクオカ</t>
    </rPh>
    <rPh sb="7" eb="8">
      <t>ク</t>
    </rPh>
    <phoneticPr fontId="3"/>
  </si>
  <si>
    <t>議員秘書(亀井靜香)</t>
    <rPh sb="0" eb="2">
      <t>ギイン</t>
    </rPh>
    <rPh sb="2" eb="4">
      <t>ヒショ</t>
    </rPh>
    <rPh sb="5" eb="7">
      <t>カメイ</t>
    </rPh>
    <rPh sb="7" eb="9">
      <t>シズカ</t>
    </rPh>
    <phoneticPr fontId="3"/>
  </si>
  <si>
    <t>　元政務官(防衛)</t>
    <rPh sb="1" eb="2">
      <t>モト</t>
    </rPh>
    <rPh sb="2" eb="5">
      <t>セイムカン</t>
    </rPh>
    <rPh sb="6" eb="8">
      <t>ボウエイ</t>
    </rPh>
    <phoneticPr fontId="3"/>
  </si>
  <si>
    <t>山下　登美子</t>
    <rPh sb="0" eb="2">
      <t>ヤマシタ</t>
    </rPh>
    <rPh sb="3" eb="6">
      <t>トミコ</t>
    </rPh>
    <phoneticPr fontId="3"/>
  </si>
  <si>
    <t>共産党地区常任委員</t>
    <rPh sb="0" eb="3">
      <t>キョウサントウ</t>
    </rPh>
    <rPh sb="3" eb="5">
      <t>チク</t>
    </rPh>
    <rPh sb="5" eb="7">
      <t>ジョウニン</t>
    </rPh>
    <rPh sb="7" eb="9">
      <t>イイン</t>
    </rPh>
    <phoneticPr fontId="3"/>
  </si>
  <si>
    <t>高(宮崎大宮)</t>
    <rPh sb="0" eb="1">
      <t>コウ</t>
    </rPh>
    <rPh sb="2" eb="4">
      <t>ミヤザキ</t>
    </rPh>
    <rPh sb="4" eb="6">
      <t>オオミヤ</t>
    </rPh>
    <phoneticPr fontId="3"/>
  </si>
  <si>
    <t>274佐賀1区01</t>
    <rPh sb="3" eb="5">
      <t>サガ</t>
    </rPh>
    <rPh sb="6" eb="7">
      <t>ク</t>
    </rPh>
    <phoneticPr fontId="3"/>
  </si>
  <si>
    <t>274佐賀1区02</t>
    <rPh sb="3" eb="5">
      <t>サガ</t>
    </rPh>
    <rPh sb="6" eb="7">
      <t>ク</t>
    </rPh>
    <phoneticPr fontId="3"/>
  </si>
  <si>
    <t>274佐賀1区03</t>
    <rPh sb="3" eb="5">
      <t>サガ</t>
    </rPh>
    <rPh sb="6" eb="7">
      <t>ク</t>
    </rPh>
    <phoneticPr fontId="3"/>
  </si>
  <si>
    <t>原口　一博</t>
    <rPh sb="0" eb="2">
      <t>ハラグチ</t>
    </rPh>
    <rPh sb="3" eb="5">
      <t>カズヒロ</t>
    </rPh>
    <phoneticPr fontId="3"/>
  </si>
  <si>
    <t>274佐賀1区</t>
    <rPh sb="3" eb="5">
      <t>サガ</t>
    </rPh>
    <rPh sb="6" eb="7">
      <t>ク</t>
    </rPh>
    <phoneticPr fontId="3"/>
  </si>
  <si>
    <t>進</t>
    <rPh sb="0" eb="1">
      <t>シン</t>
    </rPh>
    <phoneticPr fontId="3"/>
  </si>
  <si>
    <t>　元大臣(総務・地域),委長(総務)</t>
    <rPh sb="1" eb="4">
      <t>モトダイジン</t>
    </rPh>
    <rPh sb="5" eb="7">
      <t>ソウム</t>
    </rPh>
    <rPh sb="8" eb="10">
      <t>チイキ</t>
    </rPh>
    <rPh sb="12" eb="14">
      <t>イチョウ</t>
    </rPh>
    <rPh sb="15" eb="17">
      <t>ソウム</t>
    </rPh>
    <phoneticPr fontId="3"/>
  </si>
  <si>
    <t>岩田　和親</t>
    <rPh sb="0" eb="2">
      <t>イワタ</t>
    </rPh>
    <rPh sb="3" eb="4">
      <t>カズ</t>
    </rPh>
    <rPh sb="4" eb="5">
      <t>チカ</t>
    </rPh>
    <phoneticPr fontId="3"/>
  </si>
  <si>
    <t>大(九州)</t>
    <rPh sb="0" eb="1">
      <t>ダイ</t>
    </rPh>
    <rPh sb="2" eb="4">
      <t>キュウシュウ</t>
    </rPh>
    <phoneticPr fontId="3"/>
  </si>
  <si>
    <t>佐賀県議(佐賀市)</t>
    <rPh sb="0" eb="2">
      <t>サガ</t>
    </rPh>
    <rPh sb="2" eb="4">
      <t>ケンギ</t>
    </rPh>
    <rPh sb="5" eb="8">
      <t>サガシ</t>
    </rPh>
    <phoneticPr fontId="3"/>
  </si>
  <si>
    <t>大森　　斉</t>
    <rPh sb="0" eb="2">
      <t>オオモリ</t>
    </rPh>
    <rPh sb="4" eb="5">
      <t>ヒトシ</t>
    </rPh>
    <phoneticPr fontId="3"/>
  </si>
  <si>
    <t>大(佐賀)</t>
    <rPh sb="0" eb="1">
      <t>ダイ</t>
    </rPh>
    <rPh sb="2" eb="4">
      <t>サガ</t>
    </rPh>
    <phoneticPr fontId="3"/>
  </si>
  <si>
    <t>佐賀県・北茂安町議</t>
    <rPh sb="0" eb="3">
      <t>サガケン</t>
    </rPh>
    <rPh sb="4" eb="7">
      <t>キタシゲヤス</t>
    </rPh>
    <rPh sb="7" eb="9">
      <t>チョウギ</t>
    </rPh>
    <phoneticPr fontId="3"/>
  </si>
  <si>
    <t>議松</t>
    <rPh sb="0" eb="1">
      <t>ギ</t>
    </rPh>
    <rPh sb="1" eb="2">
      <t>マツ</t>
    </rPh>
    <phoneticPr fontId="3"/>
  </si>
  <si>
    <t>275佐賀2区01</t>
    <rPh sb="3" eb="5">
      <t>サガ</t>
    </rPh>
    <rPh sb="6" eb="7">
      <t>ク</t>
    </rPh>
    <phoneticPr fontId="3"/>
  </si>
  <si>
    <t>275佐賀2区02</t>
    <rPh sb="3" eb="5">
      <t>サガ</t>
    </rPh>
    <rPh sb="6" eb="7">
      <t>ク</t>
    </rPh>
    <phoneticPr fontId="3"/>
  </si>
  <si>
    <t>275佐賀2区03</t>
    <rPh sb="3" eb="5">
      <t>サガ</t>
    </rPh>
    <rPh sb="6" eb="7">
      <t>ク</t>
    </rPh>
    <phoneticPr fontId="3"/>
  </si>
  <si>
    <t>大串　博志</t>
    <rPh sb="0" eb="2">
      <t>オオグシ</t>
    </rPh>
    <rPh sb="3" eb="5">
      <t>ヒロシ</t>
    </rPh>
    <phoneticPr fontId="3"/>
  </si>
  <si>
    <t>275佐賀2区</t>
    <rPh sb="3" eb="5">
      <t>サガ</t>
    </rPh>
    <rPh sb="6" eb="7">
      <t>ク</t>
    </rPh>
    <phoneticPr fontId="3"/>
  </si>
  <si>
    <t>金融庁監督局銀行第一課銀行監督調整官(財務省)</t>
    <rPh sb="0" eb="3">
      <t>キンユウチョウ</t>
    </rPh>
    <rPh sb="3" eb="6">
      <t>カントクキョク</t>
    </rPh>
    <rPh sb="6" eb="8">
      <t>ギンコウ</t>
    </rPh>
    <rPh sb="8" eb="10">
      <t>ダイイチ</t>
    </rPh>
    <rPh sb="10" eb="11">
      <t>カ</t>
    </rPh>
    <rPh sb="11" eb="13">
      <t>ギンコウ</t>
    </rPh>
    <rPh sb="13" eb="15">
      <t>カントク</t>
    </rPh>
    <rPh sb="15" eb="18">
      <t>チョウセイカン</t>
    </rPh>
    <rPh sb="19" eb="22">
      <t>ザイムショウ</t>
    </rPh>
    <phoneticPr fontId="3"/>
  </si>
  <si>
    <t>首相補佐官，元政務官(内閣・復興,財務)</t>
    <rPh sb="0" eb="2">
      <t>シュショウ</t>
    </rPh>
    <rPh sb="2" eb="5">
      <t>ホサカン</t>
    </rPh>
    <rPh sb="6" eb="7">
      <t>モト</t>
    </rPh>
    <rPh sb="7" eb="10">
      <t>セイムカン</t>
    </rPh>
    <rPh sb="11" eb="13">
      <t>ナイカク</t>
    </rPh>
    <rPh sb="14" eb="16">
      <t>フッコウ</t>
    </rPh>
    <rPh sb="17" eb="19">
      <t>ザイム</t>
    </rPh>
    <phoneticPr fontId="3"/>
  </si>
  <si>
    <t>今村　雅弘</t>
    <rPh sb="0" eb="2">
      <t>イマムラ</t>
    </rPh>
    <rPh sb="3" eb="5">
      <t>マサヒロ</t>
    </rPh>
    <phoneticPr fontId="3"/>
  </si>
  <si>
    <t>311比例九州16</t>
    <rPh sb="3" eb="5">
      <t>ヒレイ</t>
    </rPh>
    <rPh sb="5" eb="7">
      <t>キュウシュウ</t>
    </rPh>
    <phoneticPr fontId="3"/>
  </si>
  <si>
    <t>会社員(JR九州)</t>
    <rPh sb="0" eb="3">
      <t>カイシャイン</t>
    </rPh>
    <rPh sb="6" eb="8">
      <t>キュウシュウ</t>
    </rPh>
    <phoneticPr fontId="3"/>
  </si>
  <si>
    <t>　元委長(決行),副大臣(農水),政務官(外務,国交)</t>
    <rPh sb="1" eb="2">
      <t>モト</t>
    </rPh>
    <rPh sb="2" eb="4">
      <t>イチョウ</t>
    </rPh>
    <rPh sb="5" eb="7">
      <t>ケッコウ</t>
    </rPh>
    <rPh sb="9" eb="12">
      <t>フクダイジン</t>
    </rPh>
    <rPh sb="13" eb="15">
      <t>ノウスイ</t>
    </rPh>
    <rPh sb="17" eb="20">
      <t>セイムカン</t>
    </rPh>
    <rPh sb="21" eb="23">
      <t>ガイム</t>
    </rPh>
    <rPh sb="24" eb="26">
      <t>コッコウ</t>
    </rPh>
    <phoneticPr fontId="3"/>
  </si>
  <si>
    <t>上村　泰稔</t>
    <rPh sb="0" eb="2">
      <t>カミムラ</t>
    </rPh>
    <rPh sb="3" eb="5">
      <t>ヤストシ</t>
    </rPh>
    <phoneticPr fontId="3"/>
  </si>
  <si>
    <t>大中(佐賀)</t>
    <rPh sb="0" eb="1">
      <t>ダイ</t>
    </rPh>
    <rPh sb="1" eb="2">
      <t>チュウ</t>
    </rPh>
    <rPh sb="3" eb="5">
      <t>サガ</t>
    </rPh>
    <phoneticPr fontId="3"/>
  </si>
  <si>
    <t>共産党佐賀県常任委員,民青同盟佐賀県常任委員</t>
    <rPh sb="0" eb="3">
      <t>キョウサントウ</t>
    </rPh>
    <rPh sb="3" eb="6">
      <t>サガケン</t>
    </rPh>
    <rPh sb="6" eb="8">
      <t>ジョウニン</t>
    </rPh>
    <rPh sb="8" eb="10">
      <t>イイン</t>
    </rPh>
    <rPh sb="11" eb="15">
      <t>ミンセイドウメイ</t>
    </rPh>
    <rPh sb="15" eb="18">
      <t>サガケン</t>
    </rPh>
    <rPh sb="18" eb="20">
      <t>ジョウニン</t>
    </rPh>
    <rPh sb="20" eb="22">
      <t>イイン</t>
    </rPh>
    <phoneticPr fontId="3"/>
  </si>
  <si>
    <t>276佐賀3区01</t>
    <rPh sb="3" eb="5">
      <t>サガ</t>
    </rPh>
    <rPh sb="6" eb="7">
      <t>ク</t>
    </rPh>
    <phoneticPr fontId="3"/>
  </si>
  <si>
    <t>276佐賀3区02</t>
    <rPh sb="3" eb="5">
      <t>サガ</t>
    </rPh>
    <rPh sb="6" eb="7">
      <t>ク</t>
    </rPh>
    <phoneticPr fontId="3"/>
  </si>
  <si>
    <t>保利　耕輔</t>
    <rPh sb="0" eb="2">
      <t>ホリ</t>
    </rPh>
    <rPh sb="3" eb="5">
      <t>コウスケ</t>
    </rPh>
    <phoneticPr fontId="3"/>
  </si>
  <si>
    <t>276佐賀3区</t>
    <rPh sb="3" eb="5">
      <t>サガ</t>
    </rPh>
    <rPh sb="6" eb="7">
      <t>ク</t>
    </rPh>
    <phoneticPr fontId="3"/>
  </si>
  <si>
    <t>会社社長(フランス日本精工)</t>
    <rPh sb="0" eb="2">
      <t>カイシャ</t>
    </rPh>
    <rPh sb="2" eb="4">
      <t>シャチョウ</t>
    </rPh>
    <rPh sb="9" eb="11">
      <t>ニホン</t>
    </rPh>
    <rPh sb="11" eb="13">
      <t>セイコウ</t>
    </rPh>
    <phoneticPr fontId="3"/>
  </si>
  <si>
    <t>　元大臣(自治・公安,文部),委長(法務),政務次官(農水),自民党政調会長,国対委長</t>
    <rPh sb="1" eb="4">
      <t>モトダイジン</t>
    </rPh>
    <rPh sb="5" eb="7">
      <t>ジチ</t>
    </rPh>
    <rPh sb="8" eb="10">
      <t>コウアン</t>
    </rPh>
    <rPh sb="11" eb="13">
      <t>モンブ</t>
    </rPh>
    <rPh sb="15" eb="17">
      <t>イチョウ</t>
    </rPh>
    <rPh sb="18" eb="20">
      <t>ホウム</t>
    </rPh>
    <rPh sb="22" eb="24">
      <t>セイム</t>
    </rPh>
    <rPh sb="24" eb="26">
      <t>ジカン</t>
    </rPh>
    <rPh sb="27" eb="29">
      <t>ノウスイ</t>
    </rPh>
    <rPh sb="31" eb="34">
      <t>ジミントウ</t>
    </rPh>
    <rPh sb="34" eb="36">
      <t>セイチョウ</t>
    </rPh>
    <rPh sb="36" eb="38">
      <t>カイチョウ</t>
    </rPh>
    <rPh sb="39" eb="43">
      <t>コクタイイチョウ</t>
    </rPh>
    <phoneticPr fontId="3"/>
  </si>
  <si>
    <t>277長崎1区01</t>
    <rPh sb="3" eb="5">
      <t>ナガサキ</t>
    </rPh>
    <rPh sb="6" eb="7">
      <t>ク</t>
    </rPh>
    <phoneticPr fontId="3"/>
  </si>
  <si>
    <t>277長崎1区02</t>
    <rPh sb="3" eb="5">
      <t>ナガサキ</t>
    </rPh>
    <rPh sb="6" eb="7">
      <t>ク</t>
    </rPh>
    <phoneticPr fontId="3"/>
  </si>
  <si>
    <t>277長崎1区03</t>
    <rPh sb="3" eb="5">
      <t>ナガサキ</t>
    </rPh>
    <rPh sb="6" eb="7">
      <t>ク</t>
    </rPh>
    <phoneticPr fontId="3"/>
  </si>
  <si>
    <t>髙木　義明</t>
    <rPh sb="0" eb="2">
      <t>タカキ</t>
    </rPh>
    <rPh sb="3" eb="5">
      <t>ヨシアキ</t>
    </rPh>
    <phoneticPr fontId="3"/>
  </si>
  <si>
    <t>277長崎1区</t>
    <rPh sb="3" eb="5">
      <t>ナガサキ</t>
    </rPh>
    <rPh sb="6" eb="7">
      <t>ク</t>
    </rPh>
    <phoneticPr fontId="3"/>
  </si>
  <si>
    <t>友</t>
    <rPh sb="0" eb="1">
      <t>ユウ</t>
    </rPh>
    <phoneticPr fontId="3"/>
  </si>
  <si>
    <t>高(下関工)</t>
    <rPh sb="0" eb="1">
      <t>コウ</t>
    </rPh>
    <rPh sb="2" eb="4">
      <t>シモノセキ</t>
    </rPh>
    <rPh sb="4" eb="5">
      <t>コウ</t>
    </rPh>
    <phoneticPr fontId="3"/>
  </si>
  <si>
    <t>長崎県議(長崎市),長崎県・長崎市議,三菱重工労組支部役員</t>
    <rPh sb="0" eb="2">
      <t>ナガサキ</t>
    </rPh>
    <rPh sb="2" eb="4">
      <t>ケンギ</t>
    </rPh>
    <rPh sb="5" eb="8">
      <t>ナガサキシ</t>
    </rPh>
    <rPh sb="10" eb="13">
      <t>ナガサキケン</t>
    </rPh>
    <rPh sb="14" eb="16">
      <t>ナガサキ</t>
    </rPh>
    <rPh sb="16" eb="18">
      <t>シギ</t>
    </rPh>
    <rPh sb="19" eb="21">
      <t>ミツビシ</t>
    </rPh>
    <rPh sb="21" eb="23">
      <t>ジュウコウ</t>
    </rPh>
    <rPh sb="23" eb="25">
      <t>ロウソ</t>
    </rPh>
    <rPh sb="25" eb="27">
      <t>シブ</t>
    </rPh>
    <rPh sb="27" eb="29">
      <t>ヤクイン</t>
    </rPh>
    <phoneticPr fontId="3"/>
  </si>
  <si>
    <t>議労</t>
    <rPh sb="0" eb="1">
      <t>ギ</t>
    </rPh>
    <rPh sb="1" eb="2">
      <t>ロウ</t>
    </rPh>
    <phoneticPr fontId="3"/>
  </si>
  <si>
    <t>労</t>
    <rPh sb="0" eb="1">
      <t>ロウ</t>
    </rPh>
    <phoneticPr fontId="3"/>
  </si>
  <si>
    <t>衆議院議院運営委員長，元大臣(文科),委長(農水,安保,石炭特),民主党副代表,国対委長,国対委長代理</t>
    <rPh sb="0" eb="3">
      <t>シュウギイン</t>
    </rPh>
    <rPh sb="3" eb="5">
      <t>ギイン</t>
    </rPh>
    <rPh sb="5" eb="7">
      <t>ウンエイ</t>
    </rPh>
    <rPh sb="7" eb="10">
      <t>イインチョウ</t>
    </rPh>
    <rPh sb="11" eb="14">
      <t>モトダイジン</t>
    </rPh>
    <rPh sb="15" eb="17">
      <t>モンカ</t>
    </rPh>
    <rPh sb="19" eb="21">
      <t>イチョウ</t>
    </rPh>
    <rPh sb="22" eb="24">
      <t>ノウスイ</t>
    </rPh>
    <rPh sb="25" eb="27">
      <t>アンポ</t>
    </rPh>
    <rPh sb="28" eb="30">
      <t>セキタン</t>
    </rPh>
    <rPh sb="30" eb="31">
      <t>トク</t>
    </rPh>
    <rPh sb="33" eb="36">
      <t>ミンシュトウ</t>
    </rPh>
    <rPh sb="36" eb="39">
      <t>フクダイヒョウ</t>
    </rPh>
    <rPh sb="40" eb="44">
      <t>コクタイイチョウ</t>
    </rPh>
    <rPh sb="45" eb="49">
      <t>コクタイイチョウ</t>
    </rPh>
    <rPh sb="49" eb="51">
      <t>ダイリ</t>
    </rPh>
    <phoneticPr fontId="3"/>
  </si>
  <si>
    <t>冨岡　　勉</t>
    <rPh sb="0" eb="2">
      <t>トミオカ</t>
    </rPh>
    <rPh sb="4" eb="5">
      <t>ツトム</t>
    </rPh>
    <phoneticPr fontId="3"/>
  </si>
  <si>
    <t>大院(長崎)</t>
    <rPh sb="0" eb="2">
      <t>ダイイン</t>
    </rPh>
    <rPh sb="3" eb="5">
      <t>ナガサキ</t>
    </rPh>
    <phoneticPr fontId="3"/>
  </si>
  <si>
    <t>長崎県議(長崎市),医師(長崎大学医療技術短大教授/外科)</t>
    <rPh sb="0" eb="2">
      <t>ナガサキ</t>
    </rPh>
    <rPh sb="2" eb="4">
      <t>ケンギ</t>
    </rPh>
    <rPh sb="5" eb="8">
      <t>ナガサキシ</t>
    </rPh>
    <rPh sb="10" eb="12">
      <t>イシ</t>
    </rPh>
    <rPh sb="13" eb="15">
      <t>ナガサキ</t>
    </rPh>
    <rPh sb="15" eb="17">
      <t>ダイガク</t>
    </rPh>
    <rPh sb="17" eb="19">
      <t>イリョウ</t>
    </rPh>
    <rPh sb="19" eb="21">
      <t>ギジュツ</t>
    </rPh>
    <rPh sb="21" eb="23">
      <t>タンダイ</t>
    </rPh>
    <rPh sb="23" eb="25">
      <t>キョウジュ</t>
    </rPh>
    <rPh sb="26" eb="28">
      <t>ゲカ</t>
    </rPh>
    <phoneticPr fontId="3"/>
  </si>
  <si>
    <t>牧山　　隆</t>
    <rPh sb="0" eb="2">
      <t>マキヤマ</t>
    </rPh>
    <rPh sb="4" eb="5">
      <t>タカシ</t>
    </rPh>
    <phoneticPr fontId="3"/>
  </si>
  <si>
    <t>長崎県・長崎市議,民主医療機関連合会職員</t>
    <rPh sb="0" eb="3">
      <t>ナガサキケン</t>
    </rPh>
    <rPh sb="4" eb="6">
      <t>ナガサキ</t>
    </rPh>
    <rPh sb="6" eb="8">
      <t>シギ</t>
    </rPh>
    <rPh sb="9" eb="11">
      <t>ミンシュ</t>
    </rPh>
    <rPh sb="11" eb="13">
      <t>イリョウ</t>
    </rPh>
    <rPh sb="13" eb="15">
      <t>キカン</t>
    </rPh>
    <rPh sb="15" eb="18">
      <t>レンゴウカイ</t>
    </rPh>
    <rPh sb="18" eb="20">
      <t>ショクイン</t>
    </rPh>
    <phoneticPr fontId="3"/>
  </si>
  <si>
    <t>278長崎2区01</t>
    <rPh sb="3" eb="5">
      <t>ナガサキ</t>
    </rPh>
    <rPh sb="6" eb="7">
      <t>ク</t>
    </rPh>
    <phoneticPr fontId="3"/>
  </si>
  <si>
    <t>278長崎2区02</t>
    <rPh sb="3" eb="5">
      <t>ナガサキ</t>
    </rPh>
    <rPh sb="6" eb="7">
      <t>ク</t>
    </rPh>
    <phoneticPr fontId="3"/>
  </si>
  <si>
    <t>278長崎2区03</t>
    <rPh sb="3" eb="5">
      <t>ナガサキ</t>
    </rPh>
    <rPh sb="6" eb="7">
      <t>ク</t>
    </rPh>
    <phoneticPr fontId="3"/>
  </si>
  <si>
    <t>加藤　寛治</t>
    <rPh sb="0" eb="2">
      <t>カトウ</t>
    </rPh>
    <rPh sb="3" eb="5">
      <t>カンジ</t>
    </rPh>
    <phoneticPr fontId="3"/>
  </si>
  <si>
    <t>長崎県議(島原市)</t>
    <rPh sb="0" eb="2">
      <t>ナガサキ</t>
    </rPh>
    <rPh sb="2" eb="4">
      <t>ケンギ</t>
    </rPh>
    <rPh sb="5" eb="8">
      <t>シマバラシ</t>
    </rPh>
    <phoneticPr fontId="3"/>
  </si>
  <si>
    <t>279長崎3区01</t>
    <rPh sb="3" eb="5">
      <t>ナガサキ</t>
    </rPh>
    <rPh sb="6" eb="7">
      <t>ク</t>
    </rPh>
    <phoneticPr fontId="3"/>
  </si>
  <si>
    <t>279長崎3区02</t>
    <rPh sb="3" eb="5">
      <t>ナガサキ</t>
    </rPh>
    <rPh sb="6" eb="7">
      <t>ク</t>
    </rPh>
    <phoneticPr fontId="3"/>
  </si>
  <si>
    <t>279長崎3区03</t>
    <rPh sb="3" eb="5">
      <t>ナガサキ</t>
    </rPh>
    <rPh sb="6" eb="7">
      <t>ク</t>
    </rPh>
    <phoneticPr fontId="3"/>
  </si>
  <si>
    <t>山田　正彦</t>
    <rPh sb="0" eb="2">
      <t>ヤマダ</t>
    </rPh>
    <rPh sb="3" eb="5">
      <t>マサヒコ</t>
    </rPh>
    <phoneticPr fontId="3"/>
  </si>
  <si>
    <t>279長崎3区</t>
    <rPh sb="3" eb="5">
      <t>ナガサキ</t>
    </rPh>
    <rPh sb="6" eb="7">
      <t>ク</t>
    </rPh>
    <phoneticPr fontId="3"/>
  </si>
  <si>
    <t>弁護士,牧場経営</t>
    <rPh sb="0" eb="3">
      <t>ベンゴシ</t>
    </rPh>
    <rPh sb="4" eb="6">
      <t>ボクジョウ</t>
    </rPh>
    <rPh sb="6" eb="8">
      <t>ケイエイ</t>
    </rPh>
    <phoneticPr fontId="3"/>
  </si>
  <si>
    <t>法</t>
    <rPh sb="0" eb="1">
      <t>ホウ</t>
    </rPh>
    <phoneticPr fontId="3"/>
  </si>
  <si>
    <t>谷川　弥一</t>
    <rPh sb="0" eb="2">
      <t>タニガワ</t>
    </rPh>
    <rPh sb="3" eb="5">
      <t>ヤイチ</t>
    </rPh>
    <phoneticPr fontId="3"/>
  </si>
  <si>
    <t>311比例九州12</t>
    <rPh sb="3" eb="5">
      <t>ヒレイ</t>
    </rPh>
    <rPh sb="5" eb="7">
      <t>キュウシュウ</t>
    </rPh>
    <phoneticPr fontId="3"/>
  </si>
  <si>
    <t>町村</t>
    <rPh sb="0" eb="2">
      <t>マチムラ</t>
    </rPh>
    <phoneticPr fontId="3"/>
  </si>
  <si>
    <t>高(長崎東)</t>
    <rPh sb="0" eb="1">
      <t>コウ</t>
    </rPh>
    <rPh sb="2" eb="4">
      <t>ナガサキ</t>
    </rPh>
    <rPh sb="4" eb="5">
      <t>ヒガシ</t>
    </rPh>
    <phoneticPr fontId="3"/>
  </si>
  <si>
    <t>長崎県議(長崎市),会社会長(谷川建設)</t>
    <rPh sb="0" eb="2">
      <t>ナガサキ</t>
    </rPh>
    <rPh sb="2" eb="4">
      <t>ケンギ</t>
    </rPh>
    <rPh sb="5" eb="8">
      <t>ナガサキシ</t>
    </rPh>
    <rPh sb="10" eb="12">
      <t>カイシャ</t>
    </rPh>
    <rPh sb="12" eb="14">
      <t>カイチョウ</t>
    </rPh>
    <rPh sb="15" eb="17">
      <t>タニガワ</t>
    </rPh>
    <rPh sb="17" eb="19">
      <t>ケンセツ</t>
    </rPh>
    <phoneticPr fontId="3"/>
  </si>
  <si>
    <t>280長崎4区01</t>
    <rPh sb="3" eb="5">
      <t>ナガサキ</t>
    </rPh>
    <rPh sb="6" eb="7">
      <t>ク</t>
    </rPh>
    <phoneticPr fontId="3"/>
  </si>
  <si>
    <t>280長崎4区02</t>
    <rPh sb="3" eb="5">
      <t>ナガサキ</t>
    </rPh>
    <rPh sb="6" eb="7">
      <t>ク</t>
    </rPh>
    <phoneticPr fontId="3"/>
  </si>
  <si>
    <t>280長崎4区03</t>
    <rPh sb="3" eb="5">
      <t>ナガサキ</t>
    </rPh>
    <rPh sb="6" eb="7">
      <t>ク</t>
    </rPh>
    <phoneticPr fontId="3"/>
  </si>
  <si>
    <t>280長崎4区04</t>
    <rPh sb="3" eb="5">
      <t>ナガサキ</t>
    </rPh>
    <rPh sb="6" eb="7">
      <t>ク</t>
    </rPh>
    <phoneticPr fontId="3"/>
  </si>
  <si>
    <t>宮島　大典</t>
    <rPh sb="0" eb="2">
      <t>ミヤジマ</t>
    </rPh>
    <rPh sb="3" eb="5">
      <t>ダイスケ</t>
    </rPh>
    <phoneticPr fontId="3"/>
  </si>
  <si>
    <t>280長崎4区</t>
    <rPh sb="3" eb="5">
      <t>ナガサキ</t>
    </rPh>
    <rPh sb="6" eb="7">
      <t>ク</t>
    </rPh>
    <phoneticPr fontId="3"/>
  </si>
  <si>
    <t>自</t>
    <rPh sb="0" eb="1">
      <t>ジ</t>
    </rPh>
    <phoneticPr fontId="3"/>
  </si>
  <si>
    <t>防衛政務官</t>
    <rPh sb="0" eb="2">
      <t>ボウエイ</t>
    </rPh>
    <rPh sb="2" eb="5">
      <t>セイムカン</t>
    </rPh>
    <phoneticPr fontId="3"/>
  </si>
  <si>
    <t>長崎県議(佐世保市)</t>
    <rPh sb="0" eb="2">
      <t>ナガサキ</t>
    </rPh>
    <rPh sb="2" eb="4">
      <t>ケンギ</t>
    </rPh>
    <rPh sb="5" eb="9">
      <t>サセボシ</t>
    </rPh>
    <phoneticPr fontId="3"/>
  </si>
  <si>
    <t>議二</t>
    <rPh sb="0" eb="1">
      <t>ギ</t>
    </rPh>
    <rPh sb="1" eb="2">
      <t>ニ</t>
    </rPh>
    <phoneticPr fontId="3"/>
  </si>
  <si>
    <t>北村　誠吾</t>
    <rPh sb="0" eb="2">
      <t>キタムラ</t>
    </rPh>
    <rPh sb="3" eb="5">
      <t>セイゴ</t>
    </rPh>
    <phoneticPr fontId="3"/>
  </si>
  <si>
    <t>311比例九州14</t>
    <rPh sb="3" eb="5">
      <t>ヒレイ</t>
    </rPh>
    <rPh sb="5" eb="7">
      <t>キュウシュウ</t>
    </rPh>
    <phoneticPr fontId="3"/>
  </si>
  <si>
    <t>長崎県議(佐世保市),長崎県・佐世保市議,議員秘書(白浜仁吉)</t>
    <rPh sb="0" eb="2">
      <t>ナガサキ</t>
    </rPh>
    <rPh sb="2" eb="4">
      <t>ケンギ</t>
    </rPh>
    <rPh sb="5" eb="9">
      <t>サセボシ</t>
    </rPh>
    <rPh sb="11" eb="14">
      <t>ナガサキケン</t>
    </rPh>
    <rPh sb="15" eb="18">
      <t>サセボ</t>
    </rPh>
    <rPh sb="18" eb="20">
      <t>シギ</t>
    </rPh>
    <rPh sb="21" eb="23">
      <t>ギイン</t>
    </rPh>
    <rPh sb="23" eb="25">
      <t>ヒショ</t>
    </rPh>
    <rPh sb="26" eb="28">
      <t>シラハマ</t>
    </rPh>
    <rPh sb="28" eb="29">
      <t>ニ</t>
    </rPh>
    <rPh sb="29" eb="30">
      <t>キチ</t>
    </rPh>
    <phoneticPr fontId="3"/>
  </si>
  <si>
    <t>　元委長(沖北特),副大臣(防衛),政務官(防衛)</t>
    <rPh sb="1" eb="2">
      <t>モト</t>
    </rPh>
    <rPh sb="2" eb="4">
      <t>イチョウ</t>
    </rPh>
    <rPh sb="5" eb="6">
      <t>オキ</t>
    </rPh>
    <rPh sb="6" eb="8">
      <t>ホクトク</t>
    </rPh>
    <rPh sb="10" eb="13">
      <t>フクダイジン</t>
    </rPh>
    <rPh sb="14" eb="16">
      <t>ボウエイ</t>
    </rPh>
    <rPh sb="18" eb="21">
      <t>セイムカン</t>
    </rPh>
    <rPh sb="22" eb="24">
      <t>ボウエイ</t>
    </rPh>
    <phoneticPr fontId="3"/>
  </si>
  <si>
    <t>末次　精一</t>
    <rPh sb="0" eb="2">
      <t>スエツグ</t>
    </rPh>
    <rPh sb="3" eb="5">
      <t>セイイチ</t>
    </rPh>
    <phoneticPr fontId="3"/>
  </si>
  <si>
    <t>長崎県議(佐世保市),中小企業診断士,議員秘書(小沢一郎)</t>
    <rPh sb="0" eb="2">
      <t>ナガサキ</t>
    </rPh>
    <rPh sb="2" eb="4">
      <t>ケンギ</t>
    </rPh>
    <rPh sb="5" eb="9">
      <t>サセボシ</t>
    </rPh>
    <rPh sb="11" eb="13">
      <t>チュウショウ</t>
    </rPh>
    <rPh sb="13" eb="15">
      <t>キギョウ</t>
    </rPh>
    <rPh sb="15" eb="18">
      <t>シンダンシ</t>
    </rPh>
    <rPh sb="19" eb="21">
      <t>ギイン</t>
    </rPh>
    <rPh sb="21" eb="23">
      <t>ヒショ</t>
    </rPh>
    <rPh sb="24" eb="26">
      <t>オザワ</t>
    </rPh>
    <rPh sb="26" eb="28">
      <t>イチロウ</t>
    </rPh>
    <phoneticPr fontId="3"/>
  </si>
  <si>
    <t>石川　　悟</t>
    <rPh sb="0" eb="2">
      <t>イシカワ</t>
    </rPh>
    <rPh sb="4" eb="5">
      <t>サトル</t>
    </rPh>
    <phoneticPr fontId="3"/>
  </si>
  <si>
    <t>大(長崎)</t>
    <rPh sb="0" eb="1">
      <t>ダイ</t>
    </rPh>
    <rPh sb="2" eb="4">
      <t>ナガサキ</t>
    </rPh>
    <phoneticPr fontId="3"/>
  </si>
  <si>
    <t>共産党地区委員長</t>
    <rPh sb="0" eb="3">
      <t>キョウサントウ</t>
    </rPh>
    <rPh sb="3" eb="5">
      <t>チク</t>
    </rPh>
    <rPh sb="5" eb="8">
      <t>イインチョウ</t>
    </rPh>
    <phoneticPr fontId="3"/>
  </si>
  <si>
    <t>119東京16区06</t>
    <rPh sb="3" eb="5">
      <t>トウキョウ</t>
    </rPh>
    <rPh sb="7" eb="8">
      <t>ク</t>
    </rPh>
    <phoneticPr fontId="3"/>
  </si>
  <si>
    <t>　元政務官(総務),旧新党きづな代表</t>
    <rPh sb="1" eb="2">
      <t>モト</t>
    </rPh>
    <rPh sb="2" eb="5">
      <t>セイムカン</t>
    </rPh>
    <rPh sb="6" eb="8">
      <t>ソウム</t>
    </rPh>
    <rPh sb="10" eb="11">
      <t>キュウ</t>
    </rPh>
    <rPh sb="11" eb="13">
      <t>シントウ</t>
    </rPh>
    <rPh sb="16" eb="18">
      <t>ダイヒョウ</t>
    </rPh>
    <phoneticPr fontId="3"/>
  </si>
  <si>
    <t>　旧新党きづな幹事長</t>
    <rPh sb="1" eb="2">
      <t>キュウ</t>
    </rPh>
    <rPh sb="2" eb="4">
      <t>シントウ</t>
    </rPh>
    <rPh sb="7" eb="10">
      <t>カンジチョウ</t>
    </rPh>
    <phoneticPr fontId="3"/>
  </si>
  <si>
    <t>　旧新党きづな国対委長</t>
    <rPh sb="1" eb="2">
      <t>キュウ</t>
    </rPh>
    <rPh sb="2" eb="4">
      <t>シントウ</t>
    </rPh>
    <rPh sb="7" eb="11">
      <t>コクタイイチョウ</t>
    </rPh>
    <phoneticPr fontId="3"/>
  </si>
  <si>
    <t>　旧新党きづな副代表</t>
    <rPh sb="1" eb="2">
      <t>キュウ</t>
    </rPh>
    <rPh sb="2" eb="4">
      <t>シントウ</t>
    </rPh>
    <rPh sb="7" eb="10">
      <t>フクダイヒョウ</t>
    </rPh>
    <phoneticPr fontId="3"/>
  </si>
  <si>
    <t>　旧新党きづな政調会長</t>
    <rPh sb="1" eb="2">
      <t>キュウ</t>
    </rPh>
    <rPh sb="2" eb="4">
      <t>シントウ</t>
    </rPh>
    <rPh sb="7" eb="9">
      <t>セイチョウ</t>
    </rPh>
    <rPh sb="9" eb="11">
      <t>カイチョウ</t>
    </rPh>
    <phoneticPr fontId="3"/>
  </si>
  <si>
    <t>民</t>
    <rPh sb="0" eb="1">
      <t>ミン</t>
    </rPh>
    <phoneticPr fontId="3"/>
  </si>
  <si>
    <t>み</t>
    <phoneticPr fontId="3"/>
  </si>
  <si>
    <t>278長崎2区04</t>
    <rPh sb="3" eb="5">
      <t>ナガサキ</t>
    </rPh>
    <rPh sb="6" eb="7">
      <t>ク</t>
    </rPh>
    <phoneticPr fontId="3"/>
  </si>
  <si>
    <t>150岐阜2区04</t>
    <rPh sb="3" eb="5">
      <t>ギフ</t>
    </rPh>
    <rPh sb="6" eb="7">
      <t>ク</t>
    </rPh>
    <phoneticPr fontId="3"/>
  </si>
  <si>
    <t>156静岡3区04</t>
    <rPh sb="3" eb="5">
      <t>シズオカ</t>
    </rPh>
    <rPh sb="6" eb="7">
      <t>ク</t>
    </rPh>
    <phoneticPr fontId="3"/>
  </si>
  <si>
    <t>大(日本)</t>
    <rPh sb="0" eb="1">
      <t>ダイ</t>
    </rPh>
    <rPh sb="2" eb="4">
      <t>ニホン</t>
    </rPh>
    <phoneticPr fontId="3"/>
  </si>
  <si>
    <t>山口　勝弘</t>
    <rPh sb="0" eb="2">
      <t>ヤマグチ</t>
    </rPh>
    <rPh sb="3" eb="5">
      <t>カツヒロ</t>
    </rPh>
    <phoneticPr fontId="3"/>
  </si>
  <si>
    <t>高(唐津工)</t>
    <rPh sb="0" eb="1">
      <t>コウ</t>
    </rPh>
    <rPh sb="2" eb="4">
      <t>カラツ</t>
    </rPh>
    <rPh sb="4" eb="5">
      <t>コウ</t>
    </rPh>
    <phoneticPr fontId="3"/>
  </si>
  <si>
    <t>佐賀県・北波多村議</t>
    <rPh sb="0" eb="3">
      <t>サガケン</t>
    </rPh>
    <rPh sb="4" eb="7">
      <t>キタハタ</t>
    </rPh>
    <rPh sb="7" eb="9">
      <t>ソンギ</t>
    </rPh>
    <phoneticPr fontId="3"/>
  </si>
  <si>
    <t>議</t>
    <rPh sb="0" eb="1">
      <t>ギ</t>
    </rPh>
    <phoneticPr fontId="3"/>
  </si>
  <si>
    <t>沼上　常生</t>
    <rPh sb="0" eb="2">
      <t>ヌマカミ</t>
    </rPh>
    <rPh sb="3" eb="4">
      <t>ツネ</t>
    </rPh>
    <rPh sb="4" eb="5">
      <t>オ</t>
    </rPh>
    <phoneticPr fontId="3"/>
  </si>
  <si>
    <t>高(科学技術学園)</t>
    <rPh sb="0" eb="1">
      <t>コウ</t>
    </rPh>
    <rPh sb="2" eb="4">
      <t>カガク</t>
    </rPh>
    <rPh sb="4" eb="6">
      <t>ギジュツ</t>
    </rPh>
    <rPh sb="6" eb="8">
      <t>ガクエン</t>
    </rPh>
    <phoneticPr fontId="3"/>
  </si>
  <si>
    <t>共産党地区委員長,会社員(荏原製作所)</t>
    <rPh sb="0" eb="3">
      <t>キョウサントウ</t>
    </rPh>
    <rPh sb="3" eb="5">
      <t>チク</t>
    </rPh>
    <rPh sb="5" eb="8">
      <t>イインチョウ</t>
    </rPh>
    <rPh sb="9" eb="12">
      <t>カイシャイン</t>
    </rPh>
    <rPh sb="13" eb="15">
      <t>エバラ</t>
    </rPh>
    <rPh sb="15" eb="18">
      <t>セイサクジョ</t>
    </rPh>
    <phoneticPr fontId="3"/>
  </si>
  <si>
    <t>029秋田3区05</t>
    <rPh sb="3" eb="5">
      <t>アキタ</t>
    </rPh>
    <rPh sb="6" eb="7">
      <t>ク</t>
    </rPh>
    <phoneticPr fontId="3"/>
  </si>
  <si>
    <t>村岡　敏英</t>
    <rPh sb="0" eb="2">
      <t>ムラオカ</t>
    </rPh>
    <rPh sb="3" eb="5">
      <t>トシヒデ</t>
    </rPh>
    <phoneticPr fontId="3"/>
  </si>
  <si>
    <t>議員秘書(村岡兼造),地域情報紙編集長</t>
    <rPh sb="0" eb="2">
      <t>ギイン</t>
    </rPh>
    <rPh sb="2" eb="4">
      <t>ヒショ</t>
    </rPh>
    <rPh sb="5" eb="7">
      <t>ムラオカ</t>
    </rPh>
    <rPh sb="7" eb="8">
      <t>カネ</t>
    </rPh>
    <rPh sb="8" eb="9">
      <t>ゾウ</t>
    </rPh>
    <rPh sb="11" eb="13">
      <t>チイキ</t>
    </rPh>
    <rPh sb="13" eb="16">
      <t>ジョウホウシ</t>
    </rPh>
    <rPh sb="16" eb="19">
      <t>ヘンシュウチョウ</t>
    </rPh>
    <phoneticPr fontId="3"/>
  </si>
  <si>
    <t>沢田　隆二</t>
    <rPh sb="0" eb="2">
      <t>サワダ</t>
    </rPh>
    <rPh sb="3" eb="5">
      <t>リュウジ</t>
    </rPh>
    <phoneticPr fontId="3"/>
  </si>
  <si>
    <t>大(小樽商科)</t>
    <rPh sb="0" eb="1">
      <t>ダイ</t>
    </rPh>
    <rPh sb="2" eb="4">
      <t>オタル</t>
    </rPh>
    <rPh sb="4" eb="6">
      <t>ショウカ</t>
    </rPh>
    <phoneticPr fontId="3"/>
  </si>
  <si>
    <t>広告プランナー</t>
    <rPh sb="0" eb="2">
      <t>コウコク</t>
    </rPh>
    <phoneticPr fontId="3"/>
  </si>
  <si>
    <t>057埼玉3区04</t>
    <rPh sb="3" eb="5">
      <t>サイタマ</t>
    </rPh>
    <rPh sb="6" eb="7">
      <t>ク</t>
    </rPh>
    <phoneticPr fontId="3"/>
  </si>
  <si>
    <t>宮瀬　英治</t>
    <rPh sb="0" eb="2">
      <t>ミヤセ</t>
    </rPh>
    <rPh sb="3" eb="5">
      <t>エイジ</t>
    </rPh>
    <phoneticPr fontId="3"/>
  </si>
  <si>
    <t>会社員(ベネッセコーポレーション)</t>
    <rPh sb="0" eb="3">
      <t>カイシャイン</t>
    </rPh>
    <phoneticPr fontId="3"/>
  </si>
  <si>
    <t>087神奈川5区04</t>
    <rPh sb="3" eb="6">
      <t>カナガワ</t>
    </rPh>
    <rPh sb="7" eb="8">
      <t>ク</t>
    </rPh>
    <phoneticPr fontId="3"/>
  </si>
  <si>
    <t>池田　東一郎</t>
    <rPh sb="0" eb="2">
      <t>イケダ</t>
    </rPh>
    <rPh sb="3" eb="6">
      <t>トウイチロウ</t>
    </rPh>
    <phoneticPr fontId="3"/>
  </si>
  <si>
    <t>大(東京)</t>
    <rPh sb="0" eb="1">
      <t>ダイ</t>
    </rPh>
    <rPh sb="2" eb="4">
      <t>トウキョウ</t>
    </rPh>
    <phoneticPr fontId="3"/>
  </si>
  <si>
    <t>議員秘書(田中美絵子,浅尾慶一郎),労働省職員</t>
    <rPh sb="0" eb="2">
      <t>ギイン</t>
    </rPh>
    <rPh sb="2" eb="4">
      <t>ヒショ</t>
    </rPh>
    <rPh sb="5" eb="7">
      <t>タナカ</t>
    </rPh>
    <rPh sb="7" eb="10">
      <t>ミエコ</t>
    </rPh>
    <rPh sb="11" eb="13">
      <t>アサオ</t>
    </rPh>
    <rPh sb="13" eb="16">
      <t>ケイイチロウ</t>
    </rPh>
    <rPh sb="18" eb="23">
      <t>ロウドウショウショクイン</t>
    </rPh>
    <phoneticPr fontId="3"/>
  </si>
  <si>
    <t>官</t>
    <rPh sb="0" eb="1">
      <t>カン</t>
    </rPh>
    <phoneticPr fontId="3"/>
  </si>
  <si>
    <t>小島　一郎</t>
    <rPh sb="0" eb="2">
      <t>コジマ</t>
    </rPh>
    <rPh sb="3" eb="5">
      <t>イチロウ</t>
    </rPh>
    <phoneticPr fontId="3"/>
  </si>
  <si>
    <t>幸福実現党幹事長代理,幸福の科学職員</t>
    <rPh sb="0" eb="2">
      <t>コウフク</t>
    </rPh>
    <rPh sb="2" eb="4">
      <t>ジツゲン</t>
    </rPh>
    <rPh sb="4" eb="5">
      <t>トウ</t>
    </rPh>
    <rPh sb="5" eb="8">
      <t>カンジチョウ</t>
    </rPh>
    <rPh sb="8" eb="10">
      <t>ダイリ</t>
    </rPh>
    <rPh sb="11" eb="13">
      <t>コウフク</t>
    </rPh>
    <rPh sb="14" eb="16">
      <t>カガク</t>
    </rPh>
    <rPh sb="16" eb="18">
      <t>ショクイン</t>
    </rPh>
    <phoneticPr fontId="3"/>
  </si>
  <si>
    <t>角　建二郎</t>
    <rPh sb="0" eb="1">
      <t>スミ</t>
    </rPh>
    <rPh sb="2" eb="5">
      <t>ケンジロウ</t>
    </rPh>
    <phoneticPr fontId="3"/>
  </si>
  <si>
    <t>大(北海道)</t>
    <rPh sb="0" eb="1">
      <t>ダイ</t>
    </rPh>
    <rPh sb="2" eb="5">
      <t>ホッカイドウ</t>
    </rPh>
    <phoneticPr fontId="3"/>
  </si>
  <si>
    <t>幸福実現党員,会社員(加商)</t>
    <rPh sb="0" eb="2">
      <t>コウフク</t>
    </rPh>
    <rPh sb="2" eb="4">
      <t>ジツゲン</t>
    </rPh>
    <rPh sb="4" eb="6">
      <t>トウイン</t>
    </rPh>
    <rPh sb="7" eb="10">
      <t>カイシャイン</t>
    </rPh>
    <rPh sb="11" eb="13">
      <t>カショウ</t>
    </rPh>
    <phoneticPr fontId="3"/>
  </si>
  <si>
    <t>中西　修二</t>
    <rPh sb="0" eb="2">
      <t>ナカニシ</t>
    </rPh>
    <rPh sb="3" eb="5">
      <t>シュウジ</t>
    </rPh>
    <phoneticPr fontId="3"/>
  </si>
  <si>
    <t>大院(日本)</t>
    <rPh sb="0" eb="2">
      <t>ダイイン</t>
    </rPh>
    <rPh sb="3" eb="5">
      <t>ニホン</t>
    </rPh>
    <phoneticPr fontId="3"/>
  </si>
  <si>
    <t>幸福実現党員,会社役員(東北コアセンター)</t>
    <rPh sb="0" eb="2">
      <t>コウフク</t>
    </rPh>
    <rPh sb="2" eb="4">
      <t>ジツゲン</t>
    </rPh>
    <rPh sb="4" eb="6">
      <t>トウイン</t>
    </rPh>
    <rPh sb="7" eb="9">
      <t>カイシャ</t>
    </rPh>
    <rPh sb="9" eb="11">
      <t>ヤクイン</t>
    </rPh>
    <rPh sb="12" eb="14">
      <t>トウホク</t>
    </rPh>
    <phoneticPr fontId="3"/>
  </si>
  <si>
    <t>松島　弘典</t>
    <rPh sb="0" eb="2">
      <t>マツシマ</t>
    </rPh>
    <rPh sb="3" eb="5">
      <t>ヒロノリ</t>
    </rPh>
    <phoneticPr fontId="3"/>
  </si>
  <si>
    <t>幸福実現党幹事長,幸福の科学理事長</t>
    <rPh sb="0" eb="2">
      <t>コウフク</t>
    </rPh>
    <rPh sb="2" eb="4">
      <t>ジツゲン</t>
    </rPh>
    <rPh sb="4" eb="5">
      <t>トウ</t>
    </rPh>
    <rPh sb="5" eb="8">
      <t>カンジチョウ</t>
    </rPh>
    <rPh sb="9" eb="11">
      <t>コウフク</t>
    </rPh>
    <rPh sb="12" eb="14">
      <t>カガク</t>
    </rPh>
    <rPh sb="14" eb="17">
      <t>リジチョウ</t>
    </rPh>
    <phoneticPr fontId="3"/>
  </si>
  <si>
    <t>安永　　陽</t>
    <rPh sb="0" eb="2">
      <t>ヤスナガ</t>
    </rPh>
    <rPh sb="4" eb="5">
      <t>アキラ</t>
    </rPh>
    <phoneticPr fontId="3"/>
  </si>
  <si>
    <t>大(法政)</t>
    <rPh sb="0" eb="1">
      <t>ダイ</t>
    </rPh>
    <rPh sb="2" eb="4">
      <t>ホウセイ</t>
    </rPh>
    <phoneticPr fontId="3"/>
  </si>
  <si>
    <t>吉田　かをる</t>
    <rPh sb="0" eb="2">
      <t>ヨシダ</t>
    </rPh>
    <phoneticPr fontId="3"/>
  </si>
  <si>
    <t>大(お茶の水)</t>
    <rPh sb="0" eb="1">
      <t>ダイ</t>
    </rPh>
    <rPh sb="3" eb="4">
      <t>チャ</t>
    </rPh>
    <rPh sb="5" eb="6">
      <t>ミズ</t>
    </rPh>
    <phoneticPr fontId="3"/>
  </si>
  <si>
    <t>幸福実現党員,高校講師</t>
    <rPh sb="0" eb="2">
      <t>コウフク</t>
    </rPh>
    <rPh sb="2" eb="4">
      <t>ジツゲン</t>
    </rPh>
    <rPh sb="4" eb="6">
      <t>トウイン</t>
    </rPh>
    <rPh sb="7" eb="9">
      <t>コウコウ</t>
    </rPh>
    <rPh sb="9" eb="11">
      <t>コウシ</t>
    </rPh>
    <phoneticPr fontId="3"/>
  </si>
  <si>
    <t>幸福実現党員,保育士</t>
    <rPh sb="0" eb="2">
      <t>コウフク</t>
    </rPh>
    <rPh sb="2" eb="4">
      <t>ジツゲン</t>
    </rPh>
    <rPh sb="4" eb="6">
      <t>トウイン</t>
    </rPh>
    <rPh sb="7" eb="10">
      <t>ホイクシ</t>
    </rPh>
    <phoneticPr fontId="3"/>
  </si>
  <si>
    <t>山本　純子</t>
    <rPh sb="0" eb="2">
      <t>ヤマモト</t>
    </rPh>
    <rPh sb="3" eb="5">
      <t>ジュンコ</t>
    </rPh>
    <phoneticPr fontId="3"/>
  </si>
  <si>
    <t>大(名古屋)</t>
    <rPh sb="0" eb="1">
      <t>ダイ</t>
    </rPh>
    <rPh sb="2" eb="5">
      <t>ナゴヤ</t>
    </rPh>
    <phoneticPr fontId="3"/>
  </si>
  <si>
    <t>幸福実現党員,名古屋市職員</t>
    <rPh sb="0" eb="2">
      <t>コウフク</t>
    </rPh>
    <rPh sb="2" eb="4">
      <t>ジツゲン</t>
    </rPh>
    <rPh sb="4" eb="6">
      <t>トウイン</t>
    </rPh>
    <rPh sb="7" eb="11">
      <t>ナゴヤシ</t>
    </rPh>
    <rPh sb="11" eb="13">
      <t>ショクイン</t>
    </rPh>
    <phoneticPr fontId="3"/>
  </si>
  <si>
    <t>堀田　利恵</t>
    <rPh sb="0" eb="2">
      <t>ホッタ</t>
    </rPh>
    <rPh sb="3" eb="5">
      <t>リエ</t>
    </rPh>
    <phoneticPr fontId="3"/>
  </si>
  <si>
    <t>大院(日本福祉)</t>
    <rPh sb="0" eb="2">
      <t>ダイイン</t>
    </rPh>
    <rPh sb="3" eb="5">
      <t>ニホン</t>
    </rPh>
    <rPh sb="5" eb="7">
      <t>フクシ</t>
    </rPh>
    <phoneticPr fontId="3"/>
  </si>
  <si>
    <t>幸福実現党員,専門学校講師</t>
    <rPh sb="0" eb="2">
      <t>コウフク</t>
    </rPh>
    <rPh sb="2" eb="4">
      <t>ジツゲン</t>
    </rPh>
    <rPh sb="4" eb="6">
      <t>トウイン</t>
    </rPh>
    <rPh sb="7" eb="9">
      <t>センモン</t>
    </rPh>
    <rPh sb="9" eb="11">
      <t>ガッコウ</t>
    </rPh>
    <rPh sb="11" eb="13">
      <t>コウシ</t>
    </rPh>
    <phoneticPr fontId="3"/>
  </si>
  <si>
    <t>山下　順正</t>
    <rPh sb="0" eb="2">
      <t>ヤマシタ</t>
    </rPh>
    <rPh sb="3" eb="5">
      <t>ノブマサ</t>
    </rPh>
    <phoneticPr fontId="3"/>
  </si>
  <si>
    <t>大(名城)</t>
    <rPh sb="0" eb="1">
      <t>ダイ</t>
    </rPh>
    <rPh sb="2" eb="4">
      <t>メイジョウ</t>
    </rPh>
    <phoneticPr fontId="3"/>
  </si>
  <si>
    <t>幸福実現党員,自営業</t>
    <rPh sb="0" eb="2">
      <t>コウフク</t>
    </rPh>
    <rPh sb="2" eb="4">
      <t>ジツゲン</t>
    </rPh>
    <rPh sb="4" eb="6">
      <t>トウイン</t>
    </rPh>
    <rPh sb="7" eb="10">
      <t>ジエイギョウ</t>
    </rPh>
    <phoneticPr fontId="3"/>
  </si>
  <si>
    <t>中川　義衛</t>
    <rPh sb="0" eb="2">
      <t>ナカガワ</t>
    </rPh>
    <rPh sb="3" eb="4">
      <t>ヨシ</t>
    </rPh>
    <rPh sb="4" eb="5">
      <t>モリ</t>
    </rPh>
    <phoneticPr fontId="3"/>
  </si>
  <si>
    <t>大(鳥取)</t>
    <rPh sb="0" eb="1">
      <t>ダイ</t>
    </rPh>
    <rPh sb="2" eb="4">
      <t>トットリ</t>
    </rPh>
    <phoneticPr fontId="3"/>
  </si>
  <si>
    <t>幸福実現党員,医師(中川クリニック/消化器外科)</t>
    <rPh sb="0" eb="2">
      <t>コウフク</t>
    </rPh>
    <rPh sb="2" eb="4">
      <t>ジツゲン</t>
    </rPh>
    <rPh sb="4" eb="6">
      <t>トウイン</t>
    </rPh>
    <rPh sb="7" eb="9">
      <t>イシ</t>
    </rPh>
    <rPh sb="10" eb="12">
      <t>ナカガワ</t>
    </rPh>
    <rPh sb="18" eb="21">
      <t>ショウカキ</t>
    </rPh>
    <rPh sb="21" eb="23">
      <t>ゲカ</t>
    </rPh>
    <phoneticPr fontId="3"/>
  </si>
  <si>
    <t>深田　敏子</t>
    <rPh sb="0" eb="2">
      <t>フカダ</t>
    </rPh>
    <rPh sb="3" eb="5">
      <t>トシコ</t>
    </rPh>
    <phoneticPr fontId="3"/>
  </si>
  <si>
    <t>大(京都女子)</t>
    <rPh sb="0" eb="1">
      <t>ダイ</t>
    </rPh>
    <rPh sb="2" eb="4">
      <t>キョウト</t>
    </rPh>
    <rPh sb="4" eb="6">
      <t>ジョシ</t>
    </rPh>
    <phoneticPr fontId="3"/>
  </si>
  <si>
    <t>幸福実現党員,会社員(東京リーガルマインド)</t>
    <rPh sb="0" eb="2">
      <t>コウフク</t>
    </rPh>
    <rPh sb="2" eb="4">
      <t>ジツゲン</t>
    </rPh>
    <rPh sb="4" eb="6">
      <t>トウイン</t>
    </rPh>
    <rPh sb="7" eb="10">
      <t>カイシャイン</t>
    </rPh>
    <rPh sb="11" eb="13">
      <t>トウキョウ</t>
    </rPh>
    <phoneticPr fontId="3"/>
  </si>
  <si>
    <t>北川　智子</t>
    <rPh sb="0" eb="2">
      <t>キタガワ</t>
    </rPh>
    <rPh sb="3" eb="5">
      <t>サトコ</t>
    </rPh>
    <phoneticPr fontId="3"/>
  </si>
  <si>
    <t>短大(華頂)</t>
    <rPh sb="0" eb="2">
      <t>タンダイ</t>
    </rPh>
    <rPh sb="3" eb="5">
      <t>カチョウ</t>
    </rPh>
    <phoneticPr fontId="3"/>
  </si>
  <si>
    <t>戸板　富久子</t>
    <rPh sb="0" eb="2">
      <t>トイタ</t>
    </rPh>
    <rPh sb="3" eb="6">
      <t>トクコ</t>
    </rPh>
    <phoneticPr fontId="3"/>
  </si>
  <si>
    <t>大(岡山)</t>
    <rPh sb="0" eb="1">
      <t>ダイ</t>
    </rPh>
    <rPh sb="2" eb="4">
      <t>オカヤマ</t>
    </rPh>
    <phoneticPr fontId="3"/>
  </si>
  <si>
    <t>幸福実現党員,医師(西条中央病院/内科)</t>
    <rPh sb="0" eb="2">
      <t>コウフク</t>
    </rPh>
    <rPh sb="2" eb="4">
      <t>ジツゲン</t>
    </rPh>
    <rPh sb="4" eb="6">
      <t>トウイン</t>
    </rPh>
    <rPh sb="7" eb="9">
      <t>イシ</t>
    </rPh>
    <rPh sb="10" eb="12">
      <t>サイジョウ</t>
    </rPh>
    <rPh sb="12" eb="14">
      <t>チュウオウ</t>
    </rPh>
    <rPh sb="14" eb="16">
      <t>ビョウイン</t>
    </rPh>
    <rPh sb="17" eb="19">
      <t>ナイカ</t>
    </rPh>
    <phoneticPr fontId="3"/>
  </si>
  <si>
    <t>大隈　和英</t>
    <rPh sb="0" eb="2">
      <t>オオクマ</t>
    </rPh>
    <rPh sb="3" eb="5">
      <t>カズヒデ</t>
    </rPh>
    <phoneticPr fontId="3"/>
  </si>
  <si>
    <t>ジ</t>
    <phoneticPr fontId="3"/>
  </si>
  <si>
    <t>257愛媛2区04</t>
    <rPh sb="3" eb="5">
      <t>エヒメ</t>
    </rPh>
    <rPh sb="6" eb="7">
      <t>ク</t>
    </rPh>
    <phoneticPr fontId="3"/>
  </si>
  <si>
    <t>0738愛媛県01</t>
    <rPh sb="4" eb="7">
      <t>エヒメケン</t>
    </rPh>
    <phoneticPr fontId="3"/>
  </si>
  <si>
    <t>参</t>
    <rPh sb="0" eb="1">
      <t>サン</t>
    </rPh>
    <phoneticPr fontId="3"/>
  </si>
  <si>
    <t>愛媛FC主将</t>
    <rPh sb="0" eb="2">
      <t>エヒメ</t>
    </rPh>
    <rPh sb="4" eb="6">
      <t>シュショウ</t>
    </rPh>
    <phoneticPr fontId="3"/>
  </si>
  <si>
    <t>鞍タ</t>
    <rPh sb="0" eb="1">
      <t>クラ</t>
    </rPh>
    <phoneticPr fontId="3"/>
  </si>
  <si>
    <t>鞍</t>
    <rPh sb="0" eb="1">
      <t>クラ</t>
    </rPh>
    <phoneticPr fontId="3"/>
  </si>
  <si>
    <t>タ</t>
    <phoneticPr fontId="3"/>
  </si>
  <si>
    <t>198大阪7区05</t>
    <rPh sb="3" eb="5">
      <t>オオサカ</t>
    </rPh>
    <rPh sb="6" eb="7">
      <t>ク</t>
    </rPh>
    <phoneticPr fontId="3"/>
  </si>
  <si>
    <t>渡辺　義彦</t>
    <rPh sb="0" eb="2">
      <t>ワタナベ</t>
    </rPh>
    <rPh sb="3" eb="5">
      <t>ヨシヒコ</t>
    </rPh>
    <phoneticPr fontId="3"/>
  </si>
  <si>
    <t>308比例近畿07</t>
    <rPh sb="3" eb="5">
      <t>ヒレイ</t>
    </rPh>
    <rPh sb="5" eb="7">
      <t>キンキ</t>
    </rPh>
    <phoneticPr fontId="3"/>
  </si>
  <si>
    <t>小川　右善</t>
    <rPh sb="0" eb="2">
      <t>オガワ</t>
    </rPh>
    <rPh sb="3" eb="4">
      <t>ウ</t>
    </rPh>
    <rPh sb="4" eb="5">
      <t>ゼン</t>
    </rPh>
    <phoneticPr fontId="3"/>
  </si>
  <si>
    <t>高(國學院大学附属久我山)</t>
    <rPh sb="0" eb="1">
      <t>コウ</t>
    </rPh>
    <rPh sb="2" eb="5">
      <t>コクガクイン</t>
    </rPh>
    <rPh sb="5" eb="7">
      <t>ダイガク</t>
    </rPh>
    <rPh sb="7" eb="9">
      <t>フゾク</t>
    </rPh>
    <rPh sb="9" eb="12">
      <t>クガヤマ</t>
    </rPh>
    <phoneticPr fontId="3"/>
  </si>
  <si>
    <t>福島県・会津若松市議,会社員(会津中合),全日農中央常任委員</t>
    <rPh sb="0" eb="3">
      <t>フクシマケン</t>
    </rPh>
    <rPh sb="4" eb="8">
      <t>アイヅワカマツ</t>
    </rPh>
    <rPh sb="8" eb="10">
      <t>シギ</t>
    </rPh>
    <rPh sb="11" eb="14">
      <t>カイシャイン</t>
    </rPh>
    <rPh sb="15" eb="17">
      <t>アイヅ</t>
    </rPh>
    <rPh sb="17" eb="19">
      <t>チュウアイ</t>
    </rPh>
    <rPh sb="21" eb="24">
      <t>ゼンニチノウ</t>
    </rPh>
    <rPh sb="24" eb="26">
      <t>チュウオウ</t>
    </rPh>
    <rPh sb="26" eb="28">
      <t>ジョウニン</t>
    </rPh>
    <rPh sb="28" eb="30">
      <t>イイン</t>
    </rPh>
    <phoneticPr fontId="3"/>
  </si>
  <si>
    <t>議労</t>
    <rPh sb="0" eb="1">
      <t>ギ</t>
    </rPh>
    <rPh sb="1" eb="2">
      <t>ロウ</t>
    </rPh>
    <phoneticPr fontId="3"/>
  </si>
  <si>
    <t>労</t>
    <rPh sb="0" eb="1">
      <t>ロウ</t>
    </rPh>
    <phoneticPr fontId="3"/>
  </si>
  <si>
    <t>上杉　謙太郎</t>
    <rPh sb="0" eb="2">
      <t>ウエスギ</t>
    </rPh>
    <rPh sb="3" eb="6">
      <t>ケンタロウ</t>
    </rPh>
    <phoneticPr fontId="3"/>
  </si>
  <si>
    <t>議員秘書(荒井広幸)</t>
    <rPh sb="0" eb="2">
      <t>ギイン</t>
    </rPh>
    <rPh sb="2" eb="4">
      <t>ヒショ</t>
    </rPh>
    <rPh sb="5" eb="7">
      <t>アライ</t>
    </rPh>
    <rPh sb="7" eb="9">
      <t>ヒロユキ</t>
    </rPh>
    <phoneticPr fontId="3"/>
  </si>
  <si>
    <t>238岡山5区</t>
    <rPh sb="3" eb="5">
      <t>オカヤマ</t>
    </rPh>
    <rPh sb="6" eb="7">
      <t>ク</t>
    </rPh>
    <phoneticPr fontId="3"/>
  </si>
  <si>
    <t>　元政務官(内閣)</t>
    <rPh sb="1" eb="2">
      <t>モト</t>
    </rPh>
    <rPh sb="2" eb="5">
      <t>セイムカン</t>
    </rPh>
    <rPh sb="6" eb="8">
      <t>ナイカク</t>
    </rPh>
    <phoneticPr fontId="3"/>
  </si>
  <si>
    <t>官二</t>
    <rPh sb="0" eb="1">
      <t>カン</t>
    </rPh>
    <rPh sb="1" eb="2">
      <t>ニ</t>
    </rPh>
    <phoneticPr fontId="3"/>
  </si>
  <si>
    <t>二</t>
    <rPh sb="0" eb="1">
      <t>ニ</t>
    </rPh>
    <phoneticPr fontId="3"/>
  </si>
  <si>
    <t>021宮城1区06</t>
    <rPh sb="3" eb="5">
      <t>ミヤギ</t>
    </rPh>
    <rPh sb="6" eb="7">
      <t>ク</t>
    </rPh>
    <phoneticPr fontId="3"/>
  </si>
  <si>
    <t>桑島　崇史</t>
    <rPh sb="0" eb="2">
      <t>クワジマ</t>
    </rPh>
    <rPh sb="3" eb="5">
      <t>タカシ</t>
    </rPh>
    <phoneticPr fontId="3"/>
  </si>
  <si>
    <t>大(琉球)</t>
    <rPh sb="0" eb="1">
      <t>ダイ</t>
    </rPh>
    <rPh sb="2" eb="4">
      <t>リュウキュウ</t>
    </rPh>
    <phoneticPr fontId="3"/>
  </si>
  <si>
    <t>菅野　哲雄</t>
    <rPh sb="0" eb="2">
      <t>カンノ</t>
    </rPh>
    <rPh sb="3" eb="5">
      <t>テツオ</t>
    </rPh>
    <phoneticPr fontId="3"/>
  </si>
  <si>
    <t>他(一関工業高専)</t>
    <rPh sb="0" eb="1">
      <t>ホカ</t>
    </rPh>
    <rPh sb="2" eb="4">
      <t>イチノセキ</t>
    </rPh>
    <rPh sb="4" eb="6">
      <t>コウギョウ</t>
    </rPh>
    <rPh sb="6" eb="8">
      <t>コウセン</t>
    </rPh>
    <phoneticPr fontId="3"/>
  </si>
  <si>
    <t>宮城県・気仙沼市議,気仙沼市職労書記長</t>
    <rPh sb="0" eb="3">
      <t>ミヤギケン</t>
    </rPh>
    <rPh sb="4" eb="7">
      <t>ケセンヌマ</t>
    </rPh>
    <rPh sb="7" eb="9">
      <t>シギ</t>
    </rPh>
    <rPh sb="10" eb="14">
      <t>ケセンヌマシ</t>
    </rPh>
    <rPh sb="14" eb="15">
      <t>ショク</t>
    </rPh>
    <rPh sb="15" eb="16">
      <t>ロウ</t>
    </rPh>
    <rPh sb="16" eb="19">
      <t>ショキチョウ</t>
    </rPh>
    <phoneticPr fontId="3"/>
  </si>
  <si>
    <t>281熊本1区01</t>
    <rPh sb="3" eb="5">
      <t>クマモト</t>
    </rPh>
    <rPh sb="6" eb="7">
      <t>ク</t>
    </rPh>
    <phoneticPr fontId="3"/>
  </si>
  <si>
    <t>281熊本1区02</t>
    <rPh sb="3" eb="5">
      <t>クマモト</t>
    </rPh>
    <rPh sb="6" eb="7">
      <t>ク</t>
    </rPh>
    <phoneticPr fontId="3"/>
  </si>
  <si>
    <t>281熊本1区03</t>
    <rPh sb="3" eb="5">
      <t>クマモト</t>
    </rPh>
    <rPh sb="6" eb="7">
      <t>ク</t>
    </rPh>
    <phoneticPr fontId="3"/>
  </si>
  <si>
    <t>281熊本1区04</t>
    <rPh sb="3" eb="5">
      <t>クマモト</t>
    </rPh>
    <rPh sb="6" eb="7">
      <t>ク</t>
    </rPh>
    <phoneticPr fontId="3"/>
  </si>
  <si>
    <t>池崎　一郎</t>
    <rPh sb="0" eb="2">
      <t>イケザキ</t>
    </rPh>
    <rPh sb="3" eb="5">
      <t>イチロウ</t>
    </rPh>
    <phoneticPr fontId="3"/>
  </si>
  <si>
    <t>議</t>
    <rPh sb="0" eb="1">
      <t>ギ</t>
    </rPh>
    <phoneticPr fontId="3"/>
  </si>
  <si>
    <t>木原　　稔</t>
    <rPh sb="0" eb="2">
      <t>キハラ</t>
    </rPh>
    <rPh sb="4" eb="5">
      <t>ミノル</t>
    </rPh>
    <phoneticPr fontId="3"/>
  </si>
  <si>
    <t>会社員(日本航空)</t>
    <rPh sb="0" eb="3">
      <t>カイシャイン</t>
    </rPh>
    <rPh sb="4" eb="6">
      <t>ニホン</t>
    </rPh>
    <rPh sb="6" eb="8">
      <t>コウクウ</t>
    </rPh>
    <phoneticPr fontId="3"/>
  </si>
  <si>
    <t>山部　洋史</t>
    <rPh sb="0" eb="2">
      <t>ヤマベ</t>
    </rPh>
    <rPh sb="3" eb="5">
      <t>ヒロシ</t>
    </rPh>
    <phoneticPr fontId="3"/>
  </si>
  <si>
    <t>大(明治)</t>
    <rPh sb="0" eb="1">
      <t>ダイ</t>
    </rPh>
    <rPh sb="2" eb="4">
      <t>メイジ</t>
    </rPh>
    <phoneticPr fontId="3"/>
  </si>
  <si>
    <t>共産党地区委員</t>
    <rPh sb="0" eb="3">
      <t>キョウサントウ</t>
    </rPh>
    <rPh sb="3" eb="5">
      <t>チク</t>
    </rPh>
    <rPh sb="5" eb="7">
      <t>イイン</t>
    </rPh>
    <phoneticPr fontId="3"/>
  </si>
  <si>
    <t>松野　頼久</t>
    <rPh sb="0" eb="2">
      <t>マツノ</t>
    </rPh>
    <rPh sb="3" eb="5">
      <t>ヨリヒサ</t>
    </rPh>
    <phoneticPr fontId="3"/>
  </si>
  <si>
    <t>281熊本1区</t>
    <rPh sb="3" eb="5">
      <t>クマモト</t>
    </rPh>
    <rPh sb="6" eb="7">
      <t>ク</t>
    </rPh>
    <phoneticPr fontId="3"/>
  </si>
  <si>
    <t>議員秘書(細川護煕),旧新進党職員</t>
    <rPh sb="0" eb="2">
      <t>ギイン</t>
    </rPh>
    <rPh sb="2" eb="4">
      <t>ヒショ</t>
    </rPh>
    <rPh sb="5" eb="7">
      <t>ホソカワ</t>
    </rPh>
    <rPh sb="7" eb="9">
      <t>モリヒロ</t>
    </rPh>
    <rPh sb="11" eb="15">
      <t>キュウシンシントウ</t>
    </rPh>
    <rPh sb="15" eb="17">
      <t>ショクイン</t>
    </rPh>
    <phoneticPr fontId="3"/>
  </si>
  <si>
    <t>日本維新の会国会議員団代表・国対委員長・党副代表，元副大臣(官房)</t>
    <rPh sb="0" eb="2">
      <t>ニホン</t>
    </rPh>
    <rPh sb="2" eb="4">
      <t>イシン</t>
    </rPh>
    <rPh sb="5" eb="6">
      <t>カイ</t>
    </rPh>
    <rPh sb="6" eb="8">
      <t>コッカイ</t>
    </rPh>
    <rPh sb="8" eb="11">
      <t>ギインダン</t>
    </rPh>
    <rPh sb="11" eb="13">
      <t>ダイヒョウ</t>
    </rPh>
    <rPh sb="14" eb="16">
      <t>コクタイ</t>
    </rPh>
    <rPh sb="16" eb="19">
      <t>イインチョウ</t>
    </rPh>
    <rPh sb="20" eb="21">
      <t>トウ</t>
    </rPh>
    <rPh sb="21" eb="24">
      <t>フクダイヒョウ</t>
    </rPh>
    <rPh sb="25" eb="26">
      <t>モト</t>
    </rPh>
    <rPh sb="26" eb="29">
      <t>フクダイジン</t>
    </rPh>
    <rPh sb="30" eb="32">
      <t>カンボウ</t>
    </rPh>
    <phoneticPr fontId="3"/>
  </si>
  <si>
    <t>282熊本2区01</t>
    <rPh sb="3" eb="5">
      <t>クマモト</t>
    </rPh>
    <rPh sb="6" eb="7">
      <t>ク</t>
    </rPh>
    <phoneticPr fontId="3"/>
  </si>
  <si>
    <t>282熊本2区02</t>
    <rPh sb="3" eb="5">
      <t>クマモト</t>
    </rPh>
    <rPh sb="6" eb="7">
      <t>ク</t>
    </rPh>
    <phoneticPr fontId="3"/>
  </si>
  <si>
    <t>282熊本2区03</t>
    <rPh sb="3" eb="5">
      <t>クマモト</t>
    </rPh>
    <rPh sb="6" eb="7">
      <t>ク</t>
    </rPh>
    <phoneticPr fontId="3"/>
  </si>
  <si>
    <t>282熊本2区04</t>
    <rPh sb="3" eb="5">
      <t>クマモト</t>
    </rPh>
    <rPh sb="6" eb="7">
      <t>ク</t>
    </rPh>
    <phoneticPr fontId="3"/>
  </si>
  <si>
    <t>282熊本2区05</t>
    <rPh sb="3" eb="5">
      <t>クマモト</t>
    </rPh>
    <rPh sb="6" eb="7">
      <t>ク</t>
    </rPh>
    <phoneticPr fontId="3"/>
  </si>
  <si>
    <t>濱田　大造</t>
    <rPh sb="0" eb="2">
      <t>ハマダ</t>
    </rPh>
    <rPh sb="3" eb="5">
      <t>ダイゾウ</t>
    </rPh>
    <phoneticPr fontId="3"/>
  </si>
  <si>
    <t>熊本県議(熊本市),議員秘書(松野信夫),会社員(日商岩井)</t>
    <rPh sb="0" eb="2">
      <t>クマモト</t>
    </rPh>
    <rPh sb="2" eb="4">
      <t>ケンギ</t>
    </rPh>
    <rPh sb="5" eb="8">
      <t>クマモトシ</t>
    </rPh>
    <rPh sb="10" eb="12">
      <t>ギイン</t>
    </rPh>
    <rPh sb="12" eb="14">
      <t>ヒショ</t>
    </rPh>
    <rPh sb="15" eb="17">
      <t>マツノ</t>
    </rPh>
    <rPh sb="17" eb="19">
      <t>ノブオ</t>
    </rPh>
    <rPh sb="21" eb="24">
      <t>カイシャイン</t>
    </rPh>
    <rPh sb="25" eb="27">
      <t>ニッショウ</t>
    </rPh>
    <rPh sb="27" eb="29">
      <t>イワイ</t>
    </rPh>
    <phoneticPr fontId="3"/>
  </si>
  <si>
    <t>大院在(熊本)</t>
    <rPh sb="0" eb="2">
      <t>ダイイン</t>
    </rPh>
    <rPh sb="2" eb="3">
      <t>ザイ</t>
    </rPh>
    <rPh sb="4" eb="6">
      <t>クマモト</t>
    </rPh>
    <phoneticPr fontId="3"/>
  </si>
  <si>
    <t>野田　　毅</t>
    <rPh sb="0" eb="2">
      <t>ノダ</t>
    </rPh>
    <rPh sb="4" eb="5">
      <t>タケシ</t>
    </rPh>
    <phoneticPr fontId="3"/>
  </si>
  <si>
    <t>311比例九州10</t>
    <rPh sb="3" eb="5">
      <t>ヒレイ</t>
    </rPh>
    <rPh sb="5" eb="7">
      <t>キュウシュウ</t>
    </rPh>
    <phoneticPr fontId="3"/>
  </si>
  <si>
    <t>大(東京)</t>
    <rPh sb="0" eb="1">
      <t>ダイ</t>
    </rPh>
    <rPh sb="2" eb="4">
      <t>トウキョウ</t>
    </rPh>
    <phoneticPr fontId="3"/>
  </si>
  <si>
    <t>大蔵省理財局国有財産総括課長補佐</t>
    <rPh sb="0" eb="6">
      <t>オオクラショウリザイキョク</t>
    </rPh>
    <rPh sb="6" eb="8">
      <t>コクユウ</t>
    </rPh>
    <rPh sb="8" eb="10">
      <t>ザイサン</t>
    </rPh>
    <rPh sb="10" eb="12">
      <t>ソウカツ</t>
    </rPh>
    <rPh sb="12" eb="14">
      <t>カチョウ</t>
    </rPh>
    <rPh sb="14" eb="16">
      <t>ホサ</t>
    </rPh>
    <phoneticPr fontId="3"/>
  </si>
  <si>
    <t>　元大臣(自治・公安,経企,建設),委長(商工),政務次官(通産,経企),旧保守党党首,幹事長,旧新進党政調会長,幹事長代理</t>
    <rPh sb="1" eb="4">
      <t>モトダイジン</t>
    </rPh>
    <rPh sb="5" eb="7">
      <t>ジチ</t>
    </rPh>
    <rPh sb="8" eb="10">
      <t>コウアン</t>
    </rPh>
    <rPh sb="11" eb="13">
      <t>ケイキ</t>
    </rPh>
    <rPh sb="14" eb="16">
      <t>ケンセツ</t>
    </rPh>
    <rPh sb="18" eb="20">
      <t>イチョウ</t>
    </rPh>
    <rPh sb="21" eb="23">
      <t>ショウコウ</t>
    </rPh>
    <rPh sb="25" eb="27">
      <t>セイム</t>
    </rPh>
    <rPh sb="27" eb="29">
      <t>ジカン</t>
    </rPh>
    <rPh sb="30" eb="32">
      <t>ツウサン</t>
    </rPh>
    <rPh sb="33" eb="35">
      <t>ケイキ</t>
    </rPh>
    <rPh sb="37" eb="38">
      <t>キュウ</t>
    </rPh>
    <rPh sb="38" eb="41">
      <t>ホシュトウ</t>
    </rPh>
    <rPh sb="41" eb="43">
      <t>トウシュ</t>
    </rPh>
    <rPh sb="44" eb="47">
      <t>カンジチョウ</t>
    </rPh>
    <rPh sb="48" eb="52">
      <t>キュウシンシントウ</t>
    </rPh>
    <rPh sb="52" eb="54">
      <t>セイチョウ</t>
    </rPh>
    <rPh sb="54" eb="56">
      <t>カイチョウ</t>
    </rPh>
    <rPh sb="57" eb="60">
      <t>カンジチョウ</t>
    </rPh>
    <rPh sb="60" eb="62">
      <t>ダイリ</t>
    </rPh>
    <phoneticPr fontId="3"/>
  </si>
  <si>
    <t>福嶋　健一郎</t>
    <rPh sb="0" eb="2">
      <t>フクシマ</t>
    </rPh>
    <rPh sb="3" eb="6">
      <t>ケンイチロウ</t>
    </rPh>
    <phoneticPr fontId="3"/>
  </si>
  <si>
    <t>282熊本2区</t>
    <rPh sb="3" eb="5">
      <t>クマモト</t>
    </rPh>
    <rPh sb="6" eb="7">
      <t>ク</t>
    </rPh>
    <phoneticPr fontId="3"/>
  </si>
  <si>
    <t>銀行員(みずほコーポレート銀行)</t>
    <rPh sb="0" eb="3">
      <t>ギンコウイン</t>
    </rPh>
    <rPh sb="13" eb="15">
      <t>ギンコウ</t>
    </rPh>
    <phoneticPr fontId="3"/>
  </si>
  <si>
    <t>松山　邦夫</t>
    <rPh sb="0" eb="2">
      <t>マツヤマ</t>
    </rPh>
    <rPh sb="3" eb="5">
      <t>クニオ</t>
    </rPh>
    <phoneticPr fontId="3"/>
  </si>
  <si>
    <t>共産党地区常任委員</t>
    <rPh sb="0" eb="3">
      <t>キョウサントウ</t>
    </rPh>
    <rPh sb="3" eb="5">
      <t>チク</t>
    </rPh>
    <rPh sb="5" eb="7">
      <t>ジョウニン</t>
    </rPh>
    <rPh sb="7" eb="9">
      <t>イイン</t>
    </rPh>
    <phoneticPr fontId="3"/>
  </si>
  <si>
    <t>熊本県・植木町議</t>
    <rPh sb="0" eb="3">
      <t>クマモトケン</t>
    </rPh>
    <rPh sb="4" eb="6">
      <t>ウエキ</t>
    </rPh>
    <rPh sb="6" eb="8">
      <t>チョウギ</t>
    </rPh>
    <phoneticPr fontId="3"/>
  </si>
  <si>
    <t>152岐阜4区04</t>
    <rPh sb="3" eb="5">
      <t>ギフ</t>
    </rPh>
    <rPh sb="6" eb="7">
      <t>ク</t>
    </rPh>
    <phoneticPr fontId="3"/>
  </si>
  <si>
    <t>本田　顕子</t>
    <rPh sb="0" eb="2">
      <t>ホンダ</t>
    </rPh>
    <rPh sb="3" eb="5">
      <t>アキコ</t>
    </rPh>
    <phoneticPr fontId="3"/>
  </si>
  <si>
    <t>大(星薬科)</t>
    <rPh sb="0" eb="1">
      <t>ダイ</t>
    </rPh>
    <rPh sb="2" eb="3">
      <t>ホシ</t>
    </rPh>
    <rPh sb="3" eb="5">
      <t>ヤッカ</t>
    </rPh>
    <phoneticPr fontId="3"/>
  </si>
  <si>
    <t>薬剤師,議員秘書(本田良一)</t>
    <rPh sb="0" eb="3">
      <t>ヤクザイシ</t>
    </rPh>
    <rPh sb="4" eb="6">
      <t>ギイン</t>
    </rPh>
    <rPh sb="6" eb="8">
      <t>ヒショ</t>
    </rPh>
    <rPh sb="9" eb="11">
      <t>ホンダ</t>
    </rPh>
    <rPh sb="11" eb="13">
      <t>リョウイチ</t>
    </rPh>
    <phoneticPr fontId="3"/>
  </si>
  <si>
    <t>283熊本3区01</t>
    <rPh sb="3" eb="5">
      <t>クマモト</t>
    </rPh>
    <rPh sb="6" eb="7">
      <t>ク</t>
    </rPh>
    <phoneticPr fontId="3"/>
  </si>
  <si>
    <t>283熊本3区02</t>
    <rPh sb="3" eb="5">
      <t>クマモト</t>
    </rPh>
    <rPh sb="6" eb="7">
      <t>ク</t>
    </rPh>
    <phoneticPr fontId="3"/>
  </si>
  <si>
    <t>283熊本3区03</t>
    <rPh sb="3" eb="5">
      <t>クマモト</t>
    </rPh>
    <rPh sb="6" eb="7">
      <t>ク</t>
    </rPh>
    <phoneticPr fontId="3"/>
  </si>
  <si>
    <t>本田　浩一</t>
    <rPh sb="0" eb="2">
      <t>ホンダ</t>
    </rPh>
    <rPh sb="3" eb="5">
      <t>コウイチ</t>
    </rPh>
    <phoneticPr fontId="3"/>
  </si>
  <si>
    <t>議員秘書(松野頼久,加藤公一),会社員(電通,リクルート)</t>
    <rPh sb="0" eb="2">
      <t>ギイン</t>
    </rPh>
    <rPh sb="2" eb="4">
      <t>ヒショ</t>
    </rPh>
    <rPh sb="5" eb="8">
      <t>マツノヨリ</t>
    </rPh>
    <rPh sb="8" eb="9">
      <t>ヒサ</t>
    </rPh>
    <rPh sb="10" eb="12">
      <t>カトウ</t>
    </rPh>
    <rPh sb="12" eb="14">
      <t>コウイチ</t>
    </rPh>
    <rPh sb="16" eb="19">
      <t>カイシャイン</t>
    </rPh>
    <rPh sb="20" eb="22">
      <t>デンツウ</t>
    </rPh>
    <phoneticPr fontId="3"/>
  </si>
  <si>
    <t>坂本　哲志</t>
    <rPh sb="0" eb="2">
      <t>サカモト</t>
    </rPh>
    <rPh sb="3" eb="5">
      <t>テツシ</t>
    </rPh>
    <phoneticPr fontId="3"/>
  </si>
  <si>
    <t>283熊本3区</t>
    <rPh sb="3" eb="5">
      <t>クマモト</t>
    </rPh>
    <rPh sb="6" eb="7">
      <t>ク</t>
    </rPh>
    <phoneticPr fontId="3"/>
  </si>
  <si>
    <t>熊本県議(菊池郡),新聞記者(熊本日日新聞)</t>
    <rPh sb="0" eb="2">
      <t>クマモト</t>
    </rPh>
    <rPh sb="2" eb="4">
      <t>ケンギ</t>
    </rPh>
    <rPh sb="5" eb="8">
      <t>キクチグン</t>
    </rPh>
    <rPh sb="10" eb="12">
      <t>シンブン</t>
    </rPh>
    <rPh sb="12" eb="14">
      <t>キシャ</t>
    </rPh>
    <rPh sb="15" eb="17">
      <t>クマモト</t>
    </rPh>
    <rPh sb="17" eb="19">
      <t>ニチニチ</t>
    </rPh>
    <rPh sb="19" eb="21">
      <t>シンブン</t>
    </rPh>
    <phoneticPr fontId="3"/>
  </si>
  <si>
    <t>　元政務官(総務)</t>
    <rPh sb="1" eb="2">
      <t>モト</t>
    </rPh>
    <rPh sb="2" eb="5">
      <t>セイムカン</t>
    </rPh>
    <rPh sb="6" eb="8">
      <t>ソウム</t>
    </rPh>
    <phoneticPr fontId="3"/>
  </si>
  <si>
    <t>議ジ</t>
    <rPh sb="0" eb="1">
      <t>ギ</t>
    </rPh>
    <phoneticPr fontId="3"/>
  </si>
  <si>
    <t>ジ</t>
    <phoneticPr fontId="3"/>
  </si>
  <si>
    <t>東　奈津子</t>
    <rPh sb="0" eb="1">
      <t>ヒガシ</t>
    </rPh>
    <rPh sb="2" eb="5">
      <t>ナツコ</t>
    </rPh>
    <phoneticPr fontId="3"/>
  </si>
  <si>
    <t>大(熊本)</t>
    <rPh sb="0" eb="1">
      <t>ダイ</t>
    </rPh>
    <rPh sb="2" eb="4">
      <t>クマモト</t>
    </rPh>
    <phoneticPr fontId="3"/>
  </si>
  <si>
    <t>284熊本4区01</t>
    <rPh sb="3" eb="5">
      <t>クマモト</t>
    </rPh>
    <rPh sb="6" eb="7">
      <t>ク</t>
    </rPh>
    <phoneticPr fontId="3"/>
  </si>
  <si>
    <t>284熊本4区02</t>
    <rPh sb="3" eb="5">
      <t>クマモト</t>
    </rPh>
    <rPh sb="6" eb="7">
      <t>ク</t>
    </rPh>
    <phoneticPr fontId="3"/>
  </si>
  <si>
    <t>284熊本4区03</t>
    <rPh sb="3" eb="5">
      <t>クマモト</t>
    </rPh>
    <rPh sb="6" eb="7">
      <t>ク</t>
    </rPh>
    <phoneticPr fontId="3"/>
  </si>
  <si>
    <t>蓑田　庸子</t>
    <rPh sb="0" eb="2">
      <t>ミノダ</t>
    </rPh>
    <rPh sb="3" eb="5">
      <t>ヨウコ</t>
    </rPh>
    <phoneticPr fontId="3"/>
  </si>
  <si>
    <t>共産党地区国政対策委員長,高校教諭</t>
    <rPh sb="0" eb="3">
      <t>キョウサントウ</t>
    </rPh>
    <rPh sb="3" eb="5">
      <t>チク</t>
    </rPh>
    <rPh sb="5" eb="7">
      <t>コクセイ</t>
    </rPh>
    <rPh sb="7" eb="9">
      <t>タイサク</t>
    </rPh>
    <rPh sb="9" eb="12">
      <t>イインチョウ</t>
    </rPh>
    <rPh sb="13" eb="15">
      <t>コウコウ</t>
    </rPh>
    <rPh sb="15" eb="17">
      <t>キョウユ</t>
    </rPh>
    <phoneticPr fontId="3"/>
  </si>
  <si>
    <t>園田　博之</t>
    <rPh sb="0" eb="2">
      <t>ソノダ</t>
    </rPh>
    <rPh sb="3" eb="5">
      <t>ヒロユキ</t>
    </rPh>
    <phoneticPr fontId="3"/>
  </si>
  <si>
    <t>284熊本4区</t>
    <rPh sb="3" eb="5">
      <t>クマモト</t>
    </rPh>
    <rPh sb="6" eb="7">
      <t>ク</t>
    </rPh>
    <phoneticPr fontId="3"/>
  </si>
  <si>
    <t>大(日本)</t>
    <rPh sb="0" eb="1">
      <t>ダイ</t>
    </rPh>
    <rPh sb="2" eb="4">
      <t>ニホン</t>
    </rPh>
    <phoneticPr fontId="3"/>
  </si>
  <si>
    <t>会社員(日魯漁業),日魯漁業労組委員長</t>
    <rPh sb="0" eb="3">
      <t>カイシャイン</t>
    </rPh>
    <rPh sb="4" eb="6">
      <t>ニチロ</t>
    </rPh>
    <rPh sb="6" eb="8">
      <t>ギョギョウ</t>
    </rPh>
    <rPh sb="10" eb="12">
      <t>ニチロ</t>
    </rPh>
    <rPh sb="12" eb="14">
      <t>ギョギョウ</t>
    </rPh>
    <rPh sb="14" eb="16">
      <t>ロウソ</t>
    </rPh>
    <rPh sb="16" eb="19">
      <t>イインチョウ</t>
    </rPh>
    <phoneticPr fontId="3"/>
  </si>
  <si>
    <t>矢上　雅義</t>
    <rPh sb="0" eb="2">
      <t>ヤガミ</t>
    </rPh>
    <rPh sb="3" eb="5">
      <t>マサヨシ</t>
    </rPh>
    <phoneticPr fontId="3"/>
  </si>
  <si>
    <t>大(上智)</t>
    <rPh sb="0" eb="1">
      <t>ダイ</t>
    </rPh>
    <rPh sb="2" eb="4">
      <t>ジョウチ</t>
    </rPh>
    <phoneticPr fontId="3"/>
  </si>
  <si>
    <t>首</t>
    <rPh sb="0" eb="1">
      <t>クビ</t>
    </rPh>
    <phoneticPr fontId="3"/>
  </si>
  <si>
    <t>ビジネスホテル経営</t>
    <rPh sb="7" eb="9">
      <t>ケイエイ</t>
    </rPh>
    <phoneticPr fontId="3"/>
  </si>
  <si>
    <t>285熊本5区01</t>
    <rPh sb="3" eb="5">
      <t>クマモト</t>
    </rPh>
    <rPh sb="6" eb="7">
      <t>ク</t>
    </rPh>
    <phoneticPr fontId="3"/>
  </si>
  <si>
    <t>285熊本5区02</t>
    <rPh sb="3" eb="5">
      <t>クマモト</t>
    </rPh>
    <rPh sb="6" eb="7">
      <t>ク</t>
    </rPh>
    <phoneticPr fontId="3"/>
  </si>
  <si>
    <t>285熊本5区03</t>
    <rPh sb="3" eb="5">
      <t>クマモト</t>
    </rPh>
    <rPh sb="6" eb="7">
      <t>ク</t>
    </rPh>
    <phoneticPr fontId="3"/>
  </si>
  <si>
    <t>金子　恭之</t>
    <rPh sb="0" eb="2">
      <t>カネコ</t>
    </rPh>
    <rPh sb="3" eb="5">
      <t>ヤスシ</t>
    </rPh>
    <phoneticPr fontId="3"/>
  </si>
  <si>
    <t>285熊本5区</t>
    <rPh sb="3" eb="5">
      <t>クマモト</t>
    </rPh>
    <rPh sb="6" eb="7">
      <t>ク</t>
    </rPh>
    <phoneticPr fontId="3"/>
  </si>
  <si>
    <t>議員秘書(園田博之,田代由紀男)</t>
    <rPh sb="0" eb="2">
      <t>ギイン</t>
    </rPh>
    <rPh sb="2" eb="4">
      <t>ヒショ</t>
    </rPh>
    <rPh sb="5" eb="7">
      <t>ソノダ</t>
    </rPh>
    <rPh sb="7" eb="9">
      <t>ヒロユキ</t>
    </rPh>
    <rPh sb="10" eb="12">
      <t>タシロ</t>
    </rPh>
    <rPh sb="12" eb="15">
      <t>ユキオ</t>
    </rPh>
    <phoneticPr fontId="3"/>
  </si>
  <si>
    <t>　元副大臣(国交),政務官(農水)</t>
    <rPh sb="1" eb="2">
      <t>モト</t>
    </rPh>
    <rPh sb="2" eb="5">
      <t>フクダイジン</t>
    </rPh>
    <rPh sb="6" eb="8">
      <t>コッコウ</t>
    </rPh>
    <rPh sb="10" eb="13">
      <t>セイムカン</t>
    </rPh>
    <rPh sb="14" eb="16">
      <t>ノウスイ</t>
    </rPh>
    <phoneticPr fontId="3"/>
  </si>
  <si>
    <t>橋田　芳昭</t>
    <rPh sb="0" eb="2">
      <t>ハシダ</t>
    </rPh>
    <rPh sb="3" eb="4">
      <t>ヨシ</t>
    </rPh>
    <rPh sb="4" eb="5">
      <t>アキ</t>
    </rPh>
    <phoneticPr fontId="3"/>
  </si>
  <si>
    <t>大院(熊本)</t>
    <rPh sb="0" eb="2">
      <t>ダイイン</t>
    </rPh>
    <rPh sb="3" eb="5">
      <t>クマモト</t>
    </rPh>
    <phoneticPr fontId="3"/>
  </si>
  <si>
    <t>共産党地区委員長,熊本県原水協事務局長</t>
    <rPh sb="0" eb="3">
      <t>キョウサントウ</t>
    </rPh>
    <rPh sb="3" eb="5">
      <t>チク</t>
    </rPh>
    <rPh sb="5" eb="8">
      <t>イインチョウ</t>
    </rPh>
    <rPh sb="9" eb="12">
      <t>クマモトケン</t>
    </rPh>
    <rPh sb="12" eb="15">
      <t>ゲンスイキョウ</t>
    </rPh>
    <rPh sb="15" eb="17">
      <t>ジム</t>
    </rPh>
    <rPh sb="17" eb="19">
      <t>キョクチョウ</t>
    </rPh>
    <phoneticPr fontId="3"/>
  </si>
  <si>
    <t>中島　隆利</t>
    <rPh sb="0" eb="2">
      <t>ナカシマ</t>
    </rPh>
    <rPh sb="3" eb="5">
      <t>タカトシ</t>
    </rPh>
    <phoneticPr fontId="3"/>
  </si>
  <si>
    <t>高(八代東)</t>
    <rPh sb="0" eb="1">
      <t>コウ</t>
    </rPh>
    <rPh sb="2" eb="4">
      <t>ヤツシロ</t>
    </rPh>
    <rPh sb="4" eb="5">
      <t>ヒガシ</t>
    </rPh>
    <phoneticPr fontId="3"/>
  </si>
  <si>
    <t>議首労</t>
    <rPh sb="0" eb="1">
      <t>ギ</t>
    </rPh>
    <rPh sb="1" eb="2">
      <t>クビ</t>
    </rPh>
    <rPh sb="2" eb="3">
      <t>ロウ</t>
    </rPh>
    <phoneticPr fontId="3"/>
  </si>
  <si>
    <t>労</t>
    <rPh sb="0" eb="1">
      <t>ロウ</t>
    </rPh>
    <phoneticPr fontId="3"/>
  </si>
  <si>
    <t>熊本県・八代市長,熊本県議(八代市),熊本県・八代市議,九電労組</t>
    <rPh sb="0" eb="3">
      <t>クマモトケン</t>
    </rPh>
    <rPh sb="4" eb="6">
      <t>ヤツシロ</t>
    </rPh>
    <rPh sb="6" eb="8">
      <t>シチョウ</t>
    </rPh>
    <rPh sb="9" eb="11">
      <t>クマモト</t>
    </rPh>
    <rPh sb="11" eb="13">
      <t>ケンギ</t>
    </rPh>
    <rPh sb="14" eb="17">
      <t>ヤツシロシ</t>
    </rPh>
    <rPh sb="19" eb="22">
      <t>クマモトケン</t>
    </rPh>
    <rPh sb="23" eb="25">
      <t>ヤツシロ</t>
    </rPh>
    <rPh sb="25" eb="27">
      <t>シギ</t>
    </rPh>
    <rPh sb="28" eb="30">
      <t>キュウデン</t>
    </rPh>
    <rPh sb="30" eb="32">
      <t>ロウソ</t>
    </rPh>
    <phoneticPr fontId="3"/>
  </si>
  <si>
    <t>286大分1区01</t>
    <rPh sb="3" eb="5">
      <t>オオイタ</t>
    </rPh>
    <rPh sb="6" eb="7">
      <t>ク</t>
    </rPh>
    <phoneticPr fontId="3"/>
  </si>
  <si>
    <t>286大分1区02</t>
    <rPh sb="3" eb="5">
      <t>オオイタ</t>
    </rPh>
    <rPh sb="6" eb="7">
      <t>ク</t>
    </rPh>
    <phoneticPr fontId="3"/>
  </si>
  <si>
    <t>286大分1区03</t>
    <rPh sb="3" eb="5">
      <t>オオイタ</t>
    </rPh>
    <rPh sb="6" eb="7">
      <t>ク</t>
    </rPh>
    <phoneticPr fontId="3"/>
  </si>
  <si>
    <t>刀禰　勝之</t>
    <rPh sb="0" eb="2">
      <t>トネ</t>
    </rPh>
    <rPh sb="3" eb="5">
      <t>カツユキ</t>
    </rPh>
    <phoneticPr fontId="3"/>
  </si>
  <si>
    <t>愛知県議(名古屋市港区),議員秘書(古川元久),銀行員(三菱信託銀行)</t>
    <rPh sb="0" eb="2">
      <t>アイチ</t>
    </rPh>
    <rPh sb="2" eb="4">
      <t>ケンギ</t>
    </rPh>
    <rPh sb="5" eb="9">
      <t>ナゴヤシ</t>
    </rPh>
    <rPh sb="9" eb="11">
      <t>ミナトク</t>
    </rPh>
    <rPh sb="13" eb="15">
      <t>ギイン</t>
    </rPh>
    <rPh sb="15" eb="17">
      <t>ヒショ</t>
    </rPh>
    <rPh sb="18" eb="20">
      <t>フルカワ</t>
    </rPh>
    <rPh sb="20" eb="22">
      <t>モトヒサ</t>
    </rPh>
    <rPh sb="24" eb="27">
      <t>ギンコウイン</t>
    </rPh>
    <rPh sb="28" eb="30">
      <t>ミツビシ</t>
    </rPh>
    <rPh sb="30" eb="32">
      <t>シンタク</t>
    </rPh>
    <rPh sb="32" eb="34">
      <t>ギンコウ</t>
    </rPh>
    <phoneticPr fontId="3"/>
  </si>
  <si>
    <t>吉良　州司</t>
    <rPh sb="0" eb="2">
      <t>キラ</t>
    </rPh>
    <rPh sb="3" eb="4">
      <t>シュウ</t>
    </rPh>
    <rPh sb="4" eb="5">
      <t>ジ</t>
    </rPh>
    <phoneticPr fontId="3"/>
  </si>
  <si>
    <t>286大分1区</t>
    <rPh sb="3" eb="5">
      <t>オオイタ</t>
    </rPh>
    <rPh sb="6" eb="7">
      <t>ク</t>
    </rPh>
    <phoneticPr fontId="3"/>
  </si>
  <si>
    <t>会社員(日商岩井)</t>
    <rPh sb="0" eb="3">
      <t>カイシャイン</t>
    </rPh>
    <rPh sb="4" eb="6">
      <t>ニッショウ</t>
    </rPh>
    <rPh sb="6" eb="8">
      <t>イワイ</t>
    </rPh>
    <phoneticPr fontId="3"/>
  </si>
  <si>
    <t>外務副大臣，元委長(拉致特),政務官(外務)</t>
    <rPh sb="0" eb="2">
      <t>ガイム</t>
    </rPh>
    <rPh sb="2" eb="5">
      <t>フクダイジン</t>
    </rPh>
    <rPh sb="6" eb="7">
      <t>モト</t>
    </rPh>
    <rPh sb="7" eb="9">
      <t>イチョウ</t>
    </rPh>
    <rPh sb="10" eb="13">
      <t>ラチトク</t>
    </rPh>
    <rPh sb="15" eb="18">
      <t>セイムカン</t>
    </rPh>
    <rPh sb="19" eb="21">
      <t>ガイム</t>
    </rPh>
    <phoneticPr fontId="3"/>
  </si>
  <si>
    <t>穴見　陽一</t>
    <rPh sb="0" eb="2">
      <t>アナミ</t>
    </rPh>
    <rPh sb="3" eb="5">
      <t>ヨウイチ</t>
    </rPh>
    <phoneticPr fontId="3"/>
  </si>
  <si>
    <t>大中(法政)</t>
    <rPh sb="0" eb="1">
      <t>ダイ</t>
    </rPh>
    <rPh sb="1" eb="2">
      <t>チュウ</t>
    </rPh>
    <rPh sb="3" eb="5">
      <t>ホウセイ</t>
    </rPh>
    <phoneticPr fontId="3"/>
  </si>
  <si>
    <t>会社社長(ジョイフル)</t>
    <rPh sb="0" eb="2">
      <t>カイシャ</t>
    </rPh>
    <rPh sb="2" eb="4">
      <t>シャチョウ</t>
    </rPh>
    <phoneticPr fontId="3"/>
  </si>
  <si>
    <t>山本　　茂</t>
    <rPh sb="0" eb="2">
      <t>ヤマモト</t>
    </rPh>
    <rPh sb="4" eb="5">
      <t>シゲル</t>
    </rPh>
    <phoneticPr fontId="3"/>
  </si>
  <si>
    <t>共産党地区常任委員,大分県職員</t>
    <rPh sb="0" eb="3">
      <t>キョウサントウ</t>
    </rPh>
    <rPh sb="3" eb="5">
      <t>チク</t>
    </rPh>
    <rPh sb="5" eb="7">
      <t>ジョウニン</t>
    </rPh>
    <rPh sb="7" eb="9">
      <t>イイン</t>
    </rPh>
    <rPh sb="10" eb="13">
      <t>オオイタケン</t>
    </rPh>
    <rPh sb="13" eb="15">
      <t>ショクイン</t>
    </rPh>
    <phoneticPr fontId="3"/>
  </si>
  <si>
    <t>287大分2区01</t>
    <rPh sb="3" eb="5">
      <t>オオイタ</t>
    </rPh>
    <rPh sb="6" eb="7">
      <t>ク</t>
    </rPh>
    <phoneticPr fontId="3"/>
  </si>
  <si>
    <t>287大分2区02</t>
    <rPh sb="3" eb="5">
      <t>オオイタ</t>
    </rPh>
    <rPh sb="6" eb="7">
      <t>ク</t>
    </rPh>
    <phoneticPr fontId="3"/>
  </si>
  <si>
    <t>287大分2区03</t>
    <rPh sb="3" eb="5">
      <t>オオイタ</t>
    </rPh>
    <rPh sb="6" eb="7">
      <t>ク</t>
    </rPh>
    <phoneticPr fontId="3"/>
  </si>
  <si>
    <t>衛藤　征士郎</t>
    <rPh sb="0" eb="2">
      <t>エトウ</t>
    </rPh>
    <rPh sb="3" eb="6">
      <t>セイシロウ</t>
    </rPh>
    <phoneticPr fontId="3"/>
  </si>
  <si>
    <t>311比例九州13</t>
    <rPh sb="3" eb="5">
      <t>ヒレイ</t>
    </rPh>
    <rPh sb="5" eb="7">
      <t>キュウシュウ</t>
    </rPh>
    <phoneticPr fontId="3"/>
  </si>
  <si>
    <t>大分県・玖珠町長</t>
    <rPh sb="0" eb="3">
      <t>オオイタケン</t>
    </rPh>
    <rPh sb="4" eb="6">
      <t>クス</t>
    </rPh>
    <rPh sb="6" eb="8">
      <t>チョウチョウ</t>
    </rPh>
    <phoneticPr fontId="3"/>
  </si>
  <si>
    <t>首鞍</t>
    <rPh sb="0" eb="1">
      <t>クビ</t>
    </rPh>
    <rPh sb="1" eb="2">
      <t>クラ</t>
    </rPh>
    <phoneticPr fontId="3"/>
  </si>
  <si>
    <t>鞍</t>
    <rPh sb="0" eb="1">
      <t>クラ</t>
    </rPh>
    <phoneticPr fontId="3"/>
  </si>
  <si>
    <t>衆議院副議長，元大臣(防衛),委長(予算,国基,テロ特,決行,大蔵),副大臣(外務),政務次官(外務,農水),自民党総務会長代理,参1</t>
    <rPh sb="0" eb="3">
      <t>シュウギイン</t>
    </rPh>
    <rPh sb="3" eb="6">
      <t>フクギチョウ</t>
    </rPh>
    <rPh sb="7" eb="10">
      <t>モトダイジン</t>
    </rPh>
    <rPh sb="11" eb="13">
      <t>ボウエイ</t>
    </rPh>
    <rPh sb="15" eb="17">
      <t>イチョウ</t>
    </rPh>
    <rPh sb="18" eb="20">
      <t>ヨサン</t>
    </rPh>
    <rPh sb="21" eb="23">
      <t>クニモト</t>
    </rPh>
    <rPh sb="26" eb="27">
      <t>トク</t>
    </rPh>
    <rPh sb="28" eb="30">
      <t>ケッコウ</t>
    </rPh>
    <rPh sb="31" eb="33">
      <t>オオクラ</t>
    </rPh>
    <rPh sb="35" eb="38">
      <t>フクダイジン</t>
    </rPh>
    <rPh sb="39" eb="41">
      <t>ガイム</t>
    </rPh>
    <rPh sb="43" eb="45">
      <t>セイム</t>
    </rPh>
    <rPh sb="45" eb="47">
      <t>ジカン</t>
    </rPh>
    <rPh sb="48" eb="50">
      <t>ガイム</t>
    </rPh>
    <rPh sb="51" eb="53">
      <t>ノウスイ</t>
    </rPh>
    <rPh sb="55" eb="58">
      <t>ジミントウ</t>
    </rPh>
    <rPh sb="58" eb="60">
      <t>ソウム</t>
    </rPh>
    <rPh sb="60" eb="62">
      <t>カイチョウ</t>
    </rPh>
    <rPh sb="62" eb="64">
      <t>ダイリ</t>
    </rPh>
    <rPh sb="65" eb="66">
      <t>サン</t>
    </rPh>
    <phoneticPr fontId="3"/>
  </si>
  <si>
    <t>288大分3区01</t>
    <rPh sb="3" eb="5">
      <t>オオイタ</t>
    </rPh>
    <rPh sb="6" eb="7">
      <t>ク</t>
    </rPh>
    <phoneticPr fontId="3"/>
  </si>
  <si>
    <t>288大分3区02</t>
    <rPh sb="3" eb="5">
      <t>オオイタ</t>
    </rPh>
    <rPh sb="6" eb="7">
      <t>ク</t>
    </rPh>
    <phoneticPr fontId="3"/>
  </si>
  <si>
    <t>288大分3区03</t>
    <rPh sb="3" eb="5">
      <t>オオイタ</t>
    </rPh>
    <rPh sb="6" eb="7">
      <t>ク</t>
    </rPh>
    <phoneticPr fontId="3"/>
  </si>
  <si>
    <t>288大分3区04</t>
    <rPh sb="3" eb="5">
      <t>オオイタ</t>
    </rPh>
    <rPh sb="6" eb="7">
      <t>ク</t>
    </rPh>
    <phoneticPr fontId="3"/>
  </si>
  <si>
    <t>横光　克彦</t>
    <rPh sb="0" eb="2">
      <t>ヨコミツ</t>
    </rPh>
    <rPh sb="3" eb="5">
      <t>カツヒコ</t>
    </rPh>
    <phoneticPr fontId="3"/>
  </si>
  <si>
    <t>288大分3区</t>
    <rPh sb="3" eb="5">
      <t>オオイタ</t>
    </rPh>
    <rPh sb="6" eb="7">
      <t>ク</t>
    </rPh>
    <phoneticPr fontId="3"/>
  </si>
  <si>
    <t>大(北九州)</t>
    <rPh sb="0" eb="1">
      <t>ダイ</t>
    </rPh>
    <rPh sb="2" eb="5">
      <t>キタキュウシュウ</t>
    </rPh>
    <phoneticPr fontId="3"/>
  </si>
  <si>
    <t>俳優</t>
    <rPh sb="0" eb="2">
      <t>ハイユウ</t>
    </rPh>
    <phoneticPr fontId="3"/>
  </si>
  <si>
    <t>タ</t>
    <phoneticPr fontId="3"/>
  </si>
  <si>
    <t>衆議院環境委員長，元委長(懲罰),副大臣(環境),元社民党副党首・国対委長</t>
    <rPh sb="0" eb="3">
      <t>シュウギイン</t>
    </rPh>
    <rPh sb="3" eb="5">
      <t>カンキョウ</t>
    </rPh>
    <rPh sb="5" eb="8">
      <t>イインチョウ</t>
    </rPh>
    <rPh sb="9" eb="10">
      <t>モト</t>
    </rPh>
    <rPh sb="10" eb="12">
      <t>イチョウ</t>
    </rPh>
    <rPh sb="13" eb="15">
      <t>チョウバツ</t>
    </rPh>
    <rPh sb="17" eb="20">
      <t>フクダイジン</t>
    </rPh>
    <rPh sb="21" eb="23">
      <t>カンキョウ</t>
    </rPh>
    <rPh sb="25" eb="26">
      <t>モト</t>
    </rPh>
    <rPh sb="26" eb="29">
      <t>シャミントウ</t>
    </rPh>
    <rPh sb="29" eb="32">
      <t>フクトウシュ</t>
    </rPh>
    <rPh sb="33" eb="37">
      <t>コクタイイチョウ</t>
    </rPh>
    <phoneticPr fontId="3"/>
  </si>
  <si>
    <t>岩屋　　毅</t>
    <rPh sb="0" eb="2">
      <t>イワヤ</t>
    </rPh>
    <rPh sb="4" eb="5">
      <t>タケシ</t>
    </rPh>
    <phoneticPr fontId="3"/>
  </si>
  <si>
    <t>311比例九州15</t>
    <rPh sb="3" eb="5">
      <t>ヒレイ</t>
    </rPh>
    <rPh sb="5" eb="7">
      <t>キュウシュウ</t>
    </rPh>
    <phoneticPr fontId="3"/>
  </si>
  <si>
    <t>大分県議(別府市),議員秘書(鳩山邦夫)</t>
    <rPh sb="0" eb="2">
      <t>オオイタ</t>
    </rPh>
    <rPh sb="2" eb="4">
      <t>ケンギ</t>
    </rPh>
    <rPh sb="5" eb="8">
      <t>ベップシ</t>
    </rPh>
    <rPh sb="10" eb="12">
      <t>ギイン</t>
    </rPh>
    <rPh sb="12" eb="14">
      <t>ヒショ</t>
    </rPh>
    <rPh sb="15" eb="17">
      <t>ハトヤマ</t>
    </rPh>
    <rPh sb="17" eb="19">
      <t>クニオ</t>
    </rPh>
    <phoneticPr fontId="3"/>
  </si>
  <si>
    <t>　元委長(文科),副大臣(外務),政務官(防衛)</t>
    <rPh sb="1" eb="2">
      <t>モト</t>
    </rPh>
    <rPh sb="2" eb="4">
      <t>イチョウ</t>
    </rPh>
    <rPh sb="5" eb="7">
      <t>モンカ</t>
    </rPh>
    <rPh sb="9" eb="12">
      <t>フクダイジン</t>
    </rPh>
    <rPh sb="13" eb="15">
      <t>ガイム</t>
    </rPh>
    <rPh sb="17" eb="20">
      <t>セイムカン</t>
    </rPh>
    <rPh sb="21" eb="23">
      <t>ボウエイ</t>
    </rPh>
    <phoneticPr fontId="3"/>
  </si>
  <si>
    <t>大塚　光義</t>
    <rPh sb="0" eb="2">
      <t>オオツカ</t>
    </rPh>
    <rPh sb="3" eb="5">
      <t>ミツヨシ</t>
    </rPh>
    <phoneticPr fontId="3"/>
  </si>
  <si>
    <t>大分県・挾間町議</t>
    <rPh sb="0" eb="3">
      <t>オオイタケン</t>
    </rPh>
    <rPh sb="4" eb="6">
      <t>ハサマ</t>
    </rPh>
    <rPh sb="6" eb="8">
      <t>チョウギ</t>
    </rPh>
    <phoneticPr fontId="3"/>
  </si>
  <si>
    <t>神　　雅敏</t>
    <rPh sb="0" eb="1">
      <t>カン</t>
    </rPh>
    <rPh sb="3" eb="5">
      <t>マサトシ</t>
    </rPh>
    <phoneticPr fontId="3"/>
  </si>
  <si>
    <t>松</t>
    <rPh sb="0" eb="1">
      <t>マツ</t>
    </rPh>
    <phoneticPr fontId="3"/>
  </si>
  <si>
    <t>289宮崎1区01</t>
    <rPh sb="3" eb="5">
      <t>ミヤザキ</t>
    </rPh>
    <rPh sb="6" eb="7">
      <t>ク</t>
    </rPh>
    <phoneticPr fontId="3"/>
  </si>
  <si>
    <t>289宮崎1区02</t>
    <rPh sb="3" eb="5">
      <t>ミヤザキ</t>
    </rPh>
    <rPh sb="6" eb="7">
      <t>ク</t>
    </rPh>
    <phoneticPr fontId="3"/>
  </si>
  <si>
    <t>289宮崎1区03</t>
    <rPh sb="3" eb="5">
      <t>ミヤザキ</t>
    </rPh>
    <rPh sb="6" eb="7">
      <t>ク</t>
    </rPh>
    <phoneticPr fontId="3"/>
  </si>
  <si>
    <t>289宮崎1区04</t>
    <rPh sb="3" eb="5">
      <t>ミヤザキ</t>
    </rPh>
    <rPh sb="6" eb="7">
      <t>ク</t>
    </rPh>
    <phoneticPr fontId="3"/>
  </si>
  <si>
    <t>川村　秀三郎</t>
    <rPh sb="0" eb="2">
      <t>カワムラ</t>
    </rPh>
    <rPh sb="3" eb="4">
      <t>ヒデ</t>
    </rPh>
    <rPh sb="4" eb="6">
      <t>サブロウ</t>
    </rPh>
    <phoneticPr fontId="3"/>
  </si>
  <si>
    <t>289宮崎1区</t>
    <rPh sb="3" eb="5">
      <t>ミヤザキ</t>
    </rPh>
    <rPh sb="6" eb="7">
      <t>ク</t>
    </rPh>
    <phoneticPr fontId="3"/>
  </si>
  <si>
    <t>林野庁長官(農林水産省)</t>
    <rPh sb="0" eb="3">
      <t>リンヤチョウ</t>
    </rPh>
    <rPh sb="3" eb="5">
      <t>チョウカン</t>
    </rPh>
    <rPh sb="6" eb="8">
      <t>ノウリン</t>
    </rPh>
    <rPh sb="8" eb="11">
      <t>スイサンショウ</t>
    </rPh>
    <phoneticPr fontId="3"/>
  </si>
  <si>
    <t>官</t>
    <rPh sb="0" eb="1">
      <t>カン</t>
    </rPh>
    <phoneticPr fontId="3"/>
  </si>
  <si>
    <t>武井　俊輔</t>
    <rPh sb="0" eb="2">
      <t>タケイ</t>
    </rPh>
    <rPh sb="3" eb="5">
      <t>シュンスケ</t>
    </rPh>
    <phoneticPr fontId="3"/>
  </si>
  <si>
    <t>宮崎県議(宮崎市),会社員(楽天,宮崎交通)</t>
    <rPh sb="0" eb="2">
      <t>ミヤザキ</t>
    </rPh>
    <rPh sb="2" eb="4">
      <t>ケンギ</t>
    </rPh>
    <rPh sb="5" eb="8">
      <t>ミヤザキシ</t>
    </rPh>
    <rPh sb="10" eb="13">
      <t>カイシャイン</t>
    </rPh>
    <rPh sb="14" eb="16">
      <t>ラクテン</t>
    </rPh>
    <rPh sb="17" eb="19">
      <t>ミヤザキ</t>
    </rPh>
    <rPh sb="19" eb="21">
      <t>コウツウ</t>
    </rPh>
    <phoneticPr fontId="3"/>
  </si>
  <si>
    <t>松本　　隆</t>
    <rPh sb="0" eb="2">
      <t>マツモト</t>
    </rPh>
    <rPh sb="4" eb="5">
      <t>タカシ</t>
    </rPh>
    <phoneticPr fontId="3"/>
  </si>
  <si>
    <t>大院(宮崎)</t>
    <rPh sb="0" eb="2">
      <t>ダイイン</t>
    </rPh>
    <rPh sb="3" eb="5">
      <t>ミヤザキ</t>
    </rPh>
    <phoneticPr fontId="3"/>
  </si>
  <si>
    <t>共産党地区委員長,民青同盟宮崎県委員長</t>
    <rPh sb="0" eb="3">
      <t>キョウサントウ</t>
    </rPh>
    <rPh sb="3" eb="5">
      <t>チク</t>
    </rPh>
    <rPh sb="5" eb="8">
      <t>イインチョウ</t>
    </rPh>
    <rPh sb="9" eb="13">
      <t>ミンセイドウメイ</t>
    </rPh>
    <rPh sb="13" eb="16">
      <t>ミヤザキケン</t>
    </rPh>
    <rPh sb="16" eb="19">
      <t>イインチョウ</t>
    </rPh>
    <phoneticPr fontId="3"/>
  </si>
  <si>
    <t>中山　成彬</t>
    <rPh sb="0" eb="2">
      <t>ナカヤマ</t>
    </rPh>
    <rPh sb="3" eb="5">
      <t>ナリアキ</t>
    </rPh>
    <phoneticPr fontId="3"/>
  </si>
  <si>
    <t>　元大臣(国交,文科),委長(厚労,商工),副大臣(経産),政務次官(通産,文部)</t>
    <rPh sb="1" eb="4">
      <t>モトダイジン</t>
    </rPh>
    <rPh sb="5" eb="7">
      <t>コッコウ</t>
    </rPh>
    <rPh sb="8" eb="10">
      <t>モンカ</t>
    </rPh>
    <rPh sb="12" eb="14">
      <t>イチョウ</t>
    </rPh>
    <rPh sb="15" eb="17">
      <t>コウロウ</t>
    </rPh>
    <rPh sb="18" eb="20">
      <t>ショウコウ</t>
    </rPh>
    <rPh sb="22" eb="25">
      <t>フクダイジン</t>
    </rPh>
    <rPh sb="26" eb="28">
      <t>ケイサン</t>
    </rPh>
    <rPh sb="30" eb="32">
      <t>セイム</t>
    </rPh>
    <rPh sb="32" eb="34">
      <t>ジカン</t>
    </rPh>
    <rPh sb="35" eb="37">
      <t>ツウサン</t>
    </rPh>
    <rPh sb="38" eb="40">
      <t>モンブ</t>
    </rPh>
    <phoneticPr fontId="3"/>
  </si>
  <si>
    <t>289宮崎1区05</t>
    <rPh sb="3" eb="5">
      <t>ミヤザキ</t>
    </rPh>
    <rPh sb="6" eb="7">
      <t>ク</t>
    </rPh>
    <phoneticPr fontId="3"/>
  </si>
  <si>
    <t>外山　　斎</t>
    <rPh sb="0" eb="2">
      <t>トヤマ</t>
    </rPh>
    <rPh sb="4" eb="5">
      <t>イツキ</t>
    </rPh>
    <phoneticPr fontId="3"/>
  </si>
  <si>
    <t>0745宮崎県01</t>
    <rPh sb="4" eb="7">
      <t>ミヤザキケン</t>
    </rPh>
    <phoneticPr fontId="3"/>
  </si>
  <si>
    <t>参</t>
    <rPh sb="0" eb="1">
      <t>サン</t>
    </rPh>
    <phoneticPr fontId="3"/>
  </si>
  <si>
    <t>大中(英/エセックス)</t>
    <rPh sb="0" eb="1">
      <t>ダイ</t>
    </rPh>
    <rPh sb="1" eb="2">
      <t>チュウ</t>
    </rPh>
    <rPh sb="3" eb="4">
      <t>エイ</t>
    </rPh>
    <phoneticPr fontId="3"/>
  </si>
  <si>
    <t>議員秘書(松下新平)</t>
    <rPh sb="0" eb="2">
      <t>ギイン</t>
    </rPh>
    <rPh sb="2" eb="4">
      <t>ヒショ</t>
    </rPh>
    <rPh sb="5" eb="7">
      <t>マツシタ</t>
    </rPh>
    <rPh sb="7" eb="9">
      <t>シンペイ</t>
    </rPh>
    <phoneticPr fontId="3"/>
  </si>
  <si>
    <t>290宮崎2区01</t>
    <rPh sb="3" eb="5">
      <t>ミヤザキ</t>
    </rPh>
    <rPh sb="6" eb="7">
      <t>ク</t>
    </rPh>
    <phoneticPr fontId="3"/>
  </si>
  <si>
    <t>290宮崎2区02</t>
    <rPh sb="3" eb="5">
      <t>ミヤザキ</t>
    </rPh>
    <rPh sb="6" eb="7">
      <t>ク</t>
    </rPh>
    <phoneticPr fontId="3"/>
  </si>
  <si>
    <t>290宮崎2区03</t>
    <rPh sb="3" eb="5">
      <t>ミヤザキ</t>
    </rPh>
    <rPh sb="6" eb="7">
      <t>ク</t>
    </rPh>
    <phoneticPr fontId="3"/>
  </si>
  <si>
    <t>道休　誠一郎</t>
    <rPh sb="0" eb="2">
      <t>ドウキュウ</t>
    </rPh>
    <rPh sb="3" eb="6">
      <t>セイイチロウ</t>
    </rPh>
    <phoneticPr fontId="3"/>
  </si>
  <si>
    <t>311比例九州05</t>
    <rPh sb="3" eb="5">
      <t>ヒレイ</t>
    </rPh>
    <rPh sb="5" eb="7">
      <t>キュウシュウ</t>
    </rPh>
    <phoneticPr fontId="3"/>
  </si>
  <si>
    <t>JICA長期専門家,会社員(野村證券)</t>
    <rPh sb="4" eb="6">
      <t>チョウキ</t>
    </rPh>
    <rPh sb="6" eb="9">
      <t>センモンカ</t>
    </rPh>
    <rPh sb="10" eb="13">
      <t>カイシャイン</t>
    </rPh>
    <rPh sb="14" eb="16">
      <t>ノムラ</t>
    </rPh>
    <rPh sb="16" eb="18">
      <t>ショウケン</t>
    </rPh>
    <phoneticPr fontId="3"/>
  </si>
  <si>
    <t>江藤　　拓</t>
    <rPh sb="0" eb="2">
      <t>エトウ</t>
    </rPh>
    <rPh sb="4" eb="5">
      <t>タク</t>
    </rPh>
    <phoneticPr fontId="3"/>
  </si>
  <si>
    <t>290宮崎2区</t>
    <rPh sb="3" eb="5">
      <t>ミヤザキ</t>
    </rPh>
    <rPh sb="6" eb="7">
      <t>ク</t>
    </rPh>
    <phoneticPr fontId="3"/>
  </si>
  <si>
    <t>議員秘書(江藤隆美),研究員(ハーバード大国際問題研究所)</t>
    <rPh sb="0" eb="2">
      <t>ギイン</t>
    </rPh>
    <rPh sb="2" eb="4">
      <t>ヒショ</t>
    </rPh>
    <rPh sb="5" eb="7">
      <t>エトウ</t>
    </rPh>
    <rPh sb="7" eb="9">
      <t>タカミ</t>
    </rPh>
    <rPh sb="11" eb="14">
      <t>ケンキュウイン</t>
    </rPh>
    <rPh sb="20" eb="21">
      <t>ダイ</t>
    </rPh>
    <rPh sb="21" eb="23">
      <t>コクサイ</t>
    </rPh>
    <rPh sb="23" eb="25">
      <t>モンダイ</t>
    </rPh>
    <rPh sb="25" eb="28">
      <t>ケンキュウジョ</t>
    </rPh>
    <phoneticPr fontId="3"/>
  </si>
  <si>
    <t>291宮崎3区01</t>
    <rPh sb="3" eb="5">
      <t>ミヤザキ</t>
    </rPh>
    <rPh sb="6" eb="7">
      <t>ク</t>
    </rPh>
    <phoneticPr fontId="3"/>
  </si>
  <si>
    <t>291宮崎3区02</t>
    <rPh sb="3" eb="5">
      <t>ミヤザキ</t>
    </rPh>
    <rPh sb="6" eb="7">
      <t>ク</t>
    </rPh>
    <phoneticPr fontId="3"/>
  </si>
  <si>
    <t>古川　禎久</t>
    <rPh sb="0" eb="2">
      <t>フルカワ</t>
    </rPh>
    <rPh sb="3" eb="4">
      <t>ヨシ</t>
    </rPh>
    <rPh sb="4" eb="5">
      <t>ヒサ</t>
    </rPh>
    <phoneticPr fontId="3"/>
  </si>
  <si>
    <t>291宮崎3区</t>
    <rPh sb="3" eb="5">
      <t>ミヤザキ</t>
    </rPh>
    <rPh sb="6" eb="7">
      <t>ク</t>
    </rPh>
    <phoneticPr fontId="3"/>
  </si>
  <si>
    <t>議員秘書(鳩山邦夫),建設省職員</t>
    <rPh sb="0" eb="2">
      <t>ギイン</t>
    </rPh>
    <rPh sb="2" eb="4">
      <t>ヒショ</t>
    </rPh>
    <rPh sb="5" eb="7">
      <t>ハトヤマ</t>
    </rPh>
    <rPh sb="7" eb="9">
      <t>クニオ</t>
    </rPh>
    <rPh sb="11" eb="16">
      <t>ケンセツショウショクイン</t>
    </rPh>
    <phoneticPr fontId="3"/>
  </si>
  <si>
    <t>　元政務官(環境,法務)</t>
    <rPh sb="1" eb="2">
      <t>モト</t>
    </rPh>
    <rPh sb="2" eb="5">
      <t>セイムカン</t>
    </rPh>
    <rPh sb="6" eb="8">
      <t>カンキョウ</t>
    </rPh>
    <rPh sb="9" eb="11">
      <t>ホウム</t>
    </rPh>
    <phoneticPr fontId="3"/>
  </si>
  <si>
    <t>来住　一人</t>
    <rPh sb="0" eb="2">
      <t>ライジュウ</t>
    </rPh>
    <rPh sb="3" eb="5">
      <t>カズヒト</t>
    </rPh>
    <phoneticPr fontId="3"/>
  </si>
  <si>
    <t>宮崎県・都城市議,フォーカス硝子労組委員長</t>
    <rPh sb="0" eb="3">
      <t>ミヤザキケン</t>
    </rPh>
    <rPh sb="4" eb="6">
      <t>ミヤコノジョウ</t>
    </rPh>
    <rPh sb="6" eb="8">
      <t>シギ</t>
    </rPh>
    <rPh sb="14" eb="16">
      <t>ガラス</t>
    </rPh>
    <rPh sb="16" eb="18">
      <t>ロウソ</t>
    </rPh>
    <rPh sb="18" eb="21">
      <t>イインチョウ</t>
    </rPh>
    <phoneticPr fontId="3"/>
  </si>
  <si>
    <t>292鹿児島1区01</t>
    <rPh sb="3" eb="6">
      <t>カゴシマ</t>
    </rPh>
    <rPh sb="7" eb="8">
      <t>ク</t>
    </rPh>
    <phoneticPr fontId="3"/>
  </si>
  <si>
    <t>292鹿児島1区02</t>
    <rPh sb="3" eb="6">
      <t>カゴシマ</t>
    </rPh>
    <rPh sb="7" eb="8">
      <t>ク</t>
    </rPh>
    <phoneticPr fontId="3"/>
  </si>
  <si>
    <t>292鹿児島1区03</t>
    <rPh sb="3" eb="6">
      <t>カゴシマ</t>
    </rPh>
    <rPh sb="7" eb="8">
      <t>ク</t>
    </rPh>
    <phoneticPr fontId="3"/>
  </si>
  <si>
    <t>川内　博史</t>
    <rPh sb="0" eb="2">
      <t>カワウチ</t>
    </rPh>
    <rPh sb="3" eb="5">
      <t>ヒロシ</t>
    </rPh>
    <phoneticPr fontId="3"/>
  </si>
  <si>
    <t>292鹿児島1区</t>
    <rPh sb="3" eb="6">
      <t>カゴシマ</t>
    </rPh>
    <rPh sb="7" eb="8">
      <t>ク</t>
    </rPh>
    <phoneticPr fontId="3"/>
  </si>
  <si>
    <t>さ</t>
    <phoneticPr fontId="3"/>
  </si>
  <si>
    <t>会社役員(クロスヘッド,大月ホテル)</t>
    <rPh sb="0" eb="2">
      <t>カイシャ</t>
    </rPh>
    <rPh sb="2" eb="4">
      <t>ヤクイン</t>
    </rPh>
    <rPh sb="12" eb="14">
      <t>オオツキ</t>
    </rPh>
    <phoneticPr fontId="3"/>
  </si>
  <si>
    <t>衆議院文部科学委員長，元委長(政倫審,科技特,国交)</t>
    <rPh sb="0" eb="3">
      <t>シュウギイン</t>
    </rPh>
    <rPh sb="3" eb="5">
      <t>モンブ</t>
    </rPh>
    <rPh sb="5" eb="7">
      <t>カガク</t>
    </rPh>
    <rPh sb="7" eb="10">
      <t>イインチョウ</t>
    </rPh>
    <rPh sb="11" eb="12">
      <t>モト</t>
    </rPh>
    <rPh sb="12" eb="14">
      <t>イチョウ</t>
    </rPh>
    <rPh sb="15" eb="18">
      <t>セイリンシン</t>
    </rPh>
    <rPh sb="19" eb="21">
      <t>カギ</t>
    </rPh>
    <rPh sb="21" eb="22">
      <t>トク</t>
    </rPh>
    <rPh sb="23" eb="25">
      <t>コッコウ</t>
    </rPh>
    <phoneticPr fontId="3"/>
  </si>
  <si>
    <t>保岡　興治</t>
    <rPh sb="0" eb="2">
      <t>ヤスオカ</t>
    </rPh>
    <rPh sb="3" eb="4">
      <t>オキ</t>
    </rPh>
    <rPh sb="4" eb="5">
      <t>ハル</t>
    </rPh>
    <phoneticPr fontId="3"/>
  </si>
  <si>
    <t>議員秘書(橋本登美三郎),弁護士,裁判官</t>
    <rPh sb="0" eb="2">
      <t>ギイン</t>
    </rPh>
    <rPh sb="2" eb="4">
      <t>ヒショ</t>
    </rPh>
    <rPh sb="5" eb="7">
      <t>ハシモト</t>
    </rPh>
    <rPh sb="7" eb="8">
      <t>ト</t>
    </rPh>
    <rPh sb="8" eb="9">
      <t>ミ</t>
    </rPh>
    <rPh sb="9" eb="11">
      <t>サブロウ</t>
    </rPh>
    <rPh sb="13" eb="16">
      <t>ベンゴシ</t>
    </rPh>
    <rPh sb="17" eb="20">
      <t>サイバンカン</t>
    </rPh>
    <phoneticPr fontId="3"/>
  </si>
  <si>
    <t>法</t>
    <rPh sb="0" eb="1">
      <t>ホウ</t>
    </rPh>
    <phoneticPr fontId="3"/>
  </si>
  <si>
    <t>　元大臣(法務),委長(国移特,建設),政務次官(大蔵,国土)</t>
    <rPh sb="1" eb="4">
      <t>モトダイジン</t>
    </rPh>
    <rPh sb="5" eb="7">
      <t>ホウム</t>
    </rPh>
    <rPh sb="9" eb="11">
      <t>イチョウ</t>
    </rPh>
    <rPh sb="12" eb="13">
      <t>クニ</t>
    </rPh>
    <rPh sb="13" eb="14">
      <t>ワタル</t>
    </rPh>
    <rPh sb="14" eb="15">
      <t>トク</t>
    </rPh>
    <rPh sb="16" eb="18">
      <t>ケンセツ</t>
    </rPh>
    <rPh sb="20" eb="22">
      <t>セイム</t>
    </rPh>
    <rPh sb="22" eb="24">
      <t>ジカン</t>
    </rPh>
    <rPh sb="25" eb="27">
      <t>オオクラ</t>
    </rPh>
    <rPh sb="28" eb="30">
      <t>コクド</t>
    </rPh>
    <phoneticPr fontId="3"/>
  </si>
  <si>
    <t>山口　広延</t>
    <rPh sb="0" eb="2">
      <t>ヤマグチ</t>
    </rPh>
    <rPh sb="3" eb="4">
      <t>ヒロ</t>
    </rPh>
    <rPh sb="4" eb="5">
      <t>ノブ</t>
    </rPh>
    <phoneticPr fontId="3"/>
  </si>
  <si>
    <t>高(阿久根)</t>
    <rPh sb="0" eb="1">
      <t>コウ</t>
    </rPh>
    <rPh sb="2" eb="5">
      <t>アクネ</t>
    </rPh>
    <phoneticPr fontId="3"/>
  </si>
  <si>
    <t>共産党鹿児島県常任委員</t>
    <rPh sb="0" eb="3">
      <t>キョウサントウ</t>
    </rPh>
    <rPh sb="3" eb="7">
      <t>カゴシマケン</t>
    </rPh>
    <rPh sb="7" eb="9">
      <t>ジョウニン</t>
    </rPh>
    <rPh sb="9" eb="11">
      <t>イイン</t>
    </rPh>
    <phoneticPr fontId="3"/>
  </si>
  <si>
    <t>293鹿児島2区01</t>
    <rPh sb="3" eb="6">
      <t>カゴシマ</t>
    </rPh>
    <rPh sb="7" eb="8">
      <t>ク</t>
    </rPh>
    <phoneticPr fontId="3"/>
  </si>
  <si>
    <t>293鹿児島2区02</t>
    <rPh sb="3" eb="6">
      <t>カゴシマ</t>
    </rPh>
    <rPh sb="7" eb="8">
      <t>ク</t>
    </rPh>
    <phoneticPr fontId="3"/>
  </si>
  <si>
    <t>293鹿児島2区03</t>
    <rPh sb="3" eb="6">
      <t>カゴシマ</t>
    </rPh>
    <rPh sb="7" eb="8">
      <t>ク</t>
    </rPh>
    <phoneticPr fontId="3"/>
  </si>
  <si>
    <t>打越　明司</t>
    <rPh sb="0" eb="2">
      <t>ウチコシ</t>
    </rPh>
    <rPh sb="3" eb="5">
      <t>アカシ</t>
    </rPh>
    <phoneticPr fontId="3"/>
  </si>
  <si>
    <t>311比例九州04</t>
    <rPh sb="3" eb="5">
      <t>ヒレイ</t>
    </rPh>
    <rPh sb="5" eb="7">
      <t>キュウシュウ</t>
    </rPh>
    <phoneticPr fontId="3"/>
  </si>
  <si>
    <t>自</t>
    <rPh sb="0" eb="1">
      <t>ジ</t>
    </rPh>
    <phoneticPr fontId="3"/>
  </si>
  <si>
    <t>大(九州)</t>
    <rPh sb="0" eb="1">
      <t>ダイ</t>
    </rPh>
    <rPh sb="2" eb="4">
      <t>キュウシュウ</t>
    </rPh>
    <phoneticPr fontId="3"/>
  </si>
  <si>
    <t>議松</t>
    <rPh sb="0" eb="1">
      <t>ギ</t>
    </rPh>
    <rPh sb="1" eb="2">
      <t>マツ</t>
    </rPh>
    <phoneticPr fontId="3"/>
  </si>
  <si>
    <t>徳田　　毅</t>
    <rPh sb="0" eb="2">
      <t>トクダ</t>
    </rPh>
    <rPh sb="4" eb="5">
      <t>タケシ</t>
    </rPh>
    <phoneticPr fontId="3"/>
  </si>
  <si>
    <t>293鹿児島2区</t>
    <rPh sb="3" eb="6">
      <t>カゴシマ</t>
    </rPh>
    <rPh sb="7" eb="8">
      <t>ク</t>
    </rPh>
    <phoneticPr fontId="3"/>
  </si>
  <si>
    <t>大中(帝京)</t>
    <rPh sb="0" eb="1">
      <t>ダイ</t>
    </rPh>
    <rPh sb="1" eb="2">
      <t>チュウ</t>
    </rPh>
    <rPh sb="3" eb="5">
      <t>テイキョウ</t>
    </rPh>
    <phoneticPr fontId="3"/>
  </si>
  <si>
    <t>医療法人理事(徳洲会),議員秘書(徳田虎雄)</t>
    <rPh sb="0" eb="2">
      <t>イリョウ</t>
    </rPh>
    <rPh sb="2" eb="4">
      <t>ホウジン</t>
    </rPh>
    <rPh sb="4" eb="6">
      <t>リジ</t>
    </rPh>
    <rPh sb="7" eb="10">
      <t>トクシュウカイ</t>
    </rPh>
    <rPh sb="12" eb="14">
      <t>ギイン</t>
    </rPh>
    <rPh sb="14" eb="16">
      <t>ヒショ</t>
    </rPh>
    <rPh sb="17" eb="19">
      <t>トクダ</t>
    </rPh>
    <rPh sb="19" eb="21">
      <t>トラオ</t>
    </rPh>
    <phoneticPr fontId="3"/>
  </si>
  <si>
    <t>　旧自由連合代表</t>
    <rPh sb="1" eb="4">
      <t>キュウジユウ</t>
    </rPh>
    <rPh sb="4" eb="6">
      <t>レンゴウ</t>
    </rPh>
    <rPh sb="6" eb="8">
      <t>ダイヒョウ</t>
    </rPh>
    <phoneticPr fontId="3"/>
  </si>
  <si>
    <t>294鹿児島3区01</t>
    <rPh sb="3" eb="6">
      <t>カゴシマ</t>
    </rPh>
    <rPh sb="7" eb="8">
      <t>ク</t>
    </rPh>
    <phoneticPr fontId="3"/>
  </si>
  <si>
    <t>294鹿児島3区02</t>
    <rPh sb="3" eb="6">
      <t>カゴシマ</t>
    </rPh>
    <rPh sb="7" eb="8">
      <t>ク</t>
    </rPh>
    <phoneticPr fontId="3"/>
  </si>
  <si>
    <t>294鹿児島3区03</t>
    <rPh sb="3" eb="6">
      <t>カゴシマ</t>
    </rPh>
    <rPh sb="7" eb="8">
      <t>ク</t>
    </rPh>
    <phoneticPr fontId="3"/>
  </si>
  <si>
    <t>294鹿児島3区04</t>
    <rPh sb="3" eb="6">
      <t>カゴシマ</t>
    </rPh>
    <rPh sb="7" eb="8">
      <t>ク</t>
    </rPh>
    <phoneticPr fontId="3"/>
  </si>
  <si>
    <t>294鹿児島3区05</t>
    <rPh sb="3" eb="6">
      <t>カゴシマ</t>
    </rPh>
    <rPh sb="7" eb="8">
      <t>ク</t>
    </rPh>
    <phoneticPr fontId="3"/>
  </si>
  <si>
    <t>宮路　和明</t>
    <rPh sb="0" eb="2">
      <t>ミヤジ</t>
    </rPh>
    <rPh sb="3" eb="5">
      <t>カズアキ</t>
    </rPh>
    <phoneticPr fontId="3"/>
  </si>
  <si>
    <t>294鹿児島3区</t>
    <rPh sb="3" eb="6">
      <t>カゴシマ</t>
    </rPh>
    <rPh sb="7" eb="8">
      <t>ク</t>
    </rPh>
    <phoneticPr fontId="3"/>
  </si>
  <si>
    <t>農林水産省畜産局畜政課畜産総合対策室長</t>
    <rPh sb="0" eb="2">
      <t>ノウリン</t>
    </rPh>
    <rPh sb="2" eb="5">
      <t>スイサンショウ</t>
    </rPh>
    <rPh sb="5" eb="8">
      <t>チクサンキョク</t>
    </rPh>
    <rPh sb="8" eb="9">
      <t>チク</t>
    </rPh>
    <rPh sb="9" eb="10">
      <t>セイ</t>
    </rPh>
    <rPh sb="10" eb="11">
      <t>カ</t>
    </rPh>
    <rPh sb="11" eb="13">
      <t>チクサン</t>
    </rPh>
    <rPh sb="13" eb="15">
      <t>ソウゴウ</t>
    </rPh>
    <rPh sb="15" eb="17">
      <t>タイサク</t>
    </rPh>
    <rPh sb="17" eb="19">
      <t>シツチョウ</t>
    </rPh>
    <phoneticPr fontId="3"/>
  </si>
  <si>
    <t>　元委長(農水),副大臣(厚労),政務次官(総務)</t>
    <rPh sb="1" eb="2">
      <t>モト</t>
    </rPh>
    <rPh sb="2" eb="4">
      <t>イチョウ</t>
    </rPh>
    <rPh sb="5" eb="7">
      <t>ノウスイ</t>
    </rPh>
    <rPh sb="9" eb="12">
      <t>フクダイジン</t>
    </rPh>
    <rPh sb="13" eb="15">
      <t>コウロウ</t>
    </rPh>
    <rPh sb="17" eb="19">
      <t>セイム</t>
    </rPh>
    <rPh sb="19" eb="21">
      <t>ジカン</t>
    </rPh>
    <rPh sb="22" eb="24">
      <t>ソウム</t>
    </rPh>
    <phoneticPr fontId="3"/>
  </si>
  <si>
    <t>大倉野　由美子</t>
    <rPh sb="0" eb="3">
      <t>オオクラノ</t>
    </rPh>
    <rPh sb="4" eb="7">
      <t>ユミコ</t>
    </rPh>
    <phoneticPr fontId="3"/>
  </si>
  <si>
    <t>高(伊集院)</t>
    <rPh sb="0" eb="1">
      <t>コウ</t>
    </rPh>
    <rPh sb="2" eb="5">
      <t>イジュウイン</t>
    </rPh>
    <phoneticPr fontId="3"/>
  </si>
  <si>
    <t>福留　大士</t>
    <rPh sb="0" eb="2">
      <t>フクドメ</t>
    </rPh>
    <rPh sb="3" eb="5">
      <t>ヒロシ</t>
    </rPh>
    <phoneticPr fontId="3"/>
  </si>
  <si>
    <t>会社役員(チェンジ)</t>
    <rPh sb="0" eb="2">
      <t>カイシャ</t>
    </rPh>
    <rPh sb="2" eb="4">
      <t>ヤクイン</t>
    </rPh>
    <phoneticPr fontId="3"/>
  </si>
  <si>
    <t>野間　　健</t>
    <rPh sb="0" eb="2">
      <t>ノマ</t>
    </rPh>
    <rPh sb="4" eb="5">
      <t>タケシ</t>
    </rPh>
    <phoneticPr fontId="3"/>
  </si>
  <si>
    <t>議員秘書(松下忠洋),会社社長(ケイアンドケイプレス)</t>
    <rPh sb="0" eb="2">
      <t>ギイン</t>
    </rPh>
    <rPh sb="2" eb="4">
      <t>ヒショ</t>
    </rPh>
    <rPh sb="5" eb="7">
      <t>マツシタ</t>
    </rPh>
    <rPh sb="7" eb="9">
      <t>タダヒロ</t>
    </rPh>
    <rPh sb="11" eb="13">
      <t>カイシャ</t>
    </rPh>
    <rPh sb="13" eb="15">
      <t>シャチョウ</t>
    </rPh>
    <phoneticPr fontId="3"/>
  </si>
  <si>
    <t>松澤　　力</t>
    <rPh sb="0" eb="2">
      <t>マツザワ</t>
    </rPh>
    <rPh sb="4" eb="5">
      <t>イサオ</t>
    </rPh>
    <phoneticPr fontId="3"/>
  </si>
  <si>
    <t>大(鹿児島)</t>
    <rPh sb="0" eb="1">
      <t>ダイ</t>
    </rPh>
    <rPh sb="2" eb="5">
      <t>カゴシマ</t>
    </rPh>
    <phoneticPr fontId="3"/>
  </si>
  <si>
    <t>295鹿児島4区</t>
    <rPh sb="3" eb="6">
      <t>カゴシマ</t>
    </rPh>
    <rPh sb="7" eb="8">
      <t>ク</t>
    </rPh>
    <phoneticPr fontId="3"/>
  </si>
  <si>
    <t>295鹿児島4区01</t>
    <rPh sb="3" eb="6">
      <t>カゴシマ</t>
    </rPh>
    <rPh sb="7" eb="8">
      <t>ク</t>
    </rPh>
    <phoneticPr fontId="3"/>
  </si>
  <si>
    <t>295鹿児島4区02</t>
    <rPh sb="3" eb="6">
      <t>カゴシマ</t>
    </rPh>
    <rPh sb="7" eb="8">
      <t>ク</t>
    </rPh>
    <phoneticPr fontId="3"/>
  </si>
  <si>
    <t>295鹿児島4区03</t>
    <rPh sb="3" eb="6">
      <t>カゴシマ</t>
    </rPh>
    <rPh sb="7" eb="8">
      <t>ク</t>
    </rPh>
    <phoneticPr fontId="3"/>
  </si>
  <si>
    <t>皆吉　稲生</t>
    <rPh sb="0" eb="2">
      <t>ミナヨシ</t>
    </rPh>
    <rPh sb="3" eb="5">
      <t>イナオ</t>
    </rPh>
    <phoneticPr fontId="3"/>
  </si>
  <si>
    <t>311比例九州01</t>
    <rPh sb="3" eb="5">
      <t>ヒレイ</t>
    </rPh>
    <rPh sb="5" eb="7">
      <t>キュウシュウ</t>
    </rPh>
    <phoneticPr fontId="3"/>
  </si>
  <si>
    <t>連合鹿児島副会長,鹿児島市職労委員長</t>
    <rPh sb="0" eb="2">
      <t>レンゴウ</t>
    </rPh>
    <rPh sb="2" eb="5">
      <t>カゴシマ</t>
    </rPh>
    <rPh sb="5" eb="8">
      <t>フクカイチョウ</t>
    </rPh>
    <rPh sb="9" eb="12">
      <t>カゴシマ</t>
    </rPh>
    <rPh sb="12" eb="14">
      <t>シショク</t>
    </rPh>
    <rPh sb="14" eb="15">
      <t>ロウ</t>
    </rPh>
    <rPh sb="15" eb="18">
      <t>イインチョウ</t>
    </rPh>
    <phoneticPr fontId="3"/>
  </si>
  <si>
    <t>小里　泰弘</t>
    <rPh sb="0" eb="2">
      <t>オザト</t>
    </rPh>
    <rPh sb="3" eb="5">
      <t>ヤスヒロ</t>
    </rPh>
    <phoneticPr fontId="3"/>
  </si>
  <si>
    <t>議員秘書(小里貞利),会社員(野村證券)</t>
    <rPh sb="0" eb="2">
      <t>ギイン</t>
    </rPh>
    <rPh sb="2" eb="4">
      <t>ヒショ</t>
    </rPh>
    <rPh sb="5" eb="7">
      <t>オザト</t>
    </rPh>
    <rPh sb="7" eb="9">
      <t>サダトシ</t>
    </rPh>
    <rPh sb="11" eb="14">
      <t>カイシャイン</t>
    </rPh>
    <rPh sb="15" eb="17">
      <t>ノムラ</t>
    </rPh>
    <rPh sb="17" eb="19">
      <t>ショウケン</t>
    </rPh>
    <phoneticPr fontId="3"/>
  </si>
  <si>
    <t>永田　義人</t>
    <rPh sb="0" eb="2">
      <t>ナガタ</t>
    </rPh>
    <rPh sb="3" eb="5">
      <t>ヨシヒト</t>
    </rPh>
    <phoneticPr fontId="3"/>
  </si>
  <si>
    <t>共産党地区委員長</t>
    <rPh sb="0" eb="3">
      <t>キョウサントウ</t>
    </rPh>
    <rPh sb="3" eb="5">
      <t>チク</t>
    </rPh>
    <rPh sb="5" eb="8">
      <t>イインチョウ</t>
    </rPh>
    <phoneticPr fontId="3"/>
  </si>
  <si>
    <t>296鹿児島5区01</t>
    <rPh sb="3" eb="6">
      <t>カゴシマ</t>
    </rPh>
    <rPh sb="7" eb="8">
      <t>ク</t>
    </rPh>
    <phoneticPr fontId="3"/>
  </si>
  <si>
    <t>296鹿児島5区02</t>
    <rPh sb="3" eb="6">
      <t>カゴシマ</t>
    </rPh>
    <rPh sb="7" eb="8">
      <t>ク</t>
    </rPh>
    <phoneticPr fontId="3"/>
  </si>
  <si>
    <t>網屋　信介</t>
    <rPh sb="0" eb="2">
      <t>アミヤ</t>
    </rPh>
    <rPh sb="3" eb="5">
      <t>シンスケ</t>
    </rPh>
    <phoneticPr fontId="3"/>
  </si>
  <si>
    <t>311比例九州06</t>
    <rPh sb="3" eb="5">
      <t>ヒレイ</t>
    </rPh>
    <rPh sb="5" eb="7">
      <t>キュウシュウ</t>
    </rPh>
    <phoneticPr fontId="3"/>
  </si>
  <si>
    <t>会社役員(NISグループ,メリルリンチ)</t>
    <rPh sb="0" eb="2">
      <t>カイシャ</t>
    </rPh>
    <rPh sb="2" eb="4">
      <t>ヤクイン</t>
    </rPh>
    <phoneticPr fontId="3"/>
  </si>
  <si>
    <t>森山　　裕</t>
    <rPh sb="0" eb="2">
      <t>モリヤマ</t>
    </rPh>
    <rPh sb="4" eb="5">
      <t>ヒロシ</t>
    </rPh>
    <phoneticPr fontId="3"/>
  </si>
  <si>
    <t>296鹿児島5区</t>
    <rPh sb="3" eb="6">
      <t>カゴシマ</t>
    </rPh>
    <rPh sb="7" eb="8">
      <t>ク</t>
    </rPh>
    <phoneticPr fontId="3"/>
  </si>
  <si>
    <t>高(日新)</t>
    <rPh sb="0" eb="1">
      <t>コウ</t>
    </rPh>
    <rPh sb="2" eb="4">
      <t>ニッシン</t>
    </rPh>
    <phoneticPr fontId="3"/>
  </si>
  <si>
    <t>鹿児島県・鹿児島市議,会社員(本田技研)</t>
    <rPh sb="0" eb="4">
      <t>カゴシマケン</t>
    </rPh>
    <rPh sb="5" eb="8">
      <t>カゴシマ</t>
    </rPh>
    <rPh sb="8" eb="10">
      <t>シギ</t>
    </rPh>
    <rPh sb="11" eb="14">
      <t>カイシャイン</t>
    </rPh>
    <rPh sb="15" eb="17">
      <t>ホンダ</t>
    </rPh>
    <rPh sb="17" eb="19">
      <t>ギケン</t>
    </rPh>
    <phoneticPr fontId="3"/>
  </si>
  <si>
    <t>　元副大臣(財務),政務官(財務),参1</t>
    <rPh sb="1" eb="2">
      <t>モト</t>
    </rPh>
    <rPh sb="2" eb="5">
      <t>フクダイジン</t>
    </rPh>
    <rPh sb="6" eb="8">
      <t>ザイム</t>
    </rPh>
    <rPh sb="10" eb="13">
      <t>セイムカン</t>
    </rPh>
    <rPh sb="14" eb="16">
      <t>ザイム</t>
    </rPh>
    <rPh sb="18" eb="19">
      <t>サン</t>
    </rPh>
    <phoneticPr fontId="3"/>
  </si>
  <si>
    <t>野口　　寛</t>
    <rPh sb="0" eb="2">
      <t>ノグチ</t>
    </rPh>
    <rPh sb="4" eb="5">
      <t>ヒロシ</t>
    </rPh>
    <phoneticPr fontId="3"/>
  </si>
  <si>
    <t>297沖縄1区01</t>
    <rPh sb="3" eb="5">
      <t>オキナワ</t>
    </rPh>
    <rPh sb="6" eb="7">
      <t>ク</t>
    </rPh>
    <phoneticPr fontId="3"/>
  </si>
  <si>
    <t>297沖縄1区02</t>
    <rPh sb="3" eb="5">
      <t>オキナワ</t>
    </rPh>
    <rPh sb="6" eb="7">
      <t>ク</t>
    </rPh>
    <phoneticPr fontId="3"/>
  </si>
  <si>
    <t>297沖縄1区03</t>
    <rPh sb="3" eb="5">
      <t>オキナワ</t>
    </rPh>
    <rPh sb="6" eb="7">
      <t>ク</t>
    </rPh>
    <phoneticPr fontId="3"/>
  </si>
  <si>
    <t>國場　幸之助</t>
    <rPh sb="0" eb="2">
      <t>コクバ</t>
    </rPh>
    <rPh sb="3" eb="6">
      <t>コウノスケ</t>
    </rPh>
    <phoneticPr fontId="3"/>
  </si>
  <si>
    <t>沖縄県議(那覇市),知事候補秘書</t>
    <rPh sb="0" eb="2">
      <t>オキナワ</t>
    </rPh>
    <rPh sb="2" eb="4">
      <t>ケンギ</t>
    </rPh>
    <rPh sb="5" eb="8">
      <t>ナハシ</t>
    </rPh>
    <rPh sb="10" eb="12">
      <t>チジ</t>
    </rPh>
    <rPh sb="12" eb="14">
      <t>コウホ</t>
    </rPh>
    <rPh sb="14" eb="16">
      <t>ヒショ</t>
    </rPh>
    <phoneticPr fontId="3"/>
  </si>
  <si>
    <t>赤嶺　政賢</t>
    <rPh sb="0" eb="2">
      <t>アカミネ</t>
    </rPh>
    <rPh sb="3" eb="4">
      <t>セイ</t>
    </rPh>
    <rPh sb="4" eb="5">
      <t>ケン</t>
    </rPh>
    <phoneticPr fontId="3"/>
  </si>
  <si>
    <t>311比例九州21</t>
    <rPh sb="3" eb="5">
      <t>ヒレイ</t>
    </rPh>
    <rPh sb="5" eb="7">
      <t>キュウシュウ</t>
    </rPh>
    <phoneticPr fontId="3"/>
  </si>
  <si>
    <t>沖縄県・那覇市議,高校教諭</t>
    <rPh sb="0" eb="3">
      <t>オキナワケン</t>
    </rPh>
    <rPh sb="4" eb="6">
      <t>ナハ</t>
    </rPh>
    <rPh sb="6" eb="8">
      <t>シギ</t>
    </rPh>
    <rPh sb="9" eb="11">
      <t>コウコウ</t>
    </rPh>
    <rPh sb="11" eb="13">
      <t>キョウユ</t>
    </rPh>
    <phoneticPr fontId="3"/>
  </si>
  <si>
    <t>下地　幹郎</t>
    <rPh sb="0" eb="2">
      <t>シモジ</t>
    </rPh>
    <rPh sb="3" eb="5">
      <t>ミキオ</t>
    </rPh>
    <phoneticPr fontId="3"/>
  </si>
  <si>
    <t>297沖縄1区</t>
    <rPh sb="3" eb="5">
      <t>オキナワ</t>
    </rPh>
    <rPh sb="6" eb="7">
      <t>ク</t>
    </rPh>
    <phoneticPr fontId="3"/>
  </si>
  <si>
    <t>大(中央学院)</t>
    <rPh sb="0" eb="1">
      <t>ダイ</t>
    </rPh>
    <rPh sb="2" eb="4">
      <t>チュウオウ</t>
    </rPh>
    <rPh sb="4" eb="6">
      <t>ガクイン</t>
    </rPh>
    <phoneticPr fontId="3"/>
  </si>
  <si>
    <t>会社役員(宮古交通)</t>
    <rPh sb="0" eb="2">
      <t>カイシャ</t>
    </rPh>
    <rPh sb="2" eb="4">
      <t>ヤクイン</t>
    </rPh>
    <rPh sb="5" eb="7">
      <t>ミヤコ</t>
    </rPh>
    <rPh sb="7" eb="9">
      <t>コウツウ</t>
    </rPh>
    <phoneticPr fontId="3"/>
  </si>
  <si>
    <t>郵政民営化担当大臣・防災担当相・国民新党幹事長・代表代行，元政務官(経産),政務次官(沖開),国民新党政調会長</t>
    <rPh sb="0" eb="2">
      <t>ユウセイ</t>
    </rPh>
    <rPh sb="2" eb="5">
      <t>ミンエイカ</t>
    </rPh>
    <rPh sb="5" eb="7">
      <t>タントウ</t>
    </rPh>
    <rPh sb="7" eb="9">
      <t>ダイジン</t>
    </rPh>
    <rPh sb="10" eb="12">
      <t>ボウサイ</t>
    </rPh>
    <rPh sb="12" eb="15">
      <t>タントウショウ</t>
    </rPh>
    <rPh sb="16" eb="18">
      <t>コクミン</t>
    </rPh>
    <rPh sb="18" eb="20">
      <t>シントウ</t>
    </rPh>
    <rPh sb="20" eb="23">
      <t>カンジチョウ</t>
    </rPh>
    <rPh sb="24" eb="26">
      <t>ダイヒョウ</t>
    </rPh>
    <rPh sb="26" eb="28">
      <t>ダイコウ</t>
    </rPh>
    <rPh sb="29" eb="30">
      <t>モト</t>
    </rPh>
    <rPh sb="30" eb="33">
      <t>セイムカン</t>
    </rPh>
    <rPh sb="34" eb="36">
      <t>ケイサン</t>
    </rPh>
    <rPh sb="38" eb="40">
      <t>セイム</t>
    </rPh>
    <rPh sb="40" eb="42">
      <t>ジカン</t>
    </rPh>
    <rPh sb="43" eb="44">
      <t>オキ</t>
    </rPh>
    <rPh sb="44" eb="45">
      <t>カイ</t>
    </rPh>
    <rPh sb="47" eb="49">
      <t>コクミン</t>
    </rPh>
    <rPh sb="49" eb="51">
      <t>シントウ</t>
    </rPh>
    <rPh sb="51" eb="53">
      <t>セイチョウ</t>
    </rPh>
    <rPh sb="53" eb="55">
      <t>カイチョウ</t>
    </rPh>
    <phoneticPr fontId="3"/>
  </si>
  <si>
    <t>298沖縄2区01</t>
    <rPh sb="3" eb="5">
      <t>オキナワ</t>
    </rPh>
    <rPh sb="6" eb="7">
      <t>ク</t>
    </rPh>
    <phoneticPr fontId="3"/>
  </si>
  <si>
    <t>298沖縄2区02</t>
    <rPh sb="3" eb="5">
      <t>オキナワ</t>
    </rPh>
    <rPh sb="6" eb="7">
      <t>ク</t>
    </rPh>
    <phoneticPr fontId="3"/>
  </si>
  <si>
    <t>298沖縄2区03</t>
    <rPh sb="3" eb="5">
      <t>オキナワ</t>
    </rPh>
    <rPh sb="6" eb="7">
      <t>ク</t>
    </rPh>
    <phoneticPr fontId="3"/>
  </si>
  <si>
    <t>宮崎　政久</t>
    <rPh sb="0" eb="2">
      <t>ミヤザキ</t>
    </rPh>
    <rPh sb="3" eb="5">
      <t>マサヒサ</t>
    </rPh>
    <phoneticPr fontId="3"/>
  </si>
  <si>
    <t>弁護士,裁判官</t>
    <rPh sb="0" eb="3">
      <t>ベンゴシ</t>
    </rPh>
    <rPh sb="4" eb="7">
      <t>サイバンカン</t>
    </rPh>
    <phoneticPr fontId="3"/>
  </si>
  <si>
    <t>照屋　寛徳</t>
    <rPh sb="0" eb="2">
      <t>テルヤ</t>
    </rPh>
    <rPh sb="3" eb="5">
      <t>カントク</t>
    </rPh>
    <phoneticPr fontId="3"/>
  </si>
  <si>
    <t>298沖縄2区</t>
    <rPh sb="3" eb="5">
      <t>オキナワ</t>
    </rPh>
    <rPh sb="6" eb="7">
      <t>ク</t>
    </rPh>
    <phoneticPr fontId="3"/>
  </si>
  <si>
    <t>沖縄県議(具志川市),弁護士</t>
    <rPh sb="0" eb="2">
      <t>オキナワ</t>
    </rPh>
    <rPh sb="2" eb="4">
      <t>ケンギ</t>
    </rPh>
    <rPh sb="5" eb="9">
      <t>グシカワシ</t>
    </rPh>
    <rPh sb="11" eb="14">
      <t>ベンゴシ</t>
    </rPh>
    <phoneticPr fontId="3"/>
  </si>
  <si>
    <t>社民党国対委員長，元社民党副党首,参1</t>
    <rPh sb="0" eb="3">
      <t>シャミントウ</t>
    </rPh>
    <rPh sb="3" eb="5">
      <t>コクタイ</t>
    </rPh>
    <rPh sb="5" eb="8">
      <t>イインチョウ</t>
    </rPh>
    <rPh sb="9" eb="10">
      <t>モト</t>
    </rPh>
    <rPh sb="10" eb="13">
      <t>シャミントウ</t>
    </rPh>
    <rPh sb="13" eb="16">
      <t>フクトウシュ</t>
    </rPh>
    <rPh sb="17" eb="18">
      <t>サン</t>
    </rPh>
    <phoneticPr fontId="3"/>
  </si>
  <si>
    <t>議鞍法</t>
    <rPh sb="0" eb="1">
      <t>ギ</t>
    </rPh>
    <rPh sb="1" eb="2">
      <t>クラ</t>
    </rPh>
    <rPh sb="2" eb="3">
      <t>ホウ</t>
    </rPh>
    <phoneticPr fontId="3"/>
  </si>
  <si>
    <t>299沖縄3区01</t>
    <rPh sb="3" eb="5">
      <t>オキナワ</t>
    </rPh>
    <rPh sb="6" eb="7">
      <t>ク</t>
    </rPh>
    <phoneticPr fontId="3"/>
  </si>
  <si>
    <t>299沖縄3区02</t>
    <rPh sb="3" eb="5">
      <t>オキナワ</t>
    </rPh>
    <rPh sb="6" eb="7">
      <t>ク</t>
    </rPh>
    <phoneticPr fontId="3"/>
  </si>
  <si>
    <t>299沖縄3区03</t>
    <rPh sb="3" eb="5">
      <t>オキナワ</t>
    </rPh>
    <rPh sb="6" eb="7">
      <t>ク</t>
    </rPh>
    <phoneticPr fontId="3"/>
  </si>
  <si>
    <t>299沖縄3区04</t>
    <rPh sb="3" eb="5">
      <t>オキナワ</t>
    </rPh>
    <rPh sb="6" eb="7">
      <t>ク</t>
    </rPh>
    <phoneticPr fontId="3"/>
  </si>
  <si>
    <t>崎浜　宏信</t>
    <rPh sb="0" eb="2">
      <t>サキハマ</t>
    </rPh>
    <rPh sb="3" eb="5">
      <t>ヒロノブ</t>
    </rPh>
    <phoneticPr fontId="3"/>
  </si>
  <si>
    <t>比嘉　奈津美</t>
    <rPh sb="0" eb="2">
      <t>ヒガ</t>
    </rPh>
    <rPh sb="3" eb="6">
      <t>ナツミ</t>
    </rPh>
    <phoneticPr fontId="3"/>
  </si>
  <si>
    <t>大(福岡歯科)</t>
    <rPh sb="0" eb="1">
      <t>ダイ</t>
    </rPh>
    <rPh sb="2" eb="4">
      <t>フクオカ</t>
    </rPh>
    <rPh sb="4" eb="6">
      <t>シカ</t>
    </rPh>
    <phoneticPr fontId="3"/>
  </si>
  <si>
    <t>歯科医師(なつみ歯科医院)</t>
    <rPh sb="0" eb="4">
      <t>シカイシ</t>
    </rPh>
    <rPh sb="8" eb="10">
      <t>シカ</t>
    </rPh>
    <rPh sb="10" eb="12">
      <t>イイン</t>
    </rPh>
    <phoneticPr fontId="3"/>
  </si>
  <si>
    <t>玉城　デニー</t>
    <rPh sb="0" eb="2">
      <t>タマキ</t>
    </rPh>
    <phoneticPr fontId="3"/>
  </si>
  <si>
    <t>299沖縄3区</t>
    <rPh sb="3" eb="5">
      <t>オキナワ</t>
    </rPh>
    <rPh sb="6" eb="7">
      <t>ク</t>
    </rPh>
    <phoneticPr fontId="3"/>
  </si>
  <si>
    <t>他(上智社会福祉専門学校)</t>
    <rPh sb="0" eb="1">
      <t>ホカ</t>
    </rPh>
    <rPh sb="2" eb="4">
      <t>ジョウチ</t>
    </rPh>
    <rPh sb="4" eb="6">
      <t>シャカイ</t>
    </rPh>
    <rPh sb="6" eb="8">
      <t>フクシ</t>
    </rPh>
    <rPh sb="8" eb="10">
      <t>センモン</t>
    </rPh>
    <rPh sb="10" eb="12">
      <t>ガッコウ</t>
    </rPh>
    <phoneticPr fontId="3"/>
  </si>
  <si>
    <t>沖縄県・沖縄市議,タレント</t>
    <rPh sb="0" eb="3">
      <t>オキナワケン</t>
    </rPh>
    <rPh sb="4" eb="6">
      <t>オキナワ</t>
    </rPh>
    <rPh sb="6" eb="8">
      <t>シギ</t>
    </rPh>
    <phoneticPr fontId="3"/>
  </si>
  <si>
    <t>議タ</t>
    <rPh sb="0" eb="1">
      <t>ギ</t>
    </rPh>
    <phoneticPr fontId="3"/>
  </si>
  <si>
    <t>議</t>
    <rPh sb="0" eb="1">
      <t>ギ</t>
    </rPh>
    <phoneticPr fontId="3"/>
  </si>
  <si>
    <t>タ</t>
    <phoneticPr fontId="3"/>
  </si>
  <si>
    <t>300沖縄4区01</t>
    <rPh sb="3" eb="5">
      <t>オキナワ</t>
    </rPh>
    <rPh sb="6" eb="7">
      <t>ク</t>
    </rPh>
    <phoneticPr fontId="3"/>
  </si>
  <si>
    <t>300沖縄4区02</t>
    <rPh sb="3" eb="5">
      <t>オキナワ</t>
    </rPh>
    <rPh sb="6" eb="7">
      <t>ク</t>
    </rPh>
    <phoneticPr fontId="3"/>
  </si>
  <si>
    <t>300沖縄4区03</t>
    <rPh sb="3" eb="5">
      <t>オキナワ</t>
    </rPh>
    <rPh sb="6" eb="7">
      <t>ク</t>
    </rPh>
    <phoneticPr fontId="3"/>
  </si>
  <si>
    <t>300沖縄4区04</t>
    <rPh sb="3" eb="5">
      <t>オキナワ</t>
    </rPh>
    <rPh sb="6" eb="7">
      <t>ク</t>
    </rPh>
    <phoneticPr fontId="3"/>
  </si>
  <si>
    <t>大城　信彦</t>
    <rPh sb="0" eb="2">
      <t>オオシロ</t>
    </rPh>
    <rPh sb="3" eb="5">
      <t>ノブヒコ</t>
    </rPh>
    <phoneticPr fontId="3"/>
  </si>
  <si>
    <t>297沖縄1区04</t>
    <rPh sb="3" eb="5">
      <t>オキナワ</t>
    </rPh>
    <rPh sb="6" eb="7">
      <t>ク</t>
    </rPh>
    <phoneticPr fontId="3"/>
  </si>
  <si>
    <t>松</t>
    <rPh sb="0" eb="1">
      <t>マツ</t>
    </rPh>
    <phoneticPr fontId="3"/>
  </si>
  <si>
    <t>西銘　恒三郎</t>
    <rPh sb="0" eb="2">
      <t>ニシメ</t>
    </rPh>
    <rPh sb="3" eb="4">
      <t>コウ</t>
    </rPh>
    <rPh sb="4" eb="6">
      <t>サブロウ</t>
    </rPh>
    <phoneticPr fontId="3"/>
  </si>
  <si>
    <t>二</t>
    <rPh sb="0" eb="1">
      <t>ニ</t>
    </rPh>
    <phoneticPr fontId="3"/>
  </si>
  <si>
    <t>議二</t>
    <rPh sb="0" eb="1">
      <t>ギ</t>
    </rPh>
    <rPh sb="1" eb="2">
      <t>ニ</t>
    </rPh>
    <phoneticPr fontId="3"/>
  </si>
  <si>
    <t>　元政務官(国交)</t>
    <rPh sb="1" eb="2">
      <t>モト</t>
    </rPh>
    <rPh sb="2" eb="5">
      <t>セイムカン</t>
    </rPh>
    <rPh sb="6" eb="8">
      <t>コッコウ</t>
    </rPh>
    <phoneticPr fontId="3"/>
  </si>
  <si>
    <t>沖縄県議(那覇市),議員秘書(西銘順治),沖縄開発金融公庫職員</t>
    <rPh sb="0" eb="2">
      <t>オキナワ</t>
    </rPh>
    <rPh sb="2" eb="4">
      <t>ケンギ</t>
    </rPh>
    <rPh sb="5" eb="8">
      <t>ナハシ</t>
    </rPh>
    <rPh sb="10" eb="12">
      <t>ギイン</t>
    </rPh>
    <rPh sb="12" eb="14">
      <t>ヒショ</t>
    </rPh>
    <rPh sb="15" eb="17">
      <t>ニシメ</t>
    </rPh>
    <rPh sb="17" eb="19">
      <t>ジュンジ</t>
    </rPh>
    <rPh sb="21" eb="23">
      <t>オキナワ</t>
    </rPh>
    <rPh sb="23" eb="25">
      <t>カイハツ</t>
    </rPh>
    <rPh sb="25" eb="27">
      <t>キンユウ</t>
    </rPh>
    <rPh sb="27" eb="29">
      <t>コウコ</t>
    </rPh>
    <rPh sb="29" eb="31">
      <t>ショクイン</t>
    </rPh>
    <phoneticPr fontId="3"/>
  </si>
  <si>
    <t>真栄里　保</t>
    <rPh sb="0" eb="3">
      <t>マエサト</t>
    </rPh>
    <rPh sb="4" eb="5">
      <t>タモツ</t>
    </rPh>
    <phoneticPr fontId="3"/>
  </si>
  <si>
    <t>大(九州学院)</t>
    <rPh sb="0" eb="1">
      <t>ダイ</t>
    </rPh>
    <rPh sb="2" eb="4">
      <t>キュウシュウ</t>
    </rPh>
    <rPh sb="4" eb="6">
      <t>ガクイン</t>
    </rPh>
    <phoneticPr fontId="3"/>
  </si>
  <si>
    <t>共産党沖縄県常任委員,民青同盟沖縄県副委員長</t>
    <rPh sb="0" eb="3">
      <t>キョウサントウ</t>
    </rPh>
    <rPh sb="3" eb="6">
      <t>オキナワケン</t>
    </rPh>
    <rPh sb="6" eb="8">
      <t>ジョウニン</t>
    </rPh>
    <rPh sb="8" eb="10">
      <t>イイン</t>
    </rPh>
    <rPh sb="11" eb="15">
      <t>ミンセイドウメイ</t>
    </rPh>
    <rPh sb="15" eb="18">
      <t>オキナワケン</t>
    </rPh>
    <rPh sb="18" eb="22">
      <t>フクイインチョウ</t>
    </rPh>
    <phoneticPr fontId="3"/>
  </si>
  <si>
    <t>瑞慶覧　長敏</t>
    <rPh sb="0" eb="3">
      <t>ズケラン</t>
    </rPh>
    <rPh sb="4" eb="5">
      <t>チョウ</t>
    </rPh>
    <rPh sb="5" eb="6">
      <t>ビン</t>
    </rPh>
    <phoneticPr fontId="3"/>
  </si>
  <si>
    <t>300沖縄4区</t>
    <rPh sb="3" eb="5">
      <t>オキナワ</t>
    </rPh>
    <rPh sb="6" eb="7">
      <t>ク</t>
    </rPh>
    <phoneticPr fontId="3"/>
  </si>
  <si>
    <t>生活</t>
    <rPh sb="0" eb="2">
      <t>セイカツ</t>
    </rPh>
    <phoneticPr fontId="3"/>
  </si>
  <si>
    <t>英語塾経営</t>
    <rPh sb="0" eb="3">
      <t>エイゴジュク</t>
    </rPh>
    <rPh sb="3" eb="5">
      <t>ケイエイ</t>
    </rPh>
    <phoneticPr fontId="3"/>
  </si>
  <si>
    <t>林田　　彪</t>
    <rPh sb="0" eb="2">
      <t>ハヤシダ</t>
    </rPh>
    <rPh sb="4" eb="5">
      <t>タケシ</t>
    </rPh>
    <phoneticPr fontId="3"/>
  </si>
  <si>
    <t>額賀</t>
    <rPh sb="0" eb="2">
      <t>ヌカガ</t>
    </rPh>
    <phoneticPr fontId="3"/>
  </si>
  <si>
    <t>大(東京農工)</t>
    <rPh sb="0" eb="1">
      <t>ダイ</t>
    </rPh>
    <rPh sb="2" eb="4">
      <t>トウキョウ</t>
    </rPh>
    <rPh sb="4" eb="6">
      <t>ノウコウ</t>
    </rPh>
    <phoneticPr fontId="3"/>
  </si>
  <si>
    <t>建設大学校副校長(建設省)</t>
    <rPh sb="0" eb="2">
      <t>ケンセツ</t>
    </rPh>
    <rPh sb="2" eb="5">
      <t>ダイガッコウ</t>
    </rPh>
    <rPh sb="5" eb="8">
      <t>フクコウチョウ</t>
    </rPh>
    <rPh sb="9" eb="12">
      <t>ケンセツショウ</t>
    </rPh>
    <phoneticPr fontId="3"/>
  </si>
  <si>
    <t>官</t>
    <rPh sb="0" eb="1">
      <t>カン</t>
    </rPh>
    <phoneticPr fontId="3"/>
  </si>
  <si>
    <t>　元委長(災害特),副大臣(内閣),政務官(財務)</t>
    <rPh sb="1" eb="2">
      <t>モト</t>
    </rPh>
    <rPh sb="2" eb="4">
      <t>イチョウ</t>
    </rPh>
    <rPh sb="5" eb="7">
      <t>サイガイ</t>
    </rPh>
    <rPh sb="7" eb="8">
      <t>トク</t>
    </rPh>
    <rPh sb="10" eb="13">
      <t>フクダイジン</t>
    </rPh>
    <rPh sb="14" eb="16">
      <t>ナイカク</t>
    </rPh>
    <rPh sb="18" eb="21">
      <t>セイムカン</t>
    </rPh>
    <rPh sb="22" eb="24">
      <t>ザイム</t>
    </rPh>
    <phoneticPr fontId="3"/>
  </si>
  <si>
    <t>4004比例九州公明01</t>
    <rPh sb="4" eb="6">
      <t>ヒレイ</t>
    </rPh>
    <rPh sb="6" eb="8">
      <t>キュウシュウ</t>
    </rPh>
    <rPh sb="8" eb="10">
      <t>コウメイ</t>
    </rPh>
    <phoneticPr fontId="3"/>
  </si>
  <si>
    <t>4004比例九州公明02</t>
    <rPh sb="4" eb="6">
      <t>ヒレイ</t>
    </rPh>
    <rPh sb="6" eb="8">
      <t>キュウシュウ</t>
    </rPh>
    <rPh sb="8" eb="10">
      <t>コウメイ</t>
    </rPh>
    <phoneticPr fontId="3"/>
  </si>
  <si>
    <t>4004比例九州公明03</t>
    <rPh sb="4" eb="6">
      <t>ヒレイ</t>
    </rPh>
    <rPh sb="6" eb="8">
      <t>キュウシュウ</t>
    </rPh>
    <rPh sb="8" eb="10">
      <t>コウメイ</t>
    </rPh>
    <phoneticPr fontId="3"/>
  </si>
  <si>
    <t>4004比例九州公明04</t>
    <rPh sb="4" eb="6">
      <t>ヒレイ</t>
    </rPh>
    <rPh sb="6" eb="8">
      <t>キュウシュウ</t>
    </rPh>
    <rPh sb="8" eb="10">
      <t>コウメイ</t>
    </rPh>
    <phoneticPr fontId="3"/>
  </si>
  <si>
    <t>江田　康幸</t>
    <rPh sb="0" eb="2">
      <t>エダ</t>
    </rPh>
    <rPh sb="3" eb="5">
      <t>ヤスユキ</t>
    </rPh>
    <phoneticPr fontId="3"/>
  </si>
  <si>
    <t>311比例九州18</t>
    <rPh sb="3" eb="5">
      <t>ヒレイ</t>
    </rPh>
    <rPh sb="5" eb="7">
      <t>キュウシュウ</t>
    </rPh>
    <phoneticPr fontId="3"/>
  </si>
  <si>
    <t>大院(熊本)</t>
    <rPh sb="0" eb="2">
      <t>ダイイン</t>
    </rPh>
    <rPh sb="3" eb="5">
      <t>クマモト</t>
    </rPh>
    <phoneticPr fontId="3"/>
  </si>
  <si>
    <t>研究員(化学及血清療法研究所)</t>
    <rPh sb="0" eb="3">
      <t>ケンキュウイン</t>
    </rPh>
    <rPh sb="4" eb="6">
      <t>カガク</t>
    </rPh>
    <rPh sb="6" eb="7">
      <t>オヨ</t>
    </rPh>
    <rPh sb="7" eb="9">
      <t>ケッセイ</t>
    </rPh>
    <rPh sb="9" eb="11">
      <t>リョウホウ</t>
    </rPh>
    <rPh sb="11" eb="14">
      <t>ケンキュウジョ</t>
    </rPh>
    <phoneticPr fontId="3"/>
  </si>
  <si>
    <t>　元副大臣(環境),政務官(経産)</t>
    <rPh sb="1" eb="2">
      <t>モト</t>
    </rPh>
    <rPh sb="2" eb="5">
      <t>フクダイジン</t>
    </rPh>
    <rPh sb="6" eb="8">
      <t>カンキョウ</t>
    </rPh>
    <rPh sb="10" eb="13">
      <t>セイムカン</t>
    </rPh>
    <rPh sb="14" eb="16">
      <t>ケイサン</t>
    </rPh>
    <phoneticPr fontId="3"/>
  </si>
  <si>
    <t>遠山　清彦</t>
    <rPh sb="0" eb="2">
      <t>トオヤマ</t>
    </rPh>
    <rPh sb="3" eb="5">
      <t>キヨヒコ</t>
    </rPh>
    <phoneticPr fontId="3"/>
  </si>
  <si>
    <t>311比例九州19</t>
    <rPh sb="3" eb="5">
      <t>ヒレイ</t>
    </rPh>
    <rPh sb="5" eb="7">
      <t>キュウシュウ</t>
    </rPh>
    <phoneticPr fontId="3"/>
  </si>
  <si>
    <t>大院(英/ブラッドフォード)</t>
    <rPh sb="0" eb="2">
      <t>ダイイン</t>
    </rPh>
    <rPh sb="3" eb="4">
      <t>エイ</t>
    </rPh>
    <phoneticPr fontId="3"/>
  </si>
  <si>
    <t>大学教員(宮崎国際大学講師)</t>
    <rPh sb="0" eb="2">
      <t>ダイガク</t>
    </rPh>
    <rPh sb="2" eb="4">
      <t>キョウイン</t>
    </rPh>
    <rPh sb="5" eb="7">
      <t>ミヤザキ</t>
    </rPh>
    <rPh sb="7" eb="9">
      <t>コクサイ</t>
    </rPh>
    <rPh sb="9" eb="11">
      <t>ダイガク</t>
    </rPh>
    <rPh sb="11" eb="13">
      <t>コウシ</t>
    </rPh>
    <phoneticPr fontId="3"/>
  </si>
  <si>
    <t>　元委長(参法務),政務官(外務),参2</t>
    <rPh sb="1" eb="2">
      <t>モト</t>
    </rPh>
    <rPh sb="2" eb="4">
      <t>イチョウ</t>
    </rPh>
    <rPh sb="5" eb="6">
      <t>サン</t>
    </rPh>
    <rPh sb="6" eb="8">
      <t>ホウム</t>
    </rPh>
    <rPh sb="10" eb="13">
      <t>セイムカン</t>
    </rPh>
    <rPh sb="14" eb="16">
      <t>ガイム</t>
    </rPh>
    <rPh sb="18" eb="19">
      <t>サン</t>
    </rPh>
    <phoneticPr fontId="3"/>
  </si>
  <si>
    <t>鞍</t>
    <rPh sb="0" eb="1">
      <t>クラ</t>
    </rPh>
    <phoneticPr fontId="3"/>
  </si>
  <si>
    <t>濱地　雅一</t>
    <rPh sb="0" eb="1">
      <t>ハマ</t>
    </rPh>
    <rPh sb="1" eb="2">
      <t>チ</t>
    </rPh>
    <rPh sb="3" eb="5">
      <t>マサカズ</t>
    </rPh>
    <phoneticPr fontId="3"/>
  </si>
  <si>
    <t>法</t>
    <rPh sb="0" eb="1">
      <t>ホウ</t>
    </rPh>
    <phoneticPr fontId="3"/>
  </si>
  <si>
    <t>弁護士,会社員(モリモト,UBS証券)</t>
    <rPh sb="0" eb="3">
      <t>ベンゴシ</t>
    </rPh>
    <rPh sb="4" eb="7">
      <t>カイシャイン</t>
    </rPh>
    <rPh sb="16" eb="18">
      <t>ショウケン</t>
    </rPh>
    <phoneticPr fontId="3"/>
  </si>
  <si>
    <t>新福　愛子</t>
    <rPh sb="0" eb="2">
      <t>シンプク</t>
    </rPh>
    <rPh sb="3" eb="5">
      <t>アイコ</t>
    </rPh>
    <phoneticPr fontId="3"/>
  </si>
  <si>
    <t>鹿児島県・姶良市議,会社員(竹中工務店)</t>
    <rPh sb="0" eb="4">
      <t>カゴシマケン</t>
    </rPh>
    <rPh sb="5" eb="7">
      <t>アイラ</t>
    </rPh>
    <rPh sb="7" eb="9">
      <t>シギ</t>
    </rPh>
    <rPh sb="10" eb="13">
      <t>カイシャイン</t>
    </rPh>
    <rPh sb="14" eb="16">
      <t>タケナカ</t>
    </rPh>
    <rPh sb="16" eb="19">
      <t>コウムテン</t>
    </rPh>
    <phoneticPr fontId="3"/>
  </si>
  <si>
    <t>議</t>
    <rPh sb="0" eb="1">
      <t>ギ</t>
    </rPh>
    <phoneticPr fontId="3"/>
  </si>
  <si>
    <t>田村　貴昭</t>
    <rPh sb="0" eb="2">
      <t>タムラ</t>
    </rPh>
    <rPh sb="3" eb="5">
      <t>タカアキ</t>
    </rPh>
    <phoneticPr fontId="3"/>
  </si>
  <si>
    <t>大(北九州)</t>
    <rPh sb="0" eb="1">
      <t>ダイ</t>
    </rPh>
    <rPh sb="2" eb="5">
      <t>キタキュウシュウ</t>
    </rPh>
    <phoneticPr fontId="3"/>
  </si>
  <si>
    <t>福岡県・北九州市議,北九州市職労支部書記</t>
    <rPh sb="0" eb="3">
      <t>フクオカケン</t>
    </rPh>
    <rPh sb="4" eb="7">
      <t>キタキュウシュウ</t>
    </rPh>
    <rPh sb="7" eb="9">
      <t>シギ</t>
    </rPh>
    <rPh sb="10" eb="13">
      <t>キタキュウシュウ</t>
    </rPh>
    <rPh sb="13" eb="15">
      <t>シショク</t>
    </rPh>
    <rPh sb="15" eb="16">
      <t>ロウ</t>
    </rPh>
    <rPh sb="16" eb="18">
      <t>シブ</t>
    </rPh>
    <rPh sb="18" eb="20">
      <t>ショキ</t>
    </rPh>
    <phoneticPr fontId="3"/>
  </si>
  <si>
    <t>議労</t>
    <rPh sb="0" eb="1">
      <t>ギ</t>
    </rPh>
    <rPh sb="1" eb="2">
      <t>ロウ</t>
    </rPh>
    <phoneticPr fontId="3"/>
  </si>
  <si>
    <t>労</t>
    <rPh sb="0" eb="1">
      <t>ロウ</t>
    </rPh>
    <phoneticPr fontId="3"/>
  </si>
  <si>
    <t>木下　　真</t>
    <rPh sb="0" eb="2">
      <t>キノシタ</t>
    </rPh>
    <rPh sb="4" eb="5">
      <t>マコト</t>
    </rPh>
    <phoneticPr fontId="3"/>
  </si>
  <si>
    <t>幸福実現党員,議員秘書(鴨下一郎)</t>
    <rPh sb="0" eb="2">
      <t>コウフク</t>
    </rPh>
    <rPh sb="2" eb="4">
      <t>ジツゲン</t>
    </rPh>
    <rPh sb="4" eb="6">
      <t>トウイン</t>
    </rPh>
    <rPh sb="7" eb="9">
      <t>ギイン</t>
    </rPh>
    <rPh sb="9" eb="11">
      <t>ヒショ</t>
    </rPh>
    <rPh sb="12" eb="14">
      <t>カモシタ</t>
    </rPh>
    <rPh sb="14" eb="16">
      <t>イチロウ</t>
    </rPh>
    <phoneticPr fontId="3"/>
  </si>
  <si>
    <t>122東京19区04</t>
    <rPh sb="3" eb="5">
      <t>トウキョウ</t>
    </rPh>
    <rPh sb="7" eb="8">
      <t>ク</t>
    </rPh>
    <phoneticPr fontId="3"/>
  </si>
  <si>
    <t>山田　　宏</t>
    <rPh sb="0" eb="2">
      <t>ヤマダ</t>
    </rPh>
    <rPh sb="4" eb="5">
      <t>ヒロシ</t>
    </rPh>
    <phoneticPr fontId="3"/>
  </si>
  <si>
    <t>創</t>
    <rPh sb="0" eb="1">
      <t>ハジメ</t>
    </rPh>
    <phoneticPr fontId="3"/>
  </si>
  <si>
    <t>大(京都)</t>
    <rPh sb="0" eb="1">
      <t>ダイ</t>
    </rPh>
    <rPh sb="2" eb="4">
      <t>キョウト</t>
    </rPh>
    <phoneticPr fontId="3"/>
  </si>
  <si>
    <t>議首松</t>
    <rPh sb="0" eb="1">
      <t>ギ</t>
    </rPh>
    <rPh sb="1" eb="2">
      <t>クビ</t>
    </rPh>
    <rPh sb="2" eb="3">
      <t>マツ</t>
    </rPh>
    <phoneticPr fontId="3"/>
  </si>
  <si>
    <t>首</t>
    <rPh sb="0" eb="1">
      <t>クビ</t>
    </rPh>
    <phoneticPr fontId="3"/>
  </si>
  <si>
    <t>　元東京都・杉並区長,日本創新党党首</t>
    <rPh sb="1" eb="2">
      <t>モト</t>
    </rPh>
    <rPh sb="2" eb="5">
      <t>トウキョウト</t>
    </rPh>
    <rPh sb="6" eb="8">
      <t>スギナミ</t>
    </rPh>
    <rPh sb="8" eb="10">
      <t>クチョウ</t>
    </rPh>
    <rPh sb="11" eb="13">
      <t>ニホン</t>
    </rPh>
    <rPh sb="13" eb="16">
      <t>ソウシントウ</t>
    </rPh>
    <rPh sb="16" eb="18">
      <t>トウシュ</t>
    </rPh>
    <phoneticPr fontId="3"/>
  </si>
  <si>
    <t>227和歌山1区04</t>
    <rPh sb="3" eb="6">
      <t>ワカヤマ</t>
    </rPh>
    <rPh sb="7" eb="8">
      <t>ク</t>
    </rPh>
    <phoneticPr fontId="3"/>
  </si>
  <si>
    <t>001北海道1区04</t>
    <rPh sb="3" eb="6">
      <t>ホッカイドウ</t>
    </rPh>
    <rPh sb="7" eb="8">
      <t>ク</t>
    </rPh>
    <phoneticPr fontId="3"/>
  </si>
  <si>
    <t>大竹　智和</t>
    <rPh sb="0" eb="2">
      <t>オオタケ</t>
    </rPh>
    <rPh sb="3" eb="5">
      <t>トモカズ</t>
    </rPh>
    <phoneticPr fontId="3"/>
  </si>
  <si>
    <t>002北海道2区05</t>
    <rPh sb="3" eb="6">
      <t>ホッカイドウ</t>
    </rPh>
    <rPh sb="7" eb="8">
      <t>ク</t>
    </rPh>
    <phoneticPr fontId="3"/>
  </si>
  <si>
    <t>高橋　美穂</t>
    <rPh sb="0" eb="2">
      <t>タカハシ</t>
    </rPh>
    <rPh sb="3" eb="5">
      <t>ミホ</t>
    </rPh>
    <phoneticPr fontId="3"/>
  </si>
  <si>
    <t>み</t>
    <phoneticPr fontId="3"/>
  </si>
  <si>
    <t>太</t>
    <rPh sb="0" eb="1">
      <t>タイ</t>
    </rPh>
    <phoneticPr fontId="3"/>
  </si>
  <si>
    <t>043茨城6区04</t>
    <rPh sb="3" eb="5">
      <t>イバラキ</t>
    </rPh>
    <rPh sb="6" eb="7">
      <t>ク</t>
    </rPh>
    <phoneticPr fontId="3"/>
  </si>
  <si>
    <t>043茨城6区05</t>
    <rPh sb="3" eb="5">
      <t>イバラキ</t>
    </rPh>
    <rPh sb="6" eb="7">
      <t>ク</t>
    </rPh>
    <phoneticPr fontId="3"/>
  </si>
  <si>
    <t>深沢　　裕</t>
    <rPh sb="0" eb="2">
      <t>フカサワ</t>
    </rPh>
    <rPh sb="4" eb="5">
      <t>ユタカ</t>
    </rPh>
    <phoneticPr fontId="3"/>
  </si>
  <si>
    <t>―</t>
    <phoneticPr fontId="3"/>
  </si>
  <si>
    <t>狩野　岳也</t>
    <rPh sb="0" eb="2">
      <t>カノウ</t>
    </rPh>
    <rPh sb="3" eb="4">
      <t>タカ</t>
    </rPh>
    <rPh sb="4" eb="5">
      <t>ヤ</t>
    </rPh>
    <phoneticPr fontId="3"/>
  </si>
  <si>
    <t>大(東京農業)</t>
    <rPh sb="0" eb="1">
      <t>ダイ</t>
    </rPh>
    <rPh sb="2" eb="4">
      <t>トウキョウ</t>
    </rPh>
    <rPh sb="4" eb="6">
      <t>ノウギョウ</t>
    </rPh>
    <phoneticPr fontId="3"/>
  </si>
  <si>
    <t>茨城県議(かすみがうら市),社会福祉法人理事長(明岳会),議員秘書(三塚博)</t>
    <rPh sb="0" eb="2">
      <t>イバラキ</t>
    </rPh>
    <rPh sb="2" eb="4">
      <t>ケンギ</t>
    </rPh>
    <rPh sb="11" eb="12">
      <t>シ</t>
    </rPh>
    <rPh sb="14" eb="16">
      <t>シャカイ</t>
    </rPh>
    <rPh sb="16" eb="18">
      <t>フクシ</t>
    </rPh>
    <rPh sb="18" eb="20">
      <t>ホウジン</t>
    </rPh>
    <rPh sb="20" eb="23">
      <t>リジチョウ</t>
    </rPh>
    <rPh sb="24" eb="25">
      <t>メイ</t>
    </rPh>
    <rPh sb="25" eb="26">
      <t>ガク</t>
    </rPh>
    <rPh sb="26" eb="27">
      <t>カイ</t>
    </rPh>
    <rPh sb="29" eb="31">
      <t>ギイン</t>
    </rPh>
    <rPh sb="31" eb="33">
      <t>ヒショ</t>
    </rPh>
    <rPh sb="34" eb="36">
      <t>ミツカ</t>
    </rPh>
    <rPh sb="36" eb="37">
      <t>ヒロシ</t>
    </rPh>
    <phoneticPr fontId="3"/>
  </si>
  <si>
    <t>研究員(日本原子力研究開発機構)</t>
    <rPh sb="0" eb="3">
      <t>ケンキュウイン</t>
    </rPh>
    <rPh sb="4" eb="6">
      <t>ニホン</t>
    </rPh>
    <rPh sb="6" eb="9">
      <t>ゲンシリョク</t>
    </rPh>
    <rPh sb="9" eb="11">
      <t>ケンキュウ</t>
    </rPh>
    <rPh sb="11" eb="13">
      <t>カイハツ</t>
    </rPh>
    <rPh sb="13" eb="15">
      <t>キコウ</t>
    </rPh>
    <phoneticPr fontId="3"/>
  </si>
  <si>
    <t>058埼玉4区05</t>
    <rPh sb="3" eb="5">
      <t>サイタマ</t>
    </rPh>
    <rPh sb="6" eb="7">
      <t>ク</t>
    </rPh>
    <phoneticPr fontId="3"/>
  </si>
  <si>
    <t>青柳　仁士</t>
    <rPh sb="0" eb="2">
      <t>アオヤギ</t>
    </rPh>
    <rPh sb="3" eb="5">
      <t>ヒトシ</t>
    </rPh>
    <phoneticPr fontId="3"/>
  </si>
  <si>
    <t>国連職員(国連開発計画)</t>
    <rPh sb="0" eb="2">
      <t>コクレン</t>
    </rPh>
    <rPh sb="2" eb="4">
      <t>ショクイン</t>
    </rPh>
    <rPh sb="5" eb="7">
      <t>コクレン</t>
    </rPh>
    <rPh sb="7" eb="9">
      <t>カイハツ</t>
    </rPh>
    <rPh sb="9" eb="11">
      <t>ケイカク</t>
    </rPh>
    <phoneticPr fontId="3"/>
  </si>
  <si>
    <t>078千葉9区05</t>
    <rPh sb="3" eb="5">
      <t>チバ</t>
    </rPh>
    <rPh sb="6" eb="7">
      <t>ク</t>
    </rPh>
    <phoneticPr fontId="3"/>
  </si>
  <si>
    <t>西田　　譲</t>
    <rPh sb="0" eb="2">
      <t>ニシダ</t>
    </rPh>
    <rPh sb="4" eb="5">
      <t>ユズル</t>
    </rPh>
    <phoneticPr fontId="3"/>
  </si>
  <si>
    <t>大中(慶應)</t>
    <rPh sb="0" eb="1">
      <t>ダイ</t>
    </rPh>
    <rPh sb="1" eb="2">
      <t>チュウ</t>
    </rPh>
    <rPh sb="3" eb="5">
      <t>ケイオウ</t>
    </rPh>
    <phoneticPr fontId="3"/>
  </si>
  <si>
    <t>千葉県議(八千代市),議員秘書(小林興起)</t>
    <rPh sb="0" eb="2">
      <t>チバ</t>
    </rPh>
    <rPh sb="2" eb="4">
      <t>ケンギ</t>
    </rPh>
    <rPh sb="5" eb="9">
      <t>ヤチヨシ</t>
    </rPh>
    <rPh sb="11" eb="13">
      <t>ギイン</t>
    </rPh>
    <rPh sb="13" eb="15">
      <t>ヒショ</t>
    </rPh>
    <rPh sb="16" eb="18">
      <t>コバヤシ</t>
    </rPh>
    <rPh sb="18" eb="20">
      <t>コウキ</t>
    </rPh>
    <phoneticPr fontId="3"/>
  </si>
  <si>
    <t>120東京17区04</t>
    <rPh sb="3" eb="5">
      <t>トウキョウ</t>
    </rPh>
    <rPh sb="7" eb="8">
      <t>ク</t>
    </rPh>
    <phoneticPr fontId="3"/>
  </si>
  <si>
    <t>小林　　等</t>
    <rPh sb="0" eb="2">
      <t>コバヤシ</t>
    </rPh>
    <rPh sb="4" eb="5">
      <t>ヒトシ</t>
    </rPh>
    <phoneticPr fontId="3"/>
  </si>
  <si>
    <t>東京都・葛飾区議,議員秘書(松原仁)</t>
    <rPh sb="0" eb="3">
      <t>トウキョウト</t>
    </rPh>
    <rPh sb="4" eb="6">
      <t>カツシカ</t>
    </rPh>
    <rPh sb="6" eb="8">
      <t>クギ</t>
    </rPh>
    <rPh sb="9" eb="11">
      <t>ギイン</t>
    </rPh>
    <rPh sb="11" eb="13">
      <t>ヒショ</t>
    </rPh>
    <rPh sb="14" eb="16">
      <t>マツバラ</t>
    </rPh>
    <rPh sb="16" eb="17">
      <t>ジン</t>
    </rPh>
    <phoneticPr fontId="3"/>
  </si>
  <si>
    <t>伊藤　俊輔</t>
    <rPh sb="0" eb="2">
      <t>イトウ</t>
    </rPh>
    <rPh sb="3" eb="5">
      <t>シュンスケ</t>
    </rPh>
    <phoneticPr fontId="3"/>
  </si>
  <si>
    <t>―</t>
    <phoneticPr fontId="3"/>
  </si>
  <si>
    <t>会社社長(フューチャービジネスネットワーク)</t>
    <rPh sb="0" eb="2">
      <t>カイシャ</t>
    </rPh>
    <rPh sb="2" eb="4">
      <t>シャチョウ</t>
    </rPh>
    <phoneticPr fontId="3"/>
  </si>
  <si>
    <t>161静岡8区04</t>
    <rPh sb="3" eb="5">
      <t>シズオカ</t>
    </rPh>
    <rPh sb="6" eb="7">
      <t>ク</t>
    </rPh>
    <phoneticPr fontId="3"/>
  </si>
  <si>
    <t>源馬　謙太郎</t>
    <rPh sb="0" eb="2">
      <t>ゲンマ</t>
    </rPh>
    <rPh sb="3" eb="6">
      <t>ケンタロウ</t>
    </rPh>
    <phoneticPr fontId="3"/>
  </si>
  <si>
    <t>民</t>
    <rPh sb="0" eb="1">
      <t>ミン</t>
    </rPh>
    <phoneticPr fontId="3"/>
  </si>
  <si>
    <t>大院(米/アメリカン)</t>
    <rPh sb="0" eb="2">
      <t>ダイイン</t>
    </rPh>
    <rPh sb="3" eb="4">
      <t>ベイ</t>
    </rPh>
    <phoneticPr fontId="3"/>
  </si>
  <si>
    <t>静岡県議(浜松市東区),NGO職員(日本予防外交センター)</t>
    <rPh sb="0" eb="2">
      <t>シズオカ</t>
    </rPh>
    <rPh sb="2" eb="4">
      <t>ケンギ</t>
    </rPh>
    <rPh sb="5" eb="8">
      <t>ハママツシ</t>
    </rPh>
    <rPh sb="8" eb="10">
      <t>ヒガシク</t>
    </rPh>
    <rPh sb="15" eb="17">
      <t>ショクイン</t>
    </rPh>
    <rPh sb="18" eb="20">
      <t>ニホン</t>
    </rPh>
    <rPh sb="20" eb="22">
      <t>ヨボウ</t>
    </rPh>
    <rPh sb="22" eb="24">
      <t>ガイコウ</t>
    </rPh>
    <phoneticPr fontId="3"/>
  </si>
  <si>
    <t>議松</t>
    <rPh sb="0" eb="1">
      <t>ギ</t>
    </rPh>
    <rPh sb="1" eb="2">
      <t>マツ</t>
    </rPh>
    <phoneticPr fontId="3"/>
  </si>
  <si>
    <t>山本　洋一</t>
    <rPh sb="0" eb="2">
      <t>ヤマモト</t>
    </rPh>
    <rPh sb="3" eb="5">
      <t>ヨウイチ</t>
    </rPh>
    <phoneticPr fontId="3"/>
  </si>
  <si>
    <t>ジ</t>
    <phoneticPr fontId="3"/>
  </si>
  <si>
    <t>170愛知9区05</t>
    <rPh sb="3" eb="5">
      <t>アイチ</t>
    </rPh>
    <rPh sb="6" eb="7">
      <t>ク</t>
    </rPh>
    <phoneticPr fontId="3"/>
  </si>
  <si>
    <t>中野　正康</t>
    <rPh sb="0" eb="2">
      <t>ナカノ</t>
    </rPh>
    <rPh sb="3" eb="5">
      <t>マサヤス</t>
    </rPh>
    <phoneticPr fontId="3"/>
  </si>
  <si>
    <t>官</t>
    <rPh sb="0" eb="1">
      <t>カン</t>
    </rPh>
    <phoneticPr fontId="3"/>
  </si>
  <si>
    <t>182滋賀1区04</t>
    <rPh sb="3" eb="5">
      <t>シガ</t>
    </rPh>
    <rPh sb="6" eb="7">
      <t>ク</t>
    </rPh>
    <phoneticPr fontId="3"/>
  </si>
  <si>
    <t>奥村　利樹</t>
    <rPh sb="0" eb="2">
      <t>オクムラ</t>
    </rPh>
    <rPh sb="3" eb="5">
      <t>トシキ</t>
    </rPh>
    <phoneticPr fontId="3"/>
  </si>
  <si>
    <t>大津JC理事長,会社社長(奥村管工)</t>
    <rPh sb="0" eb="2">
      <t>オオツ</t>
    </rPh>
    <rPh sb="4" eb="7">
      <t>リジチョウ</t>
    </rPh>
    <rPh sb="8" eb="10">
      <t>カイシャ</t>
    </rPh>
    <rPh sb="10" eb="12">
      <t>シャチョウ</t>
    </rPh>
    <rPh sb="13" eb="15">
      <t>オクムラ</t>
    </rPh>
    <rPh sb="15" eb="16">
      <t>カン</t>
    </rPh>
    <rPh sb="16" eb="17">
      <t>コウ</t>
    </rPh>
    <phoneticPr fontId="3"/>
  </si>
  <si>
    <t>185滋賀4区05</t>
    <rPh sb="3" eb="5">
      <t>シガ</t>
    </rPh>
    <rPh sb="6" eb="7">
      <t>ク</t>
    </rPh>
    <phoneticPr fontId="3"/>
  </si>
  <si>
    <t>岩永　裕貴</t>
    <rPh sb="0" eb="2">
      <t>イワナガ</t>
    </rPh>
    <rPh sb="3" eb="5">
      <t>ヒロキ</t>
    </rPh>
    <phoneticPr fontId="3"/>
  </si>
  <si>
    <t>自</t>
    <rPh sb="0" eb="1">
      <t>ジ</t>
    </rPh>
    <phoneticPr fontId="3"/>
  </si>
  <si>
    <t>水口JC理事長,議員秘書(岩永峯一)</t>
    <rPh sb="0" eb="2">
      <t>ミズグチ</t>
    </rPh>
    <rPh sb="4" eb="7">
      <t>リジチョウ</t>
    </rPh>
    <rPh sb="8" eb="10">
      <t>ギイン</t>
    </rPh>
    <rPh sb="10" eb="12">
      <t>ヒショ</t>
    </rPh>
    <rPh sb="13" eb="15">
      <t>イワナガ</t>
    </rPh>
    <rPh sb="15" eb="16">
      <t>ミネ</t>
    </rPh>
    <rPh sb="16" eb="17">
      <t>カズ</t>
    </rPh>
    <phoneticPr fontId="3"/>
  </si>
  <si>
    <t>村上　政俊</t>
    <rPh sb="0" eb="2">
      <t>ムラカミ</t>
    </rPh>
    <rPh sb="3" eb="5">
      <t>マサトシ</t>
    </rPh>
    <phoneticPr fontId="3"/>
  </si>
  <si>
    <t>上西　小百合</t>
    <rPh sb="0" eb="2">
      <t>ウエニシ</t>
    </rPh>
    <rPh sb="3" eb="6">
      <t>サユリ</t>
    </rPh>
    <phoneticPr fontId="3"/>
  </si>
  <si>
    <t>木下　智彦</t>
    <rPh sb="0" eb="2">
      <t>キノシタ</t>
    </rPh>
    <rPh sb="3" eb="5">
      <t>トモヒコ</t>
    </rPh>
    <phoneticPr fontId="3"/>
  </si>
  <si>
    <t>足立　康史</t>
    <rPh sb="0" eb="2">
      <t>アダチ</t>
    </rPh>
    <rPh sb="3" eb="5">
      <t>ヤスシ</t>
    </rPh>
    <phoneticPr fontId="3"/>
  </si>
  <si>
    <t>経済産業省大臣官房参事官</t>
    <rPh sb="0" eb="2">
      <t>ケイザイ</t>
    </rPh>
    <rPh sb="2" eb="5">
      <t>サンギョウショウ</t>
    </rPh>
    <rPh sb="5" eb="7">
      <t>ダイジン</t>
    </rPh>
    <rPh sb="7" eb="9">
      <t>カンボウ</t>
    </rPh>
    <rPh sb="9" eb="12">
      <t>サンジカン</t>
    </rPh>
    <phoneticPr fontId="3"/>
  </si>
  <si>
    <t>伊東　信久</t>
    <rPh sb="0" eb="2">
      <t>イトウ</t>
    </rPh>
    <rPh sb="3" eb="5">
      <t>ノブヒサ</t>
    </rPh>
    <phoneticPr fontId="3"/>
  </si>
  <si>
    <t>丸山　穂高</t>
    <rPh sb="0" eb="2">
      <t>マルヤマ</t>
    </rPh>
    <rPh sb="3" eb="5">
      <t>ホダカ</t>
    </rPh>
    <phoneticPr fontId="3"/>
  </si>
  <si>
    <t>213兵庫3区05</t>
    <rPh sb="3" eb="5">
      <t>ヒョウゴ</t>
    </rPh>
    <rPh sb="6" eb="7">
      <t>ク</t>
    </rPh>
    <phoneticPr fontId="3"/>
  </si>
  <si>
    <t>新原　秀人</t>
    <rPh sb="0" eb="2">
      <t>シンバラ</t>
    </rPh>
    <rPh sb="3" eb="5">
      <t>ヒデト</t>
    </rPh>
    <phoneticPr fontId="3"/>
  </si>
  <si>
    <t>兵庫県議(神戸市垂水区),兵庫県・神戸市議,歯科医師(新原歯科クリニック)</t>
    <rPh sb="0" eb="2">
      <t>ヒョウゴ</t>
    </rPh>
    <rPh sb="2" eb="4">
      <t>ケンギ</t>
    </rPh>
    <rPh sb="5" eb="8">
      <t>コウベシ</t>
    </rPh>
    <rPh sb="8" eb="11">
      <t>タルミク</t>
    </rPh>
    <rPh sb="13" eb="16">
      <t>ヒョウゴケン</t>
    </rPh>
    <rPh sb="17" eb="19">
      <t>コウベ</t>
    </rPh>
    <rPh sb="19" eb="21">
      <t>シギ</t>
    </rPh>
    <rPh sb="22" eb="26">
      <t>シカイシ</t>
    </rPh>
    <rPh sb="27" eb="29">
      <t>シンバラ</t>
    </rPh>
    <rPh sb="29" eb="31">
      <t>シカ</t>
    </rPh>
    <phoneticPr fontId="3"/>
  </si>
  <si>
    <t>み</t>
    <phoneticPr fontId="3"/>
  </si>
  <si>
    <t>220兵庫10区04</t>
    <rPh sb="3" eb="5">
      <t>ヒョウゴ</t>
    </rPh>
    <rPh sb="7" eb="8">
      <t>ク</t>
    </rPh>
    <phoneticPr fontId="3"/>
  </si>
  <si>
    <t>岡田　久雄</t>
    <rPh sb="0" eb="2">
      <t>オカダ</t>
    </rPh>
    <rPh sb="3" eb="5">
      <t>ヒサオ</t>
    </rPh>
    <phoneticPr fontId="3"/>
  </si>
  <si>
    <t>223奈良1区04</t>
    <rPh sb="3" eb="5">
      <t>ナラ</t>
    </rPh>
    <rPh sb="6" eb="7">
      <t>ク</t>
    </rPh>
    <phoneticPr fontId="3"/>
  </si>
  <si>
    <t>大野　祐司</t>
    <rPh sb="0" eb="2">
      <t>オオノ</t>
    </rPh>
    <rPh sb="3" eb="5">
      <t>ユウジ</t>
    </rPh>
    <phoneticPr fontId="3"/>
  </si>
  <si>
    <t>大院(英/サセックス)</t>
    <rPh sb="0" eb="2">
      <t>ダイイン</t>
    </rPh>
    <rPh sb="3" eb="4">
      <t>エイ</t>
    </rPh>
    <phoneticPr fontId="3"/>
  </si>
  <si>
    <t>国際機関職員(アジア開発銀行),国土交通省総合政策局交通安全対策室長</t>
    <rPh sb="0" eb="2">
      <t>コクサイ</t>
    </rPh>
    <rPh sb="2" eb="4">
      <t>キカン</t>
    </rPh>
    <rPh sb="4" eb="6">
      <t>ショクイン</t>
    </rPh>
    <rPh sb="10" eb="12">
      <t>カイハツ</t>
    </rPh>
    <rPh sb="12" eb="14">
      <t>ギンコウ</t>
    </rPh>
    <rPh sb="16" eb="18">
      <t>コクド</t>
    </rPh>
    <rPh sb="18" eb="21">
      <t>コウツウショウ</t>
    </rPh>
    <rPh sb="21" eb="23">
      <t>ソウゴウ</t>
    </rPh>
    <rPh sb="23" eb="26">
      <t>セイサクキョク</t>
    </rPh>
    <rPh sb="26" eb="28">
      <t>コウツウ</t>
    </rPh>
    <rPh sb="28" eb="30">
      <t>アンゼン</t>
    </rPh>
    <rPh sb="30" eb="32">
      <t>タイサク</t>
    </rPh>
    <rPh sb="32" eb="34">
      <t>シツチョウ</t>
    </rPh>
    <phoneticPr fontId="3"/>
  </si>
  <si>
    <t>224奈良2区05</t>
    <rPh sb="3" eb="5">
      <t>ナラ</t>
    </rPh>
    <rPh sb="6" eb="7">
      <t>ク</t>
    </rPh>
    <phoneticPr fontId="3"/>
  </si>
  <si>
    <t>並河　　健</t>
    <rPh sb="0" eb="2">
      <t>ナミカワ</t>
    </rPh>
    <rPh sb="4" eb="5">
      <t>ケン</t>
    </rPh>
    <phoneticPr fontId="3"/>
  </si>
  <si>
    <t>225奈良3区04</t>
    <rPh sb="3" eb="5">
      <t>ナラ</t>
    </rPh>
    <rPh sb="6" eb="7">
      <t>ク</t>
    </rPh>
    <phoneticPr fontId="3"/>
  </si>
  <si>
    <t>西峰　正佳</t>
    <rPh sb="0" eb="2">
      <t>ニシミネ</t>
    </rPh>
    <rPh sb="3" eb="5">
      <t>マサヨシ</t>
    </rPh>
    <phoneticPr fontId="3"/>
  </si>
  <si>
    <t>歯科医師</t>
    <rPh sb="0" eb="4">
      <t>シカイシ</t>
    </rPh>
    <phoneticPr fontId="3"/>
  </si>
  <si>
    <t>237岡山4区04</t>
    <rPh sb="3" eb="5">
      <t>オカヤマ</t>
    </rPh>
    <rPh sb="6" eb="7">
      <t>ク</t>
    </rPh>
    <phoneticPr fontId="3"/>
  </si>
  <si>
    <t>赤澤　幹温</t>
    <rPh sb="0" eb="2">
      <t>アカザワ</t>
    </rPh>
    <rPh sb="3" eb="5">
      <t>マサハル</t>
    </rPh>
    <phoneticPr fontId="3"/>
  </si>
  <si>
    <t>286大分1区04</t>
    <rPh sb="3" eb="5">
      <t>オオイタ</t>
    </rPh>
    <rPh sb="6" eb="7">
      <t>ク</t>
    </rPh>
    <phoneticPr fontId="3"/>
  </si>
  <si>
    <t>桑原　宏史</t>
    <rPh sb="0" eb="2">
      <t>クワハラ</t>
    </rPh>
    <rPh sb="3" eb="5">
      <t>ヒロシ</t>
    </rPh>
    <phoneticPr fontId="3"/>
  </si>
  <si>
    <t>　元熊本県・相良村長</t>
    <rPh sb="1" eb="2">
      <t>モト</t>
    </rPh>
    <rPh sb="2" eb="5">
      <t>クマモトケン</t>
    </rPh>
    <rPh sb="6" eb="8">
      <t>サガラ</t>
    </rPh>
    <rPh sb="8" eb="10">
      <t>ソンチョウ</t>
    </rPh>
    <phoneticPr fontId="3"/>
  </si>
  <si>
    <t>松尾　和弥</t>
    <rPh sb="0" eb="2">
      <t>マツオ</t>
    </rPh>
    <rPh sb="3" eb="5">
      <t>カズヤ</t>
    </rPh>
    <phoneticPr fontId="3"/>
  </si>
  <si>
    <t>議員秘書(杉本和巳)</t>
    <rPh sb="0" eb="2">
      <t>ギイン</t>
    </rPh>
    <rPh sb="2" eb="4">
      <t>ヒショ</t>
    </rPh>
    <rPh sb="5" eb="7">
      <t>スギモト</t>
    </rPh>
    <rPh sb="7" eb="9">
      <t>カズミ</t>
    </rPh>
    <phoneticPr fontId="3"/>
  </si>
  <si>
    <t>307比例東海12</t>
    <rPh sb="3" eb="5">
      <t>ヒレイ</t>
    </rPh>
    <rPh sb="5" eb="7">
      <t>トウカイ</t>
    </rPh>
    <phoneticPr fontId="3"/>
  </si>
  <si>
    <t>社民党埼玉県連合役員,議員秘書(鈴木陽悦,細川律夫)</t>
    <rPh sb="0" eb="3">
      <t>シャミントウ</t>
    </rPh>
    <rPh sb="3" eb="6">
      <t>サイタマケン</t>
    </rPh>
    <rPh sb="6" eb="8">
      <t>レンゴウ</t>
    </rPh>
    <rPh sb="8" eb="10">
      <t>ヤクイン</t>
    </rPh>
    <rPh sb="11" eb="13">
      <t>ギイン</t>
    </rPh>
    <rPh sb="13" eb="15">
      <t>ヒショ</t>
    </rPh>
    <rPh sb="16" eb="18">
      <t>スズキ</t>
    </rPh>
    <rPh sb="18" eb="19">
      <t>ヨウ</t>
    </rPh>
    <rPh sb="19" eb="20">
      <t>エツ</t>
    </rPh>
    <rPh sb="21" eb="23">
      <t>ホソカワ</t>
    </rPh>
    <rPh sb="23" eb="25">
      <t>リツオ</t>
    </rPh>
    <phoneticPr fontId="3"/>
  </si>
  <si>
    <t>　元愛知県・一色町長,参1</t>
    <rPh sb="1" eb="2">
      <t>モト</t>
    </rPh>
    <rPh sb="2" eb="5">
      <t>アイチケン</t>
    </rPh>
    <rPh sb="6" eb="8">
      <t>イッシキ</t>
    </rPh>
    <rPh sb="8" eb="10">
      <t>チョウチョウ</t>
    </rPh>
    <rPh sb="11" eb="12">
      <t>サン</t>
    </rPh>
    <phoneticPr fontId="3"/>
  </si>
  <si>
    <t>228和歌山2区04</t>
    <rPh sb="3" eb="6">
      <t>ワカヤマ</t>
    </rPh>
    <rPh sb="7" eb="8">
      <t>ク</t>
    </rPh>
    <phoneticPr fontId="3"/>
  </si>
  <si>
    <t>佐伯　　守</t>
    <rPh sb="0" eb="2">
      <t>サエキ</t>
    </rPh>
    <rPh sb="4" eb="5">
      <t>マモル</t>
    </rPh>
    <phoneticPr fontId="3"/>
  </si>
  <si>
    <t>共産党香川県委員</t>
    <rPh sb="0" eb="3">
      <t>キョウサントウ</t>
    </rPh>
    <rPh sb="3" eb="6">
      <t>カガワケン</t>
    </rPh>
    <rPh sb="6" eb="8">
      <t>イイン</t>
    </rPh>
    <phoneticPr fontId="3"/>
  </si>
  <si>
    <t>釜井　敏行</t>
    <rPh sb="0" eb="2">
      <t>カマイ</t>
    </rPh>
    <rPh sb="3" eb="5">
      <t>トシユキ</t>
    </rPh>
    <phoneticPr fontId="3"/>
  </si>
  <si>
    <t>共産党三重県准委員,民青同盟三重県委員長</t>
    <rPh sb="0" eb="3">
      <t>キョウサントウ</t>
    </rPh>
    <rPh sb="3" eb="6">
      <t>ミエケン</t>
    </rPh>
    <rPh sb="6" eb="9">
      <t>ジュンイイン</t>
    </rPh>
    <rPh sb="10" eb="14">
      <t>ミンセイドウメイ</t>
    </rPh>
    <rPh sb="14" eb="17">
      <t>ミエケン</t>
    </rPh>
    <rPh sb="17" eb="20">
      <t>イインチョウ</t>
    </rPh>
    <phoneticPr fontId="3"/>
  </si>
  <si>
    <t>北出　美翔</t>
    <rPh sb="0" eb="1">
      <t>キタ</t>
    </rPh>
    <rPh sb="1" eb="2">
      <t>デ</t>
    </rPh>
    <rPh sb="3" eb="5">
      <t>ミカ</t>
    </rPh>
    <phoneticPr fontId="3"/>
  </si>
  <si>
    <t>015青森3区04</t>
    <rPh sb="3" eb="5">
      <t>アオモリ</t>
    </rPh>
    <rPh sb="6" eb="7">
      <t>ク</t>
    </rPh>
    <phoneticPr fontId="3"/>
  </si>
  <si>
    <t>山内　　卓</t>
    <rPh sb="0" eb="2">
      <t>ヤマノウチ</t>
    </rPh>
    <rPh sb="4" eb="5">
      <t>タカシ</t>
    </rPh>
    <phoneticPr fontId="3"/>
  </si>
  <si>
    <t>063埼玉9区04</t>
    <rPh sb="3" eb="5">
      <t>サイタマ</t>
    </rPh>
    <rPh sb="6" eb="7">
      <t>ク</t>
    </rPh>
    <phoneticPr fontId="3"/>
  </si>
  <si>
    <t>松浦　武志</t>
    <rPh sb="0" eb="2">
      <t>マツウラ</t>
    </rPh>
    <rPh sb="3" eb="5">
      <t>タケシ</t>
    </rPh>
    <phoneticPr fontId="3"/>
  </si>
  <si>
    <t>大(京都)</t>
    <rPh sb="0" eb="1">
      <t>ダイ</t>
    </rPh>
    <rPh sb="2" eb="4">
      <t>キョウト</t>
    </rPh>
    <phoneticPr fontId="3"/>
  </si>
  <si>
    <t>議員秘書(岡島一正,河村たかし,前原誠司)</t>
    <rPh sb="0" eb="2">
      <t>ギイン</t>
    </rPh>
    <rPh sb="2" eb="4">
      <t>ヒショ</t>
    </rPh>
    <rPh sb="5" eb="7">
      <t>オカジマ</t>
    </rPh>
    <rPh sb="7" eb="9">
      <t>カズマサ</t>
    </rPh>
    <rPh sb="10" eb="12">
      <t>カワムラ</t>
    </rPh>
    <rPh sb="16" eb="18">
      <t>マエハラ</t>
    </rPh>
    <rPh sb="18" eb="20">
      <t>セイジ</t>
    </rPh>
    <phoneticPr fontId="3"/>
  </si>
  <si>
    <t>078千葉9区06</t>
    <rPh sb="3" eb="5">
      <t>チバ</t>
    </rPh>
    <rPh sb="6" eb="7">
      <t>ク</t>
    </rPh>
    <phoneticPr fontId="3"/>
  </si>
  <si>
    <t>122東京19区05</t>
    <rPh sb="3" eb="5">
      <t>トウキョウ</t>
    </rPh>
    <rPh sb="7" eb="8">
      <t>ク</t>
    </rPh>
    <phoneticPr fontId="3"/>
  </si>
  <si>
    <t>159静岡6区04</t>
    <rPh sb="3" eb="5">
      <t>シズオカ</t>
    </rPh>
    <rPh sb="6" eb="7">
      <t>ク</t>
    </rPh>
    <phoneticPr fontId="3"/>
  </si>
  <si>
    <t>日吉　雄太</t>
    <rPh sb="0" eb="2">
      <t>ヒヨシ</t>
    </rPh>
    <rPh sb="3" eb="5">
      <t>ユウタ</t>
    </rPh>
    <phoneticPr fontId="3"/>
  </si>
  <si>
    <t>公認会計士</t>
    <rPh sb="0" eb="2">
      <t>コウニン</t>
    </rPh>
    <rPh sb="2" eb="5">
      <t>カイケイシ</t>
    </rPh>
    <phoneticPr fontId="3"/>
  </si>
  <si>
    <t>161静岡8区05</t>
    <rPh sb="3" eb="5">
      <t>シズオカ</t>
    </rPh>
    <rPh sb="6" eb="7">
      <t>ク</t>
    </rPh>
    <phoneticPr fontId="3"/>
  </si>
  <si>
    <t>太田　真平</t>
    <rPh sb="0" eb="2">
      <t>オオタ</t>
    </rPh>
    <rPh sb="3" eb="5">
      <t>シンペイ</t>
    </rPh>
    <phoneticPr fontId="3"/>
  </si>
  <si>
    <t>三橋　真記</t>
    <rPh sb="0" eb="2">
      <t>ミハシ</t>
    </rPh>
    <rPh sb="3" eb="5">
      <t>マキ</t>
    </rPh>
    <phoneticPr fontId="3"/>
  </si>
  <si>
    <t>大(東京)</t>
    <rPh sb="0" eb="1">
      <t>ダイ</t>
    </rPh>
    <rPh sb="2" eb="4">
      <t>トウキョウ</t>
    </rPh>
    <phoneticPr fontId="3"/>
  </si>
  <si>
    <t>官</t>
    <rPh sb="0" eb="1">
      <t>カン</t>
    </rPh>
    <phoneticPr fontId="3"/>
  </si>
  <si>
    <t>総務省自治行政局公務員部公務員課長補佐(厚生労働省)</t>
    <rPh sb="0" eb="3">
      <t>ソウムショウ</t>
    </rPh>
    <rPh sb="3" eb="5">
      <t>ジチ</t>
    </rPh>
    <rPh sb="5" eb="8">
      <t>ギョウセイキョク</t>
    </rPh>
    <rPh sb="8" eb="11">
      <t>コウムイン</t>
    </rPh>
    <rPh sb="11" eb="12">
      <t>ブ</t>
    </rPh>
    <rPh sb="12" eb="15">
      <t>コウムイン</t>
    </rPh>
    <rPh sb="15" eb="17">
      <t>カチョウ</t>
    </rPh>
    <rPh sb="17" eb="19">
      <t>ホサ</t>
    </rPh>
    <rPh sb="20" eb="22">
      <t>コウセイ</t>
    </rPh>
    <rPh sb="22" eb="25">
      <t>ロウドウショウ</t>
    </rPh>
    <phoneticPr fontId="3"/>
  </si>
  <si>
    <t>石田　祥吾</t>
    <rPh sb="0" eb="2">
      <t>イシダ</t>
    </rPh>
    <rPh sb="3" eb="5">
      <t>ショウゴ</t>
    </rPh>
    <phoneticPr fontId="3"/>
  </si>
  <si>
    <t>議員秘書(小室寿明,岡田克也)</t>
    <rPh sb="0" eb="2">
      <t>ギイン</t>
    </rPh>
    <rPh sb="2" eb="4">
      <t>ヒショ</t>
    </rPh>
    <rPh sb="5" eb="7">
      <t>コムロ</t>
    </rPh>
    <rPh sb="7" eb="9">
      <t>ヒサアキ</t>
    </rPh>
    <rPh sb="10" eb="12">
      <t>オカダ</t>
    </rPh>
    <rPh sb="12" eb="14">
      <t>カツヤ</t>
    </rPh>
    <phoneticPr fontId="3"/>
  </si>
  <si>
    <t>推薦</t>
    <rPh sb="0" eb="2">
      <t>スイセン</t>
    </rPh>
    <phoneticPr fontId="3"/>
  </si>
  <si>
    <t>自</t>
    <rPh sb="0" eb="1">
      <t>ジ</t>
    </rPh>
    <phoneticPr fontId="3"/>
  </si>
  <si>
    <t>維</t>
    <rPh sb="0" eb="1">
      <t>ユイ</t>
    </rPh>
    <phoneticPr fontId="3"/>
  </si>
  <si>
    <t>110東京7区04</t>
    <rPh sb="3" eb="5">
      <t>トウキョウ</t>
    </rPh>
    <rPh sb="6" eb="7">
      <t>ク</t>
    </rPh>
    <phoneticPr fontId="3"/>
  </si>
  <si>
    <t>吉田　康一郎</t>
    <rPh sb="0" eb="2">
      <t>ヨシダ</t>
    </rPh>
    <rPh sb="3" eb="6">
      <t>コウイチロウ</t>
    </rPh>
    <phoneticPr fontId="3"/>
  </si>
  <si>
    <t>東京都議(中野区),議員秘書(中井洽),経団連職員</t>
    <rPh sb="0" eb="2">
      <t>トウキョウ</t>
    </rPh>
    <rPh sb="2" eb="4">
      <t>トギ</t>
    </rPh>
    <rPh sb="5" eb="8">
      <t>ナカノク</t>
    </rPh>
    <rPh sb="10" eb="12">
      <t>ギイン</t>
    </rPh>
    <rPh sb="12" eb="14">
      <t>ヒショ</t>
    </rPh>
    <rPh sb="15" eb="17">
      <t>ナカイ</t>
    </rPh>
    <rPh sb="17" eb="18">
      <t>ヒロシ</t>
    </rPh>
    <rPh sb="20" eb="23">
      <t>ケイダンレン</t>
    </rPh>
    <rPh sb="23" eb="25">
      <t>ショクイン</t>
    </rPh>
    <phoneticPr fontId="3"/>
  </si>
  <si>
    <t>議</t>
    <rPh sb="0" eb="1">
      <t>ギ</t>
    </rPh>
    <phoneticPr fontId="3"/>
  </si>
  <si>
    <t>215兵庫5区04</t>
    <rPh sb="3" eb="5">
      <t>ヒョウゴ</t>
    </rPh>
    <rPh sb="6" eb="7">
      <t>ク</t>
    </rPh>
    <phoneticPr fontId="3"/>
  </si>
  <si>
    <t>三木　圭恵</t>
    <rPh sb="0" eb="2">
      <t>ミキ</t>
    </rPh>
    <rPh sb="3" eb="5">
      <t>ケエ</t>
    </rPh>
    <phoneticPr fontId="3"/>
  </si>
  <si>
    <t>大(関西)</t>
    <rPh sb="0" eb="1">
      <t>ダイ</t>
    </rPh>
    <rPh sb="2" eb="4">
      <t>カンサイ</t>
    </rPh>
    <phoneticPr fontId="3"/>
  </si>
  <si>
    <t>兵庫県・三田市議,会社員(大沢商会)</t>
    <rPh sb="0" eb="3">
      <t>ヒョウゴケン</t>
    </rPh>
    <rPh sb="4" eb="6">
      <t>サンダ</t>
    </rPh>
    <rPh sb="6" eb="8">
      <t>シギ</t>
    </rPh>
    <rPh sb="9" eb="12">
      <t>カイシャイン</t>
    </rPh>
    <rPh sb="13" eb="15">
      <t>オオサワ</t>
    </rPh>
    <rPh sb="15" eb="17">
      <t>ショウカイ</t>
    </rPh>
    <phoneticPr fontId="3"/>
  </si>
  <si>
    <t>大門　未来</t>
    <rPh sb="0" eb="2">
      <t>オオカド</t>
    </rPh>
    <rPh sb="3" eb="5">
      <t>ミキ</t>
    </rPh>
    <phoneticPr fontId="3"/>
  </si>
  <si>
    <t>川辺　賢一</t>
    <rPh sb="0" eb="2">
      <t>カワベ</t>
    </rPh>
    <rPh sb="3" eb="5">
      <t>ケンイチ</t>
    </rPh>
    <phoneticPr fontId="3"/>
  </si>
  <si>
    <t>幸福実現党員</t>
    <rPh sb="0" eb="2">
      <t>コウフク</t>
    </rPh>
    <rPh sb="2" eb="4">
      <t>ジツゲン</t>
    </rPh>
    <rPh sb="4" eb="6">
      <t>トウイン</t>
    </rPh>
    <phoneticPr fontId="3"/>
  </si>
  <si>
    <t>鈴木　純一郎</t>
    <rPh sb="0" eb="2">
      <t>スズキ</t>
    </rPh>
    <rPh sb="3" eb="6">
      <t>ジュンイチロウ</t>
    </rPh>
    <phoneticPr fontId="3"/>
  </si>
  <si>
    <t>幸福実現党員,NPO法人理事長(住宅専門消費者センター)</t>
    <rPh sb="0" eb="2">
      <t>コウフク</t>
    </rPh>
    <rPh sb="2" eb="4">
      <t>ジツゲン</t>
    </rPh>
    <rPh sb="4" eb="6">
      <t>トウイン</t>
    </rPh>
    <rPh sb="10" eb="12">
      <t>ホウジン</t>
    </rPh>
    <rPh sb="12" eb="15">
      <t>リジチョウ</t>
    </rPh>
    <rPh sb="16" eb="18">
      <t>ジュウタク</t>
    </rPh>
    <rPh sb="18" eb="20">
      <t>センモン</t>
    </rPh>
    <rPh sb="20" eb="23">
      <t>ショウヒシャ</t>
    </rPh>
    <phoneticPr fontId="3"/>
  </si>
  <si>
    <t>加藤　文康</t>
    <rPh sb="0" eb="2">
      <t>カトウ</t>
    </rPh>
    <rPh sb="3" eb="4">
      <t>ブン</t>
    </rPh>
    <rPh sb="4" eb="5">
      <t>コウ</t>
    </rPh>
    <phoneticPr fontId="3"/>
  </si>
  <si>
    <t>大(東京)</t>
    <rPh sb="0" eb="1">
      <t>ダイ</t>
    </rPh>
    <rPh sb="2" eb="4">
      <t>トウキョウ</t>
    </rPh>
    <phoneticPr fontId="3"/>
  </si>
  <si>
    <t>幸福実現党研修局長,神奈川県職員</t>
    <rPh sb="0" eb="2">
      <t>コウフク</t>
    </rPh>
    <rPh sb="2" eb="4">
      <t>ジツゲン</t>
    </rPh>
    <rPh sb="4" eb="5">
      <t>トウ</t>
    </rPh>
    <rPh sb="5" eb="7">
      <t>ケンシュウ</t>
    </rPh>
    <rPh sb="7" eb="9">
      <t>キョクチョウ</t>
    </rPh>
    <rPh sb="10" eb="14">
      <t>カナガワケン</t>
    </rPh>
    <rPh sb="14" eb="16">
      <t>ショクイン</t>
    </rPh>
    <phoneticPr fontId="3"/>
  </si>
  <si>
    <t>屋鋪　　保</t>
    <rPh sb="0" eb="2">
      <t>ヤシキ</t>
    </rPh>
    <rPh sb="4" eb="5">
      <t>タモツ</t>
    </rPh>
    <phoneticPr fontId="3"/>
  </si>
  <si>
    <t>大(富山)</t>
    <rPh sb="0" eb="1">
      <t>ダイ</t>
    </rPh>
    <rPh sb="2" eb="4">
      <t>トヤマ</t>
    </rPh>
    <phoneticPr fontId="3"/>
  </si>
  <si>
    <t>幸福実現党員,会社役員</t>
    <rPh sb="0" eb="2">
      <t>コウフク</t>
    </rPh>
    <rPh sb="2" eb="4">
      <t>ジツゲン</t>
    </rPh>
    <rPh sb="4" eb="6">
      <t>トウイン</t>
    </rPh>
    <rPh sb="7" eb="9">
      <t>カイシャ</t>
    </rPh>
    <rPh sb="9" eb="11">
      <t>ヤクイン</t>
    </rPh>
    <phoneticPr fontId="3"/>
  </si>
  <si>
    <t>久我　　司</t>
    <rPh sb="0" eb="2">
      <t>クガ</t>
    </rPh>
    <rPh sb="4" eb="5">
      <t>ツカサ</t>
    </rPh>
    <phoneticPr fontId="3"/>
  </si>
  <si>
    <t>他(中央工学校)</t>
    <rPh sb="0" eb="1">
      <t>ホカ</t>
    </rPh>
    <rPh sb="2" eb="4">
      <t>チュウオウ</t>
    </rPh>
    <rPh sb="4" eb="5">
      <t>コウ</t>
    </rPh>
    <rPh sb="5" eb="7">
      <t>ガッコウ</t>
    </rPh>
    <phoneticPr fontId="3"/>
  </si>
  <si>
    <t>幸福実現党員,旅館経営</t>
    <rPh sb="0" eb="2">
      <t>コウフク</t>
    </rPh>
    <rPh sb="2" eb="4">
      <t>ジツゲン</t>
    </rPh>
    <rPh sb="4" eb="6">
      <t>トウイン</t>
    </rPh>
    <rPh sb="7" eb="9">
      <t>リョカン</t>
    </rPh>
    <rPh sb="9" eb="11">
      <t>ケイエイ</t>
    </rPh>
    <phoneticPr fontId="3"/>
  </si>
  <si>
    <t>宮松　宏至</t>
    <rPh sb="0" eb="2">
      <t>ミヤマツ</t>
    </rPh>
    <rPh sb="3" eb="4">
      <t>ヒロ</t>
    </rPh>
    <rPh sb="4" eb="5">
      <t>ユキ</t>
    </rPh>
    <phoneticPr fontId="3"/>
  </si>
  <si>
    <t>大(関東学院)</t>
    <rPh sb="0" eb="1">
      <t>ダイ</t>
    </rPh>
    <rPh sb="2" eb="4">
      <t>カントウ</t>
    </rPh>
    <rPh sb="4" eb="6">
      <t>ガクイン</t>
    </rPh>
    <phoneticPr fontId="3"/>
  </si>
  <si>
    <t>彦川　太志</t>
    <rPh sb="0" eb="1">
      <t>ヒコ</t>
    </rPh>
    <rPh sb="1" eb="2">
      <t>カワ</t>
    </rPh>
    <rPh sb="3" eb="5">
      <t>ダイシ</t>
    </rPh>
    <phoneticPr fontId="3"/>
  </si>
  <si>
    <t>大院(東京芸術)</t>
    <rPh sb="0" eb="2">
      <t>ダイイン</t>
    </rPh>
    <rPh sb="3" eb="5">
      <t>トウキョウ</t>
    </rPh>
    <rPh sb="5" eb="7">
      <t>ゲイジュツ</t>
    </rPh>
    <phoneticPr fontId="3"/>
  </si>
  <si>
    <t>幸福実現党員,フォトジャーナリスト</t>
    <rPh sb="0" eb="2">
      <t>コウフク</t>
    </rPh>
    <rPh sb="2" eb="4">
      <t>ジツゲン</t>
    </rPh>
    <rPh sb="4" eb="6">
      <t>トウイン</t>
    </rPh>
    <phoneticPr fontId="3"/>
  </si>
  <si>
    <t>釈　　量子</t>
    <rPh sb="0" eb="1">
      <t>シャク</t>
    </rPh>
    <rPh sb="3" eb="5">
      <t>リョウコ</t>
    </rPh>
    <phoneticPr fontId="3"/>
  </si>
  <si>
    <t>幸福実現党女性局長,幸福の科学常務理事</t>
    <rPh sb="0" eb="2">
      <t>コウフク</t>
    </rPh>
    <rPh sb="2" eb="4">
      <t>ジツゲン</t>
    </rPh>
    <rPh sb="4" eb="5">
      <t>トウ</t>
    </rPh>
    <rPh sb="5" eb="7">
      <t>ジョセイ</t>
    </rPh>
    <rPh sb="7" eb="9">
      <t>キョクチョウ</t>
    </rPh>
    <rPh sb="10" eb="12">
      <t>コウフク</t>
    </rPh>
    <rPh sb="13" eb="15">
      <t>カガク</t>
    </rPh>
    <rPh sb="15" eb="17">
      <t>ジョウム</t>
    </rPh>
    <rPh sb="17" eb="19">
      <t>リジ</t>
    </rPh>
    <phoneticPr fontId="3"/>
  </si>
  <si>
    <t>吉井　利光</t>
    <rPh sb="0" eb="2">
      <t>ヨシイ</t>
    </rPh>
    <rPh sb="3" eb="5">
      <t>トシミツ</t>
    </rPh>
    <phoneticPr fontId="3"/>
  </si>
  <si>
    <t>幸福実現党員,幸福の科学職員</t>
    <rPh sb="0" eb="2">
      <t>コウフク</t>
    </rPh>
    <rPh sb="2" eb="4">
      <t>ジツゲン</t>
    </rPh>
    <rPh sb="4" eb="6">
      <t>トウイン</t>
    </rPh>
    <rPh sb="7" eb="9">
      <t>コウフク</t>
    </rPh>
    <rPh sb="10" eb="12">
      <t>カガク</t>
    </rPh>
    <rPh sb="12" eb="14">
      <t>ショクイン</t>
    </rPh>
    <phoneticPr fontId="3"/>
  </si>
  <si>
    <t>坂本　隆一</t>
    <rPh sb="0" eb="2">
      <t>サカモト</t>
    </rPh>
    <rPh sb="3" eb="5">
      <t>リュウイチ</t>
    </rPh>
    <phoneticPr fontId="3"/>
  </si>
  <si>
    <t>幸福実現党東京都幹事長,会社社長(坂本建設)</t>
    <rPh sb="0" eb="2">
      <t>コウフク</t>
    </rPh>
    <rPh sb="2" eb="4">
      <t>ジツゲン</t>
    </rPh>
    <rPh sb="4" eb="5">
      <t>トウ</t>
    </rPh>
    <rPh sb="5" eb="8">
      <t>トウキョウト</t>
    </rPh>
    <rPh sb="8" eb="11">
      <t>カンジチョウ</t>
    </rPh>
    <rPh sb="12" eb="14">
      <t>カイシャ</t>
    </rPh>
    <rPh sb="14" eb="16">
      <t>シャチョウ</t>
    </rPh>
    <rPh sb="17" eb="19">
      <t>サカモト</t>
    </rPh>
    <rPh sb="19" eb="21">
      <t>ケンセツ</t>
    </rPh>
    <phoneticPr fontId="3"/>
  </si>
  <si>
    <t>東條　保子</t>
    <rPh sb="0" eb="2">
      <t>トウジョウ</t>
    </rPh>
    <rPh sb="3" eb="5">
      <t>ヤスコ</t>
    </rPh>
    <phoneticPr fontId="3"/>
  </si>
  <si>
    <t>幸福実現党員,会社社長(東條経営科学研究所)</t>
    <rPh sb="0" eb="2">
      <t>コウフク</t>
    </rPh>
    <rPh sb="2" eb="4">
      <t>ジツゲン</t>
    </rPh>
    <rPh sb="4" eb="6">
      <t>トウイン</t>
    </rPh>
    <rPh sb="7" eb="9">
      <t>カイシャ</t>
    </rPh>
    <rPh sb="9" eb="11">
      <t>シャチョウ</t>
    </rPh>
    <rPh sb="12" eb="14">
      <t>トウジョウ</t>
    </rPh>
    <rPh sb="14" eb="16">
      <t>ケイエイ</t>
    </rPh>
    <rPh sb="16" eb="18">
      <t>カガク</t>
    </rPh>
    <rPh sb="18" eb="21">
      <t>ケンキュウジョ</t>
    </rPh>
    <phoneticPr fontId="3"/>
  </si>
  <si>
    <t>及川　幸久</t>
    <rPh sb="0" eb="2">
      <t>オイカワ</t>
    </rPh>
    <rPh sb="3" eb="5">
      <t>ユキヒサ</t>
    </rPh>
    <phoneticPr fontId="3"/>
  </si>
  <si>
    <t>大院(国際基督教)</t>
    <rPh sb="0" eb="2">
      <t>ダイイン</t>
    </rPh>
    <rPh sb="3" eb="5">
      <t>コクサイ</t>
    </rPh>
    <rPh sb="5" eb="8">
      <t>キリストキョウ</t>
    </rPh>
    <phoneticPr fontId="3"/>
  </si>
  <si>
    <t>幸福実現党外務局長</t>
    <rPh sb="0" eb="2">
      <t>コウフク</t>
    </rPh>
    <rPh sb="2" eb="4">
      <t>ジツゲン</t>
    </rPh>
    <rPh sb="4" eb="5">
      <t>トウ</t>
    </rPh>
    <rPh sb="5" eb="7">
      <t>ガイム</t>
    </rPh>
    <rPh sb="7" eb="9">
      <t>キョクチョウ</t>
    </rPh>
    <phoneticPr fontId="3"/>
  </si>
  <si>
    <t>横井　基至</t>
    <rPh sb="0" eb="2">
      <t>ヨコイ</t>
    </rPh>
    <rPh sb="3" eb="4">
      <t>モト</t>
    </rPh>
    <rPh sb="4" eb="5">
      <t>ユキ</t>
    </rPh>
    <phoneticPr fontId="3"/>
  </si>
  <si>
    <t>高(新発田南)</t>
    <rPh sb="0" eb="1">
      <t>コウ</t>
    </rPh>
    <rPh sb="2" eb="5">
      <t>シバタ</t>
    </rPh>
    <rPh sb="5" eb="6">
      <t>ミナミ</t>
    </rPh>
    <phoneticPr fontId="3"/>
  </si>
  <si>
    <t>江夏　正敏</t>
    <rPh sb="0" eb="2">
      <t>エナツ</t>
    </rPh>
    <rPh sb="3" eb="5">
      <t>マサトシ</t>
    </rPh>
    <phoneticPr fontId="3"/>
  </si>
  <si>
    <t>大中(大阪)</t>
    <rPh sb="0" eb="1">
      <t>ダイ</t>
    </rPh>
    <rPh sb="1" eb="2">
      <t>チュウ</t>
    </rPh>
    <rPh sb="3" eb="5">
      <t>オオサカ</t>
    </rPh>
    <phoneticPr fontId="3"/>
  </si>
  <si>
    <t>大院(名古屋工業)</t>
    <rPh sb="0" eb="2">
      <t>ダイイン</t>
    </rPh>
    <rPh sb="3" eb="6">
      <t>ナゴヤ</t>
    </rPh>
    <rPh sb="6" eb="8">
      <t>コウギョウ</t>
    </rPh>
    <phoneticPr fontId="3"/>
  </si>
  <si>
    <t>幸福実現党員,HS政経塾塾長</t>
    <rPh sb="0" eb="2">
      <t>コウフク</t>
    </rPh>
    <rPh sb="2" eb="4">
      <t>ジツゲン</t>
    </rPh>
    <rPh sb="4" eb="6">
      <t>トウイン</t>
    </rPh>
    <rPh sb="9" eb="12">
      <t>セイケイジュク</t>
    </rPh>
    <rPh sb="12" eb="14">
      <t>ジュクチョウ</t>
    </rPh>
    <phoneticPr fontId="3"/>
  </si>
  <si>
    <t>石田　　昭</t>
    <rPh sb="0" eb="2">
      <t>イシダ</t>
    </rPh>
    <rPh sb="4" eb="5">
      <t>アキラ</t>
    </rPh>
    <phoneticPr fontId="3"/>
  </si>
  <si>
    <t>幸福実現党員,大学教員(名古屋工業大学教授)</t>
    <rPh sb="0" eb="2">
      <t>コウフク</t>
    </rPh>
    <rPh sb="2" eb="4">
      <t>ジツゲン</t>
    </rPh>
    <rPh sb="4" eb="6">
      <t>トウイン</t>
    </rPh>
    <rPh sb="7" eb="9">
      <t>ダイガク</t>
    </rPh>
    <rPh sb="9" eb="11">
      <t>キョウイン</t>
    </rPh>
    <rPh sb="12" eb="15">
      <t>ナゴヤ</t>
    </rPh>
    <rPh sb="15" eb="17">
      <t>コウギョウ</t>
    </rPh>
    <rPh sb="17" eb="19">
      <t>ダイガク</t>
    </rPh>
    <rPh sb="19" eb="21">
      <t>キョウジュ</t>
    </rPh>
    <phoneticPr fontId="3"/>
  </si>
  <si>
    <t>小川　恭彦</t>
    <rPh sb="0" eb="2">
      <t>オガワ</t>
    </rPh>
    <rPh sb="3" eb="5">
      <t>ヤスヒコ</t>
    </rPh>
    <phoneticPr fontId="3"/>
  </si>
  <si>
    <t>大(京都産業)</t>
    <rPh sb="0" eb="1">
      <t>ダイ</t>
    </rPh>
    <rPh sb="2" eb="4">
      <t>キョウト</t>
    </rPh>
    <rPh sb="4" eb="6">
      <t>サンギョウ</t>
    </rPh>
    <phoneticPr fontId="3"/>
  </si>
  <si>
    <t>湊　　侑子</t>
    <rPh sb="0" eb="1">
      <t>ミナト</t>
    </rPh>
    <rPh sb="3" eb="5">
      <t>ユウコ</t>
    </rPh>
    <phoneticPr fontId="3"/>
  </si>
  <si>
    <t>大(近畿)</t>
    <rPh sb="0" eb="1">
      <t>ダイ</t>
    </rPh>
    <rPh sb="2" eb="4">
      <t>キンキ</t>
    </rPh>
    <phoneticPr fontId="3"/>
  </si>
  <si>
    <t>黒川　白雲</t>
    <rPh sb="0" eb="2">
      <t>クロカワ</t>
    </rPh>
    <rPh sb="3" eb="5">
      <t>ハクウン</t>
    </rPh>
    <phoneticPr fontId="3"/>
  </si>
  <si>
    <t>幸福実現党政調会長,幸福の科学常務理事,東京都職員</t>
    <rPh sb="0" eb="2">
      <t>コウフク</t>
    </rPh>
    <rPh sb="2" eb="4">
      <t>ジツゲン</t>
    </rPh>
    <rPh sb="4" eb="5">
      <t>トウ</t>
    </rPh>
    <rPh sb="5" eb="7">
      <t>セイチョウ</t>
    </rPh>
    <rPh sb="7" eb="9">
      <t>カイチョウ</t>
    </rPh>
    <rPh sb="10" eb="12">
      <t>コウフク</t>
    </rPh>
    <rPh sb="13" eb="15">
      <t>カガク</t>
    </rPh>
    <rPh sb="15" eb="17">
      <t>ジョウム</t>
    </rPh>
    <rPh sb="17" eb="19">
      <t>リジ</t>
    </rPh>
    <rPh sb="20" eb="23">
      <t>トウキョウト</t>
    </rPh>
    <rPh sb="23" eb="25">
      <t>ショクイン</t>
    </rPh>
    <phoneticPr fontId="3"/>
  </si>
  <si>
    <t>福光　秀明</t>
    <rPh sb="0" eb="2">
      <t>フクミツ</t>
    </rPh>
    <rPh sb="3" eb="5">
      <t>ヒデアキ</t>
    </rPh>
    <phoneticPr fontId="3"/>
  </si>
  <si>
    <t>幸福実現党広島県幹事長,郵便局長</t>
    <rPh sb="0" eb="2">
      <t>コウフク</t>
    </rPh>
    <rPh sb="2" eb="4">
      <t>ジツゲン</t>
    </rPh>
    <rPh sb="4" eb="5">
      <t>トウ</t>
    </rPh>
    <rPh sb="5" eb="8">
      <t>ヒロシマケン</t>
    </rPh>
    <rPh sb="8" eb="11">
      <t>カンジチョウ</t>
    </rPh>
    <rPh sb="12" eb="14">
      <t>ユウビン</t>
    </rPh>
    <rPh sb="14" eb="16">
      <t>キョクチョウ</t>
    </rPh>
    <phoneticPr fontId="3"/>
  </si>
  <si>
    <t>饗庭　直道</t>
    <rPh sb="0" eb="2">
      <t>アエバ</t>
    </rPh>
    <rPh sb="3" eb="4">
      <t>ジキ</t>
    </rPh>
    <rPh sb="4" eb="5">
      <t>ドウ</t>
    </rPh>
    <phoneticPr fontId="3"/>
  </si>
  <si>
    <t>幸福実現党広報本部長,幸福の科学常務理事</t>
    <rPh sb="0" eb="2">
      <t>コウフク</t>
    </rPh>
    <rPh sb="2" eb="4">
      <t>ジツゲン</t>
    </rPh>
    <rPh sb="4" eb="5">
      <t>トウ</t>
    </rPh>
    <rPh sb="5" eb="7">
      <t>コウホウ</t>
    </rPh>
    <rPh sb="7" eb="10">
      <t>ホンブチョウ</t>
    </rPh>
    <rPh sb="11" eb="13">
      <t>コウフク</t>
    </rPh>
    <rPh sb="14" eb="16">
      <t>カガク</t>
    </rPh>
    <rPh sb="16" eb="18">
      <t>ジョウム</t>
    </rPh>
    <rPh sb="18" eb="20">
      <t>リジ</t>
    </rPh>
    <phoneticPr fontId="3"/>
  </si>
  <si>
    <t>竹尾　あけみ</t>
    <rPh sb="0" eb="2">
      <t>タケオ</t>
    </rPh>
    <phoneticPr fontId="3"/>
  </si>
  <si>
    <t>大(昭和女子)</t>
    <rPh sb="0" eb="1">
      <t>ダイ</t>
    </rPh>
    <rPh sb="2" eb="4">
      <t>ショウワ</t>
    </rPh>
    <rPh sb="4" eb="6">
      <t>ジョシ</t>
    </rPh>
    <phoneticPr fontId="3"/>
  </si>
  <si>
    <t>幸福実現党員,会社役員(キョーエイ)</t>
    <rPh sb="0" eb="2">
      <t>コウフク</t>
    </rPh>
    <rPh sb="2" eb="4">
      <t>ジツゲン</t>
    </rPh>
    <rPh sb="4" eb="6">
      <t>トウイン</t>
    </rPh>
    <rPh sb="7" eb="9">
      <t>カイシャ</t>
    </rPh>
    <rPh sb="9" eb="11">
      <t>ヤクイン</t>
    </rPh>
    <phoneticPr fontId="3"/>
  </si>
  <si>
    <t>矢内　筆勝</t>
    <rPh sb="0" eb="2">
      <t>ヤナイ</t>
    </rPh>
    <rPh sb="3" eb="5">
      <t>ヒッショウ</t>
    </rPh>
    <phoneticPr fontId="3"/>
  </si>
  <si>
    <t>他(大分工業高専)</t>
    <rPh sb="0" eb="1">
      <t>ホカ</t>
    </rPh>
    <rPh sb="2" eb="4">
      <t>オオイタ</t>
    </rPh>
    <rPh sb="4" eb="6">
      <t>コウギョウ</t>
    </rPh>
    <rPh sb="6" eb="8">
      <t>コウセン</t>
    </rPh>
    <phoneticPr fontId="3"/>
  </si>
  <si>
    <t>幸福実現党出版局長,新聞記者(朝日新聞)</t>
    <rPh sb="0" eb="2">
      <t>コウフク</t>
    </rPh>
    <rPh sb="2" eb="4">
      <t>ジツゲン</t>
    </rPh>
    <rPh sb="4" eb="5">
      <t>トウ</t>
    </rPh>
    <rPh sb="5" eb="7">
      <t>シュッパン</t>
    </rPh>
    <rPh sb="7" eb="9">
      <t>キョクチョウ</t>
    </rPh>
    <rPh sb="10" eb="12">
      <t>シンブン</t>
    </rPh>
    <rPh sb="12" eb="14">
      <t>キシャ</t>
    </rPh>
    <rPh sb="15" eb="17">
      <t>アサヒ</t>
    </rPh>
    <rPh sb="17" eb="19">
      <t>シンブン</t>
    </rPh>
    <phoneticPr fontId="3"/>
  </si>
  <si>
    <t>ジ</t>
    <phoneticPr fontId="3"/>
  </si>
  <si>
    <t>松本　徳太郎</t>
    <rPh sb="0" eb="2">
      <t>マツモト</t>
    </rPh>
    <rPh sb="3" eb="6">
      <t>トクタロウ</t>
    </rPh>
    <phoneticPr fontId="3"/>
  </si>
  <si>
    <t>幸福実現党員,会社社長(ウエディングボックス)</t>
    <rPh sb="0" eb="2">
      <t>コウフク</t>
    </rPh>
    <rPh sb="2" eb="4">
      <t>ジツゲン</t>
    </rPh>
    <rPh sb="4" eb="6">
      <t>トウイン</t>
    </rPh>
    <rPh sb="7" eb="9">
      <t>カイシャ</t>
    </rPh>
    <rPh sb="9" eb="11">
      <t>シャチョウ</t>
    </rPh>
    <phoneticPr fontId="3"/>
  </si>
  <si>
    <t>幸福実現党員,会社経営</t>
    <rPh sb="0" eb="2">
      <t>コウフク</t>
    </rPh>
    <rPh sb="2" eb="4">
      <t>ジツゲン</t>
    </rPh>
    <rPh sb="4" eb="5">
      <t>トウ</t>
    </rPh>
    <rPh sb="5" eb="6">
      <t>イン</t>
    </rPh>
    <rPh sb="7" eb="9">
      <t>カイシャ</t>
    </rPh>
    <rPh sb="9" eb="11">
      <t>ケイエイ</t>
    </rPh>
    <phoneticPr fontId="3"/>
  </si>
  <si>
    <t>髙田　典義</t>
    <rPh sb="0" eb="2">
      <t>タカダ</t>
    </rPh>
    <rPh sb="3" eb="4">
      <t>ノリ</t>
    </rPh>
    <rPh sb="4" eb="5">
      <t>ヨシ</t>
    </rPh>
    <phoneticPr fontId="3"/>
  </si>
  <si>
    <t>幸福実現党大分県幹事長,建設コンサルタント</t>
    <rPh sb="0" eb="2">
      <t>コウフク</t>
    </rPh>
    <rPh sb="2" eb="4">
      <t>ジツゲン</t>
    </rPh>
    <rPh sb="4" eb="5">
      <t>トウ</t>
    </rPh>
    <rPh sb="5" eb="8">
      <t>オオイタケン</t>
    </rPh>
    <rPh sb="8" eb="11">
      <t>カンジチョウ</t>
    </rPh>
    <rPh sb="12" eb="14">
      <t>ケンセツ</t>
    </rPh>
    <phoneticPr fontId="3"/>
  </si>
  <si>
    <t>005北海道5区05</t>
    <rPh sb="3" eb="6">
      <t>ホッカイドウ</t>
    </rPh>
    <rPh sb="7" eb="8">
      <t>ク</t>
    </rPh>
    <phoneticPr fontId="3"/>
  </si>
  <si>
    <t>森山　佳則</t>
    <rPh sb="0" eb="2">
      <t>モリヤマ</t>
    </rPh>
    <rPh sb="3" eb="4">
      <t>ヨシ</t>
    </rPh>
    <rPh sb="4" eb="5">
      <t>ノリ</t>
    </rPh>
    <phoneticPr fontId="3"/>
  </si>
  <si>
    <t>幸福実現党員,会社員(新日鐵)</t>
    <rPh sb="0" eb="2">
      <t>コウフク</t>
    </rPh>
    <rPh sb="2" eb="4">
      <t>ジツゲン</t>
    </rPh>
    <rPh sb="4" eb="6">
      <t>トウイン</t>
    </rPh>
    <rPh sb="7" eb="10">
      <t>カイシャイン</t>
    </rPh>
    <rPh sb="11" eb="14">
      <t>シンニッテツ</t>
    </rPh>
    <phoneticPr fontId="3"/>
  </si>
  <si>
    <t>172愛知11区04</t>
    <rPh sb="3" eb="5">
      <t>アイチ</t>
    </rPh>
    <rPh sb="7" eb="8">
      <t>ク</t>
    </rPh>
    <phoneticPr fontId="3"/>
  </si>
  <si>
    <t>中根　裕美</t>
    <rPh sb="0" eb="2">
      <t>ナカネ</t>
    </rPh>
    <rPh sb="3" eb="5">
      <t>ヒロミ</t>
    </rPh>
    <phoneticPr fontId="3"/>
  </si>
  <si>
    <t>短大(平安女学院大学短大部)</t>
    <rPh sb="0" eb="2">
      <t>タンダイ</t>
    </rPh>
    <rPh sb="3" eb="5">
      <t>ヘイアン</t>
    </rPh>
    <rPh sb="5" eb="8">
      <t>ジョガクイン</t>
    </rPh>
    <rPh sb="8" eb="10">
      <t>ダイガク</t>
    </rPh>
    <rPh sb="10" eb="13">
      <t>タンダイブ</t>
    </rPh>
    <phoneticPr fontId="3"/>
  </si>
  <si>
    <t>幸福実現党員,保育士</t>
    <rPh sb="0" eb="2">
      <t>コウフク</t>
    </rPh>
    <rPh sb="2" eb="4">
      <t>ジツゲン</t>
    </rPh>
    <rPh sb="4" eb="6">
      <t>トウイン</t>
    </rPh>
    <rPh sb="7" eb="10">
      <t>ホイクシ</t>
    </rPh>
    <phoneticPr fontId="3"/>
  </si>
  <si>
    <t>210大阪19区05</t>
    <rPh sb="3" eb="5">
      <t>オオサカ</t>
    </rPh>
    <rPh sb="7" eb="8">
      <t>ク</t>
    </rPh>
    <phoneticPr fontId="3"/>
  </si>
  <si>
    <t>豊田　隆久</t>
    <rPh sb="0" eb="2">
      <t>トヨダ</t>
    </rPh>
    <rPh sb="3" eb="5">
      <t>タカヒサ</t>
    </rPh>
    <phoneticPr fontId="3"/>
  </si>
  <si>
    <t>幸福実現党員,幸福の科学支部長</t>
    <rPh sb="0" eb="2">
      <t>コウフク</t>
    </rPh>
    <rPh sb="2" eb="4">
      <t>ジツゲン</t>
    </rPh>
    <rPh sb="4" eb="6">
      <t>トウイン</t>
    </rPh>
    <rPh sb="7" eb="9">
      <t>コウフク</t>
    </rPh>
    <rPh sb="10" eb="12">
      <t>カガク</t>
    </rPh>
    <rPh sb="12" eb="15">
      <t>シブチョウ</t>
    </rPh>
    <phoneticPr fontId="3"/>
  </si>
  <si>
    <t>299沖縄3区05</t>
    <rPh sb="3" eb="5">
      <t>オキナワ</t>
    </rPh>
    <rPh sb="6" eb="7">
      <t>ク</t>
    </rPh>
    <phoneticPr fontId="3"/>
  </si>
  <si>
    <t>金城　竜郎</t>
    <rPh sb="0" eb="2">
      <t>キンジョウ</t>
    </rPh>
    <rPh sb="3" eb="5">
      <t>タツロウ</t>
    </rPh>
    <phoneticPr fontId="3"/>
  </si>
  <si>
    <t>大(沖縄国際)</t>
    <rPh sb="0" eb="1">
      <t>ダイ</t>
    </rPh>
    <rPh sb="2" eb="4">
      <t>オキナワ</t>
    </rPh>
    <rPh sb="4" eb="6">
      <t>コクサイ</t>
    </rPh>
    <phoneticPr fontId="3"/>
  </si>
  <si>
    <t>幸福実現党員,会社員(MSTリスクコンサルティング)</t>
    <rPh sb="0" eb="2">
      <t>コウフク</t>
    </rPh>
    <rPh sb="2" eb="4">
      <t>ジツゲン</t>
    </rPh>
    <rPh sb="4" eb="6">
      <t>トウイン</t>
    </rPh>
    <rPh sb="7" eb="10">
      <t>カイシャイン</t>
    </rPh>
    <phoneticPr fontId="3"/>
  </si>
  <si>
    <t>推薦</t>
    <rPh sb="0" eb="2">
      <t>スイセン</t>
    </rPh>
    <phoneticPr fontId="3"/>
  </si>
  <si>
    <t>中沢　　健</t>
    <rPh sb="0" eb="2">
      <t>ナカザワ</t>
    </rPh>
    <rPh sb="4" eb="5">
      <t>ケン</t>
    </rPh>
    <phoneticPr fontId="3"/>
  </si>
  <si>
    <t>議員秘書(加賀谷健),新聞記者(朝日新聞)</t>
    <rPh sb="0" eb="2">
      <t>ギイン</t>
    </rPh>
    <rPh sb="2" eb="4">
      <t>ヒショ</t>
    </rPh>
    <rPh sb="5" eb="8">
      <t>カガヤ</t>
    </rPh>
    <rPh sb="8" eb="9">
      <t>ケン</t>
    </rPh>
    <rPh sb="11" eb="13">
      <t>シンブン</t>
    </rPh>
    <rPh sb="13" eb="15">
      <t>キシャ</t>
    </rPh>
    <rPh sb="16" eb="18">
      <t>アサヒ</t>
    </rPh>
    <rPh sb="18" eb="20">
      <t>シンブン</t>
    </rPh>
    <phoneticPr fontId="3"/>
  </si>
  <si>
    <t>ジ</t>
    <phoneticPr fontId="3"/>
  </si>
  <si>
    <t>寺尾　　賢</t>
    <rPh sb="0" eb="2">
      <t>テラオ</t>
    </rPh>
    <rPh sb="4" eb="5">
      <t>サトシ</t>
    </rPh>
    <phoneticPr fontId="3"/>
  </si>
  <si>
    <t>大(東京情報)</t>
    <rPh sb="0" eb="1">
      <t>ダイ</t>
    </rPh>
    <rPh sb="2" eb="4">
      <t>トウキョウ</t>
    </rPh>
    <rPh sb="4" eb="6">
      <t>ジョウホウ</t>
    </rPh>
    <phoneticPr fontId="3"/>
  </si>
  <si>
    <t>共産党千葉県委員,民青同盟千葉県委員長</t>
    <rPh sb="0" eb="3">
      <t>キョウサントウ</t>
    </rPh>
    <rPh sb="3" eb="6">
      <t>チバケン</t>
    </rPh>
    <rPh sb="6" eb="8">
      <t>イイン</t>
    </rPh>
    <rPh sb="9" eb="13">
      <t>ミンセイドウメイ</t>
    </rPh>
    <rPh sb="13" eb="16">
      <t>チバケン</t>
    </rPh>
    <rPh sb="16" eb="19">
      <t>イインチョウ</t>
    </rPh>
    <phoneticPr fontId="3"/>
  </si>
  <si>
    <t>浅野　史子</t>
    <rPh sb="0" eb="2">
      <t>アサノ</t>
    </rPh>
    <rPh sb="3" eb="5">
      <t>フミコ</t>
    </rPh>
    <phoneticPr fontId="3"/>
  </si>
  <si>
    <t>他(木更津工業高専)</t>
    <rPh sb="0" eb="1">
      <t>ホカ</t>
    </rPh>
    <rPh sb="2" eb="9">
      <t>キサラヅコウギョウコウセン</t>
    </rPh>
    <phoneticPr fontId="3"/>
  </si>
  <si>
    <t>共産党地区役員,木更津市職員</t>
    <rPh sb="0" eb="3">
      <t>キョウサントウ</t>
    </rPh>
    <rPh sb="3" eb="5">
      <t>チク</t>
    </rPh>
    <rPh sb="5" eb="7">
      <t>ヤクイン</t>
    </rPh>
    <rPh sb="8" eb="12">
      <t>キサラヅシ</t>
    </rPh>
    <rPh sb="12" eb="14">
      <t>ショクイン</t>
    </rPh>
    <phoneticPr fontId="3"/>
  </si>
  <si>
    <t>渡部　隆夫</t>
    <rPh sb="0" eb="2">
      <t>ワタナベ</t>
    </rPh>
    <rPh sb="3" eb="5">
      <t>タカオ</t>
    </rPh>
    <phoneticPr fontId="3"/>
  </si>
  <si>
    <t>笠原　正実</t>
    <rPh sb="0" eb="2">
      <t>カサハラ</t>
    </rPh>
    <rPh sb="3" eb="5">
      <t>マサミ</t>
    </rPh>
    <phoneticPr fontId="3"/>
  </si>
  <si>
    <t>中(銚子第一)</t>
    <rPh sb="0" eb="1">
      <t>チュウ</t>
    </rPh>
    <rPh sb="2" eb="4">
      <t>チョウシ</t>
    </rPh>
    <rPh sb="4" eb="6">
      <t>ダイイチ</t>
    </rPh>
    <phoneticPr fontId="3"/>
  </si>
  <si>
    <t>米本　展久</t>
    <rPh sb="0" eb="2">
      <t>ヨネモト</t>
    </rPh>
    <rPh sb="3" eb="4">
      <t>ノブ</t>
    </rPh>
    <rPh sb="4" eb="5">
      <t>ヒサ</t>
    </rPh>
    <phoneticPr fontId="3"/>
  </si>
  <si>
    <t>大(千葉工業)</t>
    <rPh sb="0" eb="1">
      <t>ダイ</t>
    </rPh>
    <rPh sb="2" eb="4">
      <t>チバ</t>
    </rPh>
    <rPh sb="4" eb="6">
      <t>コウギョウ</t>
    </rPh>
    <phoneticPr fontId="3"/>
  </si>
  <si>
    <t>佐竹　知之</t>
    <rPh sb="0" eb="2">
      <t>サタケ</t>
    </rPh>
    <rPh sb="3" eb="5">
      <t>トモユキ</t>
    </rPh>
    <phoneticPr fontId="3"/>
  </si>
  <si>
    <t>高(網走南ヶ丘)</t>
    <rPh sb="0" eb="1">
      <t>コウ</t>
    </rPh>
    <rPh sb="2" eb="4">
      <t>アバシリ</t>
    </rPh>
    <rPh sb="4" eb="7">
      <t>ミナミガオカ</t>
    </rPh>
    <phoneticPr fontId="3"/>
  </si>
  <si>
    <t>共産党地区副委員長,議員秘書(津金佑近)</t>
    <rPh sb="0" eb="3">
      <t>キョウサントウ</t>
    </rPh>
    <rPh sb="3" eb="5">
      <t>チク</t>
    </rPh>
    <rPh sb="5" eb="9">
      <t>フクイインチョウ</t>
    </rPh>
    <rPh sb="10" eb="12">
      <t>ギイン</t>
    </rPh>
    <rPh sb="12" eb="14">
      <t>ヒショ</t>
    </rPh>
    <rPh sb="15" eb="17">
      <t>ツガネ</t>
    </rPh>
    <rPh sb="17" eb="18">
      <t>スケ</t>
    </rPh>
    <rPh sb="18" eb="19">
      <t>チカ</t>
    </rPh>
    <phoneticPr fontId="3"/>
  </si>
  <si>
    <t>鈴木　　望</t>
    <rPh sb="0" eb="2">
      <t>スズキ</t>
    </rPh>
    <rPh sb="4" eb="5">
      <t>ノゾム</t>
    </rPh>
    <phoneticPr fontId="3"/>
  </si>
  <si>
    <t>静岡県・磐田市長,厚生省生活衛生局指導課長</t>
    <rPh sb="0" eb="3">
      <t>シズオカケン</t>
    </rPh>
    <rPh sb="4" eb="6">
      <t>イワタ</t>
    </rPh>
    <rPh sb="6" eb="8">
      <t>シチョウ</t>
    </rPh>
    <rPh sb="9" eb="17">
      <t>コウセイショウセイカツエイセイキョク</t>
    </rPh>
    <rPh sb="17" eb="19">
      <t>シドウ</t>
    </rPh>
    <rPh sb="19" eb="21">
      <t>カチョウ</t>
    </rPh>
    <phoneticPr fontId="3"/>
  </si>
  <si>
    <t>256愛媛1区04</t>
    <rPh sb="3" eb="5">
      <t>エヒメ</t>
    </rPh>
    <rPh sb="6" eb="7">
      <t>ク</t>
    </rPh>
    <phoneticPr fontId="3"/>
  </si>
  <si>
    <t>池本　俊英</t>
    <rPh sb="0" eb="2">
      <t>イケモト</t>
    </rPh>
    <rPh sb="3" eb="5">
      <t>トシヒデ</t>
    </rPh>
    <phoneticPr fontId="3"/>
  </si>
  <si>
    <t>―</t>
    <phoneticPr fontId="3"/>
  </si>
  <si>
    <t>―</t>
    <phoneticPr fontId="3"/>
  </si>
  <si>
    <t>愛媛県・松山市議,議員秘書(関谷勝嗣)</t>
    <rPh sb="0" eb="3">
      <t>エヒメケン</t>
    </rPh>
    <rPh sb="4" eb="6">
      <t>マツヤマ</t>
    </rPh>
    <rPh sb="6" eb="8">
      <t>シギ</t>
    </rPh>
    <rPh sb="9" eb="11">
      <t>ギイン</t>
    </rPh>
    <rPh sb="11" eb="13">
      <t>ヒショ</t>
    </rPh>
    <rPh sb="14" eb="16">
      <t>セキヤ</t>
    </rPh>
    <rPh sb="16" eb="17">
      <t>カツ</t>
    </rPh>
    <rPh sb="17" eb="18">
      <t>シ</t>
    </rPh>
    <phoneticPr fontId="3"/>
  </si>
  <si>
    <t>自</t>
    <rPh sb="0" eb="1">
      <t>ジ</t>
    </rPh>
    <phoneticPr fontId="3"/>
  </si>
  <si>
    <t>議</t>
    <rPh sb="0" eb="1">
      <t>ギ</t>
    </rPh>
    <phoneticPr fontId="3"/>
  </si>
  <si>
    <t>258愛媛3区04</t>
    <rPh sb="3" eb="5">
      <t>エヒメ</t>
    </rPh>
    <rPh sb="6" eb="7">
      <t>ク</t>
    </rPh>
    <phoneticPr fontId="3"/>
  </si>
  <si>
    <t>森　　夏枝</t>
    <rPh sb="0" eb="1">
      <t>モリ</t>
    </rPh>
    <rPh sb="3" eb="5">
      <t>ナツエ</t>
    </rPh>
    <phoneticPr fontId="3"/>
  </si>
  <si>
    <t>大(鹿屋体育)</t>
    <rPh sb="0" eb="1">
      <t>ダイ</t>
    </rPh>
    <rPh sb="2" eb="4">
      <t>カノヤ</t>
    </rPh>
    <rPh sb="4" eb="6">
      <t>タイイク</t>
    </rPh>
    <phoneticPr fontId="3"/>
  </si>
  <si>
    <t>太極拳指導員</t>
    <rPh sb="0" eb="3">
      <t>タイキョクケン</t>
    </rPh>
    <rPh sb="3" eb="6">
      <t>シドウイン</t>
    </rPh>
    <phoneticPr fontId="3"/>
  </si>
  <si>
    <t>菅野　佐智子</t>
    <rPh sb="0" eb="2">
      <t>カンノ</t>
    </rPh>
    <rPh sb="3" eb="6">
      <t>サチコ</t>
    </rPh>
    <phoneticPr fontId="3"/>
  </si>
  <si>
    <t>308比例近畿06</t>
    <rPh sb="3" eb="5">
      <t>ヒレイ</t>
    </rPh>
    <rPh sb="5" eb="7">
      <t>キンキ</t>
    </rPh>
    <phoneticPr fontId="3"/>
  </si>
  <si>
    <t>283熊本3区04</t>
    <rPh sb="3" eb="5">
      <t>クマモト</t>
    </rPh>
    <rPh sb="6" eb="7">
      <t>ク</t>
    </rPh>
    <phoneticPr fontId="3"/>
  </si>
  <si>
    <t>大(米/カリフォルニア州サンバナディーノ)</t>
    <rPh sb="0" eb="1">
      <t>ダイ</t>
    </rPh>
    <rPh sb="2" eb="3">
      <t>ベイ</t>
    </rPh>
    <rPh sb="11" eb="12">
      <t>シュウ</t>
    </rPh>
    <phoneticPr fontId="3"/>
  </si>
  <si>
    <t>138石川1区04</t>
    <rPh sb="3" eb="5">
      <t>イシカワ</t>
    </rPh>
    <rPh sb="6" eb="7">
      <t>ク</t>
    </rPh>
    <phoneticPr fontId="3"/>
  </si>
  <si>
    <t>小間井　俊輔</t>
    <rPh sb="0" eb="3">
      <t>コマイ</t>
    </rPh>
    <rPh sb="4" eb="6">
      <t>シュンスケ</t>
    </rPh>
    <phoneticPr fontId="3"/>
  </si>
  <si>
    <t>大(東京)</t>
    <rPh sb="0" eb="1">
      <t>ダイ</t>
    </rPh>
    <rPh sb="2" eb="4">
      <t>トウキョウ</t>
    </rPh>
    <phoneticPr fontId="3"/>
  </si>
  <si>
    <t>経営コンサルタント</t>
    <rPh sb="0" eb="2">
      <t>ケイエイ</t>
    </rPh>
    <phoneticPr fontId="3"/>
  </si>
  <si>
    <t>松田　直久</t>
    <rPh sb="0" eb="2">
      <t>マツダ</t>
    </rPh>
    <rPh sb="3" eb="5">
      <t>ナオヒサ</t>
    </rPh>
    <phoneticPr fontId="3"/>
  </si>
  <si>
    <t>大(大阪産業)</t>
    <rPh sb="0" eb="1">
      <t>ダイ</t>
    </rPh>
    <rPh sb="2" eb="4">
      <t>オオサカ</t>
    </rPh>
    <rPh sb="4" eb="6">
      <t>サンギョウ</t>
    </rPh>
    <phoneticPr fontId="3"/>
  </si>
  <si>
    <t>三重県・津市長,三重県議(津市),議員秘書(北川正恭)</t>
    <rPh sb="0" eb="3">
      <t>ミエケン</t>
    </rPh>
    <rPh sb="4" eb="5">
      <t>ツ</t>
    </rPh>
    <rPh sb="5" eb="7">
      <t>シチョウ</t>
    </rPh>
    <rPh sb="8" eb="10">
      <t>ミエ</t>
    </rPh>
    <rPh sb="10" eb="12">
      <t>ケンギ</t>
    </rPh>
    <rPh sb="13" eb="15">
      <t>ツシ</t>
    </rPh>
    <rPh sb="17" eb="19">
      <t>ギイン</t>
    </rPh>
    <rPh sb="19" eb="21">
      <t>ヒショ</t>
    </rPh>
    <rPh sb="22" eb="24">
      <t>キタガワ</t>
    </rPh>
    <rPh sb="24" eb="26">
      <t>マサヤス</t>
    </rPh>
    <phoneticPr fontId="3"/>
  </si>
  <si>
    <t>議首</t>
    <rPh sb="0" eb="1">
      <t>ギ</t>
    </rPh>
    <rPh sb="1" eb="2">
      <t>クビ</t>
    </rPh>
    <phoneticPr fontId="3"/>
  </si>
  <si>
    <t>首</t>
    <rPh sb="0" eb="1">
      <t>クビ</t>
    </rPh>
    <phoneticPr fontId="3"/>
  </si>
  <si>
    <t>伊藤　久美子</t>
    <rPh sb="0" eb="2">
      <t>イトウ</t>
    </rPh>
    <rPh sb="3" eb="6">
      <t>クミコ</t>
    </rPh>
    <phoneticPr fontId="3"/>
  </si>
  <si>
    <t>155静岡2区04</t>
    <rPh sb="3" eb="5">
      <t>シズオカ</t>
    </rPh>
    <rPh sb="6" eb="7">
      <t>ク</t>
    </rPh>
    <phoneticPr fontId="3"/>
  </si>
  <si>
    <t>諸田　洋之</t>
    <rPh sb="0" eb="2">
      <t>モロタ</t>
    </rPh>
    <rPh sb="3" eb="5">
      <t>ヒロユキ</t>
    </rPh>
    <phoneticPr fontId="3"/>
  </si>
  <si>
    <t>会社社長(フェスティナレンテ)</t>
    <rPh sb="0" eb="2">
      <t>カイシャ</t>
    </rPh>
    <rPh sb="2" eb="4">
      <t>シャチョウ</t>
    </rPh>
    <phoneticPr fontId="3"/>
  </si>
  <si>
    <t>024宮城4区05</t>
    <rPh sb="3" eb="5">
      <t>ミヤギ</t>
    </rPh>
    <rPh sb="6" eb="7">
      <t>ク</t>
    </rPh>
    <phoneticPr fontId="3"/>
  </si>
  <si>
    <t>畠山　昌樹</t>
    <rPh sb="0" eb="2">
      <t>ハタケヤマ</t>
    </rPh>
    <rPh sb="3" eb="5">
      <t>マサキ</t>
    </rPh>
    <phoneticPr fontId="3"/>
  </si>
  <si>
    <t>大(防衛医科)</t>
    <rPh sb="0" eb="1">
      <t>ダイ</t>
    </rPh>
    <rPh sb="2" eb="4">
      <t>ボウエイ</t>
    </rPh>
    <rPh sb="4" eb="6">
      <t>イカ</t>
    </rPh>
    <phoneticPr fontId="3"/>
  </si>
  <si>
    <t>医師(八木山整形外科クリニック/整形外科)</t>
    <rPh sb="0" eb="2">
      <t>イシ</t>
    </rPh>
    <rPh sb="3" eb="6">
      <t>ヤギヤマ</t>
    </rPh>
    <rPh sb="6" eb="8">
      <t>セイケイ</t>
    </rPh>
    <rPh sb="8" eb="10">
      <t>ゲカ</t>
    </rPh>
    <rPh sb="16" eb="18">
      <t>セイケイ</t>
    </rPh>
    <rPh sb="18" eb="20">
      <t>ゲカ</t>
    </rPh>
    <phoneticPr fontId="3"/>
  </si>
  <si>
    <t>岸本　善成</t>
    <rPh sb="0" eb="2">
      <t>キシモト</t>
    </rPh>
    <rPh sb="3" eb="4">
      <t>ヨシ</t>
    </rPh>
    <rPh sb="4" eb="5">
      <t>ナリ</t>
    </rPh>
    <phoneticPr fontId="3"/>
  </si>
  <si>
    <t>大(九州産業)</t>
    <rPh sb="0" eb="1">
      <t>ダイ</t>
    </rPh>
    <rPh sb="2" eb="4">
      <t>キュウシュウ</t>
    </rPh>
    <rPh sb="4" eb="6">
      <t>サンギョウ</t>
    </rPh>
    <phoneticPr fontId="3"/>
  </si>
  <si>
    <t>福岡県議(春日市・筑紫郡),議員秘書(楠田大蔵,楢崎欣弥)</t>
    <rPh sb="0" eb="2">
      <t>フクオカ</t>
    </rPh>
    <rPh sb="2" eb="4">
      <t>ケンギ</t>
    </rPh>
    <rPh sb="5" eb="8">
      <t>カスガシ</t>
    </rPh>
    <rPh sb="9" eb="12">
      <t>チクシグン</t>
    </rPh>
    <rPh sb="14" eb="16">
      <t>ギイン</t>
    </rPh>
    <rPh sb="16" eb="18">
      <t>ヒショ</t>
    </rPh>
    <rPh sb="19" eb="21">
      <t>クスダ</t>
    </rPh>
    <rPh sb="21" eb="23">
      <t>ダイゾウ</t>
    </rPh>
    <rPh sb="24" eb="26">
      <t>ナラザキ</t>
    </rPh>
    <rPh sb="26" eb="27">
      <t>キン</t>
    </rPh>
    <rPh sb="27" eb="28">
      <t>ヤ</t>
    </rPh>
    <phoneticPr fontId="3"/>
  </si>
  <si>
    <t>久慈　茂雄</t>
    <rPh sb="0" eb="2">
      <t>クジ</t>
    </rPh>
    <rPh sb="3" eb="5">
      <t>シゲオ</t>
    </rPh>
    <phoneticPr fontId="3"/>
  </si>
  <si>
    <t>241広島3区04</t>
    <rPh sb="3" eb="5">
      <t>ヒロシマ</t>
    </rPh>
    <rPh sb="6" eb="7">
      <t>ク</t>
    </rPh>
    <phoneticPr fontId="3"/>
  </si>
  <si>
    <t>会社社長(ネオプランニング)</t>
    <rPh sb="0" eb="2">
      <t>カイシャ</t>
    </rPh>
    <rPh sb="2" eb="4">
      <t>シャチョウ</t>
    </rPh>
    <phoneticPr fontId="3"/>
  </si>
  <si>
    <t>中丸　　啓</t>
    <rPh sb="0" eb="2">
      <t>ナカマル</t>
    </rPh>
    <rPh sb="4" eb="5">
      <t>ヒロム</t>
    </rPh>
    <phoneticPr fontId="3"/>
  </si>
  <si>
    <t>245広島7区04</t>
    <rPh sb="3" eb="5">
      <t>ヒロシマ</t>
    </rPh>
    <rPh sb="6" eb="7">
      <t>ク</t>
    </rPh>
    <phoneticPr fontId="3"/>
  </si>
  <si>
    <t>坂元　大輔</t>
    <rPh sb="0" eb="2">
      <t>サカモト</t>
    </rPh>
    <rPh sb="3" eb="5">
      <t>ダイスケ</t>
    </rPh>
    <phoneticPr fontId="3"/>
  </si>
  <si>
    <t>大(米/セントマーチン)</t>
    <rPh sb="0" eb="1">
      <t>ダイ</t>
    </rPh>
    <rPh sb="2" eb="3">
      <t>ベイ</t>
    </rPh>
    <phoneticPr fontId="3"/>
  </si>
  <si>
    <t>竹内　典昭</t>
    <rPh sb="0" eb="2">
      <t>タケウチ</t>
    </rPh>
    <rPh sb="3" eb="5">
      <t>ノリアキ</t>
    </rPh>
    <phoneticPr fontId="3"/>
  </si>
  <si>
    <t>共産党地区常任委員,民青同盟兵庫県委員</t>
    <rPh sb="0" eb="3">
      <t>キョウサントウ</t>
    </rPh>
    <rPh sb="3" eb="5">
      <t>チク</t>
    </rPh>
    <rPh sb="5" eb="7">
      <t>ジョウニン</t>
    </rPh>
    <rPh sb="7" eb="9">
      <t>イイン</t>
    </rPh>
    <rPh sb="10" eb="14">
      <t>ミンセイドウメイ</t>
    </rPh>
    <rPh sb="14" eb="17">
      <t>ヒョウゴケン</t>
    </rPh>
    <rPh sb="17" eb="19">
      <t>イイン</t>
    </rPh>
    <phoneticPr fontId="3"/>
  </si>
  <si>
    <t>前田　雄吉</t>
    <rPh sb="0" eb="2">
      <t>マエダ</t>
    </rPh>
    <rPh sb="3" eb="5">
      <t>ユウキチ</t>
    </rPh>
    <phoneticPr fontId="3"/>
  </si>
  <si>
    <t>学習塾経営,議員秘書(江崎真澄)</t>
    <rPh sb="0" eb="3">
      <t>ガクシュウジュク</t>
    </rPh>
    <rPh sb="3" eb="5">
      <t>ケイエイ</t>
    </rPh>
    <rPh sb="6" eb="8">
      <t>ギイン</t>
    </rPh>
    <rPh sb="8" eb="10">
      <t>ヒショ</t>
    </rPh>
    <rPh sb="11" eb="13">
      <t>エザキ</t>
    </rPh>
    <rPh sb="13" eb="15">
      <t>マスミ</t>
    </rPh>
    <phoneticPr fontId="3"/>
  </si>
  <si>
    <t>松</t>
    <rPh sb="0" eb="1">
      <t>マツ</t>
    </rPh>
    <phoneticPr fontId="3"/>
  </si>
  <si>
    <t>み</t>
    <phoneticPr fontId="3"/>
  </si>
  <si>
    <t>新井　高雄</t>
    <rPh sb="0" eb="2">
      <t>アライ</t>
    </rPh>
    <rPh sb="3" eb="5">
      <t>タカオ</t>
    </rPh>
    <phoneticPr fontId="3"/>
  </si>
  <si>
    <t>福岡県・嘉麻市議</t>
    <rPh sb="0" eb="3">
      <t>フクオカケン</t>
    </rPh>
    <rPh sb="4" eb="6">
      <t>カマ</t>
    </rPh>
    <rPh sb="6" eb="8">
      <t>シギ</t>
    </rPh>
    <phoneticPr fontId="3"/>
  </si>
  <si>
    <t>3002比例北海道自民01</t>
    <rPh sb="4" eb="6">
      <t>ヒレイ</t>
    </rPh>
    <rPh sb="6" eb="9">
      <t>ホッカイドウ</t>
    </rPh>
    <rPh sb="9" eb="11">
      <t>ジミン</t>
    </rPh>
    <phoneticPr fontId="3"/>
  </si>
  <si>
    <t>渡辺　孝一</t>
    <rPh sb="0" eb="2">
      <t>ワタナベ</t>
    </rPh>
    <rPh sb="3" eb="5">
      <t>コウイチ</t>
    </rPh>
    <phoneticPr fontId="3"/>
  </si>
  <si>
    <t>無派</t>
    <rPh sb="0" eb="2">
      <t>ムハ</t>
    </rPh>
    <phoneticPr fontId="3"/>
  </si>
  <si>
    <t>大(東日本学園)</t>
    <rPh sb="0" eb="1">
      <t>ダイ</t>
    </rPh>
    <rPh sb="2" eb="5">
      <t>ヒガシニホン</t>
    </rPh>
    <rPh sb="5" eb="7">
      <t>ガクエン</t>
    </rPh>
    <phoneticPr fontId="3"/>
  </si>
  <si>
    <t>首二</t>
    <rPh sb="0" eb="1">
      <t>クビ</t>
    </rPh>
    <rPh sb="1" eb="2">
      <t>ニ</t>
    </rPh>
    <phoneticPr fontId="3"/>
  </si>
  <si>
    <t>二</t>
    <rPh sb="0" eb="1">
      <t>ニ</t>
    </rPh>
    <phoneticPr fontId="3"/>
  </si>
  <si>
    <t>浅野　貴博</t>
    <rPh sb="0" eb="2">
      <t>アサノ</t>
    </rPh>
    <rPh sb="3" eb="5">
      <t>タカヒロ</t>
    </rPh>
    <phoneticPr fontId="3"/>
  </si>
  <si>
    <t>301比例北海道07</t>
    <rPh sb="3" eb="5">
      <t>ヒレイ</t>
    </rPh>
    <rPh sb="5" eb="8">
      <t>ホッカイドウ</t>
    </rPh>
    <phoneticPr fontId="3"/>
  </si>
  <si>
    <t>議員秘書(鈴木宗男)</t>
    <rPh sb="0" eb="2">
      <t>ギイン</t>
    </rPh>
    <rPh sb="2" eb="4">
      <t>ヒショ</t>
    </rPh>
    <rPh sb="5" eb="7">
      <t>スズキ</t>
    </rPh>
    <rPh sb="7" eb="9">
      <t>ムネオ</t>
    </rPh>
    <phoneticPr fontId="3"/>
  </si>
  <si>
    <t>新党大地・真民主幹事長代行</t>
    <rPh sb="0" eb="2">
      <t>シントウ</t>
    </rPh>
    <rPh sb="2" eb="4">
      <t>ダイチ</t>
    </rPh>
    <rPh sb="5" eb="6">
      <t>シン</t>
    </rPh>
    <rPh sb="6" eb="8">
      <t>ミンシュ</t>
    </rPh>
    <rPh sb="8" eb="11">
      <t>カンジチョウ</t>
    </rPh>
    <rPh sb="11" eb="13">
      <t>ダイコウ</t>
    </rPh>
    <phoneticPr fontId="3"/>
  </si>
  <si>
    <t>新党大地・真民主代表代行・幹事長，元政務官(農水)</t>
    <rPh sb="0" eb="2">
      <t>シントウ</t>
    </rPh>
    <rPh sb="2" eb="4">
      <t>ダイチ</t>
    </rPh>
    <rPh sb="5" eb="6">
      <t>シン</t>
    </rPh>
    <rPh sb="6" eb="8">
      <t>ミンシュ</t>
    </rPh>
    <rPh sb="8" eb="10">
      <t>ダイヒョウ</t>
    </rPh>
    <rPh sb="10" eb="12">
      <t>ダイコウ</t>
    </rPh>
    <rPh sb="13" eb="16">
      <t>カンジチョウ</t>
    </rPh>
    <rPh sb="17" eb="18">
      <t>モト</t>
    </rPh>
    <rPh sb="18" eb="21">
      <t>セイムカン</t>
    </rPh>
    <rPh sb="22" eb="24">
      <t>ノウスイ</t>
    </rPh>
    <phoneticPr fontId="3"/>
  </si>
  <si>
    <t>3702比例近畿自民01</t>
    <rPh sb="4" eb="6">
      <t>ヒレイ</t>
    </rPh>
    <rPh sb="6" eb="8">
      <t>キンキ</t>
    </rPh>
    <rPh sb="8" eb="10">
      <t>ジミン</t>
    </rPh>
    <phoneticPr fontId="3"/>
  </si>
  <si>
    <t>泉原　保二</t>
    <rPh sb="0" eb="2">
      <t>イズハラ</t>
    </rPh>
    <rPh sb="3" eb="5">
      <t>ヤスジ</t>
    </rPh>
    <phoneticPr fontId="3"/>
  </si>
  <si>
    <t>大(大阪商業)</t>
    <rPh sb="0" eb="1">
      <t>ダイ</t>
    </rPh>
    <rPh sb="2" eb="4">
      <t>オオサカ</t>
    </rPh>
    <rPh sb="4" eb="6">
      <t>ショウギョウ</t>
    </rPh>
    <phoneticPr fontId="3"/>
  </si>
  <si>
    <t>尼崎JC理事長,会社社長(泉興業)</t>
    <rPh sb="0" eb="2">
      <t>アマガサキ</t>
    </rPh>
    <rPh sb="4" eb="7">
      <t>リジチョウ</t>
    </rPh>
    <rPh sb="8" eb="10">
      <t>カイシャ</t>
    </rPh>
    <rPh sb="10" eb="12">
      <t>シャチョウ</t>
    </rPh>
    <rPh sb="13" eb="14">
      <t>イズミ</t>
    </rPh>
    <rPh sb="14" eb="16">
      <t>コウギョウ</t>
    </rPh>
    <phoneticPr fontId="3"/>
  </si>
  <si>
    <t>4002比例九州自民02</t>
    <rPh sb="4" eb="6">
      <t>ヒレイ</t>
    </rPh>
    <rPh sb="6" eb="8">
      <t>キュウシュウ</t>
    </rPh>
    <rPh sb="8" eb="10">
      <t>ジミン</t>
    </rPh>
    <phoneticPr fontId="3"/>
  </si>
  <si>
    <t>上杉　光弘</t>
    <rPh sb="0" eb="2">
      <t>ウエスギ</t>
    </rPh>
    <rPh sb="3" eb="5">
      <t>ミツヒロ</t>
    </rPh>
    <phoneticPr fontId="3"/>
  </si>
  <si>
    <t>町村</t>
    <rPh sb="0" eb="2">
      <t>マチムラ</t>
    </rPh>
    <phoneticPr fontId="3"/>
  </si>
  <si>
    <t>大(東京農業)</t>
    <rPh sb="0" eb="1">
      <t>ダイ</t>
    </rPh>
    <rPh sb="2" eb="4">
      <t>トウキョウ</t>
    </rPh>
    <rPh sb="4" eb="6">
      <t>ノウギョウ</t>
    </rPh>
    <phoneticPr fontId="3"/>
  </si>
  <si>
    <t>宮崎県議(西都市)</t>
    <rPh sb="0" eb="2">
      <t>ミヤザキ</t>
    </rPh>
    <rPh sb="2" eb="4">
      <t>ケンギ</t>
    </rPh>
    <rPh sb="5" eb="8">
      <t>サイトシ</t>
    </rPh>
    <phoneticPr fontId="3"/>
  </si>
  <si>
    <t>議鞍</t>
    <rPh sb="0" eb="1">
      <t>ギ</t>
    </rPh>
    <rPh sb="1" eb="2">
      <t>クラ</t>
    </rPh>
    <phoneticPr fontId="3"/>
  </si>
  <si>
    <t>鞍</t>
    <rPh sb="0" eb="1">
      <t>クラ</t>
    </rPh>
    <phoneticPr fontId="3"/>
  </si>
  <si>
    <t>　元大臣(自治・公安),委長(参憲法,参大蔵),副大臣(官房),政務次官(大蔵),参3</t>
    <rPh sb="1" eb="4">
      <t>モトダイジン</t>
    </rPh>
    <rPh sb="5" eb="7">
      <t>ジチ</t>
    </rPh>
    <rPh sb="8" eb="10">
      <t>コウアン</t>
    </rPh>
    <rPh sb="12" eb="14">
      <t>イチョウ</t>
    </rPh>
    <rPh sb="15" eb="16">
      <t>サン</t>
    </rPh>
    <rPh sb="16" eb="18">
      <t>ケンポウ</t>
    </rPh>
    <rPh sb="19" eb="20">
      <t>サン</t>
    </rPh>
    <rPh sb="20" eb="22">
      <t>オオクラ</t>
    </rPh>
    <rPh sb="24" eb="27">
      <t>フクダイジン</t>
    </rPh>
    <rPh sb="28" eb="30">
      <t>カンボウ</t>
    </rPh>
    <rPh sb="32" eb="34">
      <t>セイム</t>
    </rPh>
    <rPh sb="34" eb="36">
      <t>ジカン</t>
    </rPh>
    <rPh sb="37" eb="39">
      <t>オオクラ</t>
    </rPh>
    <rPh sb="41" eb="42">
      <t>サン</t>
    </rPh>
    <phoneticPr fontId="3"/>
  </si>
  <si>
    <t>中村　裕之</t>
    <rPh sb="0" eb="2">
      <t>ナカムラ</t>
    </rPh>
    <rPh sb="3" eb="5">
      <t>ヒロユキ</t>
    </rPh>
    <phoneticPr fontId="3"/>
  </si>
  <si>
    <t>北海道議(後志支庁),会社社長(中村建設),北海道職員</t>
    <rPh sb="0" eb="3">
      <t>ホッカイドウ</t>
    </rPh>
    <rPh sb="3" eb="4">
      <t>ギ</t>
    </rPh>
    <rPh sb="5" eb="7">
      <t>シリベシ</t>
    </rPh>
    <rPh sb="7" eb="9">
      <t>シチョウ</t>
    </rPh>
    <rPh sb="11" eb="13">
      <t>カイシャ</t>
    </rPh>
    <rPh sb="13" eb="15">
      <t>シャチョウ</t>
    </rPh>
    <rPh sb="16" eb="18">
      <t>ナカムラ</t>
    </rPh>
    <rPh sb="18" eb="20">
      <t>ケンセツ</t>
    </rPh>
    <rPh sb="22" eb="25">
      <t>ホッカイドウ</t>
    </rPh>
    <rPh sb="25" eb="27">
      <t>ショクイン</t>
    </rPh>
    <phoneticPr fontId="3"/>
  </si>
  <si>
    <t>官僚</t>
    <rPh sb="0" eb="2">
      <t>カンリョウ</t>
    </rPh>
    <phoneticPr fontId="3"/>
  </si>
  <si>
    <t>地方議員</t>
    <rPh sb="0" eb="2">
      <t>チホウ</t>
    </rPh>
    <rPh sb="2" eb="4">
      <t>ギイン</t>
    </rPh>
    <phoneticPr fontId="3"/>
  </si>
  <si>
    <t>首長</t>
    <rPh sb="0" eb="1">
      <t>クビ</t>
    </rPh>
    <rPh sb="1" eb="2">
      <t>チョウ</t>
    </rPh>
    <phoneticPr fontId="3"/>
  </si>
  <si>
    <t>鞍替</t>
    <rPh sb="0" eb="2">
      <t>クラガエ</t>
    </rPh>
    <phoneticPr fontId="3"/>
  </si>
  <si>
    <t>ジャーナリスト</t>
    <phoneticPr fontId="3"/>
  </si>
  <si>
    <t>タレント・スポーツ</t>
    <phoneticPr fontId="3"/>
  </si>
  <si>
    <t>二世</t>
    <rPh sb="0" eb="2">
      <t>ニセイ</t>
    </rPh>
    <phoneticPr fontId="3"/>
  </si>
  <si>
    <t>法曹職</t>
    <rPh sb="0" eb="2">
      <t>ホウソウ</t>
    </rPh>
    <rPh sb="2" eb="3">
      <t>ショク</t>
    </rPh>
    <phoneticPr fontId="3"/>
  </si>
  <si>
    <t>松下政経</t>
    <rPh sb="0" eb="2">
      <t>マツシタ</t>
    </rPh>
    <rPh sb="2" eb="4">
      <t>セイケイ</t>
    </rPh>
    <phoneticPr fontId="3"/>
  </si>
  <si>
    <t>労組</t>
    <rPh sb="0" eb="2">
      <t>ロウソ</t>
    </rPh>
    <phoneticPr fontId="3"/>
  </si>
  <si>
    <t>大院(皇學館)</t>
    <rPh sb="0" eb="2">
      <t>ダイイン</t>
    </rPh>
    <rPh sb="3" eb="6">
      <t>コウガクカン</t>
    </rPh>
    <phoneticPr fontId="3"/>
  </si>
  <si>
    <t>矢崎　勝己</t>
    <rPh sb="0" eb="2">
      <t>ヤザキ</t>
    </rPh>
    <rPh sb="3" eb="5">
      <t>カツミ</t>
    </rPh>
    <phoneticPr fontId="3"/>
  </si>
  <si>
    <t>長崎県・千々石町議,自動車整備工場経営</t>
    <rPh sb="0" eb="3">
      <t>ナガサキケン</t>
    </rPh>
    <rPh sb="4" eb="7">
      <t>チヂワ</t>
    </rPh>
    <rPh sb="7" eb="9">
      <t>チョウギ</t>
    </rPh>
    <rPh sb="10" eb="13">
      <t>ジドウシャ</t>
    </rPh>
    <rPh sb="13" eb="15">
      <t>セイビ</t>
    </rPh>
    <rPh sb="15" eb="17">
      <t>コウジョウ</t>
    </rPh>
    <rPh sb="17" eb="19">
      <t>ケイエイ</t>
    </rPh>
    <phoneticPr fontId="3"/>
  </si>
  <si>
    <t>石丸　完治</t>
    <rPh sb="0" eb="2">
      <t>イシマル</t>
    </rPh>
    <rPh sb="3" eb="5">
      <t>カンジ</t>
    </rPh>
    <phoneticPr fontId="3"/>
  </si>
  <si>
    <t>犬塚　直史</t>
    <rPh sb="0" eb="2">
      <t>イヌヅカ</t>
    </rPh>
    <rPh sb="3" eb="5">
      <t>タダシ</t>
    </rPh>
    <phoneticPr fontId="3"/>
  </si>
  <si>
    <t>大院(米/ダラス)</t>
    <rPh sb="0" eb="2">
      <t>ダイイン</t>
    </rPh>
    <rPh sb="3" eb="4">
      <t>ベイ</t>
    </rPh>
    <phoneticPr fontId="3"/>
  </si>
  <si>
    <t>鞍</t>
    <rPh sb="0" eb="1">
      <t>クラ</t>
    </rPh>
    <phoneticPr fontId="3"/>
  </si>
  <si>
    <t>会社代表(ビー・ザ・ワン)</t>
    <rPh sb="0" eb="2">
      <t>カイシャ</t>
    </rPh>
    <rPh sb="2" eb="4">
      <t>ダイヒョウ</t>
    </rPh>
    <phoneticPr fontId="3"/>
  </si>
  <si>
    <t>西村　眞悟</t>
    <rPh sb="0" eb="2">
      <t>ニシムラ</t>
    </rPh>
    <rPh sb="3" eb="5">
      <t>シンゴ</t>
    </rPh>
    <phoneticPr fontId="3"/>
  </si>
  <si>
    <t>太</t>
    <rPh sb="0" eb="1">
      <t>タイ</t>
    </rPh>
    <phoneticPr fontId="3"/>
  </si>
  <si>
    <t>大(京都)</t>
    <rPh sb="0" eb="1">
      <t>ダイ</t>
    </rPh>
    <rPh sb="2" eb="4">
      <t>キョウト</t>
    </rPh>
    <phoneticPr fontId="3"/>
  </si>
  <si>
    <t>弁護士</t>
    <rPh sb="0" eb="3">
      <t>ベンゴシ</t>
    </rPh>
    <phoneticPr fontId="3"/>
  </si>
  <si>
    <t>　元委長(災害特,懲罰),政務次官(防衛),旧改革クラブ衆院代表</t>
    <rPh sb="1" eb="2">
      <t>モト</t>
    </rPh>
    <rPh sb="2" eb="4">
      <t>イチョウ</t>
    </rPh>
    <rPh sb="5" eb="7">
      <t>サイガイ</t>
    </rPh>
    <rPh sb="7" eb="8">
      <t>トク</t>
    </rPh>
    <rPh sb="9" eb="11">
      <t>チョウバツ</t>
    </rPh>
    <rPh sb="13" eb="15">
      <t>セイム</t>
    </rPh>
    <rPh sb="15" eb="17">
      <t>ジカン</t>
    </rPh>
    <rPh sb="18" eb="20">
      <t>ボウエイ</t>
    </rPh>
    <rPh sb="22" eb="23">
      <t>キュウ</t>
    </rPh>
    <rPh sb="23" eb="25">
      <t>カイカク</t>
    </rPh>
    <rPh sb="28" eb="30">
      <t>シュウイン</t>
    </rPh>
    <rPh sb="30" eb="32">
      <t>ダイヒョウ</t>
    </rPh>
    <phoneticPr fontId="3"/>
  </si>
  <si>
    <t>二法</t>
    <rPh sb="0" eb="1">
      <t>ニ</t>
    </rPh>
    <rPh sb="1" eb="2">
      <t>ホウ</t>
    </rPh>
    <phoneticPr fontId="3"/>
  </si>
  <si>
    <t>二</t>
    <rPh sb="0" eb="1">
      <t>ニ</t>
    </rPh>
    <phoneticPr fontId="3"/>
  </si>
  <si>
    <t>法</t>
    <rPh sb="0" eb="1">
      <t>ホウ</t>
    </rPh>
    <phoneticPr fontId="3"/>
  </si>
  <si>
    <t>145長野2区05</t>
    <rPh sb="3" eb="5">
      <t>ナガノ</t>
    </rPh>
    <rPh sb="6" eb="7">
      <t>ク</t>
    </rPh>
    <phoneticPr fontId="3"/>
  </si>
  <si>
    <t>百瀬　智之</t>
    <rPh sb="0" eb="2">
      <t>モモセ</t>
    </rPh>
    <rPh sb="3" eb="5">
      <t>トモユキ</t>
    </rPh>
    <phoneticPr fontId="3"/>
  </si>
  <si>
    <t>―</t>
    <phoneticPr fontId="3"/>
  </si>
  <si>
    <t>大院(上智)</t>
    <rPh sb="0" eb="2">
      <t>ダイイン</t>
    </rPh>
    <rPh sb="3" eb="5">
      <t>ジョウチ</t>
    </rPh>
    <phoneticPr fontId="3"/>
  </si>
  <si>
    <t>146長野3区05</t>
    <rPh sb="3" eb="5">
      <t>ナガノ</t>
    </rPh>
    <rPh sb="6" eb="7">
      <t>ク</t>
    </rPh>
    <phoneticPr fontId="3"/>
  </si>
  <si>
    <t>井出　泰介</t>
    <rPh sb="0" eb="2">
      <t>イデ</t>
    </rPh>
    <rPh sb="3" eb="5">
      <t>タイスケ</t>
    </rPh>
    <phoneticPr fontId="3"/>
  </si>
  <si>
    <t>公認会計士</t>
    <rPh sb="0" eb="2">
      <t>コウニン</t>
    </rPh>
    <rPh sb="2" eb="5">
      <t>カイケイシ</t>
    </rPh>
    <phoneticPr fontId="3"/>
  </si>
  <si>
    <t>山下　大輔</t>
    <rPh sb="0" eb="2">
      <t>ヤマシタ</t>
    </rPh>
    <rPh sb="3" eb="5">
      <t>ダイスケ</t>
    </rPh>
    <phoneticPr fontId="3"/>
  </si>
  <si>
    <t>和歌山県議(和歌山市),和歌山県・和歌山市議,和歌山市職員</t>
    <rPh sb="0" eb="3">
      <t>ワカヤマ</t>
    </rPh>
    <rPh sb="3" eb="5">
      <t>ケンギ</t>
    </rPh>
    <rPh sb="6" eb="10">
      <t>ワカヤマシ</t>
    </rPh>
    <rPh sb="12" eb="16">
      <t>ワカヤマケン</t>
    </rPh>
    <rPh sb="17" eb="20">
      <t>ワカヤマ</t>
    </rPh>
    <rPh sb="20" eb="22">
      <t>シギ</t>
    </rPh>
    <rPh sb="23" eb="27">
      <t>ワカヤマシ</t>
    </rPh>
    <rPh sb="27" eb="29">
      <t>ショクイン</t>
    </rPh>
    <phoneticPr fontId="3"/>
  </si>
  <si>
    <t>議</t>
    <rPh sb="0" eb="1">
      <t>ギ</t>
    </rPh>
    <phoneticPr fontId="3"/>
  </si>
  <si>
    <t>民</t>
    <rPh sb="0" eb="1">
      <t>ミン</t>
    </rPh>
    <phoneticPr fontId="3"/>
  </si>
  <si>
    <t>西岡　　新</t>
    <rPh sb="0" eb="2">
      <t>ニシオカ</t>
    </rPh>
    <rPh sb="4" eb="5">
      <t>シン</t>
    </rPh>
    <phoneticPr fontId="3"/>
  </si>
  <si>
    <t>議員秘書(塩崎恭久)</t>
    <rPh sb="0" eb="2">
      <t>ギイン</t>
    </rPh>
    <rPh sb="2" eb="4">
      <t>ヒショ</t>
    </rPh>
    <rPh sb="5" eb="7">
      <t>シオザキ</t>
    </rPh>
    <rPh sb="7" eb="9">
      <t>ヤスヒサ</t>
    </rPh>
    <phoneticPr fontId="3"/>
  </si>
  <si>
    <t>宮本　啓子</t>
    <rPh sb="0" eb="2">
      <t>ミヤモト</t>
    </rPh>
    <rPh sb="3" eb="5">
      <t>ケイコ</t>
    </rPh>
    <phoneticPr fontId="3"/>
  </si>
  <si>
    <t>短大(龍谷大学短大部)</t>
    <rPh sb="0" eb="2">
      <t>タンダイ</t>
    </rPh>
    <rPh sb="3" eb="5">
      <t>リュウコク</t>
    </rPh>
    <rPh sb="5" eb="7">
      <t>ダイガク</t>
    </rPh>
    <rPh sb="7" eb="10">
      <t>タンダイブ</t>
    </rPh>
    <phoneticPr fontId="3"/>
  </si>
  <si>
    <t>石川県・加賀市議,音楽療法士</t>
    <rPh sb="0" eb="3">
      <t>イシカワケン</t>
    </rPh>
    <rPh sb="4" eb="6">
      <t>カガ</t>
    </rPh>
    <rPh sb="6" eb="8">
      <t>シギ</t>
    </rPh>
    <rPh sb="9" eb="11">
      <t>オンガク</t>
    </rPh>
    <rPh sb="11" eb="14">
      <t>リョウホウシ</t>
    </rPh>
    <phoneticPr fontId="3"/>
  </si>
  <si>
    <t>浜本　信義</t>
    <rPh sb="0" eb="2">
      <t>ハマモト</t>
    </rPh>
    <rPh sb="3" eb="5">
      <t>ノブヨシ</t>
    </rPh>
    <phoneticPr fontId="3"/>
  </si>
  <si>
    <t>038茨城1区04</t>
    <rPh sb="3" eb="5">
      <t>イバラキ</t>
    </rPh>
    <rPh sb="6" eb="7">
      <t>ク</t>
    </rPh>
    <phoneticPr fontId="3"/>
  </si>
  <si>
    <t>海老澤　由紀</t>
    <rPh sb="0" eb="3">
      <t>エビサワ</t>
    </rPh>
    <rPh sb="4" eb="6">
      <t>ユキ</t>
    </rPh>
    <phoneticPr fontId="3"/>
  </si>
  <si>
    <t>主婦,スノーボード選手</t>
    <rPh sb="0" eb="2">
      <t>シュフ</t>
    </rPh>
    <rPh sb="9" eb="11">
      <t>センシュ</t>
    </rPh>
    <phoneticPr fontId="3"/>
  </si>
  <si>
    <t>タ</t>
    <phoneticPr fontId="3"/>
  </si>
  <si>
    <t>前田　善成</t>
    <rPh sb="0" eb="2">
      <t>マエダ</t>
    </rPh>
    <rPh sb="3" eb="5">
      <t>ヨシナリ</t>
    </rPh>
    <phoneticPr fontId="3"/>
  </si>
  <si>
    <t>群馬県・みなかみ町議,会社役員(前田設備)</t>
    <rPh sb="0" eb="3">
      <t>グンマケン</t>
    </rPh>
    <rPh sb="8" eb="10">
      <t>チョウギ</t>
    </rPh>
    <rPh sb="11" eb="13">
      <t>カイシャ</t>
    </rPh>
    <rPh sb="13" eb="15">
      <t>ヤクイン</t>
    </rPh>
    <rPh sb="16" eb="18">
      <t>マエダ</t>
    </rPh>
    <rPh sb="18" eb="20">
      <t>セツビ</t>
    </rPh>
    <phoneticPr fontId="3"/>
  </si>
  <si>
    <t>3206比例北関東みんな01</t>
    <rPh sb="4" eb="6">
      <t>ヒレイ</t>
    </rPh>
    <rPh sb="6" eb="9">
      <t>キタカントウ</t>
    </rPh>
    <phoneticPr fontId="3"/>
  </si>
  <si>
    <t>山内　康一</t>
    <rPh sb="0" eb="2">
      <t>ヤマウチ</t>
    </rPh>
    <rPh sb="3" eb="5">
      <t>コウイチ</t>
    </rPh>
    <phoneticPr fontId="3"/>
  </si>
  <si>
    <t>303比例北関東19</t>
    <rPh sb="3" eb="5">
      <t>ヒレイ</t>
    </rPh>
    <rPh sb="5" eb="8">
      <t>キタカントウ</t>
    </rPh>
    <phoneticPr fontId="3"/>
  </si>
  <si>
    <t>大院(英/ロンドン)</t>
    <rPh sb="0" eb="2">
      <t>ダイイン</t>
    </rPh>
    <rPh sb="3" eb="4">
      <t>エイ</t>
    </rPh>
    <phoneticPr fontId="3"/>
  </si>
  <si>
    <t>JICA職員,NGO職員(ピース・ウインズ)</t>
    <rPh sb="4" eb="6">
      <t>ショクイン</t>
    </rPh>
    <rPh sb="10" eb="12">
      <t>ショクイン</t>
    </rPh>
    <phoneticPr fontId="3"/>
  </si>
  <si>
    <t>みんなの党国対委員長</t>
    <rPh sb="4" eb="5">
      <t>トウ</t>
    </rPh>
    <rPh sb="5" eb="7">
      <t>コクタイ</t>
    </rPh>
    <rPh sb="7" eb="10">
      <t>イインチョウ</t>
    </rPh>
    <phoneticPr fontId="3"/>
  </si>
  <si>
    <t>荻原　隆宏</t>
    <rPh sb="0" eb="2">
      <t>オギワラ</t>
    </rPh>
    <rPh sb="3" eb="5">
      <t>タカヒロ</t>
    </rPh>
    <phoneticPr fontId="3"/>
  </si>
  <si>
    <t>神奈川県・横浜市議,議員秘書(島津尚純)</t>
    <rPh sb="0" eb="4">
      <t>カナガワケン</t>
    </rPh>
    <rPh sb="5" eb="7">
      <t>ヨコハマ</t>
    </rPh>
    <rPh sb="7" eb="9">
      <t>シギ</t>
    </rPh>
    <rPh sb="10" eb="12">
      <t>ギイン</t>
    </rPh>
    <rPh sb="12" eb="14">
      <t>ヒショ</t>
    </rPh>
    <rPh sb="15" eb="17">
      <t>シマヅ</t>
    </rPh>
    <rPh sb="17" eb="19">
      <t>ナオズミ</t>
    </rPh>
    <phoneticPr fontId="3"/>
  </si>
  <si>
    <t>141福井1区05</t>
    <rPh sb="3" eb="5">
      <t>フクイ</t>
    </rPh>
    <rPh sb="6" eb="7">
      <t>ク</t>
    </rPh>
    <phoneticPr fontId="3"/>
  </si>
  <si>
    <t>鈴木　宏治</t>
    <rPh sb="0" eb="2">
      <t>スズキ</t>
    </rPh>
    <rPh sb="3" eb="5">
      <t>コウジ</t>
    </rPh>
    <phoneticPr fontId="3"/>
  </si>
  <si>
    <t>大(大阪)</t>
    <rPh sb="0" eb="1">
      <t>ダイ</t>
    </rPh>
    <rPh sb="2" eb="4">
      <t>オオサカ</t>
    </rPh>
    <phoneticPr fontId="3"/>
  </si>
  <si>
    <t>福井県議(福井市),議員秘書(嶋聡)</t>
    <rPh sb="0" eb="2">
      <t>フクイ</t>
    </rPh>
    <rPh sb="2" eb="4">
      <t>ケンギ</t>
    </rPh>
    <rPh sb="5" eb="8">
      <t>フクイシ</t>
    </rPh>
    <rPh sb="10" eb="12">
      <t>ギイン</t>
    </rPh>
    <rPh sb="12" eb="14">
      <t>ヒショ</t>
    </rPh>
    <rPh sb="15" eb="16">
      <t>シマ</t>
    </rPh>
    <rPh sb="16" eb="17">
      <t>サトシ</t>
    </rPh>
    <phoneticPr fontId="3"/>
  </si>
  <si>
    <t>西野　弘一</t>
    <rPh sb="0" eb="2">
      <t>ニシノ</t>
    </rPh>
    <rPh sb="3" eb="5">
      <t>コウイチ</t>
    </rPh>
    <phoneticPr fontId="3"/>
  </si>
  <si>
    <t>自</t>
    <rPh sb="0" eb="1">
      <t>ジ</t>
    </rPh>
    <phoneticPr fontId="3"/>
  </si>
  <si>
    <t>議二</t>
    <rPh sb="0" eb="1">
      <t>ギ</t>
    </rPh>
    <rPh sb="1" eb="2">
      <t>ニ</t>
    </rPh>
    <phoneticPr fontId="3"/>
  </si>
  <si>
    <t>大(中央)</t>
    <rPh sb="0" eb="1">
      <t>ダイ</t>
    </rPh>
    <rPh sb="2" eb="4">
      <t>チュウオウ</t>
    </rPh>
    <phoneticPr fontId="3"/>
  </si>
  <si>
    <t>大阪府議(東大阪市),議員秘書(西野陽)</t>
    <rPh sb="0" eb="2">
      <t>オオサカ</t>
    </rPh>
    <rPh sb="2" eb="4">
      <t>フギ</t>
    </rPh>
    <rPh sb="5" eb="9">
      <t>ヒガシオオサカシ</t>
    </rPh>
    <rPh sb="11" eb="13">
      <t>ギイン</t>
    </rPh>
    <rPh sb="13" eb="15">
      <t>ヒショ</t>
    </rPh>
    <rPh sb="16" eb="18">
      <t>ニシノ</t>
    </rPh>
    <rPh sb="18" eb="19">
      <t>アキラ</t>
    </rPh>
    <phoneticPr fontId="3"/>
  </si>
  <si>
    <t>大(桜美林)</t>
    <rPh sb="0" eb="1">
      <t>ダイ</t>
    </rPh>
    <rPh sb="2" eb="5">
      <t>オウビリン</t>
    </rPh>
    <phoneticPr fontId="3"/>
  </si>
  <si>
    <t>学習塾経営,薬害肝炎訴訟原告</t>
    <rPh sb="0" eb="3">
      <t>ガクシュウジュク</t>
    </rPh>
    <rPh sb="3" eb="5">
      <t>ケイエイ</t>
    </rPh>
    <rPh sb="6" eb="8">
      <t>ヤクガイ</t>
    </rPh>
    <rPh sb="8" eb="10">
      <t>カンエン</t>
    </rPh>
    <rPh sb="10" eb="12">
      <t>ソショウ</t>
    </rPh>
    <rPh sb="12" eb="14">
      <t>ゲンコク</t>
    </rPh>
    <phoneticPr fontId="3"/>
  </si>
  <si>
    <t>寺島　義幸</t>
    <rPh sb="0" eb="2">
      <t>テラシマ</t>
    </rPh>
    <rPh sb="3" eb="5">
      <t>ヨシユキ</t>
    </rPh>
    <phoneticPr fontId="3"/>
  </si>
  <si>
    <t>長野県議(佐久市・北佐久郡),議員秘書(羽田孜),会社員(オカモト)</t>
    <rPh sb="0" eb="2">
      <t>ナガノ</t>
    </rPh>
    <rPh sb="2" eb="4">
      <t>ケンギ</t>
    </rPh>
    <rPh sb="5" eb="8">
      <t>サクシ</t>
    </rPh>
    <rPh sb="9" eb="13">
      <t>キタサクグン</t>
    </rPh>
    <rPh sb="15" eb="17">
      <t>ギイン</t>
    </rPh>
    <rPh sb="17" eb="19">
      <t>ヒショ</t>
    </rPh>
    <rPh sb="20" eb="22">
      <t>ハタ</t>
    </rPh>
    <rPh sb="22" eb="23">
      <t>ツトム</t>
    </rPh>
    <rPh sb="25" eb="28">
      <t>カイシャイン</t>
    </rPh>
    <phoneticPr fontId="3"/>
  </si>
  <si>
    <t>宮里　　昇</t>
    <rPh sb="0" eb="2">
      <t>ミヤザト</t>
    </rPh>
    <rPh sb="4" eb="5">
      <t>ノボル</t>
    </rPh>
    <phoneticPr fontId="3"/>
  </si>
  <si>
    <t>共産党沖縄県常任委員</t>
    <rPh sb="0" eb="3">
      <t>キョウサントウ</t>
    </rPh>
    <rPh sb="3" eb="6">
      <t>オキナワケン</t>
    </rPh>
    <rPh sb="6" eb="8">
      <t>ジョウニン</t>
    </rPh>
    <rPh sb="8" eb="10">
      <t>イイン</t>
    </rPh>
    <phoneticPr fontId="3"/>
  </si>
  <si>
    <t>高村　直也</t>
    <rPh sb="0" eb="2">
      <t>タカムラ</t>
    </rPh>
    <rPh sb="3" eb="5">
      <t>ナオヤ</t>
    </rPh>
    <phoneticPr fontId="3"/>
  </si>
  <si>
    <t>273福岡11区04</t>
    <rPh sb="3" eb="5">
      <t>フクオカ</t>
    </rPh>
    <rPh sb="7" eb="8">
      <t>ク</t>
    </rPh>
    <phoneticPr fontId="3"/>
  </si>
  <si>
    <t>谷瀬　綾子</t>
    <rPh sb="0" eb="1">
      <t>タニ</t>
    </rPh>
    <rPh sb="1" eb="2">
      <t>セ</t>
    </rPh>
    <rPh sb="3" eb="5">
      <t>アヤコ</t>
    </rPh>
    <phoneticPr fontId="3"/>
  </si>
  <si>
    <t>吉川　　元</t>
    <rPh sb="0" eb="2">
      <t>ヨシカワ</t>
    </rPh>
    <rPh sb="4" eb="5">
      <t>ハジメ</t>
    </rPh>
    <phoneticPr fontId="3"/>
  </si>
  <si>
    <t>議員秘書(重野安正)</t>
    <rPh sb="0" eb="2">
      <t>ギイン</t>
    </rPh>
    <rPh sb="2" eb="4">
      <t>ヒショ</t>
    </rPh>
    <rPh sb="5" eb="7">
      <t>シゲノ</t>
    </rPh>
    <rPh sb="7" eb="9">
      <t>ヤスマサ</t>
    </rPh>
    <phoneticPr fontId="3"/>
  </si>
  <si>
    <t>034福島2区05</t>
    <rPh sb="3" eb="5">
      <t>フクシマ</t>
    </rPh>
    <rPh sb="6" eb="7">
      <t>ク</t>
    </rPh>
    <phoneticPr fontId="3"/>
  </si>
  <si>
    <t>緑川　一徳</t>
    <rPh sb="0" eb="2">
      <t>ミドリカワ</t>
    </rPh>
    <rPh sb="3" eb="5">
      <t>カズノリ</t>
    </rPh>
    <phoneticPr fontId="3"/>
  </si>
  <si>
    <t>037福島5区04</t>
    <rPh sb="3" eb="5">
      <t>フクシマ</t>
    </rPh>
    <rPh sb="6" eb="7">
      <t>ク</t>
    </rPh>
    <phoneticPr fontId="3"/>
  </si>
  <si>
    <t>宇佐美　登</t>
    <rPh sb="0" eb="3">
      <t>ウサミ</t>
    </rPh>
    <rPh sb="4" eb="5">
      <t>ノボル</t>
    </rPh>
    <phoneticPr fontId="3"/>
  </si>
  <si>
    <t>松</t>
    <rPh sb="0" eb="1">
      <t>マツ</t>
    </rPh>
    <phoneticPr fontId="3"/>
  </si>
  <si>
    <t>044茨城7区05</t>
    <rPh sb="3" eb="5">
      <t>イバラキ</t>
    </rPh>
    <rPh sb="6" eb="7">
      <t>ク</t>
    </rPh>
    <phoneticPr fontId="3"/>
  </si>
  <si>
    <t>筒井　洋介</t>
    <rPh sb="0" eb="2">
      <t>ツツイ</t>
    </rPh>
    <rPh sb="3" eb="5">
      <t>ヨウスケ</t>
    </rPh>
    <phoneticPr fontId="3"/>
  </si>
  <si>
    <t>061埼玉7区05</t>
    <rPh sb="3" eb="5">
      <t>サイタマ</t>
    </rPh>
    <rPh sb="6" eb="7">
      <t>ク</t>
    </rPh>
    <phoneticPr fontId="3"/>
  </si>
  <si>
    <t>矢口　健一</t>
    <rPh sb="0" eb="2">
      <t>ヤグチ</t>
    </rPh>
    <rPh sb="3" eb="5">
      <t>ケンイチ</t>
    </rPh>
    <phoneticPr fontId="3"/>
  </si>
  <si>
    <t>063埼玉9区05</t>
    <rPh sb="3" eb="5">
      <t>サイタマ</t>
    </rPh>
    <rPh sb="6" eb="7">
      <t>ク</t>
    </rPh>
    <phoneticPr fontId="3"/>
  </si>
  <si>
    <t>067埼玉13区05</t>
    <rPh sb="3" eb="5">
      <t>サイタマ</t>
    </rPh>
    <rPh sb="7" eb="8">
      <t>ク</t>
    </rPh>
    <phoneticPr fontId="3"/>
  </si>
  <si>
    <t>中村　匡志</t>
    <rPh sb="0" eb="2">
      <t>ナカムラ</t>
    </rPh>
    <rPh sb="3" eb="5">
      <t>タダシ</t>
    </rPh>
    <phoneticPr fontId="3"/>
  </si>
  <si>
    <t>070千葉1区05</t>
    <rPh sb="3" eb="5">
      <t>チバ</t>
    </rPh>
    <rPh sb="6" eb="7">
      <t>ク</t>
    </rPh>
    <phoneticPr fontId="3"/>
  </si>
  <si>
    <t>田沼　隆志</t>
    <rPh sb="0" eb="2">
      <t>タヌマ</t>
    </rPh>
    <rPh sb="3" eb="5">
      <t>タカシ</t>
    </rPh>
    <phoneticPr fontId="3"/>
  </si>
  <si>
    <t>大(東京)</t>
    <rPh sb="0" eb="1">
      <t>ダイ</t>
    </rPh>
    <rPh sb="2" eb="4">
      <t>トウキョウ</t>
    </rPh>
    <phoneticPr fontId="3"/>
  </si>
  <si>
    <t>千葉県・千葉市議,会社員(アクセンチュア)</t>
    <rPh sb="0" eb="3">
      <t>チバケン</t>
    </rPh>
    <rPh sb="4" eb="6">
      <t>チバ</t>
    </rPh>
    <rPh sb="6" eb="8">
      <t>シギ</t>
    </rPh>
    <rPh sb="9" eb="12">
      <t>カイシャイン</t>
    </rPh>
    <phoneticPr fontId="3"/>
  </si>
  <si>
    <t>083神奈川1区05</t>
    <rPh sb="3" eb="6">
      <t>カナガワ</t>
    </rPh>
    <rPh sb="7" eb="8">
      <t>ク</t>
    </rPh>
    <phoneticPr fontId="3"/>
  </si>
  <si>
    <t>松本　孝一</t>
    <rPh sb="0" eb="2">
      <t>マツモト</t>
    </rPh>
    <rPh sb="3" eb="5">
      <t>コウイチ</t>
    </rPh>
    <phoneticPr fontId="3"/>
  </si>
  <si>
    <t>085神奈川3区06</t>
    <rPh sb="3" eb="6">
      <t>カナガワ</t>
    </rPh>
    <rPh sb="7" eb="8">
      <t>ク</t>
    </rPh>
    <phoneticPr fontId="3"/>
  </si>
  <si>
    <t>高橋　真由美</t>
    <rPh sb="0" eb="2">
      <t>タカハシ</t>
    </rPh>
    <rPh sb="3" eb="6">
      <t>マユミ</t>
    </rPh>
    <phoneticPr fontId="3"/>
  </si>
  <si>
    <t>087神奈川5区05</t>
    <rPh sb="3" eb="6">
      <t>カナガワ</t>
    </rPh>
    <rPh sb="7" eb="8">
      <t>ク</t>
    </rPh>
    <phoneticPr fontId="3"/>
  </si>
  <si>
    <t>大中(流通経済)</t>
    <rPh sb="0" eb="1">
      <t>ダイ</t>
    </rPh>
    <rPh sb="1" eb="2">
      <t>チュウ</t>
    </rPh>
    <rPh sb="3" eb="5">
      <t>リュウツウ</t>
    </rPh>
    <rPh sb="5" eb="7">
      <t>ケイザイ</t>
    </rPh>
    <phoneticPr fontId="3"/>
  </si>
  <si>
    <t>NPO法人理事長(全国てらこやネットワーク),鎌倉JC理事長</t>
    <rPh sb="3" eb="5">
      <t>ホウジン</t>
    </rPh>
    <rPh sb="5" eb="8">
      <t>リジチョウ</t>
    </rPh>
    <rPh sb="9" eb="11">
      <t>ゼンコク</t>
    </rPh>
    <rPh sb="23" eb="25">
      <t>カマクラ</t>
    </rPh>
    <rPh sb="27" eb="30">
      <t>リジチョウ</t>
    </rPh>
    <phoneticPr fontId="3"/>
  </si>
  <si>
    <t>み</t>
    <phoneticPr fontId="3"/>
  </si>
  <si>
    <t>湯澤　大地</t>
    <rPh sb="0" eb="2">
      <t>ユザワ</t>
    </rPh>
    <rPh sb="3" eb="5">
      <t>ダイチ</t>
    </rPh>
    <phoneticPr fontId="3"/>
  </si>
  <si>
    <t>094神奈川12区05</t>
    <rPh sb="3" eb="6">
      <t>カナガワ</t>
    </rPh>
    <rPh sb="8" eb="9">
      <t>ク</t>
    </rPh>
    <phoneticPr fontId="3"/>
  </si>
  <si>
    <t>甘粕　和彦</t>
    <rPh sb="0" eb="2">
      <t>アマカス</t>
    </rPh>
    <rPh sb="3" eb="5">
      <t>カズヒコ</t>
    </rPh>
    <phoneticPr fontId="3"/>
  </si>
  <si>
    <t>095神奈川13区05</t>
    <rPh sb="3" eb="6">
      <t>カナガワ</t>
    </rPh>
    <rPh sb="8" eb="9">
      <t>ク</t>
    </rPh>
    <phoneticPr fontId="3"/>
  </si>
  <si>
    <t>太田　祐介</t>
    <rPh sb="0" eb="2">
      <t>オオタ</t>
    </rPh>
    <rPh sb="3" eb="5">
      <t>ユウスケ</t>
    </rPh>
    <phoneticPr fontId="3"/>
  </si>
  <si>
    <t>大院(明治)</t>
    <rPh sb="0" eb="2">
      <t>ダイイン</t>
    </rPh>
    <rPh sb="3" eb="5">
      <t>メイジ</t>
    </rPh>
    <phoneticPr fontId="3"/>
  </si>
  <si>
    <t>神奈川県・海老名市議,雑誌編集者</t>
    <rPh sb="0" eb="4">
      <t>カナガワケン</t>
    </rPh>
    <rPh sb="5" eb="8">
      <t>エビナ</t>
    </rPh>
    <rPh sb="8" eb="10">
      <t>シギ</t>
    </rPh>
    <rPh sb="11" eb="13">
      <t>ザッシ</t>
    </rPh>
    <rPh sb="13" eb="16">
      <t>ヘンシュウシャ</t>
    </rPh>
    <phoneticPr fontId="3"/>
  </si>
  <si>
    <t>107東京4区06</t>
    <rPh sb="3" eb="5">
      <t>トウキョウ</t>
    </rPh>
    <rPh sb="6" eb="7">
      <t>ク</t>
    </rPh>
    <phoneticPr fontId="3"/>
  </si>
  <si>
    <t>犬伏　秀一</t>
    <rPh sb="0" eb="2">
      <t>イヌブシ</t>
    </rPh>
    <rPh sb="3" eb="5">
      <t>ヒデカズ</t>
    </rPh>
    <phoneticPr fontId="3"/>
  </si>
  <si>
    <t>大院(放送)</t>
    <rPh sb="0" eb="2">
      <t>ダイイン</t>
    </rPh>
    <rPh sb="3" eb="5">
      <t>ホウソウ</t>
    </rPh>
    <phoneticPr fontId="3"/>
  </si>
  <si>
    <t>東京都・大田区議,会社社長(インターツアー)</t>
    <rPh sb="0" eb="3">
      <t>トウキョウト</t>
    </rPh>
    <rPh sb="4" eb="6">
      <t>オオタ</t>
    </rPh>
    <rPh sb="6" eb="8">
      <t>クギ</t>
    </rPh>
    <rPh sb="9" eb="11">
      <t>カイシャ</t>
    </rPh>
    <rPh sb="11" eb="13">
      <t>シャチョウ</t>
    </rPh>
    <phoneticPr fontId="3"/>
  </si>
  <si>
    <t>108東京5区06</t>
    <rPh sb="3" eb="5">
      <t>トウキョウ</t>
    </rPh>
    <rPh sb="6" eb="7">
      <t>ク</t>
    </rPh>
    <phoneticPr fontId="3"/>
  </si>
  <si>
    <t>渡辺　　徹</t>
    <rPh sb="0" eb="2">
      <t>ワタナベ</t>
    </rPh>
    <rPh sb="4" eb="5">
      <t>トオル</t>
    </rPh>
    <phoneticPr fontId="3"/>
  </si>
  <si>
    <t>109東京6区05</t>
    <rPh sb="3" eb="5">
      <t>トウキョウ</t>
    </rPh>
    <rPh sb="6" eb="7">
      <t>ク</t>
    </rPh>
    <phoneticPr fontId="3"/>
  </si>
  <si>
    <t>花輪　智史</t>
    <rPh sb="0" eb="2">
      <t>ハナワ</t>
    </rPh>
    <rPh sb="3" eb="5">
      <t>トモフミ</t>
    </rPh>
    <phoneticPr fontId="3"/>
  </si>
  <si>
    <t>東京都議(世田谷区),東京都・世田谷区議,会社員(東急不動産)</t>
    <rPh sb="0" eb="2">
      <t>トウキョウ</t>
    </rPh>
    <rPh sb="2" eb="4">
      <t>トギ</t>
    </rPh>
    <rPh sb="5" eb="9">
      <t>セタガヤク</t>
    </rPh>
    <rPh sb="11" eb="14">
      <t>トウキョウト</t>
    </rPh>
    <rPh sb="15" eb="18">
      <t>セタガヤ</t>
    </rPh>
    <rPh sb="18" eb="20">
      <t>クギ</t>
    </rPh>
    <rPh sb="21" eb="24">
      <t>カイシャイン</t>
    </rPh>
    <rPh sb="25" eb="27">
      <t>トウキュウ</t>
    </rPh>
    <rPh sb="27" eb="30">
      <t>フドウサン</t>
    </rPh>
    <phoneticPr fontId="3"/>
  </si>
  <si>
    <t>川口　　浩</t>
    <rPh sb="0" eb="2">
      <t>カワグチ</t>
    </rPh>
    <rPh sb="4" eb="5">
      <t>ヒロシ</t>
    </rPh>
    <phoneticPr fontId="3"/>
  </si>
  <si>
    <t>茨城県議(取手市),歯科医師</t>
    <rPh sb="0" eb="2">
      <t>イバラキ</t>
    </rPh>
    <rPh sb="2" eb="4">
      <t>ケンギ</t>
    </rPh>
    <rPh sb="5" eb="8">
      <t>トリデシ</t>
    </rPh>
    <rPh sb="10" eb="14">
      <t>シカイシ</t>
    </rPh>
    <phoneticPr fontId="3"/>
  </si>
  <si>
    <t>ジ</t>
    <phoneticPr fontId="3"/>
  </si>
  <si>
    <t>121東京18区05</t>
    <rPh sb="3" eb="5">
      <t>トウキョウ</t>
    </rPh>
    <rPh sb="7" eb="8">
      <t>ク</t>
    </rPh>
    <phoneticPr fontId="3"/>
  </si>
  <si>
    <t>五十嵐　勝哉</t>
    <rPh sb="0" eb="3">
      <t>イガラシ</t>
    </rPh>
    <rPh sb="4" eb="6">
      <t>カツヤ</t>
    </rPh>
    <phoneticPr fontId="3"/>
  </si>
  <si>
    <t>123東京20区04</t>
    <rPh sb="3" eb="5">
      <t>トウキョウ</t>
    </rPh>
    <rPh sb="7" eb="8">
      <t>ク</t>
    </rPh>
    <phoneticPr fontId="3"/>
  </si>
  <si>
    <t>野田　　数</t>
    <rPh sb="0" eb="2">
      <t>ノダ</t>
    </rPh>
    <rPh sb="4" eb="5">
      <t>カズサ</t>
    </rPh>
    <phoneticPr fontId="3"/>
  </si>
  <si>
    <t>東京都議(北多摩第一),議員秘書(小池百合子)</t>
    <rPh sb="0" eb="2">
      <t>トウキョウ</t>
    </rPh>
    <rPh sb="2" eb="4">
      <t>トギ</t>
    </rPh>
    <rPh sb="5" eb="8">
      <t>キタタマ</t>
    </rPh>
    <rPh sb="8" eb="10">
      <t>ダイイチ</t>
    </rPh>
    <rPh sb="12" eb="14">
      <t>ギイン</t>
    </rPh>
    <rPh sb="14" eb="16">
      <t>ヒショ</t>
    </rPh>
    <rPh sb="17" eb="19">
      <t>コイケ</t>
    </rPh>
    <rPh sb="19" eb="22">
      <t>ユリコ</t>
    </rPh>
    <phoneticPr fontId="3"/>
  </si>
  <si>
    <t>124東京21区04</t>
    <rPh sb="3" eb="5">
      <t>トウキョウ</t>
    </rPh>
    <rPh sb="7" eb="8">
      <t>ク</t>
    </rPh>
    <phoneticPr fontId="3"/>
  </si>
  <si>
    <t>佐々木　理江</t>
    <rPh sb="0" eb="3">
      <t>ササキ</t>
    </rPh>
    <rPh sb="4" eb="6">
      <t>リエ</t>
    </rPh>
    <phoneticPr fontId="3"/>
  </si>
  <si>
    <t>大(島根)</t>
    <rPh sb="0" eb="1">
      <t>ダイ</t>
    </rPh>
    <rPh sb="2" eb="4">
      <t>シマネ</t>
    </rPh>
    <phoneticPr fontId="3"/>
  </si>
  <si>
    <t>タレント</t>
    <phoneticPr fontId="3"/>
  </si>
  <si>
    <t>125東京22区06</t>
    <rPh sb="3" eb="5">
      <t>トウキョウ</t>
    </rPh>
    <rPh sb="7" eb="8">
      <t>ク</t>
    </rPh>
    <phoneticPr fontId="3"/>
  </si>
  <si>
    <t>鹿野　　晃</t>
    <rPh sb="0" eb="2">
      <t>カノ</t>
    </rPh>
    <rPh sb="4" eb="5">
      <t>アキラ</t>
    </rPh>
    <phoneticPr fontId="3"/>
  </si>
  <si>
    <t>大(藤田保健衛生)</t>
    <rPh sb="0" eb="1">
      <t>ダイ</t>
    </rPh>
    <rPh sb="2" eb="4">
      <t>フジタ</t>
    </rPh>
    <rPh sb="4" eb="6">
      <t>ホケン</t>
    </rPh>
    <rPh sb="6" eb="8">
      <t>エイセイ</t>
    </rPh>
    <phoneticPr fontId="3"/>
  </si>
  <si>
    <t>133新潟5区04</t>
    <rPh sb="3" eb="5">
      <t>ニイガタ</t>
    </rPh>
    <rPh sb="6" eb="7">
      <t>ク</t>
    </rPh>
    <phoneticPr fontId="3"/>
  </si>
  <si>
    <t>日本維新の会代表，元大臣(運輸,環境),東京都知事,参1</t>
    <rPh sb="0" eb="2">
      <t>ニホン</t>
    </rPh>
    <rPh sb="2" eb="4">
      <t>イシン</t>
    </rPh>
    <rPh sb="5" eb="6">
      <t>カイ</t>
    </rPh>
    <rPh sb="6" eb="8">
      <t>ダイヒョウ</t>
    </rPh>
    <rPh sb="9" eb="12">
      <t>モトダイジン</t>
    </rPh>
    <rPh sb="13" eb="15">
      <t>ウンユ</t>
    </rPh>
    <rPh sb="16" eb="18">
      <t>カンキョウ</t>
    </rPh>
    <rPh sb="20" eb="23">
      <t>トウキョウト</t>
    </rPh>
    <rPh sb="23" eb="25">
      <t>チジ</t>
    </rPh>
    <rPh sb="26" eb="27">
      <t>サン</t>
    </rPh>
    <phoneticPr fontId="3"/>
  </si>
  <si>
    <t>米山　隆一</t>
    <rPh sb="0" eb="2">
      <t>ヨネヤマ</t>
    </rPh>
    <rPh sb="3" eb="5">
      <t>リュウイチ</t>
    </rPh>
    <phoneticPr fontId="3"/>
  </si>
  <si>
    <t>大院(東京)</t>
    <rPh sb="0" eb="2">
      <t>ダイイン</t>
    </rPh>
    <rPh sb="3" eb="5">
      <t>トウキョウ</t>
    </rPh>
    <phoneticPr fontId="3"/>
  </si>
  <si>
    <t>医師(ハーバード大学付属病院),弁護士</t>
    <rPh sb="0" eb="2">
      <t>イシ</t>
    </rPh>
    <rPh sb="8" eb="10">
      <t>ダイガク</t>
    </rPh>
    <rPh sb="10" eb="12">
      <t>フゾク</t>
    </rPh>
    <rPh sb="12" eb="14">
      <t>ビョウイン</t>
    </rPh>
    <rPh sb="16" eb="19">
      <t>ベンゴシ</t>
    </rPh>
    <phoneticPr fontId="3"/>
  </si>
  <si>
    <t>143福井3区04</t>
    <rPh sb="3" eb="5">
      <t>フクイ</t>
    </rPh>
    <rPh sb="6" eb="7">
      <t>ク</t>
    </rPh>
    <phoneticPr fontId="3"/>
  </si>
  <si>
    <t>塚本　　崇</t>
    <rPh sb="0" eb="2">
      <t>ツカモト</t>
    </rPh>
    <rPh sb="4" eb="5">
      <t>タカシ</t>
    </rPh>
    <phoneticPr fontId="3"/>
  </si>
  <si>
    <t>166愛知5区05</t>
    <rPh sb="3" eb="5">
      <t>アイチ</t>
    </rPh>
    <rPh sb="6" eb="7">
      <t>ク</t>
    </rPh>
    <phoneticPr fontId="3"/>
  </si>
  <si>
    <t>小山　憲一</t>
    <rPh sb="0" eb="2">
      <t>コヤマ</t>
    </rPh>
    <rPh sb="3" eb="5">
      <t>ケンイチ</t>
    </rPh>
    <phoneticPr fontId="3"/>
  </si>
  <si>
    <t>大(愛知学院)</t>
    <rPh sb="0" eb="1">
      <t>ダイ</t>
    </rPh>
    <rPh sb="2" eb="4">
      <t>アイチ</t>
    </rPh>
    <rPh sb="4" eb="6">
      <t>ガクイン</t>
    </rPh>
    <phoneticPr fontId="3"/>
  </si>
  <si>
    <t>歯科医師(岩倉中央歯科医院)</t>
    <rPh sb="0" eb="4">
      <t>シカイシ</t>
    </rPh>
    <rPh sb="5" eb="7">
      <t>イワクラ</t>
    </rPh>
    <rPh sb="7" eb="9">
      <t>チュウオウ</t>
    </rPh>
    <rPh sb="9" eb="11">
      <t>シカ</t>
    </rPh>
    <rPh sb="11" eb="13">
      <t>イイン</t>
    </rPh>
    <phoneticPr fontId="3"/>
  </si>
  <si>
    <t>176愛知15区05</t>
    <rPh sb="3" eb="5">
      <t>アイチ</t>
    </rPh>
    <rPh sb="7" eb="8">
      <t>ク</t>
    </rPh>
    <phoneticPr fontId="3"/>
  </si>
  <si>
    <t>近藤　　剛</t>
    <rPh sb="0" eb="2">
      <t>コンドウ</t>
    </rPh>
    <rPh sb="4" eb="5">
      <t>ゴウ</t>
    </rPh>
    <phoneticPr fontId="3"/>
  </si>
  <si>
    <t>178三重2区04</t>
    <rPh sb="3" eb="5">
      <t>ミエ</t>
    </rPh>
    <rPh sb="6" eb="7">
      <t>ク</t>
    </rPh>
    <phoneticPr fontId="3"/>
  </si>
  <si>
    <t>珍道　直人</t>
    <rPh sb="0" eb="1">
      <t>チン</t>
    </rPh>
    <rPh sb="1" eb="2">
      <t>ドウ</t>
    </rPh>
    <rPh sb="3" eb="5">
      <t>ナオト</t>
    </rPh>
    <phoneticPr fontId="3"/>
  </si>
  <si>
    <t>会社員(JR東海)</t>
    <rPh sb="0" eb="3">
      <t>カイシャイン</t>
    </rPh>
    <rPh sb="6" eb="8">
      <t>トウカイ</t>
    </rPh>
    <phoneticPr fontId="3"/>
  </si>
  <si>
    <t>184滋賀3区04</t>
    <rPh sb="3" eb="5">
      <t>シガ</t>
    </rPh>
    <rPh sb="6" eb="7">
      <t>ク</t>
    </rPh>
    <phoneticPr fontId="3"/>
  </si>
  <si>
    <t>久保田　暁</t>
    <rPh sb="0" eb="3">
      <t>クボタ</t>
    </rPh>
    <rPh sb="4" eb="5">
      <t>アキラ</t>
    </rPh>
    <phoneticPr fontId="3"/>
  </si>
  <si>
    <t>大阪府・堺市議,会社員(安田火災保険)</t>
    <rPh sb="0" eb="3">
      <t>オオサカフ</t>
    </rPh>
    <rPh sb="4" eb="5">
      <t>サカイ</t>
    </rPh>
    <rPh sb="5" eb="7">
      <t>シギ</t>
    </rPh>
    <rPh sb="8" eb="11">
      <t>カイシャイン</t>
    </rPh>
    <rPh sb="12" eb="14">
      <t>ヤスダ</t>
    </rPh>
    <rPh sb="14" eb="18">
      <t>カサイホケン</t>
    </rPh>
    <phoneticPr fontId="3"/>
  </si>
  <si>
    <t>186京都1区06</t>
    <rPh sb="3" eb="5">
      <t>キョウト</t>
    </rPh>
    <rPh sb="6" eb="7">
      <t>ク</t>
    </rPh>
    <phoneticPr fontId="3"/>
  </si>
  <si>
    <t>西根　由佳</t>
    <rPh sb="0" eb="2">
      <t>ニシネ</t>
    </rPh>
    <rPh sb="3" eb="5">
      <t>ユカ</t>
    </rPh>
    <phoneticPr fontId="3"/>
  </si>
  <si>
    <t>214兵庫4区04</t>
    <rPh sb="3" eb="5">
      <t>ヒョウゴ</t>
    </rPh>
    <rPh sb="6" eb="7">
      <t>ク</t>
    </rPh>
    <phoneticPr fontId="3"/>
  </si>
  <si>
    <t>清水　貴之</t>
    <rPh sb="0" eb="2">
      <t>シミズ</t>
    </rPh>
    <rPh sb="3" eb="5">
      <t>タカユキ</t>
    </rPh>
    <phoneticPr fontId="3"/>
  </si>
  <si>
    <t>大院(関西学院)</t>
    <rPh sb="0" eb="2">
      <t>ダイイン</t>
    </rPh>
    <rPh sb="3" eb="5">
      <t>カンサイ</t>
    </rPh>
    <rPh sb="5" eb="7">
      <t>ガクイン</t>
    </rPh>
    <phoneticPr fontId="3"/>
  </si>
  <si>
    <t>テレビアナウンサー(朝日放送)</t>
    <rPh sb="10" eb="12">
      <t>アサヒ</t>
    </rPh>
    <rPh sb="12" eb="14">
      <t>ホウソウ</t>
    </rPh>
    <phoneticPr fontId="3"/>
  </si>
  <si>
    <t>219兵庫9区04</t>
    <rPh sb="3" eb="5">
      <t>ヒョウゴ</t>
    </rPh>
    <rPh sb="6" eb="7">
      <t>ク</t>
    </rPh>
    <phoneticPr fontId="3"/>
  </si>
  <si>
    <t>谷　　俊二</t>
    <rPh sb="0" eb="1">
      <t>タニ</t>
    </rPh>
    <rPh sb="3" eb="5">
      <t>シュンジ</t>
    </rPh>
    <phoneticPr fontId="3"/>
  </si>
  <si>
    <t>221兵庫11区04</t>
    <rPh sb="3" eb="5">
      <t>ヒョウゴ</t>
    </rPh>
    <rPh sb="7" eb="8">
      <t>ク</t>
    </rPh>
    <phoneticPr fontId="3"/>
  </si>
  <si>
    <t>堅田　壮一郎</t>
    <rPh sb="0" eb="2">
      <t>カタダ</t>
    </rPh>
    <rPh sb="3" eb="6">
      <t>ソウイチロウ</t>
    </rPh>
    <phoneticPr fontId="3"/>
  </si>
  <si>
    <t>247山口2区04</t>
    <rPh sb="3" eb="5">
      <t>ヤマグチ</t>
    </rPh>
    <rPh sb="6" eb="7">
      <t>ク</t>
    </rPh>
    <phoneticPr fontId="3"/>
  </si>
  <si>
    <t>灰岡　香奈</t>
    <rPh sb="0" eb="1">
      <t>ハイ</t>
    </rPh>
    <rPh sb="1" eb="2">
      <t>オカ</t>
    </rPh>
    <rPh sb="3" eb="5">
      <t>カナ</t>
    </rPh>
    <phoneticPr fontId="3"/>
  </si>
  <si>
    <t>大(広島修道)</t>
    <rPh sb="0" eb="1">
      <t>ダイ</t>
    </rPh>
    <rPh sb="2" eb="4">
      <t>ヒロシマ</t>
    </rPh>
    <rPh sb="4" eb="6">
      <t>シュウドウ</t>
    </rPh>
    <phoneticPr fontId="3"/>
  </si>
  <si>
    <t>山口県・和木町議</t>
    <rPh sb="0" eb="3">
      <t>ヤマグチケン</t>
    </rPh>
    <rPh sb="4" eb="6">
      <t>ワキ</t>
    </rPh>
    <rPh sb="6" eb="8">
      <t>チョウギ</t>
    </rPh>
    <phoneticPr fontId="3"/>
  </si>
  <si>
    <t>253香川1区04</t>
    <rPh sb="3" eb="5">
      <t>カガワ</t>
    </rPh>
    <rPh sb="6" eb="7">
      <t>ク</t>
    </rPh>
    <phoneticPr fontId="3"/>
  </si>
  <si>
    <t>260高知1区04</t>
    <rPh sb="3" eb="5">
      <t>コウチ</t>
    </rPh>
    <rPh sb="6" eb="7">
      <t>ク</t>
    </rPh>
    <phoneticPr fontId="3"/>
  </si>
  <si>
    <t>藤村　慎也</t>
    <rPh sb="0" eb="2">
      <t>フジムラ</t>
    </rPh>
    <rPh sb="3" eb="5">
      <t>シンヤ</t>
    </rPh>
    <phoneticPr fontId="3"/>
  </si>
  <si>
    <t>267福岡5区04</t>
    <rPh sb="3" eb="5">
      <t>フクオカ</t>
    </rPh>
    <rPh sb="6" eb="7">
      <t>ク</t>
    </rPh>
    <phoneticPr fontId="3"/>
  </si>
  <si>
    <t>吉田　俊之</t>
    <rPh sb="0" eb="2">
      <t>ヨシダ</t>
    </rPh>
    <rPh sb="3" eb="5">
      <t>トシユキ</t>
    </rPh>
    <phoneticPr fontId="3"/>
  </si>
  <si>
    <t>271福岡9区04</t>
    <rPh sb="3" eb="5">
      <t>フクオカ</t>
    </rPh>
    <rPh sb="6" eb="7">
      <t>ク</t>
    </rPh>
    <phoneticPr fontId="3"/>
  </si>
  <si>
    <t>竹内　紀彦</t>
    <rPh sb="0" eb="2">
      <t>タケウチ</t>
    </rPh>
    <rPh sb="3" eb="5">
      <t>ノリヒコ</t>
    </rPh>
    <phoneticPr fontId="3"/>
  </si>
  <si>
    <t>大院(東京医科歯科)</t>
    <rPh sb="0" eb="2">
      <t>ダイイン</t>
    </rPh>
    <rPh sb="3" eb="5">
      <t>トウキョウ</t>
    </rPh>
    <rPh sb="5" eb="9">
      <t>イカシカ</t>
    </rPh>
    <phoneticPr fontId="3"/>
  </si>
  <si>
    <t>会社代表(竹内国際総合事務所)</t>
    <rPh sb="0" eb="2">
      <t>カイシャ</t>
    </rPh>
    <rPh sb="2" eb="4">
      <t>ダイヒョウ</t>
    </rPh>
    <rPh sb="5" eb="7">
      <t>タケウチ</t>
    </rPh>
    <rPh sb="7" eb="9">
      <t>コクサイ</t>
    </rPh>
    <rPh sb="9" eb="11">
      <t>ソウゴウ</t>
    </rPh>
    <rPh sb="11" eb="14">
      <t>ジムショ</t>
    </rPh>
    <phoneticPr fontId="3"/>
  </si>
  <si>
    <t>300沖縄4区05</t>
    <rPh sb="3" eb="5">
      <t>オキナワ</t>
    </rPh>
    <rPh sb="6" eb="7">
      <t>ク</t>
    </rPh>
    <phoneticPr fontId="3"/>
  </si>
  <si>
    <t>魚森　豪太郎</t>
    <rPh sb="0" eb="1">
      <t>ウオ</t>
    </rPh>
    <rPh sb="1" eb="2">
      <t>モリ</t>
    </rPh>
    <rPh sb="3" eb="6">
      <t>ゴウタロウ</t>
    </rPh>
    <phoneticPr fontId="3"/>
  </si>
  <si>
    <t>朴沢　宏明</t>
    <rPh sb="0" eb="2">
      <t>ホウザワ</t>
    </rPh>
    <rPh sb="3" eb="5">
      <t>ヒロアキ</t>
    </rPh>
    <phoneticPr fontId="3"/>
  </si>
  <si>
    <t>301比例北海道04</t>
    <rPh sb="3" eb="5">
      <t>ヒレイ</t>
    </rPh>
    <rPh sb="5" eb="8">
      <t>ホッカイドウ</t>
    </rPh>
    <phoneticPr fontId="3"/>
  </si>
  <si>
    <t>労</t>
    <rPh sb="0" eb="1">
      <t>ロウ</t>
    </rPh>
    <phoneticPr fontId="3"/>
  </si>
  <si>
    <t>太田　順子</t>
    <rPh sb="0" eb="2">
      <t>オオタ</t>
    </rPh>
    <rPh sb="3" eb="5">
      <t>ジュンコ</t>
    </rPh>
    <phoneticPr fontId="3"/>
  </si>
  <si>
    <t>藤尾　直樹</t>
    <rPh sb="0" eb="2">
      <t>フジオ</t>
    </rPh>
    <rPh sb="3" eb="5">
      <t>ナオキ</t>
    </rPh>
    <phoneticPr fontId="3"/>
  </si>
  <si>
    <t>堀　　　誠</t>
    <rPh sb="0" eb="1">
      <t>ホリ</t>
    </rPh>
    <rPh sb="4" eb="5">
      <t>マコト</t>
    </rPh>
    <phoneticPr fontId="3"/>
  </si>
  <si>
    <t>議員秘書(鉢呂吉雄,山下八洲夫)</t>
    <rPh sb="0" eb="2">
      <t>ギイン</t>
    </rPh>
    <rPh sb="2" eb="4">
      <t>ヒショ</t>
    </rPh>
    <rPh sb="5" eb="6">
      <t>ハチ</t>
    </rPh>
    <rPh sb="6" eb="7">
      <t>ロ</t>
    </rPh>
    <rPh sb="7" eb="9">
      <t>ヨシオ</t>
    </rPh>
    <rPh sb="10" eb="12">
      <t>ヤマシタ</t>
    </rPh>
    <rPh sb="12" eb="15">
      <t>ヤスオ</t>
    </rPh>
    <phoneticPr fontId="3"/>
  </si>
  <si>
    <t>吉羽　美華</t>
    <rPh sb="0" eb="2">
      <t>ヨシバ</t>
    </rPh>
    <rPh sb="3" eb="5">
      <t>ミカ</t>
    </rPh>
    <phoneticPr fontId="3"/>
  </si>
  <si>
    <t>大阪府・寝屋川市議</t>
    <rPh sb="0" eb="3">
      <t>オオサカフ</t>
    </rPh>
    <rPh sb="4" eb="7">
      <t>ネヤガワ</t>
    </rPh>
    <rPh sb="7" eb="9">
      <t>シギ</t>
    </rPh>
    <phoneticPr fontId="3"/>
  </si>
  <si>
    <t>尾辻　かな子</t>
    <rPh sb="0" eb="2">
      <t>オツジ</t>
    </rPh>
    <rPh sb="5" eb="6">
      <t>コ</t>
    </rPh>
    <phoneticPr fontId="3"/>
  </si>
  <si>
    <t>大阪府議(堺市)</t>
    <rPh sb="0" eb="2">
      <t>オオサカ</t>
    </rPh>
    <rPh sb="2" eb="4">
      <t>フギ</t>
    </rPh>
    <rPh sb="5" eb="7">
      <t>サカイシ</t>
    </rPh>
    <phoneticPr fontId="3"/>
  </si>
  <si>
    <t>公</t>
    <rPh sb="0" eb="1">
      <t>コウ</t>
    </rPh>
    <phoneticPr fontId="3"/>
  </si>
  <si>
    <t>　元委長(法務,安保),副大臣(財務),政務次官(労働),減税日本代表代行</t>
    <rPh sb="1" eb="2">
      <t>モト</t>
    </rPh>
    <rPh sb="2" eb="4">
      <t>イチョウ</t>
    </rPh>
    <rPh sb="5" eb="7">
      <t>ホウム</t>
    </rPh>
    <rPh sb="8" eb="10">
      <t>アンポ</t>
    </rPh>
    <rPh sb="12" eb="15">
      <t>フクダイジン</t>
    </rPh>
    <rPh sb="16" eb="18">
      <t>ザイム</t>
    </rPh>
    <rPh sb="20" eb="22">
      <t>セイム</t>
    </rPh>
    <rPh sb="22" eb="24">
      <t>ジカン</t>
    </rPh>
    <rPh sb="25" eb="27">
      <t>ロウドウ</t>
    </rPh>
    <rPh sb="29" eb="31">
      <t>ゲンゼイ</t>
    </rPh>
    <rPh sb="31" eb="33">
      <t>ニホン</t>
    </rPh>
    <rPh sb="33" eb="35">
      <t>ダイヒョウ</t>
    </rPh>
    <rPh sb="35" eb="37">
      <t>ダイコウ</t>
    </rPh>
    <phoneticPr fontId="3"/>
  </si>
  <si>
    <t>076千葉7区06</t>
    <rPh sb="3" eb="5">
      <t>チバ</t>
    </rPh>
    <rPh sb="6" eb="7">
      <t>ク</t>
    </rPh>
    <phoneticPr fontId="3"/>
  </si>
  <si>
    <t>村上　克子</t>
    <rPh sb="0" eb="2">
      <t>ムラカミ</t>
    </rPh>
    <rPh sb="3" eb="5">
      <t>カツコ</t>
    </rPh>
    <phoneticPr fontId="3"/>
  </si>
  <si>
    <t>大(東京学芸)</t>
    <rPh sb="0" eb="1">
      <t>ダイ</t>
    </rPh>
    <rPh sb="2" eb="4">
      <t>トウキョウ</t>
    </rPh>
    <rPh sb="4" eb="6">
      <t>ガクゲイ</t>
    </rPh>
    <phoneticPr fontId="3"/>
  </si>
  <si>
    <t>千葉県議(市川市),千葉県・市川市議,千葉県教組支部役員</t>
    <rPh sb="0" eb="2">
      <t>チバ</t>
    </rPh>
    <rPh sb="2" eb="4">
      <t>ケンギ</t>
    </rPh>
    <rPh sb="5" eb="8">
      <t>イチカワシ</t>
    </rPh>
    <rPh sb="10" eb="13">
      <t>チバケン</t>
    </rPh>
    <rPh sb="14" eb="16">
      <t>イチカワ</t>
    </rPh>
    <rPh sb="16" eb="18">
      <t>シギ</t>
    </rPh>
    <rPh sb="19" eb="22">
      <t>チバケン</t>
    </rPh>
    <rPh sb="22" eb="24">
      <t>キョウソ</t>
    </rPh>
    <rPh sb="24" eb="26">
      <t>シブ</t>
    </rPh>
    <rPh sb="26" eb="28">
      <t>ヤクイン</t>
    </rPh>
    <phoneticPr fontId="3"/>
  </si>
  <si>
    <t>議</t>
    <rPh sb="0" eb="1">
      <t>ギ</t>
    </rPh>
    <phoneticPr fontId="3"/>
  </si>
  <si>
    <t>議労</t>
    <rPh sb="0" eb="1">
      <t>ギ</t>
    </rPh>
    <rPh sb="1" eb="2">
      <t>ロウ</t>
    </rPh>
    <phoneticPr fontId="3"/>
  </si>
  <si>
    <t>労</t>
    <rPh sb="0" eb="1">
      <t>ロウ</t>
    </rPh>
    <phoneticPr fontId="3"/>
  </si>
  <si>
    <t>187京都2区04</t>
    <rPh sb="3" eb="5">
      <t>キョウト</t>
    </rPh>
    <rPh sb="6" eb="7">
      <t>ク</t>
    </rPh>
    <phoneticPr fontId="3"/>
  </si>
  <si>
    <t>佐藤　　大</t>
    <rPh sb="0" eb="2">
      <t>サトウ</t>
    </rPh>
    <rPh sb="4" eb="5">
      <t>ダイ</t>
    </rPh>
    <phoneticPr fontId="3"/>
  </si>
  <si>
    <t>大(京都)</t>
    <rPh sb="0" eb="1">
      <t>ダイ</t>
    </rPh>
    <rPh sb="2" eb="4">
      <t>キョウト</t>
    </rPh>
    <phoneticPr fontId="3"/>
  </si>
  <si>
    <t>社民党京都府連合役員,議員秘書(服部良一)</t>
    <rPh sb="0" eb="3">
      <t>シャミントウ</t>
    </rPh>
    <rPh sb="3" eb="5">
      <t>キョウト</t>
    </rPh>
    <rPh sb="5" eb="6">
      <t>フ</t>
    </rPh>
    <rPh sb="6" eb="8">
      <t>レンゴウ</t>
    </rPh>
    <rPh sb="8" eb="10">
      <t>ヤクイン</t>
    </rPh>
    <rPh sb="11" eb="13">
      <t>ギイン</t>
    </rPh>
    <rPh sb="13" eb="15">
      <t>ヒショ</t>
    </rPh>
    <rPh sb="16" eb="20">
      <t>ハットリリョウイチ</t>
    </rPh>
    <phoneticPr fontId="3"/>
  </si>
  <si>
    <t>社民党本部職員,社会新報記者</t>
    <rPh sb="0" eb="3">
      <t>シャミントウ</t>
    </rPh>
    <rPh sb="3" eb="5">
      <t>ホンブ</t>
    </rPh>
    <rPh sb="5" eb="7">
      <t>ショクイン</t>
    </rPh>
    <rPh sb="8" eb="10">
      <t>シャカイ</t>
    </rPh>
    <rPh sb="10" eb="12">
      <t>シンポウ</t>
    </rPh>
    <rPh sb="12" eb="14">
      <t>キシャ</t>
    </rPh>
    <phoneticPr fontId="3"/>
  </si>
  <si>
    <t>社民党宮城県連合役員,学習塾講師</t>
    <rPh sb="0" eb="3">
      <t>シャミントウ</t>
    </rPh>
    <rPh sb="3" eb="6">
      <t>ミヤギケン</t>
    </rPh>
    <rPh sb="6" eb="8">
      <t>レンゴウ</t>
    </rPh>
    <rPh sb="8" eb="10">
      <t>ヤクイン</t>
    </rPh>
    <rPh sb="11" eb="14">
      <t>ガクシュウジュク</t>
    </rPh>
    <rPh sb="14" eb="16">
      <t>コウシ</t>
    </rPh>
    <phoneticPr fontId="3"/>
  </si>
  <si>
    <t>平山　良平</t>
    <rPh sb="0" eb="2">
      <t>ヒラヤマ</t>
    </rPh>
    <rPh sb="3" eb="5">
      <t>リョウヘイ</t>
    </rPh>
    <phoneticPr fontId="3"/>
  </si>
  <si>
    <t>大(愛知教育)</t>
    <rPh sb="0" eb="1">
      <t>ダイ</t>
    </rPh>
    <rPh sb="2" eb="4">
      <t>アイチ</t>
    </rPh>
    <rPh sb="4" eb="6">
      <t>キョウイク</t>
    </rPh>
    <phoneticPr fontId="3"/>
  </si>
  <si>
    <t>社民党愛知県連合副代表,中学校教諭</t>
    <rPh sb="0" eb="3">
      <t>シャミントウ</t>
    </rPh>
    <rPh sb="3" eb="6">
      <t>アイチケン</t>
    </rPh>
    <rPh sb="6" eb="8">
      <t>レンゴウ</t>
    </rPh>
    <rPh sb="8" eb="11">
      <t>フクダイヒョウ</t>
    </rPh>
    <rPh sb="12" eb="15">
      <t>チュウガッコウ</t>
    </rPh>
    <rPh sb="15" eb="17">
      <t>キョウユ</t>
    </rPh>
    <phoneticPr fontId="3"/>
  </si>
  <si>
    <t>服部　良一</t>
    <rPh sb="0" eb="2">
      <t>ハットリ</t>
    </rPh>
    <rPh sb="3" eb="5">
      <t>リョウイチ</t>
    </rPh>
    <phoneticPr fontId="3"/>
  </si>
  <si>
    <t>大中(京都)</t>
    <rPh sb="0" eb="1">
      <t>ダイ</t>
    </rPh>
    <rPh sb="1" eb="2">
      <t>チュウ</t>
    </rPh>
    <rPh sb="3" eb="5">
      <t>キョウト</t>
    </rPh>
    <phoneticPr fontId="3"/>
  </si>
  <si>
    <t>議員秘書(山内徳信),全金昭和起重機委員長</t>
    <rPh sb="0" eb="2">
      <t>ギイン</t>
    </rPh>
    <rPh sb="2" eb="4">
      <t>ヒショ</t>
    </rPh>
    <rPh sb="5" eb="7">
      <t>ヤマウチ</t>
    </rPh>
    <rPh sb="7" eb="9">
      <t>トクシン</t>
    </rPh>
    <rPh sb="11" eb="13">
      <t>ゼンキン</t>
    </rPh>
    <rPh sb="13" eb="15">
      <t>ショウワ</t>
    </rPh>
    <rPh sb="15" eb="18">
      <t>キジュウキ</t>
    </rPh>
    <rPh sb="18" eb="21">
      <t>イインチョウ</t>
    </rPh>
    <phoneticPr fontId="3"/>
  </si>
  <si>
    <t>労</t>
    <rPh sb="0" eb="1">
      <t>ロウ</t>
    </rPh>
    <phoneticPr fontId="3"/>
  </si>
  <si>
    <t>他(京都府西陣着尺織物高等職業訓練学校)</t>
    <rPh sb="0" eb="1">
      <t>ホカ</t>
    </rPh>
    <rPh sb="2" eb="5">
      <t>キョウトフ</t>
    </rPh>
    <rPh sb="5" eb="7">
      <t>ニシジン</t>
    </rPh>
    <rPh sb="7" eb="9">
      <t>キジャク</t>
    </rPh>
    <rPh sb="9" eb="11">
      <t>オリモノ</t>
    </rPh>
    <rPh sb="11" eb="13">
      <t>コウトウ</t>
    </rPh>
    <rPh sb="13" eb="15">
      <t>ショクギョウ</t>
    </rPh>
    <rPh sb="15" eb="17">
      <t>クンレン</t>
    </rPh>
    <rPh sb="17" eb="19">
      <t>ガッコウ</t>
    </rPh>
    <phoneticPr fontId="3"/>
  </si>
  <si>
    <t>改</t>
    <rPh sb="0" eb="1">
      <t>アラタ</t>
    </rPh>
    <phoneticPr fontId="3"/>
  </si>
  <si>
    <t>磯貝　　誠</t>
    <rPh sb="0" eb="2">
      <t>イソガイ</t>
    </rPh>
    <rPh sb="4" eb="5">
      <t>マコト</t>
    </rPh>
    <phoneticPr fontId="3"/>
  </si>
  <si>
    <t>藤丸　　敏</t>
    <rPh sb="0" eb="2">
      <t>フジマル</t>
    </rPh>
    <rPh sb="4" eb="5">
      <t>サトシ</t>
    </rPh>
    <phoneticPr fontId="3"/>
  </si>
  <si>
    <t>岩渕　　友</t>
    <rPh sb="0" eb="2">
      <t>イワブチ</t>
    </rPh>
    <rPh sb="4" eb="5">
      <t>トモ</t>
    </rPh>
    <phoneticPr fontId="3"/>
  </si>
  <si>
    <t>共産党福島県常任委員,民青同盟福島県委員長</t>
    <rPh sb="0" eb="3">
      <t>キョウサントウ</t>
    </rPh>
    <rPh sb="3" eb="6">
      <t>フクシマケン</t>
    </rPh>
    <rPh sb="6" eb="8">
      <t>ジョウニン</t>
    </rPh>
    <rPh sb="8" eb="10">
      <t>イイン</t>
    </rPh>
    <rPh sb="11" eb="15">
      <t>ミンセイドウメイ</t>
    </rPh>
    <rPh sb="15" eb="18">
      <t>フクシマケン</t>
    </rPh>
    <rPh sb="18" eb="21">
      <t>イインチョウ</t>
    </rPh>
    <phoneticPr fontId="3"/>
  </si>
  <si>
    <t>大田　朝子</t>
    <rPh sb="0" eb="2">
      <t>オオタ</t>
    </rPh>
    <rPh sb="3" eb="5">
      <t>アサコ</t>
    </rPh>
    <phoneticPr fontId="3"/>
  </si>
  <si>
    <t>藤井　美登里</t>
    <rPh sb="0" eb="2">
      <t>フジイ</t>
    </rPh>
    <rPh sb="3" eb="6">
      <t>ミドリ</t>
    </rPh>
    <phoneticPr fontId="3"/>
  </si>
  <si>
    <t>共産党神奈川県常任委員</t>
    <rPh sb="0" eb="3">
      <t>キョウサントウ</t>
    </rPh>
    <rPh sb="3" eb="7">
      <t>カナガワケン</t>
    </rPh>
    <rPh sb="7" eb="9">
      <t>ジョウニン</t>
    </rPh>
    <rPh sb="9" eb="11">
      <t>イイン</t>
    </rPh>
    <phoneticPr fontId="3"/>
  </si>
  <si>
    <t>高(沼津商)</t>
    <rPh sb="0" eb="1">
      <t>コウ</t>
    </rPh>
    <rPh sb="2" eb="4">
      <t>ヌマヅ</t>
    </rPh>
    <rPh sb="4" eb="5">
      <t>ショウ</t>
    </rPh>
    <phoneticPr fontId="3"/>
  </si>
  <si>
    <t>中野　早苗</t>
    <rPh sb="0" eb="2">
      <t>ナカノ</t>
    </rPh>
    <rPh sb="3" eb="5">
      <t>サナエ</t>
    </rPh>
    <phoneticPr fontId="3"/>
  </si>
  <si>
    <t>大(宮城教育)</t>
    <rPh sb="0" eb="1">
      <t>ダイ</t>
    </rPh>
    <rPh sb="2" eb="4">
      <t>ミヤギ</t>
    </rPh>
    <rPh sb="4" eb="6">
      <t>キョウイク</t>
    </rPh>
    <phoneticPr fontId="3"/>
  </si>
  <si>
    <t>共産党長野県常任委員,小学校教諭</t>
    <rPh sb="0" eb="3">
      <t>キョウサントウ</t>
    </rPh>
    <rPh sb="3" eb="6">
      <t>ナガノケン</t>
    </rPh>
    <rPh sb="6" eb="8">
      <t>ジョウニン</t>
    </rPh>
    <rPh sb="8" eb="10">
      <t>イイン</t>
    </rPh>
    <rPh sb="11" eb="14">
      <t>ショウガッコウ</t>
    </rPh>
    <rPh sb="14" eb="16">
      <t>キョウユ</t>
    </rPh>
    <phoneticPr fontId="3"/>
  </si>
  <si>
    <t>江上　博之</t>
    <rPh sb="0" eb="2">
      <t>エガミ</t>
    </rPh>
    <rPh sb="3" eb="5">
      <t>ヒロユキ</t>
    </rPh>
    <phoneticPr fontId="3"/>
  </si>
  <si>
    <t>愛知県・名古屋市議,名古屋市職員</t>
    <rPh sb="0" eb="3">
      <t>アイチケン</t>
    </rPh>
    <rPh sb="4" eb="7">
      <t>ナゴヤ</t>
    </rPh>
    <rPh sb="7" eb="9">
      <t>シギ</t>
    </rPh>
    <rPh sb="10" eb="14">
      <t>ナゴヤシ</t>
    </rPh>
    <rPh sb="14" eb="16">
      <t>ショクイン</t>
    </rPh>
    <phoneticPr fontId="3"/>
  </si>
  <si>
    <t>議</t>
    <rPh sb="0" eb="1">
      <t>ギ</t>
    </rPh>
    <phoneticPr fontId="3"/>
  </si>
  <si>
    <t>大平　喜信</t>
    <rPh sb="0" eb="2">
      <t>オオヒラ</t>
    </rPh>
    <rPh sb="3" eb="5">
      <t>ヨシノブ</t>
    </rPh>
    <phoneticPr fontId="3"/>
  </si>
  <si>
    <t>大(広島)</t>
    <rPh sb="0" eb="1">
      <t>ダイ</t>
    </rPh>
    <rPh sb="2" eb="4">
      <t>ヒロシマ</t>
    </rPh>
    <phoneticPr fontId="3"/>
  </si>
  <si>
    <t>共産党広島県委員,民青同盟中央委員</t>
    <rPh sb="0" eb="3">
      <t>キョウサントウ</t>
    </rPh>
    <rPh sb="3" eb="6">
      <t>ヒロシマケン</t>
    </rPh>
    <rPh sb="6" eb="8">
      <t>イイン</t>
    </rPh>
    <rPh sb="9" eb="13">
      <t>ミンセイドウメイ</t>
    </rPh>
    <rPh sb="13" eb="15">
      <t>チュウオウ</t>
    </rPh>
    <rPh sb="15" eb="17">
      <t>イイン</t>
    </rPh>
    <phoneticPr fontId="3"/>
  </si>
  <si>
    <t>寺内　大介</t>
    <rPh sb="0" eb="2">
      <t>テラウチ</t>
    </rPh>
    <rPh sb="3" eb="5">
      <t>ダイスケ</t>
    </rPh>
    <phoneticPr fontId="3"/>
  </si>
  <si>
    <t>大(九州)</t>
    <rPh sb="0" eb="1">
      <t>ダイ</t>
    </rPh>
    <rPh sb="2" eb="4">
      <t>キュウシュウ</t>
    </rPh>
    <phoneticPr fontId="3"/>
  </si>
  <si>
    <t>弁護士</t>
    <rPh sb="0" eb="3">
      <t>ベンゴシ</t>
    </rPh>
    <phoneticPr fontId="3"/>
  </si>
  <si>
    <t>法</t>
    <rPh sb="0" eb="1">
      <t>ホウ</t>
    </rPh>
    <phoneticPr fontId="3"/>
  </si>
  <si>
    <t>森本　康仁</t>
    <rPh sb="0" eb="2">
      <t>モリモト</t>
    </rPh>
    <rPh sb="3" eb="5">
      <t>ヤスヒト</t>
    </rPh>
    <phoneticPr fontId="3"/>
  </si>
  <si>
    <t>会社役員(ぬりえ企画),銀行員(中央三井信託銀行)</t>
    <rPh sb="0" eb="2">
      <t>カイシャ</t>
    </rPh>
    <rPh sb="2" eb="4">
      <t>ヤクイン</t>
    </rPh>
    <rPh sb="8" eb="10">
      <t>キカク</t>
    </rPh>
    <rPh sb="12" eb="15">
      <t>ギンコウイン</t>
    </rPh>
    <rPh sb="16" eb="18">
      <t>チュウオウ</t>
    </rPh>
    <rPh sb="18" eb="20">
      <t>ミツイ</t>
    </rPh>
    <rPh sb="20" eb="22">
      <t>シンタク</t>
    </rPh>
    <rPh sb="22" eb="24">
      <t>ギンコウ</t>
    </rPh>
    <phoneticPr fontId="3"/>
  </si>
  <si>
    <t>平　　善彦</t>
    <rPh sb="0" eb="1">
      <t>タイラ</t>
    </rPh>
    <rPh sb="3" eb="5">
      <t>ヨシヒコ</t>
    </rPh>
    <phoneticPr fontId="3"/>
  </si>
  <si>
    <t>高中(本宮)</t>
    <rPh sb="0" eb="1">
      <t>コウ</t>
    </rPh>
    <rPh sb="1" eb="2">
      <t>チュウ</t>
    </rPh>
    <rPh sb="3" eb="5">
      <t>モトミヤ</t>
    </rPh>
    <phoneticPr fontId="3"/>
  </si>
  <si>
    <t>原田　俊広</t>
    <rPh sb="0" eb="2">
      <t>ハラダ</t>
    </rPh>
    <rPh sb="3" eb="5">
      <t>トシヒロ</t>
    </rPh>
    <phoneticPr fontId="3"/>
  </si>
  <si>
    <t>高(福島)</t>
    <rPh sb="0" eb="1">
      <t>コウ</t>
    </rPh>
    <rPh sb="2" eb="4">
      <t>フクシマ</t>
    </rPh>
    <phoneticPr fontId="3"/>
  </si>
  <si>
    <t>共産党地区副委員長,民青同盟地区委員長</t>
    <rPh sb="0" eb="3">
      <t>キョウサントウ</t>
    </rPh>
    <rPh sb="3" eb="5">
      <t>チク</t>
    </rPh>
    <rPh sb="5" eb="9">
      <t>フクイインチョウ</t>
    </rPh>
    <rPh sb="10" eb="14">
      <t>ミンセイドウメイ</t>
    </rPh>
    <rPh sb="14" eb="16">
      <t>チク</t>
    </rPh>
    <rPh sb="16" eb="19">
      <t>イインチョウ</t>
    </rPh>
    <phoneticPr fontId="3"/>
  </si>
  <si>
    <t>191京都6区04</t>
    <rPh sb="3" eb="5">
      <t>キョウト</t>
    </rPh>
    <rPh sb="6" eb="7">
      <t>ク</t>
    </rPh>
    <phoneticPr fontId="3"/>
  </si>
  <si>
    <t>清水　鴻一郎</t>
    <rPh sb="0" eb="2">
      <t>シミズ</t>
    </rPh>
    <rPh sb="3" eb="6">
      <t>コウイチロウ</t>
    </rPh>
    <phoneticPr fontId="3"/>
  </si>
  <si>
    <t>自</t>
    <rPh sb="0" eb="1">
      <t>ジ</t>
    </rPh>
    <phoneticPr fontId="3"/>
  </si>
  <si>
    <t>京都府議(京都市伏見区),医療法人理事長(清水会/脳神経外科)</t>
    <rPh sb="0" eb="2">
      <t>キョウト</t>
    </rPh>
    <rPh sb="2" eb="4">
      <t>フギ</t>
    </rPh>
    <rPh sb="5" eb="8">
      <t>キョウトシ</t>
    </rPh>
    <rPh sb="8" eb="11">
      <t>フシミク</t>
    </rPh>
    <rPh sb="13" eb="15">
      <t>イリョウ</t>
    </rPh>
    <rPh sb="15" eb="17">
      <t>ホウジン</t>
    </rPh>
    <rPh sb="17" eb="20">
      <t>リジチョウ</t>
    </rPh>
    <rPh sb="21" eb="23">
      <t>シミズ</t>
    </rPh>
    <rPh sb="23" eb="24">
      <t>カイ</t>
    </rPh>
    <rPh sb="25" eb="28">
      <t>ノウシンケイ</t>
    </rPh>
    <rPh sb="28" eb="30">
      <t>ゲカ</t>
    </rPh>
    <phoneticPr fontId="3"/>
  </si>
  <si>
    <t>082千葉13区05</t>
    <rPh sb="3" eb="5">
      <t>チバ</t>
    </rPh>
    <rPh sb="7" eb="8">
      <t>ク</t>
    </rPh>
    <phoneticPr fontId="3"/>
  </si>
  <si>
    <t>椎木　　保</t>
    <rPh sb="0" eb="2">
      <t>シイキ</t>
    </rPh>
    <rPh sb="4" eb="5">
      <t>タモツ</t>
    </rPh>
    <phoneticPr fontId="3"/>
  </si>
  <si>
    <t>―</t>
    <phoneticPr fontId="3"/>
  </si>
  <si>
    <t>104東京1区07</t>
    <rPh sb="3" eb="5">
      <t>トウキョウ</t>
    </rPh>
    <rPh sb="6" eb="7">
      <t>ク</t>
    </rPh>
    <phoneticPr fontId="3"/>
  </si>
  <si>
    <t>加藤　義隆</t>
    <rPh sb="0" eb="2">
      <t>カトウ</t>
    </rPh>
    <rPh sb="3" eb="5">
      <t>ヨシタカ</t>
    </rPh>
    <phoneticPr fontId="3"/>
  </si>
  <si>
    <t>098神奈川16区04</t>
    <rPh sb="3" eb="6">
      <t>カナガワ</t>
    </rPh>
    <rPh sb="8" eb="9">
      <t>ク</t>
    </rPh>
    <phoneticPr fontId="3"/>
  </si>
  <si>
    <t>富山　泰庸</t>
    <rPh sb="0" eb="2">
      <t>トミヤマ</t>
    </rPh>
    <rPh sb="3" eb="5">
      <t>ヨシノブ</t>
    </rPh>
    <phoneticPr fontId="3"/>
  </si>
  <si>
    <t>タレント,会社社長(ロッツ)</t>
    <rPh sb="5" eb="7">
      <t>カイシャ</t>
    </rPh>
    <rPh sb="7" eb="9">
      <t>シャチョウ</t>
    </rPh>
    <phoneticPr fontId="3"/>
  </si>
  <si>
    <t>タ</t>
    <phoneticPr fontId="3"/>
  </si>
  <si>
    <t>山内　成介</t>
    <rPh sb="0" eb="2">
      <t>ヤマウチ</t>
    </rPh>
    <rPh sb="3" eb="5">
      <t>セイスケ</t>
    </rPh>
    <phoneticPr fontId="3"/>
  </si>
  <si>
    <t>会社社長(スマートコミュニティ),会社員(任天堂)</t>
    <rPh sb="0" eb="2">
      <t>カイシャ</t>
    </rPh>
    <rPh sb="2" eb="4">
      <t>シャチョウ</t>
    </rPh>
    <rPh sb="17" eb="20">
      <t>カイシャイン</t>
    </rPh>
    <rPh sb="21" eb="24">
      <t>ニンテンドウ</t>
    </rPh>
    <phoneticPr fontId="3"/>
  </si>
  <si>
    <t>226奈良4区04</t>
    <rPh sb="3" eb="5">
      <t>ナラ</t>
    </rPh>
    <rPh sb="6" eb="7">
      <t>ク</t>
    </rPh>
    <phoneticPr fontId="3"/>
  </si>
  <si>
    <t>松浪　武久</t>
    <rPh sb="0" eb="2">
      <t>マツナミ</t>
    </rPh>
    <rPh sb="3" eb="5">
      <t>タケヒサ</t>
    </rPh>
    <phoneticPr fontId="3"/>
  </si>
  <si>
    <t>議二</t>
    <rPh sb="0" eb="1">
      <t>ギ</t>
    </rPh>
    <rPh sb="1" eb="2">
      <t>ニ</t>
    </rPh>
    <phoneticPr fontId="3"/>
  </si>
  <si>
    <t>二</t>
    <rPh sb="0" eb="1">
      <t>ニ</t>
    </rPh>
    <phoneticPr fontId="3"/>
  </si>
  <si>
    <t>264福岡2区05</t>
    <rPh sb="3" eb="5">
      <t>フクオカ</t>
    </rPh>
    <rPh sb="6" eb="7">
      <t>ク</t>
    </rPh>
    <phoneticPr fontId="3"/>
  </si>
  <si>
    <t>頭山　晋太郎</t>
    <rPh sb="0" eb="2">
      <t>トウヤマ</t>
    </rPh>
    <rPh sb="3" eb="6">
      <t>シンタロウ</t>
    </rPh>
    <phoneticPr fontId="3"/>
  </si>
  <si>
    <t>292鹿児島1区04</t>
    <rPh sb="3" eb="6">
      <t>カゴシマ</t>
    </rPh>
    <rPh sb="7" eb="8">
      <t>ク</t>
    </rPh>
    <phoneticPr fontId="3"/>
  </si>
  <si>
    <t>山之内　毅</t>
    <rPh sb="0" eb="3">
      <t>ヤマノウチ</t>
    </rPh>
    <rPh sb="4" eb="5">
      <t>ツヨシ</t>
    </rPh>
    <phoneticPr fontId="3"/>
  </si>
  <si>
    <t>神職</t>
    <rPh sb="0" eb="2">
      <t>シンショク</t>
    </rPh>
    <phoneticPr fontId="3"/>
  </si>
  <si>
    <t>074千葉5区05</t>
    <rPh sb="3" eb="5">
      <t>チバ</t>
    </rPh>
    <rPh sb="6" eb="7">
      <t>ク</t>
    </rPh>
    <phoneticPr fontId="3"/>
  </si>
  <si>
    <t>相原　史乃</t>
    <rPh sb="0" eb="2">
      <t>アイハラ</t>
    </rPh>
    <rPh sb="3" eb="5">
      <t>シノ</t>
    </rPh>
    <phoneticPr fontId="3"/>
  </si>
  <si>
    <t>304比例南関東11</t>
    <rPh sb="3" eb="5">
      <t>ヒレイ</t>
    </rPh>
    <rPh sb="5" eb="8">
      <t>ミナミカントウ</t>
    </rPh>
    <phoneticPr fontId="3"/>
  </si>
  <si>
    <t>会社役員</t>
    <rPh sb="0" eb="2">
      <t>カイシャ</t>
    </rPh>
    <rPh sb="2" eb="4">
      <t>ヤクイン</t>
    </rPh>
    <phoneticPr fontId="3"/>
  </si>
  <si>
    <t>077千葉8区05</t>
    <rPh sb="3" eb="5">
      <t>チバ</t>
    </rPh>
    <rPh sb="6" eb="7">
      <t>ク</t>
    </rPh>
    <phoneticPr fontId="3"/>
  </si>
  <si>
    <t>大場　秀樹</t>
    <rPh sb="0" eb="2">
      <t>オオバ</t>
    </rPh>
    <rPh sb="3" eb="5">
      <t>ヒデキ</t>
    </rPh>
    <phoneticPr fontId="3"/>
  </si>
  <si>
    <t>大院(駒澤)</t>
    <rPh sb="0" eb="2">
      <t>ダイイン</t>
    </rPh>
    <rPh sb="3" eb="5">
      <t>コマザワ</t>
    </rPh>
    <phoneticPr fontId="3"/>
  </si>
  <si>
    <t>福島県・福島市議,川崎市長秘書</t>
    <rPh sb="0" eb="3">
      <t>フクシマケン</t>
    </rPh>
    <rPh sb="4" eb="6">
      <t>フクシマ</t>
    </rPh>
    <rPh sb="6" eb="8">
      <t>シギ</t>
    </rPh>
    <rPh sb="9" eb="11">
      <t>カワサキ</t>
    </rPh>
    <rPh sb="11" eb="13">
      <t>シチョウ</t>
    </rPh>
    <rPh sb="13" eb="15">
      <t>ヒショ</t>
    </rPh>
    <phoneticPr fontId="3"/>
  </si>
  <si>
    <t>松</t>
    <rPh sb="0" eb="1">
      <t>マツ</t>
    </rPh>
    <phoneticPr fontId="3"/>
  </si>
  <si>
    <t>　元大臣(金融・郵政,建設,運輸),委長(農水),政務次官(運輸),首相補佐官,国民新党代表,代表代行,自民党政調会長</t>
    <rPh sb="1" eb="4">
      <t>モトダイジン</t>
    </rPh>
    <rPh sb="5" eb="7">
      <t>キンユウ</t>
    </rPh>
    <rPh sb="8" eb="10">
      <t>ユウセイ</t>
    </rPh>
    <rPh sb="11" eb="13">
      <t>ケンセツ</t>
    </rPh>
    <rPh sb="14" eb="16">
      <t>ウンユ</t>
    </rPh>
    <rPh sb="18" eb="20">
      <t>イチョウ</t>
    </rPh>
    <rPh sb="21" eb="23">
      <t>ノウスイ</t>
    </rPh>
    <rPh sb="25" eb="27">
      <t>セイム</t>
    </rPh>
    <rPh sb="27" eb="29">
      <t>ジカン</t>
    </rPh>
    <rPh sb="30" eb="32">
      <t>ウンユ</t>
    </rPh>
    <rPh sb="34" eb="36">
      <t>シュショウ</t>
    </rPh>
    <rPh sb="36" eb="39">
      <t>ホサカン</t>
    </rPh>
    <rPh sb="40" eb="42">
      <t>コクミン</t>
    </rPh>
    <rPh sb="42" eb="44">
      <t>シントウ</t>
    </rPh>
    <rPh sb="44" eb="46">
      <t>ダイヒョウ</t>
    </rPh>
    <rPh sb="47" eb="49">
      <t>ダイヒョウ</t>
    </rPh>
    <rPh sb="49" eb="51">
      <t>ダイコウ</t>
    </rPh>
    <rPh sb="52" eb="55">
      <t>ジミントウ</t>
    </rPh>
    <rPh sb="55" eb="57">
      <t>セイチョウ</t>
    </rPh>
    <rPh sb="57" eb="59">
      <t>カイチョウ</t>
    </rPh>
    <phoneticPr fontId="3"/>
  </si>
  <si>
    <t>　元政務官(国交),旧減税日本幹事長</t>
    <rPh sb="1" eb="2">
      <t>モト</t>
    </rPh>
    <rPh sb="2" eb="5">
      <t>セイムカン</t>
    </rPh>
    <rPh sb="6" eb="8">
      <t>コッコウ</t>
    </rPh>
    <rPh sb="10" eb="11">
      <t>キュウ</t>
    </rPh>
    <rPh sb="11" eb="13">
      <t>ゲンゼイ</t>
    </rPh>
    <rPh sb="13" eb="15">
      <t>ニホン</t>
    </rPh>
    <rPh sb="15" eb="18">
      <t>カンジチョウ</t>
    </rPh>
    <phoneticPr fontId="4"/>
  </si>
  <si>
    <t>　旧減税日本副代表</t>
    <rPh sb="1" eb="2">
      <t>キュウ</t>
    </rPh>
    <rPh sb="2" eb="4">
      <t>ゲンゼイ</t>
    </rPh>
    <rPh sb="4" eb="6">
      <t>ニホン</t>
    </rPh>
    <rPh sb="6" eb="9">
      <t>フクダイヒョウ</t>
    </rPh>
    <phoneticPr fontId="3"/>
  </si>
  <si>
    <t>　旧減税日本総務会長</t>
    <rPh sb="1" eb="2">
      <t>キュウ</t>
    </rPh>
    <rPh sb="2" eb="4">
      <t>ゲンゼイ</t>
    </rPh>
    <rPh sb="4" eb="6">
      <t>ニホン</t>
    </rPh>
    <rPh sb="6" eb="8">
      <t>ソウム</t>
    </rPh>
    <rPh sb="8" eb="10">
      <t>カイチョウ</t>
    </rPh>
    <phoneticPr fontId="3"/>
  </si>
  <si>
    <t>自維</t>
    <rPh sb="0" eb="1">
      <t>ジ</t>
    </rPh>
    <rPh sb="1" eb="2">
      <t>イ</t>
    </rPh>
    <phoneticPr fontId="3"/>
  </si>
  <si>
    <t>　元委長(法務),副大臣(官房),政務次官(厚生),旧たちあがれ日本幹事長,自民党幹事長代理,政調会長代理,旧さきがけ幹事長</t>
    <rPh sb="1" eb="2">
      <t>モト</t>
    </rPh>
    <rPh sb="2" eb="4">
      <t>イチョウ</t>
    </rPh>
    <rPh sb="5" eb="7">
      <t>ホウム</t>
    </rPh>
    <rPh sb="9" eb="12">
      <t>フクダイジン</t>
    </rPh>
    <rPh sb="13" eb="15">
      <t>カンボウ</t>
    </rPh>
    <rPh sb="17" eb="19">
      <t>セイム</t>
    </rPh>
    <rPh sb="19" eb="21">
      <t>ジカン</t>
    </rPh>
    <rPh sb="22" eb="24">
      <t>コウセイ</t>
    </rPh>
    <rPh sb="26" eb="27">
      <t>キュウ</t>
    </rPh>
    <rPh sb="32" eb="34">
      <t>ニホン</t>
    </rPh>
    <rPh sb="34" eb="37">
      <t>カンジチョウ</t>
    </rPh>
    <rPh sb="38" eb="41">
      <t>ジミントウ</t>
    </rPh>
    <rPh sb="41" eb="44">
      <t>カンジチョウ</t>
    </rPh>
    <rPh sb="44" eb="46">
      <t>ダイリ</t>
    </rPh>
    <rPh sb="47" eb="49">
      <t>セイチョウ</t>
    </rPh>
    <rPh sb="49" eb="51">
      <t>カイチョウ</t>
    </rPh>
    <rPh sb="51" eb="53">
      <t>ダイリ</t>
    </rPh>
    <rPh sb="54" eb="55">
      <t>キュウ</t>
    </rPh>
    <rPh sb="59" eb="62">
      <t>カンジチョウ</t>
    </rPh>
    <phoneticPr fontId="3"/>
  </si>
  <si>
    <t>公</t>
    <rPh sb="0" eb="1">
      <t>コウ</t>
    </rPh>
    <phoneticPr fontId="3"/>
  </si>
  <si>
    <t>川越　孝洋</t>
    <rPh sb="0" eb="2">
      <t>カワゴエ</t>
    </rPh>
    <rPh sb="3" eb="5">
      <t>タカヒロ</t>
    </rPh>
    <phoneticPr fontId="3"/>
  </si>
  <si>
    <t>311比例九州08</t>
    <rPh sb="3" eb="5">
      <t>ヒレイ</t>
    </rPh>
    <rPh sb="5" eb="7">
      <t>キュウシュウ</t>
    </rPh>
    <phoneticPr fontId="3"/>
  </si>
  <si>
    <t>高(大分工)</t>
    <rPh sb="0" eb="1">
      <t>コウ</t>
    </rPh>
    <rPh sb="2" eb="4">
      <t>オオイタ</t>
    </rPh>
    <rPh sb="4" eb="5">
      <t>コウ</t>
    </rPh>
    <phoneticPr fontId="3"/>
  </si>
  <si>
    <t>長崎県議(長崎市),長崎県・長崎市議,三菱電機労組支部委員長</t>
    <rPh sb="0" eb="2">
      <t>ナガサキ</t>
    </rPh>
    <rPh sb="2" eb="4">
      <t>ケンギ</t>
    </rPh>
    <rPh sb="5" eb="8">
      <t>ナガサキシ</t>
    </rPh>
    <rPh sb="10" eb="13">
      <t>ナガサキケン</t>
    </rPh>
    <rPh sb="14" eb="16">
      <t>ナガサキ</t>
    </rPh>
    <rPh sb="16" eb="18">
      <t>シギ</t>
    </rPh>
    <rPh sb="19" eb="21">
      <t>ミツビシ</t>
    </rPh>
    <rPh sb="21" eb="23">
      <t>デンキ</t>
    </rPh>
    <rPh sb="23" eb="25">
      <t>ロウソ</t>
    </rPh>
    <rPh sb="25" eb="27">
      <t>シブ</t>
    </rPh>
    <rPh sb="27" eb="30">
      <t>イインチョウ</t>
    </rPh>
    <phoneticPr fontId="3"/>
  </si>
  <si>
    <t>　元大臣(経産,通産,運輸),委長(議運,農水,大蔵),政務次官(大蔵),旧たちあがれ日本代表</t>
    <rPh sb="1" eb="4">
      <t>モトダイジン</t>
    </rPh>
    <rPh sb="5" eb="7">
      <t>ケイサン</t>
    </rPh>
    <rPh sb="8" eb="10">
      <t>ツウサン</t>
    </rPh>
    <rPh sb="11" eb="13">
      <t>ウンユ</t>
    </rPh>
    <rPh sb="15" eb="17">
      <t>イチョウ</t>
    </rPh>
    <rPh sb="18" eb="19">
      <t>ギ</t>
    </rPh>
    <rPh sb="19" eb="20">
      <t>ウン</t>
    </rPh>
    <rPh sb="21" eb="23">
      <t>ノウスイ</t>
    </rPh>
    <rPh sb="24" eb="26">
      <t>オオクラ</t>
    </rPh>
    <rPh sb="28" eb="30">
      <t>セイム</t>
    </rPh>
    <rPh sb="30" eb="32">
      <t>ジカン</t>
    </rPh>
    <rPh sb="33" eb="35">
      <t>オオクラ</t>
    </rPh>
    <rPh sb="37" eb="38">
      <t>キュウ</t>
    </rPh>
    <rPh sb="43" eb="45">
      <t>ニホン</t>
    </rPh>
    <rPh sb="45" eb="47">
      <t>ダイヒョウ</t>
    </rPh>
    <phoneticPr fontId="3"/>
  </si>
  <si>
    <t>弓削　勇人</t>
    <rPh sb="0" eb="2">
      <t>ユゲ</t>
    </rPh>
    <rPh sb="3" eb="5">
      <t>ハヤト</t>
    </rPh>
    <phoneticPr fontId="3"/>
  </si>
  <si>
    <t>専門学校長(グルノーブル美容専門学校)</t>
    <rPh sb="0" eb="2">
      <t>センモン</t>
    </rPh>
    <rPh sb="2" eb="5">
      <t>ガッコウチョウ</t>
    </rPh>
    <rPh sb="12" eb="14">
      <t>ビヨウ</t>
    </rPh>
    <rPh sb="14" eb="16">
      <t>センモン</t>
    </rPh>
    <rPh sb="16" eb="18">
      <t>ガッコウ</t>
    </rPh>
    <phoneticPr fontId="3"/>
  </si>
  <si>
    <t>001北海道1区05</t>
    <rPh sb="3" eb="6">
      <t>ホッカイドウ</t>
    </rPh>
    <rPh sb="7" eb="8">
      <t>ク</t>
    </rPh>
    <phoneticPr fontId="3"/>
  </si>
  <si>
    <t>清水　宏保</t>
    <rPh sb="0" eb="2">
      <t>シミズ</t>
    </rPh>
    <rPh sb="3" eb="5">
      <t>ヒロヤス</t>
    </rPh>
    <phoneticPr fontId="3"/>
  </si>
  <si>
    <t>大(日本)</t>
    <rPh sb="0" eb="1">
      <t>ダイ</t>
    </rPh>
    <rPh sb="2" eb="4">
      <t>ニホン</t>
    </rPh>
    <phoneticPr fontId="3"/>
  </si>
  <si>
    <t>大院在(日本)</t>
    <rPh sb="0" eb="2">
      <t>ダイイン</t>
    </rPh>
    <rPh sb="2" eb="3">
      <t>ザイ</t>
    </rPh>
    <rPh sb="4" eb="6">
      <t>ニホン</t>
    </rPh>
    <phoneticPr fontId="3"/>
  </si>
  <si>
    <t>テレビコメンテーター,プロスケーター</t>
    <phoneticPr fontId="3"/>
  </si>
  <si>
    <t>大</t>
    <rPh sb="0" eb="1">
      <t>ダイ</t>
    </rPh>
    <phoneticPr fontId="3"/>
  </si>
  <si>
    <t>003北海道3区04</t>
    <rPh sb="3" eb="6">
      <t>ホッカイドウ</t>
    </rPh>
    <rPh sb="7" eb="8">
      <t>ク</t>
    </rPh>
    <phoneticPr fontId="3"/>
  </si>
  <si>
    <t>町川　順子</t>
    <rPh sb="0" eb="1">
      <t>マチ</t>
    </rPh>
    <rPh sb="1" eb="2">
      <t>カワ</t>
    </rPh>
    <rPh sb="3" eb="5">
      <t>ジュンコ</t>
    </rPh>
    <phoneticPr fontId="3"/>
  </si>
  <si>
    <t>高(高松東)</t>
    <rPh sb="0" eb="1">
      <t>コウ</t>
    </rPh>
    <rPh sb="2" eb="4">
      <t>タカマツ</t>
    </rPh>
    <rPh sb="4" eb="5">
      <t>ヒガシ</t>
    </rPh>
    <phoneticPr fontId="3"/>
  </si>
  <si>
    <t>美容健康研究家(HANAジュンコ)</t>
    <rPh sb="0" eb="2">
      <t>ビヨウ</t>
    </rPh>
    <rPh sb="2" eb="4">
      <t>ケンコウ</t>
    </rPh>
    <rPh sb="4" eb="7">
      <t>ケンキュウカ</t>
    </rPh>
    <phoneticPr fontId="3"/>
  </si>
  <si>
    <t>004北海道4区04</t>
    <rPh sb="3" eb="6">
      <t>ホッカイドウ</t>
    </rPh>
    <rPh sb="7" eb="8">
      <t>ク</t>
    </rPh>
    <phoneticPr fontId="3"/>
  </si>
  <si>
    <t>苫米地　英人</t>
    <rPh sb="0" eb="3">
      <t>トマベチ</t>
    </rPh>
    <rPh sb="4" eb="6">
      <t>ヒデト</t>
    </rPh>
    <phoneticPr fontId="3"/>
  </si>
  <si>
    <t>大院(米/カーネギーメロン)</t>
    <rPh sb="0" eb="2">
      <t>ダイイン</t>
    </rPh>
    <rPh sb="3" eb="4">
      <t>ベイ</t>
    </rPh>
    <phoneticPr fontId="3"/>
  </si>
  <si>
    <t>認知科学者,大学教員(徳島大学助教授)</t>
    <rPh sb="0" eb="2">
      <t>ニンチ</t>
    </rPh>
    <rPh sb="2" eb="5">
      <t>カガクシャ</t>
    </rPh>
    <rPh sb="6" eb="8">
      <t>ダイガク</t>
    </rPh>
    <rPh sb="8" eb="10">
      <t>キョウイン</t>
    </rPh>
    <rPh sb="11" eb="13">
      <t>トクシマ</t>
    </rPh>
    <rPh sb="13" eb="15">
      <t>ダイガク</t>
    </rPh>
    <rPh sb="15" eb="18">
      <t>ジョキョウジュ</t>
    </rPh>
    <phoneticPr fontId="3"/>
  </si>
  <si>
    <t>304比例南関東10</t>
    <rPh sb="3" eb="5">
      <t>ヒレイ</t>
    </rPh>
    <rPh sb="5" eb="8">
      <t>ミナミカントウ</t>
    </rPh>
    <phoneticPr fontId="3"/>
  </si>
  <si>
    <t>内閣官房副長官，元委長(参交情),民主党国対委長代理,参2</t>
    <rPh sb="0" eb="2">
      <t>ナイカク</t>
    </rPh>
    <rPh sb="2" eb="4">
      <t>カンボウ</t>
    </rPh>
    <rPh sb="4" eb="7">
      <t>フクチョウカン</t>
    </rPh>
    <rPh sb="8" eb="9">
      <t>モト</t>
    </rPh>
    <rPh sb="9" eb="11">
      <t>イチョウ</t>
    </rPh>
    <rPh sb="12" eb="13">
      <t>サン</t>
    </rPh>
    <rPh sb="13" eb="15">
      <t>コウジョウ</t>
    </rPh>
    <rPh sb="17" eb="20">
      <t>ミンシュトウ</t>
    </rPh>
    <rPh sb="20" eb="24">
      <t>コクタイイチョウ</t>
    </rPh>
    <rPh sb="24" eb="26">
      <t>ダイリ</t>
    </rPh>
    <rPh sb="27" eb="28">
      <t>サン</t>
    </rPh>
    <phoneticPr fontId="3"/>
  </si>
  <si>
    <t>議鞍労</t>
    <rPh sb="0" eb="1">
      <t>ギ</t>
    </rPh>
    <rPh sb="1" eb="2">
      <t>クラ</t>
    </rPh>
    <rPh sb="2" eb="3">
      <t>ロウ</t>
    </rPh>
    <phoneticPr fontId="3"/>
  </si>
  <si>
    <t>鞍</t>
    <rPh sb="0" eb="1">
      <t>クラ</t>
    </rPh>
    <phoneticPr fontId="3"/>
  </si>
  <si>
    <t>青木　和也</t>
    <rPh sb="0" eb="2">
      <t>アオキ</t>
    </rPh>
    <rPh sb="3" eb="5">
      <t>カズヤ</t>
    </rPh>
    <phoneticPr fontId="3"/>
  </si>
  <si>
    <t>議員秘書(三宅雪子)</t>
    <rPh sb="0" eb="2">
      <t>ギイン</t>
    </rPh>
    <rPh sb="2" eb="4">
      <t>ヒショ</t>
    </rPh>
    <rPh sb="5" eb="7">
      <t>ミヤケ</t>
    </rPh>
    <rPh sb="7" eb="9">
      <t>ユキコ</t>
    </rPh>
    <phoneticPr fontId="3"/>
  </si>
  <si>
    <t>神谷　宗幣</t>
    <rPh sb="0" eb="2">
      <t>カミヤ</t>
    </rPh>
    <rPh sb="3" eb="4">
      <t>ソウ</t>
    </rPh>
    <rPh sb="4" eb="5">
      <t>ヘイ</t>
    </rPh>
    <phoneticPr fontId="3"/>
  </si>
  <si>
    <t>大阪府・吹田市議,スーパー店長,高校教諭</t>
    <rPh sb="0" eb="3">
      <t>オオサカフ</t>
    </rPh>
    <rPh sb="4" eb="6">
      <t>スイタ</t>
    </rPh>
    <rPh sb="6" eb="8">
      <t>シギ</t>
    </rPh>
    <rPh sb="13" eb="15">
      <t>テンチョウ</t>
    </rPh>
    <rPh sb="16" eb="18">
      <t>コウコウ</t>
    </rPh>
    <rPh sb="18" eb="20">
      <t>キョウユ</t>
    </rPh>
    <phoneticPr fontId="3"/>
  </si>
  <si>
    <t>鈴木　貴子</t>
    <rPh sb="0" eb="2">
      <t>スズキ</t>
    </rPh>
    <rPh sb="3" eb="5">
      <t>タカコ</t>
    </rPh>
    <phoneticPr fontId="3"/>
  </si>
  <si>
    <t>テレビ局員(NHK)</t>
    <rPh sb="3" eb="5">
      <t>キョクイン</t>
    </rPh>
    <phoneticPr fontId="3"/>
  </si>
  <si>
    <t>江口　善明</t>
    <rPh sb="0" eb="2">
      <t>エグチ</t>
    </rPh>
    <rPh sb="3" eb="5">
      <t>ヨシアキ</t>
    </rPh>
    <phoneticPr fontId="3"/>
  </si>
  <si>
    <t>福岡県議(久留米市),福岡県・久留米市議,テレビ記者(九州朝日放送)</t>
    <rPh sb="0" eb="2">
      <t>フクオカ</t>
    </rPh>
    <rPh sb="2" eb="4">
      <t>ケンギ</t>
    </rPh>
    <rPh sb="5" eb="9">
      <t>クルメシ</t>
    </rPh>
    <rPh sb="11" eb="14">
      <t>フクオカケン</t>
    </rPh>
    <rPh sb="15" eb="18">
      <t>クルメ</t>
    </rPh>
    <rPh sb="18" eb="20">
      <t>シギ</t>
    </rPh>
    <rPh sb="24" eb="26">
      <t>キシャ</t>
    </rPh>
    <rPh sb="27" eb="29">
      <t>キュウシュウ</t>
    </rPh>
    <rPh sb="29" eb="31">
      <t>アサヒ</t>
    </rPh>
    <rPh sb="31" eb="33">
      <t>ホウソウ</t>
    </rPh>
    <phoneticPr fontId="3"/>
  </si>
  <si>
    <t>議ジ</t>
    <rPh sb="0" eb="1">
      <t>ギ</t>
    </rPh>
    <phoneticPr fontId="3"/>
  </si>
  <si>
    <t>ジ</t>
    <phoneticPr fontId="3"/>
  </si>
  <si>
    <t>福田　衣里子</t>
    <rPh sb="0" eb="2">
      <t>フクダ</t>
    </rPh>
    <rPh sb="3" eb="6">
      <t>エリコ</t>
    </rPh>
    <phoneticPr fontId="3"/>
  </si>
  <si>
    <t>278長崎2区</t>
    <rPh sb="3" eb="5">
      <t>ナガサキ</t>
    </rPh>
    <rPh sb="6" eb="7">
      <t>ク</t>
    </rPh>
    <phoneticPr fontId="3"/>
  </si>
  <si>
    <t>大中(広島修道)</t>
    <rPh sb="0" eb="1">
      <t>ダイ</t>
    </rPh>
    <rPh sb="1" eb="2">
      <t>チュウ</t>
    </rPh>
    <rPh sb="3" eb="5">
      <t>ヒロシマ</t>
    </rPh>
    <rPh sb="5" eb="7">
      <t>シュウドウ</t>
    </rPh>
    <phoneticPr fontId="3"/>
  </si>
  <si>
    <t>薬害肝炎九州訴訟原告団代表</t>
    <rPh sb="0" eb="2">
      <t>ヤクガイ</t>
    </rPh>
    <rPh sb="2" eb="4">
      <t>カンエン</t>
    </rPh>
    <rPh sb="4" eb="6">
      <t>キュウシュウ</t>
    </rPh>
    <rPh sb="6" eb="8">
      <t>ソショウ</t>
    </rPh>
    <rPh sb="8" eb="11">
      <t>ゲンコクダン</t>
    </rPh>
    <rPh sb="11" eb="13">
      <t>ダイヒョウ</t>
    </rPh>
    <phoneticPr fontId="3"/>
  </si>
  <si>
    <t>奥村　愼太郎</t>
    <rPh sb="0" eb="2">
      <t>オクムラ</t>
    </rPh>
    <rPh sb="3" eb="6">
      <t>シンタロウ</t>
    </rPh>
    <phoneticPr fontId="3"/>
  </si>
  <si>
    <t>首</t>
    <rPh sb="0" eb="1">
      <t>クビ</t>
    </rPh>
    <phoneticPr fontId="3"/>
  </si>
  <si>
    <t>議首</t>
    <rPh sb="0" eb="1">
      <t>ギ</t>
    </rPh>
    <rPh sb="1" eb="2">
      <t>クビ</t>
    </rPh>
    <phoneticPr fontId="3"/>
  </si>
  <si>
    <t>長崎県・雲仙市長,長崎県議(雲仙市),議員秘書(久間章生)</t>
    <rPh sb="0" eb="3">
      <t>ナガサキケン</t>
    </rPh>
    <rPh sb="4" eb="6">
      <t>ウンゼン</t>
    </rPh>
    <rPh sb="6" eb="8">
      <t>シチョウ</t>
    </rPh>
    <rPh sb="9" eb="11">
      <t>ナガサキ</t>
    </rPh>
    <rPh sb="11" eb="13">
      <t>ケンギ</t>
    </rPh>
    <rPh sb="14" eb="17">
      <t>ウンゼンシ</t>
    </rPh>
    <rPh sb="19" eb="21">
      <t>ギイン</t>
    </rPh>
    <rPh sb="21" eb="23">
      <t>ヒショ</t>
    </rPh>
    <rPh sb="24" eb="26">
      <t>キュウマ</t>
    </rPh>
    <rPh sb="26" eb="28">
      <t>フミオ</t>
    </rPh>
    <phoneticPr fontId="3"/>
  </si>
  <si>
    <t>大阪府・泉佐野市議,議員秘書(松浪健四郎)</t>
    <rPh sb="0" eb="3">
      <t>オオサカフ</t>
    </rPh>
    <rPh sb="4" eb="7">
      <t>イズミサノ</t>
    </rPh>
    <rPh sb="7" eb="9">
      <t>シギ</t>
    </rPh>
    <rPh sb="10" eb="12">
      <t>ギイン</t>
    </rPh>
    <rPh sb="12" eb="14">
      <t>ヒショ</t>
    </rPh>
    <rPh sb="15" eb="17">
      <t>マツナミ</t>
    </rPh>
    <rPh sb="17" eb="20">
      <t>ケンシロウ</t>
    </rPh>
    <phoneticPr fontId="3"/>
  </si>
  <si>
    <t>藤井　孝男</t>
    <rPh sb="0" eb="2">
      <t>フジイ</t>
    </rPh>
    <rPh sb="3" eb="5">
      <t>タカオ</t>
    </rPh>
    <phoneticPr fontId="3"/>
  </si>
  <si>
    <t>0721岐阜県01</t>
    <rPh sb="4" eb="7">
      <t>ギフケン</t>
    </rPh>
    <phoneticPr fontId="3"/>
  </si>
  <si>
    <t>参</t>
    <rPh sb="0" eb="1">
      <t>サン</t>
    </rPh>
    <phoneticPr fontId="3"/>
  </si>
  <si>
    <t>大(成城)</t>
    <rPh sb="0" eb="1">
      <t>ダイ</t>
    </rPh>
    <rPh sb="2" eb="4">
      <t>セイジョウ</t>
    </rPh>
    <phoneticPr fontId="3"/>
  </si>
  <si>
    <t>議員秘書(藤井丙午),会社員(アラビア石油)</t>
    <rPh sb="0" eb="2">
      <t>ギイン</t>
    </rPh>
    <rPh sb="2" eb="4">
      <t>ヒショ</t>
    </rPh>
    <rPh sb="5" eb="7">
      <t>フジイ</t>
    </rPh>
    <rPh sb="7" eb="9">
      <t>ヘイゴ</t>
    </rPh>
    <rPh sb="11" eb="14">
      <t>カイシャイン</t>
    </rPh>
    <rPh sb="19" eb="21">
      <t>セキユ</t>
    </rPh>
    <phoneticPr fontId="3"/>
  </si>
  <si>
    <t>　元大臣(運輸),委長(議運,予算,参懲罰,参大蔵),政務次官(大蔵),旧たちあがれ日本参院代表,自民党参院国対委長,参4</t>
    <rPh sb="1" eb="4">
      <t>モトダイジン</t>
    </rPh>
    <rPh sb="5" eb="7">
      <t>ウンユ</t>
    </rPh>
    <rPh sb="9" eb="11">
      <t>イチョウ</t>
    </rPh>
    <rPh sb="12" eb="13">
      <t>ギ</t>
    </rPh>
    <rPh sb="13" eb="14">
      <t>ウン</t>
    </rPh>
    <rPh sb="15" eb="17">
      <t>ヨサン</t>
    </rPh>
    <rPh sb="18" eb="19">
      <t>サン</t>
    </rPh>
    <rPh sb="19" eb="21">
      <t>チョウバツ</t>
    </rPh>
    <rPh sb="22" eb="23">
      <t>サン</t>
    </rPh>
    <rPh sb="23" eb="25">
      <t>オオクラ</t>
    </rPh>
    <rPh sb="27" eb="29">
      <t>セイム</t>
    </rPh>
    <rPh sb="29" eb="31">
      <t>ジカン</t>
    </rPh>
    <rPh sb="32" eb="34">
      <t>オオクラ</t>
    </rPh>
    <rPh sb="36" eb="37">
      <t>キュウ</t>
    </rPh>
    <rPh sb="42" eb="44">
      <t>ニホン</t>
    </rPh>
    <rPh sb="44" eb="46">
      <t>サンイン</t>
    </rPh>
    <rPh sb="46" eb="48">
      <t>ダイヒョウ</t>
    </rPh>
    <rPh sb="49" eb="52">
      <t>ジミントウ</t>
    </rPh>
    <rPh sb="52" eb="54">
      <t>サンイン</t>
    </rPh>
    <rPh sb="54" eb="58">
      <t>コクタイイチョウ</t>
    </rPh>
    <rPh sb="59" eb="60">
      <t>サン</t>
    </rPh>
    <phoneticPr fontId="3"/>
  </si>
  <si>
    <t>鞍二</t>
    <rPh sb="0" eb="1">
      <t>クラ</t>
    </rPh>
    <rPh sb="1" eb="2">
      <t>ニ</t>
    </rPh>
    <phoneticPr fontId="3"/>
  </si>
  <si>
    <t>鞍</t>
    <rPh sb="0" eb="1">
      <t>クラ</t>
    </rPh>
    <phoneticPr fontId="3"/>
  </si>
  <si>
    <t>二</t>
    <rPh sb="0" eb="1">
      <t>ニ</t>
    </rPh>
    <phoneticPr fontId="3"/>
  </si>
  <si>
    <t>野中　幸市</t>
    <rPh sb="0" eb="2">
      <t>ノナカ</t>
    </rPh>
    <rPh sb="3" eb="5">
      <t>コウイチ</t>
    </rPh>
    <phoneticPr fontId="3"/>
  </si>
  <si>
    <t>大院(北九州市立)</t>
    <rPh sb="0" eb="2">
      <t>ダイイン</t>
    </rPh>
    <rPh sb="3" eb="6">
      <t>キタキュウシュウ</t>
    </rPh>
    <rPh sb="6" eb="8">
      <t>イチリツ</t>
    </rPh>
    <phoneticPr fontId="3"/>
  </si>
  <si>
    <t>256愛媛1区05</t>
    <rPh sb="3" eb="5">
      <t>エヒメ</t>
    </rPh>
    <rPh sb="6" eb="7">
      <t>ク</t>
    </rPh>
    <phoneticPr fontId="3"/>
  </si>
  <si>
    <t>郡　　昭浩</t>
    <rPh sb="0" eb="1">
      <t>コオリ</t>
    </rPh>
    <rPh sb="3" eb="5">
      <t>アキヒロ</t>
    </rPh>
    <phoneticPr fontId="3"/>
  </si>
  <si>
    <t>塾講師</t>
    <rPh sb="0" eb="3">
      <t>ジュクコウシ</t>
    </rPh>
    <phoneticPr fontId="3"/>
  </si>
  <si>
    <t>160静岡7区04</t>
    <rPh sb="3" eb="5">
      <t>シズオカ</t>
    </rPh>
    <rPh sb="6" eb="7">
      <t>ク</t>
    </rPh>
    <phoneticPr fontId="3"/>
  </si>
  <si>
    <t>河合　純一</t>
    <rPh sb="0" eb="2">
      <t>カワイ</t>
    </rPh>
    <rPh sb="3" eb="5">
      <t>ジュンイチ</t>
    </rPh>
    <phoneticPr fontId="3"/>
  </si>
  <si>
    <t>水泳選手,中学校教諭</t>
    <rPh sb="0" eb="2">
      <t>スイエイ</t>
    </rPh>
    <rPh sb="2" eb="4">
      <t>センシュ</t>
    </rPh>
    <rPh sb="5" eb="8">
      <t>チュウガッコウ</t>
    </rPh>
    <rPh sb="8" eb="10">
      <t>キョウユ</t>
    </rPh>
    <phoneticPr fontId="3"/>
  </si>
  <si>
    <t>144長野1区04</t>
    <rPh sb="3" eb="5">
      <t>ナガノ</t>
    </rPh>
    <rPh sb="6" eb="7">
      <t>ク</t>
    </rPh>
    <phoneticPr fontId="3"/>
  </si>
  <si>
    <t>宮沢　隆仁</t>
    <rPh sb="0" eb="2">
      <t>ミヤザワ</t>
    </rPh>
    <rPh sb="3" eb="5">
      <t>タカヒト</t>
    </rPh>
    <phoneticPr fontId="3"/>
  </si>
  <si>
    <t>大(順天堂)</t>
    <rPh sb="0" eb="1">
      <t>ダイ</t>
    </rPh>
    <rPh sb="2" eb="5">
      <t>ジュンテンドウ</t>
    </rPh>
    <phoneticPr fontId="3"/>
  </si>
  <si>
    <t>テレビ局員(北海道文化放送)</t>
    <rPh sb="3" eb="5">
      <t>キョクイン</t>
    </rPh>
    <rPh sb="6" eb="9">
      <t>ホッカイドウ</t>
    </rPh>
    <rPh sb="9" eb="11">
      <t>ブンカ</t>
    </rPh>
    <rPh sb="11" eb="13">
      <t>ホウソウ</t>
    </rPh>
    <phoneticPr fontId="3"/>
  </si>
  <si>
    <t>議員秘書(小渕恵三),テレビ局員(TBS)</t>
    <rPh sb="0" eb="2">
      <t>ギイン</t>
    </rPh>
    <rPh sb="2" eb="4">
      <t>ヒショ</t>
    </rPh>
    <rPh sb="5" eb="7">
      <t>オブチ</t>
    </rPh>
    <rPh sb="7" eb="9">
      <t>ケイゾウ</t>
    </rPh>
    <rPh sb="14" eb="16">
      <t>キョクイン</t>
    </rPh>
    <phoneticPr fontId="3"/>
  </si>
  <si>
    <t>経営コンサルタント,会社員(ソフトバンク),医師</t>
    <rPh sb="0" eb="2">
      <t>ケイエイ</t>
    </rPh>
    <rPh sb="10" eb="13">
      <t>カイシャイン</t>
    </rPh>
    <rPh sb="22" eb="24">
      <t>イシ</t>
    </rPh>
    <phoneticPr fontId="3"/>
  </si>
  <si>
    <t>大(神戸女学院)</t>
    <rPh sb="0" eb="1">
      <t>ダイ</t>
    </rPh>
    <rPh sb="2" eb="4">
      <t>コウベ</t>
    </rPh>
    <rPh sb="4" eb="7">
      <t>ジョガクイン</t>
    </rPh>
    <phoneticPr fontId="3"/>
  </si>
  <si>
    <t>医師(伊東クリニック/形成外科)</t>
    <rPh sb="0" eb="2">
      <t>イシ</t>
    </rPh>
    <rPh sb="3" eb="5">
      <t>イトウ</t>
    </rPh>
    <rPh sb="11" eb="13">
      <t>ケイセイ</t>
    </rPh>
    <rPh sb="13" eb="15">
      <t>ゲカ</t>
    </rPh>
    <phoneticPr fontId="3"/>
  </si>
  <si>
    <t>岡山県・倉敷市議,議員秘書(加藤六月)</t>
    <rPh sb="0" eb="3">
      <t>オカヤマケン</t>
    </rPh>
    <rPh sb="4" eb="6">
      <t>クラシキ</t>
    </rPh>
    <rPh sb="6" eb="8">
      <t>シギ</t>
    </rPh>
    <rPh sb="9" eb="11">
      <t>ギイン</t>
    </rPh>
    <rPh sb="11" eb="13">
      <t>ヒショ</t>
    </rPh>
    <rPh sb="14" eb="16">
      <t>カトウ</t>
    </rPh>
    <rPh sb="16" eb="18">
      <t>ムツキ</t>
    </rPh>
    <phoneticPr fontId="3"/>
  </si>
  <si>
    <t>―</t>
    <phoneticPr fontId="3"/>
  </si>
  <si>
    <t>003北海道3区05</t>
    <rPh sb="3" eb="6">
      <t>ホッカイドウ</t>
    </rPh>
    <rPh sb="7" eb="8">
      <t>ク</t>
    </rPh>
    <phoneticPr fontId="3"/>
  </si>
  <si>
    <t>072千葉3区05</t>
    <rPh sb="3" eb="5">
      <t>チバ</t>
    </rPh>
    <rPh sb="6" eb="7">
      <t>ク</t>
    </rPh>
    <phoneticPr fontId="3"/>
  </si>
  <si>
    <t>小林　　隆</t>
    <rPh sb="0" eb="2">
      <t>コバヤシ</t>
    </rPh>
    <rPh sb="4" eb="5">
      <t>タカシ</t>
    </rPh>
    <phoneticPr fontId="3"/>
  </si>
  <si>
    <t>092神奈川10区05</t>
    <rPh sb="3" eb="6">
      <t>カナガワ</t>
    </rPh>
    <rPh sb="8" eb="9">
      <t>ク</t>
    </rPh>
    <phoneticPr fontId="3"/>
  </si>
  <si>
    <t>石川　輝久</t>
    <rPh sb="0" eb="2">
      <t>イシカワ</t>
    </rPh>
    <rPh sb="3" eb="5">
      <t>テルヒサ</t>
    </rPh>
    <phoneticPr fontId="3"/>
  </si>
  <si>
    <t>民</t>
    <rPh sb="0" eb="1">
      <t>ミン</t>
    </rPh>
    <phoneticPr fontId="3"/>
  </si>
  <si>
    <t>神奈川県議(横浜市緑区),議員秘書(羽田孜),会社員(ヤナセ)</t>
    <rPh sb="0" eb="3">
      <t>カナガワ</t>
    </rPh>
    <rPh sb="3" eb="5">
      <t>ケンギ</t>
    </rPh>
    <rPh sb="6" eb="9">
      <t>ヨコハマシ</t>
    </rPh>
    <rPh sb="9" eb="11">
      <t>ミドリク</t>
    </rPh>
    <rPh sb="13" eb="15">
      <t>ギイン</t>
    </rPh>
    <rPh sb="15" eb="17">
      <t>ヒショ</t>
    </rPh>
    <rPh sb="18" eb="20">
      <t>ハタ</t>
    </rPh>
    <rPh sb="20" eb="21">
      <t>ツトム</t>
    </rPh>
    <rPh sb="23" eb="26">
      <t>カイシャイン</t>
    </rPh>
    <phoneticPr fontId="3"/>
  </si>
  <si>
    <t>田坂　幾太</t>
    <rPh sb="0" eb="2">
      <t>タサカ</t>
    </rPh>
    <rPh sb="3" eb="5">
      <t>イクタ</t>
    </rPh>
    <phoneticPr fontId="3"/>
  </si>
  <si>
    <t>京都府議(京都市北区),議員秘書(植木光教)</t>
    <rPh sb="0" eb="2">
      <t>キョウト</t>
    </rPh>
    <rPh sb="2" eb="4">
      <t>フギ</t>
    </rPh>
    <rPh sb="5" eb="8">
      <t>キョウトシ</t>
    </rPh>
    <rPh sb="8" eb="10">
      <t>キタク</t>
    </rPh>
    <rPh sb="12" eb="14">
      <t>ギイン</t>
    </rPh>
    <rPh sb="14" eb="16">
      <t>ヒショ</t>
    </rPh>
    <rPh sb="17" eb="19">
      <t>ウエキ</t>
    </rPh>
    <rPh sb="19" eb="21">
      <t>ミツノリ</t>
    </rPh>
    <phoneticPr fontId="3"/>
  </si>
  <si>
    <t>189京都4区08</t>
    <rPh sb="3" eb="5">
      <t>キョウト</t>
    </rPh>
    <rPh sb="6" eb="7">
      <t>ク</t>
    </rPh>
    <phoneticPr fontId="3"/>
  </si>
  <si>
    <t>畑本　久仁枝</t>
    <rPh sb="0" eb="2">
      <t>ハタモト</t>
    </rPh>
    <rPh sb="3" eb="6">
      <t>クニエ</t>
    </rPh>
    <phoneticPr fontId="3"/>
  </si>
  <si>
    <t>団体代表(経済人クラブ),会社社長(アーバン京都)</t>
    <rPh sb="0" eb="2">
      <t>ダンタイ</t>
    </rPh>
    <rPh sb="2" eb="4">
      <t>ダイヒョウ</t>
    </rPh>
    <rPh sb="5" eb="8">
      <t>ケイザイジン</t>
    </rPh>
    <rPh sb="13" eb="15">
      <t>カイシャ</t>
    </rPh>
    <rPh sb="15" eb="17">
      <t>シャチョウ</t>
    </rPh>
    <rPh sb="22" eb="24">
      <t>キョウト</t>
    </rPh>
    <phoneticPr fontId="3"/>
  </si>
  <si>
    <t>222兵庫12区04</t>
    <rPh sb="3" eb="5">
      <t>ヒョウゴ</t>
    </rPh>
    <rPh sb="7" eb="8">
      <t>ク</t>
    </rPh>
    <phoneticPr fontId="3"/>
  </si>
  <si>
    <t>宮崎　健治</t>
    <rPh sb="0" eb="2">
      <t>ミヤザキ</t>
    </rPh>
    <rPh sb="3" eb="5">
      <t>ケンジ</t>
    </rPh>
    <phoneticPr fontId="3"/>
  </si>
  <si>
    <t>会社社長(アブアンドピースエンターテイメント)</t>
    <rPh sb="0" eb="2">
      <t>カイシャ</t>
    </rPh>
    <rPh sb="2" eb="4">
      <t>シャチョウ</t>
    </rPh>
    <phoneticPr fontId="3"/>
  </si>
  <si>
    <t>熊本県・蘇陽町議,洋菓子店経営,銀行員(東海銀行)</t>
    <rPh sb="0" eb="3">
      <t>クマモトケン</t>
    </rPh>
    <rPh sb="4" eb="6">
      <t>ソヨウ</t>
    </rPh>
    <rPh sb="6" eb="8">
      <t>チョウギ</t>
    </rPh>
    <rPh sb="9" eb="13">
      <t>ヨウガシテン</t>
    </rPh>
    <rPh sb="13" eb="15">
      <t>ケイエイ</t>
    </rPh>
    <rPh sb="16" eb="19">
      <t>ギンコウイン</t>
    </rPh>
    <rPh sb="20" eb="22">
      <t>トウカイ</t>
    </rPh>
    <rPh sb="22" eb="24">
      <t>ギンコウ</t>
    </rPh>
    <phoneticPr fontId="3"/>
  </si>
  <si>
    <t>大(中部)</t>
    <rPh sb="0" eb="1">
      <t>ダイ</t>
    </rPh>
    <rPh sb="2" eb="4">
      <t>チュウブ</t>
    </rPh>
    <phoneticPr fontId="3"/>
  </si>
  <si>
    <t>歯科医師,会社員(ユーシーカード)</t>
    <rPh sb="0" eb="4">
      <t>シカイシ</t>
    </rPh>
    <rPh sb="5" eb="8">
      <t>カイシャイン</t>
    </rPh>
    <phoneticPr fontId="3"/>
  </si>
  <si>
    <t>短大(跡見学園)</t>
    <rPh sb="0" eb="2">
      <t>タンダイ</t>
    </rPh>
    <rPh sb="3" eb="5">
      <t>アトミ</t>
    </rPh>
    <rPh sb="5" eb="7">
      <t>ガクエン</t>
    </rPh>
    <phoneticPr fontId="3"/>
  </si>
  <si>
    <t>神奈川県議(横浜市青葉区),特許事務所職員</t>
    <rPh sb="0" eb="3">
      <t>カナガワ</t>
    </rPh>
    <rPh sb="3" eb="5">
      <t>ケンギ</t>
    </rPh>
    <rPh sb="6" eb="9">
      <t>ヨコハマシ</t>
    </rPh>
    <rPh sb="9" eb="12">
      <t>アオバク</t>
    </rPh>
    <rPh sb="14" eb="16">
      <t>トッキョ</t>
    </rPh>
    <rPh sb="16" eb="19">
      <t>ジムショ</t>
    </rPh>
    <rPh sb="19" eb="21">
      <t>ショクイン</t>
    </rPh>
    <phoneticPr fontId="3"/>
  </si>
  <si>
    <t>ジ二</t>
    <rPh sb="1" eb="2">
      <t>ニ</t>
    </rPh>
    <phoneticPr fontId="3"/>
  </si>
  <si>
    <t>議員秘書(森裕子),会社員(ダイナム)</t>
    <rPh sb="0" eb="2">
      <t>ギイン</t>
    </rPh>
    <rPh sb="2" eb="4">
      <t>ヒショ</t>
    </rPh>
    <rPh sb="5" eb="6">
      <t>モリ</t>
    </rPh>
    <rPh sb="6" eb="8">
      <t>ユウコ</t>
    </rPh>
    <rPh sb="10" eb="13">
      <t>カイシャイン</t>
    </rPh>
    <phoneticPr fontId="3"/>
  </si>
  <si>
    <t>竹中　由美子</t>
    <rPh sb="0" eb="2">
      <t>タケナカ</t>
    </rPh>
    <rPh sb="3" eb="6">
      <t>ユミコ</t>
    </rPh>
    <phoneticPr fontId="3"/>
  </si>
  <si>
    <t>大(神戸女子)</t>
    <rPh sb="0" eb="1">
      <t>ダイ</t>
    </rPh>
    <rPh sb="2" eb="4">
      <t>コウベ</t>
    </rPh>
    <rPh sb="4" eb="6">
      <t>ジョシ</t>
    </rPh>
    <phoneticPr fontId="3"/>
  </si>
  <si>
    <t>愛媛県・大西町議</t>
    <rPh sb="0" eb="3">
      <t>エヒメケン</t>
    </rPh>
    <rPh sb="4" eb="6">
      <t>オオニシ</t>
    </rPh>
    <rPh sb="6" eb="8">
      <t>チョウギ</t>
    </rPh>
    <phoneticPr fontId="3"/>
  </si>
  <si>
    <t>269福岡7区04</t>
    <rPh sb="3" eb="5">
      <t>フクオカ</t>
    </rPh>
    <rPh sb="6" eb="7">
      <t>ク</t>
    </rPh>
    <phoneticPr fontId="3"/>
  </si>
  <si>
    <t>古賀　輝生</t>
    <rPh sb="0" eb="2">
      <t>コガ</t>
    </rPh>
    <rPh sb="3" eb="5">
      <t>テルオ</t>
    </rPh>
    <phoneticPr fontId="3"/>
  </si>
  <si>
    <t>議員秘書(大島九州男),雑貨店経営</t>
    <rPh sb="0" eb="2">
      <t>ギイン</t>
    </rPh>
    <rPh sb="2" eb="4">
      <t>ヒショ</t>
    </rPh>
    <rPh sb="5" eb="7">
      <t>オオシマ</t>
    </rPh>
    <rPh sb="7" eb="10">
      <t>クスオ</t>
    </rPh>
    <rPh sb="12" eb="15">
      <t>ザッカテン</t>
    </rPh>
    <rPh sb="15" eb="17">
      <t>ケイエイ</t>
    </rPh>
    <phoneticPr fontId="3"/>
  </si>
  <si>
    <t>大(法政)</t>
    <rPh sb="0" eb="1">
      <t>ダイ</t>
    </rPh>
    <rPh sb="2" eb="4">
      <t>ホウセイ</t>
    </rPh>
    <phoneticPr fontId="3"/>
  </si>
  <si>
    <t>高(与野)</t>
    <rPh sb="0" eb="1">
      <t>コウ</t>
    </rPh>
    <rPh sb="2" eb="4">
      <t>ヨノ</t>
    </rPh>
    <phoneticPr fontId="3"/>
  </si>
  <si>
    <t>共産党地区委員,主婦</t>
    <rPh sb="0" eb="3">
      <t>キョウサントウ</t>
    </rPh>
    <rPh sb="3" eb="5">
      <t>チク</t>
    </rPh>
    <rPh sb="5" eb="7">
      <t>イイン</t>
    </rPh>
    <rPh sb="8" eb="10">
      <t>シュフ</t>
    </rPh>
    <phoneticPr fontId="3"/>
  </si>
  <si>
    <t>斎藤　康雄</t>
    <rPh sb="0" eb="2">
      <t>サイトウ</t>
    </rPh>
    <rPh sb="3" eb="5">
      <t>ヤスオ</t>
    </rPh>
    <phoneticPr fontId="3"/>
  </si>
  <si>
    <t>131新潟3区04</t>
    <rPh sb="3" eb="5">
      <t>ニイガタ</t>
    </rPh>
    <rPh sb="6" eb="7">
      <t>ク</t>
    </rPh>
    <phoneticPr fontId="3"/>
  </si>
  <si>
    <t>三村　誉一</t>
    <rPh sb="0" eb="2">
      <t>ミムラ</t>
    </rPh>
    <rPh sb="3" eb="5">
      <t>ヨイチ</t>
    </rPh>
    <phoneticPr fontId="3"/>
  </si>
  <si>
    <t>大(明治)</t>
    <rPh sb="0" eb="1">
      <t>ダイ</t>
    </rPh>
    <rPh sb="2" eb="4">
      <t>メイジ</t>
    </rPh>
    <phoneticPr fontId="3"/>
  </si>
  <si>
    <t>3007比例北海道共産01</t>
    <rPh sb="4" eb="6">
      <t>ヒレイ</t>
    </rPh>
    <rPh sb="6" eb="9">
      <t>ホッカイドウ</t>
    </rPh>
    <rPh sb="9" eb="11">
      <t>キョウサン</t>
    </rPh>
    <phoneticPr fontId="3"/>
  </si>
  <si>
    <t>3008比例北海道社民01</t>
    <rPh sb="4" eb="6">
      <t>ヒレイ</t>
    </rPh>
    <rPh sb="6" eb="9">
      <t>ホッカイドウ</t>
    </rPh>
    <rPh sb="9" eb="11">
      <t>シャミン</t>
    </rPh>
    <phoneticPr fontId="3"/>
  </si>
  <si>
    <t>3107比例東北共産01</t>
    <rPh sb="4" eb="6">
      <t>ヒレイ</t>
    </rPh>
    <rPh sb="6" eb="8">
      <t>トウホク</t>
    </rPh>
    <rPh sb="8" eb="10">
      <t>キョウサン</t>
    </rPh>
    <phoneticPr fontId="3"/>
  </si>
  <si>
    <t>3107比例東北共産02</t>
    <rPh sb="4" eb="6">
      <t>ヒレイ</t>
    </rPh>
    <rPh sb="6" eb="8">
      <t>トウホク</t>
    </rPh>
    <rPh sb="8" eb="10">
      <t>キョウサン</t>
    </rPh>
    <phoneticPr fontId="3"/>
  </si>
  <si>
    <t>3108比例東北社民01</t>
    <rPh sb="4" eb="6">
      <t>ヒレイ</t>
    </rPh>
    <rPh sb="6" eb="8">
      <t>トウホク</t>
    </rPh>
    <rPh sb="8" eb="10">
      <t>シャミン</t>
    </rPh>
    <phoneticPr fontId="3"/>
  </si>
  <si>
    <t>3108比例東北社民02</t>
    <rPh sb="4" eb="6">
      <t>ヒレイ</t>
    </rPh>
    <rPh sb="6" eb="8">
      <t>トウホク</t>
    </rPh>
    <rPh sb="8" eb="10">
      <t>シャミン</t>
    </rPh>
    <phoneticPr fontId="3"/>
  </si>
  <si>
    <t>3207比例北関東共産01</t>
    <rPh sb="4" eb="6">
      <t>ヒレイ</t>
    </rPh>
    <rPh sb="6" eb="9">
      <t>キタカントウ</t>
    </rPh>
    <rPh sb="9" eb="11">
      <t>キョウサン</t>
    </rPh>
    <phoneticPr fontId="3"/>
  </si>
  <si>
    <t>3207比例北関東共産02</t>
    <rPh sb="4" eb="6">
      <t>ヒレイ</t>
    </rPh>
    <rPh sb="6" eb="9">
      <t>キタカントウ</t>
    </rPh>
    <rPh sb="9" eb="11">
      <t>キョウサン</t>
    </rPh>
    <phoneticPr fontId="3"/>
  </si>
  <si>
    <t>3307比例南関東共産01</t>
    <rPh sb="4" eb="6">
      <t>ヒレイ</t>
    </rPh>
    <rPh sb="6" eb="9">
      <t>ミナミカントウ</t>
    </rPh>
    <rPh sb="9" eb="11">
      <t>キョウサン</t>
    </rPh>
    <phoneticPr fontId="3"/>
  </si>
  <si>
    <t>3307比例南関東共産02</t>
    <rPh sb="4" eb="6">
      <t>ヒレイ</t>
    </rPh>
    <rPh sb="6" eb="9">
      <t>ミナミカントウ</t>
    </rPh>
    <rPh sb="9" eb="11">
      <t>キョウサン</t>
    </rPh>
    <phoneticPr fontId="3"/>
  </si>
  <si>
    <t>3307比例南関東共産03</t>
    <rPh sb="4" eb="6">
      <t>ヒレイ</t>
    </rPh>
    <rPh sb="6" eb="9">
      <t>ミナミカントウ</t>
    </rPh>
    <rPh sb="9" eb="11">
      <t>キョウサン</t>
    </rPh>
    <phoneticPr fontId="3"/>
  </si>
  <si>
    <t>3407比例東京共産01</t>
    <rPh sb="4" eb="6">
      <t>ヒレイ</t>
    </rPh>
    <rPh sb="6" eb="8">
      <t>トウキョウ</t>
    </rPh>
    <rPh sb="8" eb="10">
      <t>キョウサン</t>
    </rPh>
    <phoneticPr fontId="3"/>
  </si>
  <si>
    <t>3407比例東京共産02</t>
    <rPh sb="4" eb="6">
      <t>ヒレイ</t>
    </rPh>
    <rPh sb="6" eb="8">
      <t>トウキョウ</t>
    </rPh>
    <rPh sb="8" eb="10">
      <t>キョウサン</t>
    </rPh>
    <phoneticPr fontId="3"/>
  </si>
  <si>
    <t>3407比例東京共産03</t>
    <rPh sb="4" eb="6">
      <t>ヒレイ</t>
    </rPh>
    <rPh sb="6" eb="8">
      <t>トウキョウ</t>
    </rPh>
    <rPh sb="8" eb="10">
      <t>キョウサン</t>
    </rPh>
    <phoneticPr fontId="3"/>
  </si>
  <si>
    <t>3405比例東京維新01</t>
    <rPh sb="4" eb="6">
      <t>ヒレイ</t>
    </rPh>
    <rPh sb="6" eb="8">
      <t>トウキョウ</t>
    </rPh>
    <rPh sb="8" eb="10">
      <t>イシン</t>
    </rPh>
    <phoneticPr fontId="3"/>
  </si>
  <si>
    <t>3507比例北信越共産01</t>
    <rPh sb="4" eb="6">
      <t>ヒレイ</t>
    </rPh>
    <rPh sb="6" eb="9">
      <t>ホクシンエツ</t>
    </rPh>
    <rPh sb="9" eb="11">
      <t>キョウサン</t>
    </rPh>
    <phoneticPr fontId="3"/>
  </si>
  <si>
    <t>3507比例北信越共産02</t>
    <rPh sb="4" eb="6">
      <t>ヒレイ</t>
    </rPh>
    <rPh sb="6" eb="9">
      <t>ホクシンエツ</t>
    </rPh>
    <rPh sb="9" eb="11">
      <t>キョウサン</t>
    </rPh>
    <phoneticPr fontId="3"/>
  </si>
  <si>
    <t>3607比例東海共産01</t>
    <rPh sb="4" eb="6">
      <t>ヒレイ</t>
    </rPh>
    <rPh sb="6" eb="8">
      <t>トウカイ</t>
    </rPh>
    <rPh sb="8" eb="10">
      <t>キョウサン</t>
    </rPh>
    <phoneticPr fontId="3"/>
  </si>
  <si>
    <t>3607比例東海共産02</t>
    <rPh sb="4" eb="6">
      <t>ヒレイ</t>
    </rPh>
    <rPh sb="6" eb="8">
      <t>トウカイ</t>
    </rPh>
    <rPh sb="8" eb="10">
      <t>キョウサン</t>
    </rPh>
    <phoneticPr fontId="3"/>
  </si>
  <si>
    <t>3607比例東海共産03</t>
    <rPh sb="4" eb="6">
      <t>ヒレイ</t>
    </rPh>
    <rPh sb="6" eb="8">
      <t>トウカイ</t>
    </rPh>
    <rPh sb="8" eb="10">
      <t>キョウサン</t>
    </rPh>
    <phoneticPr fontId="3"/>
  </si>
  <si>
    <t>3608比例東海社民01</t>
    <rPh sb="4" eb="6">
      <t>ヒレイ</t>
    </rPh>
    <rPh sb="6" eb="8">
      <t>トウカイ</t>
    </rPh>
    <rPh sb="8" eb="10">
      <t>シャミン</t>
    </rPh>
    <phoneticPr fontId="3"/>
  </si>
  <si>
    <t>3605比例東海維新01</t>
    <rPh sb="4" eb="6">
      <t>ヒレイ</t>
    </rPh>
    <rPh sb="6" eb="8">
      <t>トウカイ</t>
    </rPh>
    <rPh sb="8" eb="10">
      <t>イシン</t>
    </rPh>
    <phoneticPr fontId="3"/>
  </si>
  <si>
    <t>3707比例近畿共産01</t>
    <rPh sb="4" eb="6">
      <t>ヒレイ</t>
    </rPh>
    <rPh sb="6" eb="8">
      <t>キンキ</t>
    </rPh>
    <rPh sb="8" eb="10">
      <t>キョウサン</t>
    </rPh>
    <phoneticPr fontId="3"/>
  </si>
  <si>
    <t>3707比例近畿共産02</t>
    <rPh sb="4" eb="6">
      <t>ヒレイ</t>
    </rPh>
    <rPh sb="6" eb="8">
      <t>キンキ</t>
    </rPh>
    <rPh sb="8" eb="10">
      <t>キョウサン</t>
    </rPh>
    <phoneticPr fontId="3"/>
  </si>
  <si>
    <t>3708比例近畿社民01</t>
    <rPh sb="4" eb="6">
      <t>ヒレイ</t>
    </rPh>
    <rPh sb="6" eb="8">
      <t>キンキ</t>
    </rPh>
    <rPh sb="8" eb="10">
      <t>シャミン</t>
    </rPh>
    <phoneticPr fontId="3"/>
  </si>
  <si>
    <t>3705比例近畿維新01</t>
    <rPh sb="4" eb="6">
      <t>ヒレイ</t>
    </rPh>
    <rPh sb="6" eb="8">
      <t>キンキ</t>
    </rPh>
    <rPh sb="8" eb="10">
      <t>イシン</t>
    </rPh>
    <phoneticPr fontId="3"/>
  </si>
  <si>
    <t>3807比例中国共産01</t>
    <rPh sb="4" eb="6">
      <t>ヒレイ</t>
    </rPh>
    <rPh sb="6" eb="8">
      <t>チュウゴク</t>
    </rPh>
    <rPh sb="8" eb="10">
      <t>キョウサン</t>
    </rPh>
    <phoneticPr fontId="3"/>
  </si>
  <si>
    <t>3807比例中国共産02</t>
    <rPh sb="4" eb="6">
      <t>ヒレイ</t>
    </rPh>
    <rPh sb="6" eb="8">
      <t>チュウゴク</t>
    </rPh>
    <rPh sb="8" eb="10">
      <t>キョウサン</t>
    </rPh>
    <phoneticPr fontId="3"/>
  </si>
  <si>
    <t>3808比例中国社民01</t>
    <rPh sb="4" eb="6">
      <t>ヒレイ</t>
    </rPh>
    <rPh sb="6" eb="8">
      <t>チュウゴク</t>
    </rPh>
    <rPh sb="8" eb="10">
      <t>シャミン</t>
    </rPh>
    <phoneticPr fontId="3"/>
  </si>
  <si>
    <t>3907比例四国共産01</t>
    <rPh sb="4" eb="6">
      <t>ヒレイ</t>
    </rPh>
    <rPh sb="6" eb="8">
      <t>シコク</t>
    </rPh>
    <rPh sb="8" eb="10">
      <t>キョウサン</t>
    </rPh>
    <phoneticPr fontId="3"/>
  </si>
  <si>
    <t>4007比例九州共産02</t>
    <rPh sb="4" eb="6">
      <t>ヒレイ</t>
    </rPh>
    <rPh sb="6" eb="8">
      <t>キュウシュウ</t>
    </rPh>
    <rPh sb="8" eb="10">
      <t>キョウサン</t>
    </rPh>
    <phoneticPr fontId="3"/>
  </si>
  <si>
    <t>203大阪12区04</t>
    <rPh sb="3" eb="5">
      <t>オオサカ</t>
    </rPh>
    <rPh sb="7" eb="8">
      <t>ク</t>
    </rPh>
    <phoneticPr fontId="3"/>
  </si>
  <si>
    <t>234岡山1区03</t>
    <rPh sb="3" eb="5">
      <t>オカヤマ</t>
    </rPh>
    <rPh sb="6" eb="7">
      <t>ク</t>
    </rPh>
    <phoneticPr fontId="3"/>
  </si>
  <si>
    <t>高(福島農蚕)</t>
    <rPh sb="0" eb="1">
      <t>コウ</t>
    </rPh>
    <rPh sb="2" eb="4">
      <t>フクシマ</t>
    </rPh>
    <rPh sb="4" eb="5">
      <t>ノウ</t>
    </rPh>
    <rPh sb="5" eb="6">
      <t>サン</t>
    </rPh>
    <phoneticPr fontId="3"/>
  </si>
  <si>
    <t>福島県・東和町議,議員秘書(増子輝彦)</t>
    <rPh sb="0" eb="3">
      <t>フクシマケン</t>
    </rPh>
    <rPh sb="4" eb="6">
      <t>トウワ</t>
    </rPh>
    <rPh sb="6" eb="8">
      <t>チョウギ</t>
    </rPh>
    <rPh sb="9" eb="11">
      <t>ギイン</t>
    </rPh>
    <rPh sb="11" eb="13">
      <t>ヒショ</t>
    </rPh>
    <rPh sb="14" eb="16">
      <t>マシコ</t>
    </rPh>
    <rPh sb="16" eb="18">
      <t>テルヒコ</t>
    </rPh>
    <phoneticPr fontId="3"/>
  </si>
  <si>
    <t>議</t>
    <rPh sb="0" eb="1">
      <t>ギ</t>
    </rPh>
    <phoneticPr fontId="3"/>
  </si>
  <si>
    <t>東郷　哲也</t>
    <rPh sb="0" eb="2">
      <t>トウゴウ</t>
    </rPh>
    <rPh sb="3" eb="5">
      <t>テツヤ</t>
    </rPh>
    <phoneticPr fontId="3"/>
  </si>
  <si>
    <t>愛知県・名古屋市議,議員秘書(青木宏之)</t>
    <rPh sb="0" eb="3">
      <t>アイチケン</t>
    </rPh>
    <rPh sb="4" eb="7">
      <t>ナゴヤ</t>
    </rPh>
    <rPh sb="7" eb="9">
      <t>シギ</t>
    </rPh>
    <rPh sb="10" eb="12">
      <t>ギイン</t>
    </rPh>
    <rPh sb="12" eb="14">
      <t>ヒショ</t>
    </rPh>
    <rPh sb="15" eb="17">
      <t>アオキ</t>
    </rPh>
    <rPh sb="17" eb="19">
      <t>ヒロユキ</t>
    </rPh>
    <phoneticPr fontId="3"/>
  </si>
  <si>
    <t>坂口　親宏</t>
    <rPh sb="0" eb="2">
      <t>サカグチ</t>
    </rPh>
    <rPh sb="3" eb="4">
      <t>チカ</t>
    </rPh>
    <rPh sb="4" eb="5">
      <t>ヒロ</t>
    </rPh>
    <phoneticPr fontId="3"/>
  </si>
  <si>
    <t>ジ</t>
    <phoneticPr fontId="3"/>
  </si>
  <si>
    <t>医師(脳神経外科)</t>
    <rPh sb="0" eb="2">
      <t>イシ</t>
    </rPh>
    <rPh sb="3" eb="6">
      <t>ノウシンケイ</t>
    </rPh>
    <rPh sb="6" eb="8">
      <t>ゲカ</t>
    </rPh>
    <phoneticPr fontId="3"/>
  </si>
  <si>
    <t>花岡　明久</t>
    <rPh sb="0" eb="2">
      <t>ハナオカ</t>
    </rPh>
    <rPh sb="3" eb="5">
      <t>アキヒサ</t>
    </rPh>
    <phoneticPr fontId="3"/>
  </si>
  <si>
    <t>財満　慎太郎</t>
    <rPh sb="0" eb="1">
      <t>ザイ</t>
    </rPh>
    <rPh sb="1" eb="2">
      <t>マ</t>
    </rPh>
    <rPh sb="3" eb="6">
      <t>シンタロウ</t>
    </rPh>
    <phoneticPr fontId="3"/>
  </si>
  <si>
    <t>3308比例南関東社民01</t>
    <rPh sb="4" eb="6">
      <t>ヒレイ</t>
    </rPh>
    <rPh sb="6" eb="9">
      <t>ミナミカントウ</t>
    </rPh>
    <rPh sb="9" eb="11">
      <t>シャミン</t>
    </rPh>
    <phoneticPr fontId="3"/>
  </si>
  <si>
    <t>上田　恵子</t>
    <rPh sb="0" eb="2">
      <t>ウエダ</t>
    </rPh>
    <rPh sb="3" eb="5">
      <t>ケイコ</t>
    </rPh>
    <phoneticPr fontId="3"/>
  </si>
  <si>
    <t>大院(英/エセックス)</t>
    <rPh sb="0" eb="2">
      <t>ダイイン</t>
    </rPh>
    <rPh sb="3" eb="4">
      <t>エイ</t>
    </rPh>
    <phoneticPr fontId="3"/>
  </si>
  <si>
    <t>議員秘書(福島瑞穂,原陽子)</t>
    <rPh sb="0" eb="2">
      <t>ギイン</t>
    </rPh>
    <rPh sb="2" eb="4">
      <t>ヒショ</t>
    </rPh>
    <rPh sb="5" eb="7">
      <t>フクシマ</t>
    </rPh>
    <rPh sb="7" eb="9">
      <t>ミズホ</t>
    </rPh>
    <rPh sb="10" eb="11">
      <t>ハラ</t>
    </rPh>
    <rPh sb="11" eb="13">
      <t>ヨウコ</t>
    </rPh>
    <phoneticPr fontId="3"/>
  </si>
  <si>
    <t>高橋　　渡</t>
    <rPh sb="0" eb="2">
      <t>タカハシ</t>
    </rPh>
    <rPh sb="4" eb="5">
      <t>ワタル</t>
    </rPh>
    <phoneticPr fontId="3"/>
  </si>
  <si>
    <t>短大(富山県立技術)</t>
    <rPh sb="0" eb="2">
      <t>タンダイ</t>
    </rPh>
    <rPh sb="3" eb="5">
      <t>トヤマ</t>
    </rPh>
    <rPh sb="5" eb="7">
      <t>ケンリツ</t>
    </rPh>
    <rPh sb="7" eb="9">
      <t>ギジュツ</t>
    </rPh>
    <phoneticPr fontId="3"/>
  </si>
  <si>
    <t>共産党富山県常任委員</t>
    <rPh sb="0" eb="3">
      <t>キョウサントウ</t>
    </rPh>
    <rPh sb="3" eb="6">
      <t>トヤマケン</t>
    </rPh>
    <rPh sb="6" eb="8">
      <t>ジョウニン</t>
    </rPh>
    <rPh sb="8" eb="10">
      <t>イイン</t>
    </rPh>
    <phoneticPr fontId="3"/>
  </si>
  <si>
    <t>289宮崎1区06</t>
    <rPh sb="3" eb="5">
      <t>ミヤザキ</t>
    </rPh>
    <rPh sb="6" eb="7">
      <t>ク</t>
    </rPh>
    <phoneticPr fontId="3"/>
  </si>
  <si>
    <t>松村　秀利</t>
    <rPh sb="0" eb="2">
      <t>マツムラ</t>
    </rPh>
    <rPh sb="3" eb="5">
      <t>ヒデトシ</t>
    </rPh>
    <phoneticPr fontId="3"/>
  </si>
  <si>
    <t>高(有明)</t>
    <rPh sb="0" eb="1">
      <t>コウ</t>
    </rPh>
    <rPh sb="2" eb="4">
      <t>アリアケ</t>
    </rPh>
    <phoneticPr fontId="3"/>
  </si>
  <si>
    <t>社民党宮崎県連合幹事長,国労地区役員</t>
    <rPh sb="0" eb="3">
      <t>シャミントウ</t>
    </rPh>
    <rPh sb="3" eb="6">
      <t>ミヤザキケン</t>
    </rPh>
    <rPh sb="6" eb="8">
      <t>レンゴウ</t>
    </rPh>
    <rPh sb="8" eb="11">
      <t>カンジチョウ</t>
    </rPh>
    <rPh sb="12" eb="14">
      <t>コクロウ</t>
    </rPh>
    <rPh sb="14" eb="16">
      <t>チク</t>
    </rPh>
    <rPh sb="16" eb="18">
      <t>ヤクイン</t>
    </rPh>
    <phoneticPr fontId="3"/>
  </si>
  <si>
    <t>労</t>
    <rPh sb="0" eb="1">
      <t>ロウ</t>
    </rPh>
    <phoneticPr fontId="3"/>
  </si>
  <si>
    <t>009北海道9区04</t>
    <rPh sb="3" eb="6">
      <t>ホッカイドウ</t>
    </rPh>
    <rPh sb="7" eb="8">
      <t>ク</t>
    </rPh>
    <phoneticPr fontId="3"/>
  </si>
  <si>
    <t>島崎　直美</t>
    <rPh sb="0" eb="2">
      <t>シマザキ</t>
    </rPh>
    <rPh sb="3" eb="5">
      <t>ナオミ</t>
    </rPh>
    <phoneticPr fontId="3"/>
  </si>
  <si>
    <t>アイヌ</t>
    <phoneticPr fontId="3"/>
  </si>
  <si>
    <t>アイヌ民族党代表代行</t>
    <rPh sb="3" eb="5">
      <t>ミンゾク</t>
    </rPh>
    <rPh sb="5" eb="6">
      <t>トウ</t>
    </rPh>
    <rPh sb="6" eb="8">
      <t>ダイヒョウ</t>
    </rPh>
    <rPh sb="8" eb="10">
      <t>ダイコウ</t>
    </rPh>
    <phoneticPr fontId="3"/>
  </si>
  <si>
    <t>高(雄峰)</t>
    <rPh sb="0" eb="1">
      <t>コウ</t>
    </rPh>
    <rPh sb="2" eb="4">
      <t>ユウホウ</t>
    </rPh>
    <phoneticPr fontId="3"/>
  </si>
  <si>
    <t>3208比例北関東社民01</t>
    <rPh sb="4" eb="6">
      <t>ヒレイ</t>
    </rPh>
    <rPh sb="6" eb="9">
      <t>キタカントウ</t>
    </rPh>
    <rPh sb="9" eb="11">
      <t>シャミン</t>
    </rPh>
    <phoneticPr fontId="3"/>
  </si>
  <si>
    <t>松澤　悦子</t>
    <rPh sb="0" eb="2">
      <t>マツザワ</t>
    </rPh>
    <rPh sb="3" eb="5">
      <t>エツコ</t>
    </rPh>
    <phoneticPr fontId="3"/>
  </si>
  <si>
    <t>高(浦和第一女子)</t>
    <rPh sb="0" eb="1">
      <t>コウ</t>
    </rPh>
    <rPh sb="2" eb="4">
      <t>ウラワ</t>
    </rPh>
    <rPh sb="4" eb="6">
      <t>ダイイチ</t>
    </rPh>
    <rPh sb="6" eb="8">
      <t>ジョシ</t>
    </rPh>
    <phoneticPr fontId="3"/>
  </si>
  <si>
    <t>社民党埼玉県連合幹事長,さいたま市職労副委員長</t>
    <rPh sb="0" eb="3">
      <t>シャミントウ</t>
    </rPh>
    <rPh sb="3" eb="6">
      <t>サイタマケン</t>
    </rPh>
    <rPh sb="6" eb="8">
      <t>レンゴウ</t>
    </rPh>
    <rPh sb="8" eb="11">
      <t>カンジチョウ</t>
    </rPh>
    <rPh sb="16" eb="18">
      <t>シショク</t>
    </rPh>
    <rPh sb="18" eb="19">
      <t>ロウ</t>
    </rPh>
    <rPh sb="19" eb="23">
      <t>フクイインチョウ</t>
    </rPh>
    <phoneticPr fontId="3"/>
  </si>
  <si>
    <t>植竹　哲也</t>
    <rPh sb="0" eb="2">
      <t>ウエタケ</t>
    </rPh>
    <rPh sb="3" eb="5">
      <t>テツヤ</t>
    </rPh>
    <phoneticPr fontId="3"/>
  </si>
  <si>
    <t>大在(慶應)</t>
    <rPh sb="0" eb="1">
      <t>ダイ</t>
    </rPh>
    <rPh sb="1" eb="2">
      <t>ザイ</t>
    </rPh>
    <rPh sb="3" eb="5">
      <t>ケイオウ</t>
    </rPh>
    <phoneticPr fontId="3"/>
  </si>
  <si>
    <t>議員秘書(植竹繁雄),会社役員(Sunフーズ)</t>
    <rPh sb="0" eb="2">
      <t>ギイン</t>
    </rPh>
    <rPh sb="2" eb="4">
      <t>ヒショ</t>
    </rPh>
    <rPh sb="5" eb="7">
      <t>ウエタケ</t>
    </rPh>
    <rPh sb="7" eb="9">
      <t>シゲオ</t>
    </rPh>
    <rPh sb="11" eb="13">
      <t>カイシャ</t>
    </rPh>
    <rPh sb="13" eb="15">
      <t>ヤクイン</t>
    </rPh>
    <phoneticPr fontId="3"/>
  </si>
  <si>
    <t>二</t>
    <rPh sb="0" eb="1">
      <t>ニ</t>
    </rPh>
    <phoneticPr fontId="3"/>
  </si>
  <si>
    <t>安楽死</t>
    <rPh sb="0" eb="3">
      <t>アンラクシ</t>
    </rPh>
    <phoneticPr fontId="3"/>
  </si>
  <si>
    <t>安楽死党代表,会社社長(情報通信ネットワーク)</t>
    <rPh sb="0" eb="3">
      <t>アンラクシ</t>
    </rPh>
    <rPh sb="3" eb="4">
      <t>トウ</t>
    </rPh>
    <rPh sb="4" eb="6">
      <t>ダイヒョウ</t>
    </rPh>
    <rPh sb="7" eb="9">
      <t>カイシャ</t>
    </rPh>
    <rPh sb="9" eb="11">
      <t>シャチョウ</t>
    </rPh>
    <rPh sb="12" eb="16">
      <t>ジョウホウツウシン</t>
    </rPh>
    <phoneticPr fontId="3"/>
  </si>
  <si>
    <t>ジ二</t>
    <rPh sb="1" eb="2">
      <t>ニ</t>
    </rPh>
    <phoneticPr fontId="3"/>
  </si>
  <si>
    <t>山下　　魁</t>
    <rPh sb="0" eb="2">
      <t>ヤマシタ</t>
    </rPh>
    <rPh sb="4" eb="5">
      <t>カイ</t>
    </rPh>
    <phoneticPr fontId="3"/>
  </si>
  <si>
    <t>高(NHK学園)</t>
    <rPh sb="0" eb="1">
      <t>コウ</t>
    </rPh>
    <rPh sb="5" eb="7">
      <t>ガクエン</t>
    </rPh>
    <phoneticPr fontId="3"/>
  </si>
  <si>
    <t>共産党大分県委員,民青同盟大分県委員長</t>
    <rPh sb="0" eb="3">
      <t>キョウサントウ</t>
    </rPh>
    <rPh sb="3" eb="6">
      <t>オオイタケン</t>
    </rPh>
    <rPh sb="6" eb="8">
      <t>イイン</t>
    </rPh>
    <rPh sb="9" eb="13">
      <t>ミンセイドウメイ</t>
    </rPh>
    <rPh sb="13" eb="16">
      <t>オオイタケン</t>
    </rPh>
    <rPh sb="16" eb="19">
      <t>イインチョウ</t>
    </rPh>
    <phoneticPr fontId="3"/>
  </si>
  <si>
    <t>038茨城1区05</t>
    <rPh sb="3" eb="5">
      <t>イバラキ</t>
    </rPh>
    <rPh sb="6" eb="7">
      <t>ク</t>
    </rPh>
    <phoneticPr fontId="3"/>
  </si>
  <si>
    <t>武藤　優子</t>
    <rPh sb="0" eb="2">
      <t>ムトウ</t>
    </rPh>
    <rPh sb="3" eb="5">
      <t>ユウコ</t>
    </rPh>
    <phoneticPr fontId="3"/>
  </si>
  <si>
    <t>069埼玉15区05</t>
    <rPh sb="3" eb="5">
      <t>サイタマ</t>
    </rPh>
    <rPh sb="7" eb="8">
      <t>ク</t>
    </rPh>
    <phoneticPr fontId="3"/>
  </si>
  <si>
    <t>小高　真由美</t>
    <rPh sb="0" eb="2">
      <t>コダカ</t>
    </rPh>
    <rPh sb="3" eb="6">
      <t>マユミ</t>
    </rPh>
    <phoneticPr fontId="3"/>
  </si>
  <si>
    <t>コミュニティ誌事務局長</t>
    <rPh sb="6" eb="7">
      <t>シ</t>
    </rPh>
    <rPh sb="7" eb="9">
      <t>ジム</t>
    </rPh>
    <rPh sb="9" eb="11">
      <t>キョクチョウ</t>
    </rPh>
    <phoneticPr fontId="3"/>
  </si>
  <si>
    <t>075千葉6区05</t>
    <rPh sb="3" eb="5">
      <t>チバ</t>
    </rPh>
    <rPh sb="6" eb="7">
      <t>ク</t>
    </rPh>
    <phoneticPr fontId="3"/>
  </si>
  <si>
    <t>106東京3区04</t>
    <rPh sb="3" eb="5">
      <t>トウキョウ</t>
    </rPh>
    <rPh sb="6" eb="7">
      <t>ク</t>
    </rPh>
    <phoneticPr fontId="3"/>
  </si>
  <si>
    <t>池田　剛久</t>
    <rPh sb="0" eb="2">
      <t>イケダ</t>
    </rPh>
    <rPh sb="3" eb="4">
      <t>ゴウ</t>
    </rPh>
    <rPh sb="4" eb="5">
      <t>キュウ</t>
    </rPh>
    <phoneticPr fontId="3"/>
  </si>
  <si>
    <t>議員秘書(松原仁)</t>
    <rPh sb="0" eb="2">
      <t>ギイン</t>
    </rPh>
    <rPh sb="2" eb="4">
      <t>ヒショ</t>
    </rPh>
    <rPh sb="5" eb="7">
      <t>マツバラ</t>
    </rPh>
    <rPh sb="7" eb="8">
      <t>ジン</t>
    </rPh>
    <phoneticPr fontId="3"/>
  </si>
  <si>
    <t>110東京7区05</t>
    <rPh sb="3" eb="5">
      <t>トウキョウ</t>
    </rPh>
    <rPh sb="6" eb="7">
      <t>ク</t>
    </rPh>
    <phoneticPr fontId="3"/>
  </si>
  <si>
    <t>岡本　幸三</t>
    <rPh sb="0" eb="2">
      <t>オカモト</t>
    </rPh>
    <rPh sb="3" eb="5">
      <t>コウゾウ</t>
    </rPh>
    <phoneticPr fontId="3"/>
  </si>
  <si>
    <t>多ヶ谷　亮</t>
    <rPh sb="0" eb="3">
      <t>タガヤ</t>
    </rPh>
    <rPh sb="4" eb="5">
      <t>リョウ</t>
    </rPh>
    <phoneticPr fontId="3"/>
  </si>
  <si>
    <t>会社社長(キーウエストエンタープライズ)</t>
    <rPh sb="0" eb="2">
      <t>カイシャ</t>
    </rPh>
    <rPh sb="2" eb="4">
      <t>シャチョウ</t>
    </rPh>
    <phoneticPr fontId="3"/>
  </si>
  <si>
    <t>橋本　久美</t>
    <rPh sb="0" eb="2">
      <t>ハシモト</t>
    </rPh>
    <rPh sb="3" eb="5">
      <t>クミ</t>
    </rPh>
    <phoneticPr fontId="3"/>
  </si>
  <si>
    <t>大院在(政策研究)</t>
    <rPh sb="0" eb="2">
      <t>ダイイン</t>
    </rPh>
    <rPh sb="2" eb="3">
      <t>ザイ</t>
    </rPh>
    <rPh sb="4" eb="6">
      <t>セイサク</t>
    </rPh>
    <rPh sb="6" eb="8">
      <t>ケンキュウ</t>
    </rPh>
    <phoneticPr fontId="3"/>
  </si>
  <si>
    <t>東京都・豊島区議,心理療法士</t>
    <rPh sb="0" eb="3">
      <t>トウキョウト</t>
    </rPh>
    <rPh sb="4" eb="6">
      <t>トシマ</t>
    </rPh>
    <rPh sb="6" eb="8">
      <t>クギ</t>
    </rPh>
    <rPh sb="9" eb="11">
      <t>シンリ</t>
    </rPh>
    <rPh sb="11" eb="14">
      <t>リョウホウシ</t>
    </rPh>
    <phoneticPr fontId="3"/>
  </si>
  <si>
    <t>121東京18区06</t>
    <rPh sb="3" eb="5">
      <t>トウキョウ</t>
    </rPh>
    <rPh sb="7" eb="8">
      <t>ク</t>
    </rPh>
    <phoneticPr fontId="3"/>
  </si>
  <si>
    <t>杉村　康之</t>
    <rPh sb="0" eb="2">
      <t>スギムラ</t>
    </rPh>
    <rPh sb="3" eb="5">
      <t>ヤスユキ</t>
    </rPh>
    <phoneticPr fontId="3"/>
  </si>
  <si>
    <t>東京都・府中市議,議員秘書(山田宏)</t>
    <rPh sb="0" eb="3">
      <t>トウキョウト</t>
    </rPh>
    <rPh sb="4" eb="6">
      <t>フチュウ</t>
    </rPh>
    <rPh sb="6" eb="8">
      <t>シギ</t>
    </rPh>
    <rPh sb="9" eb="11">
      <t>ギイン</t>
    </rPh>
    <rPh sb="11" eb="13">
      <t>ヒショ</t>
    </rPh>
    <rPh sb="14" eb="16">
      <t>ヤマダ</t>
    </rPh>
    <rPh sb="16" eb="17">
      <t>ヒロシ</t>
    </rPh>
    <phoneticPr fontId="3"/>
  </si>
  <si>
    <t>286大分1区05</t>
    <rPh sb="3" eb="5">
      <t>オオイタ</t>
    </rPh>
    <rPh sb="6" eb="7">
      <t>ク</t>
    </rPh>
    <phoneticPr fontId="3"/>
  </si>
  <si>
    <t>小手川　裕市</t>
    <rPh sb="0" eb="3">
      <t>コテガワ</t>
    </rPh>
    <rPh sb="4" eb="6">
      <t>ユウイチ</t>
    </rPh>
    <phoneticPr fontId="3"/>
  </si>
  <si>
    <t>調理師,別府市職員</t>
    <rPh sb="0" eb="3">
      <t>チョウリシ</t>
    </rPh>
    <rPh sb="4" eb="6">
      <t>ベップ</t>
    </rPh>
    <rPh sb="6" eb="9">
      <t>シショクイン</t>
    </rPh>
    <phoneticPr fontId="3"/>
  </si>
  <si>
    <t>神田　憲次</t>
    <rPh sb="0" eb="2">
      <t>カンダ</t>
    </rPh>
    <rPh sb="3" eb="5">
      <t>ケンジ</t>
    </rPh>
    <phoneticPr fontId="3"/>
  </si>
  <si>
    <t>橋本　千晶</t>
    <rPh sb="0" eb="2">
      <t>ハシモト</t>
    </rPh>
    <rPh sb="3" eb="5">
      <t>チアキ</t>
    </rPh>
    <phoneticPr fontId="3"/>
  </si>
  <si>
    <t>吉田　貴行</t>
    <rPh sb="0" eb="2">
      <t>ヨシダ</t>
    </rPh>
    <rPh sb="3" eb="5">
      <t>タカユキ</t>
    </rPh>
    <phoneticPr fontId="3"/>
  </si>
  <si>
    <t>宮崎県・新富町議</t>
    <rPh sb="0" eb="3">
      <t>ミヤザキケン</t>
    </rPh>
    <rPh sb="4" eb="6">
      <t>シントミ</t>
    </rPh>
    <rPh sb="6" eb="8">
      <t>チョウギ</t>
    </rPh>
    <phoneticPr fontId="3"/>
  </si>
  <si>
    <t>落合　勝二</t>
    <rPh sb="0" eb="2">
      <t>オチアイ</t>
    </rPh>
    <rPh sb="3" eb="5">
      <t>カツジ</t>
    </rPh>
    <phoneticPr fontId="3"/>
  </si>
  <si>
    <t>静岡県・浜松市議,浜松市職労委員長</t>
    <rPh sb="0" eb="3">
      <t>シズオカケン</t>
    </rPh>
    <rPh sb="4" eb="6">
      <t>ハママツ</t>
    </rPh>
    <rPh sb="6" eb="8">
      <t>シギ</t>
    </rPh>
    <rPh sb="9" eb="11">
      <t>ハママツ</t>
    </rPh>
    <rPh sb="11" eb="13">
      <t>シショク</t>
    </rPh>
    <rPh sb="13" eb="14">
      <t>ロウ</t>
    </rPh>
    <rPh sb="14" eb="17">
      <t>イインチョウ</t>
    </rPh>
    <phoneticPr fontId="3"/>
  </si>
  <si>
    <t>議労</t>
    <rPh sb="0" eb="1">
      <t>ギ</t>
    </rPh>
    <rPh sb="1" eb="2">
      <t>ロウ</t>
    </rPh>
    <phoneticPr fontId="3"/>
  </si>
  <si>
    <t>074千葉5区06</t>
    <rPh sb="3" eb="5">
      <t>チバ</t>
    </rPh>
    <rPh sb="6" eb="7">
      <t>ク</t>
    </rPh>
    <phoneticPr fontId="3"/>
  </si>
  <si>
    <t>会社社長(JALエアロコンサルティング)</t>
    <rPh sb="0" eb="2">
      <t>カイシャ</t>
    </rPh>
    <rPh sb="2" eb="4">
      <t>シャチョウ</t>
    </rPh>
    <phoneticPr fontId="3"/>
  </si>
  <si>
    <t>渡邊　耕士</t>
    <rPh sb="0" eb="2">
      <t>ワタナベ</t>
    </rPh>
    <rPh sb="3" eb="5">
      <t>コウジ</t>
    </rPh>
    <phoneticPr fontId="3"/>
  </si>
  <si>
    <t>075千葉6区06</t>
    <rPh sb="3" eb="5">
      <t>チバ</t>
    </rPh>
    <rPh sb="6" eb="7">
      <t>ク</t>
    </rPh>
    <phoneticPr fontId="3"/>
  </si>
  <si>
    <t>遠藤　宣彦</t>
    <rPh sb="0" eb="2">
      <t>エンドウ</t>
    </rPh>
    <rPh sb="3" eb="5">
      <t>ノブヒコ</t>
    </rPh>
    <phoneticPr fontId="3"/>
  </si>
  <si>
    <t>自</t>
    <rPh sb="0" eb="1">
      <t>ジ</t>
    </rPh>
    <phoneticPr fontId="3"/>
  </si>
  <si>
    <t>大(東京)</t>
    <rPh sb="0" eb="1">
      <t>ダイ</t>
    </rPh>
    <rPh sb="2" eb="4">
      <t>トウキョウ</t>
    </rPh>
    <phoneticPr fontId="3"/>
  </si>
  <si>
    <t>官</t>
    <rPh sb="0" eb="1">
      <t>カン</t>
    </rPh>
    <phoneticPr fontId="3"/>
  </si>
  <si>
    <t>議員秘書(高橋嘉信),郵政省官房財務部情報システム課長補佐</t>
    <rPh sb="0" eb="2">
      <t>ギイン</t>
    </rPh>
    <rPh sb="2" eb="4">
      <t>ヒショ</t>
    </rPh>
    <rPh sb="5" eb="7">
      <t>タカハシ</t>
    </rPh>
    <rPh sb="7" eb="9">
      <t>ヨシノブ</t>
    </rPh>
    <rPh sb="11" eb="19">
      <t>ユウセイショウカンボウザイムブ</t>
    </rPh>
    <rPh sb="19" eb="21">
      <t>ジョウホウ</t>
    </rPh>
    <rPh sb="25" eb="27">
      <t>カチョウ</t>
    </rPh>
    <rPh sb="27" eb="29">
      <t>ホサ</t>
    </rPh>
    <phoneticPr fontId="3"/>
  </si>
  <si>
    <t>105東京2区05</t>
    <rPh sb="3" eb="5">
      <t>トウキョウ</t>
    </rPh>
    <rPh sb="6" eb="7">
      <t>ク</t>
    </rPh>
    <phoneticPr fontId="3"/>
  </si>
  <si>
    <t>松本　和巳</t>
    <rPh sb="0" eb="2">
      <t>マツモト</t>
    </rPh>
    <rPh sb="3" eb="5">
      <t>カズミ</t>
    </rPh>
    <phoneticPr fontId="3"/>
  </si>
  <si>
    <t>大(日本)</t>
    <rPh sb="0" eb="1">
      <t>ダイ</t>
    </rPh>
    <rPh sb="2" eb="4">
      <t>ニホン</t>
    </rPh>
    <phoneticPr fontId="3"/>
  </si>
  <si>
    <t>議員秘書(松本和那),会社社長(エフアイエム)</t>
    <rPh sb="0" eb="2">
      <t>ギイン</t>
    </rPh>
    <rPh sb="2" eb="4">
      <t>ヒショ</t>
    </rPh>
    <rPh sb="5" eb="7">
      <t>マツモト</t>
    </rPh>
    <rPh sb="7" eb="8">
      <t>カズ</t>
    </rPh>
    <rPh sb="8" eb="9">
      <t>ナ</t>
    </rPh>
    <rPh sb="11" eb="13">
      <t>カイシャ</t>
    </rPh>
    <rPh sb="13" eb="15">
      <t>シャチョウ</t>
    </rPh>
    <phoneticPr fontId="3"/>
  </si>
  <si>
    <t>057埼玉3区05</t>
    <rPh sb="3" eb="5">
      <t>サイタマ</t>
    </rPh>
    <rPh sb="6" eb="7">
      <t>ク</t>
    </rPh>
    <phoneticPr fontId="3"/>
  </si>
  <si>
    <t>谷古宇　勘司</t>
    <rPh sb="0" eb="3">
      <t>ヤコウ</t>
    </rPh>
    <rPh sb="4" eb="6">
      <t>カンジ</t>
    </rPh>
    <phoneticPr fontId="3"/>
  </si>
  <si>
    <t>埼玉県議(草加市・南1)</t>
    <rPh sb="0" eb="2">
      <t>サイタマ</t>
    </rPh>
    <rPh sb="2" eb="4">
      <t>ケンギ</t>
    </rPh>
    <rPh sb="5" eb="8">
      <t>ソウカシ</t>
    </rPh>
    <rPh sb="9" eb="10">
      <t>ミナミ</t>
    </rPh>
    <phoneticPr fontId="3"/>
  </si>
  <si>
    <t>127東京24区05</t>
    <rPh sb="3" eb="5">
      <t>トウキョウ</t>
    </rPh>
    <rPh sb="7" eb="8">
      <t>ク</t>
    </rPh>
    <phoneticPr fontId="3"/>
  </si>
  <si>
    <t>藤井　義裕</t>
    <rPh sb="0" eb="2">
      <t>フジイ</t>
    </rPh>
    <rPh sb="3" eb="5">
      <t>ヨシヒロ</t>
    </rPh>
    <phoneticPr fontId="3"/>
  </si>
  <si>
    <t>大中(長崎)</t>
    <rPh sb="0" eb="1">
      <t>ダイ</t>
    </rPh>
    <rPh sb="1" eb="2">
      <t>チュウ</t>
    </rPh>
    <rPh sb="3" eb="5">
      <t>ナガサキ</t>
    </rPh>
    <phoneticPr fontId="3"/>
  </si>
  <si>
    <t>128東京25区04</t>
    <rPh sb="3" eb="5">
      <t>トウキョウ</t>
    </rPh>
    <rPh sb="7" eb="8">
      <t>ク</t>
    </rPh>
    <phoneticPr fontId="3"/>
  </si>
  <si>
    <t>松本　鉄平</t>
    <rPh sb="0" eb="2">
      <t>マツモト</t>
    </rPh>
    <rPh sb="3" eb="5">
      <t>テッペイ</t>
    </rPh>
    <phoneticPr fontId="3"/>
  </si>
  <si>
    <t>―</t>
    <phoneticPr fontId="3"/>
  </si>
  <si>
    <t>154静岡1区05</t>
    <rPh sb="3" eb="5">
      <t>シズオカ</t>
    </rPh>
    <rPh sb="6" eb="7">
      <t>ク</t>
    </rPh>
    <phoneticPr fontId="3"/>
  </si>
  <si>
    <t>尾崎　剛司</t>
    <rPh sb="0" eb="2">
      <t>オザキ</t>
    </rPh>
    <rPh sb="3" eb="5">
      <t>タケシ</t>
    </rPh>
    <phoneticPr fontId="3"/>
  </si>
  <si>
    <t>堀　　大助</t>
    <rPh sb="0" eb="1">
      <t>ホリ</t>
    </rPh>
    <rPh sb="3" eb="5">
      <t>ダイスケ</t>
    </rPh>
    <phoneticPr fontId="3"/>
  </si>
  <si>
    <t>安田　邦弘</t>
    <rPh sb="0" eb="2">
      <t>ヤスダ</t>
    </rPh>
    <rPh sb="3" eb="5">
      <t>クニヒロ</t>
    </rPh>
    <phoneticPr fontId="3"/>
  </si>
  <si>
    <t>金城　利憲</t>
    <rPh sb="0" eb="2">
      <t>キンジョウ</t>
    </rPh>
    <rPh sb="3" eb="5">
      <t>トシノリ</t>
    </rPh>
    <phoneticPr fontId="3"/>
  </si>
  <si>
    <t>299沖縄3区06</t>
    <rPh sb="3" eb="5">
      <t>オキナワ</t>
    </rPh>
    <rPh sb="6" eb="7">
      <t>ク</t>
    </rPh>
    <phoneticPr fontId="3"/>
  </si>
  <si>
    <t>大城　俊男</t>
    <rPh sb="0" eb="2">
      <t>オオシロ</t>
    </rPh>
    <rPh sb="3" eb="5">
      <t>トシオ</t>
    </rPh>
    <phoneticPr fontId="3"/>
  </si>
  <si>
    <t>174愛知13区04</t>
    <rPh sb="3" eb="5">
      <t>アイチ</t>
    </rPh>
    <rPh sb="7" eb="8">
      <t>ク</t>
    </rPh>
    <phoneticPr fontId="3"/>
  </si>
  <si>
    <t>062埼玉8区05</t>
    <rPh sb="3" eb="5">
      <t>サイタマ</t>
    </rPh>
    <rPh sb="6" eb="7">
      <t>ク</t>
    </rPh>
    <phoneticPr fontId="3"/>
  </si>
  <si>
    <t>066埼玉12区06</t>
    <rPh sb="3" eb="5">
      <t>サイタマ</t>
    </rPh>
    <rPh sb="7" eb="8">
      <t>ク</t>
    </rPh>
    <phoneticPr fontId="3"/>
  </si>
  <si>
    <t>087神奈川5区06</t>
    <rPh sb="3" eb="6">
      <t>カナガワ</t>
    </rPh>
    <rPh sb="7" eb="8">
      <t>ク</t>
    </rPh>
    <phoneticPr fontId="3"/>
  </si>
  <si>
    <t>河野　敏久</t>
    <rPh sb="0" eb="2">
      <t>コウノ</t>
    </rPh>
    <rPh sb="3" eb="5">
      <t>トシヒサ</t>
    </rPh>
    <phoneticPr fontId="3"/>
  </si>
  <si>
    <t>会社役員(株式会社河野)</t>
    <rPh sb="0" eb="2">
      <t>カイシャ</t>
    </rPh>
    <rPh sb="2" eb="4">
      <t>ヤクイン</t>
    </rPh>
    <rPh sb="5" eb="9">
      <t>カブシキガイシャ</t>
    </rPh>
    <rPh sb="9" eb="11">
      <t>コウノ</t>
    </rPh>
    <phoneticPr fontId="3"/>
  </si>
  <si>
    <t>磯浦　　東</t>
    <rPh sb="0" eb="2">
      <t>イソウラ</t>
    </rPh>
    <rPh sb="4" eb="5">
      <t>アズマ</t>
    </rPh>
    <phoneticPr fontId="3"/>
  </si>
  <si>
    <t>169愛知8区04</t>
    <rPh sb="3" eb="5">
      <t>アイチ</t>
    </rPh>
    <rPh sb="6" eb="7">
      <t>ク</t>
    </rPh>
    <phoneticPr fontId="3"/>
  </si>
  <si>
    <t>267福岡5区05</t>
    <rPh sb="3" eb="5">
      <t>フクオカ</t>
    </rPh>
    <rPh sb="6" eb="7">
      <t>ク</t>
    </rPh>
    <phoneticPr fontId="3"/>
  </si>
  <si>
    <t>濱武　振一</t>
    <rPh sb="0" eb="2">
      <t>ハマタケ</t>
    </rPh>
    <rPh sb="3" eb="5">
      <t>シンイチ</t>
    </rPh>
    <phoneticPr fontId="3"/>
  </si>
  <si>
    <t>大(久留米)</t>
    <rPh sb="0" eb="1">
      <t>ダイ</t>
    </rPh>
    <rPh sb="2" eb="5">
      <t>クルメ</t>
    </rPh>
    <phoneticPr fontId="3"/>
  </si>
  <si>
    <t>福岡県・筑紫野市議</t>
    <rPh sb="0" eb="3">
      <t>フクオカケン</t>
    </rPh>
    <rPh sb="4" eb="7">
      <t>チクシノ</t>
    </rPh>
    <rPh sb="7" eb="9">
      <t>シギ</t>
    </rPh>
    <phoneticPr fontId="3"/>
  </si>
  <si>
    <t>190京都5区04</t>
    <rPh sb="3" eb="5">
      <t>キョウト</t>
    </rPh>
    <rPh sb="6" eb="7">
      <t>ク</t>
    </rPh>
    <phoneticPr fontId="3"/>
  </si>
  <si>
    <t>沼田　憲男</t>
    <rPh sb="0" eb="2">
      <t>ヌマタ</t>
    </rPh>
    <rPh sb="3" eb="5">
      <t>ノリオ</t>
    </rPh>
    <phoneticPr fontId="3"/>
  </si>
  <si>
    <t>経営コンサルタント,新聞記者(日本経済新聞)</t>
    <rPh sb="0" eb="2">
      <t>ケイエイ</t>
    </rPh>
    <rPh sb="10" eb="12">
      <t>シンブン</t>
    </rPh>
    <rPh sb="12" eb="14">
      <t>キシャ</t>
    </rPh>
    <rPh sb="15" eb="17">
      <t>ニホン</t>
    </rPh>
    <rPh sb="17" eb="19">
      <t>ケイザイ</t>
    </rPh>
    <rPh sb="19" eb="21">
      <t>シンブン</t>
    </rPh>
    <phoneticPr fontId="3"/>
  </si>
  <si>
    <t>鹿児島県・奄美市議,京都府職労役員</t>
    <rPh sb="0" eb="4">
      <t>カゴシマケン</t>
    </rPh>
    <rPh sb="5" eb="7">
      <t>アマミ</t>
    </rPh>
    <rPh sb="7" eb="9">
      <t>シギ</t>
    </rPh>
    <rPh sb="10" eb="13">
      <t>キョウトフ</t>
    </rPh>
    <rPh sb="13" eb="14">
      <t>ショク</t>
    </rPh>
    <rPh sb="14" eb="15">
      <t>ロウ</t>
    </rPh>
    <rPh sb="15" eb="17">
      <t>ヤクイン</t>
    </rPh>
    <phoneticPr fontId="3"/>
  </si>
  <si>
    <t>158静岡5区04</t>
    <rPh sb="3" eb="5">
      <t>シズオカ</t>
    </rPh>
    <rPh sb="6" eb="7">
      <t>ク</t>
    </rPh>
    <phoneticPr fontId="3"/>
  </si>
  <si>
    <t>石下　久雄</t>
    <rPh sb="0" eb="1">
      <t>イシ</t>
    </rPh>
    <rPh sb="1" eb="2">
      <t>オロシ</t>
    </rPh>
    <rPh sb="3" eb="5">
      <t>ヒサオ</t>
    </rPh>
    <phoneticPr fontId="3"/>
  </si>
  <si>
    <t>3705比例近畿維新02</t>
    <rPh sb="4" eb="6">
      <t>ヒレイ</t>
    </rPh>
    <rPh sb="6" eb="8">
      <t>キンキ</t>
    </rPh>
    <rPh sb="8" eb="10">
      <t>イシン</t>
    </rPh>
    <phoneticPr fontId="3"/>
  </si>
  <si>
    <t>東国原　英夫</t>
    <rPh sb="0" eb="3">
      <t>ヒガシコクバル</t>
    </rPh>
    <rPh sb="4" eb="6">
      <t>ヒデオ</t>
    </rPh>
    <phoneticPr fontId="3"/>
  </si>
  <si>
    <t>―</t>
    <phoneticPr fontId="3"/>
  </si>
  <si>
    <t>宮崎県知事,タレント</t>
    <rPh sb="0" eb="3">
      <t>ミヤザキケン</t>
    </rPh>
    <rPh sb="3" eb="5">
      <t>チジ</t>
    </rPh>
    <phoneticPr fontId="3"/>
  </si>
  <si>
    <t>首タ</t>
    <rPh sb="0" eb="1">
      <t>クビ</t>
    </rPh>
    <phoneticPr fontId="3"/>
  </si>
  <si>
    <t>首</t>
    <rPh sb="0" eb="1">
      <t>クビ</t>
    </rPh>
    <phoneticPr fontId="3"/>
  </si>
  <si>
    <t>タ</t>
    <phoneticPr fontId="3"/>
  </si>
  <si>
    <t>176愛知15区06</t>
    <rPh sb="3" eb="5">
      <t>アイチ</t>
    </rPh>
    <rPh sb="7" eb="8">
      <t>ク</t>
    </rPh>
    <phoneticPr fontId="3"/>
  </si>
  <si>
    <t>杉田　元司</t>
    <rPh sb="0" eb="2">
      <t>スギタ</t>
    </rPh>
    <rPh sb="3" eb="5">
      <t>モトシ</t>
    </rPh>
    <phoneticPr fontId="3"/>
  </si>
  <si>
    <t>大(中央)</t>
    <rPh sb="0" eb="1">
      <t>ダイ</t>
    </rPh>
    <rPh sb="2" eb="4">
      <t>チュウオウ</t>
    </rPh>
    <phoneticPr fontId="3"/>
  </si>
  <si>
    <t>愛知県議(豊橋市),議員秘書(村田敬次郎)</t>
    <rPh sb="0" eb="2">
      <t>アイチ</t>
    </rPh>
    <rPh sb="2" eb="4">
      <t>ケンギ</t>
    </rPh>
    <rPh sb="5" eb="8">
      <t>トヨハシシ</t>
    </rPh>
    <rPh sb="10" eb="12">
      <t>ギイン</t>
    </rPh>
    <rPh sb="12" eb="14">
      <t>ヒショ</t>
    </rPh>
    <rPh sb="15" eb="17">
      <t>ムラタ</t>
    </rPh>
    <rPh sb="17" eb="20">
      <t>ケイジロウ</t>
    </rPh>
    <phoneticPr fontId="3"/>
  </si>
  <si>
    <t>大(加/トレント)</t>
    <rPh sb="0" eb="1">
      <t>ダイ</t>
    </rPh>
    <rPh sb="2" eb="3">
      <t>カ</t>
    </rPh>
    <phoneticPr fontId="3"/>
  </si>
  <si>
    <t>高中(帝京)</t>
    <rPh sb="0" eb="1">
      <t>コウ</t>
    </rPh>
    <rPh sb="1" eb="2">
      <t>チュウ</t>
    </rPh>
    <rPh sb="3" eb="5">
      <t>テイキョウ</t>
    </rPh>
    <phoneticPr fontId="3"/>
  </si>
  <si>
    <t>牧場経営(ゆいまーる牧場)</t>
    <rPh sb="0" eb="2">
      <t>ボクジョウ</t>
    </rPh>
    <rPh sb="2" eb="4">
      <t>ケイエイ</t>
    </rPh>
    <rPh sb="10" eb="12">
      <t>ボクジョウ</t>
    </rPh>
    <phoneticPr fontId="3"/>
  </si>
  <si>
    <t>高(名護)</t>
    <rPh sb="0" eb="1">
      <t>コウ</t>
    </rPh>
    <rPh sb="2" eb="4">
      <t>ナゴ</t>
    </rPh>
    <phoneticPr fontId="3"/>
  </si>
  <si>
    <t>079千葉10区04</t>
    <rPh sb="3" eb="5">
      <t>チバ</t>
    </rPh>
    <rPh sb="7" eb="8">
      <t>ク</t>
    </rPh>
    <phoneticPr fontId="3"/>
  </si>
  <si>
    <t>有田　恵子</t>
    <rPh sb="0" eb="2">
      <t>アリタ</t>
    </rPh>
    <rPh sb="3" eb="5">
      <t>ケイコ</t>
    </rPh>
    <phoneticPr fontId="3"/>
  </si>
  <si>
    <t>大在(早稲田)</t>
    <rPh sb="0" eb="1">
      <t>ダイ</t>
    </rPh>
    <rPh sb="1" eb="2">
      <t>ザイ</t>
    </rPh>
    <rPh sb="3" eb="6">
      <t>ワセダ</t>
    </rPh>
    <phoneticPr fontId="3"/>
  </si>
  <si>
    <t>タ</t>
    <phoneticPr fontId="3"/>
  </si>
  <si>
    <t>樋口　博康</t>
    <rPh sb="0" eb="2">
      <t>ヒグチ</t>
    </rPh>
    <rPh sb="3" eb="5">
      <t>ヒロヤス</t>
    </rPh>
    <phoneticPr fontId="3"/>
  </si>
  <si>
    <t>民主党職員,財団法人職員(国際協力推進協会)</t>
    <rPh sb="0" eb="3">
      <t>ミンシュトウ</t>
    </rPh>
    <rPh sb="3" eb="5">
      <t>ショクイン</t>
    </rPh>
    <rPh sb="6" eb="10">
      <t>ザイダンホウジン</t>
    </rPh>
    <rPh sb="10" eb="12">
      <t>ショクイン</t>
    </rPh>
    <rPh sb="13" eb="15">
      <t>コクサイ</t>
    </rPh>
    <rPh sb="15" eb="17">
      <t>キョウリョク</t>
    </rPh>
    <rPh sb="17" eb="19">
      <t>スイシン</t>
    </rPh>
    <rPh sb="19" eb="21">
      <t>キョウカイ</t>
    </rPh>
    <phoneticPr fontId="3"/>
  </si>
  <si>
    <t>松</t>
    <rPh sb="0" eb="1">
      <t>マツ</t>
    </rPh>
    <phoneticPr fontId="3"/>
  </si>
  <si>
    <t>円　より子</t>
    <rPh sb="0" eb="1">
      <t>マドカ</t>
    </rPh>
    <rPh sb="4" eb="5">
      <t>コ</t>
    </rPh>
    <phoneticPr fontId="3"/>
  </si>
  <si>
    <t>大(津田塾)</t>
    <rPh sb="0" eb="1">
      <t>ダイ</t>
    </rPh>
    <rPh sb="2" eb="5">
      <t>ツダジュク</t>
    </rPh>
    <phoneticPr fontId="3"/>
  </si>
  <si>
    <t>ジャーナリスト,作家</t>
    <rPh sb="8" eb="10">
      <t>サッカ</t>
    </rPh>
    <phoneticPr fontId="3"/>
  </si>
  <si>
    <t>鞍ジ</t>
    <rPh sb="0" eb="1">
      <t>クラ</t>
    </rPh>
    <phoneticPr fontId="3"/>
  </si>
  <si>
    <t>　元委長(参財金,参選挙特,参地行),民主党副代表,参3</t>
    <rPh sb="1" eb="2">
      <t>モト</t>
    </rPh>
    <rPh sb="2" eb="4">
      <t>イチョウ</t>
    </rPh>
    <rPh sb="5" eb="6">
      <t>サン</t>
    </rPh>
    <rPh sb="6" eb="8">
      <t>ザイキン</t>
    </rPh>
    <rPh sb="9" eb="10">
      <t>サン</t>
    </rPh>
    <rPh sb="10" eb="12">
      <t>センキョ</t>
    </rPh>
    <rPh sb="12" eb="13">
      <t>トク</t>
    </rPh>
    <rPh sb="14" eb="15">
      <t>サン</t>
    </rPh>
    <rPh sb="15" eb="17">
      <t>チギョウ</t>
    </rPh>
    <rPh sb="19" eb="22">
      <t>ミンシュトウ</t>
    </rPh>
    <rPh sb="22" eb="25">
      <t>フクダイヒョウ</t>
    </rPh>
    <rPh sb="26" eb="27">
      <t>サン</t>
    </rPh>
    <phoneticPr fontId="3"/>
  </si>
  <si>
    <t>民主党職員,議員秘書(村井宗明)</t>
    <rPh sb="0" eb="3">
      <t>ミンシュトウ</t>
    </rPh>
    <rPh sb="3" eb="5">
      <t>ショクイン</t>
    </rPh>
    <rPh sb="6" eb="8">
      <t>ギイン</t>
    </rPh>
    <rPh sb="8" eb="10">
      <t>ヒショ</t>
    </rPh>
    <rPh sb="11" eb="13">
      <t>ムライ</t>
    </rPh>
    <rPh sb="13" eb="15">
      <t>ムネアキ</t>
    </rPh>
    <phoneticPr fontId="3"/>
  </si>
  <si>
    <t>民主党職員</t>
    <rPh sb="0" eb="3">
      <t>ミンシュトウ</t>
    </rPh>
    <rPh sb="3" eb="5">
      <t>ショクイン</t>
    </rPh>
    <phoneticPr fontId="3"/>
  </si>
  <si>
    <t>高(四日市商)</t>
    <rPh sb="0" eb="1">
      <t>コウ</t>
    </rPh>
    <rPh sb="2" eb="5">
      <t>ヨッカイチ</t>
    </rPh>
    <rPh sb="5" eb="6">
      <t>ショウ</t>
    </rPh>
    <phoneticPr fontId="3"/>
  </si>
  <si>
    <t>議員秘書(金森正),ラジオパーソナリティー</t>
    <rPh sb="0" eb="2">
      <t>ギイン</t>
    </rPh>
    <rPh sb="2" eb="4">
      <t>ヒショ</t>
    </rPh>
    <rPh sb="5" eb="7">
      <t>カナモリ</t>
    </rPh>
    <rPh sb="7" eb="8">
      <t>タダシ</t>
    </rPh>
    <phoneticPr fontId="3"/>
  </si>
  <si>
    <t>大院在(京都)</t>
    <rPh sb="0" eb="2">
      <t>ダイイン</t>
    </rPh>
    <rPh sb="2" eb="3">
      <t>ザイ</t>
    </rPh>
    <rPh sb="4" eb="6">
      <t>キョウト</t>
    </rPh>
    <phoneticPr fontId="3"/>
  </si>
  <si>
    <t>医師(大阪警察病院/外科)</t>
    <rPh sb="0" eb="2">
      <t>イシ</t>
    </rPh>
    <rPh sb="3" eb="5">
      <t>オオサカ</t>
    </rPh>
    <rPh sb="5" eb="7">
      <t>ケイサツ</t>
    </rPh>
    <rPh sb="7" eb="9">
      <t>ビョウイン</t>
    </rPh>
    <rPh sb="10" eb="12">
      <t>ゲカ</t>
    </rPh>
    <phoneticPr fontId="3"/>
  </si>
  <si>
    <t>経済ジャーナリスト,議員秘書(佐藤ゆかり,阿曽田清)</t>
    <rPh sb="0" eb="2">
      <t>ケイザイ</t>
    </rPh>
    <rPh sb="10" eb="12">
      <t>ギイン</t>
    </rPh>
    <rPh sb="12" eb="14">
      <t>ヒショ</t>
    </rPh>
    <rPh sb="15" eb="17">
      <t>サトウ</t>
    </rPh>
    <rPh sb="21" eb="24">
      <t>アソダ</t>
    </rPh>
    <rPh sb="24" eb="25">
      <t>キヨシ</t>
    </rPh>
    <phoneticPr fontId="3"/>
  </si>
  <si>
    <t>議員秘書(藤原良信,仲野博子,河野洋平)</t>
    <rPh sb="0" eb="2">
      <t>ギイン</t>
    </rPh>
    <rPh sb="2" eb="4">
      <t>ヒショ</t>
    </rPh>
    <rPh sb="5" eb="7">
      <t>フジワラ</t>
    </rPh>
    <rPh sb="7" eb="9">
      <t>ヨシノブ</t>
    </rPh>
    <rPh sb="10" eb="12">
      <t>ナカノ</t>
    </rPh>
    <rPh sb="12" eb="14">
      <t>ヒロコ</t>
    </rPh>
    <rPh sb="15" eb="17">
      <t>コウノ</t>
    </rPh>
    <rPh sb="17" eb="19">
      <t>ヨウヘイ</t>
    </rPh>
    <phoneticPr fontId="3"/>
  </si>
  <si>
    <t>伊江村職員,小学校教諭</t>
    <rPh sb="0" eb="3">
      <t>イエソン</t>
    </rPh>
    <rPh sb="3" eb="5">
      <t>ショクイン</t>
    </rPh>
    <rPh sb="6" eb="9">
      <t>ショウガッコウ</t>
    </rPh>
    <rPh sb="9" eb="11">
      <t>キョウユ</t>
    </rPh>
    <phoneticPr fontId="3"/>
  </si>
  <si>
    <t>大(中京)</t>
    <rPh sb="0" eb="1">
      <t>ダイ</t>
    </rPh>
    <rPh sb="2" eb="4">
      <t>チュウキョウ</t>
    </rPh>
    <phoneticPr fontId="3"/>
  </si>
  <si>
    <t>沖縄県・南風原町議,南風原町職員</t>
    <rPh sb="0" eb="3">
      <t>オキナワケン</t>
    </rPh>
    <rPh sb="4" eb="7">
      <t>ハエバル</t>
    </rPh>
    <rPh sb="7" eb="9">
      <t>チョウギ</t>
    </rPh>
    <rPh sb="10" eb="14">
      <t>ハエバルチョウ</t>
    </rPh>
    <rPh sb="14" eb="16">
      <t>ショクイン</t>
    </rPh>
    <phoneticPr fontId="3"/>
  </si>
  <si>
    <t>八木　哲也</t>
    <rPh sb="0" eb="2">
      <t>ヤギ</t>
    </rPh>
    <rPh sb="3" eb="5">
      <t>テツヤ</t>
    </rPh>
    <phoneticPr fontId="3"/>
  </si>
  <si>
    <t>愛知県・豊田市議</t>
    <rPh sb="0" eb="3">
      <t>アイチケン</t>
    </rPh>
    <rPh sb="4" eb="6">
      <t>トヨタ</t>
    </rPh>
    <rPh sb="6" eb="8">
      <t>シギ</t>
    </rPh>
    <phoneticPr fontId="3"/>
  </si>
  <si>
    <t>議</t>
    <rPh sb="0" eb="1">
      <t>ギ</t>
    </rPh>
    <phoneticPr fontId="3"/>
  </si>
  <si>
    <t>301比例北海道02</t>
    <rPh sb="3" eb="5">
      <t>ヒレイ</t>
    </rPh>
    <rPh sb="5" eb="8">
      <t>ホッカイドウ</t>
    </rPh>
    <phoneticPr fontId="3"/>
  </si>
  <si>
    <t>桑原　　功</t>
    <rPh sb="0" eb="2">
      <t>クワバラ</t>
    </rPh>
    <rPh sb="4" eb="5">
      <t>イサオ</t>
    </rPh>
    <phoneticPr fontId="3"/>
  </si>
  <si>
    <t>303比例北関東09</t>
    <rPh sb="3" eb="5">
      <t>ヒレイ</t>
    </rPh>
    <rPh sb="5" eb="8">
      <t>キタカントウ</t>
    </rPh>
    <phoneticPr fontId="3"/>
  </si>
  <si>
    <t>群馬県議(前橋市・勢多郡),群馬県・前橋市議,前橋市職労役員</t>
    <rPh sb="0" eb="2">
      <t>グンマ</t>
    </rPh>
    <rPh sb="2" eb="4">
      <t>ケンギ</t>
    </rPh>
    <rPh sb="5" eb="8">
      <t>マエバシシ</t>
    </rPh>
    <rPh sb="9" eb="12">
      <t>セタグン</t>
    </rPh>
    <rPh sb="14" eb="17">
      <t>グンマケン</t>
    </rPh>
    <rPh sb="18" eb="20">
      <t>マエバシ</t>
    </rPh>
    <rPh sb="20" eb="22">
      <t>シギ</t>
    </rPh>
    <rPh sb="23" eb="25">
      <t>マエバシ</t>
    </rPh>
    <rPh sb="25" eb="27">
      <t>シショク</t>
    </rPh>
    <rPh sb="27" eb="28">
      <t>ロウ</t>
    </rPh>
    <rPh sb="28" eb="30">
      <t>ヤクイン</t>
    </rPh>
    <phoneticPr fontId="3"/>
  </si>
  <si>
    <t>議労</t>
    <rPh sb="0" eb="1">
      <t>ギ</t>
    </rPh>
    <rPh sb="1" eb="2">
      <t>ロウ</t>
    </rPh>
    <phoneticPr fontId="3"/>
  </si>
  <si>
    <t>学習塾経営,司法書士事務所職員</t>
    <rPh sb="0" eb="3">
      <t>ガクシュウジュク</t>
    </rPh>
    <rPh sb="3" eb="5">
      <t>ケイエイ</t>
    </rPh>
    <rPh sb="6" eb="10">
      <t>シホウショシ</t>
    </rPh>
    <rPh sb="10" eb="13">
      <t>ジムショ</t>
    </rPh>
    <rPh sb="13" eb="15">
      <t>ショクイン</t>
    </rPh>
    <phoneticPr fontId="3"/>
  </si>
  <si>
    <t>212兵庫2区04</t>
    <rPh sb="3" eb="5">
      <t>ヒョウゴ</t>
    </rPh>
    <rPh sb="6" eb="7">
      <t>ク</t>
    </rPh>
    <phoneticPr fontId="3"/>
  </si>
  <si>
    <t>五島　大亮</t>
    <rPh sb="0" eb="2">
      <t>ゴトウ</t>
    </rPh>
    <rPh sb="3" eb="5">
      <t>ダイスケ</t>
    </rPh>
    <phoneticPr fontId="3"/>
  </si>
  <si>
    <t>大(神戸商科)</t>
    <rPh sb="0" eb="1">
      <t>ダイ</t>
    </rPh>
    <rPh sb="2" eb="4">
      <t>コウベ</t>
    </rPh>
    <rPh sb="4" eb="6">
      <t>ショウカ</t>
    </rPh>
    <phoneticPr fontId="3"/>
  </si>
  <si>
    <t>議員秘書(阪口直人),テレビアナウンサー(テレビ和歌山)</t>
    <rPh sb="0" eb="2">
      <t>ギイン</t>
    </rPh>
    <rPh sb="2" eb="4">
      <t>ヒショ</t>
    </rPh>
    <rPh sb="5" eb="7">
      <t>サカグチ</t>
    </rPh>
    <rPh sb="7" eb="9">
      <t>ナオト</t>
    </rPh>
    <rPh sb="24" eb="27">
      <t>ワカヤマ</t>
    </rPh>
    <phoneticPr fontId="3"/>
  </si>
  <si>
    <t>060埼玉6区05</t>
    <rPh sb="3" eb="5">
      <t>サイタマ</t>
    </rPh>
    <rPh sb="6" eb="7">
      <t>ク</t>
    </rPh>
    <phoneticPr fontId="3"/>
  </si>
  <si>
    <t>磯村　健治</t>
    <rPh sb="0" eb="2">
      <t>イソムラ</t>
    </rPh>
    <rPh sb="3" eb="5">
      <t>ケンジ</t>
    </rPh>
    <phoneticPr fontId="3"/>
  </si>
  <si>
    <t>―</t>
    <phoneticPr fontId="3"/>
  </si>
  <si>
    <t>会社社長(プレサリオ),俳優</t>
    <rPh sb="0" eb="2">
      <t>カイシャ</t>
    </rPh>
    <rPh sb="2" eb="4">
      <t>シャチョウ</t>
    </rPh>
    <rPh sb="12" eb="14">
      <t>ハイユウ</t>
    </rPh>
    <phoneticPr fontId="3"/>
  </si>
  <si>
    <t>240広島2区04</t>
    <rPh sb="3" eb="5">
      <t>ヒロシマ</t>
    </rPh>
    <rPh sb="6" eb="7">
      <t>ク</t>
    </rPh>
    <phoneticPr fontId="3"/>
  </si>
  <si>
    <t>辻　　康裕</t>
    <rPh sb="0" eb="1">
      <t>ツジ</t>
    </rPh>
    <rPh sb="3" eb="5">
      <t>ヤスヒロ</t>
    </rPh>
    <phoneticPr fontId="3"/>
  </si>
  <si>
    <t>今西　永兒</t>
    <rPh sb="0" eb="2">
      <t>イマニシ</t>
    </rPh>
    <rPh sb="3" eb="4">
      <t>エイ</t>
    </rPh>
    <rPh sb="4" eb="5">
      <t>ジ</t>
    </rPh>
    <phoneticPr fontId="3"/>
  </si>
  <si>
    <t>268福岡6区05</t>
    <rPh sb="3" eb="5">
      <t>フクオカ</t>
    </rPh>
    <rPh sb="6" eb="7">
      <t>ク</t>
    </rPh>
    <phoneticPr fontId="3"/>
  </si>
  <si>
    <t>内野　雅晴</t>
    <rPh sb="0" eb="2">
      <t>ウチノ</t>
    </rPh>
    <rPh sb="3" eb="4">
      <t>ガ</t>
    </rPh>
    <rPh sb="4" eb="5">
      <t>セイ</t>
    </rPh>
    <phoneticPr fontId="3"/>
  </si>
  <si>
    <t>3505比例北信越維新01</t>
    <rPh sb="4" eb="6">
      <t>ヒレイ</t>
    </rPh>
    <rPh sb="6" eb="9">
      <t>ホクシンエツ</t>
    </rPh>
    <rPh sb="9" eb="11">
      <t>イシン</t>
    </rPh>
    <phoneticPr fontId="3"/>
  </si>
  <si>
    <t>中田　　宏</t>
    <rPh sb="0" eb="2">
      <t>ナカダ</t>
    </rPh>
    <rPh sb="4" eb="5">
      <t>ヒロシ</t>
    </rPh>
    <phoneticPr fontId="3"/>
  </si>
  <si>
    <t>創</t>
    <rPh sb="0" eb="1">
      <t>ソウ</t>
    </rPh>
    <phoneticPr fontId="3"/>
  </si>
  <si>
    <t>松下政経塾生,議員秘書(細川護煕)</t>
    <rPh sb="0" eb="2">
      <t>マツシタ</t>
    </rPh>
    <rPh sb="2" eb="5">
      <t>セイケイジュク</t>
    </rPh>
    <rPh sb="5" eb="6">
      <t>セイ</t>
    </rPh>
    <rPh sb="7" eb="9">
      <t>ギイン</t>
    </rPh>
    <rPh sb="9" eb="11">
      <t>ヒショ</t>
    </rPh>
    <rPh sb="12" eb="14">
      <t>ホソカワ</t>
    </rPh>
    <rPh sb="14" eb="16">
      <t>モリヒロ</t>
    </rPh>
    <phoneticPr fontId="3"/>
  </si>
  <si>
    <t>　元神奈川県・横浜市長</t>
    <rPh sb="1" eb="2">
      <t>モト</t>
    </rPh>
    <rPh sb="2" eb="6">
      <t>カナガワケン</t>
    </rPh>
    <rPh sb="7" eb="9">
      <t>ヨコハマ</t>
    </rPh>
    <rPh sb="9" eb="11">
      <t>シチョウ</t>
    </rPh>
    <phoneticPr fontId="3"/>
  </si>
  <si>
    <t>首松</t>
    <rPh sb="0" eb="1">
      <t>クビ</t>
    </rPh>
    <rPh sb="1" eb="2">
      <t>マツ</t>
    </rPh>
    <phoneticPr fontId="3"/>
  </si>
  <si>
    <t>松</t>
    <rPh sb="0" eb="1">
      <t>マツ</t>
    </rPh>
    <phoneticPr fontId="3"/>
  </si>
  <si>
    <t>今野　克義</t>
    <rPh sb="0" eb="2">
      <t>コンノ</t>
    </rPh>
    <rPh sb="3" eb="5">
      <t>カツヨシ</t>
    </rPh>
    <phoneticPr fontId="3"/>
  </si>
  <si>
    <t>006北海道6区04</t>
    <rPh sb="3" eb="6">
      <t>ホッカイドウ</t>
    </rPh>
    <rPh sb="7" eb="8">
      <t>ク</t>
    </rPh>
    <phoneticPr fontId="3"/>
  </si>
  <si>
    <t>安住　太伸</t>
    <rPh sb="0" eb="2">
      <t>アズミ</t>
    </rPh>
    <rPh sb="3" eb="5">
      <t>タカノブ</t>
    </rPh>
    <phoneticPr fontId="3"/>
  </si>
  <si>
    <t>北海道・旭川市議,会社員(新日鐵)</t>
    <rPh sb="0" eb="3">
      <t>ホッカイドウ</t>
    </rPh>
    <rPh sb="4" eb="6">
      <t>アサヒカワ</t>
    </rPh>
    <rPh sb="6" eb="8">
      <t>シギ</t>
    </rPh>
    <rPh sb="9" eb="12">
      <t>カイシャイン</t>
    </rPh>
    <rPh sb="13" eb="16">
      <t>シンニッテツ</t>
    </rPh>
    <phoneticPr fontId="3"/>
  </si>
  <si>
    <t>037福島5区05</t>
    <rPh sb="3" eb="5">
      <t>フクシマ</t>
    </rPh>
    <rPh sb="6" eb="7">
      <t>ク</t>
    </rPh>
    <phoneticPr fontId="3"/>
  </si>
  <si>
    <t>菅本　和雅</t>
    <rPh sb="0" eb="2">
      <t>スガモト</t>
    </rPh>
    <rPh sb="3" eb="4">
      <t>カズ</t>
    </rPh>
    <rPh sb="4" eb="5">
      <t>マサ</t>
    </rPh>
    <phoneticPr fontId="3"/>
  </si>
  <si>
    <t>他(仙台経理専門学校)</t>
    <rPh sb="0" eb="1">
      <t>ホカ</t>
    </rPh>
    <rPh sb="2" eb="4">
      <t>センダイ</t>
    </rPh>
    <rPh sb="4" eb="6">
      <t>ケイリ</t>
    </rPh>
    <rPh sb="6" eb="8">
      <t>センモン</t>
    </rPh>
    <rPh sb="8" eb="10">
      <t>ガッコウ</t>
    </rPh>
    <phoneticPr fontId="3"/>
  </si>
  <si>
    <t>全国商工青年同友会副会長</t>
    <rPh sb="0" eb="2">
      <t>ゼンコク</t>
    </rPh>
    <rPh sb="2" eb="4">
      <t>ショウコウ</t>
    </rPh>
    <rPh sb="4" eb="6">
      <t>セイネン</t>
    </rPh>
    <rPh sb="6" eb="9">
      <t>ドウユウカイ</t>
    </rPh>
    <rPh sb="9" eb="12">
      <t>フクカイチョウ</t>
    </rPh>
    <phoneticPr fontId="3"/>
  </si>
  <si>
    <t>藤井　悦雄</t>
    <rPh sb="0" eb="2">
      <t>フジイ</t>
    </rPh>
    <rPh sb="3" eb="5">
      <t>エツオ</t>
    </rPh>
    <phoneticPr fontId="3"/>
  </si>
  <si>
    <t>高(釜石工)</t>
    <rPh sb="0" eb="1">
      <t>コウ</t>
    </rPh>
    <rPh sb="2" eb="4">
      <t>カマイシ</t>
    </rPh>
    <rPh sb="4" eb="5">
      <t>コウ</t>
    </rPh>
    <phoneticPr fontId="3"/>
  </si>
  <si>
    <t>共産党神奈川県委員,会社員(東洋電機製造)</t>
    <rPh sb="0" eb="3">
      <t>キョウサントウ</t>
    </rPh>
    <rPh sb="3" eb="7">
      <t>カナガワケン</t>
    </rPh>
    <rPh sb="7" eb="9">
      <t>イイン</t>
    </rPh>
    <rPh sb="10" eb="13">
      <t>カイシャイン</t>
    </rPh>
    <rPh sb="14" eb="16">
      <t>トウヨウ</t>
    </rPh>
    <rPh sb="16" eb="18">
      <t>デンキ</t>
    </rPh>
    <rPh sb="18" eb="20">
      <t>セイゾウ</t>
    </rPh>
    <phoneticPr fontId="3"/>
  </si>
  <si>
    <t>渡辺　　裕</t>
    <rPh sb="0" eb="2">
      <t>ワタナベ</t>
    </rPh>
    <rPh sb="4" eb="5">
      <t>ヒロシ</t>
    </rPh>
    <phoneticPr fontId="3"/>
  </si>
  <si>
    <t>民青同盟愛知県副委員長</t>
    <rPh sb="0" eb="4">
      <t>ミンセイドウメイ</t>
    </rPh>
    <rPh sb="4" eb="7">
      <t>アイチケン</t>
    </rPh>
    <rPh sb="7" eb="11">
      <t>フクイインチョウ</t>
    </rPh>
    <phoneticPr fontId="3"/>
  </si>
  <si>
    <t>若山　晴史</t>
    <rPh sb="0" eb="2">
      <t>ワカヤマ</t>
    </rPh>
    <rPh sb="3" eb="5">
      <t>ハルジ</t>
    </rPh>
    <phoneticPr fontId="3"/>
  </si>
  <si>
    <t>高(稲沢東)</t>
    <rPh sb="0" eb="1">
      <t>コウ</t>
    </rPh>
    <rPh sb="2" eb="4">
      <t>イナザワ</t>
    </rPh>
    <rPh sb="4" eb="5">
      <t>ヒガシ</t>
    </rPh>
    <phoneticPr fontId="3"/>
  </si>
  <si>
    <t>共産党地区委員長,保険代理店勤務</t>
    <rPh sb="0" eb="3">
      <t>キョウサントウ</t>
    </rPh>
    <rPh sb="3" eb="5">
      <t>チク</t>
    </rPh>
    <rPh sb="5" eb="8">
      <t>イインチョウ</t>
    </rPh>
    <rPh sb="9" eb="11">
      <t>ホケン</t>
    </rPh>
    <rPh sb="11" eb="14">
      <t>ダイリテン</t>
    </rPh>
    <rPh sb="14" eb="16">
      <t>キンム</t>
    </rPh>
    <phoneticPr fontId="3"/>
  </si>
  <si>
    <t>宮地　　勲</t>
    <rPh sb="0" eb="2">
      <t>ミヤチ</t>
    </rPh>
    <rPh sb="4" eb="5">
      <t>イサオ</t>
    </rPh>
    <phoneticPr fontId="3"/>
  </si>
  <si>
    <t>公</t>
    <rPh sb="0" eb="1">
      <t>コウ</t>
    </rPh>
    <phoneticPr fontId="3"/>
  </si>
  <si>
    <t>3004比例北海道公明02</t>
    <rPh sb="4" eb="6">
      <t>ヒレイ</t>
    </rPh>
    <rPh sb="6" eb="9">
      <t>ホッカイドウ</t>
    </rPh>
    <rPh sb="9" eb="11">
      <t>コウメイ</t>
    </rPh>
    <phoneticPr fontId="3"/>
  </si>
  <si>
    <t>武田　久之</t>
    <rPh sb="0" eb="2">
      <t>タケダ</t>
    </rPh>
    <rPh sb="3" eb="5">
      <t>ヒサユキ</t>
    </rPh>
    <phoneticPr fontId="3"/>
  </si>
  <si>
    <t>公明党北海道本部政策局次長,公明新聞記者</t>
    <rPh sb="0" eb="3">
      <t>コウメイトウ</t>
    </rPh>
    <rPh sb="3" eb="6">
      <t>ホッカイドウ</t>
    </rPh>
    <rPh sb="6" eb="8">
      <t>ホンブ</t>
    </rPh>
    <rPh sb="8" eb="11">
      <t>セイサクキョク</t>
    </rPh>
    <rPh sb="11" eb="13">
      <t>ジチョウ</t>
    </rPh>
    <rPh sb="14" eb="16">
      <t>コウメイ</t>
    </rPh>
    <rPh sb="16" eb="18">
      <t>シンブン</t>
    </rPh>
    <rPh sb="18" eb="20">
      <t>キシャ</t>
    </rPh>
    <phoneticPr fontId="3"/>
  </si>
  <si>
    <t>3204比例北関東公明04</t>
    <rPh sb="4" eb="6">
      <t>ヒレイ</t>
    </rPh>
    <rPh sb="6" eb="9">
      <t>キタカントウ</t>
    </rPh>
    <rPh sb="9" eb="11">
      <t>コウメイ</t>
    </rPh>
    <phoneticPr fontId="3"/>
  </si>
  <si>
    <t>3204比例北関東公明05</t>
    <rPh sb="4" eb="6">
      <t>ヒレイ</t>
    </rPh>
    <rPh sb="6" eb="9">
      <t>キタカントウ</t>
    </rPh>
    <rPh sb="9" eb="11">
      <t>コウメイ</t>
    </rPh>
    <phoneticPr fontId="3"/>
  </si>
  <si>
    <t>3204比例北関東公明06</t>
    <rPh sb="4" eb="6">
      <t>ヒレイ</t>
    </rPh>
    <rPh sb="6" eb="9">
      <t>キタカントウ</t>
    </rPh>
    <rPh sb="9" eb="11">
      <t>コウメイ</t>
    </rPh>
    <phoneticPr fontId="3"/>
  </si>
  <si>
    <t>村上　知己</t>
    <rPh sb="0" eb="2">
      <t>ムラカミ</t>
    </rPh>
    <rPh sb="3" eb="5">
      <t>トモミ</t>
    </rPh>
    <phoneticPr fontId="3"/>
  </si>
  <si>
    <t>川浦　伸一</t>
    <rPh sb="0" eb="2">
      <t>カワウラ</t>
    </rPh>
    <rPh sb="3" eb="5">
      <t>シンイチ</t>
    </rPh>
    <phoneticPr fontId="3"/>
  </si>
  <si>
    <t>森　　正慶</t>
    <rPh sb="0" eb="1">
      <t>モリ</t>
    </rPh>
    <rPh sb="3" eb="5">
      <t>マサヨシ</t>
    </rPh>
    <phoneticPr fontId="3"/>
  </si>
  <si>
    <t>3304比例南関東公明04</t>
    <rPh sb="4" eb="6">
      <t>ヒレイ</t>
    </rPh>
    <rPh sb="6" eb="9">
      <t>ミナミカントウ</t>
    </rPh>
    <rPh sb="9" eb="11">
      <t>コウメイ</t>
    </rPh>
    <phoneticPr fontId="3"/>
  </si>
  <si>
    <t>3304比例南関東公明05</t>
    <rPh sb="4" eb="6">
      <t>ヒレイ</t>
    </rPh>
    <rPh sb="6" eb="9">
      <t>ミナミカントウ</t>
    </rPh>
    <rPh sb="9" eb="11">
      <t>コウメイ</t>
    </rPh>
    <phoneticPr fontId="3"/>
  </si>
  <si>
    <t>川浪　　隆</t>
    <rPh sb="0" eb="2">
      <t>カワナミ</t>
    </rPh>
    <rPh sb="4" eb="5">
      <t>タカシ</t>
    </rPh>
    <phoneticPr fontId="3"/>
  </si>
  <si>
    <t>公明党千葉県本部事務長</t>
    <rPh sb="0" eb="3">
      <t>コウメイトウ</t>
    </rPh>
    <rPh sb="3" eb="6">
      <t>チバケン</t>
    </rPh>
    <rPh sb="6" eb="8">
      <t>ホンブ</t>
    </rPh>
    <rPh sb="8" eb="11">
      <t>ジムチョウ</t>
    </rPh>
    <phoneticPr fontId="3"/>
  </si>
  <si>
    <t>吉田　一国</t>
    <rPh sb="0" eb="2">
      <t>ヨシダ</t>
    </rPh>
    <rPh sb="3" eb="5">
      <t>カズクニ</t>
    </rPh>
    <phoneticPr fontId="3"/>
  </si>
  <si>
    <t>大(山梨学院)</t>
    <rPh sb="0" eb="1">
      <t>ダイ</t>
    </rPh>
    <rPh sb="2" eb="4">
      <t>ヤマナシ</t>
    </rPh>
    <rPh sb="4" eb="6">
      <t>ガクイン</t>
    </rPh>
    <phoneticPr fontId="3"/>
  </si>
  <si>
    <t>公明党山梨県本部事務長</t>
    <rPh sb="0" eb="3">
      <t>コウメイトウ</t>
    </rPh>
    <rPh sb="3" eb="6">
      <t>ヤマナシケン</t>
    </rPh>
    <rPh sb="6" eb="8">
      <t>ホンブ</t>
    </rPh>
    <rPh sb="8" eb="11">
      <t>ジムチョウ</t>
    </rPh>
    <phoneticPr fontId="3"/>
  </si>
  <si>
    <t>3404比例東京公明03</t>
    <rPh sb="4" eb="6">
      <t>ヒレイ</t>
    </rPh>
    <rPh sb="6" eb="8">
      <t>トウキョウ</t>
    </rPh>
    <rPh sb="8" eb="10">
      <t>コウメイ</t>
    </rPh>
    <phoneticPr fontId="3"/>
  </si>
  <si>
    <t>3404比例東京公明04</t>
    <rPh sb="4" eb="6">
      <t>ヒレイ</t>
    </rPh>
    <rPh sb="6" eb="8">
      <t>トウキョウ</t>
    </rPh>
    <rPh sb="8" eb="10">
      <t>コウメイ</t>
    </rPh>
    <phoneticPr fontId="3"/>
  </si>
  <si>
    <t>村中　克也</t>
    <rPh sb="0" eb="2">
      <t>ムラナカ</t>
    </rPh>
    <rPh sb="3" eb="5">
      <t>カツヤ</t>
    </rPh>
    <phoneticPr fontId="3"/>
  </si>
  <si>
    <t>小島　誠一</t>
    <rPh sb="0" eb="2">
      <t>コジマ</t>
    </rPh>
    <rPh sb="3" eb="5">
      <t>セイイチ</t>
    </rPh>
    <phoneticPr fontId="3"/>
  </si>
  <si>
    <t>3504比例北信越公明02</t>
    <rPh sb="4" eb="6">
      <t>ヒレイ</t>
    </rPh>
    <rPh sb="6" eb="9">
      <t>ホクシンエツ</t>
    </rPh>
    <rPh sb="9" eb="11">
      <t>コウメイ</t>
    </rPh>
    <phoneticPr fontId="3"/>
  </si>
  <si>
    <t>田島　公一</t>
    <rPh sb="0" eb="2">
      <t>タジマ</t>
    </rPh>
    <rPh sb="3" eb="5">
      <t>コウイチ</t>
    </rPh>
    <phoneticPr fontId="3"/>
  </si>
  <si>
    <t>公明党石川県本部広宣局長,金沢市職員</t>
    <rPh sb="0" eb="3">
      <t>コウメイトウ</t>
    </rPh>
    <rPh sb="3" eb="6">
      <t>イシカワケン</t>
    </rPh>
    <rPh sb="6" eb="8">
      <t>ホンブ</t>
    </rPh>
    <rPh sb="8" eb="10">
      <t>ヒロノブ</t>
    </rPh>
    <rPh sb="10" eb="12">
      <t>キョクチョウ</t>
    </rPh>
    <rPh sb="13" eb="16">
      <t>カナザワシ</t>
    </rPh>
    <rPh sb="16" eb="18">
      <t>ショクイン</t>
    </rPh>
    <phoneticPr fontId="3"/>
  </si>
  <si>
    <t>3604比例東海公明04</t>
    <rPh sb="4" eb="6">
      <t>ヒレイ</t>
    </rPh>
    <rPh sb="6" eb="8">
      <t>トウカイ</t>
    </rPh>
    <rPh sb="8" eb="10">
      <t>コウメイ</t>
    </rPh>
    <phoneticPr fontId="3"/>
  </si>
  <si>
    <t>3604比例東海公明05</t>
    <rPh sb="4" eb="6">
      <t>ヒレイ</t>
    </rPh>
    <rPh sb="6" eb="8">
      <t>トウカイ</t>
    </rPh>
    <rPh sb="8" eb="10">
      <t>コウメイ</t>
    </rPh>
    <phoneticPr fontId="3"/>
  </si>
  <si>
    <t>国森　光信</t>
    <rPh sb="0" eb="2">
      <t>クニモリ</t>
    </rPh>
    <rPh sb="3" eb="5">
      <t>ミツノブ</t>
    </rPh>
    <phoneticPr fontId="3"/>
  </si>
  <si>
    <t>大(日本工業)</t>
    <rPh sb="0" eb="1">
      <t>ダイ</t>
    </rPh>
    <rPh sb="2" eb="4">
      <t>ニホン</t>
    </rPh>
    <rPh sb="4" eb="6">
      <t>コウギョウ</t>
    </rPh>
    <phoneticPr fontId="3"/>
  </si>
  <si>
    <t>澄川　寿之</t>
    <rPh sb="0" eb="2">
      <t>スミカワ</t>
    </rPh>
    <rPh sb="3" eb="5">
      <t>ヒサユキ</t>
    </rPh>
    <phoneticPr fontId="3"/>
  </si>
  <si>
    <t>3704比例近畿公明05</t>
    <rPh sb="4" eb="6">
      <t>ヒレイ</t>
    </rPh>
    <rPh sb="6" eb="8">
      <t>キンキ</t>
    </rPh>
    <rPh sb="8" eb="10">
      <t>コウメイ</t>
    </rPh>
    <phoneticPr fontId="3"/>
  </si>
  <si>
    <t>3704比例近畿公明06</t>
    <rPh sb="4" eb="6">
      <t>ヒレイ</t>
    </rPh>
    <rPh sb="6" eb="8">
      <t>キンキ</t>
    </rPh>
    <rPh sb="8" eb="10">
      <t>コウメイ</t>
    </rPh>
    <phoneticPr fontId="3"/>
  </si>
  <si>
    <t>3704比例近畿公明07</t>
    <rPh sb="4" eb="6">
      <t>ヒレイ</t>
    </rPh>
    <rPh sb="6" eb="8">
      <t>キンキ</t>
    </rPh>
    <rPh sb="8" eb="10">
      <t>コウメイ</t>
    </rPh>
    <phoneticPr fontId="3"/>
  </si>
  <si>
    <t>田丸　義高</t>
    <rPh sb="0" eb="2">
      <t>タマル</t>
    </rPh>
    <rPh sb="3" eb="4">
      <t>ヨシ</t>
    </rPh>
    <rPh sb="4" eb="5">
      <t>タカ</t>
    </rPh>
    <phoneticPr fontId="3"/>
  </si>
  <si>
    <t>高橋　雅也</t>
    <rPh sb="0" eb="2">
      <t>タカハシ</t>
    </rPh>
    <rPh sb="3" eb="5">
      <t>マサヤ</t>
    </rPh>
    <phoneticPr fontId="3"/>
  </si>
  <si>
    <t>公明党大阪府本部事務長</t>
    <rPh sb="0" eb="3">
      <t>コウメイトウ</t>
    </rPh>
    <rPh sb="3" eb="6">
      <t>オオサカフ</t>
    </rPh>
    <rPh sb="6" eb="8">
      <t>ホンブ</t>
    </rPh>
    <rPh sb="8" eb="11">
      <t>ジムチョウ</t>
    </rPh>
    <phoneticPr fontId="3"/>
  </si>
  <si>
    <t>田中　博之</t>
    <rPh sb="0" eb="2">
      <t>タナカ</t>
    </rPh>
    <rPh sb="3" eb="5">
      <t>ヒロユキ</t>
    </rPh>
    <phoneticPr fontId="3"/>
  </si>
  <si>
    <t>3804比例中国公明03</t>
    <rPh sb="4" eb="6">
      <t>ヒレイ</t>
    </rPh>
    <rPh sb="6" eb="8">
      <t>チュウゴク</t>
    </rPh>
    <rPh sb="8" eb="10">
      <t>コウメイ</t>
    </rPh>
    <phoneticPr fontId="3"/>
  </si>
  <si>
    <t>3804比例中国公明04</t>
    <rPh sb="4" eb="6">
      <t>ヒレイ</t>
    </rPh>
    <rPh sb="6" eb="8">
      <t>チュウゴク</t>
    </rPh>
    <rPh sb="8" eb="10">
      <t>コウメイ</t>
    </rPh>
    <phoneticPr fontId="3"/>
  </si>
  <si>
    <t>吉野　泰文</t>
    <rPh sb="0" eb="2">
      <t>ヨシノ</t>
    </rPh>
    <rPh sb="3" eb="5">
      <t>ヤスフミ</t>
    </rPh>
    <phoneticPr fontId="3"/>
  </si>
  <si>
    <t>3904比例四国公明02</t>
    <rPh sb="4" eb="6">
      <t>ヒレイ</t>
    </rPh>
    <rPh sb="6" eb="8">
      <t>シコク</t>
    </rPh>
    <rPh sb="8" eb="10">
      <t>コウメイ</t>
    </rPh>
    <phoneticPr fontId="3"/>
  </si>
  <si>
    <t>築山　伸一</t>
    <rPh sb="0" eb="2">
      <t>ツキヤマ</t>
    </rPh>
    <rPh sb="3" eb="5">
      <t>シンイチ</t>
    </rPh>
    <phoneticPr fontId="3"/>
  </si>
  <si>
    <t>4004比例九州公明05</t>
    <rPh sb="4" eb="6">
      <t>ヒレイ</t>
    </rPh>
    <rPh sb="6" eb="8">
      <t>キュウシュウ</t>
    </rPh>
    <rPh sb="8" eb="10">
      <t>コウメイ</t>
    </rPh>
    <phoneticPr fontId="3"/>
  </si>
  <si>
    <t>4004比例九州公明06</t>
    <rPh sb="4" eb="6">
      <t>ヒレイ</t>
    </rPh>
    <rPh sb="6" eb="8">
      <t>キュウシュウ</t>
    </rPh>
    <rPh sb="8" eb="10">
      <t>コウメイ</t>
    </rPh>
    <phoneticPr fontId="3"/>
  </si>
  <si>
    <t>金子　秀一</t>
    <rPh sb="0" eb="2">
      <t>カネコ</t>
    </rPh>
    <rPh sb="3" eb="5">
      <t>シュウイチ</t>
    </rPh>
    <phoneticPr fontId="3"/>
  </si>
  <si>
    <t>大(福岡)</t>
    <rPh sb="0" eb="1">
      <t>ダイ</t>
    </rPh>
    <rPh sb="2" eb="4">
      <t>フクオカ</t>
    </rPh>
    <phoneticPr fontId="3"/>
  </si>
  <si>
    <t>中山　英一</t>
    <rPh sb="0" eb="2">
      <t>ナカヤマ</t>
    </rPh>
    <rPh sb="3" eb="5">
      <t>エイイチ</t>
    </rPh>
    <phoneticPr fontId="3"/>
  </si>
  <si>
    <t>吉野　正芳</t>
    <rPh sb="0" eb="2">
      <t>ヨシノ</t>
    </rPh>
    <rPh sb="3" eb="5">
      <t>マサヨシ</t>
    </rPh>
    <phoneticPr fontId="3"/>
  </si>
  <si>
    <t>福島県議(いわき市),会社役員(吉野木材)</t>
    <rPh sb="0" eb="2">
      <t>フクシマ</t>
    </rPh>
    <rPh sb="2" eb="4">
      <t>ケンギ</t>
    </rPh>
    <rPh sb="8" eb="9">
      <t>シ</t>
    </rPh>
    <rPh sb="11" eb="13">
      <t>カイシャ</t>
    </rPh>
    <rPh sb="13" eb="15">
      <t>ヤクイン</t>
    </rPh>
    <rPh sb="16" eb="18">
      <t>ヨシノ</t>
    </rPh>
    <rPh sb="18" eb="20">
      <t>モクザイ</t>
    </rPh>
    <phoneticPr fontId="3"/>
  </si>
  <si>
    <t>　元副大臣(環境),政務官(文科)</t>
    <rPh sb="1" eb="2">
      <t>モト</t>
    </rPh>
    <rPh sb="2" eb="5">
      <t>フクダイジン</t>
    </rPh>
    <rPh sb="6" eb="8">
      <t>カンキョウ</t>
    </rPh>
    <rPh sb="10" eb="13">
      <t>セイムカン</t>
    </rPh>
    <rPh sb="14" eb="16">
      <t>モンカ</t>
    </rPh>
    <phoneticPr fontId="3"/>
  </si>
  <si>
    <t>3702比例近畿自民02</t>
    <rPh sb="4" eb="6">
      <t>ヒレイ</t>
    </rPh>
    <rPh sb="6" eb="8">
      <t>キンキ</t>
    </rPh>
    <rPh sb="8" eb="10">
      <t>ジミン</t>
    </rPh>
    <phoneticPr fontId="3"/>
  </si>
  <si>
    <t>302比例東北08</t>
    <rPh sb="3" eb="5">
      <t>ヒレイ</t>
    </rPh>
    <rPh sb="5" eb="7">
      <t>トウホク</t>
    </rPh>
    <phoneticPr fontId="3"/>
  </si>
  <si>
    <t>大院(神奈川)</t>
    <rPh sb="0" eb="2">
      <t>ダイイン</t>
    </rPh>
    <rPh sb="3" eb="6">
      <t>カナガワ</t>
    </rPh>
    <phoneticPr fontId="3"/>
  </si>
  <si>
    <t>野口　東秀</t>
    <rPh sb="0" eb="2">
      <t>ノグチ</t>
    </rPh>
    <rPh sb="3" eb="4">
      <t>トウ</t>
    </rPh>
    <rPh sb="4" eb="5">
      <t>シュウ</t>
    </rPh>
    <phoneticPr fontId="3"/>
  </si>
  <si>
    <t>―</t>
    <phoneticPr fontId="3"/>
  </si>
  <si>
    <t>ジ</t>
    <phoneticPr fontId="3"/>
  </si>
  <si>
    <t>大(中/中国人民)</t>
    <rPh sb="0" eb="1">
      <t>ダイ</t>
    </rPh>
    <rPh sb="2" eb="3">
      <t>チュウ</t>
    </rPh>
    <rPh sb="4" eb="6">
      <t>チュウゴク</t>
    </rPh>
    <rPh sb="6" eb="8">
      <t>ジンミン</t>
    </rPh>
    <phoneticPr fontId="3"/>
  </si>
  <si>
    <t>089神奈川7区05</t>
    <rPh sb="3" eb="6">
      <t>カナガワ</t>
    </rPh>
    <rPh sb="7" eb="8">
      <t>ク</t>
    </rPh>
    <phoneticPr fontId="3"/>
  </si>
  <si>
    <t>山崎　　誠</t>
    <rPh sb="0" eb="2">
      <t>ヤマザキ</t>
    </rPh>
    <rPh sb="4" eb="5">
      <t>マコト</t>
    </rPh>
    <phoneticPr fontId="3"/>
  </si>
  <si>
    <t>304比例南関東06</t>
    <rPh sb="3" eb="5">
      <t>ヒレイ</t>
    </rPh>
    <rPh sb="5" eb="8">
      <t>ミナミカントウ</t>
    </rPh>
    <phoneticPr fontId="3"/>
  </si>
  <si>
    <t>み</t>
    <phoneticPr fontId="3"/>
  </si>
  <si>
    <t>神奈川県・横浜市議,会社員(日揮,熊谷組)</t>
    <rPh sb="0" eb="4">
      <t>カナガワケン</t>
    </rPh>
    <rPh sb="5" eb="7">
      <t>ヨコハマ</t>
    </rPh>
    <rPh sb="7" eb="9">
      <t>シギ</t>
    </rPh>
    <rPh sb="10" eb="13">
      <t>カイシャイン</t>
    </rPh>
    <rPh sb="14" eb="16">
      <t>ニッキ</t>
    </rPh>
    <rPh sb="17" eb="20">
      <t>クマガイグミ</t>
    </rPh>
    <phoneticPr fontId="3"/>
  </si>
  <si>
    <t>議</t>
    <rPh sb="0" eb="1">
      <t>ギ</t>
    </rPh>
    <phoneticPr fontId="3"/>
  </si>
  <si>
    <t>兵庫県議(西宮市),兵庫県・西宮市議</t>
    <rPh sb="0" eb="2">
      <t>ヒョウゴ</t>
    </rPh>
    <rPh sb="2" eb="4">
      <t>ケンギ</t>
    </rPh>
    <rPh sb="5" eb="8">
      <t>ニシノミヤシ</t>
    </rPh>
    <rPh sb="10" eb="13">
      <t>ヒョウゴケン</t>
    </rPh>
    <rPh sb="14" eb="16">
      <t>ニシノミヤ</t>
    </rPh>
    <rPh sb="16" eb="18">
      <t>シギ</t>
    </rPh>
    <phoneticPr fontId="3"/>
  </si>
  <si>
    <t>3408比例東京社民01</t>
    <rPh sb="4" eb="6">
      <t>ヒレイ</t>
    </rPh>
    <rPh sb="6" eb="8">
      <t>トウキョウ</t>
    </rPh>
    <rPh sb="8" eb="10">
      <t>シャミン</t>
    </rPh>
    <phoneticPr fontId="3"/>
  </si>
  <si>
    <t>横田　昌三</t>
    <rPh sb="0" eb="2">
      <t>ヨコタ</t>
    </rPh>
    <rPh sb="3" eb="5">
      <t>ショウゾウ</t>
    </rPh>
    <phoneticPr fontId="3"/>
  </si>
  <si>
    <t>大(埼玉)</t>
    <rPh sb="0" eb="1">
      <t>ダイ</t>
    </rPh>
    <rPh sb="2" eb="4">
      <t>サイタマ</t>
    </rPh>
    <phoneticPr fontId="3"/>
  </si>
  <si>
    <t>社民党職員,議員秘書(五十嵐広三)</t>
    <rPh sb="0" eb="3">
      <t>シャミントウ</t>
    </rPh>
    <rPh sb="3" eb="5">
      <t>ショクイン</t>
    </rPh>
    <rPh sb="6" eb="8">
      <t>ギイン</t>
    </rPh>
    <rPh sb="8" eb="10">
      <t>ヒショ</t>
    </rPh>
    <rPh sb="11" eb="14">
      <t>イガラシ</t>
    </rPh>
    <rPh sb="14" eb="16">
      <t>コウゾウ</t>
    </rPh>
    <phoneticPr fontId="3"/>
  </si>
  <si>
    <t>桝口　敏行</t>
    <rPh sb="0" eb="1">
      <t>マス</t>
    </rPh>
    <rPh sb="1" eb="2">
      <t>グチ</t>
    </rPh>
    <rPh sb="3" eb="5">
      <t>トシユキ</t>
    </rPh>
    <phoneticPr fontId="3"/>
  </si>
  <si>
    <t>高(新潟南)</t>
    <rPh sb="0" eb="1">
      <t>コウ</t>
    </rPh>
    <rPh sb="2" eb="4">
      <t>ニイガタ</t>
    </rPh>
    <rPh sb="4" eb="5">
      <t>ミナミ</t>
    </rPh>
    <phoneticPr fontId="3"/>
  </si>
  <si>
    <t>新潟県議(新潟市),新潟県職労役員</t>
    <rPh sb="0" eb="2">
      <t>ニイガタ</t>
    </rPh>
    <rPh sb="2" eb="4">
      <t>ケンギ</t>
    </rPh>
    <rPh sb="5" eb="8">
      <t>ニイガタシ</t>
    </rPh>
    <rPh sb="10" eb="12">
      <t>ニイガタ</t>
    </rPh>
    <rPh sb="12" eb="14">
      <t>ケンショク</t>
    </rPh>
    <rPh sb="14" eb="15">
      <t>ロウ</t>
    </rPh>
    <rPh sb="15" eb="17">
      <t>ヤクイン</t>
    </rPh>
    <phoneticPr fontId="3"/>
  </si>
  <si>
    <t>議労</t>
    <rPh sb="0" eb="1">
      <t>ギ</t>
    </rPh>
    <rPh sb="1" eb="2">
      <t>ロウ</t>
    </rPh>
    <phoneticPr fontId="3"/>
  </si>
  <si>
    <t>議</t>
    <rPh sb="0" eb="1">
      <t>ギ</t>
    </rPh>
    <phoneticPr fontId="3"/>
  </si>
  <si>
    <t>労</t>
    <rPh sb="0" eb="1">
      <t>ロウ</t>
    </rPh>
    <phoneticPr fontId="3"/>
  </si>
  <si>
    <t>4002比例九州自民03</t>
    <rPh sb="4" eb="6">
      <t>ヒレイ</t>
    </rPh>
    <rPh sb="6" eb="8">
      <t>キュウシュウ</t>
    </rPh>
    <rPh sb="8" eb="10">
      <t>ジミン</t>
    </rPh>
    <phoneticPr fontId="3"/>
  </si>
  <si>
    <t>新開　裕司</t>
    <rPh sb="0" eb="2">
      <t>シンカイ</t>
    </rPh>
    <rPh sb="3" eb="5">
      <t>ユウジ</t>
    </rPh>
    <phoneticPr fontId="3"/>
  </si>
  <si>
    <t>岸田</t>
    <rPh sb="0" eb="2">
      <t>キシダ</t>
    </rPh>
    <phoneticPr fontId="3"/>
  </si>
  <si>
    <t>大(国立音楽)</t>
    <rPh sb="0" eb="1">
      <t>ダイ</t>
    </rPh>
    <rPh sb="2" eb="4">
      <t>クニタチ</t>
    </rPh>
    <rPh sb="4" eb="6">
      <t>オンガク</t>
    </rPh>
    <phoneticPr fontId="3"/>
  </si>
  <si>
    <t>議員秘書(古賀誠),福岡JC理事長</t>
    <rPh sb="0" eb="2">
      <t>ギイン</t>
    </rPh>
    <rPh sb="2" eb="4">
      <t>ヒショ</t>
    </rPh>
    <rPh sb="5" eb="7">
      <t>コガ</t>
    </rPh>
    <rPh sb="7" eb="8">
      <t>マコト</t>
    </rPh>
    <rPh sb="10" eb="12">
      <t>フクオカ</t>
    </rPh>
    <rPh sb="14" eb="17">
      <t>リジチョウ</t>
    </rPh>
    <phoneticPr fontId="3"/>
  </si>
  <si>
    <t>井上　貴博</t>
    <rPh sb="0" eb="2">
      <t>イノウエ</t>
    </rPh>
    <rPh sb="3" eb="5">
      <t>タカヒロ</t>
    </rPh>
    <phoneticPr fontId="3"/>
  </si>
  <si>
    <t>福岡県議(福岡市博多区),</t>
    <rPh sb="0" eb="2">
      <t>フクオカ</t>
    </rPh>
    <rPh sb="2" eb="4">
      <t>ケンギ</t>
    </rPh>
    <rPh sb="5" eb="8">
      <t>フクオカシ</t>
    </rPh>
    <rPh sb="8" eb="11">
      <t>ハカタク</t>
    </rPh>
    <phoneticPr fontId="3"/>
  </si>
  <si>
    <t>自</t>
    <rPh sb="0" eb="1">
      <t>ジ</t>
    </rPh>
    <phoneticPr fontId="3"/>
  </si>
  <si>
    <t>3802比例中国自民01</t>
    <rPh sb="4" eb="6">
      <t>ヒレイ</t>
    </rPh>
    <rPh sb="6" eb="8">
      <t>チュウゴク</t>
    </rPh>
    <rPh sb="8" eb="10">
      <t>ジミン</t>
    </rPh>
    <phoneticPr fontId="3"/>
  </si>
  <si>
    <t>263福岡1区05</t>
    <rPh sb="3" eb="5">
      <t>フクオカ</t>
    </rPh>
    <rPh sb="6" eb="7">
      <t>ク</t>
    </rPh>
    <phoneticPr fontId="3"/>
  </si>
  <si>
    <t>犬丸　勝子</t>
    <rPh sb="0" eb="2">
      <t>イヌマル</t>
    </rPh>
    <rPh sb="3" eb="5">
      <t>カツコ</t>
    </rPh>
    <phoneticPr fontId="3"/>
  </si>
  <si>
    <t>介護事業所代表,小学校教諭</t>
    <rPh sb="0" eb="2">
      <t>カイゴ</t>
    </rPh>
    <rPh sb="2" eb="5">
      <t>ジギョウショ</t>
    </rPh>
    <rPh sb="5" eb="7">
      <t>ダイヒョウ</t>
    </rPh>
    <rPh sb="8" eb="11">
      <t>ショウガッコウ</t>
    </rPh>
    <rPh sb="11" eb="13">
      <t>キョウユ</t>
    </rPh>
    <phoneticPr fontId="3"/>
  </si>
  <si>
    <t>大阪市議秘書,タクシー業</t>
    <rPh sb="0" eb="2">
      <t>オオサカ</t>
    </rPh>
    <rPh sb="2" eb="4">
      <t>シギ</t>
    </rPh>
    <rPh sb="4" eb="6">
      <t>ヒショ</t>
    </rPh>
    <rPh sb="11" eb="12">
      <t>ギョウ</t>
    </rPh>
    <phoneticPr fontId="3"/>
  </si>
  <si>
    <t>027秋田1区05</t>
    <rPh sb="3" eb="5">
      <t>アキタ</t>
    </rPh>
    <rPh sb="6" eb="7">
      <t>ク</t>
    </rPh>
    <phoneticPr fontId="3"/>
  </si>
  <si>
    <t>近江屋　信広</t>
    <rPh sb="0" eb="3">
      <t>オウミヤ</t>
    </rPh>
    <rPh sb="4" eb="6">
      <t>ノブヒロ</t>
    </rPh>
    <phoneticPr fontId="3"/>
  </si>
  <si>
    <t>自民党事務局次長</t>
    <rPh sb="0" eb="3">
      <t>ジミントウ</t>
    </rPh>
    <rPh sb="3" eb="6">
      <t>ジムキョク</t>
    </rPh>
    <rPh sb="6" eb="8">
      <t>ジチョウ</t>
    </rPh>
    <phoneticPr fontId="3"/>
  </si>
  <si>
    <t>114東京11区05</t>
    <rPh sb="3" eb="5">
      <t>トウキョウ</t>
    </rPh>
    <rPh sb="7" eb="8">
      <t>ク</t>
    </rPh>
    <phoneticPr fontId="3"/>
  </si>
  <si>
    <t>猪野　　隆</t>
    <rPh sb="0" eb="2">
      <t>イノ</t>
    </rPh>
    <rPh sb="4" eb="5">
      <t>タカシ</t>
    </rPh>
    <phoneticPr fontId="3"/>
  </si>
  <si>
    <t>076千葉7区07</t>
    <rPh sb="3" eb="5">
      <t>チバ</t>
    </rPh>
    <rPh sb="6" eb="7">
      <t>ク</t>
    </rPh>
    <phoneticPr fontId="3"/>
  </si>
  <si>
    <t>林　　千勝</t>
    <rPh sb="0" eb="1">
      <t>ハヤシ</t>
    </rPh>
    <rPh sb="3" eb="5">
      <t>チカツ</t>
    </rPh>
    <phoneticPr fontId="3"/>
  </si>
  <si>
    <t>043茨城6区06</t>
    <rPh sb="3" eb="5">
      <t>イバラキ</t>
    </rPh>
    <rPh sb="6" eb="7">
      <t>ク</t>
    </rPh>
    <phoneticPr fontId="3"/>
  </si>
  <si>
    <t>栗山　天心</t>
    <rPh sb="0" eb="2">
      <t>クリヤマ</t>
    </rPh>
    <rPh sb="3" eb="4">
      <t>テン</t>
    </rPh>
    <rPh sb="4" eb="5">
      <t>シン</t>
    </rPh>
    <phoneticPr fontId="3"/>
  </si>
  <si>
    <t>行政書士,託児所経営</t>
    <rPh sb="0" eb="4">
      <t>ギョウセイショシ</t>
    </rPh>
    <rPh sb="5" eb="8">
      <t>タクジショ</t>
    </rPh>
    <rPh sb="8" eb="10">
      <t>ケイエイ</t>
    </rPh>
    <phoneticPr fontId="3"/>
  </si>
  <si>
    <t>074千葉5区07</t>
    <rPh sb="3" eb="5">
      <t>チバ</t>
    </rPh>
    <rPh sb="6" eb="7">
      <t>ク</t>
    </rPh>
    <phoneticPr fontId="3"/>
  </si>
  <si>
    <t>赤塚　裕彦</t>
    <rPh sb="0" eb="2">
      <t>アカツカ</t>
    </rPh>
    <rPh sb="3" eb="5">
      <t>ヒロヒコ</t>
    </rPh>
    <phoneticPr fontId="3"/>
  </si>
  <si>
    <t>072千葉3区06</t>
    <rPh sb="3" eb="5">
      <t>チバ</t>
    </rPh>
    <rPh sb="6" eb="7">
      <t>ク</t>
    </rPh>
    <phoneticPr fontId="3"/>
  </si>
  <si>
    <t>井上　由紀子</t>
    <rPh sb="0" eb="2">
      <t>イノウエ</t>
    </rPh>
    <rPh sb="3" eb="6">
      <t>ユキコ</t>
    </rPh>
    <phoneticPr fontId="3"/>
  </si>
  <si>
    <t>着付け講師</t>
    <rPh sb="0" eb="2">
      <t>キツ</t>
    </rPh>
    <rPh sb="3" eb="5">
      <t>コウシ</t>
    </rPh>
    <phoneticPr fontId="3"/>
  </si>
  <si>
    <t>達増　陽子</t>
    <rPh sb="0" eb="2">
      <t>タッソ</t>
    </rPh>
    <rPh sb="3" eb="5">
      <t>ヨウコ</t>
    </rPh>
    <phoneticPr fontId="3"/>
  </si>
  <si>
    <t>短大(関西外国語大学短大部)</t>
    <rPh sb="0" eb="2">
      <t>タンダイ</t>
    </rPh>
    <rPh sb="3" eb="5">
      <t>カンサイ</t>
    </rPh>
    <rPh sb="5" eb="8">
      <t>ガイコクゴ</t>
    </rPh>
    <rPh sb="8" eb="10">
      <t>ダイガク</t>
    </rPh>
    <rPh sb="10" eb="13">
      <t>タンダイブ</t>
    </rPh>
    <phoneticPr fontId="3"/>
  </si>
  <si>
    <t>主婦,会社員(全日空)</t>
    <rPh sb="0" eb="2">
      <t>シュフ</t>
    </rPh>
    <rPh sb="3" eb="6">
      <t>カイシャイン</t>
    </rPh>
    <rPh sb="7" eb="10">
      <t>ゼンニックウ</t>
    </rPh>
    <phoneticPr fontId="3"/>
  </si>
  <si>
    <t>二</t>
    <rPh sb="0" eb="1">
      <t>ニ</t>
    </rPh>
    <phoneticPr fontId="3"/>
  </si>
  <si>
    <t>171愛知10区05</t>
    <rPh sb="3" eb="5">
      <t>アイチ</t>
    </rPh>
    <rPh sb="7" eb="8">
      <t>ク</t>
    </rPh>
    <phoneticPr fontId="3"/>
  </si>
  <si>
    <t>高橋　　一</t>
    <rPh sb="0" eb="2">
      <t>タカハシ</t>
    </rPh>
    <rPh sb="4" eb="5">
      <t>イチ</t>
    </rPh>
    <phoneticPr fontId="3"/>
  </si>
  <si>
    <t>会社社長(一宮タイムス)</t>
    <rPh sb="0" eb="2">
      <t>カイシャ</t>
    </rPh>
    <rPh sb="2" eb="4">
      <t>シャチョウ</t>
    </rPh>
    <rPh sb="5" eb="7">
      <t>イチノミヤ</t>
    </rPh>
    <phoneticPr fontId="3"/>
  </si>
  <si>
    <t>維み</t>
    <rPh sb="0" eb="1">
      <t>イ</t>
    </rPh>
    <phoneticPr fontId="3"/>
  </si>
  <si>
    <t>208大阪17区05</t>
    <rPh sb="3" eb="5">
      <t>オオサカ</t>
    </rPh>
    <rPh sb="7" eb="8">
      <t>ク</t>
    </rPh>
    <phoneticPr fontId="3"/>
  </si>
  <si>
    <t>208大阪17区01</t>
    <rPh sb="3" eb="5">
      <t>オオサカ</t>
    </rPh>
    <rPh sb="7" eb="8">
      <t>ク</t>
    </rPh>
    <phoneticPr fontId="3"/>
  </si>
  <si>
    <t>公</t>
    <rPh sb="0" eb="1">
      <t>コウ</t>
    </rPh>
    <phoneticPr fontId="3"/>
  </si>
  <si>
    <t>近藤　　浩</t>
    <rPh sb="0" eb="2">
      <t>コンドウ</t>
    </rPh>
    <rPh sb="4" eb="5">
      <t>ヒロシ</t>
    </rPh>
    <phoneticPr fontId="3"/>
  </si>
  <si>
    <t>大中(ノースイースタン)</t>
    <rPh sb="0" eb="1">
      <t>ダイ</t>
    </rPh>
    <rPh sb="1" eb="2">
      <t>チュウ</t>
    </rPh>
    <phoneticPr fontId="3"/>
  </si>
  <si>
    <t>愛知県議(名古屋市南区),議員秘書(大島慶久)</t>
    <rPh sb="0" eb="2">
      <t>アイチ</t>
    </rPh>
    <rPh sb="2" eb="4">
      <t>ケンギ</t>
    </rPh>
    <rPh sb="5" eb="9">
      <t>ナゴヤシ</t>
    </rPh>
    <rPh sb="9" eb="11">
      <t>ミナミク</t>
    </rPh>
    <rPh sb="13" eb="15">
      <t>ギイン</t>
    </rPh>
    <rPh sb="15" eb="17">
      <t>ヒショ</t>
    </rPh>
    <rPh sb="18" eb="20">
      <t>オオシマ</t>
    </rPh>
    <rPh sb="20" eb="22">
      <t>ヨシヒサ</t>
    </rPh>
    <phoneticPr fontId="3"/>
  </si>
  <si>
    <t>田中　　甲</t>
    <rPh sb="0" eb="2">
      <t>タナカ</t>
    </rPh>
    <rPh sb="4" eb="5">
      <t>コウ</t>
    </rPh>
    <phoneticPr fontId="3"/>
  </si>
  <si>
    <t>み</t>
    <phoneticPr fontId="3"/>
  </si>
  <si>
    <t>大(立教)</t>
    <rPh sb="0" eb="1">
      <t>ダイ</t>
    </rPh>
    <rPh sb="2" eb="4">
      <t>リッキョウ</t>
    </rPh>
    <phoneticPr fontId="3"/>
  </si>
  <si>
    <t>千葉県議(市川市),千葉県・市川市議</t>
    <rPh sb="0" eb="2">
      <t>チバ</t>
    </rPh>
    <rPh sb="2" eb="4">
      <t>ケンギ</t>
    </rPh>
    <rPh sb="5" eb="8">
      <t>イチカワシ</t>
    </rPh>
    <rPh sb="10" eb="13">
      <t>チバケン</t>
    </rPh>
    <rPh sb="14" eb="16">
      <t>イチカワ</t>
    </rPh>
    <rPh sb="16" eb="18">
      <t>シギ</t>
    </rPh>
    <phoneticPr fontId="3"/>
  </si>
  <si>
    <t>　旧尊命代表</t>
    <rPh sb="1" eb="2">
      <t>キュウ</t>
    </rPh>
    <rPh sb="2" eb="4">
      <t>タケル</t>
    </rPh>
    <rPh sb="4" eb="6">
      <t>ダイヒョウ</t>
    </rPh>
    <phoneticPr fontId="3"/>
  </si>
  <si>
    <t>上村　昭徳</t>
    <rPh sb="0" eb="2">
      <t>ウエムラ</t>
    </rPh>
    <rPh sb="3" eb="5">
      <t>アキノリ</t>
    </rPh>
    <phoneticPr fontId="3"/>
  </si>
  <si>
    <t>―</t>
    <phoneticPr fontId="3"/>
  </si>
  <si>
    <t>松田　　学</t>
    <rPh sb="0" eb="2">
      <t>マツダ</t>
    </rPh>
    <rPh sb="4" eb="5">
      <t>マナブ</t>
    </rPh>
    <phoneticPr fontId="3"/>
  </si>
  <si>
    <t>大(東京)</t>
    <rPh sb="0" eb="1">
      <t>ダイ</t>
    </rPh>
    <rPh sb="2" eb="4">
      <t>トウキョウ</t>
    </rPh>
    <phoneticPr fontId="3"/>
  </si>
  <si>
    <t>預金保険機構金融再生部長(財務省)</t>
    <rPh sb="0" eb="2">
      <t>ヨキン</t>
    </rPh>
    <rPh sb="2" eb="4">
      <t>ホケン</t>
    </rPh>
    <rPh sb="4" eb="6">
      <t>キコウ</t>
    </rPh>
    <rPh sb="6" eb="8">
      <t>キンユウ</t>
    </rPh>
    <rPh sb="8" eb="10">
      <t>サイセイ</t>
    </rPh>
    <rPh sb="10" eb="12">
      <t>ブチョウ</t>
    </rPh>
    <rPh sb="13" eb="16">
      <t>ザイムショウ</t>
    </rPh>
    <phoneticPr fontId="3"/>
  </si>
  <si>
    <t>官</t>
    <rPh sb="0" eb="1">
      <t>カン</t>
    </rPh>
    <phoneticPr fontId="3"/>
  </si>
  <si>
    <t>三宅　　博</t>
    <rPh sb="0" eb="2">
      <t>ミヤケ</t>
    </rPh>
    <rPh sb="4" eb="5">
      <t>ヒロシ</t>
    </rPh>
    <phoneticPr fontId="3"/>
  </si>
  <si>
    <t>高(大鉄)</t>
    <rPh sb="0" eb="1">
      <t>コウ</t>
    </rPh>
    <rPh sb="2" eb="3">
      <t>ダイ</t>
    </rPh>
    <rPh sb="3" eb="4">
      <t>テツ</t>
    </rPh>
    <phoneticPr fontId="3"/>
  </si>
  <si>
    <t>大阪府・八尾市議</t>
    <rPh sb="0" eb="3">
      <t>オオサカフ</t>
    </rPh>
    <rPh sb="4" eb="6">
      <t>ヤオ</t>
    </rPh>
    <rPh sb="6" eb="8">
      <t>シギ</t>
    </rPh>
    <phoneticPr fontId="3"/>
  </si>
  <si>
    <t>横田　光弘</t>
    <rPh sb="0" eb="2">
      <t>ヨコタ</t>
    </rPh>
    <rPh sb="3" eb="5">
      <t>ミツヒロ</t>
    </rPh>
    <phoneticPr fontId="3"/>
  </si>
  <si>
    <t>議松</t>
    <rPh sb="0" eb="1">
      <t>ギ</t>
    </rPh>
    <rPh sb="1" eb="2">
      <t>マツ</t>
    </rPh>
    <phoneticPr fontId="3"/>
  </si>
  <si>
    <t>松</t>
    <rPh sb="0" eb="1">
      <t>マツ</t>
    </rPh>
    <phoneticPr fontId="3"/>
  </si>
  <si>
    <t>神奈川県議(茅ヶ崎市),松下政経塾生</t>
    <rPh sb="0" eb="3">
      <t>カナガワ</t>
    </rPh>
    <rPh sb="3" eb="5">
      <t>ケンギ</t>
    </rPh>
    <rPh sb="6" eb="10">
      <t>チガサキシ</t>
    </rPh>
    <rPh sb="12" eb="14">
      <t>マツシタ</t>
    </rPh>
    <rPh sb="14" eb="17">
      <t>セイケイジュク</t>
    </rPh>
    <rPh sb="17" eb="18">
      <t>セイ</t>
    </rPh>
    <phoneticPr fontId="3"/>
  </si>
  <si>
    <t>水野　智彦</t>
    <rPh sb="0" eb="2">
      <t>ミズノ</t>
    </rPh>
    <rPh sb="3" eb="5">
      <t>トモヒコ</t>
    </rPh>
    <phoneticPr fontId="3"/>
  </si>
  <si>
    <t>大(城西歯科)</t>
    <rPh sb="0" eb="1">
      <t>ダイ</t>
    </rPh>
    <rPh sb="2" eb="6">
      <t>ジョウサイシカ</t>
    </rPh>
    <phoneticPr fontId="3"/>
  </si>
  <si>
    <t>304比例南関東08</t>
    <rPh sb="3" eb="5">
      <t>ヒレイ</t>
    </rPh>
    <rPh sb="5" eb="8">
      <t>ミナミカントウ</t>
    </rPh>
    <phoneticPr fontId="3"/>
  </si>
  <si>
    <t>歯科医師,勝浦JC理事長</t>
    <rPh sb="0" eb="4">
      <t>シカイシ</t>
    </rPh>
    <rPh sb="5" eb="7">
      <t>カツウラ</t>
    </rPh>
    <rPh sb="9" eb="12">
      <t>リジチョウ</t>
    </rPh>
    <phoneticPr fontId="3"/>
  </si>
  <si>
    <t>藤原　一威</t>
    <rPh sb="0" eb="2">
      <t>フジワラ</t>
    </rPh>
    <rPh sb="3" eb="4">
      <t>カズ</t>
    </rPh>
    <rPh sb="4" eb="5">
      <t>タケ</t>
    </rPh>
    <phoneticPr fontId="3"/>
  </si>
  <si>
    <t>大(第一福祉)</t>
    <rPh sb="0" eb="1">
      <t>ダイ</t>
    </rPh>
    <rPh sb="2" eb="4">
      <t>ダイイチ</t>
    </rPh>
    <rPh sb="4" eb="6">
      <t>フクシ</t>
    </rPh>
    <phoneticPr fontId="3"/>
  </si>
  <si>
    <t>会社社長(BestPlan)</t>
    <rPh sb="0" eb="2">
      <t>カイシャ</t>
    </rPh>
    <rPh sb="2" eb="4">
      <t>シャチョウ</t>
    </rPh>
    <phoneticPr fontId="3"/>
  </si>
  <si>
    <t>み</t>
    <phoneticPr fontId="3"/>
  </si>
  <si>
    <t>み</t>
    <phoneticPr fontId="3"/>
  </si>
  <si>
    <t>維</t>
    <rPh sb="0" eb="1">
      <t>イ</t>
    </rPh>
    <phoneticPr fontId="3"/>
  </si>
  <si>
    <t>3103比例東北未来01</t>
    <rPh sb="4" eb="6">
      <t>ヒレイ</t>
    </rPh>
    <rPh sb="6" eb="8">
      <t>トウホク</t>
    </rPh>
    <rPh sb="8" eb="10">
      <t>ミライ</t>
    </rPh>
    <phoneticPr fontId="3"/>
  </si>
  <si>
    <t>眞野　　哲</t>
    <rPh sb="0" eb="2">
      <t>マノ</t>
    </rPh>
    <rPh sb="4" eb="5">
      <t>サトシ</t>
    </rPh>
    <phoneticPr fontId="3"/>
  </si>
  <si>
    <t>及川　敏章</t>
    <rPh sb="0" eb="2">
      <t>オイカワ</t>
    </rPh>
    <rPh sb="3" eb="5">
      <t>トシアキ</t>
    </rPh>
    <phoneticPr fontId="3"/>
  </si>
  <si>
    <t>由</t>
  </si>
  <si>
    <t>新</t>
  </si>
  <si>
    <t>民主党職員,旧自由党,新進党職員</t>
    <rPh sb="0" eb="3">
      <t>ミンシュトウ</t>
    </rPh>
    <rPh sb="3" eb="5">
      <t>ショクイン</t>
    </rPh>
    <rPh sb="6" eb="10">
      <t>キュウジユウトウ</t>
    </rPh>
    <rPh sb="11" eb="14">
      <t>シンシントウ</t>
    </rPh>
    <rPh sb="14" eb="16">
      <t>ショクイン</t>
    </rPh>
    <phoneticPr fontId="3"/>
  </si>
  <si>
    <t>3002比例北海道自民02</t>
    <rPh sb="4" eb="6">
      <t>ヒレイ</t>
    </rPh>
    <rPh sb="6" eb="9">
      <t>ホッカイドウ</t>
    </rPh>
    <rPh sb="9" eb="11">
      <t>ジミン</t>
    </rPh>
    <phoneticPr fontId="3"/>
  </si>
  <si>
    <t>3002比例北海道自民03</t>
    <rPh sb="4" eb="6">
      <t>ヒレイ</t>
    </rPh>
    <rPh sb="6" eb="9">
      <t>ホッカイドウ</t>
    </rPh>
    <rPh sb="9" eb="11">
      <t>ジミン</t>
    </rPh>
    <phoneticPr fontId="3"/>
  </si>
  <si>
    <t>3002比例北海道自民04</t>
    <rPh sb="4" eb="6">
      <t>ヒレイ</t>
    </rPh>
    <rPh sb="6" eb="9">
      <t>ホッカイドウ</t>
    </rPh>
    <rPh sb="9" eb="11">
      <t>ジミン</t>
    </rPh>
    <phoneticPr fontId="3"/>
  </si>
  <si>
    <t>清水　誠一</t>
    <rPh sb="0" eb="2">
      <t>シミズ</t>
    </rPh>
    <rPh sb="3" eb="5">
      <t>セイイチ</t>
    </rPh>
    <phoneticPr fontId="3"/>
  </si>
  <si>
    <t>自民党</t>
  </si>
  <si>
    <t>北海道議(帯広市),北海道・帯広市議,会社員(清水洋装店)</t>
    <rPh sb="0" eb="3">
      <t>ホッカイドウ</t>
    </rPh>
    <rPh sb="3" eb="4">
      <t>ギ</t>
    </rPh>
    <rPh sb="5" eb="8">
      <t>オビヒロシ</t>
    </rPh>
    <rPh sb="10" eb="13">
      <t>ホッカイドウ</t>
    </rPh>
    <rPh sb="14" eb="16">
      <t>オビヒロ</t>
    </rPh>
    <rPh sb="16" eb="18">
      <t>シギ</t>
    </rPh>
    <rPh sb="19" eb="22">
      <t>カイシャイン</t>
    </rPh>
    <rPh sb="23" eb="25">
      <t>シミズ</t>
    </rPh>
    <rPh sb="25" eb="28">
      <t>ヨウソウテン</t>
    </rPh>
    <phoneticPr fontId="3"/>
  </si>
  <si>
    <t>議</t>
    <rPh sb="0" eb="1">
      <t>ギ</t>
    </rPh>
    <phoneticPr fontId="3"/>
  </si>
  <si>
    <t>勝沼　栄明</t>
    <rPh sb="0" eb="2">
      <t>カツヌマ</t>
    </rPh>
    <rPh sb="3" eb="4">
      <t>シゲ</t>
    </rPh>
    <rPh sb="4" eb="5">
      <t>アキ</t>
    </rPh>
    <phoneticPr fontId="3"/>
  </si>
  <si>
    <t>大(北海道)</t>
    <rPh sb="0" eb="1">
      <t>ダイ</t>
    </rPh>
    <rPh sb="2" eb="5">
      <t>ホッカイドウ</t>
    </rPh>
    <phoneticPr fontId="3"/>
  </si>
  <si>
    <t>医師(東京美容外科クリニック/形成外科)</t>
    <rPh sb="0" eb="2">
      <t>イシ</t>
    </rPh>
    <rPh sb="3" eb="5">
      <t>トウキョウ</t>
    </rPh>
    <rPh sb="5" eb="7">
      <t>ビヨウ</t>
    </rPh>
    <rPh sb="7" eb="9">
      <t>ゲカ</t>
    </rPh>
    <rPh sb="15" eb="17">
      <t>ケイセイ</t>
    </rPh>
    <rPh sb="17" eb="19">
      <t>ゲカ</t>
    </rPh>
    <phoneticPr fontId="3"/>
  </si>
  <si>
    <t>大越　農子</t>
    <rPh sb="0" eb="2">
      <t>オオコシ</t>
    </rPh>
    <rPh sb="3" eb="5">
      <t>アツコ</t>
    </rPh>
    <phoneticPr fontId="3"/>
  </si>
  <si>
    <t>女</t>
  </si>
  <si>
    <t>公改</t>
  </si>
  <si>
    <t>公改</t>
    <rPh sb="0" eb="1">
      <t>コウ</t>
    </rPh>
    <rPh sb="1" eb="2">
      <t>カイ</t>
    </rPh>
    <phoneticPr fontId="3"/>
  </si>
  <si>
    <t>西　　哲史</t>
    <rPh sb="0" eb="1">
      <t>ニシ</t>
    </rPh>
    <rPh sb="3" eb="5">
      <t>テツシ</t>
    </rPh>
    <phoneticPr fontId="3"/>
  </si>
  <si>
    <t>他</t>
  </si>
  <si>
    <t>大阪府・堺市議,会社員(博報堂)</t>
    <rPh sb="0" eb="3">
      <t>オオサカフ</t>
    </rPh>
    <rPh sb="4" eb="5">
      <t>サカイ</t>
    </rPh>
    <rPh sb="5" eb="7">
      <t>シギ</t>
    </rPh>
    <rPh sb="8" eb="11">
      <t>カイシャイン</t>
    </rPh>
    <rPh sb="12" eb="15">
      <t>ハクホウドウ</t>
    </rPh>
    <phoneticPr fontId="3"/>
  </si>
  <si>
    <t>吉田　　修</t>
    <rPh sb="0" eb="2">
      <t>ヨシダ</t>
    </rPh>
    <rPh sb="4" eb="5">
      <t>オサム</t>
    </rPh>
    <phoneticPr fontId="3"/>
  </si>
  <si>
    <t>村上　文人</t>
    <rPh sb="0" eb="2">
      <t>ムラカミ</t>
    </rPh>
    <rPh sb="3" eb="5">
      <t>フミト</t>
    </rPh>
    <phoneticPr fontId="3"/>
  </si>
  <si>
    <t>自民党秋田県連事務局長,秋田県職員</t>
    <rPh sb="0" eb="3">
      <t>ジミントウ</t>
    </rPh>
    <rPh sb="3" eb="5">
      <t>アキタ</t>
    </rPh>
    <rPh sb="5" eb="7">
      <t>ケンレン</t>
    </rPh>
    <rPh sb="7" eb="9">
      <t>ジム</t>
    </rPh>
    <rPh sb="9" eb="11">
      <t>キョクチョウ</t>
    </rPh>
    <rPh sb="12" eb="15">
      <t>アキタケン</t>
    </rPh>
    <rPh sb="15" eb="17">
      <t>ショクイン</t>
    </rPh>
    <phoneticPr fontId="3"/>
  </si>
  <si>
    <t>新谷　正義</t>
    <rPh sb="0" eb="2">
      <t>シンタニ</t>
    </rPh>
    <rPh sb="3" eb="5">
      <t>マサヨシ</t>
    </rPh>
    <phoneticPr fontId="3"/>
  </si>
  <si>
    <t>大(東京)</t>
    <rPh sb="0" eb="1">
      <t>ダイ</t>
    </rPh>
    <rPh sb="2" eb="4">
      <t>トウキョウ</t>
    </rPh>
    <phoneticPr fontId="3"/>
  </si>
  <si>
    <t>佐藤　明男</t>
  </si>
  <si>
    <t>佐藤　明男</t>
    <rPh sb="0" eb="2">
      <t>サトウ</t>
    </rPh>
    <rPh sb="3" eb="5">
      <t>アキオ</t>
    </rPh>
    <phoneticPr fontId="3"/>
  </si>
  <si>
    <t>大(明治)</t>
    <rPh sb="0" eb="1">
      <t>ダイ</t>
    </rPh>
    <rPh sb="2" eb="4">
      <t>メイジ</t>
    </rPh>
    <phoneticPr fontId="3"/>
  </si>
  <si>
    <t>自民党栃木県連事務局長</t>
    <rPh sb="0" eb="3">
      <t>ジミントウ</t>
    </rPh>
    <rPh sb="3" eb="5">
      <t>トチギ</t>
    </rPh>
    <rPh sb="5" eb="7">
      <t>ケンレン</t>
    </rPh>
    <rPh sb="7" eb="9">
      <t>ジム</t>
    </rPh>
    <rPh sb="9" eb="11">
      <t>キョクチョウ</t>
    </rPh>
    <phoneticPr fontId="3"/>
  </si>
  <si>
    <t>百武　公親</t>
  </si>
  <si>
    <t>百武　公親</t>
    <rPh sb="0" eb="2">
      <t>ヒャクタケ</t>
    </rPh>
    <rPh sb="3" eb="4">
      <t>キミ</t>
    </rPh>
    <rPh sb="4" eb="5">
      <t>チカ</t>
    </rPh>
    <phoneticPr fontId="3"/>
  </si>
  <si>
    <t>大(高千穂商科)</t>
    <rPh sb="0" eb="1">
      <t>ダイ</t>
    </rPh>
    <rPh sb="2" eb="5">
      <t>タカチホ</t>
    </rPh>
    <rPh sb="5" eb="7">
      <t>ショウカ</t>
    </rPh>
    <phoneticPr fontId="3"/>
  </si>
  <si>
    <t>単</t>
    <rPh sb="0" eb="1">
      <t>タン</t>
    </rPh>
    <phoneticPr fontId="3"/>
  </si>
  <si>
    <t>下田　彰一</t>
    <rPh sb="0" eb="2">
      <t>シモダ</t>
    </rPh>
    <rPh sb="3" eb="5">
      <t>ショウイチ</t>
    </rPh>
    <phoneticPr fontId="3"/>
  </si>
  <si>
    <t>団体代表(手をつなごうかながわの会),カメラマン</t>
    <rPh sb="0" eb="2">
      <t>ダンタイ</t>
    </rPh>
    <rPh sb="2" eb="4">
      <t>ダイヒョウ</t>
    </rPh>
    <rPh sb="5" eb="6">
      <t>テ</t>
    </rPh>
    <rPh sb="16" eb="17">
      <t>カイ</t>
    </rPh>
    <phoneticPr fontId="3"/>
  </si>
  <si>
    <t>石川　英男</t>
    <rPh sb="0" eb="2">
      <t>イシカワ</t>
    </rPh>
    <rPh sb="3" eb="5">
      <t>ヒデオ</t>
    </rPh>
    <phoneticPr fontId="3"/>
  </si>
  <si>
    <t>大(専修)</t>
    <rPh sb="0" eb="1">
      <t>ダイ</t>
    </rPh>
    <rPh sb="2" eb="4">
      <t>センシュウ</t>
    </rPh>
    <phoneticPr fontId="3"/>
  </si>
  <si>
    <t>自民党千葉県連事務局次長</t>
    <rPh sb="0" eb="3">
      <t>ジミントウ</t>
    </rPh>
    <rPh sb="3" eb="5">
      <t>チバ</t>
    </rPh>
    <rPh sb="5" eb="7">
      <t>ケンレン</t>
    </rPh>
    <rPh sb="7" eb="10">
      <t>ジムキョク</t>
    </rPh>
    <rPh sb="10" eb="12">
      <t>ジチョウ</t>
    </rPh>
    <phoneticPr fontId="3"/>
  </si>
  <si>
    <t>赤枝　恒雄</t>
    <rPh sb="0" eb="2">
      <t>アカエダ</t>
    </rPh>
    <rPh sb="3" eb="5">
      <t>ツネオ</t>
    </rPh>
    <phoneticPr fontId="3"/>
  </si>
  <si>
    <t>大(東京医科)</t>
    <rPh sb="0" eb="1">
      <t>ダイ</t>
    </rPh>
    <rPh sb="2" eb="4">
      <t>トウキョウ</t>
    </rPh>
    <rPh sb="4" eb="6">
      <t>イカ</t>
    </rPh>
    <phoneticPr fontId="3"/>
  </si>
  <si>
    <t>医師(赤枝六本木診療所/産婦人科)</t>
    <rPh sb="0" eb="2">
      <t>イシ</t>
    </rPh>
    <rPh sb="3" eb="5">
      <t>アカエダ</t>
    </rPh>
    <rPh sb="5" eb="8">
      <t>ロッポンギ</t>
    </rPh>
    <rPh sb="8" eb="11">
      <t>シンリョウジョ</t>
    </rPh>
    <rPh sb="12" eb="16">
      <t>サンフジンカ</t>
    </rPh>
    <phoneticPr fontId="3"/>
  </si>
  <si>
    <t>田畑　　毅</t>
    <rPh sb="0" eb="2">
      <t>タバタ</t>
    </rPh>
    <rPh sb="4" eb="5">
      <t>タケシ</t>
    </rPh>
    <phoneticPr fontId="3"/>
  </si>
  <si>
    <t>川松　真一朗</t>
    <rPh sb="0" eb="2">
      <t>カワマツ</t>
    </rPh>
    <rPh sb="3" eb="6">
      <t>シンイチロウ</t>
    </rPh>
    <phoneticPr fontId="3"/>
  </si>
  <si>
    <t>大(日本)</t>
    <rPh sb="0" eb="1">
      <t>ダイ</t>
    </rPh>
    <rPh sb="2" eb="4">
      <t>ニホン</t>
    </rPh>
    <phoneticPr fontId="3"/>
  </si>
  <si>
    <t>アナウンサー(テレビ朝日)</t>
    <rPh sb="10" eb="12">
      <t>アサヒ</t>
    </rPh>
    <phoneticPr fontId="3"/>
  </si>
  <si>
    <t>ジ</t>
    <phoneticPr fontId="3"/>
  </si>
  <si>
    <t>小野　敬三</t>
    <rPh sb="0" eb="2">
      <t>オノ</t>
    </rPh>
    <rPh sb="3" eb="5">
      <t>ケイゾウ</t>
    </rPh>
    <phoneticPr fontId="3"/>
  </si>
  <si>
    <t>石田　計生</t>
    <rPh sb="0" eb="2">
      <t>イシダ</t>
    </rPh>
    <rPh sb="3" eb="5">
      <t>カズオ</t>
    </rPh>
    <phoneticPr fontId="3"/>
  </si>
  <si>
    <t>自民党群馬県連事務局長</t>
    <rPh sb="0" eb="3">
      <t>ジミントウ</t>
    </rPh>
    <rPh sb="3" eb="5">
      <t>グンマ</t>
    </rPh>
    <rPh sb="5" eb="7">
      <t>ケンレン</t>
    </rPh>
    <rPh sb="7" eb="9">
      <t>ジム</t>
    </rPh>
    <rPh sb="9" eb="11">
      <t>キョクチョウ</t>
    </rPh>
    <phoneticPr fontId="3"/>
  </si>
  <si>
    <t>永山　文雄</t>
    <rPh sb="0" eb="2">
      <t>ナガヤマ</t>
    </rPh>
    <rPh sb="3" eb="5">
      <t>フミオ</t>
    </rPh>
    <phoneticPr fontId="3"/>
  </si>
  <si>
    <t>自民党富山県連事務局長</t>
    <rPh sb="0" eb="3">
      <t>ジミントウ</t>
    </rPh>
    <rPh sb="3" eb="5">
      <t>トヤマ</t>
    </rPh>
    <rPh sb="5" eb="7">
      <t>ケンレン</t>
    </rPh>
    <rPh sb="7" eb="9">
      <t>ジム</t>
    </rPh>
    <rPh sb="9" eb="11">
      <t>キョクチョウ</t>
    </rPh>
    <phoneticPr fontId="3"/>
  </si>
  <si>
    <t>自民党福井県連事務局長</t>
    <rPh sb="0" eb="3">
      <t>ジミントウ</t>
    </rPh>
    <rPh sb="3" eb="5">
      <t>フクイ</t>
    </rPh>
    <rPh sb="5" eb="7">
      <t>ケンレン</t>
    </rPh>
    <rPh sb="7" eb="9">
      <t>ジム</t>
    </rPh>
    <rPh sb="9" eb="11">
      <t>キョクチョウ</t>
    </rPh>
    <phoneticPr fontId="3"/>
  </si>
  <si>
    <t>渡辺　智康</t>
    <rPh sb="0" eb="2">
      <t>ワタナベ</t>
    </rPh>
    <rPh sb="3" eb="5">
      <t>トモヤス</t>
    </rPh>
    <phoneticPr fontId="3"/>
  </si>
  <si>
    <t>自民党石川県連事務局長</t>
    <rPh sb="0" eb="3">
      <t>ジミントウ</t>
    </rPh>
    <rPh sb="3" eb="5">
      <t>イシカワ</t>
    </rPh>
    <rPh sb="5" eb="7">
      <t>ケンレン</t>
    </rPh>
    <rPh sb="7" eb="9">
      <t>ジム</t>
    </rPh>
    <rPh sb="9" eb="11">
      <t>キョクチョウ</t>
    </rPh>
    <phoneticPr fontId="3"/>
  </si>
  <si>
    <t>轟　　好人</t>
    <rPh sb="0" eb="1">
      <t>トドロキ</t>
    </rPh>
    <rPh sb="3" eb="5">
      <t>ヨシト</t>
    </rPh>
    <phoneticPr fontId="3"/>
  </si>
  <si>
    <t>大中(明治)</t>
    <rPh sb="0" eb="1">
      <t>ダイ</t>
    </rPh>
    <rPh sb="1" eb="2">
      <t>チュウ</t>
    </rPh>
    <rPh sb="3" eb="5">
      <t>メイジ</t>
    </rPh>
    <phoneticPr fontId="3"/>
  </si>
  <si>
    <t>自民党長野県連事務局長,長野県職員</t>
    <rPh sb="0" eb="3">
      <t>ジミントウ</t>
    </rPh>
    <rPh sb="3" eb="5">
      <t>ナガノ</t>
    </rPh>
    <rPh sb="5" eb="7">
      <t>ケンレン</t>
    </rPh>
    <rPh sb="7" eb="9">
      <t>ジム</t>
    </rPh>
    <rPh sb="9" eb="11">
      <t>キョクチョウ</t>
    </rPh>
    <rPh sb="12" eb="15">
      <t>ナガノケン</t>
    </rPh>
    <rPh sb="15" eb="17">
      <t>ショクイン</t>
    </rPh>
    <phoneticPr fontId="3"/>
  </si>
  <si>
    <t>小林　孝治</t>
    <rPh sb="0" eb="2">
      <t>コバヤシ</t>
    </rPh>
    <rPh sb="3" eb="5">
      <t>コウジ</t>
    </rPh>
    <phoneticPr fontId="3"/>
  </si>
  <si>
    <t>佐橋　靖隆</t>
    <rPh sb="0" eb="2">
      <t>サハシ</t>
    </rPh>
    <rPh sb="3" eb="5">
      <t>ヤスタカ</t>
    </rPh>
    <phoneticPr fontId="3"/>
  </si>
  <si>
    <t>自民党愛知県連事務局長</t>
    <rPh sb="0" eb="3">
      <t>ジミントウ</t>
    </rPh>
    <rPh sb="3" eb="5">
      <t>アイチ</t>
    </rPh>
    <rPh sb="5" eb="7">
      <t>ケンレン</t>
    </rPh>
    <rPh sb="7" eb="9">
      <t>ジム</t>
    </rPh>
    <rPh sb="9" eb="11">
      <t>キョクチョウ</t>
    </rPh>
    <phoneticPr fontId="3"/>
  </si>
  <si>
    <t>自民党三重県連事務局長代行</t>
    <rPh sb="0" eb="3">
      <t>ジミントウ</t>
    </rPh>
    <rPh sb="3" eb="5">
      <t>ミエ</t>
    </rPh>
    <rPh sb="5" eb="7">
      <t>ケンレン</t>
    </rPh>
    <rPh sb="7" eb="9">
      <t>ジム</t>
    </rPh>
    <rPh sb="9" eb="11">
      <t>キョクチョウ</t>
    </rPh>
    <rPh sb="11" eb="13">
      <t>ダイコウ</t>
    </rPh>
    <phoneticPr fontId="3"/>
  </si>
  <si>
    <t>杉山　　真</t>
    <rPh sb="0" eb="2">
      <t>スギヤマ</t>
    </rPh>
    <rPh sb="4" eb="5">
      <t>マコト</t>
    </rPh>
    <phoneticPr fontId="3"/>
  </si>
  <si>
    <t>自民党岐阜県連職員</t>
    <rPh sb="0" eb="3">
      <t>ジミントウ</t>
    </rPh>
    <rPh sb="3" eb="5">
      <t>ギフ</t>
    </rPh>
    <rPh sb="5" eb="7">
      <t>ケンレン</t>
    </rPh>
    <rPh sb="7" eb="9">
      <t>ショクイン</t>
    </rPh>
    <phoneticPr fontId="3"/>
  </si>
  <si>
    <t>大(中部学院)</t>
    <rPh sb="0" eb="1">
      <t>ダイ</t>
    </rPh>
    <rPh sb="2" eb="4">
      <t>チュウブ</t>
    </rPh>
    <rPh sb="4" eb="6">
      <t>ガクイン</t>
    </rPh>
    <phoneticPr fontId="3"/>
  </si>
  <si>
    <t>3702比例近畿自民03</t>
    <rPh sb="4" eb="6">
      <t>ヒレイ</t>
    </rPh>
    <rPh sb="6" eb="8">
      <t>キンキ</t>
    </rPh>
    <rPh sb="8" eb="10">
      <t>ジミン</t>
    </rPh>
    <phoneticPr fontId="3"/>
  </si>
  <si>
    <t>西村　日出男</t>
    <rPh sb="0" eb="2">
      <t>ニシムラ</t>
    </rPh>
    <rPh sb="3" eb="6">
      <t>ヒデオ</t>
    </rPh>
    <phoneticPr fontId="3"/>
  </si>
  <si>
    <t>3802比例中国自民02</t>
    <rPh sb="4" eb="6">
      <t>ヒレイ</t>
    </rPh>
    <rPh sb="6" eb="8">
      <t>チュウゴク</t>
    </rPh>
    <rPh sb="8" eb="10">
      <t>ジミン</t>
    </rPh>
    <phoneticPr fontId="3"/>
  </si>
  <si>
    <t>3802比例中国自民03</t>
    <rPh sb="4" eb="6">
      <t>ヒレイ</t>
    </rPh>
    <rPh sb="6" eb="8">
      <t>チュウゴク</t>
    </rPh>
    <rPh sb="8" eb="10">
      <t>ジミン</t>
    </rPh>
    <phoneticPr fontId="3"/>
  </si>
  <si>
    <t>3802比例中国自民04</t>
    <rPh sb="4" eb="6">
      <t>ヒレイ</t>
    </rPh>
    <rPh sb="6" eb="8">
      <t>チュウゴク</t>
    </rPh>
    <rPh sb="8" eb="10">
      <t>ジミン</t>
    </rPh>
    <phoneticPr fontId="3"/>
  </si>
  <si>
    <t>3802比例中国自民05</t>
    <rPh sb="4" eb="6">
      <t>ヒレイ</t>
    </rPh>
    <rPh sb="6" eb="8">
      <t>チュウゴク</t>
    </rPh>
    <rPh sb="8" eb="10">
      <t>ジミン</t>
    </rPh>
    <phoneticPr fontId="3"/>
  </si>
  <si>
    <t>3802比例中国自民06</t>
    <rPh sb="4" eb="6">
      <t>ヒレイ</t>
    </rPh>
    <rPh sb="6" eb="8">
      <t>チュウゴク</t>
    </rPh>
    <rPh sb="8" eb="10">
      <t>ジミン</t>
    </rPh>
    <phoneticPr fontId="3"/>
  </si>
  <si>
    <t>池田　道孝</t>
    <rPh sb="0" eb="2">
      <t>イケダ</t>
    </rPh>
    <rPh sb="3" eb="5">
      <t>ミチタカ</t>
    </rPh>
    <phoneticPr fontId="3"/>
  </si>
  <si>
    <t>木村　光寿</t>
    <rPh sb="0" eb="2">
      <t>キムラ</t>
    </rPh>
    <rPh sb="3" eb="5">
      <t>ミツトシ</t>
    </rPh>
    <phoneticPr fontId="3"/>
  </si>
  <si>
    <t>井木　敏晴</t>
    <rPh sb="0" eb="2">
      <t>イギ</t>
    </rPh>
    <rPh sb="3" eb="5">
      <t>トシハル</t>
    </rPh>
    <phoneticPr fontId="3"/>
  </si>
  <si>
    <t>日野原　修治</t>
    <rPh sb="0" eb="3">
      <t>ヒノハラ</t>
    </rPh>
    <rPh sb="4" eb="6">
      <t>シュウジ</t>
    </rPh>
    <phoneticPr fontId="3"/>
  </si>
  <si>
    <t>自民党広島県連事務局長</t>
    <rPh sb="0" eb="3">
      <t>ジミントウ</t>
    </rPh>
    <rPh sb="3" eb="5">
      <t>ヒロシマ</t>
    </rPh>
    <rPh sb="5" eb="7">
      <t>ケンレン</t>
    </rPh>
    <rPh sb="7" eb="9">
      <t>ジム</t>
    </rPh>
    <rPh sb="9" eb="11">
      <t>キョクチョウ</t>
    </rPh>
    <phoneticPr fontId="3"/>
  </si>
  <si>
    <t>3802比例中国自民07</t>
    <rPh sb="4" eb="6">
      <t>ヒレイ</t>
    </rPh>
    <rPh sb="6" eb="8">
      <t>チュウゴク</t>
    </rPh>
    <rPh sb="8" eb="10">
      <t>ジミン</t>
    </rPh>
    <phoneticPr fontId="3"/>
  </si>
  <si>
    <t>秋田　博紀</t>
    <rPh sb="0" eb="2">
      <t>アキタ</t>
    </rPh>
    <rPh sb="3" eb="5">
      <t>ヒロノリ</t>
    </rPh>
    <phoneticPr fontId="3"/>
  </si>
  <si>
    <t>佐伯　充範</t>
    <rPh sb="0" eb="2">
      <t>サエキ</t>
    </rPh>
    <rPh sb="3" eb="5">
      <t>ミツノリ</t>
    </rPh>
    <phoneticPr fontId="3"/>
  </si>
  <si>
    <t>永井　一郎</t>
    <rPh sb="0" eb="2">
      <t>ナガイ</t>
    </rPh>
    <rPh sb="3" eb="5">
      <t>イチロウ</t>
    </rPh>
    <phoneticPr fontId="3"/>
  </si>
  <si>
    <t>大中(実践女子)</t>
    <rPh sb="0" eb="1">
      <t>ダイ</t>
    </rPh>
    <rPh sb="1" eb="2">
      <t>チュウ</t>
    </rPh>
    <rPh sb="3" eb="5">
      <t>ジッセン</t>
    </rPh>
    <rPh sb="5" eb="7">
      <t>ジョシ</t>
    </rPh>
    <phoneticPr fontId="3"/>
  </si>
  <si>
    <t>著述業</t>
    <rPh sb="0" eb="3">
      <t>チョジュツギョウ</t>
    </rPh>
    <phoneticPr fontId="3"/>
  </si>
  <si>
    <t>4002比例九州自民04</t>
    <rPh sb="4" eb="6">
      <t>ヒレイ</t>
    </rPh>
    <rPh sb="6" eb="8">
      <t>キュウシュウ</t>
    </rPh>
    <rPh sb="8" eb="10">
      <t>ジミン</t>
    </rPh>
    <phoneticPr fontId="3"/>
  </si>
  <si>
    <t>4002比例九州自民05</t>
    <rPh sb="4" eb="6">
      <t>ヒレイ</t>
    </rPh>
    <rPh sb="6" eb="8">
      <t>キュウシュウ</t>
    </rPh>
    <rPh sb="8" eb="10">
      <t>ジミン</t>
    </rPh>
    <phoneticPr fontId="3"/>
  </si>
  <si>
    <t>4002比例九州自民06</t>
    <rPh sb="4" eb="6">
      <t>ヒレイ</t>
    </rPh>
    <rPh sb="6" eb="8">
      <t>キュウシュウ</t>
    </rPh>
    <rPh sb="8" eb="10">
      <t>ジミン</t>
    </rPh>
    <phoneticPr fontId="3"/>
  </si>
  <si>
    <t>4002比例九州自民07</t>
    <rPh sb="4" eb="6">
      <t>ヒレイ</t>
    </rPh>
    <rPh sb="6" eb="8">
      <t>キュウシュウ</t>
    </rPh>
    <rPh sb="8" eb="10">
      <t>ジミン</t>
    </rPh>
    <phoneticPr fontId="3"/>
  </si>
  <si>
    <t>4002比例九州自民08</t>
    <rPh sb="4" eb="6">
      <t>ヒレイ</t>
    </rPh>
    <rPh sb="6" eb="8">
      <t>キュウシュウ</t>
    </rPh>
    <rPh sb="8" eb="10">
      <t>ジミン</t>
    </rPh>
    <phoneticPr fontId="3"/>
  </si>
  <si>
    <t>末吉　光徳</t>
    <rPh sb="0" eb="2">
      <t>スエヨシ</t>
    </rPh>
    <rPh sb="3" eb="5">
      <t>ミツノリ</t>
    </rPh>
    <phoneticPr fontId="3"/>
  </si>
  <si>
    <t>高(島原農)</t>
    <rPh sb="0" eb="1">
      <t>コウ</t>
    </rPh>
    <rPh sb="2" eb="4">
      <t>シマバラ</t>
    </rPh>
    <rPh sb="4" eb="5">
      <t>ノウ</t>
    </rPh>
    <phoneticPr fontId="3"/>
  </si>
  <si>
    <t>長崎県議(南島原市),会社社長(島原工務店)</t>
    <rPh sb="0" eb="2">
      <t>ナガサキ</t>
    </rPh>
    <rPh sb="2" eb="4">
      <t>ケンギ</t>
    </rPh>
    <rPh sb="5" eb="9">
      <t>ミナミシマバラシ</t>
    </rPh>
    <rPh sb="11" eb="13">
      <t>カイシャ</t>
    </rPh>
    <rPh sb="13" eb="15">
      <t>シャチョウ</t>
    </rPh>
    <rPh sb="16" eb="18">
      <t>シマバラ</t>
    </rPh>
    <rPh sb="18" eb="21">
      <t>コウムテン</t>
    </rPh>
    <phoneticPr fontId="3"/>
  </si>
  <si>
    <t>湯川　一行</t>
    <rPh sb="0" eb="2">
      <t>ユカワ</t>
    </rPh>
    <rPh sb="3" eb="5">
      <t>カズユキ</t>
    </rPh>
    <phoneticPr fontId="3"/>
  </si>
  <si>
    <t>自民党鹿児島県連事務局長</t>
    <rPh sb="0" eb="3">
      <t>ジミントウ</t>
    </rPh>
    <rPh sb="3" eb="6">
      <t>カゴシマ</t>
    </rPh>
    <rPh sb="6" eb="8">
      <t>ケンレン</t>
    </rPh>
    <rPh sb="8" eb="10">
      <t>ジム</t>
    </rPh>
    <rPh sb="10" eb="12">
      <t>キョクチョウ</t>
    </rPh>
    <phoneticPr fontId="3"/>
  </si>
  <si>
    <t>西村　忠則</t>
    <rPh sb="0" eb="2">
      <t>ニシムラ</t>
    </rPh>
    <rPh sb="3" eb="5">
      <t>タダノリ</t>
    </rPh>
    <phoneticPr fontId="3"/>
  </si>
  <si>
    <t>高(鹿島実)</t>
    <rPh sb="0" eb="1">
      <t>コウ</t>
    </rPh>
    <rPh sb="2" eb="4">
      <t>カシマ</t>
    </rPh>
    <rPh sb="4" eb="5">
      <t>ジツ</t>
    </rPh>
    <phoneticPr fontId="3"/>
  </si>
  <si>
    <t>自民党佐賀県連事務局長,佐賀県職員</t>
    <rPh sb="0" eb="3">
      <t>ジミントウ</t>
    </rPh>
    <rPh sb="3" eb="5">
      <t>サガ</t>
    </rPh>
    <rPh sb="5" eb="7">
      <t>ケンレン</t>
    </rPh>
    <rPh sb="7" eb="9">
      <t>ジム</t>
    </rPh>
    <rPh sb="9" eb="11">
      <t>キョクチョウ</t>
    </rPh>
    <rPh sb="12" eb="15">
      <t>サガケン</t>
    </rPh>
    <rPh sb="15" eb="17">
      <t>ショクイン</t>
    </rPh>
    <phoneticPr fontId="3"/>
  </si>
  <si>
    <t>泉　　幸親</t>
    <rPh sb="0" eb="1">
      <t>イズミ</t>
    </rPh>
    <rPh sb="3" eb="4">
      <t>ユキ</t>
    </rPh>
    <rPh sb="4" eb="5">
      <t>チカ</t>
    </rPh>
    <phoneticPr fontId="3"/>
  </si>
  <si>
    <t>自民党大分県連事務局長,大分県職員</t>
    <rPh sb="0" eb="3">
      <t>ジミントウ</t>
    </rPh>
    <rPh sb="3" eb="5">
      <t>オオイタ</t>
    </rPh>
    <rPh sb="5" eb="7">
      <t>ケンレン</t>
    </rPh>
    <rPh sb="7" eb="9">
      <t>ジム</t>
    </rPh>
    <rPh sb="9" eb="11">
      <t>キョクチョウ</t>
    </rPh>
    <rPh sb="12" eb="15">
      <t>オオイタケン</t>
    </rPh>
    <rPh sb="15" eb="17">
      <t>ショクイン</t>
    </rPh>
    <phoneticPr fontId="3"/>
  </si>
  <si>
    <t>川嶋　潔典</t>
    <rPh sb="0" eb="2">
      <t>カワシマ</t>
    </rPh>
    <rPh sb="3" eb="5">
      <t>キヨノリ</t>
    </rPh>
    <phoneticPr fontId="3"/>
  </si>
  <si>
    <t>292鹿児島1区05</t>
    <rPh sb="3" eb="6">
      <t>カゴシマ</t>
    </rPh>
    <rPh sb="7" eb="8">
      <t>ク</t>
    </rPh>
    <phoneticPr fontId="3"/>
  </si>
  <si>
    <t>渡辺　信一郎</t>
    <rPh sb="0" eb="2">
      <t>ワタナベ</t>
    </rPh>
    <rPh sb="3" eb="6">
      <t>シンイチロウ</t>
    </rPh>
    <phoneticPr fontId="3"/>
  </si>
  <si>
    <t>246山口1区04</t>
    <rPh sb="3" eb="5">
      <t>ヤマグチ</t>
    </rPh>
    <rPh sb="6" eb="7">
      <t>ク</t>
    </rPh>
    <phoneticPr fontId="3"/>
  </si>
  <si>
    <t>飯田　哲也</t>
    <rPh sb="0" eb="2">
      <t>イイダ</t>
    </rPh>
    <rPh sb="3" eb="4">
      <t>テツ</t>
    </rPh>
    <rPh sb="4" eb="5">
      <t>ナリ</t>
    </rPh>
    <phoneticPr fontId="3"/>
  </si>
  <si>
    <t>日本未来の党代表代行,研究所所長(環境エネルギー政策研究所)</t>
    <rPh sb="0" eb="2">
      <t>ニホン</t>
    </rPh>
    <rPh sb="2" eb="4">
      <t>ミライ</t>
    </rPh>
    <rPh sb="5" eb="6">
      <t>トウ</t>
    </rPh>
    <rPh sb="6" eb="8">
      <t>ダイヒョウ</t>
    </rPh>
    <rPh sb="8" eb="10">
      <t>ダイコウ</t>
    </rPh>
    <rPh sb="11" eb="13">
      <t>ケンキュウ</t>
    </rPh>
    <rPh sb="13" eb="14">
      <t>ショ</t>
    </rPh>
    <rPh sb="14" eb="16">
      <t>ショチョウ</t>
    </rPh>
    <rPh sb="17" eb="19">
      <t>カンキョウ</t>
    </rPh>
    <rPh sb="24" eb="26">
      <t>セイサク</t>
    </rPh>
    <rPh sb="26" eb="29">
      <t>ケンキュウジョ</t>
    </rPh>
    <phoneticPr fontId="3"/>
  </si>
  <si>
    <t>小和田　康文</t>
    <rPh sb="0" eb="3">
      <t>コワダ</t>
    </rPh>
    <rPh sb="4" eb="6">
      <t>ヤスフミ</t>
    </rPh>
    <phoneticPr fontId="3"/>
  </si>
  <si>
    <t>内閣府大臣官房公益法人行政担当室政策調査員,会社員(松尾橋梁)</t>
    <rPh sb="0" eb="3">
      <t>ナイカクフ</t>
    </rPh>
    <rPh sb="3" eb="5">
      <t>ダイジン</t>
    </rPh>
    <rPh sb="5" eb="7">
      <t>カンボウ</t>
    </rPh>
    <rPh sb="7" eb="9">
      <t>コウエキ</t>
    </rPh>
    <rPh sb="9" eb="11">
      <t>ホウジン</t>
    </rPh>
    <rPh sb="11" eb="13">
      <t>ギョウセイ</t>
    </rPh>
    <rPh sb="13" eb="16">
      <t>タントウシツ</t>
    </rPh>
    <rPh sb="16" eb="18">
      <t>セイサク</t>
    </rPh>
    <rPh sb="18" eb="21">
      <t>チョウサイン</t>
    </rPh>
    <rPh sb="22" eb="25">
      <t>カイシャイン</t>
    </rPh>
    <rPh sb="26" eb="28">
      <t>マツオ</t>
    </rPh>
    <rPh sb="28" eb="30">
      <t>キョウリョウ</t>
    </rPh>
    <phoneticPr fontId="3"/>
  </si>
  <si>
    <t>官</t>
    <rPh sb="0" eb="1">
      <t>カン</t>
    </rPh>
    <phoneticPr fontId="3"/>
  </si>
  <si>
    <t>短大(金蘭)</t>
    <rPh sb="0" eb="2">
      <t>タンダイ</t>
    </rPh>
    <rPh sb="3" eb="5">
      <t>キンラン</t>
    </rPh>
    <phoneticPr fontId="3"/>
  </si>
  <si>
    <t>土浦JC理事長</t>
    <rPh sb="0" eb="2">
      <t>ツチウラ</t>
    </rPh>
    <rPh sb="4" eb="7">
      <t>リジチョウ</t>
    </rPh>
    <phoneticPr fontId="3"/>
  </si>
  <si>
    <t>浦澤　　将</t>
    <rPh sb="0" eb="2">
      <t>ウラサワ</t>
    </rPh>
    <rPh sb="4" eb="5">
      <t>マサル</t>
    </rPh>
    <phoneticPr fontId="3"/>
  </si>
  <si>
    <t>美術館長(フジヤマミュージアム)</t>
    <rPh sb="0" eb="2">
      <t>ビジュツ</t>
    </rPh>
    <rPh sb="2" eb="4">
      <t>カンチョウ</t>
    </rPh>
    <phoneticPr fontId="3"/>
  </si>
  <si>
    <t>大院(多摩)</t>
    <rPh sb="0" eb="2">
      <t>ダイイン</t>
    </rPh>
    <rPh sb="3" eb="5">
      <t>タマ</t>
    </rPh>
    <phoneticPr fontId="3"/>
  </si>
  <si>
    <t>会社社長(ユナイテッド・インスペクタース)</t>
    <rPh sb="0" eb="2">
      <t>カイシャ</t>
    </rPh>
    <rPh sb="2" eb="4">
      <t>シャチョウ</t>
    </rPh>
    <phoneticPr fontId="3"/>
  </si>
  <si>
    <t>事務所代表(中村法務翻訳経済調査事務所)</t>
    <rPh sb="0" eb="3">
      <t>ジムショ</t>
    </rPh>
    <rPh sb="3" eb="5">
      <t>ダイヒョウ</t>
    </rPh>
    <rPh sb="6" eb="8">
      <t>ナカムラ</t>
    </rPh>
    <rPh sb="8" eb="10">
      <t>ホウム</t>
    </rPh>
    <rPh sb="10" eb="12">
      <t>ホンヤク</t>
    </rPh>
    <rPh sb="12" eb="14">
      <t>ケイザイ</t>
    </rPh>
    <rPh sb="14" eb="16">
      <t>チョウサ</t>
    </rPh>
    <rPh sb="16" eb="19">
      <t>ジムショ</t>
    </rPh>
    <phoneticPr fontId="3"/>
  </si>
  <si>
    <t>大院(米/南カリフォルニア)</t>
    <rPh sb="0" eb="2">
      <t>ダイイン</t>
    </rPh>
    <rPh sb="3" eb="4">
      <t>ベイ</t>
    </rPh>
    <rPh sb="5" eb="6">
      <t>ミナミ</t>
    </rPh>
    <phoneticPr fontId="3"/>
  </si>
  <si>
    <t>不動産コンサルタント,議員秘書(武見敬三)</t>
    <rPh sb="0" eb="3">
      <t>フドウサン</t>
    </rPh>
    <rPh sb="11" eb="13">
      <t>ギイン</t>
    </rPh>
    <rPh sb="13" eb="15">
      <t>ヒショ</t>
    </rPh>
    <rPh sb="16" eb="18">
      <t>タケミ</t>
    </rPh>
    <rPh sb="18" eb="20">
      <t>ケイゾウ</t>
    </rPh>
    <phoneticPr fontId="3"/>
  </si>
  <si>
    <t>会社社長(谷忠),空手教室経営</t>
    <rPh sb="0" eb="2">
      <t>カイシャ</t>
    </rPh>
    <rPh sb="2" eb="4">
      <t>シャチョウ</t>
    </rPh>
    <rPh sb="5" eb="6">
      <t>タニ</t>
    </rPh>
    <rPh sb="6" eb="7">
      <t>チュウ</t>
    </rPh>
    <rPh sb="9" eb="11">
      <t>カラテ</t>
    </rPh>
    <rPh sb="11" eb="13">
      <t>キョウシツ</t>
    </rPh>
    <rPh sb="13" eb="15">
      <t>ケイエイ</t>
    </rPh>
    <phoneticPr fontId="3"/>
  </si>
  <si>
    <t>高(廿日市)</t>
    <rPh sb="0" eb="1">
      <t>コウ</t>
    </rPh>
    <rPh sb="2" eb="5">
      <t>ハツカイチ</t>
    </rPh>
    <phoneticPr fontId="3"/>
  </si>
  <si>
    <t>テレビ記者(九州朝日放送)</t>
    <rPh sb="3" eb="5">
      <t>キシャ</t>
    </rPh>
    <rPh sb="6" eb="8">
      <t>キュウシュウ</t>
    </rPh>
    <rPh sb="8" eb="10">
      <t>アサヒ</t>
    </rPh>
    <rPh sb="10" eb="12">
      <t>ホウソウ</t>
    </rPh>
    <phoneticPr fontId="3"/>
  </si>
  <si>
    <t>荒木　　学</t>
    <rPh sb="0" eb="2">
      <t>アラキ</t>
    </rPh>
    <rPh sb="4" eb="5">
      <t>マナブ</t>
    </rPh>
    <phoneticPr fontId="3"/>
  </si>
  <si>
    <t>み</t>
  </si>
  <si>
    <t>み</t>
    <phoneticPr fontId="3"/>
  </si>
  <si>
    <t>ペットショップ経営,会社員(三井生命保険)</t>
    <rPh sb="7" eb="9">
      <t>ケイエイ</t>
    </rPh>
    <rPh sb="10" eb="13">
      <t>カイシャイン</t>
    </rPh>
    <rPh sb="14" eb="16">
      <t>ミツイ</t>
    </rPh>
    <rPh sb="16" eb="18">
      <t>セイメイ</t>
    </rPh>
    <rPh sb="18" eb="20">
      <t>ホケン</t>
    </rPh>
    <phoneticPr fontId="3"/>
  </si>
  <si>
    <t>会社員(電通),外務省アフガニスタン支援室課長補佐</t>
    <rPh sb="0" eb="3">
      <t>カイシャイン</t>
    </rPh>
    <rPh sb="4" eb="6">
      <t>デンツウ</t>
    </rPh>
    <rPh sb="8" eb="11">
      <t>ガイムショウ</t>
    </rPh>
    <rPh sb="18" eb="21">
      <t>シエンシツ</t>
    </rPh>
    <rPh sb="21" eb="23">
      <t>カチョウ</t>
    </rPh>
    <rPh sb="23" eb="25">
      <t>ホサ</t>
    </rPh>
    <phoneticPr fontId="3"/>
  </si>
  <si>
    <t>大(摂南)</t>
    <rPh sb="0" eb="1">
      <t>ダイ</t>
    </rPh>
    <rPh sb="2" eb="4">
      <t>セツナン</t>
    </rPh>
    <phoneticPr fontId="3"/>
  </si>
  <si>
    <t>在中国日本大使館外交官補(外務省)</t>
    <rPh sb="0" eb="1">
      <t>ザイ</t>
    </rPh>
    <rPh sb="1" eb="3">
      <t>チュウゴク</t>
    </rPh>
    <rPh sb="3" eb="5">
      <t>ニホン</t>
    </rPh>
    <rPh sb="5" eb="8">
      <t>タイシカン</t>
    </rPh>
    <rPh sb="8" eb="11">
      <t>ガイコウカン</t>
    </rPh>
    <rPh sb="11" eb="12">
      <t>ホ</t>
    </rPh>
    <rPh sb="13" eb="16">
      <t>ガイムショウ</t>
    </rPh>
    <phoneticPr fontId="3"/>
  </si>
  <si>
    <t>鹿嶋市職員,学校教諭,会社員(山一證券)</t>
    <rPh sb="0" eb="2">
      <t>カシマ</t>
    </rPh>
    <rPh sb="2" eb="5">
      <t>シショクイン</t>
    </rPh>
    <rPh sb="6" eb="8">
      <t>ガッコウ</t>
    </rPh>
    <rPh sb="8" eb="10">
      <t>キョウユ</t>
    </rPh>
    <rPh sb="11" eb="14">
      <t>カイシャイン</t>
    </rPh>
    <rPh sb="15" eb="17">
      <t>ヤマイチ</t>
    </rPh>
    <rPh sb="17" eb="19">
      <t>ショウケン</t>
    </rPh>
    <phoneticPr fontId="3"/>
  </si>
  <si>
    <t>大院中(明治)</t>
    <rPh sb="0" eb="2">
      <t>ダイイン</t>
    </rPh>
    <rPh sb="2" eb="3">
      <t>チュウ</t>
    </rPh>
    <rPh sb="4" eb="6">
      <t>メイジ</t>
    </rPh>
    <phoneticPr fontId="3"/>
  </si>
  <si>
    <t>大(東京外国語)</t>
    <rPh sb="0" eb="1">
      <t>ダイ</t>
    </rPh>
    <rPh sb="2" eb="4">
      <t>トウキョウ</t>
    </rPh>
    <rPh sb="4" eb="7">
      <t>ガイコクゴ</t>
    </rPh>
    <phoneticPr fontId="3"/>
  </si>
  <si>
    <t>会社社長(インフォビュー),会社員(日商岩井)</t>
    <rPh sb="0" eb="2">
      <t>カイシャ</t>
    </rPh>
    <rPh sb="2" eb="4">
      <t>シャチョウ</t>
    </rPh>
    <rPh sb="14" eb="17">
      <t>カイシャイン</t>
    </rPh>
    <rPh sb="18" eb="20">
      <t>ニッショウ</t>
    </rPh>
    <rPh sb="20" eb="22">
      <t>イワイ</t>
    </rPh>
    <phoneticPr fontId="3"/>
  </si>
  <si>
    <t>025宮城5区04</t>
    <rPh sb="3" eb="5">
      <t>ミヤギ</t>
    </rPh>
    <rPh sb="6" eb="7">
      <t>ク</t>
    </rPh>
    <phoneticPr fontId="3"/>
  </si>
  <si>
    <t>阿部　信子</t>
    <rPh sb="0" eb="2">
      <t>アベ</t>
    </rPh>
    <rPh sb="3" eb="5">
      <t>ノブコ</t>
    </rPh>
    <phoneticPr fontId="3"/>
  </si>
  <si>
    <t>037福島5区06</t>
    <rPh sb="3" eb="5">
      <t>フクシマ</t>
    </rPh>
    <rPh sb="6" eb="7">
      <t>ク</t>
    </rPh>
    <phoneticPr fontId="3"/>
  </si>
  <si>
    <t>松本　喜一</t>
    <rPh sb="0" eb="2">
      <t>マツモト</t>
    </rPh>
    <rPh sb="3" eb="5">
      <t>キイチ</t>
    </rPh>
    <phoneticPr fontId="3"/>
  </si>
  <si>
    <t>高(小高工)</t>
    <rPh sb="0" eb="1">
      <t>コウ</t>
    </rPh>
    <rPh sb="2" eb="4">
      <t>コダカ</t>
    </rPh>
    <rPh sb="4" eb="5">
      <t>タクミ</t>
    </rPh>
    <phoneticPr fontId="3"/>
  </si>
  <si>
    <t>福島県・楢葉町議,自動車整備工場経営</t>
    <rPh sb="0" eb="3">
      <t>フクシマケン</t>
    </rPh>
    <rPh sb="4" eb="6">
      <t>ナラハ</t>
    </rPh>
    <rPh sb="6" eb="8">
      <t>チョウギ</t>
    </rPh>
    <rPh sb="9" eb="12">
      <t>ジドウシャ</t>
    </rPh>
    <rPh sb="12" eb="14">
      <t>セイビ</t>
    </rPh>
    <rPh sb="14" eb="16">
      <t>コウジョウ</t>
    </rPh>
    <rPh sb="16" eb="18">
      <t>ケイエイ</t>
    </rPh>
    <phoneticPr fontId="3"/>
  </si>
  <si>
    <t>ネ</t>
  </si>
  <si>
    <t>104東京1区08</t>
    <rPh sb="3" eb="5">
      <t>トウキョウ</t>
    </rPh>
    <rPh sb="6" eb="7">
      <t>ク</t>
    </rPh>
    <phoneticPr fontId="3"/>
  </si>
  <si>
    <t>野沢　哲夫</t>
  </si>
  <si>
    <t>野沢　哲夫</t>
    <rPh sb="0" eb="2">
      <t>ノザワ</t>
    </rPh>
    <rPh sb="3" eb="5">
      <t>テツオ</t>
    </rPh>
    <phoneticPr fontId="3"/>
  </si>
  <si>
    <t>108東京5区07</t>
    <rPh sb="3" eb="5">
      <t>トウキョウ</t>
    </rPh>
    <rPh sb="6" eb="7">
      <t>ク</t>
    </rPh>
    <phoneticPr fontId="3"/>
  </si>
  <si>
    <t>丸子　安子</t>
    <rPh sb="0" eb="2">
      <t>マルコ</t>
    </rPh>
    <rPh sb="3" eb="5">
      <t>ヤスコ</t>
    </rPh>
    <phoneticPr fontId="3"/>
  </si>
  <si>
    <t>他(文化服装学院)</t>
    <rPh sb="0" eb="1">
      <t>ホカ</t>
    </rPh>
    <rPh sb="2" eb="4">
      <t>ブンカ</t>
    </rPh>
    <rPh sb="4" eb="6">
      <t>フクソウ</t>
    </rPh>
    <rPh sb="6" eb="8">
      <t>ガクイン</t>
    </rPh>
    <phoneticPr fontId="3"/>
  </si>
  <si>
    <t>マーレンカデザイナー</t>
    <phoneticPr fontId="3"/>
  </si>
  <si>
    <t>116東京13区05</t>
    <rPh sb="3" eb="5">
      <t>トウキョウ</t>
    </rPh>
    <rPh sb="7" eb="8">
      <t>ク</t>
    </rPh>
    <phoneticPr fontId="3"/>
  </si>
  <si>
    <t>本田　正樹</t>
    <rPh sb="0" eb="2">
      <t>ホンダ</t>
    </rPh>
    <rPh sb="3" eb="5">
      <t>マサキ</t>
    </rPh>
    <phoneticPr fontId="3"/>
  </si>
  <si>
    <t>124東京21区05</t>
    <rPh sb="3" eb="5">
      <t>トウキョウ</t>
    </rPh>
    <rPh sb="7" eb="8">
      <t>ク</t>
    </rPh>
    <phoneticPr fontId="3"/>
  </si>
  <si>
    <t>藤田　祐司</t>
    <rPh sb="0" eb="2">
      <t>フジタ</t>
    </rPh>
    <rPh sb="3" eb="5">
      <t>ユウジ</t>
    </rPh>
    <phoneticPr fontId="3"/>
  </si>
  <si>
    <t>石井　貴士</t>
    <rPh sb="0" eb="2">
      <t>イシイ</t>
    </rPh>
    <rPh sb="3" eb="5">
      <t>タカシ</t>
    </rPh>
    <phoneticPr fontId="3"/>
  </si>
  <si>
    <t>会社社長(ココロシンデレラ),テレビアナウンサー(信越放送)</t>
    <rPh sb="0" eb="2">
      <t>カイシャ</t>
    </rPh>
    <rPh sb="2" eb="4">
      <t>シャチョウ</t>
    </rPh>
    <rPh sb="25" eb="27">
      <t>シンエツ</t>
    </rPh>
    <rPh sb="27" eb="29">
      <t>ホウソウ</t>
    </rPh>
    <phoneticPr fontId="3"/>
  </si>
  <si>
    <t>128東京25区05</t>
    <rPh sb="3" eb="5">
      <t>トウキョウ</t>
    </rPh>
    <rPh sb="7" eb="8">
      <t>ク</t>
    </rPh>
    <phoneticPr fontId="3"/>
  </si>
  <si>
    <t>真砂　太郎</t>
  </si>
  <si>
    <t>真砂　太郎</t>
    <rPh sb="0" eb="2">
      <t>マサゴ</t>
    </rPh>
    <rPh sb="3" eb="5">
      <t>タロウ</t>
    </rPh>
    <phoneticPr fontId="3"/>
  </si>
  <si>
    <t>会社員(イオンクレジットサービス)</t>
    <rPh sb="0" eb="3">
      <t>カイシャイン</t>
    </rPh>
    <phoneticPr fontId="3"/>
  </si>
  <si>
    <t>138石川1区05</t>
    <rPh sb="3" eb="5">
      <t>イシカワ</t>
    </rPh>
    <rPh sb="6" eb="7">
      <t>ク</t>
    </rPh>
    <phoneticPr fontId="3"/>
  </si>
  <si>
    <t>熊野　盛夫</t>
    <rPh sb="0" eb="2">
      <t>クマノ</t>
    </rPh>
    <rPh sb="3" eb="5">
      <t>モリオ</t>
    </rPh>
    <phoneticPr fontId="3"/>
  </si>
  <si>
    <t>ライブ喫茶経営</t>
    <rPh sb="3" eb="5">
      <t>キッサ</t>
    </rPh>
    <rPh sb="5" eb="7">
      <t>ケイエイ</t>
    </rPh>
    <phoneticPr fontId="3"/>
  </si>
  <si>
    <t>160静岡7区05</t>
    <rPh sb="3" eb="5">
      <t>シズオカ</t>
    </rPh>
    <rPh sb="6" eb="7">
      <t>ク</t>
    </rPh>
    <phoneticPr fontId="3"/>
  </si>
  <si>
    <t>野末　修治</t>
    <rPh sb="0" eb="2">
      <t>ノズエ</t>
    </rPh>
    <rPh sb="3" eb="5">
      <t>シュウジ</t>
    </rPh>
    <phoneticPr fontId="3"/>
  </si>
  <si>
    <t>168愛知7区04</t>
    <rPh sb="3" eb="5">
      <t>アイチ</t>
    </rPh>
    <rPh sb="6" eb="7">
      <t>ク</t>
    </rPh>
    <phoneticPr fontId="3"/>
  </si>
  <si>
    <t>正木　裕美</t>
    <rPh sb="0" eb="2">
      <t>マサキ</t>
    </rPh>
    <rPh sb="3" eb="5">
      <t>ヒロミ</t>
    </rPh>
    <phoneticPr fontId="3"/>
  </si>
  <si>
    <t>大院(南山)</t>
    <rPh sb="0" eb="2">
      <t>ダイイン</t>
    </rPh>
    <rPh sb="3" eb="5">
      <t>ナンザン</t>
    </rPh>
    <phoneticPr fontId="3"/>
  </si>
  <si>
    <t>弁護士</t>
    <rPh sb="0" eb="3">
      <t>ベンゴシ</t>
    </rPh>
    <phoneticPr fontId="3"/>
  </si>
  <si>
    <t>173愛知12区03</t>
  </si>
  <si>
    <t>173愛知12区04</t>
  </si>
  <si>
    <t>190京都5区03</t>
  </si>
  <si>
    <t>190京都5区04</t>
  </si>
  <si>
    <t>216兵庫6区05</t>
    <rPh sb="3" eb="5">
      <t>ヒョウゴ</t>
    </rPh>
    <rPh sb="6" eb="7">
      <t>ク</t>
    </rPh>
    <phoneticPr fontId="3"/>
  </si>
  <si>
    <t>松崎　克彦</t>
    <rPh sb="0" eb="2">
      <t>マツザキ</t>
    </rPh>
    <rPh sb="3" eb="5">
      <t>カツヒコ</t>
    </rPh>
    <phoneticPr fontId="3"/>
  </si>
  <si>
    <t>兵庫県・伊丹市議,学習塾経営</t>
    <rPh sb="0" eb="3">
      <t>ヒョウゴケン</t>
    </rPh>
    <rPh sb="4" eb="6">
      <t>イタミ</t>
    </rPh>
    <rPh sb="6" eb="8">
      <t>シギ</t>
    </rPh>
    <rPh sb="9" eb="12">
      <t>ガクシュウジュク</t>
    </rPh>
    <rPh sb="12" eb="14">
      <t>ケイエイ</t>
    </rPh>
    <phoneticPr fontId="3"/>
  </si>
  <si>
    <t>吉田　公一</t>
  </si>
  <si>
    <t>吉田　公一</t>
    <rPh sb="0" eb="2">
      <t>ヨシダ</t>
    </rPh>
    <rPh sb="3" eb="5">
      <t>コウイチ</t>
    </rPh>
    <phoneticPr fontId="3"/>
  </si>
  <si>
    <t>民主党</t>
  </si>
  <si>
    <t>進</t>
  </si>
  <si>
    <t>進</t>
    <rPh sb="0" eb="1">
      <t>シン</t>
    </rPh>
    <phoneticPr fontId="3"/>
  </si>
  <si>
    <t>前</t>
  </si>
  <si>
    <t>大(宇都宮)</t>
    <rPh sb="0" eb="1">
      <t>ダイ</t>
    </rPh>
    <rPh sb="2" eb="5">
      <t>ウツノミヤ</t>
    </rPh>
    <phoneticPr fontId="3"/>
  </si>
  <si>
    <t>東京都議(練馬区),東京都・練馬区議,議員秘書(石井桂)</t>
    <rPh sb="0" eb="2">
      <t>トウキョウ</t>
    </rPh>
    <rPh sb="2" eb="4">
      <t>トギ</t>
    </rPh>
    <rPh sb="5" eb="8">
      <t>ネリマク</t>
    </rPh>
    <rPh sb="10" eb="13">
      <t>トウキョウト</t>
    </rPh>
    <rPh sb="14" eb="16">
      <t>ネリマ</t>
    </rPh>
    <rPh sb="16" eb="18">
      <t>クギ</t>
    </rPh>
    <rPh sb="19" eb="21">
      <t>ギイン</t>
    </rPh>
    <rPh sb="21" eb="23">
      <t>ヒショ</t>
    </rPh>
    <rPh sb="24" eb="26">
      <t>イシイ</t>
    </rPh>
    <rPh sb="26" eb="27">
      <t>カツラ</t>
    </rPh>
    <phoneticPr fontId="3"/>
  </si>
  <si>
    <t>農林水産副大臣，元委長(農水,外務),政務官(農水),民主党国対委長代理</t>
    <rPh sb="0" eb="2">
      <t>ノウリン</t>
    </rPh>
    <rPh sb="2" eb="4">
      <t>スイサン</t>
    </rPh>
    <rPh sb="4" eb="7">
      <t>フクダイジン</t>
    </rPh>
    <rPh sb="8" eb="9">
      <t>モト</t>
    </rPh>
    <rPh sb="9" eb="11">
      <t>イチョウ</t>
    </rPh>
    <rPh sb="12" eb="14">
      <t>ノウスイ</t>
    </rPh>
    <rPh sb="15" eb="17">
      <t>ガイム</t>
    </rPh>
    <rPh sb="19" eb="22">
      <t>セイムカン</t>
    </rPh>
    <rPh sb="23" eb="25">
      <t>ノウスイ</t>
    </rPh>
    <rPh sb="27" eb="30">
      <t>ミンシュトウ</t>
    </rPh>
    <rPh sb="30" eb="34">
      <t>コクタイイチョウ</t>
    </rPh>
    <rPh sb="34" eb="36">
      <t>ダイリ</t>
    </rPh>
    <phoneticPr fontId="3"/>
  </si>
  <si>
    <t>国</t>
  </si>
  <si>
    <t>国</t>
    <rPh sb="0" eb="1">
      <t>コク</t>
    </rPh>
    <phoneticPr fontId="3"/>
  </si>
  <si>
    <t>予想</t>
    <rPh sb="0" eb="2">
      <t>ヨソウ</t>
    </rPh>
    <phoneticPr fontId="3"/>
  </si>
  <si>
    <t>選挙区・整理番号</t>
  </si>
  <si>
    <t>当選</t>
  </si>
  <si>
    <t>得票数</t>
  </si>
  <si>
    <t>得票率</t>
  </si>
  <si>
    <t>惜敗率</t>
  </si>
  <si>
    <t>候補者名</t>
  </si>
  <si>
    <t>年齢</t>
  </si>
  <si>
    <t>性別</t>
  </si>
  <si>
    <t>重複</t>
  </si>
  <si>
    <t>所属政党</t>
  </si>
  <si>
    <t>派</t>
  </si>
  <si>
    <t>別</t>
  </si>
  <si>
    <t>回数</t>
  </si>
  <si>
    <t>推薦</t>
  </si>
  <si>
    <t>△</t>
  </si>
  <si>
    <t>×</t>
  </si>
  <si>
    <t>△比</t>
  </si>
  <si>
    <t>比</t>
  </si>
  <si>
    <t>【第45回衆議院議員総選挙　小選挙区の各政党別獲得議席数】</t>
  </si>
  <si>
    <t>政党名</t>
  </si>
  <si>
    <t>議席数</t>
  </si>
  <si>
    <t>獲得票数</t>
  </si>
  <si>
    <t>票</t>
  </si>
  <si>
    <t>公明党</t>
  </si>
  <si>
    <t>共産党</t>
  </si>
  <si>
    <t>社民党</t>
  </si>
  <si>
    <t>国民新党</t>
  </si>
  <si>
    <t>みんな</t>
  </si>
  <si>
    <t>改革ク</t>
  </si>
  <si>
    <t>新党日本</t>
  </si>
  <si>
    <t>諸派</t>
  </si>
  <si>
    <t>無所属</t>
  </si>
  <si>
    <t>合計</t>
  </si>
  <si>
    <t>残り</t>
  </si>
  <si>
    <t>001北海道1区02</t>
  </si>
  <si>
    <t>-</t>
  </si>
  <si>
    <t>横路　孝弘</t>
  </si>
  <si>
    <t>０２民主党</t>
  </si>
  <si>
    <t>社</t>
  </si>
  <si>
    <t>001北海道1区01</t>
  </si>
  <si>
    <t>長谷川　岳</t>
  </si>
  <si>
    <t>０１自民党</t>
  </si>
  <si>
    <t>１９無派</t>
  </si>
  <si>
    <t/>
  </si>
  <si>
    <t>公</t>
  </si>
  <si>
    <t>001北海道1区03</t>
  </si>
  <si>
    <t>$</t>
  </si>
  <si>
    <t>松井　秀明</t>
  </si>
  <si>
    <t>０４共産党</t>
  </si>
  <si>
    <t>001北海道1区04</t>
  </si>
  <si>
    <t>高元　和枝</t>
  </si>
  <si>
    <t>１０諸　派</t>
  </si>
  <si>
    <t>幸福</t>
  </si>
  <si>
    <t>002北海道2区02</t>
  </si>
  <si>
    <t>三井　辨雄</t>
  </si>
  <si>
    <t>002北海道2区01</t>
  </si>
  <si>
    <t>吉川　貴盛</t>
  </si>
  <si>
    <t>１２津島</t>
  </si>
  <si>
    <t>002北海道2区03</t>
  </si>
  <si>
    <t>岡　　千陽</t>
  </si>
  <si>
    <t>002北海道2区04</t>
  </si>
  <si>
    <t>本田　由美</t>
  </si>
  <si>
    <t>０５社民党</t>
  </si>
  <si>
    <t>002北海道2区05</t>
  </si>
  <si>
    <t>山本　志美</t>
  </si>
  <si>
    <t>003北海道3区02</t>
  </si>
  <si>
    <t>荒井　　聰</t>
  </si>
  <si>
    <t>元</t>
  </si>
  <si>
    <t>003北海道3区01</t>
  </si>
  <si>
    <t>石崎　　岳</t>
  </si>
  <si>
    <t>１１町村</t>
  </si>
  <si>
    <t>003北海道3区03</t>
  </si>
  <si>
    <t>森山　佳則</t>
  </si>
  <si>
    <t>004北海道4区02</t>
  </si>
  <si>
    <t>鉢呂　吉雄</t>
  </si>
  <si>
    <t>004北海道4区01</t>
  </si>
  <si>
    <t>宮本　　融</t>
  </si>
  <si>
    <t>004北海道4区03</t>
  </si>
  <si>
    <t>鶴見　俊蔵</t>
  </si>
  <si>
    <t>005北海道5区02</t>
  </si>
  <si>
    <t>小林　千代美</t>
  </si>
  <si>
    <t>005北海道5区01</t>
  </si>
  <si>
    <t>町村　信孝</t>
  </si>
  <si>
    <t>005北海道5区03</t>
  </si>
  <si>
    <t>畑野　泰紀</t>
  </si>
  <si>
    <t>006北海道6区02</t>
  </si>
  <si>
    <t>佐々木　隆博</t>
  </si>
  <si>
    <t>006北海道6区01</t>
  </si>
  <si>
    <t>今津　　寛</t>
  </si>
  <si>
    <t>006北海道6区03</t>
  </si>
  <si>
    <t>荻生　和敏</t>
  </si>
  <si>
    <t>006北海道6区04</t>
  </si>
  <si>
    <t>武田　慎一</t>
  </si>
  <si>
    <t>007北海道7区01</t>
  </si>
  <si>
    <t>伊東　良孝</t>
  </si>
  <si>
    <t>１５伊吹</t>
  </si>
  <si>
    <t>007北海道7区02</t>
  </si>
  <si>
    <t>仲野　博子</t>
  </si>
  <si>
    <t>007北海道7区03</t>
  </si>
  <si>
    <t>金成　幸子</t>
  </si>
  <si>
    <t>008北海道8区02</t>
  </si>
  <si>
    <t>逢坂　誠二</t>
  </si>
  <si>
    <t>008北海道8区01</t>
  </si>
  <si>
    <t>福島　啓史郎</t>
  </si>
  <si>
    <t>008北海道8区04</t>
  </si>
  <si>
    <t>佐藤　健治</t>
  </si>
  <si>
    <t>１１無所属</t>
  </si>
  <si>
    <t>(自無)</t>
  </si>
  <si>
    <t>008北海道8区03</t>
  </si>
  <si>
    <t>西野　　晃</t>
  </si>
  <si>
    <t>009北海道9区02</t>
  </si>
  <si>
    <t>鳩山　由紀夫</t>
  </si>
  <si>
    <t>009北海道9区01</t>
  </si>
  <si>
    <t>川畑　　悟</t>
  </si>
  <si>
    <t>009北海道9区03</t>
  </si>
  <si>
    <t>佐藤　昭子</t>
  </si>
  <si>
    <t>009北海道9区04</t>
  </si>
  <si>
    <t>里村　英一</t>
  </si>
  <si>
    <t>010北海道10区02</t>
  </si>
  <si>
    <t>小平　忠正</t>
  </si>
  <si>
    <t>010北海道10区01</t>
  </si>
  <si>
    <t>飯島　夕雁</t>
  </si>
  <si>
    <t>010北海道10区03</t>
  </si>
  <si>
    <t>大林　　誠</t>
  </si>
  <si>
    <t>011北海道11区02</t>
  </si>
  <si>
    <t>石川　知裕</t>
  </si>
  <si>
    <t>011北海道11区01</t>
  </si>
  <si>
    <t>中川　昭一</t>
  </si>
  <si>
    <t>011北海道11区03</t>
  </si>
  <si>
    <t>渡辺　　紫</t>
  </si>
  <si>
    <t>012北海道12区02</t>
  </si>
  <si>
    <t>松木　謙公</t>
  </si>
  <si>
    <t>012北海道12区01</t>
  </si>
  <si>
    <t>武部　　勤</t>
  </si>
  <si>
    <t>１４山崎</t>
  </si>
  <si>
    <t>012北海道12区03</t>
  </si>
  <si>
    <t>笠松　長麿</t>
  </si>
  <si>
    <t>013青森1区01</t>
  </si>
  <si>
    <t>横山　北斗</t>
  </si>
  <si>
    <t>013青森1区06</t>
  </si>
  <si>
    <t>津島　　淳</t>
  </si>
  <si>
    <t>(自津)</t>
  </si>
  <si>
    <t>013青森1区05</t>
  </si>
  <si>
    <t>升田　世喜男</t>
  </si>
  <si>
    <t>(平沼)</t>
  </si>
  <si>
    <t>013青森1区03</t>
  </si>
  <si>
    <t>渡辺　英彦</t>
  </si>
  <si>
    <t>013青森1区02</t>
  </si>
  <si>
    <t>吉俣　　洋</t>
  </si>
  <si>
    <t>013青森1区04</t>
  </si>
  <si>
    <t>上田　一博</t>
  </si>
  <si>
    <t>014青森2区01</t>
  </si>
  <si>
    <t>江渡　聡徳</t>
  </si>
  <si>
    <t>１８高村</t>
  </si>
  <si>
    <t>014青森2区02</t>
  </si>
  <si>
    <t>中野渡　詔子</t>
  </si>
  <si>
    <t>014青森2区04</t>
  </si>
  <si>
    <t>熊谷　ヒサ子</t>
  </si>
  <si>
    <t>014青森2区03</t>
  </si>
  <si>
    <t>森光　　浄</t>
  </si>
  <si>
    <t>015青森3区01</t>
  </si>
  <si>
    <t>大島　理森</t>
  </si>
  <si>
    <t>015青森3区02</t>
  </si>
  <si>
    <t>田名部　匡代</t>
  </si>
  <si>
    <t>015青森3区03</t>
  </si>
  <si>
    <t>中西　修二</t>
  </si>
  <si>
    <t>016青森4区01</t>
  </si>
  <si>
    <t>木村　太郎</t>
  </si>
  <si>
    <t>016青森4区02</t>
  </si>
  <si>
    <t>津島　恭一</t>
  </si>
  <si>
    <t>016青森4区03</t>
  </si>
  <si>
    <t>石田　昭弘</t>
  </si>
  <si>
    <t>017岩手1区02</t>
  </si>
  <si>
    <t>階　　　猛</t>
  </si>
  <si>
    <t>017岩手1区01</t>
  </si>
  <si>
    <t>高橋　比奈子</t>
  </si>
  <si>
    <t>017岩手1区04</t>
  </si>
  <si>
    <t>伊沢　昌弘</t>
  </si>
  <si>
    <t>017岩手1区03</t>
  </si>
  <si>
    <t>吉田　恭子</t>
  </si>
  <si>
    <t>017岩手1区05</t>
  </si>
  <si>
    <t>森　　憲作</t>
  </si>
  <si>
    <t>018岩手2区02</t>
  </si>
  <si>
    <t>畑　　浩治</t>
  </si>
  <si>
    <t>018岩手2区01</t>
  </si>
  <si>
    <t>鈴木　俊一</t>
  </si>
  <si>
    <t>１３古賀</t>
  </si>
  <si>
    <t>018岩手2区03</t>
  </si>
  <si>
    <t>工藤　哲子</t>
  </si>
  <si>
    <t>019岩手3区02</t>
  </si>
  <si>
    <t>黄川田　徹</t>
  </si>
  <si>
    <t>019岩手3区01</t>
  </si>
  <si>
    <t>橋本　英教</t>
  </si>
  <si>
    <t>019岩手3区03</t>
  </si>
  <si>
    <t>阿部　忠臣</t>
  </si>
  <si>
    <t>020岩手4区02</t>
  </si>
  <si>
    <t>小沢　一郎</t>
  </si>
  <si>
    <t>020岩手4区01</t>
  </si>
  <si>
    <t>高橋　嘉信</t>
  </si>
  <si>
    <t>020岩手4区04</t>
  </si>
  <si>
    <t>小原　宣良</t>
  </si>
  <si>
    <t>020岩手4区03</t>
  </si>
  <si>
    <t>瀬川　貞清</t>
  </si>
  <si>
    <t>020岩手4区05</t>
  </si>
  <si>
    <t>安永　　陽</t>
  </si>
  <si>
    <t>021宮城1区02</t>
  </si>
  <si>
    <t>郡　　和子</t>
  </si>
  <si>
    <t>021宮城1区01</t>
  </si>
  <si>
    <t>土井　　亨</t>
  </si>
  <si>
    <t>021宮城1区03</t>
  </si>
  <si>
    <t>角野　達也</t>
  </si>
  <si>
    <t>021宮城1区05</t>
  </si>
  <si>
    <t>矢島　卓臣</t>
  </si>
  <si>
    <t>021宮城1区04</t>
  </si>
  <si>
    <t>遠田　敬一</t>
  </si>
  <si>
    <t>022宮城2区02</t>
  </si>
  <si>
    <t>斎藤　恭紀</t>
  </si>
  <si>
    <t>022宮城2区01</t>
  </si>
  <si>
    <t>中野　正志</t>
  </si>
  <si>
    <t>022宮城2区04</t>
  </si>
  <si>
    <t>佐藤　　豊</t>
  </si>
  <si>
    <t>022宮城2区03</t>
  </si>
  <si>
    <t>安部　公人</t>
  </si>
  <si>
    <t>023宮城3区02</t>
  </si>
  <si>
    <t>橋本　清仁</t>
  </si>
  <si>
    <t>023宮城3区01</t>
  </si>
  <si>
    <t>西村　明宏</t>
  </si>
  <si>
    <t>023宮城3区03</t>
  </si>
  <si>
    <t>小林　睦明</t>
  </si>
  <si>
    <t>024宮城4区02</t>
  </si>
  <si>
    <t>石山　敬貴</t>
  </si>
  <si>
    <t>024宮城4区01</t>
  </si>
  <si>
    <t>伊藤　信太郎</t>
  </si>
  <si>
    <t>024宮城4区03</t>
  </si>
  <si>
    <t>加藤　幹夫</t>
  </si>
  <si>
    <t>024宮城4区04</t>
  </si>
  <si>
    <t>村上　善昭</t>
  </si>
  <si>
    <t>025宮城5区02</t>
  </si>
  <si>
    <t>安住　　淳</t>
  </si>
  <si>
    <t>025宮城5区01</t>
  </si>
  <si>
    <t>斎藤　正美</t>
  </si>
  <si>
    <t>026宮城6区01</t>
  </si>
  <si>
    <t>小野寺　五典</t>
  </si>
  <si>
    <t>026宮城6区02</t>
  </si>
  <si>
    <t>菅野　哲雄</t>
  </si>
  <si>
    <t>026宮城6区03</t>
  </si>
  <si>
    <t>氏家　次男</t>
  </si>
  <si>
    <t>027秋田1区02</t>
  </si>
  <si>
    <t>寺田　　学</t>
  </si>
  <si>
    <t>社国</t>
  </si>
  <si>
    <t>027秋田1区01</t>
  </si>
  <si>
    <t>二田　孝治</t>
  </si>
  <si>
    <t>027秋田1区03</t>
  </si>
  <si>
    <t>鈴木　　知</t>
  </si>
  <si>
    <t>027秋田1区05</t>
  </si>
  <si>
    <t>藤井　陽光</t>
  </si>
  <si>
    <t>027秋田1区04</t>
  </si>
  <si>
    <t>鶴田　裕貴博</t>
  </si>
  <si>
    <t>028秋田2区05</t>
  </si>
  <si>
    <t>川口　　博</t>
  </si>
  <si>
    <t>(民無)</t>
  </si>
  <si>
    <t>028秋田2区01</t>
  </si>
  <si>
    <t>金田　勝年</t>
  </si>
  <si>
    <t>028秋田2区02</t>
  </si>
  <si>
    <t>山本　喜代宏</t>
  </si>
  <si>
    <t>民</t>
  </si>
  <si>
    <t>028秋田2区03</t>
  </si>
  <si>
    <t>佐々木　重人</t>
  </si>
  <si>
    <t>０７みんな</t>
  </si>
  <si>
    <t>028秋田2区04</t>
  </si>
  <si>
    <t>藤原　純一</t>
  </si>
  <si>
    <t>029秋田3区02</t>
  </si>
  <si>
    <t>京野　公子</t>
  </si>
  <si>
    <t>029秋田3区01</t>
  </si>
  <si>
    <t>御法川　信英</t>
  </si>
  <si>
    <t>029秋田3区04</t>
  </si>
  <si>
    <t>村岡　敏英</t>
  </si>
  <si>
    <t>029秋田3区03</t>
  </si>
  <si>
    <t>西本　　篤</t>
  </si>
  <si>
    <t>030山形1区02</t>
  </si>
  <si>
    <t>鹿野　道彦</t>
  </si>
  <si>
    <t>030山形1区01</t>
  </si>
  <si>
    <t>遠藤　利明</t>
  </si>
  <si>
    <t>030山形1区05</t>
  </si>
  <si>
    <t>伊藤　香織</t>
  </si>
  <si>
    <t>030山形1区03</t>
  </si>
  <si>
    <t>佐藤　雅之</t>
  </si>
  <si>
    <t>030山形1区04</t>
  </si>
  <si>
    <t>森　大吾郎</t>
  </si>
  <si>
    <t>031山形2区02</t>
  </si>
  <si>
    <t>近藤　洋介</t>
  </si>
  <si>
    <t>031山形2区01</t>
  </si>
  <si>
    <t>鈴木　啓功</t>
  </si>
  <si>
    <t>031山形2区03</t>
  </si>
  <si>
    <t>後藤　克彦</t>
  </si>
  <si>
    <t>032山形3区01</t>
  </si>
  <si>
    <t>加藤　紘一</t>
  </si>
  <si>
    <t>032山形3区03</t>
  </si>
  <si>
    <t>吉泉　秀男</t>
  </si>
  <si>
    <t>民国</t>
  </si>
  <si>
    <t>032山形3区02</t>
  </si>
  <si>
    <t>長谷川　剛</t>
  </si>
  <si>
    <t>032山形3区04</t>
  </si>
  <si>
    <t>城取　良太</t>
  </si>
  <si>
    <t>033福島1区02</t>
  </si>
  <si>
    <t>石原　洋三郎</t>
  </si>
  <si>
    <t>033福島1区01</t>
  </si>
  <si>
    <t>亀岡　偉民</t>
  </si>
  <si>
    <t>033福島1区03</t>
  </si>
  <si>
    <t>山田　　裕</t>
  </si>
  <si>
    <t>033福島1区04</t>
  </si>
  <si>
    <t>大橋　一之</t>
  </si>
  <si>
    <t>034福島2区02</t>
  </si>
  <si>
    <t>太田　和美</t>
  </si>
  <si>
    <t>034福島2区01</t>
  </si>
  <si>
    <t>根本　　匠</t>
  </si>
  <si>
    <t>034福島2区03</t>
  </si>
  <si>
    <t>酒井　秀光</t>
  </si>
  <si>
    <t>035福島3区02</t>
  </si>
  <si>
    <t>玄葉　光一郎</t>
  </si>
  <si>
    <t>035福島3区01</t>
  </si>
  <si>
    <t>吉野　正芳</t>
  </si>
  <si>
    <t>036福島4区02</t>
  </si>
  <si>
    <t>渡部　恒三</t>
  </si>
  <si>
    <t>036福島4区01</t>
  </si>
  <si>
    <t>渡部　　篤</t>
  </si>
  <si>
    <t>036福島4区03</t>
  </si>
  <si>
    <t>小熊　慎司</t>
  </si>
  <si>
    <t>036福島4区04</t>
  </si>
  <si>
    <t>鈴木　規雄</t>
  </si>
  <si>
    <t>037福島5区02</t>
  </si>
  <si>
    <t>吉田　　泉</t>
  </si>
  <si>
    <t>037福島5区01</t>
  </si>
  <si>
    <t>坂本　剛二</t>
  </si>
  <si>
    <t>037福島5区03</t>
  </si>
  <si>
    <t>石渡　　剛</t>
  </si>
  <si>
    <t>038茨城1区02</t>
  </si>
  <si>
    <t>福島　伸享</t>
  </si>
  <si>
    <t>038茨城1区01</t>
  </si>
  <si>
    <t>赤城　徳彦</t>
  </si>
  <si>
    <t>038茨城1区03</t>
  </si>
  <si>
    <t>田谷　武夫</t>
  </si>
  <si>
    <t>038茨城1区04</t>
  </si>
  <si>
    <t>金澤　光司</t>
  </si>
  <si>
    <t>039茨城2区02</t>
  </si>
  <si>
    <t>石津　政雄</t>
  </si>
  <si>
    <t>039茨城2区01</t>
  </si>
  <si>
    <t>額賀　福志郎</t>
  </si>
  <si>
    <t>039茨城2区03</t>
  </si>
  <si>
    <t>中村　幸樹</t>
  </si>
  <si>
    <t>040茨城3区02</t>
  </si>
  <si>
    <t>小泉　俊明</t>
  </si>
  <si>
    <t>040茨城3区01</t>
  </si>
  <si>
    <t>葉梨　康弘</t>
  </si>
  <si>
    <t>040茨城3区03</t>
  </si>
  <si>
    <t>宮本　春樹</t>
  </si>
  <si>
    <t>041茨城4区01</t>
  </si>
  <si>
    <t>梶山　弘志</t>
  </si>
  <si>
    <t>041茨城4区02</t>
  </si>
  <si>
    <t>高野　　守</t>
  </si>
  <si>
    <t>041茨城4区03</t>
  </si>
  <si>
    <t>中村　伸丈</t>
  </si>
  <si>
    <t>042茨城5区02</t>
  </si>
  <si>
    <t>大畠　章宏</t>
  </si>
  <si>
    <t>042茨城5区01</t>
  </si>
  <si>
    <t>岡部　英明</t>
  </si>
  <si>
    <t>042茨城5区03</t>
  </si>
  <si>
    <t>野口　航太</t>
  </si>
  <si>
    <t>043茨城6区02</t>
  </si>
  <si>
    <t>大泉　博子</t>
  </si>
  <si>
    <t>043茨城6区01</t>
  </si>
  <si>
    <t>丹羽　雄哉</t>
  </si>
  <si>
    <t>043茨城6区03</t>
  </si>
  <si>
    <t>鈴木　俊博</t>
  </si>
  <si>
    <t>044茨城7区04</t>
  </si>
  <si>
    <t>中村　喜四郎</t>
  </si>
  <si>
    <t>044茨城7区02</t>
  </si>
  <si>
    <t>柳田　和己</t>
  </si>
  <si>
    <t>044茨城7区01</t>
  </si>
  <si>
    <t>永岡　桂子</t>
  </si>
  <si>
    <t>１６麻生</t>
  </si>
  <si>
    <t>044茨城7区03</t>
  </si>
  <si>
    <t>杉浦　　昭</t>
  </si>
  <si>
    <t>045栃木1区02</t>
  </si>
  <si>
    <t>石森　久嗣</t>
  </si>
  <si>
    <t>045栃木1区01</t>
  </si>
  <si>
    <t>船田　　元</t>
  </si>
  <si>
    <t>045栃木1区03</t>
  </si>
  <si>
    <t>小池　一徳</t>
  </si>
  <si>
    <t>045栃木1区04</t>
  </si>
  <si>
    <t>河内　宏之</t>
  </si>
  <si>
    <t>046栃木2区02</t>
  </si>
  <si>
    <t>福田　昭夫</t>
  </si>
  <si>
    <t>046栃木2区01</t>
  </si>
  <si>
    <t>西川　公也</t>
  </si>
  <si>
    <t>046栃木2区03</t>
  </si>
  <si>
    <t>坂下　邦文</t>
  </si>
  <si>
    <t>047栃木3区01</t>
  </si>
  <si>
    <t>渡辺　喜美</t>
  </si>
  <si>
    <t>047栃木3区02</t>
  </si>
  <si>
    <t>斎藤　克巳</t>
  </si>
  <si>
    <t>048栃木4区02</t>
  </si>
  <si>
    <t>山岡　賢次</t>
  </si>
  <si>
    <t>048栃木4区01</t>
  </si>
  <si>
    <t>佐藤　　勉</t>
  </si>
  <si>
    <t>048栃木4区04</t>
  </si>
  <si>
    <t>植竹　哲也</t>
  </si>
  <si>
    <t>048栃木4区03</t>
  </si>
  <si>
    <t>関澤　知尋</t>
  </si>
  <si>
    <t>049栃木5区01</t>
  </si>
  <si>
    <t>茂木　敏充</t>
  </si>
  <si>
    <t>049栃木5区02</t>
  </si>
  <si>
    <t>富岡　芳忠</t>
  </si>
  <si>
    <t>049栃木5区03</t>
  </si>
  <si>
    <t>森　　兼光</t>
  </si>
  <si>
    <t>050群馬1区02</t>
  </si>
  <si>
    <t>宮崎　岳志</t>
  </si>
  <si>
    <t>050群馬1区01</t>
  </si>
  <si>
    <t>尾身　幸次</t>
  </si>
  <si>
    <t>050群馬1区03</t>
  </si>
  <si>
    <t>酒井　宏明</t>
  </si>
  <si>
    <t>050群馬1区05</t>
  </si>
  <si>
    <t>山田　　晶</t>
  </si>
  <si>
    <t>050群馬1区04</t>
  </si>
  <si>
    <t>滝崎　明彦</t>
  </si>
  <si>
    <t>051群馬2区02</t>
  </si>
  <si>
    <t>石関　貴史</t>
  </si>
  <si>
    <t>051群馬2区01</t>
  </si>
  <si>
    <t>笹川　　堯</t>
  </si>
  <si>
    <t>051群馬2区04</t>
  </si>
  <si>
    <t>矢島　笑鯉子</t>
  </si>
  <si>
    <t>051群馬2区03</t>
  </si>
  <si>
    <t>蜂須　　豊</t>
  </si>
  <si>
    <t>052群馬3区02</t>
  </si>
  <si>
    <t>柿沼　正明</t>
  </si>
  <si>
    <t>052群馬3区01</t>
  </si>
  <si>
    <t>谷津　義男</t>
  </si>
  <si>
    <t>052群馬3区03</t>
  </si>
  <si>
    <t>石見　泰介</t>
  </si>
  <si>
    <t>053群馬4区01</t>
  </si>
  <si>
    <t>福田　康夫</t>
  </si>
  <si>
    <t>053群馬4区02</t>
  </si>
  <si>
    <t>三宅　雪子</t>
  </si>
  <si>
    <t>053群馬4区03</t>
  </si>
  <si>
    <t>森田　貴行</t>
  </si>
  <si>
    <t>054群馬5区01</t>
  </si>
  <si>
    <t>小渕　優子</t>
  </si>
  <si>
    <t>054群馬5区02</t>
  </si>
  <si>
    <t>土屋　富久</t>
  </si>
  <si>
    <t>054群馬5区03</t>
  </si>
  <si>
    <t>生方　秀幸</t>
  </si>
  <si>
    <t>055埼玉1区02</t>
  </si>
  <si>
    <t>武正　公一</t>
  </si>
  <si>
    <t>055埼玉1区01</t>
  </si>
  <si>
    <t>金子　善次郎</t>
  </si>
  <si>
    <t>１７二階</t>
  </si>
  <si>
    <t>055埼玉1区03</t>
  </si>
  <si>
    <t>伊藤　　岳</t>
  </si>
  <si>
    <t>055埼玉1区04</t>
  </si>
  <si>
    <t>内海　浩唯</t>
  </si>
  <si>
    <t>056埼玉2区02</t>
  </si>
  <si>
    <t>石田　勝之</t>
  </si>
  <si>
    <t>056埼玉2区01</t>
  </si>
  <si>
    <t>新藤　義孝</t>
  </si>
  <si>
    <t>056埼玉2区03</t>
  </si>
  <si>
    <t>村岡　正嗣</t>
  </si>
  <si>
    <t>056埼玉2区04</t>
  </si>
  <si>
    <t>鈴木　　豪</t>
  </si>
  <si>
    <t>057埼玉3区02</t>
  </si>
  <si>
    <t>細川　律夫</t>
  </si>
  <si>
    <t>057埼玉3区01</t>
  </si>
  <si>
    <t>今井　　宏</t>
  </si>
  <si>
    <t>057埼玉3区03</t>
  </si>
  <si>
    <t>飯田　　剛</t>
  </si>
  <si>
    <t>058埼玉4区02</t>
  </si>
  <si>
    <t>神風　英男</t>
  </si>
  <si>
    <t>058埼玉4区01</t>
  </si>
  <si>
    <t>早川　忠孝</t>
  </si>
  <si>
    <t>058埼玉4区03</t>
  </si>
  <si>
    <t>桜井　晴子</t>
  </si>
  <si>
    <t>058埼玉4区04</t>
  </si>
  <si>
    <t>水野　武光</t>
  </si>
  <si>
    <t>059埼玉5区02</t>
  </si>
  <si>
    <t>枝野　幸男</t>
  </si>
  <si>
    <t>059埼玉5区01</t>
  </si>
  <si>
    <t>牧原　秀樹</t>
  </si>
  <si>
    <t>059埼玉5区03</t>
  </si>
  <si>
    <t>佐々木　正子</t>
  </si>
  <si>
    <t>060埼玉6区02</t>
  </si>
  <si>
    <t>大島　　敦</t>
  </si>
  <si>
    <t>060埼玉6区01</t>
  </si>
  <si>
    <t>中根　一幸</t>
  </si>
  <si>
    <t>060埼玉6区03</t>
  </si>
  <si>
    <t>院田　浩利</t>
  </si>
  <si>
    <t>061埼玉7区02</t>
  </si>
  <si>
    <t>小宮山　泰子</t>
  </si>
  <si>
    <t>061埼玉7区01</t>
  </si>
  <si>
    <t>中野　　清</t>
  </si>
  <si>
    <t>061埼玉7区03</t>
  </si>
  <si>
    <t>長沼　チネ</t>
  </si>
  <si>
    <t>061埼玉7区05</t>
  </si>
  <si>
    <t>山田　将之</t>
  </si>
  <si>
    <t>061埼玉7区04</t>
  </si>
  <si>
    <t>野沢　永光</t>
  </si>
  <si>
    <t>062埼玉8区02</t>
  </si>
  <si>
    <t>小野塚　勝俊</t>
  </si>
  <si>
    <t>062埼玉8区01</t>
  </si>
  <si>
    <t>柴山　昌彦</t>
  </si>
  <si>
    <t>062埼玉8区03</t>
  </si>
  <si>
    <t>塩川　鉄也</t>
  </si>
  <si>
    <t>062埼玉8区04</t>
  </si>
  <si>
    <t>桜沢　正顕</t>
  </si>
  <si>
    <t>063埼玉9区02</t>
  </si>
  <si>
    <t>五十嵐　文彦</t>
  </si>
  <si>
    <t>063埼玉9区01</t>
  </si>
  <si>
    <t>大塚　　拓</t>
  </si>
  <si>
    <t>063埼玉9区03</t>
  </si>
  <si>
    <t>各務　正人</t>
  </si>
  <si>
    <t>064埼玉10区02</t>
  </si>
  <si>
    <t>松崎　哲久</t>
  </si>
  <si>
    <t>064埼玉10区01</t>
  </si>
  <si>
    <t>山口　泰明</t>
  </si>
  <si>
    <t>064埼玉10区03</t>
  </si>
  <si>
    <t>町田　貴志</t>
  </si>
  <si>
    <t>065埼玉11区03</t>
  </si>
  <si>
    <t>小泉　龍司</t>
  </si>
  <si>
    <t>065埼玉11区01</t>
  </si>
  <si>
    <t>新井　悦二</t>
  </si>
  <si>
    <t>065埼玉11区02</t>
  </si>
  <si>
    <t>黒田　嘉寛</t>
  </si>
  <si>
    <t>066埼玉12区02</t>
  </si>
  <si>
    <t>本多　平直</t>
  </si>
  <si>
    <t>066埼玉12区01</t>
  </si>
  <si>
    <t>小島　敏男</t>
  </si>
  <si>
    <t>066埼玉12区03</t>
  </si>
  <si>
    <t>清水　鉄男</t>
  </si>
  <si>
    <t>067埼玉13区02</t>
  </si>
  <si>
    <t>森岡　洋一郎</t>
  </si>
  <si>
    <t>067埼玉13区01</t>
  </si>
  <si>
    <t>土屋　品子</t>
  </si>
  <si>
    <t>067埼玉13区03</t>
  </si>
  <si>
    <t>日森　文尋</t>
  </si>
  <si>
    <t>067埼玉13区05</t>
  </si>
  <si>
    <t>武山　百合子</t>
  </si>
  <si>
    <t>(民由)</t>
  </si>
  <si>
    <t>067埼玉13区04</t>
  </si>
  <si>
    <t>鈴木　こず恵</t>
  </si>
  <si>
    <t>068埼玉14区02</t>
  </si>
  <si>
    <t>中野　　譲</t>
  </si>
  <si>
    <t>068埼玉14区01</t>
  </si>
  <si>
    <t>三ツ林　隆志</t>
  </si>
  <si>
    <t>068埼玉14区03</t>
  </si>
  <si>
    <t>谷井　美穂</t>
  </si>
  <si>
    <t>069埼玉15区02</t>
  </si>
  <si>
    <t>高山　智司</t>
  </si>
  <si>
    <t>069埼玉15区01</t>
  </si>
  <si>
    <t>田中　良生</t>
  </si>
  <si>
    <t>069埼玉15区03</t>
  </si>
  <si>
    <t>村主　明子</t>
  </si>
  <si>
    <t>069埼玉15区04</t>
  </si>
  <si>
    <t>石井　　安</t>
  </si>
  <si>
    <t>070千葉1区02</t>
  </si>
  <si>
    <t>田嶋　　要</t>
  </si>
  <si>
    <t>国ネ</t>
  </si>
  <si>
    <t>070千葉1区01</t>
  </si>
  <si>
    <t>臼井　正一</t>
  </si>
  <si>
    <t>070千葉1区03</t>
  </si>
  <si>
    <t>安喰　武夫</t>
  </si>
  <si>
    <t>070千葉1区04</t>
  </si>
  <si>
    <t>階　　一喜</t>
  </si>
  <si>
    <t>071千葉2区02</t>
  </si>
  <si>
    <t>黒田　　雄</t>
  </si>
  <si>
    <t>071千葉2区01</t>
  </si>
  <si>
    <t>山中　燁子</t>
  </si>
  <si>
    <t>071千葉2区03</t>
  </si>
  <si>
    <t>小倉　忠平</t>
  </si>
  <si>
    <t>071千葉2区04</t>
  </si>
  <si>
    <t>矢代　智康</t>
  </si>
  <si>
    <t>072千葉3区02</t>
  </si>
  <si>
    <t>岡島　一正</t>
  </si>
  <si>
    <t>072千葉3区01</t>
  </si>
  <si>
    <t>松野　博一</t>
  </si>
  <si>
    <t>072千葉3区03</t>
  </si>
  <si>
    <t>古川　裕三</t>
  </si>
  <si>
    <t>073千葉4区02</t>
  </si>
  <si>
    <t>野田　佳彦</t>
  </si>
  <si>
    <t>073千葉4区01</t>
  </si>
  <si>
    <t>藤田　幹雄</t>
  </si>
  <si>
    <t>073千葉4区04</t>
  </si>
  <si>
    <t>野屋敷　いとこ</t>
  </si>
  <si>
    <t>073千葉4区03</t>
  </si>
  <si>
    <t>斉藤　和子</t>
  </si>
  <si>
    <t>073千葉4区05</t>
  </si>
  <si>
    <t>山中　宏一郎</t>
  </si>
  <si>
    <t>074千葉5区02</t>
  </si>
  <si>
    <t>村越　祐民</t>
  </si>
  <si>
    <t>074千葉5区01</t>
  </si>
  <si>
    <t>薗浦　健太郎</t>
  </si>
  <si>
    <t>074千葉5区03</t>
  </si>
  <si>
    <t>田中　　甲</t>
  </si>
  <si>
    <t>074千葉5区04</t>
  </si>
  <si>
    <t>佐高　芳行</t>
  </si>
  <si>
    <t>075千葉6区02</t>
  </si>
  <si>
    <t>生方　幸夫</t>
  </si>
  <si>
    <t>075千葉6区01</t>
  </si>
  <si>
    <t>渡辺　博道</t>
  </si>
  <si>
    <t>075千葉6区04</t>
  </si>
  <si>
    <t>小平　由紀</t>
  </si>
  <si>
    <t>075千葉6区03</t>
  </si>
  <si>
    <t>山崎　温之</t>
  </si>
  <si>
    <t>075千葉6区06</t>
  </si>
  <si>
    <t>松本　和巳</t>
  </si>
  <si>
    <t>075千葉6区05</t>
  </si>
  <si>
    <t>三島　佳代子</t>
  </si>
  <si>
    <t>076千葉7区02</t>
  </si>
  <si>
    <t>内山　　晃</t>
  </si>
  <si>
    <t>076千葉7区01</t>
  </si>
  <si>
    <t>斎藤　　健</t>
  </si>
  <si>
    <t>076千葉7区03</t>
  </si>
  <si>
    <t>上田　恵子</t>
  </si>
  <si>
    <t>076千葉7区04</t>
  </si>
  <si>
    <t>牧野　正彦</t>
  </si>
  <si>
    <t>077千葉8区02</t>
  </si>
  <si>
    <t>松崎　公昭</t>
  </si>
  <si>
    <t>077千葉8区01</t>
  </si>
  <si>
    <t>櫻田　義孝</t>
  </si>
  <si>
    <t>077千葉8区03</t>
  </si>
  <si>
    <t>加藤　英雄</t>
  </si>
  <si>
    <t>077千葉8区04</t>
  </si>
  <si>
    <t>森　　泰子</t>
  </si>
  <si>
    <t>078千葉9区02</t>
  </si>
  <si>
    <t>奥野　総一郎</t>
  </si>
  <si>
    <t>078千葉9区01</t>
  </si>
  <si>
    <t>水野　賢一</t>
  </si>
  <si>
    <t>078千葉9区04</t>
  </si>
  <si>
    <t>波田野　辰雄</t>
  </si>
  <si>
    <t>078千葉9区03</t>
  </si>
  <si>
    <t>伊藤　純子</t>
  </si>
  <si>
    <t>079千葉10区02</t>
  </si>
  <si>
    <t>谷田川　元</t>
  </si>
  <si>
    <t>079千葉10区01</t>
  </si>
  <si>
    <t>林　　幹雄</t>
  </si>
  <si>
    <t>079千葉10区03</t>
  </si>
  <si>
    <t>金井　貴雄</t>
  </si>
  <si>
    <t>080千葉11区01</t>
  </si>
  <si>
    <t>森　　英介</t>
  </si>
  <si>
    <t>080千葉11区02</t>
  </si>
  <si>
    <t>金子　健一</t>
  </si>
  <si>
    <t>080千葉11区03</t>
  </si>
  <si>
    <t>久我　　司</t>
  </si>
  <si>
    <t>081千葉12区01</t>
  </si>
  <si>
    <t>浜田　靖一</t>
  </si>
  <si>
    <t>081千葉12区02</t>
  </si>
  <si>
    <t>中後　　淳</t>
  </si>
  <si>
    <t>081千葉12区03</t>
  </si>
  <si>
    <t>田辺　丈太郎</t>
  </si>
  <si>
    <t>082千葉13区02</t>
  </si>
  <si>
    <t>若井　康彦</t>
  </si>
  <si>
    <t>082千葉13区01</t>
  </si>
  <si>
    <t>実川　幸夫</t>
  </si>
  <si>
    <t>082千葉13区03</t>
  </si>
  <si>
    <t>石井　裕朗</t>
  </si>
  <si>
    <t>082千葉13区04</t>
  </si>
  <si>
    <t>橘　　謙造</t>
  </si>
  <si>
    <t>083神奈川1区02</t>
  </si>
  <si>
    <t>中林　美恵子</t>
  </si>
  <si>
    <t>083神奈川1区01</t>
  </si>
  <si>
    <t>松本　　純</t>
  </si>
  <si>
    <t>083神奈川1区03</t>
  </si>
  <si>
    <t>香西　亮子</t>
  </si>
  <si>
    <t>083神奈川1区04</t>
  </si>
  <si>
    <t>山本　誠一</t>
  </si>
  <si>
    <t>084神奈川2区01</t>
  </si>
  <si>
    <t>菅　　義偉</t>
  </si>
  <si>
    <t>084神奈川2区02</t>
  </si>
  <si>
    <t>三村　和也</t>
  </si>
  <si>
    <t>084神奈川2区03</t>
  </si>
  <si>
    <t>高山　　修</t>
  </si>
  <si>
    <t>085神奈川3区02</t>
  </si>
  <si>
    <t>岡本　英子</t>
  </si>
  <si>
    <t>085神奈川3区01</t>
  </si>
  <si>
    <t>小此木　八郎</t>
  </si>
  <si>
    <t>085神奈川3区04</t>
  </si>
  <si>
    <t>加藤　正法</t>
  </si>
  <si>
    <t>085神奈川3区03</t>
  </si>
  <si>
    <t>古谷　靖彦</t>
  </si>
  <si>
    <t>085神奈川3区06</t>
  </si>
  <si>
    <t>山下　浩一郎</t>
  </si>
  <si>
    <t>085神奈川3区05</t>
  </si>
  <si>
    <t>徳島　正浩</t>
  </si>
  <si>
    <t>086神奈川4区02</t>
  </si>
  <si>
    <t>長島　一由</t>
  </si>
  <si>
    <t>086神奈川4区03</t>
  </si>
  <si>
    <t>浅尾　慶一郎</t>
  </si>
  <si>
    <t>086神奈川4区01</t>
  </si>
  <si>
    <t>林　　　潤</t>
  </si>
  <si>
    <t>086神奈川4区05</t>
  </si>
  <si>
    <t>伊藤　航平</t>
  </si>
  <si>
    <t>086神奈川4区04</t>
  </si>
  <si>
    <t>小原　真理</t>
  </si>
  <si>
    <t>087神奈川5区02</t>
  </si>
  <si>
    <t>田中　慶秋</t>
  </si>
  <si>
    <t>友</t>
  </si>
  <si>
    <t>087神奈川5区01</t>
  </si>
  <si>
    <t>坂井　　学</t>
  </si>
  <si>
    <t>087神奈川5区03</t>
  </si>
  <si>
    <t>岩崎　　広</t>
  </si>
  <si>
    <t>087神奈川5区04</t>
  </si>
  <si>
    <t>門守　　隆</t>
  </si>
  <si>
    <t>088神奈川6区01</t>
  </si>
  <si>
    <t>池田　元久</t>
  </si>
  <si>
    <t>088神奈川6区02</t>
  </si>
  <si>
    <t>上田　　勇</t>
  </si>
  <si>
    <t>０３公明党</t>
  </si>
  <si>
    <t>自改</t>
  </si>
  <si>
    <t>088神奈川6区03</t>
  </si>
  <si>
    <t>藤井　美登里</t>
  </si>
  <si>
    <t>088神奈川6区04</t>
  </si>
  <si>
    <t>寺島　博也</t>
  </si>
  <si>
    <t>089神奈川7区02</t>
  </si>
  <si>
    <t>首藤　信彦</t>
  </si>
  <si>
    <t>089神奈川7区01</t>
  </si>
  <si>
    <t>鈴木　馨祐</t>
  </si>
  <si>
    <t>089神奈川7区03</t>
  </si>
  <si>
    <t>石井　　諭</t>
  </si>
  <si>
    <t>090神奈川8区03</t>
  </si>
  <si>
    <t>江田　憲司</t>
  </si>
  <si>
    <t>090神奈川8区02</t>
  </si>
  <si>
    <t>山崎　　誠</t>
  </si>
  <si>
    <t>090神奈川8区01</t>
  </si>
  <si>
    <t>福田　峰之</t>
  </si>
  <si>
    <t>090神奈川8区04</t>
  </si>
  <si>
    <t>小島　祐行</t>
  </si>
  <si>
    <t>091神奈川9区02</t>
  </si>
  <si>
    <t>笠　　浩史</t>
  </si>
  <si>
    <t>091神奈川9区01</t>
  </si>
  <si>
    <t>中山　展宏</t>
  </si>
  <si>
    <t>091神奈川9区03</t>
  </si>
  <si>
    <t>利根川　武矩</t>
  </si>
  <si>
    <t>091神奈川9区05</t>
  </si>
  <si>
    <t>須藤　教成</t>
  </si>
  <si>
    <t>091神奈川9区04</t>
  </si>
  <si>
    <t>小口　裕嗣</t>
  </si>
  <si>
    <t>092神奈川10区02</t>
  </si>
  <si>
    <t>城島　光力</t>
  </si>
  <si>
    <t>092神奈川10区01</t>
  </si>
  <si>
    <t>田中　和德</t>
  </si>
  <si>
    <t>092神奈川10区03</t>
  </si>
  <si>
    <t>笠木　　隆</t>
  </si>
  <si>
    <t>092神奈川10区04</t>
  </si>
  <si>
    <t>島崎　隆一</t>
  </si>
  <si>
    <t>093神奈川11区01</t>
  </si>
  <si>
    <t>小泉　進次郎</t>
  </si>
  <si>
    <t>093神奈川11区02</t>
  </si>
  <si>
    <t>横粂　勝仁</t>
  </si>
  <si>
    <t>093神奈川11区03</t>
  </si>
  <si>
    <t>伊東　正子</t>
  </si>
  <si>
    <t>093神奈川11区04</t>
  </si>
  <si>
    <t>鶴川　晃久</t>
  </si>
  <si>
    <t>093神奈川11区05</t>
  </si>
  <si>
    <t>岩田　吉喜</t>
  </si>
  <si>
    <t>094神奈川12区02</t>
  </si>
  <si>
    <t>中塚　一宏</t>
  </si>
  <si>
    <t>094神奈川12区01</t>
  </si>
  <si>
    <t>桜井　郁三</t>
  </si>
  <si>
    <t>094神奈川12区04</t>
  </si>
  <si>
    <t>阿部　知子</t>
  </si>
  <si>
    <t>094神奈川12区03</t>
  </si>
  <si>
    <t>渡邊　慈子</t>
  </si>
  <si>
    <t>094神奈川12区05</t>
  </si>
  <si>
    <t>山田　　茂</t>
  </si>
  <si>
    <t>095神奈川13区02</t>
  </si>
  <si>
    <t>橘　　秀徳</t>
  </si>
  <si>
    <t>095神奈川13区01</t>
  </si>
  <si>
    <t>甘利　　明</t>
  </si>
  <si>
    <t>095神奈川13区03</t>
  </si>
  <si>
    <t>近藤　知昭</t>
  </si>
  <si>
    <t>095神奈川13区04</t>
  </si>
  <si>
    <t>鈴木　千尋</t>
  </si>
  <si>
    <t>096神奈川14区02</t>
  </si>
  <si>
    <t>本村　賢太郎</t>
  </si>
  <si>
    <t>096神奈川14区01</t>
  </si>
  <si>
    <t>赤間　二郎</t>
  </si>
  <si>
    <t>096神奈川14区03</t>
  </si>
  <si>
    <t>赤間　友子</t>
  </si>
  <si>
    <t>096神奈川14区04</t>
  </si>
  <si>
    <t>石川　雅士</t>
  </si>
  <si>
    <t>096神奈川14区05</t>
  </si>
  <si>
    <t>吉田　隆則</t>
  </si>
  <si>
    <t>097神奈川15区01</t>
  </si>
  <si>
    <t>河野　太郎</t>
  </si>
  <si>
    <t>097神奈川15区02</t>
  </si>
  <si>
    <t>勝又　恒一郎</t>
  </si>
  <si>
    <t>097神奈川15区03</t>
  </si>
  <si>
    <t>西脇　拓也</t>
  </si>
  <si>
    <t>097神奈川15区04</t>
  </si>
  <si>
    <t>濱田　勇作</t>
  </si>
  <si>
    <t>098神奈川16区02</t>
  </si>
  <si>
    <t>後藤　祐一</t>
  </si>
  <si>
    <t>098神奈川16区01</t>
  </si>
  <si>
    <t>亀井　善太郎</t>
  </si>
  <si>
    <t>098神奈川16区03</t>
  </si>
  <si>
    <t>住吉　正充</t>
  </si>
  <si>
    <t>099神奈川17区02</t>
  </si>
  <si>
    <t>神山　洋介</t>
  </si>
  <si>
    <t>099神奈川17区01</t>
  </si>
  <si>
    <t>牧島　可憐</t>
  </si>
  <si>
    <t>099神奈川17区04</t>
  </si>
  <si>
    <t>井上　義行</t>
  </si>
  <si>
    <t>(自町)</t>
  </si>
  <si>
    <t>099神奈川17区03</t>
  </si>
  <si>
    <t>中野　淳子</t>
  </si>
  <si>
    <t>100神奈川18区02</t>
  </si>
  <si>
    <t>樋高　　剛</t>
  </si>
  <si>
    <t>100神奈川18区01</t>
  </si>
  <si>
    <t>山際　大志郎</t>
  </si>
  <si>
    <t>100神奈川18区03</t>
  </si>
  <si>
    <t>宗田　裕之</t>
  </si>
  <si>
    <t>100神奈川18区04</t>
  </si>
  <si>
    <t>藤崎　浩太郎</t>
  </si>
  <si>
    <t>100神奈川18区05</t>
  </si>
  <si>
    <t>遠山　浩子</t>
  </si>
  <si>
    <t>101山梨1区02</t>
  </si>
  <si>
    <t>小沢　鋭仁</t>
  </si>
  <si>
    <t>101山梨1区01</t>
  </si>
  <si>
    <t>赤池　誠章</t>
  </si>
  <si>
    <t>101山梨1区03</t>
  </si>
  <si>
    <t>遠藤　昭子</t>
  </si>
  <si>
    <t>101山梨1区04</t>
  </si>
  <si>
    <t>早瀬　浩之</t>
  </si>
  <si>
    <t>102山梨2区02</t>
  </si>
  <si>
    <t>坂口　岳洋</t>
  </si>
  <si>
    <t>102山梨2区04</t>
  </si>
  <si>
    <t>長崎　幸太郎</t>
  </si>
  <si>
    <t>102山梨2区01</t>
  </si>
  <si>
    <t>堀内　光雄</t>
  </si>
  <si>
    <t>102山梨2区03</t>
  </si>
  <si>
    <t>宮松　宏至</t>
  </si>
  <si>
    <t>103山梨3区02</t>
  </si>
  <si>
    <t>後藤　　斎</t>
  </si>
  <si>
    <t>103山梨3区01</t>
  </si>
  <si>
    <t>小野　次郎</t>
  </si>
  <si>
    <t>103山梨3区03</t>
  </si>
  <si>
    <t>桜田　大佑</t>
  </si>
  <si>
    <t>104東京1区02</t>
  </si>
  <si>
    <t>海江田　万里</t>
  </si>
  <si>
    <t>市</t>
  </si>
  <si>
    <t>104東京1区01</t>
  </si>
  <si>
    <t>与謝野　馨</t>
  </si>
  <si>
    <t>104東京1区03</t>
  </si>
  <si>
    <t>冨田　直樹</t>
  </si>
  <si>
    <t>104東京1区06</t>
  </si>
  <si>
    <t>田中　順子</t>
  </si>
  <si>
    <t>104東京1区07</t>
  </si>
  <si>
    <t>104東京1区08</t>
  </si>
  <si>
    <t>黒澤　武邦</t>
  </si>
  <si>
    <t>104東京1区05</t>
  </si>
  <si>
    <t>マック　赤坂</t>
  </si>
  <si>
    <t>スマ</t>
  </si>
  <si>
    <t>104東京1区04</t>
  </si>
  <si>
    <t>又吉　光雄</t>
  </si>
  <si>
    <t>経共</t>
  </si>
  <si>
    <t>104東京1区09</t>
  </si>
  <si>
    <t>前田　禎信</t>
  </si>
  <si>
    <t>105東京2区02</t>
  </si>
  <si>
    <t>中山　義活</t>
  </si>
  <si>
    <t>105東京2区01</t>
  </si>
  <si>
    <t>深谷　隆司</t>
  </si>
  <si>
    <t>105東京2区03</t>
  </si>
  <si>
    <t>中嶋　　束</t>
  </si>
  <si>
    <t>105東京2区05</t>
  </si>
  <si>
    <t>田中　博子</t>
  </si>
  <si>
    <t>105東京2区04</t>
  </si>
  <si>
    <t>加藤　文康</t>
  </si>
  <si>
    <t>105東京2区06</t>
  </si>
  <si>
    <t>千葉　　潤</t>
  </si>
  <si>
    <t>106東京3区02</t>
  </si>
  <si>
    <t>松原　　仁</t>
  </si>
  <si>
    <t>106東京3区01</t>
  </si>
  <si>
    <t>石原　宏高</t>
  </si>
  <si>
    <t>106東京3区03</t>
  </si>
  <si>
    <t>沢田　英次</t>
  </si>
  <si>
    <t>107東京4区02</t>
  </si>
  <si>
    <t>藤田　憲彦</t>
  </si>
  <si>
    <t>107東京4区01</t>
  </si>
  <si>
    <t>平　　将明</t>
  </si>
  <si>
    <t>107東京4区05</t>
  </si>
  <si>
    <t>宇佐美　登</t>
  </si>
  <si>
    <t>107東京4区03</t>
  </si>
  <si>
    <t>渋谷　　要</t>
  </si>
  <si>
    <t>107東京4区04</t>
  </si>
  <si>
    <t>下川　貴久枝</t>
  </si>
  <si>
    <t>108東京5区02</t>
  </si>
  <si>
    <t>手塚　仁雄</t>
  </si>
  <si>
    <t>108東京5区01</t>
  </si>
  <si>
    <t>佐藤　ゆかり</t>
  </si>
  <si>
    <t>108東京5区03</t>
  </si>
  <si>
    <t>宮本　　栄</t>
  </si>
  <si>
    <t>108東京5区04</t>
  </si>
  <si>
    <t>木下　　真</t>
  </si>
  <si>
    <t>109東京6区02</t>
  </si>
  <si>
    <t>小宮山　洋子</t>
  </si>
  <si>
    <t>社国ネ</t>
  </si>
  <si>
    <t>109東京6区01</t>
  </si>
  <si>
    <t>越智　隆雄</t>
  </si>
  <si>
    <t>109東京6区03</t>
  </si>
  <si>
    <t>佐藤　直樹</t>
  </si>
  <si>
    <t>109東京6区04</t>
  </si>
  <si>
    <t>中岡　陽子</t>
  </si>
  <si>
    <t>110東京7区02</t>
  </si>
  <si>
    <t>長妻　　昭</t>
  </si>
  <si>
    <t>110東京7区01</t>
  </si>
  <si>
    <t>松本　文明</t>
  </si>
  <si>
    <t>110東京7区03</t>
  </si>
  <si>
    <t>太田　宜興</t>
  </si>
  <si>
    <t>110東京7区04</t>
  </si>
  <si>
    <t>大門　一也</t>
  </si>
  <si>
    <t>111東京8区01</t>
  </si>
  <si>
    <t>石原　伸晃</t>
  </si>
  <si>
    <t>111東京8区03</t>
  </si>
  <si>
    <t>保坂　展人</t>
  </si>
  <si>
    <t>民国ネ</t>
  </si>
  <si>
    <t>111東京8区02</t>
  </si>
  <si>
    <t>沢田　俊史</t>
  </si>
  <si>
    <t>111東京8区04</t>
  </si>
  <si>
    <t>植田　誠一</t>
  </si>
  <si>
    <t>112東京9区02</t>
  </si>
  <si>
    <t>木内　孝胤</t>
  </si>
  <si>
    <t>112東京9区01</t>
  </si>
  <si>
    <t>菅原　一秀</t>
  </si>
  <si>
    <t>112東京9区03</t>
  </si>
  <si>
    <t>岸　　良信</t>
  </si>
  <si>
    <t>112東京9区04</t>
  </si>
  <si>
    <t>沖原　唯浩</t>
  </si>
  <si>
    <t>113東京10区02</t>
  </si>
  <si>
    <t>江端　貴子</t>
  </si>
  <si>
    <t>113東京10区01</t>
  </si>
  <si>
    <t>小池　百合子</t>
  </si>
  <si>
    <t>113東京10区03</t>
  </si>
  <si>
    <t>山本　敏江</t>
  </si>
  <si>
    <t>114東京11区01</t>
  </si>
  <si>
    <t>下村　博文</t>
  </si>
  <si>
    <t>114東京11区03</t>
  </si>
  <si>
    <t>有田　芳生</t>
  </si>
  <si>
    <t>０９新日本</t>
  </si>
  <si>
    <t>民ネ</t>
  </si>
  <si>
    <t>114東京11区02</t>
  </si>
  <si>
    <t>徳留　道信</t>
  </si>
  <si>
    <t>114東京11区05</t>
  </si>
  <si>
    <t>前田　浩一</t>
  </si>
  <si>
    <t>114東京11区04</t>
  </si>
  <si>
    <t>和合　秀典</t>
  </si>
  <si>
    <t>フリ</t>
  </si>
  <si>
    <t>115東京12区01</t>
  </si>
  <si>
    <t>青木　　愛</t>
  </si>
  <si>
    <t>115東京12区02</t>
  </si>
  <si>
    <t>太田　昭宏</t>
  </si>
  <si>
    <t>115東京12区03</t>
  </si>
  <si>
    <t>池内　沙織</t>
  </si>
  <si>
    <t>115東京12区04</t>
  </si>
  <si>
    <t>与国　秀行</t>
  </si>
  <si>
    <t>116東京13区02</t>
  </si>
  <si>
    <t>平山　泰朗</t>
  </si>
  <si>
    <t>116東京13区01</t>
  </si>
  <si>
    <t>鴨下　一郎</t>
  </si>
  <si>
    <t>116東京13区03</t>
  </si>
  <si>
    <t>渡辺　修次</t>
  </si>
  <si>
    <t>116東京13区04</t>
  </si>
  <si>
    <t>藤山　和正</t>
  </si>
  <si>
    <t>117東京14区02</t>
  </si>
  <si>
    <t>木村　剛司</t>
  </si>
  <si>
    <t>117東京14区01</t>
  </si>
  <si>
    <t>松島　みどり</t>
  </si>
  <si>
    <t>117東京14区03</t>
  </si>
  <si>
    <t>伊藤　文雄</t>
  </si>
  <si>
    <t>117東京14区04</t>
  </si>
  <si>
    <t>吉田　昌文</t>
  </si>
  <si>
    <t>118東京15区02</t>
  </si>
  <si>
    <t>東　　祥三</t>
  </si>
  <si>
    <t>118東京15区01</t>
  </si>
  <si>
    <t>木村　　勉</t>
  </si>
  <si>
    <t>118東京15区04</t>
  </si>
  <si>
    <t>柿澤　未途</t>
  </si>
  <si>
    <t>118東京15区03</t>
  </si>
  <si>
    <t>吉田　年男</t>
  </si>
  <si>
    <t>118東京15区05</t>
  </si>
  <si>
    <t>井寺　英人</t>
  </si>
  <si>
    <t>119東京16区02</t>
  </si>
  <si>
    <t>初鹿　明博</t>
  </si>
  <si>
    <t>119東京16区01</t>
  </si>
  <si>
    <t>島村　宜伸</t>
  </si>
  <si>
    <t>119東京16区03</t>
  </si>
  <si>
    <t>河合　恭一</t>
  </si>
  <si>
    <t>119東京16区04</t>
  </si>
  <si>
    <t>小島　一郎</t>
  </si>
  <si>
    <t>120東京17区01</t>
  </si>
  <si>
    <t>平沢　勝栄</t>
  </si>
  <si>
    <t>120東京17区02</t>
  </si>
  <si>
    <t>早川　久美子</t>
  </si>
  <si>
    <t>120東京17区03</t>
  </si>
  <si>
    <t>新井　杉生</t>
  </si>
  <si>
    <t>120東京17区04</t>
  </si>
  <si>
    <t>深尾　一平</t>
  </si>
  <si>
    <t>121東京18区02</t>
  </si>
  <si>
    <t>菅　　直人</t>
  </si>
  <si>
    <t>121東京18区01</t>
  </si>
  <si>
    <t>土屋　正忠</t>
  </si>
  <si>
    <t>121東京18区03</t>
  </si>
  <si>
    <t>小泉　民未嗣</t>
  </si>
  <si>
    <t>121東京18区04</t>
  </si>
  <si>
    <t>森　　香樹</t>
  </si>
  <si>
    <t>122東京19区02</t>
  </si>
  <si>
    <t>末松　義規</t>
  </si>
  <si>
    <t>122東京19区01</t>
  </si>
  <si>
    <t>松本　洋平</t>
  </si>
  <si>
    <t>122東京19区03</t>
  </si>
  <si>
    <t>清水　明男</t>
  </si>
  <si>
    <t>122東京19区05</t>
  </si>
  <si>
    <t>髙橋　佐惠子</t>
  </si>
  <si>
    <t>122東京19区04</t>
  </si>
  <si>
    <t>石田　真一郎</t>
  </si>
  <si>
    <t>123東京20区02</t>
  </si>
  <si>
    <t>加藤　公一</t>
  </si>
  <si>
    <t>123東京20区01</t>
  </si>
  <si>
    <t>木原　誠二</t>
  </si>
  <si>
    <t>123東京20区03</t>
  </si>
  <si>
    <t>池田　真理子</t>
  </si>
  <si>
    <t>123東京20区04</t>
  </si>
  <si>
    <t>阿部　一之</t>
  </si>
  <si>
    <t>124東京21区02</t>
  </si>
  <si>
    <t>長島　昭久</t>
  </si>
  <si>
    <t>124東京21区01</t>
  </si>
  <si>
    <t>小川　友一</t>
  </si>
  <si>
    <t>124東京21区03</t>
  </si>
  <si>
    <t>星　　篤麿</t>
  </si>
  <si>
    <t>124東京21区04</t>
  </si>
  <si>
    <t>山本　充志</t>
  </si>
  <si>
    <t>125東京22区02</t>
  </si>
  <si>
    <t>山花　郁夫</t>
  </si>
  <si>
    <t>125東京22区01</t>
  </si>
  <si>
    <t>伊藤　達也</t>
  </si>
  <si>
    <t>125東京22区03</t>
  </si>
  <si>
    <t>吉岡　正史</t>
  </si>
  <si>
    <t>125東京22区04</t>
  </si>
  <si>
    <t>辻村　智子</t>
  </si>
  <si>
    <t>126東京23区02</t>
  </si>
  <si>
    <t>櫛渕　万里</t>
  </si>
  <si>
    <t>126東京23区01</t>
  </si>
  <si>
    <t>伊藤　公介</t>
  </si>
  <si>
    <t>126東京23区03</t>
  </si>
  <si>
    <t>古橋　良恭</t>
  </si>
  <si>
    <t>126東京23区04</t>
  </si>
  <si>
    <t>松尾　洋平</t>
  </si>
  <si>
    <t>127東京24区02</t>
  </si>
  <si>
    <t>阿久津　幸彦</t>
  </si>
  <si>
    <t>127東京24区01</t>
  </si>
  <si>
    <t>萩生田　光一</t>
  </si>
  <si>
    <t>127東京24区03</t>
  </si>
  <si>
    <t>長谷川　暁</t>
  </si>
  <si>
    <t>127東京24区04</t>
  </si>
  <si>
    <t>小野澤　智子</t>
  </si>
  <si>
    <t>128東京25区01</t>
  </si>
  <si>
    <t>井上　信治</t>
  </si>
  <si>
    <t>128東京25区03</t>
  </si>
  <si>
    <t>０６国民新</t>
  </si>
  <si>
    <t>民社</t>
  </si>
  <si>
    <t>128東京25区02</t>
  </si>
  <si>
    <t>鈴木　　治</t>
  </si>
  <si>
    <t>128東京25区05</t>
  </si>
  <si>
    <t>鈴木　　泰</t>
  </si>
  <si>
    <t>128東京25区04</t>
  </si>
  <si>
    <t>小鮒　将人</t>
  </si>
  <si>
    <t>129新潟1区02</t>
  </si>
  <si>
    <t>西村　智奈美</t>
  </si>
  <si>
    <t>129新潟1区01</t>
  </si>
  <si>
    <t>吉田　六左エ門</t>
  </si>
  <si>
    <t>129新潟1区03</t>
  </si>
  <si>
    <t>武田　勝利</t>
  </si>
  <si>
    <t>129新潟1区04</t>
  </si>
  <si>
    <t>松本　弘司</t>
  </si>
  <si>
    <t>130新潟2区02</t>
  </si>
  <si>
    <t>鷲尾　英一郎</t>
  </si>
  <si>
    <t>130新潟2区01</t>
  </si>
  <si>
    <t>近藤　元彦</t>
  </si>
  <si>
    <t>130新潟2区03</t>
  </si>
  <si>
    <t>米山　　昇</t>
  </si>
  <si>
    <t>130新潟2区04</t>
  </si>
  <si>
    <t>菅原　　智</t>
  </si>
  <si>
    <t>131新潟3区02</t>
  </si>
  <si>
    <t>黒岩　宇洋</t>
  </si>
  <si>
    <t>131新潟3区01</t>
  </si>
  <si>
    <t>稲葉　大和</t>
  </si>
  <si>
    <t>131新潟3区03</t>
  </si>
  <si>
    <t>富川　将充</t>
  </si>
  <si>
    <t>132新潟4区02</t>
  </si>
  <si>
    <t>菊田　真紀子</t>
  </si>
  <si>
    <t>132新潟4区01</t>
  </si>
  <si>
    <t>栗原　洋志</t>
  </si>
  <si>
    <t>132新潟4区03</t>
  </si>
  <si>
    <t>関谷　　剛</t>
  </si>
  <si>
    <t>133新潟5区02</t>
  </si>
  <si>
    <t>田中　眞紀子</t>
  </si>
  <si>
    <t>133新潟5区01</t>
  </si>
  <si>
    <t>米山　隆一</t>
  </si>
  <si>
    <t>133新潟5区03</t>
  </si>
  <si>
    <t>伊部　昌一</t>
  </si>
  <si>
    <t>133新潟5区05</t>
  </si>
  <si>
    <t>山田　好孝</t>
  </si>
  <si>
    <t>133新潟5区04</t>
  </si>
  <si>
    <t>笠巻　健也</t>
  </si>
  <si>
    <t>134新潟6区02</t>
  </si>
  <si>
    <t>筒井　信隆</t>
  </si>
  <si>
    <t>134新潟6区01</t>
  </si>
  <si>
    <t>高鳥　修一</t>
  </si>
  <si>
    <t>134新潟6区03</t>
  </si>
  <si>
    <t>橋本　正幸</t>
  </si>
  <si>
    <t>134新潟6区04</t>
  </si>
  <si>
    <t>國領　大聖</t>
  </si>
  <si>
    <t>135富山1区02</t>
  </si>
  <si>
    <t>村井　宗明</t>
  </si>
  <si>
    <t>135富山1区01</t>
  </si>
  <si>
    <t>長勢　甚遠</t>
  </si>
  <si>
    <t>135富山1区03</t>
  </si>
  <si>
    <t>佐伯　めぐみ</t>
  </si>
  <si>
    <t>135富山1区04</t>
  </si>
  <si>
    <t>吉田　かをる</t>
  </si>
  <si>
    <t>136富山2区01</t>
  </si>
  <si>
    <t>宮腰　光寛</t>
  </si>
  <si>
    <t>136富山2区02</t>
  </si>
  <si>
    <t>藤井　宗一</t>
  </si>
  <si>
    <t>136富山2区03</t>
  </si>
  <si>
    <t>小野　彦治</t>
  </si>
  <si>
    <t>137富山3区01</t>
  </si>
  <si>
    <t>橘　慶一郎</t>
  </si>
  <si>
    <t>137富山3区03</t>
  </si>
  <si>
    <t>相本　芳彦</t>
  </si>
  <si>
    <t>(野党)</t>
  </si>
  <si>
    <t>137富山3区04</t>
  </si>
  <si>
    <t>柴田　　巧</t>
  </si>
  <si>
    <t>(渡辺)</t>
  </si>
  <si>
    <t>137富山3区02</t>
  </si>
  <si>
    <t>出口　佑一</t>
  </si>
  <si>
    <t>138石川1区02</t>
  </si>
  <si>
    <t>奥田　　建</t>
  </si>
  <si>
    <t>138石川1区01</t>
  </si>
  <si>
    <t>馳　　　浩</t>
  </si>
  <si>
    <t>138石川1区03</t>
  </si>
  <si>
    <t>佐藤　正幸</t>
  </si>
  <si>
    <t>138石川1区04</t>
  </si>
  <si>
    <t>松林　淳一</t>
  </si>
  <si>
    <t>139石川2区01</t>
  </si>
  <si>
    <t>森　　喜朗</t>
  </si>
  <si>
    <t>139石川2区02</t>
  </si>
  <si>
    <t>田中　美絵子</t>
  </si>
  <si>
    <t>139石川2区03</t>
  </si>
  <si>
    <t>宮元　　智</t>
  </si>
  <si>
    <t>140石川3区02</t>
  </si>
  <si>
    <t>近藤　和也</t>
  </si>
  <si>
    <t>140石川3区01</t>
  </si>
  <si>
    <t>北村　茂男</t>
  </si>
  <si>
    <t>140石川3区03</t>
  </si>
  <si>
    <t>東　　義和</t>
  </si>
  <si>
    <t>141福井1区01</t>
  </si>
  <si>
    <t>稲田　朋美</t>
  </si>
  <si>
    <t>141福井1区02</t>
  </si>
  <si>
    <t>笹木　竜三</t>
  </si>
  <si>
    <t>141福井1区03</t>
  </si>
  <si>
    <t>金元　幸枝</t>
  </si>
  <si>
    <t>142福井2区01</t>
  </si>
  <si>
    <t>山本　　拓</t>
  </si>
  <si>
    <t>142福井2区02</t>
  </si>
  <si>
    <t>糸川　正晃</t>
  </si>
  <si>
    <t>142福井2区03</t>
  </si>
  <si>
    <t>河合　勇樹</t>
  </si>
  <si>
    <t>143福井3区01</t>
  </si>
  <si>
    <t>髙木　　毅</t>
  </si>
  <si>
    <t>143福井3区02</t>
  </si>
  <si>
    <t>松宮　　勲</t>
  </si>
  <si>
    <t>自</t>
  </si>
  <si>
    <t>143福井3区03</t>
  </si>
  <si>
    <t>北野　光夫</t>
  </si>
  <si>
    <t>144長野1区02</t>
  </si>
  <si>
    <t>篠原　　孝</t>
  </si>
  <si>
    <t>144長野1区01</t>
  </si>
  <si>
    <t>小坂　憲次</t>
  </si>
  <si>
    <t>144長野1区03</t>
  </si>
  <si>
    <t>山口　典久</t>
  </si>
  <si>
    <t>144長野1区04</t>
  </si>
  <si>
    <t>横田　基文</t>
  </si>
  <si>
    <t>145長野2区02</t>
  </si>
  <si>
    <t>下条　みつ</t>
  </si>
  <si>
    <t>145長野2区01</t>
  </si>
  <si>
    <t>務台　俊介</t>
  </si>
  <si>
    <t>145長野2区04</t>
  </si>
  <si>
    <t>中川　博司</t>
  </si>
  <si>
    <t>145長野2区03</t>
  </si>
  <si>
    <t>岸野　正明</t>
  </si>
  <si>
    <t>145長野2区06</t>
  </si>
  <si>
    <t>上條　昭太郎</t>
  </si>
  <si>
    <t>145長野2区05</t>
  </si>
  <si>
    <t>大槻　穂奈美</t>
  </si>
  <si>
    <t>146長野3区02</t>
  </si>
  <si>
    <t>羽田　　孜</t>
  </si>
  <si>
    <t>146長野3区01</t>
  </si>
  <si>
    <t>岩崎　忠夫</t>
  </si>
  <si>
    <t>146長野3区03</t>
  </si>
  <si>
    <t>岩谷　昇介</t>
  </si>
  <si>
    <t>146長野3区04</t>
  </si>
  <si>
    <t>江原　　学</t>
  </si>
  <si>
    <t>147長野4区02</t>
  </si>
  <si>
    <t>矢崎　公二</t>
  </si>
  <si>
    <t>147長野4区01</t>
  </si>
  <si>
    <t>後藤　茂之</t>
  </si>
  <si>
    <t>147長野4区03</t>
  </si>
  <si>
    <t>上田　秀昭</t>
  </si>
  <si>
    <t>147長野4区04</t>
  </si>
  <si>
    <t>増沢　宏昭</t>
  </si>
  <si>
    <t>148長野5区02</t>
  </si>
  <si>
    <t>加藤　　学</t>
  </si>
  <si>
    <t>148長野5区01</t>
  </si>
  <si>
    <t>宮下　一郎</t>
  </si>
  <si>
    <t>148長野5区03</t>
  </si>
  <si>
    <t>三沢　好夫</t>
  </si>
  <si>
    <t>148長野5区04</t>
  </si>
  <si>
    <t>池田　幸代</t>
  </si>
  <si>
    <t>148長野5区05</t>
  </si>
  <si>
    <t>原山　幸三</t>
  </si>
  <si>
    <t>149岐阜1区02</t>
  </si>
  <si>
    <t>柴橋　正直</t>
  </si>
  <si>
    <t>149岐阜1区01</t>
  </si>
  <si>
    <t>野田　聖子</t>
  </si>
  <si>
    <t>149岐阜1区03</t>
  </si>
  <si>
    <t>鈴木　正典</t>
  </si>
  <si>
    <t>149岐阜1区04</t>
  </si>
  <si>
    <t>小澤　和恵</t>
  </si>
  <si>
    <t>150岐阜2区01</t>
  </si>
  <si>
    <t>棚橋　泰文</t>
  </si>
  <si>
    <t>150岐阜2区02</t>
  </si>
  <si>
    <t>橋本　　勉</t>
  </si>
  <si>
    <t>150岐阜2区03</t>
  </si>
  <si>
    <t>濱石　　昭</t>
  </si>
  <si>
    <t>151岐阜3区02</t>
  </si>
  <si>
    <t>園田　康博</t>
  </si>
  <si>
    <t>151岐阜3区01</t>
  </si>
  <si>
    <t>武藤　容治</t>
  </si>
  <si>
    <t>151岐阜3区03</t>
  </si>
  <si>
    <t>馬渕　保彦</t>
  </si>
  <si>
    <t>152岐阜4区01</t>
  </si>
  <si>
    <t>金子　一義</t>
  </si>
  <si>
    <t>152岐阜4区02</t>
  </si>
  <si>
    <t>今井　雅人</t>
  </si>
  <si>
    <t>152岐阜4区03</t>
  </si>
  <si>
    <t>川合　剛弘</t>
  </si>
  <si>
    <t>153岐阜5区02</t>
  </si>
  <si>
    <t>阿知波　吉信</t>
  </si>
  <si>
    <t>153岐阜5区01</t>
  </si>
  <si>
    <t>古屋　圭司</t>
  </si>
  <si>
    <t>154静岡1区02</t>
  </si>
  <si>
    <t>牧野　聖修</t>
  </si>
  <si>
    <t>154静岡1区01</t>
  </si>
  <si>
    <t>上川　陽子</t>
  </si>
  <si>
    <t>154静岡1区04</t>
  </si>
  <si>
    <t>佐藤　　剛</t>
  </si>
  <si>
    <t>154静岡1区03</t>
  </si>
  <si>
    <t>池野　元章</t>
  </si>
  <si>
    <t>154静岡1区05</t>
  </si>
  <si>
    <t>中野　雄太</t>
  </si>
  <si>
    <t>155静岡2区02</t>
  </si>
  <si>
    <t>津川　祥吾</t>
  </si>
  <si>
    <t>155静岡2区01</t>
  </si>
  <si>
    <t>原田　令嗣</t>
  </si>
  <si>
    <t>155静岡2区03</t>
  </si>
  <si>
    <t>濱口　亘弘</t>
  </si>
  <si>
    <t>156静岡3区02</t>
  </si>
  <si>
    <t>小山　展弘</t>
  </si>
  <si>
    <t>156静岡3区01</t>
  </si>
  <si>
    <t>柳澤　伯夫</t>
  </si>
  <si>
    <t>156静岡3区03</t>
  </si>
  <si>
    <t>江頭　俊満</t>
  </si>
  <si>
    <t>157静岡4区02</t>
  </si>
  <si>
    <t>田村　謙治</t>
  </si>
  <si>
    <t>157静岡4区01</t>
  </si>
  <si>
    <t>望月　義夫</t>
  </si>
  <si>
    <t>157静岡4区03</t>
  </si>
  <si>
    <t>神澤　一正</t>
  </si>
  <si>
    <t>158静岡5区02</t>
  </si>
  <si>
    <t>細野　豪志</t>
  </si>
  <si>
    <t>158静岡5区01</t>
  </si>
  <si>
    <t>斉藤　斗志二</t>
  </si>
  <si>
    <t>158静岡5区03</t>
  </si>
  <si>
    <t>堀　慎太郎</t>
  </si>
  <si>
    <t>159静岡6区02</t>
  </si>
  <si>
    <t>渡辺　　周</t>
  </si>
  <si>
    <t>159静岡6区01</t>
  </si>
  <si>
    <t>倉田　雅年</t>
  </si>
  <si>
    <t>159静岡6区03</t>
  </si>
  <si>
    <t>加藤　恵三</t>
  </si>
  <si>
    <t>160静岡7区04</t>
  </si>
  <si>
    <t>城内　　実</t>
  </si>
  <si>
    <t>160静岡7区02</t>
  </si>
  <si>
    <t>斉木　武志</t>
  </si>
  <si>
    <t>160静岡7区01</t>
  </si>
  <si>
    <t>片山　さつき</t>
  </si>
  <si>
    <t>160静岡7区03</t>
  </si>
  <si>
    <t>竹内　隆文</t>
  </si>
  <si>
    <t>161静岡8区02</t>
  </si>
  <si>
    <t>斉藤　　進</t>
  </si>
  <si>
    <t>161静岡8区01</t>
  </si>
  <si>
    <t>塩谷　　立</t>
  </si>
  <si>
    <t>161静岡8区03</t>
  </si>
  <si>
    <t>平賀　高成</t>
  </si>
  <si>
    <t>161静岡8区04</t>
  </si>
  <si>
    <t>小西　高靖</t>
  </si>
  <si>
    <t>162愛知1区02</t>
  </si>
  <si>
    <t>佐藤　夕子</t>
  </si>
  <si>
    <t>162愛知1区01</t>
  </si>
  <si>
    <t>篠田　陽介</t>
  </si>
  <si>
    <t>162愛知1区03</t>
  </si>
  <si>
    <t>木村　恵美</t>
  </si>
  <si>
    <t>162愛知1区04</t>
  </si>
  <si>
    <t>平山　良平</t>
  </si>
  <si>
    <t>162愛知1区05</t>
  </si>
  <si>
    <t>河田　成治</t>
  </si>
  <si>
    <t>163愛知2区02</t>
  </si>
  <si>
    <t>古川　元久</t>
  </si>
  <si>
    <t>163愛知2区01</t>
  </si>
  <si>
    <t>宮原　美佐子</t>
  </si>
  <si>
    <t>163愛知2区03</t>
  </si>
  <si>
    <t>斉藤　愛子</t>
  </si>
  <si>
    <t>163愛知2区04</t>
  </si>
  <si>
    <t>石田　　昭</t>
  </si>
  <si>
    <t>164愛知3区02</t>
  </si>
  <si>
    <t>近藤　昭一</t>
  </si>
  <si>
    <t>164愛知3区01</t>
  </si>
  <si>
    <t>馬渡　龍治</t>
  </si>
  <si>
    <t>164愛知3区03</t>
  </si>
  <si>
    <t>本村　伸子</t>
  </si>
  <si>
    <t>164愛知3区04</t>
  </si>
  <si>
    <t>服部　輝成</t>
  </si>
  <si>
    <t>165愛知4区02</t>
  </si>
  <si>
    <t>牧　　義夫</t>
  </si>
  <si>
    <t>165愛知4区01</t>
  </si>
  <si>
    <t>藤野　真紀子</t>
  </si>
  <si>
    <t>165愛知4区03</t>
  </si>
  <si>
    <t>瀬古　由起子</t>
  </si>
  <si>
    <t>165愛知4区04</t>
  </si>
  <si>
    <t>今井田　俊一</t>
  </si>
  <si>
    <t>166愛知5区02</t>
  </si>
  <si>
    <t>赤松　広隆</t>
  </si>
  <si>
    <t>166愛知5区01</t>
  </si>
  <si>
    <t>寺西　　睦</t>
  </si>
  <si>
    <t>166愛知5区03</t>
  </si>
  <si>
    <t>吉田　知子</t>
  </si>
  <si>
    <t>167愛知6区02</t>
  </si>
  <si>
    <t>石田　芳弘</t>
  </si>
  <si>
    <t>167愛知6区01</t>
  </si>
  <si>
    <t>丹羽　秀樹</t>
  </si>
  <si>
    <t>167愛知6区04</t>
  </si>
  <si>
    <t>長谷川　浩司</t>
  </si>
  <si>
    <t>167愛知6区03</t>
  </si>
  <si>
    <t>福原　真由美</t>
  </si>
  <si>
    <t>167愛知6区05</t>
  </si>
  <si>
    <t>稲垣　寛之</t>
  </si>
  <si>
    <t>168愛知7区02</t>
  </si>
  <si>
    <t>山尾　志桜里</t>
  </si>
  <si>
    <t>168愛知7区01</t>
  </si>
  <si>
    <t>鈴木　淳司</t>
  </si>
  <si>
    <t>168愛知7区03</t>
  </si>
  <si>
    <t>永田　久美子</t>
  </si>
  <si>
    <t>169愛知8区02</t>
  </si>
  <si>
    <t>伴野　　豊</t>
  </si>
  <si>
    <t>169愛知8区01</t>
  </si>
  <si>
    <t>伊藤　忠彦</t>
  </si>
  <si>
    <t>169愛知8区03</t>
  </si>
  <si>
    <t>三丁目　伸哉</t>
  </si>
  <si>
    <t>170愛知9区02</t>
  </si>
  <si>
    <t>岡本　充功</t>
  </si>
  <si>
    <t>170愛知9区01</t>
  </si>
  <si>
    <t>海部　俊樹</t>
  </si>
  <si>
    <t>170愛知9区03</t>
  </si>
  <si>
    <t>板谷　紀美子</t>
  </si>
  <si>
    <t>171愛知10区02</t>
  </si>
  <si>
    <t>杉本　和巳</t>
  </si>
  <si>
    <t>171愛知10区01</t>
  </si>
  <si>
    <t>江崎　鐵磨</t>
  </si>
  <si>
    <t>171愛知10区03</t>
  </si>
  <si>
    <t>中村　秋則</t>
  </si>
  <si>
    <t>172愛知11区02</t>
  </si>
  <si>
    <t>古本　伸一郎</t>
  </si>
  <si>
    <t>172愛知11区01</t>
  </si>
  <si>
    <t>土井　真樹</t>
  </si>
  <si>
    <t>172愛知11区03</t>
  </si>
  <si>
    <t>中根　裕美</t>
  </si>
  <si>
    <t>173愛知12区02</t>
  </si>
  <si>
    <t>中根　康浩</t>
  </si>
  <si>
    <t>173愛知12区01</t>
  </si>
  <si>
    <t>杉浦　正健</t>
  </si>
  <si>
    <t>八田　廣子</t>
  </si>
  <si>
    <t>後神　芳基</t>
  </si>
  <si>
    <t>174愛知13区02</t>
  </si>
  <si>
    <t>大西　健介</t>
  </si>
  <si>
    <t>174愛知13区01</t>
  </si>
  <si>
    <t>大村　秀章</t>
  </si>
  <si>
    <t>174愛知13区03</t>
  </si>
  <si>
    <t>室田　　隆</t>
  </si>
  <si>
    <t>175愛知14区02</t>
  </si>
  <si>
    <t>鈴木　克昌</t>
  </si>
  <si>
    <t>175愛知14区01</t>
  </si>
  <si>
    <t>杉田　元司</t>
  </si>
  <si>
    <t>175愛知14区03</t>
  </si>
  <si>
    <t>鈴木　英文</t>
  </si>
  <si>
    <t>176愛知15区02</t>
  </si>
  <si>
    <t>森本　和義</t>
  </si>
  <si>
    <t>176愛知15区01</t>
  </si>
  <si>
    <t>山本　明彦</t>
  </si>
  <si>
    <t>176愛知15区03</t>
  </si>
  <si>
    <t>斎藤　　啓</t>
  </si>
  <si>
    <t>176愛知15区04</t>
  </si>
  <si>
    <t>高橋　信広</t>
  </si>
  <si>
    <t>177三重1区02</t>
  </si>
  <si>
    <t>中井　　洽</t>
  </si>
  <si>
    <t>177三重1区01</t>
  </si>
  <si>
    <t>川崎　二郎</t>
  </si>
  <si>
    <t>177三重1区03</t>
  </si>
  <si>
    <t>後谷　一司</t>
  </si>
  <si>
    <t>178三重2区02</t>
  </si>
  <si>
    <t>中川　正春</t>
  </si>
  <si>
    <t>178三重2区01</t>
  </si>
  <si>
    <t>鈴木　英敬</t>
  </si>
  <si>
    <t>178三重2区03</t>
  </si>
  <si>
    <t>中野　武史</t>
  </si>
  <si>
    <t>178三重2区04</t>
  </si>
  <si>
    <t>萩　都志子</t>
  </si>
  <si>
    <t>179三重3区02</t>
  </si>
  <si>
    <t>岡田　克也</t>
  </si>
  <si>
    <t>179三重3区01</t>
  </si>
  <si>
    <t>平田　耕一</t>
  </si>
  <si>
    <t>179三重3区03</t>
  </si>
  <si>
    <t>野原　典子</t>
  </si>
  <si>
    <t>180三重4区02</t>
  </si>
  <si>
    <t>森本　哲生</t>
  </si>
  <si>
    <t>180三重4区01</t>
  </si>
  <si>
    <t>田村　憲久</t>
  </si>
  <si>
    <t>180三重4区03</t>
  </si>
  <si>
    <t>高良　雄蔵</t>
  </si>
  <si>
    <t>181三重5区01</t>
  </si>
  <si>
    <t>三ツ矢　憲生</t>
  </si>
  <si>
    <t>181三重5区02</t>
  </si>
  <si>
    <t>藤田　大助</t>
  </si>
  <si>
    <t>181三重5区03</t>
  </si>
  <si>
    <t>大原　　忍</t>
  </si>
  <si>
    <t>182滋賀1区02</t>
  </si>
  <si>
    <t>川端　達夫</t>
  </si>
  <si>
    <t>182滋賀1区01</t>
  </si>
  <si>
    <t>上野　賢一郎</t>
  </si>
  <si>
    <t>182滋賀1区03</t>
  </si>
  <si>
    <t>川内　　卓</t>
  </si>
  <si>
    <t>182滋賀1区04</t>
  </si>
  <si>
    <t>對中　章哲</t>
  </si>
  <si>
    <t>183滋賀2区02</t>
  </si>
  <si>
    <t>田島　一成</t>
  </si>
  <si>
    <t>183滋賀2区01</t>
  </si>
  <si>
    <t>藤井　勇治</t>
  </si>
  <si>
    <t>183滋賀2区03</t>
  </si>
  <si>
    <t>池田　信隆</t>
  </si>
  <si>
    <t>184滋賀3区02</t>
  </si>
  <si>
    <t>三日月　大造</t>
  </si>
  <si>
    <t>184滋賀3区01</t>
  </si>
  <si>
    <t>宇野　　治</t>
  </si>
  <si>
    <t>184滋賀3区03</t>
  </si>
  <si>
    <t>木村　眞佐美</t>
  </si>
  <si>
    <t>184滋賀3区04</t>
  </si>
  <si>
    <t>森川　貢次</t>
  </si>
  <si>
    <t>185滋賀4区02</t>
  </si>
  <si>
    <t>奥村　展三</t>
  </si>
  <si>
    <t>185滋賀4区01</t>
  </si>
  <si>
    <t>武藤　貴也</t>
  </si>
  <si>
    <t>185滋賀4区03</t>
  </si>
  <si>
    <t>坪田　五久男</t>
  </si>
  <si>
    <t>185滋賀4区04</t>
  </si>
  <si>
    <t>曽我　周作</t>
  </si>
  <si>
    <t>186京都1区02</t>
  </si>
  <si>
    <t>平　　智之</t>
  </si>
  <si>
    <t>186京都1区01</t>
  </si>
  <si>
    <t>伊吹　文明</t>
  </si>
  <si>
    <t>186京都1区03</t>
  </si>
  <si>
    <t>穀田　恵二</t>
  </si>
  <si>
    <t>186京都1区04</t>
  </si>
  <si>
    <t>種村　柚美子</t>
  </si>
  <si>
    <t>187京都2区02</t>
  </si>
  <si>
    <t>前原　誠司</t>
  </si>
  <si>
    <t>187京都2区01</t>
  </si>
  <si>
    <t>山本　朋広</t>
  </si>
  <si>
    <t>187京都2区03</t>
  </si>
  <si>
    <t>原　　俊史</t>
  </si>
  <si>
    <t>187京都2区04</t>
  </si>
  <si>
    <t>藤田　高景</t>
  </si>
  <si>
    <t>187京都2区05</t>
  </si>
  <si>
    <t>軽部　芳輝</t>
  </si>
  <si>
    <t>188京都3区02</t>
  </si>
  <si>
    <t>泉　　健太</t>
  </si>
  <si>
    <t>188京都3区01</t>
  </si>
  <si>
    <t>清水　鴻一郎</t>
  </si>
  <si>
    <t>188京都3区03</t>
  </si>
  <si>
    <t>石村　和子</t>
  </si>
  <si>
    <t>188京都3区04</t>
  </si>
  <si>
    <t>岸本　浩一</t>
  </si>
  <si>
    <t>189京都4区02</t>
  </si>
  <si>
    <t>北神　圭朗</t>
  </si>
  <si>
    <t>189京都4区05</t>
  </si>
  <si>
    <t>田中　英夫</t>
  </si>
  <si>
    <t>189京都4区01</t>
  </si>
  <si>
    <t>中川　泰宏</t>
  </si>
  <si>
    <t>189京都4区03</t>
  </si>
  <si>
    <t>吉田　幸一</t>
  </si>
  <si>
    <t>189京都4区04</t>
  </si>
  <si>
    <t>出野　博志</t>
  </si>
  <si>
    <t>190京都5区01</t>
  </si>
  <si>
    <t>谷垣　禎一</t>
  </si>
  <si>
    <t>190京都5区02</t>
  </si>
  <si>
    <t>小原　　舞</t>
  </si>
  <si>
    <t>吉田　早由美</t>
  </si>
  <si>
    <t>詫間　啓司</t>
  </si>
  <si>
    <t>191京都6区02</t>
  </si>
  <si>
    <t>山井　和則</t>
  </si>
  <si>
    <t>191京都6区01</t>
  </si>
  <si>
    <t>井澤　京子</t>
  </si>
  <si>
    <t>191京都6区03</t>
  </si>
  <si>
    <t>浜田　良之</t>
  </si>
  <si>
    <t>191京都6区04</t>
  </si>
  <si>
    <t>北川　智子</t>
  </si>
  <si>
    <t>192大阪1区02</t>
  </si>
  <si>
    <t>熊田　篤嗣</t>
  </si>
  <si>
    <t>192大阪1区01</t>
  </si>
  <si>
    <t>中馬　弘毅</t>
  </si>
  <si>
    <t>192大阪1区03</t>
  </si>
  <si>
    <t>辻　日出子</t>
  </si>
  <si>
    <t>192大阪1区05</t>
  </si>
  <si>
    <t>堺井　裕貴</t>
  </si>
  <si>
    <t>192大阪1区04</t>
  </si>
  <si>
    <t>林　富美子</t>
  </si>
  <si>
    <t>193大阪2区02</t>
  </si>
  <si>
    <t>萩原　　仁</t>
  </si>
  <si>
    <t>193大阪2区05</t>
  </si>
  <si>
    <t>左藤　　章</t>
  </si>
  <si>
    <t>193大阪2区01</t>
  </si>
  <si>
    <t>川条　志嘉</t>
  </si>
  <si>
    <t>193大阪2区03</t>
  </si>
  <si>
    <t>吉永　朋之</t>
  </si>
  <si>
    <t>193大阪2区04</t>
  </si>
  <si>
    <t>深田　敏子</t>
  </si>
  <si>
    <t>194大阪3区01</t>
  </si>
  <si>
    <t>中島　正純</t>
  </si>
  <si>
    <t>194大阪3区02</t>
  </si>
  <si>
    <t>田端　正広</t>
  </si>
  <si>
    <t>194大阪3区03</t>
  </si>
  <si>
    <t>千葉　孝子</t>
  </si>
  <si>
    <t>194大阪3区04</t>
  </si>
  <si>
    <t>森　　悦宏</t>
  </si>
  <si>
    <t>195大阪4区02</t>
  </si>
  <si>
    <t>吉田　　治</t>
  </si>
  <si>
    <t>195大阪4区01</t>
  </si>
  <si>
    <t>中山　泰秀</t>
  </si>
  <si>
    <t>195大阪4区03</t>
  </si>
  <si>
    <t>長谷川　良雄</t>
  </si>
  <si>
    <t>195大阪4区04</t>
  </si>
  <si>
    <t>春山　美一</t>
  </si>
  <si>
    <t>196大阪5区01</t>
  </si>
  <si>
    <t>稲見　哲男</t>
  </si>
  <si>
    <t>196大阪5区02</t>
  </si>
  <si>
    <t>谷口　隆義</t>
  </si>
  <si>
    <t>196大阪5区03</t>
  </si>
  <si>
    <t>姫野　　浄</t>
  </si>
  <si>
    <t>196大阪5区04</t>
  </si>
  <si>
    <t>柳　　　武</t>
  </si>
  <si>
    <t>197大阪6区01</t>
  </si>
  <si>
    <t>村上　史好</t>
  </si>
  <si>
    <t>197大阪6区02</t>
  </si>
  <si>
    <t>福島　　豊</t>
  </si>
  <si>
    <t>197大阪6区03</t>
  </si>
  <si>
    <t>矢野　博之</t>
  </si>
  <si>
    <t>197大阪6区04</t>
  </si>
  <si>
    <t>上杉　智子</t>
  </si>
  <si>
    <t>198大阪7区02</t>
  </si>
  <si>
    <t>藤村　　修</t>
  </si>
  <si>
    <t>198大阪7区01</t>
  </si>
  <si>
    <t>渡嘉敷　奈緒美</t>
  </si>
  <si>
    <t>198大阪7区03</t>
  </si>
  <si>
    <t>駒井　正男</t>
  </si>
  <si>
    <t>198大阪7区04</t>
  </si>
  <si>
    <t>水沼　義隆</t>
  </si>
  <si>
    <t>199大阪8区02</t>
  </si>
  <si>
    <t>中野　寛成</t>
  </si>
  <si>
    <t>199大阪8区01</t>
  </si>
  <si>
    <t>大塚　高司</t>
  </si>
  <si>
    <t>199大阪8区03</t>
  </si>
  <si>
    <t>久門　松寿</t>
  </si>
  <si>
    <t>199大阪8区04</t>
  </si>
  <si>
    <t>高橋　伸典</t>
  </si>
  <si>
    <t>200大阪9区02</t>
  </si>
  <si>
    <t>大谷　信盛</t>
  </si>
  <si>
    <t>200大阪9区01</t>
  </si>
  <si>
    <t>原田　憲治</t>
  </si>
  <si>
    <t>200大阪9区03</t>
  </si>
  <si>
    <t>村上　弘充</t>
  </si>
  <si>
    <t>200大阪9区04</t>
  </si>
  <si>
    <t>吉野　宏一</t>
  </si>
  <si>
    <t>200大阪9区05</t>
  </si>
  <si>
    <t>藤木　利恵</t>
  </si>
  <si>
    <t>201大阪10区03</t>
  </si>
  <si>
    <t>辻元　清美</t>
  </si>
  <si>
    <t>201大阪10区01</t>
  </si>
  <si>
    <t>松浪　健太</t>
  </si>
  <si>
    <t>201大阪10区02</t>
  </si>
  <si>
    <t>浅沼　和仁</t>
  </si>
  <si>
    <t>201大阪10区04</t>
  </si>
  <si>
    <t>筒井　宏志</t>
  </si>
  <si>
    <t>202大阪11区02</t>
  </si>
  <si>
    <t>平野　博文</t>
  </si>
  <si>
    <t>202大阪11区01</t>
  </si>
  <si>
    <t>井脇　ノブ子</t>
  </si>
  <si>
    <t>202大阪11区03</t>
  </si>
  <si>
    <t>山下　京子</t>
  </si>
  <si>
    <t>202大阪11区04</t>
  </si>
  <si>
    <t>山内　　晃</t>
  </si>
  <si>
    <t>203大阪12区02</t>
  </si>
  <si>
    <t>樽床　伸二</t>
  </si>
  <si>
    <t>203大阪12区01</t>
  </si>
  <si>
    <t>北川　知克</t>
  </si>
  <si>
    <t>203大阪12区03</t>
  </si>
  <si>
    <t>重田　初江</t>
  </si>
  <si>
    <t>203大阪12区04</t>
  </si>
  <si>
    <t>宮崎　麻美</t>
  </si>
  <si>
    <t>204大阪13区01</t>
  </si>
  <si>
    <t>西野　　陽</t>
  </si>
  <si>
    <t>204大阪13区03</t>
  </si>
  <si>
    <t>白石　純子</t>
  </si>
  <si>
    <t>民社日</t>
  </si>
  <si>
    <t>204大阪13区02</t>
  </si>
  <si>
    <t>吉井　英勝</t>
  </si>
  <si>
    <t>204大阪13区04</t>
  </si>
  <si>
    <t>生田　智千</t>
  </si>
  <si>
    <t>205大阪14区02</t>
  </si>
  <si>
    <t>長尾　　敬</t>
  </si>
  <si>
    <t>205大阪14区01</t>
  </si>
  <si>
    <t>谷畑　　孝</t>
  </si>
  <si>
    <t>205大阪14区03</t>
  </si>
  <si>
    <t>野沢　倫昭</t>
  </si>
  <si>
    <t>205大阪14区05</t>
  </si>
  <si>
    <t>三宅　　博</t>
  </si>
  <si>
    <t>205大阪14区04</t>
  </si>
  <si>
    <t>北口　義明</t>
  </si>
  <si>
    <t>206大阪15区02</t>
  </si>
  <si>
    <t>大谷　　啓</t>
  </si>
  <si>
    <t>206大阪15区01</t>
  </si>
  <si>
    <t>竹本　直一</t>
  </si>
  <si>
    <t>206大阪15区03</t>
  </si>
  <si>
    <t>中野　好博</t>
  </si>
  <si>
    <t>206大阪15区04</t>
  </si>
  <si>
    <t>村上　俊樹</t>
  </si>
  <si>
    <t>207大阪16区01</t>
  </si>
  <si>
    <t>森山　浩行</t>
  </si>
  <si>
    <t>207大阪16区02</t>
  </si>
  <si>
    <t>北側　一雄</t>
  </si>
  <si>
    <t>207大阪16区03</t>
  </si>
  <si>
    <t>岸上　倭文樹</t>
  </si>
  <si>
    <t>207大阪16区04</t>
  </si>
  <si>
    <t>中川　義衛</t>
  </si>
  <si>
    <t>208大阪17区02</t>
  </si>
  <si>
    <t>辻　　　惠</t>
  </si>
  <si>
    <t>208大阪17区01</t>
  </si>
  <si>
    <t>岡下　信子</t>
  </si>
  <si>
    <t>208大阪17区04</t>
  </si>
  <si>
    <t>西村　眞悟</t>
  </si>
  <si>
    <t>０８改革ク</t>
  </si>
  <si>
    <t>208大阪17区03</t>
  </si>
  <si>
    <t>坂本　譲次</t>
  </si>
  <si>
    <t>209大阪18区02</t>
  </si>
  <si>
    <t>中川　　治</t>
  </si>
  <si>
    <t>209大阪18区01</t>
  </si>
  <si>
    <t>中山　太郎</t>
  </si>
  <si>
    <t>209大阪18区03</t>
  </si>
  <si>
    <t>大塚　康樹</t>
  </si>
  <si>
    <t>209大阪18区04</t>
  </si>
  <si>
    <t>西川　　豊</t>
  </si>
  <si>
    <t>210大阪19区02</t>
  </si>
  <si>
    <t>長安　　豊</t>
  </si>
  <si>
    <t>210大阪19区01</t>
  </si>
  <si>
    <t>松浪　健四郎</t>
  </si>
  <si>
    <t>210大阪19区03</t>
  </si>
  <si>
    <t>和気　　豊</t>
  </si>
  <si>
    <t>210大阪19区04</t>
  </si>
  <si>
    <t>豊田　隆久</t>
  </si>
  <si>
    <t>211兵庫1区02</t>
  </si>
  <si>
    <t>井戸　正枝</t>
  </si>
  <si>
    <t>211兵庫1区01</t>
  </si>
  <si>
    <t>盛山　正仁</t>
  </si>
  <si>
    <t>211兵庫1区03</t>
  </si>
  <si>
    <t>味口　俊之</t>
  </si>
  <si>
    <t>211兵庫1区05</t>
  </si>
  <si>
    <t>原　　和美</t>
  </si>
  <si>
    <t>(新社)</t>
  </si>
  <si>
    <t>会</t>
  </si>
  <si>
    <t>211兵庫1区04</t>
  </si>
  <si>
    <t>槇山　健二</t>
  </si>
  <si>
    <t>212兵庫2区01</t>
  </si>
  <si>
    <t>向山　好一</t>
  </si>
  <si>
    <t>212兵庫2区02</t>
  </si>
  <si>
    <t>赤羽　一嘉</t>
  </si>
  <si>
    <t>212兵庫2区03</t>
  </si>
  <si>
    <t>井村　弘子</t>
  </si>
  <si>
    <t>212兵庫2区04</t>
  </si>
  <si>
    <t>竹内　知弘</t>
  </si>
  <si>
    <t>213兵庫3区02</t>
  </si>
  <si>
    <t>土肥　隆一</t>
  </si>
  <si>
    <t>改</t>
  </si>
  <si>
    <t>213兵庫3区01</t>
  </si>
  <si>
    <t>関　　芳弘</t>
  </si>
  <si>
    <t>213兵庫3区03</t>
  </si>
  <si>
    <t>金田　峰生</t>
  </si>
  <si>
    <t>213兵庫3区05</t>
  </si>
  <si>
    <t>黒江　兼司</t>
  </si>
  <si>
    <t>213兵庫3区06</t>
  </si>
  <si>
    <t>山本　正晴</t>
  </si>
  <si>
    <t>213兵庫3区04</t>
  </si>
  <si>
    <t>森本　　潔</t>
  </si>
  <si>
    <t>214兵庫4区02</t>
  </si>
  <si>
    <t>高橋　昭一</t>
  </si>
  <si>
    <t>214兵庫4区01</t>
  </si>
  <si>
    <t>井上　喜一</t>
  </si>
  <si>
    <t>214兵庫4区05</t>
  </si>
  <si>
    <t>石原　修三</t>
  </si>
  <si>
    <t>214兵庫4区03</t>
  </si>
  <si>
    <t>佐藤　　塁</t>
  </si>
  <si>
    <t>214兵庫4区04</t>
  </si>
  <si>
    <t>外山　高史</t>
  </si>
  <si>
    <t>215兵庫5区02</t>
  </si>
  <si>
    <t>梶原　康弘</t>
  </si>
  <si>
    <t>215兵庫5区01</t>
  </si>
  <si>
    <t>谷　　公一</t>
  </si>
  <si>
    <t>215兵庫5区03</t>
  </si>
  <si>
    <t>丸岡　眞澄</t>
  </si>
  <si>
    <t>216兵庫6区02</t>
  </si>
  <si>
    <t>市村　浩一郎</t>
  </si>
  <si>
    <t>216兵庫6区01</t>
  </si>
  <si>
    <t>木挽　　司</t>
  </si>
  <si>
    <t>216兵庫6区03</t>
  </si>
  <si>
    <t>北野　紀子</t>
  </si>
  <si>
    <t>216兵庫6区04</t>
  </si>
  <si>
    <t>上野　仁宏</t>
  </si>
  <si>
    <t>217兵庫7区02</t>
  </si>
  <si>
    <t>石井　登志郎</t>
  </si>
  <si>
    <t>217兵庫7区01</t>
  </si>
  <si>
    <t>大前　繁雄</t>
  </si>
  <si>
    <t>217兵庫7区03</t>
  </si>
  <si>
    <t>平野　貞雄</t>
  </si>
  <si>
    <t>217兵庫7区04</t>
  </si>
  <si>
    <t>小田　和代</t>
  </si>
  <si>
    <t>218兵庫8区04</t>
  </si>
  <si>
    <t>田中　康夫</t>
  </si>
  <si>
    <t>218兵庫8区01</t>
  </si>
  <si>
    <t>冬柴　鐵三</t>
  </si>
  <si>
    <t>218兵庫8区02</t>
  </si>
  <si>
    <t>庄本　悦子</t>
  </si>
  <si>
    <t>218兵庫8区03</t>
  </si>
  <si>
    <t>市来　伴子</t>
  </si>
  <si>
    <t>218兵庫8区05</t>
  </si>
  <si>
    <t>角出　智一</t>
  </si>
  <si>
    <t>219兵庫9区01</t>
  </si>
  <si>
    <t>西村　康稔</t>
  </si>
  <si>
    <t>219兵庫9区02</t>
  </si>
  <si>
    <t>宮本　一三</t>
  </si>
  <si>
    <t>219兵庫9区03</t>
  </si>
  <si>
    <t>高木　義彰</t>
  </si>
  <si>
    <t>220兵庫10区02</t>
  </si>
  <si>
    <t>岡田　康裕</t>
  </si>
  <si>
    <t>220兵庫10区01</t>
  </si>
  <si>
    <t>渡海　紀三朗</t>
  </si>
  <si>
    <t>220兵庫10区03</t>
  </si>
  <si>
    <t>小村　直弘</t>
  </si>
  <si>
    <t>221兵庫11区02</t>
  </si>
  <si>
    <t>松本　剛明</t>
  </si>
  <si>
    <t>221兵庫11区01</t>
  </si>
  <si>
    <t>戸井田　徹</t>
  </si>
  <si>
    <t>221兵庫11区03</t>
  </si>
  <si>
    <t>帽田　智子</t>
  </si>
  <si>
    <t>222兵庫12区02</t>
  </si>
  <si>
    <t>山口　　壯</t>
  </si>
  <si>
    <t>222兵庫12区01</t>
  </si>
  <si>
    <t>河本　三郎</t>
  </si>
  <si>
    <t>222兵庫12区03</t>
  </si>
  <si>
    <t>山田　徳太郎</t>
  </si>
  <si>
    <t>223奈良1区02</t>
  </si>
  <si>
    <t>馬淵　澄夫</t>
  </si>
  <si>
    <t>223奈良1区01</t>
  </si>
  <si>
    <t>森岡　正宏</t>
  </si>
  <si>
    <t>223奈良1区03</t>
  </si>
  <si>
    <t>井上　良子</t>
  </si>
  <si>
    <t>223奈良1区04</t>
  </si>
  <si>
    <t>栗岡　真由美</t>
  </si>
  <si>
    <t>224奈良2区02</t>
  </si>
  <si>
    <t>滝　　　実</t>
  </si>
  <si>
    <t>日</t>
  </si>
  <si>
    <t>224奈良2区01</t>
  </si>
  <si>
    <t>高市　早苗</t>
  </si>
  <si>
    <t>224奈良2区03</t>
  </si>
  <si>
    <t>西　ふみ子</t>
  </si>
  <si>
    <t>224奈良2区04</t>
  </si>
  <si>
    <t>田中　孝子</t>
  </si>
  <si>
    <t>225奈良3区02</t>
  </si>
  <si>
    <t>吉川　政重</t>
  </si>
  <si>
    <t>225奈良3区01</t>
  </si>
  <si>
    <t>奥野　信亮</t>
  </si>
  <si>
    <t>225奈良3区03</t>
  </si>
  <si>
    <t>豆田　至功</t>
  </si>
  <si>
    <t>225奈良3区04</t>
  </si>
  <si>
    <t>尾崎　貴教</t>
  </si>
  <si>
    <t>226奈良4区01</t>
  </si>
  <si>
    <t>田野瀬　良太郎</t>
  </si>
  <si>
    <t>226奈良4区02</t>
  </si>
  <si>
    <t>大西　孝典</t>
  </si>
  <si>
    <t>226奈良4区03</t>
  </si>
  <si>
    <t>赤松　明宏</t>
  </si>
  <si>
    <t>227和歌山1区02</t>
  </si>
  <si>
    <t>岸本　周平</t>
  </si>
  <si>
    <t>227和歌山1区01</t>
  </si>
  <si>
    <t>谷本　龍哉</t>
  </si>
  <si>
    <t>227和歌山1区03</t>
  </si>
  <si>
    <t>国重　秀明</t>
  </si>
  <si>
    <t>227和歌山1区04</t>
  </si>
  <si>
    <t>斉藤　昌宏</t>
  </si>
  <si>
    <t>228和歌山2区02</t>
  </si>
  <si>
    <t>阪口　直人</t>
  </si>
  <si>
    <t>228和歌山2区01</t>
  </si>
  <si>
    <t>石田　真敏</t>
  </si>
  <si>
    <t>228和歌山2区03</t>
  </si>
  <si>
    <t>久保　美也子</t>
  </si>
  <si>
    <t>229和歌山3区01</t>
  </si>
  <si>
    <t>二階　俊博</t>
  </si>
  <si>
    <t>229和歌山3区02</t>
  </si>
  <si>
    <t>玉置　公良</t>
  </si>
  <si>
    <t>229和歌山3区03</t>
  </si>
  <si>
    <t>湊　　侑子</t>
  </si>
  <si>
    <t>230鳥取1区01</t>
  </si>
  <si>
    <t>石破　　茂</t>
  </si>
  <si>
    <t>230鳥取1区02</t>
  </si>
  <si>
    <t>奥田　保明</t>
  </si>
  <si>
    <t>230鳥取1区03</t>
  </si>
  <si>
    <t>岩永　尚之</t>
  </si>
  <si>
    <t>230鳥取1区04</t>
  </si>
  <si>
    <t>細川　幸宏</t>
  </si>
  <si>
    <t>231鳥取2区01</t>
  </si>
  <si>
    <t>赤澤　亮正</t>
  </si>
  <si>
    <t>231鳥取2区02</t>
  </si>
  <si>
    <t>湯原　俊二</t>
  </si>
  <si>
    <t>231鳥取2区03</t>
  </si>
  <si>
    <t>甲谷　英生</t>
  </si>
  <si>
    <t>232島根1区01</t>
  </si>
  <si>
    <t>細田　博之</t>
  </si>
  <si>
    <t>232島根1区02</t>
  </si>
  <si>
    <t>小室　寿明</t>
  </si>
  <si>
    <t>232島根1区03</t>
  </si>
  <si>
    <t>石飛　育久</t>
  </si>
  <si>
    <t>232島根1区04</t>
  </si>
  <si>
    <t>池田　健一郎</t>
  </si>
  <si>
    <t>233島根2区01</t>
  </si>
  <si>
    <t>竹下　　亘</t>
  </si>
  <si>
    <t>233島根2区02</t>
  </si>
  <si>
    <t>亀井　久興</t>
  </si>
  <si>
    <t>233島根2区03</t>
  </si>
  <si>
    <t>相浦　慎治</t>
  </si>
  <si>
    <t>234岡山1区01</t>
  </si>
  <si>
    <t>逢沢　一郎</t>
  </si>
  <si>
    <t>234岡山1区02</t>
  </si>
  <si>
    <t>高井　崇志</t>
  </si>
  <si>
    <t>234岡山1区03</t>
  </si>
  <si>
    <t>東　　　毅</t>
  </si>
  <si>
    <t>234岡山1区04</t>
  </si>
  <si>
    <t>安原　園枝</t>
  </si>
  <si>
    <t>235岡山2区02</t>
  </si>
  <si>
    <t>津村　啓介</t>
  </si>
  <si>
    <t>235岡山2区01</t>
  </si>
  <si>
    <t>萩原　誠司</t>
  </si>
  <si>
    <t>235岡山2区05</t>
  </si>
  <si>
    <t>熊代　昭彦</t>
  </si>
  <si>
    <t>235岡山2区03</t>
  </si>
  <si>
    <t>赤松　和隆</t>
  </si>
  <si>
    <t>235岡山2区04</t>
  </si>
  <si>
    <t>戸板　道広</t>
  </si>
  <si>
    <t>236岡山3区04</t>
  </si>
  <si>
    <t>平沼　赳夫</t>
  </si>
  <si>
    <t>236岡山3区02</t>
  </si>
  <si>
    <t>西村　啓聡</t>
  </si>
  <si>
    <t>236岡山3区01</t>
  </si>
  <si>
    <t>阿部　俊子</t>
  </si>
  <si>
    <t>236岡山3区03</t>
  </si>
  <si>
    <t>池田　恭一郎</t>
  </si>
  <si>
    <t>237岡山4区02</t>
  </si>
  <si>
    <t>柚木　道義</t>
  </si>
  <si>
    <t>237岡山4区01</t>
  </si>
  <si>
    <t>橋本　　岳</t>
  </si>
  <si>
    <t>237岡山4区03</t>
  </si>
  <si>
    <t>小岩井　実由香</t>
  </si>
  <si>
    <t>238岡山5区01</t>
  </si>
  <si>
    <t>加藤　勝信</t>
  </si>
  <si>
    <t>238岡山5区02</t>
  </si>
  <si>
    <t>花咲　宏基</t>
  </si>
  <si>
    <t>238岡山5区03</t>
  </si>
  <si>
    <t>佐藤　雅章</t>
  </si>
  <si>
    <t>239広島1区01</t>
  </si>
  <si>
    <t>岸田　文雄</t>
  </si>
  <si>
    <t>239広島1区02</t>
  </si>
  <si>
    <t>菅川　　洋</t>
  </si>
  <si>
    <t>239広島1区03</t>
  </si>
  <si>
    <t>藤本　聡志</t>
  </si>
  <si>
    <t>239広島1区04</t>
  </si>
  <si>
    <t>上村　好輝</t>
  </si>
  <si>
    <t>239広島1区06</t>
  </si>
  <si>
    <t>中村　文則</t>
  </si>
  <si>
    <t>239広島1区05</t>
  </si>
  <si>
    <t>山本　浩徳</t>
  </si>
  <si>
    <t>240広島2区02</t>
  </si>
  <si>
    <t>松本　大輔</t>
  </si>
  <si>
    <t>240広島2区01</t>
  </si>
  <si>
    <t>平口　　洋</t>
  </si>
  <si>
    <t>240広島2区03</t>
  </si>
  <si>
    <t>宮内　香織</t>
  </si>
  <si>
    <t>241広島3区02</t>
  </si>
  <si>
    <t>橋本　博明</t>
  </si>
  <si>
    <t>241広島3区01</t>
  </si>
  <si>
    <t>増原　義剛</t>
  </si>
  <si>
    <t>241広島3区03</t>
  </si>
  <si>
    <t>日高　順子</t>
  </si>
  <si>
    <t>242広島4区02</t>
  </si>
  <si>
    <t>空本　誠喜</t>
  </si>
  <si>
    <t>242広島4区01</t>
  </si>
  <si>
    <t>中川　秀直</t>
  </si>
  <si>
    <t>242広島4区03</t>
  </si>
  <si>
    <t>沖　　ゆり</t>
  </si>
  <si>
    <t>243広島5区02</t>
  </si>
  <si>
    <t>三谷　光男</t>
  </si>
  <si>
    <t>243広島5区01</t>
  </si>
  <si>
    <t>寺田　　稔</t>
  </si>
  <si>
    <t>243広島5区03</t>
  </si>
  <si>
    <t>塚本　能照</t>
  </si>
  <si>
    <t>244広島6区03</t>
  </si>
  <si>
    <t>亀井　静香</t>
  </si>
  <si>
    <t>244広島6区01</t>
  </si>
  <si>
    <t>小島　敏文</t>
  </si>
  <si>
    <t>244広島6区02</t>
  </si>
  <si>
    <t>花岡　多美世</t>
  </si>
  <si>
    <t>244広島6区04</t>
  </si>
  <si>
    <t>胡本　協子</t>
  </si>
  <si>
    <t>245広島7区02</t>
  </si>
  <si>
    <t>和田　隆志</t>
  </si>
  <si>
    <t>245広島7区01</t>
  </si>
  <si>
    <t>宮澤　洋一</t>
  </si>
  <si>
    <t>245広島7区03</t>
  </si>
  <si>
    <t>植松　満雄</t>
  </si>
  <si>
    <t>246山口1区01</t>
  </si>
  <si>
    <t>高村　正彦</t>
  </si>
  <si>
    <t>246山口1区02</t>
  </si>
  <si>
    <t>高邑　　勉</t>
  </si>
  <si>
    <t>246山口1区03</t>
  </si>
  <si>
    <t>吉田　貞好</t>
  </si>
  <si>
    <t>246山口1区04</t>
  </si>
  <si>
    <t>村田　純一</t>
  </si>
  <si>
    <t>247山口2区02</t>
  </si>
  <si>
    <t>平岡　秀夫</t>
  </si>
  <si>
    <t>247山口2区01</t>
  </si>
  <si>
    <t>山本　繁太郎</t>
  </si>
  <si>
    <t>247山口2区03</t>
  </si>
  <si>
    <t>河井　美和子</t>
  </si>
  <si>
    <t>248山口3区01</t>
  </si>
  <si>
    <t>河村　建夫</t>
  </si>
  <si>
    <t>248山口3区02</t>
  </si>
  <si>
    <t>三浦　　昇</t>
  </si>
  <si>
    <t>248山口3区03</t>
  </si>
  <si>
    <t>津田　修一</t>
  </si>
  <si>
    <t>249山口4区01</t>
  </si>
  <si>
    <t>安倍　晋三</t>
  </si>
  <si>
    <t>249山口4区02</t>
  </si>
  <si>
    <t>戸倉　多香子</t>
  </si>
  <si>
    <t>249山口4区03</t>
  </si>
  <si>
    <t>木佐木　大助</t>
  </si>
  <si>
    <t>250徳島1区02</t>
  </si>
  <si>
    <t>仙谷　由人</t>
  </si>
  <si>
    <t>250徳島1区01</t>
  </si>
  <si>
    <t>岡本　芳郎</t>
  </si>
  <si>
    <t>250徳島1区05</t>
  </si>
  <si>
    <t>岡　　佑樹</t>
  </si>
  <si>
    <t>250徳島1区03</t>
  </si>
  <si>
    <t>古田　元則</t>
  </si>
  <si>
    <t>250徳島1区04</t>
  </si>
  <si>
    <t>近藤　　彰</t>
  </si>
  <si>
    <t>251徳島2区02</t>
  </si>
  <si>
    <t>高井　美穂</t>
  </si>
  <si>
    <t>251徳島2区01</t>
  </si>
  <si>
    <t>山口　俊一</t>
  </si>
  <si>
    <t>251徳島2区03</t>
  </si>
  <si>
    <t>梅本　芳郎</t>
  </si>
  <si>
    <t>252徳島3区01</t>
  </si>
  <si>
    <t>後藤田　正純</t>
  </si>
  <si>
    <t>252徳島3区02</t>
  </si>
  <si>
    <t>仁木　博文</t>
  </si>
  <si>
    <t>252徳島3区03</t>
  </si>
  <si>
    <t>小松　由佳</t>
  </si>
  <si>
    <t>253香川1区02</t>
  </si>
  <si>
    <t>小川　淳也</t>
  </si>
  <si>
    <t>253香川1区01</t>
  </si>
  <si>
    <t>平井　卓也</t>
  </si>
  <si>
    <t>253香川1区03</t>
  </si>
  <si>
    <t>河村　　整</t>
  </si>
  <si>
    <t>253香川1区04</t>
  </si>
  <si>
    <t>白石　久美子</t>
  </si>
  <si>
    <t>254香川2区02</t>
  </si>
  <si>
    <t>玉木　雄一郎</t>
  </si>
  <si>
    <t>254香川2区01</t>
  </si>
  <si>
    <t>木村　義雄</t>
  </si>
  <si>
    <t>254香川2区03</t>
  </si>
  <si>
    <t>土居　美佐子</t>
  </si>
  <si>
    <t>255香川3区01</t>
  </si>
  <si>
    <t>大野　功統</t>
  </si>
  <si>
    <t>255香川3区03</t>
  </si>
  <si>
    <t>米田　晴彦</t>
  </si>
  <si>
    <t>255香川3区05</t>
  </si>
  <si>
    <t>真鍋　　健</t>
  </si>
  <si>
    <t>255香川3区02</t>
  </si>
  <si>
    <t>近石　美智子</t>
  </si>
  <si>
    <t>255香川3区04</t>
  </si>
  <si>
    <t>妹尾　真由美</t>
  </si>
  <si>
    <t>256愛媛1区01</t>
  </si>
  <si>
    <t>塩崎　恭久</t>
  </si>
  <si>
    <t>256愛媛1区02</t>
  </si>
  <si>
    <t>永江　孝子</t>
  </si>
  <si>
    <t>256愛媛1区03</t>
  </si>
  <si>
    <t>田中　克彦</t>
  </si>
  <si>
    <t>256愛媛1区04</t>
  </si>
  <si>
    <t>谷村　耕治郎</t>
  </si>
  <si>
    <t>256愛媛1区05</t>
  </si>
  <si>
    <t>郡　　昭浩</t>
  </si>
  <si>
    <t>257愛媛2区01</t>
  </si>
  <si>
    <t>村上　誠一郎</t>
  </si>
  <si>
    <t>257愛媛2区02</t>
  </si>
  <si>
    <t>岡平　知子</t>
  </si>
  <si>
    <t>257愛媛2区04</t>
  </si>
  <si>
    <t>楠橋　康弘</t>
  </si>
  <si>
    <t>257愛媛2区03</t>
  </si>
  <si>
    <t>森田　浩二</t>
  </si>
  <si>
    <t>258愛媛3区02</t>
  </si>
  <si>
    <t>白石　洋一</t>
  </si>
  <si>
    <t>258愛媛3区01</t>
  </si>
  <si>
    <t>白石　　徹</t>
  </si>
  <si>
    <t>258愛媛3区03</t>
  </si>
  <si>
    <t>宮脇　　繁</t>
  </si>
  <si>
    <t>259愛媛4区01</t>
  </si>
  <si>
    <t>山本　公一</t>
  </si>
  <si>
    <t>259愛媛4区02</t>
  </si>
  <si>
    <t>高橋　英行</t>
  </si>
  <si>
    <t>259愛媛4区04</t>
  </si>
  <si>
    <t>櫻内　文城</t>
  </si>
  <si>
    <t>259愛媛4区03</t>
  </si>
  <si>
    <t>露口　礼子</t>
  </si>
  <si>
    <t>260高知1区01</t>
  </si>
  <si>
    <t>福井　　照</t>
  </si>
  <si>
    <t>260高知1区05</t>
  </si>
  <si>
    <t>橋本　大二郎</t>
  </si>
  <si>
    <t>260高知1区02</t>
  </si>
  <si>
    <t>田村　久美子</t>
  </si>
  <si>
    <t>260高知1区03</t>
  </si>
  <si>
    <t>春名　直章</t>
  </si>
  <si>
    <t>260高知1区04</t>
  </si>
  <si>
    <t>桃田　妙子</t>
  </si>
  <si>
    <t>261高知2区01</t>
  </si>
  <si>
    <t>中谷　　元</t>
  </si>
  <si>
    <t>261高知2区02</t>
  </si>
  <si>
    <t>楠本　清世</t>
  </si>
  <si>
    <t>261高知2区03</t>
  </si>
  <si>
    <t>山中　正博</t>
  </si>
  <si>
    <t>261高知2区04</t>
  </si>
  <si>
    <t>伊東　理砂</t>
  </si>
  <si>
    <t>262高知3区01</t>
  </si>
  <si>
    <t>山本　有二</t>
  </si>
  <si>
    <t>262高知3区02</t>
  </si>
  <si>
    <t>中山　知意</t>
  </si>
  <si>
    <t>262高知3区03</t>
  </si>
  <si>
    <t>村上　信夫</t>
  </si>
  <si>
    <t>262高知3区04</t>
  </si>
  <si>
    <t>北村　健行</t>
  </si>
  <si>
    <t>263福岡1区02</t>
  </si>
  <si>
    <t>松本　　龍</t>
  </si>
  <si>
    <t>263福岡1区01</t>
  </si>
  <si>
    <t>遠藤　宣彦</t>
  </si>
  <si>
    <t>263福岡1区03</t>
  </si>
  <si>
    <t>内田　　裕</t>
  </si>
  <si>
    <t>263福岡1区04</t>
  </si>
  <si>
    <t>宮崎　道秀</t>
  </si>
  <si>
    <t>264福岡2区02</t>
  </si>
  <si>
    <t>稲富　修二</t>
  </si>
  <si>
    <t>264福岡2区01</t>
  </si>
  <si>
    <t>山崎　　拓</t>
  </si>
  <si>
    <t>264福岡2区03</t>
  </si>
  <si>
    <t>小林　解子</t>
  </si>
  <si>
    <t>264福岡2区04</t>
  </si>
  <si>
    <t>佐竹　秀夫</t>
  </si>
  <si>
    <t>265福岡3区02</t>
  </si>
  <si>
    <t>藤田　一枝</t>
  </si>
  <si>
    <t>265福岡3区01</t>
  </si>
  <si>
    <t>太田　誠一</t>
  </si>
  <si>
    <t>265福岡3区03</t>
  </si>
  <si>
    <t>川原　康裕</t>
  </si>
  <si>
    <t>265福岡3区04</t>
  </si>
  <si>
    <t>吉冨　安彦</t>
  </si>
  <si>
    <t>266福岡4区02</t>
  </si>
  <si>
    <t>古賀　敬章</t>
  </si>
  <si>
    <t>266福岡4区01</t>
  </si>
  <si>
    <t>渡辺　具能</t>
  </si>
  <si>
    <t>266福岡4区03</t>
  </si>
  <si>
    <t>鈴木　幸治</t>
  </si>
  <si>
    <t>267福岡5区02</t>
  </si>
  <si>
    <t>楠田　大蔵</t>
  </si>
  <si>
    <t>267福岡5区01</t>
  </si>
  <si>
    <t>原田　義昭</t>
  </si>
  <si>
    <t>267福岡5区03</t>
  </si>
  <si>
    <t>鵤　　卓徳</t>
  </si>
  <si>
    <t>268福岡6区01</t>
  </si>
  <si>
    <t>鳩山　邦夫</t>
  </si>
  <si>
    <t>268福岡6区02</t>
  </si>
  <si>
    <t>古賀　一成</t>
  </si>
  <si>
    <t>268福岡6区03</t>
  </si>
  <si>
    <t>佐藤　　浩</t>
  </si>
  <si>
    <t>269福岡7区01</t>
  </si>
  <si>
    <t>古賀　　誠</t>
  </si>
  <si>
    <t>269福岡7区02</t>
  </si>
  <si>
    <t>野田　国義</t>
  </si>
  <si>
    <t>270福岡8区01</t>
  </si>
  <si>
    <t>麻生　太郎</t>
  </si>
  <si>
    <t>270福岡8区02</t>
  </si>
  <si>
    <t>山本　剛正</t>
  </si>
  <si>
    <t>270福岡8区03</t>
  </si>
  <si>
    <t>大塚　祐子</t>
  </si>
  <si>
    <t>271福岡9区02</t>
  </si>
  <si>
    <t>緒方　林太郎</t>
  </si>
  <si>
    <t>271福岡9区01</t>
  </si>
  <si>
    <t>三原　朝彦</t>
  </si>
  <si>
    <t>271福岡9区03</t>
  </si>
  <si>
    <t>青木　信恭</t>
  </si>
  <si>
    <t>271福岡9区04</t>
  </si>
  <si>
    <t>八野　知子</t>
  </si>
  <si>
    <t>272福岡10区02</t>
  </si>
  <si>
    <t>城井　　崇</t>
  </si>
  <si>
    <t>272福岡10区01</t>
  </si>
  <si>
    <t>西川　京子</t>
  </si>
  <si>
    <t>272福岡10区03</t>
  </si>
  <si>
    <t>篠田　　清</t>
  </si>
  <si>
    <t>272福岡10区04</t>
  </si>
  <si>
    <t>川上　憲信</t>
  </si>
  <si>
    <t>273福岡11区01</t>
  </si>
  <si>
    <t>武田　良太</t>
  </si>
  <si>
    <t>273福岡11区03</t>
  </si>
  <si>
    <t>山口　はるな</t>
  </si>
  <si>
    <t>273福岡11区02</t>
  </si>
  <si>
    <t>山下　登美子</t>
  </si>
  <si>
    <t>273福岡11区04</t>
  </si>
  <si>
    <t>小迫　日出典</t>
  </si>
  <si>
    <t>274佐賀1区02</t>
  </si>
  <si>
    <t>原口　一博</t>
  </si>
  <si>
    <t>274佐賀1区01</t>
  </si>
  <si>
    <t>福岡　資麿</t>
  </si>
  <si>
    <t>274佐賀1区03</t>
  </si>
  <si>
    <t>木場　　健</t>
  </si>
  <si>
    <t>275佐賀2区02</t>
  </si>
  <si>
    <t>大串　博志</t>
  </si>
  <si>
    <t>275佐賀2区01</t>
  </si>
  <si>
    <t>今村　雅弘</t>
  </si>
  <si>
    <t>275佐賀2区03</t>
  </si>
  <si>
    <t>牧原　正朗</t>
  </si>
  <si>
    <t>276佐賀3区01</t>
  </si>
  <si>
    <t>保利　耕輔</t>
  </si>
  <si>
    <t>276佐賀3区03</t>
  </si>
  <si>
    <t>柳瀬　映二</t>
  </si>
  <si>
    <t>276佐賀3区04</t>
  </si>
  <si>
    <t>広津　素子</t>
  </si>
  <si>
    <t>276佐賀3区02</t>
  </si>
  <si>
    <t>瀬戸　雄也</t>
  </si>
  <si>
    <t>276佐賀3区05</t>
  </si>
  <si>
    <t>橋山　穂波</t>
  </si>
  <si>
    <t>277長崎1区02</t>
  </si>
  <si>
    <t>髙木　義明</t>
  </si>
  <si>
    <t>277長崎1区01</t>
  </si>
  <si>
    <t>冨岡　　勉</t>
  </si>
  <si>
    <t>277長崎1区03</t>
  </si>
  <si>
    <t>渕瀬　栄子</t>
  </si>
  <si>
    <t>277長崎1区04</t>
  </si>
  <si>
    <t>江田　耕一</t>
  </si>
  <si>
    <t>278長崎2区02</t>
  </si>
  <si>
    <t>福田　衣里子</t>
  </si>
  <si>
    <t>278長崎2区01</t>
  </si>
  <si>
    <t>久間　章生</t>
  </si>
  <si>
    <t>278長崎2区04</t>
  </si>
  <si>
    <t>相浦　喜代子</t>
  </si>
  <si>
    <t>278長崎2区05</t>
  </si>
  <si>
    <t>山崎　寿郎</t>
  </si>
  <si>
    <t>278長崎2区03</t>
  </si>
  <si>
    <t>柴田　　愛</t>
  </si>
  <si>
    <t>279長崎3区02</t>
  </si>
  <si>
    <t>山田　正彦</t>
  </si>
  <si>
    <t>279長崎3区01</t>
  </si>
  <si>
    <t>谷川　弥一</t>
  </si>
  <si>
    <t>279長崎3区03</t>
  </si>
  <si>
    <t>山田　聖人</t>
  </si>
  <si>
    <t>280長崎4区02</t>
  </si>
  <si>
    <t>宮島　大典</t>
  </si>
  <si>
    <t>280長崎4区01</t>
  </si>
  <si>
    <t>北村　誠吾</t>
  </si>
  <si>
    <t>280長崎4区03</t>
  </si>
  <si>
    <t>山田　孝一</t>
  </si>
  <si>
    <t>281熊本1区02</t>
  </si>
  <si>
    <t>松野　頼久</t>
  </si>
  <si>
    <t>281熊本1区01</t>
  </si>
  <si>
    <t>木原　　稔</t>
  </si>
  <si>
    <t>281熊本1区03</t>
  </si>
  <si>
    <t>上野　哲夫</t>
  </si>
  <si>
    <t>281熊本1区04</t>
  </si>
  <si>
    <t>守田　隆志</t>
  </si>
  <si>
    <t>282熊本2区02</t>
  </si>
  <si>
    <t>福嶋　健一郎</t>
  </si>
  <si>
    <t>282熊本2区01</t>
  </si>
  <si>
    <t>林田　　彪</t>
  </si>
  <si>
    <t>282熊本2区03</t>
  </si>
  <si>
    <t>馬郡　賢一</t>
  </si>
  <si>
    <t>283熊本3区01</t>
  </si>
  <si>
    <t>坂本　哲志</t>
  </si>
  <si>
    <t>283熊本3区02</t>
  </si>
  <si>
    <t>後藤　英友</t>
  </si>
  <si>
    <t>283熊本3区04</t>
  </si>
  <si>
    <t>三浦　一水</t>
  </si>
  <si>
    <t>283熊本3区03</t>
  </si>
  <si>
    <t>松井　栄治</t>
  </si>
  <si>
    <t>284熊本4区01</t>
  </si>
  <si>
    <t>園田　博之</t>
  </si>
  <si>
    <t>284熊本4区02</t>
  </si>
  <si>
    <t>松永　真一</t>
  </si>
  <si>
    <t>284熊本4区03</t>
  </si>
  <si>
    <t>河野　一郎</t>
  </si>
  <si>
    <t>285熊本5区01</t>
  </si>
  <si>
    <t>金子　恭之</t>
  </si>
  <si>
    <t>285熊本5区02</t>
  </si>
  <si>
    <t>中島　隆利</t>
  </si>
  <si>
    <t>285熊本5区04</t>
  </si>
  <si>
    <t>南　　政宏</t>
  </si>
  <si>
    <t>285熊本5区03</t>
  </si>
  <si>
    <t>長友　清冨</t>
  </si>
  <si>
    <t>森海</t>
  </si>
  <si>
    <t>286大分1区02</t>
  </si>
  <si>
    <t>吉良　州司</t>
  </si>
  <si>
    <t>286大分1区01</t>
  </si>
  <si>
    <t>穴見　陽一</t>
  </si>
  <si>
    <t>286大分1区03</t>
  </si>
  <si>
    <t>山下　　魁</t>
  </si>
  <si>
    <t>286大分1区04</t>
  </si>
  <si>
    <t>高畑　タヨ子</t>
  </si>
  <si>
    <t>287大分2区02</t>
  </si>
  <si>
    <t>重野　安正</t>
  </si>
  <si>
    <t>287大分2区01</t>
  </si>
  <si>
    <t>衛藤　征士郎</t>
  </si>
  <si>
    <t>287大分2区03</t>
  </si>
  <si>
    <t>永岡　悦子</t>
  </si>
  <si>
    <t>288大分3区02</t>
  </si>
  <si>
    <t>横光　克彦</t>
  </si>
  <si>
    <t>288大分3区01</t>
  </si>
  <si>
    <t>岩屋　　毅</t>
  </si>
  <si>
    <t>288大分3区03</t>
  </si>
  <si>
    <t>利光　哲也</t>
  </si>
  <si>
    <t>289宮崎1区05</t>
  </si>
  <si>
    <t>川村　秀三郎</t>
  </si>
  <si>
    <t>民社国</t>
  </si>
  <si>
    <t>289宮崎1区03</t>
  </si>
  <si>
    <t>中山　成彬</t>
  </si>
  <si>
    <t>289宮崎1区04</t>
  </si>
  <si>
    <t>上杉　光弘</t>
  </si>
  <si>
    <t>289宮崎1区01</t>
  </si>
  <si>
    <t>馬場　洋光</t>
  </si>
  <si>
    <t>289宮崎1区02</t>
  </si>
  <si>
    <t>鶴丸　千夏</t>
  </si>
  <si>
    <t>290宮崎2区01</t>
  </si>
  <si>
    <t>江藤　　拓</t>
  </si>
  <si>
    <t>290宮崎2区02</t>
  </si>
  <si>
    <t>道休　誠一郎</t>
  </si>
  <si>
    <t>290宮崎2区04</t>
  </si>
  <si>
    <t>大原　守人</t>
  </si>
  <si>
    <t>290宮崎2区03</t>
  </si>
  <si>
    <t>嶋崎　義和</t>
  </si>
  <si>
    <t>291宮崎3区01</t>
  </si>
  <si>
    <t>古川　禎久</t>
  </si>
  <si>
    <t>291宮崎3区02</t>
  </si>
  <si>
    <t>松村　秀利</t>
  </si>
  <si>
    <t>291宮崎3区03</t>
  </si>
  <si>
    <t>松原　慎治</t>
  </si>
  <si>
    <t>292鹿児島1区02</t>
  </si>
  <si>
    <t>川内　博史</t>
  </si>
  <si>
    <t>292鹿児島1区01</t>
  </si>
  <si>
    <t>保岡　興治</t>
  </si>
  <si>
    <t>292鹿児島1区03</t>
  </si>
  <si>
    <t>山口　広延</t>
  </si>
  <si>
    <t>292鹿児島1区05</t>
  </si>
  <si>
    <t>山下　純一</t>
  </si>
  <si>
    <t>292鹿児島1区04</t>
  </si>
  <si>
    <t>川田　純一</t>
  </si>
  <si>
    <t>293鹿児島2区01</t>
  </si>
  <si>
    <t>徳田　　毅</t>
  </si>
  <si>
    <t>293鹿児島2区02</t>
  </si>
  <si>
    <t>打越　明司</t>
  </si>
  <si>
    <t>293鹿児島2区03</t>
  </si>
  <si>
    <t>神村　みふ子</t>
  </si>
  <si>
    <t>294鹿児島3区02</t>
  </si>
  <si>
    <t>松下　忠洋</t>
  </si>
  <si>
    <t>294鹿児島3区01</t>
  </si>
  <si>
    <t>宮路　和明</t>
  </si>
  <si>
    <t>294鹿児島3区03</t>
  </si>
  <si>
    <t>寺迫　好美</t>
  </si>
  <si>
    <t>295鹿児島4区01</t>
  </si>
  <si>
    <t>小里　泰弘</t>
  </si>
  <si>
    <t>295鹿児島4区02</t>
  </si>
  <si>
    <t>皆吉　稲生</t>
  </si>
  <si>
    <t>295鹿児島4区03</t>
  </si>
  <si>
    <t>樋口　信博</t>
  </si>
  <si>
    <t>296鹿児島5区01</t>
  </si>
  <si>
    <t>森山　　裕</t>
  </si>
  <si>
    <t>296鹿児島5区02</t>
  </si>
  <si>
    <t>網屋　信介</t>
  </si>
  <si>
    <t>296鹿児島5区03</t>
  </si>
  <si>
    <t>高田　浩明</t>
  </si>
  <si>
    <t>297沖縄1区03</t>
  </si>
  <si>
    <t>下地　幹郎</t>
  </si>
  <si>
    <t>297沖縄1区01</t>
  </si>
  <si>
    <t>國場　幸之助</t>
  </si>
  <si>
    <t>297沖縄1区02</t>
  </si>
  <si>
    <t>外間　久子</t>
  </si>
  <si>
    <t>297沖縄1区04</t>
  </si>
  <si>
    <t>平良　成輝</t>
  </si>
  <si>
    <t>298沖縄2区02</t>
  </si>
  <si>
    <t>照屋　寛徳</t>
  </si>
  <si>
    <t>大</t>
  </si>
  <si>
    <t>298沖縄2区01</t>
  </si>
  <si>
    <t>安次富　修</t>
  </si>
  <si>
    <t>298沖縄2区03</t>
  </si>
  <si>
    <t>富川　　昇</t>
  </si>
  <si>
    <t>299沖縄3区02</t>
  </si>
  <si>
    <t>玉城　デニー</t>
  </si>
  <si>
    <t>国大</t>
  </si>
  <si>
    <t>299沖縄3区01</t>
  </si>
  <si>
    <t>嘉数　知賢</t>
  </si>
  <si>
    <t>299沖縄3区03</t>
  </si>
  <si>
    <t>新川　秀清</t>
  </si>
  <si>
    <t>299沖縄3区05</t>
  </si>
  <si>
    <t>小渡　　亨</t>
  </si>
  <si>
    <t>299沖縄3区04</t>
  </si>
  <si>
    <t>金城　竜郎</t>
  </si>
  <si>
    <t>300沖縄4区02</t>
  </si>
  <si>
    <t>瑞慶覧　長敏</t>
  </si>
  <si>
    <t>300沖縄4区01</t>
  </si>
  <si>
    <t>西銘　恒三郎</t>
  </si>
  <si>
    <t>300沖縄4区03</t>
  </si>
  <si>
    <t>富川　満也</t>
  </si>
  <si>
    <t>当落</t>
  </si>
  <si>
    <t>順位</t>
  </si>
  <si>
    <t>獲得議席数</t>
  </si>
  <si>
    <t>301比例北海道自民12</t>
  </si>
  <si>
    <t>01北海道12</t>
  </si>
  <si>
    <t>重</t>
  </si>
  <si>
    <t>301比例北海道自民05</t>
  </si>
  <si>
    <t>01北海道05</t>
  </si>
  <si>
    <t>301比例北海道自民11</t>
  </si>
  <si>
    <t>01北海道11</t>
  </si>
  <si>
    <t>301比例北海道自民06</t>
  </si>
  <si>
    <t>01北海道06</t>
  </si>
  <si>
    <t>301比例北海道自民01</t>
  </si>
  <si>
    <t>01北海道01</t>
  </si>
  <si>
    <t>301比例北海道自民03</t>
  </si>
  <si>
    <t>01北海道03</t>
  </si>
  <si>
    <t>301比例北海道自民02</t>
  </si>
  <si>
    <t>01北海道02</t>
  </si>
  <si>
    <t>301比例北海道自民10</t>
  </si>
  <si>
    <t>01北海道10</t>
  </si>
  <si>
    <t>301比例北海道自民04</t>
  </si>
  <si>
    <t>01北海道04</t>
  </si>
  <si>
    <t>301比例北海道自民09</t>
  </si>
  <si>
    <t>01北海道09</t>
  </si>
  <si>
    <t>301比例北海道自民08</t>
  </si>
  <si>
    <t>01北海道08</t>
  </si>
  <si>
    <t>301比例北海道自民13</t>
  </si>
  <si>
    <t>単独</t>
  </si>
  <si>
    <t>穴田　貴洋</t>
  </si>
  <si>
    <t>301比例北海道自民14</t>
  </si>
  <si>
    <t>沼沢　真也</t>
  </si>
  <si>
    <t>301比例北海道自民15</t>
  </si>
  <si>
    <t>上地　史隆</t>
  </si>
  <si>
    <t>301比例北海道自民07</t>
  </si>
  <si>
    <t>小当</t>
  </si>
  <si>
    <t>01北海道07</t>
  </si>
  <si>
    <t>302比例北海道民主07</t>
  </si>
  <si>
    <t>302比例北海道民主12</t>
  </si>
  <si>
    <t>山崎　摩耶</t>
  </si>
  <si>
    <t>302比例北海道民主13</t>
  </si>
  <si>
    <t>山岡　達丸</t>
  </si>
  <si>
    <t>302比例北海道民主14</t>
  </si>
  <si>
    <t>工藤　仁美</t>
  </si>
  <si>
    <t>302比例北海道民主15</t>
  </si>
  <si>
    <t>関藤　政則</t>
  </si>
  <si>
    <t>302比例北海道民主01</t>
  </si>
  <si>
    <t>302比例北海道民主02</t>
  </si>
  <si>
    <t>302比例北海道民主03</t>
  </si>
  <si>
    <t>302比例北海道民主04</t>
  </si>
  <si>
    <t>302比例北海道民主05</t>
  </si>
  <si>
    <t>302比例北海道民主06</t>
  </si>
  <si>
    <t>302比例北海道民主08</t>
  </si>
  <si>
    <t>302比例北海道民主09</t>
  </si>
  <si>
    <t>302比例北海道民主10</t>
  </si>
  <si>
    <t>302比例北海道民主11</t>
  </si>
  <si>
    <t>303比例北海道公明01</t>
  </si>
  <si>
    <t>稲津　　久</t>
  </si>
  <si>
    <t>303比例北海道公明02</t>
  </si>
  <si>
    <t>武田　久之</t>
  </si>
  <si>
    <t>304比例北海道共産01</t>
  </si>
  <si>
    <t>宮内　　聡</t>
  </si>
  <si>
    <t>304比例北海道共産02</t>
  </si>
  <si>
    <t>304比例北海道共産03</t>
  </si>
  <si>
    <t>304比例北海道共産04</t>
  </si>
  <si>
    <t>304比例北海道共産05</t>
  </si>
  <si>
    <t>305比例北海道社民01</t>
  </si>
  <si>
    <t>山口　たか</t>
  </si>
  <si>
    <t>305比例北海道社民02</t>
  </si>
  <si>
    <t>306比例北海道大地01</t>
  </si>
  <si>
    <t>鈴木　宗男</t>
  </si>
  <si>
    <t>大地</t>
  </si>
  <si>
    <t>306比例北海道大地02</t>
  </si>
  <si>
    <t>八代　英太</t>
  </si>
  <si>
    <t>306比例北海道大地03</t>
  </si>
  <si>
    <t>浅野　貴博</t>
  </si>
  <si>
    <t>306比例北海道大地04</t>
  </si>
  <si>
    <t>町川　順子</t>
  </si>
  <si>
    <t>307比例北海道幸福01</t>
  </si>
  <si>
    <t>佐藤　直史</t>
  </si>
  <si>
    <t>307比例北海道幸福02</t>
  </si>
  <si>
    <t>小林　智雄</t>
  </si>
  <si>
    <t>308比例北海道本質01</t>
  </si>
  <si>
    <t>佐野　秀光</t>
  </si>
  <si>
    <t>本質</t>
  </si>
  <si>
    <t>308比例北海道本質02</t>
  </si>
  <si>
    <t>本藤　昭子</t>
  </si>
  <si>
    <t>311比例東北自民01</t>
  </si>
  <si>
    <t>07福島03</t>
  </si>
  <si>
    <t>311比例東北自民02</t>
  </si>
  <si>
    <t>秋葉　賢也</t>
  </si>
  <si>
    <t>311比例東北自民19</t>
  </si>
  <si>
    <t>06山形01</t>
  </si>
  <si>
    <t>311比例東北自民17</t>
  </si>
  <si>
    <t>05秋田02</t>
  </si>
  <si>
    <t>311比例東北自民18</t>
  </si>
  <si>
    <t>05秋田03</t>
  </si>
  <si>
    <t>311比例東北自民22</t>
  </si>
  <si>
    <t>07福島01</t>
  </si>
  <si>
    <t>311比例東北自民23</t>
  </si>
  <si>
    <t>07福島02</t>
  </si>
  <si>
    <t>311比例東北自民07</t>
  </si>
  <si>
    <t>03岩手02</t>
  </si>
  <si>
    <t>311比例東北自民12</t>
  </si>
  <si>
    <t>04宮城03</t>
  </si>
  <si>
    <t>311比例東北自民13</t>
  </si>
  <si>
    <t>04宮城04</t>
  </si>
  <si>
    <t>311比例東北自民14</t>
  </si>
  <si>
    <t>04宮城05</t>
  </si>
  <si>
    <t>311比例東北自民16</t>
  </si>
  <si>
    <t>05秋田01</t>
  </si>
  <si>
    <t>311比例東北自民25</t>
  </si>
  <si>
    <t>07福島05</t>
  </si>
  <si>
    <t>311比例東北自民11</t>
  </si>
  <si>
    <t>04宮城02</t>
  </si>
  <si>
    <t>311比例東北自民10</t>
  </si>
  <si>
    <t>04宮城01</t>
  </si>
  <si>
    <t>311比例東北自民24</t>
  </si>
  <si>
    <t>07福島04</t>
  </si>
  <si>
    <t>311比例東北自民20</t>
  </si>
  <si>
    <t>06山形02</t>
  </si>
  <si>
    <t>311比例東北自民08</t>
  </si>
  <si>
    <t>03岩手03</t>
  </si>
  <si>
    <t>311比例東北自民06</t>
  </si>
  <si>
    <t>03岩手01</t>
  </si>
  <si>
    <t>311比例東北自民09</t>
  </si>
  <si>
    <t>03岩手04</t>
  </si>
  <si>
    <t>311比例東北自民26</t>
  </si>
  <si>
    <t>近江屋　信広</t>
  </si>
  <si>
    <t>311比例東北自民27</t>
  </si>
  <si>
    <t>長岡　重代</t>
  </si>
  <si>
    <t>311比例東北自民28</t>
  </si>
  <si>
    <t>佐藤　久孝</t>
  </si>
  <si>
    <t>311比例東北自民03</t>
  </si>
  <si>
    <t>02青森02</t>
  </si>
  <si>
    <t>311比例東北自民04</t>
  </si>
  <si>
    <t>02青森03</t>
  </si>
  <si>
    <t>311比例東北自民05</t>
  </si>
  <si>
    <t>02青森04</t>
  </si>
  <si>
    <t>311比例東北自民15</t>
  </si>
  <si>
    <t>04宮城06</t>
  </si>
  <si>
    <t>311比例東北自民21</t>
  </si>
  <si>
    <t>06山形03</t>
  </si>
  <si>
    <t>312比例東北民主03</t>
  </si>
  <si>
    <t>312比例東北民主04</t>
  </si>
  <si>
    <t>312比例東北民主02</t>
  </si>
  <si>
    <t>312比例東北民主22</t>
  </si>
  <si>
    <t>和嶋　未希</t>
  </si>
  <si>
    <t>312比例東北民主23</t>
  </si>
  <si>
    <t>高松　和夫</t>
  </si>
  <si>
    <t>312比例東北民主24</t>
  </si>
  <si>
    <t>菊池　長右エ門</t>
  </si>
  <si>
    <t>312比例東北民主25</t>
  </si>
  <si>
    <t>山口　和之</t>
  </si>
  <si>
    <t>312比例東北民主26</t>
  </si>
  <si>
    <t>川口　民一</t>
  </si>
  <si>
    <t>312比例東北民主27</t>
  </si>
  <si>
    <t>渡部　一夫</t>
  </si>
  <si>
    <t>312比例東北民主28</t>
  </si>
  <si>
    <t>鈴木　　久</t>
  </si>
  <si>
    <t>312比例東北民主01</t>
  </si>
  <si>
    <t>02青森01</t>
  </si>
  <si>
    <t>312比例東北民主05</t>
  </si>
  <si>
    <t>312比例東北民主06</t>
  </si>
  <si>
    <t>312比例東北民主07</t>
  </si>
  <si>
    <t>312比例東北民主08</t>
  </si>
  <si>
    <t>312比例東北民主09</t>
  </si>
  <si>
    <t>312比例東北民主10</t>
  </si>
  <si>
    <t>312比例東北民主11</t>
  </si>
  <si>
    <t>312比例東北民主12</t>
  </si>
  <si>
    <t>312比例東北民主13</t>
  </si>
  <si>
    <t>312比例東北民主14</t>
  </si>
  <si>
    <t>312比例東北民主15</t>
  </si>
  <si>
    <t>312比例東北民主16</t>
  </si>
  <si>
    <t>312比例東北民主17</t>
  </si>
  <si>
    <t>312比例東北民主18</t>
  </si>
  <si>
    <t>312比例東北民主19</t>
  </si>
  <si>
    <t>312比例東北民主20</t>
  </si>
  <si>
    <t>312比例東北民主21</t>
  </si>
  <si>
    <t>313比例東北公明01</t>
  </si>
  <si>
    <t>井上　義久</t>
  </si>
  <si>
    <t>313比例東北公明02</t>
  </si>
  <si>
    <t>若松　謙維</t>
  </si>
  <si>
    <t>313比例東北公明03</t>
  </si>
  <si>
    <t>川又　哲也</t>
  </si>
  <si>
    <t>314比例東北共産01</t>
  </si>
  <si>
    <t>高橋　千鶴子</t>
  </si>
  <si>
    <t>314比例東北共産02</t>
  </si>
  <si>
    <t>宮本　しづえ</t>
  </si>
  <si>
    <t>314比例東北共産06</t>
  </si>
  <si>
    <t>314比例東北共産05</t>
  </si>
  <si>
    <t>314比例東北共産03</t>
  </si>
  <si>
    <t>314比例東北共産04</t>
  </si>
  <si>
    <t>314比例東北共産07</t>
  </si>
  <si>
    <t>315比例東北社民06</t>
  </si>
  <si>
    <t>315比例東北社民04</t>
  </si>
  <si>
    <t>315比例東北社民05</t>
  </si>
  <si>
    <t>315比例東北社民03</t>
  </si>
  <si>
    <t>315比例東北社民01</t>
  </si>
  <si>
    <t>315比例東北社民02</t>
  </si>
  <si>
    <t>316比例東北みんな02</t>
  </si>
  <si>
    <t>316比例東北みんな01</t>
  </si>
  <si>
    <t>317比例東北幸福01</t>
  </si>
  <si>
    <t>松島　弘典</t>
  </si>
  <si>
    <t>317比例東北幸福02</t>
  </si>
  <si>
    <t>上条　幸哉</t>
  </si>
  <si>
    <t>317比例東北幸福03</t>
  </si>
  <si>
    <t>秋元　眞樹</t>
  </si>
  <si>
    <t>321比例北関東自民01</t>
  </si>
  <si>
    <t>佐田　玄一郎</t>
  </si>
  <si>
    <t>321比例北関東自民03</t>
  </si>
  <si>
    <t>08茨城02</t>
  </si>
  <si>
    <t>321比例北関東自民08</t>
  </si>
  <si>
    <t>08茨城07</t>
  </si>
  <si>
    <t>321比例北関東自民15</t>
  </si>
  <si>
    <t>11埼玉02</t>
  </si>
  <si>
    <t>321比例北関東自民20</t>
  </si>
  <si>
    <t>11埼玉08</t>
  </si>
  <si>
    <t>321比例北関東自民11</t>
  </si>
  <si>
    <t>09栃木04</t>
  </si>
  <si>
    <t>321比例北関東自民07</t>
  </si>
  <si>
    <t>08茨城06</t>
  </si>
  <si>
    <t>321比例北関東自民22</t>
  </si>
  <si>
    <t>11埼玉10</t>
  </si>
  <si>
    <t>321比例北関東自民09</t>
  </si>
  <si>
    <t>09栃木01</t>
  </si>
  <si>
    <t>321比例北関東自民21</t>
  </si>
  <si>
    <t>11埼玉09</t>
  </si>
  <si>
    <t>321比例北関東自民24</t>
  </si>
  <si>
    <t>11埼玉12</t>
  </si>
  <si>
    <t>321比例北関東自民27</t>
  </si>
  <si>
    <t>11埼玉15</t>
  </si>
  <si>
    <t>321比例北関東自民04</t>
  </si>
  <si>
    <t>08茨城03</t>
  </si>
  <si>
    <t>321比例北関東自民25</t>
  </si>
  <si>
    <t>11埼玉13</t>
  </si>
  <si>
    <t>321比例北関東自民26</t>
  </si>
  <si>
    <t>11埼玉14</t>
  </si>
  <si>
    <t>321比例北関東自民18</t>
  </si>
  <si>
    <t>11埼玉05</t>
  </si>
  <si>
    <t>321比例北関東自民17</t>
  </si>
  <si>
    <t>11埼玉04</t>
  </si>
  <si>
    <t>321比例北関東自民16</t>
  </si>
  <si>
    <t>11埼玉03</t>
  </si>
  <si>
    <t>321比例北関東自民02</t>
  </si>
  <si>
    <t>08茨城01</t>
  </si>
  <si>
    <t>321比例北関東自民06</t>
  </si>
  <si>
    <t>08茨城05</t>
  </si>
  <si>
    <t>321比例北関東自民10</t>
  </si>
  <si>
    <t>09栃木02</t>
  </si>
  <si>
    <t>321比例北関東自民14</t>
  </si>
  <si>
    <t>11埼玉01</t>
  </si>
  <si>
    <t>321比例北関東自民19</t>
  </si>
  <si>
    <t>11埼玉06</t>
  </si>
  <si>
    <t>321比例北関東自民23</t>
  </si>
  <si>
    <t>11埼玉11</t>
  </si>
  <si>
    <t>321比例北関東自民28</t>
  </si>
  <si>
    <t>並木　正芳</t>
  </si>
  <si>
    <t>321比例北関東自民29</t>
  </si>
  <si>
    <t>大高　松男</t>
  </si>
  <si>
    <t>321比例北関東自民05</t>
  </si>
  <si>
    <t>08茨城04</t>
  </si>
  <si>
    <t>321比例北関東自民12</t>
  </si>
  <si>
    <t>09栃木05</t>
  </si>
  <si>
    <t>321比例北関東自民13</t>
  </si>
  <si>
    <t>10群馬05</t>
  </si>
  <si>
    <t>322比例北関東民主04</t>
  </si>
  <si>
    <t>322比例北関東民主11</t>
  </si>
  <si>
    <t>322比例北関東民主15</t>
  </si>
  <si>
    <t>10群馬04</t>
  </si>
  <si>
    <t>322比例北関東民主07</t>
  </si>
  <si>
    <t>322比例北関東民主30</t>
  </si>
  <si>
    <t>川口　　浩</t>
  </si>
  <si>
    <t>322比例北関東民主31</t>
  </si>
  <si>
    <t>石井　　章</t>
  </si>
  <si>
    <t>322比例北関東民主32</t>
  </si>
  <si>
    <t>野木　　実</t>
  </si>
  <si>
    <t>322比例北関東民主33</t>
  </si>
  <si>
    <t>中島　政希</t>
  </si>
  <si>
    <t>322比例北関東民主34</t>
  </si>
  <si>
    <t>桑原　　功</t>
  </si>
  <si>
    <t>322比例北関東民主35</t>
  </si>
  <si>
    <t>玉木　朝子</t>
  </si>
  <si>
    <t>322比例北関東民主36</t>
  </si>
  <si>
    <t>多田　直弘</t>
  </si>
  <si>
    <t>322比例北関東民主01</t>
  </si>
  <si>
    <t>322比例北関東民主02</t>
  </si>
  <si>
    <t>322比例北関東民主03</t>
  </si>
  <si>
    <t>322比例北関東民主05</t>
  </si>
  <si>
    <t>322比例北関東民主06</t>
  </si>
  <si>
    <t>322比例北関東民主08</t>
  </si>
  <si>
    <t>322比例北関東民主09</t>
  </si>
  <si>
    <t>322比例北関東民主10</t>
  </si>
  <si>
    <t>322比例北関東民主12</t>
  </si>
  <si>
    <t>10群馬01</t>
  </si>
  <si>
    <t>322比例北関東民主13</t>
  </si>
  <si>
    <t>10群馬02</t>
  </si>
  <si>
    <t>322比例北関東民主14</t>
  </si>
  <si>
    <t>10群馬03</t>
  </si>
  <si>
    <t>322比例北関東民主16</t>
  </si>
  <si>
    <t>322比例北関東民主17</t>
  </si>
  <si>
    <t>322比例北関東民主18</t>
  </si>
  <si>
    <t>322比例北関東民主19</t>
  </si>
  <si>
    <t>322比例北関東民主20</t>
  </si>
  <si>
    <t>322比例北関東民主21</t>
  </si>
  <si>
    <t>322比例北関東民主22</t>
  </si>
  <si>
    <t>11埼玉07</t>
  </si>
  <si>
    <t>322比例北関東民主23</t>
  </si>
  <si>
    <t>322比例北関東民主24</t>
  </si>
  <si>
    <t>322比例北関東民主25</t>
  </si>
  <si>
    <t>322比例北関東民主26</t>
  </si>
  <si>
    <t>322比例北関東民主27</t>
  </si>
  <si>
    <t>322比例北関東民主28</t>
  </si>
  <si>
    <t>322比例北関東民主29</t>
  </si>
  <si>
    <t>323比例北関東公明01</t>
  </si>
  <si>
    <t>石井　啓一</t>
  </si>
  <si>
    <t>323比例北関東公明02</t>
  </si>
  <si>
    <t>遠藤　乙彦</t>
  </si>
  <si>
    <t>323比例北関東公明03</t>
  </si>
  <si>
    <t>長沢　広明</t>
  </si>
  <si>
    <t>323比例北関東公明04</t>
  </si>
  <si>
    <t>高橋　次郎</t>
  </si>
  <si>
    <t>324比例北関東共産01</t>
  </si>
  <si>
    <t>324比例北関東共産02</t>
  </si>
  <si>
    <t>綾部　澄子</t>
  </si>
  <si>
    <t>324比例北関東共産07</t>
  </si>
  <si>
    <t>324比例北関東共産08</t>
  </si>
  <si>
    <t>片山　和子</t>
  </si>
  <si>
    <t>324比例北関東共産06</t>
  </si>
  <si>
    <t>324比例北関東共産05</t>
  </si>
  <si>
    <t>324比例北関東共産03</t>
  </si>
  <si>
    <t>324比例北関東共産04</t>
  </si>
  <si>
    <t>325比例北関東社民01</t>
  </si>
  <si>
    <t>325比例北関東社民03</t>
  </si>
  <si>
    <t>松澤　悦子</t>
  </si>
  <si>
    <t>325比例北関東社民02</t>
  </si>
  <si>
    <t>326比例北関東国民01</t>
  </si>
  <si>
    <t>中村　公一</t>
  </si>
  <si>
    <t>327比例北関東みんな02</t>
  </si>
  <si>
    <t>山内　康一</t>
  </si>
  <si>
    <t>327比例北関東みんな01</t>
  </si>
  <si>
    <t>09栃木03</t>
  </si>
  <si>
    <t>328比例北関東日本01</t>
  </si>
  <si>
    <t>金谷　重男</t>
  </si>
  <si>
    <t>329比例北関東幸福01</t>
  </si>
  <si>
    <t>石川　悦男</t>
  </si>
  <si>
    <t>329比例北関東幸福02</t>
  </si>
  <si>
    <t>新井　　明</t>
  </si>
  <si>
    <t>329比例北関東幸福03</t>
  </si>
  <si>
    <t>緑川　風子</t>
  </si>
  <si>
    <t>329比例北関東幸福04</t>
  </si>
  <si>
    <t>堀内　尚人</t>
  </si>
  <si>
    <t>331比例南関東自民24</t>
  </si>
  <si>
    <t>13神奈川13</t>
  </si>
  <si>
    <t>331比例南関東自民10</t>
  </si>
  <si>
    <t>12千葉10</t>
  </si>
  <si>
    <t>331比例南関東自民14</t>
  </si>
  <si>
    <t>13神奈川01</t>
  </si>
  <si>
    <t>331比例南関東自民07</t>
  </si>
  <si>
    <t>12千葉07</t>
  </si>
  <si>
    <t>331比例南関東自民22</t>
  </si>
  <si>
    <t>13神奈川10</t>
  </si>
  <si>
    <t>331比例南関東自民03</t>
  </si>
  <si>
    <t>12千葉03</t>
  </si>
  <si>
    <t>331比例南関東自民28</t>
  </si>
  <si>
    <t>13神奈川17</t>
  </si>
  <si>
    <t>331比例南関東自民29</t>
  </si>
  <si>
    <t>13神奈川18</t>
  </si>
  <si>
    <t>331比例南関東自民18</t>
  </si>
  <si>
    <t>13神奈川05</t>
  </si>
  <si>
    <t>331比例南関東自民09</t>
  </si>
  <si>
    <t>12千葉09</t>
  </si>
  <si>
    <t>331比例南関東自民17</t>
  </si>
  <si>
    <t>13神奈川04</t>
  </si>
  <si>
    <t>331比例南関東自民16</t>
  </si>
  <si>
    <t>13神奈川03</t>
  </si>
  <si>
    <t>331比例南関東自民19</t>
  </si>
  <si>
    <t>13神奈川07</t>
  </si>
  <si>
    <t>331比例南関東自民08</t>
  </si>
  <si>
    <t>12千葉08</t>
  </si>
  <si>
    <t>331比例南関東自民13</t>
  </si>
  <si>
    <t>12千葉13</t>
  </si>
  <si>
    <t>331比例南関東自民27</t>
  </si>
  <si>
    <t>13神奈川16</t>
  </si>
  <si>
    <t>331比例南関東自民06</t>
  </si>
  <si>
    <t>12千葉06</t>
  </si>
  <si>
    <t>331比例南関東自民01</t>
  </si>
  <si>
    <t>12千葉01</t>
  </si>
  <si>
    <t>331比例南関東自民25</t>
  </si>
  <si>
    <t>13神奈川14</t>
  </si>
  <si>
    <t>331比例南関東自民05</t>
  </si>
  <si>
    <t>12千葉05</t>
  </si>
  <si>
    <t>331比例南関東自民23</t>
  </si>
  <si>
    <t>13神奈川12</t>
  </si>
  <si>
    <t>331比例南関東自民02</t>
  </si>
  <si>
    <t>12千葉02</t>
  </si>
  <si>
    <t>331比例南関東自民31</t>
  </si>
  <si>
    <t>18山梨03</t>
  </si>
  <si>
    <t>331比例南関東自民04</t>
  </si>
  <si>
    <t>12千葉04</t>
  </si>
  <si>
    <t>331比例南関東自民30</t>
  </si>
  <si>
    <t>18山梨01</t>
  </si>
  <si>
    <t>331比例南関東自民20</t>
  </si>
  <si>
    <t>13神奈川08</t>
  </si>
  <si>
    <t>331比例南関東自民21</t>
  </si>
  <si>
    <t>13神奈川09</t>
  </si>
  <si>
    <t>331比例南関東自民32</t>
  </si>
  <si>
    <t>江崎　洋一郎</t>
  </si>
  <si>
    <t>331比例南関東自民33</t>
  </si>
  <si>
    <t>浮島　敏男</t>
  </si>
  <si>
    <t>331比例南関東自民34</t>
  </si>
  <si>
    <t>佐々木　誠一</t>
  </si>
  <si>
    <t>331比例南関東自民35</t>
  </si>
  <si>
    <t>本間　一裕</t>
  </si>
  <si>
    <t>331比例南関東自民11</t>
  </si>
  <si>
    <t>12千葉11</t>
  </si>
  <si>
    <t>331比例南関東自民12</t>
  </si>
  <si>
    <t>12千葉12</t>
  </si>
  <si>
    <t>331比例南関東自民15</t>
  </si>
  <si>
    <t>13神奈川02</t>
  </si>
  <si>
    <t>331比例南関東自民26</t>
  </si>
  <si>
    <t>13神奈川15</t>
  </si>
  <si>
    <t>332比例南関東民主15</t>
  </si>
  <si>
    <t>332比例南関東民主11</t>
  </si>
  <si>
    <t>332比例南関東民主12</t>
  </si>
  <si>
    <t>332比例南関東民主28</t>
  </si>
  <si>
    <t>332比例南関東民主24</t>
  </si>
  <si>
    <t>13神奈川11</t>
  </si>
  <si>
    <t>332比例南関東民主21</t>
  </si>
  <si>
    <t>332比例南関東民主35</t>
  </si>
  <si>
    <t>藤井　裕久</t>
  </si>
  <si>
    <t>332比例南関東民主36</t>
  </si>
  <si>
    <t>水野　智彦</t>
  </si>
  <si>
    <t>332比例南関東民主37</t>
  </si>
  <si>
    <t>石田　三示</t>
  </si>
  <si>
    <t>332比例南関東民主38</t>
  </si>
  <si>
    <t>齋藤　　勁</t>
  </si>
  <si>
    <t>332比例南関東民主39</t>
  </si>
  <si>
    <t>相原　史乃</t>
  </si>
  <si>
    <t>332比例南関東民主40</t>
  </si>
  <si>
    <t>浜口　健司</t>
  </si>
  <si>
    <t>332比例南関東民主41</t>
  </si>
  <si>
    <t>榎本　和孝</t>
  </si>
  <si>
    <t>332比例南関東民主42</t>
  </si>
  <si>
    <t>園田　昭夫</t>
  </si>
  <si>
    <t>332比例南関東民主01</t>
  </si>
  <si>
    <t>332比例南関東民主02</t>
  </si>
  <si>
    <t>332比例南関東民主03</t>
  </si>
  <si>
    <t>332比例南関東民主04</t>
  </si>
  <si>
    <t>332比例南関東民主05</t>
  </si>
  <si>
    <t>332比例南関東民主06</t>
  </si>
  <si>
    <t>332比例南関東民主07</t>
  </si>
  <si>
    <t>332比例南関東民主08</t>
  </si>
  <si>
    <t>332比例南関東民主09</t>
  </si>
  <si>
    <t>332比例南関東民主10</t>
  </si>
  <si>
    <t>332比例南関東民主13</t>
  </si>
  <si>
    <t>332比例南関東民主14</t>
  </si>
  <si>
    <t>332比例南関東民主16</t>
  </si>
  <si>
    <t>332比例南関東民主17</t>
  </si>
  <si>
    <t>332比例南関東民主18</t>
  </si>
  <si>
    <t>332比例南関東民主19</t>
  </si>
  <si>
    <t>13神奈川06</t>
  </si>
  <si>
    <t>332比例南関東民主20</t>
  </si>
  <si>
    <t>332比例南関東民主22</t>
  </si>
  <si>
    <t>332比例南関東民主23</t>
  </si>
  <si>
    <t>332比例南関東民主25</t>
  </si>
  <si>
    <t>332比例南関東民主26</t>
  </si>
  <si>
    <t>332比例南関東民主27</t>
  </si>
  <si>
    <t>332比例南関東民主29</t>
  </si>
  <si>
    <t>332比例南関東民主30</t>
  </si>
  <si>
    <t>332比例南関東民主31</t>
  </si>
  <si>
    <t>332比例南関東民主32</t>
  </si>
  <si>
    <t>14山梨01</t>
  </si>
  <si>
    <t>332比例南関東民主33</t>
  </si>
  <si>
    <t>14山梨02</t>
  </si>
  <si>
    <t>332比例南関東民主34</t>
  </si>
  <si>
    <t>14山梨03</t>
  </si>
  <si>
    <t>333比例南関東公明01</t>
  </si>
  <si>
    <t>富田　茂之</t>
  </si>
  <si>
    <t>333比例南関東公明02</t>
  </si>
  <si>
    <t>古屋　範子</t>
  </si>
  <si>
    <t>333比例南関東公明03</t>
  </si>
  <si>
    <t>谷口　和史</t>
  </si>
  <si>
    <t>333比例南関東公明04</t>
  </si>
  <si>
    <t>川浪　　隆</t>
  </si>
  <si>
    <t>333比例南関東公明05</t>
  </si>
  <si>
    <t>久保田　雅昭</t>
  </si>
  <si>
    <t>334比例南関東共産01</t>
  </si>
  <si>
    <t>志位　和夫</t>
  </si>
  <si>
    <t>334比例南関東共産02</t>
  </si>
  <si>
    <t>畑野　君枝</t>
  </si>
  <si>
    <t>334比例南関東共産08</t>
  </si>
  <si>
    <t>334比例南関東共産07</t>
  </si>
  <si>
    <t>334比例南関東共産06</t>
  </si>
  <si>
    <t>334比例南関東共産09</t>
  </si>
  <si>
    <t>334比例南関東共産03</t>
  </si>
  <si>
    <t>334比例南関東共産04</t>
  </si>
  <si>
    <t>334比例南関東共産05</t>
  </si>
  <si>
    <t>334比例南関東共産10</t>
  </si>
  <si>
    <t>335比例南関東社民02</t>
  </si>
  <si>
    <t>335比例南関東社民03</t>
  </si>
  <si>
    <t>村上　克子</t>
  </si>
  <si>
    <t>335比例南関東社民01</t>
  </si>
  <si>
    <t>336比例南関東国民01</t>
  </si>
  <si>
    <t>市川　智志</t>
  </si>
  <si>
    <t>337比例南関東みんな01</t>
  </si>
  <si>
    <t>337比例南関東みんな04</t>
  </si>
  <si>
    <t>337比例南関東みんな03</t>
  </si>
  <si>
    <t>337比例南関東みんな06</t>
  </si>
  <si>
    <t>337比例南関東みんな05</t>
  </si>
  <si>
    <t>337比例南関東みんな02</t>
  </si>
  <si>
    <t>338比例南関東日本01</t>
  </si>
  <si>
    <t>河野　敏久</t>
  </si>
  <si>
    <t>339比例南関東幸福01</t>
  </si>
  <si>
    <t>黒川　白雲</t>
  </si>
  <si>
    <t>339比例南関東幸福02</t>
  </si>
  <si>
    <t>志波　光晴</t>
  </si>
  <si>
    <t>339比例南関東幸福03</t>
  </si>
  <si>
    <t>市川　茂浩</t>
  </si>
  <si>
    <t>339比例南関東幸福04</t>
  </si>
  <si>
    <t>山本　　崇</t>
  </si>
  <si>
    <t>339比例南関東幸福05</t>
  </si>
  <si>
    <t>千葉　伸二</t>
  </si>
  <si>
    <t>341比例東京自民11</t>
  </si>
  <si>
    <t>15東京13</t>
  </si>
  <si>
    <t>341比例東京自民03</t>
  </si>
  <si>
    <t>15東京04</t>
  </si>
  <si>
    <t>341比例東京自民01</t>
  </si>
  <si>
    <t>15東京01</t>
  </si>
  <si>
    <t>341比例東京自民09</t>
  </si>
  <si>
    <t>15東京10</t>
  </si>
  <si>
    <t>341比例東京自民08</t>
  </si>
  <si>
    <t>15東京09</t>
  </si>
  <si>
    <t>341比例東京自民12</t>
  </si>
  <si>
    <t>15東京14</t>
  </si>
  <si>
    <t>341比例東京自民21</t>
  </si>
  <si>
    <t>15東京24</t>
  </si>
  <si>
    <t>341比例東京自民04</t>
  </si>
  <si>
    <t>15東京05</t>
  </si>
  <si>
    <t>341比例東京自民13</t>
  </si>
  <si>
    <t>15東京15</t>
  </si>
  <si>
    <t>341比例東京自民19</t>
  </si>
  <si>
    <t>15東京22</t>
  </si>
  <si>
    <t>341比例東京自民02</t>
  </si>
  <si>
    <t>15東京03</t>
  </si>
  <si>
    <t>341比例東京自民17</t>
  </si>
  <si>
    <t>15東京20</t>
  </si>
  <si>
    <t>341比例東京自民20</t>
  </si>
  <si>
    <t>15東京23</t>
  </si>
  <si>
    <t>341比例東京自民16</t>
  </si>
  <si>
    <t>15東京19</t>
  </si>
  <si>
    <t>341比例東京自民05</t>
  </si>
  <si>
    <t>15東京06</t>
  </si>
  <si>
    <t>341比例東京自民18</t>
  </si>
  <si>
    <t>15東京21</t>
  </si>
  <si>
    <t>341比例東京自民15</t>
  </si>
  <si>
    <t>15東京18</t>
  </si>
  <si>
    <t>341比例東京自民06</t>
  </si>
  <si>
    <t>15東京07</t>
  </si>
  <si>
    <t>341比例東京自民23</t>
  </si>
  <si>
    <t>若宮　健嗣</t>
  </si>
  <si>
    <t>341比例東京自民24</t>
  </si>
  <si>
    <t>安井　潤一郎</t>
  </si>
  <si>
    <t>341比例東京自民25</t>
  </si>
  <si>
    <t>愛知　和男</t>
  </si>
  <si>
    <t>341比例東京自民26</t>
  </si>
  <si>
    <t>國安　正昭</t>
  </si>
  <si>
    <t>341比例東京自民27</t>
  </si>
  <si>
    <t>大西　英男</t>
  </si>
  <si>
    <t>341比例東京自民28</t>
  </si>
  <si>
    <t>石田　計夫</t>
  </si>
  <si>
    <t>341比例東京自民07</t>
  </si>
  <si>
    <t>15東京08</t>
  </si>
  <si>
    <t>341比例東京自民10</t>
  </si>
  <si>
    <t>15東京11</t>
  </si>
  <si>
    <t>341比例東京自民14</t>
  </si>
  <si>
    <t>15東京17</t>
  </si>
  <si>
    <t>341比例東京自民22</t>
  </si>
  <si>
    <t>15東京25</t>
  </si>
  <si>
    <t>342比例東京民主15</t>
  </si>
  <si>
    <t>342比例東京民主23</t>
  </si>
  <si>
    <t>竹田　光明</t>
  </si>
  <si>
    <t>342比例東京民主24</t>
  </si>
  <si>
    <t>石毛　鍈子</t>
  </si>
  <si>
    <t>342比例東京民主25</t>
  </si>
  <si>
    <t>小林　興起</t>
  </si>
  <si>
    <t>342比例東京民主26</t>
  </si>
  <si>
    <t>342比例東京民主27</t>
  </si>
  <si>
    <t>川島　智太郎</t>
  </si>
  <si>
    <t>342比例東京民主28</t>
  </si>
  <si>
    <t>中津川　博郷</t>
  </si>
  <si>
    <t>342比例東京民主29</t>
  </si>
  <si>
    <t>渡辺　浩一郎</t>
  </si>
  <si>
    <t>342比例東京民主30</t>
  </si>
  <si>
    <t>篠原　滋子</t>
  </si>
  <si>
    <t>342比例東京民主01</t>
  </si>
  <si>
    <t>342比例東京民主02</t>
  </si>
  <si>
    <t>15東京02</t>
  </si>
  <si>
    <t>342比例東京民主03</t>
  </si>
  <si>
    <t>342比例東京民主04</t>
  </si>
  <si>
    <t>342比例東京民主05</t>
  </si>
  <si>
    <t>342比例東京民主06</t>
  </si>
  <si>
    <t>342比例東京民主07</t>
  </si>
  <si>
    <t>342比例東京民主08</t>
  </si>
  <si>
    <t>342比例東京民主09</t>
  </si>
  <si>
    <t>342比例東京民主10</t>
  </si>
  <si>
    <t>15東京12</t>
  </si>
  <si>
    <t>342比例東京民主11</t>
  </si>
  <si>
    <t>342比例東京民主12</t>
  </si>
  <si>
    <t>342比例東京民主13</t>
  </si>
  <si>
    <t>342比例東京民主14</t>
  </si>
  <si>
    <t>15東京16</t>
  </si>
  <si>
    <t>342比例東京民主16</t>
  </si>
  <si>
    <t>342比例東京民主17</t>
  </si>
  <si>
    <t>342比例東京民主18</t>
  </si>
  <si>
    <t>342比例東京民主19</t>
  </si>
  <si>
    <t>342比例東京民主20</t>
  </si>
  <si>
    <t>342比例東京民主21</t>
  </si>
  <si>
    <t>342比例東京民主22</t>
  </si>
  <si>
    <t>343比例東京公明01</t>
  </si>
  <si>
    <t>高木　陽介</t>
  </si>
  <si>
    <t>343比例東京公明02</t>
  </si>
  <si>
    <t>高木　美智代</t>
  </si>
  <si>
    <t>343比例東京公明03</t>
  </si>
  <si>
    <t>吉田　富雄</t>
  </si>
  <si>
    <t>343比例東京公明04</t>
  </si>
  <si>
    <t>遠藤　五十六</t>
  </si>
  <si>
    <t>344比例東京共産01</t>
  </si>
  <si>
    <t>笠井　　亮</t>
  </si>
  <si>
    <t>344比例東京共産02</t>
  </si>
  <si>
    <t>谷川　智行</t>
  </si>
  <si>
    <t>344比例東京共産03</t>
  </si>
  <si>
    <t>344比例東京共産04</t>
  </si>
  <si>
    <t>345比例東京社民01</t>
  </si>
  <si>
    <t>345比例東京社民02</t>
  </si>
  <si>
    <t>池田　一慶</t>
  </si>
  <si>
    <t>346比例東京国民01</t>
  </si>
  <si>
    <t>中村　慶一郎</t>
  </si>
  <si>
    <t>346比例東京国民02</t>
  </si>
  <si>
    <t>347比例東京みんな01</t>
  </si>
  <si>
    <t>348比例東京日本01</t>
  </si>
  <si>
    <t>348比例東京日本02</t>
  </si>
  <si>
    <t>後藤　雄一</t>
  </si>
  <si>
    <t>349比例東京幸福01</t>
  </si>
  <si>
    <t>本地川　瑞祥</t>
  </si>
  <si>
    <t>349比例東京幸福02</t>
  </si>
  <si>
    <t>中松　義郎</t>
  </si>
  <si>
    <t>349比例東京幸福03</t>
  </si>
  <si>
    <t>河口　純之助</t>
  </si>
  <si>
    <t>349比例東京幸福04</t>
  </si>
  <si>
    <t>さとう　ふみや</t>
  </si>
  <si>
    <t>349比例東京幸福05</t>
  </si>
  <si>
    <t>齋藤　忠彦</t>
  </si>
  <si>
    <t>349比例東京幸福06</t>
  </si>
  <si>
    <t>城取　孝司</t>
  </si>
  <si>
    <t>349比例東京幸福07</t>
  </si>
  <si>
    <t>饗庭　直道</t>
  </si>
  <si>
    <t>351比例北陸信越自民01</t>
  </si>
  <si>
    <t>長島　忠美</t>
  </si>
  <si>
    <t>351比例北陸信越自民13</t>
  </si>
  <si>
    <t>18石川03</t>
  </si>
  <si>
    <t>351比例北陸信越自民11</t>
  </si>
  <si>
    <t>18石川01</t>
  </si>
  <si>
    <t>351比例北陸信越自民08</t>
  </si>
  <si>
    <t>17富山01</t>
  </si>
  <si>
    <t>351比例北陸信越自民21</t>
  </si>
  <si>
    <t>20長野05</t>
  </si>
  <si>
    <t>351比例北陸信越自民06</t>
  </si>
  <si>
    <t>16新潟05</t>
  </si>
  <si>
    <t>351比例北陸信越自民19</t>
  </si>
  <si>
    <t>20長野03</t>
  </si>
  <si>
    <t>351比例北陸信越自民17</t>
  </si>
  <si>
    <t>20長野01</t>
  </si>
  <si>
    <t>351比例北陸信越自民07</t>
  </si>
  <si>
    <t>16新潟06</t>
  </si>
  <si>
    <t>351比例北陸信越自民03</t>
  </si>
  <si>
    <t>16新潟02</t>
  </si>
  <si>
    <t>351比例北陸信越自民20</t>
  </si>
  <si>
    <t>20長野04</t>
  </si>
  <si>
    <t>351比例北陸信越自民05</t>
  </si>
  <si>
    <t>16新潟04</t>
  </si>
  <si>
    <t>351比例北陸信越自民02</t>
  </si>
  <si>
    <t>16新潟01</t>
  </si>
  <si>
    <t>351比例北陸信越自民18</t>
  </si>
  <si>
    <t>20長野02</t>
  </si>
  <si>
    <t>351比例北陸信越自民04</t>
  </si>
  <si>
    <t>16新潟03</t>
  </si>
  <si>
    <t>351比例北陸信越自民09</t>
  </si>
  <si>
    <t>17富山02</t>
  </si>
  <si>
    <t>351比例北陸信越自民10</t>
  </si>
  <si>
    <t>17富山03</t>
  </si>
  <si>
    <t>351比例北陸信越自民12</t>
  </si>
  <si>
    <t>18石川02</t>
  </si>
  <si>
    <t>351比例北陸信越自民14</t>
  </si>
  <si>
    <t>19福井01</t>
  </si>
  <si>
    <t>351比例北陸信越自民15</t>
  </si>
  <si>
    <t>19福井02</t>
  </si>
  <si>
    <t>351比例北陸信越自民16</t>
  </si>
  <si>
    <t>19福井03</t>
  </si>
  <si>
    <t>352比例北陸信越民主11</t>
  </si>
  <si>
    <t>352比例北陸信越民主08</t>
  </si>
  <si>
    <t>352比例北陸信越民主12</t>
  </si>
  <si>
    <t>352比例北陸信越民主10</t>
  </si>
  <si>
    <t>352比例北陸信越民主18</t>
  </si>
  <si>
    <t>沓掛　哲男</t>
  </si>
  <si>
    <t>352比例北陸信越民主19</t>
  </si>
  <si>
    <t>若泉　征三</t>
  </si>
  <si>
    <t>352比例北陸信越民主20</t>
  </si>
  <si>
    <t>三浦　茂樹</t>
  </si>
  <si>
    <t>352比例北陸信越民主21</t>
  </si>
  <si>
    <t>武居　博明</t>
  </si>
  <si>
    <t>352比例北陸信越民主01</t>
  </si>
  <si>
    <t>352比例北陸信越民主02</t>
  </si>
  <si>
    <t>352比例北陸信越民主03</t>
  </si>
  <si>
    <t>352比例北陸信越民主04</t>
  </si>
  <si>
    <t>352比例北陸信越民主05</t>
  </si>
  <si>
    <t>352比例北陸信越民主06</t>
  </si>
  <si>
    <t>352比例北陸信越民主07</t>
  </si>
  <si>
    <t>352比例北陸信越民主09</t>
  </si>
  <si>
    <t>352比例北陸信越民主13</t>
  </si>
  <si>
    <t>352比例北陸信越民主14</t>
  </si>
  <si>
    <t>352比例北陸信越民主15</t>
  </si>
  <si>
    <t>352比例北陸信越民主16</t>
  </si>
  <si>
    <t>352比例北陸信越民主17</t>
  </si>
  <si>
    <t>353比例北陸信越公明01</t>
  </si>
  <si>
    <t>漆原　良夫</t>
  </si>
  <si>
    <t>353比例北陸信越公明02</t>
  </si>
  <si>
    <t>田島　公一</t>
  </si>
  <si>
    <t>354比例北陸信越共産02</t>
  </si>
  <si>
    <t>中野　早苗</t>
  </si>
  <si>
    <t>354比例北陸信越共産01</t>
  </si>
  <si>
    <t>354比例北陸信越共産03</t>
  </si>
  <si>
    <t>354比例北陸信越共産06</t>
  </si>
  <si>
    <t>354比例北陸信越共産05</t>
  </si>
  <si>
    <t>354比例北陸信越共産04</t>
  </si>
  <si>
    <t>355比例北陸信越社民03</t>
  </si>
  <si>
    <t>355比例北陸信越社民01</t>
  </si>
  <si>
    <t>355比例北陸信越社民02</t>
  </si>
  <si>
    <t>355比例北陸信越社民05</t>
  </si>
  <si>
    <t>355比例北陸信越社民04</t>
  </si>
  <si>
    <t>356比例北陸信越国民01</t>
  </si>
  <si>
    <t>綿貫　民輔</t>
  </si>
  <si>
    <t>356比例北陸信越国民02</t>
  </si>
  <si>
    <t>反り目　弘國</t>
  </si>
  <si>
    <t>357比例北陸信越日本01</t>
  </si>
  <si>
    <t>小林　峰一</t>
  </si>
  <si>
    <t>358比例北陸信越幸福01</t>
  </si>
  <si>
    <t>一倉　洋一</t>
  </si>
  <si>
    <t>358比例北陸信越幸福02</t>
  </si>
  <si>
    <t>三浦　義弘</t>
  </si>
  <si>
    <t>358比例北陸信越幸福03</t>
  </si>
  <si>
    <t>三上　　誠</t>
  </si>
  <si>
    <t>358比例北陸信越幸福04</t>
  </si>
  <si>
    <t>加藤　仁康</t>
  </si>
  <si>
    <t>361比例東海自民29</t>
  </si>
  <si>
    <t>24三重04</t>
  </si>
  <si>
    <t>361比例東海自民12</t>
  </si>
  <si>
    <t>22静岡08</t>
  </si>
  <si>
    <t>361比例東海自民01</t>
  </si>
  <si>
    <t>21岐阜01</t>
  </si>
  <si>
    <t>361比例東海自民05</t>
  </si>
  <si>
    <t>21岐阜05</t>
  </si>
  <si>
    <t>361比例東海自民23</t>
  </si>
  <si>
    <t>23愛知13</t>
  </si>
  <si>
    <t>361比例東海自民26</t>
  </si>
  <si>
    <t>24三重01</t>
  </si>
  <si>
    <t>361比例東海自民08</t>
  </si>
  <si>
    <t>22静岡04</t>
  </si>
  <si>
    <t>361比例東海自民06</t>
  </si>
  <si>
    <t>22静岡01</t>
  </si>
  <si>
    <t>361比例東海自民25</t>
  </si>
  <si>
    <t>23愛知15</t>
  </si>
  <si>
    <t>361比例東海自民03</t>
  </si>
  <si>
    <t>21岐阜03</t>
  </si>
  <si>
    <t>361比例東海自民07</t>
  </si>
  <si>
    <t>22静岡02</t>
  </si>
  <si>
    <t>361比例東海自民09</t>
  </si>
  <si>
    <t>22静岡05</t>
  </si>
  <si>
    <t>361比例東海自民13</t>
  </si>
  <si>
    <t>23愛知01</t>
  </si>
  <si>
    <t>361比例東海自民20</t>
  </si>
  <si>
    <t>23愛知08</t>
  </si>
  <si>
    <t>361比例東海自民18</t>
  </si>
  <si>
    <t>23愛知06</t>
  </si>
  <si>
    <t>361比例東海自民24</t>
  </si>
  <si>
    <t>23愛知14</t>
  </si>
  <si>
    <t>361比例東海自民21</t>
  </si>
  <si>
    <t>23愛知10</t>
  </si>
  <si>
    <t>361比例東海自民19</t>
  </si>
  <si>
    <t>23愛知07</t>
  </si>
  <si>
    <t>361比例東海自民17</t>
  </si>
  <si>
    <t>23愛知05</t>
  </si>
  <si>
    <t>361比例東海自民27</t>
  </si>
  <si>
    <t>24三重02</t>
  </si>
  <si>
    <t>361比例東海自民22</t>
  </si>
  <si>
    <t>23愛知11</t>
  </si>
  <si>
    <t>361比例東海自民16</t>
  </si>
  <si>
    <t>23愛知04</t>
  </si>
  <si>
    <t>361比例東海自民10</t>
  </si>
  <si>
    <t>22静岡06</t>
  </si>
  <si>
    <t>361比例東海自民15</t>
  </si>
  <si>
    <t>23愛知03</t>
  </si>
  <si>
    <t>361比例東海自民11</t>
  </si>
  <si>
    <t>22静岡07</t>
  </si>
  <si>
    <t>361比例東海自民28</t>
  </si>
  <si>
    <t>24三重03</t>
  </si>
  <si>
    <t>361比例東海自民14</t>
  </si>
  <si>
    <t>23愛知02</t>
  </si>
  <si>
    <t>361比例東海自民02</t>
  </si>
  <si>
    <t>21岐阜02</t>
  </si>
  <si>
    <t>361比例東海自民04</t>
  </si>
  <si>
    <t>21岐阜04</t>
  </si>
  <si>
    <t>362比例東海民主33</t>
  </si>
  <si>
    <t>24三重05</t>
  </si>
  <si>
    <t>362比例東海民主04</t>
  </si>
  <si>
    <t>362比例東海民主02</t>
  </si>
  <si>
    <t>362比例東海民主12</t>
  </si>
  <si>
    <t>362比例東海民主34</t>
  </si>
  <si>
    <t>笠原　多見子</t>
  </si>
  <si>
    <t>362比例東海民主35</t>
  </si>
  <si>
    <t>金森　　正</t>
  </si>
  <si>
    <t>362比例東海民主36</t>
  </si>
  <si>
    <t>山田　良司</t>
  </si>
  <si>
    <t>362比例東海民主37</t>
  </si>
  <si>
    <t>吉田　統彦</t>
  </si>
  <si>
    <t>362比例東海民主38</t>
  </si>
  <si>
    <t>三輪　信昭</t>
  </si>
  <si>
    <t>362比例東海民主39</t>
  </si>
  <si>
    <t>小林　正枝</t>
  </si>
  <si>
    <t>362比例東海民主40</t>
  </si>
  <si>
    <t>大山　昌宏</t>
  </si>
  <si>
    <t>362比例東海民主41</t>
  </si>
  <si>
    <t>磯谷　香代子</t>
  </si>
  <si>
    <t>362比例東海民主01</t>
  </si>
  <si>
    <t>362比例東海民主03</t>
  </si>
  <si>
    <t>362比例東海民主05</t>
  </si>
  <si>
    <t>362比例東海民主06</t>
  </si>
  <si>
    <t>362比例東海民主07</t>
  </si>
  <si>
    <t>362比例東海民主08</t>
  </si>
  <si>
    <t>22静岡03</t>
  </si>
  <si>
    <t>362比例東海民主09</t>
  </si>
  <si>
    <t>362比例東海民主10</t>
  </si>
  <si>
    <t>362比例東海民主11</t>
  </si>
  <si>
    <t>362比例東海民主13</t>
  </si>
  <si>
    <t>362比例東海民主14</t>
  </si>
  <si>
    <t>362比例東海民主15</t>
  </si>
  <si>
    <t>362比例東海民主16</t>
  </si>
  <si>
    <t>362比例東海民主17</t>
  </si>
  <si>
    <t>362比例東海民主18</t>
  </si>
  <si>
    <t>362比例東海民主19</t>
  </si>
  <si>
    <t>362比例東海民主20</t>
  </si>
  <si>
    <t>362比例東海民主21</t>
  </si>
  <si>
    <t>362比例東海民主22</t>
  </si>
  <si>
    <t>23愛知09</t>
  </si>
  <si>
    <t>362比例東海民主23</t>
  </si>
  <si>
    <t>362比例東海民主24</t>
  </si>
  <si>
    <t>362比例東海民主25</t>
  </si>
  <si>
    <t>23愛知12</t>
  </si>
  <si>
    <t>362比例東海民主26</t>
  </si>
  <si>
    <t>362比例東海民主27</t>
  </si>
  <si>
    <t>362比例東海民主28</t>
  </si>
  <si>
    <t>362比例東海民主29</t>
  </si>
  <si>
    <t>362比例東海民主30</t>
  </si>
  <si>
    <t>362比例東海民主31</t>
  </si>
  <si>
    <t>362比例東海民主32</t>
  </si>
  <si>
    <t>363比例東海公明01</t>
  </si>
  <si>
    <t>坂口　　力</t>
  </si>
  <si>
    <t>363比例東海公明02</t>
  </si>
  <si>
    <t>大口　善徳</t>
  </si>
  <si>
    <t>363比例東海公明03</t>
  </si>
  <si>
    <t>伊藤　　渉</t>
  </si>
  <si>
    <t>363比例東海公明04</t>
  </si>
  <si>
    <t>水野　吉近</t>
  </si>
  <si>
    <t>363比例東海公明05</t>
  </si>
  <si>
    <t>国森　光信</t>
  </si>
  <si>
    <t>364比例東海共産01</t>
  </si>
  <si>
    <t>佐々木　憲昭</t>
  </si>
  <si>
    <t>364比例東海共産02</t>
  </si>
  <si>
    <t>364比例東海共産07</t>
  </si>
  <si>
    <t>河江　明美</t>
  </si>
  <si>
    <t>364比例東海共産03</t>
  </si>
  <si>
    <t>364比例東海共産05</t>
  </si>
  <si>
    <t>364比例東海共産04</t>
  </si>
  <si>
    <t>364比例東海共産06</t>
  </si>
  <si>
    <t>365比例東海社民02</t>
  </si>
  <si>
    <t>坂　喜代子</t>
  </si>
  <si>
    <t>365比例東海社民01</t>
  </si>
  <si>
    <t>366比例東海国民01</t>
  </si>
  <si>
    <t>青山　　丘</t>
  </si>
  <si>
    <t>366比例東海国民02</t>
  </si>
  <si>
    <t>稲村　公望</t>
  </si>
  <si>
    <t>367比例東海みんな01</t>
  </si>
  <si>
    <t>368比例東海日本01</t>
  </si>
  <si>
    <t>桑原　耕司</t>
  </si>
  <si>
    <t>369比例東海幸福01</t>
  </si>
  <si>
    <t>小林　早賢</t>
  </si>
  <si>
    <t>369比例東海幸福02</t>
  </si>
  <si>
    <t>堀田　利恵</t>
  </si>
  <si>
    <t>369比例東海幸福03</t>
  </si>
  <si>
    <t>安宅　正行</t>
  </si>
  <si>
    <t>369比例東海幸福04</t>
  </si>
  <si>
    <t>山本　純子</t>
  </si>
  <si>
    <t>369比例東海幸福05</t>
  </si>
  <si>
    <t>近藤　海城</t>
  </si>
  <si>
    <t>371比例近畿自民01</t>
  </si>
  <si>
    <t>近藤　三津枝</t>
  </si>
  <si>
    <t>371比例近畿自民02</t>
  </si>
  <si>
    <t>柳本　卓治</t>
  </si>
  <si>
    <t>371比例近畿自民37</t>
  </si>
  <si>
    <t>29奈良02</t>
  </si>
  <si>
    <t>371比例近畿自民24</t>
  </si>
  <si>
    <t>27大阪15</t>
  </si>
  <si>
    <t>371比例近畿自民41</t>
  </si>
  <si>
    <t>30和歌山02</t>
  </si>
  <si>
    <t>371比例近畿自民19</t>
  </si>
  <si>
    <t>27大阪10</t>
  </si>
  <si>
    <t>371比例近畿自民07</t>
  </si>
  <si>
    <t>26京都01</t>
  </si>
  <si>
    <t>371比例近畿自民29</t>
  </si>
  <si>
    <t>28兵庫05</t>
  </si>
  <si>
    <t>371比例近畿自民23</t>
  </si>
  <si>
    <t>27大阪14</t>
  </si>
  <si>
    <t>371比例近畿自民35</t>
  </si>
  <si>
    <t>28兵庫12</t>
  </si>
  <si>
    <t>371比例近畿自民03</t>
  </si>
  <si>
    <t>25滋賀01</t>
  </si>
  <si>
    <t>371比例近畿自民15</t>
  </si>
  <si>
    <t>27大阪04</t>
  </si>
  <si>
    <t>371比例近畿自民25</t>
  </si>
  <si>
    <t>27大阪17</t>
  </si>
  <si>
    <t>371比例近畿自民33</t>
  </si>
  <si>
    <t>28兵庫10</t>
  </si>
  <si>
    <t>371比例近畿自民21</t>
  </si>
  <si>
    <t>27大阪12</t>
  </si>
  <si>
    <t>371比例近畿自民38</t>
  </si>
  <si>
    <t>29奈良03</t>
  </si>
  <si>
    <t>371比例近畿自民17</t>
  </si>
  <si>
    <t>27大阪08</t>
  </si>
  <si>
    <t>371比例近畿自民13</t>
  </si>
  <si>
    <t>27大阪01</t>
  </si>
  <si>
    <t>371比例近畿自民27</t>
  </si>
  <si>
    <t>28兵庫01</t>
  </si>
  <si>
    <t>371比例近畿自民28</t>
  </si>
  <si>
    <t>28兵庫03</t>
  </si>
  <si>
    <t>371比例近畿自民18</t>
  </si>
  <si>
    <t>27大阪09</t>
  </si>
  <si>
    <t>371比例近畿自民26</t>
  </si>
  <si>
    <t>27大阪19</t>
  </si>
  <si>
    <t>371比例近畿自民16</t>
  </si>
  <si>
    <t>27大阪07</t>
  </si>
  <si>
    <t>371比例近畿自民04</t>
  </si>
  <si>
    <t>25滋賀02</t>
  </si>
  <si>
    <t>371比例近畿自民30</t>
  </si>
  <si>
    <t>28兵庫06</t>
  </si>
  <si>
    <t>371比例近畿自民40</t>
  </si>
  <si>
    <t>30和歌山01</t>
  </si>
  <si>
    <t>371比例近畿自民34</t>
  </si>
  <si>
    <t>28兵庫11</t>
  </si>
  <si>
    <t>371比例近畿自民09</t>
  </si>
  <si>
    <t>26京都03</t>
  </si>
  <si>
    <t>371比例近畿自民06</t>
  </si>
  <si>
    <t>25滋賀04</t>
  </si>
  <si>
    <t>371比例近畿自民05</t>
  </si>
  <si>
    <t>25滋賀03</t>
  </si>
  <si>
    <t>371比例近畿自民12</t>
  </si>
  <si>
    <t>26京都06</t>
  </si>
  <si>
    <t>371比例近畿自民31</t>
  </si>
  <si>
    <t>28兵庫07</t>
  </si>
  <si>
    <t>371比例近畿自民36</t>
  </si>
  <si>
    <t>29奈良01</t>
  </si>
  <si>
    <t>371比例近畿自民20</t>
  </si>
  <si>
    <t>27大阪11</t>
  </si>
  <si>
    <t>371比例近畿自民08</t>
  </si>
  <si>
    <t>26京都02</t>
  </si>
  <si>
    <t>371比例近畿自民14</t>
  </si>
  <si>
    <t>27大阪02</t>
  </si>
  <si>
    <t>371比例近畿自民10</t>
  </si>
  <si>
    <t>26京都04</t>
  </si>
  <si>
    <t>371比例近畿自民43</t>
  </si>
  <si>
    <t>泉原　保二</t>
  </si>
  <si>
    <t>371比例近畿自民44</t>
  </si>
  <si>
    <t>矢野　隆司</t>
  </si>
  <si>
    <t>371比例近畿自民45</t>
  </si>
  <si>
    <t>稲垣　克彦</t>
  </si>
  <si>
    <t>371比例近畿自民11</t>
  </si>
  <si>
    <t>26京都05</t>
  </si>
  <si>
    <t>371比例近畿自民22</t>
  </si>
  <si>
    <t>27大阪13</t>
  </si>
  <si>
    <t>371比例近畿自民32</t>
  </si>
  <si>
    <t>28兵庫09</t>
  </si>
  <si>
    <t>371比例近畿自民39</t>
  </si>
  <si>
    <t>29奈良04</t>
  </si>
  <si>
    <t>371比例近畿自民42</t>
  </si>
  <si>
    <t>30和歌山03</t>
  </si>
  <si>
    <t>372比例近畿民主41</t>
  </si>
  <si>
    <t>372比例近畿民主09</t>
  </si>
  <si>
    <t>372比例近畿民主44</t>
  </si>
  <si>
    <t>372比例近畿民主45</t>
  </si>
  <si>
    <t>室井　秀子</t>
  </si>
  <si>
    <t>372比例近畿民主46</t>
  </si>
  <si>
    <t>熊谷　貞俊</t>
  </si>
  <si>
    <t>372比例近畿民主47</t>
  </si>
  <si>
    <t>浜本　　宏</t>
  </si>
  <si>
    <t>372比例近畿民主48</t>
  </si>
  <si>
    <t>渡辺　義彦</t>
  </si>
  <si>
    <t>372比例近畿民主49</t>
  </si>
  <si>
    <t>河上　満栄</t>
  </si>
  <si>
    <t>372比例近畿民主50</t>
  </si>
  <si>
    <t>松岡　広隆</t>
  </si>
  <si>
    <t>372比例近畿民主51</t>
  </si>
  <si>
    <t>豊田　潤多郎</t>
  </si>
  <si>
    <t>372比例近畿民主52</t>
  </si>
  <si>
    <t>樋口　俊一</t>
  </si>
  <si>
    <t>372比例近畿民主01</t>
  </si>
  <si>
    <t>372比例近畿民主02</t>
  </si>
  <si>
    <t>372比例近畿民主03</t>
  </si>
  <si>
    <t>372比例近畿民主04</t>
  </si>
  <si>
    <t>372比例近畿民主05</t>
  </si>
  <si>
    <t>372比例近畿民主06</t>
  </si>
  <si>
    <t>372比例近畿民主07</t>
  </si>
  <si>
    <t>372比例近畿民主08</t>
  </si>
  <si>
    <t>372比例近畿民主10</t>
  </si>
  <si>
    <t>372比例近畿民主11</t>
  </si>
  <si>
    <t>372比例近畿民主12</t>
  </si>
  <si>
    <t>372比例近畿民主13</t>
  </si>
  <si>
    <t>27大阪03</t>
  </si>
  <si>
    <t>372比例近畿民主14</t>
  </si>
  <si>
    <t>372比例近畿民主15</t>
  </si>
  <si>
    <t>27大阪05</t>
  </si>
  <si>
    <t>372比例近畿民主16</t>
  </si>
  <si>
    <t>27大阪06</t>
  </si>
  <si>
    <t>372比例近畿民主17</t>
  </si>
  <si>
    <t>372比例近畿民主18</t>
  </si>
  <si>
    <t>372比例近畿民主19</t>
  </si>
  <si>
    <t>372比例近畿民主20</t>
  </si>
  <si>
    <t>372比例近畿民主21</t>
  </si>
  <si>
    <t>372比例近畿民主22</t>
  </si>
  <si>
    <t>372比例近畿民主23</t>
  </si>
  <si>
    <t>372比例近畿民主24</t>
  </si>
  <si>
    <t>27大阪16</t>
  </si>
  <si>
    <t>372比例近畿民主25</t>
  </si>
  <si>
    <t>372比例近畿民主26</t>
  </si>
  <si>
    <t>27大阪18</t>
  </si>
  <si>
    <t>372比例近畿民主27</t>
  </si>
  <si>
    <t>372比例近畿民主28</t>
  </si>
  <si>
    <t>372比例近畿民主29</t>
  </si>
  <si>
    <t>28兵庫02</t>
  </si>
  <si>
    <t>372比例近畿民主30</t>
  </si>
  <si>
    <t>372比例近畿民主31</t>
  </si>
  <si>
    <t>28兵庫04</t>
  </si>
  <si>
    <t>372比例近畿民主32</t>
  </si>
  <si>
    <t>372比例近畿民主33</t>
  </si>
  <si>
    <t>372比例近畿民主34</t>
  </si>
  <si>
    <t>372比例近畿民主35</t>
  </si>
  <si>
    <t>372比例近畿民主36</t>
  </si>
  <si>
    <t>372比例近畿民主37</t>
  </si>
  <si>
    <t>372比例近畿民主38</t>
  </si>
  <si>
    <t>372比例近畿民主39</t>
  </si>
  <si>
    <t>372比例近畿民主40</t>
  </si>
  <si>
    <t>372比例近畿民主42</t>
  </si>
  <si>
    <t>372比例近畿民主43</t>
  </si>
  <si>
    <t>373比例近畿公明01</t>
  </si>
  <si>
    <t>池坊　保子</t>
  </si>
  <si>
    <t>373比例近畿公明02</t>
  </si>
  <si>
    <t>西　　博義</t>
  </si>
  <si>
    <t>373比例近畿公明03</t>
  </si>
  <si>
    <t>佐藤　茂樹</t>
  </si>
  <si>
    <t>373比例近畿公明04</t>
  </si>
  <si>
    <t>竹内　　譲</t>
  </si>
  <si>
    <t>373比例近畿公明05</t>
  </si>
  <si>
    <t>赤松　正雄</t>
  </si>
  <si>
    <t>373比例近畿公明06</t>
  </si>
  <si>
    <t>崎山　光友</t>
  </si>
  <si>
    <t>373比例近畿公明07</t>
  </si>
  <si>
    <t>佐伯　民江</t>
  </si>
  <si>
    <t>374比例近畿共産01</t>
  </si>
  <si>
    <t>374比例近畿共産02</t>
  </si>
  <si>
    <t>374比例近畿共産03</t>
  </si>
  <si>
    <t>宮本　岳志</t>
  </si>
  <si>
    <t>374比例近畿共産04</t>
  </si>
  <si>
    <t>瀬戸　恵子</t>
  </si>
  <si>
    <t>374比例近畿共産06</t>
  </si>
  <si>
    <t>374比例近畿共産07</t>
  </si>
  <si>
    <t>374比例近畿共産09</t>
  </si>
  <si>
    <t>374比例近畿共産08</t>
  </si>
  <si>
    <t>374比例近畿共産05</t>
  </si>
  <si>
    <t>374比例近畿共産10</t>
  </si>
  <si>
    <t>375比例近畿社民04</t>
  </si>
  <si>
    <t>服部　良一</t>
  </si>
  <si>
    <t>375比例近畿社民03</t>
  </si>
  <si>
    <t>28兵庫08</t>
  </si>
  <si>
    <t>375比例近畿社民01</t>
  </si>
  <si>
    <t>375比例近畿社民02</t>
  </si>
  <si>
    <t>376比例近畿国民01</t>
  </si>
  <si>
    <t>376比例近畿国民02</t>
  </si>
  <si>
    <t>377比例近畿みんな01</t>
  </si>
  <si>
    <t>378比例近畿改革01</t>
  </si>
  <si>
    <t>379比例近畿日本02</t>
  </si>
  <si>
    <t>今本　博健</t>
  </si>
  <si>
    <t>379比例近畿日本01</t>
  </si>
  <si>
    <t>380比例近畿幸福01</t>
  </si>
  <si>
    <t>大川　隆法</t>
  </si>
  <si>
    <t>380比例近畿幸福02</t>
  </si>
  <si>
    <t>林　　雅敏</t>
  </si>
  <si>
    <t>380比例近畿幸福03</t>
  </si>
  <si>
    <t>西川　栄司</t>
  </si>
  <si>
    <t>380比例近畿幸福04</t>
  </si>
  <si>
    <t>中村　恭代</t>
  </si>
  <si>
    <t>380比例近畿幸福05</t>
  </si>
  <si>
    <t>久保　方洋</t>
  </si>
  <si>
    <t>380比例近畿幸福06</t>
  </si>
  <si>
    <t>野口　典良</t>
  </si>
  <si>
    <t>380比例近畿幸福07</t>
  </si>
  <si>
    <t>福島　いづみ</t>
  </si>
  <si>
    <t>381比例中国自民01</t>
  </si>
  <si>
    <t>33岡山03</t>
  </si>
  <si>
    <t>381比例中国自民02</t>
  </si>
  <si>
    <t>村田　吉隆</t>
  </si>
  <si>
    <t>381比例中国自民03</t>
  </si>
  <si>
    <t>河井　克行</t>
  </si>
  <si>
    <t>381比例中国自民15</t>
  </si>
  <si>
    <t>34広島04</t>
  </si>
  <si>
    <t>381比例中国自民16</t>
  </si>
  <si>
    <t>34広島05</t>
  </si>
  <si>
    <t>381比例中国自民20</t>
  </si>
  <si>
    <t>35山口02</t>
  </si>
  <si>
    <t>381比例中国自民18</t>
  </si>
  <si>
    <t>34広島07</t>
  </si>
  <si>
    <t>381比例中国自民13</t>
  </si>
  <si>
    <t>34広島02</t>
  </si>
  <si>
    <t>381比例中国自民10</t>
  </si>
  <si>
    <t>33岡山04</t>
  </si>
  <si>
    <t>381比例中国自民14</t>
  </si>
  <si>
    <t>34広島03</t>
  </si>
  <si>
    <t>381比例中国自民09</t>
  </si>
  <si>
    <t>33岡山02</t>
  </si>
  <si>
    <t>381比例中国自民17</t>
  </si>
  <si>
    <t>34広島06</t>
  </si>
  <si>
    <t>381比例中国自民23</t>
  </si>
  <si>
    <t>桧田　　仁</t>
  </si>
  <si>
    <t>381比例中国自民24</t>
  </si>
  <si>
    <t>宇田川　隆久</t>
  </si>
  <si>
    <t>381比例中国自民25</t>
  </si>
  <si>
    <t>吉田　竜之</t>
  </si>
  <si>
    <t>381比例中国自民04</t>
  </si>
  <si>
    <t>31鳥取01</t>
  </si>
  <si>
    <t>381比例中国自民05</t>
  </si>
  <si>
    <t>31鳥取02</t>
  </si>
  <si>
    <t>381比例中国自民06</t>
  </si>
  <si>
    <t>32島根01</t>
  </si>
  <si>
    <t>381比例中国自民07</t>
  </si>
  <si>
    <t>32島根02</t>
  </si>
  <si>
    <t>381比例中国自民08</t>
  </si>
  <si>
    <t>33岡山01</t>
  </si>
  <si>
    <t>381比例中国自民11</t>
  </si>
  <si>
    <t>33岡山05</t>
  </si>
  <si>
    <t>381比例中国自民12</t>
  </si>
  <si>
    <t>34広島01</t>
  </si>
  <si>
    <t>381比例中国自民19</t>
  </si>
  <si>
    <t>35山口01</t>
  </si>
  <si>
    <t>381比例中国自民21</t>
  </si>
  <si>
    <t>35山口03</t>
  </si>
  <si>
    <t>381比例中国自民22</t>
  </si>
  <si>
    <t>35山口04</t>
  </si>
  <si>
    <t>382比例中国民主02</t>
  </si>
  <si>
    <t>382比例中国民主04</t>
  </si>
  <si>
    <t>382比例中国民主09</t>
  </si>
  <si>
    <t>382比例中国民主08</t>
  </si>
  <si>
    <t>382比例中国民主15</t>
  </si>
  <si>
    <t>382比例中国民主03</t>
  </si>
  <si>
    <t>382比例中国民主17</t>
  </si>
  <si>
    <t>382比例中国民主06</t>
  </si>
  <si>
    <t>382比例中国民主01</t>
  </si>
  <si>
    <t>382比例中国民主18</t>
  </si>
  <si>
    <t>382比例中国民主19</t>
  </si>
  <si>
    <t>瀧本　　実</t>
  </si>
  <si>
    <t>382比例中国民主05</t>
  </si>
  <si>
    <t>382比例中国民主07</t>
  </si>
  <si>
    <t>382比例中国民主10</t>
  </si>
  <si>
    <t>382比例中国民主11</t>
  </si>
  <si>
    <t>382比例中国民主12</t>
  </si>
  <si>
    <t>382比例中国民主13</t>
  </si>
  <si>
    <t>382比例中国民主14</t>
  </si>
  <si>
    <t>382比例中国民主16</t>
  </si>
  <si>
    <t>383比例中国公明01</t>
  </si>
  <si>
    <t>斉藤　鉄夫</t>
  </si>
  <si>
    <t>383比例中国公明02</t>
  </si>
  <si>
    <t>桝屋　敬悟</t>
  </si>
  <si>
    <t>383比例中国公明03</t>
  </si>
  <si>
    <t>笹井　茂智</t>
  </si>
  <si>
    <t>384比例中国共産01</t>
  </si>
  <si>
    <t>中林　佳子</t>
  </si>
  <si>
    <t>384比例中国共産07</t>
  </si>
  <si>
    <t>石村　智子</t>
  </si>
  <si>
    <t>384比例中国共産05</t>
  </si>
  <si>
    <t>384比例中国共産04</t>
  </si>
  <si>
    <t>384比例中国共産03</t>
  </si>
  <si>
    <t>384比例中国共産06</t>
  </si>
  <si>
    <t>384比例中国共産02</t>
  </si>
  <si>
    <t>385比例中国社民01</t>
  </si>
  <si>
    <t>386比例中国国民01</t>
  </si>
  <si>
    <t>386比例中国国民04</t>
  </si>
  <si>
    <t>山田　　隆</t>
  </si>
  <si>
    <t>386比例中国国民02</t>
  </si>
  <si>
    <t>386比例中国国民03</t>
  </si>
  <si>
    <t>387比例中国幸福01</t>
  </si>
  <si>
    <t>西原　忠弘</t>
  </si>
  <si>
    <t>387比例中国幸福02</t>
  </si>
  <si>
    <t>丹羽　孝行</t>
  </si>
  <si>
    <t>387比例中国幸福03</t>
  </si>
  <si>
    <t>三浦　俊男</t>
  </si>
  <si>
    <t>391比例四国自民04</t>
  </si>
  <si>
    <t>37香川01</t>
  </si>
  <si>
    <t>391比例四国自民02</t>
  </si>
  <si>
    <t>36徳島02</t>
  </si>
  <si>
    <t>391比例四国自民08</t>
  </si>
  <si>
    <t>38愛媛03</t>
  </si>
  <si>
    <t>391比例四国自民05</t>
  </si>
  <si>
    <t>37香川02</t>
  </si>
  <si>
    <t>391比例四国自民01</t>
  </si>
  <si>
    <t>36徳島01</t>
  </si>
  <si>
    <t>391比例四国自民13</t>
  </si>
  <si>
    <t>七条　　明</t>
  </si>
  <si>
    <t>391比例四国自民14</t>
  </si>
  <si>
    <t>西本　勝子</t>
  </si>
  <si>
    <t>391比例四国自民15</t>
  </si>
  <si>
    <t>笹沼　正治</t>
  </si>
  <si>
    <t>391比例四国自民16</t>
  </si>
  <si>
    <t>水口　俊幸</t>
  </si>
  <si>
    <t>391比例四国自民03</t>
  </si>
  <si>
    <t>36徳島03</t>
  </si>
  <si>
    <t>391比例四国自民06</t>
  </si>
  <si>
    <t>38愛媛01</t>
  </si>
  <si>
    <t>391比例四国自民07</t>
  </si>
  <si>
    <t>38愛媛02</t>
  </si>
  <si>
    <t>391比例四国自民09</t>
  </si>
  <si>
    <t>38愛媛04</t>
  </si>
  <si>
    <t>391比例四国自民10</t>
  </si>
  <si>
    <t>39高知01</t>
  </si>
  <si>
    <t>391比例四国自民11</t>
  </si>
  <si>
    <t>39高知02</t>
  </si>
  <si>
    <t>391比例四国自民12</t>
  </si>
  <si>
    <t>39高知03</t>
  </si>
  <si>
    <t>392比例四国民主03</t>
  </si>
  <si>
    <t>392比例四国民主06</t>
  </si>
  <si>
    <t>392比例四国民主08</t>
  </si>
  <si>
    <t>392比例四国民主11</t>
  </si>
  <si>
    <t>392比例四国民主09</t>
  </si>
  <si>
    <t>392比例四国民主10</t>
  </si>
  <si>
    <t>392比例四国民主12</t>
  </si>
  <si>
    <t>宇野　憲司</t>
  </si>
  <si>
    <t>392比例四国民主13</t>
  </si>
  <si>
    <t>吉田　益子</t>
  </si>
  <si>
    <t>392比例四国民主01</t>
  </si>
  <si>
    <t>392比例四国民主02</t>
  </si>
  <si>
    <t>392比例四国民主04</t>
  </si>
  <si>
    <t>392比例四国民主05</t>
  </si>
  <si>
    <t>392比例四国民主07</t>
  </si>
  <si>
    <t>393比例四国公明01</t>
  </si>
  <si>
    <t>石田　祝稔</t>
  </si>
  <si>
    <t>393比例四国公明02</t>
  </si>
  <si>
    <t>落合　英寿</t>
  </si>
  <si>
    <t>394比例四国共産01</t>
  </si>
  <si>
    <t>笹岡　　優</t>
  </si>
  <si>
    <t>394比例四国共産02</t>
  </si>
  <si>
    <t>394比例四国共産03</t>
  </si>
  <si>
    <t>37香川03</t>
  </si>
  <si>
    <t>394比例四国共産04</t>
  </si>
  <si>
    <t>395比例四国社民02</t>
  </si>
  <si>
    <t>395比例四国社民01</t>
  </si>
  <si>
    <t>396比例四国幸福01</t>
  </si>
  <si>
    <t>竹尾　あけみ</t>
  </si>
  <si>
    <t>396比例四国幸福02</t>
  </si>
  <si>
    <t>串畑　啓子</t>
  </si>
  <si>
    <t>396比例四国幸福03</t>
  </si>
  <si>
    <t>東條　幸紀</t>
  </si>
  <si>
    <t>396比例四国幸福04</t>
  </si>
  <si>
    <t>岡　　周平</t>
  </si>
  <si>
    <t>401比例九州自民01</t>
  </si>
  <si>
    <t>野田　　毅</t>
  </si>
  <si>
    <t>401比例九州自民02</t>
  </si>
  <si>
    <t>山本　幸三</t>
  </si>
  <si>
    <t>401比例九州自民16</t>
  </si>
  <si>
    <t>42長崎03</t>
  </si>
  <si>
    <t>401比例九州自民23</t>
  </si>
  <si>
    <t>44大分02</t>
  </si>
  <si>
    <t>401比例九州自民17</t>
  </si>
  <si>
    <t>42長崎04</t>
  </si>
  <si>
    <t>401比例九州自民24</t>
  </si>
  <si>
    <t>44大分03</t>
  </si>
  <si>
    <t>401比例九州自民13</t>
  </si>
  <si>
    <t>41佐賀02</t>
  </si>
  <si>
    <t>401比例九州自民09</t>
  </si>
  <si>
    <t>40福岡09</t>
  </si>
  <si>
    <t>401比例九州自民06</t>
  </si>
  <si>
    <t>40福岡04</t>
  </si>
  <si>
    <t>401比例九州自民15</t>
  </si>
  <si>
    <t>42長崎02</t>
  </si>
  <si>
    <t>401比例九州自民10</t>
  </si>
  <si>
    <t>40福岡10</t>
  </si>
  <si>
    <t>401比例九州自民07</t>
  </si>
  <si>
    <t>40福岡05</t>
  </si>
  <si>
    <t>401比例九州自民32</t>
  </si>
  <si>
    <t>47沖縄01</t>
  </si>
  <si>
    <t>401比例九州自民27</t>
  </si>
  <si>
    <t>46鹿児島01</t>
  </si>
  <si>
    <t>401比例九州自民35</t>
  </si>
  <si>
    <t>47沖縄04</t>
  </si>
  <si>
    <t>401比例九州自民12</t>
  </si>
  <si>
    <t>41佐賀01</t>
  </si>
  <si>
    <t>401比例九州自民05</t>
  </si>
  <si>
    <t>40福岡03</t>
  </si>
  <si>
    <t>401比例九州自民29</t>
  </si>
  <si>
    <t>46鹿児島03</t>
  </si>
  <si>
    <t>401比例九州自民03</t>
  </si>
  <si>
    <t>40福岡01</t>
  </si>
  <si>
    <t>401比例九州自民18</t>
  </si>
  <si>
    <t>43熊本01</t>
  </si>
  <si>
    <t>401比例九州自民14</t>
  </si>
  <si>
    <t>42長崎01</t>
  </si>
  <si>
    <t>401比例九州自民04</t>
  </si>
  <si>
    <t>40福岡02</t>
  </si>
  <si>
    <t>401比例九州自民33</t>
  </si>
  <si>
    <t>47沖縄02</t>
  </si>
  <si>
    <t>401比例九州自民22</t>
  </si>
  <si>
    <t>44大分01</t>
  </si>
  <si>
    <t>401比例九州自民34</t>
  </si>
  <si>
    <t>47沖縄03</t>
  </si>
  <si>
    <t>401比例九州自民08</t>
  </si>
  <si>
    <t>40福岡06</t>
  </si>
  <si>
    <t>401比例九州自民11</t>
  </si>
  <si>
    <t>40福岡11</t>
  </si>
  <si>
    <t>401比例九州自民19</t>
  </si>
  <si>
    <t>43熊本03</t>
  </si>
  <si>
    <t>401比例九州自民20</t>
  </si>
  <si>
    <t>43熊本04</t>
  </si>
  <si>
    <t>401比例九州自民21</t>
  </si>
  <si>
    <t>43熊本05</t>
  </si>
  <si>
    <t>401比例九州自民25</t>
  </si>
  <si>
    <t>45宮崎02</t>
  </si>
  <si>
    <t>401比例九州自民26</t>
  </si>
  <si>
    <t>45宮崎03</t>
  </si>
  <si>
    <t>401比例九州自民28</t>
  </si>
  <si>
    <t>46鹿児島02</t>
  </si>
  <si>
    <t>401比例九州自民30</t>
  </si>
  <si>
    <t>46鹿児島04</t>
  </si>
  <si>
    <t>401比例九州自民31</t>
  </si>
  <si>
    <t>46鹿児島05</t>
  </si>
  <si>
    <t>402比例九州民主25</t>
  </si>
  <si>
    <t>402比例九州民主19</t>
  </si>
  <si>
    <t>402比例九州民主06</t>
  </si>
  <si>
    <t>402比例九州民主07</t>
  </si>
  <si>
    <t>40福岡07</t>
  </si>
  <si>
    <t>402比例九州民主24</t>
  </si>
  <si>
    <t>402比例九州民主22</t>
  </si>
  <si>
    <t>402比例九州民主26</t>
  </si>
  <si>
    <t>402比例九州民主08</t>
  </si>
  <si>
    <t>40福岡08</t>
  </si>
  <si>
    <t>402比例九州民主29</t>
  </si>
  <si>
    <t>川越　孝洋</t>
  </si>
  <si>
    <t>402比例九州民主30</t>
  </si>
  <si>
    <t>中屋　大介</t>
  </si>
  <si>
    <t>402比例九州民主01</t>
  </si>
  <si>
    <t>402比例九州民主02</t>
  </si>
  <si>
    <t>402比例九州民主03</t>
  </si>
  <si>
    <t>402比例九州民主04</t>
  </si>
  <si>
    <t>402比例九州民主05</t>
  </si>
  <si>
    <t>402比例九州民主09</t>
  </si>
  <si>
    <t>402比例九州民主10</t>
  </si>
  <si>
    <t>402比例九州民主11</t>
  </si>
  <si>
    <t>402比例九州民主12</t>
  </si>
  <si>
    <t>402比例九州民主13</t>
  </si>
  <si>
    <t>402比例九州民主14</t>
  </si>
  <si>
    <t>402比例九州民主15</t>
  </si>
  <si>
    <t>402比例九州民主16</t>
  </si>
  <si>
    <t>402比例九州民主17</t>
  </si>
  <si>
    <t>402比例九州民主18</t>
  </si>
  <si>
    <t>43熊本02</t>
  </si>
  <si>
    <t>402比例九州民主20</t>
  </si>
  <si>
    <t>402比例九州民主21</t>
  </si>
  <si>
    <t>402比例九州民主23</t>
  </si>
  <si>
    <t>402比例九州民主27</t>
  </si>
  <si>
    <t>402比例九州民主28</t>
  </si>
  <si>
    <t>403比例九州公明01</t>
  </si>
  <si>
    <t>神崎　武法</t>
  </si>
  <si>
    <t>403比例九州公明02</t>
  </si>
  <si>
    <t>東　　順治</t>
  </si>
  <si>
    <t>403比例九州公明03</t>
  </si>
  <si>
    <t>江田　康幸</t>
  </si>
  <si>
    <t>403比例九州公明04</t>
  </si>
  <si>
    <t>遠山　清彦</t>
  </si>
  <si>
    <t>403比例九州公明05</t>
  </si>
  <si>
    <t>濱地　雅一</t>
  </si>
  <si>
    <t>403比例九州公明06</t>
  </si>
  <si>
    <t>金子　秀一</t>
  </si>
  <si>
    <t>404比例九州共産01</t>
  </si>
  <si>
    <t>赤嶺　政賢</t>
  </si>
  <si>
    <t>404比例九州共産02</t>
  </si>
  <si>
    <t>田村　貴昭</t>
  </si>
  <si>
    <t>404比例九州共産05</t>
  </si>
  <si>
    <t>404比例九州共産03</t>
  </si>
  <si>
    <t>404比例九州共産07</t>
  </si>
  <si>
    <t>404比例九州共産06</t>
  </si>
  <si>
    <t>41佐賀03</t>
  </si>
  <si>
    <t>404比例九州共産04</t>
  </si>
  <si>
    <t>404比例九州共産09</t>
  </si>
  <si>
    <t>404比例九州共産10</t>
  </si>
  <si>
    <t>45宮崎01</t>
  </si>
  <si>
    <t>404比例九州共産08</t>
  </si>
  <si>
    <t>404比例九州共産11</t>
  </si>
  <si>
    <t>405比例九州社民03</t>
  </si>
  <si>
    <t>405比例九州社民01</t>
  </si>
  <si>
    <t>405比例九州社民05</t>
  </si>
  <si>
    <t>405比例九州社民02</t>
  </si>
  <si>
    <t>405比例九州社民07</t>
  </si>
  <si>
    <t>405比例九州社民04</t>
  </si>
  <si>
    <t>405比例九州社民06</t>
  </si>
  <si>
    <t>406比例九州国民01</t>
  </si>
  <si>
    <t>406比例九州国民04</t>
  </si>
  <si>
    <t>松隈　一博</t>
  </si>
  <si>
    <t>406比例九州国民02</t>
  </si>
  <si>
    <t>406比例九州国民03</t>
  </si>
  <si>
    <t>407比例九州みんな01</t>
  </si>
  <si>
    <t>408比例九州幸福01</t>
  </si>
  <si>
    <t>坂口　頼邦</t>
  </si>
  <si>
    <t>408比例九州幸福02</t>
  </si>
  <si>
    <t>松本　徳太郎</t>
  </si>
  <si>
    <t>408比例九州幸福03</t>
  </si>
  <si>
    <t>辻　　雄文</t>
  </si>
  <si>
    <t>408比例九州幸福04</t>
  </si>
  <si>
    <t>諌山　征和</t>
  </si>
  <si>
    <t>408比例九州幸福05</t>
  </si>
  <si>
    <t>徳留　博臣</t>
  </si>
  <si>
    <t>【第45回衆議院議員総選挙　比例代表区の各政党別獲得議席数】</t>
  </si>
  <si>
    <t>近畿で本来は7議席(+2)</t>
  </si>
  <si>
    <t>近畿で本来は13議席(-2)，自民・公明へ。東海で本来は11議席(+1)</t>
  </si>
  <si>
    <t>近畿で本来は4議席(+1)</t>
  </si>
  <si>
    <t>近畿で本来は1議席(-1)，自民へ。東海で本来は1議席(-1)，民主へ</t>
  </si>
  <si>
    <t>(新党大地)</t>
  </si>
  <si>
    <t>(幸福実現)</t>
  </si>
  <si>
    <t>(新党本質)</t>
  </si>
  <si>
    <t>選挙区・整理番号</t>
    <rPh sb="0" eb="3">
      <t>センキョク</t>
    </rPh>
    <rPh sb="4" eb="6">
      <t>セイリ</t>
    </rPh>
    <rPh sb="6" eb="8">
      <t>バンゴウ</t>
    </rPh>
    <phoneticPr fontId="2"/>
  </si>
  <si>
    <t>選挙区・整理番号</t>
    <rPh sb="0" eb="3">
      <t>センキョク</t>
    </rPh>
    <rPh sb="4" eb="6">
      <t>セイリ</t>
    </rPh>
    <rPh sb="6" eb="8">
      <t>バンゴウ</t>
    </rPh>
    <phoneticPr fontId="4"/>
  </si>
  <si>
    <t>当落</t>
    <rPh sb="0" eb="2">
      <t>トウラク</t>
    </rPh>
    <phoneticPr fontId="4"/>
  </si>
  <si>
    <t>順位</t>
    <rPh sb="0" eb="2">
      <t>ジュンイ</t>
    </rPh>
    <phoneticPr fontId="4"/>
  </si>
  <si>
    <t>重複</t>
    <rPh sb="0" eb="2">
      <t>チョウフク</t>
    </rPh>
    <phoneticPr fontId="2"/>
  </si>
  <si>
    <t>重複</t>
    <rPh sb="0" eb="2">
      <t>チョウフク</t>
    </rPh>
    <phoneticPr fontId="4"/>
  </si>
  <si>
    <t>惜敗率</t>
    <rPh sb="0" eb="2">
      <t>セキハイ</t>
    </rPh>
    <rPh sb="2" eb="3">
      <t>リツ</t>
    </rPh>
    <phoneticPr fontId="2"/>
  </si>
  <si>
    <t>惜敗率</t>
    <rPh sb="0" eb="2">
      <t>セキハイ</t>
    </rPh>
    <rPh sb="2" eb="3">
      <t>リツ</t>
    </rPh>
    <phoneticPr fontId="4"/>
  </si>
  <si>
    <t>候補者名</t>
    <rPh sb="0" eb="3">
      <t>コウホシャ</t>
    </rPh>
    <rPh sb="3" eb="4">
      <t>メイ</t>
    </rPh>
    <phoneticPr fontId="2"/>
  </si>
  <si>
    <t>候補者名</t>
    <rPh sb="0" eb="3">
      <t>コウホシャ</t>
    </rPh>
    <rPh sb="3" eb="4">
      <t>メイ</t>
    </rPh>
    <phoneticPr fontId="4"/>
  </si>
  <si>
    <t>年齢</t>
    <rPh sb="0" eb="2">
      <t>ネンレイ</t>
    </rPh>
    <phoneticPr fontId="2"/>
  </si>
  <si>
    <t>年齢</t>
    <rPh sb="0" eb="2">
      <t>ネンレイ</t>
    </rPh>
    <phoneticPr fontId="4"/>
  </si>
  <si>
    <t>性別</t>
    <rPh sb="0" eb="2">
      <t>セイベツ</t>
    </rPh>
    <phoneticPr fontId="2"/>
  </si>
  <si>
    <t>性別</t>
    <rPh sb="0" eb="2">
      <t>セイベツ</t>
    </rPh>
    <phoneticPr fontId="4"/>
  </si>
  <si>
    <t>所属政党</t>
    <rPh sb="0" eb="2">
      <t>ショゾク</t>
    </rPh>
    <rPh sb="2" eb="4">
      <t>セイトウ</t>
    </rPh>
    <phoneticPr fontId="2"/>
  </si>
  <si>
    <t>所属政党</t>
    <rPh sb="0" eb="2">
      <t>ショゾク</t>
    </rPh>
    <rPh sb="2" eb="4">
      <t>セイトウ</t>
    </rPh>
    <phoneticPr fontId="4"/>
  </si>
  <si>
    <t>派</t>
    <rPh sb="0" eb="1">
      <t>ハ</t>
    </rPh>
    <phoneticPr fontId="2"/>
  </si>
  <si>
    <t>派</t>
    <rPh sb="0" eb="1">
      <t>ハ</t>
    </rPh>
    <phoneticPr fontId="4"/>
  </si>
  <si>
    <t>別</t>
    <rPh sb="0" eb="1">
      <t>ベツ</t>
    </rPh>
    <phoneticPr fontId="2"/>
  </si>
  <si>
    <t>別</t>
    <rPh sb="0" eb="1">
      <t>ベツ</t>
    </rPh>
    <phoneticPr fontId="4"/>
  </si>
  <si>
    <t>回数</t>
    <rPh sb="0" eb="2">
      <t>カイスウ</t>
    </rPh>
    <phoneticPr fontId="2"/>
  </si>
  <si>
    <t>回数</t>
    <rPh sb="0" eb="2">
      <t>カイスウ</t>
    </rPh>
    <phoneticPr fontId="4"/>
  </si>
  <si>
    <t>推薦</t>
    <rPh sb="0" eb="2">
      <t>スイセン</t>
    </rPh>
    <phoneticPr fontId="2"/>
  </si>
  <si>
    <t>推薦</t>
    <rPh sb="0" eb="2">
      <t>スイセン</t>
    </rPh>
    <phoneticPr fontId="4"/>
  </si>
  <si>
    <t>獲得議席数</t>
    <rPh sb="0" eb="2">
      <t>カクトク</t>
    </rPh>
    <rPh sb="2" eb="5">
      <t>ギセキスウ</t>
    </rPh>
    <phoneticPr fontId="4"/>
  </si>
  <si>
    <t>獲得票数</t>
    <rPh sb="0" eb="2">
      <t>カクトク</t>
    </rPh>
    <rPh sb="2" eb="4">
      <t>ヒョウスウ</t>
    </rPh>
    <phoneticPr fontId="4"/>
  </si>
  <si>
    <t>得票率</t>
    <rPh sb="0" eb="2">
      <t>トクヒョウ</t>
    </rPh>
    <rPh sb="2" eb="3">
      <t>リツ</t>
    </rPh>
    <phoneticPr fontId="2"/>
  </si>
  <si>
    <t>得票率</t>
    <rPh sb="0" eb="2">
      <t>トクヒョウ</t>
    </rPh>
    <rPh sb="2" eb="3">
      <t>リツ</t>
    </rPh>
    <phoneticPr fontId="4"/>
  </si>
  <si>
    <t>301比例北海道自民01</t>
    <rPh sb="3" eb="5">
      <t>ヒレイ</t>
    </rPh>
    <rPh sb="5" eb="8">
      <t>ホッカイドウ</t>
    </rPh>
    <rPh sb="8" eb="10">
      <t>ジミン</t>
    </rPh>
    <phoneticPr fontId="4"/>
  </si>
  <si>
    <t>当選</t>
    <rPh sb="0" eb="2">
      <t>トウセン</t>
    </rPh>
    <phoneticPr fontId="2"/>
  </si>
  <si>
    <t>当選</t>
    <rPh sb="0" eb="2">
      <t>トウセン</t>
    </rPh>
    <phoneticPr fontId="4"/>
  </si>
  <si>
    <t>01北海道10</t>
    <rPh sb="2" eb="5">
      <t>ホッカイドウ</t>
    </rPh>
    <phoneticPr fontId="4"/>
  </si>
  <si>
    <t>飯島　夕雁</t>
    <rPh sb="0" eb="2">
      <t>イイジマ</t>
    </rPh>
    <rPh sb="3" eb="5">
      <t>ユウカリ</t>
    </rPh>
    <phoneticPr fontId="4"/>
  </si>
  <si>
    <t>女</t>
    <rPh sb="0" eb="1">
      <t>ジョ</t>
    </rPh>
    <phoneticPr fontId="4"/>
  </si>
  <si>
    <t>比</t>
    <rPh sb="0" eb="1">
      <t>ヒ</t>
    </rPh>
    <phoneticPr fontId="2"/>
  </si>
  <si>
    <t>比</t>
    <rPh sb="0" eb="1">
      <t>ヒ</t>
    </rPh>
    <phoneticPr fontId="4"/>
  </si>
  <si>
    <t>０１自民党</t>
    <rPh sb="2" eb="4">
      <t>ジミン</t>
    </rPh>
    <rPh sb="4" eb="5">
      <t>トウ</t>
    </rPh>
    <phoneticPr fontId="4"/>
  </si>
  <si>
    <t>１９無派</t>
    <rPh sb="2" eb="3">
      <t>ム</t>
    </rPh>
    <rPh sb="3" eb="4">
      <t>ハ</t>
    </rPh>
    <phoneticPr fontId="4"/>
  </si>
  <si>
    <t>新</t>
    <rPh sb="0" eb="1">
      <t>シン</t>
    </rPh>
    <phoneticPr fontId="4"/>
  </si>
  <si>
    <t>301比例北海道自民02</t>
    <rPh sb="3" eb="5">
      <t>ヒレイ</t>
    </rPh>
    <rPh sb="5" eb="8">
      <t>ホッカイドウ</t>
    </rPh>
    <rPh sb="8" eb="10">
      <t>ジミン</t>
    </rPh>
    <phoneticPr fontId="4"/>
  </si>
  <si>
    <t>単独</t>
    <rPh sb="0" eb="2">
      <t>タンドク</t>
    </rPh>
    <phoneticPr fontId="4"/>
  </si>
  <si>
    <t>$</t>
    <phoneticPr fontId="4"/>
  </si>
  <si>
    <t>今津　寛</t>
    <rPh sb="0" eb="2">
      <t>イマヅ</t>
    </rPh>
    <rPh sb="3" eb="4">
      <t>ヒロシ</t>
    </rPh>
    <phoneticPr fontId="4"/>
  </si>
  <si>
    <t>男</t>
    <rPh sb="0" eb="1">
      <t>ダン</t>
    </rPh>
    <phoneticPr fontId="4"/>
  </si>
  <si>
    <t>１０橋本</t>
    <rPh sb="2" eb="4">
      <t>ハシモト</t>
    </rPh>
    <phoneticPr fontId="4"/>
  </si>
  <si>
    <t>前</t>
    <rPh sb="0" eb="1">
      <t>ゼン</t>
    </rPh>
    <phoneticPr fontId="4"/>
  </si>
  <si>
    <t>301比例北海道自民04</t>
    <rPh sb="3" eb="5">
      <t>ヒレイ</t>
    </rPh>
    <rPh sb="5" eb="8">
      <t>ホッカイドウ</t>
    </rPh>
    <rPh sb="8" eb="10">
      <t>ジミン</t>
    </rPh>
    <phoneticPr fontId="4"/>
  </si>
  <si>
    <t>01北海道02</t>
    <rPh sb="2" eb="5">
      <t>ホッカイドウ</t>
    </rPh>
    <phoneticPr fontId="4"/>
  </si>
  <si>
    <t>吉川　貴盛</t>
    <rPh sb="0" eb="2">
      <t>ヨシカワ</t>
    </rPh>
    <rPh sb="3" eb="5">
      <t>キモリ</t>
    </rPh>
    <phoneticPr fontId="4"/>
  </si>
  <si>
    <t>元</t>
    <rPh sb="0" eb="1">
      <t>モト</t>
    </rPh>
    <phoneticPr fontId="4"/>
  </si>
  <si>
    <t>公</t>
    <rPh sb="0" eb="1">
      <t>コウ</t>
    </rPh>
    <phoneticPr fontId="4"/>
  </si>
  <si>
    <t>301比例北海道自民08</t>
    <rPh sb="3" eb="5">
      <t>ヒレイ</t>
    </rPh>
    <rPh sb="5" eb="8">
      <t>ホッカイドウ</t>
    </rPh>
    <rPh sb="8" eb="10">
      <t>ジミン</t>
    </rPh>
    <phoneticPr fontId="4"/>
  </si>
  <si>
    <t>01北海道06</t>
    <rPh sb="2" eb="5">
      <t>ホッカイドウ</t>
    </rPh>
    <phoneticPr fontId="4"/>
  </si>
  <si>
    <t>金田　英行</t>
    <rPh sb="0" eb="2">
      <t>カネタ</t>
    </rPh>
    <rPh sb="3" eb="4">
      <t>エイ</t>
    </rPh>
    <rPh sb="4" eb="5">
      <t>コウ</t>
    </rPh>
    <phoneticPr fontId="4"/>
  </si>
  <si>
    <t xml:space="preserve">１１ 森 </t>
    <rPh sb="3" eb="4">
      <t>モリ</t>
    </rPh>
    <phoneticPr fontId="4"/>
  </si>
  <si>
    <t>301比例北海道自民06</t>
    <rPh sb="3" eb="5">
      <t>ヒレイ</t>
    </rPh>
    <rPh sb="5" eb="8">
      <t>ホッカイドウ</t>
    </rPh>
    <rPh sb="8" eb="10">
      <t>ジミン</t>
    </rPh>
    <phoneticPr fontId="4"/>
  </si>
  <si>
    <t>01北海道04</t>
    <rPh sb="2" eb="5">
      <t>ホッカイドウ</t>
    </rPh>
    <phoneticPr fontId="4"/>
  </si>
  <si>
    <t>佐藤　静雄</t>
    <rPh sb="0" eb="2">
      <t>サトウ</t>
    </rPh>
    <rPh sb="3" eb="5">
      <t>シズオ</t>
    </rPh>
    <phoneticPr fontId="4"/>
  </si>
  <si>
    <t>301比例北海道自民09</t>
    <rPh sb="3" eb="5">
      <t>ヒレイ</t>
    </rPh>
    <rPh sb="5" eb="8">
      <t>ホッカイドウ</t>
    </rPh>
    <rPh sb="8" eb="10">
      <t>ジミン</t>
    </rPh>
    <phoneticPr fontId="4"/>
  </si>
  <si>
    <t>01北海道07</t>
    <rPh sb="2" eb="5">
      <t>ホッカイドウ</t>
    </rPh>
    <phoneticPr fontId="4"/>
  </si>
  <si>
    <t>北村　直人</t>
    <rPh sb="0" eb="2">
      <t>キタムラ</t>
    </rPh>
    <rPh sb="3" eb="5">
      <t>ナオト</t>
    </rPh>
    <phoneticPr fontId="4"/>
  </si>
  <si>
    <t>１３堀内</t>
    <rPh sb="2" eb="4">
      <t>ホリウチ</t>
    </rPh>
    <phoneticPr fontId="4"/>
  </si>
  <si>
    <t>301比例北海道自民03</t>
    <rPh sb="3" eb="5">
      <t>ヒレイ</t>
    </rPh>
    <rPh sb="5" eb="8">
      <t>ホッカイドウ</t>
    </rPh>
    <rPh sb="8" eb="10">
      <t>ジミン</t>
    </rPh>
    <phoneticPr fontId="4"/>
  </si>
  <si>
    <t>01北海道01</t>
    <rPh sb="2" eb="5">
      <t>ホッカイドウ</t>
    </rPh>
    <phoneticPr fontId="4"/>
  </si>
  <si>
    <t>三品　孝行</t>
    <rPh sb="0" eb="2">
      <t>ミシナ</t>
    </rPh>
    <rPh sb="3" eb="5">
      <t>タカユキ</t>
    </rPh>
    <phoneticPr fontId="4"/>
  </si>
  <si>
    <t>301比例北海道自民11</t>
    <rPh sb="3" eb="5">
      <t>ヒレイ</t>
    </rPh>
    <rPh sb="5" eb="8">
      <t>ホッカイドウ</t>
    </rPh>
    <rPh sb="8" eb="10">
      <t>ジミン</t>
    </rPh>
    <phoneticPr fontId="4"/>
  </si>
  <si>
    <t>01北海道09</t>
    <rPh sb="2" eb="5">
      <t>ホッカイドウ</t>
    </rPh>
    <phoneticPr fontId="4"/>
  </si>
  <si>
    <t>岩倉　博文</t>
    <rPh sb="0" eb="2">
      <t>イワクラ</t>
    </rPh>
    <rPh sb="3" eb="5">
      <t>ヒロフミ</t>
    </rPh>
    <phoneticPr fontId="4"/>
  </si>
  <si>
    <t>301比例北海道自民10</t>
    <rPh sb="3" eb="5">
      <t>ヒレイ</t>
    </rPh>
    <rPh sb="5" eb="8">
      <t>ホッカイドウ</t>
    </rPh>
    <rPh sb="8" eb="10">
      <t>ジミン</t>
    </rPh>
    <phoneticPr fontId="4"/>
  </si>
  <si>
    <t>01北海道08</t>
    <rPh sb="2" eb="5">
      <t>ホッカイドウ</t>
    </rPh>
    <phoneticPr fontId="4"/>
  </si>
  <si>
    <t>佐藤　健治</t>
    <rPh sb="0" eb="2">
      <t>サトウ</t>
    </rPh>
    <rPh sb="3" eb="5">
      <t>ケンジ</t>
    </rPh>
    <phoneticPr fontId="4"/>
  </si>
  <si>
    <t>１２亀井</t>
    <rPh sb="2" eb="4">
      <t>カメイ</t>
    </rPh>
    <phoneticPr fontId="4"/>
  </si>
  <si>
    <t>301比例北海道自民14</t>
    <rPh sb="3" eb="5">
      <t>ヒレイ</t>
    </rPh>
    <rPh sb="5" eb="8">
      <t>ホッカイドウ</t>
    </rPh>
    <rPh sb="8" eb="10">
      <t>ジミン</t>
    </rPh>
    <phoneticPr fontId="4"/>
  </si>
  <si>
    <t>武谷　洋三</t>
    <rPh sb="0" eb="2">
      <t>タケタニ</t>
    </rPh>
    <rPh sb="3" eb="5">
      <t>ヨウゾウ</t>
    </rPh>
    <phoneticPr fontId="4"/>
  </si>
  <si>
    <t>301比例北海道自民15</t>
    <rPh sb="3" eb="5">
      <t>ヒレイ</t>
    </rPh>
    <rPh sb="5" eb="8">
      <t>ホッカイドウ</t>
    </rPh>
    <rPh sb="8" eb="10">
      <t>ジミン</t>
    </rPh>
    <phoneticPr fontId="4"/>
  </si>
  <si>
    <t>藤井　利範</t>
    <rPh sb="0" eb="2">
      <t>フジイ</t>
    </rPh>
    <rPh sb="3" eb="5">
      <t>トシノリ</t>
    </rPh>
    <phoneticPr fontId="4"/>
  </si>
  <si>
    <t>301比例北海道自民05</t>
    <rPh sb="3" eb="5">
      <t>ヒレイ</t>
    </rPh>
    <rPh sb="5" eb="8">
      <t>ホッカイドウ</t>
    </rPh>
    <rPh sb="8" eb="10">
      <t>ジミン</t>
    </rPh>
    <phoneticPr fontId="4"/>
  </si>
  <si>
    <t>小当</t>
    <rPh sb="0" eb="1">
      <t>ショウ</t>
    </rPh>
    <rPh sb="1" eb="2">
      <t>トウ</t>
    </rPh>
    <phoneticPr fontId="4"/>
  </si>
  <si>
    <t>01北海道03</t>
    <rPh sb="2" eb="5">
      <t>ホッカイドウ</t>
    </rPh>
    <phoneticPr fontId="4"/>
  </si>
  <si>
    <t>-</t>
    <phoneticPr fontId="4"/>
  </si>
  <si>
    <t>石崎　岳</t>
    <rPh sb="0" eb="2">
      <t>イシザキ</t>
    </rPh>
    <rPh sb="3" eb="4">
      <t>ガク</t>
    </rPh>
    <phoneticPr fontId="4"/>
  </si>
  <si>
    <t>301比例北海道自民07</t>
    <rPh sb="3" eb="5">
      <t>ヒレイ</t>
    </rPh>
    <rPh sb="5" eb="8">
      <t>ホッカイドウ</t>
    </rPh>
    <rPh sb="8" eb="10">
      <t>ジミン</t>
    </rPh>
    <phoneticPr fontId="4"/>
  </si>
  <si>
    <t>01北海道05</t>
    <rPh sb="2" eb="5">
      <t>ホッカイドウ</t>
    </rPh>
    <phoneticPr fontId="4"/>
  </si>
  <si>
    <t>-</t>
    <phoneticPr fontId="4"/>
  </si>
  <si>
    <t>町村　信孝</t>
    <rPh sb="0" eb="2">
      <t>マチムラ</t>
    </rPh>
    <rPh sb="3" eb="5">
      <t>ノブタカ</t>
    </rPh>
    <phoneticPr fontId="4"/>
  </si>
  <si>
    <t>301比例北海道自民12</t>
    <rPh sb="3" eb="5">
      <t>ヒレイ</t>
    </rPh>
    <rPh sb="5" eb="8">
      <t>ホッカイドウ</t>
    </rPh>
    <rPh sb="8" eb="10">
      <t>ジミン</t>
    </rPh>
    <phoneticPr fontId="4"/>
  </si>
  <si>
    <t>01北海道11</t>
    <rPh sb="2" eb="5">
      <t>ホッカイドウ</t>
    </rPh>
    <phoneticPr fontId="4"/>
  </si>
  <si>
    <t>中川　昭一</t>
    <rPh sb="0" eb="2">
      <t>ナカガワ</t>
    </rPh>
    <rPh sb="3" eb="5">
      <t>ショウイチ</t>
    </rPh>
    <phoneticPr fontId="4"/>
  </si>
  <si>
    <t>301比例北海道自民13</t>
    <rPh sb="3" eb="5">
      <t>ヒレイ</t>
    </rPh>
    <rPh sb="5" eb="8">
      <t>ホッカイドウ</t>
    </rPh>
    <rPh sb="8" eb="10">
      <t>ジミン</t>
    </rPh>
    <phoneticPr fontId="4"/>
  </si>
  <si>
    <t>01北海道12</t>
    <rPh sb="2" eb="5">
      <t>ホッカイドウ</t>
    </rPh>
    <phoneticPr fontId="4"/>
  </si>
  <si>
    <t>武部　勤</t>
    <rPh sb="0" eb="2">
      <t>タケベ</t>
    </rPh>
    <rPh sb="3" eb="4">
      <t>ツトム</t>
    </rPh>
    <phoneticPr fontId="4"/>
  </si>
  <si>
    <t>302比例北海道民主01</t>
    <rPh sb="3" eb="5">
      <t>ヒレイ</t>
    </rPh>
    <rPh sb="5" eb="8">
      <t>ホッカイドウ</t>
    </rPh>
    <rPh sb="8" eb="10">
      <t>ミンシュ</t>
    </rPh>
    <phoneticPr fontId="4"/>
  </si>
  <si>
    <t>$</t>
    <phoneticPr fontId="4"/>
  </si>
  <si>
    <t>逢坂　誠二</t>
    <rPh sb="0" eb="2">
      <t>オウサカ</t>
    </rPh>
    <rPh sb="3" eb="5">
      <t>セイジ</t>
    </rPh>
    <phoneticPr fontId="4"/>
  </si>
  <si>
    <t>０２民主党</t>
    <rPh sb="2" eb="5">
      <t>ミンシュトウ</t>
    </rPh>
    <phoneticPr fontId="4"/>
  </si>
  <si>
    <t>２９他</t>
    <rPh sb="2" eb="3">
      <t>タ</t>
    </rPh>
    <phoneticPr fontId="4"/>
  </si>
  <si>
    <t>302比例北海道民主04</t>
    <rPh sb="3" eb="5">
      <t>ヒレイ</t>
    </rPh>
    <rPh sb="5" eb="8">
      <t>ホッカイドウ</t>
    </rPh>
    <rPh sb="8" eb="10">
      <t>ミンシュ</t>
    </rPh>
    <phoneticPr fontId="4"/>
  </si>
  <si>
    <t>荒井　聰</t>
    <rPh sb="0" eb="2">
      <t>アライ</t>
    </rPh>
    <rPh sb="3" eb="4">
      <t>サトシ</t>
    </rPh>
    <phoneticPr fontId="4"/>
  </si>
  <si>
    <t>２２さ</t>
    <phoneticPr fontId="4"/>
  </si>
  <si>
    <t>302比例北海道民主12</t>
    <rPh sb="3" eb="5">
      <t>ヒレイ</t>
    </rPh>
    <rPh sb="5" eb="8">
      <t>ホッカイドウ</t>
    </rPh>
    <rPh sb="8" eb="10">
      <t>ミンシュ</t>
    </rPh>
    <phoneticPr fontId="4"/>
  </si>
  <si>
    <t>松木　謙公</t>
    <rPh sb="0" eb="2">
      <t>マツキ</t>
    </rPh>
    <rPh sb="3" eb="5">
      <t>ケンコウ</t>
    </rPh>
    <phoneticPr fontId="4"/>
  </si>
  <si>
    <t>２６由</t>
    <rPh sb="2" eb="3">
      <t>ユウ</t>
    </rPh>
    <phoneticPr fontId="4"/>
  </si>
  <si>
    <t>302比例北海道民主11</t>
    <rPh sb="3" eb="5">
      <t>ヒレイ</t>
    </rPh>
    <rPh sb="5" eb="8">
      <t>ホッカイドウ</t>
    </rPh>
    <rPh sb="8" eb="10">
      <t>ミンシュ</t>
    </rPh>
    <phoneticPr fontId="4"/>
  </si>
  <si>
    <t>石川　知裕</t>
    <rPh sb="0" eb="2">
      <t>イシカワ</t>
    </rPh>
    <rPh sb="3" eb="4">
      <t>シ</t>
    </rPh>
    <rPh sb="4" eb="5">
      <t>ユタカ</t>
    </rPh>
    <phoneticPr fontId="4"/>
  </si>
  <si>
    <t>302比例北海道民主05</t>
    <rPh sb="3" eb="5">
      <t>ヒレイ</t>
    </rPh>
    <rPh sb="5" eb="8">
      <t>ホッカイドウ</t>
    </rPh>
    <rPh sb="8" eb="10">
      <t>ミンシュ</t>
    </rPh>
    <phoneticPr fontId="4"/>
  </si>
  <si>
    <t>小林　千代美</t>
    <rPh sb="0" eb="2">
      <t>コバヤシ</t>
    </rPh>
    <rPh sb="3" eb="6">
      <t>チヨミ</t>
    </rPh>
    <phoneticPr fontId="4"/>
  </si>
  <si>
    <t>２１社</t>
    <rPh sb="2" eb="3">
      <t>シャ</t>
    </rPh>
    <phoneticPr fontId="4"/>
  </si>
  <si>
    <t>302比例北海道民主13</t>
    <rPh sb="3" eb="5">
      <t>ヒレイ</t>
    </rPh>
    <rPh sb="5" eb="8">
      <t>ホッカイドウ</t>
    </rPh>
    <rPh sb="8" eb="10">
      <t>ミンシュ</t>
    </rPh>
    <phoneticPr fontId="4"/>
  </si>
  <si>
    <t>$</t>
    <phoneticPr fontId="4"/>
  </si>
  <si>
    <t>西川　将人</t>
    <rPh sb="0" eb="2">
      <t>ニシカワ</t>
    </rPh>
    <rPh sb="3" eb="5">
      <t>マサト</t>
    </rPh>
    <phoneticPr fontId="4"/>
  </si>
  <si>
    <t>302比例北海道民主14</t>
    <rPh sb="3" eb="5">
      <t>ヒレイ</t>
    </rPh>
    <rPh sb="5" eb="8">
      <t>ホッカイドウ</t>
    </rPh>
    <rPh sb="8" eb="10">
      <t>ミンシュ</t>
    </rPh>
    <phoneticPr fontId="4"/>
  </si>
  <si>
    <t>廣田　まゆみ</t>
    <rPh sb="0" eb="2">
      <t>ヒロタ</t>
    </rPh>
    <phoneticPr fontId="4"/>
  </si>
  <si>
    <t>302比例北海道民主15</t>
    <rPh sb="3" eb="5">
      <t>ヒレイ</t>
    </rPh>
    <rPh sb="5" eb="8">
      <t>ホッカイドウ</t>
    </rPh>
    <rPh sb="8" eb="10">
      <t>ミンシュ</t>
    </rPh>
    <phoneticPr fontId="4"/>
  </si>
  <si>
    <t>中村　剛</t>
    <rPh sb="0" eb="2">
      <t>ナカムラ</t>
    </rPh>
    <rPh sb="3" eb="4">
      <t>タケシ</t>
    </rPh>
    <phoneticPr fontId="4"/>
  </si>
  <si>
    <t>302比例北海道民主02</t>
    <rPh sb="3" eb="5">
      <t>ヒレイ</t>
    </rPh>
    <rPh sb="5" eb="8">
      <t>ホッカイドウ</t>
    </rPh>
    <rPh sb="8" eb="10">
      <t>ミンシュ</t>
    </rPh>
    <phoneticPr fontId="4"/>
  </si>
  <si>
    <t>横路　孝弘</t>
    <rPh sb="0" eb="2">
      <t>ヨコミチ</t>
    </rPh>
    <rPh sb="3" eb="5">
      <t>タカヒロ</t>
    </rPh>
    <phoneticPr fontId="4"/>
  </si>
  <si>
    <t>302比例北海道民主03</t>
    <rPh sb="3" eb="5">
      <t>ヒレイ</t>
    </rPh>
    <rPh sb="5" eb="8">
      <t>ホッカイドウ</t>
    </rPh>
    <rPh sb="8" eb="10">
      <t>ミンシュ</t>
    </rPh>
    <phoneticPr fontId="4"/>
  </si>
  <si>
    <t>-</t>
    <phoneticPr fontId="4"/>
  </si>
  <si>
    <t>三井　辨雄</t>
    <rPh sb="0" eb="2">
      <t>ミツイ</t>
    </rPh>
    <rPh sb="4" eb="5">
      <t>ユウ</t>
    </rPh>
    <phoneticPr fontId="4"/>
  </si>
  <si>
    <t>２５政</t>
    <rPh sb="2" eb="3">
      <t>セイ</t>
    </rPh>
    <phoneticPr fontId="4"/>
  </si>
  <si>
    <t>302比例北海道民主06</t>
    <rPh sb="3" eb="5">
      <t>ヒレイ</t>
    </rPh>
    <rPh sb="5" eb="8">
      <t>ホッカイドウ</t>
    </rPh>
    <rPh sb="8" eb="10">
      <t>ミンシュ</t>
    </rPh>
    <phoneticPr fontId="4"/>
  </si>
  <si>
    <t>佐々木　隆博</t>
    <rPh sb="0" eb="3">
      <t>ササキ</t>
    </rPh>
    <rPh sb="4" eb="6">
      <t>タカヒロ</t>
    </rPh>
    <phoneticPr fontId="4"/>
  </si>
  <si>
    <t>302比例北海道民主07</t>
    <rPh sb="3" eb="5">
      <t>ヒレイ</t>
    </rPh>
    <rPh sb="5" eb="8">
      <t>ホッカイドウ</t>
    </rPh>
    <rPh sb="8" eb="10">
      <t>ミンシュ</t>
    </rPh>
    <phoneticPr fontId="4"/>
  </si>
  <si>
    <t>仲野　博子</t>
    <rPh sb="0" eb="2">
      <t>ナカノ</t>
    </rPh>
    <rPh sb="3" eb="5">
      <t>ヒロコ</t>
    </rPh>
    <phoneticPr fontId="4"/>
  </si>
  <si>
    <t>302比例北海道民主08</t>
    <rPh sb="3" eb="5">
      <t>ヒレイ</t>
    </rPh>
    <rPh sb="5" eb="8">
      <t>ホッカイドウ</t>
    </rPh>
    <rPh sb="8" eb="10">
      <t>ミンシュ</t>
    </rPh>
    <phoneticPr fontId="4"/>
  </si>
  <si>
    <t>金田　誠一</t>
    <rPh sb="0" eb="2">
      <t>カネタ</t>
    </rPh>
    <rPh sb="3" eb="5">
      <t>セイイチ</t>
    </rPh>
    <phoneticPr fontId="4"/>
  </si>
  <si>
    <t>302比例北海道民主09</t>
    <rPh sb="3" eb="5">
      <t>ヒレイ</t>
    </rPh>
    <rPh sb="5" eb="8">
      <t>ホッカイドウ</t>
    </rPh>
    <rPh sb="8" eb="10">
      <t>ミンシュ</t>
    </rPh>
    <phoneticPr fontId="4"/>
  </si>
  <si>
    <t>鳩山　由紀夫</t>
    <rPh sb="0" eb="2">
      <t>ハトヤマ</t>
    </rPh>
    <rPh sb="3" eb="6">
      <t>ユキオ</t>
    </rPh>
    <phoneticPr fontId="4"/>
  </si>
  <si>
    <t>302比例北海道民主10</t>
    <rPh sb="3" eb="5">
      <t>ヒレイ</t>
    </rPh>
    <rPh sb="5" eb="8">
      <t>ホッカイドウ</t>
    </rPh>
    <rPh sb="8" eb="10">
      <t>ミンシュ</t>
    </rPh>
    <phoneticPr fontId="4"/>
  </si>
  <si>
    <t>小平　忠正</t>
    <rPh sb="0" eb="2">
      <t>コダイラ</t>
    </rPh>
    <rPh sb="3" eb="5">
      <t>タダマサ</t>
    </rPh>
    <phoneticPr fontId="4"/>
  </si>
  <si>
    <t>303比例北海道公明01</t>
    <rPh sb="3" eb="5">
      <t>ヒレイ</t>
    </rPh>
    <rPh sb="5" eb="8">
      <t>ホッカイドウ</t>
    </rPh>
    <rPh sb="8" eb="10">
      <t>コウメイ</t>
    </rPh>
    <phoneticPr fontId="4"/>
  </si>
  <si>
    <t>丸谷　佳織</t>
    <rPh sb="0" eb="2">
      <t>マルヤ</t>
    </rPh>
    <rPh sb="3" eb="5">
      <t>カオリ</t>
    </rPh>
    <phoneticPr fontId="4"/>
  </si>
  <si>
    <t>０３公明党</t>
    <rPh sb="2" eb="5">
      <t>コウメイトウ</t>
    </rPh>
    <phoneticPr fontId="4"/>
  </si>
  <si>
    <t>303比例北海道公明02</t>
    <rPh sb="3" eb="5">
      <t>ヒレイ</t>
    </rPh>
    <rPh sb="5" eb="8">
      <t>ホッカイドウ</t>
    </rPh>
    <rPh sb="8" eb="10">
      <t>コウメイ</t>
    </rPh>
    <phoneticPr fontId="4"/>
  </si>
  <si>
    <t>野々川　正幸</t>
    <rPh sb="0" eb="3">
      <t>ノノガワ</t>
    </rPh>
    <rPh sb="4" eb="6">
      <t>マサユキ</t>
    </rPh>
    <phoneticPr fontId="4"/>
  </si>
  <si>
    <t>304比例北海道共産01</t>
    <rPh sb="3" eb="5">
      <t>ヒレイ</t>
    </rPh>
    <rPh sb="5" eb="8">
      <t>ホッカイドウ</t>
    </rPh>
    <rPh sb="8" eb="10">
      <t>キョウサン</t>
    </rPh>
    <phoneticPr fontId="4"/>
  </si>
  <si>
    <t>宮内　聡</t>
    <rPh sb="0" eb="2">
      <t>ミヤウチ</t>
    </rPh>
    <rPh sb="3" eb="4">
      <t>サトシ</t>
    </rPh>
    <phoneticPr fontId="4"/>
  </si>
  <si>
    <t>０４共産党</t>
    <rPh sb="2" eb="5">
      <t>キョウサントウ</t>
    </rPh>
    <phoneticPr fontId="4"/>
  </si>
  <si>
    <t>304比例北海道共産02</t>
    <rPh sb="3" eb="5">
      <t>ヒレイ</t>
    </rPh>
    <rPh sb="5" eb="8">
      <t>ホッカイドウ</t>
    </rPh>
    <rPh sb="8" eb="10">
      <t>キョウサン</t>
    </rPh>
    <phoneticPr fontId="4"/>
  </si>
  <si>
    <t>渡辺　紫</t>
    <rPh sb="0" eb="2">
      <t>ワタナベ</t>
    </rPh>
    <rPh sb="3" eb="4">
      <t>ムラサキ</t>
    </rPh>
    <phoneticPr fontId="4"/>
  </si>
  <si>
    <t>305比例北海道社民01</t>
    <rPh sb="3" eb="5">
      <t>ヒレイ</t>
    </rPh>
    <rPh sb="5" eb="8">
      <t>ホッカイドウ</t>
    </rPh>
    <rPh sb="8" eb="10">
      <t>シャミン</t>
    </rPh>
    <phoneticPr fontId="4"/>
  </si>
  <si>
    <t>山内　恵子</t>
    <rPh sb="0" eb="2">
      <t>ヤマウチ</t>
    </rPh>
    <rPh sb="3" eb="5">
      <t>ケイコ</t>
    </rPh>
    <phoneticPr fontId="4"/>
  </si>
  <si>
    <t>０５社民党</t>
    <rPh sb="2" eb="5">
      <t>シャミントウ</t>
    </rPh>
    <phoneticPr fontId="4"/>
  </si>
  <si>
    <t>309比例北海道大地01</t>
    <rPh sb="3" eb="5">
      <t>ヒレイ</t>
    </rPh>
    <rPh sb="5" eb="8">
      <t>ホッカイドウ</t>
    </rPh>
    <rPh sb="8" eb="10">
      <t>ダイチ</t>
    </rPh>
    <phoneticPr fontId="4"/>
  </si>
  <si>
    <t>$</t>
    <phoneticPr fontId="4"/>
  </si>
  <si>
    <t>鈴木　宗男</t>
    <rPh sb="0" eb="2">
      <t>スズキ</t>
    </rPh>
    <rPh sb="3" eb="5">
      <t>ムネオ</t>
    </rPh>
    <phoneticPr fontId="4"/>
  </si>
  <si>
    <t>０９諸　派</t>
    <rPh sb="2" eb="3">
      <t>モロ</t>
    </rPh>
    <rPh sb="4" eb="5">
      <t>ハ</t>
    </rPh>
    <phoneticPr fontId="4"/>
  </si>
  <si>
    <t>309比例北海道大地02</t>
    <rPh sb="3" eb="5">
      <t>ヒレイ</t>
    </rPh>
    <rPh sb="5" eb="8">
      <t>ホッカイドウ</t>
    </rPh>
    <rPh sb="8" eb="10">
      <t>ダイチ</t>
    </rPh>
    <phoneticPr fontId="4"/>
  </si>
  <si>
    <t>多原　香里</t>
    <rPh sb="0" eb="1">
      <t>オオ</t>
    </rPh>
    <rPh sb="1" eb="2">
      <t>ハラ</t>
    </rPh>
    <rPh sb="3" eb="4">
      <t>カオ</t>
    </rPh>
    <rPh sb="4" eb="5">
      <t>サト</t>
    </rPh>
    <phoneticPr fontId="4"/>
  </si>
  <si>
    <t>309比例北海道大地03</t>
    <rPh sb="3" eb="5">
      <t>ヒレイ</t>
    </rPh>
    <rPh sb="5" eb="8">
      <t>ホッカイドウ</t>
    </rPh>
    <rPh sb="8" eb="10">
      <t>ダイチ</t>
    </rPh>
    <phoneticPr fontId="4"/>
  </si>
  <si>
    <t>田中　いづみ</t>
    <rPh sb="0" eb="2">
      <t>タナカ</t>
    </rPh>
    <phoneticPr fontId="4"/>
  </si>
  <si>
    <t>311比例東北自民01</t>
    <rPh sb="3" eb="5">
      <t>ヒレイ</t>
    </rPh>
    <rPh sb="5" eb="7">
      <t>トウホク</t>
    </rPh>
    <rPh sb="7" eb="9">
      <t>ジミン</t>
    </rPh>
    <phoneticPr fontId="4"/>
  </si>
  <si>
    <t>坂本　剛二</t>
    <rPh sb="0" eb="2">
      <t>サカモト</t>
    </rPh>
    <rPh sb="3" eb="4">
      <t>ツヨシ</t>
    </rPh>
    <rPh sb="4" eb="5">
      <t>ニ</t>
    </rPh>
    <phoneticPr fontId="4"/>
  </si>
  <si>
    <t>311比例東北自民02</t>
    <rPh sb="3" eb="5">
      <t>ヒレイ</t>
    </rPh>
    <rPh sb="5" eb="7">
      <t>トウホク</t>
    </rPh>
    <rPh sb="7" eb="9">
      <t>ジミン</t>
    </rPh>
    <phoneticPr fontId="4"/>
  </si>
  <si>
    <t>中野　正志</t>
    <rPh sb="0" eb="2">
      <t>ナカノ</t>
    </rPh>
    <rPh sb="3" eb="5">
      <t>マサシ</t>
    </rPh>
    <phoneticPr fontId="4"/>
  </si>
  <si>
    <t>311比例東北自民03</t>
    <rPh sb="3" eb="5">
      <t>ヒレイ</t>
    </rPh>
    <rPh sb="5" eb="7">
      <t>トウホク</t>
    </rPh>
    <rPh sb="7" eb="9">
      <t>ジミン</t>
    </rPh>
    <phoneticPr fontId="4"/>
  </si>
  <si>
    <t>佐藤　剛男</t>
    <rPh sb="0" eb="2">
      <t>サトウ</t>
    </rPh>
    <rPh sb="3" eb="4">
      <t>ツヨシ</t>
    </rPh>
    <rPh sb="4" eb="5">
      <t>オトコ</t>
    </rPh>
    <phoneticPr fontId="4"/>
  </si>
  <si>
    <t>１４山崎</t>
    <rPh sb="2" eb="4">
      <t>ヤマザキ</t>
    </rPh>
    <phoneticPr fontId="4"/>
  </si>
  <si>
    <t>311比例東北自民04</t>
    <rPh sb="3" eb="5">
      <t>ヒレイ</t>
    </rPh>
    <rPh sb="5" eb="7">
      <t>トウホク</t>
    </rPh>
    <rPh sb="7" eb="9">
      <t>ジミン</t>
    </rPh>
    <phoneticPr fontId="4"/>
  </si>
  <si>
    <t>03岩手04</t>
    <rPh sb="2" eb="4">
      <t>イワテ</t>
    </rPh>
    <phoneticPr fontId="4"/>
  </si>
  <si>
    <t>玉澤　徳一郎</t>
    <rPh sb="0" eb="2">
      <t>タマサワ</t>
    </rPh>
    <rPh sb="3" eb="6">
      <t>トクイチロウ</t>
    </rPh>
    <phoneticPr fontId="4"/>
  </si>
  <si>
    <t>311比例東北自民26</t>
    <rPh sb="3" eb="5">
      <t>ヒレイ</t>
    </rPh>
    <rPh sb="5" eb="7">
      <t>トウホク</t>
    </rPh>
    <rPh sb="7" eb="9">
      <t>ジミン</t>
    </rPh>
    <phoneticPr fontId="4"/>
  </si>
  <si>
    <t>07福島04</t>
    <rPh sb="2" eb="4">
      <t>フクシマ</t>
    </rPh>
    <phoneticPr fontId="4"/>
  </si>
  <si>
    <t>渡部　篤</t>
    <rPh sb="0" eb="2">
      <t>ワタベ</t>
    </rPh>
    <rPh sb="3" eb="4">
      <t>アツシ</t>
    </rPh>
    <phoneticPr fontId="4"/>
  </si>
  <si>
    <t>311比例東北自民17</t>
    <rPh sb="3" eb="5">
      <t>ヒレイ</t>
    </rPh>
    <rPh sb="5" eb="7">
      <t>トウホク</t>
    </rPh>
    <rPh sb="7" eb="9">
      <t>ジミン</t>
    </rPh>
    <phoneticPr fontId="4"/>
  </si>
  <si>
    <t>05秋田01</t>
    <rPh sb="2" eb="4">
      <t>アキタ</t>
    </rPh>
    <phoneticPr fontId="4"/>
  </si>
  <si>
    <t>二田　孝治</t>
    <rPh sb="0" eb="1">
      <t>ニ</t>
    </rPh>
    <rPh sb="1" eb="2">
      <t>タ</t>
    </rPh>
    <rPh sb="3" eb="5">
      <t>タカハル</t>
    </rPh>
    <phoneticPr fontId="4"/>
  </si>
  <si>
    <t>311比例東北自民15</t>
    <rPh sb="3" eb="5">
      <t>ヒレイ</t>
    </rPh>
    <rPh sb="5" eb="7">
      <t>トウホク</t>
    </rPh>
    <rPh sb="7" eb="9">
      <t>ジミン</t>
    </rPh>
    <phoneticPr fontId="4"/>
  </si>
  <si>
    <t>04宮城05</t>
    <rPh sb="2" eb="4">
      <t>ミヤギ</t>
    </rPh>
    <phoneticPr fontId="4"/>
  </si>
  <si>
    <t>斎藤　正美</t>
    <rPh sb="0" eb="2">
      <t>サイトウ</t>
    </rPh>
    <rPh sb="3" eb="5">
      <t>マサミ</t>
    </rPh>
    <phoneticPr fontId="4"/>
  </si>
  <si>
    <t>311比例東北自民08</t>
    <rPh sb="3" eb="5">
      <t>ヒレイ</t>
    </rPh>
    <rPh sb="5" eb="7">
      <t>トウホク</t>
    </rPh>
    <rPh sb="7" eb="9">
      <t>ジミン</t>
    </rPh>
    <phoneticPr fontId="4"/>
  </si>
  <si>
    <t>03岩手01</t>
    <rPh sb="2" eb="4">
      <t>イワテ</t>
    </rPh>
    <phoneticPr fontId="4"/>
  </si>
  <si>
    <t>及川　敦</t>
    <rPh sb="0" eb="2">
      <t>オイカワ</t>
    </rPh>
    <rPh sb="3" eb="4">
      <t>アツシ</t>
    </rPh>
    <phoneticPr fontId="4"/>
  </si>
  <si>
    <t>311比例東北自民10</t>
    <rPh sb="3" eb="5">
      <t>ヒレイ</t>
    </rPh>
    <rPh sb="5" eb="7">
      <t>トウホク</t>
    </rPh>
    <rPh sb="7" eb="9">
      <t>ジミン</t>
    </rPh>
    <phoneticPr fontId="4"/>
  </si>
  <si>
    <t>03岩手03</t>
    <rPh sb="2" eb="4">
      <t>イワテ</t>
    </rPh>
    <phoneticPr fontId="4"/>
  </si>
  <si>
    <t>橋本　英教</t>
    <rPh sb="0" eb="2">
      <t>ハシモト</t>
    </rPh>
    <rPh sb="3" eb="4">
      <t>ヒデ</t>
    </rPh>
    <rPh sb="4" eb="5">
      <t>オシ</t>
    </rPh>
    <phoneticPr fontId="4"/>
  </si>
  <si>
    <t>311比例東北自民18</t>
    <rPh sb="3" eb="5">
      <t>ヒレイ</t>
    </rPh>
    <rPh sb="5" eb="7">
      <t>トウホク</t>
    </rPh>
    <rPh sb="7" eb="9">
      <t>ジミン</t>
    </rPh>
    <phoneticPr fontId="4"/>
  </si>
  <si>
    <t>05秋田02</t>
    <rPh sb="2" eb="4">
      <t>アキタ</t>
    </rPh>
    <phoneticPr fontId="4"/>
  </si>
  <si>
    <t>小野　貴樹</t>
    <rPh sb="0" eb="2">
      <t>オノ</t>
    </rPh>
    <rPh sb="3" eb="5">
      <t>タカキ</t>
    </rPh>
    <phoneticPr fontId="4"/>
  </si>
  <si>
    <t>311比例東北自民25</t>
    <rPh sb="3" eb="5">
      <t>ヒレイ</t>
    </rPh>
    <rPh sb="5" eb="7">
      <t>トウホク</t>
    </rPh>
    <rPh sb="7" eb="9">
      <t>ジミン</t>
    </rPh>
    <phoneticPr fontId="4"/>
  </si>
  <si>
    <t>07福島03</t>
    <rPh sb="2" eb="4">
      <t>フクシマ</t>
    </rPh>
    <phoneticPr fontId="4"/>
  </si>
  <si>
    <t>蓮実　進</t>
    <rPh sb="0" eb="2">
      <t>ハスミ</t>
    </rPh>
    <rPh sb="3" eb="4">
      <t>スス</t>
    </rPh>
    <phoneticPr fontId="4"/>
  </si>
  <si>
    <t>311比例東北自民28</t>
    <rPh sb="3" eb="5">
      <t>ヒレイ</t>
    </rPh>
    <rPh sb="5" eb="7">
      <t>トウホク</t>
    </rPh>
    <rPh sb="7" eb="9">
      <t>ジミン</t>
    </rPh>
    <phoneticPr fontId="4"/>
  </si>
  <si>
    <t>佐藤　敬夫</t>
    <rPh sb="0" eb="2">
      <t>サトウ</t>
    </rPh>
    <rPh sb="3" eb="5">
      <t>タカオ</t>
    </rPh>
    <phoneticPr fontId="4"/>
  </si>
  <si>
    <t>１８二階</t>
    <rPh sb="2" eb="4">
      <t>ニカイ</t>
    </rPh>
    <phoneticPr fontId="4"/>
  </si>
  <si>
    <t>311比例東北自民05</t>
    <rPh sb="3" eb="5">
      <t>ヒレイ</t>
    </rPh>
    <rPh sb="5" eb="7">
      <t>トウホク</t>
    </rPh>
    <rPh sb="7" eb="9">
      <t>ジミン</t>
    </rPh>
    <phoneticPr fontId="4"/>
  </si>
  <si>
    <t>02青森02</t>
    <rPh sb="2" eb="4">
      <t>アオモリ</t>
    </rPh>
    <phoneticPr fontId="4"/>
  </si>
  <si>
    <t>-</t>
    <phoneticPr fontId="4"/>
  </si>
  <si>
    <t>江渡　聡徳</t>
    <rPh sb="0" eb="1">
      <t>エ</t>
    </rPh>
    <rPh sb="1" eb="2">
      <t>ワタ</t>
    </rPh>
    <rPh sb="3" eb="4">
      <t>ソウ</t>
    </rPh>
    <rPh sb="4" eb="5">
      <t>トク</t>
    </rPh>
    <phoneticPr fontId="4"/>
  </si>
  <si>
    <t>１６高村</t>
    <rPh sb="2" eb="3">
      <t>コウ</t>
    </rPh>
    <rPh sb="3" eb="4">
      <t>ムラ</t>
    </rPh>
    <phoneticPr fontId="4"/>
  </si>
  <si>
    <t>311比例東北自民06</t>
    <rPh sb="3" eb="5">
      <t>ヒレイ</t>
    </rPh>
    <rPh sb="5" eb="7">
      <t>トウホク</t>
    </rPh>
    <rPh sb="7" eb="9">
      <t>ジミン</t>
    </rPh>
    <phoneticPr fontId="4"/>
  </si>
  <si>
    <t>02青森03</t>
    <rPh sb="2" eb="4">
      <t>アオモリ</t>
    </rPh>
    <phoneticPr fontId="4"/>
  </si>
  <si>
    <t>大島　理森</t>
    <rPh sb="0" eb="2">
      <t>オオシマ</t>
    </rPh>
    <rPh sb="3" eb="4">
      <t>リ</t>
    </rPh>
    <rPh sb="4" eb="5">
      <t>モリ</t>
    </rPh>
    <phoneticPr fontId="4"/>
  </si>
  <si>
    <t>311比例東北自民07</t>
    <rPh sb="3" eb="5">
      <t>ヒレイ</t>
    </rPh>
    <rPh sb="5" eb="7">
      <t>トウホク</t>
    </rPh>
    <rPh sb="7" eb="9">
      <t>ジミン</t>
    </rPh>
    <phoneticPr fontId="4"/>
  </si>
  <si>
    <t>02青森04</t>
    <rPh sb="2" eb="4">
      <t>アオモリ</t>
    </rPh>
    <phoneticPr fontId="4"/>
  </si>
  <si>
    <t>木村　太郎</t>
    <rPh sb="0" eb="2">
      <t>キムラ</t>
    </rPh>
    <rPh sb="3" eb="5">
      <t>タロウ</t>
    </rPh>
    <phoneticPr fontId="4"/>
  </si>
  <si>
    <t>311比例東北自民09</t>
    <rPh sb="3" eb="5">
      <t>ヒレイ</t>
    </rPh>
    <rPh sb="5" eb="7">
      <t>トウホク</t>
    </rPh>
    <rPh sb="7" eb="9">
      <t>ジミン</t>
    </rPh>
    <phoneticPr fontId="4"/>
  </si>
  <si>
    <t>03岩手02</t>
    <rPh sb="2" eb="4">
      <t>イワテ</t>
    </rPh>
    <phoneticPr fontId="4"/>
  </si>
  <si>
    <t>鈴木　俊一</t>
    <rPh sb="0" eb="2">
      <t>スズキ</t>
    </rPh>
    <rPh sb="3" eb="5">
      <t>シュンイチ</t>
    </rPh>
    <phoneticPr fontId="4"/>
  </si>
  <si>
    <t>311比例東北自民11</t>
    <rPh sb="3" eb="5">
      <t>ヒレイ</t>
    </rPh>
    <rPh sb="5" eb="7">
      <t>トウホク</t>
    </rPh>
    <rPh sb="7" eb="9">
      <t>ジミン</t>
    </rPh>
    <phoneticPr fontId="4"/>
  </si>
  <si>
    <t>04宮城01</t>
    <rPh sb="2" eb="4">
      <t>ミヤギ</t>
    </rPh>
    <phoneticPr fontId="4"/>
  </si>
  <si>
    <t>土井　亨</t>
    <rPh sb="0" eb="2">
      <t>ドイ</t>
    </rPh>
    <rPh sb="3" eb="4">
      <t>トオル</t>
    </rPh>
    <phoneticPr fontId="4"/>
  </si>
  <si>
    <t>311比例東北自民12</t>
    <rPh sb="3" eb="5">
      <t>ヒレイ</t>
    </rPh>
    <rPh sb="5" eb="7">
      <t>トウホク</t>
    </rPh>
    <rPh sb="7" eb="9">
      <t>ジミン</t>
    </rPh>
    <phoneticPr fontId="4"/>
  </si>
  <si>
    <t>04宮城02</t>
    <rPh sb="2" eb="4">
      <t>ミヤギ</t>
    </rPh>
    <phoneticPr fontId="4"/>
  </si>
  <si>
    <t>秋葉　賢也</t>
    <rPh sb="0" eb="2">
      <t>アキバ</t>
    </rPh>
    <rPh sb="3" eb="5">
      <t>サトヤ</t>
    </rPh>
    <phoneticPr fontId="4"/>
  </si>
  <si>
    <t>311比例東北自民13</t>
    <rPh sb="3" eb="5">
      <t>ヒレイ</t>
    </rPh>
    <rPh sb="5" eb="7">
      <t>トウホク</t>
    </rPh>
    <rPh sb="7" eb="9">
      <t>ジミン</t>
    </rPh>
    <phoneticPr fontId="4"/>
  </si>
  <si>
    <t>04宮城03</t>
    <rPh sb="2" eb="4">
      <t>ミヤギ</t>
    </rPh>
    <phoneticPr fontId="4"/>
  </si>
  <si>
    <t>西村　明宏</t>
    <rPh sb="0" eb="2">
      <t>ニシムラ</t>
    </rPh>
    <rPh sb="3" eb="5">
      <t>アキヒロ</t>
    </rPh>
    <phoneticPr fontId="4"/>
  </si>
  <si>
    <t>311比例東北自民14</t>
    <rPh sb="3" eb="5">
      <t>ヒレイ</t>
    </rPh>
    <rPh sb="5" eb="7">
      <t>トウホク</t>
    </rPh>
    <rPh sb="7" eb="9">
      <t>ジミン</t>
    </rPh>
    <phoneticPr fontId="4"/>
  </si>
  <si>
    <t>04宮城04</t>
    <rPh sb="2" eb="4">
      <t>ミヤギ</t>
    </rPh>
    <phoneticPr fontId="4"/>
  </si>
  <si>
    <t>伊藤　信太郎</t>
    <rPh sb="0" eb="2">
      <t>イトウ</t>
    </rPh>
    <rPh sb="3" eb="6">
      <t>シンタロウ</t>
    </rPh>
    <phoneticPr fontId="4"/>
  </si>
  <si>
    <t>311比例東北自民16</t>
    <rPh sb="3" eb="5">
      <t>ヒレイ</t>
    </rPh>
    <rPh sb="5" eb="7">
      <t>トウホク</t>
    </rPh>
    <rPh sb="7" eb="9">
      <t>ジミン</t>
    </rPh>
    <phoneticPr fontId="4"/>
  </si>
  <si>
    <t>04宮城06</t>
    <rPh sb="2" eb="4">
      <t>ミヤギ</t>
    </rPh>
    <phoneticPr fontId="4"/>
  </si>
  <si>
    <t>小野寺　五典</t>
    <rPh sb="0" eb="3">
      <t>オノデラ</t>
    </rPh>
    <rPh sb="4" eb="5">
      <t>ゴ</t>
    </rPh>
    <rPh sb="5" eb="6">
      <t>テン</t>
    </rPh>
    <phoneticPr fontId="4"/>
  </si>
  <si>
    <t>311比例東北自民19</t>
    <rPh sb="3" eb="5">
      <t>ヒレイ</t>
    </rPh>
    <rPh sb="5" eb="7">
      <t>トウホク</t>
    </rPh>
    <rPh sb="7" eb="9">
      <t>ジミン</t>
    </rPh>
    <phoneticPr fontId="4"/>
  </si>
  <si>
    <t>05秋田03</t>
    <rPh sb="2" eb="4">
      <t>アキタ</t>
    </rPh>
    <phoneticPr fontId="4"/>
  </si>
  <si>
    <t>御法川　信英</t>
    <rPh sb="0" eb="1">
      <t>ゴ</t>
    </rPh>
    <rPh sb="1" eb="2">
      <t>ホウ</t>
    </rPh>
    <rPh sb="2" eb="3">
      <t>カワ</t>
    </rPh>
    <rPh sb="4" eb="6">
      <t>ノブヒデ</t>
    </rPh>
    <phoneticPr fontId="4"/>
  </si>
  <si>
    <t>311比例東北自民20</t>
    <rPh sb="3" eb="5">
      <t>ヒレイ</t>
    </rPh>
    <rPh sb="5" eb="7">
      <t>トウホク</t>
    </rPh>
    <rPh sb="7" eb="9">
      <t>ジミン</t>
    </rPh>
    <phoneticPr fontId="4"/>
  </si>
  <si>
    <t>06山形01</t>
    <rPh sb="2" eb="4">
      <t>ヤマガタ</t>
    </rPh>
    <phoneticPr fontId="4"/>
  </si>
  <si>
    <t>遠藤　利明</t>
    <rPh sb="0" eb="2">
      <t>エンドウ</t>
    </rPh>
    <rPh sb="3" eb="5">
      <t>トシアキ</t>
    </rPh>
    <phoneticPr fontId="4"/>
  </si>
  <si>
    <t>１５小里</t>
    <rPh sb="2" eb="3">
      <t>オ</t>
    </rPh>
    <rPh sb="3" eb="4">
      <t>ザト</t>
    </rPh>
    <phoneticPr fontId="4"/>
  </si>
  <si>
    <t>311比例東北自民21</t>
    <rPh sb="3" eb="5">
      <t>ヒレイ</t>
    </rPh>
    <rPh sb="5" eb="7">
      <t>トウホク</t>
    </rPh>
    <rPh sb="7" eb="9">
      <t>ジミン</t>
    </rPh>
    <phoneticPr fontId="4"/>
  </si>
  <si>
    <t>06山形02</t>
    <rPh sb="2" eb="4">
      <t>ヤマガタ</t>
    </rPh>
    <phoneticPr fontId="4"/>
  </si>
  <si>
    <t>遠藤　武彦</t>
    <rPh sb="0" eb="2">
      <t>エンドウ</t>
    </rPh>
    <rPh sb="3" eb="5">
      <t>タケヒコ</t>
    </rPh>
    <phoneticPr fontId="4"/>
  </si>
  <si>
    <t>311比例東北自民22</t>
    <rPh sb="3" eb="5">
      <t>ヒレイ</t>
    </rPh>
    <rPh sb="5" eb="7">
      <t>トウホク</t>
    </rPh>
    <rPh sb="7" eb="9">
      <t>ジミン</t>
    </rPh>
    <phoneticPr fontId="4"/>
  </si>
  <si>
    <t>06山形03</t>
    <rPh sb="2" eb="4">
      <t>ヤマガタ</t>
    </rPh>
    <phoneticPr fontId="4"/>
  </si>
  <si>
    <t>加藤　紘一</t>
    <rPh sb="0" eb="2">
      <t>カトウ</t>
    </rPh>
    <rPh sb="3" eb="5">
      <t>コウイチ</t>
    </rPh>
    <phoneticPr fontId="4"/>
  </si>
  <si>
    <t>311比例東北自民23</t>
    <rPh sb="3" eb="5">
      <t>ヒレイ</t>
    </rPh>
    <rPh sb="5" eb="7">
      <t>トウホク</t>
    </rPh>
    <rPh sb="7" eb="9">
      <t>ジミン</t>
    </rPh>
    <phoneticPr fontId="4"/>
  </si>
  <si>
    <t>07福島01</t>
    <rPh sb="2" eb="4">
      <t>フクシマ</t>
    </rPh>
    <phoneticPr fontId="4"/>
  </si>
  <si>
    <t>亀岡　偉民</t>
    <rPh sb="0" eb="2">
      <t>カメオカ</t>
    </rPh>
    <rPh sb="3" eb="5">
      <t>ヨシタミ</t>
    </rPh>
    <phoneticPr fontId="4"/>
  </si>
  <si>
    <t>311比例東北自民24</t>
    <rPh sb="3" eb="5">
      <t>ヒレイ</t>
    </rPh>
    <rPh sb="5" eb="7">
      <t>トウホク</t>
    </rPh>
    <rPh sb="7" eb="9">
      <t>ジミン</t>
    </rPh>
    <phoneticPr fontId="4"/>
  </si>
  <si>
    <t>07福島02</t>
    <rPh sb="2" eb="4">
      <t>フクシマ</t>
    </rPh>
    <phoneticPr fontId="4"/>
  </si>
  <si>
    <t>根本　匠</t>
    <rPh sb="0" eb="2">
      <t>ネモト</t>
    </rPh>
    <rPh sb="3" eb="4">
      <t>タクミ</t>
    </rPh>
    <phoneticPr fontId="4"/>
  </si>
  <si>
    <t>311比例東北自民27</t>
    <rPh sb="3" eb="5">
      <t>ヒレイ</t>
    </rPh>
    <rPh sb="5" eb="7">
      <t>トウホク</t>
    </rPh>
    <rPh sb="7" eb="9">
      <t>ジミン</t>
    </rPh>
    <phoneticPr fontId="4"/>
  </si>
  <si>
    <t>07福島05</t>
    <rPh sb="2" eb="4">
      <t>フクシマ</t>
    </rPh>
    <phoneticPr fontId="4"/>
  </si>
  <si>
    <t>吉野　正芳</t>
    <rPh sb="0" eb="2">
      <t>ヨシノ</t>
    </rPh>
    <rPh sb="3" eb="5">
      <t>マサヨシ</t>
    </rPh>
    <phoneticPr fontId="4"/>
  </si>
  <si>
    <t>312比例東北民主08</t>
    <rPh sb="3" eb="5">
      <t>ヒレイ</t>
    </rPh>
    <rPh sb="5" eb="7">
      <t>トウホク</t>
    </rPh>
    <rPh sb="7" eb="9">
      <t>ミンシュ</t>
    </rPh>
    <phoneticPr fontId="4"/>
  </si>
  <si>
    <t>郡　和子</t>
    <rPh sb="0" eb="1">
      <t>コオリ</t>
    </rPh>
    <rPh sb="2" eb="4">
      <t>カズコ</t>
    </rPh>
    <phoneticPr fontId="4"/>
  </si>
  <si>
    <t>312比例東北民主01</t>
    <rPh sb="3" eb="5">
      <t>ヒレイ</t>
    </rPh>
    <rPh sb="5" eb="7">
      <t>トウホク</t>
    </rPh>
    <rPh sb="7" eb="9">
      <t>ミンシュ</t>
    </rPh>
    <phoneticPr fontId="4"/>
  </si>
  <si>
    <t>02青森01</t>
    <rPh sb="2" eb="4">
      <t>アオモリ</t>
    </rPh>
    <phoneticPr fontId="4"/>
  </si>
  <si>
    <t>横山　北斗</t>
    <rPh sb="0" eb="2">
      <t>ヨコヤマ</t>
    </rPh>
    <rPh sb="3" eb="5">
      <t>ホクト</t>
    </rPh>
    <phoneticPr fontId="4"/>
  </si>
  <si>
    <t>312比例東北民主22</t>
    <rPh sb="3" eb="5">
      <t>ヒレイ</t>
    </rPh>
    <rPh sb="5" eb="7">
      <t>トウホク</t>
    </rPh>
    <rPh sb="7" eb="9">
      <t>ミンシュ</t>
    </rPh>
    <phoneticPr fontId="4"/>
  </si>
  <si>
    <t>吉田　泉</t>
    <rPh sb="0" eb="2">
      <t>ヨシダ</t>
    </rPh>
    <rPh sb="3" eb="4">
      <t>イズミ</t>
    </rPh>
    <phoneticPr fontId="4"/>
  </si>
  <si>
    <t>312比例東北民主17</t>
    <rPh sb="3" eb="5">
      <t>ヒレイ</t>
    </rPh>
    <rPh sb="5" eb="7">
      <t>トウホク</t>
    </rPh>
    <rPh sb="7" eb="9">
      <t>ミンシュ</t>
    </rPh>
    <phoneticPr fontId="4"/>
  </si>
  <si>
    <t>近藤　洋介</t>
    <rPh sb="0" eb="2">
      <t>コンドウ</t>
    </rPh>
    <rPh sb="3" eb="5">
      <t>ヨウスケ</t>
    </rPh>
    <phoneticPr fontId="4"/>
  </si>
  <si>
    <t>312比例東北民主03</t>
    <rPh sb="3" eb="5">
      <t>ヒレイ</t>
    </rPh>
    <rPh sb="5" eb="7">
      <t>トウホク</t>
    </rPh>
    <rPh sb="7" eb="9">
      <t>ミンシュ</t>
    </rPh>
    <phoneticPr fontId="4"/>
  </si>
  <si>
    <t>田名部　匡代</t>
    <rPh sb="0" eb="3">
      <t>タナブ</t>
    </rPh>
    <rPh sb="4" eb="5">
      <t>マサ</t>
    </rPh>
    <rPh sb="5" eb="6">
      <t>ダイ</t>
    </rPh>
    <phoneticPr fontId="4"/>
  </si>
  <si>
    <t>312比例東北民主06</t>
    <rPh sb="3" eb="5">
      <t>ヒレイ</t>
    </rPh>
    <rPh sb="5" eb="7">
      <t>トウホク</t>
    </rPh>
    <rPh sb="7" eb="9">
      <t>ミンシュ</t>
    </rPh>
    <phoneticPr fontId="4"/>
  </si>
  <si>
    <t>畑　浩治</t>
    <rPh sb="0" eb="1">
      <t>ハタ</t>
    </rPh>
    <rPh sb="2" eb="4">
      <t>コウジ</t>
    </rPh>
    <phoneticPr fontId="4"/>
  </si>
  <si>
    <t>312比例東北民主19</t>
    <rPh sb="3" eb="5">
      <t>ヒレイ</t>
    </rPh>
    <rPh sb="5" eb="7">
      <t>トウホク</t>
    </rPh>
    <rPh sb="7" eb="9">
      <t>ミンシュ</t>
    </rPh>
    <phoneticPr fontId="4"/>
  </si>
  <si>
    <t>増子　輝彦</t>
    <rPh sb="0" eb="2">
      <t>マシコ</t>
    </rPh>
    <rPh sb="3" eb="5">
      <t>テルヒコ</t>
    </rPh>
    <phoneticPr fontId="4"/>
  </si>
  <si>
    <t>312比例東北民主10</t>
    <rPh sb="3" eb="5">
      <t>ヒレイ</t>
    </rPh>
    <rPh sb="5" eb="7">
      <t>トウホク</t>
    </rPh>
    <rPh sb="7" eb="9">
      <t>ミンシュ</t>
    </rPh>
    <phoneticPr fontId="4"/>
  </si>
  <si>
    <t>橋本　清仁</t>
    <rPh sb="0" eb="2">
      <t>ハシモト</t>
    </rPh>
    <rPh sb="3" eb="5">
      <t>キヨヒト</t>
    </rPh>
    <phoneticPr fontId="4"/>
  </si>
  <si>
    <t>312比例東北民主09</t>
    <rPh sb="3" eb="5">
      <t>ヒレイ</t>
    </rPh>
    <rPh sb="5" eb="7">
      <t>トウホク</t>
    </rPh>
    <rPh sb="7" eb="9">
      <t>ミンシュ</t>
    </rPh>
    <phoneticPr fontId="4"/>
  </si>
  <si>
    <t>門間　由記子</t>
    <rPh sb="0" eb="1">
      <t>モン</t>
    </rPh>
    <rPh sb="1" eb="2">
      <t>アイダ</t>
    </rPh>
    <rPh sb="3" eb="6">
      <t>ユキコ</t>
    </rPh>
    <phoneticPr fontId="4"/>
  </si>
  <si>
    <t>312比例東北民主15</t>
    <rPh sb="3" eb="5">
      <t>ヒレイ</t>
    </rPh>
    <rPh sb="5" eb="7">
      <t>トウホク</t>
    </rPh>
    <rPh sb="7" eb="9">
      <t>ミンシュ</t>
    </rPh>
    <phoneticPr fontId="4"/>
  </si>
  <si>
    <t>京野　公子</t>
    <rPh sb="0" eb="1">
      <t>キョウ</t>
    </rPh>
    <rPh sb="1" eb="2">
      <t>ノ</t>
    </rPh>
    <rPh sb="3" eb="5">
      <t>キミコ</t>
    </rPh>
    <phoneticPr fontId="4"/>
  </si>
  <si>
    <t>312比例東北民主16</t>
    <rPh sb="3" eb="5">
      <t>ヒレイ</t>
    </rPh>
    <rPh sb="5" eb="7">
      <t>トウホク</t>
    </rPh>
    <rPh sb="7" eb="9">
      <t>ミンシュ</t>
    </rPh>
    <phoneticPr fontId="4"/>
  </si>
  <si>
    <t>鹿野　道彦</t>
    <rPh sb="0" eb="2">
      <t>カノ</t>
    </rPh>
    <rPh sb="3" eb="5">
      <t>ミチヒコ</t>
    </rPh>
    <phoneticPr fontId="4"/>
  </si>
  <si>
    <t>312比例東北民主11</t>
    <rPh sb="3" eb="5">
      <t>ヒレイ</t>
    </rPh>
    <rPh sb="5" eb="7">
      <t>トウホク</t>
    </rPh>
    <rPh sb="7" eb="9">
      <t>ミンシュ</t>
    </rPh>
    <phoneticPr fontId="4"/>
  </si>
  <si>
    <t>石山　敬貴</t>
    <rPh sb="0" eb="2">
      <t>イシヤマ</t>
    </rPh>
    <rPh sb="3" eb="5">
      <t>ケイキ</t>
    </rPh>
    <phoneticPr fontId="4"/>
  </si>
  <si>
    <t>312比例東北民主18</t>
    <rPh sb="3" eb="5">
      <t>ヒレイ</t>
    </rPh>
    <rPh sb="5" eb="7">
      <t>トウホク</t>
    </rPh>
    <rPh sb="7" eb="9">
      <t>ミンシュ</t>
    </rPh>
    <phoneticPr fontId="4"/>
  </si>
  <si>
    <t>石原　信市郎</t>
    <rPh sb="0" eb="2">
      <t>イシハラ</t>
    </rPh>
    <rPh sb="3" eb="4">
      <t>シン</t>
    </rPh>
    <rPh sb="4" eb="5">
      <t>シ</t>
    </rPh>
    <rPh sb="5" eb="6">
      <t>ロウ</t>
    </rPh>
    <phoneticPr fontId="4"/>
  </si>
  <si>
    <t>312比例東北民主14</t>
    <rPh sb="3" eb="5">
      <t>ヒレイ</t>
    </rPh>
    <rPh sb="5" eb="7">
      <t>トウホク</t>
    </rPh>
    <rPh sb="7" eb="9">
      <t>ミンシュ</t>
    </rPh>
    <phoneticPr fontId="4"/>
  </si>
  <si>
    <t>佐々木　重人</t>
    <rPh sb="0" eb="3">
      <t>ササキ</t>
    </rPh>
    <rPh sb="4" eb="5">
      <t>オモ</t>
    </rPh>
    <rPh sb="5" eb="6">
      <t>ヒト</t>
    </rPh>
    <phoneticPr fontId="4"/>
  </si>
  <si>
    <t>312比例東北民主02</t>
    <rPh sb="3" eb="5">
      <t>ヒレイ</t>
    </rPh>
    <rPh sb="5" eb="7">
      <t>トウホク</t>
    </rPh>
    <rPh sb="7" eb="9">
      <t>ミンシュ</t>
    </rPh>
    <phoneticPr fontId="4"/>
  </si>
  <si>
    <t>中村　友信</t>
    <rPh sb="0" eb="2">
      <t>ナカムラ</t>
    </rPh>
    <rPh sb="3" eb="5">
      <t>トモノブ</t>
    </rPh>
    <phoneticPr fontId="4"/>
  </si>
  <si>
    <t>312比例東北民主04</t>
    <rPh sb="3" eb="5">
      <t>ヒレイ</t>
    </rPh>
    <rPh sb="5" eb="7">
      <t>トウホク</t>
    </rPh>
    <rPh sb="7" eb="9">
      <t>ミンシュ</t>
    </rPh>
    <phoneticPr fontId="4"/>
  </si>
  <si>
    <t>渋谷　修</t>
    <rPh sb="0" eb="2">
      <t>シブタニ</t>
    </rPh>
    <rPh sb="3" eb="4">
      <t>オサム</t>
    </rPh>
    <phoneticPr fontId="4"/>
  </si>
  <si>
    <t>312比例東北民主13</t>
    <rPh sb="3" eb="5">
      <t>ヒレイ</t>
    </rPh>
    <rPh sb="5" eb="7">
      <t>トウホク</t>
    </rPh>
    <rPh sb="7" eb="9">
      <t>ミンシュ</t>
    </rPh>
    <phoneticPr fontId="4"/>
  </si>
  <si>
    <t>寺田　学</t>
    <rPh sb="0" eb="2">
      <t>テラダ</t>
    </rPh>
    <rPh sb="3" eb="4">
      <t>マナブ</t>
    </rPh>
    <phoneticPr fontId="4"/>
  </si>
  <si>
    <t>312比例東北民主05</t>
    <rPh sb="3" eb="5">
      <t>ヒレイ</t>
    </rPh>
    <rPh sb="5" eb="7">
      <t>トウホク</t>
    </rPh>
    <rPh sb="7" eb="9">
      <t>ミンシュ</t>
    </rPh>
    <phoneticPr fontId="4"/>
  </si>
  <si>
    <t>達増　拓也</t>
    <rPh sb="0" eb="1">
      <t>タッ</t>
    </rPh>
    <rPh sb="1" eb="2">
      <t>マ</t>
    </rPh>
    <rPh sb="3" eb="5">
      <t>タクヤ</t>
    </rPh>
    <phoneticPr fontId="4"/>
  </si>
  <si>
    <t>312比例東北民主07</t>
    <rPh sb="3" eb="5">
      <t>ヒレイ</t>
    </rPh>
    <rPh sb="5" eb="7">
      <t>トウホク</t>
    </rPh>
    <rPh sb="7" eb="9">
      <t>ミンシュ</t>
    </rPh>
    <phoneticPr fontId="4"/>
  </si>
  <si>
    <t>黄川田　徹</t>
    <rPh sb="0" eb="3">
      <t>キカワダ</t>
    </rPh>
    <rPh sb="4" eb="5">
      <t>トオル</t>
    </rPh>
    <phoneticPr fontId="4"/>
  </si>
  <si>
    <t>312比例東北民主12</t>
    <rPh sb="3" eb="5">
      <t>ヒレイ</t>
    </rPh>
    <rPh sb="5" eb="7">
      <t>トウホク</t>
    </rPh>
    <rPh sb="7" eb="9">
      <t>ミンシュ</t>
    </rPh>
    <phoneticPr fontId="4"/>
  </si>
  <si>
    <t>安住　淳</t>
    <rPh sb="0" eb="2">
      <t>アズミ</t>
    </rPh>
    <rPh sb="3" eb="4">
      <t>ジュン</t>
    </rPh>
    <phoneticPr fontId="4"/>
  </si>
  <si>
    <t>312比例東北民主20</t>
    <rPh sb="3" eb="5">
      <t>ヒレイ</t>
    </rPh>
    <rPh sb="5" eb="7">
      <t>トウホク</t>
    </rPh>
    <rPh sb="7" eb="9">
      <t>ミンシュ</t>
    </rPh>
    <phoneticPr fontId="4"/>
  </si>
  <si>
    <t>玄葉　光一郎</t>
    <rPh sb="0" eb="2">
      <t>ゲンバ</t>
    </rPh>
    <rPh sb="3" eb="6">
      <t>コウイチロウ</t>
    </rPh>
    <phoneticPr fontId="4"/>
  </si>
  <si>
    <t>312比例東北民主21</t>
    <rPh sb="3" eb="5">
      <t>ヒレイ</t>
    </rPh>
    <rPh sb="5" eb="7">
      <t>トウホク</t>
    </rPh>
    <rPh sb="7" eb="9">
      <t>ミンシュ</t>
    </rPh>
    <phoneticPr fontId="4"/>
  </si>
  <si>
    <t>渡部　恒三</t>
    <rPh sb="0" eb="2">
      <t>ワタベ</t>
    </rPh>
    <rPh sb="3" eb="4">
      <t>ツネ</t>
    </rPh>
    <rPh sb="4" eb="5">
      <t>サン</t>
    </rPh>
    <phoneticPr fontId="4"/>
  </si>
  <si>
    <t>313比例東北公明01</t>
    <rPh sb="3" eb="5">
      <t>ヒレイ</t>
    </rPh>
    <rPh sb="5" eb="7">
      <t>トウホク</t>
    </rPh>
    <rPh sb="7" eb="9">
      <t>コウメイ</t>
    </rPh>
    <phoneticPr fontId="4"/>
  </si>
  <si>
    <t>井上　義久</t>
    <rPh sb="0" eb="2">
      <t>イノウエ</t>
    </rPh>
    <rPh sb="3" eb="5">
      <t>ヨシヒサ</t>
    </rPh>
    <phoneticPr fontId="4"/>
  </si>
  <si>
    <t>313比例東北公明02</t>
    <rPh sb="3" eb="5">
      <t>ヒレイ</t>
    </rPh>
    <rPh sb="5" eb="7">
      <t>トウホク</t>
    </rPh>
    <rPh sb="7" eb="9">
      <t>コウメイ</t>
    </rPh>
    <phoneticPr fontId="4"/>
  </si>
  <si>
    <t>若松　謙維</t>
    <rPh sb="0" eb="2">
      <t>ワカマツ</t>
    </rPh>
    <rPh sb="3" eb="5">
      <t>ケンイ</t>
    </rPh>
    <phoneticPr fontId="4"/>
  </si>
  <si>
    <t>313比例東北公明03</t>
    <rPh sb="3" eb="5">
      <t>ヒレイ</t>
    </rPh>
    <rPh sb="5" eb="7">
      <t>トウホク</t>
    </rPh>
    <rPh sb="7" eb="9">
      <t>コウメイ</t>
    </rPh>
    <phoneticPr fontId="4"/>
  </si>
  <si>
    <t>間山　治子</t>
    <rPh sb="0" eb="2">
      <t>マヤマ</t>
    </rPh>
    <rPh sb="3" eb="5">
      <t>ハルコ</t>
    </rPh>
    <phoneticPr fontId="4"/>
  </si>
  <si>
    <t>314比例東北共産01</t>
    <rPh sb="3" eb="5">
      <t>ヒレイ</t>
    </rPh>
    <rPh sb="5" eb="7">
      <t>トウホク</t>
    </rPh>
    <rPh sb="7" eb="9">
      <t>キョウサン</t>
    </rPh>
    <phoneticPr fontId="4"/>
  </si>
  <si>
    <t>高橋　千鶴子</t>
    <rPh sb="0" eb="2">
      <t>タカハシ</t>
    </rPh>
    <rPh sb="3" eb="6">
      <t>チヅコ</t>
    </rPh>
    <phoneticPr fontId="4"/>
  </si>
  <si>
    <t>314比例東北共産03</t>
    <rPh sb="3" eb="5">
      <t>ヒレイ</t>
    </rPh>
    <rPh sb="5" eb="7">
      <t>トウホク</t>
    </rPh>
    <rPh sb="7" eb="9">
      <t>キョウサン</t>
    </rPh>
    <phoneticPr fontId="4"/>
  </si>
  <si>
    <t>菅原　則勝</t>
    <rPh sb="0" eb="2">
      <t>スガワラ</t>
    </rPh>
    <rPh sb="3" eb="4">
      <t>ソク</t>
    </rPh>
    <rPh sb="4" eb="5">
      <t>カ</t>
    </rPh>
    <phoneticPr fontId="4"/>
  </si>
  <si>
    <t>314比例東北共産02</t>
    <rPh sb="3" eb="5">
      <t>ヒレイ</t>
    </rPh>
    <rPh sb="5" eb="7">
      <t>トウホク</t>
    </rPh>
    <rPh sb="7" eb="9">
      <t>キョウサン</t>
    </rPh>
    <phoneticPr fontId="4"/>
  </si>
  <si>
    <t>×</t>
    <phoneticPr fontId="4"/>
  </si>
  <si>
    <t>五島　平</t>
    <rPh sb="0" eb="2">
      <t>ゴトウ</t>
    </rPh>
    <rPh sb="3" eb="4">
      <t>タイラ</t>
    </rPh>
    <phoneticPr fontId="4"/>
  </si>
  <si>
    <t>315比例東北社民05</t>
    <rPh sb="3" eb="5">
      <t>ヒレイ</t>
    </rPh>
    <rPh sb="5" eb="7">
      <t>トウホク</t>
    </rPh>
    <rPh sb="7" eb="9">
      <t>シャミン</t>
    </rPh>
    <phoneticPr fontId="4"/>
  </si>
  <si>
    <t>菅野　哲雄</t>
    <rPh sb="0" eb="2">
      <t>カンノ</t>
    </rPh>
    <rPh sb="3" eb="5">
      <t>テツオ</t>
    </rPh>
    <phoneticPr fontId="4"/>
  </si>
  <si>
    <t>315比例東北社民06</t>
    <rPh sb="3" eb="5">
      <t>ヒレイ</t>
    </rPh>
    <rPh sb="5" eb="7">
      <t>トウホク</t>
    </rPh>
    <rPh sb="7" eb="9">
      <t>シャミン</t>
    </rPh>
    <phoneticPr fontId="4"/>
  </si>
  <si>
    <t>山本　喜代宏</t>
    <rPh sb="0" eb="2">
      <t>ヤマモト</t>
    </rPh>
    <rPh sb="3" eb="5">
      <t>キヨ</t>
    </rPh>
    <rPh sb="5" eb="6">
      <t>ヒロシ</t>
    </rPh>
    <phoneticPr fontId="4"/>
  </si>
  <si>
    <t>315比例東北社民07</t>
    <rPh sb="3" eb="5">
      <t>ヒレイ</t>
    </rPh>
    <rPh sb="5" eb="7">
      <t>トウホク</t>
    </rPh>
    <rPh sb="7" eb="9">
      <t>シャミン</t>
    </rPh>
    <phoneticPr fontId="4"/>
  </si>
  <si>
    <t>伊藤　おの一</t>
    <rPh sb="0" eb="2">
      <t>イトウ</t>
    </rPh>
    <rPh sb="5" eb="6">
      <t>イチ</t>
    </rPh>
    <phoneticPr fontId="4"/>
  </si>
  <si>
    <t>315比例東北社民04</t>
    <rPh sb="3" eb="5">
      <t>ヒレイ</t>
    </rPh>
    <rPh sb="5" eb="7">
      <t>トウホク</t>
    </rPh>
    <rPh sb="7" eb="9">
      <t>シャミン</t>
    </rPh>
    <phoneticPr fontId="4"/>
  </si>
  <si>
    <t>久保　孝喜</t>
    <rPh sb="0" eb="2">
      <t>クボ</t>
    </rPh>
    <rPh sb="3" eb="4">
      <t>タカシ</t>
    </rPh>
    <rPh sb="4" eb="5">
      <t>ヨロコ</t>
    </rPh>
    <phoneticPr fontId="4"/>
  </si>
  <si>
    <t>315比例東北社民02</t>
    <rPh sb="3" eb="5">
      <t>ヒレイ</t>
    </rPh>
    <rPh sb="5" eb="7">
      <t>トウホク</t>
    </rPh>
    <rPh sb="7" eb="9">
      <t>シャミン</t>
    </rPh>
    <phoneticPr fontId="4"/>
  </si>
  <si>
    <t>木下　千代治</t>
    <rPh sb="0" eb="2">
      <t>キノシタ</t>
    </rPh>
    <rPh sb="3" eb="5">
      <t>チヨ</t>
    </rPh>
    <rPh sb="5" eb="6">
      <t>オサ</t>
    </rPh>
    <phoneticPr fontId="4"/>
  </si>
  <si>
    <t>315比例東北社民03</t>
    <rPh sb="3" eb="5">
      <t>ヒレイ</t>
    </rPh>
    <rPh sb="5" eb="7">
      <t>トウホク</t>
    </rPh>
    <rPh sb="7" eb="9">
      <t>シャミン</t>
    </rPh>
    <phoneticPr fontId="4"/>
  </si>
  <si>
    <t>細川　光正</t>
    <rPh sb="0" eb="2">
      <t>ホソカワ</t>
    </rPh>
    <rPh sb="3" eb="5">
      <t>ミツマサ</t>
    </rPh>
    <phoneticPr fontId="4"/>
  </si>
  <si>
    <t>315比例東北社民01</t>
    <rPh sb="3" eb="5">
      <t>ヒレイ</t>
    </rPh>
    <rPh sb="5" eb="7">
      <t>トウホク</t>
    </rPh>
    <rPh sb="7" eb="9">
      <t>シャミン</t>
    </rPh>
    <phoneticPr fontId="4"/>
  </si>
  <si>
    <t>仲谷　良子</t>
    <rPh sb="0" eb="2">
      <t>ナカタニ</t>
    </rPh>
    <rPh sb="3" eb="5">
      <t>ヨシコ</t>
    </rPh>
    <phoneticPr fontId="4"/>
  </si>
  <si>
    <t>316比例東北国民01</t>
    <rPh sb="3" eb="5">
      <t>ヒレイ</t>
    </rPh>
    <rPh sb="5" eb="7">
      <t>トウホク</t>
    </rPh>
    <rPh sb="7" eb="9">
      <t>コクミン</t>
    </rPh>
    <phoneticPr fontId="4"/>
  </si>
  <si>
    <t>津島　恭一</t>
    <rPh sb="0" eb="2">
      <t>ツシマ</t>
    </rPh>
    <rPh sb="3" eb="5">
      <t>キョウイチ</t>
    </rPh>
    <phoneticPr fontId="4"/>
  </si>
  <si>
    <t>０６国民新</t>
    <rPh sb="2" eb="4">
      <t>コクミン</t>
    </rPh>
    <rPh sb="4" eb="5">
      <t>シン</t>
    </rPh>
    <phoneticPr fontId="4"/>
  </si>
  <si>
    <t>(自反橋)</t>
    <rPh sb="1" eb="2">
      <t>ジ</t>
    </rPh>
    <rPh sb="2" eb="3">
      <t>ハン</t>
    </rPh>
    <rPh sb="3" eb="4">
      <t>ハシ</t>
    </rPh>
    <phoneticPr fontId="4"/>
  </si>
  <si>
    <t>316比例東北国民02</t>
    <rPh sb="3" eb="5">
      <t>ヒレイ</t>
    </rPh>
    <rPh sb="5" eb="7">
      <t>トウホク</t>
    </rPh>
    <rPh sb="7" eb="9">
      <t>コクミン</t>
    </rPh>
    <phoneticPr fontId="4"/>
  </si>
  <si>
    <t>×</t>
    <phoneticPr fontId="4"/>
  </si>
  <si>
    <t>石川　錬治郎</t>
    <rPh sb="0" eb="2">
      <t>イシカワ</t>
    </rPh>
    <rPh sb="3" eb="4">
      <t>レン</t>
    </rPh>
    <rPh sb="4" eb="6">
      <t>ジロウ</t>
    </rPh>
    <phoneticPr fontId="4"/>
  </si>
  <si>
    <t>316比例東北国民03</t>
    <rPh sb="3" eb="5">
      <t>ヒレイ</t>
    </rPh>
    <rPh sb="5" eb="7">
      <t>トウホク</t>
    </rPh>
    <rPh sb="7" eb="9">
      <t>コクミン</t>
    </rPh>
    <phoneticPr fontId="4"/>
  </si>
  <si>
    <t>鈴木　工</t>
    <rPh sb="0" eb="2">
      <t>スズキ</t>
    </rPh>
    <rPh sb="3" eb="4">
      <t>コウ</t>
    </rPh>
    <phoneticPr fontId="4"/>
  </si>
  <si>
    <t>321比例北関東自民01</t>
    <rPh sb="3" eb="5">
      <t>ヒレイ</t>
    </rPh>
    <rPh sb="5" eb="6">
      <t>キタ</t>
    </rPh>
    <rPh sb="6" eb="8">
      <t>カントウ</t>
    </rPh>
    <rPh sb="8" eb="10">
      <t>ジミン</t>
    </rPh>
    <phoneticPr fontId="4"/>
  </si>
  <si>
    <t>尾身　幸次</t>
    <rPh sb="0" eb="1">
      <t>オ</t>
    </rPh>
    <rPh sb="1" eb="2">
      <t>ミ</t>
    </rPh>
    <rPh sb="3" eb="5">
      <t>コウジ</t>
    </rPh>
    <phoneticPr fontId="4"/>
  </si>
  <si>
    <t>321比例北関東自民02</t>
    <rPh sb="3" eb="5">
      <t>ヒレイ</t>
    </rPh>
    <rPh sb="5" eb="6">
      <t>キタ</t>
    </rPh>
    <rPh sb="6" eb="8">
      <t>カントウ</t>
    </rPh>
    <rPh sb="8" eb="10">
      <t>ジミン</t>
    </rPh>
    <phoneticPr fontId="4"/>
  </si>
  <si>
    <t>西川　公也</t>
    <rPh sb="0" eb="2">
      <t>ニシカワ</t>
    </rPh>
    <rPh sb="3" eb="4">
      <t>コウ</t>
    </rPh>
    <rPh sb="4" eb="5">
      <t>ヤ</t>
    </rPh>
    <phoneticPr fontId="4"/>
  </si>
  <si>
    <t>321比例北関東自民24</t>
    <rPh sb="3" eb="5">
      <t>ヒレイ</t>
    </rPh>
    <rPh sb="5" eb="6">
      <t>キタ</t>
    </rPh>
    <rPh sb="6" eb="8">
      <t>カントウ</t>
    </rPh>
    <rPh sb="8" eb="10">
      <t>ジミン</t>
    </rPh>
    <phoneticPr fontId="4"/>
  </si>
  <si>
    <t>11埼玉06</t>
    <rPh sb="2" eb="4">
      <t>サイタマ</t>
    </rPh>
    <phoneticPr fontId="4"/>
  </si>
  <si>
    <t>中根　一幸</t>
    <rPh sb="0" eb="2">
      <t>ナカネ</t>
    </rPh>
    <rPh sb="3" eb="4">
      <t>イチ</t>
    </rPh>
    <rPh sb="4" eb="5">
      <t>サイワ</t>
    </rPh>
    <phoneticPr fontId="4"/>
  </si>
  <si>
    <t>321比例北関東自民19</t>
    <rPh sb="3" eb="5">
      <t>ヒレイ</t>
    </rPh>
    <rPh sb="5" eb="6">
      <t>キタ</t>
    </rPh>
    <rPh sb="6" eb="8">
      <t>カントウ</t>
    </rPh>
    <rPh sb="8" eb="10">
      <t>ジミン</t>
    </rPh>
    <phoneticPr fontId="4"/>
  </si>
  <si>
    <t>11埼玉01</t>
    <rPh sb="2" eb="4">
      <t>サイタマ</t>
    </rPh>
    <phoneticPr fontId="4"/>
  </si>
  <si>
    <t>金子　善次郎</t>
    <rPh sb="0" eb="2">
      <t>カネコ</t>
    </rPh>
    <rPh sb="3" eb="4">
      <t>ゼン</t>
    </rPh>
    <rPh sb="4" eb="6">
      <t>ジロウ</t>
    </rPh>
    <phoneticPr fontId="4"/>
  </si>
  <si>
    <t>321比例北関東自民07</t>
    <rPh sb="3" eb="5">
      <t>ヒレイ</t>
    </rPh>
    <rPh sb="5" eb="6">
      <t>キタ</t>
    </rPh>
    <rPh sb="6" eb="8">
      <t>カントウ</t>
    </rPh>
    <rPh sb="8" eb="10">
      <t>ジミン</t>
    </rPh>
    <phoneticPr fontId="4"/>
  </si>
  <si>
    <t>08茨城05</t>
    <rPh sb="2" eb="4">
      <t>イバラキ</t>
    </rPh>
    <phoneticPr fontId="4"/>
  </si>
  <si>
    <t>岡部　英明</t>
    <rPh sb="0" eb="2">
      <t>オカベ</t>
    </rPh>
    <rPh sb="3" eb="5">
      <t>ヒデアキ</t>
    </rPh>
    <phoneticPr fontId="4"/>
  </si>
  <si>
    <t>321比例北関東自民09</t>
    <rPh sb="3" eb="5">
      <t>ヒレイ</t>
    </rPh>
    <rPh sb="5" eb="6">
      <t>キタ</t>
    </rPh>
    <rPh sb="6" eb="8">
      <t>カントウ</t>
    </rPh>
    <rPh sb="8" eb="10">
      <t>ジミン</t>
    </rPh>
    <phoneticPr fontId="4"/>
  </si>
  <si>
    <t>08茨城07</t>
    <rPh sb="2" eb="4">
      <t>イバラキ</t>
    </rPh>
    <phoneticPr fontId="4"/>
  </si>
  <si>
    <t>永岡　桂子</t>
    <rPh sb="0" eb="2">
      <t>ナガオカ</t>
    </rPh>
    <rPh sb="3" eb="5">
      <t>ケイコ</t>
    </rPh>
    <phoneticPr fontId="4"/>
  </si>
  <si>
    <t>321比例北関東自民23</t>
    <rPh sb="3" eb="5">
      <t>ヒレイ</t>
    </rPh>
    <rPh sb="5" eb="6">
      <t>キタ</t>
    </rPh>
    <rPh sb="6" eb="8">
      <t>カントウ</t>
    </rPh>
    <rPh sb="8" eb="10">
      <t>ジミン</t>
    </rPh>
    <phoneticPr fontId="4"/>
  </si>
  <si>
    <t>11埼玉05</t>
    <rPh sb="2" eb="4">
      <t>サイタマ</t>
    </rPh>
    <phoneticPr fontId="4"/>
  </si>
  <si>
    <t>牧原　秀樹</t>
    <rPh sb="0" eb="2">
      <t>マキハラ</t>
    </rPh>
    <rPh sb="3" eb="5">
      <t>ヒデキ</t>
    </rPh>
    <phoneticPr fontId="4"/>
  </si>
  <si>
    <t>321比例北関東自民34</t>
    <rPh sb="3" eb="5">
      <t>ヒレイ</t>
    </rPh>
    <rPh sb="5" eb="6">
      <t>キタ</t>
    </rPh>
    <rPh sb="6" eb="8">
      <t>カントウ</t>
    </rPh>
    <rPh sb="8" eb="10">
      <t>ジミン</t>
    </rPh>
    <phoneticPr fontId="4"/>
  </si>
  <si>
    <t>中森　福代</t>
    <rPh sb="0" eb="2">
      <t>ナカモリ</t>
    </rPh>
    <rPh sb="3" eb="4">
      <t>フク</t>
    </rPh>
    <rPh sb="4" eb="5">
      <t>ダイ</t>
    </rPh>
    <phoneticPr fontId="4"/>
  </si>
  <si>
    <t>321比例北関東自民35</t>
    <rPh sb="3" eb="5">
      <t>ヒレイ</t>
    </rPh>
    <rPh sb="5" eb="6">
      <t>キタ</t>
    </rPh>
    <rPh sb="6" eb="8">
      <t>カントウ</t>
    </rPh>
    <rPh sb="8" eb="10">
      <t>ジミン</t>
    </rPh>
    <phoneticPr fontId="4"/>
  </si>
  <si>
    <t>並木　正芳</t>
    <rPh sb="0" eb="2">
      <t>ナミキ</t>
    </rPh>
    <rPh sb="3" eb="5">
      <t>マサヨシ</t>
    </rPh>
    <phoneticPr fontId="4"/>
  </si>
  <si>
    <t>321比例北関東自民36</t>
    <rPh sb="3" eb="5">
      <t>ヒレイ</t>
    </rPh>
    <rPh sb="5" eb="6">
      <t>キタ</t>
    </rPh>
    <rPh sb="6" eb="8">
      <t>カントウ</t>
    </rPh>
    <rPh sb="8" eb="10">
      <t>ジミン</t>
    </rPh>
    <phoneticPr fontId="4"/>
  </si>
  <si>
    <t>大高　松男</t>
    <rPh sb="0" eb="2">
      <t>オオタカ</t>
    </rPh>
    <rPh sb="3" eb="5">
      <t>マツオ</t>
    </rPh>
    <phoneticPr fontId="4"/>
  </si>
  <si>
    <t>321比例北関東自民37</t>
    <rPh sb="3" eb="5">
      <t>ヒレイ</t>
    </rPh>
    <rPh sb="5" eb="6">
      <t>キタ</t>
    </rPh>
    <rPh sb="6" eb="8">
      <t>カントウ</t>
    </rPh>
    <rPh sb="8" eb="10">
      <t>ジミン</t>
    </rPh>
    <phoneticPr fontId="4"/>
  </si>
  <si>
    <t>佐藤　明男</t>
    <rPh sb="0" eb="2">
      <t>サトウ</t>
    </rPh>
    <rPh sb="3" eb="5">
      <t>アキオ</t>
    </rPh>
    <phoneticPr fontId="4"/>
  </si>
  <si>
    <t>321比例北関東自民38</t>
    <rPh sb="3" eb="5">
      <t>ヒレイ</t>
    </rPh>
    <rPh sb="5" eb="6">
      <t>キタ</t>
    </rPh>
    <rPh sb="6" eb="8">
      <t>カントウ</t>
    </rPh>
    <rPh sb="8" eb="10">
      <t>ジミン</t>
    </rPh>
    <phoneticPr fontId="4"/>
  </si>
  <si>
    <t>牛込　年秋</t>
    <rPh sb="0" eb="2">
      <t>ウシゴメ</t>
    </rPh>
    <rPh sb="3" eb="4">
      <t>トシ</t>
    </rPh>
    <rPh sb="4" eb="5">
      <t>アキ</t>
    </rPh>
    <phoneticPr fontId="4"/>
  </si>
  <si>
    <t>321比例北関東自民39</t>
    <rPh sb="3" eb="5">
      <t>ヒレイ</t>
    </rPh>
    <rPh sb="5" eb="6">
      <t>キタ</t>
    </rPh>
    <rPh sb="6" eb="8">
      <t>カントウ</t>
    </rPh>
    <rPh sb="8" eb="10">
      <t>ジミン</t>
    </rPh>
    <phoneticPr fontId="4"/>
  </si>
  <si>
    <t>百武　公親</t>
    <rPh sb="0" eb="2">
      <t>ヒャクタケ</t>
    </rPh>
    <rPh sb="3" eb="4">
      <t>コウ</t>
    </rPh>
    <rPh sb="4" eb="5">
      <t>オヤ</t>
    </rPh>
    <phoneticPr fontId="4"/>
  </si>
  <si>
    <t>321比例北関東自民03</t>
    <rPh sb="3" eb="5">
      <t>ヒレイ</t>
    </rPh>
    <rPh sb="5" eb="6">
      <t>キタ</t>
    </rPh>
    <rPh sb="6" eb="8">
      <t>カントウ</t>
    </rPh>
    <rPh sb="8" eb="10">
      <t>ジミン</t>
    </rPh>
    <phoneticPr fontId="4"/>
  </si>
  <si>
    <t>08茨城01</t>
    <rPh sb="2" eb="4">
      <t>イバラキ</t>
    </rPh>
    <phoneticPr fontId="4"/>
  </si>
  <si>
    <t>赤城　徳彦</t>
    <rPh sb="0" eb="2">
      <t>アカギ</t>
    </rPh>
    <rPh sb="3" eb="4">
      <t>トク</t>
    </rPh>
    <rPh sb="4" eb="5">
      <t>ヒコ</t>
    </rPh>
    <phoneticPr fontId="4"/>
  </si>
  <si>
    <t>321比例北関東自民04</t>
    <rPh sb="3" eb="5">
      <t>ヒレイ</t>
    </rPh>
    <rPh sb="5" eb="6">
      <t>キタ</t>
    </rPh>
    <rPh sb="6" eb="8">
      <t>カントウ</t>
    </rPh>
    <rPh sb="8" eb="10">
      <t>ジミン</t>
    </rPh>
    <phoneticPr fontId="4"/>
  </si>
  <si>
    <t>08茨城02</t>
    <rPh sb="2" eb="4">
      <t>イバラキ</t>
    </rPh>
    <phoneticPr fontId="4"/>
  </si>
  <si>
    <t>額賀　福志郎</t>
    <rPh sb="0" eb="2">
      <t>ヌカガ</t>
    </rPh>
    <rPh sb="3" eb="4">
      <t>フク</t>
    </rPh>
    <rPh sb="4" eb="6">
      <t>シロウ</t>
    </rPh>
    <phoneticPr fontId="4"/>
  </si>
  <si>
    <t>321比例北関東自民05</t>
    <rPh sb="3" eb="5">
      <t>ヒレイ</t>
    </rPh>
    <rPh sb="5" eb="6">
      <t>キタ</t>
    </rPh>
    <rPh sb="6" eb="8">
      <t>カントウ</t>
    </rPh>
    <rPh sb="8" eb="10">
      <t>ジミン</t>
    </rPh>
    <phoneticPr fontId="4"/>
  </si>
  <si>
    <t>08茨城03</t>
    <rPh sb="2" eb="4">
      <t>イバラキ</t>
    </rPh>
    <phoneticPr fontId="4"/>
  </si>
  <si>
    <t>葉梨　康弘</t>
    <rPh sb="0" eb="1">
      <t>ハ</t>
    </rPh>
    <rPh sb="1" eb="2">
      <t>ナシ</t>
    </rPh>
    <rPh sb="3" eb="5">
      <t>ヤスヒロ</t>
    </rPh>
    <phoneticPr fontId="4"/>
  </si>
  <si>
    <t>321比例北関東自民06</t>
    <rPh sb="3" eb="5">
      <t>ヒレイ</t>
    </rPh>
    <rPh sb="5" eb="6">
      <t>キタ</t>
    </rPh>
    <rPh sb="6" eb="8">
      <t>カントウ</t>
    </rPh>
    <rPh sb="8" eb="10">
      <t>ジミン</t>
    </rPh>
    <phoneticPr fontId="4"/>
  </si>
  <si>
    <t>08茨城04</t>
    <rPh sb="2" eb="4">
      <t>イバラキ</t>
    </rPh>
    <phoneticPr fontId="4"/>
  </si>
  <si>
    <t>梶山　弘志</t>
    <rPh sb="0" eb="2">
      <t>カジヤマ</t>
    </rPh>
    <rPh sb="3" eb="5">
      <t>ヒロシ</t>
    </rPh>
    <phoneticPr fontId="4"/>
  </si>
  <si>
    <t>321比例北関東自民08</t>
    <rPh sb="3" eb="5">
      <t>ヒレイ</t>
    </rPh>
    <rPh sb="5" eb="6">
      <t>キタ</t>
    </rPh>
    <rPh sb="6" eb="8">
      <t>カントウ</t>
    </rPh>
    <rPh sb="8" eb="10">
      <t>ジミン</t>
    </rPh>
    <phoneticPr fontId="4"/>
  </si>
  <si>
    <t>08茨城06</t>
    <rPh sb="2" eb="4">
      <t>イバラキ</t>
    </rPh>
    <phoneticPr fontId="4"/>
  </si>
  <si>
    <t>丹羽　雄哉</t>
    <rPh sb="0" eb="2">
      <t>ニワ</t>
    </rPh>
    <rPh sb="3" eb="4">
      <t>ユウ</t>
    </rPh>
    <rPh sb="4" eb="5">
      <t>カナ</t>
    </rPh>
    <phoneticPr fontId="4"/>
  </si>
  <si>
    <t>321比例北関東自民10</t>
    <rPh sb="3" eb="5">
      <t>ヒレイ</t>
    </rPh>
    <rPh sb="5" eb="6">
      <t>キタ</t>
    </rPh>
    <rPh sb="6" eb="8">
      <t>カントウ</t>
    </rPh>
    <rPh sb="8" eb="10">
      <t>ジミン</t>
    </rPh>
    <phoneticPr fontId="4"/>
  </si>
  <si>
    <t>09栃木01</t>
    <rPh sb="2" eb="4">
      <t>トチギ</t>
    </rPh>
    <phoneticPr fontId="4"/>
  </si>
  <si>
    <t>船田　元</t>
    <rPh sb="0" eb="2">
      <t>フナダ</t>
    </rPh>
    <rPh sb="3" eb="4">
      <t>モト</t>
    </rPh>
    <phoneticPr fontId="4"/>
  </si>
  <si>
    <t>321比例北関東自民11</t>
    <rPh sb="3" eb="5">
      <t>ヒレイ</t>
    </rPh>
    <rPh sb="5" eb="6">
      <t>キタ</t>
    </rPh>
    <rPh sb="6" eb="8">
      <t>カントウ</t>
    </rPh>
    <rPh sb="8" eb="10">
      <t>ジミン</t>
    </rPh>
    <phoneticPr fontId="4"/>
  </si>
  <si>
    <t>09栃木03</t>
    <rPh sb="2" eb="4">
      <t>トチギ</t>
    </rPh>
    <phoneticPr fontId="4"/>
  </si>
  <si>
    <t>渡辺　喜美</t>
    <rPh sb="0" eb="2">
      <t>ワタナベ</t>
    </rPh>
    <rPh sb="3" eb="5">
      <t>ヨシミ</t>
    </rPh>
    <phoneticPr fontId="4"/>
  </si>
  <si>
    <t>321比例北関東自民12</t>
    <rPh sb="3" eb="5">
      <t>ヒレイ</t>
    </rPh>
    <rPh sb="5" eb="6">
      <t>キタ</t>
    </rPh>
    <rPh sb="6" eb="8">
      <t>カントウ</t>
    </rPh>
    <rPh sb="8" eb="10">
      <t>ジミン</t>
    </rPh>
    <phoneticPr fontId="4"/>
  </si>
  <si>
    <t>09栃木04</t>
    <rPh sb="2" eb="4">
      <t>トチギ</t>
    </rPh>
    <phoneticPr fontId="4"/>
  </si>
  <si>
    <t>佐藤　勉</t>
    <rPh sb="0" eb="2">
      <t>サトウ</t>
    </rPh>
    <rPh sb="3" eb="4">
      <t>ツトム</t>
    </rPh>
    <phoneticPr fontId="4"/>
  </si>
  <si>
    <t>321比例北関東自民13</t>
    <rPh sb="3" eb="5">
      <t>ヒレイ</t>
    </rPh>
    <rPh sb="5" eb="6">
      <t>キタ</t>
    </rPh>
    <rPh sb="6" eb="8">
      <t>カントウ</t>
    </rPh>
    <rPh sb="8" eb="10">
      <t>ジミン</t>
    </rPh>
    <phoneticPr fontId="4"/>
  </si>
  <si>
    <t>09栃木05</t>
    <rPh sb="2" eb="4">
      <t>トチギ</t>
    </rPh>
    <phoneticPr fontId="4"/>
  </si>
  <si>
    <t>茂木　敏充</t>
    <rPh sb="0" eb="2">
      <t>モテギ</t>
    </rPh>
    <rPh sb="3" eb="4">
      <t>トシ</t>
    </rPh>
    <rPh sb="4" eb="5">
      <t>ミツ</t>
    </rPh>
    <phoneticPr fontId="4"/>
  </si>
  <si>
    <t>321比例北関東自民14</t>
    <rPh sb="3" eb="5">
      <t>ヒレイ</t>
    </rPh>
    <rPh sb="5" eb="6">
      <t>キタ</t>
    </rPh>
    <rPh sb="6" eb="8">
      <t>カントウ</t>
    </rPh>
    <rPh sb="8" eb="10">
      <t>ジミン</t>
    </rPh>
    <phoneticPr fontId="4"/>
  </si>
  <si>
    <t>10群馬01</t>
    <rPh sb="2" eb="4">
      <t>グンマ</t>
    </rPh>
    <phoneticPr fontId="4"/>
  </si>
  <si>
    <t>佐田　玄一郎</t>
    <rPh sb="0" eb="2">
      <t>サタ</t>
    </rPh>
    <rPh sb="3" eb="4">
      <t>ゲン</t>
    </rPh>
    <rPh sb="4" eb="6">
      <t>イチロウ</t>
    </rPh>
    <phoneticPr fontId="4"/>
  </si>
  <si>
    <t>321比例北関東自民15</t>
    <rPh sb="3" eb="5">
      <t>ヒレイ</t>
    </rPh>
    <rPh sb="5" eb="6">
      <t>キタ</t>
    </rPh>
    <rPh sb="6" eb="8">
      <t>カントウ</t>
    </rPh>
    <rPh sb="8" eb="10">
      <t>ジミン</t>
    </rPh>
    <phoneticPr fontId="4"/>
  </si>
  <si>
    <t>10群馬02</t>
    <rPh sb="2" eb="4">
      <t>グンマ</t>
    </rPh>
    <phoneticPr fontId="4"/>
  </si>
  <si>
    <t>笹川　堯</t>
    <rPh sb="0" eb="1">
      <t>ササ</t>
    </rPh>
    <rPh sb="1" eb="2">
      <t>ガワ</t>
    </rPh>
    <rPh sb="3" eb="4">
      <t>タカシ</t>
    </rPh>
    <phoneticPr fontId="4"/>
  </si>
  <si>
    <t>321比例北関東自民16</t>
    <rPh sb="3" eb="5">
      <t>ヒレイ</t>
    </rPh>
    <rPh sb="5" eb="6">
      <t>キタ</t>
    </rPh>
    <rPh sb="6" eb="8">
      <t>カントウ</t>
    </rPh>
    <rPh sb="8" eb="10">
      <t>ジミン</t>
    </rPh>
    <phoneticPr fontId="4"/>
  </si>
  <si>
    <t>10群馬03</t>
    <rPh sb="2" eb="4">
      <t>グンマ</t>
    </rPh>
    <phoneticPr fontId="4"/>
  </si>
  <si>
    <t>谷津　義男</t>
    <rPh sb="0" eb="2">
      <t>ヤツ</t>
    </rPh>
    <rPh sb="3" eb="5">
      <t>ヨシオ</t>
    </rPh>
    <phoneticPr fontId="4"/>
  </si>
  <si>
    <t>321比例北関東自民17</t>
    <rPh sb="3" eb="5">
      <t>ヒレイ</t>
    </rPh>
    <rPh sb="5" eb="6">
      <t>キタ</t>
    </rPh>
    <rPh sb="6" eb="8">
      <t>カントウ</t>
    </rPh>
    <rPh sb="8" eb="10">
      <t>ジミン</t>
    </rPh>
    <phoneticPr fontId="4"/>
  </si>
  <si>
    <t>10群馬04</t>
    <rPh sb="2" eb="4">
      <t>グンマ</t>
    </rPh>
    <phoneticPr fontId="4"/>
  </si>
  <si>
    <t>福田　康夫</t>
    <rPh sb="0" eb="2">
      <t>フクダ</t>
    </rPh>
    <rPh sb="3" eb="5">
      <t>ヤスオ</t>
    </rPh>
    <phoneticPr fontId="4"/>
  </si>
  <si>
    <t>321比例北関東自民18</t>
    <rPh sb="3" eb="5">
      <t>ヒレイ</t>
    </rPh>
    <rPh sb="5" eb="6">
      <t>キタ</t>
    </rPh>
    <rPh sb="6" eb="8">
      <t>カントウ</t>
    </rPh>
    <rPh sb="8" eb="10">
      <t>ジミン</t>
    </rPh>
    <phoneticPr fontId="4"/>
  </si>
  <si>
    <t>10群馬05</t>
    <rPh sb="2" eb="4">
      <t>グンマ</t>
    </rPh>
    <phoneticPr fontId="4"/>
  </si>
  <si>
    <t>小渕　優子</t>
    <rPh sb="0" eb="2">
      <t>オブチ</t>
    </rPh>
    <rPh sb="3" eb="5">
      <t>ユウコ</t>
    </rPh>
    <phoneticPr fontId="4"/>
  </si>
  <si>
    <t>321比例北関東自民20</t>
    <rPh sb="3" eb="5">
      <t>ヒレイ</t>
    </rPh>
    <rPh sb="5" eb="6">
      <t>キタ</t>
    </rPh>
    <rPh sb="6" eb="8">
      <t>カントウ</t>
    </rPh>
    <rPh sb="8" eb="10">
      <t>ジミン</t>
    </rPh>
    <phoneticPr fontId="4"/>
  </si>
  <si>
    <t>11埼玉02</t>
    <rPh sb="2" eb="4">
      <t>サイタマ</t>
    </rPh>
    <phoneticPr fontId="4"/>
  </si>
  <si>
    <t>新藤　義孝</t>
    <rPh sb="0" eb="2">
      <t>シンドウ</t>
    </rPh>
    <rPh sb="3" eb="5">
      <t>ヨシタカ</t>
    </rPh>
    <phoneticPr fontId="4"/>
  </si>
  <si>
    <t>321比例北関東自民21</t>
    <rPh sb="3" eb="5">
      <t>ヒレイ</t>
    </rPh>
    <rPh sb="5" eb="6">
      <t>キタ</t>
    </rPh>
    <rPh sb="6" eb="8">
      <t>カントウ</t>
    </rPh>
    <rPh sb="8" eb="10">
      <t>ジミン</t>
    </rPh>
    <phoneticPr fontId="4"/>
  </si>
  <si>
    <t>11埼玉03</t>
    <rPh sb="2" eb="4">
      <t>サイタマ</t>
    </rPh>
    <phoneticPr fontId="4"/>
  </si>
  <si>
    <t>今井　宏</t>
    <rPh sb="0" eb="2">
      <t>イマイ</t>
    </rPh>
    <rPh sb="3" eb="4">
      <t>ヒロシ</t>
    </rPh>
    <phoneticPr fontId="4"/>
  </si>
  <si>
    <t>321比例北関東自民22</t>
    <rPh sb="3" eb="5">
      <t>ヒレイ</t>
    </rPh>
    <rPh sb="5" eb="6">
      <t>キタ</t>
    </rPh>
    <rPh sb="6" eb="8">
      <t>カントウ</t>
    </rPh>
    <rPh sb="8" eb="10">
      <t>ジミン</t>
    </rPh>
    <phoneticPr fontId="4"/>
  </si>
  <si>
    <t>11埼玉04</t>
    <rPh sb="2" eb="4">
      <t>サイタマ</t>
    </rPh>
    <phoneticPr fontId="4"/>
  </si>
  <si>
    <t>早川　忠孝</t>
    <rPh sb="0" eb="2">
      <t>ハヤカワ</t>
    </rPh>
    <rPh sb="3" eb="5">
      <t>チュウコウ</t>
    </rPh>
    <phoneticPr fontId="4"/>
  </si>
  <si>
    <t>321比例北関東自民25</t>
    <rPh sb="3" eb="5">
      <t>ヒレイ</t>
    </rPh>
    <rPh sb="5" eb="6">
      <t>キタ</t>
    </rPh>
    <rPh sb="6" eb="8">
      <t>カントウ</t>
    </rPh>
    <rPh sb="8" eb="10">
      <t>ジミン</t>
    </rPh>
    <phoneticPr fontId="4"/>
  </si>
  <si>
    <t>11埼玉07</t>
    <rPh sb="2" eb="4">
      <t>サイタマ</t>
    </rPh>
    <phoneticPr fontId="4"/>
  </si>
  <si>
    <t>中野　清</t>
    <rPh sb="0" eb="2">
      <t>ナカノ</t>
    </rPh>
    <rPh sb="3" eb="4">
      <t>キヨシ</t>
    </rPh>
    <phoneticPr fontId="4"/>
  </si>
  <si>
    <t>321比例北関東自民26</t>
    <rPh sb="3" eb="5">
      <t>ヒレイ</t>
    </rPh>
    <rPh sb="5" eb="6">
      <t>キタ</t>
    </rPh>
    <rPh sb="6" eb="8">
      <t>カントウ</t>
    </rPh>
    <rPh sb="8" eb="10">
      <t>ジミン</t>
    </rPh>
    <phoneticPr fontId="4"/>
  </si>
  <si>
    <t>11埼玉08</t>
    <rPh sb="2" eb="4">
      <t>サイタマ</t>
    </rPh>
    <phoneticPr fontId="4"/>
  </si>
  <si>
    <t>柴山　昌彦</t>
    <rPh sb="0" eb="2">
      <t>シバヤマ</t>
    </rPh>
    <rPh sb="3" eb="5">
      <t>マサヒコ</t>
    </rPh>
    <phoneticPr fontId="4"/>
  </si>
  <si>
    <t>321比例北関東自民27</t>
    <rPh sb="3" eb="5">
      <t>ヒレイ</t>
    </rPh>
    <rPh sb="5" eb="6">
      <t>キタ</t>
    </rPh>
    <rPh sb="6" eb="8">
      <t>カントウ</t>
    </rPh>
    <rPh sb="8" eb="10">
      <t>ジミン</t>
    </rPh>
    <phoneticPr fontId="4"/>
  </si>
  <si>
    <t>11埼玉09</t>
    <rPh sb="2" eb="4">
      <t>サイタマ</t>
    </rPh>
    <phoneticPr fontId="4"/>
  </si>
  <si>
    <t>大野　松茂</t>
    <rPh sb="0" eb="2">
      <t>オオノ</t>
    </rPh>
    <rPh sb="3" eb="4">
      <t>マツ</t>
    </rPh>
    <rPh sb="4" eb="5">
      <t>シゲ</t>
    </rPh>
    <phoneticPr fontId="4"/>
  </si>
  <si>
    <t>321比例北関東自民28</t>
    <rPh sb="3" eb="5">
      <t>ヒレイ</t>
    </rPh>
    <rPh sb="5" eb="6">
      <t>キタ</t>
    </rPh>
    <rPh sb="6" eb="8">
      <t>カントウ</t>
    </rPh>
    <rPh sb="8" eb="10">
      <t>ジミン</t>
    </rPh>
    <phoneticPr fontId="4"/>
  </si>
  <si>
    <t>11埼玉10</t>
    <rPh sb="2" eb="4">
      <t>サイタマ</t>
    </rPh>
    <phoneticPr fontId="4"/>
  </si>
  <si>
    <t>山口　泰明</t>
    <rPh sb="0" eb="2">
      <t>ヤマグチ</t>
    </rPh>
    <rPh sb="3" eb="4">
      <t>タイ</t>
    </rPh>
    <rPh sb="4" eb="5">
      <t>アカ</t>
    </rPh>
    <phoneticPr fontId="4"/>
  </si>
  <si>
    <t>321比例北関東自民29</t>
    <rPh sb="3" eb="5">
      <t>ヒレイ</t>
    </rPh>
    <rPh sb="5" eb="6">
      <t>キタ</t>
    </rPh>
    <rPh sb="6" eb="8">
      <t>カントウ</t>
    </rPh>
    <rPh sb="8" eb="10">
      <t>ジミン</t>
    </rPh>
    <phoneticPr fontId="4"/>
  </si>
  <si>
    <t>11埼玉11</t>
    <rPh sb="2" eb="4">
      <t>サイタマ</t>
    </rPh>
    <phoneticPr fontId="4"/>
  </si>
  <si>
    <t>新井　悦二</t>
    <rPh sb="0" eb="2">
      <t>アライ</t>
    </rPh>
    <rPh sb="3" eb="5">
      <t>エツジ</t>
    </rPh>
    <phoneticPr fontId="4"/>
  </si>
  <si>
    <t>321比例北関東自民30</t>
    <rPh sb="3" eb="5">
      <t>ヒレイ</t>
    </rPh>
    <rPh sb="5" eb="6">
      <t>キタ</t>
    </rPh>
    <rPh sb="6" eb="8">
      <t>カントウ</t>
    </rPh>
    <rPh sb="8" eb="10">
      <t>ジミン</t>
    </rPh>
    <phoneticPr fontId="4"/>
  </si>
  <si>
    <t>11埼玉12</t>
    <rPh sb="2" eb="4">
      <t>サイタマ</t>
    </rPh>
    <phoneticPr fontId="4"/>
  </si>
  <si>
    <t>小島　敏男</t>
    <rPh sb="0" eb="2">
      <t>コジマ</t>
    </rPh>
    <rPh sb="3" eb="5">
      <t>トシオ</t>
    </rPh>
    <phoneticPr fontId="4"/>
  </si>
  <si>
    <t>321比例北関東自民31</t>
    <rPh sb="3" eb="5">
      <t>ヒレイ</t>
    </rPh>
    <rPh sb="5" eb="6">
      <t>キタ</t>
    </rPh>
    <rPh sb="6" eb="8">
      <t>カントウ</t>
    </rPh>
    <rPh sb="8" eb="10">
      <t>ジミン</t>
    </rPh>
    <phoneticPr fontId="4"/>
  </si>
  <si>
    <t>11埼玉13</t>
    <rPh sb="2" eb="4">
      <t>サイタマ</t>
    </rPh>
    <phoneticPr fontId="4"/>
  </si>
  <si>
    <t>土屋　品子</t>
    <rPh sb="0" eb="2">
      <t>ツチヤ</t>
    </rPh>
    <rPh sb="3" eb="5">
      <t>シナコ</t>
    </rPh>
    <phoneticPr fontId="4"/>
  </si>
  <si>
    <t>321比例北関東自民32</t>
    <rPh sb="3" eb="5">
      <t>ヒレイ</t>
    </rPh>
    <rPh sb="5" eb="6">
      <t>キタ</t>
    </rPh>
    <rPh sb="6" eb="8">
      <t>カントウ</t>
    </rPh>
    <rPh sb="8" eb="10">
      <t>ジミン</t>
    </rPh>
    <phoneticPr fontId="4"/>
  </si>
  <si>
    <t>11埼玉14</t>
    <rPh sb="2" eb="4">
      <t>サイタマ</t>
    </rPh>
    <phoneticPr fontId="4"/>
  </si>
  <si>
    <t>三ツ林　隆志</t>
    <rPh sb="0" eb="1">
      <t>サン</t>
    </rPh>
    <rPh sb="2" eb="3">
      <t>ハヤシ</t>
    </rPh>
    <rPh sb="4" eb="6">
      <t>タカシ</t>
    </rPh>
    <phoneticPr fontId="4"/>
  </si>
  <si>
    <t>321比例北関東自民33</t>
    <rPh sb="3" eb="5">
      <t>ヒレイ</t>
    </rPh>
    <rPh sb="5" eb="6">
      <t>キタ</t>
    </rPh>
    <rPh sb="6" eb="8">
      <t>カントウ</t>
    </rPh>
    <rPh sb="8" eb="10">
      <t>ジミン</t>
    </rPh>
    <phoneticPr fontId="4"/>
  </si>
  <si>
    <t>11埼玉15</t>
    <rPh sb="2" eb="4">
      <t>サイタマ</t>
    </rPh>
    <phoneticPr fontId="4"/>
  </si>
  <si>
    <t>田中　良生</t>
    <rPh sb="0" eb="2">
      <t>タナカ</t>
    </rPh>
    <rPh sb="3" eb="4">
      <t>ヨ</t>
    </rPh>
    <rPh sb="4" eb="5">
      <t>ウ</t>
    </rPh>
    <phoneticPr fontId="4"/>
  </si>
  <si>
    <t>322比例北関東民主14</t>
    <rPh sb="3" eb="5">
      <t>ヒレイ</t>
    </rPh>
    <rPh sb="5" eb="6">
      <t>キタ</t>
    </rPh>
    <rPh sb="6" eb="8">
      <t>カントウ</t>
    </rPh>
    <rPh sb="8" eb="10">
      <t>ミンシュ</t>
    </rPh>
    <phoneticPr fontId="4"/>
  </si>
  <si>
    <t>石関　貴史</t>
    <rPh sb="0" eb="2">
      <t>イシゼキ</t>
    </rPh>
    <rPh sb="3" eb="4">
      <t>タカシ</t>
    </rPh>
    <rPh sb="4" eb="5">
      <t>シ</t>
    </rPh>
    <phoneticPr fontId="4"/>
  </si>
  <si>
    <t>322比例北関東民主09</t>
    <rPh sb="3" eb="5">
      <t>ヒレイ</t>
    </rPh>
    <rPh sb="5" eb="6">
      <t>キタ</t>
    </rPh>
    <rPh sb="6" eb="8">
      <t>カントウ</t>
    </rPh>
    <rPh sb="8" eb="10">
      <t>ミンシュ</t>
    </rPh>
    <phoneticPr fontId="4"/>
  </si>
  <si>
    <t>09栃木02</t>
    <rPh sb="2" eb="4">
      <t>トチギ</t>
    </rPh>
    <phoneticPr fontId="4"/>
  </si>
  <si>
    <t>福田　昭夫</t>
    <rPh sb="0" eb="2">
      <t>フクダ</t>
    </rPh>
    <rPh sb="3" eb="5">
      <t>アキオ</t>
    </rPh>
    <phoneticPr fontId="4"/>
  </si>
  <si>
    <t>322比例北関東民主24</t>
    <rPh sb="3" eb="5">
      <t>ヒレイ</t>
    </rPh>
    <rPh sb="5" eb="6">
      <t>キタ</t>
    </rPh>
    <rPh sb="6" eb="8">
      <t>カントウ</t>
    </rPh>
    <rPh sb="8" eb="10">
      <t>ミンシュ</t>
    </rPh>
    <phoneticPr fontId="4"/>
  </si>
  <si>
    <t>小宮山　泰子</t>
    <rPh sb="0" eb="3">
      <t>コミヤマ</t>
    </rPh>
    <rPh sb="4" eb="6">
      <t>ヤスコ</t>
    </rPh>
    <phoneticPr fontId="4"/>
  </si>
  <si>
    <t>322比例北関東民主21</t>
    <rPh sb="3" eb="5">
      <t>ヒレイ</t>
    </rPh>
    <rPh sb="5" eb="6">
      <t>キタ</t>
    </rPh>
    <rPh sb="6" eb="8">
      <t>カントウ</t>
    </rPh>
    <rPh sb="8" eb="10">
      <t>ミンシュ</t>
    </rPh>
    <phoneticPr fontId="4"/>
  </si>
  <si>
    <t>神風　英男</t>
    <rPh sb="0" eb="2">
      <t>カミカゼ</t>
    </rPh>
    <rPh sb="3" eb="5">
      <t>ヒデオ</t>
    </rPh>
    <phoneticPr fontId="4"/>
  </si>
  <si>
    <t>322比例北関東民主32</t>
    <rPh sb="3" eb="5">
      <t>ヒレイ</t>
    </rPh>
    <rPh sb="5" eb="6">
      <t>キタ</t>
    </rPh>
    <rPh sb="6" eb="8">
      <t>カントウ</t>
    </rPh>
    <rPh sb="8" eb="10">
      <t>ミンシュ</t>
    </rPh>
    <phoneticPr fontId="4"/>
  </si>
  <si>
    <t>高山　智司</t>
    <rPh sb="0" eb="2">
      <t>タカヤマ</t>
    </rPh>
    <rPh sb="3" eb="4">
      <t>サトシ</t>
    </rPh>
    <rPh sb="4" eb="5">
      <t>ツカサ</t>
    </rPh>
    <phoneticPr fontId="4"/>
  </si>
  <si>
    <t>322比例北関東民主20</t>
    <rPh sb="3" eb="5">
      <t>ヒレイ</t>
    </rPh>
    <rPh sb="5" eb="6">
      <t>キタ</t>
    </rPh>
    <rPh sb="6" eb="8">
      <t>カントウ</t>
    </rPh>
    <rPh sb="8" eb="10">
      <t>ミンシュ</t>
    </rPh>
    <phoneticPr fontId="4"/>
  </si>
  <si>
    <t>細川　律夫</t>
    <rPh sb="0" eb="2">
      <t>ホソカワ</t>
    </rPh>
    <rPh sb="3" eb="5">
      <t>リツオ</t>
    </rPh>
    <phoneticPr fontId="4"/>
  </si>
  <si>
    <t>322比例北関東民主11</t>
    <rPh sb="3" eb="5">
      <t>ヒレイ</t>
    </rPh>
    <rPh sb="5" eb="6">
      <t>キタ</t>
    </rPh>
    <rPh sb="6" eb="8">
      <t>カントウ</t>
    </rPh>
    <rPh sb="8" eb="10">
      <t>ミンシュ</t>
    </rPh>
    <phoneticPr fontId="4"/>
  </si>
  <si>
    <t>山岡　賢次</t>
    <rPh sb="0" eb="2">
      <t>ヤマオカ</t>
    </rPh>
    <rPh sb="3" eb="5">
      <t>ケンジ</t>
    </rPh>
    <phoneticPr fontId="4"/>
  </si>
  <si>
    <t>322比例北関東民主19</t>
    <rPh sb="3" eb="5">
      <t>ヒレイ</t>
    </rPh>
    <rPh sb="5" eb="6">
      <t>キタ</t>
    </rPh>
    <rPh sb="6" eb="8">
      <t>カントウ</t>
    </rPh>
    <rPh sb="8" eb="10">
      <t>ミンシュ</t>
    </rPh>
    <phoneticPr fontId="4"/>
  </si>
  <si>
    <t>石田　勝之</t>
    <rPh sb="0" eb="2">
      <t>イシダ</t>
    </rPh>
    <rPh sb="3" eb="5">
      <t>カツユキ</t>
    </rPh>
    <phoneticPr fontId="4"/>
  </si>
  <si>
    <t>322比例北関東民主08</t>
    <rPh sb="3" eb="5">
      <t>ヒレイ</t>
    </rPh>
    <rPh sb="5" eb="6">
      <t>キタ</t>
    </rPh>
    <rPh sb="6" eb="8">
      <t>カントウ</t>
    </rPh>
    <rPh sb="8" eb="10">
      <t>ミンシュ</t>
    </rPh>
    <phoneticPr fontId="4"/>
  </si>
  <si>
    <t>水島　広子</t>
    <rPh sb="0" eb="2">
      <t>ミズシマ</t>
    </rPh>
    <rPh sb="3" eb="5">
      <t>ヒロコ</t>
    </rPh>
    <phoneticPr fontId="4"/>
  </si>
  <si>
    <t>322比例北関東民主03</t>
    <rPh sb="3" eb="5">
      <t>ヒレイ</t>
    </rPh>
    <rPh sb="5" eb="6">
      <t>キタ</t>
    </rPh>
    <rPh sb="6" eb="8">
      <t>カントウ</t>
    </rPh>
    <rPh sb="8" eb="10">
      <t>ミンシュ</t>
    </rPh>
    <phoneticPr fontId="4"/>
  </si>
  <si>
    <t>小泉　俊明</t>
    <rPh sb="0" eb="2">
      <t>コイズミ</t>
    </rPh>
    <rPh sb="3" eb="5">
      <t>トシアキ</t>
    </rPh>
    <phoneticPr fontId="4"/>
  </si>
  <si>
    <t>322比例北関東民主31</t>
    <rPh sb="3" eb="5">
      <t>ヒレイ</t>
    </rPh>
    <rPh sb="5" eb="6">
      <t>キタ</t>
    </rPh>
    <rPh sb="6" eb="8">
      <t>カントウ</t>
    </rPh>
    <rPh sb="8" eb="10">
      <t>ミンシュ</t>
    </rPh>
    <phoneticPr fontId="4"/>
  </si>
  <si>
    <t>中野　譲</t>
    <rPh sb="0" eb="2">
      <t>ナカノ</t>
    </rPh>
    <rPh sb="3" eb="4">
      <t>ユズル</t>
    </rPh>
    <phoneticPr fontId="4"/>
  </si>
  <si>
    <t>322比例北関東民主26</t>
    <rPh sb="3" eb="5">
      <t>ヒレイ</t>
    </rPh>
    <rPh sb="5" eb="6">
      <t>キタ</t>
    </rPh>
    <rPh sb="6" eb="8">
      <t>カントウ</t>
    </rPh>
    <rPh sb="8" eb="10">
      <t>ミンシュ</t>
    </rPh>
    <phoneticPr fontId="4"/>
  </si>
  <si>
    <t>五十嵐　文彦</t>
    <rPh sb="0" eb="3">
      <t>イガラシ</t>
    </rPh>
    <rPh sb="4" eb="6">
      <t>フミヒコ</t>
    </rPh>
    <phoneticPr fontId="4"/>
  </si>
  <si>
    <t>322比例北関東民主30</t>
    <rPh sb="3" eb="5">
      <t>ヒレイ</t>
    </rPh>
    <rPh sb="5" eb="6">
      <t>キタ</t>
    </rPh>
    <rPh sb="6" eb="8">
      <t>カントウ</t>
    </rPh>
    <rPh sb="8" eb="10">
      <t>ミンシュ</t>
    </rPh>
    <phoneticPr fontId="4"/>
  </si>
  <si>
    <t>武山　百合子</t>
    <rPh sb="0" eb="2">
      <t>タケヤマ</t>
    </rPh>
    <rPh sb="3" eb="6">
      <t>ユリコ</t>
    </rPh>
    <phoneticPr fontId="4"/>
  </si>
  <si>
    <t>322比例北関東民主27</t>
    <rPh sb="3" eb="5">
      <t>ヒレイ</t>
    </rPh>
    <rPh sb="5" eb="6">
      <t>キタ</t>
    </rPh>
    <rPh sb="6" eb="8">
      <t>カントウ</t>
    </rPh>
    <rPh sb="8" eb="10">
      <t>ミンシュ</t>
    </rPh>
    <phoneticPr fontId="4"/>
  </si>
  <si>
    <t>松崎　哲久</t>
    <rPh sb="0" eb="2">
      <t>マツザキ</t>
    </rPh>
    <rPh sb="3" eb="5">
      <t>テツヒサ</t>
    </rPh>
    <phoneticPr fontId="4"/>
  </si>
  <si>
    <t>２７日</t>
    <rPh sb="2" eb="3">
      <t>ニチ</t>
    </rPh>
    <phoneticPr fontId="4"/>
  </si>
  <si>
    <t>322比例北関東民主25</t>
    <rPh sb="3" eb="5">
      <t>ヒレイ</t>
    </rPh>
    <rPh sb="5" eb="6">
      <t>キタ</t>
    </rPh>
    <rPh sb="6" eb="8">
      <t>カントウ</t>
    </rPh>
    <rPh sb="8" eb="10">
      <t>ミンシュ</t>
    </rPh>
    <phoneticPr fontId="4"/>
  </si>
  <si>
    <t>木下　厚</t>
    <rPh sb="0" eb="2">
      <t>キノシタ</t>
    </rPh>
    <rPh sb="3" eb="4">
      <t>アツシ</t>
    </rPh>
    <phoneticPr fontId="4"/>
  </si>
  <si>
    <t>322比例北関東民主29</t>
    <rPh sb="3" eb="5">
      <t>ヒレイ</t>
    </rPh>
    <rPh sb="5" eb="6">
      <t>キタ</t>
    </rPh>
    <rPh sb="6" eb="8">
      <t>カントウ</t>
    </rPh>
    <rPh sb="8" eb="10">
      <t>ミンシュ</t>
    </rPh>
    <phoneticPr fontId="4"/>
  </si>
  <si>
    <t>本多　平直</t>
    <rPh sb="0" eb="2">
      <t>ホンダ</t>
    </rPh>
    <rPh sb="3" eb="4">
      <t>ヒラ</t>
    </rPh>
    <rPh sb="4" eb="5">
      <t>ナオ</t>
    </rPh>
    <phoneticPr fontId="4"/>
  </si>
  <si>
    <t>322比例北関東民主15</t>
    <rPh sb="3" eb="5">
      <t>ヒレイ</t>
    </rPh>
    <rPh sb="5" eb="6">
      <t>キタ</t>
    </rPh>
    <rPh sb="6" eb="8">
      <t>カントウ</t>
    </rPh>
    <rPh sb="8" eb="10">
      <t>ミンシュ</t>
    </rPh>
    <phoneticPr fontId="4"/>
  </si>
  <si>
    <t>柿沼　正明</t>
    <rPh sb="0" eb="2">
      <t>カキヌマ</t>
    </rPh>
    <rPh sb="3" eb="5">
      <t>マサアキ</t>
    </rPh>
    <phoneticPr fontId="4"/>
  </si>
  <si>
    <t>322比例北関東民主01</t>
    <rPh sb="3" eb="5">
      <t>ヒレイ</t>
    </rPh>
    <rPh sb="5" eb="6">
      <t>キタ</t>
    </rPh>
    <rPh sb="6" eb="8">
      <t>カントウ</t>
    </rPh>
    <rPh sb="8" eb="10">
      <t>ミンシュ</t>
    </rPh>
    <phoneticPr fontId="4"/>
  </si>
  <si>
    <t>福島　伸享</t>
    <rPh sb="0" eb="2">
      <t>フクシマ</t>
    </rPh>
    <rPh sb="3" eb="4">
      <t>ノ</t>
    </rPh>
    <rPh sb="4" eb="5">
      <t>キョウ</t>
    </rPh>
    <phoneticPr fontId="4"/>
  </si>
  <si>
    <t>322比例北関東民主13</t>
    <rPh sb="3" eb="5">
      <t>ヒレイ</t>
    </rPh>
    <rPh sb="5" eb="6">
      <t>キタ</t>
    </rPh>
    <rPh sb="6" eb="8">
      <t>カントウ</t>
    </rPh>
    <rPh sb="8" eb="10">
      <t>ミンシュ</t>
    </rPh>
    <phoneticPr fontId="4"/>
  </si>
  <si>
    <t>高橋　仁</t>
    <rPh sb="0" eb="2">
      <t>タカハシ</t>
    </rPh>
    <rPh sb="3" eb="4">
      <t>ジン</t>
    </rPh>
    <phoneticPr fontId="4"/>
  </si>
  <si>
    <t>322比例北関東民主06</t>
    <rPh sb="3" eb="5">
      <t>ヒレイ</t>
    </rPh>
    <rPh sb="5" eb="6">
      <t>キタ</t>
    </rPh>
    <rPh sb="6" eb="8">
      <t>カントウ</t>
    </rPh>
    <rPh sb="8" eb="10">
      <t>ミンシュ</t>
    </rPh>
    <phoneticPr fontId="4"/>
  </si>
  <si>
    <t>川口　良治</t>
    <rPh sb="0" eb="2">
      <t>カワグチ</t>
    </rPh>
    <rPh sb="3" eb="5">
      <t>ヨシハル</t>
    </rPh>
    <phoneticPr fontId="4"/>
  </si>
  <si>
    <t>322比例北関東民主04</t>
    <rPh sb="3" eb="5">
      <t>ヒレイ</t>
    </rPh>
    <rPh sb="5" eb="6">
      <t>キタ</t>
    </rPh>
    <rPh sb="6" eb="8">
      <t>カントウ</t>
    </rPh>
    <rPh sb="8" eb="10">
      <t>ミンシュ</t>
    </rPh>
    <phoneticPr fontId="4"/>
  </si>
  <si>
    <t>高野　守</t>
    <rPh sb="0" eb="2">
      <t>タカノ</t>
    </rPh>
    <rPh sb="3" eb="4">
      <t>マモル</t>
    </rPh>
    <phoneticPr fontId="4"/>
  </si>
  <si>
    <t>322比例北関東民主16</t>
    <rPh sb="3" eb="5">
      <t>ヒレイ</t>
    </rPh>
    <rPh sb="5" eb="6">
      <t>キタ</t>
    </rPh>
    <rPh sb="6" eb="8">
      <t>カントウ</t>
    </rPh>
    <rPh sb="8" eb="10">
      <t>ミンシュ</t>
    </rPh>
    <phoneticPr fontId="4"/>
  </si>
  <si>
    <t>中島　政希</t>
    <rPh sb="0" eb="2">
      <t>ナカジマ</t>
    </rPh>
    <rPh sb="3" eb="5">
      <t>マサキ</t>
    </rPh>
    <phoneticPr fontId="4"/>
  </si>
  <si>
    <t>322比例北関東民主02</t>
    <rPh sb="3" eb="5">
      <t>ヒレイ</t>
    </rPh>
    <rPh sb="5" eb="6">
      <t>キタ</t>
    </rPh>
    <rPh sb="6" eb="8">
      <t>カントウ</t>
    </rPh>
    <rPh sb="8" eb="10">
      <t>ミンシュ</t>
    </rPh>
    <phoneticPr fontId="4"/>
  </si>
  <si>
    <t>小林　誠</t>
    <rPh sb="0" eb="2">
      <t>コバヤシ</t>
    </rPh>
    <rPh sb="3" eb="4">
      <t>マコト</t>
    </rPh>
    <phoneticPr fontId="4"/>
  </si>
  <si>
    <t>322比例北関東民主12</t>
    <rPh sb="3" eb="5">
      <t>ヒレイ</t>
    </rPh>
    <rPh sb="5" eb="6">
      <t>キタ</t>
    </rPh>
    <rPh sb="6" eb="8">
      <t>カントウ</t>
    </rPh>
    <rPh sb="8" eb="10">
      <t>ミンシュ</t>
    </rPh>
    <phoneticPr fontId="4"/>
  </si>
  <si>
    <t>富岡　芳忠</t>
    <rPh sb="0" eb="2">
      <t>トミオカ</t>
    </rPh>
    <rPh sb="3" eb="4">
      <t>ヨシ</t>
    </rPh>
    <rPh sb="4" eb="5">
      <t>チュウ</t>
    </rPh>
    <phoneticPr fontId="4"/>
  </si>
  <si>
    <t>322比例北関東民主10</t>
    <rPh sb="3" eb="5">
      <t>ヒレイ</t>
    </rPh>
    <rPh sb="5" eb="6">
      <t>キタ</t>
    </rPh>
    <rPh sb="6" eb="8">
      <t>カントウ</t>
    </rPh>
    <rPh sb="8" eb="10">
      <t>ミンシュ</t>
    </rPh>
    <phoneticPr fontId="4"/>
  </si>
  <si>
    <t>小林　隆</t>
    <rPh sb="0" eb="2">
      <t>コバヤシ</t>
    </rPh>
    <rPh sb="3" eb="4">
      <t>タカシ</t>
    </rPh>
    <phoneticPr fontId="4"/>
  </si>
  <si>
    <t>322比例北関東民主07</t>
    <rPh sb="3" eb="5">
      <t>ヒレイ</t>
    </rPh>
    <rPh sb="5" eb="6">
      <t>キタ</t>
    </rPh>
    <rPh sb="6" eb="8">
      <t>カントウ</t>
    </rPh>
    <rPh sb="8" eb="10">
      <t>ミンシュ</t>
    </rPh>
    <phoneticPr fontId="4"/>
  </si>
  <si>
    <t>五十嵐　弘子</t>
    <rPh sb="0" eb="3">
      <t>イガラシ</t>
    </rPh>
    <rPh sb="4" eb="6">
      <t>ヒロコ</t>
    </rPh>
    <phoneticPr fontId="4"/>
  </si>
  <si>
    <t>322比例北関東民主28</t>
    <rPh sb="3" eb="5">
      <t>ヒレイ</t>
    </rPh>
    <rPh sb="5" eb="6">
      <t>キタ</t>
    </rPh>
    <rPh sb="6" eb="8">
      <t>カントウ</t>
    </rPh>
    <rPh sb="8" eb="10">
      <t>ミンシュ</t>
    </rPh>
    <phoneticPr fontId="4"/>
  </si>
  <si>
    <t>八木　昭次</t>
    <rPh sb="0" eb="2">
      <t>ヤギ</t>
    </rPh>
    <rPh sb="3" eb="5">
      <t>ショウジ</t>
    </rPh>
    <phoneticPr fontId="4"/>
  </si>
  <si>
    <t>322比例北関東民主17</t>
    <rPh sb="3" eb="5">
      <t>ヒレイ</t>
    </rPh>
    <rPh sb="5" eb="6">
      <t>キタ</t>
    </rPh>
    <rPh sb="6" eb="8">
      <t>カントウ</t>
    </rPh>
    <rPh sb="8" eb="10">
      <t>ミンシュ</t>
    </rPh>
    <phoneticPr fontId="4"/>
  </si>
  <si>
    <t>田島　國彦</t>
    <rPh sb="0" eb="2">
      <t>タジマ</t>
    </rPh>
    <rPh sb="3" eb="4">
      <t>コク</t>
    </rPh>
    <rPh sb="4" eb="5">
      <t>ヒコ</t>
    </rPh>
    <phoneticPr fontId="4"/>
  </si>
  <si>
    <t>322比例北関東民主05</t>
    <rPh sb="3" eb="5">
      <t>ヒレイ</t>
    </rPh>
    <rPh sb="5" eb="6">
      <t>キタ</t>
    </rPh>
    <rPh sb="6" eb="8">
      <t>カントウ</t>
    </rPh>
    <rPh sb="8" eb="10">
      <t>ミンシュ</t>
    </rPh>
    <phoneticPr fontId="4"/>
  </si>
  <si>
    <t>大畠　章宏</t>
    <rPh sb="0" eb="2">
      <t>オオハタ</t>
    </rPh>
    <rPh sb="3" eb="5">
      <t>アキヒロ</t>
    </rPh>
    <phoneticPr fontId="4"/>
  </si>
  <si>
    <t>322比例北関東民主18</t>
    <rPh sb="3" eb="5">
      <t>ヒレイ</t>
    </rPh>
    <rPh sb="5" eb="6">
      <t>キタ</t>
    </rPh>
    <rPh sb="6" eb="8">
      <t>カントウ</t>
    </rPh>
    <rPh sb="8" eb="10">
      <t>ミンシュ</t>
    </rPh>
    <phoneticPr fontId="4"/>
  </si>
  <si>
    <t>武正　公一</t>
    <rPh sb="0" eb="1">
      <t>タケ</t>
    </rPh>
    <rPh sb="1" eb="2">
      <t>マサ</t>
    </rPh>
    <rPh sb="3" eb="5">
      <t>コウイチ</t>
    </rPh>
    <phoneticPr fontId="4"/>
  </si>
  <si>
    <t>322比例北関東民主22</t>
    <rPh sb="3" eb="5">
      <t>ヒレイ</t>
    </rPh>
    <rPh sb="5" eb="6">
      <t>キタ</t>
    </rPh>
    <rPh sb="6" eb="8">
      <t>カントウ</t>
    </rPh>
    <rPh sb="8" eb="10">
      <t>ミンシュ</t>
    </rPh>
    <phoneticPr fontId="4"/>
  </si>
  <si>
    <t>枝野　幸男</t>
    <rPh sb="0" eb="1">
      <t>エダ</t>
    </rPh>
    <rPh sb="1" eb="2">
      <t>ノ</t>
    </rPh>
    <rPh sb="3" eb="5">
      <t>ユキオ</t>
    </rPh>
    <phoneticPr fontId="4"/>
  </si>
  <si>
    <t>322比例北関東民主23</t>
    <rPh sb="3" eb="5">
      <t>ヒレイ</t>
    </rPh>
    <rPh sb="5" eb="6">
      <t>キタ</t>
    </rPh>
    <rPh sb="6" eb="8">
      <t>カントウ</t>
    </rPh>
    <rPh sb="8" eb="10">
      <t>ミンシュ</t>
    </rPh>
    <phoneticPr fontId="4"/>
  </si>
  <si>
    <t>大島　敦</t>
    <rPh sb="0" eb="2">
      <t>オオシマ</t>
    </rPh>
    <rPh sb="3" eb="4">
      <t>アツシ</t>
    </rPh>
    <phoneticPr fontId="4"/>
  </si>
  <si>
    <t>323比例北関東公明01</t>
    <rPh sb="3" eb="5">
      <t>ヒレイ</t>
    </rPh>
    <rPh sb="5" eb="6">
      <t>キタ</t>
    </rPh>
    <rPh sb="6" eb="8">
      <t>カントウ</t>
    </rPh>
    <rPh sb="8" eb="10">
      <t>コウメイ</t>
    </rPh>
    <phoneticPr fontId="4"/>
  </si>
  <si>
    <t>石井　啓一</t>
    <rPh sb="0" eb="2">
      <t>イシイ</t>
    </rPh>
    <rPh sb="3" eb="5">
      <t>ケイイチ</t>
    </rPh>
    <phoneticPr fontId="4"/>
  </si>
  <si>
    <t>323比例北関東公明02</t>
    <rPh sb="3" eb="5">
      <t>ヒレイ</t>
    </rPh>
    <rPh sb="5" eb="6">
      <t>キタ</t>
    </rPh>
    <rPh sb="6" eb="8">
      <t>カントウ</t>
    </rPh>
    <rPh sb="8" eb="10">
      <t>コウメイ</t>
    </rPh>
    <phoneticPr fontId="4"/>
  </si>
  <si>
    <t>遠藤　乙彦</t>
    <rPh sb="0" eb="2">
      <t>エンドウ</t>
    </rPh>
    <rPh sb="3" eb="4">
      <t>オツ</t>
    </rPh>
    <rPh sb="4" eb="5">
      <t>ヒコ</t>
    </rPh>
    <phoneticPr fontId="4"/>
  </si>
  <si>
    <t>323比例北関東公明03</t>
    <rPh sb="3" eb="5">
      <t>ヒレイ</t>
    </rPh>
    <rPh sb="5" eb="6">
      <t>キタ</t>
    </rPh>
    <rPh sb="6" eb="8">
      <t>カントウ</t>
    </rPh>
    <rPh sb="8" eb="10">
      <t>コウメイ</t>
    </rPh>
    <phoneticPr fontId="4"/>
  </si>
  <si>
    <t>長沢　広明</t>
    <rPh sb="0" eb="2">
      <t>ナガサワ</t>
    </rPh>
    <rPh sb="3" eb="5">
      <t>ヒロアキ</t>
    </rPh>
    <phoneticPr fontId="4"/>
  </si>
  <si>
    <t>323比例北関東公明04</t>
    <rPh sb="3" eb="5">
      <t>ヒレイ</t>
    </rPh>
    <rPh sb="5" eb="6">
      <t>キタ</t>
    </rPh>
    <rPh sb="6" eb="8">
      <t>カントウ</t>
    </rPh>
    <rPh sb="8" eb="10">
      <t>コウメイ</t>
    </rPh>
    <phoneticPr fontId="4"/>
  </si>
  <si>
    <t>溝口　三嘉</t>
    <rPh sb="0" eb="2">
      <t>ミゾグチ</t>
    </rPh>
    <rPh sb="3" eb="4">
      <t>サン</t>
    </rPh>
    <rPh sb="4" eb="5">
      <t>カ</t>
    </rPh>
    <phoneticPr fontId="4"/>
  </si>
  <si>
    <t>324比例北関東共産01</t>
    <rPh sb="3" eb="5">
      <t>ヒレイ</t>
    </rPh>
    <rPh sb="5" eb="6">
      <t>キタ</t>
    </rPh>
    <rPh sb="6" eb="8">
      <t>カントウ</t>
    </rPh>
    <rPh sb="8" eb="10">
      <t>キョウサン</t>
    </rPh>
    <phoneticPr fontId="4"/>
  </si>
  <si>
    <t>塩川　鉄也</t>
    <rPh sb="0" eb="2">
      <t>シオカワ</t>
    </rPh>
    <rPh sb="3" eb="5">
      <t>テツヤ</t>
    </rPh>
    <phoneticPr fontId="4"/>
  </si>
  <si>
    <t>324比例北関東共産02</t>
    <rPh sb="3" eb="5">
      <t>ヒレイ</t>
    </rPh>
    <rPh sb="5" eb="6">
      <t>キタ</t>
    </rPh>
    <rPh sb="6" eb="8">
      <t>カントウ</t>
    </rPh>
    <rPh sb="8" eb="10">
      <t>キョウサン</t>
    </rPh>
    <phoneticPr fontId="4"/>
  </si>
  <si>
    <t>森原　公敏</t>
    <rPh sb="0" eb="2">
      <t>モリハラ</t>
    </rPh>
    <rPh sb="3" eb="5">
      <t>コウトシ</t>
    </rPh>
    <phoneticPr fontId="4"/>
  </si>
  <si>
    <t>324比例北関東共産03</t>
    <rPh sb="3" eb="5">
      <t>ヒレイ</t>
    </rPh>
    <rPh sb="5" eb="6">
      <t>キタ</t>
    </rPh>
    <rPh sb="6" eb="8">
      <t>カントウ</t>
    </rPh>
    <rPh sb="8" eb="10">
      <t>キョウサン</t>
    </rPh>
    <phoneticPr fontId="4"/>
  </si>
  <si>
    <t>元山　佳与子</t>
    <rPh sb="0" eb="2">
      <t>モトヤマ</t>
    </rPh>
    <rPh sb="3" eb="6">
      <t>カヨコ</t>
    </rPh>
    <phoneticPr fontId="4"/>
  </si>
  <si>
    <t>324比例北関東共産04</t>
    <rPh sb="3" eb="5">
      <t>ヒレイ</t>
    </rPh>
    <rPh sb="5" eb="6">
      <t>キタ</t>
    </rPh>
    <rPh sb="6" eb="8">
      <t>カントウ</t>
    </rPh>
    <rPh sb="8" eb="10">
      <t>キョウサン</t>
    </rPh>
    <phoneticPr fontId="4"/>
  </si>
  <si>
    <t>田谷　武夫</t>
    <rPh sb="0" eb="1">
      <t>タ</t>
    </rPh>
    <rPh sb="1" eb="2">
      <t>タニ</t>
    </rPh>
    <rPh sb="3" eb="5">
      <t>タケオ</t>
    </rPh>
    <phoneticPr fontId="4"/>
  </si>
  <si>
    <t>325比例北関東社民04</t>
    <rPh sb="3" eb="5">
      <t>ヒレイ</t>
    </rPh>
    <rPh sb="5" eb="6">
      <t>キタ</t>
    </rPh>
    <rPh sb="6" eb="8">
      <t>カントウ</t>
    </rPh>
    <rPh sb="8" eb="10">
      <t>シャミン</t>
    </rPh>
    <phoneticPr fontId="4"/>
  </si>
  <si>
    <t>日森　文尋</t>
    <rPh sb="0" eb="1">
      <t>ヒ</t>
    </rPh>
    <rPh sb="1" eb="2">
      <t>モリ</t>
    </rPh>
    <rPh sb="3" eb="4">
      <t>ブン</t>
    </rPh>
    <rPh sb="4" eb="5">
      <t>ヒロ</t>
    </rPh>
    <phoneticPr fontId="4"/>
  </si>
  <si>
    <t>325比例北関東社民03</t>
    <rPh sb="3" eb="5">
      <t>ヒレイ</t>
    </rPh>
    <rPh sb="5" eb="6">
      <t>キタ</t>
    </rPh>
    <rPh sb="6" eb="8">
      <t>カントウ</t>
    </rPh>
    <rPh sb="8" eb="10">
      <t>シャミン</t>
    </rPh>
    <phoneticPr fontId="4"/>
  </si>
  <si>
    <t>×</t>
    <phoneticPr fontId="4"/>
  </si>
  <si>
    <t>土屋　富久</t>
    <rPh sb="0" eb="2">
      <t>ツチヤ</t>
    </rPh>
    <rPh sb="3" eb="5">
      <t>トミヒサ</t>
    </rPh>
    <phoneticPr fontId="4"/>
  </si>
  <si>
    <t>325比例北関東社民02</t>
    <rPh sb="3" eb="5">
      <t>ヒレイ</t>
    </rPh>
    <rPh sb="5" eb="6">
      <t>キタ</t>
    </rPh>
    <rPh sb="6" eb="8">
      <t>カントウ</t>
    </rPh>
    <rPh sb="8" eb="10">
      <t>シャミン</t>
    </rPh>
    <phoneticPr fontId="4"/>
  </si>
  <si>
    <t>山口　睦子</t>
    <rPh sb="0" eb="2">
      <t>ヤマグチ</t>
    </rPh>
    <rPh sb="3" eb="5">
      <t>ムツコ</t>
    </rPh>
    <phoneticPr fontId="4"/>
  </si>
  <si>
    <t>325比例北関東社民01</t>
    <rPh sb="3" eb="5">
      <t>ヒレイ</t>
    </rPh>
    <rPh sb="5" eb="6">
      <t>キタ</t>
    </rPh>
    <rPh sb="6" eb="8">
      <t>カントウ</t>
    </rPh>
    <rPh sb="8" eb="10">
      <t>シャミン</t>
    </rPh>
    <phoneticPr fontId="4"/>
  </si>
  <si>
    <t>猿田　玲</t>
    <rPh sb="0" eb="2">
      <t>サルタ</t>
    </rPh>
    <rPh sb="3" eb="4">
      <t>レイ</t>
    </rPh>
    <phoneticPr fontId="4"/>
  </si>
  <si>
    <t>327比例北関東日本01</t>
    <rPh sb="3" eb="5">
      <t>ヒレイ</t>
    </rPh>
    <rPh sb="5" eb="6">
      <t>キタ</t>
    </rPh>
    <rPh sb="6" eb="8">
      <t>カントウ</t>
    </rPh>
    <rPh sb="8" eb="10">
      <t>ニホン</t>
    </rPh>
    <phoneticPr fontId="4"/>
  </si>
  <si>
    <t>平山　誠</t>
    <rPh sb="0" eb="2">
      <t>ヒラヤマ</t>
    </rPh>
    <rPh sb="3" eb="4">
      <t>マコト</t>
    </rPh>
    <phoneticPr fontId="4"/>
  </si>
  <si>
    <t>０７新日本</t>
    <rPh sb="2" eb="3">
      <t>シン</t>
    </rPh>
    <rPh sb="3" eb="5">
      <t>ニホン</t>
    </rPh>
    <phoneticPr fontId="4"/>
  </si>
  <si>
    <t>331比例南関東自民02</t>
    <rPh sb="3" eb="5">
      <t>ヒレイ</t>
    </rPh>
    <rPh sb="5" eb="6">
      <t>ミナミ</t>
    </rPh>
    <rPh sb="6" eb="8">
      <t>カントウ</t>
    </rPh>
    <rPh sb="8" eb="10">
      <t>ジミン</t>
    </rPh>
    <phoneticPr fontId="4"/>
  </si>
  <si>
    <t>江崎　洋一郎</t>
    <rPh sb="0" eb="2">
      <t>エザキ</t>
    </rPh>
    <rPh sb="3" eb="6">
      <t>ヨウイチロウ</t>
    </rPh>
    <phoneticPr fontId="4"/>
  </si>
  <si>
    <t>331比例南関東自民03</t>
    <rPh sb="3" eb="5">
      <t>ヒレイ</t>
    </rPh>
    <rPh sb="5" eb="6">
      <t>ミナミ</t>
    </rPh>
    <rPh sb="6" eb="8">
      <t>カントウ</t>
    </rPh>
    <rPh sb="8" eb="10">
      <t>ジミン</t>
    </rPh>
    <phoneticPr fontId="4"/>
  </si>
  <si>
    <t>14山梨03</t>
    <rPh sb="2" eb="4">
      <t>ヤマナシ</t>
    </rPh>
    <phoneticPr fontId="4"/>
  </si>
  <si>
    <t>小野　次郎</t>
    <rPh sb="0" eb="2">
      <t>オノ</t>
    </rPh>
    <rPh sb="3" eb="5">
      <t>ジロウ</t>
    </rPh>
    <phoneticPr fontId="4"/>
  </si>
  <si>
    <t>331比例南関東自民06</t>
    <rPh sb="3" eb="5">
      <t>ヒレイ</t>
    </rPh>
    <rPh sb="5" eb="6">
      <t>ミナミ</t>
    </rPh>
    <rPh sb="6" eb="8">
      <t>カントウ</t>
    </rPh>
    <rPh sb="8" eb="10">
      <t>ジミン</t>
    </rPh>
    <phoneticPr fontId="4"/>
  </si>
  <si>
    <t>12千葉04</t>
    <rPh sb="2" eb="4">
      <t>チバ</t>
    </rPh>
    <phoneticPr fontId="4"/>
  </si>
  <si>
    <t>藤田　幹雄</t>
    <rPh sb="0" eb="2">
      <t>フジタ</t>
    </rPh>
    <rPh sb="3" eb="5">
      <t>ミキオ</t>
    </rPh>
    <phoneticPr fontId="4"/>
  </si>
  <si>
    <t>331比例南関東自民32</t>
    <rPh sb="3" eb="5">
      <t>ヒレイ</t>
    </rPh>
    <rPh sb="5" eb="6">
      <t>ミナミ</t>
    </rPh>
    <rPh sb="6" eb="8">
      <t>カントウ</t>
    </rPh>
    <rPh sb="8" eb="10">
      <t>ジミン</t>
    </rPh>
    <phoneticPr fontId="4"/>
  </si>
  <si>
    <t>14山梨02</t>
    <rPh sb="2" eb="4">
      <t>ヤマナシ</t>
    </rPh>
    <phoneticPr fontId="4"/>
  </si>
  <si>
    <t>長崎　幸太郎</t>
    <rPh sb="0" eb="2">
      <t>ナガサキ</t>
    </rPh>
    <rPh sb="3" eb="6">
      <t>コウタロウ</t>
    </rPh>
    <phoneticPr fontId="4"/>
  </si>
  <si>
    <t>331比例南関東自民31</t>
    <rPh sb="3" eb="5">
      <t>ヒレイ</t>
    </rPh>
    <rPh sb="5" eb="6">
      <t>ミナミ</t>
    </rPh>
    <rPh sb="6" eb="8">
      <t>カントウ</t>
    </rPh>
    <rPh sb="8" eb="10">
      <t>ジミン</t>
    </rPh>
    <phoneticPr fontId="4"/>
  </si>
  <si>
    <t>14山梨01</t>
    <rPh sb="2" eb="4">
      <t>ヤマナシ</t>
    </rPh>
    <phoneticPr fontId="4"/>
  </si>
  <si>
    <t>赤池　誠章</t>
    <rPh sb="0" eb="2">
      <t>アカイケ</t>
    </rPh>
    <rPh sb="3" eb="4">
      <t>マコト</t>
    </rPh>
    <rPh sb="4" eb="5">
      <t>アキラ</t>
    </rPh>
    <phoneticPr fontId="4"/>
  </si>
  <si>
    <t>331比例南関東自民22</t>
    <rPh sb="3" eb="5">
      <t>ヒレイ</t>
    </rPh>
    <rPh sb="5" eb="6">
      <t>ミナミ</t>
    </rPh>
    <rPh sb="6" eb="8">
      <t>カントウ</t>
    </rPh>
    <rPh sb="8" eb="10">
      <t>ジミン</t>
    </rPh>
    <phoneticPr fontId="4"/>
  </si>
  <si>
    <t>13神奈川08</t>
    <rPh sb="2" eb="5">
      <t>カナガワ</t>
    </rPh>
    <phoneticPr fontId="4"/>
  </si>
  <si>
    <t>福田　峰之</t>
    <rPh sb="0" eb="2">
      <t>フクダ</t>
    </rPh>
    <rPh sb="3" eb="4">
      <t>ミネ</t>
    </rPh>
    <rPh sb="4" eb="5">
      <t>ユキ</t>
    </rPh>
    <phoneticPr fontId="4"/>
  </si>
  <si>
    <t>331比例南関東自民33</t>
    <rPh sb="3" eb="5">
      <t>ヒレイ</t>
    </rPh>
    <rPh sb="5" eb="6">
      <t>ミナミ</t>
    </rPh>
    <rPh sb="6" eb="8">
      <t>カントウ</t>
    </rPh>
    <rPh sb="8" eb="10">
      <t>ジミン</t>
    </rPh>
    <phoneticPr fontId="4"/>
  </si>
  <si>
    <t>近江屋　信広</t>
    <rPh sb="0" eb="2">
      <t>オウミ</t>
    </rPh>
    <rPh sb="2" eb="3">
      <t>ヤ</t>
    </rPh>
    <rPh sb="4" eb="6">
      <t>ノブヒロ</t>
    </rPh>
    <phoneticPr fontId="4"/>
  </si>
  <si>
    <t>331比例南関東自民34</t>
    <rPh sb="3" eb="5">
      <t>ヒレイ</t>
    </rPh>
    <rPh sb="5" eb="6">
      <t>ミナミ</t>
    </rPh>
    <rPh sb="6" eb="8">
      <t>カントウ</t>
    </rPh>
    <rPh sb="8" eb="10">
      <t>ジミン</t>
    </rPh>
    <phoneticPr fontId="4"/>
  </si>
  <si>
    <t>鈴木　馨祐</t>
    <rPh sb="0" eb="2">
      <t>スズキ</t>
    </rPh>
    <rPh sb="3" eb="4">
      <t>カオル</t>
    </rPh>
    <rPh sb="4" eb="5">
      <t>ユウ</t>
    </rPh>
    <phoneticPr fontId="4"/>
  </si>
  <si>
    <t>331比例南関東自民35</t>
    <rPh sb="3" eb="5">
      <t>ヒレイ</t>
    </rPh>
    <rPh sb="5" eb="6">
      <t>ミナミ</t>
    </rPh>
    <rPh sb="6" eb="8">
      <t>カントウ</t>
    </rPh>
    <rPh sb="8" eb="10">
      <t>ジミン</t>
    </rPh>
    <phoneticPr fontId="4"/>
  </si>
  <si>
    <t>杉村　太蔵</t>
    <rPh sb="0" eb="2">
      <t>スギムラ</t>
    </rPh>
    <rPh sb="3" eb="4">
      <t>フト</t>
    </rPh>
    <rPh sb="4" eb="5">
      <t>クラ</t>
    </rPh>
    <phoneticPr fontId="4"/>
  </si>
  <si>
    <t>331比例南関東自民36</t>
    <rPh sb="3" eb="5">
      <t>ヒレイ</t>
    </rPh>
    <rPh sb="5" eb="6">
      <t>ミナミ</t>
    </rPh>
    <rPh sb="6" eb="8">
      <t>カントウ</t>
    </rPh>
    <rPh sb="8" eb="10">
      <t>ジミン</t>
    </rPh>
    <phoneticPr fontId="4"/>
  </si>
  <si>
    <t>浮島　敏男</t>
    <rPh sb="0" eb="2">
      <t>ウキシマ</t>
    </rPh>
    <rPh sb="3" eb="5">
      <t>トシオ</t>
    </rPh>
    <phoneticPr fontId="4"/>
  </si>
  <si>
    <t>331比例南関東自民37</t>
    <rPh sb="3" eb="5">
      <t>ヒレイ</t>
    </rPh>
    <rPh sb="5" eb="6">
      <t>ミナミ</t>
    </rPh>
    <rPh sb="6" eb="8">
      <t>カントウ</t>
    </rPh>
    <rPh sb="8" eb="10">
      <t>ジミン</t>
    </rPh>
    <phoneticPr fontId="4"/>
  </si>
  <si>
    <t>秋山　武</t>
    <rPh sb="0" eb="2">
      <t>アキヤマ</t>
    </rPh>
    <rPh sb="3" eb="4">
      <t>タケシ</t>
    </rPh>
    <phoneticPr fontId="4"/>
  </si>
  <si>
    <t>331比例南関東自民38</t>
    <rPh sb="3" eb="5">
      <t>ヒレイ</t>
    </rPh>
    <rPh sb="5" eb="6">
      <t>ミナミ</t>
    </rPh>
    <rPh sb="6" eb="8">
      <t>カントウ</t>
    </rPh>
    <rPh sb="8" eb="10">
      <t>ジミン</t>
    </rPh>
    <phoneticPr fontId="4"/>
  </si>
  <si>
    <t>石川　英男</t>
    <rPh sb="0" eb="2">
      <t>イシカワ</t>
    </rPh>
    <rPh sb="3" eb="5">
      <t>ヒデオ</t>
    </rPh>
    <phoneticPr fontId="4"/>
  </si>
  <si>
    <t>331比例南関東自民01</t>
    <rPh sb="3" eb="5">
      <t>ヒレイ</t>
    </rPh>
    <rPh sb="5" eb="6">
      <t>ミナミ</t>
    </rPh>
    <rPh sb="6" eb="8">
      <t>カントウ</t>
    </rPh>
    <rPh sb="8" eb="10">
      <t>ジミン</t>
    </rPh>
    <phoneticPr fontId="4"/>
  </si>
  <si>
    <t>12千葉02</t>
    <rPh sb="2" eb="4">
      <t>チバ</t>
    </rPh>
    <phoneticPr fontId="4"/>
  </si>
  <si>
    <t>山中　燁子</t>
    <rPh sb="0" eb="2">
      <t>ヤマナカ</t>
    </rPh>
    <rPh sb="4" eb="5">
      <t>コ</t>
    </rPh>
    <phoneticPr fontId="4"/>
  </si>
  <si>
    <t>331比例南関東自民04</t>
    <rPh sb="3" eb="5">
      <t>ヒレイ</t>
    </rPh>
    <rPh sb="5" eb="6">
      <t>ミナミ</t>
    </rPh>
    <rPh sb="6" eb="8">
      <t>カントウ</t>
    </rPh>
    <rPh sb="8" eb="10">
      <t>ジミン</t>
    </rPh>
    <phoneticPr fontId="4"/>
  </si>
  <si>
    <t>12千葉01</t>
    <rPh sb="2" eb="4">
      <t>チバ</t>
    </rPh>
    <phoneticPr fontId="4"/>
  </si>
  <si>
    <t>臼井　日出男</t>
    <rPh sb="0" eb="2">
      <t>ウスイ</t>
    </rPh>
    <rPh sb="3" eb="6">
      <t>ヒデオ</t>
    </rPh>
    <phoneticPr fontId="4"/>
  </si>
  <si>
    <t>331比例南関東自民05</t>
    <rPh sb="3" eb="5">
      <t>ヒレイ</t>
    </rPh>
    <rPh sb="5" eb="6">
      <t>ミナミ</t>
    </rPh>
    <rPh sb="6" eb="8">
      <t>カントウ</t>
    </rPh>
    <rPh sb="8" eb="10">
      <t>ジミン</t>
    </rPh>
    <phoneticPr fontId="4"/>
  </si>
  <si>
    <t>12千葉03</t>
    <rPh sb="2" eb="4">
      <t>チバ</t>
    </rPh>
    <phoneticPr fontId="4"/>
  </si>
  <si>
    <t>松野　博一</t>
    <rPh sb="0" eb="2">
      <t>マツノ</t>
    </rPh>
    <rPh sb="3" eb="4">
      <t>ヒロシ</t>
    </rPh>
    <rPh sb="4" eb="5">
      <t>イチ</t>
    </rPh>
    <phoneticPr fontId="4"/>
  </si>
  <si>
    <t>331比例南関東自民07</t>
    <rPh sb="3" eb="5">
      <t>ヒレイ</t>
    </rPh>
    <rPh sb="5" eb="6">
      <t>ミナミ</t>
    </rPh>
    <rPh sb="6" eb="8">
      <t>カントウ</t>
    </rPh>
    <rPh sb="8" eb="10">
      <t>ジミン</t>
    </rPh>
    <phoneticPr fontId="4"/>
  </si>
  <si>
    <t>12千葉05</t>
    <rPh sb="2" eb="4">
      <t>チバ</t>
    </rPh>
    <phoneticPr fontId="4"/>
  </si>
  <si>
    <t>薗浦　健太郎</t>
    <rPh sb="0" eb="1">
      <t>ソノ</t>
    </rPh>
    <rPh sb="1" eb="2">
      <t>ウラ</t>
    </rPh>
    <rPh sb="3" eb="6">
      <t>ケンタロウ</t>
    </rPh>
    <phoneticPr fontId="4"/>
  </si>
  <si>
    <t>１７河野</t>
    <rPh sb="2" eb="4">
      <t>コウノ</t>
    </rPh>
    <phoneticPr fontId="4"/>
  </si>
  <si>
    <t>331比例南関東自民08</t>
    <rPh sb="3" eb="5">
      <t>ヒレイ</t>
    </rPh>
    <rPh sb="5" eb="6">
      <t>ミナミ</t>
    </rPh>
    <rPh sb="6" eb="8">
      <t>カントウ</t>
    </rPh>
    <rPh sb="8" eb="10">
      <t>ジミン</t>
    </rPh>
    <phoneticPr fontId="4"/>
  </si>
  <si>
    <t>12千葉06</t>
    <rPh sb="2" eb="4">
      <t>チバ</t>
    </rPh>
    <phoneticPr fontId="4"/>
  </si>
  <si>
    <t>渡辺　博道</t>
    <rPh sb="0" eb="2">
      <t>ワタナベ</t>
    </rPh>
    <rPh sb="3" eb="5">
      <t>ヒロミチ</t>
    </rPh>
    <phoneticPr fontId="4"/>
  </si>
  <si>
    <t>331比例南関東自民09</t>
    <rPh sb="3" eb="5">
      <t>ヒレイ</t>
    </rPh>
    <rPh sb="5" eb="6">
      <t>ミナミ</t>
    </rPh>
    <rPh sb="6" eb="8">
      <t>カントウ</t>
    </rPh>
    <rPh sb="8" eb="10">
      <t>ジミン</t>
    </rPh>
    <phoneticPr fontId="4"/>
  </si>
  <si>
    <t>12千葉07</t>
    <rPh sb="2" eb="4">
      <t>チバ</t>
    </rPh>
    <phoneticPr fontId="4"/>
  </si>
  <si>
    <t>松本　和巳</t>
    <rPh sb="0" eb="2">
      <t>マツモト</t>
    </rPh>
    <rPh sb="3" eb="4">
      <t>ワ</t>
    </rPh>
    <rPh sb="4" eb="5">
      <t>ミ</t>
    </rPh>
    <phoneticPr fontId="4"/>
  </si>
  <si>
    <t>331比例南関東自民10</t>
    <rPh sb="3" eb="5">
      <t>ヒレイ</t>
    </rPh>
    <rPh sb="5" eb="6">
      <t>ミナミ</t>
    </rPh>
    <rPh sb="6" eb="8">
      <t>カントウ</t>
    </rPh>
    <rPh sb="8" eb="10">
      <t>ジミン</t>
    </rPh>
    <phoneticPr fontId="4"/>
  </si>
  <si>
    <t>12千葉08</t>
    <rPh sb="2" eb="4">
      <t>チバ</t>
    </rPh>
    <phoneticPr fontId="4"/>
  </si>
  <si>
    <t>櫻田　義孝</t>
    <rPh sb="0" eb="2">
      <t>サクラダ</t>
    </rPh>
    <rPh sb="3" eb="5">
      <t>ヨシタカ</t>
    </rPh>
    <phoneticPr fontId="4"/>
  </si>
  <si>
    <t>331比例南関東自民11</t>
    <rPh sb="3" eb="5">
      <t>ヒレイ</t>
    </rPh>
    <rPh sb="5" eb="6">
      <t>ミナミ</t>
    </rPh>
    <rPh sb="6" eb="8">
      <t>カントウ</t>
    </rPh>
    <rPh sb="8" eb="10">
      <t>ジミン</t>
    </rPh>
    <phoneticPr fontId="4"/>
  </si>
  <si>
    <t>12千葉09</t>
    <rPh sb="2" eb="4">
      <t>チバ</t>
    </rPh>
    <phoneticPr fontId="4"/>
  </si>
  <si>
    <t>水野　賢一</t>
    <rPh sb="0" eb="2">
      <t>ミズノ</t>
    </rPh>
    <rPh sb="3" eb="5">
      <t>ケンイチ</t>
    </rPh>
    <phoneticPr fontId="4"/>
  </si>
  <si>
    <t>331比例南関東自民12</t>
    <rPh sb="3" eb="5">
      <t>ヒレイ</t>
    </rPh>
    <rPh sb="5" eb="6">
      <t>ミナミ</t>
    </rPh>
    <rPh sb="6" eb="8">
      <t>カントウ</t>
    </rPh>
    <rPh sb="8" eb="10">
      <t>ジミン</t>
    </rPh>
    <phoneticPr fontId="4"/>
  </si>
  <si>
    <t>12千葉10</t>
    <rPh sb="2" eb="4">
      <t>チバ</t>
    </rPh>
    <phoneticPr fontId="4"/>
  </si>
  <si>
    <t>林　幹雄</t>
    <rPh sb="0" eb="1">
      <t>ハヤシ</t>
    </rPh>
    <rPh sb="2" eb="4">
      <t>ミキオ</t>
    </rPh>
    <phoneticPr fontId="4"/>
  </si>
  <si>
    <t>331比例南関東自民13</t>
    <rPh sb="3" eb="5">
      <t>ヒレイ</t>
    </rPh>
    <rPh sb="5" eb="6">
      <t>ミナミ</t>
    </rPh>
    <rPh sb="6" eb="8">
      <t>カントウ</t>
    </rPh>
    <rPh sb="8" eb="10">
      <t>ジミン</t>
    </rPh>
    <phoneticPr fontId="4"/>
  </si>
  <si>
    <t>12千葉11</t>
    <rPh sb="2" eb="4">
      <t>チバ</t>
    </rPh>
    <phoneticPr fontId="4"/>
  </si>
  <si>
    <t>森　英介</t>
    <rPh sb="0" eb="1">
      <t>モリ</t>
    </rPh>
    <rPh sb="2" eb="4">
      <t>エイスケ</t>
    </rPh>
    <phoneticPr fontId="4"/>
  </si>
  <si>
    <t>331比例南関東自民14</t>
    <rPh sb="3" eb="5">
      <t>ヒレイ</t>
    </rPh>
    <rPh sb="5" eb="6">
      <t>ミナミ</t>
    </rPh>
    <rPh sb="6" eb="8">
      <t>カントウ</t>
    </rPh>
    <rPh sb="8" eb="10">
      <t>ジミン</t>
    </rPh>
    <phoneticPr fontId="4"/>
  </si>
  <si>
    <t>12千葉12</t>
    <rPh sb="2" eb="4">
      <t>チバ</t>
    </rPh>
    <phoneticPr fontId="4"/>
  </si>
  <si>
    <t>浜田　靖一</t>
    <rPh sb="0" eb="2">
      <t>ハマダ</t>
    </rPh>
    <rPh sb="3" eb="5">
      <t>ヤスイチ</t>
    </rPh>
    <phoneticPr fontId="4"/>
  </si>
  <si>
    <t>331比例南関東自民15</t>
    <rPh sb="3" eb="5">
      <t>ヒレイ</t>
    </rPh>
    <rPh sb="5" eb="6">
      <t>ミナミ</t>
    </rPh>
    <rPh sb="6" eb="8">
      <t>カントウ</t>
    </rPh>
    <rPh sb="8" eb="10">
      <t>ジミン</t>
    </rPh>
    <phoneticPr fontId="4"/>
  </si>
  <si>
    <t>12千葉13</t>
    <rPh sb="2" eb="4">
      <t>チバ</t>
    </rPh>
    <phoneticPr fontId="4"/>
  </si>
  <si>
    <t>実川　幸夫</t>
    <rPh sb="0" eb="2">
      <t>ジツカワ</t>
    </rPh>
    <rPh sb="3" eb="5">
      <t>ユキオ</t>
    </rPh>
    <phoneticPr fontId="4"/>
  </si>
  <si>
    <t>331比例南関東自民16</t>
    <rPh sb="3" eb="5">
      <t>ヒレイ</t>
    </rPh>
    <rPh sb="5" eb="6">
      <t>ミナミ</t>
    </rPh>
    <rPh sb="6" eb="8">
      <t>カントウ</t>
    </rPh>
    <rPh sb="8" eb="10">
      <t>ジミン</t>
    </rPh>
    <phoneticPr fontId="4"/>
  </si>
  <si>
    <t>13神奈川01</t>
    <rPh sb="2" eb="5">
      <t>カナガワ</t>
    </rPh>
    <phoneticPr fontId="4"/>
  </si>
  <si>
    <t>松本　純</t>
    <rPh sb="0" eb="2">
      <t>マツモト</t>
    </rPh>
    <rPh sb="3" eb="4">
      <t>ジュン</t>
    </rPh>
    <phoneticPr fontId="4"/>
  </si>
  <si>
    <t>331比例南関東自民17</t>
    <rPh sb="3" eb="5">
      <t>ヒレイ</t>
    </rPh>
    <rPh sb="5" eb="6">
      <t>ミナミ</t>
    </rPh>
    <rPh sb="6" eb="8">
      <t>カントウ</t>
    </rPh>
    <rPh sb="8" eb="10">
      <t>ジミン</t>
    </rPh>
    <phoneticPr fontId="4"/>
  </si>
  <si>
    <t>13神奈川02</t>
    <rPh sb="2" eb="5">
      <t>カナガワ</t>
    </rPh>
    <phoneticPr fontId="4"/>
  </si>
  <si>
    <t>菅　義偉</t>
    <rPh sb="0" eb="1">
      <t>スガ</t>
    </rPh>
    <rPh sb="2" eb="3">
      <t>ギ</t>
    </rPh>
    <rPh sb="3" eb="4">
      <t>イサム</t>
    </rPh>
    <phoneticPr fontId="4"/>
  </si>
  <si>
    <t>331比例南関東自民18</t>
    <rPh sb="3" eb="5">
      <t>ヒレイ</t>
    </rPh>
    <rPh sb="5" eb="6">
      <t>ミナミ</t>
    </rPh>
    <rPh sb="6" eb="8">
      <t>カントウ</t>
    </rPh>
    <rPh sb="8" eb="10">
      <t>ジミン</t>
    </rPh>
    <phoneticPr fontId="4"/>
  </si>
  <si>
    <t>13神奈川03</t>
    <rPh sb="2" eb="5">
      <t>カナガワ</t>
    </rPh>
    <phoneticPr fontId="4"/>
  </si>
  <si>
    <t>小此木　八郎</t>
    <rPh sb="0" eb="3">
      <t>オコノギ</t>
    </rPh>
    <rPh sb="4" eb="6">
      <t>ハチロウ</t>
    </rPh>
    <phoneticPr fontId="4"/>
  </si>
  <si>
    <t>331比例南関東自民19</t>
    <rPh sb="3" eb="5">
      <t>ヒレイ</t>
    </rPh>
    <rPh sb="5" eb="6">
      <t>ミナミ</t>
    </rPh>
    <rPh sb="6" eb="8">
      <t>カントウ</t>
    </rPh>
    <rPh sb="8" eb="10">
      <t>ジミン</t>
    </rPh>
    <phoneticPr fontId="4"/>
  </si>
  <si>
    <t>13神奈川04</t>
    <rPh sb="2" eb="5">
      <t>カナガワ</t>
    </rPh>
    <phoneticPr fontId="4"/>
  </si>
  <si>
    <t>林　潤</t>
    <rPh sb="0" eb="1">
      <t>ハヤシ</t>
    </rPh>
    <rPh sb="2" eb="3">
      <t>ジュン</t>
    </rPh>
    <phoneticPr fontId="4"/>
  </si>
  <si>
    <t>331比例南関東自民20</t>
    <rPh sb="3" eb="5">
      <t>ヒレイ</t>
    </rPh>
    <rPh sb="5" eb="6">
      <t>ミナミ</t>
    </rPh>
    <rPh sb="6" eb="8">
      <t>カントウ</t>
    </rPh>
    <rPh sb="8" eb="10">
      <t>ジミン</t>
    </rPh>
    <phoneticPr fontId="4"/>
  </si>
  <si>
    <t>13神奈川05</t>
    <rPh sb="2" eb="5">
      <t>カナガワ</t>
    </rPh>
    <phoneticPr fontId="4"/>
  </si>
  <si>
    <t>坂井　学</t>
    <rPh sb="0" eb="2">
      <t>サカイ</t>
    </rPh>
    <rPh sb="3" eb="4">
      <t>マナブ</t>
    </rPh>
    <phoneticPr fontId="4"/>
  </si>
  <si>
    <t>331比例南関東自民21</t>
    <rPh sb="3" eb="5">
      <t>ヒレイ</t>
    </rPh>
    <rPh sb="5" eb="6">
      <t>ミナミ</t>
    </rPh>
    <rPh sb="6" eb="8">
      <t>カントウ</t>
    </rPh>
    <rPh sb="8" eb="10">
      <t>ジミン</t>
    </rPh>
    <phoneticPr fontId="4"/>
  </si>
  <si>
    <t>13神奈川07</t>
    <rPh sb="2" eb="5">
      <t>カナガワ</t>
    </rPh>
    <phoneticPr fontId="4"/>
  </si>
  <si>
    <t>鈴木　恒夫</t>
    <rPh sb="0" eb="2">
      <t>スズキ</t>
    </rPh>
    <rPh sb="3" eb="5">
      <t>ツネオ</t>
    </rPh>
    <phoneticPr fontId="4"/>
  </si>
  <si>
    <t>331比例南関東自民23</t>
    <rPh sb="3" eb="5">
      <t>ヒレイ</t>
    </rPh>
    <rPh sb="5" eb="6">
      <t>ミナミ</t>
    </rPh>
    <rPh sb="6" eb="8">
      <t>カントウ</t>
    </rPh>
    <rPh sb="8" eb="10">
      <t>ジミン</t>
    </rPh>
    <phoneticPr fontId="4"/>
  </si>
  <si>
    <t>13神奈川09</t>
    <rPh sb="2" eb="5">
      <t>カナガワ</t>
    </rPh>
    <phoneticPr fontId="4"/>
  </si>
  <si>
    <t>山内　康一</t>
    <rPh sb="0" eb="2">
      <t>ヤマウチ</t>
    </rPh>
    <rPh sb="3" eb="5">
      <t>コウイチ</t>
    </rPh>
    <phoneticPr fontId="4"/>
  </si>
  <si>
    <t>331比例南関東自民24</t>
    <rPh sb="3" eb="5">
      <t>ヒレイ</t>
    </rPh>
    <rPh sb="5" eb="6">
      <t>ミナミ</t>
    </rPh>
    <rPh sb="6" eb="8">
      <t>カントウ</t>
    </rPh>
    <rPh sb="8" eb="10">
      <t>ジミン</t>
    </rPh>
    <phoneticPr fontId="4"/>
  </si>
  <si>
    <t>13神奈川10</t>
    <rPh sb="2" eb="5">
      <t>カナガワ</t>
    </rPh>
    <phoneticPr fontId="4"/>
  </si>
  <si>
    <t>田中　和德</t>
    <rPh sb="0" eb="1">
      <t>タ</t>
    </rPh>
    <rPh sb="1" eb="2">
      <t>ナカ</t>
    </rPh>
    <rPh sb="3" eb="4">
      <t>カズ</t>
    </rPh>
    <rPh sb="4" eb="5">
      <t>ノリ</t>
    </rPh>
    <phoneticPr fontId="4"/>
  </si>
  <si>
    <t>331比例南関東自民25</t>
    <rPh sb="3" eb="5">
      <t>ヒレイ</t>
    </rPh>
    <rPh sb="5" eb="6">
      <t>ミナミ</t>
    </rPh>
    <rPh sb="6" eb="8">
      <t>カントウ</t>
    </rPh>
    <rPh sb="8" eb="10">
      <t>ジミン</t>
    </rPh>
    <phoneticPr fontId="4"/>
  </si>
  <si>
    <t>13神奈川12</t>
    <rPh sb="2" eb="5">
      <t>カナガワ</t>
    </rPh>
    <phoneticPr fontId="4"/>
  </si>
  <si>
    <t>桜井　郁三</t>
    <rPh sb="0" eb="2">
      <t>サクライ</t>
    </rPh>
    <rPh sb="3" eb="5">
      <t>イクゾウ</t>
    </rPh>
    <phoneticPr fontId="4"/>
  </si>
  <si>
    <t>331比例南関東自民26</t>
    <rPh sb="3" eb="5">
      <t>ヒレイ</t>
    </rPh>
    <rPh sb="5" eb="6">
      <t>ミナミ</t>
    </rPh>
    <rPh sb="6" eb="8">
      <t>カントウ</t>
    </rPh>
    <rPh sb="8" eb="10">
      <t>ジミン</t>
    </rPh>
    <phoneticPr fontId="4"/>
  </si>
  <si>
    <t>13神奈川14</t>
    <rPh sb="2" eb="5">
      <t>カナガワ</t>
    </rPh>
    <phoneticPr fontId="4"/>
  </si>
  <si>
    <t>赤間　二郎</t>
    <rPh sb="0" eb="2">
      <t>アカマ</t>
    </rPh>
    <rPh sb="3" eb="5">
      <t>ジロウ</t>
    </rPh>
    <phoneticPr fontId="4"/>
  </si>
  <si>
    <t>331比例南関東自民27</t>
    <rPh sb="3" eb="5">
      <t>ヒレイ</t>
    </rPh>
    <rPh sb="5" eb="6">
      <t>ミナミ</t>
    </rPh>
    <rPh sb="6" eb="8">
      <t>カントウ</t>
    </rPh>
    <rPh sb="8" eb="10">
      <t>ジミン</t>
    </rPh>
    <phoneticPr fontId="4"/>
  </si>
  <si>
    <t>13神奈川15</t>
    <rPh sb="2" eb="5">
      <t>カナガワ</t>
    </rPh>
    <phoneticPr fontId="4"/>
  </si>
  <si>
    <t>河野　太郎</t>
    <rPh sb="0" eb="2">
      <t>コウノ</t>
    </rPh>
    <rPh sb="3" eb="5">
      <t>タロウ</t>
    </rPh>
    <phoneticPr fontId="4"/>
  </si>
  <si>
    <t>331比例南関東自民28</t>
    <rPh sb="3" eb="5">
      <t>ヒレイ</t>
    </rPh>
    <rPh sb="5" eb="6">
      <t>ミナミ</t>
    </rPh>
    <rPh sb="6" eb="8">
      <t>カントウ</t>
    </rPh>
    <rPh sb="8" eb="10">
      <t>ジミン</t>
    </rPh>
    <phoneticPr fontId="4"/>
  </si>
  <si>
    <t>13神奈川16</t>
    <rPh sb="2" eb="5">
      <t>カナガワ</t>
    </rPh>
    <phoneticPr fontId="4"/>
  </si>
  <si>
    <t>亀井　善之</t>
    <rPh sb="0" eb="2">
      <t>カメイ</t>
    </rPh>
    <rPh sb="3" eb="5">
      <t>ヨシユキ</t>
    </rPh>
    <phoneticPr fontId="4"/>
  </si>
  <si>
    <t>331比例南関東自民29</t>
    <rPh sb="3" eb="5">
      <t>ヒレイ</t>
    </rPh>
    <rPh sb="5" eb="6">
      <t>ミナミ</t>
    </rPh>
    <rPh sb="6" eb="8">
      <t>カントウ</t>
    </rPh>
    <rPh sb="8" eb="10">
      <t>ジミン</t>
    </rPh>
    <phoneticPr fontId="4"/>
  </si>
  <si>
    <t>13神奈川17</t>
    <rPh sb="2" eb="5">
      <t>カナガワ</t>
    </rPh>
    <phoneticPr fontId="4"/>
  </si>
  <si>
    <t>河野　洋平</t>
    <rPh sb="0" eb="2">
      <t>コウノ</t>
    </rPh>
    <rPh sb="3" eb="5">
      <t>ヨウヘイ</t>
    </rPh>
    <phoneticPr fontId="4"/>
  </si>
  <si>
    <t>331比例南関東自民30</t>
    <rPh sb="3" eb="5">
      <t>ヒレイ</t>
    </rPh>
    <rPh sb="5" eb="6">
      <t>ミナミ</t>
    </rPh>
    <rPh sb="6" eb="8">
      <t>カントウ</t>
    </rPh>
    <rPh sb="8" eb="10">
      <t>ジミン</t>
    </rPh>
    <phoneticPr fontId="4"/>
  </si>
  <si>
    <t>13神奈川18</t>
    <rPh sb="2" eb="5">
      <t>カナガワ</t>
    </rPh>
    <phoneticPr fontId="4"/>
  </si>
  <si>
    <t>山際　大志郎</t>
    <rPh sb="0" eb="2">
      <t>ヤマギワ</t>
    </rPh>
    <rPh sb="3" eb="5">
      <t>タイシ</t>
    </rPh>
    <rPh sb="5" eb="6">
      <t>ロウ</t>
    </rPh>
    <phoneticPr fontId="4"/>
  </si>
  <si>
    <t>332比例南関東民主01</t>
    <rPh sb="3" eb="5">
      <t>ヒレイ</t>
    </rPh>
    <rPh sb="5" eb="6">
      <t>ミナミ</t>
    </rPh>
    <rPh sb="6" eb="8">
      <t>カントウ</t>
    </rPh>
    <rPh sb="8" eb="10">
      <t>ミンシュ</t>
    </rPh>
    <phoneticPr fontId="4"/>
  </si>
  <si>
    <t>長浜　博行</t>
    <rPh sb="0" eb="2">
      <t>ナガハマ</t>
    </rPh>
    <rPh sb="3" eb="5">
      <t>ヒロユキ</t>
    </rPh>
    <phoneticPr fontId="4"/>
  </si>
  <si>
    <t>332比例南関東民主35</t>
    <rPh sb="3" eb="5">
      <t>ヒレイ</t>
    </rPh>
    <rPh sb="5" eb="6">
      <t>ミナミ</t>
    </rPh>
    <rPh sb="6" eb="8">
      <t>カントウ</t>
    </rPh>
    <rPh sb="8" eb="10">
      <t>ミンシュ</t>
    </rPh>
    <phoneticPr fontId="4"/>
  </si>
  <si>
    <t>後藤　斎</t>
    <rPh sb="0" eb="2">
      <t>ゴトウ</t>
    </rPh>
    <rPh sb="3" eb="4">
      <t>イワイ</t>
    </rPh>
    <phoneticPr fontId="4"/>
  </si>
  <si>
    <t>332比例南関東民主23</t>
    <rPh sb="3" eb="5">
      <t>ヒレイ</t>
    </rPh>
    <rPh sb="5" eb="6">
      <t>ミナミ</t>
    </rPh>
    <rPh sb="6" eb="8">
      <t>カントウ</t>
    </rPh>
    <rPh sb="8" eb="10">
      <t>ミンシュ</t>
    </rPh>
    <phoneticPr fontId="4"/>
  </si>
  <si>
    <t>笠　浩史</t>
    <rPh sb="0" eb="1">
      <t>リュウ</t>
    </rPh>
    <rPh sb="2" eb="3">
      <t>ヒロシ</t>
    </rPh>
    <rPh sb="3" eb="4">
      <t>シ</t>
    </rPh>
    <phoneticPr fontId="4"/>
  </si>
  <si>
    <t>332比例南関東民主03</t>
    <rPh sb="3" eb="5">
      <t>ヒレイ</t>
    </rPh>
    <rPh sb="5" eb="6">
      <t>ミナミ</t>
    </rPh>
    <rPh sb="6" eb="8">
      <t>カントウ</t>
    </rPh>
    <rPh sb="8" eb="10">
      <t>ミンシュ</t>
    </rPh>
    <phoneticPr fontId="4"/>
  </si>
  <si>
    <t>永田　寿康</t>
    <rPh sb="0" eb="2">
      <t>ナガタ</t>
    </rPh>
    <rPh sb="3" eb="4">
      <t>コトブキ</t>
    </rPh>
    <rPh sb="4" eb="5">
      <t>ヤス</t>
    </rPh>
    <phoneticPr fontId="4"/>
  </si>
  <si>
    <t>332比例南関東民主22</t>
    <rPh sb="3" eb="5">
      <t>ヒレイ</t>
    </rPh>
    <rPh sb="5" eb="6">
      <t>ミナミ</t>
    </rPh>
    <rPh sb="6" eb="8">
      <t>カントウ</t>
    </rPh>
    <rPh sb="8" eb="10">
      <t>ミンシュ</t>
    </rPh>
    <phoneticPr fontId="4"/>
  </si>
  <si>
    <t>岩國　哲人</t>
    <rPh sb="0" eb="1">
      <t>イワ</t>
    </rPh>
    <rPh sb="1" eb="2">
      <t>クニ</t>
    </rPh>
    <rPh sb="3" eb="4">
      <t>テツ</t>
    </rPh>
    <rPh sb="4" eb="5">
      <t>ンド</t>
    </rPh>
    <phoneticPr fontId="4"/>
  </si>
  <si>
    <t>332比例南関東民主08</t>
    <rPh sb="3" eb="5">
      <t>ヒレイ</t>
    </rPh>
    <rPh sb="5" eb="6">
      <t>ミナミ</t>
    </rPh>
    <rPh sb="6" eb="8">
      <t>カントウ</t>
    </rPh>
    <rPh sb="8" eb="10">
      <t>ミンシュ</t>
    </rPh>
    <phoneticPr fontId="4"/>
  </si>
  <si>
    <t>内山　晃</t>
    <rPh sb="0" eb="2">
      <t>ウチヤマ</t>
    </rPh>
    <rPh sb="3" eb="4">
      <t>アキラ</t>
    </rPh>
    <phoneticPr fontId="4"/>
  </si>
  <si>
    <t>332比例南関東民主02</t>
    <rPh sb="3" eb="5">
      <t>ヒレイ</t>
    </rPh>
    <rPh sb="5" eb="6">
      <t>ミナミ</t>
    </rPh>
    <rPh sb="6" eb="8">
      <t>カントウ</t>
    </rPh>
    <rPh sb="8" eb="10">
      <t>ミンシュ</t>
    </rPh>
    <phoneticPr fontId="4"/>
  </si>
  <si>
    <t>田嶋　要</t>
    <rPh sb="0" eb="2">
      <t>タジマ</t>
    </rPh>
    <rPh sb="3" eb="4">
      <t>カナメ</t>
    </rPh>
    <phoneticPr fontId="4"/>
  </si>
  <si>
    <t>332比例南関東民主20</t>
    <rPh sb="3" eb="5">
      <t>ヒレイ</t>
    </rPh>
    <rPh sb="5" eb="6">
      <t>ミナミ</t>
    </rPh>
    <rPh sb="6" eb="8">
      <t>カントウ</t>
    </rPh>
    <rPh sb="8" eb="10">
      <t>ミンシュ</t>
    </rPh>
    <phoneticPr fontId="4"/>
  </si>
  <si>
    <t>13神奈川06</t>
    <rPh sb="2" eb="5">
      <t>カナガワ</t>
    </rPh>
    <phoneticPr fontId="4"/>
  </si>
  <si>
    <t>池田　元久</t>
    <rPh sb="0" eb="2">
      <t>イケダ</t>
    </rPh>
    <rPh sb="3" eb="5">
      <t>モトヒサ</t>
    </rPh>
    <phoneticPr fontId="4"/>
  </si>
  <si>
    <t>332比例南関東民主28</t>
    <rPh sb="3" eb="5">
      <t>ヒレイ</t>
    </rPh>
    <rPh sb="5" eb="6">
      <t>ミナミ</t>
    </rPh>
    <rPh sb="6" eb="8">
      <t>カントウ</t>
    </rPh>
    <rPh sb="8" eb="10">
      <t>ミンシュ</t>
    </rPh>
    <phoneticPr fontId="4"/>
  </si>
  <si>
    <t>藤井　裕久</t>
    <rPh sb="0" eb="2">
      <t>フジイ</t>
    </rPh>
    <rPh sb="3" eb="5">
      <t>ヒロヒサ</t>
    </rPh>
    <phoneticPr fontId="4"/>
  </si>
  <si>
    <t>332比例南関東民主04</t>
    <rPh sb="3" eb="5">
      <t>ヒレイ</t>
    </rPh>
    <rPh sb="5" eb="6">
      <t>ミナミ</t>
    </rPh>
    <rPh sb="6" eb="8">
      <t>カントウ</t>
    </rPh>
    <rPh sb="8" eb="10">
      <t>ミンシュ</t>
    </rPh>
    <phoneticPr fontId="4"/>
  </si>
  <si>
    <t>岡島　一正</t>
    <rPh sb="0" eb="2">
      <t>オカジマ</t>
    </rPh>
    <rPh sb="3" eb="5">
      <t>カズマサ</t>
    </rPh>
    <phoneticPr fontId="4"/>
  </si>
  <si>
    <t>332比例南関東民主09</t>
    <rPh sb="3" eb="5">
      <t>ヒレイ</t>
    </rPh>
    <rPh sb="5" eb="6">
      <t>ミナミ</t>
    </rPh>
    <rPh sb="6" eb="8">
      <t>カントウ</t>
    </rPh>
    <rPh sb="8" eb="10">
      <t>ミンシュ</t>
    </rPh>
    <phoneticPr fontId="4"/>
  </si>
  <si>
    <t>松崎　公昭</t>
    <rPh sb="0" eb="2">
      <t>マツザキ</t>
    </rPh>
    <rPh sb="3" eb="5">
      <t>キミアキ</t>
    </rPh>
    <phoneticPr fontId="4"/>
  </si>
  <si>
    <t>332比例南関東民主19</t>
    <rPh sb="3" eb="5">
      <t>ヒレイ</t>
    </rPh>
    <rPh sb="5" eb="6">
      <t>ミナミ</t>
    </rPh>
    <rPh sb="6" eb="8">
      <t>カントウ</t>
    </rPh>
    <rPh sb="8" eb="10">
      <t>ミンシュ</t>
    </rPh>
    <phoneticPr fontId="4"/>
  </si>
  <si>
    <t>田中　慶秋</t>
    <rPh sb="0" eb="2">
      <t>タナカ</t>
    </rPh>
    <rPh sb="3" eb="5">
      <t>ヨシアキ</t>
    </rPh>
    <phoneticPr fontId="4"/>
  </si>
  <si>
    <t>２４友</t>
    <rPh sb="2" eb="3">
      <t>ユウ</t>
    </rPh>
    <phoneticPr fontId="4"/>
  </si>
  <si>
    <t>連</t>
    <rPh sb="0" eb="1">
      <t>レン</t>
    </rPh>
    <phoneticPr fontId="4"/>
  </si>
  <si>
    <t>332比例南関東民主07</t>
    <rPh sb="3" eb="5">
      <t>ヒレイ</t>
    </rPh>
    <rPh sb="5" eb="6">
      <t>ミナミ</t>
    </rPh>
    <rPh sb="6" eb="8">
      <t>カントウ</t>
    </rPh>
    <rPh sb="8" eb="10">
      <t>ミンシュ</t>
    </rPh>
    <phoneticPr fontId="4"/>
  </si>
  <si>
    <t>生方　幸夫</t>
    <rPh sb="0" eb="2">
      <t>ウブカタ</t>
    </rPh>
    <rPh sb="3" eb="5">
      <t>ユキオ</t>
    </rPh>
    <phoneticPr fontId="4"/>
  </si>
  <si>
    <t>332比例南関東民主06</t>
    <rPh sb="3" eb="5">
      <t>ヒレイ</t>
    </rPh>
    <rPh sb="5" eb="6">
      <t>ミナミ</t>
    </rPh>
    <rPh sb="6" eb="8">
      <t>カントウ</t>
    </rPh>
    <rPh sb="8" eb="10">
      <t>ミンシュ</t>
    </rPh>
    <phoneticPr fontId="4"/>
  </si>
  <si>
    <t>村越　祐民</t>
    <rPh sb="0" eb="2">
      <t>ムラコシ</t>
    </rPh>
    <rPh sb="3" eb="4">
      <t>ユウ</t>
    </rPh>
    <rPh sb="4" eb="5">
      <t>ミン</t>
    </rPh>
    <phoneticPr fontId="4"/>
  </si>
  <si>
    <t>332比例南関東民主14</t>
    <rPh sb="3" eb="5">
      <t>ヒレイ</t>
    </rPh>
    <rPh sb="5" eb="6">
      <t>ミナミ</t>
    </rPh>
    <rPh sb="6" eb="8">
      <t>カントウ</t>
    </rPh>
    <rPh sb="8" eb="10">
      <t>ミンシュ</t>
    </rPh>
    <phoneticPr fontId="4"/>
  </si>
  <si>
    <t>若井　康彦</t>
    <rPh sb="0" eb="2">
      <t>ワカイ</t>
    </rPh>
    <rPh sb="3" eb="5">
      <t>ヤスヒコ</t>
    </rPh>
    <phoneticPr fontId="4"/>
  </si>
  <si>
    <t>332比例南関東民主26</t>
    <rPh sb="3" eb="5">
      <t>ヒレイ</t>
    </rPh>
    <rPh sb="5" eb="6">
      <t>ミナミ</t>
    </rPh>
    <rPh sb="6" eb="8">
      <t>カントウ</t>
    </rPh>
    <rPh sb="8" eb="10">
      <t>ミンシュ</t>
    </rPh>
    <phoneticPr fontId="4"/>
  </si>
  <si>
    <t>中塚　一宏</t>
    <rPh sb="0" eb="2">
      <t>ナカツカ</t>
    </rPh>
    <rPh sb="3" eb="4">
      <t>イチ</t>
    </rPh>
    <rPh sb="4" eb="5">
      <t>ヒロシ</t>
    </rPh>
    <phoneticPr fontId="4"/>
  </si>
  <si>
    <t>332比例南関東民主32</t>
    <rPh sb="3" eb="5">
      <t>ヒレイ</t>
    </rPh>
    <rPh sb="5" eb="6">
      <t>ミナミ</t>
    </rPh>
    <rPh sb="6" eb="8">
      <t>カントウ</t>
    </rPh>
    <rPh sb="8" eb="10">
      <t>ミンシュ</t>
    </rPh>
    <phoneticPr fontId="4"/>
  </si>
  <si>
    <t>樋高　剛</t>
    <rPh sb="0" eb="1">
      <t>ヒ</t>
    </rPh>
    <rPh sb="1" eb="2">
      <t>タカ</t>
    </rPh>
    <rPh sb="3" eb="4">
      <t>ツヨシ</t>
    </rPh>
    <phoneticPr fontId="4"/>
  </si>
  <si>
    <t>332比例南関東民主11</t>
    <rPh sb="3" eb="5">
      <t>ヒレイ</t>
    </rPh>
    <rPh sb="5" eb="6">
      <t>ミナミ</t>
    </rPh>
    <rPh sb="6" eb="8">
      <t>カントウ</t>
    </rPh>
    <rPh sb="8" eb="10">
      <t>ミンシュ</t>
    </rPh>
    <phoneticPr fontId="4"/>
  </si>
  <si>
    <t>谷田川　元</t>
    <rPh sb="0" eb="1">
      <t>タニ</t>
    </rPh>
    <rPh sb="1" eb="3">
      <t>タガワ</t>
    </rPh>
    <rPh sb="4" eb="5">
      <t>モト</t>
    </rPh>
    <phoneticPr fontId="4"/>
  </si>
  <si>
    <t>332比例南関東民主18</t>
    <rPh sb="3" eb="5">
      <t>ヒレイ</t>
    </rPh>
    <rPh sb="5" eb="6">
      <t>ミナミ</t>
    </rPh>
    <rPh sb="6" eb="8">
      <t>カントウ</t>
    </rPh>
    <rPh sb="8" eb="10">
      <t>ミンシュ</t>
    </rPh>
    <phoneticPr fontId="4"/>
  </si>
  <si>
    <t>大石　尚子</t>
    <rPh sb="0" eb="2">
      <t>オオイシ</t>
    </rPh>
    <rPh sb="3" eb="5">
      <t>ヒサコ</t>
    </rPh>
    <phoneticPr fontId="4"/>
  </si>
  <si>
    <t>332比例南関東民主13</t>
    <rPh sb="3" eb="5">
      <t>ヒレイ</t>
    </rPh>
    <rPh sb="5" eb="6">
      <t>ミナミ</t>
    </rPh>
    <rPh sb="6" eb="8">
      <t>カントウ</t>
    </rPh>
    <rPh sb="8" eb="10">
      <t>ミンシュ</t>
    </rPh>
    <phoneticPr fontId="4"/>
  </si>
  <si>
    <t>青木　愛</t>
    <rPh sb="0" eb="2">
      <t>アオキ</t>
    </rPh>
    <rPh sb="3" eb="4">
      <t>アイ</t>
    </rPh>
    <phoneticPr fontId="4"/>
  </si>
  <si>
    <t>332比例南関東民主21</t>
    <rPh sb="3" eb="5">
      <t>ヒレイ</t>
    </rPh>
    <rPh sb="5" eb="6">
      <t>ミナミ</t>
    </rPh>
    <rPh sb="6" eb="8">
      <t>カントウ</t>
    </rPh>
    <rPh sb="8" eb="10">
      <t>ミンシュ</t>
    </rPh>
    <phoneticPr fontId="4"/>
  </si>
  <si>
    <t>首藤　信彦</t>
    <rPh sb="0" eb="2">
      <t>ストウ</t>
    </rPh>
    <rPh sb="3" eb="5">
      <t>ノブヒコ</t>
    </rPh>
    <phoneticPr fontId="4"/>
  </si>
  <si>
    <t>ネ</t>
    <phoneticPr fontId="4"/>
  </si>
  <si>
    <t>332比例南関東民主15</t>
    <rPh sb="3" eb="5">
      <t>ヒレイ</t>
    </rPh>
    <rPh sb="5" eb="6">
      <t>ミナミ</t>
    </rPh>
    <rPh sb="6" eb="8">
      <t>カントウ</t>
    </rPh>
    <rPh sb="8" eb="10">
      <t>ミンシュ</t>
    </rPh>
    <phoneticPr fontId="4"/>
  </si>
  <si>
    <t>佐藤　謙一郎</t>
    <rPh sb="0" eb="2">
      <t>サトウ</t>
    </rPh>
    <rPh sb="3" eb="6">
      <t>ケンイチロウ</t>
    </rPh>
    <phoneticPr fontId="4"/>
  </si>
  <si>
    <t>332比例南関東民主17</t>
    <rPh sb="3" eb="5">
      <t>ヒレイ</t>
    </rPh>
    <rPh sb="5" eb="6">
      <t>ミナミ</t>
    </rPh>
    <rPh sb="6" eb="8">
      <t>カントウ</t>
    </rPh>
    <rPh sb="8" eb="10">
      <t>ミンシュ</t>
    </rPh>
    <phoneticPr fontId="4"/>
  </si>
  <si>
    <t>加藤　尚彦</t>
    <rPh sb="0" eb="2">
      <t>カトウ</t>
    </rPh>
    <rPh sb="3" eb="5">
      <t>ナオヒコ</t>
    </rPh>
    <phoneticPr fontId="4"/>
  </si>
  <si>
    <t>332比例南関東民主16</t>
    <rPh sb="3" eb="5">
      <t>ヒレイ</t>
    </rPh>
    <rPh sb="5" eb="6">
      <t>ミナミ</t>
    </rPh>
    <rPh sb="6" eb="8">
      <t>カントウ</t>
    </rPh>
    <rPh sb="8" eb="10">
      <t>ミンシュ</t>
    </rPh>
    <phoneticPr fontId="4"/>
  </si>
  <si>
    <t>大出　彰</t>
    <rPh sb="0" eb="2">
      <t>オオイデ</t>
    </rPh>
    <rPh sb="3" eb="4">
      <t>アキラ</t>
    </rPh>
    <phoneticPr fontId="4"/>
  </si>
  <si>
    <t>332比例南関東民主10</t>
    <rPh sb="3" eb="5">
      <t>ヒレイ</t>
    </rPh>
    <rPh sb="5" eb="6">
      <t>ミナミ</t>
    </rPh>
    <rPh sb="6" eb="8">
      <t>カントウ</t>
    </rPh>
    <rPh sb="8" eb="10">
      <t>ミンシュ</t>
    </rPh>
    <phoneticPr fontId="4"/>
  </si>
  <si>
    <t>須藤　浩</t>
    <rPh sb="0" eb="2">
      <t>スドウ</t>
    </rPh>
    <rPh sb="3" eb="4">
      <t>ヒロシ</t>
    </rPh>
    <phoneticPr fontId="4"/>
  </si>
  <si>
    <t>332比例南関東民主24</t>
    <rPh sb="3" eb="5">
      <t>ヒレイ</t>
    </rPh>
    <rPh sb="5" eb="6">
      <t>ミナミ</t>
    </rPh>
    <rPh sb="6" eb="8">
      <t>カントウ</t>
    </rPh>
    <rPh sb="8" eb="10">
      <t>ミンシュ</t>
    </rPh>
    <phoneticPr fontId="4"/>
  </si>
  <si>
    <t>計屋　圭宏</t>
    <rPh sb="0" eb="2">
      <t>ケイヤ</t>
    </rPh>
    <rPh sb="3" eb="4">
      <t>ケイ</t>
    </rPh>
    <rPh sb="4" eb="5">
      <t>ヒロシ</t>
    </rPh>
    <phoneticPr fontId="4"/>
  </si>
  <si>
    <t>332比例南関東民主30</t>
    <rPh sb="3" eb="5">
      <t>ヒレイ</t>
    </rPh>
    <rPh sb="5" eb="6">
      <t>ミナミ</t>
    </rPh>
    <rPh sb="6" eb="8">
      <t>カントウ</t>
    </rPh>
    <rPh sb="8" eb="10">
      <t>ミンシュ</t>
    </rPh>
    <phoneticPr fontId="4"/>
  </si>
  <si>
    <t>長田　英知</t>
    <rPh sb="0" eb="2">
      <t>ナガタ</t>
    </rPh>
    <rPh sb="3" eb="5">
      <t>エイチ</t>
    </rPh>
    <phoneticPr fontId="4"/>
  </si>
  <si>
    <t>332比例南関東民主34</t>
    <rPh sb="3" eb="5">
      <t>ヒレイ</t>
    </rPh>
    <rPh sb="5" eb="6">
      <t>ミナミ</t>
    </rPh>
    <rPh sb="6" eb="8">
      <t>カントウ</t>
    </rPh>
    <rPh sb="8" eb="10">
      <t>ミンシュ</t>
    </rPh>
    <phoneticPr fontId="4"/>
  </si>
  <si>
    <t>坂口　岳洋</t>
    <rPh sb="0" eb="2">
      <t>サカグチ</t>
    </rPh>
    <rPh sb="3" eb="4">
      <t>ガク</t>
    </rPh>
    <rPh sb="4" eb="5">
      <t>ヨウ</t>
    </rPh>
    <phoneticPr fontId="4"/>
  </si>
  <si>
    <t>332比例南関東民主31</t>
    <rPh sb="3" eb="5">
      <t>ヒレイ</t>
    </rPh>
    <rPh sb="5" eb="6">
      <t>ミナミ</t>
    </rPh>
    <rPh sb="6" eb="8">
      <t>カントウ</t>
    </rPh>
    <rPh sb="8" eb="10">
      <t>ミンシュ</t>
    </rPh>
    <phoneticPr fontId="4"/>
  </si>
  <si>
    <t>阪口　直人</t>
    <rPh sb="0" eb="2">
      <t>サカグチ</t>
    </rPh>
    <rPh sb="3" eb="5">
      <t>ナオト</t>
    </rPh>
    <phoneticPr fontId="4"/>
  </si>
  <si>
    <t>ネ</t>
    <phoneticPr fontId="4"/>
  </si>
  <si>
    <t>332比例南関東民主27</t>
    <rPh sb="3" eb="5">
      <t>ヒレイ</t>
    </rPh>
    <rPh sb="5" eb="6">
      <t>ミナミ</t>
    </rPh>
    <rPh sb="6" eb="8">
      <t>カントウ</t>
    </rPh>
    <rPh sb="8" eb="10">
      <t>ミンシュ</t>
    </rPh>
    <phoneticPr fontId="4"/>
  </si>
  <si>
    <t>13神奈川13</t>
    <rPh sb="2" eb="5">
      <t>カナガワ</t>
    </rPh>
    <phoneticPr fontId="4"/>
  </si>
  <si>
    <t>土田　龍司</t>
    <rPh sb="0" eb="2">
      <t>ツチダ</t>
    </rPh>
    <rPh sb="3" eb="5">
      <t>リュウジ</t>
    </rPh>
    <phoneticPr fontId="4"/>
  </si>
  <si>
    <t>332比例南関東民主12</t>
    <rPh sb="3" eb="5">
      <t>ヒレイ</t>
    </rPh>
    <rPh sb="5" eb="6">
      <t>ミナミ</t>
    </rPh>
    <rPh sb="6" eb="8">
      <t>カントウ</t>
    </rPh>
    <rPh sb="8" eb="10">
      <t>ミンシュ</t>
    </rPh>
    <phoneticPr fontId="4"/>
  </si>
  <si>
    <t>土屋　正秀</t>
    <rPh sb="0" eb="2">
      <t>ツチヤ</t>
    </rPh>
    <rPh sb="3" eb="5">
      <t>マサヒデ</t>
    </rPh>
    <phoneticPr fontId="4"/>
  </si>
  <si>
    <t>332比例南関東民主29</t>
    <rPh sb="3" eb="5">
      <t>ヒレイ</t>
    </rPh>
    <rPh sb="5" eb="6">
      <t>ミナミ</t>
    </rPh>
    <rPh sb="6" eb="8">
      <t>カントウ</t>
    </rPh>
    <rPh sb="8" eb="10">
      <t>ミンシュ</t>
    </rPh>
    <phoneticPr fontId="4"/>
  </si>
  <si>
    <t>勝又　恒一郎</t>
    <rPh sb="0" eb="2">
      <t>カツマタ</t>
    </rPh>
    <rPh sb="3" eb="6">
      <t>コウイチロウ</t>
    </rPh>
    <phoneticPr fontId="4"/>
  </si>
  <si>
    <t>連ネ</t>
    <rPh sb="0" eb="1">
      <t>レン</t>
    </rPh>
    <phoneticPr fontId="4"/>
  </si>
  <si>
    <t>332比例南関東民主25</t>
    <rPh sb="3" eb="5">
      <t>ヒレイ</t>
    </rPh>
    <rPh sb="5" eb="6">
      <t>ミナミ</t>
    </rPh>
    <rPh sb="6" eb="8">
      <t>カントウ</t>
    </rPh>
    <rPh sb="8" eb="10">
      <t>ミンシュ</t>
    </rPh>
    <phoneticPr fontId="4"/>
  </si>
  <si>
    <t>13神奈川11</t>
    <rPh sb="2" eb="5">
      <t>カナガワ</t>
    </rPh>
    <phoneticPr fontId="4"/>
  </si>
  <si>
    <t>齋藤　勁</t>
    <rPh sb="0" eb="1">
      <t>サイ</t>
    </rPh>
    <rPh sb="1" eb="2">
      <t>トウ</t>
    </rPh>
    <rPh sb="3" eb="4">
      <t>ツヨシ</t>
    </rPh>
    <phoneticPr fontId="4"/>
  </si>
  <si>
    <t>332比例南関東民主36</t>
    <rPh sb="3" eb="5">
      <t>ヒレイ</t>
    </rPh>
    <rPh sb="5" eb="6">
      <t>ミナミ</t>
    </rPh>
    <rPh sb="6" eb="8">
      <t>カントウ</t>
    </rPh>
    <rPh sb="8" eb="10">
      <t>ミンシュ</t>
    </rPh>
    <phoneticPr fontId="4"/>
  </si>
  <si>
    <t>中沢　健</t>
    <rPh sb="0" eb="2">
      <t>ナカザワ</t>
    </rPh>
    <rPh sb="3" eb="4">
      <t>ケン</t>
    </rPh>
    <phoneticPr fontId="4"/>
  </si>
  <si>
    <t>332比例南関東民主05</t>
    <rPh sb="3" eb="5">
      <t>ヒレイ</t>
    </rPh>
    <rPh sb="5" eb="6">
      <t>ミナミ</t>
    </rPh>
    <rPh sb="6" eb="8">
      <t>カントウ</t>
    </rPh>
    <rPh sb="8" eb="10">
      <t>ミンシュ</t>
    </rPh>
    <phoneticPr fontId="4"/>
  </si>
  <si>
    <t>野田　佳彦</t>
    <rPh sb="0" eb="2">
      <t>ノダ</t>
    </rPh>
    <rPh sb="3" eb="5">
      <t>ヨシヒコ</t>
    </rPh>
    <phoneticPr fontId="4"/>
  </si>
  <si>
    <t>332比例南関東民主33</t>
    <rPh sb="3" eb="5">
      <t>ヒレイ</t>
    </rPh>
    <rPh sb="5" eb="6">
      <t>ミナミ</t>
    </rPh>
    <rPh sb="6" eb="8">
      <t>カントウ</t>
    </rPh>
    <rPh sb="8" eb="10">
      <t>ミンシュ</t>
    </rPh>
    <phoneticPr fontId="4"/>
  </si>
  <si>
    <t>小沢　鋭仁</t>
    <rPh sb="0" eb="2">
      <t>オザワ</t>
    </rPh>
    <rPh sb="3" eb="4">
      <t>ハヤシ</t>
    </rPh>
    <rPh sb="4" eb="5">
      <t>ジン</t>
    </rPh>
    <phoneticPr fontId="4"/>
  </si>
  <si>
    <t>333比例南関東公明01</t>
    <rPh sb="3" eb="5">
      <t>ヒレイ</t>
    </rPh>
    <rPh sb="5" eb="6">
      <t>ミナミ</t>
    </rPh>
    <rPh sb="6" eb="8">
      <t>カントウ</t>
    </rPh>
    <rPh sb="8" eb="10">
      <t>コウメイ</t>
    </rPh>
    <phoneticPr fontId="4"/>
  </si>
  <si>
    <t>富田　茂之</t>
    <rPh sb="0" eb="2">
      <t>トミタ</t>
    </rPh>
    <rPh sb="3" eb="5">
      <t>シゲユキ</t>
    </rPh>
    <phoneticPr fontId="4"/>
  </si>
  <si>
    <t>333比例南関東公明02</t>
    <rPh sb="3" eb="5">
      <t>ヒレイ</t>
    </rPh>
    <rPh sb="5" eb="6">
      <t>ミナミ</t>
    </rPh>
    <rPh sb="6" eb="8">
      <t>カントウ</t>
    </rPh>
    <rPh sb="8" eb="10">
      <t>コウメイ</t>
    </rPh>
    <phoneticPr fontId="4"/>
  </si>
  <si>
    <t>古屋　範子</t>
    <rPh sb="0" eb="2">
      <t>フルヤ</t>
    </rPh>
    <rPh sb="3" eb="5">
      <t>ノリコ</t>
    </rPh>
    <phoneticPr fontId="4"/>
  </si>
  <si>
    <t>333比例南関東公明03</t>
    <rPh sb="3" eb="5">
      <t>ヒレイ</t>
    </rPh>
    <rPh sb="5" eb="6">
      <t>ミナミ</t>
    </rPh>
    <rPh sb="6" eb="8">
      <t>カントウ</t>
    </rPh>
    <rPh sb="8" eb="10">
      <t>コウメイ</t>
    </rPh>
    <phoneticPr fontId="4"/>
  </si>
  <si>
    <t>谷口　和史</t>
    <rPh sb="0" eb="2">
      <t>タニグチ</t>
    </rPh>
    <rPh sb="3" eb="5">
      <t>カズフミ</t>
    </rPh>
    <phoneticPr fontId="4"/>
  </si>
  <si>
    <t>333比例南関東公明04</t>
    <rPh sb="3" eb="5">
      <t>ヒレイ</t>
    </rPh>
    <rPh sb="5" eb="6">
      <t>ミナミ</t>
    </rPh>
    <rPh sb="6" eb="8">
      <t>カントウ</t>
    </rPh>
    <rPh sb="8" eb="10">
      <t>コウメイ</t>
    </rPh>
    <phoneticPr fontId="4"/>
  </si>
  <si>
    <t>川浪　隆</t>
    <rPh sb="0" eb="2">
      <t>カワナミ</t>
    </rPh>
    <rPh sb="3" eb="4">
      <t>タカシ</t>
    </rPh>
    <phoneticPr fontId="4"/>
  </si>
  <si>
    <t>333比例南関東公明05</t>
    <rPh sb="3" eb="5">
      <t>ヒレイ</t>
    </rPh>
    <rPh sb="5" eb="6">
      <t>ミナミ</t>
    </rPh>
    <rPh sb="6" eb="8">
      <t>カントウ</t>
    </rPh>
    <rPh sb="8" eb="10">
      <t>コウメイ</t>
    </rPh>
    <phoneticPr fontId="4"/>
  </si>
  <si>
    <t>吉田　一国</t>
    <rPh sb="0" eb="2">
      <t>ヨシダ</t>
    </rPh>
    <rPh sb="3" eb="4">
      <t>イチ</t>
    </rPh>
    <rPh sb="4" eb="5">
      <t>クニ</t>
    </rPh>
    <phoneticPr fontId="4"/>
  </si>
  <si>
    <t>334比例南関東共産01</t>
    <rPh sb="3" eb="5">
      <t>ヒレイ</t>
    </rPh>
    <rPh sb="5" eb="6">
      <t>ミナミ</t>
    </rPh>
    <rPh sb="6" eb="8">
      <t>カントウ</t>
    </rPh>
    <rPh sb="8" eb="10">
      <t>キョウサン</t>
    </rPh>
    <phoneticPr fontId="4"/>
  </si>
  <si>
    <t>志位　和夫</t>
    <rPh sb="0" eb="2">
      <t>シイ</t>
    </rPh>
    <rPh sb="3" eb="5">
      <t>カズオ</t>
    </rPh>
    <phoneticPr fontId="4"/>
  </si>
  <si>
    <t>334比例南関東共産02</t>
    <rPh sb="3" eb="5">
      <t>ヒレイ</t>
    </rPh>
    <rPh sb="5" eb="6">
      <t>ミナミ</t>
    </rPh>
    <rPh sb="6" eb="8">
      <t>カントウ</t>
    </rPh>
    <rPh sb="8" eb="10">
      <t>キョウサン</t>
    </rPh>
    <phoneticPr fontId="4"/>
  </si>
  <si>
    <t>大森　猛</t>
    <rPh sb="0" eb="2">
      <t>オオモリ</t>
    </rPh>
    <rPh sb="3" eb="4">
      <t>タケシ</t>
    </rPh>
    <phoneticPr fontId="4"/>
  </si>
  <si>
    <t>334比例南関東共産03</t>
    <rPh sb="3" eb="5">
      <t>ヒレイ</t>
    </rPh>
    <rPh sb="5" eb="6">
      <t>ミナミ</t>
    </rPh>
    <rPh sb="6" eb="8">
      <t>カントウ</t>
    </rPh>
    <rPh sb="8" eb="10">
      <t>キョウサン</t>
    </rPh>
    <phoneticPr fontId="4"/>
  </si>
  <si>
    <t>浅野　史子</t>
    <rPh sb="0" eb="2">
      <t>アサノ</t>
    </rPh>
    <rPh sb="3" eb="5">
      <t>フミコ</t>
    </rPh>
    <phoneticPr fontId="4"/>
  </si>
  <si>
    <t>334比例南関東共産04</t>
    <rPh sb="3" eb="5">
      <t>ヒレイ</t>
    </rPh>
    <rPh sb="5" eb="6">
      <t>ミナミ</t>
    </rPh>
    <rPh sb="6" eb="8">
      <t>カントウ</t>
    </rPh>
    <rPh sb="8" eb="10">
      <t>キョウサン</t>
    </rPh>
    <phoneticPr fontId="4"/>
  </si>
  <si>
    <t>笠木　隆</t>
    <rPh sb="0" eb="1">
      <t>カサ</t>
    </rPh>
    <rPh sb="1" eb="2">
      <t>キ</t>
    </rPh>
    <rPh sb="3" eb="4">
      <t>タカシ</t>
    </rPh>
    <phoneticPr fontId="4"/>
  </si>
  <si>
    <t>334比例南関東共産05</t>
    <rPh sb="3" eb="5">
      <t>ヒレイ</t>
    </rPh>
    <rPh sb="5" eb="6">
      <t>ミナミ</t>
    </rPh>
    <rPh sb="6" eb="8">
      <t>カントウ</t>
    </rPh>
    <rPh sb="8" eb="10">
      <t>キョウサン</t>
    </rPh>
    <phoneticPr fontId="4"/>
  </si>
  <si>
    <t>花田　仁</t>
    <rPh sb="0" eb="2">
      <t>ハナダ</t>
    </rPh>
    <rPh sb="3" eb="4">
      <t>ジン</t>
    </rPh>
    <phoneticPr fontId="4"/>
  </si>
  <si>
    <t>335比例南関東社民02</t>
    <rPh sb="3" eb="5">
      <t>ヒレイ</t>
    </rPh>
    <rPh sb="5" eb="6">
      <t>ミナミ</t>
    </rPh>
    <rPh sb="6" eb="8">
      <t>カントウ</t>
    </rPh>
    <rPh sb="8" eb="10">
      <t>シャミン</t>
    </rPh>
    <phoneticPr fontId="4"/>
  </si>
  <si>
    <t>阿部　知子</t>
    <rPh sb="0" eb="2">
      <t>アベ</t>
    </rPh>
    <rPh sb="3" eb="5">
      <t>トモコ</t>
    </rPh>
    <phoneticPr fontId="4"/>
  </si>
  <si>
    <t>335比例南関東社民03</t>
    <rPh sb="3" eb="5">
      <t>ヒレイ</t>
    </rPh>
    <rPh sb="5" eb="6">
      <t>ミナミ</t>
    </rPh>
    <rPh sb="6" eb="8">
      <t>カントウ</t>
    </rPh>
    <rPh sb="8" eb="10">
      <t>シャミン</t>
    </rPh>
    <phoneticPr fontId="4"/>
  </si>
  <si>
    <t>$</t>
    <phoneticPr fontId="4"/>
  </si>
  <si>
    <t>和田　茂</t>
    <rPh sb="0" eb="2">
      <t>ワダ</t>
    </rPh>
    <rPh sb="3" eb="4">
      <t>シゲル</t>
    </rPh>
    <phoneticPr fontId="4"/>
  </si>
  <si>
    <t>335比例南関東社民01</t>
    <rPh sb="3" eb="5">
      <t>ヒレイ</t>
    </rPh>
    <rPh sb="5" eb="6">
      <t>ミナミ</t>
    </rPh>
    <rPh sb="6" eb="8">
      <t>カントウ</t>
    </rPh>
    <rPh sb="8" eb="10">
      <t>シャミン</t>
    </rPh>
    <phoneticPr fontId="4"/>
  </si>
  <si>
    <t>若松　繁男</t>
    <rPh sb="0" eb="2">
      <t>ワカマツ</t>
    </rPh>
    <rPh sb="3" eb="5">
      <t>シゲオ</t>
    </rPh>
    <phoneticPr fontId="4"/>
  </si>
  <si>
    <t>337比例南関東日本02</t>
    <rPh sb="3" eb="5">
      <t>ヒレイ</t>
    </rPh>
    <rPh sb="5" eb="6">
      <t>ミナミ</t>
    </rPh>
    <rPh sb="6" eb="8">
      <t>カントウ</t>
    </rPh>
    <rPh sb="8" eb="10">
      <t>ニホン</t>
    </rPh>
    <phoneticPr fontId="4"/>
  </si>
  <si>
    <t>高野　良裕</t>
    <rPh sb="0" eb="2">
      <t>タカノ</t>
    </rPh>
    <rPh sb="3" eb="5">
      <t>ヨシヒロ</t>
    </rPh>
    <phoneticPr fontId="4"/>
  </si>
  <si>
    <t>337比例南関東日本01</t>
    <rPh sb="3" eb="5">
      <t>ヒレイ</t>
    </rPh>
    <rPh sb="5" eb="6">
      <t>ミナミ</t>
    </rPh>
    <rPh sb="6" eb="8">
      <t>カントウ</t>
    </rPh>
    <rPh sb="8" eb="10">
      <t>ニホン</t>
    </rPh>
    <phoneticPr fontId="4"/>
  </si>
  <si>
    <t>河野　敏久</t>
    <rPh sb="0" eb="2">
      <t>コウノ</t>
    </rPh>
    <rPh sb="3" eb="5">
      <t>トシヒサ</t>
    </rPh>
    <phoneticPr fontId="4"/>
  </si>
  <si>
    <t>341比例東京自民01</t>
    <rPh sb="3" eb="5">
      <t>ヒレイ</t>
    </rPh>
    <rPh sb="5" eb="7">
      <t>トウキョウ</t>
    </rPh>
    <rPh sb="7" eb="9">
      <t>ジミン</t>
    </rPh>
    <phoneticPr fontId="4"/>
  </si>
  <si>
    <t>猪口　邦子</t>
    <rPh sb="0" eb="2">
      <t>イグチ</t>
    </rPh>
    <rPh sb="3" eb="5">
      <t>クニコ</t>
    </rPh>
    <phoneticPr fontId="4"/>
  </si>
  <si>
    <t>341比例東京自民02</t>
    <rPh sb="3" eb="5">
      <t>ヒレイ</t>
    </rPh>
    <rPh sb="5" eb="7">
      <t>トウキョウ</t>
    </rPh>
    <rPh sb="7" eb="9">
      <t>ジミン</t>
    </rPh>
    <phoneticPr fontId="4"/>
  </si>
  <si>
    <t>15東京18</t>
    <rPh sb="2" eb="4">
      <t>トウキョウ</t>
    </rPh>
    <phoneticPr fontId="4"/>
  </si>
  <si>
    <t>土屋　正忠</t>
    <rPh sb="0" eb="2">
      <t>ツチヤ</t>
    </rPh>
    <rPh sb="3" eb="4">
      <t>タダ</t>
    </rPh>
    <rPh sb="4" eb="5">
      <t>チュウ</t>
    </rPh>
    <phoneticPr fontId="4"/>
  </si>
  <si>
    <t>341比例東京自民26</t>
    <rPh sb="3" eb="5">
      <t>ヒレイ</t>
    </rPh>
    <rPh sb="5" eb="7">
      <t>トウキョウ</t>
    </rPh>
    <rPh sb="7" eb="9">
      <t>ジミン</t>
    </rPh>
    <phoneticPr fontId="4"/>
  </si>
  <si>
    <t>愛知　和男</t>
    <rPh sb="0" eb="2">
      <t>アイチ</t>
    </rPh>
    <rPh sb="3" eb="5">
      <t>カズオ</t>
    </rPh>
    <phoneticPr fontId="4"/>
  </si>
  <si>
    <t>341比例東京自民27</t>
    <rPh sb="3" eb="5">
      <t>ヒレイ</t>
    </rPh>
    <rPh sb="5" eb="7">
      <t>トウキョウ</t>
    </rPh>
    <rPh sb="7" eb="9">
      <t>ジミン</t>
    </rPh>
    <phoneticPr fontId="4"/>
  </si>
  <si>
    <t>安井　潤一郎</t>
    <rPh sb="0" eb="2">
      <t>ヤスイ</t>
    </rPh>
    <rPh sb="3" eb="4">
      <t>ジュン</t>
    </rPh>
    <rPh sb="4" eb="6">
      <t>イチロウ</t>
    </rPh>
    <phoneticPr fontId="4"/>
  </si>
  <si>
    <t>341比例東京自民28</t>
    <rPh sb="3" eb="5">
      <t>ヒレイ</t>
    </rPh>
    <rPh sb="5" eb="7">
      <t>トウキョウ</t>
    </rPh>
    <rPh sb="7" eb="9">
      <t>ジミン</t>
    </rPh>
    <phoneticPr fontId="4"/>
  </si>
  <si>
    <t>若宮　健嗣</t>
    <rPh sb="0" eb="2">
      <t>ワカミヤ</t>
    </rPh>
    <rPh sb="3" eb="5">
      <t>ケンシ</t>
    </rPh>
    <phoneticPr fontId="4"/>
  </si>
  <si>
    <t>341比例東京自民29</t>
    <rPh sb="3" eb="5">
      <t>ヒレイ</t>
    </rPh>
    <rPh sb="5" eb="7">
      <t>トウキョウ</t>
    </rPh>
    <rPh sb="7" eb="9">
      <t>ジミン</t>
    </rPh>
    <phoneticPr fontId="4"/>
  </si>
  <si>
    <t>大塚　拓</t>
    <rPh sb="0" eb="2">
      <t>オオツカ</t>
    </rPh>
    <rPh sb="3" eb="4">
      <t>タク</t>
    </rPh>
    <phoneticPr fontId="4"/>
  </si>
  <si>
    <t>341比例東京自民30</t>
    <rPh sb="3" eb="5">
      <t>ヒレイ</t>
    </rPh>
    <rPh sb="5" eb="7">
      <t>トウキョウ</t>
    </rPh>
    <rPh sb="7" eb="9">
      <t>ジミン</t>
    </rPh>
    <phoneticPr fontId="4"/>
  </si>
  <si>
    <t>清水　清一朗</t>
    <rPh sb="0" eb="2">
      <t>シミズ</t>
    </rPh>
    <rPh sb="3" eb="6">
      <t>セイイチロウ</t>
    </rPh>
    <phoneticPr fontId="4"/>
  </si>
  <si>
    <t>341比例東京自民03</t>
    <rPh sb="3" eb="5">
      <t>ヒレイ</t>
    </rPh>
    <rPh sb="5" eb="7">
      <t>トウキョウ</t>
    </rPh>
    <rPh sb="7" eb="9">
      <t>ジミン</t>
    </rPh>
    <phoneticPr fontId="4"/>
  </si>
  <si>
    <t>15東京01</t>
    <rPh sb="2" eb="4">
      <t>トウキョウ</t>
    </rPh>
    <phoneticPr fontId="4"/>
  </si>
  <si>
    <t>与謝野　馨</t>
    <rPh sb="0" eb="3">
      <t>ヨサノ</t>
    </rPh>
    <rPh sb="4" eb="5">
      <t>カオル</t>
    </rPh>
    <phoneticPr fontId="4"/>
  </si>
  <si>
    <t>341比例東京自民04</t>
    <rPh sb="3" eb="5">
      <t>ヒレイ</t>
    </rPh>
    <rPh sb="5" eb="7">
      <t>トウキョウ</t>
    </rPh>
    <rPh sb="7" eb="9">
      <t>ジミン</t>
    </rPh>
    <phoneticPr fontId="4"/>
  </si>
  <si>
    <t>15東京02</t>
    <rPh sb="2" eb="4">
      <t>トウキョウ</t>
    </rPh>
    <phoneticPr fontId="4"/>
  </si>
  <si>
    <t>深谷　隆司</t>
    <rPh sb="0" eb="2">
      <t>フカヤ</t>
    </rPh>
    <rPh sb="3" eb="5">
      <t>タカシ</t>
    </rPh>
    <phoneticPr fontId="4"/>
  </si>
  <si>
    <t>341比例東京自民05</t>
    <rPh sb="3" eb="5">
      <t>ヒレイ</t>
    </rPh>
    <rPh sb="5" eb="7">
      <t>トウキョウ</t>
    </rPh>
    <rPh sb="7" eb="9">
      <t>ジミン</t>
    </rPh>
    <phoneticPr fontId="4"/>
  </si>
  <si>
    <t>15東京03</t>
    <rPh sb="2" eb="4">
      <t>トウキョウ</t>
    </rPh>
    <phoneticPr fontId="4"/>
  </si>
  <si>
    <t>石原　宏高</t>
    <rPh sb="0" eb="2">
      <t>イシハラ</t>
    </rPh>
    <rPh sb="3" eb="4">
      <t>ヒロシ</t>
    </rPh>
    <rPh sb="4" eb="5">
      <t>タカ</t>
    </rPh>
    <phoneticPr fontId="4"/>
  </si>
  <si>
    <t>341比例東京自民06</t>
    <rPh sb="3" eb="5">
      <t>ヒレイ</t>
    </rPh>
    <rPh sb="5" eb="7">
      <t>トウキョウ</t>
    </rPh>
    <rPh sb="7" eb="9">
      <t>ジミン</t>
    </rPh>
    <phoneticPr fontId="4"/>
  </si>
  <si>
    <t>15東京04</t>
    <rPh sb="2" eb="4">
      <t>トウキョウ</t>
    </rPh>
    <phoneticPr fontId="4"/>
  </si>
  <si>
    <t>平　将明</t>
    <rPh sb="0" eb="1">
      <t>タイラ</t>
    </rPh>
    <rPh sb="2" eb="4">
      <t>マサアキ</t>
    </rPh>
    <phoneticPr fontId="4"/>
  </si>
  <si>
    <t>341比例東京自民07</t>
    <rPh sb="3" eb="5">
      <t>ヒレイ</t>
    </rPh>
    <rPh sb="5" eb="7">
      <t>トウキョウ</t>
    </rPh>
    <rPh sb="7" eb="9">
      <t>ジミン</t>
    </rPh>
    <phoneticPr fontId="4"/>
  </si>
  <si>
    <t>15東京05</t>
    <rPh sb="2" eb="4">
      <t>トウキョウ</t>
    </rPh>
    <phoneticPr fontId="4"/>
  </si>
  <si>
    <t>小杉　隆</t>
    <rPh sb="0" eb="2">
      <t>コスギ</t>
    </rPh>
    <rPh sb="3" eb="4">
      <t>タカシ</t>
    </rPh>
    <phoneticPr fontId="4"/>
  </si>
  <si>
    <t>341比例東京自民08</t>
    <rPh sb="3" eb="5">
      <t>ヒレイ</t>
    </rPh>
    <rPh sb="5" eb="7">
      <t>トウキョウ</t>
    </rPh>
    <rPh sb="7" eb="9">
      <t>ジミン</t>
    </rPh>
    <phoneticPr fontId="4"/>
  </si>
  <si>
    <t>15東京06</t>
    <rPh sb="2" eb="4">
      <t>トウキョウ</t>
    </rPh>
    <phoneticPr fontId="4"/>
  </si>
  <si>
    <t>越智　隆雄</t>
    <rPh sb="0" eb="2">
      <t>オチ</t>
    </rPh>
    <rPh sb="3" eb="5">
      <t>タカオ</t>
    </rPh>
    <phoneticPr fontId="4"/>
  </si>
  <si>
    <t>341比例東京自民09</t>
    <rPh sb="3" eb="5">
      <t>ヒレイ</t>
    </rPh>
    <rPh sb="5" eb="7">
      <t>トウキョウ</t>
    </rPh>
    <rPh sb="7" eb="9">
      <t>ジミン</t>
    </rPh>
    <phoneticPr fontId="4"/>
  </si>
  <si>
    <t>15東京07</t>
    <rPh sb="2" eb="4">
      <t>トウキョウ</t>
    </rPh>
    <phoneticPr fontId="4"/>
  </si>
  <si>
    <t>松本　文明</t>
    <rPh sb="0" eb="2">
      <t>マツモト</t>
    </rPh>
    <rPh sb="3" eb="5">
      <t>ブンメイ</t>
    </rPh>
    <phoneticPr fontId="4"/>
  </si>
  <si>
    <t>341比例東京自民10</t>
    <rPh sb="3" eb="5">
      <t>ヒレイ</t>
    </rPh>
    <rPh sb="5" eb="7">
      <t>トウキョウ</t>
    </rPh>
    <rPh sb="7" eb="9">
      <t>ジミン</t>
    </rPh>
    <phoneticPr fontId="4"/>
  </si>
  <si>
    <t>15東京08</t>
    <rPh sb="2" eb="4">
      <t>トウキョウ</t>
    </rPh>
    <phoneticPr fontId="4"/>
  </si>
  <si>
    <t>石原　伸晃</t>
    <rPh sb="0" eb="2">
      <t>イシハラ</t>
    </rPh>
    <rPh sb="3" eb="4">
      <t>ノ</t>
    </rPh>
    <rPh sb="4" eb="5">
      <t>コウ</t>
    </rPh>
    <phoneticPr fontId="4"/>
  </si>
  <si>
    <t>341比例東京自民11</t>
    <rPh sb="3" eb="5">
      <t>ヒレイ</t>
    </rPh>
    <rPh sb="5" eb="7">
      <t>トウキョウ</t>
    </rPh>
    <rPh sb="7" eb="9">
      <t>ジミン</t>
    </rPh>
    <phoneticPr fontId="4"/>
  </si>
  <si>
    <t>15東京09</t>
    <rPh sb="2" eb="4">
      <t>トウキョウ</t>
    </rPh>
    <phoneticPr fontId="4"/>
  </si>
  <si>
    <t>菅原　一秀</t>
    <rPh sb="0" eb="2">
      <t>スガワラ</t>
    </rPh>
    <rPh sb="3" eb="4">
      <t>イチ</t>
    </rPh>
    <rPh sb="4" eb="5">
      <t>ヒデ</t>
    </rPh>
    <phoneticPr fontId="4"/>
  </si>
  <si>
    <t>341比例東京自民12</t>
    <rPh sb="3" eb="5">
      <t>ヒレイ</t>
    </rPh>
    <rPh sb="5" eb="7">
      <t>トウキョウ</t>
    </rPh>
    <rPh sb="7" eb="9">
      <t>ジミン</t>
    </rPh>
    <phoneticPr fontId="4"/>
  </si>
  <si>
    <t>15東京10</t>
    <rPh sb="2" eb="4">
      <t>トウキョウ</t>
    </rPh>
    <phoneticPr fontId="4"/>
  </si>
  <si>
    <t>小池　百合子</t>
    <rPh sb="0" eb="2">
      <t>コイケ</t>
    </rPh>
    <rPh sb="3" eb="6">
      <t>ユリコ</t>
    </rPh>
    <phoneticPr fontId="4"/>
  </si>
  <si>
    <t>341比例東京自民13</t>
    <rPh sb="3" eb="5">
      <t>ヒレイ</t>
    </rPh>
    <rPh sb="5" eb="7">
      <t>トウキョウ</t>
    </rPh>
    <rPh sb="7" eb="9">
      <t>ジミン</t>
    </rPh>
    <phoneticPr fontId="4"/>
  </si>
  <si>
    <t>15東京11</t>
    <rPh sb="2" eb="4">
      <t>トウキョウ</t>
    </rPh>
    <phoneticPr fontId="4"/>
  </si>
  <si>
    <t>下村　博文</t>
    <rPh sb="0" eb="2">
      <t>シモムラ</t>
    </rPh>
    <rPh sb="3" eb="5">
      <t>ヒロフミ</t>
    </rPh>
    <phoneticPr fontId="4"/>
  </si>
  <si>
    <t>341比例東京自民14</t>
    <rPh sb="3" eb="5">
      <t>ヒレイ</t>
    </rPh>
    <rPh sb="5" eb="7">
      <t>トウキョウ</t>
    </rPh>
    <rPh sb="7" eb="9">
      <t>ジミン</t>
    </rPh>
    <phoneticPr fontId="4"/>
  </si>
  <si>
    <t>15東京13</t>
    <rPh sb="2" eb="4">
      <t>トウキョウ</t>
    </rPh>
    <phoneticPr fontId="4"/>
  </si>
  <si>
    <t>鴨下　一郎</t>
    <rPh sb="0" eb="2">
      <t>カモシタ</t>
    </rPh>
    <rPh sb="3" eb="5">
      <t>イチロウ</t>
    </rPh>
    <phoneticPr fontId="4"/>
  </si>
  <si>
    <t>341比例東京自民15</t>
    <rPh sb="3" eb="5">
      <t>ヒレイ</t>
    </rPh>
    <rPh sb="5" eb="7">
      <t>トウキョウ</t>
    </rPh>
    <rPh sb="7" eb="9">
      <t>ジミン</t>
    </rPh>
    <phoneticPr fontId="4"/>
  </si>
  <si>
    <t>15東京14</t>
    <rPh sb="2" eb="4">
      <t>トウキョウ</t>
    </rPh>
    <phoneticPr fontId="4"/>
  </si>
  <si>
    <t>松島　みどり</t>
    <rPh sb="0" eb="2">
      <t>マツシマ</t>
    </rPh>
    <phoneticPr fontId="4"/>
  </si>
  <si>
    <t>341比例東京自民16</t>
    <rPh sb="3" eb="5">
      <t>ヒレイ</t>
    </rPh>
    <rPh sb="5" eb="7">
      <t>トウキョウ</t>
    </rPh>
    <rPh sb="7" eb="9">
      <t>ジミン</t>
    </rPh>
    <phoneticPr fontId="4"/>
  </si>
  <si>
    <t>15東京15</t>
    <rPh sb="2" eb="4">
      <t>トウキョウ</t>
    </rPh>
    <phoneticPr fontId="4"/>
  </si>
  <si>
    <t>木村　勉</t>
    <rPh sb="0" eb="2">
      <t>キムラ</t>
    </rPh>
    <rPh sb="3" eb="4">
      <t>ツトム</t>
    </rPh>
    <phoneticPr fontId="4"/>
  </si>
  <si>
    <t>341比例東京自民17</t>
    <rPh sb="3" eb="5">
      <t>ヒレイ</t>
    </rPh>
    <rPh sb="5" eb="7">
      <t>トウキョウ</t>
    </rPh>
    <rPh sb="7" eb="9">
      <t>ジミン</t>
    </rPh>
    <phoneticPr fontId="4"/>
  </si>
  <si>
    <t>15東京16</t>
    <rPh sb="2" eb="4">
      <t>トウキョウ</t>
    </rPh>
    <phoneticPr fontId="4"/>
  </si>
  <si>
    <t>島村　宜伸</t>
    <rPh sb="0" eb="2">
      <t>シマムラ</t>
    </rPh>
    <rPh sb="3" eb="4">
      <t>ギ</t>
    </rPh>
    <rPh sb="4" eb="5">
      <t>ノ</t>
    </rPh>
    <phoneticPr fontId="4"/>
  </si>
  <si>
    <t>341比例東京自民18</t>
    <rPh sb="3" eb="5">
      <t>ヒレイ</t>
    </rPh>
    <rPh sb="5" eb="7">
      <t>トウキョウ</t>
    </rPh>
    <rPh sb="7" eb="9">
      <t>ジミン</t>
    </rPh>
    <phoneticPr fontId="4"/>
  </si>
  <si>
    <t>15東京17</t>
    <rPh sb="2" eb="4">
      <t>トウキョウ</t>
    </rPh>
    <phoneticPr fontId="4"/>
  </si>
  <si>
    <t>平沢　勝栄</t>
    <rPh sb="0" eb="2">
      <t>ヒラサワ</t>
    </rPh>
    <rPh sb="3" eb="4">
      <t>カ</t>
    </rPh>
    <rPh sb="4" eb="5">
      <t>サカエ</t>
    </rPh>
    <phoneticPr fontId="4"/>
  </si>
  <si>
    <t>341比例東京自民19</t>
    <rPh sb="3" eb="5">
      <t>ヒレイ</t>
    </rPh>
    <rPh sb="5" eb="7">
      <t>トウキョウ</t>
    </rPh>
    <rPh sb="7" eb="9">
      <t>ジミン</t>
    </rPh>
    <phoneticPr fontId="4"/>
  </si>
  <si>
    <t>15東京19</t>
    <rPh sb="2" eb="4">
      <t>トウキョウ</t>
    </rPh>
    <phoneticPr fontId="4"/>
  </si>
  <si>
    <t>松本　洋平</t>
    <rPh sb="0" eb="2">
      <t>マツモト</t>
    </rPh>
    <rPh sb="3" eb="5">
      <t>ヨウヘイ</t>
    </rPh>
    <phoneticPr fontId="4"/>
  </si>
  <si>
    <t>341比例東京自民20</t>
    <rPh sb="3" eb="5">
      <t>ヒレイ</t>
    </rPh>
    <rPh sb="5" eb="7">
      <t>トウキョウ</t>
    </rPh>
    <rPh sb="7" eb="9">
      <t>ジミン</t>
    </rPh>
    <phoneticPr fontId="4"/>
  </si>
  <si>
    <t>15東京20</t>
    <rPh sb="2" eb="4">
      <t>トウキョウ</t>
    </rPh>
    <phoneticPr fontId="4"/>
  </si>
  <si>
    <t>木原　誠二</t>
    <rPh sb="0" eb="2">
      <t>キハラ</t>
    </rPh>
    <rPh sb="3" eb="5">
      <t>マコトニ</t>
    </rPh>
    <phoneticPr fontId="4"/>
  </si>
  <si>
    <t>341比例東京自民21</t>
    <rPh sb="3" eb="5">
      <t>ヒレイ</t>
    </rPh>
    <rPh sb="5" eb="7">
      <t>トウキョウ</t>
    </rPh>
    <rPh sb="7" eb="9">
      <t>ジミン</t>
    </rPh>
    <phoneticPr fontId="4"/>
  </si>
  <si>
    <t>15東京21</t>
    <rPh sb="2" eb="4">
      <t>トウキョウ</t>
    </rPh>
    <phoneticPr fontId="4"/>
  </si>
  <si>
    <t>小川　友一</t>
    <rPh sb="0" eb="2">
      <t>オガワ</t>
    </rPh>
    <rPh sb="3" eb="4">
      <t>トモ</t>
    </rPh>
    <rPh sb="4" eb="5">
      <t>イチ</t>
    </rPh>
    <phoneticPr fontId="4"/>
  </si>
  <si>
    <t>341比例東京自民22</t>
    <rPh sb="3" eb="5">
      <t>ヒレイ</t>
    </rPh>
    <rPh sb="5" eb="7">
      <t>トウキョウ</t>
    </rPh>
    <rPh sb="7" eb="9">
      <t>ジミン</t>
    </rPh>
    <phoneticPr fontId="4"/>
  </si>
  <si>
    <t>15東京22</t>
    <rPh sb="2" eb="4">
      <t>トウキョウ</t>
    </rPh>
    <phoneticPr fontId="4"/>
  </si>
  <si>
    <t>伊藤　達也</t>
    <rPh sb="0" eb="2">
      <t>イトウ</t>
    </rPh>
    <rPh sb="3" eb="5">
      <t>タツヤ</t>
    </rPh>
    <phoneticPr fontId="4"/>
  </si>
  <si>
    <t>341比例東京自民23</t>
    <rPh sb="3" eb="5">
      <t>ヒレイ</t>
    </rPh>
    <rPh sb="5" eb="7">
      <t>トウキョウ</t>
    </rPh>
    <rPh sb="7" eb="9">
      <t>ジミン</t>
    </rPh>
    <phoneticPr fontId="4"/>
  </si>
  <si>
    <t>15東京23</t>
    <rPh sb="2" eb="4">
      <t>トウキョウ</t>
    </rPh>
    <phoneticPr fontId="4"/>
  </si>
  <si>
    <t>伊藤　公介</t>
    <rPh sb="0" eb="2">
      <t>イトウ</t>
    </rPh>
    <rPh sb="3" eb="4">
      <t>オオヤケ</t>
    </rPh>
    <rPh sb="4" eb="5">
      <t>スケ</t>
    </rPh>
    <phoneticPr fontId="4"/>
  </si>
  <si>
    <t>341比例東京自民24</t>
    <rPh sb="3" eb="5">
      <t>ヒレイ</t>
    </rPh>
    <rPh sb="5" eb="7">
      <t>トウキョウ</t>
    </rPh>
    <rPh sb="7" eb="9">
      <t>ジミン</t>
    </rPh>
    <phoneticPr fontId="4"/>
  </si>
  <si>
    <t>15東京24</t>
    <rPh sb="2" eb="4">
      <t>トウキョウ</t>
    </rPh>
    <phoneticPr fontId="4"/>
  </si>
  <si>
    <t>萩生田　光一</t>
    <rPh sb="0" eb="3">
      <t>ハギウダ</t>
    </rPh>
    <rPh sb="4" eb="6">
      <t>コウイチ</t>
    </rPh>
    <phoneticPr fontId="4"/>
  </si>
  <si>
    <t>341比例東京自民25</t>
    <rPh sb="3" eb="5">
      <t>ヒレイ</t>
    </rPh>
    <rPh sb="5" eb="7">
      <t>トウキョウ</t>
    </rPh>
    <rPh sb="7" eb="9">
      <t>ジミン</t>
    </rPh>
    <phoneticPr fontId="4"/>
  </si>
  <si>
    <t>15東京25</t>
    <rPh sb="2" eb="4">
      <t>トウキョウ</t>
    </rPh>
    <phoneticPr fontId="4"/>
  </si>
  <si>
    <t>井上　信治</t>
    <rPh sb="0" eb="2">
      <t>イノウエ</t>
    </rPh>
    <rPh sb="3" eb="5">
      <t>シンジ</t>
    </rPh>
    <phoneticPr fontId="4"/>
  </si>
  <si>
    <t>342比例東京民主19</t>
    <rPh sb="3" eb="5">
      <t>ヒレイ</t>
    </rPh>
    <rPh sb="5" eb="7">
      <t>トウキョウ</t>
    </rPh>
    <rPh sb="7" eb="9">
      <t>ミンシュ</t>
    </rPh>
    <phoneticPr fontId="4"/>
  </si>
  <si>
    <t>末松　義規</t>
    <rPh sb="0" eb="2">
      <t>スエマツ</t>
    </rPh>
    <rPh sb="3" eb="4">
      <t>ギ</t>
    </rPh>
    <rPh sb="4" eb="5">
      <t>キ</t>
    </rPh>
    <phoneticPr fontId="4"/>
  </si>
  <si>
    <t>342比例東京民主20</t>
    <rPh sb="3" eb="5">
      <t>ヒレイ</t>
    </rPh>
    <rPh sb="5" eb="7">
      <t>トウキョウ</t>
    </rPh>
    <rPh sb="7" eb="9">
      <t>ミンシュ</t>
    </rPh>
    <phoneticPr fontId="4"/>
  </si>
  <si>
    <t>加藤　公一</t>
    <rPh sb="0" eb="2">
      <t>カトウ</t>
    </rPh>
    <rPh sb="3" eb="5">
      <t>コウイチ</t>
    </rPh>
    <phoneticPr fontId="4"/>
  </si>
  <si>
    <t>342比例東京民主06</t>
    <rPh sb="3" eb="5">
      <t>ヒレイ</t>
    </rPh>
    <rPh sb="5" eb="7">
      <t>トウキョウ</t>
    </rPh>
    <rPh sb="7" eb="9">
      <t>ミンシュ</t>
    </rPh>
    <phoneticPr fontId="4"/>
  </si>
  <si>
    <t>小宮山　洋子</t>
    <rPh sb="0" eb="3">
      <t>コミヤマ</t>
    </rPh>
    <rPh sb="4" eb="6">
      <t>ヨウコ</t>
    </rPh>
    <phoneticPr fontId="4"/>
  </si>
  <si>
    <t>342比例東京民主21</t>
    <rPh sb="3" eb="5">
      <t>ヒレイ</t>
    </rPh>
    <rPh sb="5" eb="7">
      <t>トウキョウ</t>
    </rPh>
    <rPh sb="7" eb="9">
      <t>ミンシュ</t>
    </rPh>
    <phoneticPr fontId="4"/>
  </si>
  <si>
    <t>長島　昭久</t>
    <rPh sb="0" eb="2">
      <t>ナガシマ</t>
    </rPh>
    <rPh sb="3" eb="5">
      <t>アキヒサ</t>
    </rPh>
    <phoneticPr fontId="4"/>
  </si>
  <si>
    <t>342比例東京民主07</t>
    <rPh sb="3" eb="5">
      <t>ヒレイ</t>
    </rPh>
    <rPh sb="5" eb="7">
      <t>トウキョウ</t>
    </rPh>
    <rPh sb="7" eb="9">
      <t>ミンシュ</t>
    </rPh>
    <phoneticPr fontId="4"/>
  </si>
  <si>
    <t>長妻　昭</t>
    <rPh sb="0" eb="2">
      <t>ナガツマ</t>
    </rPh>
    <rPh sb="3" eb="4">
      <t>アキラ</t>
    </rPh>
    <phoneticPr fontId="4"/>
  </si>
  <si>
    <t>342比例東京民主03</t>
    <rPh sb="3" eb="5">
      <t>ヒレイ</t>
    </rPh>
    <rPh sb="5" eb="7">
      <t>トウキョウ</t>
    </rPh>
    <rPh sb="7" eb="9">
      <t>ミンシュ</t>
    </rPh>
    <phoneticPr fontId="4"/>
  </si>
  <si>
    <t>松原　仁</t>
    <rPh sb="0" eb="2">
      <t>マツバラ</t>
    </rPh>
    <rPh sb="3" eb="4">
      <t>ジン</t>
    </rPh>
    <phoneticPr fontId="4"/>
  </si>
  <si>
    <t>342比例東京民主02</t>
    <rPh sb="3" eb="5">
      <t>ヒレイ</t>
    </rPh>
    <rPh sb="5" eb="7">
      <t>トウキョウ</t>
    </rPh>
    <rPh sb="7" eb="9">
      <t>ミンシュ</t>
    </rPh>
    <phoneticPr fontId="4"/>
  </si>
  <si>
    <t>中山　義活</t>
    <rPh sb="0" eb="2">
      <t>ナカヤマ</t>
    </rPh>
    <rPh sb="3" eb="4">
      <t>ギ</t>
    </rPh>
    <rPh sb="4" eb="5">
      <t>カツ</t>
    </rPh>
    <phoneticPr fontId="4"/>
  </si>
  <si>
    <t>342比例東京民主05</t>
    <rPh sb="3" eb="5">
      <t>ヒレイ</t>
    </rPh>
    <rPh sb="5" eb="7">
      <t>トウキョウ</t>
    </rPh>
    <rPh sb="7" eb="9">
      <t>ミンシュ</t>
    </rPh>
    <phoneticPr fontId="4"/>
  </si>
  <si>
    <t>手塚　仁雄</t>
    <rPh sb="0" eb="2">
      <t>テヅカ</t>
    </rPh>
    <rPh sb="3" eb="4">
      <t>ジン</t>
    </rPh>
    <rPh sb="4" eb="5">
      <t>ユウ</t>
    </rPh>
    <phoneticPr fontId="4"/>
  </si>
  <si>
    <t>342比例東京民主04</t>
    <rPh sb="3" eb="5">
      <t>ヒレイ</t>
    </rPh>
    <rPh sb="5" eb="7">
      <t>トウキョウ</t>
    </rPh>
    <rPh sb="7" eb="9">
      <t>ミンシュ</t>
    </rPh>
    <phoneticPr fontId="4"/>
  </si>
  <si>
    <t>宇佐美　登</t>
    <rPh sb="0" eb="3">
      <t>ウサミ</t>
    </rPh>
    <rPh sb="4" eb="5">
      <t>ノボル</t>
    </rPh>
    <phoneticPr fontId="4"/>
  </si>
  <si>
    <t>342比例東京民主22</t>
    <rPh sb="3" eb="5">
      <t>ヒレイ</t>
    </rPh>
    <rPh sb="5" eb="7">
      <t>トウキョウ</t>
    </rPh>
    <rPh sb="7" eb="9">
      <t>ミンシュ</t>
    </rPh>
    <phoneticPr fontId="4"/>
  </si>
  <si>
    <t>山花　郁夫</t>
    <rPh sb="0" eb="2">
      <t>ヤマハナ</t>
    </rPh>
    <rPh sb="3" eb="5">
      <t>イクオ</t>
    </rPh>
    <phoneticPr fontId="4"/>
  </si>
  <si>
    <t>２３市</t>
    <rPh sb="2" eb="3">
      <t>シ</t>
    </rPh>
    <phoneticPr fontId="4"/>
  </si>
  <si>
    <t>342比例東京民主24</t>
    <rPh sb="3" eb="5">
      <t>ヒレイ</t>
    </rPh>
    <rPh sb="5" eb="7">
      <t>トウキョウ</t>
    </rPh>
    <rPh sb="7" eb="9">
      <t>ミンシュ</t>
    </rPh>
    <phoneticPr fontId="4"/>
  </si>
  <si>
    <t>阿久津　幸彦</t>
    <rPh sb="0" eb="3">
      <t>アクツ</t>
    </rPh>
    <rPh sb="4" eb="6">
      <t>ユキヒコ</t>
    </rPh>
    <phoneticPr fontId="4"/>
  </si>
  <si>
    <t>342比例東京民主01</t>
    <rPh sb="3" eb="5">
      <t>ヒレイ</t>
    </rPh>
    <rPh sb="5" eb="7">
      <t>トウキョウ</t>
    </rPh>
    <rPh sb="7" eb="9">
      <t>ミンシュ</t>
    </rPh>
    <phoneticPr fontId="4"/>
  </si>
  <si>
    <t>海江田　万里</t>
    <rPh sb="0" eb="1">
      <t>ウミ</t>
    </rPh>
    <rPh sb="1" eb="3">
      <t>エダ</t>
    </rPh>
    <rPh sb="4" eb="6">
      <t>バンリ</t>
    </rPh>
    <phoneticPr fontId="4"/>
  </si>
  <si>
    <t>342比例東京民主12</t>
    <rPh sb="3" eb="5">
      <t>ヒレイ</t>
    </rPh>
    <rPh sb="5" eb="7">
      <t>トウキョウ</t>
    </rPh>
    <rPh sb="7" eb="9">
      <t>ミンシュ</t>
    </rPh>
    <phoneticPr fontId="4"/>
  </si>
  <si>
    <t>15東京12</t>
    <rPh sb="2" eb="4">
      <t>トウキョウ</t>
    </rPh>
    <phoneticPr fontId="4"/>
  </si>
  <si>
    <t>藤田　幸久</t>
    <rPh sb="0" eb="2">
      <t>フジタ</t>
    </rPh>
    <rPh sb="3" eb="5">
      <t>ユキヒサ</t>
    </rPh>
    <phoneticPr fontId="4"/>
  </si>
  <si>
    <t>342比例東京民主23</t>
    <rPh sb="3" eb="5">
      <t>ヒレイ</t>
    </rPh>
    <rPh sb="5" eb="7">
      <t>トウキョウ</t>
    </rPh>
    <rPh sb="7" eb="9">
      <t>ミンシュ</t>
    </rPh>
    <phoneticPr fontId="4"/>
  </si>
  <si>
    <t>石毛　鍈子</t>
    <rPh sb="0" eb="1">
      <t>イシ</t>
    </rPh>
    <rPh sb="1" eb="2">
      <t>ゲ</t>
    </rPh>
    <rPh sb="3" eb="4">
      <t>エイ</t>
    </rPh>
    <rPh sb="4" eb="5">
      <t>コ</t>
    </rPh>
    <phoneticPr fontId="4"/>
  </si>
  <si>
    <t>342比例東京民主15</t>
    <rPh sb="3" eb="5">
      <t>ヒレイ</t>
    </rPh>
    <rPh sb="5" eb="7">
      <t>トウキョウ</t>
    </rPh>
    <rPh sb="7" eb="9">
      <t>ミンシュ</t>
    </rPh>
    <phoneticPr fontId="4"/>
  </si>
  <si>
    <t>東　祥三</t>
    <rPh sb="0" eb="1">
      <t>アズマ</t>
    </rPh>
    <rPh sb="2" eb="4">
      <t>ショウゾウ</t>
    </rPh>
    <phoneticPr fontId="4"/>
  </si>
  <si>
    <t>ネ</t>
    <phoneticPr fontId="4"/>
  </si>
  <si>
    <t>342比例東京民主13</t>
    <rPh sb="3" eb="5">
      <t>ヒレイ</t>
    </rPh>
    <rPh sb="5" eb="7">
      <t>トウキョウ</t>
    </rPh>
    <rPh sb="7" eb="9">
      <t>ミンシュ</t>
    </rPh>
    <phoneticPr fontId="4"/>
  </si>
  <si>
    <t>城島　正光</t>
    <rPh sb="0" eb="2">
      <t>キジマ</t>
    </rPh>
    <rPh sb="3" eb="5">
      <t>マサミツ</t>
    </rPh>
    <phoneticPr fontId="4"/>
  </si>
  <si>
    <t>342比例東京民主14</t>
    <rPh sb="3" eb="5">
      <t>ヒレイ</t>
    </rPh>
    <rPh sb="5" eb="7">
      <t>トウキョウ</t>
    </rPh>
    <rPh sb="7" eb="9">
      <t>ミンシュ</t>
    </rPh>
    <phoneticPr fontId="4"/>
  </si>
  <si>
    <t>井上　和雄</t>
    <rPh sb="0" eb="2">
      <t>イノウエ</t>
    </rPh>
    <rPh sb="3" eb="5">
      <t>カズオ</t>
    </rPh>
    <phoneticPr fontId="4"/>
  </si>
  <si>
    <t>342比例東京民主16</t>
    <rPh sb="3" eb="5">
      <t>ヒレイ</t>
    </rPh>
    <rPh sb="5" eb="7">
      <t>トウキョウ</t>
    </rPh>
    <rPh sb="7" eb="9">
      <t>ミンシュ</t>
    </rPh>
    <phoneticPr fontId="4"/>
  </si>
  <si>
    <t>中津川　博郷</t>
    <rPh sb="0" eb="3">
      <t>ナカツガワ</t>
    </rPh>
    <rPh sb="4" eb="5">
      <t>ヒロシ</t>
    </rPh>
    <rPh sb="5" eb="6">
      <t>ゴウ</t>
    </rPh>
    <phoneticPr fontId="4"/>
  </si>
  <si>
    <t>342比例東京民主08</t>
    <rPh sb="3" eb="5">
      <t>ヒレイ</t>
    </rPh>
    <rPh sb="5" eb="7">
      <t>トウキョウ</t>
    </rPh>
    <rPh sb="7" eb="9">
      <t>ミンシュ</t>
    </rPh>
    <phoneticPr fontId="4"/>
  </si>
  <si>
    <t>鈴木　盛夫</t>
    <rPh sb="0" eb="2">
      <t>スズキ</t>
    </rPh>
    <rPh sb="3" eb="5">
      <t>モリオ</t>
    </rPh>
    <phoneticPr fontId="4"/>
  </si>
  <si>
    <t>342比例東京民主25</t>
    <rPh sb="3" eb="5">
      <t>ヒレイ</t>
    </rPh>
    <rPh sb="5" eb="7">
      <t>トウキョウ</t>
    </rPh>
    <rPh sb="7" eb="9">
      <t>ミンシュ</t>
    </rPh>
    <phoneticPr fontId="4"/>
  </si>
  <si>
    <t>島田　久</t>
    <rPh sb="0" eb="2">
      <t>シマダ</t>
    </rPh>
    <rPh sb="3" eb="4">
      <t>ヒサシ</t>
    </rPh>
    <phoneticPr fontId="4"/>
  </si>
  <si>
    <t>342比例東京民主11</t>
    <rPh sb="3" eb="5">
      <t>ヒレイ</t>
    </rPh>
    <rPh sb="5" eb="7">
      <t>トウキョウ</t>
    </rPh>
    <rPh sb="7" eb="9">
      <t>ミンシュ</t>
    </rPh>
    <phoneticPr fontId="4"/>
  </si>
  <si>
    <t>渡辺　浩一郎</t>
    <rPh sb="0" eb="2">
      <t>ワタナベ</t>
    </rPh>
    <rPh sb="3" eb="6">
      <t>コウイチロウ</t>
    </rPh>
    <phoneticPr fontId="4"/>
  </si>
  <si>
    <t>342比例東京民主09</t>
    <rPh sb="3" eb="5">
      <t>ヒレイ</t>
    </rPh>
    <rPh sb="5" eb="7">
      <t>トウキョウ</t>
    </rPh>
    <rPh sb="7" eb="9">
      <t>ミンシュ</t>
    </rPh>
    <phoneticPr fontId="4"/>
  </si>
  <si>
    <t>川島　智太郎</t>
    <rPh sb="0" eb="2">
      <t>カワシマ</t>
    </rPh>
    <rPh sb="3" eb="4">
      <t>トモ</t>
    </rPh>
    <rPh sb="4" eb="6">
      <t>タロウ</t>
    </rPh>
    <phoneticPr fontId="4"/>
  </si>
  <si>
    <t>342比例東京民主10</t>
    <rPh sb="3" eb="5">
      <t>ヒレイ</t>
    </rPh>
    <rPh sb="5" eb="7">
      <t>トウキョウ</t>
    </rPh>
    <rPh sb="7" eb="9">
      <t>ミンシュ</t>
    </rPh>
    <phoneticPr fontId="4"/>
  </si>
  <si>
    <t>鮫島　宗明</t>
    <rPh sb="0" eb="2">
      <t>サメシマ</t>
    </rPh>
    <rPh sb="3" eb="5">
      <t>ムネアキ</t>
    </rPh>
    <phoneticPr fontId="4"/>
  </si>
  <si>
    <t>342比例東京民主17</t>
    <rPh sb="3" eb="5">
      <t>ヒレイ</t>
    </rPh>
    <rPh sb="5" eb="7">
      <t>トウキョウ</t>
    </rPh>
    <rPh sb="7" eb="9">
      <t>ミンシュ</t>
    </rPh>
    <phoneticPr fontId="4"/>
  </si>
  <si>
    <t>錦織　淳</t>
    <rPh sb="0" eb="2">
      <t>ニシキオリ</t>
    </rPh>
    <rPh sb="3" eb="4">
      <t>アツシ</t>
    </rPh>
    <phoneticPr fontId="4"/>
  </si>
  <si>
    <t>342比例東京民主26</t>
    <rPh sb="3" eb="5">
      <t>ヒレイ</t>
    </rPh>
    <rPh sb="5" eb="7">
      <t>トウキョウ</t>
    </rPh>
    <rPh sb="7" eb="9">
      <t>ミンシュ</t>
    </rPh>
    <phoneticPr fontId="4"/>
  </si>
  <si>
    <t>関口　太一</t>
    <rPh sb="0" eb="2">
      <t>セキグチ</t>
    </rPh>
    <rPh sb="3" eb="5">
      <t>タイチ</t>
    </rPh>
    <phoneticPr fontId="4"/>
  </si>
  <si>
    <t>342比例東京民主27</t>
    <rPh sb="3" eb="5">
      <t>ヒレイ</t>
    </rPh>
    <rPh sb="5" eb="7">
      <t>トウキョウ</t>
    </rPh>
    <rPh sb="7" eb="9">
      <t>ミンシュ</t>
    </rPh>
    <phoneticPr fontId="4"/>
  </si>
  <si>
    <t>神野　吉弘</t>
    <rPh sb="0" eb="2">
      <t>カミノ</t>
    </rPh>
    <rPh sb="3" eb="5">
      <t>ヨシヒロ</t>
    </rPh>
    <phoneticPr fontId="4"/>
  </si>
  <si>
    <t>342比例東京民主28</t>
    <rPh sb="3" eb="5">
      <t>ヒレイ</t>
    </rPh>
    <rPh sb="5" eb="7">
      <t>トウキョウ</t>
    </rPh>
    <rPh sb="7" eb="9">
      <t>ミンシュ</t>
    </rPh>
    <phoneticPr fontId="4"/>
  </si>
  <si>
    <t>滝口　学</t>
    <rPh sb="0" eb="2">
      <t>タキグチ</t>
    </rPh>
    <rPh sb="3" eb="4">
      <t>マナブ</t>
    </rPh>
    <phoneticPr fontId="4"/>
  </si>
  <si>
    <t>342比例東京民主29</t>
    <rPh sb="3" eb="5">
      <t>ヒレイ</t>
    </rPh>
    <rPh sb="5" eb="7">
      <t>トウキョウ</t>
    </rPh>
    <rPh sb="7" eb="9">
      <t>ミンシュ</t>
    </rPh>
    <phoneticPr fontId="4"/>
  </si>
  <si>
    <t>梶川　康二</t>
    <rPh sb="0" eb="2">
      <t>カジカワ</t>
    </rPh>
    <rPh sb="3" eb="5">
      <t>コウジ</t>
    </rPh>
    <phoneticPr fontId="4"/>
  </si>
  <si>
    <t>342比例東京民主18</t>
    <rPh sb="3" eb="5">
      <t>ヒレイ</t>
    </rPh>
    <rPh sb="5" eb="7">
      <t>トウキョウ</t>
    </rPh>
    <rPh sb="7" eb="9">
      <t>ミンシュ</t>
    </rPh>
    <phoneticPr fontId="4"/>
  </si>
  <si>
    <t>菅　直人</t>
    <rPh sb="0" eb="1">
      <t>カン</t>
    </rPh>
    <rPh sb="2" eb="4">
      <t>ナオト</t>
    </rPh>
    <phoneticPr fontId="4"/>
  </si>
  <si>
    <t>343比例東京公明01</t>
    <rPh sb="3" eb="5">
      <t>ヒレイ</t>
    </rPh>
    <rPh sb="5" eb="7">
      <t>トウキョウ</t>
    </rPh>
    <rPh sb="7" eb="9">
      <t>コウメイ</t>
    </rPh>
    <phoneticPr fontId="4"/>
  </si>
  <si>
    <t>高木　陽介</t>
    <rPh sb="0" eb="2">
      <t>タカギ</t>
    </rPh>
    <rPh sb="3" eb="5">
      <t>ヨウスケ</t>
    </rPh>
    <phoneticPr fontId="4"/>
  </si>
  <si>
    <t>343比例東京公明02</t>
    <rPh sb="3" eb="5">
      <t>ヒレイ</t>
    </rPh>
    <rPh sb="5" eb="7">
      <t>トウキョウ</t>
    </rPh>
    <rPh sb="7" eb="9">
      <t>コウメイ</t>
    </rPh>
    <phoneticPr fontId="4"/>
  </si>
  <si>
    <t>高木　美智代</t>
    <rPh sb="0" eb="2">
      <t>タカギ</t>
    </rPh>
    <rPh sb="3" eb="6">
      <t>ミチヨ</t>
    </rPh>
    <phoneticPr fontId="4"/>
  </si>
  <si>
    <t>343比例東京公明03</t>
    <rPh sb="3" eb="5">
      <t>ヒレイ</t>
    </rPh>
    <rPh sb="5" eb="7">
      <t>トウキョウ</t>
    </rPh>
    <rPh sb="7" eb="9">
      <t>コウメイ</t>
    </rPh>
    <phoneticPr fontId="4"/>
  </si>
  <si>
    <t>関本　憲二</t>
    <rPh sb="0" eb="2">
      <t>セキモト</t>
    </rPh>
    <rPh sb="3" eb="5">
      <t>ケンジ</t>
    </rPh>
    <phoneticPr fontId="4"/>
  </si>
  <si>
    <t>343比例東京公明04</t>
    <rPh sb="3" eb="5">
      <t>ヒレイ</t>
    </rPh>
    <rPh sb="5" eb="7">
      <t>トウキョウ</t>
    </rPh>
    <rPh sb="7" eb="9">
      <t>コウメイ</t>
    </rPh>
    <phoneticPr fontId="4"/>
  </si>
  <si>
    <t>星　和男</t>
    <rPh sb="0" eb="1">
      <t>ホシ</t>
    </rPh>
    <rPh sb="2" eb="4">
      <t>カズオ</t>
    </rPh>
    <phoneticPr fontId="4"/>
  </si>
  <si>
    <t>344比例東京共産02</t>
    <rPh sb="3" eb="5">
      <t>ヒレイ</t>
    </rPh>
    <rPh sb="5" eb="7">
      <t>トウキョウ</t>
    </rPh>
    <rPh sb="7" eb="9">
      <t>キョウサン</t>
    </rPh>
    <phoneticPr fontId="4"/>
  </si>
  <si>
    <t>笠井　亮</t>
    <rPh sb="0" eb="2">
      <t>カサイ</t>
    </rPh>
    <rPh sb="3" eb="4">
      <t>アキラ</t>
    </rPh>
    <phoneticPr fontId="4"/>
  </si>
  <si>
    <t>344比例東京共産03</t>
    <rPh sb="3" eb="5">
      <t>ヒレイ</t>
    </rPh>
    <rPh sb="5" eb="7">
      <t>トウキョウ</t>
    </rPh>
    <rPh sb="7" eb="9">
      <t>キョウサン</t>
    </rPh>
    <phoneticPr fontId="4"/>
  </si>
  <si>
    <t>池田　真理子</t>
    <rPh sb="0" eb="2">
      <t>イケダ</t>
    </rPh>
    <rPh sb="3" eb="6">
      <t>マリコ</t>
    </rPh>
    <phoneticPr fontId="4"/>
  </si>
  <si>
    <t>344比例東京共産04</t>
    <rPh sb="3" eb="5">
      <t>ヒレイ</t>
    </rPh>
    <rPh sb="5" eb="7">
      <t>トウキョウ</t>
    </rPh>
    <rPh sb="7" eb="9">
      <t>キョウサン</t>
    </rPh>
    <phoneticPr fontId="4"/>
  </si>
  <si>
    <t>田村　智子</t>
    <rPh sb="0" eb="2">
      <t>タムラ</t>
    </rPh>
    <rPh sb="3" eb="5">
      <t>トモコ</t>
    </rPh>
    <phoneticPr fontId="4"/>
  </si>
  <si>
    <t>344比例東京共産01</t>
    <rPh sb="3" eb="5">
      <t>ヒレイ</t>
    </rPh>
    <rPh sb="5" eb="7">
      <t>トウキョウ</t>
    </rPh>
    <rPh sb="7" eb="9">
      <t>キョウサン</t>
    </rPh>
    <phoneticPr fontId="4"/>
  </si>
  <si>
    <t>若林　義春</t>
    <rPh sb="0" eb="2">
      <t>ワカバヤシ</t>
    </rPh>
    <rPh sb="3" eb="5">
      <t>ヨシハル</t>
    </rPh>
    <phoneticPr fontId="4"/>
  </si>
  <si>
    <t>345比例東京社民02</t>
    <rPh sb="3" eb="5">
      <t>ヒレイ</t>
    </rPh>
    <rPh sb="5" eb="7">
      <t>トウキョウ</t>
    </rPh>
    <rPh sb="7" eb="9">
      <t>シャミン</t>
    </rPh>
    <phoneticPr fontId="4"/>
  </si>
  <si>
    <t>保坂　展人</t>
    <rPh sb="0" eb="2">
      <t>ホサカ</t>
    </rPh>
    <rPh sb="3" eb="4">
      <t>テン</t>
    </rPh>
    <rPh sb="4" eb="5">
      <t>ヒト</t>
    </rPh>
    <phoneticPr fontId="4"/>
  </si>
  <si>
    <t>345比例東京社民01</t>
    <rPh sb="3" eb="5">
      <t>ヒレイ</t>
    </rPh>
    <rPh sb="5" eb="7">
      <t>トウキョウ</t>
    </rPh>
    <rPh sb="7" eb="9">
      <t>シャミン</t>
    </rPh>
    <phoneticPr fontId="4"/>
  </si>
  <si>
    <t>中川　直人</t>
    <rPh sb="0" eb="2">
      <t>ナカガワ</t>
    </rPh>
    <rPh sb="3" eb="5">
      <t>ナオト</t>
    </rPh>
    <phoneticPr fontId="4"/>
  </si>
  <si>
    <t>347比例東京日本01</t>
    <rPh sb="3" eb="5">
      <t>ヒレイ</t>
    </rPh>
    <rPh sb="5" eb="7">
      <t>トウキョウ</t>
    </rPh>
    <rPh sb="7" eb="9">
      <t>ニホン</t>
    </rPh>
    <phoneticPr fontId="4"/>
  </si>
  <si>
    <t>小林　興起</t>
    <rPh sb="0" eb="2">
      <t>コバヤシ</t>
    </rPh>
    <rPh sb="3" eb="5">
      <t>コウキ</t>
    </rPh>
    <phoneticPr fontId="4"/>
  </si>
  <si>
    <t>(自反亀)</t>
    <rPh sb="1" eb="2">
      <t>ジ</t>
    </rPh>
    <rPh sb="2" eb="3">
      <t>ハン</t>
    </rPh>
    <rPh sb="3" eb="4">
      <t>カメ</t>
    </rPh>
    <phoneticPr fontId="4"/>
  </si>
  <si>
    <t>351比例北陸信越自民01</t>
    <rPh sb="3" eb="5">
      <t>ヒレイ</t>
    </rPh>
    <rPh sb="5" eb="7">
      <t>ホクリク</t>
    </rPh>
    <rPh sb="7" eb="9">
      <t>シンエツ</t>
    </rPh>
    <rPh sb="9" eb="11">
      <t>ジミン</t>
    </rPh>
    <phoneticPr fontId="4"/>
  </si>
  <si>
    <t>長島　忠美</t>
    <rPh sb="0" eb="2">
      <t>ナガシマ</t>
    </rPh>
    <rPh sb="3" eb="5">
      <t>タダミ</t>
    </rPh>
    <phoneticPr fontId="4"/>
  </si>
  <si>
    <t>351比例北陸信越自民03</t>
    <rPh sb="3" eb="5">
      <t>ヒレイ</t>
    </rPh>
    <rPh sb="5" eb="7">
      <t>ホクリク</t>
    </rPh>
    <rPh sb="7" eb="9">
      <t>シンエツ</t>
    </rPh>
    <rPh sb="9" eb="11">
      <t>ジミン</t>
    </rPh>
    <phoneticPr fontId="4"/>
  </si>
  <si>
    <t>瓦　力</t>
    <rPh sb="0" eb="1">
      <t>カワラ</t>
    </rPh>
    <rPh sb="2" eb="3">
      <t>チカラ</t>
    </rPh>
    <phoneticPr fontId="4"/>
  </si>
  <si>
    <t>351比例北陸信越自民09</t>
    <rPh sb="3" eb="5">
      <t>ヒレイ</t>
    </rPh>
    <rPh sb="5" eb="7">
      <t>ホクリク</t>
    </rPh>
    <rPh sb="7" eb="9">
      <t>シンエツ</t>
    </rPh>
    <rPh sb="9" eb="11">
      <t>ジミン</t>
    </rPh>
    <phoneticPr fontId="4"/>
  </si>
  <si>
    <t>16新潟06</t>
    <rPh sb="2" eb="4">
      <t>ニイガタ</t>
    </rPh>
    <phoneticPr fontId="4"/>
  </si>
  <si>
    <t>高鳥　修一</t>
    <rPh sb="0" eb="2">
      <t>タカトリ</t>
    </rPh>
    <rPh sb="3" eb="5">
      <t>シュウイチ</t>
    </rPh>
    <phoneticPr fontId="4"/>
  </si>
  <si>
    <t>351比例北陸信越自民04</t>
    <rPh sb="3" eb="5">
      <t>ヒレイ</t>
    </rPh>
    <rPh sb="5" eb="7">
      <t>ホクリク</t>
    </rPh>
    <rPh sb="7" eb="9">
      <t>シンエツ</t>
    </rPh>
    <rPh sb="9" eb="11">
      <t>ジミン</t>
    </rPh>
    <phoneticPr fontId="4"/>
  </si>
  <si>
    <t>16新潟01</t>
    <rPh sb="2" eb="4">
      <t>ニイガタ</t>
    </rPh>
    <phoneticPr fontId="4"/>
  </si>
  <si>
    <t>吉田　六左エ門</t>
    <rPh sb="0" eb="2">
      <t>ヨシダ</t>
    </rPh>
    <rPh sb="3" eb="4">
      <t>ロク</t>
    </rPh>
    <rPh sb="4" eb="5">
      <t>ヒダリ</t>
    </rPh>
    <rPh sb="6" eb="7">
      <t>モン</t>
    </rPh>
    <phoneticPr fontId="4"/>
  </si>
  <si>
    <t>351比例北陸信越自民12</t>
    <rPh sb="3" eb="5">
      <t>ヒレイ</t>
    </rPh>
    <rPh sb="5" eb="7">
      <t>ホクリク</t>
    </rPh>
    <rPh sb="7" eb="9">
      <t>シンエツ</t>
    </rPh>
    <rPh sb="9" eb="11">
      <t>ジミン</t>
    </rPh>
    <phoneticPr fontId="4"/>
  </si>
  <si>
    <t>17富山03</t>
    <rPh sb="2" eb="4">
      <t>トヤマ</t>
    </rPh>
    <phoneticPr fontId="4"/>
  </si>
  <si>
    <t>萩山　教嚴</t>
    <rPh sb="0" eb="1">
      <t>ハギ</t>
    </rPh>
    <rPh sb="1" eb="2">
      <t>ヤマ</t>
    </rPh>
    <rPh sb="3" eb="4">
      <t>キョウ</t>
    </rPh>
    <rPh sb="4" eb="5">
      <t>ゴン</t>
    </rPh>
    <phoneticPr fontId="4"/>
  </si>
  <si>
    <t>351比例北陸信越自民07</t>
    <rPh sb="3" eb="5">
      <t>ヒレイ</t>
    </rPh>
    <rPh sb="5" eb="7">
      <t>ホクリク</t>
    </rPh>
    <rPh sb="7" eb="9">
      <t>シンエツ</t>
    </rPh>
    <rPh sb="9" eb="11">
      <t>ジミン</t>
    </rPh>
    <phoneticPr fontId="4"/>
  </si>
  <si>
    <t>16新潟04</t>
    <rPh sb="2" eb="4">
      <t>ニイガタ</t>
    </rPh>
    <phoneticPr fontId="4"/>
  </si>
  <si>
    <t>栗原　洋志</t>
    <rPh sb="0" eb="2">
      <t>クリハラ</t>
    </rPh>
    <rPh sb="3" eb="5">
      <t>ヒロシ</t>
    </rPh>
    <phoneticPr fontId="4"/>
  </si>
  <si>
    <t>351比例北陸信越自民08</t>
    <rPh sb="3" eb="5">
      <t>ヒレイ</t>
    </rPh>
    <rPh sb="5" eb="7">
      <t>ホクリク</t>
    </rPh>
    <rPh sb="7" eb="9">
      <t>シンエツ</t>
    </rPh>
    <rPh sb="9" eb="11">
      <t>ジミン</t>
    </rPh>
    <phoneticPr fontId="4"/>
  </si>
  <si>
    <t>16新潟05</t>
    <rPh sb="2" eb="4">
      <t>ニイガタ</t>
    </rPh>
    <phoneticPr fontId="4"/>
  </si>
  <si>
    <t>米山　隆一</t>
    <rPh sb="0" eb="2">
      <t>ヨネヤマ</t>
    </rPh>
    <rPh sb="3" eb="5">
      <t>リュウイチ</t>
    </rPh>
    <phoneticPr fontId="4"/>
  </si>
  <si>
    <t>351比例北陸信越自民19</t>
    <rPh sb="3" eb="5">
      <t>ヒレイ</t>
    </rPh>
    <rPh sb="5" eb="7">
      <t>ホクリク</t>
    </rPh>
    <rPh sb="7" eb="9">
      <t>シンエツ</t>
    </rPh>
    <rPh sb="9" eb="11">
      <t>ジミン</t>
    </rPh>
    <phoneticPr fontId="4"/>
  </si>
  <si>
    <t>20福井03</t>
    <rPh sb="2" eb="4">
      <t>フクイ</t>
    </rPh>
    <phoneticPr fontId="4"/>
  </si>
  <si>
    <t>岩崎　忠夫</t>
    <rPh sb="0" eb="2">
      <t>イワサキ</t>
    </rPh>
    <rPh sb="3" eb="5">
      <t>タダオ</t>
    </rPh>
    <phoneticPr fontId="4"/>
  </si>
  <si>
    <t>351比例北陸信越自民18</t>
    <rPh sb="3" eb="5">
      <t>ヒレイ</t>
    </rPh>
    <rPh sb="5" eb="7">
      <t>ホクリク</t>
    </rPh>
    <rPh sb="7" eb="9">
      <t>シンエツ</t>
    </rPh>
    <rPh sb="9" eb="11">
      <t>ジミン</t>
    </rPh>
    <phoneticPr fontId="4"/>
  </si>
  <si>
    <t>20福井02</t>
    <rPh sb="2" eb="4">
      <t>フクイ</t>
    </rPh>
    <phoneticPr fontId="4"/>
  </si>
  <si>
    <t>関谷　理記</t>
    <rPh sb="0" eb="2">
      <t>セキヤ</t>
    </rPh>
    <rPh sb="3" eb="4">
      <t>リ</t>
    </rPh>
    <rPh sb="4" eb="5">
      <t>キ</t>
    </rPh>
    <phoneticPr fontId="4"/>
  </si>
  <si>
    <t>351比例北陸信越自民02</t>
    <rPh sb="3" eb="5">
      <t>ヒレイ</t>
    </rPh>
    <rPh sb="5" eb="7">
      <t>ホクリク</t>
    </rPh>
    <rPh sb="7" eb="9">
      <t>シンエツ</t>
    </rPh>
    <rPh sb="9" eb="11">
      <t>ジミン</t>
    </rPh>
    <phoneticPr fontId="4"/>
  </si>
  <si>
    <t>19福井01</t>
    <rPh sb="2" eb="4">
      <t>フクイ</t>
    </rPh>
    <phoneticPr fontId="4"/>
  </si>
  <si>
    <t>稲田　朋美</t>
    <rPh sb="0" eb="2">
      <t>イナダ</t>
    </rPh>
    <rPh sb="3" eb="5">
      <t>トモミ</t>
    </rPh>
    <phoneticPr fontId="4"/>
  </si>
  <si>
    <t>351比例北陸信越自民05</t>
    <rPh sb="3" eb="5">
      <t>ヒレイ</t>
    </rPh>
    <rPh sb="5" eb="7">
      <t>ホクリク</t>
    </rPh>
    <rPh sb="7" eb="9">
      <t>シンエツ</t>
    </rPh>
    <rPh sb="9" eb="11">
      <t>ジミン</t>
    </rPh>
    <phoneticPr fontId="4"/>
  </si>
  <si>
    <t>16新潟02</t>
    <rPh sb="2" eb="4">
      <t>ニイガタ</t>
    </rPh>
    <phoneticPr fontId="4"/>
  </si>
  <si>
    <t>近藤　元彦</t>
    <rPh sb="0" eb="2">
      <t>コンドウ</t>
    </rPh>
    <rPh sb="3" eb="5">
      <t>モトヒコ</t>
    </rPh>
    <phoneticPr fontId="4"/>
  </si>
  <si>
    <t>351比例北陸信越自民06</t>
    <rPh sb="3" eb="5">
      <t>ヒレイ</t>
    </rPh>
    <rPh sb="5" eb="7">
      <t>ホクリク</t>
    </rPh>
    <rPh sb="7" eb="9">
      <t>シンエツ</t>
    </rPh>
    <rPh sb="9" eb="11">
      <t>ジミン</t>
    </rPh>
    <phoneticPr fontId="4"/>
  </si>
  <si>
    <t>16新潟03</t>
    <rPh sb="2" eb="4">
      <t>ニイガタ</t>
    </rPh>
    <phoneticPr fontId="4"/>
  </si>
  <si>
    <t>稲葉　大和</t>
    <rPh sb="0" eb="2">
      <t>イナバ</t>
    </rPh>
    <rPh sb="3" eb="5">
      <t>ヤマト</t>
    </rPh>
    <phoneticPr fontId="4"/>
  </si>
  <si>
    <t>351比例北陸信越自民10</t>
    <rPh sb="3" eb="5">
      <t>ヒレイ</t>
    </rPh>
    <rPh sb="5" eb="7">
      <t>ホクリク</t>
    </rPh>
    <rPh sb="7" eb="9">
      <t>シンエツ</t>
    </rPh>
    <rPh sb="9" eb="11">
      <t>ジミン</t>
    </rPh>
    <phoneticPr fontId="4"/>
  </si>
  <si>
    <t>17富山01</t>
    <rPh sb="2" eb="4">
      <t>トヤマ</t>
    </rPh>
    <phoneticPr fontId="4"/>
  </si>
  <si>
    <t>長勢　甚遠</t>
    <rPh sb="0" eb="2">
      <t>ナガセ</t>
    </rPh>
    <rPh sb="3" eb="4">
      <t>ジン</t>
    </rPh>
    <rPh sb="4" eb="5">
      <t>トオシ</t>
    </rPh>
    <phoneticPr fontId="4"/>
  </si>
  <si>
    <t>351比例北陸信越自民11</t>
    <rPh sb="3" eb="5">
      <t>ヒレイ</t>
    </rPh>
    <rPh sb="5" eb="7">
      <t>ホクリク</t>
    </rPh>
    <rPh sb="7" eb="9">
      <t>シンエツ</t>
    </rPh>
    <rPh sb="9" eb="11">
      <t>ジミン</t>
    </rPh>
    <phoneticPr fontId="4"/>
  </si>
  <si>
    <t>17富山02</t>
    <rPh sb="2" eb="4">
      <t>トヤマ</t>
    </rPh>
    <phoneticPr fontId="4"/>
  </si>
  <si>
    <t>宮腰　光寛</t>
    <rPh sb="0" eb="2">
      <t>ミヤコシ</t>
    </rPh>
    <rPh sb="3" eb="5">
      <t>ミツヒロ</t>
    </rPh>
    <phoneticPr fontId="4"/>
  </si>
  <si>
    <t>351比例北陸信越自民13</t>
    <rPh sb="3" eb="5">
      <t>ヒレイ</t>
    </rPh>
    <rPh sb="5" eb="7">
      <t>ホクリク</t>
    </rPh>
    <rPh sb="7" eb="9">
      <t>シンエツ</t>
    </rPh>
    <rPh sb="9" eb="11">
      <t>ジミン</t>
    </rPh>
    <phoneticPr fontId="4"/>
  </si>
  <si>
    <t>18石川02</t>
    <rPh sb="2" eb="4">
      <t>イシカワ</t>
    </rPh>
    <phoneticPr fontId="4"/>
  </si>
  <si>
    <t>森　喜朗</t>
    <rPh sb="0" eb="1">
      <t>モリ</t>
    </rPh>
    <rPh sb="2" eb="4">
      <t>ヨシロウ</t>
    </rPh>
    <phoneticPr fontId="4"/>
  </si>
  <si>
    <t>351比例北陸信越自民14</t>
    <rPh sb="3" eb="5">
      <t>ヒレイ</t>
    </rPh>
    <rPh sb="5" eb="7">
      <t>ホクリク</t>
    </rPh>
    <rPh sb="7" eb="9">
      <t>シンエツ</t>
    </rPh>
    <rPh sb="9" eb="11">
      <t>ジミン</t>
    </rPh>
    <phoneticPr fontId="4"/>
  </si>
  <si>
    <t>18石川03</t>
    <rPh sb="2" eb="4">
      <t>イシカワ</t>
    </rPh>
    <phoneticPr fontId="4"/>
  </si>
  <si>
    <t>北村　茂男</t>
    <rPh sb="0" eb="2">
      <t>キタムラ</t>
    </rPh>
    <rPh sb="3" eb="5">
      <t>シゲオ</t>
    </rPh>
    <phoneticPr fontId="4"/>
  </si>
  <si>
    <t>351比例北陸信越自民15</t>
    <rPh sb="3" eb="5">
      <t>ヒレイ</t>
    </rPh>
    <rPh sb="5" eb="7">
      <t>ホクリク</t>
    </rPh>
    <rPh sb="7" eb="9">
      <t>シンエツ</t>
    </rPh>
    <rPh sb="9" eb="11">
      <t>ジミン</t>
    </rPh>
    <phoneticPr fontId="4"/>
  </si>
  <si>
    <t>19福井02</t>
    <rPh sb="2" eb="4">
      <t>フクイ</t>
    </rPh>
    <phoneticPr fontId="4"/>
  </si>
  <si>
    <t>山本　拓</t>
    <rPh sb="0" eb="2">
      <t>ヤマモト</t>
    </rPh>
    <rPh sb="3" eb="4">
      <t>タク</t>
    </rPh>
    <phoneticPr fontId="4"/>
  </si>
  <si>
    <t>351比例北陸信越自民16</t>
    <rPh sb="3" eb="5">
      <t>ヒレイ</t>
    </rPh>
    <rPh sb="5" eb="7">
      <t>ホクリク</t>
    </rPh>
    <rPh sb="7" eb="9">
      <t>シンエツ</t>
    </rPh>
    <rPh sb="9" eb="11">
      <t>ジミン</t>
    </rPh>
    <phoneticPr fontId="4"/>
  </si>
  <si>
    <t>19福井03</t>
    <rPh sb="2" eb="4">
      <t>フクイ</t>
    </rPh>
    <phoneticPr fontId="4"/>
  </si>
  <si>
    <t>髙木　毅</t>
    <rPh sb="0" eb="2">
      <t>タカギ</t>
    </rPh>
    <rPh sb="3" eb="4">
      <t>タケシ</t>
    </rPh>
    <phoneticPr fontId="4"/>
  </si>
  <si>
    <t>351比例北陸信越自民17</t>
    <rPh sb="3" eb="5">
      <t>ヒレイ</t>
    </rPh>
    <rPh sb="5" eb="7">
      <t>ホクリク</t>
    </rPh>
    <rPh sb="7" eb="9">
      <t>シンエツ</t>
    </rPh>
    <rPh sb="9" eb="11">
      <t>ジミン</t>
    </rPh>
    <phoneticPr fontId="4"/>
  </si>
  <si>
    <t>20福井01</t>
    <rPh sb="2" eb="4">
      <t>フクイ</t>
    </rPh>
    <phoneticPr fontId="4"/>
  </si>
  <si>
    <t>小坂　憲次</t>
    <rPh sb="0" eb="2">
      <t>コサカ</t>
    </rPh>
    <rPh sb="3" eb="5">
      <t>ケンジ</t>
    </rPh>
    <phoneticPr fontId="4"/>
  </si>
  <si>
    <t>351比例北陸信越自民20</t>
    <rPh sb="3" eb="5">
      <t>ヒレイ</t>
    </rPh>
    <rPh sb="5" eb="7">
      <t>ホクリク</t>
    </rPh>
    <rPh sb="7" eb="9">
      <t>シンエツ</t>
    </rPh>
    <rPh sb="9" eb="11">
      <t>ジミン</t>
    </rPh>
    <phoneticPr fontId="4"/>
  </si>
  <si>
    <t>20福井04</t>
    <rPh sb="2" eb="4">
      <t>フクイ</t>
    </rPh>
    <phoneticPr fontId="4"/>
  </si>
  <si>
    <t>後藤　茂之</t>
    <rPh sb="0" eb="2">
      <t>ゴトウ</t>
    </rPh>
    <rPh sb="3" eb="5">
      <t>シゲユキ</t>
    </rPh>
    <phoneticPr fontId="4"/>
  </si>
  <si>
    <t>351比例北陸信越自民21</t>
    <rPh sb="3" eb="5">
      <t>ヒレイ</t>
    </rPh>
    <rPh sb="5" eb="7">
      <t>ホクリク</t>
    </rPh>
    <rPh sb="7" eb="9">
      <t>シンエツ</t>
    </rPh>
    <rPh sb="9" eb="11">
      <t>ジミン</t>
    </rPh>
    <phoneticPr fontId="4"/>
  </si>
  <si>
    <t>20福井05</t>
    <rPh sb="2" eb="4">
      <t>フクイ</t>
    </rPh>
    <phoneticPr fontId="4"/>
  </si>
  <si>
    <t>宮下　一郎</t>
    <rPh sb="0" eb="2">
      <t>ミヤシタ</t>
    </rPh>
    <rPh sb="3" eb="5">
      <t>イチロウ</t>
    </rPh>
    <phoneticPr fontId="4"/>
  </si>
  <si>
    <t>352比例北陸信越民主11</t>
    <rPh sb="3" eb="5">
      <t>ヒレイ</t>
    </rPh>
    <rPh sb="5" eb="7">
      <t>ホクリク</t>
    </rPh>
    <rPh sb="7" eb="9">
      <t>シンエツ</t>
    </rPh>
    <rPh sb="9" eb="11">
      <t>ミンシュ</t>
    </rPh>
    <phoneticPr fontId="4"/>
  </si>
  <si>
    <t>笹木　竜三</t>
    <rPh sb="0" eb="2">
      <t>ササキ</t>
    </rPh>
    <rPh sb="3" eb="5">
      <t>リュウゾウ</t>
    </rPh>
    <phoneticPr fontId="4"/>
  </si>
  <si>
    <t>352比例北陸信越民主02</t>
    <rPh sb="3" eb="5">
      <t>ヒレイ</t>
    </rPh>
    <rPh sb="5" eb="7">
      <t>ホクリク</t>
    </rPh>
    <rPh sb="7" eb="9">
      <t>シンエツ</t>
    </rPh>
    <rPh sb="9" eb="11">
      <t>ミンシュ</t>
    </rPh>
    <phoneticPr fontId="4"/>
  </si>
  <si>
    <t>鷲尾　英一郎</t>
    <rPh sb="0" eb="2">
      <t>ワシオ</t>
    </rPh>
    <rPh sb="3" eb="6">
      <t>エイイチロウ</t>
    </rPh>
    <phoneticPr fontId="4"/>
  </si>
  <si>
    <t>352比例北陸信越民主14</t>
    <rPh sb="3" eb="5">
      <t>ヒレイ</t>
    </rPh>
    <rPh sb="5" eb="7">
      <t>ホクリク</t>
    </rPh>
    <rPh sb="7" eb="9">
      <t>シンエツ</t>
    </rPh>
    <rPh sb="9" eb="11">
      <t>ミンシュ</t>
    </rPh>
    <phoneticPr fontId="4"/>
  </si>
  <si>
    <t>20長野01</t>
    <rPh sb="2" eb="4">
      <t>ナガノ</t>
    </rPh>
    <phoneticPr fontId="4"/>
  </si>
  <si>
    <t>篠原　孝</t>
    <rPh sb="0" eb="2">
      <t>シノハラ</t>
    </rPh>
    <rPh sb="3" eb="4">
      <t>タカシ</t>
    </rPh>
    <phoneticPr fontId="4"/>
  </si>
  <si>
    <t>352比例北陸信越民主05</t>
    <rPh sb="3" eb="5">
      <t>ヒレイ</t>
    </rPh>
    <rPh sb="5" eb="7">
      <t>ホクリク</t>
    </rPh>
    <rPh sb="7" eb="9">
      <t>シンエツ</t>
    </rPh>
    <rPh sb="9" eb="11">
      <t>ミンシュ</t>
    </rPh>
    <phoneticPr fontId="4"/>
  </si>
  <si>
    <t>村井　宗明</t>
    <rPh sb="0" eb="2">
      <t>ムライ</t>
    </rPh>
    <rPh sb="3" eb="5">
      <t>ムネアキ</t>
    </rPh>
    <phoneticPr fontId="4"/>
  </si>
  <si>
    <t>352比例北陸信越民主08</t>
    <rPh sb="3" eb="5">
      <t>ヒレイ</t>
    </rPh>
    <rPh sb="5" eb="7">
      <t>ホクリク</t>
    </rPh>
    <rPh sb="7" eb="9">
      <t>シンエツ</t>
    </rPh>
    <rPh sb="9" eb="11">
      <t>ミンシュ</t>
    </rPh>
    <phoneticPr fontId="4"/>
  </si>
  <si>
    <t>18石川01</t>
    <rPh sb="2" eb="4">
      <t>イシカワ</t>
    </rPh>
    <phoneticPr fontId="4"/>
  </si>
  <si>
    <t>奥田　建</t>
    <rPh sb="0" eb="2">
      <t>オクダ</t>
    </rPh>
    <rPh sb="3" eb="4">
      <t>ケン</t>
    </rPh>
    <phoneticPr fontId="4"/>
  </si>
  <si>
    <t>352比例北陸信越民主17</t>
    <rPh sb="3" eb="5">
      <t>ヒレイ</t>
    </rPh>
    <rPh sb="5" eb="7">
      <t>ホクリク</t>
    </rPh>
    <rPh sb="7" eb="9">
      <t>シンエツ</t>
    </rPh>
    <rPh sb="9" eb="11">
      <t>ミンシュ</t>
    </rPh>
    <phoneticPr fontId="4"/>
  </si>
  <si>
    <t>20長野04</t>
    <rPh sb="2" eb="4">
      <t>ナガノ</t>
    </rPh>
    <phoneticPr fontId="4"/>
  </si>
  <si>
    <t>堀込　征雄</t>
    <rPh sb="0" eb="2">
      <t>ホリゴメ</t>
    </rPh>
    <rPh sb="3" eb="5">
      <t>マサオ</t>
    </rPh>
    <phoneticPr fontId="4"/>
  </si>
  <si>
    <t>352比例北陸信越民主10</t>
    <rPh sb="3" eb="5">
      <t>ヒレイ</t>
    </rPh>
    <rPh sb="5" eb="7">
      <t>ホクリク</t>
    </rPh>
    <rPh sb="7" eb="9">
      <t>シンエツ</t>
    </rPh>
    <rPh sb="9" eb="11">
      <t>ミンシュ</t>
    </rPh>
    <phoneticPr fontId="4"/>
  </si>
  <si>
    <t>桑原　豊</t>
    <rPh sb="0" eb="2">
      <t>クワハラ</t>
    </rPh>
    <rPh sb="3" eb="4">
      <t>ユタカ</t>
    </rPh>
    <phoneticPr fontId="4"/>
  </si>
  <si>
    <t>352比例北陸信越民主09</t>
    <rPh sb="3" eb="5">
      <t>ヒレイ</t>
    </rPh>
    <rPh sb="5" eb="7">
      <t>ホクリク</t>
    </rPh>
    <rPh sb="7" eb="9">
      <t>シンエツ</t>
    </rPh>
    <rPh sb="9" eb="11">
      <t>ミンシュ</t>
    </rPh>
    <phoneticPr fontId="4"/>
  </si>
  <si>
    <t>一川　保夫</t>
    <rPh sb="0" eb="2">
      <t>イチカワ</t>
    </rPh>
    <rPh sb="3" eb="5">
      <t>ヤスオ</t>
    </rPh>
    <phoneticPr fontId="4"/>
  </si>
  <si>
    <t>352比例北陸信越民主13</t>
    <rPh sb="3" eb="5">
      <t>ヒレイ</t>
    </rPh>
    <rPh sb="5" eb="7">
      <t>ホクリク</t>
    </rPh>
    <rPh sb="7" eb="9">
      <t>シンエツ</t>
    </rPh>
    <rPh sb="9" eb="11">
      <t>ミンシュ</t>
    </rPh>
    <phoneticPr fontId="4"/>
  </si>
  <si>
    <t>玉村　和夫</t>
    <rPh sb="0" eb="2">
      <t>タマムラ</t>
    </rPh>
    <rPh sb="3" eb="5">
      <t>カズオ</t>
    </rPh>
    <phoneticPr fontId="4"/>
  </si>
  <si>
    <t>352比例北陸信越民主18</t>
    <rPh sb="3" eb="5">
      <t>ヒレイ</t>
    </rPh>
    <rPh sb="5" eb="7">
      <t>ホクリク</t>
    </rPh>
    <rPh sb="7" eb="9">
      <t>シンエツ</t>
    </rPh>
    <rPh sb="9" eb="11">
      <t>ミンシュ</t>
    </rPh>
    <phoneticPr fontId="4"/>
  </si>
  <si>
    <t>20長野05</t>
    <rPh sb="2" eb="4">
      <t>ナガノ</t>
    </rPh>
    <phoneticPr fontId="4"/>
  </si>
  <si>
    <t>加藤　学</t>
    <rPh sb="0" eb="2">
      <t>カトウ</t>
    </rPh>
    <rPh sb="3" eb="4">
      <t>マナブ</t>
    </rPh>
    <phoneticPr fontId="4"/>
  </si>
  <si>
    <t>352比例北陸信越民主12</t>
    <rPh sb="3" eb="5">
      <t>ヒレイ</t>
    </rPh>
    <rPh sb="5" eb="7">
      <t>ホクリク</t>
    </rPh>
    <rPh sb="7" eb="9">
      <t>シンエツ</t>
    </rPh>
    <rPh sb="9" eb="11">
      <t>ミンシュ</t>
    </rPh>
    <phoneticPr fontId="4"/>
  </si>
  <si>
    <t>若泉　征三</t>
    <rPh sb="0" eb="2">
      <t>ワカイズミ</t>
    </rPh>
    <rPh sb="3" eb="5">
      <t>セイゾウ</t>
    </rPh>
    <phoneticPr fontId="4"/>
  </si>
  <si>
    <t>352比例北陸信越民主06</t>
    <rPh sb="3" eb="5">
      <t>ヒレイ</t>
    </rPh>
    <rPh sb="5" eb="7">
      <t>ホクリク</t>
    </rPh>
    <rPh sb="7" eb="9">
      <t>シンエツ</t>
    </rPh>
    <rPh sb="9" eb="11">
      <t>ミンシュ</t>
    </rPh>
    <phoneticPr fontId="4"/>
  </si>
  <si>
    <t>西尾　政英</t>
    <rPh sb="0" eb="2">
      <t>ニシオ</t>
    </rPh>
    <rPh sb="3" eb="5">
      <t>マサヒデ</t>
    </rPh>
    <phoneticPr fontId="4"/>
  </si>
  <si>
    <t>352比例北陸信越民主07</t>
    <rPh sb="3" eb="5">
      <t>ヒレイ</t>
    </rPh>
    <rPh sb="5" eb="7">
      <t>ホクリク</t>
    </rPh>
    <rPh sb="7" eb="9">
      <t>シンエツ</t>
    </rPh>
    <rPh sb="9" eb="11">
      <t>ミンシュ</t>
    </rPh>
    <phoneticPr fontId="4"/>
  </si>
  <si>
    <t>向井　英二</t>
    <rPh sb="0" eb="2">
      <t>ムカイ</t>
    </rPh>
    <rPh sb="3" eb="5">
      <t>エイジ</t>
    </rPh>
    <phoneticPr fontId="4"/>
  </si>
  <si>
    <t>352比例北陸信越民主01</t>
    <rPh sb="3" eb="5">
      <t>ヒレイ</t>
    </rPh>
    <rPh sb="5" eb="7">
      <t>ホクリク</t>
    </rPh>
    <rPh sb="7" eb="9">
      <t>シンエツ</t>
    </rPh>
    <rPh sb="9" eb="11">
      <t>ミンシュ</t>
    </rPh>
    <phoneticPr fontId="4"/>
  </si>
  <si>
    <t>西村　智奈美</t>
    <rPh sb="0" eb="2">
      <t>ニシムラ</t>
    </rPh>
    <rPh sb="3" eb="6">
      <t>チナミ</t>
    </rPh>
    <phoneticPr fontId="4"/>
  </si>
  <si>
    <t>352比例北陸信越民主03</t>
    <rPh sb="3" eb="5">
      <t>ヒレイ</t>
    </rPh>
    <rPh sb="5" eb="7">
      <t>ホクリク</t>
    </rPh>
    <rPh sb="7" eb="9">
      <t>シンエツ</t>
    </rPh>
    <rPh sb="9" eb="11">
      <t>ミンシュ</t>
    </rPh>
    <phoneticPr fontId="4"/>
  </si>
  <si>
    <t>菊田　真紀子</t>
    <rPh sb="0" eb="2">
      <t>キクタ</t>
    </rPh>
    <rPh sb="3" eb="6">
      <t>マキコ</t>
    </rPh>
    <phoneticPr fontId="4"/>
  </si>
  <si>
    <t>352比例北陸信越民主04</t>
    <rPh sb="3" eb="5">
      <t>ヒレイ</t>
    </rPh>
    <rPh sb="5" eb="7">
      <t>ホクリク</t>
    </rPh>
    <rPh sb="7" eb="9">
      <t>シンエツ</t>
    </rPh>
    <rPh sb="9" eb="11">
      <t>ミンシュ</t>
    </rPh>
    <phoneticPr fontId="4"/>
  </si>
  <si>
    <t>筒井　信隆</t>
    <rPh sb="0" eb="2">
      <t>ツツイ</t>
    </rPh>
    <rPh sb="3" eb="5">
      <t>ノブタカ</t>
    </rPh>
    <phoneticPr fontId="4"/>
  </si>
  <si>
    <t>352比例北陸信越民主15</t>
    <rPh sb="3" eb="5">
      <t>ヒレイ</t>
    </rPh>
    <rPh sb="5" eb="7">
      <t>ホクリク</t>
    </rPh>
    <rPh sb="7" eb="9">
      <t>シンエツ</t>
    </rPh>
    <rPh sb="9" eb="11">
      <t>ミンシュ</t>
    </rPh>
    <phoneticPr fontId="4"/>
  </si>
  <si>
    <t>20長野02</t>
    <rPh sb="2" eb="4">
      <t>ナガノ</t>
    </rPh>
    <phoneticPr fontId="4"/>
  </si>
  <si>
    <t>下条　みつ</t>
    <rPh sb="0" eb="2">
      <t>シモジョウ</t>
    </rPh>
    <phoneticPr fontId="4"/>
  </si>
  <si>
    <t>352比例北陸信越民主16</t>
    <rPh sb="3" eb="5">
      <t>ヒレイ</t>
    </rPh>
    <rPh sb="5" eb="7">
      <t>ホクリク</t>
    </rPh>
    <rPh sb="7" eb="9">
      <t>シンエツ</t>
    </rPh>
    <rPh sb="9" eb="11">
      <t>ミンシュ</t>
    </rPh>
    <phoneticPr fontId="4"/>
  </si>
  <si>
    <t>20長野03</t>
    <rPh sb="2" eb="4">
      <t>ナガノ</t>
    </rPh>
    <phoneticPr fontId="4"/>
  </si>
  <si>
    <t>羽田　孜</t>
    <rPh sb="0" eb="2">
      <t>ハタ</t>
    </rPh>
    <rPh sb="3" eb="4">
      <t>ツトム</t>
    </rPh>
    <phoneticPr fontId="4"/>
  </si>
  <si>
    <t>353比例北陸信越公明01</t>
    <rPh sb="3" eb="5">
      <t>ヒレイ</t>
    </rPh>
    <rPh sb="5" eb="7">
      <t>ホクリク</t>
    </rPh>
    <rPh sb="7" eb="9">
      <t>シンエツ</t>
    </rPh>
    <rPh sb="9" eb="11">
      <t>コウメイ</t>
    </rPh>
    <phoneticPr fontId="4"/>
  </si>
  <si>
    <t>漆原　良夫</t>
    <rPh sb="0" eb="1">
      <t>ウルシ</t>
    </rPh>
    <rPh sb="1" eb="2">
      <t>ハラ</t>
    </rPh>
    <rPh sb="3" eb="5">
      <t>ヨシオ</t>
    </rPh>
    <phoneticPr fontId="4"/>
  </si>
  <si>
    <t>353比例北陸信越公明02</t>
    <rPh sb="3" eb="5">
      <t>ヒレイ</t>
    </rPh>
    <rPh sb="5" eb="7">
      <t>ホクリク</t>
    </rPh>
    <rPh sb="7" eb="9">
      <t>シンエツ</t>
    </rPh>
    <rPh sb="9" eb="11">
      <t>コウメイ</t>
    </rPh>
    <phoneticPr fontId="4"/>
  </si>
  <si>
    <t>土山　弘子</t>
    <rPh sb="0" eb="2">
      <t>ツチヤマ</t>
    </rPh>
    <rPh sb="3" eb="5">
      <t>ヒロコ</t>
    </rPh>
    <phoneticPr fontId="4"/>
  </si>
  <si>
    <t>354比例北陸信越共産01</t>
    <rPh sb="3" eb="5">
      <t>ヒレイ</t>
    </rPh>
    <rPh sb="5" eb="7">
      <t>ホクリク</t>
    </rPh>
    <rPh sb="7" eb="9">
      <t>シンエツ</t>
    </rPh>
    <rPh sb="9" eb="11">
      <t>キョウサン</t>
    </rPh>
    <phoneticPr fontId="4"/>
  </si>
  <si>
    <t>木島　日出夫</t>
    <rPh sb="0" eb="2">
      <t>キジマ</t>
    </rPh>
    <rPh sb="3" eb="6">
      <t>ヒデオ</t>
    </rPh>
    <phoneticPr fontId="4"/>
  </si>
  <si>
    <t>354比例北陸信越共産03</t>
    <rPh sb="3" eb="5">
      <t>ヒレイ</t>
    </rPh>
    <rPh sb="5" eb="7">
      <t>ホクリク</t>
    </rPh>
    <rPh sb="7" eb="9">
      <t>シンエツ</t>
    </rPh>
    <rPh sb="9" eb="11">
      <t>キョウサン</t>
    </rPh>
    <phoneticPr fontId="4"/>
  </si>
  <si>
    <t>中野　早苗</t>
    <rPh sb="0" eb="2">
      <t>ナカノ</t>
    </rPh>
    <rPh sb="3" eb="5">
      <t>サナエ</t>
    </rPh>
    <phoneticPr fontId="4"/>
  </si>
  <si>
    <t>354比例北陸信越共産02</t>
    <rPh sb="3" eb="5">
      <t>ヒレイ</t>
    </rPh>
    <rPh sb="5" eb="7">
      <t>ホクリク</t>
    </rPh>
    <rPh sb="7" eb="9">
      <t>シンエツ</t>
    </rPh>
    <rPh sb="9" eb="11">
      <t>キョウサン</t>
    </rPh>
    <phoneticPr fontId="4"/>
  </si>
  <si>
    <t>川俣　幸雄</t>
    <rPh sb="0" eb="2">
      <t>カワマタ</t>
    </rPh>
    <rPh sb="3" eb="5">
      <t>ユキオ</t>
    </rPh>
    <phoneticPr fontId="4"/>
  </si>
  <si>
    <t>355比例北陸信越社民01</t>
    <rPh sb="3" eb="5">
      <t>ヒレイ</t>
    </rPh>
    <rPh sb="5" eb="7">
      <t>ホクリク</t>
    </rPh>
    <rPh sb="7" eb="9">
      <t>シンエツ</t>
    </rPh>
    <rPh sb="9" eb="11">
      <t>シャミン</t>
    </rPh>
    <phoneticPr fontId="4"/>
  </si>
  <si>
    <t>宮崎　増次</t>
    <rPh sb="0" eb="2">
      <t>ミヤザキ</t>
    </rPh>
    <rPh sb="3" eb="4">
      <t>マ</t>
    </rPh>
    <rPh sb="4" eb="5">
      <t>ツギ</t>
    </rPh>
    <phoneticPr fontId="4"/>
  </si>
  <si>
    <t>355比例北陸信越社民04</t>
    <rPh sb="3" eb="5">
      <t>ヒレイ</t>
    </rPh>
    <rPh sb="5" eb="7">
      <t>ホクリク</t>
    </rPh>
    <rPh sb="7" eb="9">
      <t>シンエツ</t>
    </rPh>
    <rPh sb="9" eb="11">
      <t>シャミン</t>
    </rPh>
    <phoneticPr fontId="4"/>
  </si>
  <si>
    <t>山口　わか子</t>
    <rPh sb="0" eb="2">
      <t>ヤマグチ</t>
    </rPh>
    <rPh sb="5" eb="6">
      <t>コ</t>
    </rPh>
    <phoneticPr fontId="4"/>
  </si>
  <si>
    <t>355比例北陸信越社民05</t>
    <rPh sb="3" eb="5">
      <t>ヒレイ</t>
    </rPh>
    <rPh sb="5" eb="7">
      <t>ホクリク</t>
    </rPh>
    <rPh sb="7" eb="9">
      <t>シンエツ</t>
    </rPh>
    <rPh sb="9" eb="11">
      <t>シャミン</t>
    </rPh>
    <phoneticPr fontId="4"/>
  </si>
  <si>
    <t>内田　洵子</t>
    <rPh sb="0" eb="2">
      <t>ウチダ</t>
    </rPh>
    <rPh sb="3" eb="5">
      <t>ジュンコ</t>
    </rPh>
    <phoneticPr fontId="4"/>
  </si>
  <si>
    <t>355比例北陸信越社民02</t>
    <rPh sb="3" eb="5">
      <t>ヒレイ</t>
    </rPh>
    <rPh sb="5" eb="7">
      <t>ホクリク</t>
    </rPh>
    <rPh sb="7" eb="9">
      <t>シンエツ</t>
    </rPh>
    <rPh sb="9" eb="11">
      <t>シャミン</t>
    </rPh>
    <phoneticPr fontId="4"/>
  </si>
  <si>
    <t>秋原　伸行</t>
    <rPh sb="0" eb="2">
      <t>アキハラ</t>
    </rPh>
    <rPh sb="3" eb="5">
      <t>ノブユキ</t>
    </rPh>
    <phoneticPr fontId="4"/>
  </si>
  <si>
    <t>355比例北陸信越社民03</t>
    <rPh sb="3" eb="5">
      <t>ヒレイ</t>
    </rPh>
    <rPh sb="5" eb="7">
      <t>ホクリク</t>
    </rPh>
    <rPh sb="7" eb="9">
      <t>シンエツ</t>
    </rPh>
    <rPh sb="9" eb="11">
      <t>シャミン</t>
    </rPh>
    <phoneticPr fontId="4"/>
  </si>
  <si>
    <t>窪田　正人</t>
    <rPh sb="0" eb="2">
      <t>クボタ</t>
    </rPh>
    <rPh sb="3" eb="5">
      <t>マサヒト</t>
    </rPh>
    <phoneticPr fontId="4"/>
  </si>
  <si>
    <t>356比例北陸信越国民01</t>
    <rPh sb="3" eb="5">
      <t>ヒレイ</t>
    </rPh>
    <rPh sb="5" eb="7">
      <t>ホクリク</t>
    </rPh>
    <rPh sb="7" eb="9">
      <t>シンエツ</t>
    </rPh>
    <rPh sb="9" eb="11">
      <t>コクミン</t>
    </rPh>
    <phoneticPr fontId="4"/>
  </si>
  <si>
    <t>糸川　正晃</t>
    <rPh sb="0" eb="2">
      <t>イトカワ</t>
    </rPh>
    <rPh sb="3" eb="4">
      <t>タダ</t>
    </rPh>
    <rPh sb="4" eb="5">
      <t>アキラ</t>
    </rPh>
    <phoneticPr fontId="4"/>
  </si>
  <si>
    <t>356比例北陸信越国民02</t>
    <rPh sb="3" eb="5">
      <t>ヒレイ</t>
    </rPh>
    <rPh sb="5" eb="7">
      <t>ホクリク</t>
    </rPh>
    <rPh sb="7" eb="9">
      <t>シンエツ</t>
    </rPh>
    <rPh sb="9" eb="11">
      <t>コクミン</t>
    </rPh>
    <phoneticPr fontId="4"/>
  </si>
  <si>
    <t>鈴木　泰</t>
    <rPh sb="0" eb="2">
      <t>スズキ</t>
    </rPh>
    <rPh sb="3" eb="4">
      <t>ヤスシ</t>
    </rPh>
    <phoneticPr fontId="4"/>
  </si>
  <si>
    <t>356比例北陸信越国民03</t>
    <rPh sb="3" eb="5">
      <t>ヒレイ</t>
    </rPh>
    <rPh sb="5" eb="7">
      <t>ホクリク</t>
    </rPh>
    <rPh sb="7" eb="9">
      <t>シンエツ</t>
    </rPh>
    <rPh sb="9" eb="11">
      <t>コクミン</t>
    </rPh>
    <phoneticPr fontId="4"/>
  </si>
  <si>
    <t>綿貫　民輔</t>
    <rPh sb="0" eb="2">
      <t>ワタヌキ</t>
    </rPh>
    <rPh sb="3" eb="4">
      <t>ミン</t>
    </rPh>
    <rPh sb="4" eb="5">
      <t>ホ</t>
    </rPh>
    <phoneticPr fontId="4"/>
  </si>
  <si>
    <t>361比例東海自民03</t>
    <rPh sb="3" eb="5">
      <t>ヒレイ</t>
    </rPh>
    <rPh sb="5" eb="7">
      <t>トウカイ</t>
    </rPh>
    <rPh sb="7" eb="9">
      <t>ジミン</t>
    </rPh>
    <phoneticPr fontId="4"/>
  </si>
  <si>
    <t>23愛知04</t>
    <rPh sb="2" eb="4">
      <t>アイチ</t>
    </rPh>
    <phoneticPr fontId="4"/>
  </si>
  <si>
    <t>藤野　真紀子</t>
    <rPh sb="0" eb="2">
      <t>フジノ</t>
    </rPh>
    <rPh sb="3" eb="6">
      <t>マキコ</t>
    </rPh>
    <phoneticPr fontId="4"/>
  </si>
  <si>
    <t>361比例東海自民01</t>
    <rPh sb="3" eb="5">
      <t>ヒレイ</t>
    </rPh>
    <rPh sb="5" eb="7">
      <t>トウカイ</t>
    </rPh>
    <rPh sb="7" eb="9">
      <t>ジミン</t>
    </rPh>
    <phoneticPr fontId="4"/>
  </si>
  <si>
    <t>21岐阜01</t>
    <rPh sb="2" eb="4">
      <t>ギフ</t>
    </rPh>
    <phoneticPr fontId="4"/>
  </si>
  <si>
    <t>佐藤　ゆかり</t>
    <rPh sb="0" eb="2">
      <t>サトウ</t>
    </rPh>
    <phoneticPr fontId="4"/>
  </si>
  <si>
    <t>361比例東海自民04</t>
    <rPh sb="3" eb="5">
      <t>ヒレイ</t>
    </rPh>
    <rPh sb="5" eb="7">
      <t>トウカイ</t>
    </rPh>
    <rPh sb="7" eb="9">
      <t>ジミン</t>
    </rPh>
    <phoneticPr fontId="4"/>
  </si>
  <si>
    <t>24三重03</t>
    <rPh sb="2" eb="4">
      <t>ミエ</t>
    </rPh>
    <phoneticPr fontId="4"/>
  </si>
  <si>
    <t>平田　耕一</t>
    <rPh sb="0" eb="2">
      <t>ヒラタ</t>
    </rPh>
    <rPh sb="3" eb="5">
      <t>コウイチ</t>
    </rPh>
    <phoneticPr fontId="4"/>
  </si>
  <si>
    <t>361比例東海自民05</t>
    <rPh sb="3" eb="5">
      <t>ヒレイ</t>
    </rPh>
    <rPh sb="5" eb="7">
      <t>トウカイ</t>
    </rPh>
    <rPh sb="7" eb="9">
      <t>ジミン</t>
    </rPh>
    <phoneticPr fontId="4"/>
  </si>
  <si>
    <t>22静岡06</t>
    <rPh sb="2" eb="4">
      <t>シズオカ</t>
    </rPh>
    <phoneticPr fontId="4"/>
  </si>
  <si>
    <t>倉田　雅年</t>
    <rPh sb="0" eb="2">
      <t>クラタ</t>
    </rPh>
    <rPh sb="3" eb="5">
      <t>マサトシ</t>
    </rPh>
    <phoneticPr fontId="4"/>
  </si>
  <si>
    <t>361比例東海自民14</t>
    <rPh sb="3" eb="5">
      <t>ヒレイ</t>
    </rPh>
    <rPh sb="5" eb="7">
      <t>トウカイ</t>
    </rPh>
    <rPh sb="7" eb="9">
      <t>ジミン</t>
    </rPh>
    <phoneticPr fontId="4"/>
  </si>
  <si>
    <t>22静岡05</t>
    <rPh sb="2" eb="4">
      <t>シズオカ</t>
    </rPh>
    <phoneticPr fontId="4"/>
  </si>
  <si>
    <t>斉藤　斗志二</t>
    <rPh sb="0" eb="2">
      <t>サイトウ</t>
    </rPh>
    <rPh sb="3" eb="4">
      <t>ト</t>
    </rPh>
    <rPh sb="4" eb="5">
      <t>シ</t>
    </rPh>
    <rPh sb="5" eb="6">
      <t>ニ</t>
    </rPh>
    <phoneticPr fontId="4"/>
  </si>
  <si>
    <t>361比例東海自民27</t>
    <rPh sb="3" eb="5">
      <t>ヒレイ</t>
    </rPh>
    <rPh sb="5" eb="7">
      <t>トウカイ</t>
    </rPh>
    <rPh sb="7" eb="9">
      <t>ジミン</t>
    </rPh>
    <phoneticPr fontId="4"/>
  </si>
  <si>
    <t>23愛知14</t>
    <rPh sb="2" eb="4">
      <t>アイチ</t>
    </rPh>
    <phoneticPr fontId="4"/>
  </si>
  <si>
    <t>杉田　元司</t>
    <rPh sb="0" eb="2">
      <t>スギタ</t>
    </rPh>
    <rPh sb="3" eb="5">
      <t>モトジ</t>
    </rPh>
    <phoneticPr fontId="4"/>
  </si>
  <si>
    <t>361比例東海自民24</t>
    <rPh sb="3" eb="5">
      <t>ヒレイ</t>
    </rPh>
    <rPh sb="5" eb="7">
      <t>トウカイ</t>
    </rPh>
    <rPh sb="7" eb="9">
      <t>ジミン</t>
    </rPh>
    <phoneticPr fontId="4"/>
  </si>
  <si>
    <t>23愛知11</t>
    <rPh sb="2" eb="4">
      <t>アイチ</t>
    </rPh>
    <phoneticPr fontId="4"/>
  </si>
  <si>
    <t>土井　真樹</t>
    <rPh sb="0" eb="2">
      <t>ドイ</t>
    </rPh>
    <rPh sb="3" eb="5">
      <t>マキ</t>
    </rPh>
    <phoneticPr fontId="4"/>
  </si>
  <si>
    <t>361比例東海自民16</t>
    <rPh sb="3" eb="5">
      <t>ヒレイ</t>
    </rPh>
    <rPh sb="5" eb="7">
      <t>トウカイ</t>
    </rPh>
    <rPh sb="7" eb="9">
      <t>ジミン</t>
    </rPh>
    <phoneticPr fontId="4"/>
  </si>
  <si>
    <t>23愛知01</t>
    <rPh sb="2" eb="4">
      <t>アイチ</t>
    </rPh>
    <phoneticPr fontId="4"/>
  </si>
  <si>
    <t>篠田　陽介</t>
    <rPh sb="0" eb="2">
      <t>シノダ</t>
    </rPh>
    <rPh sb="3" eb="5">
      <t>ヨウスケ</t>
    </rPh>
    <phoneticPr fontId="4"/>
  </si>
  <si>
    <t>361比例東海自民18</t>
    <rPh sb="3" eb="5">
      <t>ヒレイ</t>
    </rPh>
    <rPh sb="5" eb="7">
      <t>トウカイ</t>
    </rPh>
    <rPh sb="7" eb="9">
      <t>ジミン</t>
    </rPh>
    <phoneticPr fontId="4"/>
  </si>
  <si>
    <t>23愛知03</t>
    <rPh sb="2" eb="4">
      <t>アイチ</t>
    </rPh>
    <phoneticPr fontId="4"/>
  </si>
  <si>
    <t>馬渡　龍治</t>
    <phoneticPr fontId="4"/>
  </si>
  <si>
    <t>361比例東海自民17</t>
    <rPh sb="3" eb="5">
      <t>ヒレイ</t>
    </rPh>
    <rPh sb="5" eb="7">
      <t>トウカイ</t>
    </rPh>
    <rPh sb="7" eb="9">
      <t>ジミン</t>
    </rPh>
    <phoneticPr fontId="4"/>
  </si>
  <si>
    <t>23愛知02</t>
    <rPh sb="2" eb="4">
      <t>アイチ</t>
    </rPh>
    <phoneticPr fontId="4"/>
  </si>
  <si>
    <t>岡田　裕二</t>
    <rPh sb="0" eb="2">
      <t>オカダ</t>
    </rPh>
    <rPh sb="3" eb="5">
      <t>ユウジ</t>
    </rPh>
    <phoneticPr fontId="4"/>
  </si>
  <si>
    <t>361比例東海自民30</t>
    <rPh sb="3" eb="5">
      <t>ヒレイ</t>
    </rPh>
    <rPh sb="5" eb="7">
      <t>トウカイ</t>
    </rPh>
    <rPh sb="7" eb="9">
      <t>ジミン</t>
    </rPh>
    <phoneticPr fontId="4"/>
  </si>
  <si>
    <t>24三重02</t>
    <rPh sb="2" eb="4">
      <t>ミエ</t>
    </rPh>
    <phoneticPr fontId="4"/>
  </si>
  <si>
    <t>小林　正人</t>
    <rPh sb="0" eb="2">
      <t>コバヤシ</t>
    </rPh>
    <rPh sb="3" eb="5">
      <t>マサト</t>
    </rPh>
    <phoneticPr fontId="4"/>
  </si>
  <si>
    <t>361比例東海自民09</t>
    <rPh sb="3" eb="5">
      <t>ヒレイ</t>
    </rPh>
    <rPh sb="5" eb="7">
      <t>トウカイ</t>
    </rPh>
    <rPh sb="7" eb="9">
      <t>ジミン</t>
    </rPh>
    <phoneticPr fontId="4"/>
  </si>
  <si>
    <t>21岐阜05</t>
    <rPh sb="2" eb="4">
      <t>ギフ</t>
    </rPh>
    <phoneticPr fontId="4"/>
  </si>
  <si>
    <t>和仁　隆明</t>
    <rPh sb="0" eb="1">
      <t>ワ</t>
    </rPh>
    <rPh sb="1" eb="2">
      <t>ジン</t>
    </rPh>
    <rPh sb="3" eb="5">
      <t>タカアキ</t>
    </rPh>
    <phoneticPr fontId="4"/>
  </si>
  <si>
    <t>361比例東海自民33</t>
    <rPh sb="3" eb="5">
      <t>ヒレイ</t>
    </rPh>
    <rPh sb="5" eb="7">
      <t>トウカイ</t>
    </rPh>
    <rPh sb="7" eb="9">
      <t>ジミン</t>
    </rPh>
    <phoneticPr fontId="4"/>
  </si>
  <si>
    <t>石田　義男</t>
    <rPh sb="0" eb="2">
      <t>イシダ</t>
    </rPh>
    <rPh sb="3" eb="5">
      <t>ヨシオ</t>
    </rPh>
    <phoneticPr fontId="4"/>
  </si>
  <si>
    <t>361比例東海自民34</t>
    <rPh sb="3" eb="5">
      <t>ヒレイ</t>
    </rPh>
    <rPh sb="5" eb="7">
      <t>トウカイ</t>
    </rPh>
    <rPh sb="7" eb="9">
      <t>ジミン</t>
    </rPh>
    <phoneticPr fontId="4"/>
  </si>
  <si>
    <t>久留宮　保</t>
    <rPh sb="0" eb="3">
      <t>クルミヤ</t>
    </rPh>
    <rPh sb="4" eb="5">
      <t>ホ</t>
    </rPh>
    <phoneticPr fontId="4"/>
  </si>
  <si>
    <t>361比例東海自民35</t>
    <rPh sb="3" eb="5">
      <t>ヒレイ</t>
    </rPh>
    <rPh sb="5" eb="7">
      <t>トウカイ</t>
    </rPh>
    <rPh sb="7" eb="9">
      <t>ジミン</t>
    </rPh>
    <phoneticPr fontId="4"/>
  </si>
  <si>
    <t>佐藤　靖隆</t>
    <rPh sb="0" eb="2">
      <t>サトウ</t>
    </rPh>
    <rPh sb="3" eb="5">
      <t>ヤスタカ</t>
    </rPh>
    <phoneticPr fontId="4"/>
  </si>
  <si>
    <t>361比例東海自民36</t>
    <rPh sb="3" eb="5">
      <t>ヒレイ</t>
    </rPh>
    <rPh sb="5" eb="7">
      <t>トウカイ</t>
    </rPh>
    <rPh sb="7" eb="9">
      <t>ジミン</t>
    </rPh>
    <phoneticPr fontId="4"/>
  </si>
  <si>
    <t>羽津本　隆夫</t>
    <rPh sb="0" eb="1">
      <t>ハ</t>
    </rPh>
    <rPh sb="1" eb="3">
      <t>ツモト</t>
    </rPh>
    <rPh sb="4" eb="6">
      <t>タカオ</t>
    </rPh>
    <phoneticPr fontId="4"/>
  </si>
  <si>
    <t>361比例東海自民02</t>
    <rPh sb="3" eb="5">
      <t>ヒレイ</t>
    </rPh>
    <rPh sb="5" eb="7">
      <t>トウカイ</t>
    </rPh>
    <rPh sb="7" eb="9">
      <t>ジミン</t>
    </rPh>
    <phoneticPr fontId="4"/>
  </si>
  <si>
    <t>22静岡07</t>
    <rPh sb="2" eb="4">
      <t>シズオカ</t>
    </rPh>
    <phoneticPr fontId="4"/>
  </si>
  <si>
    <t>片山　さつき</t>
    <rPh sb="0" eb="2">
      <t>カタヤマ</t>
    </rPh>
    <phoneticPr fontId="4"/>
  </si>
  <si>
    <t>361比例東海自民06</t>
    <rPh sb="3" eb="5">
      <t>ヒレイ</t>
    </rPh>
    <rPh sb="5" eb="7">
      <t>トウカイ</t>
    </rPh>
    <rPh sb="7" eb="9">
      <t>ジミン</t>
    </rPh>
    <phoneticPr fontId="4"/>
  </si>
  <si>
    <t>21岐阜02</t>
    <rPh sb="2" eb="4">
      <t>ギフ</t>
    </rPh>
    <phoneticPr fontId="4"/>
  </si>
  <si>
    <t>棚橋　泰文</t>
    <rPh sb="0" eb="2">
      <t>タナハシ</t>
    </rPh>
    <rPh sb="3" eb="5">
      <t>ヤスフミ</t>
    </rPh>
    <phoneticPr fontId="4"/>
  </si>
  <si>
    <t>361比例東海自民07</t>
    <rPh sb="3" eb="5">
      <t>ヒレイ</t>
    </rPh>
    <rPh sb="5" eb="7">
      <t>トウカイ</t>
    </rPh>
    <rPh sb="7" eb="9">
      <t>ジミン</t>
    </rPh>
    <phoneticPr fontId="4"/>
  </si>
  <si>
    <t>21岐阜03</t>
    <rPh sb="2" eb="4">
      <t>ギフ</t>
    </rPh>
    <phoneticPr fontId="4"/>
  </si>
  <si>
    <t>武藤　容治</t>
    <rPh sb="0" eb="2">
      <t>ムトウ</t>
    </rPh>
    <rPh sb="3" eb="4">
      <t>ヨウ</t>
    </rPh>
    <rPh sb="4" eb="5">
      <t>オサ</t>
    </rPh>
    <phoneticPr fontId="4"/>
  </si>
  <si>
    <t>361比例東海自民08</t>
    <rPh sb="3" eb="5">
      <t>ヒレイ</t>
    </rPh>
    <rPh sb="5" eb="7">
      <t>トウカイ</t>
    </rPh>
    <rPh sb="7" eb="9">
      <t>ジミン</t>
    </rPh>
    <phoneticPr fontId="4"/>
  </si>
  <si>
    <t>21岐阜04</t>
    <rPh sb="2" eb="4">
      <t>ギフ</t>
    </rPh>
    <phoneticPr fontId="4"/>
  </si>
  <si>
    <t>金子　一義</t>
    <rPh sb="0" eb="2">
      <t>カネコ</t>
    </rPh>
    <rPh sb="3" eb="5">
      <t>カズヨシ</t>
    </rPh>
    <phoneticPr fontId="4"/>
  </si>
  <si>
    <t>361比例東海自民10</t>
    <rPh sb="3" eb="5">
      <t>ヒレイ</t>
    </rPh>
    <rPh sb="5" eb="7">
      <t>トウカイ</t>
    </rPh>
    <rPh sb="7" eb="9">
      <t>ジミン</t>
    </rPh>
    <phoneticPr fontId="4"/>
  </si>
  <si>
    <t>22静岡01</t>
    <rPh sb="2" eb="4">
      <t>シズオカ</t>
    </rPh>
    <phoneticPr fontId="4"/>
  </si>
  <si>
    <t>上川　陽子</t>
    <rPh sb="0" eb="2">
      <t>カミカワ</t>
    </rPh>
    <rPh sb="3" eb="5">
      <t>ヨウコ</t>
    </rPh>
    <phoneticPr fontId="4"/>
  </si>
  <si>
    <t>361比例東海自民11</t>
    <rPh sb="3" eb="5">
      <t>ヒレイ</t>
    </rPh>
    <rPh sb="5" eb="7">
      <t>トウカイ</t>
    </rPh>
    <rPh sb="7" eb="9">
      <t>ジミン</t>
    </rPh>
    <phoneticPr fontId="4"/>
  </si>
  <si>
    <t>22静岡02</t>
    <rPh sb="2" eb="4">
      <t>シズオカ</t>
    </rPh>
    <phoneticPr fontId="4"/>
  </si>
  <si>
    <t>原田　令嗣</t>
    <rPh sb="0" eb="2">
      <t>ハラダ</t>
    </rPh>
    <rPh sb="3" eb="4">
      <t>レイ</t>
    </rPh>
    <rPh sb="4" eb="5">
      <t>シ</t>
    </rPh>
    <phoneticPr fontId="4"/>
  </si>
  <si>
    <t>361比例東海自民12</t>
    <rPh sb="3" eb="5">
      <t>ヒレイ</t>
    </rPh>
    <rPh sb="5" eb="7">
      <t>トウカイ</t>
    </rPh>
    <rPh sb="7" eb="9">
      <t>ジミン</t>
    </rPh>
    <phoneticPr fontId="4"/>
  </si>
  <si>
    <t>22静岡03</t>
    <rPh sb="2" eb="4">
      <t>シズオカ</t>
    </rPh>
    <phoneticPr fontId="4"/>
  </si>
  <si>
    <t>柳澤　伯夫</t>
    <rPh sb="0" eb="2">
      <t>ヤナギサワ</t>
    </rPh>
    <rPh sb="3" eb="4">
      <t>ハク</t>
    </rPh>
    <rPh sb="4" eb="5">
      <t>オット</t>
    </rPh>
    <phoneticPr fontId="4"/>
  </si>
  <si>
    <t>361比例東海自民13</t>
    <rPh sb="3" eb="5">
      <t>ヒレイ</t>
    </rPh>
    <rPh sb="5" eb="7">
      <t>トウカイ</t>
    </rPh>
    <rPh sb="7" eb="9">
      <t>ジミン</t>
    </rPh>
    <phoneticPr fontId="4"/>
  </si>
  <si>
    <t>22静岡04</t>
    <rPh sb="2" eb="4">
      <t>シズオカ</t>
    </rPh>
    <phoneticPr fontId="4"/>
  </si>
  <si>
    <t>望月　義夫</t>
    <rPh sb="0" eb="2">
      <t>モチヅキ</t>
    </rPh>
    <rPh sb="3" eb="5">
      <t>ヨシオ</t>
    </rPh>
    <phoneticPr fontId="4"/>
  </si>
  <si>
    <t>361比例東海自民15</t>
    <rPh sb="3" eb="5">
      <t>ヒレイ</t>
    </rPh>
    <rPh sb="5" eb="7">
      <t>トウカイ</t>
    </rPh>
    <rPh sb="7" eb="9">
      <t>ジミン</t>
    </rPh>
    <phoneticPr fontId="4"/>
  </si>
  <si>
    <t>22静岡08</t>
    <rPh sb="2" eb="4">
      <t>シズオカ</t>
    </rPh>
    <phoneticPr fontId="4"/>
  </si>
  <si>
    <t>塩谷　立</t>
    <rPh sb="0" eb="2">
      <t>シオノヤ</t>
    </rPh>
    <rPh sb="3" eb="4">
      <t>タ</t>
    </rPh>
    <phoneticPr fontId="4"/>
  </si>
  <si>
    <t>361比例東海自民19</t>
    <rPh sb="3" eb="5">
      <t>ヒレイ</t>
    </rPh>
    <rPh sb="5" eb="7">
      <t>トウカイ</t>
    </rPh>
    <rPh sb="7" eb="9">
      <t>ジミン</t>
    </rPh>
    <phoneticPr fontId="4"/>
  </si>
  <si>
    <t>23愛知05</t>
    <rPh sb="2" eb="4">
      <t>アイチ</t>
    </rPh>
    <phoneticPr fontId="4"/>
  </si>
  <si>
    <t>木村　隆秀</t>
    <rPh sb="0" eb="2">
      <t>キムラ</t>
    </rPh>
    <rPh sb="3" eb="5">
      <t>タカヒデ</t>
    </rPh>
    <phoneticPr fontId="4"/>
  </si>
  <si>
    <t>361比例東海自民20</t>
    <rPh sb="3" eb="5">
      <t>ヒレイ</t>
    </rPh>
    <rPh sb="5" eb="7">
      <t>トウカイ</t>
    </rPh>
    <rPh sb="7" eb="9">
      <t>ジミン</t>
    </rPh>
    <phoneticPr fontId="4"/>
  </si>
  <si>
    <t>23愛知06</t>
    <rPh sb="2" eb="4">
      <t>アイチ</t>
    </rPh>
    <phoneticPr fontId="4"/>
  </si>
  <si>
    <t>丹羽　秀樹</t>
    <rPh sb="0" eb="2">
      <t>ニワ</t>
    </rPh>
    <rPh sb="3" eb="4">
      <t>ヒデ</t>
    </rPh>
    <rPh sb="4" eb="5">
      <t>キ</t>
    </rPh>
    <phoneticPr fontId="4"/>
  </si>
  <si>
    <t>361比例東海自民21</t>
    <rPh sb="3" eb="5">
      <t>ヒレイ</t>
    </rPh>
    <rPh sb="5" eb="7">
      <t>トウカイ</t>
    </rPh>
    <rPh sb="7" eb="9">
      <t>ジミン</t>
    </rPh>
    <phoneticPr fontId="4"/>
  </si>
  <si>
    <t>23愛知07</t>
    <rPh sb="2" eb="4">
      <t>アイチ</t>
    </rPh>
    <phoneticPr fontId="4"/>
  </si>
  <si>
    <t>鈴木　淳司</t>
    <rPh sb="0" eb="2">
      <t>スズキ</t>
    </rPh>
    <rPh sb="3" eb="5">
      <t>ジュンジ</t>
    </rPh>
    <phoneticPr fontId="4"/>
  </si>
  <si>
    <t>361比例東海自民22</t>
    <rPh sb="3" eb="5">
      <t>ヒレイ</t>
    </rPh>
    <rPh sb="5" eb="7">
      <t>トウカイ</t>
    </rPh>
    <rPh sb="7" eb="9">
      <t>ジミン</t>
    </rPh>
    <phoneticPr fontId="4"/>
  </si>
  <si>
    <t>23愛知08</t>
    <rPh sb="2" eb="4">
      <t>アイチ</t>
    </rPh>
    <phoneticPr fontId="4"/>
  </si>
  <si>
    <t>伊藤　忠彦</t>
    <rPh sb="0" eb="2">
      <t>イトウ</t>
    </rPh>
    <rPh sb="3" eb="5">
      <t>タダヒコ</t>
    </rPh>
    <phoneticPr fontId="4"/>
  </si>
  <si>
    <t>361比例東海自民23</t>
    <rPh sb="3" eb="5">
      <t>ヒレイ</t>
    </rPh>
    <rPh sb="5" eb="7">
      <t>トウカイ</t>
    </rPh>
    <rPh sb="7" eb="9">
      <t>ジミン</t>
    </rPh>
    <phoneticPr fontId="4"/>
  </si>
  <si>
    <t>23愛知10</t>
    <rPh sb="2" eb="4">
      <t>アイチ</t>
    </rPh>
    <phoneticPr fontId="4"/>
  </si>
  <si>
    <t>江崎　鐵磨</t>
    <rPh sb="0" eb="2">
      <t>エサキ</t>
    </rPh>
    <rPh sb="4" eb="5">
      <t>オサム</t>
    </rPh>
    <phoneticPr fontId="2"/>
  </si>
  <si>
    <t>361比例東海自民25</t>
    <rPh sb="3" eb="5">
      <t>ヒレイ</t>
    </rPh>
    <rPh sb="5" eb="7">
      <t>トウカイ</t>
    </rPh>
    <rPh sb="7" eb="9">
      <t>ジミン</t>
    </rPh>
    <phoneticPr fontId="4"/>
  </si>
  <si>
    <t>23愛知12</t>
    <rPh sb="2" eb="4">
      <t>アイチ</t>
    </rPh>
    <phoneticPr fontId="4"/>
  </si>
  <si>
    <t>杉浦　正健</t>
    <rPh sb="0" eb="2">
      <t>スギウラ</t>
    </rPh>
    <rPh sb="3" eb="4">
      <t>タダ</t>
    </rPh>
    <rPh sb="4" eb="5">
      <t>ケン</t>
    </rPh>
    <phoneticPr fontId="4"/>
  </si>
  <si>
    <t>361比例東海自民26</t>
    <rPh sb="3" eb="5">
      <t>ヒレイ</t>
    </rPh>
    <rPh sb="5" eb="7">
      <t>トウカイ</t>
    </rPh>
    <rPh sb="7" eb="9">
      <t>ジミン</t>
    </rPh>
    <phoneticPr fontId="4"/>
  </si>
  <si>
    <t>23愛知13</t>
    <rPh sb="2" eb="4">
      <t>アイチ</t>
    </rPh>
    <phoneticPr fontId="4"/>
  </si>
  <si>
    <t>大村　秀章</t>
    <rPh sb="0" eb="2">
      <t>オオムラ</t>
    </rPh>
    <rPh sb="3" eb="4">
      <t>ヒデ</t>
    </rPh>
    <rPh sb="4" eb="5">
      <t>ショウ</t>
    </rPh>
    <phoneticPr fontId="4"/>
  </si>
  <si>
    <t>361比例東海自民28</t>
    <rPh sb="3" eb="5">
      <t>ヒレイ</t>
    </rPh>
    <rPh sb="5" eb="7">
      <t>トウカイ</t>
    </rPh>
    <rPh sb="7" eb="9">
      <t>ジミン</t>
    </rPh>
    <phoneticPr fontId="4"/>
  </si>
  <si>
    <t>23愛知15</t>
    <rPh sb="2" eb="4">
      <t>アイチ</t>
    </rPh>
    <phoneticPr fontId="4"/>
  </si>
  <si>
    <t>山本　明彦</t>
    <rPh sb="0" eb="2">
      <t>ヤマモト</t>
    </rPh>
    <rPh sb="3" eb="5">
      <t>アキヒコ</t>
    </rPh>
    <phoneticPr fontId="4"/>
  </si>
  <si>
    <t>361比例東海自民29</t>
    <rPh sb="3" eb="5">
      <t>ヒレイ</t>
    </rPh>
    <rPh sb="5" eb="7">
      <t>トウカイ</t>
    </rPh>
    <rPh sb="7" eb="9">
      <t>ジミン</t>
    </rPh>
    <phoneticPr fontId="4"/>
  </si>
  <si>
    <t>24三重01</t>
    <rPh sb="2" eb="4">
      <t>ミエ</t>
    </rPh>
    <phoneticPr fontId="4"/>
  </si>
  <si>
    <t>川崎　二郎</t>
    <rPh sb="0" eb="2">
      <t>カワサキ</t>
    </rPh>
    <rPh sb="3" eb="5">
      <t>ジロウ</t>
    </rPh>
    <phoneticPr fontId="4"/>
  </si>
  <si>
    <t>361比例東海自民31</t>
    <rPh sb="3" eb="5">
      <t>ヒレイ</t>
    </rPh>
    <rPh sb="5" eb="7">
      <t>トウカイ</t>
    </rPh>
    <rPh sb="7" eb="9">
      <t>ジミン</t>
    </rPh>
    <phoneticPr fontId="4"/>
  </si>
  <si>
    <t>24三重04</t>
    <rPh sb="2" eb="4">
      <t>ミエ</t>
    </rPh>
    <phoneticPr fontId="4"/>
  </si>
  <si>
    <t>田村　憲久</t>
    <rPh sb="0" eb="2">
      <t>タムラ</t>
    </rPh>
    <rPh sb="3" eb="5">
      <t>ノリヒサ</t>
    </rPh>
    <phoneticPr fontId="4"/>
  </si>
  <si>
    <t>361比例東海自民32</t>
    <rPh sb="3" eb="5">
      <t>ヒレイ</t>
    </rPh>
    <rPh sb="5" eb="7">
      <t>トウカイ</t>
    </rPh>
    <rPh sb="7" eb="9">
      <t>ジミン</t>
    </rPh>
    <phoneticPr fontId="4"/>
  </si>
  <si>
    <t>24三重05</t>
    <rPh sb="2" eb="4">
      <t>ミエ</t>
    </rPh>
    <phoneticPr fontId="4"/>
  </si>
  <si>
    <t>三ツ矢　憲生</t>
    <rPh sb="0" eb="1">
      <t>ミ</t>
    </rPh>
    <rPh sb="2" eb="3">
      <t>ヤ</t>
    </rPh>
    <rPh sb="4" eb="6">
      <t>ノリオ</t>
    </rPh>
    <phoneticPr fontId="4"/>
  </si>
  <si>
    <t>362比例東海民主21</t>
    <rPh sb="3" eb="5">
      <t>ヒレイ</t>
    </rPh>
    <rPh sb="5" eb="7">
      <t>トウカイ</t>
    </rPh>
    <rPh sb="7" eb="9">
      <t>ミンシュ</t>
    </rPh>
    <phoneticPr fontId="4"/>
  </si>
  <si>
    <t>伴野　豊</t>
    <rPh sb="0" eb="2">
      <t>バンノ</t>
    </rPh>
    <rPh sb="3" eb="4">
      <t>ユタカ</t>
    </rPh>
    <phoneticPr fontId="4"/>
  </si>
  <si>
    <t>362比例東海民主18</t>
    <rPh sb="3" eb="5">
      <t>ヒレイ</t>
    </rPh>
    <rPh sb="5" eb="7">
      <t>トウカイ</t>
    </rPh>
    <rPh sb="7" eb="9">
      <t>ミンシュ</t>
    </rPh>
    <phoneticPr fontId="4"/>
  </si>
  <si>
    <t>赤松　広隆</t>
    <rPh sb="0" eb="2">
      <t>アカマツ</t>
    </rPh>
    <rPh sb="3" eb="5">
      <t>ヒロタカ</t>
    </rPh>
    <phoneticPr fontId="4"/>
  </si>
  <si>
    <t>362比例東海民主19</t>
    <rPh sb="3" eb="5">
      <t>ヒレイ</t>
    </rPh>
    <rPh sb="5" eb="7">
      <t>トウカイ</t>
    </rPh>
    <rPh sb="7" eb="9">
      <t>ミンシュ</t>
    </rPh>
    <phoneticPr fontId="4"/>
  </si>
  <si>
    <t>前田　雄吉</t>
    <rPh sb="0" eb="2">
      <t>マエダ</t>
    </rPh>
    <rPh sb="3" eb="5">
      <t>ユウキチ</t>
    </rPh>
    <phoneticPr fontId="4"/>
  </si>
  <si>
    <t>362比例東海民主03</t>
    <rPh sb="3" eb="5">
      <t>ヒレイ</t>
    </rPh>
    <rPh sb="5" eb="7">
      <t>トウカイ</t>
    </rPh>
    <rPh sb="7" eb="9">
      <t>ミンシュ</t>
    </rPh>
    <phoneticPr fontId="4"/>
  </si>
  <si>
    <t>園田　康博</t>
    <rPh sb="0" eb="2">
      <t>ソノダ</t>
    </rPh>
    <rPh sb="3" eb="5">
      <t>ヤスヒロ</t>
    </rPh>
    <phoneticPr fontId="4"/>
  </si>
  <si>
    <t>362比例東海民主31</t>
    <rPh sb="3" eb="5">
      <t>ヒレイ</t>
    </rPh>
    <rPh sb="5" eb="7">
      <t>トウカイ</t>
    </rPh>
    <rPh sb="7" eb="9">
      <t>ミンシュ</t>
    </rPh>
    <phoneticPr fontId="4"/>
  </si>
  <si>
    <t>森本　哲生</t>
    <rPh sb="0" eb="2">
      <t>モリモト</t>
    </rPh>
    <rPh sb="3" eb="5">
      <t>テツオ</t>
    </rPh>
    <phoneticPr fontId="4"/>
  </si>
  <si>
    <t>362比例東海民主29</t>
    <rPh sb="3" eb="5">
      <t>ヒレイ</t>
    </rPh>
    <rPh sb="5" eb="7">
      <t>トウカイ</t>
    </rPh>
    <rPh sb="7" eb="9">
      <t>ミンシュ</t>
    </rPh>
    <phoneticPr fontId="4"/>
  </si>
  <si>
    <t>中井　洽</t>
    <rPh sb="0" eb="2">
      <t>ナカイ</t>
    </rPh>
    <phoneticPr fontId="4"/>
  </si>
  <si>
    <t>362比例東海民主22</t>
    <rPh sb="3" eb="5">
      <t>ヒレイ</t>
    </rPh>
    <rPh sb="5" eb="7">
      <t>トウカイ</t>
    </rPh>
    <rPh sb="7" eb="9">
      <t>ミンシュ</t>
    </rPh>
    <phoneticPr fontId="4"/>
  </si>
  <si>
    <t>23愛知09</t>
    <rPh sb="2" eb="4">
      <t>アイチ</t>
    </rPh>
    <phoneticPr fontId="4"/>
  </si>
  <si>
    <t>岡本　充功</t>
    <rPh sb="0" eb="2">
      <t>オカモト</t>
    </rPh>
    <rPh sb="3" eb="4">
      <t>ミツ</t>
    </rPh>
    <rPh sb="4" eb="5">
      <t>イサオ</t>
    </rPh>
    <phoneticPr fontId="4"/>
  </si>
  <si>
    <t>362比例東海民主09</t>
    <rPh sb="3" eb="5">
      <t>ヒレイ</t>
    </rPh>
    <rPh sb="5" eb="7">
      <t>トウカイ</t>
    </rPh>
    <rPh sb="7" eb="9">
      <t>ミンシュ</t>
    </rPh>
    <phoneticPr fontId="4"/>
  </si>
  <si>
    <t>田村　謙治</t>
    <rPh sb="0" eb="2">
      <t>タムラ</t>
    </rPh>
    <rPh sb="3" eb="5">
      <t>ケンジ</t>
    </rPh>
    <phoneticPr fontId="4"/>
  </si>
  <si>
    <t>362比例東海民主20</t>
    <rPh sb="3" eb="5">
      <t>ヒレイ</t>
    </rPh>
    <rPh sb="5" eb="7">
      <t>トウカイ</t>
    </rPh>
    <rPh sb="7" eb="9">
      <t>ミンシュ</t>
    </rPh>
    <phoneticPr fontId="4"/>
  </si>
  <si>
    <t>小林　憲司</t>
    <rPh sb="0" eb="2">
      <t>コバヤシ</t>
    </rPh>
    <rPh sb="3" eb="5">
      <t>ケンジ</t>
    </rPh>
    <phoneticPr fontId="4"/>
  </si>
  <si>
    <t>362比例東海民主25</t>
    <rPh sb="3" eb="5">
      <t>ヒレイ</t>
    </rPh>
    <rPh sb="5" eb="7">
      <t>トウカイ</t>
    </rPh>
    <rPh sb="7" eb="9">
      <t>ミンシュ</t>
    </rPh>
    <phoneticPr fontId="4"/>
  </si>
  <si>
    <t>中根　康浩</t>
    <rPh sb="0" eb="2">
      <t>ナカネ</t>
    </rPh>
    <rPh sb="3" eb="5">
      <t>ヤスヒロ</t>
    </rPh>
    <phoneticPr fontId="4"/>
  </si>
  <si>
    <t>362比例東海民主13</t>
    <rPh sb="3" eb="5">
      <t>ヒレイ</t>
    </rPh>
    <rPh sb="5" eb="7">
      <t>トウカイ</t>
    </rPh>
    <rPh sb="7" eb="9">
      <t>ミンシュ</t>
    </rPh>
    <phoneticPr fontId="4"/>
  </si>
  <si>
    <t>鈴木　康友</t>
    <rPh sb="0" eb="2">
      <t>スズキ</t>
    </rPh>
    <rPh sb="3" eb="5">
      <t>ヤストモ</t>
    </rPh>
    <phoneticPr fontId="4"/>
  </si>
  <si>
    <t>362比例東海民主26</t>
    <rPh sb="3" eb="5">
      <t>ヒレイ</t>
    </rPh>
    <rPh sb="5" eb="7">
      <t>トウカイ</t>
    </rPh>
    <rPh sb="7" eb="9">
      <t>ミンシュ</t>
    </rPh>
    <phoneticPr fontId="4"/>
  </si>
  <si>
    <t>島　聡</t>
    <rPh sb="0" eb="1">
      <t>シマ</t>
    </rPh>
    <rPh sb="2" eb="3">
      <t>サトシ</t>
    </rPh>
    <phoneticPr fontId="4"/>
  </si>
  <si>
    <t>362比例東海民主07</t>
    <rPh sb="3" eb="5">
      <t>ヒレイ</t>
    </rPh>
    <rPh sb="5" eb="7">
      <t>トウカイ</t>
    </rPh>
    <rPh sb="7" eb="9">
      <t>ミンシュ</t>
    </rPh>
    <phoneticPr fontId="4"/>
  </si>
  <si>
    <t>津川　祥吾</t>
    <rPh sb="0" eb="2">
      <t>ツガワ</t>
    </rPh>
    <rPh sb="3" eb="4">
      <t>ショウ</t>
    </rPh>
    <rPh sb="4" eb="5">
      <t>ゴ</t>
    </rPh>
    <phoneticPr fontId="4"/>
  </si>
  <si>
    <t>362比例東海民主23</t>
    <rPh sb="3" eb="5">
      <t>ヒレイ</t>
    </rPh>
    <rPh sb="5" eb="7">
      <t>トウカイ</t>
    </rPh>
    <rPh sb="7" eb="9">
      <t>ミンシュ</t>
    </rPh>
    <phoneticPr fontId="4"/>
  </si>
  <si>
    <t>杉本　和巳</t>
    <rPh sb="0" eb="2">
      <t>スギモト</t>
    </rPh>
    <rPh sb="3" eb="5">
      <t>カズミ</t>
    </rPh>
    <phoneticPr fontId="4"/>
  </si>
  <si>
    <t>362比例東海民主12</t>
    <rPh sb="3" eb="5">
      <t>ヒレイ</t>
    </rPh>
    <rPh sb="5" eb="7">
      <t>トウカイ</t>
    </rPh>
    <rPh sb="7" eb="9">
      <t>ミンシュ</t>
    </rPh>
    <phoneticPr fontId="4"/>
  </si>
  <si>
    <t>阿部　卓也</t>
    <rPh sb="0" eb="2">
      <t>アベ</t>
    </rPh>
    <rPh sb="3" eb="5">
      <t>タクヤ</t>
    </rPh>
    <phoneticPr fontId="4"/>
  </si>
  <si>
    <t>362比例東海民主32</t>
    <rPh sb="3" eb="5">
      <t>ヒレイ</t>
    </rPh>
    <rPh sb="5" eb="7">
      <t>トウカイ</t>
    </rPh>
    <rPh sb="7" eb="9">
      <t>ミンシュ</t>
    </rPh>
    <phoneticPr fontId="4"/>
  </si>
  <si>
    <t>金子　洋一</t>
    <rPh sb="0" eb="2">
      <t>カネコ</t>
    </rPh>
    <rPh sb="3" eb="5">
      <t>ヨウイチ</t>
    </rPh>
    <phoneticPr fontId="4"/>
  </si>
  <si>
    <t>362比例東海民主06</t>
    <rPh sb="3" eb="5">
      <t>ヒレイ</t>
    </rPh>
    <rPh sb="5" eb="7">
      <t>トウカイ</t>
    </rPh>
    <rPh sb="7" eb="9">
      <t>ミンシュ</t>
    </rPh>
    <phoneticPr fontId="4"/>
  </si>
  <si>
    <t>牧野　聖修</t>
    <rPh sb="0" eb="2">
      <t>マキノ</t>
    </rPh>
    <rPh sb="3" eb="4">
      <t>セイ</t>
    </rPh>
    <rPh sb="4" eb="5">
      <t>オサ</t>
    </rPh>
    <phoneticPr fontId="4"/>
  </si>
  <si>
    <t>362比例東海民主28</t>
    <rPh sb="3" eb="5">
      <t>ヒレイ</t>
    </rPh>
    <rPh sb="5" eb="7">
      <t>トウカイ</t>
    </rPh>
    <rPh sb="7" eb="9">
      <t>ミンシュ</t>
    </rPh>
    <phoneticPr fontId="4"/>
  </si>
  <si>
    <t>森本　和義</t>
    <rPh sb="0" eb="2">
      <t>モリモト</t>
    </rPh>
    <rPh sb="3" eb="5">
      <t>カズヨシ</t>
    </rPh>
    <phoneticPr fontId="4"/>
  </si>
  <si>
    <t>362比例東海民主05</t>
    <rPh sb="3" eb="5">
      <t>ヒレイ</t>
    </rPh>
    <rPh sb="5" eb="7">
      <t>トウカイ</t>
    </rPh>
    <rPh sb="7" eb="9">
      <t>ミンシュ</t>
    </rPh>
    <phoneticPr fontId="4"/>
  </si>
  <si>
    <t>阿知波　吉信</t>
    <rPh sb="0" eb="1">
      <t>ア</t>
    </rPh>
    <rPh sb="1" eb="2">
      <t>シ</t>
    </rPh>
    <rPh sb="2" eb="3">
      <t>ナミ</t>
    </rPh>
    <rPh sb="4" eb="6">
      <t>ヨシノブ</t>
    </rPh>
    <phoneticPr fontId="4"/>
  </si>
  <si>
    <t>362比例東海民主08</t>
    <rPh sb="3" eb="5">
      <t>ヒレイ</t>
    </rPh>
    <rPh sb="5" eb="7">
      <t>トウカイ</t>
    </rPh>
    <rPh sb="7" eb="9">
      <t>ミンシュ</t>
    </rPh>
    <phoneticPr fontId="4"/>
  </si>
  <si>
    <t>平島　広志</t>
    <rPh sb="0" eb="2">
      <t>ヒラシマ</t>
    </rPh>
    <rPh sb="3" eb="5">
      <t>ヒロシ</t>
    </rPh>
    <phoneticPr fontId="4"/>
  </si>
  <si>
    <t>362比例東海民主02</t>
    <rPh sb="3" eb="5">
      <t>ヒレイ</t>
    </rPh>
    <rPh sb="5" eb="7">
      <t>トウカイ</t>
    </rPh>
    <rPh sb="7" eb="9">
      <t>ミンシュ</t>
    </rPh>
    <phoneticPr fontId="4"/>
  </si>
  <si>
    <t>大石　里奈</t>
    <rPh sb="0" eb="2">
      <t>オオイシ</t>
    </rPh>
    <rPh sb="3" eb="5">
      <t>リナ</t>
    </rPh>
    <phoneticPr fontId="4"/>
  </si>
  <si>
    <t>362比例東海民主01</t>
    <rPh sb="3" eb="5">
      <t>ヒレイ</t>
    </rPh>
    <rPh sb="5" eb="7">
      <t>トウカイ</t>
    </rPh>
    <rPh sb="7" eb="9">
      <t>ミンシュ</t>
    </rPh>
    <phoneticPr fontId="4"/>
  </si>
  <si>
    <t>柴橋　正直</t>
    <rPh sb="0" eb="2">
      <t>シバハシ</t>
    </rPh>
    <rPh sb="3" eb="5">
      <t>マサナオ</t>
    </rPh>
    <phoneticPr fontId="4"/>
  </si>
  <si>
    <t>362比例東海民主04</t>
    <rPh sb="3" eb="5">
      <t>ヒレイ</t>
    </rPh>
    <rPh sb="5" eb="7">
      <t>トウカイ</t>
    </rPh>
    <rPh sb="7" eb="9">
      <t>ミンシュ</t>
    </rPh>
    <phoneticPr fontId="4"/>
  </si>
  <si>
    <t>熊谷　正慶</t>
    <rPh sb="0" eb="2">
      <t>クマガイ</t>
    </rPh>
    <rPh sb="3" eb="4">
      <t>タダ</t>
    </rPh>
    <rPh sb="4" eb="5">
      <t>ケイ</t>
    </rPh>
    <phoneticPr fontId="4"/>
  </si>
  <si>
    <t>362比例東海民主10</t>
    <rPh sb="3" eb="5">
      <t>ヒレイ</t>
    </rPh>
    <rPh sb="5" eb="7">
      <t>トウカイ</t>
    </rPh>
    <rPh sb="7" eb="9">
      <t>ミンシュ</t>
    </rPh>
    <phoneticPr fontId="4"/>
  </si>
  <si>
    <t>細野　豪志</t>
    <rPh sb="0" eb="2">
      <t>ホソノ</t>
    </rPh>
    <rPh sb="3" eb="4">
      <t>ゴウ</t>
    </rPh>
    <rPh sb="4" eb="5">
      <t>シ</t>
    </rPh>
    <phoneticPr fontId="4"/>
  </si>
  <si>
    <t>362比例東海民主11</t>
    <rPh sb="3" eb="5">
      <t>ヒレイ</t>
    </rPh>
    <rPh sb="5" eb="7">
      <t>トウカイ</t>
    </rPh>
    <rPh sb="7" eb="9">
      <t>ミンシュ</t>
    </rPh>
    <phoneticPr fontId="4"/>
  </si>
  <si>
    <t>渡辺　周</t>
    <rPh sb="0" eb="2">
      <t>ワタナベ</t>
    </rPh>
    <rPh sb="3" eb="4">
      <t>シュウ</t>
    </rPh>
    <phoneticPr fontId="4"/>
  </si>
  <si>
    <t>362比例東海民主14</t>
    <rPh sb="3" eb="5">
      <t>ヒレイ</t>
    </rPh>
    <rPh sb="5" eb="7">
      <t>トウカイ</t>
    </rPh>
    <rPh sb="7" eb="9">
      <t>ミンシュ</t>
    </rPh>
    <phoneticPr fontId="4"/>
  </si>
  <si>
    <t>河村　たかし</t>
    <rPh sb="0" eb="2">
      <t>カワムラ</t>
    </rPh>
    <phoneticPr fontId="4"/>
  </si>
  <si>
    <t>362比例東海民主15</t>
    <rPh sb="3" eb="5">
      <t>ヒレイ</t>
    </rPh>
    <rPh sb="5" eb="7">
      <t>トウカイ</t>
    </rPh>
    <rPh sb="7" eb="9">
      <t>ミンシュ</t>
    </rPh>
    <phoneticPr fontId="4"/>
  </si>
  <si>
    <t>古川　元久</t>
    <rPh sb="0" eb="2">
      <t>フルカワ</t>
    </rPh>
    <rPh sb="3" eb="5">
      <t>モトヒサ</t>
    </rPh>
    <phoneticPr fontId="4"/>
  </si>
  <si>
    <t>362比例東海民主16</t>
    <rPh sb="3" eb="5">
      <t>ヒレイ</t>
    </rPh>
    <rPh sb="5" eb="7">
      <t>トウカイ</t>
    </rPh>
    <rPh sb="7" eb="9">
      <t>ミンシュ</t>
    </rPh>
    <phoneticPr fontId="4"/>
  </si>
  <si>
    <t>近藤　昭一</t>
    <rPh sb="0" eb="2">
      <t>コンドウ</t>
    </rPh>
    <rPh sb="3" eb="5">
      <t>ショウイチ</t>
    </rPh>
    <phoneticPr fontId="4"/>
  </si>
  <si>
    <t>362比例東海民主17</t>
    <rPh sb="3" eb="5">
      <t>ヒレイ</t>
    </rPh>
    <rPh sb="5" eb="7">
      <t>トウカイ</t>
    </rPh>
    <rPh sb="7" eb="9">
      <t>ミンシュ</t>
    </rPh>
    <phoneticPr fontId="4"/>
  </si>
  <si>
    <t>牧　義夫</t>
    <rPh sb="0" eb="1">
      <t>マキ</t>
    </rPh>
    <rPh sb="2" eb="4">
      <t>ヨシオ</t>
    </rPh>
    <phoneticPr fontId="4"/>
  </si>
  <si>
    <t>362比例東海民主24</t>
    <rPh sb="3" eb="5">
      <t>ヒレイ</t>
    </rPh>
    <rPh sb="5" eb="7">
      <t>トウカイ</t>
    </rPh>
    <rPh sb="7" eb="9">
      <t>ミンシュ</t>
    </rPh>
    <phoneticPr fontId="4"/>
  </si>
  <si>
    <t>古本　伸一郎</t>
    <rPh sb="0" eb="2">
      <t>フルモト</t>
    </rPh>
    <rPh sb="3" eb="6">
      <t>シンイチロウ</t>
    </rPh>
    <phoneticPr fontId="4"/>
  </si>
  <si>
    <t>362比例東海民主27</t>
    <rPh sb="3" eb="5">
      <t>ヒレイ</t>
    </rPh>
    <rPh sb="5" eb="7">
      <t>トウカイ</t>
    </rPh>
    <rPh sb="7" eb="9">
      <t>ミンシュ</t>
    </rPh>
    <phoneticPr fontId="4"/>
  </si>
  <si>
    <t>鈴木　克昌</t>
    <rPh sb="0" eb="2">
      <t>スズキ</t>
    </rPh>
    <rPh sb="3" eb="5">
      <t>カツマサ</t>
    </rPh>
    <phoneticPr fontId="4"/>
  </si>
  <si>
    <t>362比例東海民主30</t>
    <rPh sb="3" eb="5">
      <t>ヒレイ</t>
    </rPh>
    <rPh sb="5" eb="7">
      <t>トウカイ</t>
    </rPh>
    <rPh sb="7" eb="9">
      <t>ミンシュ</t>
    </rPh>
    <phoneticPr fontId="4"/>
  </si>
  <si>
    <t>中川　正春</t>
    <rPh sb="0" eb="2">
      <t>ナカガワ</t>
    </rPh>
    <rPh sb="3" eb="5">
      <t>マサハル</t>
    </rPh>
    <phoneticPr fontId="4"/>
  </si>
  <si>
    <t>363比例東海公明01</t>
    <rPh sb="3" eb="5">
      <t>ヒレイ</t>
    </rPh>
    <rPh sb="5" eb="7">
      <t>トウカイ</t>
    </rPh>
    <rPh sb="7" eb="9">
      <t>コウメイ</t>
    </rPh>
    <phoneticPr fontId="4"/>
  </si>
  <si>
    <t>坂口　力</t>
    <rPh sb="0" eb="2">
      <t>サカグチ</t>
    </rPh>
    <rPh sb="3" eb="4">
      <t>チカラ</t>
    </rPh>
    <phoneticPr fontId="4"/>
  </si>
  <si>
    <t>363比例東海公明02</t>
    <rPh sb="3" eb="5">
      <t>ヒレイ</t>
    </rPh>
    <rPh sb="5" eb="7">
      <t>トウカイ</t>
    </rPh>
    <rPh sb="7" eb="9">
      <t>コウメイ</t>
    </rPh>
    <phoneticPr fontId="4"/>
  </si>
  <si>
    <t>大口　善徳</t>
    <rPh sb="0" eb="2">
      <t>オオクチ</t>
    </rPh>
    <rPh sb="3" eb="4">
      <t>ゼン</t>
    </rPh>
    <rPh sb="4" eb="5">
      <t>トク</t>
    </rPh>
    <phoneticPr fontId="4"/>
  </si>
  <si>
    <t>363比例東海公明03</t>
    <rPh sb="3" eb="5">
      <t>ヒレイ</t>
    </rPh>
    <rPh sb="5" eb="7">
      <t>トウカイ</t>
    </rPh>
    <rPh sb="7" eb="9">
      <t>コウメイ</t>
    </rPh>
    <phoneticPr fontId="4"/>
  </si>
  <si>
    <t>伊藤　渉</t>
    <rPh sb="0" eb="2">
      <t>イトウ</t>
    </rPh>
    <rPh sb="3" eb="4">
      <t>ワタル</t>
    </rPh>
    <phoneticPr fontId="4"/>
  </si>
  <si>
    <t>363比例東海公明04</t>
    <rPh sb="3" eb="5">
      <t>ヒレイ</t>
    </rPh>
    <rPh sb="5" eb="7">
      <t>トウカイ</t>
    </rPh>
    <rPh sb="7" eb="9">
      <t>コウメイ</t>
    </rPh>
    <phoneticPr fontId="4"/>
  </si>
  <si>
    <t>水野　吉近</t>
    <rPh sb="0" eb="2">
      <t>ミズノ</t>
    </rPh>
    <rPh sb="3" eb="4">
      <t>ヨシ</t>
    </rPh>
    <rPh sb="4" eb="5">
      <t>チカ</t>
    </rPh>
    <phoneticPr fontId="4"/>
  </si>
  <si>
    <t>363比例東海公明05</t>
    <rPh sb="3" eb="5">
      <t>ヒレイ</t>
    </rPh>
    <rPh sb="5" eb="7">
      <t>トウカイ</t>
    </rPh>
    <rPh sb="7" eb="9">
      <t>コウメイ</t>
    </rPh>
    <phoneticPr fontId="4"/>
  </si>
  <si>
    <t>井筒　伸幸</t>
    <rPh sb="0" eb="2">
      <t>イヅツ</t>
    </rPh>
    <rPh sb="3" eb="5">
      <t>ノブユキ</t>
    </rPh>
    <phoneticPr fontId="4"/>
  </si>
  <si>
    <t>364比例東海共産01</t>
    <rPh sb="3" eb="5">
      <t>ヒレイ</t>
    </rPh>
    <rPh sb="5" eb="7">
      <t>トウカイ</t>
    </rPh>
    <rPh sb="7" eb="9">
      <t>キョウサン</t>
    </rPh>
    <phoneticPr fontId="4"/>
  </si>
  <si>
    <t>佐々木　憲昭</t>
    <rPh sb="0" eb="3">
      <t>ササキ</t>
    </rPh>
    <rPh sb="4" eb="6">
      <t>ノリアキ</t>
    </rPh>
    <phoneticPr fontId="4"/>
  </si>
  <si>
    <t>364比例東海共産02</t>
    <rPh sb="3" eb="5">
      <t>ヒレイ</t>
    </rPh>
    <rPh sb="5" eb="7">
      <t>トウカイ</t>
    </rPh>
    <rPh sb="7" eb="9">
      <t>キョウサン</t>
    </rPh>
    <phoneticPr fontId="4"/>
  </si>
  <si>
    <t>瀬古　由起子</t>
    <rPh sb="0" eb="2">
      <t>セコ</t>
    </rPh>
    <rPh sb="3" eb="6">
      <t>ユキコ</t>
    </rPh>
    <phoneticPr fontId="4"/>
  </si>
  <si>
    <t>364比例東海共産03</t>
    <rPh sb="3" eb="5">
      <t>ヒレイ</t>
    </rPh>
    <rPh sb="5" eb="7">
      <t>トウカイ</t>
    </rPh>
    <rPh sb="7" eb="9">
      <t>キョウサン</t>
    </rPh>
    <phoneticPr fontId="4"/>
  </si>
  <si>
    <t>加藤　隆雄</t>
    <rPh sb="0" eb="2">
      <t>カトウ</t>
    </rPh>
    <rPh sb="3" eb="5">
      <t>タカオ</t>
    </rPh>
    <phoneticPr fontId="4"/>
  </si>
  <si>
    <t>365比例東海社民02</t>
    <rPh sb="3" eb="5">
      <t>ヒレイ</t>
    </rPh>
    <rPh sb="5" eb="7">
      <t>トウカイ</t>
    </rPh>
    <rPh sb="7" eb="9">
      <t>シャミン</t>
    </rPh>
    <phoneticPr fontId="4"/>
  </si>
  <si>
    <t>大島　令子</t>
    <rPh sb="0" eb="2">
      <t>オオシマ</t>
    </rPh>
    <rPh sb="3" eb="5">
      <t>レイコ</t>
    </rPh>
    <phoneticPr fontId="4"/>
  </si>
  <si>
    <t>365比例東海社民01</t>
    <rPh sb="3" eb="5">
      <t>ヒレイ</t>
    </rPh>
    <rPh sb="5" eb="7">
      <t>トウカイ</t>
    </rPh>
    <rPh sb="7" eb="9">
      <t>シャミン</t>
    </rPh>
    <phoneticPr fontId="4"/>
  </si>
  <si>
    <t>小林　正和</t>
    <rPh sb="0" eb="2">
      <t>コバヤシ</t>
    </rPh>
    <rPh sb="3" eb="5">
      <t>マサカズ</t>
    </rPh>
    <phoneticPr fontId="4"/>
  </si>
  <si>
    <t>367比例東海日本01</t>
    <rPh sb="3" eb="5">
      <t>ヒレイ</t>
    </rPh>
    <rPh sb="5" eb="7">
      <t>トウカイ</t>
    </rPh>
    <rPh sb="7" eb="9">
      <t>ニホン</t>
    </rPh>
    <phoneticPr fontId="4"/>
  </si>
  <si>
    <t>青山　丘</t>
    <rPh sb="0" eb="2">
      <t>アオヤマ</t>
    </rPh>
    <rPh sb="3" eb="4">
      <t>オカ</t>
    </rPh>
    <phoneticPr fontId="4"/>
  </si>
  <si>
    <t>367比例東海日本02</t>
    <rPh sb="3" eb="5">
      <t>ヒレイ</t>
    </rPh>
    <rPh sb="5" eb="7">
      <t>トウカイ</t>
    </rPh>
    <rPh sb="7" eb="9">
      <t>ニホン</t>
    </rPh>
    <phoneticPr fontId="4"/>
  </si>
  <si>
    <t>森田　裕介</t>
    <rPh sb="0" eb="2">
      <t>モリタ</t>
    </rPh>
    <rPh sb="3" eb="5">
      <t>ユウスケ</t>
    </rPh>
    <phoneticPr fontId="4"/>
  </si>
  <si>
    <t>371比例近畿自民01</t>
    <rPh sb="3" eb="5">
      <t>ヒレイ</t>
    </rPh>
    <rPh sb="5" eb="7">
      <t>キンキ</t>
    </rPh>
    <rPh sb="7" eb="9">
      <t>ジミン</t>
    </rPh>
    <phoneticPr fontId="4"/>
  </si>
  <si>
    <t>近藤　三津枝</t>
    <rPh sb="0" eb="2">
      <t>コンドウ</t>
    </rPh>
    <rPh sb="3" eb="5">
      <t>ミツ</t>
    </rPh>
    <rPh sb="5" eb="6">
      <t>エ</t>
    </rPh>
    <phoneticPr fontId="4"/>
  </si>
  <si>
    <t>371比例近畿自民03</t>
    <rPh sb="3" eb="5">
      <t>ヒレイ</t>
    </rPh>
    <rPh sb="5" eb="7">
      <t>キンキ</t>
    </rPh>
    <rPh sb="7" eb="9">
      <t>ジミン</t>
    </rPh>
    <phoneticPr fontId="4"/>
  </si>
  <si>
    <t>27大阪11</t>
    <rPh sb="2" eb="4">
      <t>オオサカ</t>
    </rPh>
    <phoneticPr fontId="4"/>
  </si>
  <si>
    <t>井脇　ノブ子</t>
    <rPh sb="0" eb="1">
      <t>イ</t>
    </rPh>
    <rPh sb="1" eb="2">
      <t>ワキ</t>
    </rPh>
    <rPh sb="5" eb="6">
      <t>コ</t>
    </rPh>
    <phoneticPr fontId="4"/>
  </si>
  <si>
    <t>371比例近畿自民04</t>
    <rPh sb="3" eb="5">
      <t>ヒレイ</t>
    </rPh>
    <rPh sb="5" eb="7">
      <t>キンキ</t>
    </rPh>
    <rPh sb="7" eb="9">
      <t>ジミン</t>
    </rPh>
    <phoneticPr fontId="4"/>
  </si>
  <si>
    <t>柳本　卓治</t>
    <rPh sb="0" eb="2">
      <t>ヤナギモト</t>
    </rPh>
    <rPh sb="3" eb="4">
      <t>タク</t>
    </rPh>
    <rPh sb="4" eb="5">
      <t>オサ</t>
    </rPh>
    <phoneticPr fontId="4"/>
  </si>
  <si>
    <t>371比例近畿自民07</t>
    <rPh sb="3" eb="5">
      <t>ヒレイ</t>
    </rPh>
    <rPh sb="5" eb="7">
      <t>キンキ</t>
    </rPh>
    <rPh sb="7" eb="9">
      <t>ジミン</t>
    </rPh>
    <phoneticPr fontId="4"/>
  </si>
  <si>
    <t>25滋賀03</t>
    <rPh sb="2" eb="4">
      <t>シガ</t>
    </rPh>
    <phoneticPr fontId="4"/>
  </si>
  <si>
    <t>宇野　治</t>
    <rPh sb="0" eb="2">
      <t>ウノ</t>
    </rPh>
    <rPh sb="3" eb="4">
      <t>オサム</t>
    </rPh>
    <phoneticPr fontId="4"/>
  </si>
  <si>
    <t>371比例近畿自民11</t>
    <rPh sb="3" eb="5">
      <t>ヒレイ</t>
    </rPh>
    <rPh sb="5" eb="7">
      <t>キンキ</t>
    </rPh>
    <rPh sb="7" eb="9">
      <t>ジミン</t>
    </rPh>
    <phoneticPr fontId="4"/>
  </si>
  <si>
    <t>26京都03</t>
    <rPh sb="2" eb="4">
      <t>キョウト</t>
    </rPh>
    <phoneticPr fontId="4"/>
  </si>
  <si>
    <t>清水　鴻一郎</t>
    <rPh sb="0" eb="2">
      <t>シミズ</t>
    </rPh>
    <rPh sb="3" eb="4">
      <t>オオトリ</t>
    </rPh>
    <rPh sb="4" eb="6">
      <t>イチロウ</t>
    </rPh>
    <phoneticPr fontId="4"/>
  </si>
  <si>
    <t>371比例近畿自民10</t>
    <rPh sb="3" eb="5">
      <t>ヒレイ</t>
    </rPh>
    <rPh sb="5" eb="7">
      <t>キンキ</t>
    </rPh>
    <rPh sb="7" eb="9">
      <t>ジミン</t>
    </rPh>
    <phoneticPr fontId="4"/>
  </si>
  <si>
    <t>26京都02</t>
    <rPh sb="2" eb="4">
      <t>キョウト</t>
    </rPh>
    <phoneticPr fontId="4"/>
  </si>
  <si>
    <t>山本　朋広</t>
    <rPh sb="0" eb="2">
      <t>ヤマモト</t>
    </rPh>
    <rPh sb="3" eb="5">
      <t>トモヒロ</t>
    </rPh>
    <phoneticPr fontId="4"/>
  </si>
  <si>
    <t>371比例近畿自民14</t>
    <rPh sb="3" eb="5">
      <t>ヒレイ</t>
    </rPh>
    <rPh sb="5" eb="7">
      <t>キンキ</t>
    </rPh>
    <rPh sb="7" eb="9">
      <t>ジミン</t>
    </rPh>
    <phoneticPr fontId="4"/>
  </si>
  <si>
    <t>26京都06</t>
    <rPh sb="2" eb="4">
      <t>キョウト</t>
    </rPh>
    <phoneticPr fontId="4"/>
  </si>
  <si>
    <t>井澤　京子</t>
    <rPh sb="0" eb="2">
      <t>イザワ</t>
    </rPh>
    <rPh sb="3" eb="5">
      <t>キョウコ</t>
    </rPh>
    <phoneticPr fontId="4"/>
  </si>
  <si>
    <t>371比例近畿自民37</t>
    <rPh sb="3" eb="5">
      <t>ヒレイ</t>
    </rPh>
    <rPh sb="5" eb="7">
      <t>キンキ</t>
    </rPh>
    <rPh sb="7" eb="9">
      <t>ジミン</t>
    </rPh>
    <phoneticPr fontId="4"/>
  </si>
  <si>
    <t>29奈良01</t>
    <rPh sb="2" eb="4">
      <t>ナラ</t>
    </rPh>
    <phoneticPr fontId="4"/>
  </si>
  <si>
    <t>鍵田　忠兵衛</t>
    <rPh sb="0" eb="1">
      <t>カギ</t>
    </rPh>
    <rPh sb="1" eb="2">
      <t>タ</t>
    </rPh>
    <rPh sb="3" eb="4">
      <t>チュウ</t>
    </rPh>
    <rPh sb="4" eb="6">
      <t>ヒョウエ</t>
    </rPh>
    <phoneticPr fontId="4"/>
  </si>
  <si>
    <t>371比例近畿自民27</t>
    <rPh sb="3" eb="5">
      <t>ヒレイ</t>
    </rPh>
    <rPh sb="5" eb="7">
      <t>キンキ</t>
    </rPh>
    <rPh sb="7" eb="9">
      <t>ジミン</t>
    </rPh>
    <phoneticPr fontId="4"/>
  </si>
  <si>
    <t>27大阪19</t>
    <rPh sb="2" eb="4">
      <t>オオサカ</t>
    </rPh>
    <phoneticPr fontId="4"/>
  </si>
  <si>
    <t>松浪　健四郎</t>
    <rPh sb="0" eb="2">
      <t>マツナミ</t>
    </rPh>
    <rPh sb="3" eb="4">
      <t>ケン</t>
    </rPh>
    <rPh sb="4" eb="6">
      <t>シロウ</t>
    </rPh>
    <phoneticPr fontId="4"/>
  </si>
  <si>
    <t>371比例近畿自民06</t>
    <rPh sb="3" eb="5">
      <t>ヒレイ</t>
    </rPh>
    <rPh sb="5" eb="7">
      <t>キンキ</t>
    </rPh>
    <rPh sb="7" eb="9">
      <t>ジミン</t>
    </rPh>
    <phoneticPr fontId="4"/>
  </si>
  <si>
    <t>25滋賀02</t>
    <rPh sb="2" eb="4">
      <t>シガ</t>
    </rPh>
    <phoneticPr fontId="4"/>
  </si>
  <si>
    <t>藤井　勇治</t>
    <rPh sb="0" eb="2">
      <t>フジイ</t>
    </rPh>
    <rPh sb="3" eb="5">
      <t>ユウジ</t>
    </rPh>
    <phoneticPr fontId="4"/>
  </si>
  <si>
    <t>371比例近畿自民43</t>
    <rPh sb="3" eb="5">
      <t>ヒレイ</t>
    </rPh>
    <rPh sb="5" eb="7">
      <t>キンキ</t>
    </rPh>
    <rPh sb="7" eb="9">
      <t>ジミン</t>
    </rPh>
    <phoneticPr fontId="4"/>
  </si>
  <si>
    <t>矢野　隆司</t>
    <rPh sb="0" eb="2">
      <t>ヤノ</t>
    </rPh>
    <rPh sb="3" eb="5">
      <t>タカシ</t>
    </rPh>
    <phoneticPr fontId="4"/>
  </si>
  <si>
    <t>371比例近畿自民44</t>
    <rPh sb="3" eb="5">
      <t>ヒレイ</t>
    </rPh>
    <rPh sb="5" eb="7">
      <t>キンキ</t>
    </rPh>
    <rPh sb="7" eb="9">
      <t>ジミン</t>
    </rPh>
    <phoneticPr fontId="4"/>
  </si>
  <si>
    <t>泉原　保二</t>
    <rPh sb="0" eb="1">
      <t>イズミ</t>
    </rPh>
    <rPh sb="1" eb="2">
      <t>ハラ</t>
    </rPh>
    <rPh sb="3" eb="4">
      <t>ホ</t>
    </rPh>
    <rPh sb="4" eb="5">
      <t>ニ</t>
    </rPh>
    <phoneticPr fontId="4"/>
  </si>
  <si>
    <t>371比例近畿自民45</t>
    <rPh sb="3" eb="5">
      <t>ヒレイ</t>
    </rPh>
    <rPh sb="5" eb="7">
      <t>キンキ</t>
    </rPh>
    <rPh sb="7" eb="9">
      <t>ジミン</t>
    </rPh>
    <phoneticPr fontId="4"/>
  </si>
  <si>
    <t>岡本　宏</t>
    <rPh sb="0" eb="2">
      <t>オカモト</t>
    </rPh>
    <rPh sb="3" eb="4">
      <t>ヒロシ</t>
    </rPh>
    <phoneticPr fontId="4"/>
  </si>
  <si>
    <t>371比例近畿自民46</t>
    <rPh sb="3" eb="5">
      <t>ヒレイ</t>
    </rPh>
    <rPh sb="5" eb="7">
      <t>キンキ</t>
    </rPh>
    <rPh sb="7" eb="9">
      <t>ジミン</t>
    </rPh>
    <phoneticPr fontId="4"/>
  </si>
  <si>
    <t>吉本　政雄</t>
    <rPh sb="0" eb="2">
      <t>ヨシモト</t>
    </rPh>
    <rPh sb="3" eb="5">
      <t>マサオ</t>
    </rPh>
    <phoneticPr fontId="4"/>
  </si>
  <si>
    <t>371比例近畿自民02</t>
    <rPh sb="3" eb="5">
      <t>ヒレイ</t>
    </rPh>
    <rPh sb="5" eb="7">
      <t>キンキ</t>
    </rPh>
    <rPh sb="7" eb="9">
      <t>ジミン</t>
    </rPh>
    <phoneticPr fontId="4"/>
  </si>
  <si>
    <t>29奈良02</t>
    <rPh sb="2" eb="4">
      <t>ナラ</t>
    </rPh>
    <phoneticPr fontId="4"/>
  </si>
  <si>
    <t>高市　早苗</t>
    <rPh sb="0" eb="2">
      <t>タカイチ</t>
    </rPh>
    <rPh sb="3" eb="5">
      <t>サナエ</t>
    </rPh>
    <phoneticPr fontId="4"/>
  </si>
  <si>
    <t>371比例近畿自民05</t>
    <rPh sb="3" eb="5">
      <t>ヒレイ</t>
    </rPh>
    <rPh sb="5" eb="7">
      <t>キンキ</t>
    </rPh>
    <rPh sb="7" eb="9">
      <t>ジミン</t>
    </rPh>
    <phoneticPr fontId="4"/>
  </si>
  <si>
    <t>25滋賀01</t>
    <rPh sb="2" eb="4">
      <t>シガ</t>
    </rPh>
    <phoneticPr fontId="4"/>
  </si>
  <si>
    <t>上野　賢一郎</t>
    <rPh sb="0" eb="2">
      <t>ウエノ</t>
    </rPh>
    <rPh sb="3" eb="6">
      <t>ケンイチロウ</t>
    </rPh>
    <phoneticPr fontId="4"/>
  </si>
  <si>
    <t>371比例近畿自民08</t>
    <rPh sb="3" eb="5">
      <t>ヒレイ</t>
    </rPh>
    <rPh sb="5" eb="7">
      <t>キンキ</t>
    </rPh>
    <rPh sb="7" eb="9">
      <t>ジミン</t>
    </rPh>
    <phoneticPr fontId="4"/>
  </si>
  <si>
    <t>25滋賀04</t>
    <rPh sb="2" eb="4">
      <t>シガ</t>
    </rPh>
    <phoneticPr fontId="4"/>
  </si>
  <si>
    <t>岩永　峯一</t>
    <rPh sb="0" eb="2">
      <t>イワナガ</t>
    </rPh>
    <rPh sb="3" eb="4">
      <t>ミネ</t>
    </rPh>
    <rPh sb="4" eb="5">
      <t>イチ</t>
    </rPh>
    <phoneticPr fontId="4"/>
  </si>
  <si>
    <t>371比例近畿自民09</t>
    <rPh sb="3" eb="5">
      <t>ヒレイ</t>
    </rPh>
    <rPh sb="5" eb="7">
      <t>キンキ</t>
    </rPh>
    <rPh sb="7" eb="9">
      <t>ジミン</t>
    </rPh>
    <phoneticPr fontId="4"/>
  </si>
  <si>
    <t>26京都01</t>
    <rPh sb="2" eb="4">
      <t>キョウト</t>
    </rPh>
    <phoneticPr fontId="4"/>
  </si>
  <si>
    <t>伊吹　文明</t>
    <rPh sb="0" eb="2">
      <t>イブキ</t>
    </rPh>
    <rPh sb="3" eb="5">
      <t>ブンメイ</t>
    </rPh>
    <phoneticPr fontId="4"/>
  </si>
  <si>
    <t>371比例近畿自民12</t>
    <rPh sb="3" eb="5">
      <t>ヒレイ</t>
    </rPh>
    <rPh sb="5" eb="7">
      <t>キンキ</t>
    </rPh>
    <rPh sb="7" eb="9">
      <t>ジミン</t>
    </rPh>
    <phoneticPr fontId="4"/>
  </si>
  <si>
    <t>26京都04</t>
    <rPh sb="2" eb="4">
      <t>キョウト</t>
    </rPh>
    <phoneticPr fontId="4"/>
  </si>
  <si>
    <t>中川　泰宏</t>
    <rPh sb="0" eb="2">
      <t>ナカガワ</t>
    </rPh>
    <rPh sb="3" eb="5">
      <t>ヤスヒロ</t>
    </rPh>
    <phoneticPr fontId="4"/>
  </si>
  <si>
    <t>371比例近畿自民13</t>
    <rPh sb="3" eb="5">
      <t>ヒレイ</t>
    </rPh>
    <rPh sb="5" eb="7">
      <t>キンキ</t>
    </rPh>
    <rPh sb="7" eb="9">
      <t>ジミン</t>
    </rPh>
    <phoneticPr fontId="4"/>
  </si>
  <si>
    <t>26京都05</t>
    <rPh sb="2" eb="4">
      <t>キョウト</t>
    </rPh>
    <phoneticPr fontId="4"/>
  </si>
  <si>
    <t>谷垣　禎一</t>
    <rPh sb="0" eb="2">
      <t>タニガキ</t>
    </rPh>
    <rPh sb="3" eb="4">
      <t>サダ</t>
    </rPh>
    <rPh sb="4" eb="5">
      <t>イチ</t>
    </rPh>
    <phoneticPr fontId="4"/>
  </si>
  <si>
    <t>371比例近畿自民15</t>
    <rPh sb="3" eb="5">
      <t>ヒレイ</t>
    </rPh>
    <rPh sb="5" eb="7">
      <t>キンキ</t>
    </rPh>
    <rPh sb="7" eb="9">
      <t>ジミン</t>
    </rPh>
    <phoneticPr fontId="4"/>
  </si>
  <si>
    <t>27大阪01</t>
    <rPh sb="2" eb="4">
      <t>オオサカ</t>
    </rPh>
    <phoneticPr fontId="4"/>
  </si>
  <si>
    <t>中馬　弘毅</t>
    <rPh sb="0" eb="2">
      <t>チュウマ</t>
    </rPh>
    <rPh sb="3" eb="5">
      <t>コウキ</t>
    </rPh>
    <phoneticPr fontId="4"/>
  </si>
  <si>
    <t>371比例近畿自民16</t>
    <rPh sb="3" eb="5">
      <t>ヒレイ</t>
    </rPh>
    <rPh sb="5" eb="7">
      <t>キンキ</t>
    </rPh>
    <rPh sb="7" eb="9">
      <t>ジミン</t>
    </rPh>
    <phoneticPr fontId="4"/>
  </si>
  <si>
    <t>27大阪02</t>
    <rPh sb="2" eb="4">
      <t>オオサカ</t>
    </rPh>
    <phoneticPr fontId="4"/>
  </si>
  <si>
    <t>川条　志嘉</t>
    <rPh sb="0" eb="1">
      <t>カワ</t>
    </rPh>
    <rPh sb="1" eb="2">
      <t>ジョウ</t>
    </rPh>
    <rPh sb="3" eb="4">
      <t>シ</t>
    </rPh>
    <rPh sb="4" eb="5">
      <t>カ</t>
    </rPh>
    <phoneticPr fontId="4"/>
  </si>
  <si>
    <t>371比例近畿自民17</t>
    <rPh sb="3" eb="5">
      <t>ヒレイ</t>
    </rPh>
    <rPh sb="5" eb="7">
      <t>キンキ</t>
    </rPh>
    <rPh sb="7" eb="9">
      <t>ジミン</t>
    </rPh>
    <phoneticPr fontId="4"/>
  </si>
  <si>
    <t>27大阪04</t>
    <rPh sb="2" eb="4">
      <t>オオサカ</t>
    </rPh>
    <phoneticPr fontId="4"/>
  </si>
  <si>
    <t>中山　泰秀</t>
    <rPh sb="0" eb="2">
      <t>ナカヤマ</t>
    </rPh>
    <rPh sb="3" eb="5">
      <t>ヤスヒデ</t>
    </rPh>
    <phoneticPr fontId="4"/>
  </si>
  <si>
    <t>371比例近畿自民18</t>
    <rPh sb="3" eb="5">
      <t>ヒレイ</t>
    </rPh>
    <rPh sb="5" eb="7">
      <t>キンキ</t>
    </rPh>
    <rPh sb="7" eb="9">
      <t>ジミン</t>
    </rPh>
    <phoneticPr fontId="4"/>
  </si>
  <si>
    <t>27大阪07</t>
    <rPh sb="2" eb="4">
      <t>オオサカ</t>
    </rPh>
    <phoneticPr fontId="4"/>
  </si>
  <si>
    <t>渡嘉敷　奈緒美</t>
    <rPh sb="0" eb="3">
      <t>トカシキ</t>
    </rPh>
    <rPh sb="4" eb="7">
      <t>ナオミ</t>
    </rPh>
    <phoneticPr fontId="4"/>
  </si>
  <si>
    <t>371比例近畿自民19</t>
    <rPh sb="3" eb="5">
      <t>ヒレイ</t>
    </rPh>
    <rPh sb="5" eb="7">
      <t>キンキ</t>
    </rPh>
    <rPh sb="7" eb="9">
      <t>ジミン</t>
    </rPh>
    <phoneticPr fontId="4"/>
  </si>
  <si>
    <t>27大阪08</t>
    <rPh sb="2" eb="4">
      <t>オオサカ</t>
    </rPh>
    <phoneticPr fontId="4"/>
  </si>
  <si>
    <t>大塚　高司</t>
    <rPh sb="0" eb="2">
      <t>オオツカ</t>
    </rPh>
    <rPh sb="3" eb="5">
      <t>タカシ</t>
    </rPh>
    <phoneticPr fontId="4"/>
  </si>
  <si>
    <t>371比例近畿自民20</t>
    <rPh sb="3" eb="5">
      <t>ヒレイ</t>
    </rPh>
    <rPh sb="5" eb="7">
      <t>キンキ</t>
    </rPh>
    <rPh sb="7" eb="9">
      <t>ジミン</t>
    </rPh>
    <phoneticPr fontId="4"/>
  </si>
  <si>
    <t>27大阪09</t>
    <rPh sb="2" eb="4">
      <t>オオサカ</t>
    </rPh>
    <phoneticPr fontId="4"/>
  </si>
  <si>
    <t>西田　猛</t>
    <rPh sb="0" eb="2">
      <t>ニシダ</t>
    </rPh>
    <rPh sb="3" eb="4">
      <t>タケシ</t>
    </rPh>
    <phoneticPr fontId="4"/>
  </si>
  <si>
    <t>371比例近畿自民21</t>
    <rPh sb="3" eb="5">
      <t>ヒレイ</t>
    </rPh>
    <rPh sb="5" eb="7">
      <t>キンキ</t>
    </rPh>
    <rPh sb="7" eb="9">
      <t>ジミン</t>
    </rPh>
    <phoneticPr fontId="4"/>
  </si>
  <si>
    <t>27大阪10</t>
    <rPh sb="2" eb="4">
      <t>オオサカ</t>
    </rPh>
    <phoneticPr fontId="4"/>
  </si>
  <si>
    <t>松浪　健太</t>
    <rPh sb="0" eb="2">
      <t>マツナミ</t>
    </rPh>
    <rPh sb="3" eb="5">
      <t>ケンタ</t>
    </rPh>
    <phoneticPr fontId="4"/>
  </si>
  <si>
    <t>371比例近畿自民22</t>
    <rPh sb="3" eb="5">
      <t>ヒレイ</t>
    </rPh>
    <rPh sb="5" eb="7">
      <t>キンキ</t>
    </rPh>
    <rPh sb="7" eb="9">
      <t>ジミン</t>
    </rPh>
    <phoneticPr fontId="4"/>
  </si>
  <si>
    <t>27大阪12</t>
    <rPh sb="2" eb="4">
      <t>オオサカ</t>
    </rPh>
    <phoneticPr fontId="4"/>
  </si>
  <si>
    <t>北川　知克</t>
    <rPh sb="0" eb="2">
      <t>キタガワ</t>
    </rPh>
    <rPh sb="3" eb="4">
      <t>シ</t>
    </rPh>
    <rPh sb="4" eb="5">
      <t>カツ</t>
    </rPh>
    <phoneticPr fontId="4"/>
  </si>
  <si>
    <t>371比例近畿自民23</t>
    <rPh sb="3" eb="5">
      <t>ヒレイ</t>
    </rPh>
    <rPh sb="5" eb="7">
      <t>キンキ</t>
    </rPh>
    <rPh sb="7" eb="9">
      <t>ジミン</t>
    </rPh>
    <phoneticPr fontId="4"/>
  </si>
  <si>
    <t>27大阪13</t>
    <rPh sb="2" eb="4">
      <t>オオサカ</t>
    </rPh>
    <phoneticPr fontId="4"/>
  </si>
  <si>
    <t>西野　あきら</t>
    <rPh sb="0" eb="2">
      <t>ニシノ</t>
    </rPh>
    <phoneticPr fontId="4"/>
  </si>
  <si>
    <t>371比例近畿自民24</t>
    <rPh sb="3" eb="5">
      <t>ヒレイ</t>
    </rPh>
    <rPh sb="5" eb="7">
      <t>キンキ</t>
    </rPh>
    <rPh sb="7" eb="9">
      <t>ジミン</t>
    </rPh>
    <phoneticPr fontId="4"/>
  </si>
  <si>
    <t>27大阪14</t>
    <rPh sb="2" eb="4">
      <t>オオサカ</t>
    </rPh>
    <phoneticPr fontId="4"/>
  </si>
  <si>
    <t>谷畑　孝</t>
    <rPh sb="0" eb="2">
      <t>タニハタ</t>
    </rPh>
    <rPh sb="3" eb="4">
      <t>タカシ</t>
    </rPh>
    <phoneticPr fontId="4"/>
  </si>
  <si>
    <t>371比例近畿自民25</t>
    <rPh sb="3" eb="5">
      <t>ヒレイ</t>
    </rPh>
    <rPh sb="5" eb="7">
      <t>キンキ</t>
    </rPh>
    <rPh sb="7" eb="9">
      <t>ジミン</t>
    </rPh>
    <phoneticPr fontId="4"/>
  </si>
  <si>
    <t>27大阪15</t>
    <rPh sb="2" eb="4">
      <t>オオサカ</t>
    </rPh>
    <phoneticPr fontId="4"/>
  </si>
  <si>
    <t>竹本　直一</t>
    <rPh sb="0" eb="2">
      <t>タケモト</t>
    </rPh>
    <rPh sb="3" eb="5">
      <t>ナオイチ</t>
    </rPh>
    <phoneticPr fontId="4"/>
  </si>
  <si>
    <t>371比例近畿自民26</t>
    <rPh sb="3" eb="5">
      <t>ヒレイ</t>
    </rPh>
    <rPh sb="5" eb="7">
      <t>キンキ</t>
    </rPh>
    <rPh sb="7" eb="9">
      <t>ジミン</t>
    </rPh>
    <phoneticPr fontId="4"/>
  </si>
  <si>
    <t>27大阪17</t>
    <rPh sb="2" eb="4">
      <t>オオサカ</t>
    </rPh>
    <phoneticPr fontId="4"/>
  </si>
  <si>
    <t>岡下　信子</t>
    <rPh sb="0" eb="2">
      <t>オカシタ</t>
    </rPh>
    <rPh sb="3" eb="5">
      <t>ノブコ</t>
    </rPh>
    <phoneticPr fontId="4"/>
  </si>
  <si>
    <t>371比例近畿自民28</t>
    <rPh sb="3" eb="5">
      <t>ヒレイ</t>
    </rPh>
    <rPh sb="5" eb="7">
      <t>キンキ</t>
    </rPh>
    <rPh sb="7" eb="9">
      <t>ジミン</t>
    </rPh>
    <phoneticPr fontId="4"/>
  </si>
  <si>
    <t>28兵庫01</t>
    <rPh sb="2" eb="4">
      <t>ヒョウゴ</t>
    </rPh>
    <phoneticPr fontId="4"/>
  </si>
  <si>
    <t>盛山　正仁</t>
    <rPh sb="0" eb="2">
      <t>モリヤマ</t>
    </rPh>
    <rPh sb="3" eb="5">
      <t>マサヒト</t>
    </rPh>
    <phoneticPr fontId="4"/>
  </si>
  <si>
    <t>371比例近畿自民29</t>
    <rPh sb="3" eb="5">
      <t>ヒレイ</t>
    </rPh>
    <rPh sb="5" eb="7">
      <t>キンキ</t>
    </rPh>
    <rPh sb="7" eb="9">
      <t>ジミン</t>
    </rPh>
    <phoneticPr fontId="4"/>
  </si>
  <si>
    <t>28兵庫03</t>
    <rPh sb="2" eb="4">
      <t>ヒョウゴ</t>
    </rPh>
    <phoneticPr fontId="4"/>
  </si>
  <si>
    <t>関　芳弘</t>
    <rPh sb="0" eb="1">
      <t>セキ</t>
    </rPh>
    <rPh sb="2" eb="4">
      <t>ヨシヒロ</t>
    </rPh>
    <phoneticPr fontId="4"/>
  </si>
  <si>
    <t>371比例近畿自民30</t>
    <rPh sb="3" eb="5">
      <t>ヒレイ</t>
    </rPh>
    <rPh sb="5" eb="7">
      <t>キンキ</t>
    </rPh>
    <rPh sb="7" eb="9">
      <t>ジミン</t>
    </rPh>
    <phoneticPr fontId="4"/>
  </si>
  <si>
    <t>28兵庫05</t>
    <rPh sb="2" eb="4">
      <t>ヒョウゴ</t>
    </rPh>
    <phoneticPr fontId="4"/>
  </si>
  <si>
    <t>谷　公一</t>
    <rPh sb="0" eb="1">
      <t>タニ</t>
    </rPh>
    <rPh sb="2" eb="4">
      <t>コウイチ</t>
    </rPh>
    <phoneticPr fontId="4"/>
  </si>
  <si>
    <t>371比例近畿自民31</t>
    <rPh sb="3" eb="5">
      <t>ヒレイ</t>
    </rPh>
    <rPh sb="5" eb="7">
      <t>キンキ</t>
    </rPh>
    <rPh sb="7" eb="9">
      <t>ジミン</t>
    </rPh>
    <phoneticPr fontId="4"/>
  </si>
  <si>
    <t>28兵庫06</t>
    <rPh sb="2" eb="4">
      <t>ヒョウゴ</t>
    </rPh>
    <phoneticPr fontId="4"/>
  </si>
  <si>
    <t>木挽　司</t>
    <rPh sb="0" eb="1">
      <t>キ</t>
    </rPh>
    <rPh sb="1" eb="2">
      <t>ヒ</t>
    </rPh>
    <rPh sb="3" eb="4">
      <t>ツカサ</t>
    </rPh>
    <phoneticPr fontId="4"/>
  </si>
  <si>
    <t>371比例近畿自民32</t>
    <rPh sb="3" eb="5">
      <t>ヒレイ</t>
    </rPh>
    <rPh sb="5" eb="7">
      <t>キンキ</t>
    </rPh>
    <rPh sb="7" eb="9">
      <t>ジミン</t>
    </rPh>
    <phoneticPr fontId="4"/>
  </si>
  <si>
    <t>28兵庫07</t>
    <rPh sb="2" eb="4">
      <t>ヒョウゴ</t>
    </rPh>
    <phoneticPr fontId="4"/>
  </si>
  <si>
    <t>大前　繁雄</t>
    <rPh sb="0" eb="2">
      <t>オオマエ</t>
    </rPh>
    <rPh sb="3" eb="5">
      <t>シゲオ</t>
    </rPh>
    <phoneticPr fontId="4"/>
  </si>
  <si>
    <t>371比例近畿自民33</t>
    <rPh sb="3" eb="5">
      <t>ヒレイ</t>
    </rPh>
    <rPh sb="5" eb="7">
      <t>キンキ</t>
    </rPh>
    <rPh sb="7" eb="9">
      <t>ジミン</t>
    </rPh>
    <phoneticPr fontId="4"/>
  </si>
  <si>
    <t>28兵庫09</t>
    <rPh sb="2" eb="4">
      <t>ヒョウゴ</t>
    </rPh>
    <phoneticPr fontId="4"/>
  </si>
  <si>
    <t>西村　康稔</t>
    <rPh sb="0" eb="2">
      <t>ニシムラ</t>
    </rPh>
    <rPh sb="3" eb="4">
      <t>ヤス</t>
    </rPh>
    <rPh sb="4" eb="5">
      <t>ミノル</t>
    </rPh>
    <phoneticPr fontId="4"/>
  </si>
  <si>
    <t>371比例近畿自民34</t>
    <rPh sb="3" eb="5">
      <t>ヒレイ</t>
    </rPh>
    <rPh sb="5" eb="7">
      <t>キンキ</t>
    </rPh>
    <rPh sb="7" eb="9">
      <t>ジミン</t>
    </rPh>
    <phoneticPr fontId="4"/>
  </si>
  <si>
    <t>28兵庫10</t>
    <rPh sb="2" eb="4">
      <t>ヒョウゴ</t>
    </rPh>
    <phoneticPr fontId="4"/>
  </si>
  <si>
    <t>渡海　紀三朗</t>
    <rPh sb="0" eb="2">
      <t>トカイ</t>
    </rPh>
    <rPh sb="3" eb="4">
      <t>キ</t>
    </rPh>
    <rPh sb="4" eb="6">
      <t>サブロウ</t>
    </rPh>
    <phoneticPr fontId="4"/>
  </si>
  <si>
    <t>371比例近畿自民35</t>
    <rPh sb="3" eb="5">
      <t>ヒレイ</t>
    </rPh>
    <rPh sb="5" eb="7">
      <t>キンキ</t>
    </rPh>
    <rPh sb="7" eb="9">
      <t>ジミン</t>
    </rPh>
    <phoneticPr fontId="4"/>
  </si>
  <si>
    <t>28兵庫11</t>
    <rPh sb="2" eb="4">
      <t>ヒョウゴ</t>
    </rPh>
    <phoneticPr fontId="4"/>
  </si>
  <si>
    <t>戸井田　徹</t>
    <rPh sb="0" eb="3">
      <t>トイダ</t>
    </rPh>
    <rPh sb="4" eb="5">
      <t>トオル</t>
    </rPh>
    <phoneticPr fontId="4"/>
  </si>
  <si>
    <t>371比例近畿自民36</t>
    <rPh sb="3" eb="5">
      <t>ヒレイ</t>
    </rPh>
    <rPh sb="5" eb="7">
      <t>キンキ</t>
    </rPh>
    <rPh sb="7" eb="9">
      <t>ジミン</t>
    </rPh>
    <phoneticPr fontId="4"/>
  </si>
  <si>
    <t>28兵庫12</t>
    <rPh sb="2" eb="4">
      <t>ヒョウゴ</t>
    </rPh>
    <phoneticPr fontId="4"/>
  </si>
  <si>
    <t>河本　三郎</t>
    <rPh sb="0" eb="2">
      <t>コウモト</t>
    </rPh>
    <rPh sb="3" eb="5">
      <t>サブロウ</t>
    </rPh>
    <phoneticPr fontId="4"/>
  </si>
  <si>
    <t>371比例近畿自民38</t>
    <rPh sb="3" eb="5">
      <t>ヒレイ</t>
    </rPh>
    <rPh sb="5" eb="7">
      <t>キンキ</t>
    </rPh>
    <rPh sb="7" eb="9">
      <t>ジミン</t>
    </rPh>
    <phoneticPr fontId="4"/>
  </si>
  <si>
    <t>29奈良03</t>
    <rPh sb="2" eb="4">
      <t>ナラ</t>
    </rPh>
    <phoneticPr fontId="4"/>
  </si>
  <si>
    <t>奥野　信亮</t>
    <rPh sb="0" eb="2">
      <t>オクノ</t>
    </rPh>
    <rPh sb="3" eb="4">
      <t>ノブ</t>
    </rPh>
    <rPh sb="4" eb="5">
      <t>リョウ</t>
    </rPh>
    <phoneticPr fontId="4"/>
  </si>
  <si>
    <t>371比例近畿自民39</t>
    <rPh sb="3" eb="5">
      <t>ヒレイ</t>
    </rPh>
    <rPh sb="5" eb="7">
      <t>キンキ</t>
    </rPh>
    <rPh sb="7" eb="9">
      <t>ジミン</t>
    </rPh>
    <phoneticPr fontId="4"/>
  </si>
  <si>
    <t>29奈良04</t>
    <rPh sb="2" eb="4">
      <t>ナラ</t>
    </rPh>
    <phoneticPr fontId="4"/>
  </si>
  <si>
    <t>田野瀬　良太郎</t>
    <rPh sb="0" eb="2">
      <t>タノ</t>
    </rPh>
    <rPh sb="2" eb="3">
      <t>セ</t>
    </rPh>
    <rPh sb="4" eb="7">
      <t>リョウタロウ</t>
    </rPh>
    <phoneticPr fontId="4"/>
  </si>
  <si>
    <t>371比例近畿自民40</t>
    <rPh sb="3" eb="5">
      <t>ヒレイ</t>
    </rPh>
    <rPh sb="5" eb="7">
      <t>キンキ</t>
    </rPh>
    <rPh sb="7" eb="9">
      <t>ジミン</t>
    </rPh>
    <phoneticPr fontId="4"/>
  </si>
  <si>
    <t>30和歌山01</t>
    <rPh sb="2" eb="5">
      <t>ワカヤマ</t>
    </rPh>
    <phoneticPr fontId="4"/>
  </si>
  <si>
    <t>谷本　龍哉</t>
    <rPh sb="0" eb="2">
      <t>タニモト</t>
    </rPh>
    <rPh sb="3" eb="4">
      <t>タツ</t>
    </rPh>
    <rPh sb="4" eb="5">
      <t>カナ</t>
    </rPh>
    <phoneticPr fontId="4"/>
  </si>
  <si>
    <t>371比例近畿自民41</t>
    <rPh sb="3" eb="5">
      <t>ヒレイ</t>
    </rPh>
    <rPh sb="5" eb="7">
      <t>キンキ</t>
    </rPh>
    <rPh sb="7" eb="9">
      <t>ジミン</t>
    </rPh>
    <phoneticPr fontId="4"/>
  </si>
  <si>
    <t>30和歌山02</t>
    <rPh sb="2" eb="5">
      <t>ワカヤマ</t>
    </rPh>
    <phoneticPr fontId="4"/>
  </si>
  <si>
    <t>石田　真敏</t>
    <rPh sb="0" eb="2">
      <t>イシダ</t>
    </rPh>
    <rPh sb="3" eb="5">
      <t>シントシ</t>
    </rPh>
    <phoneticPr fontId="4"/>
  </si>
  <si>
    <t>371比例近畿自民42</t>
    <rPh sb="3" eb="5">
      <t>ヒレイ</t>
    </rPh>
    <rPh sb="5" eb="7">
      <t>キンキ</t>
    </rPh>
    <rPh sb="7" eb="9">
      <t>ジミン</t>
    </rPh>
    <phoneticPr fontId="4"/>
  </si>
  <si>
    <t>30和歌山03</t>
    <rPh sb="2" eb="5">
      <t>ワカヤマ</t>
    </rPh>
    <phoneticPr fontId="4"/>
  </si>
  <si>
    <t>二階　俊博</t>
    <rPh sb="0" eb="2">
      <t>ニカイ</t>
    </rPh>
    <rPh sb="3" eb="5">
      <t>トシヒロ</t>
    </rPh>
    <phoneticPr fontId="4"/>
  </si>
  <si>
    <t>372比例近畿民主27</t>
    <rPh sb="3" eb="5">
      <t>ヒレイ</t>
    </rPh>
    <rPh sb="5" eb="7">
      <t>キンキ</t>
    </rPh>
    <rPh sb="7" eb="9">
      <t>ミンシュ</t>
    </rPh>
    <phoneticPr fontId="4"/>
  </si>
  <si>
    <t>西村　眞悟</t>
    <rPh sb="0" eb="1">
      <t>ニシ</t>
    </rPh>
    <rPh sb="1" eb="2">
      <t>ムラ</t>
    </rPh>
    <rPh sb="3" eb="4">
      <t>シン</t>
    </rPh>
    <rPh sb="4" eb="5">
      <t>ゴ</t>
    </rPh>
    <phoneticPr fontId="2"/>
  </si>
  <si>
    <t>372比例近畿民主40</t>
    <rPh sb="3" eb="5">
      <t>ヒレイ</t>
    </rPh>
    <rPh sb="5" eb="7">
      <t>キンキ</t>
    </rPh>
    <rPh sb="7" eb="9">
      <t>ミンシュ</t>
    </rPh>
    <phoneticPr fontId="4"/>
  </si>
  <si>
    <t>松本　剛明</t>
    <rPh sb="0" eb="2">
      <t>マツモト</t>
    </rPh>
    <rPh sb="3" eb="4">
      <t>ゴウ</t>
    </rPh>
    <rPh sb="4" eb="5">
      <t>アカ</t>
    </rPh>
    <phoneticPr fontId="4"/>
  </si>
  <si>
    <t>372比例近畿民主08</t>
    <rPh sb="3" eb="5">
      <t>ヒレイ</t>
    </rPh>
    <rPh sb="5" eb="7">
      <t>キンキ</t>
    </rPh>
    <rPh sb="7" eb="9">
      <t>ミンシュ</t>
    </rPh>
    <phoneticPr fontId="4"/>
  </si>
  <si>
    <t>北神　圭朗</t>
    <rPh sb="0" eb="2">
      <t>キタガミ</t>
    </rPh>
    <rPh sb="3" eb="5">
      <t>ケイロウ</t>
    </rPh>
    <phoneticPr fontId="4"/>
  </si>
  <si>
    <t>372比例近畿民主01</t>
    <rPh sb="3" eb="5">
      <t>ヒレイ</t>
    </rPh>
    <rPh sb="5" eb="7">
      <t>キンキ</t>
    </rPh>
    <rPh sb="7" eb="9">
      <t>ミンシュ</t>
    </rPh>
    <phoneticPr fontId="4"/>
  </si>
  <si>
    <t>川端　達夫</t>
    <rPh sb="0" eb="2">
      <t>カワバタ</t>
    </rPh>
    <rPh sb="3" eb="5">
      <t>タツオ</t>
    </rPh>
    <phoneticPr fontId="4"/>
  </si>
  <si>
    <t>372比例近畿民主32</t>
    <rPh sb="3" eb="5">
      <t>ヒレイ</t>
    </rPh>
    <rPh sb="5" eb="7">
      <t>キンキ</t>
    </rPh>
    <rPh sb="7" eb="9">
      <t>ミンシュ</t>
    </rPh>
    <phoneticPr fontId="4"/>
  </si>
  <si>
    <t>土肥　隆一</t>
    <rPh sb="0" eb="2">
      <t>ドイ</t>
    </rPh>
    <rPh sb="3" eb="5">
      <t>リュウイチ</t>
    </rPh>
    <phoneticPr fontId="4"/>
  </si>
  <si>
    <t>２８改</t>
    <rPh sb="2" eb="3">
      <t>アラタ</t>
    </rPh>
    <phoneticPr fontId="4"/>
  </si>
  <si>
    <t>372比例近畿民主41</t>
    <rPh sb="3" eb="5">
      <t>ヒレイ</t>
    </rPh>
    <rPh sb="5" eb="7">
      <t>キンキ</t>
    </rPh>
    <rPh sb="7" eb="9">
      <t>ミンシュ</t>
    </rPh>
    <phoneticPr fontId="4"/>
  </si>
  <si>
    <t>山口　壯</t>
    <rPh sb="0" eb="2">
      <t>ヤマグチ</t>
    </rPh>
    <phoneticPr fontId="2"/>
  </si>
  <si>
    <t>372比例近畿民主35</t>
    <rPh sb="3" eb="5">
      <t>ヒレイ</t>
    </rPh>
    <rPh sb="5" eb="7">
      <t>キンキ</t>
    </rPh>
    <rPh sb="7" eb="9">
      <t>ミンシュ</t>
    </rPh>
    <phoneticPr fontId="4"/>
  </si>
  <si>
    <t>市村　浩一郎</t>
    <rPh sb="0" eb="2">
      <t>イチムラ</t>
    </rPh>
    <rPh sb="3" eb="6">
      <t>コウイチロウ</t>
    </rPh>
    <phoneticPr fontId="4"/>
  </si>
  <si>
    <t>372比例近畿民主17</t>
    <rPh sb="3" eb="5">
      <t>ヒレイ</t>
    </rPh>
    <rPh sb="5" eb="7">
      <t>キンキ</t>
    </rPh>
    <rPh sb="7" eb="9">
      <t>ミンシュ</t>
    </rPh>
    <phoneticPr fontId="4"/>
  </si>
  <si>
    <t>藤村　修</t>
    <rPh sb="0" eb="2">
      <t>フジムラ</t>
    </rPh>
    <rPh sb="3" eb="4">
      <t>オサム</t>
    </rPh>
    <phoneticPr fontId="4"/>
  </si>
  <si>
    <t>372比例近畿民主04</t>
    <rPh sb="3" eb="5">
      <t>ヒレイ</t>
    </rPh>
    <rPh sb="5" eb="7">
      <t>キンキ</t>
    </rPh>
    <rPh sb="7" eb="9">
      <t>ミンシュ</t>
    </rPh>
    <phoneticPr fontId="4"/>
  </si>
  <si>
    <t>奥村　展三</t>
    <rPh sb="0" eb="2">
      <t>オクムラ</t>
    </rPh>
    <rPh sb="3" eb="4">
      <t>テン</t>
    </rPh>
    <rPh sb="4" eb="5">
      <t>サン</t>
    </rPh>
    <phoneticPr fontId="4"/>
  </si>
  <si>
    <t>372比例近畿民主39</t>
    <rPh sb="3" eb="5">
      <t>ヒレイ</t>
    </rPh>
    <rPh sb="5" eb="7">
      <t>キンキ</t>
    </rPh>
    <rPh sb="7" eb="9">
      <t>ミンシュ</t>
    </rPh>
    <phoneticPr fontId="4"/>
  </si>
  <si>
    <t>岡田　康裕</t>
    <rPh sb="0" eb="2">
      <t>オカダ</t>
    </rPh>
    <rPh sb="3" eb="5">
      <t>ヤスヒロ</t>
    </rPh>
    <phoneticPr fontId="4"/>
  </si>
  <si>
    <t>372比例近畿民主22</t>
    <rPh sb="3" eb="5">
      <t>ヒレイ</t>
    </rPh>
    <rPh sb="5" eb="7">
      <t>キンキ</t>
    </rPh>
    <rPh sb="7" eb="9">
      <t>ミンシュ</t>
    </rPh>
    <phoneticPr fontId="4"/>
  </si>
  <si>
    <t>樽床　伸二</t>
    <rPh sb="0" eb="1">
      <t>タル</t>
    </rPh>
    <rPh sb="1" eb="2">
      <t>ユカ</t>
    </rPh>
    <rPh sb="3" eb="5">
      <t>シンジ</t>
    </rPh>
    <phoneticPr fontId="4"/>
  </si>
  <si>
    <t>372比例近畿民主18</t>
    <rPh sb="3" eb="5">
      <t>ヒレイ</t>
    </rPh>
    <rPh sb="5" eb="7">
      <t>キンキ</t>
    </rPh>
    <rPh sb="7" eb="9">
      <t>ミンシュ</t>
    </rPh>
    <phoneticPr fontId="4"/>
  </si>
  <si>
    <t>中野　寛成</t>
    <rPh sb="0" eb="2">
      <t>ナカノ</t>
    </rPh>
    <rPh sb="3" eb="4">
      <t>ヒロシ</t>
    </rPh>
    <rPh sb="4" eb="5">
      <t>ナ</t>
    </rPh>
    <phoneticPr fontId="4"/>
  </si>
  <si>
    <t>372比例近畿民主31</t>
    <rPh sb="3" eb="5">
      <t>ヒレイ</t>
    </rPh>
    <rPh sb="5" eb="7">
      <t>キンキ</t>
    </rPh>
    <rPh sb="7" eb="9">
      <t>ミンシュ</t>
    </rPh>
    <phoneticPr fontId="4"/>
  </si>
  <si>
    <t>28兵庫02</t>
    <rPh sb="2" eb="4">
      <t>ヒョウゴ</t>
    </rPh>
    <phoneticPr fontId="4"/>
  </si>
  <si>
    <t>泉　房穂</t>
    <rPh sb="0" eb="1">
      <t>イズミ</t>
    </rPh>
    <rPh sb="2" eb="3">
      <t>フサ</t>
    </rPh>
    <rPh sb="3" eb="4">
      <t>ホ</t>
    </rPh>
    <phoneticPr fontId="4"/>
  </si>
  <si>
    <t>372比例近畿民主19</t>
    <rPh sb="3" eb="5">
      <t>ヒレイ</t>
    </rPh>
    <rPh sb="5" eb="7">
      <t>キンキ</t>
    </rPh>
    <rPh sb="7" eb="9">
      <t>ミンシュ</t>
    </rPh>
    <phoneticPr fontId="4"/>
  </si>
  <si>
    <t>大谷　信盛</t>
    <rPh sb="0" eb="2">
      <t>オオタニ</t>
    </rPh>
    <rPh sb="3" eb="4">
      <t>ノブ</t>
    </rPh>
    <rPh sb="4" eb="5">
      <t>モリ</t>
    </rPh>
    <phoneticPr fontId="4"/>
  </si>
  <si>
    <t>372比例近畿民主43</t>
    <rPh sb="3" eb="5">
      <t>ヒレイ</t>
    </rPh>
    <rPh sb="5" eb="7">
      <t>キンキ</t>
    </rPh>
    <rPh sb="7" eb="9">
      <t>ミンシュ</t>
    </rPh>
    <phoneticPr fontId="4"/>
  </si>
  <si>
    <t>中村　哲治</t>
    <rPh sb="0" eb="2">
      <t>ナカムラ</t>
    </rPh>
    <rPh sb="3" eb="5">
      <t>テツジ</t>
    </rPh>
    <phoneticPr fontId="4"/>
  </si>
  <si>
    <t>372比例近畿民主46</t>
    <rPh sb="3" eb="5">
      <t>ヒレイ</t>
    </rPh>
    <rPh sb="5" eb="7">
      <t>キンキ</t>
    </rPh>
    <rPh sb="7" eb="9">
      <t>ミンシュ</t>
    </rPh>
    <phoneticPr fontId="4"/>
  </si>
  <si>
    <t>岸本　周平</t>
    <rPh sb="0" eb="2">
      <t>キシモト</t>
    </rPh>
    <rPh sb="3" eb="5">
      <t>シュウヘイ</t>
    </rPh>
    <phoneticPr fontId="4"/>
  </si>
  <si>
    <t>372比例近畿民主37</t>
    <rPh sb="3" eb="5">
      <t>ヒレイ</t>
    </rPh>
    <rPh sb="5" eb="7">
      <t>キンキ</t>
    </rPh>
    <rPh sb="7" eb="9">
      <t>ミンシュ</t>
    </rPh>
    <phoneticPr fontId="4"/>
  </si>
  <si>
    <t>28兵庫08</t>
    <rPh sb="2" eb="4">
      <t>ヒョウゴ</t>
    </rPh>
    <phoneticPr fontId="4"/>
  </si>
  <si>
    <t>室井　邦彦</t>
    <rPh sb="0" eb="2">
      <t>ムロイ</t>
    </rPh>
    <rPh sb="3" eb="5">
      <t>クニヒコ</t>
    </rPh>
    <phoneticPr fontId="4"/>
  </si>
  <si>
    <t>372比例近畿民主34</t>
    <rPh sb="3" eb="5">
      <t>ヒレイ</t>
    </rPh>
    <rPh sb="5" eb="7">
      <t>キンキ</t>
    </rPh>
    <rPh sb="7" eb="9">
      <t>ミンシュ</t>
    </rPh>
    <phoneticPr fontId="4"/>
  </si>
  <si>
    <t>梶原　康弘</t>
    <rPh sb="0" eb="2">
      <t>カジハラ</t>
    </rPh>
    <rPh sb="3" eb="5">
      <t>ヤスヒロ</t>
    </rPh>
    <phoneticPr fontId="4"/>
  </si>
  <si>
    <t>372比例近畿民主15</t>
    <rPh sb="3" eb="5">
      <t>ヒレイ</t>
    </rPh>
    <rPh sb="5" eb="7">
      <t>キンキ</t>
    </rPh>
    <rPh sb="7" eb="9">
      <t>ミンシュ</t>
    </rPh>
    <phoneticPr fontId="4"/>
  </si>
  <si>
    <t>27大阪05</t>
    <rPh sb="2" eb="4">
      <t>オオサカ</t>
    </rPh>
    <phoneticPr fontId="4"/>
  </si>
  <si>
    <t>稲見　哲男</t>
    <rPh sb="0" eb="2">
      <t>イナミ</t>
    </rPh>
    <rPh sb="3" eb="5">
      <t>テツオ</t>
    </rPh>
    <phoneticPr fontId="4"/>
  </si>
  <si>
    <t>372比例近畿民主44</t>
    <rPh sb="3" eb="5">
      <t>ヒレイ</t>
    </rPh>
    <rPh sb="5" eb="7">
      <t>キンキ</t>
    </rPh>
    <rPh sb="7" eb="9">
      <t>ミンシュ</t>
    </rPh>
    <phoneticPr fontId="4"/>
  </si>
  <si>
    <t>吉川　政重</t>
    <rPh sb="0" eb="2">
      <t>ヨシカワ</t>
    </rPh>
    <rPh sb="3" eb="5">
      <t>マサシゲ</t>
    </rPh>
    <phoneticPr fontId="4"/>
  </si>
  <si>
    <t>372比例近畿民主12</t>
    <rPh sb="3" eb="5">
      <t>ヒレイ</t>
    </rPh>
    <rPh sb="5" eb="7">
      <t>キンキ</t>
    </rPh>
    <rPh sb="7" eb="9">
      <t>ミンシュ</t>
    </rPh>
    <phoneticPr fontId="4"/>
  </si>
  <si>
    <t>萩原　仁</t>
    <rPh sb="0" eb="2">
      <t>ハギハラ</t>
    </rPh>
    <rPh sb="3" eb="4">
      <t>ジン</t>
    </rPh>
    <phoneticPr fontId="4"/>
  </si>
  <si>
    <t>372比例近畿民主13</t>
    <rPh sb="3" eb="5">
      <t>ヒレイ</t>
    </rPh>
    <rPh sb="5" eb="7">
      <t>キンキ</t>
    </rPh>
    <rPh sb="7" eb="9">
      <t>ミンシュ</t>
    </rPh>
    <phoneticPr fontId="4"/>
  </si>
  <si>
    <t>27大阪03</t>
    <rPh sb="2" eb="4">
      <t>オオサカ</t>
    </rPh>
    <phoneticPr fontId="4"/>
  </si>
  <si>
    <t>辻　惠</t>
    <rPh sb="0" eb="1">
      <t>ツジ</t>
    </rPh>
    <rPh sb="2" eb="3">
      <t>メグム</t>
    </rPh>
    <phoneticPr fontId="4"/>
  </si>
  <si>
    <t>372比例近畿民主45</t>
    <rPh sb="3" eb="5">
      <t>ヒレイ</t>
    </rPh>
    <rPh sb="5" eb="7">
      <t>キンキ</t>
    </rPh>
    <rPh sb="7" eb="9">
      <t>ミンシュ</t>
    </rPh>
    <phoneticPr fontId="4"/>
  </si>
  <si>
    <t>森下　豊</t>
    <rPh sb="0" eb="2">
      <t>モリシタ</t>
    </rPh>
    <rPh sb="3" eb="4">
      <t>ユタカ</t>
    </rPh>
    <phoneticPr fontId="4"/>
  </si>
  <si>
    <t>372比例近畿民主47</t>
    <rPh sb="3" eb="5">
      <t>ヒレイ</t>
    </rPh>
    <rPh sb="5" eb="7">
      <t>キンキ</t>
    </rPh>
    <rPh sb="7" eb="9">
      <t>ミンシュ</t>
    </rPh>
    <phoneticPr fontId="4"/>
  </si>
  <si>
    <t>岸本　健</t>
    <rPh sb="0" eb="2">
      <t>キシモト</t>
    </rPh>
    <rPh sb="3" eb="4">
      <t>ケン</t>
    </rPh>
    <phoneticPr fontId="4"/>
  </si>
  <si>
    <t>372比例近畿民主26</t>
    <rPh sb="3" eb="5">
      <t>ヒレイ</t>
    </rPh>
    <rPh sb="5" eb="7">
      <t>キンキ</t>
    </rPh>
    <rPh sb="7" eb="9">
      <t>ミンシュ</t>
    </rPh>
    <phoneticPr fontId="4"/>
  </si>
  <si>
    <t>27大阪16</t>
    <rPh sb="2" eb="4">
      <t>オオサカ</t>
    </rPh>
    <phoneticPr fontId="4"/>
  </si>
  <si>
    <t>樽井　良和</t>
    <rPh sb="0" eb="1">
      <t>タル</t>
    </rPh>
    <rPh sb="1" eb="2">
      <t>イ</t>
    </rPh>
    <rPh sb="3" eb="5">
      <t>ヨシカズ</t>
    </rPh>
    <phoneticPr fontId="4"/>
  </si>
  <si>
    <t>372比例近畿民主14</t>
    <rPh sb="3" eb="5">
      <t>ヒレイ</t>
    </rPh>
    <rPh sb="5" eb="7">
      <t>キンキ</t>
    </rPh>
    <rPh sb="7" eb="9">
      <t>ミンシュ</t>
    </rPh>
    <phoneticPr fontId="4"/>
  </si>
  <si>
    <t>吉田　治</t>
    <rPh sb="0" eb="2">
      <t>ヨシダ</t>
    </rPh>
    <rPh sb="3" eb="4">
      <t>オサム</t>
    </rPh>
    <phoneticPr fontId="4"/>
  </si>
  <si>
    <t>372比例近畿民主30</t>
    <rPh sb="3" eb="5">
      <t>ヒレイ</t>
    </rPh>
    <rPh sb="5" eb="7">
      <t>キンキ</t>
    </rPh>
    <rPh sb="7" eb="9">
      <t>ミンシュ</t>
    </rPh>
    <phoneticPr fontId="4"/>
  </si>
  <si>
    <t>石井　一</t>
    <rPh sb="0" eb="2">
      <t>イシイ</t>
    </rPh>
    <rPh sb="3" eb="4">
      <t>イチ</t>
    </rPh>
    <phoneticPr fontId="4"/>
  </si>
  <si>
    <t>372比例近畿民主28</t>
    <rPh sb="3" eb="5">
      <t>ヒレイ</t>
    </rPh>
    <rPh sb="5" eb="7">
      <t>キンキ</t>
    </rPh>
    <rPh sb="7" eb="9">
      <t>ミンシュ</t>
    </rPh>
    <phoneticPr fontId="4"/>
  </si>
  <si>
    <t>27大阪18</t>
    <rPh sb="2" eb="4">
      <t>オオサカ</t>
    </rPh>
    <phoneticPr fontId="4"/>
  </si>
  <si>
    <t>中川　治</t>
    <rPh sb="0" eb="2">
      <t>ナカガワ</t>
    </rPh>
    <rPh sb="3" eb="4">
      <t>オサム</t>
    </rPh>
    <phoneticPr fontId="4"/>
  </si>
  <si>
    <t>372比例近畿民主16</t>
    <rPh sb="3" eb="5">
      <t>ヒレイ</t>
    </rPh>
    <rPh sb="5" eb="7">
      <t>キンキ</t>
    </rPh>
    <rPh sb="7" eb="9">
      <t>ミンシュ</t>
    </rPh>
    <phoneticPr fontId="4"/>
  </si>
  <si>
    <t>27大阪06</t>
    <rPh sb="2" eb="4">
      <t>オオサカ</t>
    </rPh>
    <phoneticPr fontId="4"/>
  </si>
  <si>
    <t>村上　史好</t>
    <rPh sb="0" eb="2">
      <t>ムラカミ</t>
    </rPh>
    <rPh sb="3" eb="4">
      <t>シ</t>
    </rPh>
    <rPh sb="4" eb="5">
      <t>ス</t>
    </rPh>
    <phoneticPr fontId="4"/>
  </si>
  <si>
    <t>372比例近畿民主36</t>
    <rPh sb="3" eb="5">
      <t>ヒレイ</t>
    </rPh>
    <rPh sb="5" eb="7">
      <t>キンキ</t>
    </rPh>
    <rPh sb="7" eb="9">
      <t>ミンシュ</t>
    </rPh>
    <phoneticPr fontId="4"/>
  </si>
  <si>
    <t>石井　登志郎</t>
    <rPh sb="0" eb="2">
      <t>イシイ</t>
    </rPh>
    <rPh sb="3" eb="4">
      <t>ノボル</t>
    </rPh>
    <rPh sb="4" eb="6">
      <t>シロウ</t>
    </rPh>
    <phoneticPr fontId="4"/>
  </si>
  <si>
    <t>372比例近畿民主33</t>
    <rPh sb="3" eb="5">
      <t>ヒレイ</t>
    </rPh>
    <rPh sb="5" eb="7">
      <t>キンキ</t>
    </rPh>
    <rPh sb="7" eb="9">
      <t>ミンシュ</t>
    </rPh>
    <phoneticPr fontId="4"/>
  </si>
  <si>
    <t>28兵庫04</t>
    <rPh sb="2" eb="4">
      <t>ヒョウゴ</t>
    </rPh>
    <phoneticPr fontId="4"/>
  </si>
  <si>
    <t>高橋　昭一</t>
    <rPh sb="0" eb="2">
      <t>タカハシ</t>
    </rPh>
    <rPh sb="3" eb="5">
      <t>ショウイチ</t>
    </rPh>
    <phoneticPr fontId="4"/>
  </si>
  <si>
    <t>372比例近畿民主20</t>
    <rPh sb="3" eb="5">
      <t>ヒレイ</t>
    </rPh>
    <rPh sb="5" eb="7">
      <t>キンキ</t>
    </rPh>
    <rPh sb="7" eb="9">
      <t>ミンシュ</t>
    </rPh>
    <phoneticPr fontId="4"/>
  </si>
  <si>
    <t>肥田　美代子</t>
    <rPh sb="0" eb="2">
      <t>ヒダ</t>
    </rPh>
    <rPh sb="3" eb="6">
      <t>ミヨコ</t>
    </rPh>
    <phoneticPr fontId="4"/>
  </si>
  <si>
    <t>372比例近畿民主11</t>
    <rPh sb="3" eb="5">
      <t>ヒレイ</t>
    </rPh>
    <rPh sb="5" eb="7">
      <t>キンキ</t>
    </rPh>
    <rPh sb="7" eb="9">
      <t>ミンシュ</t>
    </rPh>
    <phoneticPr fontId="4"/>
  </si>
  <si>
    <t>熊田　篤嗣</t>
    <rPh sb="0" eb="2">
      <t>クマダ</t>
    </rPh>
    <rPh sb="3" eb="4">
      <t>アツシ</t>
    </rPh>
    <rPh sb="4" eb="5">
      <t>シ</t>
    </rPh>
    <phoneticPr fontId="4"/>
  </si>
  <si>
    <t>372比例近畿民主05</t>
    <rPh sb="3" eb="5">
      <t>ヒレイ</t>
    </rPh>
    <rPh sb="5" eb="7">
      <t>キンキ</t>
    </rPh>
    <rPh sb="7" eb="9">
      <t>ミンシュ</t>
    </rPh>
    <phoneticPr fontId="4"/>
  </si>
  <si>
    <t>玉置　一弥</t>
    <rPh sb="0" eb="2">
      <t>タマオキ</t>
    </rPh>
    <rPh sb="3" eb="5">
      <t>カズヤ</t>
    </rPh>
    <phoneticPr fontId="4"/>
  </si>
  <si>
    <t>372比例近畿民主24</t>
    <rPh sb="3" eb="5">
      <t>ヒレイ</t>
    </rPh>
    <rPh sb="5" eb="7">
      <t>キンキ</t>
    </rPh>
    <rPh sb="7" eb="9">
      <t>ミンシュ</t>
    </rPh>
    <phoneticPr fontId="4"/>
  </si>
  <si>
    <t>長尾　敬</t>
    <rPh sb="0" eb="2">
      <t>ナガオ</t>
    </rPh>
    <rPh sb="3" eb="4">
      <t>ケイ</t>
    </rPh>
    <phoneticPr fontId="4"/>
  </si>
  <si>
    <t>372比例近畿民主25</t>
    <rPh sb="3" eb="5">
      <t>ヒレイ</t>
    </rPh>
    <rPh sb="5" eb="7">
      <t>キンキ</t>
    </rPh>
    <rPh sb="7" eb="9">
      <t>ミンシュ</t>
    </rPh>
    <phoneticPr fontId="4"/>
  </si>
  <si>
    <t>堺井　裕貴</t>
    <rPh sb="0" eb="1">
      <t>サカイ</t>
    </rPh>
    <rPh sb="1" eb="2">
      <t>イ</t>
    </rPh>
    <rPh sb="3" eb="4">
      <t>ユウ</t>
    </rPh>
    <rPh sb="4" eb="5">
      <t>キ</t>
    </rPh>
    <phoneticPr fontId="4"/>
  </si>
  <si>
    <t>372比例近畿民主09</t>
    <rPh sb="3" eb="5">
      <t>ヒレイ</t>
    </rPh>
    <rPh sb="5" eb="7">
      <t>キンキ</t>
    </rPh>
    <rPh sb="7" eb="9">
      <t>ミンシュ</t>
    </rPh>
    <phoneticPr fontId="4"/>
  </si>
  <si>
    <t>小林　哲也</t>
    <rPh sb="0" eb="2">
      <t>コバヤシ</t>
    </rPh>
    <rPh sb="3" eb="5">
      <t>テツヤ</t>
    </rPh>
    <phoneticPr fontId="4"/>
  </si>
  <si>
    <t>372比例近畿民主38</t>
    <rPh sb="3" eb="5">
      <t>ヒレイ</t>
    </rPh>
    <rPh sb="5" eb="7">
      <t>キンキ</t>
    </rPh>
    <rPh sb="7" eb="9">
      <t>ミンシュ</t>
    </rPh>
    <phoneticPr fontId="4"/>
  </si>
  <si>
    <t>畠中　光成</t>
    <rPh sb="0" eb="2">
      <t>ハタナカ</t>
    </rPh>
    <rPh sb="3" eb="5">
      <t>ミツナリ</t>
    </rPh>
    <phoneticPr fontId="4"/>
  </si>
  <si>
    <t>372比例近畿民主23</t>
    <rPh sb="3" eb="5">
      <t>ヒレイ</t>
    </rPh>
    <rPh sb="5" eb="7">
      <t>キンキ</t>
    </rPh>
    <rPh sb="7" eb="9">
      <t>ミンシュ</t>
    </rPh>
    <phoneticPr fontId="4"/>
  </si>
  <si>
    <t>富家　孝</t>
    <rPh sb="0" eb="1">
      <t>トミ</t>
    </rPh>
    <rPh sb="1" eb="2">
      <t>イエ</t>
    </rPh>
    <rPh sb="3" eb="4">
      <t>タカシ</t>
    </rPh>
    <phoneticPr fontId="4"/>
  </si>
  <si>
    <t>372比例近畿民主48</t>
    <rPh sb="3" eb="5">
      <t>ヒレイ</t>
    </rPh>
    <rPh sb="5" eb="7">
      <t>キンキ</t>
    </rPh>
    <rPh sb="7" eb="9">
      <t>ミンシュ</t>
    </rPh>
    <phoneticPr fontId="4"/>
  </si>
  <si>
    <t>真鍋　晃篤</t>
    <rPh sb="0" eb="2">
      <t>マナベ</t>
    </rPh>
    <rPh sb="3" eb="4">
      <t>アキラ</t>
    </rPh>
    <rPh sb="4" eb="5">
      <t>アツシ</t>
    </rPh>
    <phoneticPr fontId="4"/>
  </si>
  <si>
    <t>372比例近畿民主02</t>
    <rPh sb="3" eb="5">
      <t>ヒレイ</t>
    </rPh>
    <rPh sb="5" eb="7">
      <t>キンキ</t>
    </rPh>
    <rPh sb="7" eb="9">
      <t>ミンシュ</t>
    </rPh>
    <phoneticPr fontId="4"/>
  </si>
  <si>
    <t>田島　一成</t>
    <rPh sb="0" eb="2">
      <t>タジマ</t>
    </rPh>
    <rPh sb="3" eb="5">
      <t>イッセイ</t>
    </rPh>
    <phoneticPr fontId="4"/>
  </si>
  <si>
    <t>372比例近畿民主03</t>
    <rPh sb="3" eb="5">
      <t>ヒレイ</t>
    </rPh>
    <rPh sb="5" eb="7">
      <t>キンキ</t>
    </rPh>
    <rPh sb="7" eb="9">
      <t>ミンシュ</t>
    </rPh>
    <phoneticPr fontId="4"/>
  </si>
  <si>
    <t>三日月　大造</t>
    <rPh sb="0" eb="3">
      <t>ミカヅキ</t>
    </rPh>
    <rPh sb="4" eb="5">
      <t>オオ</t>
    </rPh>
    <rPh sb="5" eb="6">
      <t>ツク</t>
    </rPh>
    <phoneticPr fontId="4"/>
  </si>
  <si>
    <t>372比例近畿民主06</t>
    <rPh sb="3" eb="5">
      <t>ヒレイ</t>
    </rPh>
    <rPh sb="5" eb="7">
      <t>キンキ</t>
    </rPh>
    <rPh sb="7" eb="9">
      <t>ミンシュ</t>
    </rPh>
    <phoneticPr fontId="4"/>
  </si>
  <si>
    <t>前原　誠司</t>
    <rPh sb="0" eb="2">
      <t>マエハラ</t>
    </rPh>
    <rPh sb="3" eb="5">
      <t>セイジ</t>
    </rPh>
    <phoneticPr fontId="4"/>
  </si>
  <si>
    <t>372比例近畿民主07</t>
    <rPh sb="3" eb="5">
      <t>ヒレイ</t>
    </rPh>
    <rPh sb="5" eb="7">
      <t>キンキ</t>
    </rPh>
    <rPh sb="7" eb="9">
      <t>ミンシュ</t>
    </rPh>
    <phoneticPr fontId="4"/>
  </si>
  <si>
    <t>泉　健太</t>
    <rPh sb="0" eb="1">
      <t>イズミ</t>
    </rPh>
    <rPh sb="2" eb="4">
      <t>ケンタ</t>
    </rPh>
    <phoneticPr fontId="4"/>
  </si>
  <si>
    <t>372比例近畿民主10</t>
    <rPh sb="3" eb="5">
      <t>ヒレイ</t>
    </rPh>
    <rPh sb="5" eb="7">
      <t>キンキ</t>
    </rPh>
    <rPh sb="7" eb="9">
      <t>ミンシュ</t>
    </rPh>
    <phoneticPr fontId="4"/>
  </si>
  <si>
    <t>山井　和則</t>
    <rPh sb="0" eb="2">
      <t>ヤマイ</t>
    </rPh>
    <rPh sb="3" eb="4">
      <t>ワ</t>
    </rPh>
    <rPh sb="4" eb="5">
      <t>ソク</t>
    </rPh>
    <phoneticPr fontId="4"/>
  </si>
  <si>
    <t>372比例近畿民主21</t>
    <rPh sb="3" eb="5">
      <t>ヒレイ</t>
    </rPh>
    <rPh sb="5" eb="7">
      <t>キンキ</t>
    </rPh>
    <rPh sb="7" eb="9">
      <t>ミンシュ</t>
    </rPh>
    <phoneticPr fontId="4"/>
  </si>
  <si>
    <t>平野　博文</t>
    <rPh sb="0" eb="2">
      <t>ヒラノ</t>
    </rPh>
    <rPh sb="3" eb="5">
      <t>ヒロフミ</t>
    </rPh>
    <phoneticPr fontId="4"/>
  </si>
  <si>
    <t>372比例近畿民主29</t>
    <rPh sb="3" eb="5">
      <t>ヒレイ</t>
    </rPh>
    <rPh sb="5" eb="7">
      <t>キンキ</t>
    </rPh>
    <rPh sb="7" eb="9">
      <t>ミンシュ</t>
    </rPh>
    <phoneticPr fontId="4"/>
  </si>
  <si>
    <t>長安　豊</t>
    <rPh sb="0" eb="2">
      <t>チョウアン</t>
    </rPh>
    <rPh sb="3" eb="4">
      <t>トヨ</t>
    </rPh>
    <phoneticPr fontId="4"/>
  </si>
  <si>
    <t>372比例近畿民主42</t>
    <rPh sb="3" eb="5">
      <t>ヒレイ</t>
    </rPh>
    <rPh sb="5" eb="7">
      <t>キンキ</t>
    </rPh>
    <rPh sb="7" eb="9">
      <t>ミンシュ</t>
    </rPh>
    <phoneticPr fontId="4"/>
  </si>
  <si>
    <t>馬淵　澄夫</t>
    <rPh sb="0" eb="2">
      <t>マブチ</t>
    </rPh>
    <rPh sb="3" eb="5">
      <t>スミオ</t>
    </rPh>
    <phoneticPr fontId="4"/>
  </si>
  <si>
    <t>373比例近畿公明01</t>
    <rPh sb="3" eb="5">
      <t>ヒレイ</t>
    </rPh>
    <rPh sb="5" eb="7">
      <t>キンキ</t>
    </rPh>
    <rPh sb="7" eb="9">
      <t>コウメイ</t>
    </rPh>
    <phoneticPr fontId="4"/>
  </si>
  <si>
    <t>池坊　保子</t>
    <rPh sb="0" eb="2">
      <t>イケノボウ</t>
    </rPh>
    <rPh sb="3" eb="5">
      <t>ヤスコ</t>
    </rPh>
    <phoneticPr fontId="4"/>
  </si>
  <si>
    <t>373比例近畿公明02</t>
    <rPh sb="3" eb="5">
      <t>ヒレイ</t>
    </rPh>
    <rPh sb="5" eb="7">
      <t>キンキ</t>
    </rPh>
    <rPh sb="7" eb="9">
      <t>コウメイ</t>
    </rPh>
    <phoneticPr fontId="4"/>
  </si>
  <si>
    <t>赤松　正雄</t>
    <rPh sb="0" eb="2">
      <t>アカマツ</t>
    </rPh>
    <rPh sb="3" eb="5">
      <t>マサオ</t>
    </rPh>
    <phoneticPr fontId="4"/>
  </si>
  <si>
    <t>373比例近畿公明03</t>
    <rPh sb="3" eb="5">
      <t>ヒレイ</t>
    </rPh>
    <rPh sb="5" eb="7">
      <t>キンキ</t>
    </rPh>
    <rPh sb="7" eb="9">
      <t>コウメイ</t>
    </rPh>
    <phoneticPr fontId="4"/>
  </si>
  <si>
    <t>佐藤　茂樹</t>
    <rPh sb="0" eb="2">
      <t>サトウ</t>
    </rPh>
    <rPh sb="3" eb="5">
      <t>シゲキ</t>
    </rPh>
    <phoneticPr fontId="4"/>
  </si>
  <si>
    <t>373比例近畿公明04</t>
    <rPh sb="3" eb="5">
      <t>ヒレイ</t>
    </rPh>
    <rPh sb="5" eb="7">
      <t>キンキ</t>
    </rPh>
    <rPh sb="7" eb="9">
      <t>コウメイ</t>
    </rPh>
    <phoneticPr fontId="4"/>
  </si>
  <si>
    <t>西　博義</t>
    <rPh sb="0" eb="1">
      <t>ニシ</t>
    </rPh>
    <rPh sb="2" eb="4">
      <t>ヒロヨシ</t>
    </rPh>
    <phoneticPr fontId="4"/>
  </si>
  <si>
    <t>373比例近畿公明05</t>
    <rPh sb="3" eb="5">
      <t>ヒレイ</t>
    </rPh>
    <rPh sb="5" eb="7">
      <t>キンキ</t>
    </rPh>
    <rPh sb="7" eb="9">
      <t>コウメイ</t>
    </rPh>
    <phoneticPr fontId="4"/>
  </si>
  <si>
    <t>竹内　譲</t>
    <rPh sb="0" eb="2">
      <t>タケウチ</t>
    </rPh>
    <rPh sb="3" eb="4">
      <t>ユズル</t>
    </rPh>
    <phoneticPr fontId="4"/>
  </si>
  <si>
    <t>373比例近畿公明06</t>
    <rPh sb="3" eb="5">
      <t>ヒレイ</t>
    </rPh>
    <rPh sb="5" eb="7">
      <t>キンキ</t>
    </rPh>
    <rPh sb="7" eb="9">
      <t>コウメイ</t>
    </rPh>
    <phoneticPr fontId="4"/>
  </si>
  <si>
    <t>高橋　彰夫</t>
    <rPh sb="0" eb="2">
      <t>タカハシ</t>
    </rPh>
    <rPh sb="3" eb="5">
      <t>アキオ</t>
    </rPh>
    <phoneticPr fontId="4"/>
  </si>
  <si>
    <t>373比例近畿公明07</t>
    <rPh sb="3" eb="5">
      <t>ヒレイ</t>
    </rPh>
    <rPh sb="5" eb="7">
      <t>キンキ</t>
    </rPh>
    <rPh sb="7" eb="9">
      <t>コウメイ</t>
    </rPh>
    <phoneticPr fontId="4"/>
  </si>
  <si>
    <t>南條　博彦</t>
    <rPh sb="0" eb="2">
      <t>ミナミジョウ</t>
    </rPh>
    <rPh sb="3" eb="5">
      <t>ヒロヒコ</t>
    </rPh>
    <phoneticPr fontId="4"/>
  </si>
  <si>
    <t>374比例近畿共産01</t>
    <rPh sb="3" eb="5">
      <t>ヒレイ</t>
    </rPh>
    <rPh sb="5" eb="7">
      <t>キンキ</t>
    </rPh>
    <rPh sb="7" eb="9">
      <t>キョウサン</t>
    </rPh>
    <phoneticPr fontId="4"/>
  </si>
  <si>
    <t>石井　郁子</t>
    <rPh sb="0" eb="2">
      <t>イシイ</t>
    </rPh>
    <rPh sb="3" eb="5">
      <t>イクコ</t>
    </rPh>
    <phoneticPr fontId="4"/>
  </si>
  <si>
    <t>374比例近畿共産02</t>
    <rPh sb="3" eb="5">
      <t>ヒレイ</t>
    </rPh>
    <rPh sb="5" eb="7">
      <t>キンキ</t>
    </rPh>
    <rPh sb="7" eb="9">
      <t>キョウサン</t>
    </rPh>
    <phoneticPr fontId="4"/>
  </si>
  <si>
    <t>穀田　恵二</t>
    <rPh sb="0" eb="1">
      <t>コク</t>
    </rPh>
    <rPh sb="1" eb="2">
      <t>タ</t>
    </rPh>
    <rPh sb="3" eb="5">
      <t>ケイジ</t>
    </rPh>
    <phoneticPr fontId="4"/>
  </si>
  <si>
    <t>374比例近畿共産03</t>
    <rPh sb="3" eb="5">
      <t>ヒレイ</t>
    </rPh>
    <rPh sb="5" eb="7">
      <t>キンキ</t>
    </rPh>
    <rPh sb="7" eb="9">
      <t>キョウサン</t>
    </rPh>
    <phoneticPr fontId="4"/>
  </si>
  <si>
    <t>吉井　英勝</t>
    <rPh sb="0" eb="2">
      <t>ヨシイ</t>
    </rPh>
    <rPh sb="3" eb="4">
      <t>ヒデ</t>
    </rPh>
    <rPh sb="4" eb="5">
      <t>カツ</t>
    </rPh>
    <phoneticPr fontId="4"/>
  </si>
  <si>
    <t>374比例近畿共産04</t>
    <rPh sb="3" eb="5">
      <t>ヒレイ</t>
    </rPh>
    <rPh sb="5" eb="7">
      <t>キンキ</t>
    </rPh>
    <rPh sb="7" eb="9">
      <t>キョウサン</t>
    </rPh>
    <phoneticPr fontId="4"/>
  </si>
  <si>
    <t>山下　芳生</t>
    <rPh sb="0" eb="2">
      <t>ヤマシタ</t>
    </rPh>
    <rPh sb="3" eb="5">
      <t>ヨシオ</t>
    </rPh>
    <phoneticPr fontId="4"/>
  </si>
  <si>
    <t>374比例近畿共産05</t>
    <rPh sb="3" eb="5">
      <t>ヒレイ</t>
    </rPh>
    <rPh sb="5" eb="7">
      <t>キンキ</t>
    </rPh>
    <rPh sb="7" eb="9">
      <t>キョウサン</t>
    </rPh>
    <phoneticPr fontId="4"/>
  </si>
  <si>
    <t>平松　順子</t>
    <rPh sb="0" eb="2">
      <t>ヒラマツ</t>
    </rPh>
    <rPh sb="3" eb="5">
      <t>ジュンコ</t>
    </rPh>
    <phoneticPr fontId="4"/>
  </si>
  <si>
    <t>374比例近畿共産06</t>
    <rPh sb="3" eb="5">
      <t>ヒレイ</t>
    </rPh>
    <rPh sb="5" eb="7">
      <t>キンキ</t>
    </rPh>
    <rPh sb="7" eb="9">
      <t>キョウサン</t>
    </rPh>
    <phoneticPr fontId="4"/>
  </si>
  <si>
    <t>川内　卓</t>
    <rPh sb="0" eb="2">
      <t>カワウチ</t>
    </rPh>
    <rPh sb="3" eb="4">
      <t>タク</t>
    </rPh>
    <phoneticPr fontId="4"/>
  </si>
  <si>
    <t>374比例近畿共産07</t>
    <rPh sb="3" eb="5">
      <t>ヒレイ</t>
    </rPh>
    <rPh sb="5" eb="7">
      <t>キンキ</t>
    </rPh>
    <rPh sb="7" eb="9">
      <t>キョウサン</t>
    </rPh>
    <phoneticPr fontId="4"/>
  </si>
  <si>
    <t>中野　明美</t>
    <rPh sb="0" eb="2">
      <t>ナカノ</t>
    </rPh>
    <rPh sb="3" eb="5">
      <t>アケミ</t>
    </rPh>
    <phoneticPr fontId="4"/>
  </si>
  <si>
    <t>374比例近畿共産08</t>
    <rPh sb="3" eb="5">
      <t>ヒレイ</t>
    </rPh>
    <rPh sb="5" eb="7">
      <t>キンキ</t>
    </rPh>
    <rPh sb="7" eb="9">
      <t>キョウサン</t>
    </rPh>
    <phoneticPr fontId="4"/>
  </si>
  <si>
    <t>下角　力</t>
    <rPh sb="0" eb="1">
      <t>シモ</t>
    </rPh>
    <rPh sb="1" eb="2">
      <t>カド</t>
    </rPh>
    <rPh sb="3" eb="4">
      <t>チカラ</t>
    </rPh>
    <phoneticPr fontId="4"/>
  </si>
  <si>
    <t>375比例近畿社民01</t>
    <rPh sb="3" eb="5">
      <t>ヒレイ</t>
    </rPh>
    <rPh sb="5" eb="7">
      <t>キンキ</t>
    </rPh>
    <rPh sb="7" eb="9">
      <t>シャミン</t>
    </rPh>
    <phoneticPr fontId="4"/>
  </si>
  <si>
    <t>辻元　清美</t>
    <rPh sb="0" eb="2">
      <t>ツジモト</t>
    </rPh>
    <rPh sb="3" eb="5">
      <t>キヨミ</t>
    </rPh>
    <phoneticPr fontId="4"/>
  </si>
  <si>
    <t>375比例近畿社民05</t>
    <rPh sb="3" eb="5">
      <t>ヒレイ</t>
    </rPh>
    <rPh sb="5" eb="7">
      <t>キンキ</t>
    </rPh>
    <rPh sb="7" eb="9">
      <t>シャミン</t>
    </rPh>
    <phoneticPr fontId="4"/>
  </si>
  <si>
    <t>土井　たか子</t>
    <rPh sb="0" eb="2">
      <t>ドイ</t>
    </rPh>
    <rPh sb="5" eb="6">
      <t>コ</t>
    </rPh>
    <phoneticPr fontId="4"/>
  </si>
  <si>
    <t>375比例近畿社民02</t>
    <rPh sb="3" eb="5">
      <t>ヒレイ</t>
    </rPh>
    <rPh sb="5" eb="7">
      <t>キンキ</t>
    </rPh>
    <rPh sb="7" eb="9">
      <t>シャミン</t>
    </rPh>
    <phoneticPr fontId="4"/>
  </si>
  <si>
    <t>中川　智子</t>
    <rPh sb="0" eb="2">
      <t>ナカガワ</t>
    </rPh>
    <rPh sb="3" eb="5">
      <t>トモコ</t>
    </rPh>
    <phoneticPr fontId="4"/>
  </si>
  <si>
    <t>375比例近畿社民03</t>
    <rPh sb="3" eb="5">
      <t>ヒレイ</t>
    </rPh>
    <rPh sb="5" eb="7">
      <t>キンキ</t>
    </rPh>
    <rPh sb="7" eb="9">
      <t>シャミン</t>
    </rPh>
    <phoneticPr fontId="4"/>
  </si>
  <si>
    <t>坂本　洋子</t>
    <rPh sb="0" eb="2">
      <t>サカモト</t>
    </rPh>
    <rPh sb="3" eb="5">
      <t>ヨウコ</t>
    </rPh>
    <phoneticPr fontId="4"/>
  </si>
  <si>
    <t>375比例近畿社民04</t>
    <rPh sb="3" eb="5">
      <t>ヒレイ</t>
    </rPh>
    <rPh sb="5" eb="7">
      <t>キンキ</t>
    </rPh>
    <rPh sb="7" eb="9">
      <t>シャミン</t>
    </rPh>
    <phoneticPr fontId="4"/>
  </si>
  <si>
    <t>植田　至紀</t>
    <rPh sb="0" eb="2">
      <t>ウエダ</t>
    </rPh>
    <rPh sb="3" eb="4">
      <t>イタ</t>
    </rPh>
    <rPh sb="4" eb="5">
      <t>キ</t>
    </rPh>
    <phoneticPr fontId="4"/>
  </si>
  <si>
    <t>377比例近畿日本01</t>
    <rPh sb="3" eb="5">
      <t>ヒレイ</t>
    </rPh>
    <rPh sb="5" eb="7">
      <t>キンキ</t>
    </rPh>
    <rPh sb="7" eb="9">
      <t>ニホン</t>
    </rPh>
    <phoneticPr fontId="4"/>
  </si>
  <si>
    <t>滝　実</t>
    <rPh sb="0" eb="1">
      <t>タキ</t>
    </rPh>
    <rPh sb="2" eb="3">
      <t>ミノル</t>
    </rPh>
    <phoneticPr fontId="4"/>
  </si>
  <si>
    <t>377比例近畿日本02</t>
    <rPh sb="3" eb="5">
      <t>ヒレイ</t>
    </rPh>
    <rPh sb="5" eb="7">
      <t>キンキ</t>
    </rPh>
    <rPh sb="7" eb="9">
      <t>ニホン</t>
    </rPh>
    <phoneticPr fontId="4"/>
  </si>
  <si>
    <t>宮本　一三</t>
    <rPh sb="0" eb="2">
      <t>ミヤモト</t>
    </rPh>
    <rPh sb="3" eb="4">
      <t>イチ</t>
    </rPh>
    <rPh sb="4" eb="5">
      <t>サン</t>
    </rPh>
    <phoneticPr fontId="4"/>
  </si>
  <si>
    <t>(自堀)</t>
    <rPh sb="1" eb="2">
      <t>ジ</t>
    </rPh>
    <rPh sb="2" eb="3">
      <t>ホリ</t>
    </rPh>
    <phoneticPr fontId="4"/>
  </si>
  <si>
    <t>381比例中国自民01</t>
    <rPh sb="3" eb="5">
      <t>ヒレイ</t>
    </rPh>
    <rPh sb="5" eb="7">
      <t>チュウゴク</t>
    </rPh>
    <rPh sb="7" eb="9">
      <t>ジミン</t>
    </rPh>
    <phoneticPr fontId="4"/>
  </si>
  <si>
    <t>33岡山03</t>
    <rPh sb="2" eb="4">
      <t>オカヤマ</t>
    </rPh>
    <phoneticPr fontId="4"/>
  </si>
  <si>
    <t>阿部　俊子</t>
    <rPh sb="0" eb="2">
      <t>アベ</t>
    </rPh>
    <rPh sb="3" eb="5">
      <t>トシコ</t>
    </rPh>
    <phoneticPr fontId="4"/>
  </si>
  <si>
    <t>381比例中国自民02</t>
    <rPh sb="3" eb="5">
      <t>ヒレイ</t>
    </rPh>
    <rPh sb="5" eb="7">
      <t>チュウゴク</t>
    </rPh>
    <rPh sb="7" eb="9">
      <t>ジミン</t>
    </rPh>
    <phoneticPr fontId="4"/>
  </si>
  <si>
    <t>加藤　勝信</t>
    <rPh sb="0" eb="2">
      <t>カトウ</t>
    </rPh>
    <rPh sb="3" eb="5">
      <t>カツノブ</t>
    </rPh>
    <phoneticPr fontId="4"/>
  </si>
  <si>
    <t>381比例中国自民03</t>
    <rPh sb="3" eb="5">
      <t>ヒレイ</t>
    </rPh>
    <rPh sb="5" eb="7">
      <t>チュウゴク</t>
    </rPh>
    <rPh sb="7" eb="9">
      <t>ジミン</t>
    </rPh>
    <phoneticPr fontId="4"/>
  </si>
  <si>
    <t>増原　義剛</t>
    <rPh sb="0" eb="2">
      <t>マスハラ</t>
    </rPh>
    <rPh sb="3" eb="4">
      <t>ギ</t>
    </rPh>
    <rPh sb="4" eb="5">
      <t>ツヨシ</t>
    </rPh>
    <phoneticPr fontId="4"/>
  </si>
  <si>
    <t>381比例中国自民09</t>
    <rPh sb="3" eb="5">
      <t>ヒレイ</t>
    </rPh>
    <rPh sb="5" eb="7">
      <t>チュウゴク</t>
    </rPh>
    <rPh sb="7" eb="9">
      <t>ジミン</t>
    </rPh>
    <phoneticPr fontId="4"/>
  </si>
  <si>
    <t>33岡山02</t>
    <rPh sb="2" eb="4">
      <t>オカヤマ</t>
    </rPh>
    <phoneticPr fontId="4"/>
  </si>
  <si>
    <t>萩原　誠司</t>
    <rPh sb="0" eb="2">
      <t>ハギハラ</t>
    </rPh>
    <rPh sb="3" eb="5">
      <t>セイジ</t>
    </rPh>
    <phoneticPr fontId="4"/>
  </si>
  <si>
    <t>381比例中国自民10</t>
    <rPh sb="3" eb="5">
      <t>ヒレイ</t>
    </rPh>
    <rPh sb="5" eb="7">
      <t>チュウゴク</t>
    </rPh>
    <rPh sb="7" eb="9">
      <t>ジミン</t>
    </rPh>
    <phoneticPr fontId="4"/>
  </si>
  <si>
    <t>33岡山04</t>
    <rPh sb="2" eb="4">
      <t>オカヤマ</t>
    </rPh>
    <phoneticPr fontId="4"/>
  </si>
  <si>
    <t>橋本　岳</t>
    <rPh sb="0" eb="2">
      <t>ハシモト</t>
    </rPh>
    <rPh sb="3" eb="4">
      <t>ガク</t>
    </rPh>
    <phoneticPr fontId="4"/>
  </si>
  <si>
    <t>381比例中国自民22</t>
    <rPh sb="3" eb="5">
      <t>ヒレイ</t>
    </rPh>
    <rPh sb="5" eb="7">
      <t>チュウゴク</t>
    </rPh>
    <rPh sb="7" eb="9">
      <t>ジミン</t>
    </rPh>
    <phoneticPr fontId="4"/>
  </si>
  <si>
    <t>桧田　仁</t>
    <rPh sb="0" eb="1">
      <t>ヒノキ</t>
    </rPh>
    <rPh sb="1" eb="2">
      <t>タ</t>
    </rPh>
    <rPh sb="3" eb="4">
      <t>ジン</t>
    </rPh>
    <phoneticPr fontId="4"/>
  </si>
  <si>
    <t>381比例中国自民23</t>
    <rPh sb="3" eb="5">
      <t>ヒレイ</t>
    </rPh>
    <rPh sb="5" eb="7">
      <t>チュウゴク</t>
    </rPh>
    <rPh sb="7" eb="9">
      <t>ジミン</t>
    </rPh>
    <phoneticPr fontId="4"/>
  </si>
  <si>
    <t>網谷　徹己</t>
    <rPh sb="0" eb="2">
      <t>アミタニ</t>
    </rPh>
    <rPh sb="3" eb="4">
      <t>テツ</t>
    </rPh>
    <rPh sb="4" eb="5">
      <t>オノレ</t>
    </rPh>
    <phoneticPr fontId="4"/>
  </si>
  <si>
    <t>381比例中国自民24</t>
    <rPh sb="3" eb="5">
      <t>ヒレイ</t>
    </rPh>
    <rPh sb="5" eb="7">
      <t>チュウゴク</t>
    </rPh>
    <rPh sb="7" eb="9">
      <t>ジミン</t>
    </rPh>
    <phoneticPr fontId="4"/>
  </si>
  <si>
    <t>松尾　洋治</t>
    <rPh sb="0" eb="2">
      <t>マツオ</t>
    </rPh>
    <rPh sb="3" eb="5">
      <t>ヨウジ</t>
    </rPh>
    <phoneticPr fontId="4"/>
  </si>
  <si>
    <t>381比例中国自民25</t>
    <rPh sb="3" eb="5">
      <t>ヒレイ</t>
    </rPh>
    <rPh sb="5" eb="7">
      <t>チュウゴク</t>
    </rPh>
    <rPh sb="7" eb="9">
      <t>ジミン</t>
    </rPh>
    <phoneticPr fontId="4"/>
  </si>
  <si>
    <t>鈴木　匡信</t>
    <rPh sb="0" eb="2">
      <t>スズキ</t>
    </rPh>
    <rPh sb="3" eb="4">
      <t>キョウ</t>
    </rPh>
    <rPh sb="4" eb="5">
      <t>シン</t>
    </rPh>
    <phoneticPr fontId="4"/>
  </si>
  <si>
    <t>381比例中国自民26</t>
    <rPh sb="3" eb="5">
      <t>ヒレイ</t>
    </rPh>
    <rPh sb="5" eb="7">
      <t>チュウゴク</t>
    </rPh>
    <rPh sb="7" eb="9">
      <t>ジミン</t>
    </rPh>
    <phoneticPr fontId="4"/>
  </si>
  <si>
    <t>長尾　広志</t>
    <rPh sb="0" eb="2">
      <t>ナガオ</t>
    </rPh>
    <rPh sb="3" eb="5">
      <t>ヒロシ</t>
    </rPh>
    <phoneticPr fontId="4"/>
  </si>
  <si>
    <t>381比例中国自民27</t>
    <rPh sb="3" eb="5">
      <t>ヒレイ</t>
    </rPh>
    <rPh sb="5" eb="7">
      <t>チュウゴク</t>
    </rPh>
    <rPh sb="7" eb="9">
      <t>ジミン</t>
    </rPh>
    <phoneticPr fontId="4"/>
  </si>
  <si>
    <t>合田　正</t>
    <rPh sb="0" eb="1">
      <t>ア</t>
    </rPh>
    <rPh sb="1" eb="2">
      <t>タ</t>
    </rPh>
    <rPh sb="3" eb="4">
      <t>タダシ</t>
    </rPh>
    <phoneticPr fontId="4"/>
  </si>
  <si>
    <t>381比例中国自民04</t>
    <rPh sb="3" eb="5">
      <t>ヒレイ</t>
    </rPh>
    <rPh sb="5" eb="7">
      <t>チュウゴク</t>
    </rPh>
    <rPh sb="7" eb="9">
      <t>ジミン</t>
    </rPh>
    <phoneticPr fontId="4"/>
  </si>
  <si>
    <t>31鳥取01</t>
    <rPh sb="2" eb="4">
      <t>トットリ</t>
    </rPh>
    <phoneticPr fontId="4"/>
  </si>
  <si>
    <t>石破　茂</t>
    <rPh sb="0" eb="1">
      <t>イシ</t>
    </rPh>
    <rPh sb="1" eb="2">
      <t>ヤブ</t>
    </rPh>
    <rPh sb="3" eb="4">
      <t>シゲル</t>
    </rPh>
    <phoneticPr fontId="4"/>
  </si>
  <si>
    <t>381比例中国自民05</t>
    <rPh sb="3" eb="5">
      <t>ヒレイ</t>
    </rPh>
    <rPh sb="5" eb="7">
      <t>チュウゴク</t>
    </rPh>
    <rPh sb="7" eb="9">
      <t>ジミン</t>
    </rPh>
    <phoneticPr fontId="4"/>
  </si>
  <si>
    <t>31鳥取02</t>
    <rPh sb="2" eb="4">
      <t>トットリ</t>
    </rPh>
    <phoneticPr fontId="4"/>
  </si>
  <si>
    <t>赤沢　亮正</t>
    <rPh sb="0" eb="2">
      <t>アカザワ</t>
    </rPh>
    <rPh sb="3" eb="4">
      <t>リョウ</t>
    </rPh>
    <rPh sb="4" eb="5">
      <t>タダ</t>
    </rPh>
    <phoneticPr fontId="4"/>
  </si>
  <si>
    <t>381比例中国自民06</t>
    <rPh sb="3" eb="5">
      <t>ヒレイ</t>
    </rPh>
    <rPh sb="5" eb="7">
      <t>チュウゴク</t>
    </rPh>
    <rPh sb="7" eb="9">
      <t>ジミン</t>
    </rPh>
    <phoneticPr fontId="4"/>
  </si>
  <si>
    <t>32島根01</t>
    <rPh sb="2" eb="4">
      <t>シマネ</t>
    </rPh>
    <phoneticPr fontId="4"/>
  </si>
  <si>
    <t>細田　博之</t>
    <rPh sb="0" eb="2">
      <t>ホソダ</t>
    </rPh>
    <rPh sb="3" eb="5">
      <t>ヒロユキ</t>
    </rPh>
    <phoneticPr fontId="4"/>
  </si>
  <si>
    <t>381比例中国自民07</t>
    <rPh sb="3" eb="5">
      <t>ヒレイ</t>
    </rPh>
    <rPh sb="5" eb="7">
      <t>チュウゴク</t>
    </rPh>
    <rPh sb="7" eb="9">
      <t>ジミン</t>
    </rPh>
    <phoneticPr fontId="4"/>
  </si>
  <si>
    <t>32島根02</t>
    <rPh sb="2" eb="4">
      <t>シマネ</t>
    </rPh>
    <phoneticPr fontId="4"/>
  </si>
  <si>
    <t>竹下　亘</t>
    <rPh sb="0" eb="2">
      <t>タケシタ</t>
    </rPh>
    <rPh sb="3" eb="4">
      <t>ワタル</t>
    </rPh>
    <phoneticPr fontId="4"/>
  </si>
  <si>
    <t>381比例中国自民08</t>
    <rPh sb="3" eb="5">
      <t>ヒレイ</t>
    </rPh>
    <rPh sb="5" eb="7">
      <t>チュウゴク</t>
    </rPh>
    <rPh sb="7" eb="9">
      <t>ジミン</t>
    </rPh>
    <phoneticPr fontId="4"/>
  </si>
  <si>
    <t>33岡山01</t>
    <rPh sb="2" eb="4">
      <t>オカヤマ</t>
    </rPh>
    <phoneticPr fontId="4"/>
  </si>
  <si>
    <t>逢沢　一郎</t>
    <rPh sb="0" eb="1">
      <t>アイ</t>
    </rPh>
    <rPh sb="1" eb="2">
      <t>サワ</t>
    </rPh>
    <rPh sb="3" eb="4">
      <t>イチ</t>
    </rPh>
    <rPh sb="4" eb="5">
      <t>ロウ</t>
    </rPh>
    <phoneticPr fontId="2"/>
  </si>
  <si>
    <t>381比例中国自民11</t>
    <rPh sb="3" eb="5">
      <t>ヒレイ</t>
    </rPh>
    <rPh sb="5" eb="7">
      <t>チュウゴク</t>
    </rPh>
    <rPh sb="7" eb="9">
      <t>ジミン</t>
    </rPh>
    <phoneticPr fontId="4"/>
  </si>
  <si>
    <t>33岡山05</t>
    <rPh sb="2" eb="4">
      <t>オカヤマ</t>
    </rPh>
    <phoneticPr fontId="4"/>
  </si>
  <si>
    <t>村田　吉隆</t>
    <rPh sb="0" eb="2">
      <t>ムラタ</t>
    </rPh>
    <rPh sb="3" eb="5">
      <t>ヨシタカ</t>
    </rPh>
    <phoneticPr fontId="4"/>
  </si>
  <si>
    <t>381比例中国自民12</t>
    <rPh sb="3" eb="5">
      <t>ヒレイ</t>
    </rPh>
    <rPh sb="5" eb="7">
      <t>チュウゴク</t>
    </rPh>
    <rPh sb="7" eb="9">
      <t>ジミン</t>
    </rPh>
    <phoneticPr fontId="4"/>
  </si>
  <si>
    <t>34広島01</t>
    <rPh sb="2" eb="4">
      <t>ヒロシマ</t>
    </rPh>
    <phoneticPr fontId="4"/>
  </si>
  <si>
    <t>岸田　文雄</t>
    <rPh sb="0" eb="2">
      <t>キシダ</t>
    </rPh>
    <rPh sb="3" eb="5">
      <t>フミオ</t>
    </rPh>
    <phoneticPr fontId="4"/>
  </si>
  <si>
    <t>381比例中国自民13</t>
    <rPh sb="3" eb="5">
      <t>ヒレイ</t>
    </rPh>
    <rPh sb="5" eb="7">
      <t>チュウゴク</t>
    </rPh>
    <rPh sb="7" eb="9">
      <t>ジミン</t>
    </rPh>
    <phoneticPr fontId="4"/>
  </si>
  <si>
    <t>34広島02</t>
    <rPh sb="2" eb="4">
      <t>ヒロシマ</t>
    </rPh>
    <phoneticPr fontId="4"/>
  </si>
  <si>
    <t>平口　洋</t>
    <rPh sb="0" eb="1">
      <t>ヒラ</t>
    </rPh>
    <rPh sb="1" eb="2">
      <t>グチ</t>
    </rPh>
    <rPh sb="3" eb="4">
      <t>ヨウ</t>
    </rPh>
    <phoneticPr fontId="4"/>
  </si>
  <si>
    <t>381比例中国自民14</t>
    <rPh sb="3" eb="5">
      <t>ヒレイ</t>
    </rPh>
    <rPh sb="5" eb="7">
      <t>チュウゴク</t>
    </rPh>
    <rPh sb="7" eb="9">
      <t>ジミン</t>
    </rPh>
    <phoneticPr fontId="4"/>
  </si>
  <si>
    <t>34広島03</t>
    <rPh sb="2" eb="4">
      <t>ヒロシマ</t>
    </rPh>
    <phoneticPr fontId="4"/>
  </si>
  <si>
    <t>河井　克行</t>
    <rPh sb="0" eb="2">
      <t>カワイ</t>
    </rPh>
    <rPh sb="3" eb="5">
      <t>カツユキ</t>
    </rPh>
    <phoneticPr fontId="4"/>
  </si>
  <si>
    <t>381比例中国自民15</t>
    <rPh sb="3" eb="5">
      <t>ヒレイ</t>
    </rPh>
    <rPh sb="5" eb="7">
      <t>チュウゴク</t>
    </rPh>
    <rPh sb="7" eb="9">
      <t>ジミン</t>
    </rPh>
    <phoneticPr fontId="4"/>
  </si>
  <si>
    <t>34広島04</t>
    <rPh sb="2" eb="4">
      <t>ヒロシマ</t>
    </rPh>
    <phoneticPr fontId="4"/>
  </si>
  <si>
    <t>中川　秀直</t>
    <rPh sb="0" eb="2">
      <t>ナカガワ</t>
    </rPh>
    <rPh sb="3" eb="4">
      <t>ヒデ</t>
    </rPh>
    <rPh sb="4" eb="5">
      <t>ナオ</t>
    </rPh>
    <phoneticPr fontId="4"/>
  </si>
  <si>
    <t>381比例中国自民16</t>
    <rPh sb="3" eb="5">
      <t>ヒレイ</t>
    </rPh>
    <rPh sb="5" eb="7">
      <t>チュウゴク</t>
    </rPh>
    <rPh sb="7" eb="9">
      <t>ジミン</t>
    </rPh>
    <phoneticPr fontId="4"/>
  </si>
  <si>
    <t>34広島05</t>
    <rPh sb="2" eb="4">
      <t>ヒロシマ</t>
    </rPh>
    <phoneticPr fontId="4"/>
  </si>
  <si>
    <t>寺田　稔</t>
    <rPh sb="0" eb="2">
      <t>テラダ</t>
    </rPh>
    <rPh sb="3" eb="4">
      <t>ミノル</t>
    </rPh>
    <phoneticPr fontId="4"/>
  </si>
  <si>
    <t>381比例中国自民17</t>
    <rPh sb="3" eb="5">
      <t>ヒレイ</t>
    </rPh>
    <rPh sb="5" eb="7">
      <t>チュウゴク</t>
    </rPh>
    <rPh sb="7" eb="9">
      <t>ジミン</t>
    </rPh>
    <phoneticPr fontId="4"/>
  </si>
  <si>
    <t>34広島07</t>
    <rPh sb="2" eb="4">
      <t>ヒロシマ</t>
    </rPh>
    <phoneticPr fontId="4"/>
  </si>
  <si>
    <t>宮澤　洋一</t>
    <rPh sb="0" eb="2">
      <t>ミヤザワ</t>
    </rPh>
    <rPh sb="3" eb="5">
      <t>ヨウイチ</t>
    </rPh>
    <phoneticPr fontId="4"/>
  </si>
  <si>
    <t>381比例中国自民18</t>
    <rPh sb="3" eb="5">
      <t>ヒレイ</t>
    </rPh>
    <rPh sb="5" eb="7">
      <t>チュウゴク</t>
    </rPh>
    <rPh sb="7" eb="9">
      <t>ジミン</t>
    </rPh>
    <phoneticPr fontId="4"/>
  </si>
  <si>
    <t>35山口01</t>
    <rPh sb="2" eb="4">
      <t>ヤマグチ</t>
    </rPh>
    <phoneticPr fontId="4"/>
  </si>
  <si>
    <t>高村　正彦</t>
    <rPh sb="0" eb="2">
      <t>コウムラ</t>
    </rPh>
    <rPh sb="3" eb="5">
      <t>マサヒコ</t>
    </rPh>
    <phoneticPr fontId="4"/>
  </si>
  <si>
    <t>381比例中国自民19</t>
    <rPh sb="3" eb="5">
      <t>ヒレイ</t>
    </rPh>
    <rPh sb="5" eb="7">
      <t>チュウゴク</t>
    </rPh>
    <rPh sb="7" eb="9">
      <t>ジミン</t>
    </rPh>
    <phoneticPr fontId="4"/>
  </si>
  <si>
    <t>35山口02</t>
    <rPh sb="2" eb="4">
      <t>ヤマグチ</t>
    </rPh>
    <phoneticPr fontId="4"/>
  </si>
  <si>
    <t>福田　良彦</t>
    <rPh sb="0" eb="2">
      <t>フクダ</t>
    </rPh>
    <rPh sb="3" eb="5">
      <t>ヨシヒコ</t>
    </rPh>
    <phoneticPr fontId="4"/>
  </si>
  <si>
    <t>381比例中国自民20</t>
    <rPh sb="3" eb="5">
      <t>ヒレイ</t>
    </rPh>
    <rPh sb="5" eb="7">
      <t>チュウゴク</t>
    </rPh>
    <rPh sb="7" eb="9">
      <t>ジミン</t>
    </rPh>
    <phoneticPr fontId="4"/>
  </si>
  <si>
    <t>35山口03</t>
    <rPh sb="2" eb="4">
      <t>ヤマグチ</t>
    </rPh>
    <phoneticPr fontId="4"/>
  </si>
  <si>
    <t>河村　建夫</t>
    <rPh sb="0" eb="2">
      <t>カワムラ</t>
    </rPh>
    <rPh sb="3" eb="5">
      <t>タテオ</t>
    </rPh>
    <phoneticPr fontId="4"/>
  </si>
  <si>
    <t>381比例中国自民21</t>
    <rPh sb="3" eb="5">
      <t>ヒレイ</t>
    </rPh>
    <rPh sb="5" eb="7">
      <t>チュウゴク</t>
    </rPh>
    <rPh sb="7" eb="9">
      <t>ジミン</t>
    </rPh>
    <phoneticPr fontId="4"/>
  </si>
  <si>
    <t>35山口04</t>
    <rPh sb="2" eb="4">
      <t>ヤマグチ</t>
    </rPh>
    <phoneticPr fontId="4"/>
  </si>
  <si>
    <t>安倍　晋三</t>
    <rPh sb="0" eb="2">
      <t>アベ</t>
    </rPh>
    <rPh sb="3" eb="4">
      <t>ススム</t>
    </rPh>
    <rPh sb="4" eb="5">
      <t>サン</t>
    </rPh>
    <phoneticPr fontId="4"/>
  </si>
  <si>
    <t>382比例中国民主18</t>
    <rPh sb="3" eb="5">
      <t>ヒレイ</t>
    </rPh>
    <rPh sb="5" eb="7">
      <t>チュウゴク</t>
    </rPh>
    <rPh sb="7" eb="9">
      <t>ミンシュ</t>
    </rPh>
    <phoneticPr fontId="4"/>
  </si>
  <si>
    <t>平岡　秀夫</t>
    <rPh sb="0" eb="2">
      <t>ヒラオカ</t>
    </rPh>
    <rPh sb="3" eb="4">
      <t>ヒデ</t>
    </rPh>
    <rPh sb="4" eb="5">
      <t>オット</t>
    </rPh>
    <phoneticPr fontId="4"/>
  </si>
  <si>
    <t>382比例中国民主14</t>
    <rPh sb="3" eb="5">
      <t>ヒレイ</t>
    </rPh>
    <rPh sb="5" eb="7">
      <t>チュウゴク</t>
    </rPh>
    <rPh sb="7" eb="9">
      <t>ミンシュ</t>
    </rPh>
    <phoneticPr fontId="4"/>
  </si>
  <si>
    <t>三谷　光男</t>
    <rPh sb="0" eb="2">
      <t>ミタニ</t>
    </rPh>
    <rPh sb="3" eb="5">
      <t>ミツオ</t>
    </rPh>
    <phoneticPr fontId="4"/>
  </si>
  <si>
    <t>382比例中国民主11</t>
    <rPh sb="3" eb="5">
      <t>ヒレイ</t>
    </rPh>
    <rPh sb="5" eb="7">
      <t>チュウゴク</t>
    </rPh>
    <rPh sb="7" eb="9">
      <t>ミンシュ</t>
    </rPh>
    <phoneticPr fontId="4"/>
  </si>
  <si>
    <t>松本　大輔</t>
    <rPh sb="0" eb="2">
      <t>マツモト</t>
    </rPh>
    <rPh sb="3" eb="5">
      <t>ダイスケ</t>
    </rPh>
    <phoneticPr fontId="4"/>
  </si>
  <si>
    <t>382比例中国民主16</t>
    <rPh sb="3" eb="5">
      <t>ヒレイ</t>
    </rPh>
    <rPh sb="5" eb="7">
      <t>チュウゴク</t>
    </rPh>
    <rPh sb="7" eb="9">
      <t>ミンシュ</t>
    </rPh>
    <phoneticPr fontId="4"/>
  </si>
  <si>
    <t>和田　隆志</t>
    <rPh sb="0" eb="2">
      <t>ワダ</t>
    </rPh>
    <rPh sb="3" eb="5">
      <t>タカシ</t>
    </rPh>
    <phoneticPr fontId="4"/>
  </si>
  <si>
    <t>382比例中国民主02</t>
    <rPh sb="3" eb="5">
      <t>ヒレイ</t>
    </rPh>
    <rPh sb="5" eb="7">
      <t>チュウゴク</t>
    </rPh>
    <rPh sb="7" eb="9">
      <t>ミンシュ</t>
    </rPh>
    <phoneticPr fontId="4"/>
  </si>
  <si>
    <t>山内　功</t>
    <rPh sb="0" eb="2">
      <t>ヤマウチ</t>
    </rPh>
    <rPh sb="3" eb="4">
      <t>イサオ</t>
    </rPh>
    <phoneticPr fontId="4"/>
  </si>
  <si>
    <t>382比例中国民主12</t>
    <rPh sb="3" eb="5">
      <t>ヒレイ</t>
    </rPh>
    <rPh sb="5" eb="7">
      <t>チュウゴク</t>
    </rPh>
    <rPh sb="7" eb="9">
      <t>ミンシュ</t>
    </rPh>
    <phoneticPr fontId="4"/>
  </si>
  <si>
    <t>橋本　博明</t>
    <rPh sb="0" eb="2">
      <t>ハシモト</t>
    </rPh>
    <rPh sb="3" eb="5">
      <t>ヒロアキ</t>
    </rPh>
    <phoneticPr fontId="4"/>
  </si>
  <si>
    <t>382比例中国民主13</t>
    <rPh sb="3" eb="5">
      <t>ヒレイ</t>
    </rPh>
    <rPh sb="5" eb="7">
      <t>チュウゴク</t>
    </rPh>
    <rPh sb="7" eb="9">
      <t>ミンシュ</t>
    </rPh>
    <phoneticPr fontId="4"/>
  </si>
  <si>
    <t>空本　誠喜</t>
    <rPh sb="0" eb="1">
      <t>ソラ</t>
    </rPh>
    <rPh sb="1" eb="2">
      <t>モト</t>
    </rPh>
    <rPh sb="3" eb="4">
      <t>マコト</t>
    </rPh>
    <rPh sb="4" eb="5">
      <t>ヨロコ</t>
    </rPh>
    <phoneticPr fontId="4"/>
  </si>
  <si>
    <t>382比例中国民主15</t>
    <rPh sb="3" eb="5">
      <t>ヒレイ</t>
    </rPh>
    <rPh sb="5" eb="7">
      <t>チュウゴク</t>
    </rPh>
    <rPh sb="7" eb="9">
      <t>ミンシュ</t>
    </rPh>
    <phoneticPr fontId="4"/>
  </si>
  <si>
    <t>34広島06</t>
    <rPh sb="2" eb="4">
      <t>ヒロシマ</t>
    </rPh>
    <phoneticPr fontId="4"/>
  </si>
  <si>
    <t>佐藤　公治</t>
    <rPh sb="0" eb="2">
      <t>サトウ</t>
    </rPh>
    <rPh sb="3" eb="5">
      <t>コウジ</t>
    </rPh>
    <phoneticPr fontId="4"/>
  </si>
  <si>
    <t>382比例中国民主09</t>
    <rPh sb="3" eb="5">
      <t>ヒレイ</t>
    </rPh>
    <rPh sb="5" eb="7">
      <t>チュウゴク</t>
    </rPh>
    <rPh sb="7" eb="9">
      <t>ミンシュ</t>
    </rPh>
    <phoneticPr fontId="4"/>
  </si>
  <si>
    <t>花咲　宏基</t>
    <rPh sb="0" eb="2">
      <t>ハナサキ</t>
    </rPh>
    <rPh sb="3" eb="5">
      <t>ヒロモト</t>
    </rPh>
    <phoneticPr fontId="4"/>
  </si>
  <si>
    <t>382比例中国民主10</t>
    <rPh sb="3" eb="5">
      <t>ヒレイ</t>
    </rPh>
    <rPh sb="5" eb="7">
      <t>チュウゴク</t>
    </rPh>
    <rPh sb="7" eb="9">
      <t>ミンシュ</t>
    </rPh>
    <phoneticPr fontId="4"/>
  </si>
  <si>
    <t>菅川　洋</t>
    <rPh sb="0" eb="1">
      <t>スゲ</t>
    </rPh>
    <rPh sb="1" eb="2">
      <t>カワ</t>
    </rPh>
    <rPh sb="3" eb="4">
      <t>ヨウ</t>
    </rPh>
    <phoneticPr fontId="4"/>
  </si>
  <si>
    <t>382比例中国民主05</t>
    <rPh sb="3" eb="5">
      <t>ヒレイ</t>
    </rPh>
    <rPh sb="5" eb="7">
      <t>チュウゴク</t>
    </rPh>
    <rPh sb="7" eb="9">
      <t>ミンシュ</t>
    </rPh>
    <phoneticPr fontId="4"/>
  </si>
  <si>
    <t>菅　源太郎</t>
    <rPh sb="0" eb="1">
      <t>カン</t>
    </rPh>
    <rPh sb="2" eb="5">
      <t>ゲンタロウ</t>
    </rPh>
    <phoneticPr fontId="4"/>
  </si>
  <si>
    <t>382比例中国民主03</t>
    <rPh sb="3" eb="5">
      <t>ヒレイ</t>
    </rPh>
    <rPh sb="5" eb="7">
      <t>チュウゴク</t>
    </rPh>
    <rPh sb="7" eb="9">
      <t>ミンシュ</t>
    </rPh>
    <phoneticPr fontId="4"/>
  </si>
  <si>
    <t>浜口　和久</t>
    <rPh sb="0" eb="2">
      <t>ハマグチ</t>
    </rPh>
    <rPh sb="3" eb="5">
      <t>カズヒサ</t>
    </rPh>
    <phoneticPr fontId="4"/>
  </si>
  <si>
    <t>382比例中国民主19</t>
    <rPh sb="3" eb="5">
      <t>ヒレイ</t>
    </rPh>
    <rPh sb="5" eb="7">
      <t>チュウゴク</t>
    </rPh>
    <rPh sb="7" eb="9">
      <t>ミンシュ</t>
    </rPh>
    <phoneticPr fontId="4"/>
  </si>
  <si>
    <t>三浦　昇</t>
    <rPh sb="0" eb="2">
      <t>ミウラ</t>
    </rPh>
    <rPh sb="3" eb="4">
      <t>ノボル</t>
    </rPh>
    <phoneticPr fontId="4"/>
  </si>
  <si>
    <t>382比例中国民主01</t>
    <rPh sb="3" eb="5">
      <t>ヒレイ</t>
    </rPh>
    <rPh sb="5" eb="7">
      <t>チュウゴク</t>
    </rPh>
    <rPh sb="7" eb="9">
      <t>ミンシュ</t>
    </rPh>
    <phoneticPr fontId="4"/>
  </si>
  <si>
    <t>早川　周作</t>
    <rPh sb="0" eb="2">
      <t>ハヤカワ</t>
    </rPh>
    <rPh sb="3" eb="5">
      <t>シュウサク</t>
    </rPh>
    <phoneticPr fontId="4"/>
  </si>
  <si>
    <t>382比例中国民主17</t>
    <rPh sb="3" eb="5">
      <t>ヒレイ</t>
    </rPh>
    <rPh sb="5" eb="7">
      <t>チュウゴク</t>
    </rPh>
    <rPh sb="7" eb="9">
      <t>ミンシュ</t>
    </rPh>
    <phoneticPr fontId="4"/>
  </si>
  <si>
    <t>北角　嘉幸</t>
    <rPh sb="0" eb="1">
      <t>キタ</t>
    </rPh>
    <rPh sb="1" eb="2">
      <t>カド</t>
    </rPh>
    <rPh sb="3" eb="4">
      <t>カ</t>
    </rPh>
    <rPh sb="4" eb="5">
      <t>サイワ</t>
    </rPh>
    <phoneticPr fontId="4"/>
  </si>
  <si>
    <t>382比例中国民主07</t>
    <rPh sb="3" eb="5">
      <t>ヒレイ</t>
    </rPh>
    <rPh sb="5" eb="7">
      <t>チュウゴク</t>
    </rPh>
    <rPh sb="7" eb="9">
      <t>ミンシュ</t>
    </rPh>
    <phoneticPr fontId="4"/>
  </si>
  <si>
    <t>中村　徹夫</t>
    <rPh sb="0" eb="2">
      <t>ナカムラ</t>
    </rPh>
    <rPh sb="3" eb="5">
      <t>テツオ</t>
    </rPh>
    <phoneticPr fontId="4"/>
  </si>
  <si>
    <t>382比例中国民主04</t>
    <rPh sb="3" eb="5">
      <t>ヒレイ</t>
    </rPh>
    <rPh sb="5" eb="7">
      <t>チュウゴク</t>
    </rPh>
    <rPh sb="7" eb="9">
      <t>ミンシュ</t>
    </rPh>
    <phoneticPr fontId="4"/>
  </si>
  <si>
    <t>小室　寿明</t>
    <rPh sb="0" eb="2">
      <t>コムロ</t>
    </rPh>
    <rPh sb="3" eb="4">
      <t>ジュ</t>
    </rPh>
    <rPh sb="4" eb="5">
      <t>アカ</t>
    </rPh>
    <phoneticPr fontId="4"/>
  </si>
  <si>
    <t>382比例中国民主20</t>
    <rPh sb="3" eb="5">
      <t>ヒレイ</t>
    </rPh>
    <rPh sb="5" eb="7">
      <t>チュウゴク</t>
    </rPh>
    <rPh sb="7" eb="9">
      <t>ミンシュ</t>
    </rPh>
    <phoneticPr fontId="4"/>
  </si>
  <si>
    <t>加藤　隆</t>
    <rPh sb="0" eb="2">
      <t>カトウ</t>
    </rPh>
    <rPh sb="3" eb="4">
      <t>タカシ</t>
    </rPh>
    <phoneticPr fontId="4"/>
  </si>
  <si>
    <t>382比例中国民主06</t>
    <rPh sb="3" eb="5">
      <t>ヒレイ</t>
    </rPh>
    <rPh sb="5" eb="7">
      <t>チュウゴク</t>
    </rPh>
    <rPh sb="7" eb="9">
      <t>ミンシュ</t>
    </rPh>
    <phoneticPr fontId="4"/>
  </si>
  <si>
    <t>津村　啓介</t>
    <rPh sb="0" eb="2">
      <t>ツムラ</t>
    </rPh>
    <rPh sb="3" eb="5">
      <t>ケイスケ</t>
    </rPh>
    <phoneticPr fontId="4"/>
  </si>
  <si>
    <t>382比例中国民主08</t>
    <rPh sb="3" eb="5">
      <t>ヒレイ</t>
    </rPh>
    <rPh sb="5" eb="7">
      <t>チュウゴク</t>
    </rPh>
    <rPh sb="7" eb="9">
      <t>ミンシュ</t>
    </rPh>
    <phoneticPr fontId="4"/>
  </si>
  <si>
    <t>柚木　道義</t>
    <rPh sb="0" eb="2">
      <t>ユノキ</t>
    </rPh>
    <rPh sb="3" eb="5">
      <t>ミチヨシ</t>
    </rPh>
    <phoneticPr fontId="4"/>
  </si>
  <si>
    <t>383比例中国公明01</t>
    <rPh sb="3" eb="5">
      <t>ヒレイ</t>
    </rPh>
    <rPh sb="5" eb="7">
      <t>チュウゴク</t>
    </rPh>
    <rPh sb="7" eb="9">
      <t>コウメイ</t>
    </rPh>
    <phoneticPr fontId="4"/>
  </si>
  <si>
    <t>斉藤　鉄夫</t>
    <rPh sb="0" eb="2">
      <t>サイトウ</t>
    </rPh>
    <rPh sb="3" eb="5">
      <t>テツオ</t>
    </rPh>
    <phoneticPr fontId="4"/>
  </si>
  <si>
    <t>383比例中国公明02</t>
    <rPh sb="3" eb="5">
      <t>ヒレイ</t>
    </rPh>
    <rPh sb="5" eb="7">
      <t>チュウゴク</t>
    </rPh>
    <rPh sb="7" eb="9">
      <t>コウメイ</t>
    </rPh>
    <phoneticPr fontId="4"/>
  </si>
  <si>
    <t>桝屋　敬悟</t>
    <rPh sb="0" eb="1">
      <t>マス</t>
    </rPh>
    <rPh sb="1" eb="2">
      <t>ヤ</t>
    </rPh>
    <rPh sb="3" eb="4">
      <t>ケイ</t>
    </rPh>
    <rPh sb="4" eb="5">
      <t>ゴ</t>
    </rPh>
    <phoneticPr fontId="2"/>
  </si>
  <si>
    <t>383比例中国公明03</t>
    <rPh sb="3" eb="5">
      <t>ヒレイ</t>
    </rPh>
    <rPh sb="5" eb="7">
      <t>チュウゴク</t>
    </rPh>
    <rPh sb="7" eb="9">
      <t>コウメイ</t>
    </rPh>
    <phoneticPr fontId="4"/>
  </si>
  <si>
    <t>笹井　茂智</t>
    <rPh sb="0" eb="2">
      <t>ササイ</t>
    </rPh>
    <rPh sb="3" eb="5">
      <t>シゲトモ</t>
    </rPh>
    <phoneticPr fontId="4"/>
  </si>
  <si>
    <t>383比例中国公明04</t>
    <rPh sb="3" eb="5">
      <t>ヒレイ</t>
    </rPh>
    <rPh sb="5" eb="7">
      <t>チュウゴク</t>
    </rPh>
    <rPh sb="7" eb="9">
      <t>コウメイ</t>
    </rPh>
    <phoneticPr fontId="4"/>
  </si>
  <si>
    <t>森下　定幸</t>
    <rPh sb="0" eb="2">
      <t>モリシタ</t>
    </rPh>
    <rPh sb="3" eb="5">
      <t>サダユキ</t>
    </rPh>
    <phoneticPr fontId="4"/>
  </si>
  <si>
    <t>384比例中国共産01</t>
    <rPh sb="3" eb="5">
      <t>ヒレイ</t>
    </rPh>
    <rPh sb="5" eb="7">
      <t>チュウゴク</t>
    </rPh>
    <rPh sb="7" eb="9">
      <t>キョウサン</t>
    </rPh>
    <phoneticPr fontId="4"/>
  </si>
  <si>
    <t>中林　佳子</t>
    <rPh sb="0" eb="2">
      <t>ナカバヤシ</t>
    </rPh>
    <rPh sb="3" eb="5">
      <t>ヨシコ</t>
    </rPh>
    <phoneticPr fontId="4"/>
  </si>
  <si>
    <t>384比例中国共産02</t>
    <rPh sb="3" eb="5">
      <t>ヒレイ</t>
    </rPh>
    <rPh sb="5" eb="7">
      <t>チュウゴク</t>
    </rPh>
    <rPh sb="7" eb="9">
      <t>キョウサン</t>
    </rPh>
    <phoneticPr fontId="4"/>
  </si>
  <si>
    <t>藤本　聡志</t>
    <rPh sb="0" eb="2">
      <t>フジモト</t>
    </rPh>
    <rPh sb="3" eb="4">
      <t>サトシ</t>
    </rPh>
    <rPh sb="4" eb="5">
      <t>シ</t>
    </rPh>
    <phoneticPr fontId="4"/>
  </si>
  <si>
    <t>385比例中国社民04</t>
    <rPh sb="3" eb="5">
      <t>ヒレイ</t>
    </rPh>
    <rPh sb="5" eb="7">
      <t>チュウゴク</t>
    </rPh>
    <rPh sb="7" eb="9">
      <t>シャミン</t>
    </rPh>
    <phoneticPr fontId="4"/>
  </si>
  <si>
    <t>金子　哲夫</t>
    <rPh sb="0" eb="2">
      <t>カネコ</t>
    </rPh>
    <rPh sb="3" eb="5">
      <t>テツオ</t>
    </rPh>
    <phoneticPr fontId="4"/>
  </si>
  <si>
    <t>385比例中国社民01</t>
    <rPh sb="3" eb="5">
      <t>ヒレイ</t>
    </rPh>
    <rPh sb="5" eb="7">
      <t>チュウゴク</t>
    </rPh>
    <rPh sb="7" eb="9">
      <t>シャミン</t>
    </rPh>
    <phoneticPr fontId="4"/>
  </si>
  <si>
    <t>田中　清一</t>
    <rPh sb="0" eb="2">
      <t>タナカ</t>
    </rPh>
    <rPh sb="3" eb="4">
      <t>キヨ</t>
    </rPh>
    <rPh sb="4" eb="5">
      <t>イチ</t>
    </rPh>
    <phoneticPr fontId="4"/>
  </si>
  <si>
    <t>385比例中国社民02</t>
    <rPh sb="3" eb="5">
      <t>ヒレイ</t>
    </rPh>
    <rPh sb="5" eb="7">
      <t>チュウゴク</t>
    </rPh>
    <rPh sb="7" eb="9">
      <t>シャミン</t>
    </rPh>
    <phoneticPr fontId="4"/>
  </si>
  <si>
    <t>加納　克己</t>
    <rPh sb="0" eb="2">
      <t>カノウ</t>
    </rPh>
    <rPh sb="3" eb="5">
      <t>カツミ</t>
    </rPh>
    <phoneticPr fontId="4"/>
  </si>
  <si>
    <t>385比例中国社民03</t>
    <rPh sb="3" eb="5">
      <t>ヒレイ</t>
    </rPh>
    <rPh sb="5" eb="7">
      <t>チュウゴク</t>
    </rPh>
    <rPh sb="7" eb="9">
      <t>シャミン</t>
    </rPh>
    <phoneticPr fontId="4"/>
  </si>
  <si>
    <t>福島　捷美</t>
    <rPh sb="0" eb="2">
      <t>フクシマ</t>
    </rPh>
    <rPh sb="3" eb="5">
      <t>ハヤミ</t>
    </rPh>
    <phoneticPr fontId="4"/>
  </si>
  <si>
    <t>386比例中国国民01</t>
    <rPh sb="3" eb="5">
      <t>ヒレイ</t>
    </rPh>
    <rPh sb="5" eb="7">
      <t>チュウゴク</t>
    </rPh>
    <rPh sb="7" eb="9">
      <t>コクミン</t>
    </rPh>
    <phoneticPr fontId="4"/>
  </si>
  <si>
    <t>亀井　久興</t>
    <rPh sb="0" eb="2">
      <t>カメイ</t>
    </rPh>
    <rPh sb="3" eb="4">
      <t>ヒサ</t>
    </rPh>
    <rPh sb="4" eb="5">
      <t>キョウ</t>
    </rPh>
    <phoneticPr fontId="4"/>
  </si>
  <si>
    <t>(自反河)</t>
    <rPh sb="1" eb="2">
      <t>ジ</t>
    </rPh>
    <rPh sb="2" eb="3">
      <t>ハン</t>
    </rPh>
    <rPh sb="3" eb="4">
      <t>カワ</t>
    </rPh>
    <phoneticPr fontId="4"/>
  </si>
  <si>
    <t>386比例中国国民02</t>
    <rPh sb="3" eb="5">
      <t>ヒレイ</t>
    </rPh>
    <rPh sb="5" eb="7">
      <t>チュウゴク</t>
    </rPh>
    <rPh sb="7" eb="9">
      <t>コクミン</t>
    </rPh>
    <phoneticPr fontId="4"/>
  </si>
  <si>
    <t>徳永　光昭</t>
    <rPh sb="0" eb="2">
      <t>トクナガ</t>
    </rPh>
    <rPh sb="3" eb="5">
      <t>ミツアキ</t>
    </rPh>
    <phoneticPr fontId="4"/>
  </si>
  <si>
    <t>386比例中国国民03</t>
    <rPh sb="3" eb="5">
      <t>ヒレイ</t>
    </rPh>
    <rPh sb="5" eb="7">
      <t>チュウゴク</t>
    </rPh>
    <rPh sb="7" eb="9">
      <t>コクミン</t>
    </rPh>
    <phoneticPr fontId="4"/>
  </si>
  <si>
    <t>小林　正義</t>
    <rPh sb="0" eb="2">
      <t>コバヤシ</t>
    </rPh>
    <rPh sb="3" eb="5">
      <t>マサヨシ</t>
    </rPh>
    <phoneticPr fontId="4"/>
  </si>
  <si>
    <t>391比例四国自民01</t>
    <rPh sb="3" eb="5">
      <t>ヒレイ</t>
    </rPh>
    <rPh sb="5" eb="7">
      <t>シコク</t>
    </rPh>
    <rPh sb="7" eb="9">
      <t>ジミン</t>
    </rPh>
    <phoneticPr fontId="4"/>
  </si>
  <si>
    <t>36徳島02</t>
    <rPh sb="2" eb="4">
      <t>トクシマ</t>
    </rPh>
    <phoneticPr fontId="4"/>
  </si>
  <si>
    <t>七条　明</t>
    <rPh sb="0" eb="2">
      <t>シチジョウ</t>
    </rPh>
    <rPh sb="3" eb="4">
      <t>アキラ</t>
    </rPh>
    <phoneticPr fontId="4"/>
  </si>
  <si>
    <t>391比例四国自民02</t>
    <rPh sb="3" eb="5">
      <t>ヒレイ</t>
    </rPh>
    <rPh sb="5" eb="7">
      <t>シコク</t>
    </rPh>
    <rPh sb="7" eb="9">
      <t>ジミン</t>
    </rPh>
    <phoneticPr fontId="4"/>
  </si>
  <si>
    <t>36徳島01</t>
    <rPh sb="2" eb="4">
      <t>トクシマ</t>
    </rPh>
    <phoneticPr fontId="4"/>
  </si>
  <si>
    <t>岡本　芳郎</t>
    <rPh sb="0" eb="2">
      <t>オカモト</t>
    </rPh>
    <rPh sb="3" eb="5">
      <t>ヨシロウ</t>
    </rPh>
    <phoneticPr fontId="4"/>
  </si>
  <si>
    <t>391比例四国自民14</t>
    <rPh sb="3" eb="5">
      <t>ヒレイ</t>
    </rPh>
    <rPh sb="5" eb="7">
      <t>シコク</t>
    </rPh>
    <rPh sb="7" eb="9">
      <t>ジミン</t>
    </rPh>
    <phoneticPr fontId="4"/>
  </si>
  <si>
    <t>西本　勝子</t>
    <rPh sb="0" eb="2">
      <t>ニシモト</t>
    </rPh>
    <rPh sb="3" eb="5">
      <t>カツコ</t>
    </rPh>
    <phoneticPr fontId="4"/>
  </si>
  <si>
    <t>391比例四国自民15</t>
    <rPh sb="3" eb="5">
      <t>ヒレイ</t>
    </rPh>
    <rPh sb="5" eb="7">
      <t>シコク</t>
    </rPh>
    <rPh sb="7" eb="9">
      <t>ジミン</t>
    </rPh>
    <phoneticPr fontId="4"/>
  </si>
  <si>
    <t>関谷　水</t>
    <rPh sb="0" eb="2">
      <t>セキタニ</t>
    </rPh>
    <rPh sb="3" eb="4">
      <t>ミズ</t>
    </rPh>
    <phoneticPr fontId="4"/>
  </si>
  <si>
    <t>391比例四国自民16</t>
    <rPh sb="3" eb="5">
      <t>ヒレイ</t>
    </rPh>
    <rPh sb="5" eb="7">
      <t>シコク</t>
    </rPh>
    <rPh sb="7" eb="9">
      <t>ジミン</t>
    </rPh>
    <phoneticPr fontId="4"/>
  </si>
  <si>
    <t>大石　康樹</t>
    <rPh sb="0" eb="2">
      <t>オオイシ</t>
    </rPh>
    <rPh sb="3" eb="5">
      <t>ヤスキ</t>
    </rPh>
    <phoneticPr fontId="4"/>
  </si>
  <si>
    <t>391比例四国自民17</t>
    <rPh sb="3" eb="5">
      <t>ヒレイ</t>
    </rPh>
    <rPh sb="5" eb="7">
      <t>シコク</t>
    </rPh>
    <rPh sb="7" eb="9">
      <t>ジミン</t>
    </rPh>
    <phoneticPr fontId="4"/>
  </si>
  <si>
    <t>笹沼　正治</t>
    <rPh sb="0" eb="2">
      <t>ササヌマ</t>
    </rPh>
    <rPh sb="3" eb="5">
      <t>マサハル</t>
    </rPh>
    <phoneticPr fontId="4"/>
  </si>
  <si>
    <t>391比例四国自民03</t>
    <rPh sb="3" eb="5">
      <t>ヒレイ</t>
    </rPh>
    <rPh sb="5" eb="7">
      <t>シコク</t>
    </rPh>
    <rPh sb="7" eb="9">
      <t>ジミン</t>
    </rPh>
    <phoneticPr fontId="4"/>
  </si>
  <si>
    <t>36徳島03</t>
    <rPh sb="2" eb="4">
      <t>トクシマ</t>
    </rPh>
    <phoneticPr fontId="4"/>
  </si>
  <si>
    <t>後藤田　正純</t>
    <rPh sb="0" eb="3">
      <t>ゴトウダ</t>
    </rPh>
    <rPh sb="4" eb="6">
      <t>マサズミ</t>
    </rPh>
    <phoneticPr fontId="4"/>
  </si>
  <si>
    <t>391比例四国自民04</t>
    <rPh sb="3" eb="5">
      <t>ヒレイ</t>
    </rPh>
    <rPh sb="5" eb="7">
      <t>シコク</t>
    </rPh>
    <rPh sb="7" eb="9">
      <t>ジミン</t>
    </rPh>
    <phoneticPr fontId="4"/>
  </si>
  <si>
    <t>37香川01</t>
    <rPh sb="2" eb="4">
      <t>カガワ</t>
    </rPh>
    <phoneticPr fontId="4"/>
  </si>
  <si>
    <t>平井　卓也</t>
    <rPh sb="0" eb="2">
      <t>ヒライ</t>
    </rPh>
    <rPh sb="3" eb="5">
      <t>タクヤ</t>
    </rPh>
    <phoneticPr fontId="4"/>
  </si>
  <si>
    <t>391比例四国自民05</t>
    <rPh sb="3" eb="5">
      <t>ヒレイ</t>
    </rPh>
    <rPh sb="5" eb="7">
      <t>シコク</t>
    </rPh>
    <rPh sb="7" eb="9">
      <t>ジミン</t>
    </rPh>
    <phoneticPr fontId="4"/>
  </si>
  <si>
    <t>37香川02</t>
    <rPh sb="2" eb="4">
      <t>カガワ</t>
    </rPh>
    <phoneticPr fontId="4"/>
  </si>
  <si>
    <t>木村　義雄</t>
    <rPh sb="0" eb="2">
      <t>キムラ</t>
    </rPh>
    <rPh sb="3" eb="5">
      <t>ヨシオ</t>
    </rPh>
    <phoneticPr fontId="4"/>
  </si>
  <si>
    <t>391比例四国自民06</t>
    <rPh sb="3" eb="5">
      <t>ヒレイ</t>
    </rPh>
    <rPh sb="5" eb="7">
      <t>シコク</t>
    </rPh>
    <rPh sb="7" eb="9">
      <t>ジミン</t>
    </rPh>
    <phoneticPr fontId="4"/>
  </si>
  <si>
    <t>37香川03</t>
    <rPh sb="2" eb="4">
      <t>カガワ</t>
    </rPh>
    <phoneticPr fontId="4"/>
  </si>
  <si>
    <t>大野　功統</t>
    <rPh sb="0" eb="2">
      <t>オオノ</t>
    </rPh>
    <rPh sb="3" eb="4">
      <t>イサオ</t>
    </rPh>
    <rPh sb="4" eb="5">
      <t>オサム</t>
    </rPh>
    <phoneticPr fontId="4"/>
  </si>
  <si>
    <t>391比例四国自民07</t>
    <rPh sb="3" eb="5">
      <t>ヒレイ</t>
    </rPh>
    <rPh sb="5" eb="7">
      <t>シコク</t>
    </rPh>
    <rPh sb="7" eb="9">
      <t>ジミン</t>
    </rPh>
    <phoneticPr fontId="4"/>
  </si>
  <si>
    <t>38愛媛01</t>
    <rPh sb="2" eb="4">
      <t>エヒメ</t>
    </rPh>
    <phoneticPr fontId="4"/>
  </si>
  <si>
    <t>塩崎　恭久</t>
    <rPh sb="0" eb="2">
      <t>シオザキ</t>
    </rPh>
    <rPh sb="3" eb="5">
      <t>ヤスヒサ</t>
    </rPh>
    <phoneticPr fontId="4"/>
  </si>
  <si>
    <t>391比例四国自民08</t>
    <rPh sb="3" eb="5">
      <t>ヒレイ</t>
    </rPh>
    <rPh sb="5" eb="7">
      <t>シコク</t>
    </rPh>
    <rPh sb="7" eb="9">
      <t>ジミン</t>
    </rPh>
    <phoneticPr fontId="4"/>
  </si>
  <si>
    <t>38愛媛02</t>
    <rPh sb="2" eb="4">
      <t>エヒメ</t>
    </rPh>
    <phoneticPr fontId="4"/>
  </si>
  <si>
    <t>村上　誠一郎</t>
    <rPh sb="0" eb="2">
      <t>ムラカミ</t>
    </rPh>
    <rPh sb="3" eb="6">
      <t>セイイチロウ</t>
    </rPh>
    <phoneticPr fontId="4"/>
  </si>
  <si>
    <t>391比例四国自民09</t>
    <rPh sb="3" eb="5">
      <t>ヒレイ</t>
    </rPh>
    <rPh sb="5" eb="7">
      <t>シコク</t>
    </rPh>
    <rPh sb="7" eb="9">
      <t>ジミン</t>
    </rPh>
    <phoneticPr fontId="4"/>
  </si>
  <si>
    <t>38愛媛03</t>
    <rPh sb="2" eb="4">
      <t>エヒメ</t>
    </rPh>
    <phoneticPr fontId="4"/>
  </si>
  <si>
    <t>小野　晋也</t>
    <rPh sb="0" eb="2">
      <t>オノ</t>
    </rPh>
    <rPh sb="3" eb="5">
      <t>シンヤ</t>
    </rPh>
    <phoneticPr fontId="4"/>
  </si>
  <si>
    <t>391比例四国自民10</t>
    <rPh sb="3" eb="5">
      <t>ヒレイ</t>
    </rPh>
    <rPh sb="5" eb="7">
      <t>シコク</t>
    </rPh>
    <rPh sb="7" eb="9">
      <t>ジミン</t>
    </rPh>
    <phoneticPr fontId="4"/>
  </si>
  <si>
    <t>38愛媛04</t>
    <rPh sb="2" eb="4">
      <t>エヒメ</t>
    </rPh>
    <phoneticPr fontId="4"/>
  </si>
  <si>
    <t>山本　公一</t>
    <rPh sb="0" eb="2">
      <t>ヤマモト</t>
    </rPh>
    <rPh sb="3" eb="5">
      <t>コウイチ</t>
    </rPh>
    <phoneticPr fontId="4"/>
  </si>
  <si>
    <t>391比例四国自民11</t>
    <rPh sb="3" eb="5">
      <t>ヒレイ</t>
    </rPh>
    <rPh sb="5" eb="7">
      <t>シコク</t>
    </rPh>
    <rPh sb="7" eb="9">
      <t>ジミン</t>
    </rPh>
    <phoneticPr fontId="4"/>
  </si>
  <si>
    <t>39高知01</t>
    <rPh sb="2" eb="4">
      <t>コウチ</t>
    </rPh>
    <phoneticPr fontId="4"/>
  </si>
  <si>
    <t>福井　照</t>
    <rPh sb="0" eb="2">
      <t>フクイ</t>
    </rPh>
    <rPh sb="3" eb="4">
      <t>テル</t>
    </rPh>
    <phoneticPr fontId="4"/>
  </si>
  <si>
    <t>391比例四国自民12</t>
    <rPh sb="3" eb="5">
      <t>ヒレイ</t>
    </rPh>
    <rPh sb="5" eb="7">
      <t>シコク</t>
    </rPh>
    <rPh sb="7" eb="9">
      <t>ジミン</t>
    </rPh>
    <phoneticPr fontId="4"/>
  </si>
  <si>
    <t>39高知02</t>
    <rPh sb="2" eb="4">
      <t>コウチ</t>
    </rPh>
    <phoneticPr fontId="4"/>
  </si>
  <si>
    <t>中谷　元</t>
    <rPh sb="0" eb="2">
      <t>ナカタニ</t>
    </rPh>
    <rPh sb="3" eb="4">
      <t>ハジメ</t>
    </rPh>
    <phoneticPr fontId="4"/>
  </si>
  <si>
    <t>391比例四国自民13</t>
    <rPh sb="3" eb="5">
      <t>ヒレイ</t>
    </rPh>
    <rPh sb="5" eb="7">
      <t>シコク</t>
    </rPh>
    <rPh sb="7" eb="9">
      <t>ジミン</t>
    </rPh>
    <phoneticPr fontId="4"/>
  </si>
  <si>
    <t>39高知03</t>
    <rPh sb="2" eb="4">
      <t>コウチ</t>
    </rPh>
    <phoneticPr fontId="4"/>
  </si>
  <si>
    <t>山本　有二</t>
    <rPh sb="0" eb="2">
      <t>ヤマモト</t>
    </rPh>
    <rPh sb="3" eb="5">
      <t>ユウジ</t>
    </rPh>
    <phoneticPr fontId="4"/>
  </si>
  <si>
    <t>392比例四国民主09</t>
    <rPh sb="3" eb="5">
      <t>ヒレイ</t>
    </rPh>
    <rPh sb="5" eb="7">
      <t>シコク</t>
    </rPh>
    <rPh sb="7" eb="9">
      <t>ミンシュ</t>
    </rPh>
    <phoneticPr fontId="4"/>
  </si>
  <si>
    <t>五島　正規</t>
    <rPh sb="0" eb="2">
      <t>ゴトウ</t>
    </rPh>
    <rPh sb="3" eb="5">
      <t>セイキ</t>
    </rPh>
    <phoneticPr fontId="4"/>
  </si>
  <si>
    <t>392比例四国民主03</t>
    <rPh sb="3" eb="5">
      <t>ヒレイ</t>
    </rPh>
    <rPh sb="5" eb="7">
      <t>シコク</t>
    </rPh>
    <rPh sb="7" eb="9">
      <t>ミンシュ</t>
    </rPh>
    <phoneticPr fontId="4"/>
  </si>
  <si>
    <t>小川　淳也</t>
    <rPh sb="0" eb="2">
      <t>オガワ</t>
    </rPh>
    <rPh sb="3" eb="5">
      <t>ジュンヤ</t>
    </rPh>
    <phoneticPr fontId="4"/>
  </si>
  <si>
    <t>392比例四国民主01</t>
    <rPh sb="3" eb="5">
      <t>ヒレイ</t>
    </rPh>
    <rPh sb="5" eb="7">
      <t>シコク</t>
    </rPh>
    <rPh sb="7" eb="9">
      <t>ミンシュ</t>
    </rPh>
    <phoneticPr fontId="4"/>
  </si>
  <si>
    <t>高井　美穂</t>
    <rPh sb="0" eb="2">
      <t>タカイ</t>
    </rPh>
    <rPh sb="3" eb="5">
      <t>ミホ</t>
    </rPh>
    <phoneticPr fontId="4"/>
  </si>
  <si>
    <t>392比例四国民主11</t>
    <rPh sb="3" eb="5">
      <t>ヒレイ</t>
    </rPh>
    <rPh sb="5" eb="7">
      <t>シコク</t>
    </rPh>
    <rPh sb="7" eb="9">
      <t>ミンシュ</t>
    </rPh>
    <phoneticPr fontId="4"/>
  </si>
  <si>
    <t>中山　知意</t>
    <rPh sb="0" eb="2">
      <t>ナカヤマ</t>
    </rPh>
    <rPh sb="3" eb="4">
      <t>シ</t>
    </rPh>
    <rPh sb="4" eb="5">
      <t>イ</t>
    </rPh>
    <phoneticPr fontId="4"/>
  </si>
  <si>
    <t>392比例四国民主04</t>
    <rPh sb="3" eb="5">
      <t>ヒレイ</t>
    </rPh>
    <rPh sb="5" eb="7">
      <t>シコク</t>
    </rPh>
    <rPh sb="7" eb="9">
      <t>ミンシュ</t>
    </rPh>
    <phoneticPr fontId="4"/>
  </si>
  <si>
    <t>玉木　雄一郎</t>
    <rPh sb="0" eb="2">
      <t>タマキ</t>
    </rPh>
    <rPh sb="3" eb="6">
      <t>ユウイチロウ</t>
    </rPh>
    <phoneticPr fontId="4"/>
  </si>
  <si>
    <t>392比例四国民主02</t>
    <rPh sb="3" eb="5">
      <t>ヒレイ</t>
    </rPh>
    <rPh sb="5" eb="7">
      <t>シコク</t>
    </rPh>
    <rPh sb="7" eb="9">
      <t>ミンシュ</t>
    </rPh>
    <phoneticPr fontId="4"/>
  </si>
  <si>
    <t>仁木　博文</t>
    <rPh sb="0" eb="1">
      <t>ニ</t>
    </rPh>
    <rPh sb="1" eb="2">
      <t>キ</t>
    </rPh>
    <rPh sb="3" eb="5">
      <t>ヒロフミ</t>
    </rPh>
    <phoneticPr fontId="4"/>
  </si>
  <si>
    <t>392比例四国民主07</t>
    <rPh sb="3" eb="5">
      <t>ヒレイ</t>
    </rPh>
    <rPh sb="5" eb="7">
      <t>シコク</t>
    </rPh>
    <rPh sb="7" eb="9">
      <t>ミンシュ</t>
    </rPh>
    <phoneticPr fontId="4"/>
  </si>
  <si>
    <t>高橋　剛</t>
    <rPh sb="0" eb="2">
      <t>タカハシ</t>
    </rPh>
    <rPh sb="3" eb="4">
      <t>ツヨシ</t>
    </rPh>
    <phoneticPr fontId="4"/>
  </si>
  <si>
    <t>392比例四国民主10</t>
    <rPh sb="3" eb="5">
      <t>ヒレイ</t>
    </rPh>
    <rPh sb="5" eb="7">
      <t>シコク</t>
    </rPh>
    <rPh sb="7" eb="9">
      <t>ミンシュ</t>
    </rPh>
    <phoneticPr fontId="4"/>
  </si>
  <si>
    <t>田村　久美子</t>
    <rPh sb="0" eb="2">
      <t>タムラ</t>
    </rPh>
    <rPh sb="3" eb="6">
      <t>クミコ</t>
    </rPh>
    <phoneticPr fontId="4"/>
  </si>
  <si>
    <t>392比例四国民主06</t>
    <rPh sb="3" eb="5">
      <t>ヒレイ</t>
    </rPh>
    <rPh sb="5" eb="7">
      <t>シコク</t>
    </rPh>
    <rPh sb="7" eb="9">
      <t>ミンシュ</t>
    </rPh>
    <phoneticPr fontId="4"/>
  </si>
  <si>
    <t>斉藤　正光</t>
    <rPh sb="0" eb="2">
      <t>サイトウ</t>
    </rPh>
    <rPh sb="3" eb="5">
      <t>マサミツ</t>
    </rPh>
    <phoneticPr fontId="4"/>
  </si>
  <si>
    <t>392比例四国民主08</t>
    <rPh sb="3" eb="5">
      <t>ヒレイ</t>
    </rPh>
    <rPh sb="5" eb="7">
      <t>シコク</t>
    </rPh>
    <rPh sb="7" eb="9">
      <t>ミンシュ</t>
    </rPh>
    <phoneticPr fontId="4"/>
  </si>
  <si>
    <t>浜口　金也</t>
    <rPh sb="0" eb="2">
      <t>ハマグチ</t>
    </rPh>
    <rPh sb="3" eb="4">
      <t>キン</t>
    </rPh>
    <rPh sb="4" eb="5">
      <t>ナリ</t>
    </rPh>
    <phoneticPr fontId="4"/>
  </si>
  <si>
    <t>392比例四国民主05</t>
    <rPh sb="3" eb="5">
      <t>ヒレイ</t>
    </rPh>
    <rPh sb="5" eb="7">
      <t>シコク</t>
    </rPh>
    <rPh sb="7" eb="9">
      <t>ミンシュ</t>
    </rPh>
    <phoneticPr fontId="4"/>
  </si>
  <si>
    <t>玉井　彰</t>
    <rPh sb="0" eb="2">
      <t>タマイ</t>
    </rPh>
    <rPh sb="3" eb="4">
      <t>アキラ</t>
    </rPh>
    <phoneticPr fontId="4"/>
  </si>
  <si>
    <t>393比例四国公明01</t>
    <rPh sb="3" eb="5">
      <t>ヒレイ</t>
    </rPh>
    <rPh sb="5" eb="7">
      <t>シコク</t>
    </rPh>
    <rPh sb="7" eb="9">
      <t>コウメイ</t>
    </rPh>
    <phoneticPr fontId="4"/>
  </si>
  <si>
    <t>石田　祝稔</t>
    <rPh sb="0" eb="2">
      <t>イシダ</t>
    </rPh>
    <rPh sb="3" eb="4">
      <t>シュク</t>
    </rPh>
    <rPh sb="4" eb="5">
      <t>ミノル</t>
    </rPh>
    <phoneticPr fontId="4"/>
  </si>
  <si>
    <t>393比例四国公明02</t>
    <rPh sb="3" eb="5">
      <t>ヒレイ</t>
    </rPh>
    <rPh sb="5" eb="7">
      <t>シコク</t>
    </rPh>
    <rPh sb="7" eb="9">
      <t>コウメイ</t>
    </rPh>
    <phoneticPr fontId="4"/>
  </si>
  <si>
    <t>門田　剛</t>
    <rPh sb="0" eb="2">
      <t>モンデン</t>
    </rPh>
    <rPh sb="3" eb="4">
      <t>ツヨシ</t>
    </rPh>
    <phoneticPr fontId="4"/>
  </si>
  <si>
    <t>394比例四国共産01</t>
    <rPh sb="3" eb="5">
      <t>ヒレイ</t>
    </rPh>
    <rPh sb="5" eb="7">
      <t>シコク</t>
    </rPh>
    <rPh sb="7" eb="9">
      <t>キョウサン</t>
    </rPh>
    <phoneticPr fontId="4"/>
  </si>
  <si>
    <t>春名　直章</t>
    <rPh sb="0" eb="1">
      <t>ハル</t>
    </rPh>
    <rPh sb="1" eb="2">
      <t>ナ</t>
    </rPh>
    <rPh sb="3" eb="4">
      <t>ナオ</t>
    </rPh>
    <rPh sb="4" eb="5">
      <t>ショウ</t>
    </rPh>
    <phoneticPr fontId="4"/>
  </si>
  <si>
    <t>394比例四国共産02</t>
    <rPh sb="3" eb="5">
      <t>ヒレイ</t>
    </rPh>
    <rPh sb="5" eb="7">
      <t>シコク</t>
    </rPh>
    <rPh sb="7" eb="9">
      <t>キョウサン</t>
    </rPh>
    <phoneticPr fontId="4"/>
  </si>
  <si>
    <t>林　紀子</t>
    <rPh sb="0" eb="1">
      <t>ハヤシ</t>
    </rPh>
    <rPh sb="2" eb="4">
      <t>トシコ</t>
    </rPh>
    <phoneticPr fontId="4"/>
  </si>
  <si>
    <t>395比例四国社民01</t>
    <rPh sb="3" eb="5">
      <t>ヒレイ</t>
    </rPh>
    <rPh sb="5" eb="7">
      <t>シコク</t>
    </rPh>
    <rPh sb="7" eb="9">
      <t>シャミン</t>
    </rPh>
    <phoneticPr fontId="4"/>
  </si>
  <si>
    <t>奥田　研二</t>
    <rPh sb="0" eb="2">
      <t>オクダ</t>
    </rPh>
    <rPh sb="3" eb="5">
      <t>ケンジ</t>
    </rPh>
    <phoneticPr fontId="4"/>
  </si>
  <si>
    <t>395比例四国社民02</t>
    <rPh sb="3" eb="5">
      <t>ヒレイ</t>
    </rPh>
    <rPh sb="5" eb="7">
      <t>シコク</t>
    </rPh>
    <rPh sb="7" eb="9">
      <t>シャミン</t>
    </rPh>
    <phoneticPr fontId="4"/>
  </si>
  <si>
    <t>野口　仁</t>
    <rPh sb="0" eb="2">
      <t>ノグチ</t>
    </rPh>
    <rPh sb="3" eb="4">
      <t>ジン</t>
    </rPh>
    <phoneticPr fontId="4"/>
  </si>
  <si>
    <t>401比例九州自民02</t>
    <rPh sb="3" eb="5">
      <t>ヒレイ</t>
    </rPh>
    <rPh sb="5" eb="7">
      <t>キュウシュウ</t>
    </rPh>
    <rPh sb="7" eb="9">
      <t>ジミン</t>
    </rPh>
    <phoneticPr fontId="4"/>
  </si>
  <si>
    <t>41佐賀03</t>
    <rPh sb="2" eb="4">
      <t>サガ</t>
    </rPh>
    <phoneticPr fontId="4"/>
  </si>
  <si>
    <t>広津　素子</t>
    <rPh sb="0" eb="2">
      <t>ヒロツ</t>
    </rPh>
    <rPh sb="3" eb="5">
      <t>モトコ</t>
    </rPh>
    <phoneticPr fontId="4"/>
  </si>
  <si>
    <t>401比例九州自民03</t>
    <rPh sb="3" eb="5">
      <t>ヒレイ</t>
    </rPh>
    <rPh sb="5" eb="7">
      <t>キュウシュウ</t>
    </rPh>
    <rPh sb="7" eb="9">
      <t>ジミン</t>
    </rPh>
    <phoneticPr fontId="4"/>
  </si>
  <si>
    <t>仲村　正治</t>
    <rPh sb="0" eb="2">
      <t>ナカムラ</t>
    </rPh>
    <rPh sb="3" eb="5">
      <t>マサハル</t>
    </rPh>
    <phoneticPr fontId="4"/>
  </si>
  <si>
    <t>401比例九州自民04</t>
    <rPh sb="3" eb="5">
      <t>ヒレイ</t>
    </rPh>
    <rPh sb="5" eb="7">
      <t>キュウシュウ</t>
    </rPh>
    <rPh sb="7" eb="9">
      <t>ジミン</t>
    </rPh>
    <phoneticPr fontId="4"/>
  </si>
  <si>
    <t>44大分01</t>
    <rPh sb="2" eb="4">
      <t>オオイタ</t>
    </rPh>
    <phoneticPr fontId="4"/>
  </si>
  <si>
    <t>佐藤　錬</t>
    <rPh sb="0" eb="2">
      <t>サトウ</t>
    </rPh>
    <rPh sb="3" eb="4">
      <t>レン</t>
    </rPh>
    <phoneticPr fontId="4"/>
  </si>
  <si>
    <t>401比例九州自民05</t>
    <rPh sb="3" eb="5">
      <t>ヒレイ</t>
    </rPh>
    <rPh sb="5" eb="7">
      <t>キュウシュウ</t>
    </rPh>
    <rPh sb="7" eb="9">
      <t>ジミン</t>
    </rPh>
    <phoneticPr fontId="4"/>
  </si>
  <si>
    <t>林田　彪</t>
    <rPh sb="0" eb="1">
      <t>ハヤシ</t>
    </rPh>
    <rPh sb="1" eb="2">
      <t>ダ</t>
    </rPh>
    <rPh sb="3" eb="4">
      <t>タケシ</t>
    </rPh>
    <phoneticPr fontId="2"/>
  </si>
  <si>
    <t>401比例九州自民15</t>
    <rPh sb="3" eb="5">
      <t>ヒレイ</t>
    </rPh>
    <rPh sb="5" eb="7">
      <t>キュウシュウ</t>
    </rPh>
    <rPh sb="7" eb="9">
      <t>ジミン</t>
    </rPh>
    <phoneticPr fontId="4"/>
  </si>
  <si>
    <t>40福岡11</t>
    <rPh sb="2" eb="4">
      <t>フクオカ</t>
    </rPh>
    <phoneticPr fontId="4"/>
  </si>
  <si>
    <t>山本　幸三</t>
    <rPh sb="0" eb="2">
      <t>ヤマモト</t>
    </rPh>
    <rPh sb="3" eb="5">
      <t>コウゾウ</t>
    </rPh>
    <phoneticPr fontId="4"/>
  </si>
  <si>
    <t>401比例九州自民22</t>
    <rPh sb="3" eb="5">
      <t>ヒレイ</t>
    </rPh>
    <rPh sb="5" eb="7">
      <t>キュウシュウ</t>
    </rPh>
    <rPh sb="7" eb="9">
      <t>ジミン</t>
    </rPh>
    <phoneticPr fontId="4"/>
  </si>
  <si>
    <t>43熊本01</t>
    <rPh sb="2" eb="4">
      <t>クマモト</t>
    </rPh>
    <phoneticPr fontId="4"/>
  </si>
  <si>
    <t>木原　稔</t>
    <rPh sb="0" eb="2">
      <t>キハラ</t>
    </rPh>
    <rPh sb="3" eb="4">
      <t>ミノル</t>
    </rPh>
    <phoneticPr fontId="4"/>
  </si>
  <si>
    <t>401比例九州自民06</t>
    <rPh sb="3" eb="5">
      <t>ヒレイ</t>
    </rPh>
    <rPh sb="5" eb="7">
      <t>キュウシュウ</t>
    </rPh>
    <rPh sb="7" eb="9">
      <t>ジミン</t>
    </rPh>
    <phoneticPr fontId="4"/>
  </si>
  <si>
    <t>40福岡01</t>
    <rPh sb="2" eb="4">
      <t>フクオカ</t>
    </rPh>
    <phoneticPr fontId="4"/>
  </si>
  <si>
    <t>遠藤　宣彦</t>
    <rPh sb="0" eb="2">
      <t>エンドウ</t>
    </rPh>
    <rPh sb="3" eb="5">
      <t>ノブヒコ</t>
    </rPh>
    <phoneticPr fontId="4"/>
  </si>
  <si>
    <t>401比例九州自民18</t>
    <rPh sb="3" eb="5">
      <t>ヒレイ</t>
    </rPh>
    <rPh sb="5" eb="7">
      <t>キュウシュウ</t>
    </rPh>
    <rPh sb="7" eb="9">
      <t>ジミン</t>
    </rPh>
    <phoneticPr fontId="4"/>
  </si>
  <si>
    <t>42長崎01</t>
    <rPh sb="2" eb="4">
      <t>ナガサキ</t>
    </rPh>
    <phoneticPr fontId="4"/>
  </si>
  <si>
    <t>冨岡　勉</t>
    <rPh sb="0" eb="2">
      <t>トミオカ</t>
    </rPh>
    <rPh sb="3" eb="4">
      <t>ツトム</t>
    </rPh>
    <phoneticPr fontId="4"/>
  </si>
  <si>
    <t>401比例九州自民35</t>
    <rPh sb="3" eb="5">
      <t>ヒレイ</t>
    </rPh>
    <rPh sb="5" eb="7">
      <t>キュウシュウ</t>
    </rPh>
    <rPh sb="7" eb="9">
      <t>ジミン</t>
    </rPh>
    <phoneticPr fontId="4"/>
  </si>
  <si>
    <t>47沖縄02</t>
    <rPh sb="2" eb="4">
      <t>オキナワ</t>
    </rPh>
    <phoneticPr fontId="4"/>
  </si>
  <si>
    <t>安次富　修</t>
    <rPh sb="0" eb="2">
      <t>ヤスジ</t>
    </rPh>
    <rPh sb="2" eb="3">
      <t>トミ</t>
    </rPh>
    <rPh sb="4" eb="5">
      <t>シュウ</t>
    </rPh>
    <phoneticPr fontId="4"/>
  </si>
  <si>
    <t>401比例九州自民32</t>
    <rPh sb="3" eb="5">
      <t>ヒレイ</t>
    </rPh>
    <rPh sb="5" eb="7">
      <t>キュウシュウ</t>
    </rPh>
    <rPh sb="7" eb="9">
      <t>ジミン</t>
    </rPh>
    <phoneticPr fontId="4"/>
  </si>
  <si>
    <t>46鹿児島02</t>
    <rPh sb="2" eb="5">
      <t>カゴシマ</t>
    </rPh>
    <phoneticPr fontId="4"/>
  </si>
  <si>
    <t>園田　修光</t>
    <rPh sb="0" eb="2">
      <t>ソノダ</t>
    </rPh>
    <rPh sb="3" eb="4">
      <t>オサ</t>
    </rPh>
    <rPh sb="4" eb="5">
      <t>ヒカリ</t>
    </rPh>
    <phoneticPr fontId="4"/>
  </si>
  <si>
    <t>401比例九州自民30</t>
    <rPh sb="3" eb="5">
      <t>ヒレイ</t>
    </rPh>
    <rPh sb="5" eb="7">
      <t>キュウシュウ</t>
    </rPh>
    <rPh sb="7" eb="9">
      <t>ジミン</t>
    </rPh>
    <phoneticPr fontId="4"/>
  </si>
  <si>
    <t>45宮崎03</t>
    <rPh sb="2" eb="4">
      <t>ミヤザキ</t>
    </rPh>
    <phoneticPr fontId="4"/>
  </si>
  <si>
    <t>持永　哲志</t>
    <rPh sb="0" eb="2">
      <t>モチナガ</t>
    </rPh>
    <rPh sb="3" eb="4">
      <t>テツ</t>
    </rPh>
    <rPh sb="4" eb="5">
      <t>シ</t>
    </rPh>
    <phoneticPr fontId="4"/>
  </si>
  <si>
    <t>401比例九州自民29</t>
    <rPh sb="3" eb="5">
      <t>ヒレイ</t>
    </rPh>
    <rPh sb="5" eb="7">
      <t>キュウシュウ</t>
    </rPh>
    <rPh sb="7" eb="9">
      <t>ジミン</t>
    </rPh>
    <phoneticPr fontId="4"/>
  </si>
  <si>
    <t>45宮崎02</t>
    <rPh sb="2" eb="4">
      <t>ミヤザキ</t>
    </rPh>
    <phoneticPr fontId="4"/>
  </si>
  <si>
    <t>上杉　光弘</t>
    <rPh sb="0" eb="2">
      <t>ウエスギ</t>
    </rPh>
    <rPh sb="3" eb="5">
      <t>ミツヒロ</t>
    </rPh>
    <phoneticPr fontId="4"/>
  </si>
  <si>
    <t>401比例九州自民17</t>
    <rPh sb="3" eb="5">
      <t>ヒレイ</t>
    </rPh>
    <rPh sb="5" eb="7">
      <t>キュウシュウ</t>
    </rPh>
    <rPh sb="7" eb="9">
      <t>ジミン</t>
    </rPh>
    <phoneticPr fontId="4"/>
  </si>
  <si>
    <t>41佐賀02</t>
    <rPh sb="2" eb="4">
      <t>サガ</t>
    </rPh>
    <phoneticPr fontId="4"/>
  </si>
  <si>
    <t>土開　千昭</t>
    <rPh sb="0" eb="2">
      <t>ドカイ</t>
    </rPh>
    <rPh sb="3" eb="5">
      <t>チアキ</t>
    </rPh>
    <phoneticPr fontId="4"/>
  </si>
  <si>
    <t>401比例九州自民34</t>
    <rPh sb="3" eb="5">
      <t>ヒレイ</t>
    </rPh>
    <rPh sb="5" eb="7">
      <t>キュウシュウ</t>
    </rPh>
    <rPh sb="7" eb="9">
      <t>ジミン</t>
    </rPh>
    <phoneticPr fontId="4"/>
  </si>
  <si>
    <t>46鹿児島05</t>
    <rPh sb="2" eb="5">
      <t>カゴシマ</t>
    </rPh>
    <phoneticPr fontId="4"/>
  </si>
  <si>
    <t>米　正剛</t>
    <rPh sb="0" eb="1">
      <t>コメ</t>
    </rPh>
    <rPh sb="2" eb="4">
      <t>マサタケ</t>
    </rPh>
    <phoneticPr fontId="4"/>
  </si>
  <si>
    <t>401比例九州自民38</t>
    <rPh sb="3" eb="5">
      <t>ヒレイ</t>
    </rPh>
    <rPh sb="5" eb="7">
      <t>キュウシュウ</t>
    </rPh>
    <rPh sb="7" eb="9">
      <t>ジミン</t>
    </rPh>
    <phoneticPr fontId="4"/>
  </si>
  <si>
    <t>宮原　信孝</t>
    <rPh sb="0" eb="2">
      <t>ミヤハラ</t>
    </rPh>
    <rPh sb="3" eb="5">
      <t>ノブタカ</t>
    </rPh>
    <phoneticPr fontId="4"/>
  </si>
  <si>
    <t>401比例九州自民39</t>
    <rPh sb="3" eb="5">
      <t>ヒレイ</t>
    </rPh>
    <rPh sb="5" eb="7">
      <t>キュウシュウ</t>
    </rPh>
    <rPh sb="7" eb="9">
      <t>ジミン</t>
    </rPh>
    <phoneticPr fontId="4"/>
  </si>
  <si>
    <t>鈴木　慎一郎</t>
    <rPh sb="0" eb="2">
      <t>スズキ</t>
    </rPh>
    <rPh sb="3" eb="6">
      <t>シンイチロウ</t>
    </rPh>
    <phoneticPr fontId="4"/>
  </si>
  <si>
    <t>401比例九州自民01</t>
    <rPh sb="3" eb="5">
      <t>ヒレイ</t>
    </rPh>
    <rPh sb="5" eb="7">
      <t>キュウシュウ</t>
    </rPh>
    <rPh sb="7" eb="9">
      <t>ジミン</t>
    </rPh>
    <phoneticPr fontId="4"/>
  </si>
  <si>
    <t>40福岡10</t>
    <rPh sb="2" eb="4">
      <t>フクオカ</t>
    </rPh>
    <phoneticPr fontId="4"/>
  </si>
  <si>
    <t>西川　京子</t>
    <rPh sb="0" eb="2">
      <t>ニシカワ</t>
    </rPh>
    <rPh sb="3" eb="5">
      <t>キョウコ</t>
    </rPh>
    <phoneticPr fontId="4"/>
  </si>
  <si>
    <t>401比例九州自民07</t>
    <rPh sb="3" eb="5">
      <t>ヒレイ</t>
    </rPh>
    <rPh sb="5" eb="7">
      <t>キュウシュウ</t>
    </rPh>
    <rPh sb="7" eb="9">
      <t>ジミン</t>
    </rPh>
    <phoneticPr fontId="4"/>
  </si>
  <si>
    <t>40福岡02</t>
    <rPh sb="2" eb="4">
      <t>フクオカ</t>
    </rPh>
    <phoneticPr fontId="4"/>
  </si>
  <si>
    <t>山崎　拓</t>
    <rPh sb="0" eb="2">
      <t>ヤマザキ</t>
    </rPh>
    <rPh sb="3" eb="4">
      <t>タク</t>
    </rPh>
    <phoneticPr fontId="4"/>
  </si>
  <si>
    <t>401比例九州自民08</t>
    <rPh sb="3" eb="5">
      <t>ヒレイ</t>
    </rPh>
    <rPh sb="5" eb="7">
      <t>キュウシュウ</t>
    </rPh>
    <rPh sb="7" eb="9">
      <t>ジミン</t>
    </rPh>
    <phoneticPr fontId="4"/>
  </si>
  <si>
    <t>40福岡03</t>
    <rPh sb="2" eb="4">
      <t>フクオカ</t>
    </rPh>
    <phoneticPr fontId="4"/>
  </si>
  <si>
    <t>太田　誠一</t>
    <rPh sb="0" eb="2">
      <t>オオタ</t>
    </rPh>
    <rPh sb="3" eb="5">
      <t>セイイチ</t>
    </rPh>
    <phoneticPr fontId="4"/>
  </si>
  <si>
    <t>401比例九州自民09</t>
    <rPh sb="3" eb="5">
      <t>ヒレイ</t>
    </rPh>
    <rPh sb="5" eb="7">
      <t>キュウシュウ</t>
    </rPh>
    <rPh sb="7" eb="9">
      <t>ジミン</t>
    </rPh>
    <phoneticPr fontId="4"/>
  </si>
  <si>
    <t>40福岡04</t>
    <rPh sb="2" eb="4">
      <t>フクオカ</t>
    </rPh>
    <phoneticPr fontId="4"/>
  </si>
  <si>
    <t>渡辺　具能</t>
    <rPh sb="0" eb="2">
      <t>ワタナベ</t>
    </rPh>
    <rPh sb="3" eb="4">
      <t>グ</t>
    </rPh>
    <rPh sb="4" eb="5">
      <t>ノウ</t>
    </rPh>
    <phoneticPr fontId="4"/>
  </si>
  <si>
    <t>401比例九州自民10</t>
    <rPh sb="3" eb="5">
      <t>ヒレイ</t>
    </rPh>
    <rPh sb="5" eb="7">
      <t>キュウシュウ</t>
    </rPh>
    <rPh sb="7" eb="9">
      <t>ジミン</t>
    </rPh>
    <phoneticPr fontId="4"/>
  </si>
  <si>
    <t>40福岡05</t>
    <rPh sb="2" eb="4">
      <t>フクオカ</t>
    </rPh>
    <phoneticPr fontId="4"/>
  </si>
  <si>
    <t>原田　義昭</t>
    <rPh sb="0" eb="2">
      <t>ハラダ</t>
    </rPh>
    <rPh sb="3" eb="5">
      <t>ヨシアキ</t>
    </rPh>
    <phoneticPr fontId="4"/>
  </si>
  <si>
    <t>401比例九州自民11</t>
    <rPh sb="3" eb="5">
      <t>ヒレイ</t>
    </rPh>
    <rPh sb="5" eb="7">
      <t>キュウシュウ</t>
    </rPh>
    <rPh sb="7" eb="9">
      <t>ジミン</t>
    </rPh>
    <phoneticPr fontId="4"/>
  </si>
  <si>
    <t>40福岡06</t>
    <rPh sb="2" eb="4">
      <t>フクオカ</t>
    </rPh>
    <phoneticPr fontId="4"/>
  </si>
  <si>
    <t>鳩山　邦夫</t>
    <rPh sb="0" eb="2">
      <t>ハトヤマ</t>
    </rPh>
    <rPh sb="3" eb="5">
      <t>クニオ</t>
    </rPh>
    <phoneticPr fontId="4"/>
  </si>
  <si>
    <t>401比例九州自民12</t>
    <rPh sb="3" eb="5">
      <t>ヒレイ</t>
    </rPh>
    <rPh sb="5" eb="7">
      <t>キュウシュウ</t>
    </rPh>
    <rPh sb="7" eb="9">
      <t>ジミン</t>
    </rPh>
    <phoneticPr fontId="4"/>
  </si>
  <si>
    <t>40福岡07</t>
    <rPh sb="2" eb="4">
      <t>フクオカ</t>
    </rPh>
    <phoneticPr fontId="4"/>
  </si>
  <si>
    <t>古賀　誠</t>
    <rPh sb="0" eb="2">
      <t>コガ</t>
    </rPh>
    <rPh sb="3" eb="4">
      <t>マコト</t>
    </rPh>
    <phoneticPr fontId="4"/>
  </si>
  <si>
    <t>401比例九州自民13</t>
    <rPh sb="3" eb="5">
      <t>ヒレイ</t>
    </rPh>
    <rPh sb="5" eb="7">
      <t>キュウシュウ</t>
    </rPh>
    <rPh sb="7" eb="9">
      <t>ジミン</t>
    </rPh>
    <phoneticPr fontId="4"/>
  </si>
  <si>
    <t>40福岡08</t>
    <rPh sb="2" eb="4">
      <t>フクオカ</t>
    </rPh>
    <phoneticPr fontId="4"/>
  </si>
  <si>
    <t>麻生　太郎</t>
    <rPh sb="0" eb="2">
      <t>アソウ</t>
    </rPh>
    <rPh sb="3" eb="5">
      <t>タロウ</t>
    </rPh>
    <phoneticPr fontId="4"/>
  </si>
  <si>
    <t>401比例九州自民14</t>
    <rPh sb="3" eb="5">
      <t>ヒレイ</t>
    </rPh>
    <rPh sb="5" eb="7">
      <t>キュウシュウ</t>
    </rPh>
    <rPh sb="7" eb="9">
      <t>ジミン</t>
    </rPh>
    <phoneticPr fontId="4"/>
  </si>
  <si>
    <t>40福岡09</t>
    <rPh sb="2" eb="4">
      <t>フクオカ</t>
    </rPh>
    <phoneticPr fontId="4"/>
  </si>
  <si>
    <t>三原　朝彦</t>
    <rPh sb="0" eb="2">
      <t>ミハラ</t>
    </rPh>
    <rPh sb="3" eb="5">
      <t>アサヒコ</t>
    </rPh>
    <phoneticPr fontId="4"/>
  </si>
  <si>
    <t>401比例九州自民16</t>
    <rPh sb="3" eb="5">
      <t>ヒレイ</t>
    </rPh>
    <rPh sb="5" eb="7">
      <t>キュウシュウ</t>
    </rPh>
    <rPh sb="7" eb="9">
      <t>ジミン</t>
    </rPh>
    <phoneticPr fontId="4"/>
  </si>
  <si>
    <t>41佐賀01</t>
    <rPh sb="2" eb="4">
      <t>サガ</t>
    </rPh>
    <phoneticPr fontId="4"/>
  </si>
  <si>
    <t>福岡　資麿</t>
    <rPh sb="0" eb="2">
      <t>フクオカ</t>
    </rPh>
    <rPh sb="3" eb="4">
      <t>シ</t>
    </rPh>
    <rPh sb="4" eb="5">
      <t>マロ</t>
    </rPh>
    <phoneticPr fontId="4"/>
  </si>
  <si>
    <t>401比例九州自民19</t>
    <rPh sb="3" eb="5">
      <t>ヒレイ</t>
    </rPh>
    <rPh sb="5" eb="7">
      <t>キュウシュウ</t>
    </rPh>
    <rPh sb="7" eb="9">
      <t>ジミン</t>
    </rPh>
    <phoneticPr fontId="4"/>
  </si>
  <si>
    <t>42長崎02</t>
    <rPh sb="2" eb="4">
      <t>ナガサキ</t>
    </rPh>
    <phoneticPr fontId="4"/>
  </si>
  <si>
    <t>久間　章生</t>
    <rPh sb="0" eb="1">
      <t>キュウ</t>
    </rPh>
    <rPh sb="1" eb="2">
      <t>マ</t>
    </rPh>
    <rPh sb="3" eb="4">
      <t>フミ</t>
    </rPh>
    <rPh sb="4" eb="5">
      <t>オ</t>
    </rPh>
    <phoneticPr fontId="2"/>
  </si>
  <si>
    <t>401比例九州自民20</t>
    <rPh sb="3" eb="5">
      <t>ヒレイ</t>
    </rPh>
    <rPh sb="5" eb="7">
      <t>キュウシュウ</t>
    </rPh>
    <rPh sb="7" eb="9">
      <t>ジミン</t>
    </rPh>
    <phoneticPr fontId="4"/>
  </si>
  <si>
    <t>42長崎03</t>
    <rPh sb="2" eb="4">
      <t>ナガサキ</t>
    </rPh>
    <phoneticPr fontId="4"/>
  </si>
  <si>
    <t>谷川　弥一</t>
    <rPh sb="0" eb="2">
      <t>タニガワ</t>
    </rPh>
    <rPh sb="3" eb="5">
      <t>ヤイチ</t>
    </rPh>
    <phoneticPr fontId="4"/>
  </si>
  <si>
    <t>401比例九州自民21</t>
    <rPh sb="3" eb="5">
      <t>ヒレイ</t>
    </rPh>
    <rPh sb="5" eb="7">
      <t>キュウシュウ</t>
    </rPh>
    <rPh sb="7" eb="9">
      <t>ジミン</t>
    </rPh>
    <phoneticPr fontId="4"/>
  </si>
  <si>
    <t>42長崎04</t>
    <rPh sb="2" eb="4">
      <t>ナガサキ</t>
    </rPh>
    <phoneticPr fontId="4"/>
  </si>
  <si>
    <t>北村　誠吾</t>
    <rPh sb="0" eb="2">
      <t>キタムラ</t>
    </rPh>
    <rPh sb="3" eb="5">
      <t>セイゴ</t>
    </rPh>
    <phoneticPr fontId="4"/>
  </si>
  <si>
    <t>401比例九州自民23</t>
    <rPh sb="3" eb="5">
      <t>ヒレイ</t>
    </rPh>
    <rPh sb="5" eb="7">
      <t>キュウシュウ</t>
    </rPh>
    <rPh sb="7" eb="9">
      <t>ジミン</t>
    </rPh>
    <phoneticPr fontId="4"/>
  </si>
  <si>
    <t>43熊本02</t>
    <rPh sb="2" eb="4">
      <t>クマモト</t>
    </rPh>
    <phoneticPr fontId="4"/>
  </si>
  <si>
    <t>野田　毅</t>
    <rPh sb="0" eb="2">
      <t>ノダ</t>
    </rPh>
    <rPh sb="3" eb="4">
      <t>タケシ</t>
    </rPh>
    <phoneticPr fontId="4"/>
  </si>
  <si>
    <t>401比例九州自民24</t>
    <rPh sb="3" eb="5">
      <t>ヒレイ</t>
    </rPh>
    <rPh sb="5" eb="7">
      <t>キュウシュウ</t>
    </rPh>
    <rPh sb="7" eb="9">
      <t>ジミン</t>
    </rPh>
    <phoneticPr fontId="4"/>
  </si>
  <si>
    <t>43熊本04</t>
    <rPh sb="2" eb="4">
      <t>クマモト</t>
    </rPh>
    <phoneticPr fontId="4"/>
  </si>
  <si>
    <t>園田　博之</t>
    <rPh sb="0" eb="2">
      <t>ソノダ</t>
    </rPh>
    <rPh sb="3" eb="5">
      <t>ヒロユキ</t>
    </rPh>
    <phoneticPr fontId="4"/>
  </si>
  <si>
    <t>401比例九州自民25</t>
    <rPh sb="3" eb="5">
      <t>ヒレイ</t>
    </rPh>
    <rPh sb="5" eb="7">
      <t>キュウシュウ</t>
    </rPh>
    <rPh sb="7" eb="9">
      <t>ジミン</t>
    </rPh>
    <phoneticPr fontId="4"/>
  </si>
  <si>
    <t>43熊本05</t>
    <rPh sb="2" eb="4">
      <t>クマモト</t>
    </rPh>
    <phoneticPr fontId="4"/>
  </si>
  <si>
    <t>金子　恭之</t>
    <rPh sb="0" eb="2">
      <t>カネコ</t>
    </rPh>
    <rPh sb="3" eb="5">
      <t>ヤスユキ</t>
    </rPh>
    <phoneticPr fontId="4"/>
  </si>
  <si>
    <t>401比例九州自民26</t>
    <rPh sb="3" eb="5">
      <t>ヒレイ</t>
    </rPh>
    <rPh sb="5" eb="7">
      <t>キュウシュウ</t>
    </rPh>
    <rPh sb="7" eb="9">
      <t>ジミン</t>
    </rPh>
    <phoneticPr fontId="4"/>
  </si>
  <si>
    <t>44大分02</t>
    <rPh sb="2" eb="4">
      <t>オオイタ</t>
    </rPh>
    <phoneticPr fontId="4"/>
  </si>
  <si>
    <t>衛藤　征士郎</t>
    <rPh sb="0" eb="2">
      <t>エトウ</t>
    </rPh>
    <rPh sb="3" eb="6">
      <t>セイジロウ</t>
    </rPh>
    <phoneticPr fontId="2"/>
  </si>
  <si>
    <t>401比例九州自民27</t>
    <rPh sb="3" eb="5">
      <t>ヒレイ</t>
    </rPh>
    <rPh sb="5" eb="7">
      <t>キュウシュウ</t>
    </rPh>
    <rPh sb="7" eb="9">
      <t>ジミン</t>
    </rPh>
    <phoneticPr fontId="4"/>
  </si>
  <si>
    <t>44大分03</t>
    <rPh sb="2" eb="4">
      <t>オオイタ</t>
    </rPh>
    <phoneticPr fontId="4"/>
  </si>
  <si>
    <t>岩屋　毅</t>
    <rPh sb="0" eb="2">
      <t>イワヤ</t>
    </rPh>
    <rPh sb="3" eb="4">
      <t>ツヨシ</t>
    </rPh>
    <phoneticPr fontId="4"/>
  </si>
  <si>
    <t>401比例九州自民28</t>
    <rPh sb="3" eb="5">
      <t>ヒレイ</t>
    </rPh>
    <rPh sb="5" eb="7">
      <t>キュウシュウ</t>
    </rPh>
    <rPh sb="7" eb="9">
      <t>ジミン</t>
    </rPh>
    <phoneticPr fontId="4"/>
  </si>
  <si>
    <t>45宮崎01</t>
    <rPh sb="2" eb="4">
      <t>ミヤザキ</t>
    </rPh>
    <phoneticPr fontId="4"/>
  </si>
  <si>
    <t>中山　成彬</t>
    <rPh sb="0" eb="1">
      <t>ナカ</t>
    </rPh>
    <rPh sb="1" eb="2">
      <t>ヤマ</t>
    </rPh>
    <rPh sb="3" eb="4">
      <t>ナリ</t>
    </rPh>
    <rPh sb="4" eb="5">
      <t>アキ</t>
    </rPh>
    <phoneticPr fontId="2"/>
  </si>
  <si>
    <t>401比例九州自民31</t>
    <rPh sb="3" eb="5">
      <t>ヒレイ</t>
    </rPh>
    <rPh sb="5" eb="7">
      <t>キュウシュウ</t>
    </rPh>
    <rPh sb="7" eb="9">
      <t>ジミン</t>
    </rPh>
    <phoneticPr fontId="4"/>
  </si>
  <si>
    <t>46鹿児島01</t>
    <rPh sb="2" eb="5">
      <t>カゴシマ</t>
    </rPh>
    <phoneticPr fontId="4"/>
  </si>
  <si>
    <t>保岡　興治</t>
    <rPh sb="0" eb="2">
      <t>ヤスオカ</t>
    </rPh>
    <rPh sb="3" eb="5">
      <t>オキハル</t>
    </rPh>
    <phoneticPr fontId="4"/>
  </si>
  <si>
    <t>401比例九州自民33</t>
    <rPh sb="3" eb="5">
      <t>ヒレイ</t>
    </rPh>
    <rPh sb="5" eb="7">
      <t>キュウシュウ</t>
    </rPh>
    <rPh sb="7" eb="9">
      <t>ジミン</t>
    </rPh>
    <phoneticPr fontId="4"/>
  </si>
  <si>
    <t>46鹿児島04</t>
    <rPh sb="2" eb="5">
      <t>カゴシマ</t>
    </rPh>
    <phoneticPr fontId="4"/>
  </si>
  <si>
    <t>小里　泰弘</t>
    <rPh sb="0" eb="1">
      <t>チイ</t>
    </rPh>
    <rPh sb="1" eb="2">
      <t>サト</t>
    </rPh>
    <rPh sb="3" eb="5">
      <t>ヤスヒロ</t>
    </rPh>
    <phoneticPr fontId="4"/>
  </si>
  <si>
    <t>401比例九州自民36</t>
    <rPh sb="3" eb="5">
      <t>ヒレイ</t>
    </rPh>
    <rPh sb="5" eb="7">
      <t>キュウシュウ</t>
    </rPh>
    <rPh sb="7" eb="9">
      <t>ジミン</t>
    </rPh>
    <phoneticPr fontId="4"/>
  </si>
  <si>
    <t>47沖縄03</t>
    <rPh sb="2" eb="4">
      <t>オキナワ</t>
    </rPh>
    <phoneticPr fontId="4"/>
  </si>
  <si>
    <t>嘉数　知賢</t>
    <rPh sb="0" eb="1">
      <t>カ</t>
    </rPh>
    <rPh sb="1" eb="2">
      <t>カズ</t>
    </rPh>
    <rPh sb="3" eb="4">
      <t>シ</t>
    </rPh>
    <rPh sb="4" eb="5">
      <t>ケン</t>
    </rPh>
    <phoneticPr fontId="4"/>
  </si>
  <si>
    <t>401比例九州自民37</t>
    <rPh sb="3" eb="5">
      <t>ヒレイ</t>
    </rPh>
    <rPh sb="5" eb="7">
      <t>キュウシュウ</t>
    </rPh>
    <rPh sb="7" eb="9">
      <t>ジミン</t>
    </rPh>
    <phoneticPr fontId="4"/>
  </si>
  <si>
    <t>47沖縄04</t>
    <rPh sb="2" eb="4">
      <t>オキナワ</t>
    </rPh>
    <phoneticPr fontId="4"/>
  </si>
  <si>
    <t>西銘　恒三郎</t>
    <rPh sb="0" eb="2">
      <t>ニシメイ</t>
    </rPh>
    <rPh sb="3" eb="6">
      <t>ツネサブロウ</t>
    </rPh>
    <phoneticPr fontId="4"/>
  </si>
  <si>
    <t>402比例九州民主12</t>
    <rPh sb="3" eb="5">
      <t>ヒレイ</t>
    </rPh>
    <rPh sb="5" eb="7">
      <t>キュウシュウ</t>
    </rPh>
    <rPh sb="7" eb="9">
      <t>ミンシュ</t>
    </rPh>
    <phoneticPr fontId="4"/>
  </si>
  <si>
    <t>原口　一博</t>
    <rPh sb="0" eb="2">
      <t>ハラグチ</t>
    </rPh>
    <rPh sb="3" eb="5">
      <t>カズヒロ</t>
    </rPh>
    <phoneticPr fontId="4"/>
  </si>
  <si>
    <t>402比例九州民主16</t>
    <rPh sb="3" eb="5">
      <t>ヒレイ</t>
    </rPh>
    <rPh sb="5" eb="7">
      <t>キュウシュウ</t>
    </rPh>
    <rPh sb="7" eb="9">
      <t>ミンシュ</t>
    </rPh>
    <phoneticPr fontId="4"/>
  </si>
  <si>
    <t>山田　正彦</t>
    <rPh sb="0" eb="2">
      <t>ヤマダ</t>
    </rPh>
    <rPh sb="3" eb="5">
      <t>マサヒコ</t>
    </rPh>
    <phoneticPr fontId="4"/>
  </si>
  <si>
    <t>402比例九州民主24</t>
    <rPh sb="3" eb="5">
      <t>ヒレイ</t>
    </rPh>
    <rPh sb="5" eb="7">
      <t>キュウシュウ</t>
    </rPh>
    <rPh sb="7" eb="9">
      <t>ミンシュ</t>
    </rPh>
    <phoneticPr fontId="4"/>
  </si>
  <si>
    <t>横光　克彦</t>
    <rPh sb="0" eb="2">
      <t>ヨコミツ</t>
    </rPh>
    <rPh sb="3" eb="5">
      <t>カツヒコ</t>
    </rPh>
    <phoneticPr fontId="4"/>
  </si>
  <si>
    <t>402比例九州民主09</t>
    <rPh sb="3" eb="5">
      <t>ヒレイ</t>
    </rPh>
    <rPh sb="5" eb="7">
      <t>キュウシュウ</t>
    </rPh>
    <rPh sb="7" eb="9">
      <t>ミンシュ</t>
    </rPh>
    <phoneticPr fontId="4"/>
  </si>
  <si>
    <t>北橋　健治</t>
    <rPh sb="0" eb="2">
      <t>キタハシ</t>
    </rPh>
    <rPh sb="3" eb="5">
      <t>ケンジ</t>
    </rPh>
    <phoneticPr fontId="4"/>
  </si>
  <si>
    <t>402比例九州民主06</t>
    <rPh sb="3" eb="5">
      <t>ヒレイ</t>
    </rPh>
    <rPh sb="5" eb="7">
      <t>キュウシュウ</t>
    </rPh>
    <rPh sb="7" eb="9">
      <t>ミンシュ</t>
    </rPh>
    <phoneticPr fontId="4"/>
  </si>
  <si>
    <t>古賀　一成</t>
    <rPh sb="0" eb="2">
      <t>コガ</t>
    </rPh>
    <rPh sb="3" eb="5">
      <t>イッセイ</t>
    </rPh>
    <phoneticPr fontId="4"/>
  </si>
  <si>
    <t>402比例九州民主28</t>
    <rPh sb="3" eb="5">
      <t>ヒレイ</t>
    </rPh>
    <rPh sb="5" eb="7">
      <t>キュウシュウ</t>
    </rPh>
    <rPh sb="7" eb="9">
      <t>ミンシュ</t>
    </rPh>
    <phoneticPr fontId="4"/>
  </si>
  <si>
    <t>川内　博史</t>
    <rPh sb="0" eb="2">
      <t>カワウチ</t>
    </rPh>
    <rPh sb="3" eb="5">
      <t>ヒロシ</t>
    </rPh>
    <phoneticPr fontId="4"/>
  </si>
  <si>
    <t>402比例九州民主13</t>
    <rPh sb="3" eb="5">
      <t>ヒレイ</t>
    </rPh>
    <rPh sb="5" eb="7">
      <t>キュウシュウ</t>
    </rPh>
    <rPh sb="7" eb="9">
      <t>ミンシュ</t>
    </rPh>
    <phoneticPr fontId="4"/>
  </si>
  <si>
    <t>大串　博志</t>
    <rPh sb="0" eb="2">
      <t>オオクシ</t>
    </rPh>
    <rPh sb="3" eb="5">
      <t>ヒロシ</t>
    </rPh>
    <phoneticPr fontId="4"/>
  </si>
  <si>
    <t>402比例九州民主05</t>
    <rPh sb="3" eb="5">
      <t>ヒレイ</t>
    </rPh>
    <rPh sb="5" eb="7">
      <t>キュウシュウ</t>
    </rPh>
    <rPh sb="7" eb="9">
      <t>ミンシュ</t>
    </rPh>
    <phoneticPr fontId="4"/>
  </si>
  <si>
    <t>楠田　大蔵</t>
    <rPh sb="0" eb="2">
      <t>クスダ</t>
    </rPh>
    <rPh sb="3" eb="5">
      <t>オオクラ</t>
    </rPh>
    <phoneticPr fontId="4"/>
  </si>
  <si>
    <t>402比例九州民主03</t>
    <rPh sb="3" eb="5">
      <t>ヒレイ</t>
    </rPh>
    <rPh sb="5" eb="7">
      <t>キュウシュウ</t>
    </rPh>
    <rPh sb="7" eb="9">
      <t>ミンシュ</t>
    </rPh>
    <phoneticPr fontId="4"/>
  </si>
  <si>
    <t>藤田　一枝</t>
    <rPh sb="0" eb="2">
      <t>フジタ</t>
    </rPh>
    <rPh sb="3" eb="5">
      <t>カズエ</t>
    </rPh>
    <phoneticPr fontId="4"/>
  </si>
  <si>
    <t>402比例九州民主04</t>
    <rPh sb="3" eb="5">
      <t>ヒレイ</t>
    </rPh>
    <rPh sb="5" eb="7">
      <t>キュウシュウ</t>
    </rPh>
    <rPh sb="7" eb="9">
      <t>ミンシュ</t>
    </rPh>
    <phoneticPr fontId="4"/>
  </si>
  <si>
    <t>楢崎　欣弥</t>
    <rPh sb="0" eb="2">
      <t>ナラザキ</t>
    </rPh>
    <rPh sb="3" eb="4">
      <t>キン</t>
    </rPh>
    <rPh sb="4" eb="5">
      <t>ヤ</t>
    </rPh>
    <phoneticPr fontId="4"/>
  </si>
  <si>
    <t>402比例九州民主15</t>
    <rPh sb="3" eb="5">
      <t>ヒレイ</t>
    </rPh>
    <rPh sb="5" eb="7">
      <t>キュウシュウ</t>
    </rPh>
    <rPh sb="7" eb="9">
      <t>ミンシュ</t>
    </rPh>
    <phoneticPr fontId="4"/>
  </si>
  <si>
    <t>大久保　潔重</t>
    <rPh sb="0" eb="3">
      <t>オオクボ</t>
    </rPh>
    <rPh sb="4" eb="5">
      <t>キヨシ</t>
    </rPh>
    <rPh sb="5" eb="6">
      <t>オモ</t>
    </rPh>
    <phoneticPr fontId="4"/>
  </si>
  <si>
    <t>402比例九州民主02</t>
    <rPh sb="3" eb="5">
      <t>ヒレイ</t>
    </rPh>
    <rPh sb="5" eb="7">
      <t>キュウシュウ</t>
    </rPh>
    <rPh sb="7" eb="9">
      <t>ミンシュ</t>
    </rPh>
    <phoneticPr fontId="4"/>
  </si>
  <si>
    <t>平田　正源</t>
    <rPh sb="0" eb="2">
      <t>ヒラタ</t>
    </rPh>
    <rPh sb="3" eb="4">
      <t>タダ</t>
    </rPh>
    <rPh sb="4" eb="5">
      <t>ミナモト</t>
    </rPh>
    <phoneticPr fontId="4"/>
  </si>
  <si>
    <t>402比例九州民主19</t>
    <rPh sb="3" eb="5">
      <t>ヒレイ</t>
    </rPh>
    <rPh sb="5" eb="7">
      <t>キュウシュウ</t>
    </rPh>
    <rPh sb="7" eb="9">
      <t>ミンシュ</t>
    </rPh>
    <phoneticPr fontId="4"/>
  </si>
  <si>
    <t>松野　信夫</t>
    <rPh sb="0" eb="2">
      <t>マツノ</t>
    </rPh>
    <rPh sb="3" eb="5">
      <t>ノブオ</t>
    </rPh>
    <phoneticPr fontId="4"/>
  </si>
  <si>
    <t>402比例九州民主17</t>
    <rPh sb="3" eb="5">
      <t>ヒレイ</t>
    </rPh>
    <rPh sb="5" eb="7">
      <t>キュウシュウ</t>
    </rPh>
    <rPh sb="7" eb="9">
      <t>ミンシュ</t>
    </rPh>
    <phoneticPr fontId="4"/>
  </si>
  <si>
    <t>宮島　大典</t>
    <rPh sb="0" eb="2">
      <t>ミヤジマ</t>
    </rPh>
    <rPh sb="3" eb="4">
      <t>ダイ</t>
    </rPh>
    <rPh sb="4" eb="5">
      <t>テン</t>
    </rPh>
    <phoneticPr fontId="4"/>
  </si>
  <si>
    <t>402比例九州民主07</t>
    <rPh sb="3" eb="5">
      <t>ヒレイ</t>
    </rPh>
    <rPh sb="5" eb="7">
      <t>キュウシュウ</t>
    </rPh>
    <rPh sb="7" eb="9">
      <t>ミンシュ</t>
    </rPh>
    <phoneticPr fontId="4"/>
  </si>
  <si>
    <t>中屋　大介</t>
    <rPh sb="0" eb="2">
      <t>ナカヤ</t>
    </rPh>
    <rPh sb="3" eb="5">
      <t>ダイスケ</t>
    </rPh>
    <phoneticPr fontId="4"/>
  </si>
  <si>
    <t>402比例九州民主30</t>
    <rPh sb="3" eb="5">
      <t>ヒレイ</t>
    </rPh>
    <rPh sb="5" eb="7">
      <t>キュウシュウ</t>
    </rPh>
    <rPh sb="7" eb="9">
      <t>ミンシュ</t>
    </rPh>
    <phoneticPr fontId="4"/>
  </si>
  <si>
    <t>濱田　健一</t>
    <rPh sb="0" eb="2">
      <t>ハマダ</t>
    </rPh>
    <rPh sb="3" eb="5">
      <t>ケンイチ</t>
    </rPh>
    <phoneticPr fontId="4"/>
  </si>
  <si>
    <t>402比例九州民主22</t>
    <rPh sb="3" eb="5">
      <t>ヒレイ</t>
    </rPh>
    <rPh sb="5" eb="7">
      <t>キュウシュウ</t>
    </rPh>
    <rPh sb="7" eb="9">
      <t>ミンシュ</t>
    </rPh>
    <phoneticPr fontId="4"/>
  </si>
  <si>
    <t>後藤　英友</t>
    <rPh sb="0" eb="2">
      <t>ゴトウ</t>
    </rPh>
    <rPh sb="3" eb="4">
      <t>ヒデ</t>
    </rPh>
    <rPh sb="4" eb="5">
      <t>トモ</t>
    </rPh>
    <phoneticPr fontId="4"/>
  </si>
  <si>
    <t>402比例九州民主10</t>
    <rPh sb="3" eb="5">
      <t>ヒレイ</t>
    </rPh>
    <rPh sb="5" eb="7">
      <t>キュウシュウ</t>
    </rPh>
    <rPh sb="7" eb="9">
      <t>ミンシュ</t>
    </rPh>
    <phoneticPr fontId="4"/>
  </si>
  <si>
    <t>城井　崇</t>
    <rPh sb="0" eb="1">
      <t>シロ</t>
    </rPh>
    <rPh sb="1" eb="2">
      <t>イ</t>
    </rPh>
    <rPh sb="3" eb="4">
      <t>タカシ</t>
    </rPh>
    <phoneticPr fontId="4"/>
  </si>
  <si>
    <t>402比例九州民主32</t>
    <rPh sb="3" eb="5">
      <t>ヒレイ</t>
    </rPh>
    <rPh sb="5" eb="7">
      <t>キュウシュウ</t>
    </rPh>
    <rPh sb="7" eb="9">
      <t>ミンシュ</t>
    </rPh>
    <phoneticPr fontId="4"/>
  </si>
  <si>
    <t>宮国　忠広</t>
    <rPh sb="0" eb="2">
      <t>ミヤクニ</t>
    </rPh>
    <rPh sb="3" eb="5">
      <t>タダヒロ</t>
    </rPh>
    <phoneticPr fontId="4"/>
  </si>
  <si>
    <t>大</t>
    <rPh sb="0" eb="1">
      <t>タイ</t>
    </rPh>
    <phoneticPr fontId="4"/>
  </si>
  <si>
    <t>402比例九州民主08</t>
    <rPh sb="3" eb="5">
      <t>ヒレイ</t>
    </rPh>
    <rPh sb="5" eb="7">
      <t>キュウシュウ</t>
    </rPh>
    <rPh sb="7" eb="9">
      <t>ミンシュ</t>
    </rPh>
    <phoneticPr fontId="4"/>
  </si>
  <si>
    <t>大島　九州男</t>
    <rPh sb="0" eb="2">
      <t>オオシマ</t>
    </rPh>
    <rPh sb="3" eb="5">
      <t>キュウシュウ</t>
    </rPh>
    <rPh sb="5" eb="6">
      <t>オトコ</t>
    </rPh>
    <phoneticPr fontId="4"/>
  </si>
  <si>
    <t>402比例九州民主31</t>
    <rPh sb="3" eb="5">
      <t>ヒレイ</t>
    </rPh>
    <rPh sb="5" eb="7">
      <t>キュウシュウ</t>
    </rPh>
    <rPh sb="7" eb="9">
      <t>ミンシュ</t>
    </rPh>
    <phoneticPr fontId="4"/>
  </si>
  <si>
    <t>玉城　デニー</t>
    <rPh sb="0" eb="2">
      <t>タマシロ</t>
    </rPh>
    <phoneticPr fontId="4"/>
  </si>
  <si>
    <t>402比例九州民主26</t>
    <rPh sb="3" eb="5">
      <t>ヒレイ</t>
    </rPh>
    <rPh sb="5" eb="7">
      <t>キュウシュウ</t>
    </rPh>
    <rPh sb="7" eb="9">
      <t>ミンシュ</t>
    </rPh>
    <phoneticPr fontId="4"/>
  </si>
  <si>
    <t>黒木　健司</t>
    <rPh sb="0" eb="2">
      <t>クロキ</t>
    </rPh>
    <rPh sb="3" eb="5">
      <t>ケンジ</t>
    </rPh>
    <phoneticPr fontId="4"/>
  </si>
  <si>
    <t>402比例九州民主25</t>
    <rPh sb="3" eb="5">
      <t>ヒレイ</t>
    </rPh>
    <rPh sb="5" eb="7">
      <t>キュウシュウ</t>
    </rPh>
    <rPh sb="7" eb="9">
      <t>ミンシュ</t>
    </rPh>
    <phoneticPr fontId="4"/>
  </si>
  <si>
    <t>米澤　隆</t>
    <rPh sb="0" eb="2">
      <t>ヨネザワ</t>
    </rPh>
    <rPh sb="3" eb="4">
      <t>タカシ</t>
    </rPh>
    <phoneticPr fontId="4"/>
  </si>
  <si>
    <t>402比例九州民主21</t>
    <rPh sb="3" eb="5">
      <t>ヒレイ</t>
    </rPh>
    <rPh sb="5" eb="7">
      <t>キュウシュウ</t>
    </rPh>
    <rPh sb="7" eb="9">
      <t>ミンシュ</t>
    </rPh>
    <phoneticPr fontId="4"/>
  </si>
  <si>
    <t>松本　基督</t>
    <rPh sb="0" eb="2">
      <t>マツモト</t>
    </rPh>
    <rPh sb="3" eb="5">
      <t>キリスト</t>
    </rPh>
    <phoneticPr fontId="4"/>
  </si>
  <si>
    <t>402比例九州民主20</t>
    <rPh sb="3" eb="5">
      <t>ヒレイ</t>
    </rPh>
    <rPh sb="5" eb="7">
      <t>キュウシュウ</t>
    </rPh>
    <rPh sb="7" eb="9">
      <t>ミンシュ</t>
    </rPh>
    <phoneticPr fontId="4"/>
  </si>
  <si>
    <t>43熊本03</t>
    <rPh sb="2" eb="4">
      <t>クマモト</t>
    </rPh>
    <phoneticPr fontId="4"/>
  </si>
  <si>
    <t>中川　浩一郎</t>
    <rPh sb="0" eb="2">
      <t>ナカガワ</t>
    </rPh>
    <rPh sb="3" eb="6">
      <t>コウイチロウ</t>
    </rPh>
    <phoneticPr fontId="4"/>
  </si>
  <si>
    <t>402比例九州民主11</t>
    <rPh sb="3" eb="5">
      <t>ヒレイ</t>
    </rPh>
    <rPh sb="5" eb="7">
      <t>キュウシュウ</t>
    </rPh>
    <rPh sb="7" eb="9">
      <t>ミンシュ</t>
    </rPh>
    <phoneticPr fontId="4"/>
  </si>
  <si>
    <t>稲富　修二</t>
    <rPh sb="0" eb="2">
      <t>イナトミ</t>
    </rPh>
    <rPh sb="3" eb="5">
      <t>シュウジ</t>
    </rPh>
    <phoneticPr fontId="4"/>
  </si>
  <si>
    <t>402比例九州民主29</t>
    <rPh sb="3" eb="5">
      <t>ヒレイ</t>
    </rPh>
    <rPh sb="5" eb="7">
      <t>キュウシュウ</t>
    </rPh>
    <rPh sb="7" eb="9">
      <t>ミンシュ</t>
    </rPh>
    <phoneticPr fontId="4"/>
  </si>
  <si>
    <t>46鹿児島03</t>
    <rPh sb="2" eb="5">
      <t>カゴシマ</t>
    </rPh>
    <phoneticPr fontId="4"/>
  </si>
  <si>
    <t>野間　健</t>
    <rPh sb="0" eb="2">
      <t>ノマ</t>
    </rPh>
    <rPh sb="3" eb="4">
      <t>タケシ</t>
    </rPh>
    <phoneticPr fontId="4"/>
  </si>
  <si>
    <t>402比例九州民主27</t>
    <rPh sb="3" eb="5">
      <t>ヒレイ</t>
    </rPh>
    <rPh sb="5" eb="7">
      <t>キュウシュウ</t>
    </rPh>
    <rPh sb="7" eb="9">
      <t>ミンシュ</t>
    </rPh>
    <phoneticPr fontId="4"/>
  </si>
  <si>
    <t>外山　斎</t>
    <rPh sb="0" eb="1">
      <t>ソト</t>
    </rPh>
    <rPh sb="1" eb="2">
      <t>ヤマ</t>
    </rPh>
    <rPh sb="3" eb="4">
      <t>イワイ</t>
    </rPh>
    <phoneticPr fontId="4"/>
  </si>
  <si>
    <t>402比例九州民主01</t>
    <rPh sb="3" eb="5">
      <t>ヒレイ</t>
    </rPh>
    <rPh sb="5" eb="7">
      <t>キュウシュウ</t>
    </rPh>
    <rPh sb="7" eb="9">
      <t>ミンシュ</t>
    </rPh>
    <phoneticPr fontId="4"/>
  </si>
  <si>
    <t>松本　龍</t>
    <rPh sb="0" eb="2">
      <t>マツモト</t>
    </rPh>
    <rPh sb="3" eb="4">
      <t>リュウ</t>
    </rPh>
    <phoneticPr fontId="4"/>
  </si>
  <si>
    <t>402比例九州民主14</t>
    <rPh sb="3" eb="5">
      <t>ヒレイ</t>
    </rPh>
    <rPh sb="5" eb="7">
      <t>キュウシュウ</t>
    </rPh>
    <rPh sb="7" eb="9">
      <t>ミンシュ</t>
    </rPh>
    <phoneticPr fontId="4"/>
  </si>
  <si>
    <t>髙木　義明</t>
    <rPh sb="0" eb="2">
      <t>タカギ</t>
    </rPh>
    <rPh sb="3" eb="5">
      <t>ヨシアキ</t>
    </rPh>
    <phoneticPr fontId="4"/>
  </si>
  <si>
    <t>402比例九州民主18</t>
    <rPh sb="3" eb="5">
      <t>ヒレイ</t>
    </rPh>
    <rPh sb="5" eb="7">
      <t>キュウシュウ</t>
    </rPh>
    <rPh sb="7" eb="9">
      <t>ミンシュ</t>
    </rPh>
    <phoneticPr fontId="4"/>
  </si>
  <si>
    <t>松野　頼久</t>
    <rPh sb="0" eb="2">
      <t>マツノ</t>
    </rPh>
    <rPh sb="3" eb="4">
      <t>ライ</t>
    </rPh>
    <rPh sb="4" eb="5">
      <t>ヒサ</t>
    </rPh>
    <phoneticPr fontId="4"/>
  </si>
  <si>
    <t>402比例九州民主23</t>
    <rPh sb="3" eb="5">
      <t>ヒレイ</t>
    </rPh>
    <rPh sb="5" eb="7">
      <t>キュウシュウ</t>
    </rPh>
    <rPh sb="7" eb="9">
      <t>ミンシュ</t>
    </rPh>
    <phoneticPr fontId="4"/>
  </si>
  <si>
    <t>吉良　州司</t>
    <rPh sb="0" eb="2">
      <t>キラ</t>
    </rPh>
    <rPh sb="3" eb="4">
      <t>シュウ</t>
    </rPh>
    <rPh sb="4" eb="5">
      <t>ツカサ</t>
    </rPh>
    <phoneticPr fontId="4"/>
  </si>
  <si>
    <t>403比例九州公明01</t>
    <rPh sb="3" eb="5">
      <t>ヒレイ</t>
    </rPh>
    <rPh sb="5" eb="7">
      <t>キュウシュウ</t>
    </rPh>
    <rPh sb="7" eb="9">
      <t>コウメイ</t>
    </rPh>
    <phoneticPr fontId="4"/>
  </si>
  <si>
    <t>神崎　武法</t>
    <rPh sb="0" eb="2">
      <t>カンザキ</t>
    </rPh>
    <rPh sb="3" eb="4">
      <t>ブ</t>
    </rPh>
    <rPh sb="4" eb="5">
      <t>ホウ</t>
    </rPh>
    <phoneticPr fontId="4"/>
  </si>
  <si>
    <t>403比例九州公明02</t>
    <rPh sb="3" eb="5">
      <t>ヒレイ</t>
    </rPh>
    <rPh sb="5" eb="7">
      <t>キュウシュウ</t>
    </rPh>
    <rPh sb="7" eb="9">
      <t>コウメイ</t>
    </rPh>
    <phoneticPr fontId="4"/>
  </si>
  <si>
    <t>東　順治</t>
    <rPh sb="0" eb="1">
      <t>ヒガシ</t>
    </rPh>
    <rPh sb="2" eb="4">
      <t>ジュンジ</t>
    </rPh>
    <phoneticPr fontId="4"/>
  </si>
  <si>
    <t>403比例九州公明03</t>
    <rPh sb="3" eb="5">
      <t>ヒレイ</t>
    </rPh>
    <rPh sb="5" eb="7">
      <t>キュウシュウ</t>
    </rPh>
    <rPh sb="7" eb="9">
      <t>コウメイ</t>
    </rPh>
    <phoneticPr fontId="4"/>
  </si>
  <si>
    <t>江田　康幸</t>
    <rPh sb="0" eb="2">
      <t>エダ</t>
    </rPh>
    <rPh sb="3" eb="5">
      <t>ヤスユキ</t>
    </rPh>
    <phoneticPr fontId="4"/>
  </si>
  <si>
    <t>403比例九州公明04</t>
    <rPh sb="3" eb="5">
      <t>ヒレイ</t>
    </rPh>
    <rPh sb="5" eb="7">
      <t>キュウシュウ</t>
    </rPh>
    <rPh sb="7" eb="9">
      <t>コウメイ</t>
    </rPh>
    <phoneticPr fontId="4"/>
  </si>
  <si>
    <t>大塚　勝利</t>
    <rPh sb="0" eb="2">
      <t>オオツカ</t>
    </rPh>
    <rPh sb="3" eb="5">
      <t>カツトシ</t>
    </rPh>
    <phoneticPr fontId="4"/>
  </si>
  <si>
    <t>403比例九州公明05</t>
    <rPh sb="3" eb="5">
      <t>ヒレイ</t>
    </rPh>
    <rPh sb="5" eb="7">
      <t>キュウシュウ</t>
    </rPh>
    <rPh sb="7" eb="9">
      <t>コウメイ</t>
    </rPh>
    <phoneticPr fontId="4"/>
  </si>
  <si>
    <t>鎌田　敬</t>
    <rPh sb="0" eb="2">
      <t>カマタ</t>
    </rPh>
    <rPh sb="3" eb="4">
      <t>ケイ</t>
    </rPh>
    <phoneticPr fontId="4"/>
  </si>
  <si>
    <t>404比例九州共産01</t>
    <rPh sb="3" eb="5">
      <t>ヒレイ</t>
    </rPh>
    <rPh sb="5" eb="7">
      <t>キュウシュウ</t>
    </rPh>
    <rPh sb="7" eb="9">
      <t>キョウサン</t>
    </rPh>
    <phoneticPr fontId="4"/>
  </si>
  <si>
    <t>47沖縄01</t>
    <rPh sb="2" eb="4">
      <t>オキナワ</t>
    </rPh>
    <phoneticPr fontId="4"/>
  </si>
  <si>
    <t>赤嶺　政賢</t>
    <rPh sb="0" eb="1">
      <t>アカ</t>
    </rPh>
    <rPh sb="1" eb="2">
      <t>ミネ</t>
    </rPh>
    <rPh sb="3" eb="5">
      <t>マサヤス</t>
    </rPh>
    <phoneticPr fontId="4"/>
  </si>
  <si>
    <t>404比例九州共産03</t>
    <rPh sb="3" eb="5">
      <t>ヒレイ</t>
    </rPh>
    <rPh sb="5" eb="7">
      <t>キュウシュウ</t>
    </rPh>
    <rPh sb="7" eb="9">
      <t>キョウサン</t>
    </rPh>
    <phoneticPr fontId="4"/>
  </si>
  <si>
    <t>$</t>
    <phoneticPr fontId="4"/>
  </si>
  <si>
    <t>西村　貴恵子</t>
    <rPh sb="0" eb="2">
      <t>ニシムラ</t>
    </rPh>
    <rPh sb="3" eb="5">
      <t>キエ</t>
    </rPh>
    <rPh sb="5" eb="6">
      <t>コ</t>
    </rPh>
    <phoneticPr fontId="4"/>
  </si>
  <si>
    <t>404比例九州共産02</t>
    <rPh sb="3" eb="5">
      <t>ヒレイ</t>
    </rPh>
    <rPh sb="5" eb="7">
      <t>キュウシュウ</t>
    </rPh>
    <rPh sb="7" eb="9">
      <t>キョウサン</t>
    </rPh>
    <phoneticPr fontId="4"/>
  </si>
  <si>
    <t>田村　貴昭</t>
    <rPh sb="0" eb="2">
      <t>タムラ</t>
    </rPh>
    <rPh sb="3" eb="5">
      <t>タカアキ</t>
    </rPh>
    <phoneticPr fontId="4"/>
  </si>
  <si>
    <t>405比例九州社民05</t>
    <rPh sb="3" eb="5">
      <t>ヒレイ</t>
    </rPh>
    <rPh sb="5" eb="7">
      <t>キュウシュウ</t>
    </rPh>
    <rPh sb="7" eb="9">
      <t>シャミン</t>
    </rPh>
    <phoneticPr fontId="4"/>
  </si>
  <si>
    <t>重野　安正</t>
    <rPh sb="0" eb="2">
      <t>シゲノ</t>
    </rPh>
    <rPh sb="3" eb="4">
      <t>ヤス</t>
    </rPh>
    <rPh sb="4" eb="5">
      <t>タダ</t>
    </rPh>
    <phoneticPr fontId="4"/>
  </si>
  <si>
    <t>405比例九州社民08</t>
    <rPh sb="3" eb="5">
      <t>ヒレイ</t>
    </rPh>
    <rPh sb="5" eb="7">
      <t>キュウシュウ</t>
    </rPh>
    <rPh sb="7" eb="9">
      <t>シャミン</t>
    </rPh>
    <phoneticPr fontId="4"/>
  </si>
  <si>
    <t>東門　美津子</t>
    <rPh sb="0" eb="1">
      <t>トウ</t>
    </rPh>
    <rPh sb="1" eb="2">
      <t>モン</t>
    </rPh>
    <rPh sb="3" eb="6">
      <t>ミツコ</t>
    </rPh>
    <phoneticPr fontId="4"/>
  </si>
  <si>
    <t>405比例九州社民04</t>
    <rPh sb="3" eb="5">
      <t>ヒレイ</t>
    </rPh>
    <rPh sb="5" eb="7">
      <t>キュウシュウ</t>
    </rPh>
    <rPh sb="7" eb="9">
      <t>シャミン</t>
    </rPh>
    <phoneticPr fontId="4"/>
  </si>
  <si>
    <t>今川　正美</t>
    <rPh sb="0" eb="2">
      <t>イマガワ</t>
    </rPh>
    <rPh sb="3" eb="5">
      <t>マサミ</t>
    </rPh>
    <phoneticPr fontId="4"/>
  </si>
  <si>
    <t>405比例九州社民06</t>
    <rPh sb="3" eb="5">
      <t>ヒレイ</t>
    </rPh>
    <rPh sb="5" eb="7">
      <t>キュウシュウ</t>
    </rPh>
    <rPh sb="7" eb="9">
      <t>シャミン</t>
    </rPh>
    <phoneticPr fontId="4"/>
  </si>
  <si>
    <t>鳥飼　謙二</t>
    <rPh sb="0" eb="1">
      <t>トリ</t>
    </rPh>
    <rPh sb="1" eb="2">
      <t>カ</t>
    </rPh>
    <rPh sb="3" eb="5">
      <t>ケンジ</t>
    </rPh>
    <phoneticPr fontId="4"/>
  </si>
  <si>
    <t>405比例九州社民03</t>
    <rPh sb="3" eb="5">
      <t>ヒレイ</t>
    </rPh>
    <rPh sb="5" eb="7">
      <t>キュウシュウ</t>
    </rPh>
    <rPh sb="7" eb="9">
      <t>シャミン</t>
    </rPh>
    <phoneticPr fontId="4"/>
  </si>
  <si>
    <t>柳瀬　映二</t>
    <rPh sb="0" eb="2">
      <t>ヤナセ</t>
    </rPh>
    <rPh sb="3" eb="5">
      <t>エイジ</t>
    </rPh>
    <phoneticPr fontId="4"/>
  </si>
  <si>
    <t>405比例九州社民02</t>
    <rPh sb="3" eb="5">
      <t>ヒレイ</t>
    </rPh>
    <rPh sb="5" eb="7">
      <t>キュウシュウ</t>
    </rPh>
    <rPh sb="7" eb="9">
      <t>シャミン</t>
    </rPh>
    <phoneticPr fontId="4"/>
  </si>
  <si>
    <t>小島　潤一郎</t>
    <rPh sb="0" eb="2">
      <t>コジマ</t>
    </rPh>
    <rPh sb="3" eb="6">
      <t>ジュンイチロウ</t>
    </rPh>
    <phoneticPr fontId="4"/>
  </si>
  <si>
    <t>405比例九州社民01</t>
    <rPh sb="3" eb="5">
      <t>ヒレイ</t>
    </rPh>
    <rPh sb="5" eb="7">
      <t>キュウシュウ</t>
    </rPh>
    <rPh sb="7" eb="9">
      <t>シャミン</t>
    </rPh>
    <phoneticPr fontId="4"/>
  </si>
  <si>
    <t>西村　健志郎</t>
    <rPh sb="0" eb="2">
      <t>ニシムラ</t>
    </rPh>
    <rPh sb="3" eb="4">
      <t>ケン</t>
    </rPh>
    <rPh sb="4" eb="6">
      <t>シロウ</t>
    </rPh>
    <phoneticPr fontId="4"/>
  </si>
  <si>
    <t>405比例九州社民07</t>
    <rPh sb="3" eb="5">
      <t>ヒレイ</t>
    </rPh>
    <rPh sb="5" eb="7">
      <t>キュウシュウ</t>
    </rPh>
    <rPh sb="7" eb="9">
      <t>シャミン</t>
    </rPh>
    <phoneticPr fontId="4"/>
  </si>
  <si>
    <t>照屋　寛徳</t>
    <rPh sb="0" eb="2">
      <t>テルヤ</t>
    </rPh>
    <rPh sb="3" eb="4">
      <t>ヒロシ</t>
    </rPh>
    <rPh sb="4" eb="5">
      <t>トク</t>
    </rPh>
    <phoneticPr fontId="4"/>
  </si>
  <si>
    <t>406比例九州国民01</t>
    <rPh sb="3" eb="5">
      <t>ヒレイ</t>
    </rPh>
    <rPh sb="5" eb="7">
      <t>キュウシュウ</t>
    </rPh>
    <rPh sb="7" eb="9">
      <t>コクミン</t>
    </rPh>
    <phoneticPr fontId="4"/>
  </si>
  <si>
    <t>金城　浩</t>
    <rPh sb="0" eb="2">
      <t>カネシロ</t>
    </rPh>
    <rPh sb="3" eb="4">
      <t>ヒロシ</t>
    </rPh>
    <phoneticPr fontId="4"/>
  </si>
  <si>
    <t>406比例九州国民02</t>
    <rPh sb="3" eb="5">
      <t>ヒレイ</t>
    </rPh>
    <rPh sb="5" eb="7">
      <t>キュウシュウ</t>
    </rPh>
    <rPh sb="7" eb="9">
      <t>コクミン</t>
    </rPh>
    <phoneticPr fontId="4"/>
  </si>
  <si>
    <t>石橋　広盛</t>
    <rPh sb="0" eb="2">
      <t>イシバシ</t>
    </rPh>
    <rPh sb="3" eb="5">
      <t>ヒロモリ</t>
    </rPh>
    <phoneticPr fontId="4"/>
  </si>
  <si>
    <t>【第44回総選挙　比例区の各政党別獲得議席数】</t>
    <rPh sb="1" eb="2">
      <t>ダイ</t>
    </rPh>
    <rPh sb="4" eb="5">
      <t>カイ</t>
    </rPh>
    <rPh sb="5" eb="8">
      <t>ソウセンキョ</t>
    </rPh>
    <rPh sb="9" eb="11">
      <t>ヒレイ</t>
    </rPh>
    <rPh sb="11" eb="12">
      <t>ク</t>
    </rPh>
    <rPh sb="13" eb="16">
      <t>カクセイトウ</t>
    </rPh>
    <rPh sb="16" eb="17">
      <t>ベツ</t>
    </rPh>
    <rPh sb="17" eb="19">
      <t>カクトク</t>
    </rPh>
    <rPh sb="19" eb="22">
      <t>ギセキスウ</t>
    </rPh>
    <phoneticPr fontId="4"/>
  </si>
  <si>
    <t>政党名</t>
    <rPh sb="0" eb="3">
      <t>セイトウメイ</t>
    </rPh>
    <phoneticPr fontId="4"/>
  </si>
  <si>
    <t>議席数</t>
    <rPh sb="0" eb="3">
      <t>ギセキスウ</t>
    </rPh>
    <phoneticPr fontId="4"/>
  </si>
  <si>
    <t>自民党</t>
    <rPh sb="0" eb="2">
      <t>ジミン</t>
    </rPh>
    <rPh sb="2" eb="3">
      <t>トウ</t>
    </rPh>
    <phoneticPr fontId="4"/>
  </si>
  <si>
    <t>票</t>
    <rPh sb="0" eb="1">
      <t>ヒョウ</t>
    </rPh>
    <phoneticPr fontId="4"/>
  </si>
  <si>
    <t>公明党</t>
    <rPh sb="0" eb="3">
      <t>コウメイトウ</t>
    </rPh>
    <phoneticPr fontId="4"/>
  </si>
  <si>
    <t>共産党</t>
    <rPh sb="0" eb="3">
      <t>キョウサントウ</t>
    </rPh>
    <phoneticPr fontId="4"/>
  </si>
  <si>
    <t>社民党</t>
    <rPh sb="0" eb="3">
      <t>シャミントウ</t>
    </rPh>
    <phoneticPr fontId="4"/>
  </si>
  <si>
    <t>国民新党</t>
    <rPh sb="0" eb="2">
      <t>コクミン</t>
    </rPh>
    <rPh sb="2" eb="4">
      <t>シントウ</t>
    </rPh>
    <phoneticPr fontId="4"/>
  </si>
  <si>
    <t>新党日本</t>
    <rPh sb="0" eb="2">
      <t>シントウ</t>
    </rPh>
    <rPh sb="2" eb="4">
      <t>ニホン</t>
    </rPh>
    <phoneticPr fontId="4"/>
  </si>
  <si>
    <t>諸派</t>
    <rPh sb="0" eb="2">
      <t>ショハ</t>
    </rPh>
    <phoneticPr fontId="4"/>
  </si>
  <si>
    <t>合計</t>
    <rPh sb="0" eb="2">
      <t>ゴウケイ</t>
    </rPh>
    <phoneticPr fontId="4"/>
  </si>
  <si>
    <t>残り</t>
    <rPh sb="0" eb="1">
      <t>ノコ</t>
    </rPh>
    <phoneticPr fontId="4"/>
  </si>
  <si>
    <t>得票数</t>
    <rPh sb="0" eb="3">
      <t>トクヒョウスウ</t>
    </rPh>
    <phoneticPr fontId="2"/>
  </si>
  <si>
    <t>比△</t>
    <rPh sb="0" eb="1">
      <t>ヒ</t>
    </rPh>
    <phoneticPr fontId="2"/>
  </si>
  <si>
    <t>【第44回総選挙　小選挙区の各政党別獲得議席数】</t>
    <rPh sb="1" eb="2">
      <t>ダイ</t>
    </rPh>
    <rPh sb="4" eb="5">
      <t>カイ</t>
    </rPh>
    <rPh sb="5" eb="8">
      <t>ソウセンキョ</t>
    </rPh>
    <rPh sb="9" eb="13">
      <t>ショウセンキョク</t>
    </rPh>
    <rPh sb="14" eb="17">
      <t>カクセイトウ</t>
    </rPh>
    <rPh sb="17" eb="18">
      <t>ベツ</t>
    </rPh>
    <rPh sb="18" eb="20">
      <t>カクトク</t>
    </rPh>
    <rPh sb="20" eb="23">
      <t>ギセキスウ</t>
    </rPh>
    <phoneticPr fontId="4"/>
  </si>
  <si>
    <t>無所属</t>
    <rPh sb="0" eb="3">
      <t>ムショゾク</t>
    </rPh>
    <phoneticPr fontId="4"/>
  </si>
  <si>
    <t>２１社</t>
  </si>
  <si>
    <t>三品　孝行</t>
  </si>
  <si>
    <t>横山　博子</t>
  </si>
  <si>
    <t>秋元　正博</t>
  </si>
  <si>
    <t>０９諸　派</t>
  </si>
  <si>
    <t>２５政</t>
  </si>
  <si>
    <t>１０橋本</t>
  </si>
  <si>
    <t>金倉　昌俊</t>
  </si>
  <si>
    <t>石崎　岳</t>
  </si>
  <si>
    <t xml:space="preserve">１１ 森 </t>
  </si>
  <si>
    <t>荒井　聰</t>
  </si>
  <si>
    <t>２２さ</t>
  </si>
  <si>
    <t>川部　竜二</t>
  </si>
  <si>
    <t>佐藤　静雄</t>
  </si>
  <si>
    <t>琴坂　禎子</t>
  </si>
  <si>
    <t>山崎　貴裕</t>
  </si>
  <si>
    <t>金田　英行</t>
  </si>
  <si>
    <t>田辺　八郎</t>
  </si>
  <si>
    <t>２９他</t>
  </si>
  <si>
    <t>北村　直人</t>
  </si>
  <si>
    <t>１３堀内</t>
  </si>
  <si>
    <t>村上　和繁</t>
  </si>
  <si>
    <t>金田　誠一</t>
  </si>
  <si>
    <t>１２亀井</t>
  </si>
  <si>
    <t>前川　一夫</t>
  </si>
  <si>
    <t>岩倉　博文</t>
  </si>
  <si>
    <t>010北海道10区04</t>
  </si>
  <si>
    <t>山下　貴史</t>
  </si>
  <si>
    <t>１０無所属</t>
  </si>
  <si>
    <t>(自反亀)</t>
  </si>
  <si>
    <t>谷　建夫</t>
  </si>
  <si>
    <t>２６由</t>
  </si>
  <si>
    <t>長谷部　昭夫</t>
  </si>
  <si>
    <t>武部　勤</t>
  </si>
  <si>
    <t>菅原　誠</t>
  </si>
  <si>
    <t>津島　雄二</t>
  </si>
  <si>
    <t>渋谷　哲一</t>
  </si>
  <si>
    <t>仲谷　良子</t>
  </si>
  <si>
    <t>高柳　博明</t>
  </si>
  <si>
    <t>１６高村</t>
  </si>
  <si>
    <t>中村　友信</t>
  </si>
  <si>
    <t>木下　千代治</t>
  </si>
  <si>
    <t>市川　俊光</t>
  </si>
  <si>
    <t>松橋　三夫</t>
  </si>
  <si>
    <t>渋谷　修</t>
  </si>
  <si>
    <t>016青森4区04</t>
  </si>
  <si>
    <t>(自反橋)</t>
  </si>
  <si>
    <t>船水　奐彦</t>
  </si>
  <si>
    <t>達増　拓也</t>
  </si>
  <si>
    <t>及川　敦</t>
  </si>
  <si>
    <t>細川　光正</t>
  </si>
  <si>
    <t>神部　伸也</t>
  </si>
  <si>
    <t>畑　浩治</t>
  </si>
  <si>
    <t>菊池　幸夫</t>
  </si>
  <si>
    <t>玉澤　徳一郎</t>
  </si>
  <si>
    <t>久保　孝喜</t>
  </si>
  <si>
    <t>高橋　綱記</t>
  </si>
  <si>
    <t>土井　亨</t>
  </si>
  <si>
    <t>郡　和子</t>
  </si>
  <si>
    <t>門間　由記子</t>
  </si>
  <si>
    <t>五島　平</t>
  </si>
  <si>
    <t>高橋　光ニ</t>
  </si>
  <si>
    <t>高橋　卓也</t>
  </si>
  <si>
    <t>安住　淳</t>
  </si>
  <si>
    <t>025宮城5区03</t>
  </si>
  <si>
    <t>高野　博</t>
  </si>
  <si>
    <t>近江　寿</t>
  </si>
  <si>
    <t>寺田　学</t>
  </si>
  <si>
    <t>石川　錬治郎</t>
  </si>
  <si>
    <t>今川　和信</t>
  </si>
  <si>
    <t>野呂田　芳成</t>
  </si>
  <si>
    <t>小野　貴樹</t>
  </si>
  <si>
    <t>藤本　金治</t>
  </si>
  <si>
    <t>１５小里</t>
  </si>
  <si>
    <t>石川　渉</t>
  </si>
  <si>
    <t>遠藤　武彦</t>
  </si>
  <si>
    <t>伊藤　おの一</t>
  </si>
  <si>
    <t>石原　信市郎</t>
  </si>
  <si>
    <t>山田　裕</t>
  </si>
  <si>
    <t>根本　匠</t>
  </si>
  <si>
    <t>増子　輝彦</t>
  </si>
  <si>
    <t>佐藤　克朗</t>
  </si>
  <si>
    <t>蓮実　進</t>
  </si>
  <si>
    <t>渡部　篤</t>
  </si>
  <si>
    <t>原田　俊広</t>
  </si>
  <si>
    <t>吉田　泉</t>
  </si>
  <si>
    <t>吉田　英策</t>
  </si>
  <si>
    <t>037福島5区04</t>
  </si>
  <si>
    <t>鈴木　工</t>
  </si>
  <si>
    <t>小林　誠</t>
  </si>
  <si>
    <t>高原　努</t>
  </si>
  <si>
    <t>040茨城3区05</t>
  </si>
  <si>
    <t>中山　一生</t>
  </si>
  <si>
    <t>(自橋)</t>
  </si>
  <si>
    <t>上野　高志</t>
  </si>
  <si>
    <t>040茨城3区04</t>
  </si>
  <si>
    <t>猿田　玲</t>
  </si>
  <si>
    <t>高野　守</t>
  </si>
  <si>
    <t>川崎　篤子</t>
  </si>
  <si>
    <t>藤田　邦良</t>
  </si>
  <si>
    <t>川口　良治</t>
  </si>
  <si>
    <t>043茨城6区04</t>
  </si>
  <si>
    <t>桜井　よう子</t>
  </si>
  <si>
    <t>塚本　武志</t>
  </si>
  <si>
    <t>五十嵐　弘子</t>
  </si>
  <si>
    <t>稲葉　修敏</t>
  </si>
  <si>
    <t>船田　元</t>
  </si>
  <si>
    <t>水島　広子</t>
  </si>
  <si>
    <t>野村　節子</t>
  </si>
  <si>
    <t>森山　真弓</t>
  </si>
  <si>
    <t>小林　隆</t>
  </si>
  <si>
    <t>047栃木3区04</t>
  </si>
  <si>
    <t>山口　睦子</t>
  </si>
  <si>
    <t>047栃木3区03</t>
  </si>
  <si>
    <t>槙　昌三</t>
  </si>
  <si>
    <t>047栃木3区05</t>
  </si>
  <si>
    <t>斎藤　寿々夢</t>
  </si>
  <si>
    <t>佐藤　勉</t>
  </si>
  <si>
    <t>山崎　寿彦</t>
  </si>
  <si>
    <t>高橋　仁</t>
  </si>
  <si>
    <t>近藤　好枝</t>
  </si>
  <si>
    <t>笹川　堯</t>
  </si>
  <si>
    <t>藤掛　順恒</t>
  </si>
  <si>
    <t>小菅　啓司</t>
  </si>
  <si>
    <t>酒井　悦夫</t>
  </si>
  <si>
    <t>田島　國彦</t>
  </si>
  <si>
    <t>福田　あい子</t>
  </si>
  <si>
    <t>２７日</t>
  </si>
  <si>
    <t>伊藤　岳</t>
  </si>
  <si>
    <t>池田　万佐代</t>
  </si>
  <si>
    <t>池田　伸宏</t>
  </si>
  <si>
    <t>今井　宏</t>
  </si>
  <si>
    <t>松沢　勇</t>
  </si>
  <si>
    <t>松下　裕</t>
  </si>
  <si>
    <t>大島　敦</t>
  </si>
  <si>
    <t>元山　佳与子</t>
  </si>
  <si>
    <t>中野　清</t>
  </si>
  <si>
    <t>本山　修一</t>
  </si>
  <si>
    <t>木下　厚</t>
  </si>
  <si>
    <t>大野　松茂</t>
  </si>
  <si>
    <t>辻　源巳</t>
  </si>
  <si>
    <t>梅沢　永治</t>
  </si>
  <si>
    <t>065埼玉11区04</t>
  </si>
  <si>
    <t>八木　昭次</t>
  </si>
  <si>
    <t>柿沼　綾子</t>
  </si>
  <si>
    <t>鈴木　千賀子</t>
  </si>
  <si>
    <t>赤岸　雅治</t>
  </si>
  <si>
    <t>中野　譲</t>
  </si>
  <si>
    <t>苗村　光雄</t>
  </si>
  <si>
    <t>山口　節生</t>
  </si>
  <si>
    <t>臼井　日出男</t>
  </si>
  <si>
    <t>田嶋　要</t>
  </si>
  <si>
    <t>佐々木　友樹</t>
  </si>
  <si>
    <t>永田　寿康</t>
  </si>
  <si>
    <t>日巻　健</t>
  </si>
  <si>
    <t>若松　繁男</t>
  </si>
  <si>
    <t>071千葉2区05</t>
  </si>
  <si>
    <t>脇本　和夫</t>
  </si>
  <si>
    <t>金野　光政</t>
  </si>
  <si>
    <t>仁木　利則</t>
  </si>
  <si>
    <t>永野　耕士</t>
  </si>
  <si>
    <t>１７河野</t>
  </si>
  <si>
    <t>師岡　徹</t>
  </si>
  <si>
    <t>高橋　妙子</t>
  </si>
  <si>
    <t>内山　晃</t>
  </si>
  <si>
    <t>徳増　記代子</t>
  </si>
  <si>
    <t>高橋　敏</t>
  </si>
  <si>
    <t>今井　洋一</t>
  </si>
  <si>
    <t>須藤　浩</t>
  </si>
  <si>
    <t>中原　英雄</t>
  </si>
  <si>
    <t>林　幹雄</t>
  </si>
  <si>
    <t>坂本　弘毅</t>
  </si>
  <si>
    <t>森　英介</t>
  </si>
  <si>
    <t>土屋　正秀</t>
  </si>
  <si>
    <t>小林　周二</t>
  </si>
  <si>
    <t>青木　愛</t>
  </si>
  <si>
    <t>鴨志田　安代</t>
  </si>
  <si>
    <t>井野　長英</t>
  </si>
  <si>
    <t>松本　純</t>
  </si>
  <si>
    <t>佐藤　謙一郎</t>
  </si>
  <si>
    <t>高山　修</t>
  </si>
  <si>
    <t>菅　義偉</t>
  </si>
  <si>
    <t>大出　彰</t>
  </si>
  <si>
    <t>板谷　みや子</t>
  </si>
  <si>
    <t>加藤　尚彦</t>
  </si>
  <si>
    <t>大谷　努</t>
  </si>
  <si>
    <t>０７新日本</t>
  </si>
  <si>
    <t>林　潤</t>
  </si>
  <si>
    <t>大石　尚子</t>
  </si>
  <si>
    <t>２４友</t>
  </si>
  <si>
    <t>高野　良裕</t>
  </si>
  <si>
    <t>林　伸明</t>
  </si>
  <si>
    <t>坂井　学</t>
  </si>
  <si>
    <t>連</t>
  </si>
  <si>
    <t>大森　猛</t>
  </si>
  <si>
    <t>上田　勇</t>
  </si>
  <si>
    <t>佐藤　清</t>
  </si>
  <si>
    <t>鈴木　恒夫</t>
  </si>
  <si>
    <t>比嘉　常一</t>
  </si>
  <si>
    <t>岩國　哲人</t>
  </si>
  <si>
    <t>山中　栄司</t>
  </si>
  <si>
    <t>笠　浩史</t>
  </si>
  <si>
    <t>鴨下　元</t>
  </si>
  <si>
    <t>計屋　圭宏</t>
  </si>
  <si>
    <t>笠木　隆</t>
  </si>
  <si>
    <t>小泉　純一郎</t>
  </si>
  <si>
    <t>齋藤　勁</t>
  </si>
  <si>
    <t>瀬戸　和弘</t>
  </si>
  <si>
    <t>天木　直人</t>
  </si>
  <si>
    <t>羽柴　秀吉</t>
  </si>
  <si>
    <t>沼上　常生</t>
  </si>
  <si>
    <t>甘利　明</t>
  </si>
  <si>
    <t>土田　龍司</t>
  </si>
  <si>
    <t>近藤　友昭</t>
  </si>
  <si>
    <t>藤原　正明</t>
  </si>
  <si>
    <t>連ネ</t>
  </si>
  <si>
    <t>亀井　善之</t>
  </si>
  <si>
    <t>長田　英知</t>
  </si>
  <si>
    <t>桧山　千里</t>
  </si>
  <si>
    <t>河野　洋平</t>
  </si>
  <si>
    <t>鈴木　新三郎</t>
  </si>
  <si>
    <t>樋高　剛</t>
  </si>
  <si>
    <t>(自反堀)</t>
  </si>
  <si>
    <t>渡辺　正好</t>
  </si>
  <si>
    <t>保坂　武</t>
  </si>
  <si>
    <t>後藤　斎</t>
  </si>
  <si>
    <t>２３市</t>
  </si>
  <si>
    <t>堀江　泰信</t>
  </si>
  <si>
    <t>中嶋　束</t>
  </si>
  <si>
    <t>松原　仁</t>
  </si>
  <si>
    <t>後藤　均</t>
  </si>
  <si>
    <t>平　将明</t>
  </si>
  <si>
    <t>佐藤　文則</t>
  </si>
  <si>
    <t>中西　一善</t>
  </si>
  <si>
    <t>佐藤　博己</t>
  </si>
  <si>
    <t>小杉　隆</t>
  </si>
  <si>
    <t>星見　定子</t>
  </si>
  <si>
    <t>田中　美代子</t>
  </si>
  <si>
    <t>長妻　昭</t>
  </si>
  <si>
    <t>鈴木　盛夫</t>
  </si>
  <si>
    <t>望月　康子</t>
  </si>
  <si>
    <t>中川　直人</t>
  </si>
  <si>
    <t>鮫島　宗明</t>
  </si>
  <si>
    <t>113東京10区04</t>
  </si>
  <si>
    <t>藤田　幸久</t>
  </si>
  <si>
    <t>野々山　研</t>
  </si>
  <si>
    <t>城島　正光</t>
  </si>
  <si>
    <t>田村　智子</t>
  </si>
  <si>
    <t>井上　和雄</t>
  </si>
  <si>
    <t>前田　真司</t>
  </si>
  <si>
    <t>木村　勉</t>
  </si>
  <si>
    <t>東　祥三</t>
  </si>
  <si>
    <t>安倍　安則</t>
  </si>
  <si>
    <t>錦織　淳</t>
  </si>
  <si>
    <t>小島　佐知子</t>
  </si>
  <si>
    <t>菅　直人</t>
  </si>
  <si>
    <t>宮本　徹</t>
  </si>
  <si>
    <t>田川　豊</t>
  </si>
  <si>
    <t>十河　豊</t>
  </si>
  <si>
    <t>若林　義春</t>
  </si>
  <si>
    <t>山下　万葉</t>
  </si>
  <si>
    <t>室谷　友英</t>
  </si>
  <si>
    <t>島田　久</t>
  </si>
  <si>
    <t>鈴木　拓也</t>
  </si>
  <si>
    <t>川俣　幸雄</t>
  </si>
  <si>
    <t>細井　良雄</t>
  </si>
  <si>
    <t>宮崎　増次</t>
  </si>
  <si>
    <t>131新潟3区04</t>
  </si>
  <si>
    <t>鈴木　泰</t>
  </si>
  <si>
    <t>田中　真一</t>
  </si>
  <si>
    <t>武藤　元美</t>
  </si>
  <si>
    <t>斎藤　実</t>
  </si>
  <si>
    <t>山田　哲男</t>
  </si>
  <si>
    <t>西尾　政英</t>
  </si>
  <si>
    <t>136富山2区04</t>
  </si>
  <si>
    <t>秋原　伸行</t>
  </si>
  <si>
    <t>平崎　功</t>
  </si>
  <si>
    <t>137富山3区05</t>
  </si>
  <si>
    <t>萩山　教嚴</t>
  </si>
  <si>
    <t>向井　英二</t>
  </si>
  <si>
    <t>窪田　正人</t>
  </si>
  <si>
    <t>坂本　洋史</t>
  </si>
  <si>
    <t>馳　浩</t>
  </si>
  <si>
    <t>奥田　建</t>
  </si>
  <si>
    <t>森　喜朗</t>
  </si>
  <si>
    <t>一川　保夫</t>
  </si>
  <si>
    <t>西村　祐士</t>
  </si>
  <si>
    <t>桑原　豊</t>
  </si>
  <si>
    <t>141福井1区04</t>
  </si>
  <si>
    <t>松宮　勲</t>
  </si>
  <si>
    <t>山本　拓</t>
  </si>
  <si>
    <t>髙木　毅</t>
  </si>
  <si>
    <t>玉村　和夫</t>
  </si>
  <si>
    <t>篠原　孝</t>
  </si>
  <si>
    <t>関谷　理記</t>
  </si>
  <si>
    <t>山口　わか子</t>
  </si>
  <si>
    <t>東城　日出子</t>
  </si>
  <si>
    <t>羽田　孜</t>
  </si>
  <si>
    <t>堀込　征雄</t>
  </si>
  <si>
    <t>加藤　学</t>
  </si>
  <si>
    <t>(自反高)</t>
  </si>
  <si>
    <t>小川　理</t>
  </si>
  <si>
    <t>大石　里奈</t>
  </si>
  <si>
    <t>高木　光弘</t>
  </si>
  <si>
    <t>山田　一枝</t>
  </si>
  <si>
    <t>152岐阜4区04</t>
  </si>
  <si>
    <t>藤井　孝男</t>
  </si>
  <si>
    <t>熊谷　正慶</t>
  </si>
  <si>
    <t>籠山　佐敏</t>
  </si>
  <si>
    <t>153岐阜5区04</t>
  </si>
  <si>
    <t>和仁　隆明</t>
  </si>
  <si>
    <t>153岐阜5区03</t>
  </si>
  <si>
    <t>井上　諭</t>
  </si>
  <si>
    <t>田辺　信宏</t>
  </si>
  <si>
    <t>平島　広志</t>
  </si>
  <si>
    <t>平松　雅人</t>
  </si>
  <si>
    <t>作山　夕貴</t>
  </si>
  <si>
    <t>渡辺　周</t>
  </si>
  <si>
    <t>鈴木　和彦</t>
  </si>
  <si>
    <t>城内　実</t>
  </si>
  <si>
    <t>(自反森)</t>
  </si>
  <si>
    <t>阿部　卓也</t>
  </si>
  <si>
    <t>塩谷　立</t>
  </si>
  <si>
    <t>鈴木　康友</t>
  </si>
  <si>
    <t>落合　勝二</t>
  </si>
  <si>
    <t>河村　たかし</t>
  </si>
  <si>
    <t>小林　正和</t>
  </si>
  <si>
    <t>岡田　裕二</t>
  </si>
  <si>
    <t>石川　寿</t>
  </si>
  <si>
    <t>藤本　栄</t>
  </si>
  <si>
    <t>牧　義夫</t>
  </si>
  <si>
    <t>佐々木　賢治</t>
  </si>
  <si>
    <t>木村　隆秀</t>
  </si>
  <si>
    <t>前田　雄吉</t>
  </si>
  <si>
    <t>柳沢　けさ美</t>
  </si>
  <si>
    <t>小林　憲司</t>
  </si>
  <si>
    <t>坂林　卓美</t>
  </si>
  <si>
    <t>伴野　豊</t>
  </si>
  <si>
    <t>169愛知8区04</t>
  </si>
  <si>
    <t>森田　裕介</t>
  </si>
  <si>
    <t>神谷　暢</t>
  </si>
  <si>
    <t>１８二階</t>
  </si>
  <si>
    <t>松崎　省三</t>
  </si>
  <si>
    <t>170愛知9区04</t>
  </si>
  <si>
    <t>井桁　亮</t>
  </si>
  <si>
    <t>石田　保</t>
  </si>
  <si>
    <t>萩原　昇</t>
  </si>
  <si>
    <t>島　聡</t>
  </si>
  <si>
    <t>中村　健</t>
  </si>
  <si>
    <t>栗谷　建一郎</t>
  </si>
  <si>
    <t>斎藤　啓</t>
  </si>
  <si>
    <t>中井　洽</t>
  </si>
  <si>
    <t>岡野　恵美</t>
  </si>
  <si>
    <t>小林　正人</t>
  </si>
  <si>
    <t>星野　律子</t>
  </si>
  <si>
    <t>金子　洋一</t>
  </si>
  <si>
    <t>谷中　三好</t>
  </si>
  <si>
    <t>川内　卓</t>
  </si>
  <si>
    <t>183滋賀2区04</t>
  </si>
  <si>
    <t>小西　理</t>
  </si>
  <si>
    <t>丸岡　和世</t>
  </si>
  <si>
    <t>宇野　治</t>
  </si>
  <si>
    <t>稲森　善稔</t>
  </si>
  <si>
    <t>岩永　峯一</t>
  </si>
  <si>
    <t>玉置　一弥</t>
  </si>
  <si>
    <t>原　俊史</t>
  </si>
  <si>
    <t>泉　健太</t>
  </si>
  <si>
    <t>成宮　真理子</t>
  </si>
  <si>
    <t>小林　哲也</t>
  </si>
  <si>
    <t>矢口　雅章</t>
  </si>
  <si>
    <t>丸岡　博司</t>
  </si>
  <si>
    <t>左藤　章</t>
  </si>
  <si>
    <t>萩原　仁</t>
  </si>
  <si>
    <t>辻　惠</t>
  </si>
  <si>
    <t>安達　義孝</t>
  </si>
  <si>
    <t>吉田　治</t>
  </si>
  <si>
    <t>山下　芳生</t>
  </si>
  <si>
    <t>福島　豊</t>
  </si>
  <si>
    <t>井口　淳治</t>
  </si>
  <si>
    <t>藤村　修</t>
  </si>
  <si>
    <t>有木　茂</t>
  </si>
  <si>
    <t>山口　克也</t>
  </si>
  <si>
    <t>斎宮　澄江</t>
  </si>
  <si>
    <t>西田　猛</t>
  </si>
  <si>
    <t>榎並　憲治</t>
  </si>
  <si>
    <t>肥田　美代子</t>
  </si>
  <si>
    <t>太田　久美子</t>
  </si>
  <si>
    <t>西野　あきら</t>
  </si>
  <si>
    <t>富家　孝</t>
  </si>
  <si>
    <t>谷畑　孝</t>
  </si>
  <si>
    <t>長尾　敬</t>
  </si>
  <si>
    <t>樽井　良和</t>
  </si>
  <si>
    <t>稲月　直江</t>
  </si>
  <si>
    <t>眞鍋　穣</t>
  </si>
  <si>
    <t>中川　治</t>
  </si>
  <si>
    <t>長安　豊</t>
  </si>
  <si>
    <t>和気　豊</t>
  </si>
  <si>
    <t>石井　一</t>
  </si>
  <si>
    <t>211兵庫1区06</t>
  </si>
  <si>
    <t>原　和美</t>
  </si>
  <si>
    <t>(新社会)</t>
  </si>
  <si>
    <t>社新</t>
  </si>
  <si>
    <t>砂田　圭佑</t>
  </si>
  <si>
    <t>(自高)</t>
  </si>
  <si>
    <t>岩元　伸市</t>
  </si>
  <si>
    <t>泉　房穂</t>
  </si>
  <si>
    <t>平松　順子</t>
  </si>
  <si>
    <t>関　芳弘</t>
  </si>
  <si>
    <t>２８改</t>
  </si>
  <si>
    <t>今井　正子</t>
  </si>
  <si>
    <t>永井　修</t>
  </si>
  <si>
    <t>谷　公一</t>
  </si>
  <si>
    <t>平山　和志</t>
  </si>
  <si>
    <t>215兵庫5区04</t>
  </si>
  <si>
    <t>日村　豊彦</t>
  </si>
  <si>
    <t>(自森)</t>
  </si>
  <si>
    <t>木挽　司</t>
  </si>
  <si>
    <t>216兵庫6区05</t>
  </si>
  <si>
    <t>阪上　善秀</t>
  </si>
  <si>
    <t>(自亀)</t>
  </si>
  <si>
    <t>中川　智子</t>
  </si>
  <si>
    <t>大塚　寿夫</t>
  </si>
  <si>
    <t>坂本　洋子</t>
  </si>
  <si>
    <t>磯見　恵子</t>
  </si>
  <si>
    <t>室井　邦彦</t>
  </si>
  <si>
    <t>植田　至紀</t>
  </si>
  <si>
    <t>畠中　光成</t>
  </si>
  <si>
    <t>219兵庫9区04</t>
  </si>
  <si>
    <t>(自堀)</t>
  </si>
  <si>
    <t>大椙　鉄夫</t>
  </si>
  <si>
    <t>星原　幸代</t>
  </si>
  <si>
    <t>竹内　典昭</t>
  </si>
  <si>
    <t>山口　壯</t>
  </si>
  <si>
    <t>太田　清幸</t>
  </si>
  <si>
    <t>鍵田　忠兵衛</t>
  </si>
  <si>
    <t>細野　歩</t>
  </si>
  <si>
    <t>中村　哲治</t>
  </si>
  <si>
    <t>滝　実</t>
  </si>
  <si>
    <t>中野　明美</t>
  </si>
  <si>
    <t>正木　敦</t>
  </si>
  <si>
    <t>森下　豊</t>
  </si>
  <si>
    <t>青木　光治</t>
  </si>
  <si>
    <t>下角　力</t>
  </si>
  <si>
    <t>岸本　健</t>
  </si>
  <si>
    <t>下村　雅洋</t>
  </si>
  <si>
    <t>真鍋　晃篤</t>
  </si>
  <si>
    <t>上田　稔</t>
  </si>
  <si>
    <t>石破　茂</t>
  </si>
  <si>
    <t>早川　周作</t>
  </si>
  <si>
    <t>田中　清一</t>
  </si>
  <si>
    <t>塚田　成幸</t>
  </si>
  <si>
    <t>赤沢　亮正</t>
  </si>
  <si>
    <t>231鳥取2区04</t>
  </si>
  <si>
    <t>川上　義博</t>
  </si>
  <si>
    <t>山内　功</t>
  </si>
  <si>
    <t>鷲見　節夫</t>
  </si>
  <si>
    <t>浜口　和久</t>
  </si>
  <si>
    <t>上代　善雄</t>
  </si>
  <si>
    <t>加納　克己</t>
  </si>
  <si>
    <t>竹下　亘</t>
  </si>
  <si>
    <t>233島根2区04</t>
  </si>
  <si>
    <t>(自反河)</t>
  </si>
  <si>
    <t>向瀬　慎一</t>
  </si>
  <si>
    <t>菅　源太郎</t>
  </si>
  <si>
    <t>植本　完治</t>
  </si>
  <si>
    <t>福島　捷美</t>
  </si>
  <si>
    <t>尾崎　宏子</t>
  </si>
  <si>
    <t>中村　徹夫</t>
  </si>
  <si>
    <t>中嶋　義晴</t>
  </si>
  <si>
    <t>橋本　岳</t>
  </si>
  <si>
    <t>東　毅</t>
  </si>
  <si>
    <t>堀　良道</t>
  </si>
  <si>
    <t>菅川　洋</t>
  </si>
  <si>
    <t>長妻　亮</t>
  </si>
  <si>
    <t>平口　洋</t>
  </si>
  <si>
    <t>高見　篤己</t>
  </si>
  <si>
    <t>241広島3区06</t>
  </si>
  <si>
    <t>石橋　良三</t>
  </si>
  <si>
    <t>241広島3区04</t>
  </si>
  <si>
    <t>金子　哲夫</t>
  </si>
  <si>
    <t>大西　理</t>
  </si>
  <si>
    <t>241広島3区05</t>
  </si>
  <si>
    <t>二見　順子</t>
  </si>
  <si>
    <t>中石　仁</t>
  </si>
  <si>
    <t>寺田　稔</t>
  </si>
  <si>
    <t>角谷　進</t>
  </si>
  <si>
    <t>堀江　貴文</t>
  </si>
  <si>
    <t>佐藤　公治</t>
  </si>
  <si>
    <t>伊藤　洋二</t>
  </si>
  <si>
    <t>森川　美紀恵</t>
  </si>
  <si>
    <t>北角　嘉幸</t>
  </si>
  <si>
    <t>三村　真千代</t>
  </si>
  <si>
    <t>福田　良彦</t>
  </si>
  <si>
    <t>山中　良二</t>
  </si>
  <si>
    <t>三浦　昇</t>
  </si>
  <si>
    <t>五島　博</t>
  </si>
  <si>
    <t>加藤　隆</t>
  </si>
  <si>
    <t>上村　秀明</t>
  </si>
  <si>
    <t>251徳島2区04</t>
  </si>
  <si>
    <t>(自反無)</t>
  </si>
  <si>
    <t>七条　明</t>
  </si>
  <si>
    <t>山本　千代子</t>
  </si>
  <si>
    <t>青木　利男</t>
  </si>
  <si>
    <t>松原　昭夫</t>
  </si>
  <si>
    <t>河村　整</t>
  </si>
  <si>
    <t>奥田　研二</t>
  </si>
  <si>
    <t>玉井　彰</t>
  </si>
  <si>
    <t>野口　仁</t>
  </si>
  <si>
    <t>岡　靖</t>
  </si>
  <si>
    <t>斉藤　正光</t>
  </si>
  <si>
    <t>越智　啓治</t>
  </si>
  <si>
    <t>小野　晋也</t>
  </si>
  <si>
    <t>高橋　剛</t>
  </si>
  <si>
    <t>一色　一正</t>
  </si>
  <si>
    <t>浜口　金也</t>
  </si>
  <si>
    <t>山本　弘志</t>
  </si>
  <si>
    <t>福井　照</t>
  </si>
  <si>
    <t>五島　正規</t>
  </si>
  <si>
    <t>中谷　元</t>
  </si>
  <si>
    <t>谷崎　治之</t>
  </si>
  <si>
    <t>本多　公二</t>
  </si>
  <si>
    <t>松本　龍</t>
  </si>
  <si>
    <t>橋本　英一</t>
  </si>
  <si>
    <t>山崎　拓</t>
  </si>
  <si>
    <t>平田　正源</t>
  </si>
  <si>
    <t>山田　博敏</t>
  </si>
  <si>
    <t>西村　健志郎</t>
  </si>
  <si>
    <t>264福岡2区05</t>
  </si>
  <si>
    <t>藤本　豊</t>
  </si>
  <si>
    <t>中園　辰信</t>
  </si>
  <si>
    <t>楢崎　欣弥</t>
  </si>
  <si>
    <t>新留　清隆</t>
  </si>
  <si>
    <t>河内　直子</t>
  </si>
  <si>
    <t>中西　和也</t>
  </si>
  <si>
    <t>古賀　誠</t>
  </si>
  <si>
    <t>269福岡7区03</t>
  </si>
  <si>
    <t>大森　秀久</t>
  </si>
  <si>
    <t>大島　九州男</t>
  </si>
  <si>
    <t>渡辺　和幸</t>
  </si>
  <si>
    <t>北橋　健治</t>
  </si>
  <si>
    <t>真島　省三</t>
  </si>
  <si>
    <t>272福岡10区05</t>
  </si>
  <si>
    <t>自見　庄三郎</t>
  </si>
  <si>
    <t>(自反山)</t>
  </si>
  <si>
    <t>城井　崇</t>
  </si>
  <si>
    <t>小島　潤一郎</t>
  </si>
  <si>
    <t>村上　勝二</t>
  </si>
  <si>
    <t>武藤　明美</t>
  </si>
  <si>
    <t>275佐賀2区04</t>
  </si>
  <si>
    <t>土開　千昭</t>
  </si>
  <si>
    <t>石丸　泰男</t>
  </si>
  <si>
    <t>船津　賢次</t>
  </si>
  <si>
    <t>冨岡　勉</t>
  </si>
  <si>
    <t>原口　敏彦</t>
  </si>
  <si>
    <t>大久保　潔重</t>
  </si>
  <si>
    <t>今川　正美</t>
  </si>
  <si>
    <t>木原　稔</t>
  </si>
  <si>
    <t>那須　円</t>
  </si>
  <si>
    <t>野田　毅</t>
  </si>
  <si>
    <t>松野　信夫</t>
  </si>
  <si>
    <t>松岡　利勝</t>
  </si>
  <si>
    <t>(自山)</t>
  </si>
  <si>
    <t>中川　浩一郎</t>
  </si>
  <si>
    <t>松本　基督</t>
  </si>
  <si>
    <t>衛藤　晟一</t>
  </si>
  <si>
    <t>佐藤　錬</t>
  </si>
  <si>
    <t>河野　広子</t>
  </si>
  <si>
    <t>山下　魁</t>
  </si>
  <si>
    <t>岩屋　毅</t>
  </si>
  <si>
    <t>米澤　隆</t>
  </si>
  <si>
    <t>鳥飼　謙二</t>
  </si>
  <si>
    <t>前屋敷　恵美</t>
  </si>
  <si>
    <t>江藤　拓</t>
  </si>
  <si>
    <t>黒木　健司</t>
  </si>
  <si>
    <t>持永　哲志</t>
  </si>
  <si>
    <t>外山　斎</t>
  </si>
  <si>
    <t>桂田　美智子</t>
  </si>
  <si>
    <t>徳田　毅</t>
  </si>
  <si>
    <t>自連合</t>
  </si>
  <si>
    <t>園田　修光</t>
  </si>
  <si>
    <t>野間　健</t>
  </si>
  <si>
    <t>濱田　健一</t>
  </si>
  <si>
    <t>米重　均</t>
  </si>
  <si>
    <t>森山　裕</t>
  </si>
  <si>
    <t>米　正剛</t>
  </si>
  <si>
    <t>柴立　俊明</t>
  </si>
  <si>
    <t>民(大)</t>
  </si>
  <si>
    <t>白保　台一</t>
  </si>
  <si>
    <t>上原　秀之</t>
  </si>
  <si>
    <t>298沖縄2区04</t>
  </si>
  <si>
    <t>島尻　昇</t>
  </si>
  <si>
    <t>西平　守伸</t>
  </si>
  <si>
    <t>東門　美津子</t>
  </si>
  <si>
    <t>猪原　健</t>
  </si>
  <si>
    <t>宮国　忠広</t>
  </si>
  <si>
    <t>真栄里　保</t>
  </si>
  <si>
    <t>300沖縄4区04</t>
  </si>
  <si>
    <t>金城　浩</t>
  </si>
  <si>
    <t>順位</t>
    <rPh sb="0" eb="2">
      <t>ジュンイ</t>
    </rPh>
    <phoneticPr fontId="3"/>
  </si>
  <si>
    <t>重複</t>
    <rPh sb="0" eb="2">
      <t>チョウフク</t>
    </rPh>
    <phoneticPr fontId="3"/>
  </si>
  <si>
    <t>整理番号</t>
    <rPh sb="0" eb="2">
      <t>セイリ</t>
    </rPh>
    <rPh sb="2" eb="4">
      <t>バンゴウ</t>
    </rPh>
    <phoneticPr fontId="1"/>
  </si>
  <si>
    <t>当選</t>
    <rPh sb="0" eb="2">
      <t>トウセン</t>
    </rPh>
    <phoneticPr fontId="1"/>
  </si>
  <si>
    <t>得票数</t>
    <rPh sb="0" eb="3">
      <t>トクヒョウスウ</t>
    </rPh>
    <phoneticPr fontId="1"/>
  </si>
  <si>
    <t>得票率</t>
    <rPh sb="0" eb="2">
      <t>トクヒョウ</t>
    </rPh>
    <rPh sb="2" eb="3">
      <t>リツ</t>
    </rPh>
    <phoneticPr fontId="1"/>
  </si>
  <si>
    <t>惜敗率</t>
    <rPh sb="0" eb="2">
      <t>セキハイ</t>
    </rPh>
    <rPh sb="2" eb="3">
      <t>リツ</t>
    </rPh>
    <phoneticPr fontId="1"/>
  </si>
  <si>
    <t>重複</t>
    <rPh sb="0" eb="2">
      <t>チョウフク</t>
    </rPh>
    <phoneticPr fontId="1"/>
  </si>
  <si>
    <t>候補者名</t>
    <rPh sb="0" eb="3">
      <t>コウホシャ</t>
    </rPh>
    <rPh sb="3" eb="4">
      <t>メイ</t>
    </rPh>
    <phoneticPr fontId="1"/>
  </si>
  <si>
    <t>年齢</t>
    <rPh sb="0" eb="2">
      <t>ネンレイ</t>
    </rPh>
    <phoneticPr fontId="1"/>
  </si>
  <si>
    <t>政党</t>
    <rPh sb="0" eb="2">
      <t>セイトウ</t>
    </rPh>
    <phoneticPr fontId="1"/>
  </si>
  <si>
    <t>派</t>
    <rPh sb="0" eb="1">
      <t>ハ</t>
    </rPh>
    <phoneticPr fontId="1"/>
  </si>
  <si>
    <t>別</t>
    <rPh sb="0" eb="1">
      <t>ベツ</t>
    </rPh>
    <phoneticPr fontId="1"/>
  </si>
  <si>
    <t>回</t>
    <rPh sb="0" eb="1">
      <t>カイ</t>
    </rPh>
    <phoneticPr fontId="1"/>
  </si>
  <si>
    <t>推薦</t>
    <rPh sb="0" eb="2">
      <t>スイセン</t>
    </rPh>
    <phoneticPr fontId="1"/>
  </si>
  <si>
    <t>比△</t>
    <rPh sb="0" eb="1">
      <t>ヒ</t>
    </rPh>
    <phoneticPr fontId="1"/>
  </si>
  <si>
    <t>比</t>
    <rPh sb="0" eb="1">
      <t>ヒ</t>
    </rPh>
    <phoneticPr fontId="1"/>
  </si>
  <si>
    <t>各政党の獲得議席数(小選挙区)</t>
    <rPh sb="0" eb="3">
      <t>カクセイトウ</t>
    </rPh>
    <rPh sb="4" eb="6">
      <t>カクトク</t>
    </rPh>
    <rPh sb="6" eb="9">
      <t>ギセキスウ</t>
    </rPh>
    <rPh sb="10" eb="14">
      <t>ショウセンキョク</t>
    </rPh>
    <phoneticPr fontId="4"/>
  </si>
  <si>
    <t>自民党</t>
    <rPh sb="0" eb="3">
      <t>ジミントウ</t>
    </rPh>
    <phoneticPr fontId="1"/>
  </si>
  <si>
    <t>自民党</t>
    <rPh sb="0" eb="3">
      <t>ジミントウ</t>
    </rPh>
    <phoneticPr fontId="4"/>
  </si>
  <si>
    <t>民主党</t>
    <rPh sb="0" eb="3">
      <t>ミンシュトウ</t>
    </rPh>
    <phoneticPr fontId="1"/>
  </si>
  <si>
    <t>公明党</t>
    <rPh sb="0" eb="3">
      <t>コウメイトウ</t>
    </rPh>
    <phoneticPr fontId="1"/>
  </si>
  <si>
    <t>共産党</t>
    <rPh sb="0" eb="3">
      <t>キョウサントウ</t>
    </rPh>
    <phoneticPr fontId="1"/>
  </si>
  <si>
    <t>社民党</t>
    <rPh sb="0" eb="3">
      <t>シャミントウ</t>
    </rPh>
    <phoneticPr fontId="1"/>
  </si>
  <si>
    <t>保新党</t>
    <rPh sb="0" eb="1">
      <t>ホ</t>
    </rPh>
    <rPh sb="1" eb="3">
      <t>シントウ</t>
    </rPh>
    <phoneticPr fontId="4"/>
  </si>
  <si>
    <t>無の会</t>
    <rPh sb="0" eb="1">
      <t>ム</t>
    </rPh>
    <rPh sb="2" eb="3">
      <t>カイ</t>
    </rPh>
    <phoneticPr fontId="4"/>
  </si>
  <si>
    <t>自連合</t>
    <rPh sb="0" eb="1">
      <t>ジ</t>
    </rPh>
    <rPh sb="1" eb="3">
      <t>レンゴウ</t>
    </rPh>
    <phoneticPr fontId="4"/>
  </si>
  <si>
    <t>残り議席</t>
    <rPh sb="0" eb="1">
      <t>ノコ</t>
    </rPh>
    <rPh sb="2" eb="4">
      <t>ギセキ</t>
    </rPh>
    <phoneticPr fontId="4"/>
  </si>
  <si>
    <t>001北海道第1選挙区02</t>
  </si>
  <si>
    <t>001北海道第1選挙区01</t>
  </si>
  <si>
    <t>１９ 無</t>
  </si>
  <si>
    <t>001北海道第1選挙区03</t>
  </si>
  <si>
    <t>002北海道第2選挙区02</t>
  </si>
  <si>
    <t>002北海道第2選挙区01</t>
  </si>
  <si>
    <t>１１橋本</t>
  </si>
  <si>
    <t>保</t>
  </si>
  <si>
    <t>002北海道第2選挙区03</t>
  </si>
  <si>
    <t>小田　一郎</t>
  </si>
  <si>
    <t>002北海道第2選挙区04</t>
  </si>
  <si>
    <t>石田　幸子</t>
  </si>
  <si>
    <t>002北海道第2選挙区05</t>
  </si>
  <si>
    <t>広坂　光則</t>
  </si>
  <si>
    <t>003北海道第3選挙区02</t>
  </si>
  <si>
    <t>003北海道第3選挙区01</t>
  </si>
  <si>
    <t>１３ 森</t>
  </si>
  <si>
    <t>003北海道第3選挙区03</t>
  </si>
  <si>
    <t>004北海道第4選挙区02</t>
  </si>
  <si>
    <t>004北海道第4選挙区01</t>
  </si>
  <si>
    <t>１２江亀</t>
  </si>
  <si>
    <t>004北海道第4選挙区03</t>
  </si>
  <si>
    <t>005北海道第5選挙区01</t>
  </si>
  <si>
    <t>公保</t>
  </si>
  <si>
    <t>005北海道第5選挙区02</t>
  </si>
  <si>
    <t>005北海道第5選挙区03</t>
  </si>
  <si>
    <t>宮内　聡</t>
  </si>
  <si>
    <t>006北海道第6選挙区01</t>
  </si>
  <si>
    <t>今津　寛</t>
  </si>
  <si>
    <t>006北海道第6選挙区02</t>
  </si>
  <si>
    <t>佐々木　秀典</t>
  </si>
  <si>
    <t>006北海道第6選挙区04</t>
  </si>
  <si>
    <t>西川　将人</t>
  </si>
  <si>
    <t>006北海道第6選挙区03</t>
  </si>
  <si>
    <t>中野　芳宣</t>
  </si>
  <si>
    <t>007北海道第7選挙区01</t>
  </si>
  <si>
    <t>１４堀内</t>
  </si>
  <si>
    <t>007北海道第7選挙区02</t>
  </si>
  <si>
    <t>007北海道第7選挙区03</t>
  </si>
  <si>
    <t>八木　靖彦</t>
  </si>
  <si>
    <t>008北海道第8選挙区02</t>
  </si>
  <si>
    <t>社み</t>
  </si>
  <si>
    <t>008北海道第8選挙区01</t>
  </si>
  <si>
    <t>008北海道第8選挙区04</t>
  </si>
  <si>
    <t>前田　一男</t>
  </si>
  <si>
    <t>008北海道第8選挙区03</t>
  </si>
  <si>
    <t>伏木田　政義</t>
  </si>
  <si>
    <t>009北海道第9選挙区02</t>
  </si>
  <si>
    <t>009北海道第9選挙区01</t>
  </si>
  <si>
    <t>009北海道第9選挙区03</t>
  </si>
  <si>
    <t>谷本　誠治</t>
  </si>
  <si>
    <t>010北海道第10選挙区02</t>
  </si>
  <si>
    <t>010北海道第10選挙区01</t>
  </si>
  <si>
    <t>010北海道第10選挙区03</t>
  </si>
  <si>
    <t>011北海道第11選挙区01</t>
  </si>
  <si>
    <t>011北海道第11選挙区03</t>
  </si>
  <si>
    <t>山内　恵子</t>
  </si>
  <si>
    <t>011北海道第11選挙区02</t>
  </si>
  <si>
    <t>012北海道第12選挙区01</t>
  </si>
  <si>
    <t>１５山崎</t>
  </si>
  <si>
    <t>012北海道第12選挙区02</t>
  </si>
  <si>
    <t>012北海道第12選挙区03</t>
  </si>
  <si>
    <t>村口　照美</t>
  </si>
  <si>
    <t>013青森県第1選挙区01</t>
  </si>
  <si>
    <t>013青森県第1選挙区05</t>
  </si>
  <si>
    <t>013青森県第1選挙区02</t>
  </si>
  <si>
    <t>戸来　勉</t>
  </si>
  <si>
    <t>013青森県第1選挙区04</t>
  </si>
  <si>
    <t>今村　修</t>
  </si>
  <si>
    <t>013青森県第1選挙区06</t>
  </si>
  <si>
    <t>松森　俊逸</t>
  </si>
  <si>
    <t>013青森県第1選挙区03</t>
  </si>
  <si>
    <t>畑中　孝之</t>
  </si>
  <si>
    <t>014青森県第2選挙区01</t>
  </si>
  <si>
    <t>014青森県第2選挙区03</t>
  </si>
  <si>
    <t>斎藤　孝一</t>
  </si>
  <si>
    <t>014青森県第2選挙区02</t>
  </si>
  <si>
    <t>工藤　祥子</t>
  </si>
  <si>
    <t>015青森県第3選挙区01</t>
  </si>
  <si>
    <t>015青森県第3選挙区02</t>
  </si>
  <si>
    <t>015青森県第3選挙区03</t>
  </si>
  <si>
    <t>016青森県第4選挙区01</t>
  </si>
  <si>
    <t>016青森県第4選挙区02</t>
  </si>
  <si>
    <t>016青森県第4選挙区03</t>
  </si>
  <si>
    <t>遠藤　節子</t>
  </si>
  <si>
    <t>016青森県第4選挙区04</t>
  </si>
  <si>
    <t>井上　浩</t>
  </si>
  <si>
    <t>017岩手県第1選挙区02</t>
  </si>
  <si>
    <t>017岩手県第1選挙区01</t>
  </si>
  <si>
    <t>017岩手県第1選挙区04</t>
  </si>
  <si>
    <t>後藤　百合子</t>
  </si>
  <si>
    <t>017岩手県第1選挙区03</t>
  </si>
  <si>
    <t>長沼　洋一</t>
  </si>
  <si>
    <t>018岩手県第2選挙区01</t>
  </si>
  <si>
    <t>018岩手県第2選挙区02</t>
  </si>
  <si>
    <t>工藤　堅太郎</t>
  </si>
  <si>
    <t>018岩手県第2選挙区03</t>
  </si>
  <si>
    <t>久保　幸男</t>
  </si>
  <si>
    <t>019岩手県第3選挙区02</t>
  </si>
  <si>
    <t>019岩手県第3選挙区01</t>
  </si>
  <si>
    <t>中村　力</t>
  </si>
  <si>
    <t>019岩手県第3選挙区03</t>
  </si>
  <si>
    <t>020岩手県第4選挙区02</t>
  </si>
  <si>
    <t>020岩手県第4選挙区01</t>
  </si>
  <si>
    <t>玉沢　徳一郎</t>
  </si>
  <si>
    <t>020岩手県第4選挙区04</t>
  </si>
  <si>
    <t>020岩手県第4選挙区03</t>
  </si>
  <si>
    <t>021宮城県第1選挙区02</t>
  </si>
  <si>
    <t>今野　東</t>
  </si>
  <si>
    <t>021宮城県第1選挙区01</t>
  </si>
  <si>
    <t>021宮城県第1選挙区03</t>
  </si>
  <si>
    <t>菅野　尚子</t>
  </si>
  <si>
    <t>022宮城県第2選挙区02</t>
  </si>
  <si>
    <t>鎌田　さゆり</t>
  </si>
  <si>
    <t>022宮城県第2選挙区01</t>
  </si>
  <si>
    <t>022宮城県第2選挙区03</t>
  </si>
  <si>
    <t>022宮城県第2選挙区04</t>
  </si>
  <si>
    <t>田山　英次</t>
  </si>
  <si>
    <t>022宮城県第2選挙区05</t>
  </si>
  <si>
    <t>柴田　紘一</t>
  </si>
  <si>
    <t>023宮城県第3選挙区01</t>
  </si>
  <si>
    <t>023宮城県第3選挙区02</t>
  </si>
  <si>
    <t>023宮城県第3選挙区03</t>
  </si>
  <si>
    <t>高橋　光二</t>
  </si>
  <si>
    <t>024宮城県第4選挙区01</t>
  </si>
  <si>
    <t>024宮城県第4選挙区04</t>
  </si>
  <si>
    <t>本間　俊太郎</t>
  </si>
  <si>
    <t>024宮城県第4選挙区02</t>
  </si>
  <si>
    <t>山条　隆史</t>
  </si>
  <si>
    <t>024宮城県第4選挙区03</t>
  </si>
  <si>
    <t>小野　敏郎</t>
  </si>
  <si>
    <t>025宮城県第5選挙区02</t>
  </si>
  <si>
    <t>025宮城県第5選挙区01</t>
  </si>
  <si>
    <t>025宮城県第5選挙区03</t>
  </si>
  <si>
    <t>026宮城県第6選挙区01</t>
  </si>
  <si>
    <t>026宮城県第6選挙区02</t>
  </si>
  <si>
    <t>大石　正光</t>
  </si>
  <si>
    <t>026宮城県第6選挙区04</t>
  </si>
  <si>
    <t>026宮城県第6選挙区03</t>
  </si>
  <si>
    <t>027秋田県第1選挙区01</t>
  </si>
  <si>
    <t>027秋田県第1選挙区03</t>
  </si>
  <si>
    <t>佐藤　敬夫</t>
  </si>
  <si>
    <t>０６保新党</t>
  </si>
  <si>
    <t>自公</t>
  </si>
  <si>
    <t>027秋田県第1選挙区04</t>
  </si>
  <si>
    <t>石川　錬次郎</t>
  </si>
  <si>
    <t>027秋田県第1選挙区02</t>
  </si>
  <si>
    <t>028秋田県第2選挙区01</t>
  </si>
  <si>
    <t>028秋田県第2選挙区02</t>
  </si>
  <si>
    <t>028秋田県第2選挙区04</t>
  </si>
  <si>
    <t>028秋田県第2選挙区03</t>
  </si>
  <si>
    <t>明石　喜進</t>
  </si>
  <si>
    <t>029秋田県第3選挙区03</t>
  </si>
  <si>
    <t>029秋田県第3選挙区01</t>
  </si>
  <si>
    <t>村岡　兼造</t>
  </si>
  <si>
    <t>029秋田県第3選挙区02</t>
  </si>
  <si>
    <t>我妻　桂子</t>
  </si>
  <si>
    <t>030山形県第1選挙区01</t>
  </si>
  <si>
    <t>１７加藤</t>
  </si>
  <si>
    <t>030山形県第1選挙区02</t>
  </si>
  <si>
    <t>030山形県第1選挙区04</t>
  </si>
  <si>
    <t>斉藤　昌助</t>
  </si>
  <si>
    <t>030山形県第1選挙区03</t>
  </si>
  <si>
    <t>031山形県第2選挙区01</t>
  </si>
  <si>
    <t>031山形県第2選挙区02</t>
  </si>
  <si>
    <t>031山形県第2選挙区03</t>
  </si>
  <si>
    <t>横山　賢二</t>
  </si>
  <si>
    <t>032山形県第3選挙区03</t>
  </si>
  <si>
    <t>(自加)</t>
  </si>
  <si>
    <t>032山形県第3選挙区01</t>
  </si>
  <si>
    <t>斎藤　淳</t>
  </si>
  <si>
    <t>032山形県第3選挙区02</t>
  </si>
  <si>
    <t>033福島県第1選挙区01</t>
  </si>
  <si>
    <t>佐藤　剛男</t>
  </si>
  <si>
    <t>033福島県第1選挙区04</t>
  </si>
  <si>
    <t>０７無の会</t>
  </si>
  <si>
    <t>033福島県第1選挙区02</t>
  </si>
  <si>
    <t>033福島県第1選挙区03</t>
  </si>
  <si>
    <t>034福島県第2選挙区01</t>
  </si>
  <si>
    <t>034福島県第2選挙区02</t>
  </si>
  <si>
    <t>034福島県第2選挙区03</t>
  </si>
  <si>
    <t>松崎　信夫</t>
  </si>
  <si>
    <t>035福島県第3選挙区02</t>
  </si>
  <si>
    <t>035福島県第3選挙区01</t>
  </si>
  <si>
    <t>荒井　広幸</t>
  </si>
  <si>
    <t>035福島県第3選挙区03</t>
  </si>
  <si>
    <t>鈴木　正一</t>
  </si>
  <si>
    <t>036福島県第4選挙区03</t>
  </si>
  <si>
    <t>民公保</t>
  </si>
  <si>
    <t>036福島県第4選挙区01</t>
  </si>
  <si>
    <t>山内　日出夫</t>
  </si>
  <si>
    <t>036福島県第4選挙区02</t>
  </si>
  <si>
    <t>037福島県第5選挙区01</t>
  </si>
  <si>
    <t>037福島県第5選挙区02</t>
  </si>
  <si>
    <t>037福島県第5選挙区03</t>
  </si>
  <si>
    <t>037福島県第5選挙区04</t>
  </si>
  <si>
    <t>永山　茂雄</t>
  </si>
  <si>
    <t>038茨城県第1選挙区01</t>
  </si>
  <si>
    <t>038茨城県第1選挙区02</t>
  </si>
  <si>
    <t>038茨城県第1選挙区03</t>
  </si>
  <si>
    <t>小島　修</t>
  </si>
  <si>
    <t>039茨城県第2選挙区01</t>
  </si>
  <si>
    <t>039茨城県第2選挙区02</t>
  </si>
  <si>
    <t>常井　美治</t>
  </si>
  <si>
    <t>039茨城県第2選挙区03</t>
  </si>
  <si>
    <t>040茨城県第3選挙区01</t>
  </si>
  <si>
    <t>040茨城県第3選挙区02</t>
  </si>
  <si>
    <t>040茨城県第3選挙区03</t>
  </si>
  <si>
    <t>041茨城県第4選挙区01</t>
  </si>
  <si>
    <t>041茨城県第4選挙区03</t>
  </si>
  <si>
    <t>大嶋　修一</t>
  </si>
  <si>
    <t>041茨城県第4選挙区02</t>
  </si>
  <si>
    <t>042茨城県第5選挙区02</t>
  </si>
  <si>
    <t>042茨城県第5選挙区01</t>
  </si>
  <si>
    <t>042茨城県第5選挙区03</t>
  </si>
  <si>
    <t>大内　智子</t>
  </si>
  <si>
    <t>043茨城県第6選挙区01</t>
  </si>
  <si>
    <t>043茨城県第6選挙区02</t>
  </si>
  <si>
    <t>二見　伸明</t>
  </si>
  <si>
    <t>043茨城県第6選挙区03</t>
  </si>
  <si>
    <t>佐藤　正剛</t>
  </si>
  <si>
    <t>044茨城県第7選挙区01</t>
  </si>
  <si>
    <t>永岡　洋治</t>
  </si>
  <si>
    <t>044茨城県第7選挙区02</t>
  </si>
  <si>
    <t>044茨城県第7選挙区03</t>
  </si>
  <si>
    <t>045栃木県第1選挙区01</t>
  </si>
  <si>
    <t>045栃木県第1選挙区02</t>
  </si>
  <si>
    <t>045栃木県第1選挙区03</t>
  </si>
  <si>
    <t>田部　明男</t>
  </si>
  <si>
    <t>046栃木県第2選挙区01</t>
  </si>
  <si>
    <t>046栃木県第2選挙区02</t>
  </si>
  <si>
    <t>小林　守</t>
  </si>
  <si>
    <t>046栃木県第2選挙区03</t>
  </si>
  <si>
    <t>福田　道夫</t>
  </si>
  <si>
    <t>047栃木県第3選挙区01</t>
  </si>
  <si>
    <t>047栃木県第3選挙区03</t>
  </si>
  <si>
    <t>松永　昌樹</t>
  </si>
  <si>
    <t>047栃木県第3選挙区02</t>
  </si>
  <si>
    <t>048栃木県第4選挙区01</t>
  </si>
  <si>
    <t>048栃木県第4選挙区02</t>
  </si>
  <si>
    <t>048栃木県第4選挙区03</t>
  </si>
  <si>
    <t>049栃木県第5選挙区01</t>
  </si>
  <si>
    <t>049栃木県第5選挙区02</t>
  </si>
  <si>
    <t>中塚　英範</t>
  </si>
  <si>
    <t>049栃木県第5選挙区03</t>
  </si>
  <si>
    <t>川上　均</t>
  </si>
  <si>
    <t>050群馬県第1選挙区01</t>
  </si>
  <si>
    <t>050群馬県第1選挙区02</t>
  </si>
  <si>
    <t>050群馬県第1選挙区03</t>
  </si>
  <si>
    <t>松浦　信夫</t>
  </si>
  <si>
    <t>051群馬県第2選挙区01</t>
  </si>
  <si>
    <t>笹川　尭</t>
  </si>
  <si>
    <t>051群馬県第2選挙区02</t>
  </si>
  <si>
    <t>石関　圭</t>
  </si>
  <si>
    <t>051群馬県第2選挙区04</t>
  </si>
  <si>
    <t>森田　修</t>
  </si>
  <si>
    <t>051群馬県第2選挙区03</t>
  </si>
  <si>
    <t>佐藤　民雄</t>
  </si>
  <si>
    <t>052群馬県第3選挙区01</t>
  </si>
  <si>
    <t>052群馬県第3選挙区02</t>
  </si>
  <si>
    <t>長沼　広</t>
  </si>
  <si>
    <t>052群馬県第3選挙区03</t>
  </si>
  <si>
    <t>渋沢　哲男</t>
  </si>
  <si>
    <t>053群馬県第4選挙区01</t>
  </si>
  <si>
    <t>053群馬県第4選挙区02</t>
  </si>
  <si>
    <t>富岡　由紀夫</t>
  </si>
  <si>
    <t>053群馬県第4選挙区03</t>
  </si>
  <si>
    <t>小笠原　真明</t>
  </si>
  <si>
    <t>054群馬県第5選挙区01</t>
  </si>
  <si>
    <t>054群馬県第5選挙区03</t>
  </si>
  <si>
    <t>浅貝　正雄</t>
  </si>
  <si>
    <t>054群馬県第5選挙区02</t>
  </si>
  <si>
    <t>柳田　キミ子</t>
  </si>
  <si>
    <t>055埼玉県第1選挙区01</t>
  </si>
  <si>
    <t>055埼玉県第1選挙区04</t>
  </si>
  <si>
    <t>055埼玉県第1選挙区02</t>
  </si>
  <si>
    <t>055埼玉県第1選挙区03</t>
  </si>
  <si>
    <t>天辰　武夫</t>
  </si>
  <si>
    <t>055埼玉県第1選挙区05</t>
  </si>
  <si>
    <t>056埼玉県第2選挙区02</t>
  </si>
  <si>
    <t>056埼玉県第2選挙区01</t>
  </si>
  <si>
    <t>056埼玉県第2選挙区03</t>
  </si>
  <si>
    <t>永塚　友啓</t>
  </si>
  <si>
    <t>057埼玉県第3選挙区02</t>
  </si>
  <si>
    <t>057埼玉県第3選挙区01</t>
  </si>
  <si>
    <t>057埼玉県第3選挙区03</t>
  </si>
  <si>
    <t>田村　勉</t>
  </si>
  <si>
    <t>058埼玉県第4選挙区02</t>
  </si>
  <si>
    <t>058埼玉県第4選挙区01</t>
  </si>
  <si>
    <t>058埼玉県第4選挙区03</t>
  </si>
  <si>
    <t>059埼玉県第5選挙区02</t>
  </si>
  <si>
    <t>059埼玉県第5選挙区01</t>
  </si>
  <si>
    <t>高橋　秀明</t>
  </si>
  <si>
    <t>059埼玉県第5選挙区03</t>
  </si>
  <si>
    <t>060埼玉県第6選挙区01</t>
  </si>
  <si>
    <t>060埼玉県第6選挙区02</t>
  </si>
  <si>
    <t>自保</t>
  </si>
  <si>
    <t>060埼玉県第6選挙区03</t>
  </si>
  <si>
    <t>061埼玉県第7選挙区02</t>
  </si>
  <si>
    <t>061埼玉県第7選挙区01</t>
  </si>
  <si>
    <t>061埼玉県第7選挙区03</t>
  </si>
  <si>
    <t>大橋　昌次</t>
  </si>
  <si>
    <t>061埼玉県第7選挙区04</t>
  </si>
  <si>
    <t>市川　博美</t>
  </si>
  <si>
    <t>062埼玉県第8選挙区01</t>
  </si>
  <si>
    <t>新井　正則</t>
  </si>
  <si>
    <t>062埼玉県第8選挙区02</t>
  </si>
  <si>
    <t>062埼玉県第8選挙区04</t>
  </si>
  <si>
    <t>062埼玉県第8選挙区03</t>
  </si>
  <si>
    <t>063埼玉県第9選挙区01</t>
  </si>
  <si>
    <t>063埼玉県第9選挙区02</t>
  </si>
  <si>
    <t>063埼玉県第9選挙区03</t>
  </si>
  <si>
    <t>神田　三春</t>
  </si>
  <si>
    <t>064埼玉県第10選挙区01</t>
  </si>
  <si>
    <t>064埼玉県第10選挙区02</t>
  </si>
  <si>
    <t>064埼玉県第10選挙区03</t>
  </si>
  <si>
    <t>永田　健一</t>
  </si>
  <si>
    <t>065埼玉県第11選挙区01</t>
  </si>
  <si>
    <t>065埼玉県第11選挙区02</t>
  </si>
  <si>
    <t>065埼玉県第11選挙区03</t>
  </si>
  <si>
    <t>066埼玉県第12選挙区01</t>
  </si>
  <si>
    <t>増田　俊男</t>
  </si>
  <si>
    <t>066埼玉県第12選挙区02</t>
  </si>
  <si>
    <t>066埼玉県第12選挙区03</t>
  </si>
  <si>
    <t>067埼玉県第13選挙区01</t>
  </si>
  <si>
    <t>067埼玉県第13選挙区02</t>
  </si>
  <si>
    <t>067埼玉県第13選挙区03</t>
  </si>
  <si>
    <t>067埼玉県第13選挙区04</t>
  </si>
  <si>
    <t>067埼玉県第13選挙区05</t>
  </si>
  <si>
    <t>会田　源信</t>
  </si>
  <si>
    <t>068埼玉県第14選挙区01</t>
  </si>
  <si>
    <t>068埼玉県第14選挙区02</t>
  </si>
  <si>
    <t>068埼玉県第14選挙区03</t>
  </si>
  <si>
    <t>069埼玉県第15選挙区02</t>
  </si>
  <si>
    <t>069埼玉県第15選挙区01</t>
  </si>
  <si>
    <t>松永　光</t>
  </si>
  <si>
    <t>069埼玉県第15選挙区03</t>
  </si>
  <si>
    <t>069埼玉県第15選挙区05</t>
  </si>
  <si>
    <t>秋本　清一</t>
  </si>
  <si>
    <t>069埼玉県第15選挙区04</t>
  </si>
  <si>
    <t>田崎　良雄</t>
  </si>
  <si>
    <t>070千葉県第1選挙区02</t>
  </si>
  <si>
    <t>070千葉県第1選挙区01</t>
  </si>
  <si>
    <t>070千葉県第1選挙区03</t>
  </si>
  <si>
    <t>071千葉県第2選挙区02</t>
  </si>
  <si>
    <t>071千葉県第2選挙区01</t>
  </si>
  <si>
    <t>江口　一雄</t>
  </si>
  <si>
    <t>071千葉県第2選挙区03</t>
  </si>
  <si>
    <t>中嶋　誠</t>
  </si>
  <si>
    <t>071千葉県第2選挙区04</t>
  </si>
  <si>
    <t>072千葉県第3選挙区02</t>
  </si>
  <si>
    <t>072千葉県第3選挙区01</t>
  </si>
  <si>
    <t>072千葉県第3選挙区03</t>
  </si>
  <si>
    <t>073千葉県第4選挙区02</t>
  </si>
  <si>
    <t>073千葉県第4選挙区01</t>
  </si>
  <si>
    <t>長谷川　大</t>
  </si>
  <si>
    <t>073千葉県第4選挙区03</t>
  </si>
  <si>
    <t>津賀　幸子</t>
  </si>
  <si>
    <t>074千葉県第5選挙区02</t>
  </si>
  <si>
    <t>074千葉県第5選挙区01</t>
  </si>
  <si>
    <t>１８河野</t>
  </si>
  <si>
    <t>074千葉県第5選挙区04</t>
  </si>
  <si>
    <t>田中　甲</t>
  </si>
  <si>
    <t>尊命</t>
  </si>
  <si>
    <t>074千葉県第5選挙区03</t>
  </si>
  <si>
    <t>黒澤　秀明</t>
  </si>
  <si>
    <t>075千葉県第6選挙区02</t>
  </si>
  <si>
    <t>075千葉県第6選挙区01</t>
  </si>
  <si>
    <t>075千葉県第6選挙区03</t>
  </si>
  <si>
    <t>076千葉県第7選挙区02</t>
  </si>
  <si>
    <t>076千葉県第7選挙区01</t>
  </si>
  <si>
    <t>076千葉県第7選挙区03</t>
  </si>
  <si>
    <t>渡部　隆夫</t>
  </si>
  <si>
    <t>076千葉県第7選挙区04</t>
  </si>
  <si>
    <t>宮岡　進一郎</t>
  </si>
  <si>
    <t>077千葉県第8選挙区02</t>
  </si>
  <si>
    <t>077千葉県第8選挙区01</t>
  </si>
  <si>
    <t>桜田　義孝</t>
  </si>
  <si>
    <t>077千葉県第8選挙区03</t>
  </si>
  <si>
    <t>078千葉県第9選挙区01</t>
  </si>
  <si>
    <t>078千葉県第9選挙区02</t>
  </si>
  <si>
    <t>078千葉県第9選挙区03</t>
  </si>
  <si>
    <t>上田　美毎</t>
  </si>
  <si>
    <t>079千葉県第10選挙区01</t>
  </si>
  <si>
    <t>079千葉県第10選挙区04</t>
  </si>
  <si>
    <t>079千葉県第10選挙区02</t>
  </si>
  <si>
    <t>中澤　健</t>
  </si>
  <si>
    <t>079千葉県第10選挙区03</t>
  </si>
  <si>
    <t>079千葉県第10選挙区05</t>
  </si>
  <si>
    <t>加瀬　博</t>
  </si>
  <si>
    <t>080千葉県第11選挙区01</t>
  </si>
  <si>
    <t>080千葉県第11選挙区02</t>
  </si>
  <si>
    <t>長浜　博行</t>
  </si>
  <si>
    <t>080千葉県第11選挙区03</t>
  </si>
  <si>
    <t>前田　京子</t>
  </si>
  <si>
    <t>081千葉県第12選挙区01</t>
  </si>
  <si>
    <t>081千葉県第12選挙区02</t>
  </si>
  <si>
    <t>081千葉県第12選挙区03</t>
  </si>
  <si>
    <t>082千葉県第13選挙区01</t>
  </si>
  <si>
    <t>082千葉県第13選挙区02</t>
  </si>
  <si>
    <t>082千葉県第13選挙区03</t>
  </si>
  <si>
    <t>083神奈川県第1選挙区01</t>
  </si>
  <si>
    <t>083神奈川県第1選挙区02</t>
  </si>
  <si>
    <t>みネ</t>
  </si>
  <si>
    <t>083神奈川県第1選挙区03</t>
  </si>
  <si>
    <t>中家　治子</t>
  </si>
  <si>
    <t>083神奈川県第1選挙区04</t>
  </si>
  <si>
    <t>林　貞三</t>
  </si>
  <si>
    <t>084神奈川県第2選挙区01</t>
  </si>
  <si>
    <t>084神奈川県第2選挙区02</t>
  </si>
  <si>
    <t>084神奈川県第2選挙区03</t>
  </si>
  <si>
    <t>湯川　美和子</t>
  </si>
  <si>
    <t>085神奈川県第3選挙区01</t>
  </si>
  <si>
    <t>085神奈川県第3選挙区02</t>
  </si>
  <si>
    <t>(ネ)</t>
  </si>
  <si>
    <t>085神奈川県第3選挙区03</t>
  </si>
  <si>
    <t>085神奈川県第3選挙区04</t>
  </si>
  <si>
    <t>和田　茂</t>
  </si>
  <si>
    <t>085神奈川県第3選挙区05</t>
  </si>
  <si>
    <t>086神奈川県第4選挙区02</t>
  </si>
  <si>
    <t>086神奈川県第4選挙区01</t>
  </si>
  <si>
    <t>086神奈川県第4選挙区04</t>
  </si>
  <si>
    <t>086神奈川県第4選挙区03</t>
  </si>
  <si>
    <t>087神奈川県第5選挙区02</t>
  </si>
  <si>
    <t>087神奈川県第5選挙区01</t>
  </si>
  <si>
    <t>087神奈川県第5選挙区03</t>
  </si>
  <si>
    <t>088神奈川県第6選挙区02</t>
  </si>
  <si>
    <t>088神奈川県第6選挙区01</t>
  </si>
  <si>
    <t>088神奈川県第6選挙区05</t>
  </si>
  <si>
    <t>088神奈川県第6選挙区04</t>
  </si>
  <si>
    <t>088神奈川県第6選挙区03</t>
  </si>
  <si>
    <t>089神奈川県第7選挙区02</t>
  </si>
  <si>
    <t>089神奈川県第7選挙区01</t>
  </si>
  <si>
    <t>089神奈川県第7選挙区03</t>
  </si>
  <si>
    <t>松阪　雅子</t>
  </si>
  <si>
    <t>090神奈川県第8選挙区02</t>
  </si>
  <si>
    <t>090神奈川県第8選挙区04</t>
  </si>
  <si>
    <t>090神奈川県第8選挙区01</t>
  </si>
  <si>
    <t>吉田　隆嘉</t>
  </si>
  <si>
    <t>090神奈川県第8選挙区03</t>
  </si>
  <si>
    <t>091神奈川県第9選挙区02</t>
  </si>
  <si>
    <t>091神奈川県第9選挙区01</t>
  </si>
  <si>
    <t>中港　拓</t>
  </si>
  <si>
    <t>091神奈川県第9選挙区03</t>
  </si>
  <si>
    <t>091神奈川県第9選挙区04</t>
  </si>
  <si>
    <t>小林　武治</t>
  </si>
  <si>
    <t>092神奈川県第10選挙区01</t>
  </si>
  <si>
    <t>田中　和徳</t>
  </si>
  <si>
    <t>092神奈川県第10選挙区02</t>
  </si>
  <si>
    <t>092神奈川県第10選挙区03</t>
  </si>
  <si>
    <t>093神奈川県第11選挙区01</t>
  </si>
  <si>
    <t>093神奈川県第11選挙区02</t>
  </si>
  <si>
    <t>沢木　優輔</t>
  </si>
  <si>
    <t>093神奈川県第11選挙区03</t>
  </si>
  <si>
    <t>094神奈川県第12選挙区02</t>
  </si>
  <si>
    <t>094神奈川県第12選挙区01</t>
  </si>
  <si>
    <t>094神奈川県第12選挙区04</t>
  </si>
  <si>
    <t>094神奈川県第12選挙区03</t>
  </si>
  <si>
    <t>高松　みどり</t>
  </si>
  <si>
    <t>094神奈川県第12選挙区05</t>
  </si>
  <si>
    <t>鈴木　浩一</t>
  </si>
  <si>
    <t>095神奈川県第13選挙区01</t>
  </si>
  <si>
    <t>095神奈川県第13選挙区02</t>
  </si>
  <si>
    <t>095神奈川県第13選挙区03</t>
  </si>
  <si>
    <t>新井　俊次</t>
  </si>
  <si>
    <t>096神奈川県第14選挙区02</t>
  </si>
  <si>
    <t>096神奈川県第14選挙区01</t>
  </si>
  <si>
    <t>中本　太衛</t>
  </si>
  <si>
    <t>096神奈川県第14選挙区04</t>
  </si>
  <si>
    <t>原　陽子</t>
  </si>
  <si>
    <t>096神奈川県第14選挙区03</t>
  </si>
  <si>
    <t>096神奈川県第14選挙区05</t>
  </si>
  <si>
    <t>箕浦　一雄</t>
  </si>
  <si>
    <t>097神奈川県第15選挙区01</t>
  </si>
  <si>
    <t>097神奈川県第15選挙区02</t>
  </si>
  <si>
    <t>酒井　文彦</t>
  </si>
  <si>
    <t>097神奈川県第15選挙区03</t>
  </si>
  <si>
    <t>吉田　貞夫</t>
  </si>
  <si>
    <t>097神奈川県第15選挙区04</t>
  </si>
  <si>
    <t>桂　秀光</t>
  </si>
  <si>
    <t>098神奈川県第16選挙区01</t>
  </si>
  <si>
    <t>098神奈川県第16選挙区02</t>
  </si>
  <si>
    <t>098神奈川県第16選挙区03</t>
  </si>
  <si>
    <t>099神奈川県第17選挙区01</t>
  </si>
  <si>
    <t>099神奈川県第17選挙区02</t>
  </si>
  <si>
    <t>099神奈川県第17選挙区03</t>
  </si>
  <si>
    <t>100神奈川県第18選挙区02</t>
  </si>
  <si>
    <t>100神奈川県第18選挙区01</t>
  </si>
  <si>
    <t>100神奈川県第18選挙区06</t>
  </si>
  <si>
    <t>小川　栄一</t>
  </si>
  <si>
    <t>100神奈川県第18選挙区05</t>
  </si>
  <si>
    <t>平田　圭子</t>
  </si>
  <si>
    <t>100神奈川県第18選挙区03</t>
  </si>
  <si>
    <t>100神奈川県第18選挙区04</t>
  </si>
  <si>
    <t>竹村　英明</t>
  </si>
  <si>
    <t>100神奈川県第18選挙区07</t>
  </si>
  <si>
    <t>安済　清雄</t>
  </si>
  <si>
    <t>101山梨県第1選挙区02</t>
  </si>
  <si>
    <t>101山梨県第1選挙区01</t>
  </si>
  <si>
    <t>米田　建三</t>
  </si>
  <si>
    <t>101山梨県第1選挙区03</t>
  </si>
  <si>
    <t>102山梨県第2選挙区01</t>
  </si>
  <si>
    <t>102山梨県第2選挙区02</t>
  </si>
  <si>
    <t>花田　仁</t>
  </si>
  <si>
    <t>103山梨県第3選挙区01</t>
  </si>
  <si>
    <t>103山梨県第3選挙区02</t>
  </si>
  <si>
    <t>103山梨県第3選挙区03</t>
  </si>
  <si>
    <t>深沢　久</t>
  </si>
  <si>
    <t>104東京都第1選挙区02</t>
  </si>
  <si>
    <t>104東京都第1選挙区01</t>
  </si>
  <si>
    <t>104東京都第1選挙区03</t>
  </si>
  <si>
    <t>104東京都第1選挙区05</t>
  </si>
  <si>
    <t>浜田　麻記子</t>
  </si>
  <si>
    <t>104東京都第1選挙区04</t>
  </si>
  <si>
    <t>105東京都第2選挙区02</t>
  </si>
  <si>
    <t>105東京都第2選挙区01</t>
  </si>
  <si>
    <t>105東京都第2選挙区03</t>
  </si>
  <si>
    <t>室　喜代一</t>
  </si>
  <si>
    <t>106東京都第3選挙区02</t>
  </si>
  <si>
    <t>106東京都第3選挙区01</t>
  </si>
  <si>
    <t>106東京都第3選挙区03</t>
  </si>
  <si>
    <t>大貫　清文</t>
  </si>
  <si>
    <t>107東京都第4選挙区01</t>
  </si>
  <si>
    <t>107東京都第4選挙区02</t>
  </si>
  <si>
    <t>107東京都第4選挙区04</t>
  </si>
  <si>
    <t>山谷　えり子</t>
  </si>
  <si>
    <t>107東京都第4選挙区03</t>
  </si>
  <si>
    <t>山口　富男</t>
  </si>
  <si>
    <t>108東京都第5選挙区02</t>
  </si>
  <si>
    <t>108東京都第5選挙区01</t>
  </si>
  <si>
    <t>108東京都第5選挙区04</t>
  </si>
  <si>
    <t>108東京都第5選挙区03</t>
  </si>
  <si>
    <t>宮本　栄</t>
  </si>
  <si>
    <t>109東京都第6選挙区02</t>
  </si>
  <si>
    <t>109東京都第6選挙区01</t>
  </si>
  <si>
    <t>109東京都第6選挙区04</t>
  </si>
  <si>
    <t>109東京都第6選挙区03</t>
  </si>
  <si>
    <t>110東京都第7選挙区02</t>
  </si>
  <si>
    <t>110東京都第7選挙区01</t>
  </si>
  <si>
    <t>110東京都第7選挙区03</t>
  </si>
  <si>
    <t>小沢　哲雄</t>
  </si>
  <si>
    <t>110東京都第7選挙区05</t>
  </si>
  <si>
    <t>矢部　一</t>
  </si>
  <si>
    <t>110東京都第7選挙区04</t>
  </si>
  <si>
    <t>冨家　孝</t>
  </si>
  <si>
    <t>111東京都第8選挙区01</t>
  </si>
  <si>
    <t>111東京都第8選挙区02</t>
  </si>
  <si>
    <t>111東京都第8選挙区03</t>
  </si>
  <si>
    <t>111東京都第8選挙区04</t>
  </si>
  <si>
    <t>杉山　章子</t>
  </si>
  <si>
    <t>112東京都第9選挙区01</t>
  </si>
  <si>
    <t>112東京都第9選挙区02</t>
  </si>
  <si>
    <t>112東京都第9選挙区03</t>
  </si>
  <si>
    <t>112東京都第9選挙区04</t>
  </si>
  <si>
    <t>村田　敏</t>
  </si>
  <si>
    <t>113東京都第10選挙区01</t>
  </si>
  <si>
    <t>113東京都第10選挙区02</t>
  </si>
  <si>
    <t>113東京都第10選挙区03</t>
  </si>
  <si>
    <t>113東京都第10選挙区04</t>
  </si>
  <si>
    <t>志良以　榮</t>
  </si>
  <si>
    <t>114東京都第11選挙区01</t>
  </si>
  <si>
    <t>114東京都第11選挙区02</t>
  </si>
  <si>
    <t>114東京都第11選挙区03</t>
  </si>
  <si>
    <t>115東京都第12選挙区02</t>
  </si>
  <si>
    <t>115東京都第12選挙区01</t>
  </si>
  <si>
    <t>115東京都第12選挙区03</t>
  </si>
  <si>
    <t>山岸　光夫</t>
  </si>
  <si>
    <t>116東京都第13選挙区02</t>
  </si>
  <si>
    <t>116東京都第13選挙区01</t>
  </si>
  <si>
    <t>116東京都第13選挙区03</t>
  </si>
  <si>
    <t>117東京都第14選挙区01</t>
  </si>
  <si>
    <t>117東京都第14選挙区02</t>
  </si>
  <si>
    <t>117東京都第14選挙区04</t>
  </si>
  <si>
    <t>西川　太一郎</t>
  </si>
  <si>
    <t>117東京都第14選挙区03</t>
  </si>
  <si>
    <t>118東京都第15選挙区01</t>
  </si>
  <si>
    <t>118東京都第15選挙区02</t>
  </si>
  <si>
    <t>118東京都第15選挙区04</t>
  </si>
  <si>
    <t>柿澤　弘治</t>
  </si>
  <si>
    <t>118東京都第15選挙区03</t>
  </si>
  <si>
    <t>榛田　敦行</t>
  </si>
  <si>
    <t>119東京都第16選挙区01</t>
  </si>
  <si>
    <t>119東京都第16選挙区02</t>
  </si>
  <si>
    <t>119東京都第16選挙区04</t>
  </si>
  <si>
    <t>宇田川　芳雄</t>
  </si>
  <si>
    <t>119東京都第16選挙区03</t>
  </si>
  <si>
    <t>安部　安則</t>
  </si>
  <si>
    <t>120東京都第17選挙区01</t>
  </si>
  <si>
    <t>120東京都第17選挙区02</t>
  </si>
  <si>
    <t>120東京都第17選挙区03</t>
  </si>
  <si>
    <t>菅野　勝祐</t>
  </si>
  <si>
    <t>121東京都第18選挙区02</t>
  </si>
  <si>
    <t>121東京都第18選挙区01</t>
  </si>
  <si>
    <t>121東京都第18選挙区03</t>
  </si>
  <si>
    <t>小林　幹典</t>
  </si>
  <si>
    <t>122東京都第19選挙区02</t>
  </si>
  <si>
    <t>122東京都第19選挙区01</t>
  </si>
  <si>
    <t>122東京都第19選挙区03</t>
  </si>
  <si>
    <t>藤岡　智明</t>
  </si>
  <si>
    <t>122東京都第19選挙区04</t>
  </si>
  <si>
    <t>横田　昌三</t>
  </si>
  <si>
    <t>123東京都第20選挙区02</t>
  </si>
  <si>
    <t>123東京都第20選挙区01</t>
  </si>
  <si>
    <t>清水　清一朗</t>
  </si>
  <si>
    <t>123東京都第20選挙区03</t>
  </si>
  <si>
    <t>124東京都第21選挙区02</t>
  </si>
  <si>
    <t>124東京都第21選挙区01</t>
  </si>
  <si>
    <t>橋本　城二</t>
  </si>
  <si>
    <t>124東京都第21選挙区04</t>
  </si>
  <si>
    <t>川田　悦子</t>
  </si>
  <si>
    <t>124東京都第21選挙区03</t>
  </si>
  <si>
    <t>125東京都第22選挙区02</t>
  </si>
  <si>
    <t>125東京都第22選挙区01</t>
  </si>
  <si>
    <t>125東京都第22選挙区03</t>
  </si>
  <si>
    <t>125東京都第22選挙区04</t>
  </si>
  <si>
    <t>佐藤　盛隆</t>
  </si>
  <si>
    <t>126東京都第23選挙区01</t>
  </si>
  <si>
    <t>126東京都第23選挙区02</t>
  </si>
  <si>
    <t>126東京都第23選挙区03</t>
  </si>
  <si>
    <t>今村　順一郎</t>
  </si>
  <si>
    <t>127東京都第24選挙区01</t>
  </si>
  <si>
    <t>127東京都第24選挙区02</t>
  </si>
  <si>
    <t>127東京都第24選挙区03</t>
  </si>
  <si>
    <t>藤本　実</t>
  </si>
  <si>
    <t>127東京都第24選挙区04</t>
  </si>
  <si>
    <t>石橋　薫</t>
  </si>
  <si>
    <t>128東京都第25選挙区01</t>
  </si>
  <si>
    <t>128東京都第25選挙区02</t>
  </si>
  <si>
    <t>128東京都第25選挙区03</t>
  </si>
  <si>
    <t>128東京都第25選挙区04</t>
  </si>
  <si>
    <t>池田　正二</t>
  </si>
  <si>
    <t>129新潟県第1選挙区02</t>
  </si>
  <si>
    <t>129新潟県第1選挙区01</t>
  </si>
  <si>
    <t>吉田　六左ヱ門</t>
  </si>
  <si>
    <t>129新潟県第1選挙区03</t>
  </si>
  <si>
    <t>130新潟県第2選挙区01</t>
  </si>
  <si>
    <t>近藤　基彦</t>
  </si>
  <si>
    <t>130新潟県第2選挙区04</t>
  </si>
  <si>
    <t>藤島　正之</t>
  </si>
  <si>
    <t>130新潟県第2選挙区02</t>
  </si>
  <si>
    <t>坂上　富男</t>
  </si>
  <si>
    <t>130新潟県第2選挙区03</t>
  </si>
  <si>
    <t>米山　洋子</t>
  </si>
  <si>
    <t>130新潟県第2選挙区05</t>
  </si>
  <si>
    <t>西川　攻</t>
  </si>
  <si>
    <t>131新潟県第3選挙区01</t>
  </si>
  <si>
    <t>131新潟県第3選挙区03</t>
  </si>
  <si>
    <t>倉持　八郎</t>
  </si>
  <si>
    <t>131新潟県第3選挙区02</t>
  </si>
  <si>
    <t>132新潟県第4選挙区02</t>
  </si>
  <si>
    <t>132新潟県第4選挙区01</t>
  </si>
  <si>
    <t>栗原　博久</t>
  </si>
  <si>
    <t>132新潟県第4選挙区03</t>
  </si>
  <si>
    <t>133新潟県第5選挙区03</t>
  </si>
  <si>
    <t>田中　真紀子</t>
  </si>
  <si>
    <t>133新潟県第5選挙区01</t>
  </si>
  <si>
    <t>星野　行男</t>
  </si>
  <si>
    <t>133新潟県第5選挙区04</t>
  </si>
  <si>
    <t>白川　勝彦</t>
  </si>
  <si>
    <t>(社)</t>
  </si>
  <si>
    <t>133新潟県第5選挙区02</t>
  </si>
  <si>
    <t>斉藤　実</t>
  </si>
  <si>
    <t>134新潟県第6選挙区02</t>
  </si>
  <si>
    <t>134新潟県第6選挙区01</t>
  </si>
  <si>
    <t>134新潟県第6選挙区04</t>
  </si>
  <si>
    <t>風間　直樹</t>
  </si>
  <si>
    <t>134新潟県第6選挙区03</t>
  </si>
  <si>
    <t>阿部　正義</t>
  </si>
  <si>
    <t>135富山県第1選挙区01</t>
  </si>
  <si>
    <t>135富山県第1選挙区02</t>
  </si>
  <si>
    <t>135富山県第1選挙区03</t>
  </si>
  <si>
    <t>136富山県第2選挙区01</t>
  </si>
  <si>
    <t>136富山県第2選挙区02</t>
  </si>
  <si>
    <t>136富山県第2選挙区04</t>
  </si>
  <si>
    <t>辰尾　哲雄</t>
  </si>
  <si>
    <t>136富山県第2選挙区03</t>
  </si>
  <si>
    <t>古沢　利之</t>
  </si>
  <si>
    <t>137富山県第3選挙区01</t>
  </si>
  <si>
    <t>137富山県第3選挙区03</t>
  </si>
  <si>
    <t>137富山県第3選挙区02</t>
  </si>
  <si>
    <t>138石川県第1選挙区02</t>
  </si>
  <si>
    <t>会み</t>
  </si>
  <si>
    <t>138石川県第1選挙区01</t>
  </si>
  <si>
    <t>138石川県第1選挙区03</t>
  </si>
  <si>
    <t>139石川県第2選挙区01</t>
  </si>
  <si>
    <t>139石川県第2選挙区02</t>
  </si>
  <si>
    <t>139石川県第2選挙区03</t>
  </si>
  <si>
    <t>140石川県第3選挙区01</t>
  </si>
  <si>
    <t>瓦　力</t>
  </si>
  <si>
    <t>140石川県第3選挙区02</t>
  </si>
  <si>
    <t>140石川県第3選挙区03</t>
  </si>
  <si>
    <t>坂本　浩</t>
  </si>
  <si>
    <t>141福井県第1選挙区01</t>
  </si>
  <si>
    <t>141福井県第1選挙区04</t>
  </si>
  <si>
    <t>141福井県第1選挙区02</t>
  </si>
  <si>
    <t>本郷　史剛</t>
  </si>
  <si>
    <t>141福井県第1選挙区03</t>
  </si>
  <si>
    <t>142福井県第2選挙区01</t>
  </si>
  <si>
    <t>142福井県第2選挙区02</t>
  </si>
  <si>
    <t>142福井県第2選挙区04</t>
  </si>
  <si>
    <t>平泉　渉</t>
  </si>
  <si>
    <t>142福井県第2選挙区03</t>
  </si>
  <si>
    <t>宇野　邦弘</t>
  </si>
  <si>
    <t>143福井県第3選挙区01</t>
  </si>
  <si>
    <t>高木　毅</t>
  </si>
  <si>
    <t>143福井県第3選挙区02</t>
  </si>
  <si>
    <t>143福井県第3選挙区03</t>
  </si>
  <si>
    <t>山本　雅彦</t>
  </si>
  <si>
    <t>144長野県第1選挙区01</t>
  </si>
  <si>
    <t>144長野県第1選挙区02</t>
  </si>
  <si>
    <t>144長野県第1選挙区03</t>
  </si>
  <si>
    <t>145長野県第2選挙区02</t>
  </si>
  <si>
    <t>145長野県第2選挙区01</t>
  </si>
  <si>
    <t>村井　仁</t>
  </si>
  <si>
    <t>145長野県第2選挙区04</t>
  </si>
  <si>
    <t>145長野県第2選挙区03</t>
  </si>
  <si>
    <t>清水　啓司</t>
  </si>
  <si>
    <t>146長野県第3選挙区02</t>
  </si>
  <si>
    <t>146長野県第3選挙区01</t>
  </si>
  <si>
    <t>146長野県第3選挙区03</t>
  </si>
  <si>
    <t>147長野県第4選挙区01</t>
  </si>
  <si>
    <t>147長野県第4選挙区02</t>
  </si>
  <si>
    <t>147長野県第4選挙区04</t>
  </si>
  <si>
    <t>浜　万亀彦</t>
  </si>
  <si>
    <t>147長野県第4選挙区03</t>
  </si>
  <si>
    <t>148長野県第5選挙区01</t>
  </si>
  <si>
    <t>148長野県第5選挙区02</t>
  </si>
  <si>
    <t>148長野県第5選挙区03</t>
  </si>
  <si>
    <t>148長野県第5選挙区04</t>
  </si>
  <si>
    <t>関　浩幸</t>
  </si>
  <si>
    <t>149岐阜県第1選挙区01</t>
  </si>
  <si>
    <t>149岐阜県第1選挙区02</t>
  </si>
  <si>
    <t>浅野　真</t>
  </si>
  <si>
    <t>149岐阜県第1選挙区03</t>
  </si>
  <si>
    <t>木下　律子</t>
  </si>
  <si>
    <t>150岐阜県第2選挙区01</t>
  </si>
  <si>
    <t>150岐阜県第2選挙区02</t>
  </si>
  <si>
    <t>150岐阜県第2選挙区03</t>
  </si>
  <si>
    <t>151岐阜県第3選挙区01</t>
  </si>
  <si>
    <t>武藤　嘉文</t>
  </si>
  <si>
    <t>151岐阜県第3選挙区02</t>
  </si>
  <si>
    <t>151岐阜県第3選挙区03</t>
  </si>
  <si>
    <t>宮川　勝義</t>
  </si>
  <si>
    <t>152岐阜県第4選挙区01</t>
  </si>
  <si>
    <t>152岐阜県第4選挙区02</t>
  </si>
  <si>
    <t>152岐阜県第4選挙区03</t>
  </si>
  <si>
    <t>吾郷　武日</t>
  </si>
  <si>
    <t>153岐阜県第5選挙区01</t>
  </si>
  <si>
    <t>153岐阜県第5選挙区02</t>
  </si>
  <si>
    <t>武田　規男</t>
  </si>
  <si>
    <t>153岐阜県第5選挙区03</t>
  </si>
  <si>
    <t>154静岡県第1選挙区02</t>
  </si>
  <si>
    <t>154静岡県第1選挙区01</t>
  </si>
  <si>
    <t>154静岡県第1選挙区05</t>
  </si>
  <si>
    <t>154静岡県第1選挙区03</t>
  </si>
  <si>
    <t>河瀬　幸代</t>
  </si>
  <si>
    <t>154静岡県第1選挙区04</t>
  </si>
  <si>
    <t>石塚　聡</t>
  </si>
  <si>
    <t>155静岡県第2選挙区01</t>
  </si>
  <si>
    <t>155静岡県第2選挙区02</t>
  </si>
  <si>
    <t>155静岡県第2選挙区03</t>
  </si>
  <si>
    <t>岡崎　平作</t>
  </si>
  <si>
    <t>156静岡県第3選挙区01</t>
  </si>
  <si>
    <t>156静岡県第3選挙区02</t>
  </si>
  <si>
    <t>156静岡県第3選挙区03</t>
  </si>
  <si>
    <t>早崎　末浩</t>
  </si>
  <si>
    <t>157静岡県第4選挙区01</t>
  </si>
  <si>
    <t>157静岡県第4選挙区02</t>
  </si>
  <si>
    <t>157静岡県第4選挙区03</t>
  </si>
  <si>
    <t>西谷　英俊</t>
  </si>
  <si>
    <t>158静岡県第5選挙区02</t>
  </si>
  <si>
    <t>158静岡県第5選挙区01</t>
  </si>
  <si>
    <t>158静岡県第5選挙区03</t>
  </si>
  <si>
    <t>杉田　保雄</t>
  </si>
  <si>
    <t>159静岡県第6選挙区02</t>
  </si>
  <si>
    <t>159静岡県第6選挙区01</t>
  </si>
  <si>
    <t>栗原　裕康</t>
  </si>
  <si>
    <t>159静岡県第6選挙区04</t>
  </si>
  <si>
    <t>平田　純一</t>
  </si>
  <si>
    <t>159静岡県第6選挙区03</t>
  </si>
  <si>
    <t>160静岡県第7選挙区04</t>
  </si>
  <si>
    <t>160静岡県第7選挙区03</t>
  </si>
  <si>
    <t>熊谷　弘</t>
  </si>
  <si>
    <t>160静岡県第7選挙区01</t>
  </si>
  <si>
    <t>樋口　美智子</t>
  </si>
  <si>
    <t>160静岡県第7選挙区02</t>
  </si>
  <si>
    <t>森島　倫生</t>
  </si>
  <si>
    <t>161静岡県第8選挙区01</t>
  </si>
  <si>
    <t>161静岡県第8選挙区02</t>
  </si>
  <si>
    <t>161静岡県第8選挙区03</t>
  </si>
  <si>
    <t>162愛知県第1選挙区02</t>
  </si>
  <si>
    <t>162愛知県第1選挙区01</t>
  </si>
  <si>
    <t>谷田　武彦</t>
  </si>
  <si>
    <t>162愛知県第1選挙区03</t>
  </si>
  <si>
    <t>163愛知県第2選挙区02</t>
  </si>
  <si>
    <t>163愛知県第2選挙区01</t>
  </si>
  <si>
    <t>斎藤　幸男</t>
  </si>
  <si>
    <t>163愛知県第2選挙区03</t>
  </si>
  <si>
    <t>大野　宙光</t>
  </si>
  <si>
    <t>164愛知県第3選挙区02</t>
  </si>
  <si>
    <t>164愛知県第3選挙区01</t>
  </si>
  <si>
    <t>吉田　幸弘</t>
  </si>
  <si>
    <t>164愛知県第3選挙区03</t>
  </si>
  <si>
    <t>165愛知県第4選挙区02</t>
  </si>
  <si>
    <t>165愛知県第4選挙区01</t>
  </si>
  <si>
    <t>近藤　浩</t>
  </si>
  <si>
    <t>165愛知県第4選挙区03</t>
  </si>
  <si>
    <t>166愛知県第5選挙区02</t>
  </si>
  <si>
    <t>166愛知県第5選挙区01</t>
  </si>
  <si>
    <t>166愛知県第5選挙区03</t>
  </si>
  <si>
    <t>江上　博之</t>
  </si>
  <si>
    <t>167愛知県第6選挙区02</t>
  </si>
  <si>
    <t>167愛知県第6選挙区01</t>
  </si>
  <si>
    <t>167愛知県第6選挙区04</t>
  </si>
  <si>
    <t>三沢　淳</t>
  </si>
  <si>
    <t>167愛知県第6選挙区03</t>
  </si>
  <si>
    <t>168愛知県第7選挙区02</t>
  </si>
  <si>
    <t>168愛知県第7選挙区01</t>
  </si>
  <si>
    <t>青山　丘</t>
  </si>
  <si>
    <t>168愛知県第7選挙区04</t>
  </si>
  <si>
    <t>大島　令子</t>
  </si>
  <si>
    <t>168愛知県第7選挙区03</t>
  </si>
  <si>
    <t>169愛知県第8選挙区02</t>
  </si>
  <si>
    <t>169愛知県第8選挙区01</t>
  </si>
  <si>
    <t>大木　浩</t>
  </si>
  <si>
    <t>169愛知県第8選挙区03</t>
  </si>
  <si>
    <t>170愛知県第9選挙区03</t>
  </si>
  <si>
    <t>170愛知県第9選挙区01</t>
  </si>
  <si>
    <t>170愛知県第9選挙区04</t>
  </si>
  <si>
    <t>170愛知県第9選挙区02</t>
  </si>
  <si>
    <t>171愛知県第10選挙区03</t>
  </si>
  <si>
    <t>171愛知県第10選挙区01</t>
  </si>
  <si>
    <t>佐藤　観樹</t>
  </si>
  <si>
    <t>171愛知県第10選挙区02</t>
  </si>
  <si>
    <t>岸野　知子</t>
  </si>
  <si>
    <t>172愛知県第11選挙区01</t>
  </si>
  <si>
    <t>172愛知県第11選挙区02</t>
  </si>
  <si>
    <t>串田　真吾</t>
  </si>
  <si>
    <t>173愛知県第12選挙区01</t>
  </si>
  <si>
    <t>173愛知県第12選挙区02</t>
  </si>
  <si>
    <t>173愛知県第12選挙区03</t>
  </si>
  <si>
    <t>野村　典子</t>
  </si>
  <si>
    <t>174愛知県第13選挙区01</t>
  </si>
  <si>
    <t>174愛知県第13選挙区02</t>
  </si>
  <si>
    <t>174愛知県第13選挙区03</t>
  </si>
  <si>
    <t>高林　誠</t>
  </si>
  <si>
    <t>175愛知県第14選挙区02</t>
  </si>
  <si>
    <t>175愛知県第14選挙区01</t>
  </si>
  <si>
    <t>浅野　勝人</t>
  </si>
  <si>
    <t>175愛知県第14選挙区03</t>
  </si>
  <si>
    <t>金子　正美</t>
  </si>
  <si>
    <t>176愛知県第15選挙区01</t>
  </si>
  <si>
    <t>176愛知県第15選挙区02</t>
  </si>
  <si>
    <t>都築　譲</t>
  </si>
  <si>
    <t>176愛知県第15選挙区03</t>
  </si>
  <si>
    <t>177三重県第1選挙区01</t>
  </si>
  <si>
    <t>177三重県第1選挙区02</t>
  </si>
  <si>
    <t>177三重県第1選挙区03</t>
  </si>
  <si>
    <t>大嶽　隆司</t>
  </si>
  <si>
    <t>178三重県第2選挙区02</t>
  </si>
  <si>
    <t>178三重県第2選挙区01</t>
  </si>
  <si>
    <t>井戸　寿</t>
  </si>
  <si>
    <t>178三重県第2選挙区03</t>
  </si>
  <si>
    <t>前垣　忠司</t>
  </si>
  <si>
    <t>179三重県第3選挙区02</t>
  </si>
  <si>
    <t>179三重県第3選挙区01</t>
  </si>
  <si>
    <t>179三重県第3選挙区03</t>
  </si>
  <si>
    <t>180三重県第4選挙区01</t>
  </si>
  <si>
    <t>180三重県第4選挙区02</t>
  </si>
  <si>
    <t>伊藤　忠治</t>
  </si>
  <si>
    <t>180三重県第4選挙区03</t>
  </si>
  <si>
    <t>181三重県第5選挙区01</t>
  </si>
  <si>
    <t>181三重県第5選挙区02</t>
  </si>
  <si>
    <t>181三重県第5選挙区03</t>
  </si>
  <si>
    <t>長坂　正春</t>
  </si>
  <si>
    <t>181三重県第5選挙区04</t>
  </si>
  <si>
    <t>山中　精一</t>
  </si>
  <si>
    <t>182滋賀県第1選挙区02</t>
  </si>
  <si>
    <t>182滋賀県第1選挙区01</t>
  </si>
  <si>
    <t>182滋賀県第1選挙区03</t>
  </si>
  <si>
    <t>183滋賀県第2選挙区02</t>
  </si>
  <si>
    <t>183滋賀県第2選挙区01</t>
  </si>
  <si>
    <t>183滋賀県第2選挙区04</t>
  </si>
  <si>
    <t>川島　隆二</t>
  </si>
  <si>
    <t>183滋賀県第2選挙区03</t>
  </si>
  <si>
    <t>酒井　紳一</t>
  </si>
  <si>
    <t>184滋賀県第3選挙区02</t>
  </si>
  <si>
    <t>184滋賀県第3選挙区01</t>
  </si>
  <si>
    <t>184滋賀県第3選挙区03</t>
  </si>
  <si>
    <t>石堂　晋子</t>
  </si>
  <si>
    <t>184滋賀県第3選挙区04</t>
  </si>
  <si>
    <t>西村　明夫</t>
  </si>
  <si>
    <t>185滋賀県第4選挙区01</t>
  </si>
  <si>
    <t>185滋賀県第4選挙区02</t>
  </si>
  <si>
    <t>185滋賀県第4選挙区03</t>
  </si>
  <si>
    <t>186京都府第1選挙区01</t>
  </si>
  <si>
    <t>186京都府第1選挙区02</t>
  </si>
  <si>
    <t>186京都府第1選挙区03</t>
  </si>
  <si>
    <t>187京都府第2選挙区01</t>
  </si>
  <si>
    <t>187京都府第2選挙区02</t>
  </si>
  <si>
    <t>山本　直彦</t>
  </si>
  <si>
    <t>187京都府第2選挙区03</t>
  </si>
  <si>
    <t>188京都府第3選挙区02</t>
  </si>
  <si>
    <t>188京都府第3選挙区01</t>
  </si>
  <si>
    <t>奥山　茂彦</t>
  </si>
  <si>
    <t>188京都府第3選挙区03</t>
  </si>
  <si>
    <t>189京都府第4選挙区01</t>
  </si>
  <si>
    <t>189京都府第4選挙区02</t>
  </si>
  <si>
    <t>189京都府第4選挙区03</t>
  </si>
  <si>
    <t>190京都府第5選挙区01</t>
  </si>
  <si>
    <t>190京都府第5選挙区02</t>
  </si>
  <si>
    <t>190京都府第5選挙区03</t>
  </si>
  <si>
    <t>191京都府第6選挙区02</t>
  </si>
  <si>
    <t>191京都府第6選挙区01</t>
  </si>
  <si>
    <t>菱田　嘉明</t>
  </si>
  <si>
    <t>191京都府第6選挙区03</t>
  </si>
  <si>
    <t>192大阪府第1選挙区01</t>
  </si>
  <si>
    <t>192大阪府第1選挙区02</t>
  </si>
  <si>
    <t>192大阪府第1選挙区03</t>
  </si>
  <si>
    <t>清家　裕</t>
  </si>
  <si>
    <t>193大阪府第2選挙区01</t>
  </si>
  <si>
    <t>193大阪府第2選挙区02</t>
  </si>
  <si>
    <t>岩波　薫</t>
  </si>
  <si>
    <t>193大阪府第2選挙区03</t>
  </si>
  <si>
    <t>石井　郁子</t>
  </si>
  <si>
    <t>194大阪府第3選挙区02</t>
  </si>
  <si>
    <t>194大阪府第3選挙区01</t>
  </si>
  <si>
    <t>辻　恵</t>
  </si>
  <si>
    <t>194大阪府第3選挙区03</t>
  </si>
  <si>
    <t>195大阪府第4選挙区02</t>
  </si>
  <si>
    <t>195大阪府第4選挙区01</t>
  </si>
  <si>
    <t>195大阪府第4選挙区03</t>
  </si>
  <si>
    <t>196大阪府第5選挙区02</t>
  </si>
  <si>
    <t>196大阪府第5選挙区01</t>
  </si>
  <si>
    <t>196大阪府第5選挙区03</t>
  </si>
  <si>
    <t>197大阪府第6選挙区02</t>
  </si>
  <si>
    <t>197大阪府第6選挙区01</t>
  </si>
  <si>
    <t>197大阪府第6選挙区03</t>
  </si>
  <si>
    <t>太田　乙美</t>
  </si>
  <si>
    <t>198大阪府第7選挙区02</t>
  </si>
  <si>
    <t>198大阪府第7選挙区01</t>
  </si>
  <si>
    <t>井上　一成</t>
  </si>
  <si>
    <t>198大阪府第7選挙区03</t>
  </si>
  <si>
    <t>藤井　幸子</t>
  </si>
  <si>
    <t>198大阪府第7選挙区04</t>
  </si>
  <si>
    <t>有澤　志郎</t>
  </si>
  <si>
    <t>198大阪府第7選挙区05</t>
  </si>
  <si>
    <t>阪本　義信</t>
  </si>
  <si>
    <t>199大阪府第8選挙区02</t>
  </si>
  <si>
    <t>199大阪府第8選挙区01</t>
  </si>
  <si>
    <t>199大阪府第8選挙区03</t>
  </si>
  <si>
    <t>200大阪府第9選挙区02</t>
  </si>
  <si>
    <t>200大阪府第9選挙区01</t>
  </si>
  <si>
    <t>200大阪府第9選挙区03</t>
  </si>
  <si>
    <t>藤木　邦顕</t>
  </si>
  <si>
    <t>200大阪府第9選挙区05</t>
  </si>
  <si>
    <t>永田　義和</t>
  </si>
  <si>
    <t>200大阪府第9選挙区04</t>
  </si>
  <si>
    <t>中北　龍太郎</t>
  </si>
  <si>
    <t>201大阪府第10選挙区02</t>
  </si>
  <si>
    <t>飛田　美代子</t>
  </si>
  <si>
    <t>201大阪府第10選挙区01</t>
  </si>
  <si>
    <t>201大阪府第10選挙区03</t>
  </si>
  <si>
    <t>菅野　悦子</t>
  </si>
  <si>
    <t>201大阪府第10選挙区04</t>
  </si>
  <si>
    <t>榛原　外之守</t>
  </si>
  <si>
    <t>202大阪府第11選挙区01</t>
  </si>
  <si>
    <t>202大阪府第11選挙区03</t>
  </si>
  <si>
    <t>小川　真澄</t>
  </si>
  <si>
    <t>202大阪府第11選挙区02</t>
  </si>
  <si>
    <t>202大阪府第11選挙区04</t>
  </si>
  <si>
    <t>吉武　信昭</t>
  </si>
  <si>
    <t>203大阪府第12選挙区02</t>
  </si>
  <si>
    <t>203大阪府第12選挙区01</t>
  </si>
  <si>
    <t>203大阪府第12選挙区03</t>
  </si>
  <si>
    <t>西森　洋一</t>
  </si>
  <si>
    <t>204大阪府第13選挙区01</t>
  </si>
  <si>
    <t>西野　陽</t>
  </si>
  <si>
    <t>204大阪府第13選挙区02</t>
  </si>
  <si>
    <t>岡本　準一郎</t>
  </si>
  <si>
    <t>204大阪府第13選挙区03</t>
  </si>
  <si>
    <t>205大阪府第14選挙区01</t>
  </si>
  <si>
    <t>205大阪府第14選挙区02</t>
  </si>
  <si>
    <t>205大阪府第14選挙区03</t>
  </si>
  <si>
    <t>206大阪府第15選挙区01</t>
  </si>
  <si>
    <t>206大阪府第15選挙区02</t>
  </si>
  <si>
    <t>梅川　喜久雄</t>
  </si>
  <si>
    <t>206大阪府第15選挙区03</t>
  </si>
  <si>
    <t>207大阪府第16選挙区02</t>
  </si>
  <si>
    <t>207大阪府第16選挙区01</t>
  </si>
  <si>
    <t>207大阪府第16選挙区03</t>
  </si>
  <si>
    <t>菅野　泰介</t>
  </si>
  <si>
    <t>208大阪府第17選挙区02</t>
  </si>
  <si>
    <t>208大阪府第17選挙区01</t>
  </si>
  <si>
    <t>208大阪府第17選挙区03</t>
  </si>
  <si>
    <t>眞鍋　譲</t>
  </si>
  <si>
    <t>208大阪府第17選挙区04</t>
  </si>
  <si>
    <t>平田　多加秋</t>
  </si>
  <si>
    <t>209大阪府第18選挙区01</t>
  </si>
  <si>
    <t>209大阪府第18選挙区02</t>
  </si>
  <si>
    <t>209大阪府第18選挙区03</t>
  </si>
  <si>
    <t>210大阪府第19選挙区01</t>
  </si>
  <si>
    <t>210大阪府第19選挙区03</t>
  </si>
  <si>
    <t>210大阪府第19選挙区04</t>
  </si>
  <si>
    <t>安田　吉広</t>
  </si>
  <si>
    <t>210大阪府第19選挙区02</t>
  </si>
  <si>
    <t>211兵庫県第1選挙区01</t>
  </si>
  <si>
    <t>砂田　圭祐</t>
  </si>
  <si>
    <t>211兵庫県第1選挙区02</t>
  </si>
  <si>
    <t>211兵庫県第1選挙区04</t>
  </si>
  <si>
    <t>211兵庫県第1選挙区03</t>
  </si>
  <si>
    <t>北岡　浩</t>
  </si>
  <si>
    <t>212兵庫県第2選挙区02</t>
  </si>
  <si>
    <t>212兵庫県第2選挙区01</t>
  </si>
  <si>
    <t>212兵庫県第2選挙区03</t>
  </si>
  <si>
    <t>213兵庫県第3選挙区02</t>
  </si>
  <si>
    <t>213兵庫県第3選挙区01</t>
  </si>
  <si>
    <t>井川　弘光</t>
  </si>
  <si>
    <t>213兵庫県第3選挙区03</t>
  </si>
  <si>
    <t>森田　多希子</t>
  </si>
  <si>
    <t>214兵庫県第4選挙区03</t>
  </si>
  <si>
    <t>214兵庫県第4選挙区01</t>
  </si>
  <si>
    <t>214兵庫県第4選挙区02</t>
  </si>
  <si>
    <t>山本　純二</t>
  </si>
  <si>
    <t>215兵庫県第5選挙区01</t>
  </si>
  <si>
    <t>215兵庫県第5選挙区02</t>
  </si>
  <si>
    <t>215兵庫県第5選挙区03</t>
  </si>
  <si>
    <t>西中　孝男</t>
  </si>
  <si>
    <t>216兵庫県第6選挙区02</t>
  </si>
  <si>
    <t>216兵庫県第6選挙区01</t>
  </si>
  <si>
    <t>216兵庫県第6選挙区04</t>
  </si>
  <si>
    <t>216兵庫県第6選挙区03</t>
  </si>
  <si>
    <t>217兵庫県第7選挙区01</t>
  </si>
  <si>
    <t>217兵庫県第7選挙区03</t>
  </si>
  <si>
    <t>土井　たか子</t>
  </si>
  <si>
    <t>217兵庫県第7選挙区02</t>
  </si>
  <si>
    <t>218兵庫県第8選挙区02</t>
  </si>
  <si>
    <t>冬柴　鐡三</t>
  </si>
  <si>
    <t>218兵庫県第8選挙区01</t>
  </si>
  <si>
    <t>218兵庫県第8選挙区03</t>
  </si>
  <si>
    <t>218兵庫県第8選挙区04</t>
  </si>
  <si>
    <t>北川　れん子</t>
  </si>
  <si>
    <t>219兵庫県第9選挙区04</t>
  </si>
  <si>
    <t>(自江)</t>
  </si>
  <si>
    <t>219兵庫県第9選挙区01</t>
  </si>
  <si>
    <t>219兵庫県第9選挙区02</t>
  </si>
  <si>
    <t>219兵庫県第9選挙区03</t>
  </si>
  <si>
    <t>筧　直樹</t>
  </si>
  <si>
    <t>220兵庫県第10選挙区01</t>
  </si>
  <si>
    <t>220兵庫県第10選挙区02</t>
  </si>
  <si>
    <t>220兵庫県第10選挙区03</t>
  </si>
  <si>
    <t>221兵庫県第11選挙区02</t>
  </si>
  <si>
    <t>221兵庫県第11選挙区01</t>
  </si>
  <si>
    <t>221兵庫県第11選挙区03</t>
  </si>
  <si>
    <t>222兵庫県第12選挙区01</t>
  </si>
  <si>
    <t>222兵庫県第12選挙区03</t>
  </si>
  <si>
    <t>222兵庫県第12選挙区02</t>
  </si>
  <si>
    <t>223奈良県第1選挙区02</t>
  </si>
  <si>
    <t>223奈良県第1選挙区01</t>
  </si>
  <si>
    <t>223奈良県第1選挙区03</t>
  </si>
  <si>
    <t>佐藤　真理</t>
  </si>
  <si>
    <t>224奈良県第2選挙区02</t>
  </si>
  <si>
    <t>224奈良県第2選挙区01</t>
  </si>
  <si>
    <t>224奈良県第2選挙区03</t>
  </si>
  <si>
    <t>宮本　次郎</t>
  </si>
  <si>
    <t>225奈良県第3選挙区01</t>
  </si>
  <si>
    <t>225奈良県第3選挙区02</t>
  </si>
  <si>
    <t>福岡　ともみ</t>
  </si>
  <si>
    <t>225奈良県第3選挙区04</t>
  </si>
  <si>
    <t>225奈良県第3選挙区03</t>
  </si>
  <si>
    <t>226奈良県第4選挙区01</t>
  </si>
  <si>
    <t>226奈良県第4選挙区02</t>
  </si>
  <si>
    <t>山本　直子</t>
  </si>
  <si>
    <t>226奈良県第4選挙区03</t>
  </si>
  <si>
    <t>一瀬　則保</t>
  </si>
  <si>
    <t>227和歌山県第1選挙区01</t>
  </si>
  <si>
    <t>227和歌山県第1選挙区02</t>
  </si>
  <si>
    <t>228和歌山県第2選挙区01</t>
  </si>
  <si>
    <t>228和歌山県第2選挙区02</t>
  </si>
  <si>
    <t>228和歌山県第2選挙区03</t>
  </si>
  <si>
    <t>古倉　伸二</t>
  </si>
  <si>
    <t>229和歌山県第3選挙区02</t>
  </si>
  <si>
    <t>229和歌山県第3選挙区01</t>
  </si>
  <si>
    <t>230鳥取県第1選挙区01</t>
  </si>
  <si>
    <t>230鳥取県第1選挙区03</t>
  </si>
  <si>
    <t>230鳥取県第1選挙区02</t>
  </si>
  <si>
    <t>水津　岩男</t>
  </si>
  <si>
    <t>231鳥取県第2選挙区04</t>
  </si>
  <si>
    <t>231鳥取県第2選挙区02</t>
  </si>
  <si>
    <t>231鳥取県第2選挙区01</t>
  </si>
  <si>
    <t>相沢　英之</t>
  </si>
  <si>
    <t>231鳥取県第2選挙区03</t>
  </si>
  <si>
    <t>大谷　輝子</t>
  </si>
  <si>
    <t>232島根県第1選挙区01</t>
  </si>
  <si>
    <t>232島根県第1選挙区02</t>
  </si>
  <si>
    <t>濱口　和久</t>
  </si>
  <si>
    <t>232島根県第1選挙区03</t>
  </si>
  <si>
    <t>233島根県第2選挙区01</t>
  </si>
  <si>
    <t>233島根県第2選挙区02</t>
  </si>
  <si>
    <t>石田　良三</t>
  </si>
  <si>
    <t>233島根県第2選挙区04</t>
  </si>
  <si>
    <t>出島　千鶴子</t>
  </si>
  <si>
    <t>233島根県第2選挙区03</t>
  </si>
  <si>
    <t>234岡山県第1選挙区01</t>
  </si>
  <si>
    <t>234岡山県第1選挙区02</t>
  </si>
  <si>
    <t>234岡山県第1選挙区03</t>
  </si>
  <si>
    <t>235岡山県第2選挙区01</t>
  </si>
  <si>
    <t>235岡山県第2選挙区02</t>
  </si>
  <si>
    <t>235岡山県第2選挙区03</t>
  </si>
  <si>
    <t>236岡山県第3選挙区01</t>
  </si>
  <si>
    <t>236岡山県第3選挙区02</t>
  </si>
  <si>
    <t>236岡山県第3選挙区03</t>
  </si>
  <si>
    <t>美見　芳明</t>
  </si>
  <si>
    <t>237岡山県第4選挙区01</t>
  </si>
  <si>
    <t>橋本　龍太郎</t>
  </si>
  <si>
    <t>237岡山県第4選挙区02</t>
  </si>
  <si>
    <t>237岡山県第4選挙区03</t>
  </si>
  <si>
    <t>238岡山県第5選挙区01</t>
  </si>
  <si>
    <t>238岡山県第5選挙区02</t>
  </si>
  <si>
    <t>秦　知子</t>
  </si>
  <si>
    <t>238岡山県第5選挙区03</t>
  </si>
  <si>
    <t>木阪　清</t>
  </si>
  <si>
    <t>239広島県第1選挙区01</t>
  </si>
  <si>
    <t>239広島県第1選挙区02</t>
  </si>
  <si>
    <t>239広島県第1選挙区03</t>
  </si>
  <si>
    <t>次石　曜子</t>
  </si>
  <si>
    <t>240広島県第2選挙区02</t>
  </si>
  <si>
    <t>240広島県第2選挙区04</t>
  </si>
  <si>
    <t>240広島県第2選挙区01</t>
  </si>
  <si>
    <t>桧田　仁</t>
  </si>
  <si>
    <t>240広島県第2選挙区05</t>
  </si>
  <si>
    <t>沖　茂</t>
  </si>
  <si>
    <t>240広島県第2選挙区03</t>
  </si>
  <si>
    <t>大越　和郎</t>
  </si>
  <si>
    <t>241広島県第3選挙区01</t>
  </si>
  <si>
    <t>241広島県第3選挙区03</t>
  </si>
  <si>
    <t>241広島県第3選挙区02</t>
  </si>
  <si>
    <t>242広島県第4選挙区01</t>
  </si>
  <si>
    <t>242広島県第4選挙区02</t>
  </si>
  <si>
    <t>242広島県第4選挙区04</t>
  </si>
  <si>
    <t>242広島県第4選挙区03</t>
  </si>
  <si>
    <t>242広島県第4選挙区05</t>
  </si>
  <si>
    <t>堀間　禎子</t>
  </si>
  <si>
    <t>243広島県第5選挙区01</t>
  </si>
  <si>
    <t>池田　行彦</t>
  </si>
  <si>
    <t>243広島県第5選挙区02</t>
  </si>
  <si>
    <t>佐々木　修一</t>
  </si>
  <si>
    <t>243広島県第5選挙区05</t>
  </si>
  <si>
    <t>243広島県第5選挙区04</t>
  </si>
  <si>
    <t>山本　敏明</t>
  </si>
  <si>
    <t>243広島県第5選挙区03</t>
  </si>
  <si>
    <t>松本　進</t>
  </si>
  <si>
    <t>244広島県第6選挙区01</t>
  </si>
  <si>
    <t>244広島県第6選挙区02</t>
  </si>
  <si>
    <t>244広島県第6選挙区03</t>
  </si>
  <si>
    <t>寺田　明充</t>
  </si>
  <si>
    <t>245広島県第7選挙区01</t>
  </si>
  <si>
    <t>245広島県第7選挙区02</t>
  </si>
  <si>
    <t>245広島県第7選挙区04</t>
  </si>
  <si>
    <t>山田　敏雅</t>
  </si>
  <si>
    <t>245広島県第7選挙区03</t>
  </si>
  <si>
    <t>246山口県第1選挙区01</t>
  </si>
  <si>
    <t>246山口県第1選挙区02</t>
  </si>
  <si>
    <t>246山口県第1選挙区03</t>
  </si>
  <si>
    <t>魚永　智行</t>
  </si>
  <si>
    <t>247山口県第2選挙区02</t>
  </si>
  <si>
    <t>247山口県第2選挙区01</t>
  </si>
  <si>
    <t>佐藤　信二</t>
  </si>
  <si>
    <t>247山口県第2選挙区03</t>
  </si>
  <si>
    <t>248山口県第3選挙区01</t>
  </si>
  <si>
    <t>248山口県第3選挙区02</t>
  </si>
  <si>
    <t>岩本　晋</t>
  </si>
  <si>
    <t>248山口県第3選挙区03</t>
  </si>
  <si>
    <t>田中　照久</t>
  </si>
  <si>
    <t>249山口県第4選挙区01</t>
  </si>
  <si>
    <t>249山口県第4選挙区03</t>
  </si>
  <si>
    <t>249山口県第4選挙区02</t>
  </si>
  <si>
    <t>池之上　博</t>
  </si>
  <si>
    <t>250徳島県第1選挙区02</t>
  </si>
  <si>
    <t>250徳島県第1選挙区01</t>
  </si>
  <si>
    <t>250徳島県第1選挙区03</t>
  </si>
  <si>
    <t>251徳島県第2選挙区01</t>
  </si>
  <si>
    <t>251徳島県第2選挙区02</t>
  </si>
  <si>
    <t>251徳島県第2選挙区03</t>
  </si>
  <si>
    <t>藤田　均</t>
  </si>
  <si>
    <t>252徳島県第3選挙区01</t>
  </si>
  <si>
    <t>252徳島県第3選挙区02</t>
  </si>
  <si>
    <t>252徳島県第3選挙区03</t>
  </si>
  <si>
    <t>久保　孝之</t>
  </si>
  <si>
    <t>253香川県第1選挙区01</t>
  </si>
  <si>
    <t>253香川県第1選挙区02</t>
  </si>
  <si>
    <t>253香川県第1選挙区04</t>
  </si>
  <si>
    <t>加藤　繁秋</t>
  </si>
  <si>
    <t>253香川県第1選挙区03</t>
  </si>
  <si>
    <t>石川　明克</t>
  </si>
  <si>
    <t>253香川県第1選挙区05</t>
  </si>
  <si>
    <t>大西　賢治</t>
  </si>
  <si>
    <t>254香川県第2選挙区01</t>
  </si>
  <si>
    <t>254香川県第2選挙区02</t>
  </si>
  <si>
    <t>真鍋　光広</t>
  </si>
  <si>
    <t>254香川県第2選挙区03</t>
  </si>
  <si>
    <t>255香川県第3選挙区01</t>
  </si>
  <si>
    <t>255香川県第3選挙区04</t>
  </si>
  <si>
    <t>255香川県第3選挙区02</t>
  </si>
  <si>
    <t>山元　統莉</t>
  </si>
  <si>
    <t>255香川県第3選挙区03</t>
  </si>
  <si>
    <t>256愛媛県第1選挙区01</t>
  </si>
  <si>
    <t>256愛媛県第1選挙区02</t>
  </si>
  <si>
    <t>256愛媛県第1選挙区03</t>
  </si>
  <si>
    <t>林　紀子</t>
  </si>
  <si>
    <t>256愛媛県第1選挙区04</t>
  </si>
  <si>
    <t>永和　淑子</t>
  </si>
  <si>
    <t>256愛媛県第1選挙区05</t>
  </si>
  <si>
    <t>257愛媛県第2選挙区01</t>
  </si>
  <si>
    <t>257愛媛県第2選挙区02</t>
  </si>
  <si>
    <t>斉藤　政光</t>
  </si>
  <si>
    <t>257愛媛県第2選挙区04</t>
  </si>
  <si>
    <t>梅崎　雪男</t>
  </si>
  <si>
    <t>257愛媛県第2選挙区03</t>
  </si>
  <si>
    <t>258愛媛県第3選挙区01</t>
  </si>
  <si>
    <t>258愛媛県第3選挙区02</t>
  </si>
  <si>
    <t>258愛媛県第3選挙区04</t>
  </si>
  <si>
    <t>258愛媛県第3選挙区03</t>
  </si>
  <si>
    <t>258愛媛県第3選挙区05</t>
  </si>
  <si>
    <t>藤原　敏隆</t>
  </si>
  <si>
    <t>259愛媛県第4選挙区01</t>
  </si>
  <si>
    <t>259愛媛県第4選挙区02</t>
  </si>
  <si>
    <t>259愛媛県第4選挙区03</t>
  </si>
  <si>
    <t>徳内　厚美</t>
  </si>
  <si>
    <t>260高知県第1選挙区01</t>
  </si>
  <si>
    <t>260高知県第1選挙区02</t>
  </si>
  <si>
    <t>260高知県第1選挙区03</t>
  </si>
  <si>
    <t>梶原　守光</t>
  </si>
  <si>
    <t>260高知県第1選挙区04</t>
  </si>
  <si>
    <t>田井　肇</t>
  </si>
  <si>
    <t>261高知県第2選挙区01</t>
  </si>
  <si>
    <t>261高知県第2選挙区02</t>
  </si>
  <si>
    <t>261高知県第2選挙区03</t>
  </si>
  <si>
    <t>262高知県第3選挙区01</t>
  </si>
  <si>
    <t>262高知県第3選挙区02</t>
  </si>
  <si>
    <t>川添　義明</t>
  </si>
  <si>
    <t>262高知県第3選挙区03</t>
  </si>
  <si>
    <t>263福岡県第1選挙区02</t>
  </si>
  <si>
    <t>263福岡県第1選挙区01</t>
  </si>
  <si>
    <t>富永　泰輔</t>
  </si>
  <si>
    <t>263福岡県第1選挙区03</t>
  </si>
  <si>
    <t>大嶋　久代</t>
  </si>
  <si>
    <t>263福岡県第1選挙区05</t>
  </si>
  <si>
    <t>263福岡県第1選挙区04</t>
  </si>
  <si>
    <t>高柳　育子</t>
  </si>
  <si>
    <t>264福岡県第2選挙区02</t>
  </si>
  <si>
    <t>古賀　潤一郎</t>
  </si>
  <si>
    <t>264福岡県第2選挙区01</t>
  </si>
  <si>
    <t>264福岡県第2選挙区03</t>
  </si>
  <si>
    <t>行徳　収司</t>
  </si>
  <si>
    <t>265福岡県第3選挙区02</t>
  </si>
  <si>
    <t>265福岡県第3選挙区01</t>
  </si>
  <si>
    <t>265福岡県第3選挙区03</t>
  </si>
  <si>
    <t>266福岡県第4選挙区01</t>
  </si>
  <si>
    <t>266福岡県第4選挙区02</t>
  </si>
  <si>
    <t>266福岡県第4選挙区03</t>
  </si>
  <si>
    <t>267福岡県第5選挙区01</t>
  </si>
  <si>
    <t>267福岡県第5選挙区02</t>
  </si>
  <si>
    <t>267福岡県第5選挙区04</t>
  </si>
  <si>
    <t>松崎　百合子</t>
  </si>
  <si>
    <t>267福岡県第5選挙区03</t>
  </si>
  <si>
    <t>268福岡県第6選挙区02</t>
  </si>
  <si>
    <t>268福岡県第6選挙区01</t>
  </si>
  <si>
    <t>荒巻　隆三</t>
  </si>
  <si>
    <t>268福岡県第6選挙区03</t>
  </si>
  <si>
    <t>269福岡県第7選挙区01</t>
  </si>
  <si>
    <t>269福岡県第7選挙区03</t>
  </si>
  <si>
    <t>馬場　恵美子</t>
  </si>
  <si>
    <t>民み</t>
  </si>
  <si>
    <t>269福岡県第7選挙区02</t>
  </si>
  <si>
    <t>270福岡県第8選挙区01</t>
  </si>
  <si>
    <t>270福岡県第8選挙区02</t>
  </si>
  <si>
    <t>270福岡県第8選挙区03</t>
  </si>
  <si>
    <t>271福岡県第9選挙区02</t>
  </si>
  <si>
    <t>271福岡県第9選挙区01</t>
  </si>
  <si>
    <t>271福岡県第9選挙区03</t>
  </si>
  <si>
    <t>井上　真吾</t>
  </si>
  <si>
    <t>272福岡県第10選挙区01</t>
  </si>
  <si>
    <t>272福岡県第10選挙区02</t>
  </si>
  <si>
    <t>272福岡県第10選挙区03</t>
  </si>
  <si>
    <t>仁比　聰平</t>
  </si>
  <si>
    <t>273福岡県第11選挙区04</t>
  </si>
  <si>
    <t>273福岡県第11選挙区01</t>
  </si>
  <si>
    <t>273福岡県第11選挙区03</t>
  </si>
  <si>
    <t>手嶋　秀昭</t>
  </si>
  <si>
    <t>273福岡県第11選挙区02</t>
  </si>
  <si>
    <t>274佐賀県第1選挙区02</t>
  </si>
  <si>
    <t>274佐賀県第1選挙区01</t>
  </si>
  <si>
    <t>274佐賀県第1選挙区04</t>
  </si>
  <si>
    <t>柴田　久寛</t>
  </si>
  <si>
    <t>274佐賀県第1選挙区03</t>
  </si>
  <si>
    <t>上村　泰稔</t>
  </si>
  <si>
    <t>275佐賀県第2選挙区01</t>
  </si>
  <si>
    <t>275佐賀県第2選挙区02</t>
  </si>
  <si>
    <t>諸田　稔</t>
  </si>
  <si>
    <t>276佐賀県第3選挙区01</t>
  </si>
  <si>
    <t>276佐賀県第3選挙区02</t>
  </si>
  <si>
    <t>藤沢　裕美</t>
  </si>
  <si>
    <t>276佐賀県第3選挙区03</t>
  </si>
  <si>
    <t>宮崎　正人</t>
  </si>
  <si>
    <t>277長崎県第1選挙区02</t>
  </si>
  <si>
    <t>高木　義明</t>
  </si>
  <si>
    <t>277長崎県第1選挙区01</t>
  </si>
  <si>
    <t>倉成　正和</t>
  </si>
  <si>
    <t>277長崎県第1選挙区03</t>
  </si>
  <si>
    <t>278長崎県第2選挙区01</t>
  </si>
  <si>
    <t>278長崎県第2選挙区03</t>
  </si>
  <si>
    <t>熊江　雅子</t>
  </si>
  <si>
    <t>278長崎県第2選挙区02</t>
  </si>
  <si>
    <t>石丸　完治</t>
  </si>
  <si>
    <t>279長崎県第3選挙区01</t>
  </si>
  <si>
    <t>279長崎県第3選挙区02</t>
  </si>
  <si>
    <t>279長崎県第3選挙区03</t>
  </si>
  <si>
    <t>寺田　敏之</t>
  </si>
  <si>
    <t>280長崎県第4選挙区01</t>
  </si>
  <si>
    <t>280長崎県第4選挙区03</t>
  </si>
  <si>
    <t>280長崎県第4選挙区02</t>
  </si>
  <si>
    <t>中尾　武憲</t>
  </si>
  <si>
    <t>281熊本県第1選挙区02</t>
  </si>
  <si>
    <t>281熊本県第1選挙区01</t>
  </si>
  <si>
    <t>岩下　榮一</t>
  </si>
  <si>
    <t>281熊本県第1選挙区03</t>
  </si>
  <si>
    <t>西川　悦子</t>
  </si>
  <si>
    <t>282熊本県第2選挙区01</t>
  </si>
  <si>
    <t>林田　彪</t>
  </si>
  <si>
    <t>282熊本県第2選挙区02</t>
  </si>
  <si>
    <t>282熊本県第2選挙区03</t>
  </si>
  <si>
    <t>前田　正治</t>
  </si>
  <si>
    <t>283熊本県第3選挙区04</t>
  </si>
  <si>
    <t>283熊本県第3選挙区01</t>
  </si>
  <si>
    <t>283熊本県第3選挙区02</t>
  </si>
  <si>
    <t>池崎　一郎</t>
  </si>
  <si>
    <t>283熊本県第3選挙区03</t>
  </si>
  <si>
    <t>福山　紘史</t>
  </si>
  <si>
    <t>284熊本県第4選挙区01</t>
  </si>
  <si>
    <t>284熊本県第4選挙区03</t>
  </si>
  <si>
    <t>森川　生朗</t>
  </si>
  <si>
    <t>284熊本県第4選挙区02</t>
  </si>
  <si>
    <t>井芹　しま子</t>
  </si>
  <si>
    <t>285熊本県第5選挙区01</t>
  </si>
  <si>
    <t>285熊本県第5選挙区02</t>
  </si>
  <si>
    <t>285熊本県第5選挙区03</t>
  </si>
  <si>
    <t>川上　紗智子</t>
  </si>
  <si>
    <t>286大分県第1選挙区03</t>
  </si>
  <si>
    <t>民(社)</t>
  </si>
  <si>
    <t>286大分県第1選挙区01</t>
  </si>
  <si>
    <t>286大分県第1選挙区02</t>
  </si>
  <si>
    <t>堤　栄三</t>
  </si>
  <si>
    <t>286大分県第1選挙区04</t>
  </si>
  <si>
    <t>染谷　誠治</t>
  </si>
  <si>
    <t>287大分県第2選挙区01</t>
  </si>
  <si>
    <t>287大分県第2選挙区03</t>
  </si>
  <si>
    <t>287大分県第2選挙区02</t>
  </si>
  <si>
    <t>小野　勝</t>
  </si>
  <si>
    <t>288大分県第3選挙区01</t>
  </si>
  <si>
    <t>288大分県第3選挙区03</t>
  </si>
  <si>
    <t>288大分県第3選挙区02</t>
  </si>
  <si>
    <t>小川　勉</t>
  </si>
  <si>
    <t>289宮崎県第1選挙区01</t>
  </si>
  <si>
    <t>289宮崎県第1選挙区02</t>
  </si>
  <si>
    <t>289宮崎県第1選挙区04</t>
  </si>
  <si>
    <t>小城　正克</t>
  </si>
  <si>
    <t>289宮崎県第1選挙区03</t>
  </si>
  <si>
    <t>野田　章夫</t>
  </si>
  <si>
    <t>290宮崎県第2選挙区03</t>
  </si>
  <si>
    <t>290宮崎県第2選挙区04</t>
  </si>
  <si>
    <t>290宮崎県第2選挙区01</t>
  </si>
  <si>
    <t>土井　裕子</t>
  </si>
  <si>
    <t>290宮崎県第2選挙区02</t>
  </si>
  <si>
    <t>内山　定雄</t>
  </si>
  <si>
    <t>291宮崎県第3選挙区03</t>
  </si>
  <si>
    <t>291宮崎県第3選挙区02</t>
  </si>
  <si>
    <t>291宮崎県第3選挙区01</t>
  </si>
  <si>
    <t>井福　美年</t>
  </si>
  <si>
    <t>292鹿児島県第1選挙区01</t>
  </si>
  <si>
    <t>292鹿児島県第1選挙区02</t>
  </si>
  <si>
    <t>292鹿児島県第1選挙区03</t>
  </si>
  <si>
    <t>山口　陽規</t>
  </si>
  <si>
    <t>293鹿児島県第2選挙区03</t>
  </si>
  <si>
    <t>徳田　虎雄</t>
  </si>
  <si>
    <t>０８自連合</t>
  </si>
  <si>
    <t>293鹿児島県第2選挙区01</t>
  </si>
  <si>
    <t>293鹿児島県第2選挙区02</t>
  </si>
  <si>
    <t>堀　拓生</t>
  </si>
  <si>
    <t>294鹿児島県第3選挙区01</t>
  </si>
  <si>
    <t>294鹿児島県第3選挙区02</t>
  </si>
  <si>
    <t>大園　勝司</t>
  </si>
  <si>
    <t>294鹿児島県第3選挙区03</t>
  </si>
  <si>
    <t>村山　智</t>
  </si>
  <si>
    <t>295鹿児島県第4選挙区01</t>
  </si>
  <si>
    <t>小里　貞利</t>
  </si>
  <si>
    <t>295鹿児島県第4選挙区03</t>
  </si>
  <si>
    <t>295鹿児島県第4選挙区02</t>
  </si>
  <si>
    <t>川浪　隆幸</t>
  </si>
  <si>
    <t>296鹿児島県第5選挙区01</t>
  </si>
  <si>
    <t>山中　貞則</t>
  </si>
  <si>
    <t>296鹿児島県第5選挙区03</t>
  </si>
  <si>
    <t>296鹿児島県第5選挙区02</t>
  </si>
  <si>
    <t>茅野　博</t>
  </si>
  <si>
    <t>297沖縄県第1選挙区02</t>
  </si>
  <si>
    <t>297沖縄県第1選挙区04</t>
  </si>
  <si>
    <t>297沖縄県第1選挙区01</t>
  </si>
  <si>
    <t>社大</t>
  </si>
  <si>
    <t>297沖縄県第1選挙区03</t>
  </si>
  <si>
    <t>298沖縄県第2選挙区03</t>
  </si>
  <si>
    <t>民大</t>
  </si>
  <si>
    <t>298沖縄県第2選挙区01</t>
  </si>
  <si>
    <t>上原　吉二</t>
  </si>
  <si>
    <t>298沖縄県第2選挙区02</t>
  </si>
  <si>
    <t>前宮　徳男</t>
  </si>
  <si>
    <t>298沖縄県第2選挙区04</t>
  </si>
  <si>
    <t>金城　邦男</t>
  </si>
  <si>
    <t>299沖縄県第3選挙区01</t>
  </si>
  <si>
    <t>299沖縄県第3選挙区03</t>
  </si>
  <si>
    <t>299沖縄県第3選挙区04</t>
  </si>
  <si>
    <t>299沖縄県第3選挙区02</t>
  </si>
  <si>
    <t>300沖縄県第4選挙区01</t>
  </si>
  <si>
    <t>300沖縄県第4選挙区02</t>
  </si>
  <si>
    <t>社(大)</t>
  </si>
  <si>
    <t>300沖縄県第4選挙区03</t>
  </si>
  <si>
    <t>宮里　武志</t>
  </si>
  <si>
    <t>選挙区・整理番号</t>
    <rPh sb="0" eb="3">
      <t>センキョク</t>
    </rPh>
    <rPh sb="4" eb="6">
      <t>セイリ</t>
    </rPh>
    <rPh sb="6" eb="8">
      <t>バンゴウ</t>
    </rPh>
    <phoneticPr fontId="1"/>
  </si>
  <si>
    <t>当落</t>
    <rPh sb="0" eb="2">
      <t>トウラク</t>
    </rPh>
    <phoneticPr fontId="1"/>
  </si>
  <si>
    <t>順位</t>
    <rPh sb="0" eb="2">
      <t>ジュンイ</t>
    </rPh>
    <phoneticPr fontId="1"/>
  </si>
  <si>
    <t>所属党派</t>
    <rPh sb="0" eb="2">
      <t>ショゾク</t>
    </rPh>
    <rPh sb="2" eb="4">
      <t>トウハ</t>
    </rPh>
    <phoneticPr fontId="1"/>
  </si>
  <si>
    <t>回数</t>
    <rPh sb="0" eb="2">
      <t>カイスウ</t>
    </rPh>
    <phoneticPr fontId="1"/>
  </si>
  <si>
    <t>獲得議席数</t>
    <rPh sb="0" eb="2">
      <t>カクトク</t>
    </rPh>
    <rPh sb="2" eb="5">
      <t>ギセキスウ</t>
    </rPh>
    <phoneticPr fontId="1"/>
  </si>
  <si>
    <t>獲得票割合</t>
    <rPh sb="0" eb="2">
      <t>カクトク</t>
    </rPh>
    <rPh sb="2" eb="3">
      <t>ヒョウ</t>
    </rPh>
    <rPh sb="3" eb="5">
      <t>ワリアイ</t>
    </rPh>
    <phoneticPr fontId="1"/>
  </si>
  <si>
    <t>小当</t>
    <rPh sb="0" eb="1">
      <t>ショウ</t>
    </rPh>
    <rPh sb="1" eb="2">
      <t>トウ</t>
    </rPh>
    <phoneticPr fontId="1"/>
  </si>
  <si>
    <t>各政党の獲得議席数(比例区)</t>
    <rPh sb="0" eb="3">
      <t>カクセイトウ</t>
    </rPh>
    <rPh sb="4" eb="6">
      <t>カクトク</t>
    </rPh>
    <rPh sb="6" eb="9">
      <t>ギセキスウ</t>
    </rPh>
    <rPh sb="10" eb="13">
      <t>ヒレイク</t>
    </rPh>
    <phoneticPr fontId="1"/>
  </si>
  <si>
    <t>残り</t>
    <rPh sb="0" eb="1">
      <t>ノコ</t>
    </rPh>
    <phoneticPr fontId="1"/>
  </si>
  <si>
    <t>301比例北海道　自民01</t>
  </si>
  <si>
    <t>K</t>
  </si>
  <si>
    <t>301比例北海道　自民04</t>
  </si>
  <si>
    <t>01北海03</t>
  </si>
  <si>
    <t>301比例北海道　自民11</t>
  </si>
  <si>
    <t>01北海10</t>
  </si>
  <si>
    <t>301比例北海道　自民10</t>
  </si>
  <si>
    <t>01北海09</t>
  </si>
  <si>
    <t>301比例北海道　自民05</t>
  </si>
  <si>
    <t>01北海04</t>
  </si>
  <si>
    <t>301比例北海道　自民03</t>
  </si>
  <si>
    <t>01北海02</t>
  </si>
  <si>
    <t>301比例北海道　自民09</t>
  </si>
  <si>
    <t>01北海08</t>
  </si>
  <si>
    <t>301比例北海道　自民02</t>
  </si>
  <si>
    <t>01北海01</t>
  </si>
  <si>
    <t>301比例北海道　自民14</t>
  </si>
  <si>
    <t>藤井　利範</t>
  </si>
  <si>
    <t>301比例北海道　自民15</t>
  </si>
  <si>
    <t>八重樫　登</t>
  </si>
  <si>
    <t>301比例北海道　自民06</t>
  </si>
  <si>
    <t>01北海05</t>
  </si>
  <si>
    <t>301比例北海道　自民07</t>
  </si>
  <si>
    <t>01北海06</t>
  </si>
  <si>
    <t>301比例北海道　自民08</t>
  </si>
  <si>
    <t>01北海07</t>
  </si>
  <si>
    <t>301比例北海道　自民12</t>
  </si>
  <si>
    <t>01北海11</t>
  </si>
  <si>
    <t>301比例北海道　自民13</t>
  </si>
  <si>
    <t>01北海12</t>
  </si>
  <si>
    <t>302比例北海道　民主06</t>
  </si>
  <si>
    <t>302比例北海道　民主05</t>
  </si>
  <si>
    <t>302比例北海道　民主07</t>
  </si>
  <si>
    <t>302比例北海道　民主11</t>
  </si>
  <si>
    <t>302比例北海道　民主12</t>
  </si>
  <si>
    <t>木本　由孝</t>
  </si>
  <si>
    <t>302比例北海道　民主13</t>
  </si>
  <si>
    <t>廣田　まゆみ</t>
  </si>
  <si>
    <t>302比例北海道　民主14</t>
  </si>
  <si>
    <t>中村　剛</t>
  </si>
  <si>
    <t>302比例北海道　民主15</t>
  </si>
  <si>
    <t>林　かづき</t>
  </si>
  <si>
    <t>302比例北海道　民主01</t>
  </si>
  <si>
    <t>302比例北海道　民主02</t>
  </si>
  <si>
    <t>302比例北海道　民主03</t>
  </si>
  <si>
    <t>302比例北海道　民主04</t>
  </si>
  <si>
    <t>302比例北海道　民主08</t>
  </si>
  <si>
    <t>302比例北海道　民主09</t>
  </si>
  <si>
    <t>302比例北海道　民主10</t>
  </si>
  <si>
    <t>303比例北海道　公明01</t>
  </si>
  <si>
    <t>丸谷　佳織</t>
  </si>
  <si>
    <t>303比例北海道　公明02</t>
  </si>
  <si>
    <t>包国　嘉介</t>
  </si>
  <si>
    <t>304比例北海道　共産01</t>
  </si>
  <si>
    <t>児玉　健次</t>
  </si>
  <si>
    <t>304比例北海道　共産03</t>
  </si>
  <si>
    <t>304比例北海道　共産02</t>
  </si>
  <si>
    <t>305比例北海道　社民01</t>
  </si>
  <si>
    <t>305比例北海道　社民02</t>
  </si>
  <si>
    <t>島田　俊明</t>
  </si>
  <si>
    <t>311比例東北　自民01</t>
  </si>
  <si>
    <t>311比例東北　自民02</t>
  </si>
  <si>
    <t>311比例東北　自民03</t>
  </si>
  <si>
    <t>萩野　浩基</t>
  </si>
  <si>
    <t>311比例東北　自民04</t>
  </si>
  <si>
    <t>311比例東北　自民05</t>
  </si>
  <si>
    <t>311比例東北　自民12</t>
  </si>
  <si>
    <t>311比例東北　自民15</t>
  </si>
  <si>
    <t>311比例東北　自民17</t>
  </si>
  <si>
    <t>311比例東北　自民22</t>
  </si>
  <si>
    <t>13江亀</t>
  </si>
  <si>
    <t>311比例東北　自民10</t>
  </si>
  <si>
    <t>311比例東北　自民23</t>
  </si>
  <si>
    <t>17加藤</t>
  </si>
  <si>
    <t>311比例東北　自民11</t>
  </si>
  <si>
    <t>311比例東北　自民08</t>
  </si>
  <si>
    <t>311比例東北　自民25</t>
  </si>
  <si>
    <t>近藤　悦夫</t>
  </si>
  <si>
    <t>311比例東北　自民06</t>
  </si>
  <si>
    <t>311比例東北　自民07</t>
  </si>
  <si>
    <t>311比例東北　自民09</t>
  </si>
  <si>
    <t>311比例東北　自民13</t>
  </si>
  <si>
    <t>311比例東北　自民14</t>
  </si>
  <si>
    <t>311比例東北　自民16</t>
  </si>
  <si>
    <t>311比例東北　自民18</t>
  </si>
  <si>
    <t>311比例東北　自民19</t>
  </si>
  <si>
    <t>311比例東北　自民20</t>
  </si>
  <si>
    <t>311比例東北　自民21</t>
  </si>
  <si>
    <t>311比例東北　自民24</t>
  </si>
  <si>
    <t>312比例東北　民主09</t>
  </si>
  <si>
    <t>312比例東北　民主19</t>
  </si>
  <si>
    <t>312比例東北　民主16</t>
  </si>
  <si>
    <t>312比例東北　民主21</t>
  </si>
  <si>
    <t>312比例東北　民主15</t>
  </si>
  <si>
    <t>312比例東北　民主02</t>
  </si>
  <si>
    <t>312比例東北　民主18</t>
  </si>
  <si>
    <t>312比例東北　民主12</t>
  </si>
  <si>
    <t>312比例東北　民主05</t>
  </si>
  <si>
    <t>312比例東北　民主17</t>
  </si>
  <si>
    <t>312比例東北　民主10</t>
  </si>
  <si>
    <t>312比例東北　民主14</t>
  </si>
  <si>
    <t>312比例東北　民主03</t>
  </si>
  <si>
    <t>312比例東北　民主01</t>
  </si>
  <si>
    <t>312比例東北　民主04</t>
  </si>
  <si>
    <t>312比例東北　民主06</t>
  </si>
  <si>
    <t>312比例東北　民主07</t>
  </si>
  <si>
    <t>312比例東北　民主08</t>
  </si>
  <si>
    <t>312比例東北　民主11</t>
  </si>
  <si>
    <t>312比例東北　民主13</t>
  </si>
  <si>
    <t>312比例東北　民主20</t>
  </si>
  <si>
    <t>313比例東北　公明01</t>
  </si>
  <si>
    <t>313比例東北　公明02</t>
  </si>
  <si>
    <t>井上　龍雄</t>
  </si>
  <si>
    <t>313比例東北　公明03</t>
  </si>
  <si>
    <t>間山　治子</t>
  </si>
  <si>
    <t>314比例東北　共産01</t>
  </si>
  <si>
    <t>314比例東北　共産03</t>
  </si>
  <si>
    <t>佐藤　秀樹</t>
  </si>
  <si>
    <t>314比例東北　共産02</t>
  </si>
  <si>
    <t>315比例東北　社民08</t>
  </si>
  <si>
    <t>315比例東北　社民02</t>
  </si>
  <si>
    <t>315比例東北　社民07</t>
  </si>
  <si>
    <t>315比例東北　社民05</t>
  </si>
  <si>
    <t>315比例東北　社民01</t>
  </si>
  <si>
    <t>315比例東北　社民04</t>
  </si>
  <si>
    <t>315比例東北　社民09</t>
  </si>
  <si>
    <t>315比例東北　社民06</t>
  </si>
  <si>
    <t>315比例東北　社民03</t>
  </si>
  <si>
    <t>321比例北関東　自民01</t>
  </si>
  <si>
    <t>321比例北関東　自民02</t>
  </si>
  <si>
    <t>321比例北関東　自民03</t>
  </si>
  <si>
    <t>321比例北関東　自民04</t>
  </si>
  <si>
    <t>321比例北関東　自民05</t>
  </si>
  <si>
    <t>植竹　繁雄</t>
  </si>
  <si>
    <t>321比例北関東　自民22</t>
  </si>
  <si>
    <t>321比例北関東　自民25</t>
  </si>
  <si>
    <t>321比例北関東　自民23</t>
  </si>
  <si>
    <t>321比例北関東　自民21</t>
  </si>
  <si>
    <t>321比例北関東　自民10</t>
  </si>
  <si>
    <t>321比例北関東　自民24</t>
  </si>
  <si>
    <t>321比例北関東　自民32</t>
  </si>
  <si>
    <t>321比例北関東　自民33</t>
  </si>
  <si>
    <t>戸塚　一二</t>
  </si>
  <si>
    <t>321比例北関東　自民34</t>
  </si>
  <si>
    <t>321比例北関東　自民35</t>
  </si>
  <si>
    <t>321比例北関東　自民06</t>
  </si>
  <si>
    <t>321比例北関東　自民07</t>
  </si>
  <si>
    <t>321比例北関東　自民08</t>
  </si>
  <si>
    <t>321比例北関東　自民09</t>
  </si>
  <si>
    <t>321比例北関東　自民11</t>
  </si>
  <si>
    <t>321比例北関東　自民12</t>
  </si>
  <si>
    <t>321比例北関東　自民13</t>
  </si>
  <si>
    <t>321比例北関東　自民14</t>
  </si>
  <si>
    <t>321比例北関東　自民15</t>
  </si>
  <si>
    <t>321比例北関東　自民16</t>
  </si>
  <si>
    <t>321比例北関東　自民17</t>
  </si>
  <si>
    <t>321比例北関東　自民18</t>
  </si>
  <si>
    <t>321比例北関東　自民19</t>
  </si>
  <si>
    <t>321比例北関東　自民20</t>
  </si>
  <si>
    <t>321比例北関東　自民26</t>
  </si>
  <si>
    <t>321比例北関東　自民27</t>
  </si>
  <si>
    <t>321比例北関東　自民28</t>
  </si>
  <si>
    <t>321比例北関東　自民29</t>
  </si>
  <si>
    <t>321比例北関東　自民30</t>
  </si>
  <si>
    <t>321比例北関東　自民31</t>
  </si>
  <si>
    <t>322比例北関東　民主27</t>
  </si>
  <si>
    <t>322比例北関東　民主22</t>
  </si>
  <si>
    <t>322比例北関東　民主23</t>
  </si>
  <si>
    <t>322比例北関東　民主03</t>
  </si>
  <si>
    <t>322比例北関東　民主24</t>
  </si>
  <si>
    <t>322比例北関東　民主28</t>
  </si>
  <si>
    <t>322比例北関東　民主09</t>
  </si>
  <si>
    <t>322比例北関東　民主07</t>
  </si>
  <si>
    <t>322比例北関東　民主26</t>
  </si>
  <si>
    <t>322比例北関東　民主12</t>
  </si>
  <si>
    <t>322比例北関東　民主13</t>
  </si>
  <si>
    <t>322比例北関東　民主08</t>
  </si>
  <si>
    <t>322比例北関東　民主01</t>
  </si>
  <si>
    <t>322比例北関東　民主05</t>
  </si>
  <si>
    <t>322比例北関東　民主11</t>
  </si>
  <si>
    <t>322比例北関東　民主14</t>
  </si>
  <si>
    <t>322比例北関東　民主06</t>
  </si>
  <si>
    <t>322比例北関東　民主02</t>
  </si>
  <si>
    <t>322比例北関東　民主25</t>
  </si>
  <si>
    <t>322比例北関東　民主10</t>
  </si>
  <si>
    <t>322比例北関東　民主04</t>
  </si>
  <si>
    <t>322比例北関東　民主15</t>
  </si>
  <si>
    <t>322比例北関東　民主16</t>
  </si>
  <si>
    <t>322比例北関東　民主17</t>
  </si>
  <si>
    <t>322比例北関東　民主18</t>
  </si>
  <si>
    <t>322比例北関東　民主19</t>
  </si>
  <si>
    <t>322比例北関東　民主20</t>
  </si>
  <si>
    <t>322比例北関東　民主21</t>
  </si>
  <si>
    <t>322比例北関東　民主29</t>
  </si>
  <si>
    <t>323比例北関東　公明01</t>
  </si>
  <si>
    <t>323比例北関東　公明02</t>
  </si>
  <si>
    <t>323比例北関東　公明03</t>
  </si>
  <si>
    <t>323比例北関東　公明04</t>
  </si>
  <si>
    <t>岡本　章</t>
  </si>
  <si>
    <t>324比例北関東　共産01</t>
  </si>
  <si>
    <t>324比例北関東　共産02</t>
  </si>
  <si>
    <t>森原　公敏</t>
  </si>
  <si>
    <t>324比例北関東　共産03</t>
  </si>
  <si>
    <t>324比例北関東　共産04</t>
  </si>
  <si>
    <t>324比例北関東　共産05</t>
  </si>
  <si>
    <t>325比例北関東　社民02</t>
  </si>
  <si>
    <t>325比例北関東　社民01</t>
  </si>
  <si>
    <t>325比例北関東　社民03</t>
  </si>
  <si>
    <t>325比例北関東　社民06</t>
  </si>
  <si>
    <t>325比例北関東　社民04</t>
  </si>
  <si>
    <t>325比例北関東　社民05</t>
  </si>
  <si>
    <t>331比例南関東　自民01</t>
  </si>
  <si>
    <t>中村　正三郎</t>
  </si>
  <si>
    <t>331比例南関東　自民02</t>
  </si>
  <si>
    <t>331比例南関東　自民05</t>
  </si>
  <si>
    <t>331比例南関東　自民25</t>
  </si>
  <si>
    <t>13神奈12</t>
  </si>
  <si>
    <t>331比例南関東　自民21</t>
  </si>
  <si>
    <t>13神奈07</t>
  </si>
  <si>
    <t>331比例南関東　自民10</t>
  </si>
  <si>
    <t>331比例南関東　自民08</t>
  </si>
  <si>
    <t>331比例南関東　自民30</t>
  </si>
  <si>
    <t>13神奈18</t>
  </si>
  <si>
    <t>331比例南関東　自民03</t>
  </si>
  <si>
    <t>331比例南関東　自民09</t>
  </si>
  <si>
    <t>331比例南関東　自民26</t>
  </si>
  <si>
    <t>13神奈14</t>
  </si>
  <si>
    <t>331比例南関東　自民07</t>
  </si>
  <si>
    <t>331比例南関東　自民04</t>
  </si>
  <si>
    <t>331比例南関東　自民19</t>
  </si>
  <si>
    <t>13神奈04</t>
  </si>
  <si>
    <t>331比例南関東　自民20</t>
  </si>
  <si>
    <t>13神奈05</t>
  </si>
  <si>
    <t>331比例南関東　自民23</t>
  </si>
  <si>
    <t>13神奈09</t>
  </si>
  <si>
    <t>331比例南関東　自民31</t>
  </si>
  <si>
    <t>331比例南関東　自民06</t>
  </si>
  <si>
    <t>331比例南関東　自民22</t>
  </si>
  <si>
    <t>13神奈08</t>
  </si>
  <si>
    <t>331比例南関東　自民33</t>
  </si>
  <si>
    <t>鈴木　一誠</t>
  </si>
  <si>
    <t>331比例南関東　自民11</t>
  </si>
  <si>
    <t>331比例南関東　自民12</t>
  </si>
  <si>
    <t>331比例南関東　自民13</t>
  </si>
  <si>
    <t>331比例南関東　自民14</t>
  </si>
  <si>
    <t>331比例南関東　自民15</t>
  </si>
  <si>
    <t>331比例南関東　自民16</t>
  </si>
  <si>
    <t>13神奈01</t>
  </si>
  <si>
    <t>331比例南関東　自民17</t>
  </si>
  <si>
    <t>13神奈02</t>
  </si>
  <si>
    <t>331比例南関東　自民18</t>
  </si>
  <si>
    <t>13神奈03</t>
  </si>
  <si>
    <t>331比例南関東　自民24</t>
  </si>
  <si>
    <t>13神奈10</t>
  </si>
  <si>
    <t>331比例南関東　自民27</t>
  </si>
  <si>
    <t>13神奈15</t>
  </si>
  <si>
    <t>331比例南関東　自民28</t>
  </si>
  <si>
    <t>13神奈16</t>
  </si>
  <si>
    <t>331比例南関東　自民29</t>
  </si>
  <si>
    <t>13神奈17</t>
  </si>
  <si>
    <t>331比例南関東　自民32</t>
  </si>
  <si>
    <t>332比例南関東　民主02</t>
  </si>
  <si>
    <t>332比例南関東　民主20</t>
  </si>
  <si>
    <t>13神奈06</t>
  </si>
  <si>
    <t>332比例南関東　民主14</t>
  </si>
  <si>
    <t>332比例南関東　民主17</t>
  </si>
  <si>
    <t>332比例南関東　民主15</t>
  </si>
  <si>
    <t>332比例南関東　民主11</t>
  </si>
  <si>
    <t>332比例南関東　民主16</t>
  </si>
  <si>
    <t>332比例南関東　民主24</t>
  </si>
  <si>
    <t>332比例南関東　民主13</t>
  </si>
  <si>
    <t>332比例南関東　民主33</t>
  </si>
  <si>
    <t>332比例南関東　民主30</t>
  </si>
  <si>
    <t>332比例南関東　民主27</t>
  </si>
  <si>
    <t>13神奈13</t>
  </si>
  <si>
    <t>332比例南関東　民主31</t>
  </si>
  <si>
    <t>332比例南関東　民主29</t>
  </si>
  <si>
    <t>332比例南関東　民主12</t>
  </si>
  <si>
    <t>332比例南関東　民主25</t>
  </si>
  <si>
    <t>13神奈11</t>
  </si>
  <si>
    <t>332比例南関東　民主01</t>
  </si>
  <si>
    <t>332比例南関東　民主03</t>
  </si>
  <si>
    <t>332比例南関東　民主04</t>
  </si>
  <si>
    <t>332比例南関東　民主05</t>
  </si>
  <si>
    <t>332比例南関東　民主06</t>
  </si>
  <si>
    <t>332比例南関東　民主07</t>
  </si>
  <si>
    <t>332比例南関東　民主08</t>
  </si>
  <si>
    <t>332比例南関東　民主09</t>
  </si>
  <si>
    <t>332比例南関東　民主10</t>
  </si>
  <si>
    <t>332比例南関東　民主18</t>
  </si>
  <si>
    <t>332比例南関東　民主19</t>
  </si>
  <si>
    <t>332比例南関東　民主21</t>
  </si>
  <si>
    <t>332比例南関東　民主22</t>
  </si>
  <si>
    <t>332比例南関東　民主23</t>
  </si>
  <si>
    <t>332比例南関東　民主26</t>
  </si>
  <si>
    <t>332比例南関東　民主28</t>
  </si>
  <si>
    <t>332比例南関東　民主32</t>
  </si>
  <si>
    <t>333比例南関東　公明01</t>
  </si>
  <si>
    <t>河上　覃雄</t>
  </si>
  <si>
    <t>333比例南関東　公明02</t>
  </si>
  <si>
    <t>333比例南関東　公明03</t>
  </si>
  <si>
    <t>333比例南関東　公明04</t>
  </si>
  <si>
    <t>加藤　雅之</t>
  </si>
  <si>
    <t>333比例南関東　公明05</t>
  </si>
  <si>
    <t>吉田　一国</t>
  </si>
  <si>
    <t>333比例南関東　公明06</t>
  </si>
  <si>
    <t>神谷　達彦</t>
  </si>
  <si>
    <t>334比例南関東　共産01</t>
  </si>
  <si>
    <t>334比例南関東　共産02</t>
  </si>
  <si>
    <t>334比例南関東　共産03</t>
  </si>
  <si>
    <t>334比例南関東　共産04</t>
  </si>
  <si>
    <t>浅野　史子</t>
  </si>
  <si>
    <t>334比例南関東　共産05</t>
  </si>
  <si>
    <t>335比例南関東　社民05</t>
  </si>
  <si>
    <t>335比例南関東　社民06</t>
  </si>
  <si>
    <t>335比例南関東　社民04</t>
  </si>
  <si>
    <t>335比例南関東　社民03</t>
  </si>
  <si>
    <t>335比例南関東　社民02</t>
  </si>
  <si>
    <t>335比例南関東　社民07</t>
  </si>
  <si>
    <t>335比例南関東　社民01</t>
  </si>
  <si>
    <t>341比例東京　自民01</t>
  </si>
  <si>
    <t>341比例東京　自民02</t>
  </si>
  <si>
    <t>341比例東京　自民03</t>
  </si>
  <si>
    <t>341比例東京　自民04</t>
  </si>
  <si>
    <t>341比例東京　自民15</t>
  </si>
  <si>
    <t>341比例東京　自民08</t>
  </si>
  <si>
    <t>341比例東京　自民06</t>
  </si>
  <si>
    <t>341比例東京　自民22</t>
  </si>
  <si>
    <t>341比例東京　自民05</t>
  </si>
  <si>
    <t>341比例東京　自民10</t>
  </si>
  <si>
    <t>341比例東京　自民21</t>
  </si>
  <si>
    <t>341比例東京　自民20</t>
  </si>
  <si>
    <t>341比例東京　自民09</t>
  </si>
  <si>
    <t>341比例東京　自民26</t>
  </si>
  <si>
    <t>進藤　勇治</t>
  </si>
  <si>
    <t>341比例東京　自民07</t>
  </si>
  <si>
    <t>341比例東京　自民11</t>
  </si>
  <si>
    <t>341比例東京　自民12</t>
  </si>
  <si>
    <t>341比例東京　自民13</t>
  </si>
  <si>
    <t>341比例東京　自民14</t>
  </si>
  <si>
    <t>341比例東京　自民16</t>
  </si>
  <si>
    <t>341比例東京　自民17</t>
  </si>
  <si>
    <t>341比例東京　自民18</t>
  </si>
  <si>
    <t>341比例東京　自民19</t>
  </si>
  <si>
    <t>341比例東京　自民23</t>
  </si>
  <si>
    <t>341比例東京　自民24</t>
  </si>
  <si>
    <t>341比例東京　自民25</t>
  </si>
  <si>
    <t>342比例東京　民主23</t>
  </si>
  <si>
    <t>342比例東京　民主12</t>
  </si>
  <si>
    <t>342比例東京　民主14</t>
  </si>
  <si>
    <t>342比例東京　民主10</t>
  </si>
  <si>
    <t>342比例東京　民主24</t>
  </si>
  <si>
    <t>342比例東京　民主16</t>
  </si>
  <si>
    <t>342比例東京　民主22</t>
  </si>
  <si>
    <t>342比例東京　民主04</t>
  </si>
  <si>
    <t>342比例東京　民主09</t>
  </si>
  <si>
    <t>342比例東京　民主15</t>
  </si>
  <si>
    <t>342比例東京　民主11</t>
  </si>
  <si>
    <t>342比例東京　民主08</t>
  </si>
  <si>
    <t>342比例東京　民主17</t>
  </si>
  <si>
    <t>342比例東京　民主25</t>
  </si>
  <si>
    <t>鈴木　淑夫</t>
  </si>
  <si>
    <t>342比例東京　民主26</t>
  </si>
  <si>
    <t>342比例東京　民主27</t>
  </si>
  <si>
    <t>片山　光代</t>
  </si>
  <si>
    <t>342比例東京　民主28</t>
  </si>
  <si>
    <t>大森　俊和</t>
  </si>
  <si>
    <t>342比例東京　民主01</t>
  </si>
  <si>
    <t>342比例東京　民主02</t>
  </si>
  <si>
    <t>342比例東京　民主03</t>
  </si>
  <si>
    <t>342比例東京　民主05</t>
  </si>
  <si>
    <t>342比例東京　民主06</t>
  </si>
  <si>
    <t>342比例東京　民主07</t>
  </si>
  <si>
    <t>342比例東京　民主13</t>
  </si>
  <si>
    <t>342比例東京　民主18</t>
  </si>
  <si>
    <t>342比例東京　民主19</t>
  </si>
  <si>
    <t>342比例東京　民主20</t>
  </si>
  <si>
    <t>342比例東京　民主21</t>
  </si>
  <si>
    <t>343比例東京　公明01</t>
  </si>
  <si>
    <t>343比例東京　公明02</t>
  </si>
  <si>
    <t>343比例東京　公明03</t>
  </si>
  <si>
    <t>三国　俊夫</t>
  </si>
  <si>
    <t>343比例東京　公明04</t>
  </si>
  <si>
    <t>高橋　幸男</t>
  </si>
  <si>
    <t>344比例東京　共産01</t>
  </si>
  <si>
    <t>344比例東京　共産02</t>
  </si>
  <si>
    <t>344比例東京　共産04</t>
  </si>
  <si>
    <t>344比例東京　共産03</t>
  </si>
  <si>
    <t>344比例東京　共産05</t>
  </si>
  <si>
    <t>345比例東京　社民05</t>
  </si>
  <si>
    <t>345比例東京　社民01</t>
  </si>
  <si>
    <t>345比例東京　社民02</t>
  </si>
  <si>
    <t>345比例東京　社民03</t>
  </si>
  <si>
    <t>345比例東京　社民04</t>
  </si>
  <si>
    <t>351比例北陸信越　自民01</t>
  </si>
  <si>
    <t>351比例北陸信越　自民02</t>
  </si>
  <si>
    <t>橘　康太郎</t>
  </si>
  <si>
    <t>351比例北陸信越　自民03</t>
  </si>
  <si>
    <t>351比例北陸信越　自民12</t>
  </si>
  <si>
    <t>351比例北陸信越　自民19</t>
  </si>
  <si>
    <t>351比例北陸信越　自民04</t>
  </si>
  <si>
    <t>351比例北陸信越　自民07</t>
  </si>
  <si>
    <t>351比例北陸信越　自民09</t>
  </si>
  <si>
    <t>351比例北陸信越　自民08</t>
  </si>
  <si>
    <t>351比例北陸信越　自民22</t>
  </si>
  <si>
    <t>小林　一三</t>
  </si>
  <si>
    <t>351比例北陸信越　自民23</t>
  </si>
  <si>
    <t>長谷川　道郎</t>
  </si>
  <si>
    <t>351比例北陸信越　自民05</t>
  </si>
  <si>
    <t>351比例北陸信越　自民06</t>
  </si>
  <si>
    <t>351比例北陸信越　自民10</t>
  </si>
  <si>
    <t>351比例北陸信越　自民11</t>
  </si>
  <si>
    <t>351比例北陸信越　自民13</t>
  </si>
  <si>
    <t>351比例北陸信越　自民14</t>
  </si>
  <si>
    <t>351比例北陸信越　自民15</t>
  </si>
  <si>
    <t>351比例北陸信越　自民16</t>
  </si>
  <si>
    <t>351比例北陸信越　自民17</t>
  </si>
  <si>
    <t>351比例北陸信越　自民18</t>
  </si>
  <si>
    <t>351比例北陸信越　自民20</t>
  </si>
  <si>
    <t>351比例北陸信越　自民21</t>
  </si>
  <si>
    <t>352比例北陸信越　民主13</t>
  </si>
  <si>
    <t>352比例北陸信越　民主16</t>
  </si>
  <si>
    <t>352比例北陸信越　民主08</t>
  </si>
  <si>
    <t>352比例北陸信越　民主11</t>
  </si>
  <si>
    <t>352比例北陸信越　民主05</t>
  </si>
  <si>
    <t>352比例北陸信越　民主17</t>
  </si>
  <si>
    <t>352比例北陸信越　民主09</t>
  </si>
  <si>
    <t>352比例北陸信越　民主12</t>
  </si>
  <si>
    <t>352比例北陸信越　民主02</t>
  </si>
  <si>
    <t>352比例北陸信越　民主06</t>
  </si>
  <si>
    <t>352比例北陸信越　民主10</t>
  </si>
  <si>
    <t>352比例北陸信越　民主01</t>
  </si>
  <si>
    <t>352比例北陸信越　民主03</t>
  </si>
  <si>
    <t>352比例北陸信越　民主04</t>
  </si>
  <si>
    <t>352比例北陸信越　民主07</t>
  </si>
  <si>
    <t>352比例北陸信越　民主14</t>
  </si>
  <si>
    <t>352比例北陸信越　民主15</t>
  </si>
  <si>
    <t>353比例北陸信越　公明01</t>
  </si>
  <si>
    <t>353比例北陸信越　公明02</t>
  </si>
  <si>
    <t>渋沢　秀夫</t>
  </si>
  <si>
    <t>354比例北陸信越　共産01</t>
  </si>
  <si>
    <t>木島　日出夫</t>
  </si>
  <si>
    <t>354比例北陸信越　共産02</t>
  </si>
  <si>
    <t>354比例北陸信越　共産03</t>
  </si>
  <si>
    <t>355比例北陸信越　社民01</t>
  </si>
  <si>
    <t>355比例北陸信越　社民05</t>
  </si>
  <si>
    <t>355比例北陸信越　社民03</t>
  </si>
  <si>
    <t>355比例北陸信越　社民04</t>
  </si>
  <si>
    <t>355比例北陸信越　社民02</t>
  </si>
  <si>
    <t>361比例東海　自民01</t>
  </si>
  <si>
    <t>361比例東海　自民02</t>
  </si>
  <si>
    <t>361比例東海　自民03</t>
  </si>
  <si>
    <t>361比例東海　自民04</t>
  </si>
  <si>
    <t>361比例東海　自民13</t>
  </si>
  <si>
    <t>361比例東海　自民19</t>
  </si>
  <si>
    <t>361比例東海　自民22</t>
  </si>
  <si>
    <t>361比例東海　自民09</t>
  </si>
  <si>
    <t>361比例東海　自民20</t>
  </si>
  <si>
    <t>361比例東海　自民25</t>
  </si>
  <si>
    <t>361比例東海　自民21</t>
  </si>
  <si>
    <t>361比例東海　自民14</t>
  </si>
  <si>
    <t>361比例東海　自民18</t>
  </si>
  <si>
    <t>361比例東海　自民16</t>
  </si>
  <si>
    <t>361比例東海　自民17</t>
  </si>
  <si>
    <t>361比例東海　自民27</t>
  </si>
  <si>
    <t>361比例東海　自民30</t>
  </si>
  <si>
    <t>鈴木　雅博</t>
  </si>
  <si>
    <t>361比例東海　自民31</t>
  </si>
  <si>
    <t>古井戸　康雄</t>
  </si>
  <si>
    <t>361比例東海　自民32</t>
  </si>
  <si>
    <t>長谷川　達也</t>
  </si>
  <si>
    <t>361比例東海　自民05</t>
  </si>
  <si>
    <t>361比例東海　自民06</t>
  </si>
  <si>
    <t>361比例東海　自民07</t>
  </si>
  <si>
    <t>361比例東海　自民08</t>
  </si>
  <si>
    <t>361比例東海　自民10</t>
  </si>
  <si>
    <t>361比例東海　自民11</t>
  </si>
  <si>
    <t>361比例東海　自民12</t>
  </si>
  <si>
    <t>361比例東海　自民15</t>
  </si>
  <si>
    <t>361比例東海　自民23</t>
  </si>
  <si>
    <t>361比例東海　自民24</t>
  </si>
  <si>
    <t>361比例東海　自民26</t>
  </si>
  <si>
    <t>361比例東海　自民28</t>
  </si>
  <si>
    <t>361比例東海　自民29</t>
  </si>
  <si>
    <t>362比例東海　民主01</t>
  </si>
  <si>
    <t>362比例東海　民主02</t>
  </si>
  <si>
    <t>362比例東海　民主25</t>
  </si>
  <si>
    <t>362比例東海　民主15</t>
  </si>
  <si>
    <t>362比例東海　民主05</t>
  </si>
  <si>
    <t>362比例東海　民主28</t>
  </si>
  <si>
    <t>362比例東海　民主24</t>
  </si>
  <si>
    <t>362比例東海　民主30</t>
  </si>
  <si>
    <t>362比例東海　民主27</t>
  </si>
  <si>
    <t>362比例東海　民主09</t>
  </si>
  <si>
    <t>362比例東海　民主03</t>
  </si>
  <si>
    <t>362比例東海　民主11</t>
  </si>
  <si>
    <t>362比例東海　民主32</t>
  </si>
  <si>
    <t>362比例東海　民主07</t>
  </si>
  <si>
    <t>362比例東海　民主10</t>
  </si>
  <si>
    <t>362比例東海　民主04</t>
  </si>
  <si>
    <t>362比例東海　民主06</t>
  </si>
  <si>
    <t>362比例東海　民主14</t>
  </si>
  <si>
    <t>362比例東海　民主08</t>
  </si>
  <si>
    <t>362比例東海　民主12</t>
  </si>
  <si>
    <t>362比例東海　民主13</t>
  </si>
  <si>
    <t>362比例東海　民主16</t>
  </si>
  <si>
    <t>362比例東海　民主17</t>
  </si>
  <si>
    <t>362比例東海　民主18</t>
  </si>
  <si>
    <t>362比例東海　民主19</t>
  </si>
  <si>
    <t>362比例東海　民主20</t>
  </si>
  <si>
    <t>362比例東海　民主21</t>
  </si>
  <si>
    <t>362比例東海　民主22</t>
  </si>
  <si>
    <t>362比例東海　民主23</t>
  </si>
  <si>
    <t>362比例東海　民主26</t>
  </si>
  <si>
    <t>362比例東海　民主29</t>
  </si>
  <si>
    <t>362比例東海　民主31</t>
  </si>
  <si>
    <t>363比例東海　公明01</t>
  </si>
  <si>
    <t>坂口　力</t>
  </si>
  <si>
    <t>363比例東海　公明02</t>
  </si>
  <si>
    <t>河合　正智</t>
  </si>
  <si>
    <t>363比例東海　公明03</t>
  </si>
  <si>
    <t>363比例東海　公明04</t>
  </si>
  <si>
    <t>岡　明彦</t>
  </si>
  <si>
    <t>363比例東海　公明05</t>
  </si>
  <si>
    <t>澤田　晃一</t>
  </si>
  <si>
    <t>364比例東海　共産01</t>
  </si>
  <si>
    <t>364比例東海　共産02</t>
  </si>
  <si>
    <t>364比例東海　共産03</t>
  </si>
  <si>
    <t>364比例東海　共産04</t>
  </si>
  <si>
    <t>加藤　隆雄</t>
  </si>
  <si>
    <t>365比例東海　社民01</t>
  </si>
  <si>
    <t>365比例東海　社民02</t>
  </si>
  <si>
    <t>371比例近畿　自民01</t>
  </si>
  <si>
    <t>371比例近畿　自民02</t>
  </si>
  <si>
    <t>371比例近畿　自民03</t>
  </si>
  <si>
    <t>371比例近畿　自民21</t>
  </si>
  <si>
    <t>371比例近畿　自民19</t>
  </si>
  <si>
    <t>371比例近畿　自民16</t>
  </si>
  <si>
    <t>371比例近畿　自民05</t>
  </si>
  <si>
    <t>371比例近畿　自民06</t>
  </si>
  <si>
    <t>371比例近畿　自民35</t>
  </si>
  <si>
    <t>371比例近畿　自民29</t>
  </si>
  <si>
    <t>371比例近畿　自民13</t>
  </si>
  <si>
    <t>371比例近畿　自民20</t>
  </si>
  <si>
    <t>371比例近畿　自民34</t>
  </si>
  <si>
    <t>371比例近畿　自民32</t>
  </si>
  <si>
    <t>371比例近畿　自民18</t>
  </si>
  <si>
    <t>371比例近畿　自民10</t>
  </si>
  <si>
    <t>371比例近畿　自民17</t>
  </si>
  <si>
    <t>371比例近畿　自民31</t>
  </si>
  <si>
    <t>371比例近畿　自民25</t>
  </si>
  <si>
    <t>371比例近畿　自民04</t>
  </si>
  <si>
    <t>371比例近畿　自民27</t>
  </si>
  <si>
    <t>371比例近畿　自民09</t>
  </si>
  <si>
    <t>371比例近畿　自民40</t>
  </si>
  <si>
    <t>林　省之介</t>
  </si>
  <si>
    <t>371比例近畿　自民41</t>
  </si>
  <si>
    <t>371比例近畿　自民42</t>
  </si>
  <si>
    <t>岸野　雅方</t>
  </si>
  <si>
    <t>371比例近畿　自民43</t>
  </si>
  <si>
    <t>小安　英峯</t>
  </si>
  <si>
    <t>371比例近畿　自民07</t>
  </si>
  <si>
    <t>371比例近畿　自民08</t>
  </si>
  <si>
    <t>371比例近畿　自民11</t>
  </si>
  <si>
    <t>371比例近畿　自民12</t>
  </si>
  <si>
    <t>371比例近畿　自民14</t>
  </si>
  <si>
    <t>371比例近畿　自民15</t>
  </si>
  <si>
    <t>371比例近畿　自民22</t>
  </si>
  <si>
    <t>371比例近畿　自民23</t>
  </si>
  <si>
    <t>371比例近畿　自民24</t>
  </si>
  <si>
    <t>371比例近畿　自民26</t>
  </si>
  <si>
    <t>371比例近畿　自民28</t>
  </si>
  <si>
    <t>371比例近畿　自民30</t>
  </si>
  <si>
    <t>371比例近畿　自民33</t>
  </si>
  <si>
    <t>371比例近畿　自民36</t>
  </si>
  <si>
    <t>371比例近畿　自民37</t>
  </si>
  <si>
    <t>371比例近畿　自民38</t>
  </si>
  <si>
    <t>30和歌01</t>
  </si>
  <si>
    <t>371比例近畿　自民39</t>
  </si>
  <si>
    <t>30和歌02</t>
  </si>
  <si>
    <t>372比例近畿　民主01</t>
  </si>
  <si>
    <t>372比例近畿　民主30</t>
  </si>
  <si>
    <t>372比例近畿　民主34</t>
  </si>
  <si>
    <t>372比例近畿　民主31</t>
  </si>
  <si>
    <t>372比例近畿　民主05</t>
  </si>
  <si>
    <t>372比例近畿　民主15</t>
  </si>
  <si>
    <t>372比例近畿　民主26</t>
  </si>
  <si>
    <t>372比例近畿　民主36</t>
  </si>
  <si>
    <t>372比例近畿　民主28</t>
  </si>
  <si>
    <t>372比例近畿　民主44</t>
  </si>
  <si>
    <t>372比例近畿　民主13</t>
  </si>
  <si>
    <t>372比例近畿　民主38</t>
  </si>
  <si>
    <t>372比例近畿　民主25</t>
  </si>
  <si>
    <t>372比例近畿　民主16</t>
  </si>
  <si>
    <t>372比例近畿　民主11</t>
  </si>
  <si>
    <t>372比例近畿　民主42</t>
  </si>
  <si>
    <t>372比例近畿　民主24</t>
  </si>
  <si>
    <t>372比例近畿　民主08</t>
  </si>
  <si>
    <t>372比例近畿　民主23</t>
  </si>
  <si>
    <t>372比例近畿　民主33</t>
  </si>
  <si>
    <t>372比例近畿　民主12</t>
  </si>
  <si>
    <t>372比例近畿　民主37</t>
  </si>
  <si>
    <t>372比例近畿　民主43</t>
  </si>
  <si>
    <t>372比例近畿　民主09</t>
  </si>
  <si>
    <t>372比例近畿　民主02</t>
  </si>
  <si>
    <t>372比例近畿　民主03</t>
  </si>
  <si>
    <t>372比例近畿　民主04</t>
  </si>
  <si>
    <t>372比例近畿　民主06</t>
  </si>
  <si>
    <t>372比例近畿　民主07</t>
  </si>
  <si>
    <t>372比例近畿　民主10</t>
  </si>
  <si>
    <t>372比例近畿　民主14</t>
  </si>
  <si>
    <t>372比例近畿　民主17</t>
  </si>
  <si>
    <t>372比例近畿　民主18</t>
  </si>
  <si>
    <t>372比例近畿　民主19</t>
  </si>
  <si>
    <t>372比例近畿　民主20</t>
  </si>
  <si>
    <t>372比例近畿　民主21</t>
  </si>
  <si>
    <t>372比例近畿　民主22</t>
  </si>
  <si>
    <t>372比例近畿　民主27</t>
  </si>
  <si>
    <t>372比例近畿　民主29</t>
  </si>
  <si>
    <t>372比例近畿　民主32</t>
  </si>
  <si>
    <t>372比例近畿　民主35</t>
  </si>
  <si>
    <t>372比例近畿　民主39</t>
  </si>
  <si>
    <t>372比例近畿　民主40</t>
  </si>
  <si>
    <t>372比例近畿　民主41</t>
  </si>
  <si>
    <t>373比例近畿　公明01</t>
  </si>
  <si>
    <t>373比例近畿　公明02</t>
  </si>
  <si>
    <t>373比例近畿　公明03</t>
  </si>
  <si>
    <t>西　博義</t>
  </si>
  <si>
    <t>373比例近畿　公明04</t>
  </si>
  <si>
    <t>373比例近畿　公明05</t>
  </si>
  <si>
    <t>山名　靖英</t>
  </si>
  <si>
    <t>373比例近畿　公明06</t>
  </si>
  <si>
    <t>小林　多喜子</t>
  </si>
  <si>
    <t>373比例近畿　公明07</t>
  </si>
  <si>
    <t>山下　博一</t>
  </si>
  <si>
    <t>374比例近畿　共産01</t>
  </si>
  <si>
    <t>027大阪02</t>
  </si>
  <si>
    <t>374比例近畿　共産02</t>
  </si>
  <si>
    <t>026京都01</t>
  </si>
  <si>
    <t>374比例近畿　共産03</t>
  </si>
  <si>
    <t>027大阪13</t>
  </si>
  <si>
    <t>374比例近畿　共産04</t>
  </si>
  <si>
    <t>027大阪04</t>
  </si>
  <si>
    <t>374比例近畿　共産05</t>
  </si>
  <si>
    <t>028兵庫02</t>
  </si>
  <si>
    <t>374比例近畿　共産06</t>
  </si>
  <si>
    <t>029奈良01</t>
  </si>
  <si>
    <t>374比例近畿　共産07</t>
  </si>
  <si>
    <t>025滋賀01</t>
  </si>
  <si>
    <t>374比例近畿　共産08</t>
  </si>
  <si>
    <t>030和歌01</t>
  </si>
  <si>
    <t>374比例近畿　共産09</t>
  </si>
  <si>
    <t>026京都05</t>
  </si>
  <si>
    <t>374比例近畿　共産10</t>
  </si>
  <si>
    <t>028兵庫08</t>
  </si>
  <si>
    <t>375比例近畿　社民03</t>
  </si>
  <si>
    <t>028兵庫07</t>
  </si>
  <si>
    <t>375比例近畿　社民02</t>
  </si>
  <si>
    <t>028兵庫06</t>
  </si>
  <si>
    <t>375比例近畿　社民06</t>
  </si>
  <si>
    <t>土川　秀孝</t>
  </si>
  <si>
    <t>375比例近畿　社民05</t>
  </si>
  <si>
    <t>029奈良03</t>
  </si>
  <si>
    <t>375比例近畿　社民04</t>
  </si>
  <si>
    <t>375比例近畿　社民01</t>
  </si>
  <si>
    <t>027大阪09</t>
  </si>
  <si>
    <t>381比例中国　自民01</t>
  </si>
  <si>
    <t>381比例中国　自民02</t>
  </si>
  <si>
    <t>381比例中国　自民03</t>
  </si>
  <si>
    <t>381比例中国　自民04</t>
  </si>
  <si>
    <t>能勢　和子</t>
  </si>
  <si>
    <t>381比例中国　自民19</t>
  </si>
  <si>
    <t>381比例中国　自民13</t>
  </si>
  <si>
    <t>381比例中国　自民21</t>
  </si>
  <si>
    <t>平林　鴻三</t>
  </si>
  <si>
    <t>381比例中国　自民22</t>
  </si>
  <si>
    <t>松尾　洋治</t>
  </si>
  <si>
    <t>381比例中国　自民23</t>
  </si>
  <si>
    <t>鈴木　匡信</t>
  </si>
  <si>
    <t>381比例中国　自民24</t>
  </si>
  <si>
    <t>長尾　広志</t>
  </si>
  <si>
    <t>381比例中国　自民25</t>
  </si>
  <si>
    <t>合田　正</t>
  </si>
  <si>
    <t>381比例中国　自民26</t>
  </si>
  <si>
    <t>381比例中国　自民05</t>
  </si>
  <si>
    <t>381比例中国　自民06</t>
  </si>
  <si>
    <t>381比例中国　自民07</t>
  </si>
  <si>
    <t>381比例中国　自民08</t>
  </si>
  <si>
    <t>381比例中国　自民09</t>
  </si>
  <si>
    <t>381比例中国　自民10</t>
  </si>
  <si>
    <t>381比例中国　自民11</t>
  </si>
  <si>
    <t>381比例中国　自民12</t>
  </si>
  <si>
    <t>381比例中国　自民14</t>
  </si>
  <si>
    <t>381比例中国　自民15</t>
  </si>
  <si>
    <t>381比例中国　自民16</t>
  </si>
  <si>
    <t>381比例中国　自民17</t>
  </si>
  <si>
    <t>381比例中国　自民18</t>
  </si>
  <si>
    <t>381比例中国　自民20</t>
  </si>
  <si>
    <t>382比例中国　民主01</t>
  </si>
  <si>
    <t>382比例中国　民主05</t>
  </si>
  <si>
    <t>382比例中国　民主13</t>
  </si>
  <si>
    <t>382比例中国　民主14</t>
  </si>
  <si>
    <t>382比例中国　民主08</t>
  </si>
  <si>
    <t>382比例中国　民主09</t>
  </si>
  <si>
    <t>382比例中国　民主12</t>
  </si>
  <si>
    <t>382比例中国　民主07</t>
  </si>
  <si>
    <t>382比例中国　民主04</t>
  </si>
  <si>
    <t>382比例中国　民主11</t>
  </si>
  <si>
    <t>382比例中国　民主02</t>
  </si>
  <si>
    <t>382比例中国　民主15</t>
  </si>
  <si>
    <t>382比例中国　民主17</t>
  </si>
  <si>
    <t>382比例中国　民主06</t>
  </si>
  <si>
    <t>382比例中国　民主03</t>
  </si>
  <si>
    <t>382比例中国　民主10</t>
  </si>
  <si>
    <t>382比例中国　民主16</t>
  </si>
  <si>
    <t>383比例中国　公明01</t>
  </si>
  <si>
    <t>383比例中国　公明02</t>
  </si>
  <si>
    <t>383比例中国　公明03</t>
  </si>
  <si>
    <t>383比例中国　公明04</t>
  </si>
  <si>
    <t>森下　定幸</t>
  </si>
  <si>
    <t>384比例中国　共産01</t>
  </si>
  <si>
    <t>384比例中国　共産02</t>
  </si>
  <si>
    <t>久米　慶典</t>
  </si>
  <si>
    <t>384比例中国　共産03</t>
  </si>
  <si>
    <t>385比例中国　社民03</t>
  </si>
  <si>
    <t>385比例中国　社民01</t>
  </si>
  <si>
    <t>385比例中国　社民05</t>
  </si>
  <si>
    <t>385比例中国　社民02</t>
  </si>
  <si>
    <t>385比例中国　社民04</t>
  </si>
  <si>
    <t>391比例四国　自民01</t>
  </si>
  <si>
    <t>森田　一</t>
  </si>
  <si>
    <t>391比例四国　自民02</t>
  </si>
  <si>
    <t>391比例四国　自民03</t>
  </si>
  <si>
    <t>391比例四国　自民16</t>
  </si>
  <si>
    <t>藤本　孝雄</t>
  </si>
  <si>
    <t>391比例四国　自民17</t>
  </si>
  <si>
    <t>川田　雅敏</t>
  </si>
  <si>
    <t>391比例四国　自民04</t>
  </si>
  <si>
    <t>391比例四国　自民05</t>
  </si>
  <si>
    <t>391比例四国　自民06</t>
  </si>
  <si>
    <t>391比例四国　自民07</t>
  </si>
  <si>
    <t>391比例四国　自民08</t>
  </si>
  <si>
    <t>391比例四国　自民09</t>
  </si>
  <si>
    <t>391比例四国　自民10</t>
  </si>
  <si>
    <t>391比例四国　自民11</t>
  </si>
  <si>
    <t>391比例四国　自民12</t>
  </si>
  <si>
    <t>391比例四国　自民13</t>
  </si>
  <si>
    <t>391比例四国　自民14</t>
  </si>
  <si>
    <t>391比例四国　自民15</t>
  </si>
  <si>
    <t>392比例四国　民主02</t>
  </si>
  <si>
    <t>392比例四国　民主11</t>
  </si>
  <si>
    <t>392比例四国　民主04</t>
  </si>
  <si>
    <t>392比例四国　民主05</t>
  </si>
  <si>
    <t>392比例四国　民主03</t>
  </si>
  <si>
    <t>392比例四国　民主09</t>
  </si>
  <si>
    <t>392比例四国　民主08</t>
  </si>
  <si>
    <t>392比例四国　民主12</t>
  </si>
  <si>
    <t>392比例四国　民主13</t>
  </si>
  <si>
    <t>392比例四国　民主07</t>
  </si>
  <si>
    <t>392比例四国　民主10</t>
  </si>
  <si>
    <t>392比例四国　民主06</t>
  </si>
  <si>
    <t>392比例四国　民主01</t>
  </si>
  <si>
    <t>393比例四国　公明01</t>
  </si>
  <si>
    <t>393比例四国　公明02</t>
  </si>
  <si>
    <t>林田　祐輔</t>
  </si>
  <si>
    <t>393比例四国　公明03</t>
  </si>
  <si>
    <t>門田　剛</t>
  </si>
  <si>
    <t>394比例四国　共産01</t>
  </si>
  <si>
    <t>394比例四国　共産02</t>
  </si>
  <si>
    <t>栫　浩一</t>
  </si>
  <si>
    <t>395比例四国　社民02</t>
  </si>
  <si>
    <t>395比例四国　社民05</t>
  </si>
  <si>
    <t>395比例四国　社民01</t>
  </si>
  <si>
    <t>395比例四国　社民04</t>
  </si>
  <si>
    <t>395比例四国　社民06</t>
  </si>
  <si>
    <t>395比例四国　社民03</t>
  </si>
  <si>
    <t>401比例九州　自民01</t>
  </si>
  <si>
    <t>401比例九州　自民02</t>
  </si>
  <si>
    <t>401比例九州　自民03</t>
  </si>
  <si>
    <t>仲村　正治</t>
  </si>
  <si>
    <t>401比例九州　自民04</t>
  </si>
  <si>
    <t>401比例九州　自民05</t>
  </si>
  <si>
    <t>401比例九州　自民14</t>
  </si>
  <si>
    <t>401比例九州　自民29</t>
  </si>
  <si>
    <t>401比例九州　自民26</t>
  </si>
  <si>
    <t>401比例九州　自民11</t>
  </si>
  <si>
    <t>401比例九州　自民17</t>
  </si>
  <si>
    <t>401比例九州　自民08</t>
  </si>
  <si>
    <t>401比例九州　自民34</t>
  </si>
  <si>
    <t>46鹿児02</t>
  </si>
  <si>
    <t>401比例九州　自民07</t>
  </si>
  <si>
    <t>401比例九州　自民20</t>
  </si>
  <si>
    <t>401比例九州　自民16</t>
  </si>
  <si>
    <t>401比例九州　自民24</t>
  </si>
  <si>
    <t>401比例九州　自民36</t>
  </si>
  <si>
    <t>401比例九州　自民06</t>
  </si>
  <si>
    <t>401比例九州　自民39</t>
  </si>
  <si>
    <t>401比例九州　自民09</t>
  </si>
  <si>
    <t>401比例九州　自民10</t>
  </si>
  <si>
    <t>401比例九州　自民12</t>
  </si>
  <si>
    <t>401比例九州　自民13</t>
  </si>
  <si>
    <t>401比例九州　自民15</t>
  </si>
  <si>
    <t>401比例九州　自民18</t>
  </si>
  <si>
    <t>401比例九州　自民19</t>
  </si>
  <si>
    <t>401比例九州　自民21</t>
  </si>
  <si>
    <t>401比例九州　自民22</t>
  </si>
  <si>
    <t>401比例九州　自民23</t>
  </si>
  <si>
    <t>401比例九州　自民25</t>
  </si>
  <si>
    <t>401比例九州　自民27</t>
  </si>
  <si>
    <t>401比例九州　自民28</t>
  </si>
  <si>
    <t>401比例九州　自民30</t>
  </si>
  <si>
    <t>401比例九州　自民31</t>
  </si>
  <si>
    <t>401比例九州　自民32</t>
  </si>
  <si>
    <t>401比例九州　自民33</t>
  </si>
  <si>
    <t>46鹿児01</t>
  </si>
  <si>
    <t>401比例九州　自民35</t>
  </si>
  <si>
    <t>46鹿児03</t>
  </si>
  <si>
    <t>401比例九州　自民37</t>
  </si>
  <si>
    <t>401比例九州　自民38</t>
  </si>
  <si>
    <t>402比例九州　民主13</t>
  </si>
  <si>
    <t>402比例九州　民主09</t>
  </si>
  <si>
    <t>402比例九州　民主04</t>
  </si>
  <si>
    <t>402比例九州　民主20</t>
  </si>
  <si>
    <t>402比例九州　民主15</t>
  </si>
  <si>
    <t>402比例九州　民主05</t>
  </si>
  <si>
    <t>402比例九州　民主18</t>
  </si>
  <si>
    <t>402比例九州　民主17</t>
  </si>
  <si>
    <t>402比例九州　民主07</t>
  </si>
  <si>
    <t>402比例九州　民主23</t>
  </si>
  <si>
    <t>402比例九州　民主22</t>
  </si>
  <si>
    <t>402比例九州　民主21</t>
  </si>
  <si>
    <t>402比例九州　民主11</t>
  </si>
  <si>
    <t>402比例九州　民主19</t>
  </si>
  <si>
    <t>402比例九州　民主16</t>
  </si>
  <si>
    <t>402比例九州　民主24</t>
  </si>
  <si>
    <t>相良　勝彦</t>
  </si>
  <si>
    <t>402比例九州　民主25</t>
  </si>
  <si>
    <t>浜田　理士</t>
  </si>
  <si>
    <t>402比例九州　民主14</t>
  </si>
  <si>
    <t>402比例九州　民主01</t>
  </si>
  <si>
    <t>402比例九州　民主02</t>
  </si>
  <si>
    <t>402比例九州　民主03</t>
  </si>
  <si>
    <t>402比例九州　民主06</t>
  </si>
  <si>
    <t>402比例九州　民主08</t>
  </si>
  <si>
    <t>402比例九州　民主10</t>
  </si>
  <si>
    <t>402比例九州　民主12</t>
  </si>
  <si>
    <t>403比例九州　公明01</t>
  </si>
  <si>
    <t>403比例九州　公明02</t>
  </si>
  <si>
    <t>東　順治</t>
  </si>
  <si>
    <t>403比例九州　公明03</t>
  </si>
  <si>
    <t>403比例九州　公明04</t>
  </si>
  <si>
    <t>大塚　勝利</t>
  </si>
  <si>
    <t>403比例九州　公明05</t>
  </si>
  <si>
    <t>長浜　昌三</t>
  </si>
  <si>
    <t>404比例九州　共産01</t>
  </si>
  <si>
    <t>404比例九州　共産02</t>
  </si>
  <si>
    <t>404比例九州　共産03</t>
  </si>
  <si>
    <t>西村　貴恵子</t>
  </si>
  <si>
    <t>404比例九州　共産04</t>
  </si>
  <si>
    <t>祝迫　かつ子</t>
  </si>
  <si>
    <t>405比例九州　社民12</t>
  </si>
  <si>
    <t>405比例九州　社民09</t>
  </si>
  <si>
    <t>405比例九州　社民08</t>
  </si>
  <si>
    <t>405比例九州　社民10</t>
  </si>
  <si>
    <t>46鹿児04</t>
  </si>
  <si>
    <t>405比例九州　社民06</t>
  </si>
  <si>
    <t>405比例九州　社民03</t>
  </si>
  <si>
    <t>405比例九州　社民02</t>
  </si>
  <si>
    <t>405比例九州　社民05</t>
  </si>
  <si>
    <t>405比例九州　社民07</t>
  </si>
  <si>
    <t>405比例九州　社民01</t>
  </si>
  <si>
    <t>405比例九州　社民04</t>
  </si>
  <si>
    <t>405比例九州　社民11</t>
  </si>
  <si>
    <t>全選挙区別比例得票</t>
  </si>
  <si>
    <t>自民</t>
  </si>
  <si>
    <t>公明</t>
  </si>
  <si>
    <t>与党合計</t>
  </si>
  <si>
    <t>民主</t>
  </si>
  <si>
    <t>社民</t>
  </si>
  <si>
    <t>国民</t>
  </si>
  <si>
    <t>日本</t>
  </si>
  <si>
    <t>野党合計</t>
  </si>
  <si>
    <t>共産</t>
  </si>
  <si>
    <t>無効・棄権</t>
  </si>
  <si>
    <t>有効投票</t>
  </si>
  <si>
    <t>001北海道01区</t>
  </si>
  <si>
    <t>07</t>
  </si>
  <si>
    <t>05</t>
  </si>
  <si>
    <t>04</t>
  </si>
  <si>
    <t>03</t>
  </si>
  <si>
    <t>002北海道02区</t>
  </si>
  <si>
    <t>003北海道03区</t>
  </si>
  <si>
    <t>004北海道04区</t>
  </si>
  <si>
    <t>005北海道05区</t>
  </si>
  <si>
    <t>006北海道06区</t>
  </si>
  <si>
    <t>007北海道07区</t>
  </si>
  <si>
    <t>008北海道08区</t>
  </si>
  <si>
    <t>009北海道09区</t>
  </si>
  <si>
    <t>010北海道10区</t>
  </si>
  <si>
    <t>011北海道11区</t>
  </si>
  <si>
    <t>012北海道12区</t>
  </si>
  <si>
    <t>0121比例北海道</t>
  </si>
  <si>
    <t>013青森01区</t>
  </si>
  <si>
    <t>014青森02区</t>
  </si>
  <si>
    <t>015青森03区</t>
  </si>
  <si>
    <t>016青森04区</t>
  </si>
  <si>
    <t>017岩手01区</t>
  </si>
  <si>
    <t>018岩手02区</t>
  </si>
  <si>
    <t>019岩手03区</t>
  </si>
  <si>
    <t>020岩手04区</t>
  </si>
  <si>
    <t>021宮城01区</t>
  </si>
  <si>
    <t>022宮城02区</t>
  </si>
  <si>
    <t>023宮城03区</t>
  </si>
  <si>
    <t>024宮城04区</t>
  </si>
  <si>
    <t>025宮城05区</t>
  </si>
  <si>
    <t>026宮城06区</t>
  </si>
  <si>
    <t>027秋田01区</t>
  </si>
  <si>
    <t>028秋田02区</t>
  </si>
  <si>
    <t>029秋田03区</t>
  </si>
  <si>
    <t>030山形01区</t>
  </si>
  <si>
    <t>031山形02区</t>
  </si>
  <si>
    <t>032山形03区</t>
  </si>
  <si>
    <t>033福島01区</t>
  </si>
  <si>
    <t>034福島02区</t>
  </si>
  <si>
    <t>035福島03区</t>
  </si>
  <si>
    <t>036福島04区</t>
  </si>
  <si>
    <t>037福島05区</t>
  </si>
  <si>
    <t>0371比例東北</t>
  </si>
  <si>
    <t>038茨城01区</t>
  </si>
  <si>
    <t>039茨城02区</t>
  </si>
  <si>
    <t>040茨城03区</t>
  </si>
  <si>
    <t>041茨城04区</t>
  </si>
  <si>
    <t>042茨城05区</t>
  </si>
  <si>
    <t>043茨城06区</t>
  </si>
  <si>
    <t>044茨城07区</t>
  </si>
  <si>
    <t>045栃木01区</t>
  </si>
  <si>
    <t>046栃木02区</t>
  </si>
  <si>
    <t>047栃木03区</t>
  </si>
  <si>
    <t>048栃木04区</t>
  </si>
  <si>
    <t>049栃木05区</t>
  </si>
  <si>
    <t>050群馬01区</t>
  </si>
  <si>
    <t>051群馬02区</t>
  </si>
  <si>
    <t>052群馬03区</t>
  </si>
  <si>
    <t>053群馬04区</t>
  </si>
  <si>
    <t>054群馬05区</t>
  </si>
  <si>
    <t>055埼玉01区</t>
  </si>
  <si>
    <t>056埼玉02区</t>
  </si>
  <si>
    <t>057埼玉03区</t>
  </si>
  <si>
    <t>058埼玉04区</t>
  </si>
  <si>
    <t>059埼玉05区</t>
  </si>
  <si>
    <t>060埼玉06区</t>
  </si>
  <si>
    <t>061埼玉07区</t>
  </si>
  <si>
    <t>062埼玉08区</t>
  </si>
  <si>
    <t>063埼玉09区</t>
  </si>
  <si>
    <t>066埼玉12区</t>
  </si>
  <si>
    <t>067埼玉13区</t>
  </si>
  <si>
    <t>068埼玉14区</t>
  </si>
  <si>
    <t>069埼玉15区</t>
  </si>
  <si>
    <t>0691比例北関東</t>
  </si>
  <si>
    <t>070千葉01区</t>
  </si>
  <si>
    <t>071千葉02区</t>
  </si>
  <si>
    <t>072千葉03区</t>
  </si>
  <si>
    <t>073千葉04区</t>
  </si>
  <si>
    <t>074千葉05区</t>
  </si>
  <si>
    <t>075千葉06区</t>
  </si>
  <si>
    <t>076千葉07区</t>
  </si>
  <si>
    <t>077千葉08区</t>
  </si>
  <si>
    <t>078千葉09区</t>
  </si>
  <si>
    <t>079千葉10区</t>
  </si>
  <si>
    <t>080千葉11区</t>
  </si>
  <si>
    <t>081千葉12区</t>
  </si>
  <si>
    <t>082千葉13区</t>
  </si>
  <si>
    <t>083神奈川01区</t>
  </si>
  <si>
    <t>084神奈川02区</t>
  </si>
  <si>
    <t>085神奈川03区</t>
  </si>
  <si>
    <t>086神奈川04区</t>
  </si>
  <si>
    <t>087神奈川05区</t>
  </si>
  <si>
    <t>088神奈川06区</t>
  </si>
  <si>
    <t>089神奈川07区</t>
  </si>
  <si>
    <t>090神奈川08区</t>
  </si>
  <si>
    <t>091神奈川09区</t>
  </si>
  <si>
    <t>092神奈川10区</t>
  </si>
  <si>
    <t>093神奈川11区</t>
  </si>
  <si>
    <t>094神奈川12区</t>
  </si>
  <si>
    <t>095神奈川13区</t>
  </si>
  <si>
    <t>096神奈川14区</t>
  </si>
  <si>
    <t>097神奈川15区</t>
  </si>
  <si>
    <t>098神奈川16区</t>
  </si>
  <si>
    <t>099神奈川17区</t>
  </si>
  <si>
    <t>100神奈川18区</t>
  </si>
  <si>
    <t>101山梨01区</t>
  </si>
  <si>
    <t>102山梨02区</t>
  </si>
  <si>
    <t>103山梨03区</t>
  </si>
  <si>
    <t>1031比例南関東</t>
  </si>
  <si>
    <t>104東京01区</t>
  </si>
  <si>
    <t>105東京02区</t>
  </si>
  <si>
    <t>106東京03区</t>
  </si>
  <si>
    <t>107東京04区</t>
  </si>
  <si>
    <t>108東京05区</t>
  </si>
  <si>
    <t>109東京06区</t>
  </si>
  <si>
    <t>110東京07区</t>
  </si>
  <si>
    <t>111東京08区</t>
  </si>
  <si>
    <t>112東京09区</t>
  </si>
  <si>
    <t>113東京10区</t>
  </si>
  <si>
    <t>114東京11区</t>
  </si>
  <si>
    <t>115東京12区</t>
  </si>
  <si>
    <t>116東京13区</t>
  </si>
  <si>
    <t>117東京14区</t>
  </si>
  <si>
    <t>118東京15区</t>
  </si>
  <si>
    <t>119東京16区</t>
  </si>
  <si>
    <t>120東京17区</t>
  </si>
  <si>
    <t>121東京18区</t>
  </si>
  <si>
    <t>122東京19区</t>
  </si>
  <si>
    <t>123東京20区</t>
  </si>
  <si>
    <t>124東京21区</t>
  </si>
  <si>
    <t>125東京22区</t>
  </si>
  <si>
    <t>126東京23区</t>
  </si>
  <si>
    <t>127東京24区</t>
  </si>
  <si>
    <t>128東京25区</t>
  </si>
  <si>
    <t>1281比例東京</t>
  </si>
  <si>
    <t>129新潟01区</t>
  </si>
  <si>
    <t>130新潟02区</t>
  </si>
  <si>
    <t>131新潟03区</t>
  </si>
  <si>
    <t>132新潟04区</t>
  </si>
  <si>
    <t>133新潟05区</t>
  </si>
  <si>
    <t>134新潟06区</t>
  </si>
  <si>
    <t>135富山01区</t>
  </si>
  <si>
    <t>136富山02区</t>
  </si>
  <si>
    <t>137富山03区</t>
  </si>
  <si>
    <t>138石川01区</t>
  </si>
  <si>
    <t>139石川02区</t>
  </si>
  <si>
    <t>140石川03区</t>
  </si>
  <si>
    <t>141福井01区</t>
  </si>
  <si>
    <t>142福井02区</t>
  </si>
  <si>
    <t>143福井03区</t>
  </si>
  <si>
    <t>144長野01区</t>
  </si>
  <si>
    <t>145長野02区</t>
  </si>
  <si>
    <t>146長野03区</t>
  </si>
  <si>
    <t>147長野04区</t>
  </si>
  <si>
    <t>148長野05区</t>
  </si>
  <si>
    <t>1481比例北信越</t>
  </si>
  <si>
    <t>149岐阜01区</t>
  </si>
  <si>
    <t>150岐阜02区</t>
  </si>
  <si>
    <t>151岐阜03区</t>
  </si>
  <si>
    <t>152岐阜04区</t>
  </si>
  <si>
    <t>153岐阜05区</t>
  </si>
  <si>
    <t>154静岡01区</t>
  </si>
  <si>
    <t>155静岡02区</t>
  </si>
  <si>
    <t>156静岡03区</t>
  </si>
  <si>
    <t>157静岡04区</t>
  </si>
  <si>
    <t>158静岡05区</t>
  </si>
  <si>
    <t>159静岡06区</t>
  </si>
  <si>
    <t>160静岡07区</t>
  </si>
  <si>
    <t>161静岡08区</t>
  </si>
  <si>
    <t>162愛知01区</t>
  </si>
  <si>
    <t>163愛知02区</t>
  </si>
  <si>
    <t>164愛知03区</t>
  </si>
  <si>
    <t>165愛知04区</t>
  </si>
  <si>
    <t>166愛知05区</t>
  </si>
  <si>
    <t>167愛知06区</t>
  </si>
  <si>
    <t>168愛知07区</t>
  </si>
  <si>
    <t>169愛知08区</t>
  </si>
  <si>
    <t>170愛知09区</t>
  </si>
  <si>
    <t>171愛知10区</t>
  </si>
  <si>
    <t>172愛知11区</t>
  </si>
  <si>
    <t>173愛知12区</t>
  </si>
  <si>
    <t>174愛知13区</t>
  </si>
  <si>
    <t>175愛知14区</t>
  </si>
  <si>
    <t>176愛知15区</t>
  </si>
  <si>
    <t>177三重01区</t>
  </si>
  <si>
    <t>178三重02区</t>
  </si>
  <si>
    <t>179三重03区</t>
  </si>
  <si>
    <t>180三重04区</t>
  </si>
  <si>
    <t>181三重05区</t>
  </si>
  <si>
    <t>1811比例東海</t>
  </si>
  <si>
    <t>182滋賀01区</t>
  </si>
  <si>
    <t>183滋賀02区</t>
  </si>
  <si>
    <t>184滋賀03区</t>
  </si>
  <si>
    <t>185滋賀04区</t>
  </si>
  <si>
    <t>186京都01区</t>
  </si>
  <si>
    <t>18７京都02区</t>
  </si>
  <si>
    <t>188京都03区</t>
  </si>
  <si>
    <t>189京都04区</t>
  </si>
  <si>
    <t>190京都05区</t>
  </si>
  <si>
    <t>191京都06区</t>
  </si>
  <si>
    <t>192大阪01区</t>
  </si>
  <si>
    <t>193大阪02区</t>
  </si>
  <si>
    <t>194大阪03区</t>
  </si>
  <si>
    <t>195大阪04区</t>
  </si>
  <si>
    <t>196大阪05区</t>
  </si>
  <si>
    <t>197大阪06区</t>
  </si>
  <si>
    <t>198大阪07区</t>
  </si>
  <si>
    <t>199大阪08区</t>
  </si>
  <si>
    <t>200大阪09区</t>
  </si>
  <si>
    <t>201大阪10区</t>
  </si>
  <si>
    <t>202大阪11区</t>
  </si>
  <si>
    <t>203大阪12区</t>
  </si>
  <si>
    <t>204大阪13区</t>
  </si>
  <si>
    <t>205大阪14区</t>
  </si>
  <si>
    <t>206大阪15区</t>
  </si>
  <si>
    <t>207大阪16区</t>
  </si>
  <si>
    <t>208大阪17区</t>
  </si>
  <si>
    <t>209大阪18区</t>
  </si>
  <si>
    <t>210大阪19区</t>
  </si>
  <si>
    <t>211兵庫01区</t>
  </si>
  <si>
    <t>212兵庫02区</t>
  </si>
  <si>
    <t>213兵庫03区</t>
  </si>
  <si>
    <t>214兵庫04区</t>
  </si>
  <si>
    <t>215兵庫05区</t>
  </si>
  <si>
    <t>216兵庫06区</t>
  </si>
  <si>
    <t>217兵庫07区</t>
  </si>
  <si>
    <t>218兵庫08区</t>
  </si>
  <si>
    <t>219兵庫09区</t>
  </si>
  <si>
    <t>220兵庫10区</t>
  </si>
  <si>
    <t>221兵庫11区</t>
  </si>
  <si>
    <t>222兵庫12区</t>
  </si>
  <si>
    <t>223奈良01区</t>
  </si>
  <si>
    <t>224奈良02区</t>
  </si>
  <si>
    <t>225奈良03区</t>
  </si>
  <si>
    <t>226奈良04区</t>
  </si>
  <si>
    <t>227和歌山01区</t>
  </si>
  <si>
    <t>228和歌山02区</t>
  </si>
  <si>
    <t>229和歌山03区</t>
  </si>
  <si>
    <t>2291比例近畿</t>
  </si>
  <si>
    <t>230鳥取01区</t>
  </si>
  <si>
    <t>231鳥取02区</t>
  </si>
  <si>
    <t>232島根01区</t>
  </si>
  <si>
    <t>233島根02区</t>
  </si>
  <si>
    <t>234岡山01区</t>
  </si>
  <si>
    <t>235岡山02区</t>
  </si>
  <si>
    <t>236岡山03区</t>
  </si>
  <si>
    <t>237岡山04区</t>
  </si>
  <si>
    <t>238岡山05区</t>
  </si>
  <si>
    <t>239広島01区</t>
  </si>
  <si>
    <t>240広島02区</t>
  </si>
  <si>
    <t>241広島03区</t>
  </si>
  <si>
    <t>242広島04区</t>
  </si>
  <si>
    <t>243広島05区</t>
  </si>
  <si>
    <t>244広島06区</t>
  </si>
  <si>
    <t>245広島07区</t>
  </si>
  <si>
    <t>246山口01区</t>
  </si>
  <si>
    <t>247山口02区</t>
  </si>
  <si>
    <t>248山口03区</t>
  </si>
  <si>
    <t>249山口04区</t>
  </si>
  <si>
    <t>2491比例中国</t>
  </si>
  <si>
    <t>250徳島01区</t>
  </si>
  <si>
    <t>251徳島02区</t>
  </si>
  <si>
    <t>252徳島03区</t>
  </si>
  <si>
    <t>253香川01区</t>
  </si>
  <si>
    <t>254香川02区</t>
  </si>
  <si>
    <t>255香川03区</t>
  </si>
  <si>
    <t>256愛媛01区</t>
  </si>
  <si>
    <t>257愛媛02区</t>
  </si>
  <si>
    <t>258愛媛03区</t>
  </si>
  <si>
    <t>259愛媛04区</t>
  </si>
  <si>
    <t>260高知01区</t>
  </si>
  <si>
    <t>261高知02区</t>
  </si>
  <si>
    <t>262高知03区</t>
  </si>
  <si>
    <t>2621比例四国</t>
  </si>
  <si>
    <t>263福岡01区</t>
  </si>
  <si>
    <t>264福岡02区</t>
  </si>
  <si>
    <t>265福岡03区</t>
  </si>
  <si>
    <t>266福岡04区</t>
  </si>
  <si>
    <t>267福岡05区</t>
  </si>
  <si>
    <t>268福岡06区</t>
  </si>
  <si>
    <t>269福岡07区</t>
  </si>
  <si>
    <t>270福岡08区</t>
  </si>
  <si>
    <t>271福岡09区</t>
  </si>
  <si>
    <t>272福岡10区</t>
  </si>
  <si>
    <t>273福岡11区</t>
  </si>
  <si>
    <t>274佐賀01区</t>
  </si>
  <si>
    <t>275佐賀02区</t>
  </si>
  <si>
    <t>276佐賀03区</t>
  </si>
  <si>
    <t>277長崎01区</t>
  </si>
  <si>
    <t>278長崎02区</t>
  </si>
  <si>
    <t>279長崎03区</t>
  </si>
  <si>
    <t>280長崎04区</t>
  </si>
  <si>
    <t>281熊本01区</t>
  </si>
  <si>
    <t>282熊本02区</t>
  </si>
  <si>
    <t>283熊本03区</t>
  </si>
  <si>
    <t>284熊本04区</t>
  </si>
  <si>
    <t>285熊本05区</t>
  </si>
  <si>
    <t>286大分01区</t>
  </si>
  <si>
    <t>287大分02区</t>
  </si>
  <si>
    <t>288大分03区</t>
  </si>
  <si>
    <t>289宮崎01区</t>
  </si>
  <si>
    <t>290宮崎02区</t>
  </si>
  <si>
    <t>291宮崎03区</t>
  </si>
  <si>
    <t>292鹿児島01区</t>
  </si>
  <si>
    <t>293鹿児島02区</t>
  </si>
  <si>
    <t>294鹿児島03区</t>
  </si>
  <si>
    <t>295鹿児島04区</t>
  </si>
  <si>
    <t>296鹿児島05区</t>
  </si>
  <si>
    <t>297沖縄01区</t>
  </si>
  <si>
    <t>298沖縄02区</t>
  </si>
  <si>
    <t>299沖縄03区</t>
  </si>
  <si>
    <t>300沖縄04区</t>
  </si>
  <si>
    <t>3001比例九州</t>
  </si>
  <si>
    <t>400全国得票</t>
  </si>
  <si>
    <t>前職</t>
    <rPh sb="0" eb="2">
      <t>ゼンショク</t>
    </rPh>
    <phoneticPr fontId="3"/>
  </si>
  <si>
    <t>参</t>
    <rPh sb="0" eb="1">
      <t>サン</t>
    </rPh>
    <phoneticPr fontId="3"/>
  </si>
  <si>
    <t>自民党職員</t>
    <rPh sb="0" eb="3">
      <t>ジミントウ</t>
    </rPh>
    <rPh sb="3" eb="5">
      <t>ショクイン</t>
    </rPh>
    <phoneticPr fontId="3"/>
  </si>
  <si>
    <t>文月　　涼</t>
    <rPh sb="0" eb="2">
      <t>フヅキ</t>
    </rPh>
    <rPh sb="4" eb="5">
      <t>リョウ</t>
    </rPh>
    <phoneticPr fontId="3"/>
  </si>
  <si>
    <t>出畑　　実</t>
    <rPh sb="0" eb="1">
      <t>デ</t>
    </rPh>
    <rPh sb="1" eb="2">
      <t>バタ</t>
    </rPh>
    <rPh sb="4" eb="5">
      <t>ミノル</t>
    </rPh>
    <phoneticPr fontId="3"/>
  </si>
  <si>
    <t>自民党東京都連参与</t>
    <rPh sb="0" eb="3">
      <t>ジミントウ</t>
    </rPh>
    <rPh sb="3" eb="5">
      <t>トウキョウ</t>
    </rPh>
    <rPh sb="5" eb="7">
      <t>トレン</t>
    </rPh>
    <rPh sb="7" eb="9">
      <t>サンヨ</t>
    </rPh>
    <phoneticPr fontId="3"/>
  </si>
  <si>
    <t>助田　重義</t>
    <rPh sb="0" eb="2">
      <t>スケダ</t>
    </rPh>
    <rPh sb="3" eb="5">
      <t>シゲヨシ</t>
    </rPh>
    <phoneticPr fontId="3"/>
  </si>
  <si>
    <t>川田　　隆</t>
    <rPh sb="0" eb="2">
      <t>カワタ</t>
    </rPh>
    <rPh sb="4" eb="5">
      <t>タカシ</t>
    </rPh>
    <phoneticPr fontId="3"/>
  </si>
  <si>
    <t>山際　功修</t>
    <rPh sb="0" eb="2">
      <t>ヤマギワ</t>
    </rPh>
    <rPh sb="3" eb="5">
      <t>ヨシノブ</t>
    </rPh>
    <phoneticPr fontId="3"/>
  </si>
  <si>
    <t>高橋　　央</t>
    <rPh sb="0" eb="2">
      <t>タカハシ</t>
    </rPh>
    <rPh sb="4" eb="5">
      <t>ナカ</t>
    </rPh>
    <phoneticPr fontId="3"/>
  </si>
  <si>
    <t>松﨑　敏則</t>
    <rPh sb="0" eb="1">
      <t>マツ</t>
    </rPh>
    <rPh sb="1" eb="2">
      <t>ザキ</t>
    </rPh>
    <rPh sb="3" eb="5">
      <t>トシノリ</t>
    </rPh>
    <phoneticPr fontId="3"/>
  </si>
  <si>
    <t>篠﨑　令子</t>
    <rPh sb="0" eb="1">
      <t>シノ</t>
    </rPh>
    <rPh sb="1" eb="2">
      <t>ザキ</t>
    </rPh>
    <rPh sb="3" eb="5">
      <t>レイコ</t>
    </rPh>
    <phoneticPr fontId="3"/>
  </si>
  <si>
    <t>3002比例北海道自民05</t>
    <rPh sb="4" eb="6">
      <t>ヒレイ</t>
    </rPh>
    <rPh sb="6" eb="9">
      <t>ホッカイドウ</t>
    </rPh>
    <rPh sb="9" eb="11">
      <t>ジミン</t>
    </rPh>
    <phoneticPr fontId="3"/>
  </si>
  <si>
    <t>3002比例北海道自民06</t>
    <rPh sb="4" eb="6">
      <t>ヒレイ</t>
    </rPh>
    <rPh sb="6" eb="9">
      <t>ホッカイドウ</t>
    </rPh>
    <rPh sb="9" eb="11">
      <t>ジミン</t>
    </rPh>
    <phoneticPr fontId="3"/>
  </si>
  <si>
    <t>3002比例北海道自民07</t>
    <rPh sb="4" eb="6">
      <t>ヒレイ</t>
    </rPh>
    <rPh sb="6" eb="9">
      <t>ホッカイドウ</t>
    </rPh>
    <rPh sb="9" eb="11">
      <t>ジミン</t>
    </rPh>
    <phoneticPr fontId="3"/>
  </si>
  <si>
    <t>3002比例北海道自民08</t>
    <rPh sb="4" eb="6">
      <t>ヒレイ</t>
    </rPh>
    <rPh sb="6" eb="9">
      <t>ホッカイドウ</t>
    </rPh>
    <rPh sb="9" eb="11">
      <t>ジミン</t>
    </rPh>
    <phoneticPr fontId="3"/>
  </si>
  <si>
    <t>3002比例北海道自民09</t>
    <rPh sb="4" eb="6">
      <t>ヒレイ</t>
    </rPh>
    <rPh sb="6" eb="9">
      <t>ホッカイドウ</t>
    </rPh>
    <rPh sb="9" eb="11">
      <t>ジミン</t>
    </rPh>
    <phoneticPr fontId="3"/>
  </si>
  <si>
    <t>3002比例北海道自民10</t>
    <rPh sb="4" eb="6">
      <t>ヒレイ</t>
    </rPh>
    <rPh sb="6" eb="9">
      <t>ホッカイドウ</t>
    </rPh>
    <rPh sb="9" eb="11">
      <t>ジミン</t>
    </rPh>
    <phoneticPr fontId="3"/>
  </si>
  <si>
    <t>3002比例北海道自民11</t>
    <rPh sb="4" eb="6">
      <t>ヒレイ</t>
    </rPh>
    <rPh sb="6" eb="9">
      <t>ホッカイドウ</t>
    </rPh>
    <rPh sb="9" eb="11">
      <t>ジミン</t>
    </rPh>
    <phoneticPr fontId="3"/>
  </si>
  <si>
    <t>3002比例北海道自民12</t>
    <rPh sb="4" eb="6">
      <t>ヒレイ</t>
    </rPh>
    <rPh sb="6" eb="9">
      <t>ホッカイドウ</t>
    </rPh>
    <rPh sb="9" eb="11">
      <t>ジミン</t>
    </rPh>
    <phoneticPr fontId="3"/>
  </si>
  <si>
    <t>3002比例北海道自民13</t>
    <rPh sb="4" eb="6">
      <t>ヒレイ</t>
    </rPh>
    <rPh sb="6" eb="9">
      <t>ホッカイドウ</t>
    </rPh>
    <rPh sb="9" eb="11">
      <t>ジミン</t>
    </rPh>
    <phoneticPr fontId="3"/>
  </si>
  <si>
    <t>3002比例北海道自民14</t>
    <rPh sb="4" eb="6">
      <t>ヒレイ</t>
    </rPh>
    <rPh sb="6" eb="9">
      <t>ホッカイドウ</t>
    </rPh>
    <rPh sb="9" eb="11">
      <t>ジミン</t>
    </rPh>
    <phoneticPr fontId="3"/>
  </si>
  <si>
    <t>3002比例北海道自民15</t>
    <rPh sb="4" eb="6">
      <t>ヒレイ</t>
    </rPh>
    <rPh sb="6" eb="9">
      <t>ホッカイドウ</t>
    </rPh>
    <rPh sb="9" eb="11">
      <t>ジミン</t>
    </rPh>
    <phoneticPr fontId="3"/>
  </si>
  <si>
    <t>重</t>
    <rPh sb="0" eb="1">
      <t>チョウ</t>
    </rPh>
    <phoneticPr fontId="3"/>
  </si>
  <si>
    <t>3102比例東北自民01</t>
    <rPh sb="4" eb="6">
      <t>ヒレイ</t>
    </rPh>
    <rPh sb="6" eb="8">
      <t>トウホク</t>
    </rPh>
    <rPh sb="8" eb="10">
      <t>ジミン</t>
    </rPh>
    <phoneticPr fontId="3"/>
  </si>
  <si>
    <t>3102比例東北自民02</t>
    <rPh sb="4" eb="6">
      <t>ヒレイ</t>
    </rPh>
    <rPh sb="6" eb="8">
      <t>トウホク</t>
    </rPh>
    <rPh sb="8" eb="10">
      <t>ジミン</t>
    </rPh>
    <phoneticPr fontId="3"/>
  </si>
  <si>
    <t>3102比例東北自民03</t>
    <rPh sb="4" eb="6">
      <t>ヒレイ</t>
    </rPh>
    <rPh sb="6" eb="8">
      <t>トウホク</t>
    </rPh>
    <rPh sb="8" eb="10">
      <t>ジミン</t>
    </rPh>
    <phoneticPr fontId="3"/>
  </si>
  <si>
    <t>3102比例東北自民04</t>
    <rPh sb="4" eb="6">
      <t>ヒレイ</t>
    </rPh>
    <rPh sb="6" eb="8">
      <t>トウホク</t>
    </rPh>
    <rPh sb="8" eb="10">
      <t>ジミン</t>
    </rPh>
    <phoneticPr fontId="3"/>
  </si>
  <si>
    <t>3102比例東北自民05</t>
    <rPh sb="4" eb="6">
      <t>ヒレイ</t>
    </rPh>
    <rPh sb="6" eb="8">
      <t>トウホク</t>
    </rPh>
    <rPh sb="8" eb="10">
      <t>ジミン</t>
    </rPh>
    <phoneticPr fontId="3"/>
  </si>
  <si>
    <t>3102比例東北自民06</t>
    <rPh sb="4" eb="6">
      <t>ヒレイ</t>
    </rPh>
    <rPh sb="6" eb="8">
      <t>トウホク</t>
    </rPh>
    <rPh sb="8" eb="10">
      <t>ジミン</t>
    </rPh>
    <phoneticPr fontId="3"/>
  </si>
  <si>
    <t>3102比例東北自民07</t>
    <rPh sb="4" eb="6">
      <t>ヒレイ</t>
    </rPh>
    <rPh sb="6" eb="8">
      <t>トウホク</t>
    </rPh>
    <rPh sb="8" eb="10">
      <t>ジミン</t>
    </rPh>
    <phoneticPr fontId="3"/>
  </si>
  <si>
    <t>3102比例東北自民08</t>
    <rPh sb="4" eb="6">
      <t>ヒレイ</t>
    </rPh>
    <rPh sb="6" eb="8">
      <t>トウホク</t>
    </rPh>
    <rPh sb="8" eb="10">
      <t>ジミン</t>
    </rPh>
    <phoneticPr fontId="3"/>
  </si>
  <si>
    <t>3102比例東北自民09</t>
    <rPh sb="4" eb="6">
      <t>ヒレイ</t>
    </rPh>
    <rPh sb="6" eb="8">
      <t>トウホク</t>
    </rPh>
    <rPh sb="8" eb="10">
      <t>ジミン</t>
    </rPh>
    <phoneticPr fontId="3"/>
  </si>
  <si>
    <t>3102比例東北自民10</t>
    <rPh sb="4" eb="6">
      <t>ヒレイ</t>
    </rPh>
    <rPh sb="6" eb="8">
      <t>トウホク</t>
    </rPh>
    <rPh sb="8" eb="10">
      <t>ジミン</t>
    </rPh>
    <phoneticPr fontId="3"/>
  </si>
  <si>
    <t>3102比例東北自民11</t>
    <rPh sb="4" eb="6">
      <t>ヒレイ</t>
    </rPh>
    <rPh sb="6" eb="8">
      <t>トウホク</t>
    </rPh>
    <rPh sb="8" eb="10">
      <t>ジミン</t>
    </rPh>
    <phoneticPr fontId="3"/>
  </si>
  <si>
    <t>3102比例東北自民12</t>
    <rPh sb="4" eb="6">
      <t>ヒレイ</t>
    </rPh>
    <rPh sb="6" eb="8">
      <t>トウホク</t>
    </rPh>
    <rPh sb="8" eb="10">
      <t>ジミン</t>
    </rPh>
    <phoneticPr fontId="3"/>
  </si>
  <si>
    <t>3102比例東北自民13</t>
    <rPh sb="4" eb="6">
      <t>ヒレイ</t>
    </rPh>
    <rPh sb="6" eb="8">
      <t>トウホク</t>
    </rPh>
    <rPh sb="8" eb="10">
      <t>ジミン</t>
    </rPh>
    <phoneticPr fontId="3"/>
  </si>
  <si>
    <t>3102比例東北自民14</t>
    <rPh sb="4" eb="6">
      <t>ヒレイ</t>
    </rPh>
    <rPh sb="6" eb="8">
      <t>トウホク</t>
    </rPh>
    <rPh sb="8" eb="10">
      <t>ジミン</t>
    </rPh>
    <phoneticPr fontId="3"/>
  </si>
  <si>
    <t>3102比例東北自民15</t>
    <rPh sb="4" eb="6">
      <t>ヒレイ</t>
    </rPh>
    <rPh sb="6" eb="8">
      <t>トウホク</t>
    </rPh>
    <rPh sb="8" eb="10">
      <t>ジミン</t>
    </rPh>
    <phoneticPr fontId="3"/>
  </si>
  <si>
    <t>3102比例東北自民16</t>
    <rPh sb="4" eb="6">
      <t>ヒレイ</t>
    </rPh>
    <rPh sb="6" eb="8">
      <t>トウホク</t>
    </rPh>
    <rPh sb="8" eb="10">
      <t>ジミン</t>
    </rPh>
    <phoneticPr fontId="3"/>
  </si>
  <si>
    <t>3102比例東北自民17</t>
    <rPh sb="4" eb="6">
      <t>ヒレイ</t>
    </rPh>
    <rPh sb="6" eb="8">
      <t>トウホク</t>
    </rPh>
    <rPh sb="8" eb="10">
      <t>ジミン</t>
    </rPh>
    <phoneticPr fontId="3"/>
  </si>
  <si>
    <t>3102比例東北自民18</t>
    <rPh sb="4" eb="6">
      <t>ヒレイ</t>
    </rPh>
    <rPh sb="6" eb="8">
      <t>トウホク</t>
    </rPh>
    <rPh sb="8" eb="10">
      <t>ジミン</t>
    </rPh>
    <phoneticPr fontId="3"/>
  </si>
  <si>
    <t>3102比例東北自民19</t>
    <rPh sb="4" eb="6">
      <t>ヒレイ</t>
    </rPh>
    <rPh sb="6" eb="8">
      <t>トウホク</t>
    </rPh>
    <rPh sb="8" eb="10">
      <t>ジミン</t>
    </rPh>
    <phoneticPr fontId="3"/>
  </si>
  <si>
    <t>3102比例東北自民20</t>
    <rPh sb="4" eb="6">
      <t>ヒレイ</t>
    </rPh>
    <rPh sb="6" eb="8">
      <t>トウホク</t>
    </rPh>
    <rPh sb="8" eb="10">
      <t>ジミン</t>
    </rPh>
    <phoneticPr fontId="3"/>
  </si>
  <si>
    <t>3102比例東北自民21</t>
    <rPh sb="4" eb="6">
      <t>ヒレイ</t>
    </rPh>
    <rPh sb="6" eb="8">
      <t>トウホク</t>
    </rPh>
    <rPh sb="8" eb="10">
      <t>ジミン</t>
    </rPh>
    <phoneticPr fontId="3"/>
  </si>
  <si>
    <t>3102比例東北自民22</t>
    <rPh sb="4" eb="6">
      <t>ヒレイ</t>
    </rPh>
    <rPh sb="6" eb="8">
      <t>トウホク</t>
    </rPh>
    <rPh sb="8" eb="10">
      <t>ジミン</t>
    </rPh>
    <phoneticPr fontId="3"/>
  </si>
  <si>
    <t>3102比例東北自民23</t>
    <rPh sb="4" eb="6">
      <t>ヒレイ</t>
    </rPh>
    <rPh sb="6" eb="8">
      <t>トウホク</t>
    </rPh>
    <rPh sb="8" eb="10">
      <t>ジミン</t>
    </rPh>
    <phoneticPr fontId="3"/>
  </si>
  <si>
    <t>3102比例東北自民24</t>
    <rPh sb="4" eb="6">
      <t>ヒレイ</t>
    </rPh>
    <rPh sb="6" eb="8">
      <t>トウホク</t>
    </rPh>
    <rPh sb="8" eb="10">
      <t>ジミン</t>
    </rPh>
    <phoneticPr fontId="3"/>
  </si>
  <si>
    <t>3102比例東北自民25</t>
    <rPh sb="4" eb="6">
      <t>ヒレイ</t>
    </rPh>
    <rPh sb="6" eb="8">
      <t>トウホク</t>
    </rPh>
    <rPh sb="8" eb="10">
      <t>ジミン</t>
    </rPh>
    <phoneticPr fontId="3"/>
  </si>
  <si>
    <t>3102比例東北自民26</t>
    <rPh sb="4" eb="6">
      <t>ヒレイ</t>
    </rPh>
    <rPh sb="6" eb="8">
      <t>トウホク</t>
    </rPh>
    <rPh sb="8" eb="10">
      <t>ジミン</t>
    </rPh>
    <phoneticPr fontId="3"/>
  </si>
  <si>
    <t>3202比例北関東自民01</t>
    <rPh sb="4" eb="6">
      <t>ヒレイ</t>
    </rPh>
    <rPh sb="6" eb="7">
      <t>キタ</t>
    </rPh>
    <rPh sb="7" eb="9">
      <t>カントウ</t>
    </rPh>
    <rPh sb="9" eb="11">
      <t>ジミン</t>
    </rPh>
    <phoneticPr fontId="3"/>
  </si>
  <si>
    <t>3202比例北関東自民02</t>
    <rPh sb="4" eb="6">
      <t>ヒレイ</t>
    </rPh>
    <rPh sb="6" eb="7">
      <t>キタ</t>
    </rPh>
    <rPh sb="7" eb="9">
      <t>カントウ</t>
    </rPh>
    <rPh sb="9" eb="11">
      <t>ジミン</t>
    </rPh>
    <phoneticPr fontId="3"/>
  </si>
  <si>
    <t>3202比例北関東自民03</t>
    <rPh sb="4" eb="6">
      <t>ヒレイ</t>
    </rPh>
    <rPh sb="6" eb="7">
      <t>キタ</t>
    </rPh>
    <rPh sb="7" eb="9">
      <t>カントウ</t>
    </rPh>
    <rPh sb="9" eb="11">
      <t>ジミン</t>
    </rPh>
    <phoneticPr fontId="3"/>
  </si>
  <si>
    <t>3202比例北関東自民04</t>
    <rPh sb="4" eb="6">
      <t>ヒレイ</t>
    </rPh>
    <rPh sb="6" eb="7">
      <t>キタ</t>
    </rPh>
    <rPh sb="7" eb="9">
      <t>カントウ</t>
    </rPh>
    <rPh sb="9" eb="11">
      <t>ジミン</t>
    </rPh>
    <phoneticPr fontId="3"/>
  </si>
  <si>
    <t>3202比例北関東自民05</t>
    <rPh sb="4" eb="6">
      <t>ヒレイ</t>
    </rPh>
    <rPh sb="6" eb="7">
      <t>キタ</t>
    </rPh>
    <rPh sb="7" eb="9">
      <t>カントウ</t>
    </rPh>
    <rPh sb="9" eb="11">
      <t>ジミン</t>
    </rPh>
    <phoneticPr fontId="3"/>
  </si>
  <si>
    <t>3202比例北関東自民06</t>
    <rPh sb="4" eb="6">
      <t>ヒレイ</t>
    </rPh>
    <rPh sb="6" eb="7">
      <t>キタ</t>
    </rPh>
    <rPh sb="7" eb="9">
      <t>カントウ</t>
    </rPh>
    <rPh sb="9" eb="11">
      <t>ジミン</t>
    </rPh>
    <phoneticPr fontId="3"/>
  </si>
  <si>
    <t>3202比例北関東自民07</t>
    <rPh sb="4" eb="6">
      <t>ヒレイ</t>
    </rPh>
    <rPh sb="6" eb="7">
      <t>キタ</t>
    </rPh>
    <rPh sb="7" eb="9">
      <t>カントウ</t>
    </rPh>
    <rPh sb="9" eb="11">
      <t>ジミン</t>
    </rPh>
    <phoneticPr fontId="3"/>
  </si>
  <si>
    <t>3202比例北関東自民08</t>
    <rPh sb="4" eb="6">
      <t>ヒレイ</t>
    </rPh>
    <rPh sb="6" eb="7">
      <t>キタ</t>
    </rPh>
    <rPh sb="7" eb="9">
      <t>カントウ</t>
    </rPh>
    <rPh sb="9" eb="11">
      <t>ジミン</t>
    </rPh>
    <phoneticPr fontId="3"/>
  </si>
  <si>
    <t>3202比例北関東自民09</t>
    <rPh sb="4" eb="6">
      <t>ヒレイ</t>
    </rPh>
    <rPh sb="6" eb="7">
      <t>キタ</t>
    </rPh>
    <rPh sb="7" eb="9">
      <t>カントウ</t>
    </rPh>
    <rPh sb="9" eb="11">
      <t>ジミン</t>
    </rPh>
    <phoneticPr fontId="3"/>
  </si>
  <si>
    <t>3202比例北関東自民10</t>
    <rPh sb="4" eb="6">
      <t>ヒレイ</t>
    </rPh>
    <rPh sb="6" eb="7">
      <t>キタ</t>
    </rPh>
    <rPh sb="7" eb="9">
      <t>カントウ</t>
    </rPh>
    <rPh sb="9" eb="11">
      <t>ジミン</t>
    </rPh>
    <phoneticPr fontId="3"/>
  </si>
  <si>
    <t>3202比例北関東自民11</t>
    <rPh sb="4" eb="6">
      <t>ヒレイ</t>
    </rPh>
    <rPh sb="6" eb="7">
      <t>キタ</t>
    </rPh>
    <rPh sb="7" eb="9">
      <t>カントウ</t>
    </rPh>
    <rPh sb="9" eb="11">
      <t>ジミン</t>
    </rPh>
    <phoneticPr fontId="3"/>
  </si>
  <si>
    <t>3202比例北関東自民12</t>
    <rPh sb="4" eb="6">
      <t>ヒレイ</t>
    </rPh>
    <rPh sb="6" eb="7">
      <t>キタ</t>
    </rPh>
    <rPh sb="7" eb="9">
      <t>カントウ</t>
    </rPh>
    <rPh sb="9" eb="11">
      <t>ジミン</t>
    </rPh>
    <phoneticPr fontId="3"/>
  </si>
  <si>
    <t>3202比例北関東自民13</t>
    <rPh sb="4" eb="6">
      <t>ヒレイ</t>
    </rPh>
    <rPh sb="6" eb="7">
      <t>キタ</t>
    </rPh>
    <rPh sb="7" eb="9">
      <t>カントウ</t>
    </rPh>
    <rPh sb="9" eb="11">
      <t>ジミン</t>
    </rPh>
    <phoneticPr fontId="3"/>
  </si>
  <si>
    <t>3202比例北関東自民14</t>
    <rPh sb="4" eb="6">
      <t>ヒレイ</t>
    </rPh>
    <rPh sb="6" eb="7">
      <t>キタ</t>
    </rPh>
    <rPh sb="7" eb="9">
      <t>カントウ</t>
    </rPh>
    <rPh sb="9" eb="11">
      <t>ジミン</t>
    </rPh>
    <phoneticPr fontId="3"/>
  </si>
  <si>
    <t>3202比例北関東自民15</t>
    <rPh sb="4" eb="6">
      <t>ヒレイ</t>
    </rPh>
    <rPh sb="6" eb="7">
      <t>キタ</t>
    </rPh>
    <rPh sb="7" eb="9">
      <t>カントウ</t>
    </rPh>
    <rPh sb="9" eb="11">
      <t>ジミン</t>
    </rPh>
    <phoneticPr fontId="3"/>
  </si>
  <si>
    <t>3202比例北関東自民16</t>
    <rPh sb="4" eb="6">
      <t>ヒレイ</t>
    </rPh>
    <rPh sb="6" eb="7">
      <t>キタ</t>
    </rPh>
    <rPh sb="7" eb="9">
      <t>カントウ</t>
    </rPh>
    <rPh sb="9" eb="11">
      <t>ジミン</t>
    </rPh>
    <phoneticPr fontId="3"/>
  </si>
  <si>
    <t>3202比例北関東自民17</t>
    <rPh sb="4" eb="6">
      <t>ヒレイ</t>
    </rPh>
    <rPh sb="6" eb="7">
      <t>キタ</t>
    </rPh>
    <rPh sb="7" eb="9">
      <t>カントウ</t>
    </rPh>
    <rPh sb="9" eb="11">
      <t>ジミン</t>
    </rPh>
    <phoneticPr fontId="3"/>
  </si>
  <si>
    <t>3202比例北関東自民18</t>
    <rPh sb="4" eb="6">
      <t>ヒレイ</t>
    </rPh>
    <rPh sb="6" eb="7">
      <t>キタ</t>
    </rPh>
    <rPh sb="7" eb="9">
      <t>カントウ</t>
    </rPh>
    <rPh sb="9" eb="11">
      <t>ジミン</t>
    </rPh>
    <phoneticPr fontId="3"/>
  </si>
  <si>
    <t>3202比例北関東自民19</t>
    <rPh sb="4" eb="6">
      <t>ヒレイ</t>
    </rPh>
    <rPh sb="6" eb="7">
      <t>キタ</t>
    </rPh>
    <rPh sb="7" eb="9">
      <t>カントウ</t>
    </rPh>
    <rPh sb="9" eb="11">
      <t>ジミン</t>
    </rPh>
    <phoneticPr fontId="3"/>
  </si>
  <si>
    <t>3202比例北関東自民20</t>
    <rPh sb="4" eb="6">
      <t>ヒレイ</t>
    </rPh>
    <rPh sb="6" eb="7">
      <t>キタ</t>
    </rPh>
    <rPh sb="7" eb="9">
      <t>カントウ</t>
    </rPh>
    <rPh sb="9" eb="11">
      <t>ジミン</t>
    </rPh>
    <phoneticPr fontId="3"/>
  </si>
  <si>
    <t>3202比例北関東自民21</t>
    <rPh sb="4" eb="6">
      <t>ヒレイ</t>
    </rPh>
    <rPh sb="6" eb="7">
      <t>キタ</t>
    </rPh>
    <rPh sb="7" eb="9">
      <t>カントウ</t>
    </rPh>
    <rPh sb="9" eb="11">
      <t>ジミン</t>
    </rPh>
    <phoneticPr fontId="3"/>
  </si>
  <si>
    <t>3202比例北関東自民22</t>
    <rPh sb="4" eb="6">
      <t>ヒレイ</t>
    </rPh>
    <rPh sb="6" eb="7">
      <t>キタ</t>
    </rPh>
    <rPh sb="7" eb="9">
      <t>カントウ</t>
    </rPh>
    <rPh sb="9" eb="11">
      <t>ジミン</t>
    </rPh>
    <phoneticPr fontId="3"/>
  </si>
  <si>
    <t>3202比例北関東自民23</t>
    <rPh sb="4" eb="6">
      <t>ヒレイ</t>
    </rPh>
    <rPh sb="6" eb="7">
      <t>キタ</t>
    </rPh>
    <rPh sb="7" eb="9">
      <t>カントウ</t>
    </rPh>
    <rPh sb="9" eb="11">
      <t>ジミン</t>
    </rPh>
    <phoneticPr fontId="3"/>
  </si>
  <si>
    <t>3202比例北関東自民24</t>
    <rPh sb="4" eb="6">
      <t>ヒレイ</t>
    </rPh>
    <rPh sb="6" eb="7">
      <t>キタ</t>
    </rPh>
    <rPh sb="7" eb="9">
      <t>カントウ</t>
    </rPh>
    <rPh sb="9" eb="11">
      <t>ジミン</t>
    </rPh>
    <phoneticPr fontId="3"/>
  </si>
  <si>
    <t>3202比例北関東自民25</t>
    <rPh sb="4" eb="6">
      <t>ヒレイ</t>
    </rPh>
    <rPh sb="6" eb="7">
      <t>キタ</t>
    </rPh>
    <rPh sb="7" eb="9">
      <t>カントウ</t>
    </rPh>
    <rPh sb="9" eb="11">
      <t>ジミン</t>
    </rPh>
    <phoneticPr fontId="3"/>
  </si>
  <si>
    <t>3202比例北関東自民26</t>
    <rPh sb="4" eb="6">
      <t>ヒレイ</t>
    </rPh>
    <rPh sb="6" eb="7">
      <t>キタ</t>
    </rPh>
    <rPh sb="7" eb="9">
      <t>カントウ</t>
    </rPh>
    <rPh sb="9" eb="11">
      <t>ジミン</t>
    </rPh>
    <phoneticPr fontId="3"/>
  </si>
  <si>
    <t>3202比例北関東自民27</t>
    <rPh sb="4" eb="6">
      <t>ヒレイ</t>
    </rPh>
    <rPh sb="6" eb="7">
      <t>キタ</t>
    </rPh>
    <rPh sb="7" eb="9">
      <t>カントウ</t>
    </rPh>
    <rPh sb="9" eb="11">
      <t>ジミン</t>
    </rPh>
    <phoneticPr fontId="3"/>
  </si>
  <si>
    <t>3202比例北関東自民28</t>
    <rPh sb="4" eb="6">
      <t>ヒレイ</t>
    </rPh>
    <rPh sb="6" eb="7">
      <t>キタ</t>
    </rPh>
    <rPh sb="7" eb="9">
      <t>カントウ</t>
    </rPh>
    <rPh sb="9" eb="11">
      <t>ジミン</t>
    </rPh>
    <phoneticPr fontId="3"/>
  </si>
  <si>
    <t>3202比例北関東自民29</t>
    <rPh sb="4" eb="6">
      <t>ヒレイ</t>
    </rPh>
    <rPh sb="6" eb="7">
      <t>キタ</t>
    </rPh>
    <rPh sb="7" eb="9">
      <t>カントウ</t>
    </rPh>
    <rPh sb="9" eb="11">
      <t>ジミン</t>
    </rPh>
    <phoneticPr fontId="3"/>
  </si>
  <si>
    <t>3202比例北関東自民30</t>
    <rPh sb="4" eb="6">
      <t>ヒレイ</t>
    </rPh>
    <rPh sb="6" eb="7">
      <t>キタ</t>
    </rPh>
    <rPh sb="7" eb="9">
      <t>カントウ</t>
    </rPh>
    <rPh sb="9" eb="11">
      <t>ジミン</t>
    </rPh>
    <phoneticPr fontId="3"/>
  </si>
  <si>
    <t>3202比例北関東自民31</t>
    <rPh sb="4" eb="6">
      <t>ヒレイ</t>
    </rPh>
    <rPh sb="6" eb="7">
      <t>キタ</t>
    </rPh>
    <rPh sb="7" eb="9">
      <t>カントウ</t>
    </rPh>
    <rPh sb="9" eb="11">
      <t>ジミン</t>
    </rPh>
    <phoneticPr fontId="3"/>
  </si>
  <si>
    <t>3202比例北関東自民32</t>
    <rPh sb="4" eb="6">
      <t>ヒレイ</t>
    </rPh>
    <rPh sb="6" eb="7">
      <t>キタ</t>
    </rPh>
    <rPh sb="7" eb="9">
      <t>カントウ</t>
    </rPh>
    <rPh sb="9" eb="11">
      <t>ジミン</t>
    </rPh>
    <phoneticPr fontId="3"/>
  </si>
  <si>
    <t>3202比例北関東自民33</t>
    <rPh sb="4" eb="6">
      <t>ヒレイ</t>
    </rPh>
    <rPh sb="6" eb="7">
      <t>キタ</t>
    </rPh>
    <rPh sb="7" eb="9">
      <t>カントウ</t>
    </rPh>
    <rPh sb="9" eb="11">
      <t>ジミン</t>
    </rPh>
    <phoneticPr fontId="3"/>
  </si>
  <si>
    <t>3202比例北関東自民34</t>
    <rPh sb="4" eb="6">
      <t>ヒレイ</t>
    </rPh>
    <rPh sb="6" eb="7">
      <t>キタ</t>
    </rPh>
    <rPh sb="7" eb="9">
      <t>カントウ</t>
    </rPh>
    <rPh sb="9" eb="11">
      <t>ジミン</t>
    </rPh>
    <phoneticPr fontId="3"/>
  </si>
  <si>
    <t>3202比例北関東自民35</t>
    <rPh sb="4" eb="6">
      <t>ヒレイ</t>
    </rPh>
    <rPh sb="6" eb="7">
      <t>キタ</t>
    </rPh>
    <rPh sb="7" eb="9">
      <t>カントウ</t>
    </rPh>
    <rPh sb="9" eb="11">
      <t>ジミン</t>
    </rPh>
    <phoneticPr fontId="3"/>
  </si>
  <si>
    <t>3202比例北関東自民36</t>
    <rPh sb="4" eb="6">
      <t>ヒレイ</t>
    </rPh>
    <rPh sb="6" eb="7">
      <t>キタ</t>
    </rPh>
    <rPh sb="7" eb="9">
      <t>カントウ</t>
    </rPh>
    <rPh sb="9" eb="11">
      <t>ジミン</t>
    </rPh>
    <phoneticPr fontId="3"/>
  </si>
  <si>
    <t>3302比例南関東自民01</t>
    <rPh sb="4" eb="6">
      <t>ヒレイ</t>
    </rPh>
    <rPh sb="6" eb="7">
      <t>ミナミ</t>
    </rPh>
    <rPh sb="7" eb="9">
      <t>カントウ</t>
    </rPh>
    <rPh sb="9" eb="11">
      <t>ジミン</t>
    </rPh>
    <phoneticPr fontId="3"/>
  </si>
  <si>
    <t>3302比例南関東自民02</t>
    <rPh sb="4" eb="6">
      <t>ヒレイ</t>
    </rPh>
    <rPh sb="6" eb="7">
      <t>ミナミ</t>
    </rPh>
    <rPh sb="7" eb="9">
      <t>カントウ</t>
    </rPh>
    <rPh sb="9" eb="11">
      <t>ジミン</t>
    </rPh>
    <phoneticPr fontId="3"/>
  </si>
  <si>
    <t>3302比例南関東自民03</t>
    <rPh sb="4" eb="6">
      <t>ヒレイ</t>
    </rPh>
    <rPh sb="6" eb="7">
      <t>ミナミ</t>
    </rPh>
    <rPh sb="7" eb="9">
      <t>カントウ</t>
    </rPh>
    <rPh sb="9" eb="11">
      <t>ジミン</t>
    </rPh>
    <phoneticPr fontId="3"/>
  </si>
  <si>
    <t>3302比例南関東自民04</t>
    <rPh sb="4" eb="6">
      <t>ヒレイ</t>
    </rPh>
    <rPh sb="6" eb="7">
      <t>ミナミ</t>
    </rPh>
    <rPh sb="7" eb="9">
      <t>カントウ</t>
    </rPh>
    <rPh sb="9" eb="11">
      <t>ジミン</t>
    </rPh>
    <phoneticPr fontId="3"/>
  </si>
  <si>
    <t>3302比例南関東自民05</t>
    <rPh sb="4" eb="6">
      <t>ヒレイ</t>
    </rPh>
    <rPh sb="6" eb="7">
      <t>ミナミ</t>
    </rPh>
    <rPh sb="7" eb="9">
      <t>カントウ</t>
    </rPh>
    <rPh sb="9" eb="11">
      <t>ジミン</t>
    </rPh>
    <phoneticPr fontId="3"/>
  </si>
  <si>
    <t>3302比例南関東自民06</t>
    <rPh sb="4" eb="6">
      <t>ヒレイ</t>
    </rPh>
    <rPh sb="6" eb="7">
      <t>ミナミ</t>
    </rPh>
    <rPh sb="7" eb="9">
      <t>カントウ</t>
    </rPh>
    <rPh sb="9" eb="11">
      <t>ジミン</t>
    </rPh>
    <phoneticPr fontId="3"/>
  </si>
  <si>
    <t>3302比例南関東自民07</t>
    <rPh sb="4" eb="6">
      <t>ヒレイ</t>
    </rPh>
    <rPh sb="6" eb="7">
      <t>ミナミ</t>
    </rPh>
    <rPh sb="7" eb="9">
      <t>カントウ</t>
    </rPh>
    <rPh sb="9" eb="11">
      <t>ジミン</t>
    </rPh>
    <phoneticPr fontId="3"/>
  </si>
  <si>
    <t>3302比例南関東自民08</t>
    <rPh sb="4" eb="6">
      <t>ヒレイ</t>
    </rPh>
    <rPh sb="6" eb="7">
      <t>ミナミ</t>
    </rPh>
    <rPh sb="7" eb="9">
      <t>カントウ</t>
    </rPh>
    <rPh sb="9" eb="11">
      <t>ジミン</t>
    </rPh>
    <phoneticPr fontId="3"/>
  </si>
  <si>
    <t>3302比例南関東自民09</t>
    <rPh sb="4" eb="6">
      <t>ヒレイ</t>
    </rPh>
    <rPh sb="6" eb="7">
      <t>ミナミ</t>
    </rPh>
    <rPh sb="7" eb="9">
      <t>カントウ</t>
    </rPh>
    <rPh sb="9" eb="11">
      <t>ジミン</t>
    </rPh>
    <phoneticPr fontId="3"/>
  </si>
  <si>
    <t>3302比例南関東自民10</t>
    <rPh sb="4" eb="6">
      <t>ヒレイ</t>
    </rPh>
    <rPh sb="6" eb="7">
      <t>ミナミ</t>
    </rPh>
    <rPh sb="7" eb="9">
      <t>カントウ</t>
    </rPh>
    <rPh sb="9" eb="11">
      <t>ジミン</t>
    </rPh>
    <phoneticPr fontId="3"/>
  </si>
  <si>
    <t>3302比例南関東自民11</t>
    <rPh sb="4" eb="6">
      <t>ヒレイ</t>
    </rPh>
    <rPh sb="6" eb="7">
      <t>ミナミ</t>
    </rPh>
    <rPh sb="7" eb="9">
      <t>カントウ</t>
    </rPh>
    <rPh sb="9" eb="11">
      <t>ジミン</t>
    </rPh>
    <phoneticPr fontId="3"/>
  </si>
  <si>
    <t>3302比例南関東自民12</t>
    <rPh sb="4" eb="6">
      <t>ヒレイ</t>
    </rPh>
    <rPh sb="6" eb="7">
      <t>ミナミ</t>
    </rPh>
    <rPh sb="7" eb="9">
      <t>カントウ</t>
    </rPh>
    <rPh sb="9" eb="11">
      <t>ジミン</t>
    </rPh>
    <phoneticPr fontId="3"/>
  </si>
  <si>
    <t>3302比例南関東自民13</t>
    <rPh sb="4" eb="6">
      <t>ヒレイ</t>
    </rPh>
    <rPh sb="6" eb="7">
      <t>ミナミ</t>
    </rPh>
    <rPh sb="7" eb="9">
      <t>カントウ</t>
    </rPh>
    <rPh sb="9" eb="11">
      <t>ジミン</t>
    </rPh>
    <phoneticPr fontId="3"/>
  </si>
  <si>
    <t>3302比例南関東自民14</t>
    <rPh sb="4" eb="6">
      <t>ヒレイ</t>
    </rPh>
    <rPh sb="6" eb="7">
      <t>ミナミ</t>
    </rPh>
    <rPh sb="7" eb="9">
      <t>カントウ</t>
    </rPh>
    <rPh sb="9" eb="11">
      <t>ジミン</t>
    </rPh>
    <phoneticPr fontId="3"/>
  </si>
  <si>
    <t>3302比例南関東自民15</t>
    <rPh sb="4" eb="6">
      <t>ヒレイ</t>
    </rPh>
    <rPh sb="6" eb="7">
      <t>ミナミ</t>
    </rPh>
    <rPh sb="7" eb="9">
      <t>カントウ</t>
    </rPh>
    <rPh sb="9" eb="11">
      <t>ジミン</t>
    </rPh>
    <phoneticPr fontId="3"/>
  </si>
  <si>
    <t>3302比例南関東自民16</t>
    <rPh sb="4" eb="6">
      <t>ヒレイ</t>
    </rPh>
    <rPh sb="6" eb="7">
      <t>ミナミ</t>
    </rPh>
    <rPh sb="7" eb="9">
      <t>カントウ</t>
    </rPh>
    <rPh sb="9" eb="11">
      <t>ジミン</t>
    </rPh>
    <phoneticPr fontId="3"/>
  </si>
  <si>
    <t>3302比例南関東自民17</t>
    <rPh sb="4" eb="6">
      <t>ヒレイ</t>
    </rPh>
    <rPh sb="6" eb="7">
      <t>ミナミ</t>
    </rPh>
    <rPh sb="7" eb="9">
      <t>カントウ</t>
    </rPh>
    <rPh sb="9" eb="11">
      <t>ジミン</t>
    </rPh>
    <phoneticPr fontId="3"/>
  </si>
  <si>
    <t>3302比例南関東自民18</t>
    <rPh sb="4" eb="6">
      <t>ヒレイ</t>
    </rPh>
    <rPh sb="6" eb="7">
      <t>ミナミ</t>
    </rPh>
    <rPh sb="7" eb="9">
      <t>カントウ</t>
    </rPh>
    <rPh sb="9" eb="11">
      <t>ジミン</t>
    </rPh>
    <phoneticPr fontId="3"/>
  </si>
  <si>
    <t>3302比例南関東自民19</t>
    <rPh sb="4" eb="6">
      <t>ヒレイ</t>
    </rPh>
    <rPh sb="6" eb="7">
      <t>ミナミ</t>
    </rPh>
    <rPh sb="7" eb="9">
      <t>カントウ</t>
    </rPh>
    <rPh sb="9" eb="11">
      <t>ジミン</t>
    </rPh>
    <phoneticPr fontId="3"/>
  </si>
  <si>
    <t>3302比例南関東自民20</t>
    <rPh sb="4" eb="6">
      <t>ヒレイ</t>
    </rPh>
    <rPh sb="6" eb="7">
      <t>ミナミ</t>
    </rPh>
    <rPh sb="7" eb="9">
      <t>カントウ</t>
    </rPh>
    <rPh sb="9" eb="11">
      <t>ジミン</t>
    </rPh>
    <phoneticPr fontId="3"/>
  </si>
  <si>
    <t>3302比例南関東自民21</t>
    <rPh sb="4" eb="6">
      <t>ヒレイ</t>
    </rPh>
    <rPh sb="6" eb="7">
      <t>ミナミ</t>
    </rPh>
    <rPh sb="7" eb="9">
      <t>カントウ</t>
    </rPh>
    <rPh sb="9" eb="11">
      <t>ジミン</t>
    </rPh>
    <phoneticPr fontId="3"/>
  </si>
  <si>
    <t>3302比例南関東自民22</t>
    <rPh sb="4" eb="6">
      <t>ヒレイ</t>
    </rPh>
    <rPh sb="6" eb="7">
      <t>ミナミ</t>
    </rPh>
    <rPh sb="7" eb="9">
      <t>カントウ</t>
    </rPh>
    <rPh sb="9" eb="11">
      <t>ジミン</t>
    </rPh>
    <phoneticPr fontId="3"/>
  </si>
  <si>
    <t>3302比例南関東自民23</t>
    <rPh sb="4" eb="6">
      <t>ヒレイ</t>
    </rPh>
    <rPh sb="6" eb="7">
      <t>ミナミ</t>
    </rPh>
    <rPh sb="7" eb="9">
      <t>カントウ</t>
    </rPh>
    <rPh sb="9" eb="11">
      <t>ジミン</t>
    </rPh>
    <phoneticPr fontId="3"/>
  </si>
  <si>
    <t>3302比例南関東自民24</t>
    <rPh sb="4" eb="6">
      <t>ヒレイ</t>
    </rPh>
    <rPh sb="6" eb="7">
      <t>ミナミ</t>
    </rPh>
    <rPh sb="7" eb="9">
      <t>カントウ</t>
    </rPh>
    <rPh sb="9" eb="11">
      <t>ジミン</t>
    </rPh>
    <phoneticPr fontId="3"/>
  </si>
  <si>
    <t>3302比例南関東自民25</t>
    <rPh sb="4" eb="6">
      <t>ヒレイ</t>
    </rPh>
    <rPh sb="6" eb="7">
      <t>ミナミ</t>
    </rPh>
    <rPh sb="7" eb="9">
      <t>カントウ</t>
    </rPh>
    <rPh sb="9" eb="11">
      <t>ジミン</t>
    </rPh>
    <phoneticPr fontId="3"/>
  </si>
  <si>
    <t>3302比例南関東自民26</t>
    <rPh sb="4" eb="6">
      <t>ヒレイ</t>
    </rPh>
    <rPh sb="6" eb="7">
      <t>ミナミ</t>
    </rPh>
    <rPh sb="7" eb="9">
      <t>カントウ</t>
    </rPh>
    <rPh sb="9" eb="11">
      <t>ジミン</t>
    </rPh>
    <phoneticPr fontId="3"/>
  </si>
  <si>
    <t>3302比例南関東自民27</t>
    <rPh sb="4" eb="6">
      <t>ヒレイ</t>
    </rPh>
    <rPh sb="6" eb="7">
      <t>ミナミ</t>
    </rPh>
    <rPh sb="7" eb="9">
      <t>カントウ</t>
    </rPh>
    <rPh sb="9" eb="11">
      <t>ジミン</t>
    </rPh>
    <phoneticPr fontId="3"/>
  </si>
  <si>
    <t>3302比例南関東自民28</t>
    <rPh sb="4" eb="6">
      <t>ヒレイ</t>
    </rPh>
    <rPh sb="6" eb="7">
      <t>ミナミ</t>
    </rPh>
    <rPh sb="7" eb="9">
      <t>カントウ</t>
    </rPh>
    <rPh sb="9" eb="11">
      <t>ジミン</t>
    </rPh>
    <phoneticPr fontId="3"/>
  </si>
  <si>
    <t>3302比例南関東自民29</t>
    <rPh sb="4" eb="6">
      <t>ヒレイ</t>
    </rPh>
    <rPh sb="6" eb="7">
      <t>ミナミ</t>
    </rPh>
    <rPh sb="7" eb="9">
      <t>カントウ</t>
    </rPh>
    <rPh sb="9" eb="11">
      <t>ジミン</t>
    </rPh>
    <phoneticPr fontId="3"/>
  </si>
  <si>
    <t>3302比例南関東自民30</t>
    <rPh sb="4" eb="6">
      <t>ヒレイ</t>
    </rPh>
    <rPh sb="6" eb="7">
      <t>ミナミ</t>
    </rPh>
    <rPh sb="7" eb="9">
      <t>カントウ</t>
    </rPh>
    <rPh sb="9" eb="11">
      <t>ジミン</t>
    </rPh>
    <phoneticPr fontId="3"/>
  </si>
  <si>
    <t>3302比例南関東自民31</t>
    <rPh sb="4" eb="6">
      <t>ヒレイ</t>
    </rPh>
    <rPh sb="6" eb="7">
      <t>ミナミ</t>
    </rPh>
    <rPh sb="7" eb="9">
      <t>カントウ</t>
    </rPh>
    <rPh sb="9" eb="11">
      <t>ジミン</t>
    </rPh>
    <phoneticPr fontId="3"/>
  </si>
  <si>
    <t>3302比例南関東自民32</t>
    <rPh sb="4" eb="6">
      <t>ヒレイ</t>
    </rPh>
    <rPh sb="6" eb="7">
      <t>ミナミ</t>
    </rPh>
    <rPh sb="7" eb="9">
      <t>カントウ</t>
    </rPh>
    <rPh sb="9" eb="11">
      <t>ジミン</t>
    </rPh>
    <phoneticPr fontId="3"/>
  </si>
  <si>
    <t>3302比例南関東自民33</t>
    <rPh sb="4" eb="6">
      <t>ヒレイ</t>
    </rPh>
    <rPh sb="6" eb="7">
      <t>ミナミ</t>
    </rPh>
    <rPh sb="7" eb="9">
      <t>カントウ</t>
    </rPh>
    <rPh sb="9" eb="11">
      <t>ジミン</t>
    </rPh>
    <phoneticPr fontId="3"/>
  </si>
  <si>
    <t>3302比例南関東自民34</t>
    <rPh sb="4" eb="6">
      <t>ヒレイ</t>
    </rPh>
    <rPh sb="6" eb="7">
      <t>ミナミ</t>
    </rPh>
    <rPh sb="7" eb="9">
      <t>カントウ</t>
    </rPh>
    <rPh sb="9" eb="11">
      <t>ジミン</t>
    </rPh>
    <phoneticPr fontId="3"/>
  </si>
  <si>
    <t>3302比例南関東自民35</t>
    <rPh sb="4" eb="6">
      <t>ヒレイ</t>
    </rPh>
    <rPh sb="6" eb="7">
      <t>ミナミ</t>
    </rPh>
    <rPh sb="7" eb="9">
      <t>カントウ</t>
    </rPh>
    <rPh sb="9" eb="11">
      <t>ジミン</t>
    </rPh>
    <phoneticPr fontId="3"/>
  </si>
  <si>
    <t>3402比例東京自民01</t>
    <rPh sb="4" eb="6">
      <t>ヒレイ</t>
    </rPh>
    <rPh sb="6" eb="8">
      <t>トウキョウ</t>
    </rPh>
    <rPh sb="8" eb="10">
      <t>ジミン</t>
    </rPh>
    <phoneticPr fontId="3"/>
  </si>
  <si>
    <t>3402比例東京自民02</t>
    <rPh sb="4" eb="6">
      <t>ヒレイ</t>
    </rPh>
    <rPh sb="6" eb="8">
      <t>トウキョウ</t>
    </rPh>
    <rPh sb="8" eb="10">
      <t>ジミン</t>
    </rPh>
    <phoneticPr fontId="3"/>
  </si>
  <si>
    <t>3402比例東京自民03</t>
    <rPh sb="4" eb="6">
      <t>ヒレイ</t>
    </rPh>
    <rPh sb="6" eb="8">
      <t>トウキョウ</t>
    </rPh>
    <rPh sb="8" eb="10">
      <t>ジミン</t>
    </rPh>
    <phoneticPr fontId="3"/>
  </si>
  <si>
    <t>3402比例東京自民04</t>
    <rPh sb="4" eb="6">
      <t>ヒレイ</t>
    </rPh>
    <rPh sb="6" eb="8">
      <t>トウキョウ</t>
    </rPh>
    <rPh sb="8" eb="10">
      <t>ジミン</t>
    </rPh>
    <phoneticPr fontId="3"/>
  </si>
  <si>
    <t>3402比例東京自民05</t>
    <rPh sb="4" eb="6">
      <t>ヒレイ</t>
    </rPh>
    <rPh sb="6" eb="8">
      <t>トウキョウ</t>
    </rPh>
    <rPh sb="8" eb="10">
      <t>ジミン</t>
    </rPh>
    <phoneticPr fontId="3"/>
  </si>
  <si>
    <t>3402比例東京自民06</t>
    <rPh sb="4" eb="6">
      <t>ヒレイ</t>
    </rPh>
    <rPh sb="6" eb="8">
      <t>トウキョウ</t>
    </rPh>
    <rPh sb="8" eb="10">
      <t>ジミン</t>
    </rPh>
    <phoneticPr fontId="3"/>
  </si>
  <si>
    <t>3402比例東京自民07</t>
    <rPh sb="4" eb="6">
      <t>ヒレイ</t>
    </rPh>
    <rPh sb="6" eb="8">
      <t>トウキョウ</t>
    </rPh>
    <rPh sb="8" eb="10">
      <t>ジミン</t>
    </rPh>
    <phoneticPr fontId="3"/>
  </si>
  <si>
    <t>3402比例東京自民08</t>
    <rPh sb="4" eb="6">
      <t>ヒレイ</t>
    </rPh>
    <rPh sb="6" eb="8">
      <t>トウキョウ</t>
    </rPh>
    <rPh sb="8" eb="10">
      <t>ジミン</t>
    </rPh>
    <phoneticPr fontId="3"/>
  </si>
  <si>
    <t>3402比例東京自民09</t>
    <rPh sb="4" eb="6">
      <t>ヒレイ</t>
    </rPh>
    <rPh sb="6" eb="8">
      <t>トウキョウ</t>
    </rPh>
    <rPh sb="8" eb="10">
      <t>ジミン</t>
    </rPh>
    <phoneticPr fontId="3"/>
  </si>
  <si>
    <t>3402比例東京自民10</t>
    <rPh sb="4" eb="6">
      <t>ヒレイ</t>
    </rPh>
    <rPh sb="6" eb="8">
      <t>トウキョウ</t>
    </rPh>
    <rPh sb="8" eb="10">
      <t>ジミン</t>
    </rPh>
    <phoneticPr fontId="3"/>
  </si>
  <si>
    <t>3402比例東京自民11</t>
    <rPh sb="4" eb="6">
      <t>ヒレイ</t>
    </rPh>
    <rPh sb="6" eb="8">
      <t>トウキョウ</t>
    </rPh>
    <rPh sb="8" eb="10">
      <t>ジミン</t>
    </rPh>
    <phoneticPr fontId="3"/>
  </si>
  <si>
    <t>3402比例東京自民12</t>
    <rPh sb="4" eb="6">
      <t>ヒレイ</t>
    </rPh>
    <rPh sb="6" eb="8">
      <t>トウキョウ</t>
    </rPh>
    <rPh sb="8" eb="10">
      <t>ジミン</t>
    </rPh>
    <phoneticPr fontId="3"/>
  </si>
  <si>
    <t>3402比例東京自民13</t>
    <rPh sb="4" eb="6">
      <t>ヒレイ</t>
    </rPh>
    <rPh sb="6" eb="8">
      <t>トウキョウ</t>
    </rPh>
    <rPh sb="8" eb="10">
      <t>ジミン</t>
    </rPh>
    <phoneticPr fontId="3"/>
  </si>
  <si>
    <t>3402比例東京自民14</t>
    <rPh sb="4" eb="6">
      <t>ヒレイ</t>
    </rPh>
    <rPh sb="6" eb="8">
      <t>トウキョウ</t>
    </rPh>
    <rPh sb="8" eb="10">
      <t>ジミン</t>
    </rPh>
    <phoneticPr fontId="3"/>
  </si>
  <si>
    <t>3402比例東京自民15</t>
    <rPh sb="4" eb="6">
      <t>ヒレイ</t>
    </rPh>
    <rPh sb="6" eb="8">
      <t>トウキョウ</t>
    </rPh>
    <rPh sb="8" eb="10">
      <t>ジミン</t>
    </rPh>
    <phoneticPr fontId="3"/>
  </si>
  <si>
    <t>3402比例東京自民16</t>
    <rPh sb="4" eb="6">
      <t>ヒレイ</t>
    </rPh>
    <rPh sb="6" eb="8">
      <t>トウキョウ</t>
    </rPh>
    <rPh sb="8" eb="10">
      <t>ジミン</t>
    </rPh>
    <phoneticPr fontId="3"/>
  </si>
  <si>
    <t>3402比例東京自民17</t>
    <rPh sb="4" eb="6">
      <t>ヒレイ</t>
    </rPh>
    <rPh sb="6" eb="8">
      <t>トウキョウ</t>
    </rPh>
    <rPh sb="8" eb="10">
      <t>ジミン</t>
    </rPh>
    <phoneticPr fontId="3"/>
  </si>
  <si>
    <t>3402比例東京自民18</t>
    <rPh sb="4" eb="6">
      <t>ヒレイ</t>
    </rPh>
    <rPh sb="6" eb="8">
      <t>トウキョウ</t>
    </rPh>
    <rPh sb="8" eb="10">
      <t>ジミン</t>
    </rPh>
    <phoneticPr fontId="3"/>
  </si>
  <si>
    <t>3402比例東京自民19</t>
    <rPh sb="4" eb="6">
      <t>ヒレイ</t>
    </rPh>
    <rPh sb="6" eb="8">
      <t>トウキョウ</t>
    </rPh>
    <rPh sb="8" eb="10">
      <t>ジミン</t>
    </rPh>
    <phoneticPr fontId="3"/>
  </si>
  <si>
    <t>3402比例東京自民20</t>
    <rPh sb="4" eb="6">
      <t>ヒレイ</t>
    </rPh>
    <rPh sb="6" eb="8">
      <t>トウキョウ</t>
    </rPh>
    <rPh sb="8" eb="10">
      <t>ジミン</t>
    </rPh>
    <phoneticPr fontId="3"/>
  </si>
  <si>
    <t>3402比例東京自民21</t>
    <rPh sb="4" eb="6">
      <t>ヒレイ</t>
    </rPh>
    <rPh sb="6" eb="8">
      <t>トウキョウ</t>
    </rPh>
    <rPh sb="8" eb="10">
      <t>ジミン</t>
    </rPh>
    <phoneticPr fontId="3"/>
  </si>
  <si>
    <t>3402比例東京自民22</t>
    <rPh sb="4" eb="6">
      <t>ヒレイ</t>
    </rPh>
    <rPh sb="6" eb="8">
      <t>トウキョウ</t>
    </rPh>
    <rPh sb="8" eb="10">
      <t>ジミン</t>
    </rPh>
    <phoneticPr fontId="3"/>
  </si>
  <si>
    <t>3402比例東京自民23</t>
    <rPh sb="4" eb="6">
      <t>ヒレイ</t>
    </rPh>
    <rPh sb="6" eb="8">
      <t>トウキョウ</t>
    </rPh>
    <rPh sb="8" eb="10">
      <t>ジミン</t>
    </rPh>
    <phoneticPr fontId="3"/>
  </si>
  <si>
    <t>3402比例東京自民24</t>
    <rPh sb="4" eb="6">
      <t>ヒレイ</t>
    </rPh>
    <rPh sb="6" eb="8">
      <t>トウキョウ</t>
    </rPh>
    <rPh sb="8" eb="10">
      <t>ジミン</t>
    </rPh>
    <phoneticPr fontId="3"/>
  </si>
  <si>
    <t>3402比例東京自民25</t>
    <rPh sb="4" eb="6">
      <t>ヒレイ</t>
    </rPh>
    <rPh sb="6" eb="8">
      <t>トウキョウ</t>
    </rPh>
    <rPh sb="8" eb="10">
      <t>ジミン</t>
    </rPh>
    <phoneticPr fontId="3"/>
  </si>
  <si>
    <t>3402比例東京自民26</t>
    <rPh sb="4" eb="6">
      <t>ヒレイ</t>
    </rPh>
    <rPh sb="6" eb="8">
      <t>トウキョウ</t>
    </rPh>
    <rPh sb="8" eb="10">
      <t>ジミン</t>
    </rPh>
    <phoneticPr fontId="3"/>
  </si>
  <si>
    <t>3402比例東京自民27</t>
    <rPh sb="4" eb="6">
      <t>ヒレイ</t>
    </rPh>
    <rPh sb="6" eb="8">
      <t>トウキョウ</t>
    </rPh>
    <rPh sb="8" eb="10">
      <t>ジミン</t>
    </rPh>
    <phoneticPr fontId="3"/>
  </si>
  <si>
    <t>3402比例東京自民28</t>
    <rPh sb="4" eb="6">
      <t>ヒレイ</t>
    </rPh>
    <rPh sb="6" eb="8">
      <t>トウキョウ</t>
    </rPh>
    <rPh sb="8" eb="10">
      <t>ジミン</t>
    </rPh>
    <phoneticPr fontId="3"/>
  </si>
  <si>
    <t>3402比例東京自民29</t>
    <rPh sb="4" eb="6">
      <t>ヒレイ</t>
    </rPh>
    <rPh sb="6" eb="8">
      <t>トウキョウ</t>
    </rPh>
    <rPh sb="8" eb="10">
      <t>ジミン</t>
    </rPh>
    <phoneticPr fontId="3"/>
  </si>
  <si>
    <t>3502比例北信越自民01</t>
    <rPh sb="4" eb="6">
      <t>ヒレイ</t>
    </rPh>
    <rPh sb="6" eb="9">
      <t>ホクシンエツ</t>
    </rPh>
    <rPh sb="9" eb="11">
      <t>ジミン</t>
    </rPh>
    <phoneticPr fontId="3"/>
  </si>
  <si>
    <t>3502比例北信越自民02</t>
    <rPh sb="4" eb="6">
      <t>ヒレイ</t>
    </rPh>
    <rPh sb="6" eb="9">
      <t>ホクシンエツ</t>
    </rPh>
    <rPh sb="9" eb="11">
      <t>ジミン</t>
    </rPh>
    <phoneticPr fontId="3"/>
  </si>
  <si>
    <t>3502比例北信越自民03</t>
    <rPh sb="4" eb="6">
      <t>ヒレイ</t>
    </rPh>
    <rPh sb="6" eb="9">
      <t>ホクシンエツ</t>
    </rPh>
    <rPh sb="9" eb="11">
      <t>ジミン</t>
    </rPh>
    <phoneticPr fontId="3"/>
  </si>
  <si>
    <t>3502比例北信越自民04</t>
    <rPh sb="4" eb="6">
      <t>ヒレイ</t>
    </rPh>
    <rPh sb="6" eb="9">
      <t>ホクシンエツ</t>
    </rPh>
    <rPh sb="9" eb="11">
      <t>ジミン</t>
    </rPh>
    <phoneticPr fontId="3"/>
  </si>
  <si>
    <t>3502比例北信越自民05</t>
    <rPh sb="4" eb="6">
      <t>ヒレイ</t>
    </rPh>
    <rPh sb="6" eb="9">
      <t>ホクシンエツ</t>
    </rPh>
    <rPh sb="9" eb="11">
      <t>ジミン</t>
    </rPh>
    <phoneticPr fontId="3"/>
  </si>
  <si>
    <t>3502比例北信越自民06</t>
    <rPh sb="4" eb="6">
      <t>ヒレイ</t>
    </rPh>
    <rPh sb="6" eb="9">
      <t>ホクシンエツ</t>
    </rPh>
    <rPh sb="9" eb="11">
      <t>ジミン</t>
    </rPh>
    <phoneticPr fontId="3"/>
  </si>
  <si>
    <t>3502比例北信越自民07</t>
    <rPh sb="4" eb="6">
      <t>ヒレイ</t>
    </rPh>
    <rPh sb="6" eb="9">
      <t>ホクシンエツ</t>
    </rPh>
    <rPh sb="9" eb="11">
      <t>ジミン</t>
    </rPh>
    <phoneticPr fontId="3"/>
  </si>
  <si>
    <t>3502比例北信越自民08</t>
    <rPh sb="4" eb="6">
      <t>ヒレイ</t>
    </rPh>
    <rPh sb="6" eb="9">
      <t>ホクシンエツ</t>
    </rPh>
    <rPh sb="9" eb="11">
      <t>ジミン</t>
    </rPh>
    <phoneticPr fontId="3"/>
  </si>
  <si>
    <t>3502比例北信越自民09</t>
    <rPh sb="4" eb="6">
      <t>ヒレイ</t>
    </rPh>
    <rPh sb="6" eb="9">
      <t>ホクシンエツ</t>
    </rPh>
    <rPh sb="9" eb="11">
      <t>ジミン</t>
    </rPh>
    <phoneticPr fontId="3"/>
  </si>
  <si>
    <t>3502比例北信越自民10</t>
    <rPh sb="4" eb="6">
      <t>ヒレイ</t>
    </rPh>
    <rPh sb="6" eb="9">
      <t>ホクシンエツ</t>
    </rPh>
    <rPh sb="9" eb="11">
      <t>ジミン</t>
    </rPh>
    <phoneticPr fontId="3"/>
  </si>
  <si>
    <t>3502比例北信越自民11</t>
    <rPh sb="4" eb="6">
      <t>ヒレイ</t>
    </rPh>
    <rPh sb="6" eb="9">
      <t>ホクシンエツ</t>
    </rPh>
    <rPh sb="9" eb="11">
      <t>ジミン</t>
    </rPh>
    <phoneticPr fontId="3"/>
  </si>
  <si>
    <t>3502比例北信越自民12</t>
    <rPh sb="4" eb="6">
      <t>ヒレイ</t>
    </rPh>
    <rPh sb="6" eb="9">
      <t>ホクシンエツ</t>
    </rPh>
    <rPh sb="9" eb="11">
      <t>ジミン</t>
    </rPh>
    <phoneticPr fontId="3"/>
  </si>
  <si>
    <t>3502比例北信越自民13</t>
    <rPh sb="4" eb="6">
      <t>ヒレイ</t>
    </rPh>
    <rPh sb="6" eb="9">
      <t>ホクシンエツ</t>
    </rPh>
    <rPh sb="9" eb="11">
      <t>ジミン</t>
    </rPh>
    <phoneticPr fontId="3"/>
  </si>
  <si>
    <t>3502比例北信越自民14</t>
    <rPh sb="4" eb="6">
      <t>ヒレイ</t>
    </rPh>
    <rPh sb="6" eb="9">
      <t>ホクシンエツ</t>
    </rPh>
    <rPh sb="9" eb="11">
      <t>ジミン</t>
    </rPh>
    <phoneticPr fontId="3"/>
  </si>
  <si>
    <t>3502比例北信越自民15</t>
    <rPh sb="4" eb="6">
      <t>ヒレイ</t>
    </rPh>
    <rPh sb="6" eb="9">
      <t>ホクシンエツ</t>
    </rPh>
    <rPh sb="9" eb="11">
      <t>ジミン</t>
    </rPh>
    <phoneticPr fontId="3"/>
  </si>
  <si>
    <t>3502比例北信越自民16</t>
    <rPh sb="4" eb="6">
      <t>ヒレイ</t>
    </rPh>
    <rPh sb="6" eb="9">
      <t>ホクシンエツ</t>
    </rPh>
    <rPh sb="9" eb="11">
      <t>ジミン</t>
    </rPh>
    <phoneticPr fontId="3"/>
  </si>
  <si>
    <t>3502比例北信越自民17</t>
    <rPh sb="4" eb="6">
      <t>ヒレイ</t>
    </rPh>
    <rPh sb="6" eb="9">
      <t>ホクシンエツ</t>
    </rPh>
    <rPh sb="9" eb="11">
      <t>ジミン</t>
    </rPh>
    <phoneticPr fontId="3"/>
  </si>
  <si>
    <t>3502比例北信越自民18</t>
    <rPh sb="4" eb="6">
      <t>ヒレイ</t>
    </rPh>
    <rPh sb="6" eb="9">
      <t>ホクシンエツ</t>
    </rPh>
    <rPh sb="9" eb="11">
      <t>ジミン</t>
    </rPh>
    <phoneticPr fontId="3"/>
  </si>
  <si>
    <t>3502比例北信越自民19</t>
    <rPh sb="4" eb="6">
      <t>ヒレイ</t>
    </rPh>
    <rPh sb="6" eb="9">
      <t>ホクシンエツ</t>
    </rPh>
    <rPh sb="9" eb="11">
      <t>ジミン</t>
    </rPh>
    <phoneticPr fontId="3"/>
  </si>
  <si>
    <t>3502比例北信越自民20</t>
    <rPh sb="4" eb="6">
      <t>ヒレイ</t>
    </rPh>
    <rPh sb="6" eb="9">
      <t>ホクシンエツ</t>
    </rPh>
    <rPh sb="9" eb="11">
      <t>ジミン</t>
    </rPh>
    <phoneticPr fontId="3"/>
  </si>
  <si>
    <t>3502比例北信越自民21</t>
    <rPh sb="4" eb="6">
      <t>ヒレイ</t>
    </rPh>
    <rPh sb="6" eb="9">
      <t>ホクシンエツ</t>
    </rPh>
    <rPh sb="9" eb="11">
      <t>ジミン</t>
    </rPh>
    <phoneticPr fontId="3"/>
  </si>
  <si>
    <t>3502比例北信越自民22</t>
    <rPh sb="4" eb="6">
      <t>ヒレイ</t>
    </rPh>
    <rPh sb="6" eb="9">
      <t>ホクシンエツ</t>
    </rPh>
    <rPh sb="9" eb="11">
      <t>ジミン</t>
    </rPh>
    <phoneticPr fontId="3"/>
  </si>
  <si>
    <t>3502比例北信越自民23</t>
    <rPh sb="4" eb="6">
      <t>ヒレイ</t>
    </rPh>
    <rPh sb="6" eb="9">
      <t>ホクシンエツ</t>
    </rPh>
    <rPh sb="9" eb="11">
      <t>ジミン</t>
    </rPh>
    <phoneticPr fontId="3"/>
  </si>
  <si>
    <t>3502比例北信越自民24</t>
    <rPh sb="4" eb="6">
      <t>ヒレイ</t>
    </rPh>
    <rPh sb="6" eb="9">
      <t>ホクシンエツ</t>
    </rPh>
    <rPh sb="9" eb="11">
      <t>ジミン</t>
    </rPh>
    <phoneticPr fontId="3"/>
  </si>
  <si>
    <t>3502比例北信越自民25</t>
    <rPh sb="4" eb="6">
      <t>ヒレイ</t>
    </rPh>
    <rPh sb="6" eb="9">
      <t>ホクシンエツ</t>
    </rPh>
    <rPh sb="9" eb="11">
      <t>ジミン</t>
    </rPh>
    <phoneticPr fontId="3"/>
  </si>
  <si>
    <t>3602比例東海自民01</t>
    <rPh sb="4" eb="6">
      <t>ヒレイ</t>
    </rPh>
    <rPh sb="6" eb="8">
      <t>トウカイ</t>
    </rPh>
    <rPh sb="8" eb="10">
      <t>ジミン</t>
    </rPh>
    <phoneticPr fontId="3"/>
  </si>
  <si>
    <t>3602比例東海自民02</t>
    <rPh sb="4" eb="6">
      <t>ヒレイ</t>
    </rPh>
    <rPh sb="6" eb="8">
      <t>トウカイ</t>
    </rPh>
    <rPh sb="8" eb="10">
      <t>ジミン</t>
    </rPh>
    <phoneticPr fontId="3"/>
  </si>
  <si>
    <t>3602比例東海自民03</t>
    <rPh sb="4" eb="6">
      <t>ヒレイ</t>
    </rPh>
    <rPh sb="6" eb="8">
      <t>トウカイ</t>
    </rPh>
    <rPh sb="8" eb="10">
      <t>ジミン</t>
    </rPh>
    <phoneticPr fontId="3"/>
  </si>
  <si>
    <t>3602比例東海自民04</t>
    <rPh sb="4" eb="6">
      <t>ヒレイ</t>
    </rPh>
    <rPh sb="6" eb="8">
      <t>トウカイ</t>
    </rPh>
    <rPh sb="8" eb="10">
      <t>ジミン</t>
    </rPh>
    <phoneticPr fontId="3"/>
  </si>
  <si>
    <t>3602比例東海自民05</t>
    <rPh sb="4" eb="6">
      <t>ヒレイ</t>
    </rPh>
    <rPh sb="6" eb="8">
      <t>トウカイ</t>
    </rPh>
    <rPh sb="8" eb="10">
      <t>ジミン</t>
    </rPh>
    <phoneticPr fontId="3"/>
  </si>
  <si>
    <t>3602比例東海自民06</t>
    <rPh sb="4" eb="6">
      <t>ヒレイ</t>
    </rPh>
    <rPh sb="6" eb="8">
      <t>トウカイ</t>
    </rPh>
    <rPh sb="8" eb="10">
      <t>ジミン</t>
    </rPh>
    <phoneticPr fontId="3"/>
  </si>
  <si>
    <t>3602比例東海自民07</t>
    <rPh sb="4" eb="6">
      <t>ヒレイ</t>
    </rPh>
    <rPh sb="6" eb="8">
      <t>トウカイ</t>
    </rPh>
    <rPh sb="8" eb="10">
      <t>ジミン</t>
    </rPh>
    <phoneticPr fontId="3"/>
  </si>
  <si>
    <t>3602比例東海自民08</t>
    <rPh sb="4" eb="6">
      <t>ヒレイ</t>
    </rPh>
    <rPh sb="6" eb="8">
      <t>トウカイ</t>
    </rPh>
    <rPh sb="8" eb="10">
      <t>ジミン</t>
    </rPh>
    <phoneticPr fontId="3"/>
  </si>
  <si>
    <t>3602比例東海自民09</t>
    <rPh sb="4" eb="6">
      <t>ヒレイ</t>
    </rPh>
    <rPh sb="6" eb="8">
      <t>トウカイ</t>
    </rPh>
    <rPh sb="8" eb="10">
      <t>ジミン</t>
    </rPh>
    <phoneticPr fontId="3"/>
  </si>
  <si>
    <t>3602比例東海自民10</t>
    <rPh sb="4" eb="6">
      <t>ヒレイ</t>
    </rPh>
    <rPh sb="6" eb="8">
      <t>トウカイ</t>
    </rPh>
    <rPh sb="8" eb="10">
      <t>ジミン</t>
    </rPh>
    <phoneticPr fontId="3"/>
  </si>
  <si>
    <t>3602比例東海自民11</t>
    <rPh sb="4" eb="6">
      <t>ヒレイ</t>
    </rPh>
    <rPh sb="6" eb="8">
      <t>トウカイ</t>
    </rPh>
    <rPh sb="8" eb="10">
      <t>ジミン</t>
    </rPh>
    <phoneticPr fontId="3"/>
  </si>
  <si>
    <t>3602比例東海自民12</t>
    <rPh sb="4" eb="6">
      <t>ヒレイ</t>
    </rPh>
    <rPh sb="6" eb="8">
      <t>トウカイ</t>
    </rPh>
    <rPh sb="8" eb="10">
      <t>ジミン</t>
    </rPh>
    <phoneticPr fontId="3"/>
  </si>
  <si>
    <t>3602比例東海自民13</t>
    <rPh sb="4" eb="6">
      <t>ヒレイ</t>
    </rPh>
    <rPh sb="6" eb="8">
      <t>トウカイ</t>
    </rPh>
    <rPh sb="8" eb="10">
      <t>ジミン</t>
    </rPh>
    <phoneticPr fontId="3"/>
  </si>
  <si>
    <t>3602比例東海自民14</t>
    <rPh sb="4" eb="6">
      <t>ヒレイ</t>
    </rPh>
    <rPh sb="6" eb="8">
      <t>トウカイ</t>
    </rPh>
    <rPh sb="8" eb="10">
      <t>ジミン</t>
    </rPh>
    <phoneticPr fontId="3"/>
  </si>
  <si>
    <t>3602比例東海自民15</t>
    <rPh sb="4" eb="6">
      <t>ヒレイ</t>
    </rPh>
    <rPh sb="6" eb="8">
      <t>トウカイ</t>
    </rPh>
    <rPh sb="8" eb="10">
      <t>ジミン</t>
    </rPh>
    <phoneticPr fontId="3"/>
  </si>
  <si>
    <t>3602比例東海自民16</t>
    <rPh sb="4" eb="6">
      <t>ヒレイ</t>
    </rPh>
    <rPh sb="6" eb="8">
      <t>トウカイ</t>
    </rPh>
    <rPh sb="8" eb="10">
      <t>ジミン</t>
    </rPh>
    <phoneticPr fontId="3"/>
  </si>
  <si>
    <t>3602比例東海自民17</t>
    <rPh sb="4" eb="6">
      <t>ヒレイ</t>
    </rPh>
    <rPh sb="6" eb="8">
      <t>トウカイ</t>
    </rPh>
    <rPh sb="8" eb="10">
      <t>ジミン</t>
    </rPh>
    <phoneticPr fontId="3"/>
  </si>
  <si>
    <t>3602比例東海自民18</t>
    <rPh sb="4" eb="6">
      <t>ヒレイ</t>
    </rPh>
    <rPh sb="6" eb="8">
      <t>トウカイ</t>
    </rPh>
    <rPh sb="8" eb="10">
      <t>ジミン</t>
    </rPh>
    <phoneticPr fontId="3"/>
  </si>
  <si>
    <t>3602比例東海自民19</t>
    <rPh sb="4" eb="6">
      <t>ヒレイ</t>
    </rPh>
    <rPh sb="6" eb="8">
      <t>トウカイ</t>
    </rPh>
    <rPh sb="8" eb="10">
      <t>ジミン</t>
    </rPh>
    <phoneticPr fontId="3"/>
  </si>
  <si>
    <t>3602比例東海自民20</t>
    <rPh sb="4" eb="6">
      <t>ヒレイ</t>
    </rPh>
    <rPh sb="6" eb="8">
      <t>トウカイ</t>
    </rPh>
    <rPh sb="8" eb="10">
      <t>ジミン</t>
    </rPh>
    <phoneticPr fontId="3"/>
  </si>
  <si>
    <t>3602比例東海自民21</t>
    <rPh sb="4" eb="6">
      <t>ヒレイ</t>
    </rPh>
    <rPh sb="6" eb="8">
      <t>トウカイ</t>
    </rPh>
    <rPh sb="8" eb="10">
      <t>ジミン</t>
    </rPh>
    <phoneticPr fontId="3"/>
  </si>
  <si>
    <t>3602比例東海自民22</t>
    <rPh sb="4" eb="6">
      <t>ヒレイ</t>
    </rPh>
    <rPh sb="6" eb="8">
      <t>トウカイ</t>
    </rPh>
    <rPh sb="8" eb="10">
      <t>ジミン</t>
    </rPh>
    <phoneticPr fontId="3"/>
  </si>
  <si>
    <t>3602比例東海自民23</t>
    <rPh sb="4" eb="6">
      <t>ヒレイ</t>
    </rPh>
    <rPh sb="6" eb="8">
      <t>トウカイ</t>
    </rPh>
    <rPh sb="8" eb="10">
      <t>ジミン</t>
    </rPh>
    <phoneticPr fontId="3"/>
  </si>
  <si>
    <t>3602比例東海自民24</t>
    <rPh sb="4" eb="6">
      <t>ヒレイ</t>
    </rPh>
    <rPh sb="6" eb="8">
      <t>トウカイ</t>
    </rPh>
    <rPh sb="8" eb="10">
      <t>ジミン</t>
    </rPh>
    <phoneticPr fontId="3"/>
  </si>
  <si>
    <t>3602比例東海自民25</t>
    <rPh sb="4" eb="6">
      <t>ヒレイ</t>
    </rPh>
    <rPh sb="6" eb="8">
      <t>トウカイ</t>
    </rPh>
    <rPh sb="8" eb="10">
      <t>ジミン</t>
    </rPh>
    <phoneticPr fontId="3"/>
  </si>
  <si>
    <t>3602比例東海自民26</t>
    <rPh sb="4" eb="6">
      <t>ヒレイ</t>
    </rPh>
    <rPh sb="6" eb="8">
      <t>トウカイ</t>
    </rPh>
    <rPh sb="8" eb="10">
      <t>ジミン</t>
    </rPh>
    <phoneticPr fontId="3"/>
  </si>
  <si>
    <t>3602比例東海自民27</t>
    <rPh sb="4" eb="6">
      <t>ヒレイ</t>
    </rPh>
    <rPh sb="6" eb="8">
      <t>トウカイ</t>
    </rPh>
    <rPh sb="8" eb="10">
      <t>ジミン</t>
    </rPh>
    <phoneticPr fontId="3"/>
  </si>
  <si>
    <t>3602比例東海自民28</t>
    <rPh sb="4" eb="6">
      <t>ヒレイ</t>
    </rPh>
    <rPh sb="6" eb="8">
      <t>トウカイ</t>
    </rPh>
    <rPh sb="8" eb="10">
      <t>ジミン</t>
    </rPh>
    <phoneticPr fontId="3"/>
  </si>
  <si>
    <t>3602比例東海自民29</t>
    <rPh sb="4" eb="6">
      <t>ヒレイ</t>
    </rPh>
    <rPh sb="6" eb="8">
      <t>トウカイ</t>
    </rPh>
    <rPh sb="8" eb="10">
      <t>ジミン</t>
    </rPh>
    <phoneticPr fontId="3"/>
  </si>
  <si>
    <t>3602比例東海自民30</t>
    <rPh sb="4" eb="6">
      <t>ヒレイ</t>
    </rPh>
    <rPh sb="6" eb="8">
      <t>トウカイ</t>
    </rPh>
    <rPh sb="8" eb="10">
      <t>ジミン</t>
    </rPh>
    <phoneticPr fontId="3"/>
  </si>
  <si>
    <t>3602比例東海自民31</t>
    <rPh sb="4" eb="6">
      <t>ヒレイ</t>
    </rPh>
    <rPh sb="6" eb="8">
      <t>トウカイ</t>
    </rPh>
    <rPh sb="8" eb="10">
      <t>ジミン</t>
    </rPh>
    <phoneticPr fontId="3"/>
  </si>
  <si>
    <t>3602比例東海自民32</t>
    <rPh sb="4" eb="6">
      <t>ヒレイ</t>
    </rPh>
    <rPh sb="6" eb="8">
      <t>トウカイ</t>
    </rPh>
    <rPh sb="8" eb="10">
      <t>ジミン</t>
    </rPh>
    <phoneticPr fontId="3"/>
  </si>
  <si>
    <t>3602比例東海自民33</t>
    <rPh sb="4" eb="6">
      <t>ヒレイ</t>
    </rPh>
    <rPh sb="6" eb="8">
      <t>トウカイ</t>
    </rPh>
    <rPh sb="8" eb="10">
      <t>ジミン</t>
    </rPh>
    <phoneticPr fontId="3"/>
  </si>
  <si>
    <t>3602比例東海自民34</t>
    <rPh sb="4" eb="6">
      <t>ヒレイ</t>
    </rPh>
    <rPh sb="6" eb="8">
      <t>トウカイ</t>
    </rPh>
    <rPh sb="8" eb="10">
      <t>ジミン</t>
    </rPh>
    <phoneticPr fontId="3"/>
  </si>
  <si>
    <t>3602比例東海自民35</t>
    <rPh sb="4" eb="6">
      <t>ヒレイ</t>
    </rPh>
    <rPh sb="6" eb="8">
      <t>トウカイ</t>
    </rPh>
    <rPh sb="8" eb="10">
      <t>ジミン</t>
    </rPh>
    <phoneticPr fontId="3"/>
  </si>
  <si>
    <t>3602比例東海自民36</t>
    <rPh sb="4" eb="6">
      <t>ヒレイ</t>
    </rPh>
    <rPh sb="6" eb="8">
      <t>トウカイ</t>
    </rPh>
    <rPh sb="8" eb="10">
      <t>ジミン</t>
    </rPh>
    <phoneticPr fontId="3"/>
  </si>
  <si>
    <t>3702比例近畿自民04</t>
    <rPh sb="4" eb="6">
      <t>ヒレイ</t>
    </rPh>
    <rPh sb="6" eb="8">
      <t>キンキ</t>
    </rPh>
    <rPh sb="8" eb="10">
      <t>ジミン</t>
    </rPh>
    <phoneticPr fontId="3"/>
  </si>
  <si>
    <t>3702比例近畿自民05</t>
    <rPh sb="4" eb="6">
      <t>ヒレイ</t>
    </rPh>
    <rPh sb="6" eb="8">
      <t>キンキ</t>
    </rPh>
    <rPh sb="8" eb="10">
      <t>ジミン</t>
    </rPh>
    <phoneticPr fontId="3"/>
  </si>
  <si>
    <t>3702比例近畿自民06</t>
    <rPh sb="4" eb="6">
      <t>ヒレイ</t>
    </rPh>
    <rPh sb="6" eb="8">
      <t>キンキ</t>
    </rPh>
    <rPh sb="8" eb="10">
      <t>ジミン</t>
    </rPh>
    <phoneticPr fontId="3"/>
  </si>
  <si>
    <t>3702比例近畿自民07</t>
    <rPh sb="4" eb="6">
      <t>ヒレイ</t>
    </rPh>
    <rPh sb="6" eb="8">
      <t>キンキ</t>
    </rPh>
    <rPh sb="8" eb="10">
      <t>ジミン</t>
    </rPh>
    <phoneticPr fontId="3"/>
  </si>
  <si>
    <t>3702比例近畿自民08</t>
    <rPh sb="4" eb="6">
      <t>ヒレイ</t>
    </rPh>
    <rPh sb="6" eb="8">
      <t>キンキ</t>
    </rPh>
    <rPh sb="8" eb="10">
      <t>ジミン</t>
    </rPh>
    <phoneticPr fontId="3"/>
  </si>
  <si>
    <t>3702比例近畿自民09</t>
    <rPh sb="4" eb="6">
      <t>ヒレイ</t>
    </rPh>
    <rPh sb="6" eb="8">
      <t>キンキ</t>
    </rPh>
    <rPh sb="8" eb="10">
      <t>ジミン</t>
    </rPh>
    <phoneticPr fontId="3"/>
  </si>
  <si>
    <t>3702比例近畿自民10</t>
    <rPh sb="4" eb="6">
      <t>ヒレイ</t>
    </rPh>
    <rPh sb="6" eb="8">
      <t>キンキ</t>
    </rPh>
    <rPh sb="8" eb="10">
      <t>ジミン</t>
    </rPh>
    <phoneticPr fontId="3"/>
  </si>
  <si>
    <t>3702比例近畿自民11</t>
    <rPh sb="4" eb="6">
      <t>ヒレイ</t>
    </rPh>
    <rPh sb="6" eb="8">
      <t>キンキ</t>
    </rPh>
    <rPh sb="8" eb="10">
      <t>ジミン</t>
    </rPh>
    <phoneticPr fontId="3"/>
  </si>
  <si>
    <t>3702比例近畿自民12</t>
    <rPh sb="4" eb="6">
      <t>ヒレイ</t>
    </rPh>
    <rPh sb="6" eb="8">
      <t>キンキ</t>
    </rPh>
    <rPh sb="8" eb="10">
      <t>ジミン</t>
    </rPh>
    <phoneticPr fontId="3"/>
  </si>
  <si>
    <t>3702比例近畿自民13</t>
    <rPh sb="4" eb="6">
      <t>ヒレイ</t>
    </rPh>
    <rPh sb="6" eb="8">
      <t>キンキ</t>
    </rPh>
    <rPh sb="8" eb="10">
      <t>ジミン</t>
    </rPh>
    <phoneticPr fontId="3"/>
  </si>
  <si>
    <t>3702比例近畿自民14</t>
    <rPh sb="4" eb="6">
      <t>ヒレイ</t>
    </rPh>
    <rPh sb="6" eb="8">
      <t>キンキ</t>
    </rPh>
    <rPh sb="8" eb="10">
      <t>ジミン</t>
    </rPh>
    <phoneticPr fontId="3"/>
  </si>
  <si>
    <t>3702比例近畿自民15</t>
    <rPh sb="4" eb="6">
      <t>ヒレイ</t>
    </rPh>
    <rPh sb="6" eb="8">
      <t>キンキ</t>
    </rPh>
    <rPh sb="8" eb="10">
      <t>ジミン</t>
    </rPh>
    <phoneticPr fontId="3"/>
  </si>
  <si>
    <t>3702比例近畿自民16</t>
    <rPh sb="4" eb="6">
      <t>ヒレイ</t>
    </rPh>
    <rPh sb="6" eb="8">
      <t>キンキ</t>
    </rPh>
    <rPh sb="8" eb="10">
      <t>ジミン</t>
    </rPh>
    <phoneticPr fontId="3"/>
  </si>
  <si>
    <t>3702比例近畿自民17</t>
    <rPh sb="4" eb="6">
      <t>ヒレイ</t>
    </rPh>
    <rPh sb="6" eb="8">
      <t>キンキ</t>
    </rPh>
    <rPh sb="8" eb="10">
      <t>ジミン</t>
    </rPh>
    <phoneticPr fontId="3"/>
  </si>
  <si>
    <t>3702比例近畿自民18</t>
    <rPh sb="4" eb="6">
      <t>ヒレイ</t>
    </rPh>
    <rPh sb="6" eb="8">
      <t>キンキ</t>
    </rPh>
    <rPh sb="8" eb="10">
      <t>ジミン</t>
    </rPh>
    <phoneticPr fontId="3"/>
  </si>
  <si>
    <t>3702比例近畿自民19</t>
    <rPh sb="4" eb="6">
      <t>ヒレイ</t>
    </rPh>
    <rPh sb="6" eb="8">
      <t>キンキ</t>
    </rPh>
    <rPh sb="8" eb="10">
      <t>ジミン</t>
    </rPh>
    <phoneticPr fontId="3"/>
  </si>
  <si>
    <t>3702比例近畿自民20</t>
    <rPh sb="4" eb="6">
      <t>ヒレイ</t>
    </rPh>
    <rPh sb="6" eb="8">
      <t>キンキ</t>
    </rPh>
    <rPh sb="8" eb="10">
      <t>ジミン</t>
    </rPh>
    <phoneticPr fontId="3"/>
  </si>
  <si>
    <t>3702比例近畿自民21</t>
    <rPh sb="4" eb="6">
      <t>ヒレイ</t>
    </rPh>
    <rPh sb="6" eb="8">
      <t>キンキ</t>
    </rPh>
    <rPh sb="8" eb="10">
      <t>ジミン</t>
    </rPh>
    <phoneticPr fontId="3"/>
  </si>
  <si>
    <t>3702比例近畿自民22</t>
    <rPh sb="4" eb="6">
      <t>ヒレイ</t>
    </rPh>
    <rPh sb="6" eb="8">
      <t>キンキ</t>
    </rPh>
    <rPh sb="8" eb="10">
      <t>ジミン</t>
    </rPh>
    <phoneticPr fontId="3"/>
  </si>
  <si>
    <t>3702比例近畿自民23</t>
    <rPh sb="4" eb="6">
      <t>ヒレイ</t>
    </rPh>
    <rPh sb="6" eb="8">
      <t>キンキ</t>
    </rPh>
    <rPh sb="8" eb="10">
      <t>ジミン</t>
    </rPh>
    <phoneticPr fontId="3"/>
  </si>
  <si>
    <t>3702比例近畿自民24</t>
    <rPh sb="4" eb="6">
      <t>ヒレイ</t>
    </rPh>
    <rPh sb="6" eb="8">
      <t>キンキ</t>
    </rPh>
    <rPh sb="8" eb="10">
      <t>ジミン</t>
    </rPh>
    <phoneticPr fontId="3"/>
  </si>
  <si>
    <t>3702比例近畿自民25</t>
    <rPh sb="4" eb="6">
      <t>ヒレイ</t>
    </rPh>
    <rPh sb="6" eb="8">
      <t>キンキ</t>
    </rPh>
    <rPh sb="8" eb="10">
      <t>ジミン</t>
    </rPh>
    <phoneticPr fontId="3"/>
  </si>
  <si>
    <t>3702比例近畿自民26</t>
    <rPh sb="4" eb="6">
      <t>ヒレイ</t>
    </rPh>
    <rPh sb="6" eb="8">
      <t>キンキ</t>
    </rPh>
    <rPh sb="8" eb="10">
      <t>ジミン</t>
    </rPh>
    <phoneticPr fontId="3"/>
  </si>
  <si>
    <t>3702比例近畿自民27</t>
    <rPh sb="4" eb="6">
      <t>ヒレイ</t>
    </rPh>
    <rPh sb="6" eb="8">
      <t>キンキ</t>
    </rPh>
    <rPh sb="8" eb="10">
      <t>ジミン</t>
    </rPh>
    <phoneticPr fontId="3"/>
  </si>
  <si>
    <t>3702比例近畿自民28</t>
    <rPh sb="4" eb="6">
      <t>ヒレイ</t>
    </rPh>
    <rPh sb="6" eb="8">
      <t>キンキ</t>
    </rPh>
    <rPh sb="8" eb="10">
      <t>ジミン</t>
    </rPh>
    <phoneticPr fontId="3"/>
  </si>
  <si>
    <t>3702比例近畿自民29</t>
    <rPh sb="4" eb="6">
      <t>ヒレイ</t>
    </rPh>
    <rPh sb="6" eb="8">
      <t>キンキ</t>
    </rPh>
    <rPh sb="8" eb="10">
      <t>ジミン</t>
    </rPh>
    <phoneticPr fontId="3"/>
  </si>
  <si>
    <t>3702比例近畿自民30</t>
    <rPh sb="4" eb="6">
      <t>ヒレイ</t>
    </rPh>
    <rPh sb="6" eb="8">
      <t>キンキ</t>
    </rPh>
    <rPh sb="8" eb="10">
      <t>ジミン</t>
    </rPh>
    <phoneticPr fontId="3"/>
  </si>
  <si>
    <t>3702比例近畿自民31</t>
    <rPh sb="4" eb="6">
      <t>ヒレイ</t>
    </rPh>
    <rPh sb="6" eb="8">
      <t>キンキ</t>
    </rPh>
    <rPh sb="8" eb="10">
      <t>ジミン</t>
    </rPh>
    <phoneticPr fontId="3"/>
  </si>
  <si>
    <t>3702比例近畿自民32</t>
    <rPh sb="4" eb="6">
      <t>ヒレイ</t>
    </rPh>
    <rPh sb="6" eb="8">
      <t>キンキ</t>
    </rPh>
    <rPh sb="8" eb="10">
      <t>ジミン</t>
    </rPh>
    <phoneticPr fontId="3"/>
  </si>
  <si>
    <t>3702比例近畿自民33</t>
    <rPh sb="4" eb="6">
      <t>ヒレイ</t>
    </rPh>
    <rPh sb="6" eb="8">
      <t>キンキ</t>
    </rPh>
    <rPh sb="8" eb="10">
      <t>ジミン</t>
    </rPh>
    <phoneticPr fontId="3"/>
  </si>
  <si>
    <t>3702比例近畿自民34</t>
    <rPh sb="4" eb="6">
      <t>ヒレイ</t>
    </rPh>
    <rPh sb="6" eb="8">
      <t>キンキ</t>
    </rPh>
    <rPh sb="8" eb="10">
      <t>ジミン</t>
    </rPh>
    <phoneticPr fontId="3"/>
  </si>
  <si>
    <t>3702比例近畿自民35</t>
    <rPh sb="4" eb="6">
      <t>ヒレイ</t>
    </rPh>
    <rPh sb="6" eb="8">
      <t>キンキ</t>
    </rPh>
    <rPh sb="8" eb="10">
      <t>ジミン</t>
    </rPh>
    <phoneticPr fontId="3"/>
  </si>
  <si>
    <t>3702比例近畿自民36</t>
    <rPh sb="4" eb="6">
      <t>ヒレイ</t>
    </rPh>
    <rPh sb="6" eb="8">
      <t>キンキ</t>
    </rPh>
    <rPh sb="8" eb="10">
      <t>ジミン</t>
    </rPh>
    <phoneticPr fontId="3"/>
  </si>
  <si>
    <t>3702比例近畿自民37</t>
    <rPh sb="4" eb="6">
      <t>ヒレイ</t>
    </rPh>
    <rPh sb="6" eb="8">
      <t>キンキ</t>
    </rPh>
    <rPh sb="8" eb="10">
      <t>ジミン</t>
    </rPh>
    <phoneticPr fontId="3"/>
  </si>
  <si>
    <t>3702比例近畿自民38</t>
    <rPh sb="4" eb="6">
      <t>ヒレイ</t>
    </rPh>
    <rPh sb="6" eb="8">
      <t>キンキ</t>
    </rPh>
    <rPh sb="8" eb="10">
      <t>ジミン</t>
    </rPh>
    <phoneticPr fontId="3"/>
  </si>
  <si>
    <t>3702比例近畿自民39</t>
    <rPh sb="4" eb="6">
      <t>ヒレイ</t>
    </rPh>
    <rPh sb="6" eb="8">
      <t>キンキ</t>
    </rPh>
    <rPh sb="8" eb="10">
      <t>ジミン</t>
    </rPh>
    <phoneticPr fontId="3"/>
  </si>
  <si>
    <t>3802比例中国自民08</t>
    <rPh sb="4" eb="6">
      <t>ヒレイ</t>
    </rPh>
    <rPh sb="6" eb="8">
      <t>チュウゴク</t>
    </rPh>
    <rPh sb="8" eb="10">
      <t>ジミン</t>
    </rPh>
    <phoneticPr fontId="3"/>
  </si>
  <si>
    <t>3802比例中国自民09</t>
    <rPh sb="4" eb="6">
      <t>ヒレイ</t>
    </rPh>
    <rPh sb="6" eb="8">
      <t>チュウゴク</t>
    </rPh>
    <rPh sb="8" eb="10">
      <t>ジミン</t>
    </rPh>
    <phoneticPr fontId="3"/>
  </si>
  <si>
    <t>3802比例中国自民10</t>
    <rPh sb="4" eb="6">
      <t>ヒレイ</t>
    </rPh>
    <rPh sb="6" eb="8">
      <t>チュウゴク</t>
    </rPh>
    <rPh sb="8" eb="10">
      <t>ジミン</t>
    </rPh>
    <phoneticPr fontId="3"/>
  </si>
  <si>
    <t>3802比例中国自民11</t>
    <rPh sb="4" eb="6">
      <t>ヒレイ</t>
    </rPh>
    <rPh sb="6" eb="8">
      <t>チュウゴク</t>
    </rPh>
    <rPh sb="8" eb="10">
      <t>ジミン</t>
    </rPh>
    <phoneticPr fontId="3"/>
  </si>
  <si>
    <t>3802比例中国自民12</t>
    <rPh sb="4" eb="6">
      <t>ヒレイ</t>
    </rPh>
    <rPh sb="6" eb="8">
      <t>チュウゴク</t>
    </rPh>
    <rPh sb="8" eb="10">
      <t>ジミン</t>
    </rPh>
    <phoneticPr fontId="3"/>
  </si>
  <si>
    <t>3802比例中国自民13</t>
    <rPh sb="4" eb="6">
      <t>ヒレイ</t>
    </rPh>
    <rPh sb="6" eb="8">
      <t>チュウゴク</t>
    </rPh>
    <rPh sb="8" eb="10">
      <t>ジミン</t>
    </rPh>
    <phoneticPr fontId="3"/>
  </si>
  <si>
    <t>3802比例中国自民14</t>
    <rPh sb="4" eb="6">
      <t>ヒレイ</t>
    </rPh>
    <rPh sb="6" eb="8">
      <t>チュウゴク</t>
    </rPh>
    <rPh sb="8" eb="10">
      <t>ジミン</t>
    </rPh>
    <phoneticPr fontId="3"/>
  </si>
  <si>
    <t>3802比例中国自民15</t>
    <rPh sb="4" eb="6">
      <t>ヒレイ</t>
    </rPh>
    <rPh sb="6" eb="8">
      <t>チュウゴク</t>
    </rPh>
    <rPh sb="8" eb="10">
      <t>ジミン</t>
    </rPh>
    <phoneticPr fontId="3"/>
  </si>
  <si>
    <t>3802比例中国自民16</t>
    <rPh sb="4" eb="6">
      <t>ヒレイ</t>
    </rPh>
    <rPh sb="6" eb="8">
      <t>チュウゴク</t>
    </rPh>
    <rPh sb="8" eb="10">
      <t>ジミン</t>
    </rPh>
    <phoneticPr fontId="3"/>
  </si>
  <si>
    <t>3802比例中国自民17</t>
    <rPh sb="4" eb="6">
      <t>ヒレイ</t>
    </rPh>
    <rPh sb="6" eb="8">
      <t>チュウゴク</t>
    </rPh>
    <rPh sb="8" eb="10">
      <t>ジミン</t>
    </rPh>
    <phoneticPr fontId="3"/>
  </si>
  <si>
    <t>3802比例中国自民18</t>
    <rPh sb="4" eb="6">
      <t>ヒレイ</t>
    </rPh>
    <rPh sb="6" eb="8">
      <t>チュウゴク</t>
    </rPh>
    <rPh sb="8" eb="10">
      <t>ジミン</t>
    </rPh>
    <phoneticPr fontId="3"/>
  </si>
  <si>
    <t>3802比例中国自民19</t>
    <rPh sb="4" eb="6">
      <t>ヒレイ</t>
    </rPh>
    <rPh sb="6" eb="8">
      <t>チュウゴク</t>
    </rPh>
    <rPh sb="8" eb="10">
      <t>ジミン</t>
    </rPh>
    <phoneticPr fontId="3"/>
  </si>
  <si>
    <t>3802比例中国自民20</t>
    <rPh sb="4" eb="6">
      <t>ヒレイ</t>
    </rPh>
    <rPh sb="6" eb="8">
      <t>チュウゴク</t>
    </rPh>
    <rPh sb="8" eb="10">
      <t>ジミン</t>
    </rPh>
    <phoneticPr fontId="3"/>
  </si>
  <si>
    <t>3802比例中国自民21</t>
    <rPh sb="4" eb="6">
      <t>ヒレイ</t>
    </rPh>
    <rPh sb="6" eb="8">
      <t>チュウゴク</t>
    </rPh>
    <rPh sb="8" eb="10">
      <t>ジミン</t>
    </rPh>
    <phoneticPr fontId="3"/>
  </si>
  <si>
    <t>3802比例中国自民22</t>
    <rPh sb="4" eb="6">
      <t>ヒレイ</t>
    </rPh>
    <rPh sb="6" eb="8">
      <t>チュウゴク</t>
    </rPh>
    <rPh sb="8" eb="10">
      <t>ジミン</t>
    </rPh>
    <phoneticPr fontId="3"/>
  </si>
  <si>
    <t>3802比例中国自民23</t>
    <rPh sb="4" eb="6">
      <t>ヒレイ</t>
    </rPh>
    <rPh sb="6" eb="8">
      <t>チュウゴク</t>
    </rPh>
    <rPh sb="8" eb="10">
      <t>ジミン</t>
    </rPh>
    <phoneticPr fontId="3"/>
  </si>
  <si>
    <t>3802比例中国自民24</t>
    <rPh sb="4" eb="6">
      <t>ヒレイ</t>
    </rPh>
    <rPh sb="6" eb="8">
      <t>チュウゴク</t>
    </rPh>
    <rPh sb="8" eb="10">
      <t>ジミン</t>
    </rPh>
    <phoneticPr fontId="3"/>
  </si>
  <si>
    <t>3802比例中国自民25</t>
    <rPh sb="4" eb="6">
      <t>ヒレイ</t>
    </rPh>
    <rPh sb="6" eb="8">
      <t>チュウゴク</t>
    </rPh>
    <rPh sb="8" eb="10">
      <t>ジミン</t>
    </rPh>
    <phoneticPr fontId="3"/>
  </si>
  <si>
    <t>3802比例中国自民26</t>
    <rPh sb="4" eb="6">
      <t>ヒレイ</t>
    </rPh>
    <rPh sb="6" eb="8">
      <t>チュウゴク</t>
    </rPh>
    <rPh sb="8" eb="10">
      <t>ジミン</t>
    </rPh>
    <phoneticPr fontId="3"/>
  </si>
  <si>
    <t>3902比例四国自民01</t>
    <rPh sb="4" eb="6">
      <t>ヒレイ</t>
    </rPh>
    <rPh sb="6" eb="8">
      <t>シコク</t>
    </rPh>
    <rPh sb="8" eb="10">
      <t>ジミン</t>
    </rPh>
    <phoneticPr fontId="3"/>
  </si>
  <si>
    <t>3902比例四国自民02</t>
    <rPh sb="4" eb="6">
      <t>ヒレイ</t>
    </rPh>
    <rPh sb="6" eb="8">
      <t>シコク</t>
    </rPh>
    <rPh sb="8" eb="10">
      <t>ジミン</t>
    </rPh>
    <phoneticPr fontId="3"/>
  </si>
  <si>
    <t>3902比例四国自民03</t>
    <rPh sb="4" eb="6">
      <t>ヒレイ</t>
    </rPh>
    <rPh sb="6" eb="8">
      <t>シコク</t>
    </rPh>
    <rPh sb="8" eb="10">
      <t>ジミン</t>
    </rPh>
    <phoneticPr fontId="3"/>
  </si>
  <si>
    <t>3902比例四国自民04</t>
    <rPh sb="4" eb="6">
      <t>ヒレイ</t>
    </rPh>
    <rPh sb="6" eb="8">
      <t>シコク</t>
    </rPh>
    <rPh sb="8" eb="10">
      <t>ジミン</t>
    </rPh>
    <phoneticPr fontId="3"/>
  </si>
  <si>
    <t>3902比例四国自民05</t>
    <rPh sb="4" eb="6">
      <t>ヒレイ</t>
    </rPh>
    <rPh sb="6" eb="8">
      <t>シコク</t>
    </rPh>
    <rPh sb="8" eb="10">
      <t>ジミン</t>
    </rPh>
    <phoneticPr fontId="3"/>
  </si>
  <si>
    <t>3902比例四国自民06</t>
    <rPh sb="4" eb="6">
      <t>ヒレイ</t>
    </rPh>
    <rPh sb="6" eb="8">
      <t>シコク</t>
    </rPh>
    <rPh sb="8" eb="10">
      <t>ジミン</t>
    </rPh>
    <phoneticPr fontId="3"/>
  </si>
  <si>
    <t>3902比例四国自民07</t>
    <rPh sb="4" eb="6">
      <t>ヒレイ</t>
    </rPh>
    <rPh sb="6" eb="8">
      <t>シコク</t>
    </rPh>
    <rPh sb="8" eb="10">
      <t>ジミン</t>
    </rPh>
    <phoneticPr fontId="3"/>
  </si>
  <si>
    <t>3902比例四国自民08</t>
    <rPh sb="4" eb="6">
      <t>ヒレイ</t>
    </rPh>
    <rPh sb="6" eb="8">
      <t>シコク</t>
    </rPh>
    <rPh sb="8" eb="10">
      <t>ジミン</t>
    </rPh>
    <phoneticPr fontId="3"/>
  </si>
  <si>
    <t>3902比例四国自民09</t>
    <rPh sb="4" eb="6">
      <t>ヒレイ</t>
    </rPh>
    <rPh sb="6" eb="8">
      <t>シコク</t>
    </rPh>
    <rPh sb="8" eb="10">
      <t>ジミン</t>
    </rPh>
    <phoneticPr fontId="3"/>
  </si>
  <si>
    <t>3902比例四国自民10</t>
    <rPh sb="4" eb="6">
      <t>ヒレイ</t>
    </rPh>
    <rPh sb="6" eb="8">
      <t>シコク</t>
    </rPh>
    <rPh sb="8" eb="10">
      <t>ジミン</t>
    </rPh>
    <phoneticPr fontId="3"/>
  </si>
  <si>
    <t>3902比例四国自民11</t>
    <rPh sb="4" eb="6">
      <t>ヒレイ</t>
    </rPh>
    <rPh sb="6" eb="8">
      <t>シコク</t>
    </rPh>
    <rPh sb="8" eb="10">
      <t>ジミン</t>
    </rPh>
    <phoneticPr fontId="3"/>
  </si>
  <si>
    <t>3902比例四国自民12</t>
    <rPh sb="4" eb="6">
      <t>ヒレイ</t>
    </rPh>
    <rPh sb="6" eb="8">
      <t>シコク</t>
    </rPh>
    <rPh sb="8" eb="10">
      <t>ジミン</t>
    </rPh>
    <phoneticPr fontId="3"/>
  </si>
  <si>
    <t>3902比例四国自民13</t>
    <rPh sb="4" eb="6">
      <t>ヒレイ</t>
    </rPh>
    <rPh sb="6" eb="8">
      <t>シコク</t>
    </rPh>
    <rPh sb="8" eb="10">
      <t>ジミン</t>
    </rPh>
    <phoneticPr fontId="3"/>
  </si>
  <si>
    <t>3902比例四国自民14</t>
    <rPh sb="4" eb="6">
      <t>ヒレイ</t>
    </rPh>
    <rPh sb="6" eb="8">
      <t>シコク</t>
    </rPh>
    <rPh sb="8" eb="10">
      <t>ジミン</t>
    </rPh>
    <phoneticPr fontId="3"/>
  </si>
  <si>
    <t>3902比例四国自民15</t>
    <rPh sb="4" eb="6">
      <t>ヒレイ</t>
    </rPh>
    <rPh sb="6" eb="8">
      <t>シコク</t>
    </rPh>
    <rPh sb="8" eb="10">
      <t>ジミン</t>
    </rPh>
    <phoneticPr fontId="3"/>
  </si>
  <si>
    <t>3902比例四国自民16</t>
    <rPh sb="4" eb="6">
      <t>ヒレイ</t>
    </rPh>
    <rPh sb="6" eb="8">
      <t>シコク</t>
    </rPh>
    <rPh sb="8" eb="10">
      <t>ジミン</t>
    </rPh>
    <phoneticPr fontId="3"/>
  </si>
  <si>
    <t>3902比例四国自民17</t>
    <rPh sb="4" eb="6">
      <t>ヒレイ</t>
    </rPh>
    <rPh sb="6" eb="8">
      <t>シコク</t>
    </rPh>
    <rPh sb="8" eb="10">
      <t>ジミン</t>
    </rPh>
    <phoneticPr fontId="3"/>
  </si>
  <si>
    <t>4002比例九州自民09</t>
    <rPh sb="4" eb="6">
      <t>ヒレイ</t>
    </rPh>
    <rPh sb="6" eb="8">
      <t>キュウシュウ</t>
    </rPh>
    <rPh sb="8" eb="10">
      <t>ジミン</t>
    </rPh>
    <phoneticPr fontId="3"/>
  </si>
  <si>
    <t>4002比例九州自民10</t>
    <rPh sb="4" eb="6">
      <t>ヒレイ</t>
    </rPh>
    <rPh sb="6" eb="8">
      <t>キュウシュウ</t>
    </rPh>
    <rPh sb="8" eb="10">
      <t>ジミン</t>
    </rPh>
    <phoneticPr fontId="3"/>
  </si>
  <si>
    <t>4002比例九州自民11</t>
    <rPh sb="4" eb="6">
      <t>ヒレイ</t>
    </rPh>
    <rPh sb="6" eb="8">
      <t>キュウシュウ</t>
    </rPh>
    <rPh sb="8" eb="10">
      <t>ジミン</t>
    </rPh>
    <phoneticPr fontId="3"/>
  </si>
  <si>
    <t>4002比例九州自民12</t>
    <rPh sb="4" eb="6">
      <t>ヒレイ</t>
    </rPh>
    <rPh sb="6" eb="8">
      <t>キュウシュウ</t>
    </rPh>
    <rPh sb="8" eb="10">
      <t>ジミン</t>
    </rPh>
    <phoneticPr fontId="3"/>
  </si>
  <si>
    <t>4002比例九州自民13</t>
    <rPh sb="4" eb="6">
      <t>ヒレイ</t>
    </rPh>
    <rPh sb="6" eb="8">
      <t>キュウシュウ</t>
    </rPh>
    <rPh sb="8" eb="10">
      <t>ジミン</t>
    </rPh>
    <phoneticPr fontId="3"/>
  </si>
  <si>
    <t>4002比例九州自民14</t>
    <rPh sb="4" eb="6">
      <t>ヒレイ</t>
    </rPh>
    <rPh sb="6" eb="8">
      <t>キュウシュウ</t>
    </rPh>
    <rPh sb="8" eb="10">
      <t>ジミン</t>
    </rPh>
    <phoneticPr fontId="3"/>
  </si>
  <si>
    <t>4002比例九州自民15</t>
    <rPh sb="4" eb="6">
      <t>ヒレイ</t>
    </rPh>
    <rPh sb="6" eb="8">
      <t>キュウシュウ</t>
    </rPh>
    <rPh sb="8" eb="10">
      <t>ジミン</t>
    </rPh>
    <phoneticPr fontId="3"/>
  </si>
  <si>
    <t>4002比例九州自民16</t>
    <rPh sb="4" eb="6">
      <t>ヒレイ</t>
    </rPh>
    <rPh sb="6" eb="8">
      <t>キュウシュウ</t>
    </rPh>
    <rPh sb="8" eb="10">
      <t>ジミン</t>
    </rPh>
    <phoneticPr fontId="3"/>
  </si>
  <si>
    <t>4002比例九州自民17</t>
    <rPh sb="4" eb="6">
      <t>ヒレイ</t>
    </rPh>
    <rPh sb="6" eb="8">
      <t>キュウシュウ</t>
    </rPh>
    <rPh sb="8" eb="10">
      <t>ジミン</t>
    </rPh>
    <phoneticPr fontId="3"/>
  </si>
  <si>
    <t>4002比例九州自民18</t>
    <rPh sb="4" eb="6">
      <t>ヒレイ</t>
    </rPh>
    <rPh sb="6" eb="8">
      <t>キュウシュウ</t>
    </rPh>
    <rPh sb="8" eb="10">
      <t>ジミン</t>
    </rPh>
    <phoneticPr fontId="3"/>
  </si>
  <si>
    <t>4002比例九州自民19</t>
    <rPh sb="4" eb="6">
      <t>ヒレイ</t>
    </rPh>
    <rPh sb="6" eb="8">
      <t>キュウシュウ</t>
    </rPh>
    <rPh sb="8" eb="10">
      <t>ジミン</t>
    </rPh>
    <phoneticPr fontId="3"/>
  </si>
  <si>
    <t>4002比例九州自民20</t>
    <rPh sb="4" eb="6">
      <t>ヒレイ</t>
    </rPh>
    <rPh sb="6" eb="8">
      <t>キュウシュウ</t>
    </rPh>
    <rPh sb="8" eb="10">
      <t>ジミン</t>
    </rPh>
    <phoneticPr fontId="3"/>
  </si>
  <si>
    <t>4002比例九州自民21</t>
    <rPh sb="4" eb="6">
      <t>ヒレイ</t>
    </rPh>
    <rPh sb="6" eb="8">
      <t>キュウシュウ</t>
    </rPh>
    <rPh sb="8" eb="10">
      <t>ジミン</t>
    </rPh>
    <phoneticPr fontId="3"/>
  </si>
  <si>
    <t>4002比例九州自民22</t>
    <rPh sb="4" eb="6">
      <t>ヒレイ</t>
    </rPh>
    <rPh sb="6" eb="8">
      <t>キュウシュウ</t>
    </rPh>
    <rPh sb="8" eb="10">
      <t>ジミン</t>
    </rPh>
    <phoneticPr fontId="3"/>
  </si>
  <si>
    <t>4002比例九州自民23</t>
    <rPh sb="4" eb="6">
      <t>ヒレイ</t>
    </rPh>
    <rPh sb="6" eb="8">
      <t>キュウシュウ</t>
    </rPh>
    <rPh sb="8" eb="10">
      <t>ジミン</t>
    </rPh>
    <phoneticPr fontId="3"/>
  </si>
  <si>
    <t>4002比例九州自民24</t>
    <rPh sb="4" eb="6">
      <t>ヒレイ</t>
    </rPh>
    <rPh sb="6" eb="8">
      <t>キュウシュウ</t>
    </rPh>
    <rPh sb="8" eb="10">
      <t>ジミン</t>
    </rPh>
    <phoneticPr fontId="3"/>
  </si>
  <si>
    <t>4002比例九州自民25</t>
    <rPh sb="4" eb="6">
      <t>ヒレイ</t>
    </rPh>
    <rPh sb="6" eb="8">
      <t>キュウシュウ</t>
    </rPh>
    <rPh sb="8" eb="10">
      <t>ジミン</t>
    </rPh>
    <phoneticPr fontId="3"/>
  </si>
  <si>
    <t>4002比例九州自民26</t>
    <rPh sb="4" eb="6">
      <t>ヒレイ</t>
    </rPh>
    <rPh sb="6" eb="8">
      <t>キュウシュウ</t>
    </rPh>
    <rPh sb="8" eb="10">
      <t>ジミン</t>
    </rPh>
    <phoneticPr fontId="3"/>
  </si>
  <si>
    <t>4002比例九州自民27</t>
    <rPh sb="4" eb="6">
      <t>ヒレイ</t>
    </rPh>
    <rPh sb="6" eb="8">
      <t>キュウシュウ</t>
    </rPh>
    <rPh sb="8" eb="10">
      <t>ジミン</t>
    </rPh>
    <phoneticPr fontId="3"/>
  </si>
  <si>
    <t>4002比例九州自民28</t>
    <rPh sb="4" eb="6">
      <t>ヒレイ</t>
    </rPh>
    <rPh sb="6" eb="8">
      <t>キュウシュウ</t>
    </rPh>
    <rPh sb="8" eb="10">
      <t>ジミン</t>
    </rPh>
    <phoneticPr fontId="3"/>
  </si>
  <si>
    <t>4002比例九州自民29</t>
    <rPh sb="4" eb="6">
      <t>ヒレイ</t>
    </rPh>
    <rPh sb="6" eb="8">
      <t>キュウシュウ</t>
    </rPh>
    <rPh sb="8" eb="10">
      <t>ジミン</t>
    </rPh>
    <phoneticPr fontId="3"/>
  </si>
  <si>
    <t>4002比例九州自民30</t>
    <rPh sb="4" eb="6">
      <t>ヒレイ</t>
    </rPh>
    <rPh sb="6" eb="8">
      <t>キュウシュウ</t>
    </rPh>
    <rPh sb="8" eb="10">
      <t>ジミン</t>
    </rPh>
    <phoneticPr fontId="3"/>
  </si>
  <si>
    <t>4002比例九州自民31</t>
    <rPh sb="4" eb="6">
      <t>ヒレイ</t>
    </rPh>
    <rPh sb="6" eb="8">
      <t>キュウシュウ</t>
    </rPh>
    <rPh sb="8" eb="10">
      <t>ジミン</t>
    </rPh>
    <phoneticPr fontId="3"/>
  </si>
  <si>
    <t>4002比例九州自民32</t>
    <rPh sb="4" eb="6">
      <t>ヒレイ</t>
    </rPh>
    <rPh sb="6" eb="8">
      <t>キュウシュウ</t>
    </rPh>
    <rPh sb="8" eb="10">
      <t>ジミン</t>
    </rPh>
    <phoneticPr fontId="3"/>
  </si>
  <si>
    <t>4002比例九州自民33</t>
    <rPh sb="4" eb="6">
      <t>ヒレイ</t>
    </rPh>
    <rPh sb="6" eb="8">
      <t>キュウシュウ</t>
    </rPh>
    <rPh sb="8" eb="10">
      <t>ジミン</t>
    </rPh>
    <phoneticPr fontId="3"/>
  </si>
  <si>
    <t>4002比例九州自民34</t>
    <rPh sb="4" eb="6">
      <t>ヒレイ</t>
    </rPh>
    <rPh sb="6" eb="8">
      <t>キュウシュウ</t>
    </rPh>
    <rPh sb="8" eb="10">
      <t>ジミン</t>
    </rPh>
    <phoneticPr fontId="3"/>
  </si>
  <si>
    <t>4002比例九州自民35</t>
    <rPh sb="4" eb="6">
      <t>ヒレイ</t>
    </rPh>
    <rPh sb="6" eb="8">
      <t>キュウシュウ</t>
    </rPh>
    <rPh sb="8" eb="10">
      <t>ジミン</t>
    </rPh>
    <phoneticPr fontId="3"/>
  </si>
  <si>
    <t>4002比例九州自民36</t>
    <rPh sb="4" eb="6">
      <t>ヒレイ</t>
    </rPh>
    <rPh sb="6" eb="8">
      <t>キュウシュウ</t>
    </rPh>
    <rPh sb="8" eb="10">
      <t>ジミン</t>
    </rPh>
    <phoneticPr fontId="3"/>
  </si>
  <si>
    <t>4002比例九州自民37</t>
    <rPh sb="4" eb="6">
      <t>ヒレイ</t>
    </rPh>
    <rPh sb="6" eb="8">
      <t>キュウシュウ</t>
    </rPh>
    <rPh sb="8" eb="10">
      <t>ジミン</t>
    </rPh>
    <phoneticPr fontId="3"/>
  </si>
  <si>
    <t>4002比例九州自民38</t>
    <rPh sb="4" eb="6">
      <t>ヒレイ</t>
    </rPh>
    <rPh sb="6" eb="8">
      <t>キュウシュウ</t>
    </rPh>
    <rPh sb="8" eb="10">
      <t>ジミン</t>
    </rPh>
    <phoneticPr fontId="3"/>
  </si>
  <si>
    <t>4002比例九州自民39</t>
    <rPh sb="4" eb="6">
      <t>ヒレイ</t>
    </rPh>
    <rPh sb="6" eb="8">
      <t>キュウシュウ</t>
    </rPh>
    <rPh sb="8" eb="10">
      <t>ジミン</t>
    </rPh>
    <phoneticPr fontId="3"/>
  </si>
  <si>
    <t>4002比例九州自民40</t>
    <rPh sb="4" eb="6">
      <t>ヒレイ</t>
    </rPh>
    <rPh sb="6" eb="8">
      <t>キュウシュウ</t>
    </rPh>
    <rPh sb="8" eb="10">
      <t>ジミン</t>
    </rPh>
    <phoneticPr fontId="3"/>
  </si>
  <si>
    <t>4002比例九州自民41</t>
    <rPh sb="4" eb="6">
      <t>ヒレイ</t>
    </rPh>
    <rPh sb="6" eb="8">
      <t>キュウシュウ</t>
    </rPh>
    <rPh sb="8" eb="10">
      <t>ジミン</t>
    </rPh>
    <phoneticPr fontId="3"/>
  </si>
  <si>
    <t>第46回衆議院議員総選挙　各政党別　候補者数一覧表</t>
    <rPh sb="0" eb="1">
      <t>ダイ</t>
    </rPh>
    <rPh sb="3" eb="4">
      <t>カイ</t>
    </rPh>
    <rPh sb="4" eb="7">
      <t>シュウギイン</t>
    </rPh>
    <rPh sb="7" eb="9">
      <t>ギイン</t>
    </rPh>
    <rPh sb="9" eb="12">
      <t>ソウセンキョ</t>
    </rPh>
    <rPh sb="13" eb="16">
      <t>カクセイトウ</t>
    </rPh>
    <rPh sb="16" eb="17">
      <t>ベツ</t>
    </rPh>
    <rPh sb="18" eb="21">
      <t>コウホシャ</t>
    </rPh>
    <rPh sb="21" eb="22">
      <t>スウ</t>
    </rPh>
    <rPh sb="22" eb="24">
      <t>イチラン</t>
    </rPh>
    <rPh sb="24" eb="25">
      <t>ヒョウ</t>
    </rPh>
    <phoneticPr fontId="3"/>
  </si>
  <si>
    <t>候補者実数(比例重複分)を除く</t>
    <rPh sb="0" eb="3">
      <t>コウホシャ</t>
    </rPh>
    <rPh sb="3" eb="5">
      <t>ジッスウ</t>
    </rPh>
    <rPh sb="6" eb="8">
      <t>ヒレイ</t>
    </rPh>
    <rPh sb="8" eb="11">
      <t>チョウフクブン</t>
    </rPh>
    <rPh sb="13" eb="14">
      <t>ノゾ</t>
    </rPh>
    <phoneticPr fontId="3"/>
  </si>
  <si>
    <t>民主党</t>
    <rPh sb="0" eb="3">
      <t>ミンシュトウ</t>
    </rPh>
    <phoneticPr fontId="3"/>
  </si>
  <si>
    <t>自由民主党</t>
    <rPh sb="0" eb="2">
      <t>ジユウ</t>
    </rPh>
    <rPh sb="2" eb="5">
      <t>ミンシュトウ</t>
    </rPh>
    <phoneticPr fontId="3"/>
  </si>
  <si>
    <t>日本未来の党</t>
    <rPh sb="0" eb="2">
      <t>ニッポン</t>
    </rPh>
    <rPh sb="2" eb="4">
      <t>ミライ</t>
    </rPh>
    <rPh sb="5" eb="6">
      <t>トウ</t>
    </rPh>
    <phoneticPr fontId="3"/>
  </si>
  <si>
    <t>公明党</t>
    <rPh sb="0" eb="3">
      <t>コウメイトウ</t>
    </rPh>
    <phoneticPr fontId="3"/>
  </si>
  <si>
    <t>日本維新の会</t>
    <rPh sb="0" eb="2">
      <t>ニホン</t>
    </rPh>
    <rPh sb="2" eb="4">
      <t>イシン</t>
    </rPh>
    <rPh sb="5" eb="6">
      <t>カイ</t>
    </rPh>
    <phoneticPr fontId="3"/>
  </si>
  <si>
    <t>みんなの党</t>
    <rPh sb="4" eb="5">
      <t>トウ</t>
    </rPh>
    <phoneticPr fontId="3"/>
  </si>
  <si>
    <t>日本共産党</t>
    <rPh sb="0" eb="2">
      <t>ニホン</t>
    </rPh>
    <rPh sb="2" eb="5">
      <t>キョウサントウ</t>
    </rPh>
    <phoneticPr fontId="3"/>
  </si>
  <si>
    <t>社会民主党</t>
    <rPh sb="0" eb="2">
      <t>シャカイ</t>
    </rPh>
    <rPh sb="2" eb="5">
      <t>ミンシュトウ</t>
    </rPh>
    <phoneticPr fontId="3"/>
  </si>
  <si>
    <t>国民新党</t>
    <rPh sb="0" eb="2">
      <t>コクミン</t>
    </rPh>
    <rPh sb="2" eb="4">
      <t>シントウ</t>
    </rPh>
    <phoneticPr fontId="3"/>
  </si>
  <si>
    <t>新党大地</t>
    <rPh sb="0" eb="2">
      <t>シントウ</t>
    </rPh>
    <rPh sb="2" eb="4">
      <t>ダイチ</t>
    </rPh>
    <phoneticPr fontId="3"/>
  </si>
  <si>
    <t>新党改革</t>
    <rPh sb="0" eb="2">
      <t>シントウ</t>
    </rPh>
    <rPh sb="2" eb="4">
      <t>カイカク</t>
    </rPh>
    <phoneticPr fontId="3"/>
  </si>
  <si>
    <t>新党日本</t>
    <rPh sb="0" eb="2">
      <t>シントウ</t>
    </rPh>
    <rPh sb="2" eb="4">
      <t>ニッポン</t>
    </rPh>
    <phoneticPr fontId="3"/>
  </si>
  <si>
    <t>略称</t>
    <rPh sb="0" eb="2">
      <t>リャクショウ</t>
    </rPh>
    <phoneticPr fontId="3"/>
  </si>
  <si>
    <t>民</t>
    <rPh sb="0" eb="1">
      <t>ミン</t>
    </rPh>
    <phoneticPr fontId="3"/>
  </si>
  <si>
    <t>自民党</t>
    <rPh sb="0" eb="3">
      <t>ジミントウ</t>
    </rPh>
    <phoneticPr fontId="3"/>
  </si>
  <si>
    <t>自</t>
    <rPh sb="0" eb="1">
      <t>ジ</t>
    </rPh>
    <phoneticPr fontId="3"/>
  </si>
  <si>
    <t>未来</t>
    <rPh sb="0" eb="2">
      <t>ミライ</t>
    </rPh>
    <phoneticPr fontId="3"/>
  </si>
  <si>
    <t>未</t>
    <rPh sb="0" eb="1">
      <t>ミ</t>
    </rPh>
    <phoneticPr fontId="3"/>
  </si>
  <si>
    <t>公</t>
    <rPh sb="0" eb="1">
      <t>コウ</t>
    </rPh>
    <phoneticPr fontId="3"/>
  </si>
  <si>
    <t>維新</t>
    <rPh sb="0" eb="2">
      <t>イシン</t>
    </rPh>
    <phoneticPr fontId="3"/>
  </si>
  <si>
    <t>維</t>
    <rPh sb="0" eb="1">
      <t>イ</t>
    </rPh>
    <phoneticPr fontId="3"/>
  </si>
  <si>
    <t>みんな</t>
    <phoneticPr fontId="3"/>
  </si>
  <si>
    <t>み</t>
    <phoneticPr fontId="3"/>
  </si>
  <si>
    <t>共産党</t>
    <rPh sb="0" eb="3">
      <t>キョウサントウ</t>
    </rPh>
    <phoneticPr fontId="3"/>
  </si>
  <si>
    <t>共</t>
    <rPh sb="0" eb="1">
      <t>キョウ</t>
    </rPh>
    <phoneticPr fontId="3"/>
  </si>
  <si>
    <t>社民党</t>
    <rPh sb="0" eb="3">
      <t>シャミントウ</t>
    </rPh>
    <phoneticPr fontId="3"/>
  </si>
  <si>
    <t>社</t>
    <rPh sb="0" eb="1">
      <t>シャ</t>
    </rPh>
    <phoneticPr fontId="3"/>
  </si>
  <si>
    <t>国民新</t>
    <rPh sb="0" eb="2">
      <t>コクミン</t>
    </rPh>
    <rPh sb="2" eb="3">
      <t>シン</t>
    </rPh>
    <phoneticPr fontId="3"/>
  </si>
  <si>
    <t>国</t>
    <rPh sb="0" eb="1">
      <t>コク</t>
    </rPh>
    <phoneticPr fontId="3"/>
  </si>
  <si>
    <t>大地</t>
    <rPh sb="0" eb="2">
      <t>ダイチ</t>
    </rPh>
    <phoneticPr fontId="3"/>
  </si>
  <si>
    <t>大</t>
    <rPh sb="0" eb="1">
      <t>ダイ</t>
    </rPh>
    <phoneticPr fontId="3"/>
  </si>
  <si>
    <t>改革</t>
    <rPh sb="0" eb="2">
      <t>カイカク</t>
    </rPh>
    <phoneticPr fontId="3"/>
  </si>
  <si>
    <t>改</t>
    <rPh sb="0" eb="1">
      <t>カイ</t>
    </rPh>
    <phoneticPr fontId="3"/>
  </si>
  <si>
    <t>新日本</t>
    <rPh sb="0" eb="3">
      <t>シンニホン</t>
    </rPh>
    <phoneticPr fontId="3"/>
  </si>
  <si>
    <t>日</t>
    <rPh sb="0" eb="1">
      <t>ニチ</t>
    </rPh>
    <phoneticPr fontId="3"/>
  </si>
  <si>
    <t>小選挙区</t>
    <rPh sb="0" eb="4">
      <t>ショウセンキョク</t>
    </rPh>
    <phoneticPr fontId="3"/>
  </si>
  <si>
    <t>比例代表</t>
    <rPh sb="0" eb="2">
      <t>ヒレイ</t>
    </rPh>
    <rPh sb="2" eb="4">
      <t>ダイヒョウ</t>
    </rPh>
    <phoneticPr fontId="3"/>
  </si>
  <si>
    <t>総計</t>
    <rPh sb="0" eb="2">
      <t>ソウケイ</t>
    </rPh>
    <phoneticPr fontId="3"/>
  </si>
  <si>
    <t>前</t>
    <rPh sb="0" eb="1">
      <t>ゼン</t>
    </rPh>
    <phoneticPr fontId="3"/>
  </si>
  <si>
    <t>元</t>
    <rPh sb="0" eb="1">
      <t>モト</t>
    </rPh>
    <phoneticPr fontId="3"/>
  </si>
  <si>
    <t>新</t>
    <rPh sb="0" eb="1">
      <t>シン</t>
    </rPh>
    <phoneticPr fontId="3"/>
  </si>
  <si>
    <t>諸派</t>
    <rPh sb="0" eb="2">
      <t>ショハ</t>
    </rPh>
    <phoneticPr fontId="3"/>
  </si>
  <si>
    <t>諸</t>
    <rPh sb="0" eb="1">
      <t>ショ</t>
    </rPh>
    <phoneticPr fontId="3"/>
  </si>
  <si>
    <t>無所属</t>
    <rPh sb="0" eb="3">
      <t>ムショゾク</t>
    </rPh>
    <phoneticPr fontId="3"/>
  </si>
  <si>
    <t>無</t>
    <rPh sb="0" eb="1">
      <t>ム</t>
    </rPh>
    <phoneticPr fontId="3"/>
  </si>
  <si>
    <t>参院議員</t>
    <rPh sb="0" eb="2">
      <t>サンイン</t>
    </rPh>
    <rPh sb="2" eb="4">
      <t>ギイン</t>
    </rPh>
    <phoneticPr fontId="3"/>
  </si>
  <si>
    <t>4007比例九州共産01</t>
    <rPh sb="4" eb="6">
      <t>ヒレイ</t>
    </rPh>
    <rPh sb="6" eb="8">
      <t>キュウシュウ</t>
    </rPh>
    <rPh sb="8" eb="10">
      <t>キョウサン</t>
    </rPh>
    <phoneticPr fontId="3"/>
  </si>
  <si>
    <t>公</t>
    <rPh sb="0" eb="1">
      <t>コウ</t>
    </rPh>
    <phoneticPr fontId="3"/>
  </si>
  <si>
    <t>公</t>
    <rPh sb="0" eb="1">
      <t>コウ</t>
    </rPh>
    <phoneticPr fontId="3"/>
  </si>
  <si>
    <t>4009比例九州国民01</t>
    <rPh sb="4" eb="6">
      <t>ヒレイ</t>
    </rPh>
    <rPh sb="6" eb="8">
      <t>キュウシュウ</t>
    </rPh>
    <rPh sb="8" eb="10">
      <t>コクミン</t>
    </rPh>
    <phoneticPr fontId="3"/>
  </si>
  <si>
    <t>中島　正純</t>
    <rPh sb="0" eb="2">
      <t>ナカジマ</t>
    </rPh>
    <rPh sb="3" eb="5">
      <t>マサズミ</t>
    </rPh>
    <phoneticPr fontId="3"/>
  </si>
  <si>
    <t>大(日本文理)</t>
    <rPh sb="0" eb="1">
      <t>ダイ</t>
    </rPh>
    <rPh sb="2" eb="4">
      <t>ニホン</t>
    </rPh>
    <rPh sb="4" eb="6">
      <t>ブンリ</t>
    </rPh>
    <phoneticPr fontId="3"/>
  </si>
  <si>
    <t>テレビコメンテーター,大阪府警警察官</t>
    <rPh sb="11" eb="13">
      <t>オオサカ</t>
    </rPh>
    <rPh sb="13" eb="15">
      <t>フケイ</t>
    </rPh>
    <rPh sb="15" eb="18">
      <t>ケイサツカン</t>
    </rPh>
    <phoneticPr fontId="3"/>
  </si>
  <si>
    <t>環境政務官，元国民新党国対委長</t>
    <rPh sb="0" eb="2">
      <t>カンキョウ</t>
    </rPh>
    <rPh sb="2" eb="5">
      <t>セイムカン</t>
    </rPh>
    <rPh sb="6" eb="7">
      <t>モト</t>
    </rPh>
    <rPh sb="7" eb="9">
      <t>コクミン</t>
    </rPh>
    <rPh sb="9" eb="11">
      <t>シントウ</t>
    </rPh>
    <rPh sb="11" eb="15">
      <t>コクタイイチョウ</t>
    </rPh>
    <phoneticPr fontId="3"/>
  </si>
  <si>
    <t>194大阪3区</t>
    <rPh sb="3" eb="5">
      <t>オオサカ</t>
    </rPh>
    <rPh sb="6" eb="7">
      <t>ク</t>
    </rPh>
    <phoneticPr fontId="3"/>
  </si>
  <si>
    <t>111東京8区04</t>
    <rPh sb="3" eb="5">
      <t>トウキョウ</t>
    </rPh>
    <rPh sb="6" eb="7">
      <t>ク</t>
    </rPh>
    <phoneticPr fontId="3"/>
  </si>
  <si>
    <t>山本　太郎</t>
    <rPh sb="0" eb="2">
      <t>ヤマモト</t>
    </rPh>
    <rPh sb="3" eb="5">
      <t>タロウ</t>
    </rPh>
    <phoneticPr fontId="3"/>
  </si>
  <si>
    <t>高(箕面自由学園)</t>
    <rPh sb="0" eb="1">
      <t>コウ</t>
    </rPh>
    <rPh sb="2" eb="4">
      <t>ミノオ</t>
    </rPh>
    <rPh sb="4" eb="6">
      <t>ジユウ</t>
    </rPh>
    <rPh sb="6" eb="8">
      <t>ガクエン</t>
    </rPh>
    <phoneticPr fontId="3"/>
  </si>
  <si>
    <t>俳優,市民運動家</t>
    <rPh sb="0" eb="2">
      <t>ハイユウ</t>
    </rPh>
    <rPh sb="3" eb="5">
      <t>シミン</t>
    </rPh>
    <rPh sb="5" eb="8">
      <t>ウンドウカ</t>
    </rPh>
    <phoneticPr fontId="3"/>
  </si>
  <si>
    <t>タ</t>
    <phoneticPr fontId="3"/>
  </si>
  <si>
    <t>059埼玉5区04</t>
    <rPh sb="3" eb="5">
      <t>サイタマ</t>
    </rPh>
    <rPh sb="6" eb="7">
      <t>ク</t>
    </rPh>
    <phoneticPr fontId="3"/>
  </si>
  <si>
    <t>藤島　利久</t>
    <rPh sb="0" eb="2">
      <t>フジシマ</t>
    </rPh>
    <rPh sb="3" eb="5">
      <t>トシヒサ</t>
    </rPh>
    <phoneticPr fontId="3"/>
  </si>
  <si>
    <t>大中(東海)</t>
    <rPh sb="0" eb="1">
      <t>ダイ</t>
    </rPh>
    <rPh sb="1" eb="2">
      <t>チュウ</t>
    </rPh>
    <rPh sb="3" eb="5">
      <t>トウカイ</t>
    </rPh>
    <phoneticPr fontId="3"/>
  </si>
  <si>
    <t>飲食店経営,議員秘書(五島正規,山本有二)</t>
    <rPh sb="0" eb="3">
      <t>インショクテン</t>
    </rPh>
    <rPh sb="3" eb="5">
      <t>ケイエイ</t>
    </rPh>
    <rPh sb="6" eb="8">
      <t>ギイン</t>
    </rPh>
    <rPh sb="8" eb="10">
      <t>ヒショ</t>
    </rPh>
    <rPh sb="11" eb="13">
      <t>ゴトウ</t>
    </rPh>
    <rPh sb="13" eb="15">
      <t>マサノリ</t>
    </rPh>
    <rPh sb="16" eb="18">
      <t>ヤマモト</t>
    </rPh>
    <rPh sb="18" eb="20">
      <t>ユウジ</t>
    </rPh>
    <phoneticPr fontId="3"/>
  </si>
  <si>
    <t>151岐阜3区04</t>
    <rPh sb="3" eb="5">
      <t>ギフ</t>
    </rPh>
    <rPh sb="6" eb="7">
      <t>ク</t>
    </rPh>
    <phoneticPr fontId="3"/>
  </si>
  <si>
    <t>木村　周二</t>
    <rPh sb="0" eb="2">
      <t>キムラ</t>
    </rPh>
    <rPh sb="3" eb="5">
      <t>シュウジ</t>
    </rPh>
    <phoneticPr fontId="3"/>
  </si>
  <si>
    <t>3103比例東北未来02</t>
    <rPh sb="4" eb="6">
      <t>ヒレイ</t>
    </rPh>
    <rPh sb="6" eb="8">
      <t>トウホク</t>
    </rPh>
    <rPh sb="8" eb="10">
      <t>ミライ</t>
    </rPh>
    <phoneticPr fontId="3"/>
  </si>
  <si>
    <t>川口　民一</t>
    <rPh sb="0" eb="2">
      <t>カワグチ</t>
    </rPh>
    <rPh sb="3" eb="4">
      <t>タミ</t>
    </rPh>
    <rPh sb="4" eb="5">
      <t>カズ</t>
    </rPh>
    <phoneticPr fontId="3"/>
  </si>
  <si>
    <t>他(岩手農業学校)</t>
    <rPh sb="0" eb="1">
      <t>ホカ</t>
    </rPh>
    <rPh sb="2" eb="4">
      <t>イワテ</t>
    </rPh>
    <rPh sb="4" eb="6">
      <t>ノウギョウ</t>
    </rPh>
    <rPh sb="6" eb="8">
      <t>ガッコウ</t>
    </rPh>
    <phoneticPr fontId="3"/>
  </si>
  <si>
    <t>岩手県・雫石町長,岩手県議(岩手),岩手県・雫石町議</t>
    <rPh sb="0" eb="3">
      <t>イワテケン</t>
    </rPh>
    <rPh sb="4" eb="6">
      <t>シズクイシ</t>
    </rPh>
    <rPh sb="6" eb="8">
      <t>チョウチョウ</t>
    </rPh>
    <rPh sb="9" eb="11">
      <t>イワテ</t>
    </rPh>
    <rPh sb="11" eb="13">
      <t>ケンギ</t>
    </rPh>
    <rPh sb="14" eb="16">
      <t>イワテ</t>
    </rPh>
    <rPh sb="18" eb="21">
      <t>イワテケン</t>
    </rPh>
    <rPh sb="22" eb="24">
      <t>シズクイシ</t>
    </rPh>
    <rPh sb="24" eb="26">
      <t>チョウギ</t>
    </rPh>
    <phoneticPr fontId="3"/>
  </si>
  <si>
    <t>議首</t>
    <rPh sb="0" eb="1">
      <t>ギ</t>
    </rPh>
    <rPh sb="1" eb="2">
      <t>クビ</t>
    </rPh>
    <phoneticPr fontId="3"/>
  </si>
  <si>
    <t>3903比例四国未来01</t>
    <rPh sb="4" eb="6">
      <t>ヒレイ</t>
    </rPh>
    <rPh sb="6" eb="8">
      <t>シコク</t>
    </rPh>
    <rPh sb="8" eb="10">
      <t>ミライ</t>
    </rPh>
    <phoneticPr fontId="3"/>
  </si>
  <si>
    <t>鷲野　陽子</t>
    <rPh sb="0" eb="2">
      <t>ワシノ</t>
    </rPh>
    <rPh sb="3" eb="5">
      <t>ヨウコ</t>
    </rPh>
    <phoneticPr fontId="3"/>
  </si>
  <si>
    <t>3606比例東海みんな01</t>
    <rPh sb="4" eb="6">
      <t>ヒレイ</t>
    </rPh>
    <rPh sb="6" eb="8">
      <t>トウカイ</t>
    </rPh>
    <phoneticPr fontId="3"/>
  </si>
  <si>
    <t>富岡　由紀夫</t>
    <rPh sb="0" eb="2">
      <t>トミオカ</t>
    </rPh>
    <rPh sb="3" eb="6">
      <t>ユキオ</t>
    </rPh>
    <phoneticPr fontId="3"/>
  </si>
  <si>
    <t>大(早稲田)</t>
    <rPh sb="0" eb="1">
      <t>ダイ</t>
    </rPh>
    <rPh sb="2" eb="5">
      <t>ワセダ</t>
    </rPh>
    <phoneticPr fontId="3"/>
  </si>
  <si>
    <t>銀行員(富士銀行)</t>
    <rPh sb="0" eb="3">
      <t>ギンコウイン</t>
    </rPh>
    <rPh sb="4" eb="6">
      <t>フジ</t>
    </rPh>
    <rPh sb="6" eb="8">
      <t>ギンコウ</t>
    </rPh>
    <phoneticPr fontId="3"/>
  </si>
  <si>
    <t>鞍</t>
    <rPh sb="0" eb="1">
      <t>クラ</t>
    </rPh>
    <phoneticPr fontId="3"/>
  </si>
  <si>
    <t>3806比例中国みんな01</t>
    <rPh sb="4" eb="6">
      <t>ヒレイ</t>
    </rPh>
    <rPh sb="6" eb="8">
      <t>チュウゴク</t>
    </rPh>
    <phoneticPr fontId="3"/>
  </si>
  <si>
    <t>筒井　信雄</t>
    <rPh sb="0" eb="2">
      <t>ツツイ</t>
    </rPh>
    <rPh sb="3" eb="5">
      <t>ノブオ</t>
    </rPh>
    <phoneticPr fontId="3"/>
  </si>
  <si>
    <t>大(大阪)</t>
    <rPh sb="0" eb="1">
      <t>ダイ</t>
    </rPh>
    <rPh sb="2" eb="4">
      <t>オオサカ</t>
    </rPh>
    <phoneticPr fontId="3"/>
  </si>
  <si>
    <t>兵庫県議(西宮市),兵庫県・西宮市議,議員秘書(中田宏)</t>
    <rPh sb="0" eb="2">
      <t>ヒョウゴ</t>
    </rPh>
    <rPh sb="2" eb="4">
      <t>ケンギ</t>
    </rPh>
    <rPh sb="5" eb="8">
      <t>ニシノミヤシ</t>
    </rPh>
    <rPh sb="10" eb="13">
      <t>ヒョウゴケン</t>
    </rPh>
    <rPh sb="14" eb="16">
      <t>ニシノミヤ</t>
    </rPh>
    <rPh sb="16" eb="18">
      <t>シギ</t>
    </rPh>
    <rPh sb="19" eb="21">
      <t>ギイン</t>
    </rPh>
    <rPh sb="21" eb="23">
      <t>ヒショ</t>
    </rPh>
    <rPh sb="24" eb="26">
      <t>ナカダ</t>
    </rPh>
    <rPh sb="26" eb="27">
      <t>ヒロシ</t>
    </rPh>
    <phoneticPr fontId="3"/>
  </si>
  <si>
    <t>議</t>
    <rPh sb="0" eb="1">
      <t>ギ</t>
    </rPh>
    <phoneticPr fontId="3"/>
  </si>
  <si>
    <t>3906比例四国みんな01</t>
    <rPh sb="4" eb="6">
      <t>ヒレイ</t>
    </rPh>
    <rPh sb="6" eb="8">
      <t>シコク</t>
    </rPh>
    <phoneticPr fontId="3"/>
  </si>
  <si>
    <t>中山　照章</t>
    <rPh sb="0" eb="2">
      <t>ナカヤマ</t>
    </rPh>
    <rPh sb="3" eb="5">
      <t>テルアキ</t>
    </rPh>
    <phoneticPr fontId="3"/>
  </si>
  <si>
    <t>会社員(コマツ)</t>
    <rPh sb="0" eb="3">
      <t>カイシャイン</t>
    </rPh>
    <phoneticPr fontId="3"/>
  </si>
  <si>
    <t>3605比例東海維新14</t>
    <rPh sb="4" eb="6">
      <t>ヒレイ</t>
    </rPh>
    <rPh sb="6" eb="8">
      <t>トウカイ</t>
    </rPh>
    <rPh sb="8" eb="10">
      <t>イシン</t>
    </rPh>
    <phoneticPr fontId="3"/>
  </si>
  <si>
    <t>3305比例南関東維新19</t>
    <rPh sb="4" eb="6">
      <t>ヒレイ</t>
    </rPh>
    <rPh sb="6" eb="9">
      <t>ミナミカントウ</t>
    </rPh>
    <rPh sb="9" eb="11">
      <t>イシン</t>
    </rPh>
    <phoneticPr fontId="3"/>
  </si>
  <si>
    <t>3405比例東京維新02</t>
    <rPh sb="4" eb="6">
      <t>ヒレイ</t>
    </rPh>
    <rPh sb="6" eb="8">
      <t>トウキョウ</t>
    </rPh>
    <rPh sb="8" eb="10">
      <t>イシン</t>
    </rPh>
    <phoneticPr fontId="3"/>
  </si>
  <si>
    <t>3405比例東京維新22</t>
    <rPh sb="4" eb="6">
      <t>ヒレイ</t>
    </rPh>
    <rPh sb="6" eb="8">
      <t>トウキョウ</t>
    </rPh>
    <rPh sb="8" eb="10">
      <t>イシン</t>
    </rPh>
    <phoneticPr fontId="3"/>
  </si>
  <si>
    <t>4005比例九州維新19</t>
    <rPh sb="4" eb="6">
      <t>ヒレイ</t>
    </rPh>
    <rPh sb="6" eb="8">
      <t>キュウシュウ</t>
    </rPh>
    <rPh sb="8" eb="10">
      <t>イシン</t>
    </rPh>
    <phoneticPr fontId="3"/>
  </si>
  <si>
    <t>3305比例南関東維新02</t>
    <rPh sb="4" eb="6">
      <t>ヒレイ</t>
    </rPh>
    <rPh sb="6" eb="9">
      <t>ミナミカントウ</t>
    </rPh>
    <rPh sb="9" eb="11">
      <t>イシン</t>
    </rPh>
    <phoneticPr fontId="3"/>
  </si>
  <si>
    <t>3705比例近畿維新11</t>
    <rPh sb="4" eb="6">
      <t>ヒレイ</t>
    </rPh>
    <rPh sb="6" eb="8">
      <t>キンキ</t>
    </rPh>
    <rPh sb="8" eb="10">
      <t>イシン</t>
    </rPh>
    <phoneticPr fontId="3"/>
  </si>
  <si>
    <t>3305比例南関東維新20</t>
    <rPh sb="4" eb="6">
      <t>ヒレイ</t>
    </rPh>
    <rPh sb="6" eb="9">
      <t>ミナミカントウ</t>
    </rPh>
    <rPh sb="9" eb="11">
      <t>イシン</t>
    </rPh>
    <phoneticPr fontId="3"/>
  </si>
  <si>
    <t>3005比例北海道維新04</t>
    <rPh sb="4" eb="6">
      <t>ヒレイ</t>
    </rPh>
    <rPh sb="6" eb="9">
      <t>ホッカイドウ</t>
    </rPh>
    <rPh sb="9" eb="11">
      <t>イシン</t>
    </rPh>
    <phoneticPr fontId="3"/>
  </si>
  <si>
    <t>旧たちあがれ日本職員</t>
    <rPh sb="0" eb="1">
      <t>キュウ</t>
    </rPh>
    <rPh sb="6" eb="8">
      <t>ニホン</t>
    </rPh>
    <rPh sb="8" eb="10">
      <t>ショクイン</t>
    </rPh>
    <phoneticPr fontId="3"/>
  </si>
  <si>
    <t>3505比例北信越維新10</t>
    <rPh sb="4" eb="6">
      <t>ヒレイ</t>
    </rPh>
    <rPh sb="6" eb="9">
      <t>ホクシンエツ</t>
    </rPh>
    <rPh sb="9" eb="11">
      <t>イシン</t>
    </rPh>
    <phoneticPr fontId="3"/>
  </si>
  <si>
    <t>堀居　哲郎</t>
    <rPh sb="0" eb="2">
      <t>ホリイ</t>
    </rPh>
    <rPh sb="3" eb="5">
      <t>テツロウ</t>
    </rPh>
    <phoneticPr fontId="3"/>
  </si>
  <si>
    <t>旧たちあがれ日本青年部員</t>
    <rPh sb="0" eb="1">
      <t>キュウ</t>
    </rPh>
    <rPh sb="6" eb="8">
      <t>ニホン</t>
    </rPh>
    <rPh sb="8" eb="10">
      <t>セイネン</t>
    </rPh>
    <rPh sb="10" eb="12">
      <t>ブイン</t>
    </rPh>
    <phoneticPr fontId="3"/>
  </si>
  <si>
    <t>3705比例近畿維新40</t>
    <rPh sb="4" eb="6">
      <t>ヒレイ</t>
    </rPh>
    <rPh sb="6" eb="8">
      <t>キンキ</t>
    </rPh>
    <rPh sb="8" eb="10">
      <t>イシン</t>
    </rPh>
    <phoneticPr fontId="3"/>
  </si>
  <si>
    <t>喜多　義典</t>
    <rPh sb="0" eb="2">
      <t>キタ</t>
    </rPh>
    <rPh sb="3" eb="5">
      <t>ヨシノリ</t>
    </rPh>
    <phoneticPr fontId="3"/>
  </si>
  <si>
    <t>―</t>
    <phoneticPr fontId="3"/>
  </si>
  <si>
    <t>3805比例中国維新07</t>
    <rPh sb="4" eb="6">
      <t>ヒレイ</t>
    </rPh>
    <rPh sb="6" eb="8">
      <t>チュウゴク</t>
    </rPh>
    <rPh sb="8" eb="10">
      <t>イシン</t>
    </rPh>
    <phoneticPr fontId="3"/>
  </si>
  <si>
    <t>3805比例中国維新08</t>
    <rPh sb="4" eb="6">
      <t>ヒレイ</t>
    </rPh>
    <rPh sb="6" eb="8">
      <t>チュウゴク</t>
    </rPh>
    <rPh sb="8" eb="10">
      <t>イシン</t>
    </rPh>
    <phoneticPr fontId="3"/>
  </si>
  <si>
    <t>国際政治学者,大学教員(拓殖大学研究所客員教授)</t>
    <rPh sb="0" eb="2">
      <t>コクサイ</t>
    </rPh>
    <rPh sb="2" eb="4">
      <t>セイジ</t>
    </rPh>
    <rPh sb="4" eb="6">
      <t>ガクシャ</t>
    </rPh>
    <rPh sb="7" eb="9">
      <t>ダイガク</t>
    </rPh>
    <rPh sb="9" eb="11">
      <t>キョウイン</t>
    </rPh>
    <rPh sb="12" eb="14">
      <t>タクショク</t>
    </rPh>
    <rPh sb="14" eb="16">
      <t>ダイガク</t>
    </rPh>
    <rPh sb="16" eb="19">
      <t>ケンキュウジョ</t>
    </rPh>
    <rPh sb="19" eb="21">
      <t>キャクイン</t>
    </rPh>
    <rPh sb="21" eb="23">
      <t>キョウジュ</t>
    </rPh>
    <phoneticPr fontId="3"/>
  </si>
  <si>
    <t>3905比例四国維新07</t>
    <rPh sb="4" eb="6">
      <t>ヒレイ</t>
    </rPh>
    <rPh sb="6" eb="8">
      <t>シコク</t>
    </rPh>
    <rPh sb="8" eb="10">
      <t>イシン</t>
    </rPh>
    <phoneticPr fontId="3"/>
  </si>
  <si>
    <t>大内　淳司</t>
    <rPh sb="0" eb="2">
      <t>オオウチ</t>
    </rPh>
    <rPh sb="3" eb="5">
      <t>ジュンジ</t>
    </rPh>
    <phoneticPr fontId="3"/>
  </si>
  <si>
    <t>3001比例北海道民主01</t>
    <rPh sb="4" eb="6">
      <t>ヒレイ</t>
    </rPh>
    <rPh sb="6" eb="9">
      <t>ホッカイドウ</t>
    </rPh>
    <rPh sb="9" eb="11">
      <t>ミンシュ</t>
    </rPh>
    <phoneticPr fontId="3"/>
  </si>
  <si>
    <t>3001比例北海道民主02</t>
    <rPh sb="4" eb="6">
      <t>ヒレイ</t>
    </rPh>
    <rPh sb="6" eb="9">
      <t>ホッカイドウ</t>
    </rPh>
    <rPh sb="9" eb="11">
      <t>ミンシュ</t>
    </rPh>
    <phoneticPr fontId="3"/>
  </si>
  <si>
    <t>3001比例北海道民主03</t>
    <rPh sb="4" eb="6">
      <t>ヒレイ</t>
    </rPh>
    <rPh sb="6" eb="9">
      <t>ホッカイドウ</t>
    </rPh>
    <rPh sb="9" eb="11">
      <t>ミンシュ</t>
    </rPh>
    <phoneticPr fontId="3"/>
  </si>
  <si>
    <t>3001比例北海道民主04</t>
    <rPh sb="4" eb="6">
      <t>ヒレイ</t>
    </rPh>
    <rPh sb="6" eb="9">
      <t>ホッカイドウ</t>
    </rPh>
    <rPh sb="9" eb="11">
      <t>ミンシュ</t>
    </rPh>
    <phoneticPr fontId="3"/>
  </si>
  <si>
    <t>3001比例北海道民主05</t>
    <rPh sb="4" eb="6">
      <t>ヒレイ</t>
    </rPh>
    <rPh sb="6" eb="9">
      <t>ホッカイドウ</t>
    </rPh>
    <rPh sb="9" eb="11">
      <t>ミンシュ</t>
    </rPh>
    <phoneticPr fontId="3"/>
  </si>
  <si>
    <t>3001比例北海道民主06</t>
    <rPh sb="4" eb="6">
      <t>ヒレイ</t>
    </rPh>
    <rPh sb="6" eb="9">
      <t>ホッカイドウ</t>
    </rPh>
    <rPh sb="9" eb="11">
      <t>ミンシュ</t>
    </rPh>
    <phoneticPr fontId="3"/>
  </si>
  <si>
    <t>3001比例北海道民主07</t>
    <rPh sb="4" eb="6">
      <t>ヒレイ</t>
    </rPh>
    <rPh sb="6" eb="9">
      <t>ホッカイドウ</t>
    </rPh>
    <rPh sb="9" eb="11">
      <t>ミンシュ</t>
    </rPh>
    <phoneticPr fontId="3"/>
  </si>
  <si>
    <t>3001比例北海道民主08</t>
    <rPh sb="4" eb="6">
      <t>ヒレイ</t>
    </rPh>
    <rPh sb="6" eb="9">
      <t>ホッカイドウ</t>
    </rPh>
    <rPh sb="9" eb="11">
      <t>ミンシュ</t>
    </rPh>
    <phoneticPr fontId="3"/>
  </si>
  <si>
    <t>3001比例北海道民主09</t>
    <rPh sb="4" eb="6">
      <t>ヒレイ</t>
    </rPh>
    <rPh sb="6" eb="9">
      <t>ホッカイドウ</t>
    </rPh>
    <rPh sb="9" eb="11">
      <t>ミンシュ</t>
    </rPh>
    <phoneticPr fontId="3"/>
  </si>
  <si>
    <t>3001比例北海道民主10</t>
    <rPh sb="4" eb="6">
      <t>ヒレイ</t>
    </rPh>
    <rPh sb="6" eb="9">
      <t>ホッカイドウ</t>
    </rPh>
    <rPh sb="9" eb="11">
      <t>ミンシュ</t>
    </rPh>
    <phoneticPr fontId="3"/>
  </si>
  <si>
    <t>3001比例北海道民主11</t>
    <rPh sb="4" eb="6">
      <t>ヒレイ</t>
    </rPh>
    <rPh sb="6" eb="9">
      <t>ホッカイドウ</t>
    </rPh>
    <rPh sb="9" eb="11">
      <t>ミンシュ</t>
    </rPh>
    <phoneticPr fontId="3"/>
  </si>
  <si>
    <t>3101比例東北民主01</t>
    <rPh sb="4" eb="6">
      <t>ヒレイ</t>
    </rPh>
    <rPh sb="6" eb="8">
      <t>トウホク</t>
    </rPh>
    <rPh sb="8" eb="10">
      <t>ミンシュ</t>
    </rPh>
    <phoneticPr fontId="3"/>
  </si>
  <si>
    <t>3101比例東北民主02</t>
    <rPh sb="4" eb="6">
      <t>ヒレイ</t>
    </rPh>
    <rPh sb="6" eb="8">
      <t>トウホク</t>
    </rPh>
    <rPh sb="8" eb="10">
      <t>ミンシュ</t>
    </rPh>
    <phoneticPr fontId="3"/>
  </si>
  <si>
    <t>3101比例東北民主03</t>
    <rPh sb="4" eb="6">
      <t>ヒレイ</t>
    </rPh>
    <rPh sb="6" eb="8">
      <t>トウホク</t>
    </rPh>
    <rPh sb="8" eb="10">
      <t>ミンシュ</t>
    </rPh>
    <phoneticPr fontId="3"/>
  </si>
  <si>
    <t>3101比例東北民主04</t>
    <rPh sb="4" eb="6">
      <t>ヒレイ</t>
    </rPh>
    <rPh sb="6" eb="8">
      <t>トウホク</t>
    </rPh>
    <rPh sb="8" eb="10">
      <t>ミンシュ</t>
    </rPh>
    <phoneticPr fontId="3"/>
  </si>
  <si>
    <t>3101比例東北民主05</t>
    <rPh sb="4" eb="6">
      <t>ヒレイ</t>
    </rPh>
    <rPh sb="6" eb="8">
      <t>トウホク</t>
    </rPh>
    <rPh sb="8" eb="10">
      <t>ミンシュ</t>
    </rPh>
    <phoneticPr fontId="3"/>
  </si>
  <si>
    <t>3101比例東北民主06</t>
    <rPh sb="4" eb="6">
      <t>ヒレイ</t>
    </rPh>
    <rPh sb="6" eb="8">
      <t>トウホク</t>
    </rPh>
    <rPh sb="8" eb="10">
      <t>ミンシュ</t>
    </rPh>
    <phoneticPr fontId="3"/>
  </si>
  <si>
    <t>3101比例東北民主07</t>
    <rPh sb="4" eb="6">
      <t>ヒレイ</t>
    </rPh>
    <rPh sb="6" eb="8">
      <t>トウホク</t>
    </rPh>
    <rPh sb="8" eb="10">
      <t>ミンシュ</t>
    </rPh>
    <phoneticPr fontId="3"/>
  </si>
  <si>
    <t>3101比例東北民主08</t>
    <rPh sb="4" eb="6">
      <t>ヒレイ</t>
    </rPh>
    <rPh sb="6" eb="8">
      <t>トウホク</t>
    </rPh>
    <rPh sb="8" eb="10">
      <t>ミンシュ</t>
    </rPh>
    <phoneticPr fontId="3"/>
  </si>
  <si>
    <t>3101比例東北民主09</t>
    <rPh sb="4" eb="6">
      <t>ヒレイ</t>
    </rPh>
    <rPh sb="6" eb="8">
      <t>トウホク</t>
    </rPh>
    <rPh sb="8" eb="10">
      <t>ミンシュ</t>
    </rPh>
    <phoneticPr fontId="3"/>
  </si>
  <si>
    <t>3101比例東北民主10</t>
    <rPh sb="4" eb="6">
      <t>ヒレイ</t>
    </rPh>
    <rPh sb="6" eb="8">
      <t>トウホク</t>
    </rPh>
    <rPh sb="8" eb="10">
      <t>ミンシュ</t>
    </rPh>
    <phoneticPr fontId="3"/>
  </si>
  <si>
    <t>3101比例東北民主11</t>
    <rPh sb="4" eb="6">
      <t>ヒレイ</t>
    </rPh>
    <rPh sb="6" eb="8">
      <t>トウホク</t>
    </rPh>
    <rPh sb="8" eb="10">
      <t>ミンシュ</t>
    </rPh>
    <phoneticPr fontId="3"/>
  </si>
  <si>
    <t>3101比例東北民主12</t>
    <rPh sb="4" eb="6">
      <t>ヒレイ</t>
    </rPh>
    <rPh sb="6" eb="8">
      <t>トウホク</t>
    </rPh>
    <rPh sb="8" eb="10">
      <t>ミンシュ</t>
    </rPh>
    <phoneticPr fontId="3"/>
  </si>
  <si>
    <t>3101比例東北民主13</t>
    <rPh sb="4" eb="6">
      <t>ヒレイ</t>
    </rPh>
    <rPh sb="6" eb="8">
      <t>トウホク</t>
    </rPh>
    <rPh sb="8" eb="10">
      <t>ミンシュ</t>
    </rPh>
    <phoneticPr fontId="3"/>
  </si>
  <si>
    <t>3101比例東北民主14</t>
    <rPh sb="4" eb="6">
      <t>ヒレイ</t>
    </rPh>
    <rPh sb="6" eb="8">
      <t>トウホク</t>
    </rPh>
    <rPh sb="8" eb="10">
      <t>ミンシュ</t>
    </rPh>
    <phoneticPr fontId="3"/>
  </si>
  <si>
    <t>3101比例東北民主15</t>
    <rPh sb="4" eb="6">
      <t>ヒレイ</t>
    </rPh>
    <rPh sb="6" eb="8">
      <t>トウホク</t>
    </rPh>
    <rPh sb="8" eb="10">
      <t>ミンシュ</t>
    </rPh>
    <phoneticPr fontId="3"/>
  </si>
  <si>
    <t>3101比例東北民主16</t>
    <rPh sb="4" eb="6">
      <t>ヒレイ</t>
    </rPh>
    <rPh sb="6" eb="8">
      <t>トウホク</t>
    </rPh>
    <rPh sb="8" eb="10">
      <t>ミンシュ</t>
    </rPh>
    <phoneticPr fontId="3"/>
  </si>
  <si>
    <t>3101比例東北民主17</t>
    <rPh sb="4" eb="6">
      <t>ヒレイ</t>
    </rPh>
    <rPh sb="6" eb="8">
      <t>トウホク</t>
    </rPh>
    <rPh sb="8" eb="10">
      <t>ミンシュ</t>
    </rPh>
    <phoneticPr fontId="3"/>
  </si>
  <si>
    <t>3101比例東北民主18</t>
    <rPh sb="4" eb="6">
      <t>ヒレイ</t>
    </rPh>
    <rPh sb="6" eb="8">
      <t>トウホク</t>
    </rPh>
    <rPh sb="8" eb="10">
      <t>ミンシュ</t>
    </rPh>
    <phoneticPr fontId="3"/>
  </si>
  <si>
    <t>3101比例東北民主19</t>
    <rPh sb="4" eb="6">
      <t>ヒレイ</t>
    </rPh>
    <rPh sb="6" eb="8">
      <t>トウホク</t>
    </rPh>
    <rPh sb="8" eb="10">
      <t>ミンシュ</t>
    </rPh>
    <phoneticPr fontId="3"/>
  </si>
  <si>
    <t>3101比例東北民主20</t>
    <rPh sb="4" eb="6">
      <t>ヒレイ</t>
    </rPh>
    <rPh sb="6" eb="8">
      <t>トウホク</t>
    </rPh>
    <rPh sb="8" eb="10">
      <t>ミンシュ</t>
    </rPh>
    <phoneticPr fontId="3"/>
  </si>
  <si>
    <t>3101比例東北民主21</t>
    <rPh sb="4" eb="6">
      <t>ヒレイ</t>
    </rPh>
    <rPh sb="6" eb="8">
      <t>トウホク</t>
    </rPh>
    <rPh sb="8" eb="10">
      <t>ミンシュ</t>
    </rPh>
    <phoneticPr fontId="3"/>
  </si>
  <si>
    <t>3101比例東北民主22</t>
    <rPh sb="4" eb="6">
      <t>ヒレイ</t>
    </rPh>
    <rPh sb="6" eb="8">
      <t>トウホク</t>
    </rPh>
    <rPh sb="8" eb="10">
      <t>ミンシュ</t>
    </rPh>
    <phoneticPr fontId="3"/>
  </si>
  <si>
    <t>3201比例北関東民主01</t>
    <rPh sb="4" eb="6">
      <t>ヒレイ</t>
    </rPh>
    <rPh sb="6" eb="9">
      <t>キタカントウ</t>
    </rPh>
    <rPh sb="9" eb="11">
      <t>ミンシュ</t>
    </rPh>
    <phoneticPr fontId="3"/>
  </si>
  <si>
    <t>3201比例北関東民主02</t>
    <rPh sb="4" eb="6">
      <t>ヒレイ</t>
    </rPh>
    <rPh sb="6" eb="9">
      <t>キタカントウ</t>
    </rPh>
    <rPh sb="9" eb="11">
      <t>ミンシュ</t>
    </rPh>
    <phoneticPr fontId="3"/>
  </si>
  <si>
    <t>3201比例北関東民主03</t>
    <rPh sb="4" eb="6">
      <t>ヒレイ</t>
    </rPh>
    <rPh sb="6" eb="9">
      <t>キタカントウ</t>
    </rPh>
    <rPh sb="9" eb="11">
      <t>ミンシュ</t>
    </rPh>
    <phoneticPr fontId="3"/>
  </si>
  <si>
    <t>3201比例北関東民主04</t>
    <rPh sb="4" eb="6">
      <t>ヒレイ</t>
    </rPh>
    <rPh sb="6" eb="9">
      <t>キタカントウ</t>
    </rPh>
    <rPh sb="9" eb="11">
      <t>ミンシュ</t>
    </rPh>
    <phoneticPr fontId="3"/>
  </si>
  <si>
    <t>3201比例北関東民主05</t>
    <rPh sb="4" eb="6">
      <t>ヒレイ</t>
    </rPh>
    <rPh sb="6" eb="9">
      <t>キタカントウ</t>
    </rPh>
    <rPh sb="9" eb="11">
      <t>ミンシュ</t>
    </rPh>
    <phoneticPr fontId="3"/>
  </si>
  <si>
    <t>3201比例北関東民主06</t>
    <rPh sb="4" eb="6">
      <t>ヒレイ</t>
    </rPh>
    <rPh sb="6" eb="9">
      <t>キタカントウ</t>
    </rPh>
    <rPh sb="9" eb="11">
      <t>ミンシュ</t>
    </rPh>
    <phoneticPr fontId="3"/>
  </si>
  <si>
    <t>3201比例北関東民主07</t>
    <rPh sb="4" eb="6">
      <t>ヒレイ</t>
    </rPh>
    <rPh sb="6" eb="9">
      <t>キタカントウ</t>
    </rPh>
    <rPh sb="9" eb="11">
      <t>ミンシュ</t>
    </rPh>
    <phoneticPr fontId="3"/>
  </si>
  <si>
    <t>3201比例北関東民主08</t>
    <rPh sb="4" eb="6">
      <t>ヒレイ</t>
    </rPh>
    <rPh sb="6" eb="9">
      <t>キタカントウ</t>
    </rPh>
    <rPh sb="9" eb="11">
      <t>ミンシュ</t>
    </rPh>
    <phoneticPr fontId="3"/>
  </si>
  <si>
    <t>3201比例北関東民主09</t>
    <rPh sb="4" eb="6">
      <t>ヒレイ</t>
    </rPh>
    <rPh sb="6" eb="9">
      <t>キタカントウ</t>
    </rPh>
    <rPh sb="9" eb="11">
      <t>ミンシュ</t>
    </rPh>
    <phoneticPr fontId="3"/>
  </si>
  <si>
    <t>3201比例北関東民主10</t>
    <rPh sb="4" eb="6">
      <t>ヒレイ</t>
    </rPh>
    <rPh sb="6" eb="9">
      <t>キタカントウ</t>
    </rPh>
    <rPh sb="9" eb="11">
      <t>ミンシュ</t>
    </rPh>
    <phoneticPr fontId="3"/>
  </si>
  <si>
    <t>3201比例北関東民主11</t>
    <rPh sb="4" eb="6">
      <t>ヒレイ</t>
    </rPh>
    <rPh sb="6" eb="9">
      <t>キタカントウ</t>
    </rPh>
    <rPh sb="9" eb="11">
      <t>ミンシュ</t>
    </rPh>
    <phoneticPr fontId="3"/>
  </si>
  <si>
    <t>3201比例北関東民主12</t>
    <rPh sb="4" eb="6">
      <t>ヒレイ</t>
    </rPh>
    <rPh sb="6" eb="9">
      <t>キタカントウ</t>
    </rPh>
    <rPh sb="9" eb="11">
      <t>ミンシュ</t>
    </rPh>
    <phoneticPr fontId="3"/>
  </si>
  <si>
    <t>3201比例北関東民主13</t>
    <rPh sb="4" eb="6">
      <t>ヒレイ</t>
    </rPh>
    <rPh sb="6" eb="9">
      <t>キタカントウ</t>
    </rPh>
    <rPh sb="9" eb="11">
      <t>ミンシュ</t>
    </rPh>
    <phoneticPr fontId="3"/>
  </si>
  <si>
    <t>3201比例北関東民主14</t>
    <rPh sb="4" eb="6">
      <t>ヒレイ</t>
    </rPh>
    <rPh sb="6" eb="9">
      <t>キタカントウ</t>
    </rPh>
    <rPh sb="9" eb="11">
      <t>ミンシュ</t>
    </rPh>
    <phoneticPr fontId="3"/>
  </si>
  <si>
    <t>3201比例北関東民主15</t>
    <rPh sb="4" eb="6">
      <t>ヒレイ</t>
    </rPh>
    <rPh sb="6" eb="9">
      <t>キタカントウ</t>
    </rPh>
    <rPh sb="9" eb="11">
      <t>ミンシュ</t>
    </rPh>
    <phoneticPr fontId="3"/>
  </si>
  <si>
    <t>3201比例北関東民主16</t>
    <rPh sb="4" eb="6">
      <t>ヒレイ</t>
    </rPh>
    <rPh sb="6" eb="9">
      <t>キタカントウ</t>
    </rPh>
    <rPh sb="9" eb="11">
      <t>ミンシュ</t>
    </rPh>
    <phoneticPr fontId="3"/>
  </si>
  <si>
    <t>3201比例北関東民主17</t>
    <rPh sb="4" eb="6">
      <t>ヒレイ</t>
    </rPh>
    <rPh sb="6" eb="9">
      <t>キタカントウ</t>
    </rPh>
    <rPh sb="9" eb="11">
      <t>ミンシュ</t>
    </rPh>
    <phoneticPr fontId="3"/>
  </si>
  <si>
    <t>3201比例北関東民主18</t>
    <rPh sb="4" eb="6">
      <t>ヒレイ</t>
    </rPh>
    <rPh sb="6" eb="9">
      <t>キタカントウ</t>
    </rPh>
    <rPh sb="9" eb="11">
      <t>ミンシュ</t>
    </rPh>
    <phoneticPr fontId="3"/>
  </si>
  <si>
    <t>3201比例北関東民主19</t>
    <rPh sb="4" eb="6">
      <t>ヒレイ</t>
    </rPh>
    <rPh sb="6" eb="9">
      <t>キタカントウ</t>
    </rPh>
    <rPh sb="9" eb="11">
      <t>ミンシュ</t>
    </rPh>
    <phoneticPr fontId="3"/>
  </si>
  <si>
    <t>3201比例北関東民主20</t>
    <rPh sb="4" eb="6">
      <t>ヒレイ</t>
    </rPh>
    <rPh sb="6" eb="9">
      <t>キタカントウ</t>
    </rPh>
    <rPh sb="9" eb="11">
      <t>ミンシュ</t>
    </rPh>
    <phoneticPr fontId="3"/>
  </si>
  <si>
    <t>3201比例北関東民主21</t>
    <rPh sb="4" eb="6">
      <t>ヒレイ</t>
    </rPh>
    <rPh sb="6" eb="9">
      <t>キタカントウ</t>
    </rPh>
    <rPh sb="9" eb="11">
      <t>ミンシュ</t>
    </rPh>
    <phoneticPr fontId="3"/>
  </si>
  <si>
    <t>3201比例北関東民主22</t>
    <rPh sb="4" eb="6">
      <t>ヒレイ</t>
    </rPh>
    <rPh sb="6" eb="9">
      <t>キタカントウ</t>
    </rPh>
    <rPh sb="9" eb="11">
      <t>ミンシュ</t>
    </rPh>
    <phoneticPr fontId="3"/>
  </si>
  <si>
    <t>3201比例北関東民主23</t>
    <rPh sb="4" eb="6">
      <t>ヒレイ</t>
    </rPh>
    <rPh sb="6" eb="9">
      <t>キタカントウ</t>
    </rPh>
    <rPh sb="9" eb="11">
      <t>ミンシュ</t>
    </rPh>
    <phoneticPr fontId="3"/>
  </si>
  <si>
    <t>3201比例北関東民主24</t>
    <rPh sb="4" eb="6">
      <t>ヒレイ</t>
    </rPh>
    <rPh sb="6" eb="9">
      <t>キタカントウ</t>
    </rPh>
    <rPh sb="9" eb="11">
      <t>ミンシュ</t>
    </rPh>
    <phoneticPr fontId="3"/>
  </si>
  <si>
    <t>3201比例北関東民主25</t>
    <rPh sb="4" eb="6">
      <t>ヒレイ</t>
    </rPh>
    <rPh sb="6" eb="9">
      <t>キタカントウ</t>
    </rPh>
    <rPh sb="9" eb="11">
      <t>ミンシュ</t>
    </rPh>
    <phoneticPr fontId="3"/>
  </si>
  <si>
    <t>3201比例北関東民主26</t>
    <rPh sb="4" eb="6">
      <t>ヒレイ</t>
    </rPh>
    <rPh sb="6" eb="9">
      <t>キタカントウ</t>
    </rPh>
    <rPh sb="9" eb="11">
      <t>ミンシュ</t>
    </rPh>
    <phoneticPr fontId="3"/>
  </si>
  <si>
    <t>3201比例北関東民主27</t>
    <rPh sb="4" eb="6">
      <t>ヒレイ</t>
    </rPh>
    <rPh sb="6" eb="9">
      <t>キタカントウ</t>
    </rPh>
    <rPh sb="9" eb="11">
      <t>ミンシュ</t>
    </rPh>
    <phoneticPr fontId="3"/>
  </si>
  <si>
    <t>3301比例南関東民主01</t>
    <rPh sb="4" eb="6">
      <t>ヒレイ</t>
    </rPh>
    <rPh sb="6" eb="9">
      <t>ミナミカントウ</t>
    </rPh>
    <rPh sb="9" eb="11">
      <t>ミンシュ</t>
    </rPh>
    <phoneticPr fontId="3"/>
  </si>
  <si>
    <t>3301比例南関東民主02</t>
    <rPh sb="4" eb="6">
      <t>ヒレイ</t>
    </rPh>
    <rPh sb="6" eb="9">
      <t>ミナミカントウ</t>
    </rPh>
    <rPh sb="9" eb="11">
      <t>ミンシュ</t>
    </rPh>
    <phoneticPr fontId="3"/>
  </si>
  <si>
    <t>3301比例南関東民主03</t>
    <rPh sb="4" eb="6">
      <t>ヒレイ</t>
    </rPh>
    <rPh sb="6" eb="9">
      <t>ミナミカントウ</t>
    </rPh>
    <rPh sb="9" eb="11">
      <t>ミンシュ</t>
    </rPh>
    <phoneticPr fontId="3"/>
  </si>
  <si>
    <t>3301比例南関東民主04</t>
    <rPh sb="4" eb="6">
      <t>ヒレイ</t>
    </rPh>
    <rPh sb="6" eb="9">
      <t>ミナミカントウ</t>
    </rPh>
    <rPh sb="9" eb="11">
      <t>ミンシュ</t>
    </rPh>
    <phoneticPr fontId="3"/>
  </si>
  <si>
    <t>3301比例南関東民主05</t>
    <rPh sb="4" eb="6">
      <t>ヒレイ</t>
    </rPh>
    <rPh sb="6" eb="9">
      <t>ミナミカントウ</t>
    </rPh>
    <rPh sb="9" eb="11">
      <t>ミンシュ</t>
    </rPh>
    <phoneticPr fontId="3"/>
  </si>
  <si>
    <t>3301比例南関東民主06</t>
    <rPh sb="4" eb="6">
      <t>ヒレイ</t>
    </rPh>
    <rPh sb="6" eb="9">
      <t>ミナミカントウ</t>
    </rPh>
    <rPh sb="9" eb="11">
      <t>ミンシュ</t>
    </rPh>
    <phoneticPr fontId="3"/>
  </si>
  <si>
    <t>3301比例南関東民主07</t>
    <rPh sb="4" eb="6">
      <t>ヒレイ</t>
    </rPh>
    <rPh sb="6" eb="9">
      <t>ミナミカントウ</t>
    </rPh>
    <rPh sb="9" eb="11">
      <t>ミンシュ</t>
    </rPh>
    <phoneticPr fontId="3"/>
  </si>
  <si>
    <t>3301比例南関東民主08</t>
    <rPh sb="4" eb="6">
      <t>ヒレイ</t>
    </rPh>
    <rPh sb="6" eb="9">
      <t>ミナミカントウ</t>
    </rPh>
    <rPh sb="9" eb="11">
      <t>ミンシュ</t>
    </rPh>
    <phoneticPr fontId="3"/>
  </si>
  <si>
    <t>3301比例南関東民主09</t>
    <rPh sb="4" eb="6">
      <t>ヒレイ</t>
    </rPh>
    <rPh sb="6" eb="9">
      <t>ミナミカントウ</t>
    </rPh>
    <rPh sb="9" eb="11">
      <t>ミンシュ</t>
    </rPh>
    <phoneticPr fontId="3"/>
  </si>
  <si>
    <t>3301比例南関東民主10</t>
    <rPh sb="4" eb="6">
      <t>ヒレイ</t>
    </rPh>
    <rPh sb="6" eb="9">
      <t>ミナミカントウ</t>
    </rPh>
    <rPh sb="9" eb="11">
      <t>ミンシュ</t>
    </rPh>
    <phoneticPr fontId="3"/>
  </si>
  <si>
    <t>3301比例南関東民主11</t>
    <rPh sb="4" eb="6">
      <t>ヒレイ</t>
    </rPh>
    <rPh sb="6" eb="9">
      <t>ミナミカントウ</t>
    </rPh>
    <rPh sb="9" eb="11">
      <t>ミンシュ</t>
    </rPh>
    <phoneticPr fontId="3"/>
  </si>
  <si>
    <t>3301比例南関東民主12</t>
    <rPh sb="4" eb="6">
      <t>ヒレイ</t>
    </rPh>
    <rPh sb="6" eb="9">
      <t>ミナミカントウ</t>
    </rPh>
    <rPh sb="9" eb="11">
      <t>ミンシュ</t>
    </rPh>
    <phoneticPr fontId="3"/>
  </si>
  <si>
    <t>3301比例南関東民主13</t>
    <rPh sb="4" eb="6">
      <t>ヒレイ</t>
    </rPh>
    <rPh sb="6" eb="9">
      <t>ミナミカントウ</t>
    </rPh>
    <rPh sb="9" eb="11">
      <t>ミンシュ</t>
    </rPh>
    <phoneticPr fontId="3"/>
  </si>
  <si>
    <t>3301比例南関東民主14</t>
    <rPh sb="4" eb="6">
      <t>ヒレイ</t>
    </rPh>
    <rPh sb="6" eb="9">
      <t>ミナミカントウ</t>
    </rPh>
    <rPh sb="9" eb="11">
      <t>ミンシュ</t>
    </rPh>
    <phoneticPr fontId="3"/>
  </si>
  <si>
    <t>3301比例南関東民主15</t>
    <rPh sb="4" eb="6">
      <t>ヒレイ</t>
    </rPh>
    <rPh sb="6" eb="9">
      <t>ミナミカントウ</t>
    </rPh>
    <rPh sb="9" eb="11">
      <t>ミンシュ</t>
    </rPh>
    <phoneticPr fontId="3"/>
  </si>
  <si>
    <t>3301比例南関東民主16</t>
    <rPh sb="4" eb="6">
      <t>ヒレイ</t>
    </rPh>
    <rPh sb="6" eb="9">
      <t>ミナミカントウ</t>
    </rPh>
    <rPh sb="9" eb="11">
      <t>ミンシュ</t>
    </rPh>
    <phoneticPr fontId="3"/>
  </si>
  <si>
    <t>3301比例南関東民主17</t>
    <rPh sb="4" eb="6">
      <t>ヒレイ</t>
    </rPh>
    <rPh sb="6" eb="9">
      <t>ミナミカントウ</t>
    </rPh>
    <rPh sb="9" eb="11">
      <t>ミンシュ</t>
    </rPh>
    <phoneticPr fontId="3"/>
  </si>
  <si>
    <t>3301比例南関東民主18</t>
    <rPh sb="4" eb="6">
      <t>ヒレイ</t>
    </rPh>
    <rPh sb="6" eb="9">
      <t>ミナミカントウ</t>
    </rPh>
    <rPh sb="9" eb="11">
      <t>ミンシュ</t>
    </rPh>
    <phoneticPr fontId="3"/>
  </si>
  <si>
    <t>3301比例南関東民主19</t>
    <rPh sb="4" eb="6">
      <t>ヒレイ</t>
    </rPh>
    <rPh sb="6" eb="9">
      <t>ミナミカントウ</t>
    </rPh>
    <rPh sb="9" eb="11">
      <t>ミンシュ</t>
    </rPh>
    <phoneticPr fontId="3"/>
  </si>
  <si>
    <t>3301比例南関東民主20</t>
    <rPh sb="4" eb="6">
      <t>ヒレイ</t>
    </rPh>
    <rPh sb="6" eb="9">
      <t>ミナミカントウ</t>
    </rPh>
    <rPh sb="9" eb="11">
      <t>ミンシュ</t>
    </rPh>
    <phoneticPr fontId="3"/>
  </si>
  <si>
    <t>3301比例南関東民主21</t>
    <rPh sb="4" eb="6">
      <t>ヒレイ</t>
    </rPh>
    <rPh sb="6" eb="9">
      <t>ミナミカントウ</t>
    </rPh>
    <rPh sb="9" eb="11">
      <t>ミンシュ</t>
    </rPh>
    <phoneticPr fontId="3"/>
  </si>
  <si>
    <t>3301比例南関東民主22</t>
    <rPh sb="4" eb="6">
      <t>ヒレイ</t>
    </rPh>
    <rPh sb="6" eb="9">
      <t>ミナミカントウ</t>
    </rPh>
    <rPh sb="9" eb="11">
      <t>ミンシュ</t>
    </rPh>
    <phoneticPr fontId="3"/>
  </si>
  <si>
    <t>3301比例南関東民主23</t>
    <rPh sb="4" eb="6">
      <t>ヒレイ</t>
    </rPh>
    <rPh sb="6" eb="9">
      <t>ミナミカントウ</t>
    </rPh>
    <rPh sb="9" eb="11">
      <t>ミンシュ</t>
    </rPh>
    <phoneticPr fontId="3"/>
  </si>
  <si>
    <t>3301比例南関東民主24</t>
    <rPh sb="4" eb="6">
      <t>ヒレイ</t>
    </rPh>
    <rPh sb="6" eb="9">
      <t>ミナミカントウ</t>
    </rPh>
    <rPh sb="9" eb="11">
      <t>ミンシュ</t>
    </rPh>
    <phoneticPr fontId="3"/>
  </si>
  <si>
    <t>3301比例南関東民主25</t>
    <rPh sb="4" eb="6">
      <t>ヒレイ</t>
    </rPh>
    <rPh sb="6" eb="9">
      <t>ミナミカントウ</t>
    </rPh>
    <rPh sb="9" eb="11">
      <t>ミンシュ</t>
    </rPh>
    <phoneticPr fontId="3"/>
  </si>
  <si>
    <t>3301比例南関東民主26</t>
    <rPh sb="4" eb="6">
      <t>ヒレイ</t>
    </rPh>
    <rPh sb="6" eb="9">
      <t>ミナミカントウ</t>
    </rPh>
    <rPh sb="9" eb="11">
      <t>ミンシュ</t>
    </rPh>
    <phoneticPr fontId="3"/>
  </si>
  <si>
    <t>3301比例南関東民主27</t>
    <rPh sb="4" eb="6">
      <t>ヒレイ</t>
    </rPh>
    <rPh sb="6" eb="9">
      <t>ミナミカントウ</t>
    </rPh>
    <rPh sb="9" eb="11">
      <t>ミンシュ</t>
    </rPh>
    <phoneticPr fontId="3"/>
  </si>
  <si>
    <t>3301比例南関東民主28</t>
    <rPh sb="4" eb="6">
      <t>ヒレイ</t>
    </rPh>
    <rPh sb="6" eb="9">
      <t>ミナミカントウ</t>
    </rPh>
    <rPh sb="9" eb="11">
      <t>ミンシュ</t>
    </rPh>
    <phoneticPr fontId="3"/>
  </si>
  <si>
    <t>3301比例南関東民主29</t>
    <rPh sb="4" eb="6">
      <t>ヒレイ</t>
    </rPh>
    <rPh sb="6" eb="9">
      <t>ミナミカントウ</t>
    </rPh>
    <rPh sb="9" eb="11">
      <t>ミンシュ</t>
    </rPh>
    <phoneticPr fontId="3"/>
  </si>
  <si>
    <t>3301比例南関東民主30</t>
    <rPh sb="4" eb="6">
      <t>ヒレイ</t>
    </rPh>
    <rPh sb="6" eb="9">
      <t>ミナミカントウ</t>
    </rPh>
    <rPh sb="9" eb="11">
      <t>ミンシュ</t>
    </rPh>
    <phoneticPr fontId="3"/>
  </si>
  <si>
    <t>3301比例南関東民主31</t>
    <rPh sb="4" eb="6">
      <t>ヒレイ</t>
    </rPh>
    <rPh sb="6" eb="9">
      <t>ミナミカントウ</t>
    </rPh>
    <rPh sb="9" eb="11">
      <t>ミンシュ</t>
    </rPh>
    <phoneticPr fontId="3"/>
  </si>
  <si>
    <t>3401比例東京民主01</t>
    <rPh sb="4" eb="6">
      <t>ヒレイ</t>
    </rPh>
    <rPh sb="6" eb="8">
      <t>トウキョウ</t>
    </rPh>
    <rPh sb="8" eb="10">
      <t>ミンシュ</t>
    </rPh>
    <phoneticPr fontId="3"/>
  </si>
  <si>
    <t>3401比例東京民主02</t>
    <rPh sb="4" eb="6">
      <t>ヒレイ</t>
    </rPh>
    <rPh sb="6" eb="8">
      <t>トウキョウ</t>
    </rPh>
    <rPh sb="8" eb="10">
      <t>ミンシュ</t>
    </rPh>
    <phoneticPr fontId="3"/>
  </si>
  <si>
    <t>3401比例東京民主03</t>
    <rPh sb="4" eb="6">
      <t>ヒレイ</t>
    </rPh>
    <rPh sb="6" eb="8">
      <t>トウキョウ</t>
    </rPh>
    <rPh sb="8" eb="10">
      <t>ミンシュ</t>
    </rPh>
    <phoneticPr fontId="3"/>
  </si>
  <si>
    <t>3401比例東京民主04</t>
    <rPh sb="4" eb="6">
      <t>ヒレイ</t>
    </rPh>
    <rPh sb="6" eb="8">
      <t>トウキョウ</t>
    </rPh>
    <rPh sb="8" eb="10">
      <t>ミンシュ</t>
    </rPh>
    <phoneticPr fontId="3"/>
  </si>
  <si>
    <t>3401比例東京民主05</t>
    <rPh sb="4" eb="6">
      <t>ヒレイ</t>
    </rPh>
    <rPh sb="6" eb="8">
      <t>トウキョウ</t>
    </rPh>
    <rPh sb="8" eb="10">
      <t>ミンシュ</t>
    </rPh>
    <phoneticPr fontId="3"/>
  </si>
  <si>
    <t>3401比例東京民主06</t>
    <rPh sb="4" eb="6">
      <t>ヒレイ</t>
    </rPh>
    <rPh sb="6" eb="8">
      <t>トウキョウ</t>
    </rPh>
    <rPh sb="8" eb="10">
      <t>ミンシュ</t>
    </rPh>
    <phoneticPr fontId="3"/>
  </si>
  <si>
    <t>3401比例東京民主07</t>
    <rPh sb="4" eb="6">
      <t>ヒレイ</t>
    </rPh>
    <rPh sb="6" eb="8">
      <t>トウキョウ</t>
    </rPh>
    <rPh sb="8" eb="10">
      <t>ミンシュ</t>
    </rPh>
    <phoneticPr fontId="3"/>
  </si>
  <si>
    <t>3401比例東京民主08</t>
    <rPh sb="4" eb="6">
      <t>ヒレイ</t>
    </rPh>
    <rPh sb="6" eb="8">
      <t>トウキョウ</t>
    </rPh>
    <rPh sb="8" eb="10">
      <t>ミンシュ</t>
    </rPh>
    <phoneticPr fontId="3"/>
  </si>
  <si>
    <t>3401比例東京民主09</t>
    <rPh sb="4" eb="6">
      <t>ヒレイ</t>
    </rPh>
    <rPh sb="6" eb="8">
      <t>トウキョウ</t>
    </rPh>
    <rPh sb="8" eb="10">
      <t>ミンシュ</t>
    </rPh>
    <phoneticPr fontId="3"/>
  </si>
  <si>
    <t>3401比例東京民主10</t>
    <rPh sb="4" eb="6">
      <t>ヒレイ</t>
    </rPh>
    <rPh sb="6" eb="8">
      <t>トウキョウ</t>
    </rPh>
    <rPh sb="8" eb="10">
      <t>ミンシュ</t>
    </rPh>
    <phoneticPr fontId="3"/>
  </si>
  <si>
    <t>3401比例東京民主11</t>
    <rPh sb="4" eb="6">
      <t>ヒレイ</t>
    </rPh>
    <rPh sb="6" eb="8">
      <t>トウキョウ</t>
    </rPh>
    <rPh sb="8" eb="10">
      <t>ミンシュ</t>
    </rPh>
    <phoneticPr fontId="3"/>
  </si>
  <si>
    <t>3401比例東京民主12</t>
    <rPh sb="4" eb="6">
      <t>ヒレイ</t>
    </rPh>
    <rPh sb="6" eb="8">
      <t>トウキョウ</t>
    </rPh>
    <rPh sb="8" eb="10">
      <t>ミンシュ</t>
    </rPh>
    <phoneticPr fontId="3"/>
  </si>
  <si>
    <t>3401比例東京民主13</t>
    <rPh sb="4" eb="6">
      <t>ヒレイ</t>
    </rPh>
    <rPh sb="6" eb="8">
      <t>トウキョウ</t>
    </rPh>
    <rPh sb="8" eb="10">
      <t>ミンシュ</t>
    </rPh>
    <phoneticPr fontId="3"/>
  </si>
  <si>
    <t>3401比例東京民主14</t>
    <rPh sb="4" eb="6">
      <t>ヒレイ</t>
    </rPh>
    <rPh sb="6" eb="8">
      <t>トウキョウ</t>
    </rPh>
    <rPh sb="8" eb="10">
      <t>ミンシュ</t>
    </rPh>
    <phoneticPr fontId="3"/>
  </si>
  <si>
    <t>3401比例東京民主15</t>
    <rPh sb="4" eb="6">
      <t>ヒレイ</t>
    </rPh>
    <rPh sb="6" eb="8">
      <t>トウキョウ</t>
    </rPh>
    <rPh sb="8" eb="10">
      <t>ミンシュ</t>
    </rPh>
    <phoneticPr fontId="3"/>
  </si>
  <si>
    <t>3401比例東京民主16</t>
    <rPh sb="4" eb="6">
      <t>ヒレイ</t>
    </rPh>
    <rPh sb="6" eb="8">
      <t>トウキョウ</t>
    </rPh>
    <rPh sb="8" eb="10">
      <t>ミンシュ</t>
    </rPh>
    <phoneticPr fontId="3"/>
  </si>
  <si>
    <t>3401比例東京民主17</t>
    <rPh sb="4" eb="6">
      <t>ヒレイ</t>
    </rPh>
    <rPh sb="6" eb="8">
      <t>トウキョウ</t>
    </rPh>
    <rPh sb="8" eb="10">
      <t>ミンシュ</t>
    </rPh>
    <phoneticPr fontId="3"/>
  </si>
  <si>
    <t>3401比例東京民主18</t>
    <rPh sb="4" eb="6">
      <t>ヒレイ</t>
    </rPh>
    <rPh sb="6" eb="8">
      <t>トウキョウ</t>
    </rPh>
    <rPh sb="8" eb="10">
      <t>ミンシュ</t>
    </rPh>
    <phoneticPr fontId="3"/>
  </si>
  <si>
    <t>3401比例東京民主19</t>
    <rPh sb="4" eb="6">
      <t>ヒレイ</t>
    </rPh>
    <rPh sb="6" eb="8">
      <t>トウキョウ</t>
    </rPh>
    <rPh sb="8" eb="10">
      <t>ミンシュ</t>
    </rPh>
    <phoneticPr fontId="3"/>
  </si>
  <si>
    <t>3401比例東京民主20</t>
    <rPh sb="4" eb="6">
      <t>ヒレイ</t>
    </rPh>
    <rPh sb="6" eb="8">
      <t>トウキョウ</t>
    </rPh>
    <rPh sb="8" eb="10">
      <t>ミンシュ</t>
    </rPh>
    <phoneticPr fontId="3"/>
  </si>
  <si>
    <t>3401比例東京民主21</t>
    <rPh sb="4" eb="6">
      <t>ヒレイ</t>
    </rPh>
    <rPh sb="6" eb="8">
      <t>トウキョウ</t>
    </rPh>
    <rPh sb="8" eb="10">
      <t>ミンシュ</t>
    </rPh>
    <phoneticPr fontId="3"/>
  </si>
  <si>
    <t>3401比例東京民主22</t>
    <rPh sb="4" eb="6">
      <t>ヒレイ</t>
    </rPh>
    <rPh sb="6" eb="8">
      <t>トウキョウ</t>
    </rPh>
    <rPh sb="8" eb="10">
      <t>ミンシュ</t>
    </rPh>
    <phoneticPr fontId="3"/>
  </si>
  <si>
    <t>3401比例東京民主23</t>
    <rPh sb="4" eb="6">
      <t>ヒレイ</t>
    </rPh>
    <rPh sb="6" eb="8">
      <t>トウキョウ</t>
    </rPh>
    <rPh sb="8" eb="10">
      <t>ミンシュ</t>
    </rPh>
    <phoneticPr fontId="3"/>
  </si>
  <si>
    <t>3401比例東京民主24</t>
    <rPh sb="4" eb="6">
      <t>ヒレイ</t>
    </rPh>
    <rPh sb="6" eb="8">
      <t>トウキョウ</t>
    </rPh>
    <rPh sb="8" eb="10">
      <t>ミンシュ</t>
    </rPh>
    <phoneticPr fontId="3"/>
  </si>
  <si>
    <t>3401比例東京民主25</t>
    <rPh sb="4" eb="6">
      <t>ヒレイ</t>
    </rPh>
    <rPh sb="6" eb="8">
      <t>トウキョウ</t>
    </rPh>
    <rPh sb="8" eb="10">
      <t>ミンシュ</t>
    </rPh>
    <phoneticPr fontId="3"/>
  </si>
  <si>
    <t>3501比例北信越民主01</t>
    <rPh sb="4" eb="6">
      <t>ヒレイ</t>
    </rPh>
    <rPh sb="6" eb="9">
      <t>ホクシンエツ</t>
    </rPh>
    <rPh sb="9" eb="11">
      <t>ミンシュ</t>
    </rPh>
    <phoneticPr fontId="3"/>
  </si>
  <si>
    <t>3501比例北信越民主02</t>
    <rPh sb="4" eb="6">
      <t>ヒレイ</t>
    </rPh>
    <rPh sb="6" eb="9">
      <t>ホクシンエツ</t>
    </rPh>
    <rPh sb="9" eb="11">
      <t>ミンシュ</t>
    </rPh>
    <phoneticPr fontId="3"/>
  </si>
  <si>
    <t>3501比例北信越民主03</t>
    <rPh sb="4" eb="6">
      <t>ヒレイ</t>
    </rPh>
    <rPh sb="6" eb="9">
      <t>ホクシンエツ</t>
    </rPh>
    <rPh sb="9" eb="11">
      <t>ミンシュ</t>
    </rPh>
    <phoneticPr fontId="3"/>
  </si>
  <si>
    <t>3501比例北信越民主04</t>
    <rPh sb="4" eb="6">
      <t>ヒレイ</t>
    </rPh>
    <rPh sb="6" eb="9">
      <t>ホクシンエツ</t>
    </rPh>
    <rPh sb="9" eb="11">
      <t>ミンシュ</t>
    </rPh>
    <phoneticPr fontId="3"/>
  </si>
  <si>
    <t>3501比例北信越民主05</t>
    <rPh sb="4" eb="6">
      <t>ヒレイ</t>
    </rPh>
    <rPh sb="6" eb="9">
      <t>ホクシンエツ</t>
    </rPh>
    <rPh sb="9" eb="11">
      <t>ミンシュ</t>
    </rPh>
    <phoneticPr fontId="3"/>
  </si>
  <si>
    <t>3501比例北信越民主06</t>
    <rPh sb="4" eb="6">
      <t>ヒレイ</t>
    </rPh>
    <rPh sb="6" eb="9">
      <t>ホクシンエツ</t>
    </rPh>
    <rPh sb="9" eb="11">
      <t>ミンシュ</t>
    </rPh>
    <phoneticPr fontId="3"/>
  </si>
  <si>
    <t>3501比例北信越民主07</t>
    <rPh sb="4" eb="6">
      <t>ヒレイ</t>
    </rPh>
    <rPh sb="6" eb="9">
      <t>ホクシンエツ</t>
    </rPh>
    <rPh sb="9" eb="11">
      <t>ミンシュ</t>
    </rPh>
    <phoneticPr fontId="3"/>
  </si>
  <si>
    <t>3501比例北信越民主08</t>
    <rPh sb="4" eb="6">
      <t>ヒレイ</t>
    </rPh>
    <rPh sb="6" eb="9">
      <t>ホクシンエツ</t>
    </rPh>
    <rPh sb="9" eb="11">
      <t>ミンシュ</t>
    </rPh>
    <phoneticPr fontId="3"/>
  </si>
  <si>
    <t>3501比例北信越民主09</t>
    <rPh sb="4" eb="6">
      <t>ヒレイ</t>
    </rPh>
    <rPh sb="6" eb="9">
      <t>ホクシンエツ</t>
    </rPh>
    <rPh sb="9" eb="11">
      <t>ミンシュ</t>
    </rPh>
    <phoneticPr fontId="3"/>
  </si>
  <si>
    <t>3501比例北信越民主10</t>
    <rPh sb="4" eb="6">
      <t>ヒレイ</t>
    </rPh>
    <rPh sb="6" eb="9">
      <t>ホクシンエツ</t>
    </rPh>
    <rPh sb="9" eb="11">
      <t>ミンシュ</t>
    </rPh>
    <phoneticPr fontId="3"/>
  </si>
  <si>
    <t>3501比例北信越民主11</t>
    <rPh sb="4" eb="6">
      <t>ヒレイ</t>
    </rPh>
    <rPh sb="6" eb="9">
      <t>ホクシンエツ</t>
    </rPh>
    <rPh sb="9" eb="11">
      <t>ミンシュ</t>
    </rPh>
    <phoneticPr fontId="3"/>
  </si>
  <si>
    <t>3501比例北信越民主12</t>
    <rPh sb="4" eb="6">
      <t>ヒレイ</t>
    </rPh>
    <rPh sb="6" eb="9">
      <t>ホクシンエツ</t>
    </rPh>
    <rPh sb="9" eb="11">
      <t>ミンシュ</t>
    </rPh>
    <phoneticPr fontId="3"/>
  </si>
  <si>
    <t>3501比例北信越民主13</t>
    <rPh sb="4" eb="6">
      <t>ヒレイ</t>
    </rPh>
    <rPh sb="6" eb="9">
      <t>ホクシンエツ</t>
    </rPh>
    <rPh sb="9" eb="11">
      <t>ミンシュ</t>
    </rPh>
    <phoneticPr fontId="3"/>
  </si>
  <si>
    <t>3501比例北信越民主14</t>
    <rPh sb="4" eb="6">
      <t>ヒレイ</t>
    </rPh>
    <rPh sb="6" eb="9">
      <t>ホクシンエツ</t>
    </rPh>
    <rPh sb="9" eb="11">
      <t>ミンシュ</t>
    </rPh>
    <phoneticPr fontId="3"/>
  </si>
  <si>
    <t>3501比例北信越民主15</t>
    <rPh sb="4" eb="6">
      <t>ヒレイ</t>
    </rPh>
    <rPh sb="6" eb="9">
      <t>ホクシンエツ</t>
    </rPh>
    <rPh sb="9" eb="11">
      <t>ミンシュ</t>
    </rPh>
    <phoneticPr fontId="3"/>
  </si>
  <si>
    <t>3501比例北信越民主16</t>
    <rPh sb="4" eb="6">
      <t>ヒレイ</t>
    </rPh>
    <rPh sb="6" eb="9">
      <t>ホクシンエツ</t>
    </rPh>
    <rPh sb="9" eb="11">
      <t>ミンシュ</t>
    </rPh>
    <phoneticPr fontId="3"/>
  </si>
  <si>
    <t>3501比例北信越民主17</t>
    <rPh sb="4" eb="6">
      <t>ヒレイ</t>
    </rPh>
    <rPh sb="6" eb="9">
      <t>ホクシンエツ</t>
    </rPh>
    <rPh sb="9" eb="11">
      <t>ミンシュ</t>
    </rPh>
    <phoneticPr fontId="3"/>
  </si>
  <si>
    <t>3501比例北信越民主18</t>
    <rPh sb="4" eb="6">
      <t>ヒレイ</t>
    </rPh>
    <rPh sb="6" eb="9">
      <t>ホクシンエツ</t>
    </rPh>
    <rPh sb="9" eb="11">
      <t>ミンシュ</t>
    </rPh>
    <phoneticPr fontId="3"/>
  </si>
  <si>
    <t>3501比例北信越民主19</t>
    <rPh sb="4" eb="6">
      <t>ヒレイ</t>
    </rPh>
    <rPh sb="6" eb="9">
      <t>ホクシンエツ</t>
    </rPh>
    <rPh sb="9" eb="11">
      <t>ミンシュ</t>
    </rPh>
    <phoneticPr fontId="3"/>
  </si>
  <si>
    <t>3501比例北信越民主20</t>
    <rPh sb="4" eb="6">
      <t>ヒレイ</t>
    </rPh>
    <rPh sb="6" eb="9">
      <t>ホクシンエツ</t>
    </rPh>
    <rPh sb="9" eb="11">
      <t>ミンシュ</t>
    </rPh>
    <phoneticPr fontId="3"/>
  </si>
  <si>
    <t>3601比例東海民主01</t>
    <rPh sb="4" eb="6">
      <t>ヒレイ</t>
    </rPh>
    <rPh sb="6" eb="8">
      <t>トウカイ</t>
    </rPh>
    <rPh sb="8" eb="10">
      <t>ミンシュ</t>
    </rPh>
    <phoneticPr fontId="3"/>
  </si>
  <si>
    <t>3601比例東海民主02</t>
    <rPh sb="4" eb="6">
      <t>ヒレイ</t>
    </rPh>
    <rPh sb="6" eb="8">
      <t>トウカイ</t>
    </rPh>
    <rPh sb="8" eb="10">
      <t>ミンシュ</t>
    </rPh>
    <phoneticPr fontId="3"/>
  </si>
  <si>
    <t>3601比例東海民主03</t>
    <rPh sb="4" eb="6">
      <t>ヒレイ</t>
    </rPh>
    <rPh sb="6" eb="8">
      <t>トウカイ</t>
    </rPh>
    <rPh sb="8" eb="10">
      <t>ミンシュ</t>
    </rPh>
    <phoneticPr fontId="3"/>
  </si>
  <si>
    <t>3601比例東海民主04</t>
    <rPh sb="4" eb="6">
      <t>ヒレイ</t>
    </rPh>
    <rPh sb="6" eb="8">
      <t>トウカイ</t>
    </rPh>
    <rPh sb="8" eb="10">
      <t>ミンシュ</t>
    </rPh>
    <phoneticPr fontId="3"/>
  </si>
  <si>
    <t>3601比例東海民主05</t>
    <rPh sb="4" eb="6">
      <t>ヒレイ</t>
    </rPh>
    <rPh sb="6" eb="8">
      <t>トウカイ</t>
    </rPh>
    <rPh sb="8" eb="10">
      <t>ミンシュ</t>
    </rPh>
    <phoneticPr fontId="3"/>
  </si>
  <si>
    <t>3601比例東海民主06</t>
    <rPh sb="4" eb="6">
      <t>ヒレイ</t>
    </rPh>
    <rPh sb="6" eb="8">
      <t>トウカイ</t>
    </rPh>
    <rPh sb="8" eb="10">
      <t>ミンシュ</t>
    </rPh>
    <phoneticPr fontId="3"/>
  </si>
  <si>
    <t>3601比例東海民主07</t>
    <rPh sb="4" eb="6">
      <t>ヒレイ</t>
    </rPh>
    <rPh sb="6" eb="8">
      <t>トウカイ</t>
    </rPh>
    <rPh sb="8" eb="10">
      <t>ミンシュ</t>
    </rPh>
    <phoneticPr fontId="3"/>
  </si>
  <si>
    <t>3601比例東海民主08</t>
    <rPh sb="4" eb="6">
      <t>ヒレイ</t>
    </rPh>
    <rPh sb="6" eb="8">
      <t>トウカイ</t>
    </rPh>
    <rPh sb="8" eb="10">
      <t>ミンシュ</t>
    </rPh>
    <phoneticPr fontId="3"/>
  </si>
  <si>
    <t>3601比例東海民主09</t>
    <rPh sb="4" eb="6">
      <t>ヒレイ</t>
    </rPh>
    <rPh sb="6" eb="8">
      <t>トウカイ</t>
    </rPh>
    <rPh sb="8" eb="10">
      <t>ミンシュ</t>
    </rPh>
    <phoneticPr fontId="3"/>
  </si>
  <si>
    <t>3601比例東海民主10</t>
    <rPh sb="4" eb="6">
      <t>ヒレイ</t>
    </rPh>
    <rPh sb="6" eb="8">
      <t>トウカイ</t>
    </rPh>
    <rPh sb="8" eb="10">
      <t>ミンシュ</t>
    </rPh>
    <phoneticPr fontId="3"/>
  </si>
  <si>
    <t>3601比例東海民主11</t>
    <rPh sb="4" eb="6">
      <t>ヒレイ</t>
    </rPh>
    <rPh sb="6" eb="8">
      <t>トウカイ</t>
    </rPh>
    <rPh sb="8" eb="10">
      <t>ミンシュ</t>
    </rPh>
    <phoneticPr fontId="3"/>
  </si>
  <si>
    <t>3601比例東海民主12</t>
    <rPh sb="4" eb="6">
      <t>ヒレイ</t>
    </rPh>
    <rPh sb="6" eb="8">
      <t>トウカイ</t>
    </rPh>
    <rPh sb="8" eb="10">
      <t>ミンシュ</t>
    </rPh>
    <phoneticPr fontId="3"/>
  </si>
  <si>
    <t>3601比例東海民主13</t>
    <rPh sb="4" eb="6">
      <t>ヒレイ</t>
    </rPh>
    <rPh sb="6" eb="8">
      <t>トウカイ</t>
    </rPh>
    <rPh sb="8" eb="10">
      <t>ミンシュ</t>
    </rPh>
    <phoneticPr fontId="3"/>
  </si>
  <si>
    <t>3601比例東海民主14</t>
    <rPh sb="4" eb="6">
      <t>ヒレイ</t>
    </rPh>
    <rPh sb="6" eb="8">
      <t>トウカイ</t>
    </rPh>
    <rPh sb="8" eb="10">
      <t>ミンシュ</t>
    </rPh>
    <phoneticPr fontId="3"/>
  </si>
  <si>
    <t>3601比例東海民主15</t>
    <rPh sb="4" eb="6">
      <t>ヒレイ</t>
    </rPh>
    <rPh sb="6" eb="8">
      <t>トウカイ</t>
    </rPh>
    <rPh sb="8" eb="10">
      <t>ミンシュ</t>
    </rPh>
    <phoneticPr fontId="3"/>
  </si>
  <si>
    <t>3601比例東海民主16</t>
    <rPh sb="4" eb="6">
      <t>ヒレイ</t>
    </rPh>
    <rPh sb="6" eb="8">
      <t>トウカイ</t>
    </rPh>
    <rPh sb="8" eb="10">
      <t>ミンシュ</t>
    </rPh>
    <phoneticPr fontId="3"/>
  </si>
  <si>
    <t>3601比例東海民主17</t>
    <rPh sb="4" eb="6">
      <t>ヒレイ</t>
    </rPh>
    <rPh sb="6" eb="8">
      <t>トウカイ</t>
    </rPh>
    <rPh sb="8" eb="10">
      <t>ミンシュ</t>
    </rPh>
    <phoneticPr fontId="3"/>
  </si>
  <si>
    <t>3601比例東海民主18</t>
    <rPh sb="4" eb="6">
      <t>ヒレイ</t>
    </rPh>
    <rPh sb="6" eb="8">
      <t>トウカイ</t>
    </rPh>
    <rPh sb="8" eb="10">
      <t>ミンシュ</t>
    </rPh>
    <phoneticPr fontId="3"/>
  </si>
  <si>
    <t>3601比例東海民主19</t>
    <rPh sb="4" eb="6">
      <t>ヒレイ</t>
    </rPh>
    <rPh sb="6" eb="8">
      <t>トウカイ</t>
    </rPh>
    <rPh sb="8" eb="10">
      <t>ミンシュ</t>
    </rPh>
    <phoneticPr fontId="3"/>
  </si>
  <si>
    <t>3601比例東海民主20</t>
    <rPh sb="4" eb="6">
      <t>ヒレイ</t>
    </rPh>
    <rPh sb="6" eb="8">
      <t>トウカイ</t>
    </rPh>
    <rPh sb="8" eb="10">
      <t>ミンシュ</t>
    </rPh>
    <phoneticPr fontId="3"/>
  </si>
  <si>
    <t>3601比例東海民主21</t>
    <rPh sb="4" eb="6">
      <t>ヒレイ</t>
    </rPh>
    <rPh sb="6" eb="8">
      <t>トウカイ</t>
    </rPh>
    <rPh sb="8" eb="10">
      <t>ミンシュ</t>
    </rPh>
    <phoneticPr fontId="3"/>
  </si>
  <si>
    <t>3601比例東海民主22</t>
    <rPh sb="4" eb="6">
      <t>ヒレイ</t>
    </rPh>
    <rPh sb="6" eb="8">
      <t>トウカイ</t>
    </rPh>
    <rPh sb="8" eb="10">
      <t>ミンシュ</t>
    </rPh>
    <phoneticPr fontId="3"/>
  </si>
  <si>
    <t>3601比例東海民主23</t>
    <rPh sb="4" eb="6">
      <t>ヒレイ</t>
    </rPh>
    <rPh sb="6" eb="8">
      <t>トウカイ</t>
    </rPh>
    <rPh sb="8" eb="10">
      <t>ミンシュ</t>
    </rPh>
    <phoneticPr fontId="3"/>
  </si>
  <si>
    <t>3601比例東海民主24</t>
    <rPh sb="4" eb="6">
      <t>ヒレイ</t>
    </rPh>
    <rPh sb="6" eb="8">
      <t>トウカイ</t>
    </rPh>
    <rPh sb="8" eb="10">
      <t>ミンシュ</t>
    </rPh>
    <phoneticPr fontId="3"/>
  </si>
  <si>
    <t>3601比例東海民主25</t>
    <rPh sb="4" eb="6">
      <t>ヒレイ</t>
    </rPh>
    <rPh sb="6" eb="8">
      <t>トウカイ</t>
    </rPh>
    <rPh sb="8" eb="10">
      <t>ミンシュ</t>
    </rPh>
    <phoneticPr fontId="3"/>
  </si>
  <si>
    <t>3601比例東海民主26</t>
    <rPh sb="4" eb="6">
      <t>ヒレイ</t>
    </rPh>
    <rPh sb="6" eb="8">
      <t>トウカイ</t>
    </rPh>
    <rPh sb="8" eb="10">
      <t>ミンシュ</t>
    </rPh>
    <phoneticPr fontId="3"/>
  </si>
  <si>
    <t>3601比例東海民主27</t>
    <rPh sb="4" eb="6">
      <t>ヒレイ</t>
    </rPh>
    <rPh sb="6" eb="8">
      <t>トウカイ</t>
    </rPh>
    <rPh sb="8" eb="10">
      <t>ミンシュ</t>
    </rPh>
    <phoneticPr fontId="3"/>
  </si>
  <si>
    <t>3601比例東海民主28</t>
    <rPh sb="4" eb="6">
      <t>ヒレイ</t>
    </rPh>
    <rPh sb="6" eb="8">
      <t>トウカイ</t>
    </rPh>
    <rPh sb="8" eb="10">
      <t>ミンシュ</t>
    </rPh>
    <phoneticPr fontId="3"/>
  </si>
  <si>
    <t>3601比例東海民主29</t>
    <rPh sb="4" eb="6">
      <t>ヒレイ</t>
    </rPh>
    <rPh sb="6" eb="8">
      <t>トウカイ</t>
    </rPh>
    <rPh sb="8" eb="10">
      <t>ミンシュ</t>
    </rPh>
    <phoneticPr fontId="3"/>
  </si>
  <si>
    <t>3601比例東海民主30</t>
    <rPh sb="4" eb="6">
      <t>ヒレイ</t>
    </rPh>
    <rPh sb="6" eb="8">
      <t>トウカイ</t>
    </rPh>
    <rPh sb="8" eb="10">
      <t>ミンシュ</t>
    </rPh>
    <phoneticPr fontId="3"/>
  </si>
  <si>
    <t>3601比例東海民主31</t>
    <rPh sb="4" eb="6">
      <t>ヒレイ</t>
    </rPh>
    <rPh sb="6" eb="8">
      <t>トウカイ</t>
    </rPh>
    <rPh sb="8" eb="10">
      <t>ミンシュ</t>
    </rPh>
    <phoneticPr fontId="3"/>
  </si>
  <si>
    <t>3601比例東海民主32</t>
    <rPh sb="4" eb="6">
      <t>ヒレイ</t>
    </rPh>
    <rPh sb="6" eb="8">
      <t>トウカイ</t>
    </rPh>
    <rPh sb="8" eb="10">
      <t>ミンシュ</t>
    </rPh>
    <phoneticPr fontId="3"/>
  </si>
  <si>
    <t>3601比例東海民主33</t>
    <rPh sb="4" eb="6">
      <t>ヒレイ</t>
    </rPh>
    <rPh sb="6" eb="8">
      <t>トウカイ</t>
    </rPh>
    <rPh sb="8" eb="10">
      <t>ミンシュ</t>
    </rPh>
    <phoneticPr fontId="3"/>
  </si>
  <si>
    <t>鳥居　豊橘</t>
    <rPh sb="0" eb="2">
      <t>トリイ</t>
    </rPh>
    <rPh sb="3" eb="5">
      <t>ホウキツ</t>
    </rPh>
    <phoneticPr fontId="3"/>
  </si>
  <si>
    <t>大(奈良県立医科)</t>
    <rPh sb="0" eb="1">
      <t>ダイ</t>
    </rPh>
    <rPh sb="2" eb="4">
      <t>ナラ</t>
    </rPh>
    <rPh sb="4" eb="6">
      <t>ケンリツ</t>
    </rPh>
    <rPh sb="6" eb="8">
      <t>イカ</t>
    </rPh>
    <phoneticPr fontId="3"/>
  </si>
  <si>
    <t>介護老人保健施設所長(大阪市立おとしよりすこやかセンター)</t>
    <rPh sb="0" eb="2">
      <t>カイゴ</t>
    </rPh>
    <rPh sb="2" eb="4">
      <t>ロウジン</t>
    </rPh>
    <rPh sb="4" eb="6">
      <t>ホケン</t>
    </rPh>
    <rPh sb="6" eb="8">
      <t>シセツ</t>
    </rPh>
    <rPh sb="8" eb="10">
      <t>ショチョウ</t>
    </rPh>
    <rPh sb="11" eb="13">
      <t>オオサカ</t>
    </rPh>
    <rPh sb="13" eb="15">
      <t>シリツ</t>
    </rPh>
    <phoneticPr fontId="3"/>
  </si>
  <si>
    <t>3701比例近畿民主01</t>
    <rPh sb="4" eb="6">
      <t>ヒレイ</t>
    </rPh>
    <rPh sb="6" eb="8">
      <t>キンキ</t>
    </rPh>
    <rPh sb="8" eb="10">
      <t>ミンシュ</t>
    </rPh>
    <phoneticPr fontId="3"/>
  </si>
  <si>
    <t>3701比例近畿民主02</t>
    <rPh sb="4" eb="6">
      <t>ヒレイ</t>
    </rPh>
    <rPh sb="6" eb="8">
      <t>キンキ</t>
    </rPh>
    <rPh sb="8" eb="10">
      <t>ミンシュ</t>
    </rPh>
    <phoneticPr fontId="3"/>
  </si>
  <si>
    <t>3701比例近畿民主03</t>
    <rPh sb="4" eb="6">
      <t>ヒレイ</t>
    </rPh>
    <rPh sb="6" eb="8">
      <t>キンキ</t>
    </rPh>
    <rPh sb="8" eb="10">
      <t>ミンシュ</t>
    </rPh>
    <phoneticPr fontId="3"/>
  </si>
  <si>
    <t>3701比例近畿民主04</t>
    <rPh sb="4" eb="6">
      <t>ヒレイ</t>
    </rPh>
    <rPh sb="6" eb="8">
      <t>キンキ</t>
    </rPh>
    <rPh sb="8" eb="10">
      <t>ミンシュ</t>
    </rPh>
    <phoneticPr fontId="3"/>
  </si>
  <si>
    <t>3701比例近畿民主05</t>
    <rPh sb="4" eb="6">
      <t>ヒレイ</t>
    </rPh>
    <rPh sb="6" eb="8">
      <t>キンキ</t>
    </rPh>
    <rPh sb="8" eb="10">
      <t>ミンシュ</t>
    </rPh>
    <phoneticPr fontId="3"/>
  </si>
  <si>
    <t>3701比例近畿民主06</t>
    <rPh sb="4" eb="6">
      <t>ヒレイ</t>
    </rPh>
    <rPh sb="6" eb="8">
      <t>キンキ</t>
    </rPh>
    <rPh sb="8" eb="10">
      <t>ミンシュ</t>
    </rPh>
    <phoneticPr fontId="3"/>
  </si>
  <si>
    <t>3701比例近畿民主07</t>
    <rPh sb="4" eb="6">
      <t>ヒレイ</t>
    </rPh>
    <rPh sb="6" eb="8">
      <t>キンキ</t>
    </rPh>
    <rPh sb="8" eb="10">
      <t>ミンシュ</t>
    </rPh>
    <phoneticPr fontId="3"/>
  </si>
  <si>
    <t>3701比例近畿民主08</t>
    <rPh sb="4" eb="6">
      <t>ヒレイ</t>
    </rPh>
    <rPh sb="6" eb="8">
      <t>キンキ</t>
    </rPh>
    <rPh sb="8" eb="10">
      <t>ミンシュ</t>
    </rPh>
    <phoneticPr fontId="3"/>
  </si>
  <si>
    <t>3701比例近畿民主09</t>
    <rPh sb="4" eb="6">
      <t>ヒレイ</t>
    </rPh>
    <rPh sb="6" eb="8">
      <t>キンキ</t>
    </rPh>
    <rPh sb="8" eb="10">
      <t>ミンシュ</t>
    </rPh>
    <phoneticPr fontId="3"/>
  </si>
  <si>
    <t>3701比例近畿民主10</t>
    <rPh sb="4" eb="6">
      <t>ヒレイ</t>
    </rPh>
    <rPh sb="6" eb="8">
      <t>キンキ</t>
    </rPh>
    <rPh sb="8" eb="10">
      <t>ミンシュ</t>
    </rPh>
    <phoneticPr fontId="3"/>
  </si>
  <si>
    <t>3701比例近畿民主11</t>
    <rPh sb="4" eb="6">
      <t>ヒレイ</t>
    </rPh>
    <rPh sb="6" eb="8">
      <t>キンキ</t>
    </rPh>
    <rPh sb="8" eb="10">
      <t>ミンシュ</t>
    </rPh>
    <phoneticPr fontId="3"/>
  </si>
  <si>
    <t>3701比例近畿民主12</t>
    <rPh sb="4" eb="6">
      <t>ヒレイ</t>
    </rPh>
    <rPh sb="6" eb="8">
      <t>キンキ</t>
    </rPh>
    <rPh sb="8" eb="10">
      <t>ミンシュ</t>
    </rPh>
    <phoneticPr fontId="3"/>
  </si>
  <si>
    <t>3701比例近畿民主13</t>
    <rPh sb="4" eb="6">
      <t>ヒレイ</t>
    </rPh>
    <rPh sb="6" eb="8">
      <t>キンキ</t>
    </rPh>
    <rPh sb="8" eb="10">
      <t>ミンシュ</t>
    </rPh>
    <phoneticPr fontId="3"/>
  </si>
  <si>
    <t>3701比例近畿民主14</t>
    <rPh sb="4" eb="6">
      <t>ヒレイ</t>
    </rPh>
    <rPh sb="6" eb="8">
      <t>キンキ</t>
    </rPh>
    <rPh sb="8" eb="10">
      <t>ミンシュ</t>
    </rPh>
    <phoneticPr fontId="3"/>
  </si>
  <si>
    <t>3701比例近畿民主15</t>
    <rPh sb="4" eb="6">
      <t>ヒレイ</t>
    </rPh>
    <rPh sb="6" eb="8">
      <t>キンキ</t>
    </rPh>
    <rPh sb="8" eb="10">
      <t>ミンシュ</t>
    </rPh>
    <phoneticPr fontId="3"/>
  </si>
  <si>
    <t>3701比例近畿民主16</t>
    <rPh sb="4" eb="6">
      <t>ヒレイ</t>
    </rPh>
    <rPh sb="6" eb="8">
      <t>キンキ</t>
    </rPh>
    <rPh sb="8" eb="10">
      <t>ミンシュ</t>
    </rPh>
    <phoneticPr fontId="3"/>
  </si>
  <si>
    <t>3701比例近畿民主17</t>
    <rPh sb="4" eb="6">
      <t>ヒレイ</t>
    </rPh>
    <rPh sb="6" eb="8">
      <t>キンキ</t>
    </rPh>
    <rPh sb="8" eb="10">
      <t>ミンシュ</t>
    </rPh>
    <phoneticPr fontId="3"/>
  </si>
  <si>
    <t>3701比例近畿民主18</t>
    <rPh sb="4" eb="6">
      <t>ヒレイ</t>
    </rPh>
    <rPh sb="6" eb="8">
      <t>キンキ</t>
    </rPh>
    <rPh sb="8" eb="10">
      <t>ミンシュ</t>
    </rPh>
    <phoneticPr fontId="3"/>
  </si>
  <si>
    <t>3701比例近畿民主19</t>
    <rPh sb="4" eb="6">
      <t>ヒレイ</t>
    </rPh>
    <rPh sb="6" eb="8">
      <t>キンキ</t>
    </rPh>
    <rPh sb="8" eb="10">
      <t>ミンシュ</t>
    </rPh>
    <phoneticPr fontId="3"/>
  </si>
  <si>
    <t>3701比例近畿民主20</t>
    <rPh sb="4" eb="6">
      <t>ヒレイ</t>
    </rPh>
    <rPh sb="6" eb="8">
      <t>キンキ</t>
    </rPh>
    <rPh sb="8" eb="10">
      <t>ミンシュ</t>
    </rPh>
    <phoneticPr fontId="3"/>
  </si>
  <si>
    <t>3701比例近畿民主21</t>
    <rPh sb="4" eb="6">
      <t>ヒレイ</t>
    </rPh>
    <rPh sb="6" eb="8">
      <t>キンキ</t>
    </rPh>
    <rPh sb="8" eb="10">
      <t>ミンシュ</t>
    </rPh>
    <phoneticPr fontId="3"/>
  </si>
  <si>
    <t>3701比例近畿民主22</t>
    <rPh sb="4" eb="6">
      <t>ヒレイ</t>
    </rPh>
    <rPh sb="6" eb="8">
      <t>キンキ</t>
    </rPh>
    <rPh sb="8" eb="10">
      <t>ミンシュ</t>
    </rPh>
    <phoneticPr fontId="3"/>
  </si>
  <si>
    <t>3701比例近畿民主23</t>
    <rPh sb="4" eb="6">
      <t>ヒレイ</t>
    </rPh>
    <rPh sb="6" eb="8">
      <t>キンキ</t>
    </rPh>
    <rPh sb="8" eb="10">
      <t>ミンシュ</t>
    </rPh>
    <phoneticPr fontId="3"/>
  </si>
  <si>
    <t>3701比例近畿民主24</t>
    <rPh sb="4" eb="6">
      <t>ヒレイ</t>
    </rPh>
    <rPh sb="6" eb="8">
      <t>キンキ</t>
    </rPh>
    <rPh sb="8" eb="10">
      <t>ミンシュ</t>
    </rPh>
    <phoneticPr fontId="3"/>
  </si>
  <si>
    <t>3701比例近畿民主25</t>
    <rPh sb="4" eb="6">
      <t>ヒレイ</t>
    </rPh>
    <rPh sb="6" eb="8">
      <t>キンキ</t>
    </rPh>
    <rPh sb="8" eb="10">
      <t>ミンシュ</t>
    </rPh>
    <phoneticPr fontId="3"/>
  </si>
  <si>
    <t>3701比例近畿民主26</t>
    <rPh sb="4" eb="6">
      <t>ヒレイ</t>
    </rPh>
    <rPh sb="6" eb="8">
      <t>キンキ</t>
    </rPh>
    <rPh sb="8" eb="10">
      <t>ミンシュ</t>
    </rPh>
    <phoneticPr fontId="3"/>
  </si>
  <si>
    <t>3701比例近畿民主27</t>
    <rPh sb="4" eb="6">
      <t>ヒレイ</t>
    </rPh>
    <rPh sb="6" eb="8">
      <t>キンキ</t>
    </rPh>
    <rPh sb="8" eb="10">
      <t>ミンシュ</t>
    </rPh>
    <phoneticPr fontId="3"/>
  </si>
  <si>
    <t>3701比例近畿民主28</t>
    <rPh sb="4" eb="6">
      <t>ヒレイ</t>
    </rPh>
    <rPh sb="6" eb="8">
      <t>キンキ</t>
    </rPh>
    <rPh sb="8" eb="10">
      <t>ミンシュ</t>
    </rPh>
    <phoneticPr fontId="3"/>
  </si>
  <si>
    <t>3701比例近畿民主29</t>
    <rPh sb="4" eb="6">
      <t>ヒレイ</t>
    </rPh>
    <rPh sb="6" eb="8">
      <t>キンキ</t>
    </rPh>
    <rPh sb="8" eb="10">
      <t>ミンシュ</t>
    </rPh>
    <phoneticPr fontId="3"/>
  </si>
  <si>
    <t>3701比例近畿民主30</t>
    <rPh sb="4" eb="6">
      <t>ヒレイ</t>
    </rPh>
    <rPh sb="6" eb="8">
      <t>キンキ</t>
    </rPh>
    <rPh sb="8" eb="10">
      <t>ミンシュ</t>
    </rPh>
    <phoneticPr fontId="3"/>
  </si>
  <si>
    <t>3701比例近畿民主31</t>
    <rPh sb="4" eb="6">
      <t>ヒレイ</t>
    </rPh>
    <rPh sb="6" eb="8">
      <t>キンキ</t>
    </rPh>
    <rPh sb="8" eb="10">
      <t>ミンシュ</t>
    </rPh>
    <phoneticPr fontId="3"/>
  </si>
  <si>
    <t>3701比例近畿民主32</t>
    <rPh sb="4" eb="6">
      <t>ヒレイ</t>
    </rPh>
    <rPh sb="6" eb="8">
      <t>キンキ</t>
    </rPh>
    <rPh sb="8" eb="10">
      <t>ミンシュ</t>
    </rPh>
    <phoneticPr fontId="3"/>
  </si>
  <si>
    <t>3701比例近畿民主33</t>
    <rPh sb="4" eb="6">
      <t>ヒレイ</t>
    </rPh>
    <rPh sb="6" eb="8">
      <t>キンキ</t>
    </rPh>
    <rPh sb="8" eb="10">
      <t>ミンシュ</t>
    </rPh>
    <phoneticPr fontId="3"/>
  </si>
  <si>
    <t>3701比例近畿民主34</t>
    <rPh sb="4" eb="6">
      <t>ヒレイ</t>
    </rPh>
    <rPh sb="6" eb="8">
      <t>キンキ</t>
    </rPh>
    <rPh sb="8" eb="10">
      <t>ミンシュ</t>
    </rPh>
    <phoneticPr fontId="3"/>
  </si>
  <si>
    <t>3701比例近畿民主35</t>
    <rPh sb="4" eb="6">
      <t>ヒレイ</t>
    </rPh>
    <rPh sb="6" eb="8">
      <t>キンキ</t>
    </rPh>
    <rPh sb="8" eb="10">
      <t>ミンシュ</t>
    </rPh>
    <phoneticPr fontId="3"/>
  </si>
  <si>
    <t>3701比例近畿民主36</t>
    <rPh sb="4" eb="6">
      <t>ヒレイ</t>
    </rPh>
    <rPh sb="6" eb="8">
      <t>キンキ</t>
    </rPh>
    <rPh sb="8" eb="10">
      <t>ミンシュ</t>
    </rPh>
    <phoneticPr fontId="3"/>
  </si>
  <si>
    <t>3701比例近畿民主37</t>
    <rPh sb="4" eb="6">
      <t>ヒレイ</t>
    </rPh>
    <rPh sb="6" eb="8">
      <t>キンキ</t>
    </rPh>
    <rPh sb="8" eb="10">
      <t>ミンシュ</t>
    </rPh>
    <phoneticPr fontId="3"/>
  </si>
  <si>
    <t>3701比例近畿民主38</t>
    <rPh sb="4" eb="6">
      <t>ヒレイ</t>
    </rPh>
    <rPh sb="6" eb="8">
      <t>キンキ</t>
    </rPh>
    <rPh sb="8" eb="10">
      <t>ミンシュ</t>
    </rPh>
    <phoneticPr fontId="3"/>
  </si>
  <si>
    <t>3701比例近畿民主39</t>
    <rPh sb="4" eb="6">
      <t>ヒレイ</t>
    </rPh>
    <rPh sb="6" eb="8">
      <t>キンキ</t>
    </rPh>
    <rPh sb="8" eb="10">
      <t>ミンシュ</t>
    </rPh>
    <phoneticPr fontId="3"/>
  </si>
  <si>
    <t>3701比例近畿民主40</t>
    <rPh sb="4" eb="6">
      <t>ヒレイ</t>
    </rPh>
    <rPh sb="6" eb="8">
      <t>キンキ</t>
    </rPh>
    <rPh sb="8" eb="10">
      <t>ミンシュ</t>
    </rPh>
    <phoneticPr fontId="3"/>
  </si>
  <si>
    <t>3701比例近畿民主41</t>
    <rPh sb="4" eb="6">
      <t>ヒレイ</t>
    </rPh>
    <rPh sb="6" eb="8">
      <t>キンキ</t>
    </rPh>
    <rPh sb="8" eb="10">
      <t>ミンシュ</t>
    </rPh>
    <phoneticPr fontId="3"/>
  </si>
  <si>
    <t>3701比例近畿民主42</t>
    <rPh sb="4" eb="6">
      <t>ヒレイ</t>
    </rPh>
    <rPh sb="6" eb="8">
      <t>キンキ</t>
    </rPh>
    <rPh sb="8" eb="10">
      <t>ミンシュ</t>
    </rPh>
    <phoneticPr fontId="3"/>
  </si>
  <si>
    <t>3701比例近畿民主43</t>
    <rPh sb="4" eb="6">
      <t>ヒレイ</t>
    </rPh>
    <rPh sb="6" eb="8">
      <t>キンキ</t>
    </rPh>
    <rPh sb="8" eb="10">
      <t>ミンシュ</t>
    </rPh>
    <phoneticPr fontId="3"/>
  </si>
  <si>
    <t>3801比例中国民主01</t>
    <rPh sb="4" eb="6">
      <t>ヒレイ</t>
    </rPh>
    <rPh sb="6" eb="8">
      <t>チュウゴク</t>
    </rPh>
    <rPh sb="8" eb="10">
      <t>ミンシュ</t>
    </rPh>
    <phoneticPr fontId="3"/>
  </si>
  <si>
    <t>3801比例中国民主02</t>
    <rPh sb="4" eb="6">
      <t>ヒレイ</t>
    </rPh>
    <rPh sb="6" eb="8">
      <t>チュウゴク</t>
    </rPh>
    <rPh sb="8" eb="10">
      <t>ミンシュ</t>
    </rPh>
    <phoneticPr fontId="3"/>
  </si>
  <si>
    <t>3801比例中国民主03</t>
    <rPh sb="4" eb="6">
      <t>ヒレイ</t>
    </rPh>
    <rPh sb="6" eb="8">
      <t>チュウゴク</t>
    </rPh>
    <rPh sb="8" eb="10">
      <t>ミンシュ</t>
    </rPh>
    <phoneticPr fontId="3"/>
  </si>
  <si>
    <t>3801比例中国民主04</t>
    <rPh sb="4" eb="6">
      <t>ヒレイ</t>
    </rPh>
    <rPh sb="6" eb="8">
      <t>チュウゴク</t>
    </rPh>
    <rPh sb="8" eb="10">
      <t>ミンシュ</t>
    </rPh>
    <phoneticPr fontId="3"/>
  </si>
  <si>
    <t>3801比例中国民主05</t>
    <rPh sb="4" eb="6">
      <t>ヒレイ</t>
    </rPh>
    <rPh sb="6" eb="8">
      <t>チュウゴク</t>
    </rPh>
    <rPh sb="8" eb="10">
      <t>ミンシュ</t>
    </rPh>
    <phoneticPr fontId="3"/>
  </si>
  <si>
    <t>3801比例中国民主06</t>
    <rPh sb="4" eb="6">
      <t>ヒレイ</t>
    </rPh>
    <rPh sb="6" eb="8">
      <t>チュウゴク</t>
    </rPh>
    <rPh sb="8" eb="10">
      <t>ミンシュ</t>
    </rPh>
    <phoneticPr fontId="3"/>
  </si>
  <si>
    <t>3801比例中国民主07</t>
    <rPh sb="4" eb="6">
      <t>ヒレイ</t>
    </rPh>
    <rPh sb="6" eb="8">
      <t>チュウゴク</t>
    </rPh>
    <rPh sb="8" eb="10">
      <t>ミンシュ</t>
    </rPh>
    <phoneticPr fontId="3"/>
  </si>
  <si>
    <t>3801比例中国民主08</t>
    <rPh sb="4" eb="6">
      <t>ヒレイ</t>
    </rPh>
    <rPh sb="6" eb="8">
      <t>チュウゴク</t>
    </rPh>
    <rPh sb="8" eb="10">
      <t>ミンシュ</t>
    </rPh>
    <phoneticPr fontId="3"/>
  </si>
  <si>
    <t>3801比例中国民主09</t>
    <rPh sb="4" eb="6">
      <t>ヒレイ</t>
    </rPh>
    <rPh sb="6" eb="8">
      <t>チュウゴク</t>
    </rPh>
    <rPh sb="8" eb="10">
      <t>ミンシュ</t>
    </rPh>
    <phoneticPr fontId="3"/>
  </si>
  <si>
    <t>3801比例中国民主10</t>
    <rPh sb="4" eb="6">
      <t>ヒレイ</t>
    </rPh>
    <rPh sb="6" eb="8">
      <t>チュウゴク</t>
    </rPh>
    <rPh sb="8" eb="10">
      <t>ミンシュ</t>
    </rPh>
    <phoneticPr fontId="3"/>
  </si>
  <si>
    <t>3801比例中国民主11</t>
    <rPh sb="4" eb="6">
      <t>ヒレイ</t>
    </rPh>
    <rPh sb="6" eb="8">
      <t>チュウゴク</t>
    </rPh>
    <rPh sb="8" eb="10">
      <t>ミンシュ</t>
    </rPh>
    <phoneticPr fontId="3"/>
  </si>
  <si>
    <t>3801比例中国民主12</t>
    <rPh sb="4" eb="6">
      <t>ヒレイ</t>
    </rPh>
    <rPh sb="6" eb="8">
      <t>チュウゴク</t>
    </rPh>
    <rPh sb="8" eb="10">
      <t>ミンシュ</t>
    </rPh>
    <phoneticPr fontId="3"/>
  </si>
  <si>
    <t>3801比例中国民主13</t>
    <rPh sb="4" eb="6">
      <t>ヒレイ</t>
    </rPh>
    <rPh sb="6" eb="8">
      <t>チュウゴク</t>
    </rPh>
    <rPh sb="8" eb="10">
      <t>ミンシュ</t>
    </rPh>
    <phoneticPr fontId="3"/>
  </si>
  <si>
    <t>3801比例中国民主14</t>
    <rPh sb="4" eb="6">
      <t>ヒレイ</t>
    </rPh>
    <rPh sb="6" eb="8">
      <t>チュウゴク</t>
    </rPh>
    <rPh sb="8" eb="10">
      <t>ミンシュ</t>
    </rPh>
    <phoneticPr fontId="3"/>
  </si>
  <si>
    <t>3801比例中国民主15</t>
    <rPh sb="4" eb="6">
      <t>ヒレイ</t>
    </rPh>
    <rPh sb="6" eb="8">
      <t>チュウゴク</t>
    </rPh>
    <rPh sb="8" eb="10">
      <t>ミンシュ</t>
    </rPh>
    <phoneticPr fontId="3"/>
  </si>
  <si>
    <t>3801比例中国民主16</t>
    <rPh sb="4" eb="6">
      <t>ヒレイ</t>
    </rPh>
    <rPh sb="6" eb="8">
      <t>チュウゴク</t>
    </rPh>
    <rPh sb="8" eb="10">
      <t>ミンシュ</t>
    </rPh>
    <phoneticPr fontId="3"/>
  </si>
  <si>
    <t>3801比例中国民主17</t>
    <rPh sb="4" eb="6">
      <t>ヒレイ</t>
    </rPh>
    <rPh sb="6" eb="8">
      <t>チュウゴク</t>
    </rPh>
    <rPh sb="8" eb="10">
      <t>ミンシュ</t>
    </rPh>
    <phoneticPr fontId="3"/>
  </si>
  <si>
    <t>3801比例中国民主18</t>
    <rPh sb="4" eb="6">
      <t>ヒレイ</t>
    </rPh>
    <rPh sb="6" eb="8">
      <t>チュウゴク</t>
    </rPh>
    <rPh sb="8" eb="10">
      <t>ミンシュ</t>
    </rPh>
    <phoneticPr fontId="3"/>
  </si>
  <si>
    <t>3801比例中国民主19</t>
    <rPh sb="4" eb="6">
      <t>ヒレイ</t>
    </rPh>
    <rPh sb="6" eb="8">
      <t>チュウゴク</t>
    </rPh>
    <rPh sb="8" eb="10">
      <t>ミンシュ</t>
    </rPh>
    <phoneticPr fontId="3"/>
  </si>
  <si>
    <t>3901比例四国民主01</t>
    <rPh sb="4" eb="6">
      <t>ヒレイ</t>
    </rPh>
    <rPh sb="6" eb="8">
      <t>シコク</t>
    </rPh>
    <rPh sb="8" eb="10">
      <t>ミンシュ</t>
    </rPh>
    <phoneticPr fontId="3"/>
  </si>
  <si>
    <t>3901比例四国民主02</t>
    <rPh sb="4" eb="6">
      <t>ヒレイ</t>
    </rPh>
    <rPh sb="6" eb="8">
      <t>シコク</t>
    </rPh>
    <rPh sb="8" eb="10">
      <t>ミンシュ</t>
    </rPh>
    <phoneticPr fontId="3"/>
  </si>
  <si>
    <t>3901比例四国民主03</t>
    <rPh sb="4" eb="6">
      <t>ヒレイ</t>
    </rPh>
    <rPh sb="6" eb="8">
      <t>シコク</t>
    </rPh>
    <rPh sb="8" eb="10">
      <t>ミンシュ</t>
    </rPh>
    <phoneticPr fontId="3"/>
  </si>
  <si>
    <t>3901比例四国民主04</t>
    <rPh sb="4" eb="6">
      <t>ヒレイ</t>
    </rPh>
    <rPh sb="6" eb="8">
      <t>シコク</t>
    </rPh>
    <rPh sb="8" eb="10">
      <t>ミンシュ</t>
    </rPh>
    <phoneticPr fontId="3"/>
  </si>
  <si>
    <t>3901比例四国民主05</t>
    <rPh sb="4" eb="6">
      <t>ヒレイ</t>
    </rPh>
    <rPh sb="6" eb="8">
      <t>シコク</t>
    </rPh>
    <rPh sb="8" eb="10">
      <t>ミンシュ</t>
    </rPh>
    <phoneticPr fontId="3"/>
  </si>
  <si>
    <t>3901比例四国民主06</t>
    <rPh sb="4" eb="6">
      <t>ヒレイ</t>
    </rPh>
    <rPh sb="6" eb="8">
      <t>シコク</t>
    </rPh>
    <rPh sb="8" eb="10">
      <t>ミンシュ</t>
    </rPh>
    <phoneticPr fontId="3"/>
  </si>
  <si>
    <t>3901比例四国民主07</t>
    <rPh sb="4" eb="6">
      <t>ヒレイ</t>
    </rPh>
    <rPh sb="6" eb="8">
      <t>シコク</t>
    </rPh>
    <rPh sb="8" eb="10">
      <t>ミンシュ</t>
    </rPh>
    <phoneticPr fontId="3"/>
  </si>
  <si>
    <t>3901比例四国民主08</t>
    <rPh sb="4" eb="6">
      <t>ヒレイ</t>
    </rPh>
    <rPh sb="6" eb="8">
      <t>シコク</t>
    </rPh>
    <rPh sb="8" eb="10">
      <t>ミンシュ</t>
    </rPh>
    <phoneticPr fontId="3"/>
  </si>
  <si>
    <t>3901比例四国民主09</t>
    <rPh sb="4" eb="6">
      <t>ヒレイ</t>
    </rPh>
    <rPh sb="6" eb="8">
      <t>シコク</t>
    </rPh>
    <rPh sb="8" eb="10">
      <t>ミンシュ</t>
    </rPh>
    <phoneticPr fontId="3"/>
  </si>
  <si>
    <t>4001比例九州01</t>
    <rPh sb="4" eb="6">
      <t>ヒレイ</t>
    </rPh>
    <rPh sb="6" eb="8">
      <t>キュウシュウ</t>
    </rPh>
    <phoneticPr fontId="3"/>
  </si>
  <si>
    <t>4001比例九州02</t>
    <rPh sb="4" eb="6">
      <t>ヒレイ</t>
    </rPh>
    <rPh sb="6" eb="8">
      <t>キュウシュウ</t>
    </rPh>
    <phoneticPr fontId="3"/>
  </si>
  <si>
    <t>4001比例九州03</t>
    <rPh sb="4" eb="6">
      <t>ヒレイ</t>
    </rPh>
    <rPh sb="6" eb="8">
      <t>キュウシュウ</t>
    </rPh>
    <phoneticPr fontId="3"/>
  </si>
  <si>
    <t>4001比例九州04</t>
    <rPh sb="4" eb="6">
      <t>ヒレイ</t>
    </rPh>
    <rPh sb="6" eb="8">
      <t>キュウシュウ</t>
    </rPh>
    <phoneticPr fontId="3"/>
  </si>
  <si>
    <t>4001比例九州05</t>
    <rPh sb="4" eb="6">
      <t>ヒレイ</t>
    </rPh>
    <rPh sb="6" eb="8">
      <t>キュウシュウ</t>
    </rPh>
    <phoneticPr fontId="3"/>
  </si>
  <si>
    <t>4001比例九州06</t>
    <rPh sb="4" eb="6">
      <t>ヒレイ</t>
    </rPh>
    <rPh sb="6" eb="8">
      <t>キュウシュウ</t>
    </rPh>
    <phoneticPr fontId="3"/>
  </si>
  <si>
    <t>4001比例九州07</t>
    <rPh sb="4" eb="6">
      <t>ヒレイ</t>
    </rPh>
    <rPh sb="6" eb="8">
      <t>キュウシュウ</t>
    </rPh>
    <phoneticPr fontId="3"/>
  </si>
  <si>
    <t>4001比例九州08</t>
    <rPh sb="4" eb="6">
      <t>ヒレイ</t>
    </rPh>
    <rPh sb="6" eb="8">
      <t>キュウシュウ</t>
    </rPh>
    <phoneticPr fontId="3"/>
  </si>
  <si>
    <t>4001比例九州09</t>
    <rPh sb="4" eb="6">
      <t>ヒレイ</t>
    </rPh>
    <rPh sb="6" eb="8">
      <t>キュウシュウ</t>
    </rPh>
    <phoneticPr fontId="3"/>
  </si>
  <si>
    <t>4001比例九州10</t>
    <rPh sb="4" eb="6">
      <t>ヒレイ</t>
    </rPh>
    <rPh sb="6" eb="8">
      <t>キュウシュウ</t>
    </rPh>
    <phoneticPr fontId="3"/>
  </si>
  <si>
    <t>4001比例九州11</t>
    <rPh sb="4" eb="6">
      <t>ヒレイ</t>
    </rPh>
    <rPh sb="6" eb="8">
      <t>キュウシュウ</t>
    </rPh>
    <phoneticPr fontId="3"/>
  </si>
  <si>
    <t>4001比例九州12</t>
    <rPh sb="4" eb="6">
      <t>ヒレイ</t>
    </rPh>
    <rPh sb="6" eb="8">
      <t>キュウシュウ</t>
    </rPh>
    <phoneticPr fontId="3"/>
  </si>
  <si>
    <t>4001比例九州13</t>
    <rPh sb="4" eb="6">
      <t>ヒレイ</t>
    </rPh>
    <rPh sb="6" eb="8">
      <t>キュウシュウ</t>
    </rPh>
    <phoneticPr fontId="3"/>
  </si>
  <si>
    <t>4001比例九州14</t>
    <rPh sb="4" eb="6">
      <t>ヒレイ</t>
    </rPh>
    <rPh sb="6" eb="8">
      <t>キュウシュウ</t>
    </rPh>
    <phoneticPr fontId="3"/>
  </si>
  <si>
    <t>4001比例九州15</t>
    <rPh sb="4" eb="6">
      <t>ヒレイ</t>
    </rPh>
    <rPh sb="6" eb="8">
      <t>キュウシュウ</t>
    </rPh>
    <phoneticPr fontId="3"/>
  </si>
  <si>
    <t>4001比例九州16</t>
    <rPh sb="4" eb="6">
      <t>ヒレイ</t>
    </rPh>
    <rPh sb="6" eb="8">
      <t>キュウシュウ</t>
    </rPh>
    <phoneticPr fontId="3"/>
  </si>
  <si>
    <t>4001比例九州17</t>
    <rPh sb="4" eb="6">
      <t>ヒレイ</t>
    </rPh>
    <rPh sb="6" eb="8">
      <t>キュウシュウ</t>
    </rPh>
    <phoneticPr fontId="3"/>
  </si>
  <si>
    <t>4001比例九州18</t>
    <rPh sb="4" eb="6">
      <t>ヒレイ</t>
    </rPh>
    <rPh sb="6" eb="8">
      <t>キュウシュウ</t>
    </rPh>
    <phoneticPr fontId="3"/>
  </si>
  <si>
    <t>4001比例九州19</t>
    <rPh sb="4" eb="6">
      <t>ヒレイ</t>
    </rPh>
    <rPh sb="6" eb="8">
      <t>キュウシュウ</t>
    </rPh>
    <phoneticPr fontId="3"/>
  </si>
  <si>
    <t>4001比例九州20</t>
    <rPh sb="4" eb="6">
      <t>ヒレイ</t>
    </rPh>
    <rPh sb="6" eb="8">
      <t>キュウシュウ</t>
    </rPh>
    <phoneticPr fontId="3"/>
  </si>
  <si>
    <t>4001比例九州21</t>
    <rPh sb="4" eb="6">
      <t>ヒレイ</t>
    </rPh>
    <rPh sb="6" eb="8">
      <t>キュウシュウ</t>
    </rPh>
    <phoneticPr fontId="3"/>
  </si>
  <si>
    <t>4001比例九州22</t>
    <rPh sb="4" eb="6">
      <t>ヒレイ</t>
    </rPh>
    <rPh sb="6" eb="8">
      <t>キュウシュウ</t>
    </rPh>
    <phoneticPr fontId="3"/>
  </si>
  <si>
    <t>4001比例九州23</t>
    <rPh sb="4" eb="6">
      <t>ヒレイ</t>
    </rPh>
    <rPh sb="6" eb="8">
      <t>キュウシュウ</t>
    </rPh>
    <phoneticPr fontId="3"/>
  </si>
  <si>
    <t>4001比例九州24</t>
    <rPh sb="4" eb="6">
      <t>ヒレイ</t>
    </rPh>
    <rPh sb="6" eb="8">
      <t>キュウシュウ</t>
    </rPh>
    <phoneticPr fontId="3"/>
  </si>
  <si>
    <t>4001比例九州25</t>
    <rPh sb="4" eb="6">
      <t>ヒレイ</t>
    </rPh>
    <rPh sb="6" eb="8">
      <t>キュウシュウ</t>
    </rPh>
    <phoneticPr fontId="3"/>
  </si>
  <si>
    <t>4001比例九州26</t>
    <rPh sb="4" eb="6">
      <t>ヒレイ</t>
    </rPh>
    <rPh sb="6" eb="8">
      <t>キュウシュウ</t>
    </rPh>
    <phoneticPr fontId="3"/>
  </si>
  <si>
    <t>4001比例九州27</t>
    <rPh sb="4" eb="6">
      <t>ヒレイ</t>
    </rPh>
    <rPh sb="6" eb="8">
      <t>キュウシュウ</t>
    </rPh>
    <phoneticPr fontId="3"/>
  </si>
  <si>
    <t>谷本　彰良</t>
    <rPh sb="0" eb="2">
      <t>タニモト</t>
    </rPh>
    <rPh sb="3" eb="5">
      <t>アキヨシ</t>
    </rPh>
    <phoneticPr fontId="3"/>
  </si>
  <si>
    <t>藤井　厳喜</t>
    <rPh sb="0" eb="2">
      <t>フジイ</t>
    </rPh>
    <rPh sb="3" eb="5">
      <t>ゲンキ</t>
    </rPh>
    <phoneticPr fontId="3"/>
  </si>
  <si>
    <t>米長　知得</t>
    <rPh sb="0" eb="2">
      <t>ヨネナガ</t>
    </rPh>
    <rPh sb="3" eb="5">
      <t>チトク</t>
    </rPh>
    <phoneticPr fontId="3"/>
  </si>
  <si>
    <t>4002比例九州自民01</t>
    <rPh sb="4" eb="6">
      <t>ヒレイ</t>
    </rPh>
    <rPh sb="6" eb="8">
      <t>キュウシュウ</t>
    </rPh>
    <rPh sb="8" eb="10">
      <t>ジミン</t>
    </rPh>
    <phoneticPr fontId="3"/>
  </si>
  <si>
    <t>西川　京子</t>
    <rPh sb="0" eb="2">
      <t>ニシカワ</t>
    </rPh>
    <rPh sb="3" eb="5">
      <t>キョウコ</t>
    </rPh>
    <phoneticPr fontId="3"/>
  </si>
  <si>
    <t>自民党熊本県連女性部長</t>
    <rPh sb="0" eb="3">
      <t>ジミントウ</t>
    </rPh>
    <rPh sb="3" eb="5">
      <t>クマモト</t>
    </rPh>
    <rPh sb="5" eb="7">
      <t>ケンレン</t>
    </rPh>
    <rPh sb="7" eb="9">
      <t>ジョセイ</t>
    </rPh>
    <rPh sb="9" eb="11">
      <t>ブチョウ</t>
    </rPh>
    <phoneticPr fontId="3"/>
  </si>
  <si>
    <t>　元副大臣(厚労),政務官(厚労)</t>
    <rPh sb="1" eb="2">
      <t>モト</t>
    </rPh>
    <rPh sb="2" eb="5">
      <t>フクダイジン</t>
    </rPh>
    <rPh sb="6" eb="8">
      <t>コウロウ</t>
    </rPh>
    <rPh sb="10" eb="13">
      <t>セイムカン</t>
    </rPh>
    <rPh sb="14" eb="16">
      <t>コウロウ</t>
    </rPh>
    <phoneticPr fontId="3"/>
  </si>
  <si>
    <t>公示時勢力</t>
    <rPh sb="0" eb="2">
      <t>コウジ</t>
    </rPh>
    <rPh sb="2" eb="3">
      <t>ジ</t>
    </rPh>
    <rPh sb="3" eb="5">
      <t>セイリョク</t>
    </rPh>
    <phoneticPr fontId="3"/>
  </si>
  <si>
    <t>白畑　　勇</t>
    <rPh sb="0" eb="2">
      <t>シラハタ</t>
    </rPh>
    <rPh sb="4" eb="5">
      <t>イサム</t>
    </rPh>
    <phoneticPr fontId="3"/>
  </si>
  <si>
    <t>高(盛岡工)</t>
    <rPh sb="0" eb="1">
      <t>コウ</t>
    </rPh>
    <rPh sb="2" eb="4">
      <t>モリオカ</t>
    </rPh>
    <rPh sb="4" eb="5">
      <t>コウ</t>
    </rPh>
    <phoneticPr fontId="3"/>
  </si>
  <si>
    <t>古河民主商工会職員</t>
    <rPh sb="0" eb="2">
      <t>コガ</t>
    </rPh>
    <rPh sb="2" eb="4">
      <t>ミンシュ</t>
    </rPh>
    <rPh sb="4" eb="7">
      <t>ショウコウカイ</t>
    </rPh>
    <rPh sb="7" eb="9">
      <t>ショクイン</t>
    </rPh>
    <phoneticPr fontId="3"/>
  </si>
  <si>
    <t>大院中(東京学芸)</t>
    <rPh sb="0" eb="2">
      <t>ダイイン</t>
    </rPh>
    <rPh sb="2" eb="3">
      <t>チュウ</t>
    </rPh>
    <rPh sb="4" eb="6">
      <t>トウキョウ</t>
    </rPh>
    <rPh sb="6" eb="8">
      <t>ガクゲイ</t>
    </rPh>
    <phoneticPr fontId="3"/>
  </si>
  <si>
    <t>議員秘書(古賀誠),高校教諭</t>
    <rPh sb="0" eb="2">
      <t>ギイン</t>
    </rPh>
    <rPh sb="2" eb="4">
      <t>ヒショ</t>
    </rPh>
    <rPh sb="5" eb="7">
      <t>コガ</t>
    </rPh>
    <rPh sb="7" eb="8">
      <t>マコト</t>
    </rPh>
    <rPh sb="10" eb="12">
      <t>コウコウ</t>
    </rPh>
    <rPh sb="12" eb="14">
      <t>キョウユ</t>
    </rPh>
    <phoneticPr fontId="3"/>
  </si>
  <si>
    <t>大院中(東京学芸)</t>
    <rPh sb="0" eb="2">
      <t>ダイイン</t>
    </rPh>
    <rPh sb="2" eb="3">
      <t>チュウ</t>
    </rPh>
    <rPh sb="4" eb="8">
      <t>トウキョウガクゲイ</t>
    </rPh>
    <phoneticPr fontId="3"/>
  </si>
  <si>
    <t>小笠原　良子</t>
    <rPh sb="0" eb="3">
      <t>オガサワラ</t>
    </rPh>
    <rPh sb="4" eb="6">
      <t>リョウコ</t>
    </rPh>
    <phoneticPr fontId="3"/>
  </si>
  <si>
    <t>025宮城5区05</t>
    <rPh sb="3" eb="5">
      <t>ミヤギ</t>
    </rPh>
    <rPh sb="6" eb="7">
      <t>ク</t>
    </rPh>
    <phoneticPr fontId="3"/>
  </si>
  <si>
    <t>首藤　博敏</t>
    <rPh sb="0" eb="2">
      <t>シュトウ</t>
    </rPh>
    <rPh sb="3" eb="5">
      <t>ヒロトシ</t>
    </rPh>
    <phoneticPr fontId="3"/>
  </si>
  <si>
    <t>大院(岩手)</t>
    <rPh sb="0" eb="2">
      <t>ダイイン</t>
    </rPh>
    <rPh sb="3" eb="5">
      <t>イワテ</t>
    </rPh>
    <phoneticPr fontId="3"/>
  </si>
  <si>
    <t>石巻市職員</t>
    <rPh sb="0" eb="3">
      <t>イシノマキシ</t>
    </rPh>
    <rPh sb="3" eb="5">
      <t>ショクイン</t>
    </rPh>
    <phoneticPr fontId="3"/>
  </si>
  <si>
    <t>高(須賀川女子)</t>
    <rPh sb="0" eb="1">
      <t>コウ</t>
    </rPh>
    <rPh sb="2" eb="5">
      <t>スカガワ</t>
    </rPh>
    <rPh sb="5" eb="7">
      <t>ジョシ</t>
    </rPh>
    <phoneticPr fontId="3"/>
  </si>
  <si>
    <t>大(八戸工業)</t>
    <rPh sb="0" eb="1">
      <t>ダイ</t>
    </rPh>
    <rPh sb="2" eb="4">
      <t>ハチノヘ</t>
    </rPh>
    <rPh sb="4" eb="6">
      <t>コウギョウ</t>
    </rPh>
    <phoneticPr fontId="3"/>
  </si>
  <si>
    <t>大中(日本)</t>
    <rPh sb="0" eb="1">
      <t>ダイ</t>
    </rPh>
    <rPh sb="1" eb="2">
      <t>チュウ</t>
    </rPh>
    <rPh sb="3" eb="5">
      <t>ニホン</t>
    </rPh>
    <phoneticPr fontId="3"/>
  </si>
  <si>
    <t>高(太田)</t>
    <rPh sb="0" eb="1">
      <t>コウ</t>
    </rPh>
    <rPh sb="2" eb="4">
      <t>オオタ</t>
    </rPh>
    <phoneticPr fontId="3"/>
  </si>
  <si>
    <t>群馬県・太田市議,太田市職労委員長</t>
    <rPh sb="0" eb="3">
      <t>グンマケン</t>
    </rPh>
    <rPh sb="4" eb="6">
      <t>オオタ</t>
    </rPh>
    <rPh sb="6" eb="8">
      <t>シギ</t>
    </rPh>
    <rPh sb="9" eb="11">
      <t>オオタ</t>
    </rPh>
    <rPh sb="11" eb="12">
      <t>シ</t>
    </rPh>
    <rPh sb="12" eb="13">
      <t>ショク</t>
    </rPh>
    <rPh sb="13" eb="14">
      <t>ロウ</t>
    </rPh>
    <rPh sb="14" eb="17">
      <t>イインチョウ</t>
    </rPh>
    <phoneticPr fontId="3"/>
  </si>
  <si>
    <t>小笠原　洋輝</t>
    <rPh sb="0" eb="3">
      <t>オガサワラ</t>
    </rPh>
    <rPh sb="4" eb="6">
      <t>ヒロキ</t>
    </rPh>
    <phoneticPr fontId="3"/>
  </si>
  <si>
    <t>無職</t>
    <rPh sb="0" eb="2">
      <t>ムショク</t>
    </rPh>
    <phoneticPr fontId="3"/>
  </si>
  <si>
    <t>大中(東洋)</t>
    <rPh sb="0" eb="1">
      <t>ダイ</t>
    </rPh>
    <rPh sb="1" eb="2">
      <t>チュウ</t>
    </rPh>
    <rPh sb="3" eb="5">
      <t>トウヨウ</t>
    </rPh>
    <phoneticPr fontId="3"/>
  </si>
  <si>
    <t>山口県職員</t>
    <rPh sb="0" eb="3">
      <t>ヤマグチケン</t>
    </rPh>
    <rPh sb="3" eb="5">
      <t>ショクイン</t>
    </rPh>
    <phoneticPr fontId="3"/>
  </si>
  <si>
    <t>西川　　浩</t>
    <rPh sb="0" eb="2">
      <t>ニシカワ</t>
    </rPh>
    <rPh sb="4" eb="5">
      <t>ユタカ</t>
    </rPh>
    <phoneticPr fontId="3"/>
  </si>
  <si>
    <t>066埼玉12区03</t>
    <rPh sb="3" eb="5">
      <t>サイタマ</t>
    </rPh>
    <rPh sb="7" eb="8">
      <t>ク</t>
    </rPh>
    <phoneticPr fontId="3"/>
  </si>
  <si>
    <t>川島　良吉</t>
    <rPh sb="0" eb="2">
      <t>カワシマ</t>
    </rPh>
    <rPh sb="3" eb="5">
      <t>リョウキチ</t>
    </rPh>
    <phoneticPr fontId="3"/>
  </si>
  <si>
    <t>他(北埼玉実業学校)</t>
    <rPh sb="0" eb="1">
      <t>ホカ</t>
    </rPh>
    <rPh sb="2" eb="5">
      <t>キタサイタマ</t>
    </rPh>
    <rPh sb="5" eb="7">
      <t>ジツギョウ</t>
    </rPh>
    <rPh sb="7" eb="9">
      <t>ガッコウ</t>
    </rPh>
    <phoneticPr fontId="3"/>
  </si>
  <si>
    <t>農業</t>
    <rPh sb="0" eb="2">
      <t>ノウギョウ</t>
    </rPh>
    <phoneticPr fontId="3"/>
  </si>
  <si>
    <t>068埼玉14区05</t>
    <rPh sb="3" eb="5">
      <t>サイタマ</t>
    </rPh>
    <rPh sb="7" eb="8">
      <t>ク</t>
    </rPh>
    <phoneticPr fontId="3"/>
  </si>
  <si>
    <t>大塚　克雄</t>
    <rPh sb="0" eb="2">
      <t>オオツカ</t>
    </rPh>
    <rPh sb="3" eb="5">
      <t>カツオ</t>
    </rPh>
    <phoneticPr fontId="3"/>
  </si>
  <si>
    <t>短大(東洋大学短期大学部)</t>
    <rPh sb="0" eb="2">
      <t>タンダイ</t>
    </rPh>
    <rPh sb="3" eb="5">
      <t>トウヨウ</t>
    </rPh>
    <rPh sb="5" eb="7">
      <t>ダイガク</t>
    </rPh>
    <rPh sb="7" eb="9">
      <t>タンキ</t>
    </rPh>
    <rPh sb="9" eb="12">
      <t>ダイガクブ</t>
    </rPh>
    <phoneticPr fontId="3"/>
  </si>
  <si>
    <t>当たり</t>
    <rPh sb="0" eb="1">
      <t>ア</t>
    </rPh>
    <phoneticPr fontId="3"/>
  </si>
  <si>
    <t>当たり前党首,旅館・介護施設経営,歌手</t>
    <rPh sb="0" eb="1">
      <t>ア</t>
    </rPh>
    <rPh sb="3" eb="4">
      <t>マエ</t>
    </rPh>
    <rPh sb="4" eb="6">
      <t>トウシュ</t>
    </rPh>
    <rPh sb="7" eb="9">
      <t>リョカン</t>
    </rPh>
    <rPh sb="10" eb="12">
      <t>カイゴ</t>
    </rPh>
    <rPh sb="12" eb="14">
      <t>シセツ</t>
    </rPh>
    <rPh sb="14" eb="16">
      <t>ケイエイ</t>
    </rPh>
    <rPh sb="17" eb="19">
      <t>カシュ</t>
    </rPh>
    <phoneticPr fontId="3"/>
  </si>
  <si>
    <t>官</t>
    <rPh sb="0" eb="1">
      <t>カン</t>
    </rPh>
    <phoneticPr fontId="3"/>
  </si>
  <si>
    <t>093神奈川11区04</t>
    <rPh sb="3" eb="6">
      <t>カナガワ</t>
    </rPh>
    <rPh sb="8" eb="9">
      <t>ク</t>
    </rPh>
    <phoneticPr fontId="3"/>
  </si>
  <si>
    <t>093神奈川11区05</t>
    <rPh sb="3" eb="6">
      <t>カナガワ</t>
    </rPh>
    <rPh sb="8" eb="9">
      <t>ク</t>
    </rPh>
    <phoneticPr fontId="3"/>
  </si>
  <si>
    <t>森本　敏秀</t>
    <rPh sb="0" eb="2">
      <t>モリモト</t>
    </rPh>
    <rPh sb="3" eb="5">
      <t>トシヒデ</t>
    </rPh>
    <phoneticPr fontId="3"/>
  </si>
  <si>
    <t>岩田　吉喜</t>
    <rPh sb="0" eb="2">
      <t>イワタ</t>
    </rPh>
    <rPh sb="3" eb="5">
      <t>ヨシノブ</t>
    </rPh>
    <phoneticPr fontId="3"/>
  </si>
  <si>
    <t>松本　雅威</t>
    <rPh sb="0" eb="2">
      <t>マツモト</t>
    </rPh>
    <rPh sb="3" eb="5">
      <t>マサタケ</t>
    </rPh>
    <phoneticPr fontId="3"/>
  </si>
  <si>
    <t>104東京1区09</t>
    <rPh sb="3" eb="5">
      <t>トウキョウ</t>
    </rPh>
    <rPh sb="6" eb="7">
      <t>ク</t>
    </rPh>
    <phoneticPr fontId="3"/>
  </si>
  <si>
    <t>亀山　教明</t>
    <rPh sb="0" eb="2">
      <t>カメヤマ</t>
    </rPh>
    <rPh sb="3" eb="5">
      <t>ノリアキ</t>
    </rPh>
    <phoneticPr fontId="3"/>
  </si>
  <si>
    <t>高(佐伯鶴岡)</t>
    <rPh sb="0" eb="1">
      <t>コウ</t>
    </rPh>
    <rPh sb="2" eb="4">
      <t>サエキ</t>
    </rPh>
    <rPh sb="4" eb="6">
      <t>ツルオカ</t>
    </rPh>
    <phoneticPr fontId="3"/>
  </si>
  <si>
    <t>105東京2区06</t>
    <rPh sb="3" eb="5">
      <t>トウキョウ</t>
    </rPh>
    <rPh sb="6" eb="7">
      <t>ク</t>
    </rPh>
    <phoneticPr fontId="3"/>
  </si>
  <si>
    <t>井上　雅弘</t>
    <rPh sb="0" eb="2">
      <t>イノウエ</t>
    </rPh>
    <rPh sb="3" eb="5">
      <t>マサヒロ</t>
    </rPh>
    <phoneticPr fontId="3"/>
  </si>
  <si>
    <t>高(岡山理科大付属)</t>
    <rPh sb="0" eb="1">
      <t>コウ</t>
    </rPh>
    <rPh sb="2" eb="4">
      <t>オカヤマ</t>
    </rPh>
    <rPh sb="4" eb="7">
      <t>リカダイ</t>
    </rPh>
    <rPh sb="7" eb="9">
      <t>フゾク</t>
    </rPh>
    <phoneticPr fontId="3"/>
  </si>
  <si>
    <t>銀行員(三井住友信託銀行)</t>
    <rPh sb="0" eb="3">
      <t>ギンコウイン</t>
    </rPh>
    <rPh sb="4" eb="6">
      <t>ミツイ</t>
    </rPh>
    <rPh sb="6" eb="8">
      <t>スミトモ</t>
    </rPh>
    <rPh sb="8" eb="10">
      <t>シンタク</t>
    </rPh>
    <rPh sb="10" eb="12">
      <t>ギンコウ</t>
    </rPh>
    <phoneticPr fontId="3"/>
  </si>
  <si>
    <t>110東京7区06</t>
    <rPh sb="3" eb="5">
      <t>トウキョウ</t>
    </rPh>
    <rPh sb="6" eb="7">
      <t>ク</t>
    </rPh>
    <phoneticPr fontId="3"/>
  </si>
  <si>
    <t>西野　貞吉</t>
    <rPh sb="0" eb="2">
      <t>ニシノ</t>
    </rPh>
    <rPh sb="3" eb="5">
      <t>テイキチ</t>
    </rPh>
    <phoneticPr fontId="3"/>
  </si>
  <si>
    <t>タクシー運転手,陸上自衛官</t>
    <rPh sb="4" eb="7">
      <t>ウンテンシュ</t>
    </rPh>
    <rPh sb="8" eb="10">
      <t>リクジョウ</t>
    </rPh>
    <rPh sb="10" eb="13">
      <t>ジエイカン</t>
    </rPh>
    <phoneticPr fontId="3"/>
  </si>
  <si>
    <t>国税庁職員</t>
    <rPh sb="0" eb="3">
      <t>コクゼイチョウ</t>
    </rPh>
    <rPh sb="3" eb="5">
      <t>ショクイン</t>
    </rPh>
    <phoneticPr fontId="3"/>
  </si>
  <si>
    <t>埼玉県・鳩ヶ谷市議,社団法人事務局長</t>
    <rPh sb="0" eb="3">
      <t>サイタマケン</t>
    </rPh>
    <rPh sb="4" eb="7">
      <t>ハトガヤ</t>
    </rPh>
    <rPh sb="7" eb="9">
      <t>シギ</t>
    </rPh>
    <rPh sb="10" eb="14">
      <t>シャダンホウジン</t>
    </rPh>
    <rPh sb="14" eb="16">
      <t>ジム</t>
    </rPh>
    <rPh sb="16" eb="18">
      <t>キョクチョウ</t>
    </rPh>
    <phoneticPr fontId="3"/>
  </si>
  <si>
    <t>議</t>
    <rPh sb="0" eb="1">
      <t>ギ</t>
    </rPh>
    <phoneticPr fontId="3"/>
  </si>
  <si>
    <t>高(東京農大一)</t>
    <rPh sb="0" eb="1">
      <t>コウ</t>
    </rPh>
    <rPh sb="2" eb="4">
      <t>トウキョウ</t>
    </rPh>
    <rPh sb="4" eb="6">
      <t>ノウダイ</t>
    </rPh>
    <rPh sb="6" eb="7">
      <t>イチ</t>
    </rPh>
    <phoneticPr fontId="3"/>
  </si>
  <si>
    <t>117東京14区06</t>
    <rPh sb="3" eb="5">
      <t>トウキョウ</t>
    </rPh>
    <rPh sb="7" eb="8">
      <t>ク</t>
    </rPh>
    <phoneticPr fontId="3"/>
  </si>
  <si>
    <t>117東京14区07</t>
    <rPh sb="3" eb="5">
      <t>トウキョウ</t>
    </rPh>
    <rPh sb="7" eb="8">
      <t>ク</t>
    </rPh>
    <phoneticPr fontId="3"/>
  </si>
  <si>
    <t>渋江　勝義</t>
    <rPh sb="0" eb="2">
      <t>シブエ</t>
    </rPh>
    <rPh sb="3" eb="5">
      <t>カツヨシ</t>
    </rPh>
    <phoneticPr fontId="3"/>
  </si>
  <si>
    <t>藤田　直樹</t>
    <rPh sb="0" eb="2">
      <t>フジタ</t>
    </rPh>
    <rPh sb="3" eb="5">
      <t>ナオキ</t>
    </rPh>
    <phoneticPr fontId="3"/>
  </si>
  <si>
    <t>大(米/南ユタ)</t>
    <rPh sb="0" eb="1">
      <t>ダイ</t>
    </rPh>
    <rPh sb="2" eb="3">
      <t>ベイ</t>
    </rPh>
    <rPh sb="4" eb="5">
      <t>ミナミ</t>
    </rPh>
    <phoneticPr fontId="3"/>
  </si>
  <si>
    <t>124東京21区06</t>
    <rPh sb="3" eb="5">
      <t>トウキョウ</t>
    </rPh>
    <rPh sb="7" eb="8">
      <t>ク</t>
    </rPh>
    <phoneticPr fontId="3"/>
  </si>
  <si>
    <t>谷川　博之</t>
    <rPh sb="0" eb="2">
      <t>タニカワ</t>
    </rPh>
    <rPh sb="3" eb="5">
      <t>ヒロユキ</t>
    </rPh>
    <phoneticPr fontId="3"/>
  </si>
  <si>
    <t>渋谷区職員</t>
    <rPh sb="0" eb="3">
      <t>シブヤク</t>
    </rPh>
    <rPh sb="3" eb="5">
      <t>ショクイン</t>
    </rPh>
    <phoneticPr fontId="3"/>
  </si>
  <si>
    <t>団体職員(日本海事協会)</t>
    <rPh sb="0" eb="2">
      <t>ダンタイ</t>
    </rPh>
    <rPh sb="2" eb="4">
      <t>ショクイン</t>
    </rPh>
    <rPh sb="5" eb="7">
      <t>ニホン</t>
    </rPh>
    <rPh sb="7" eb="9">
      <t>カイジ</t>
    </rPh>
    <rPh sb="9" eb="11">
      <t>キョウカイ</t>
    </rPh>
    <phoneticPr fontId="3"/>
  </si>
  <si>
    <t>高校教諭</t>
    <rPh sb="0" eb="2">
      <t>コウコウ</t>
    </rPh>
    <rPh sb="2" eb="4">
      <t>キョウユ</t>
    </rPh>
    <phoneticPr fontId="3"/>
  </si>
  <si>
    <t>訪問看護師,農業</t>
    <rPh sb="0" eb="2">
      <t>ホウモン</t>
    </rPh>
    <rPh sb="2" eb="5">
      <t>カンゴシ</t>
    </rPh>
    <rPh sb="6" eb="8">
      <t>ノウギョウ</t>
    </rPh>
    <phoneticPr fontId="3"/>
  </si>
  <si>
    <t>他(日本ビジネススクール)</t>
    <rPh sb="0" eb="1">
      <t>ホカ</t>
    </rPh>
    <rPh sb="2" eb="4">
      <t>ニホン</t>
    </rPh>
    <phoneticPr fontId="3"/>
  </si>
  <si>
    <t>団体代表(全国悪質運転ZEROの会),会社社長(ステージ)</t>
    <rPh sb="0" eb="2">
      <t>ダンタイ</t>
    </rPh>
    <rPh sb="2" eb="4">
      <t>ダイヒョウ</t>
    </rPh>
    <rPh sb="5" eb="7">
      <t>ゼンコク</t>
    </rPh>
    <rPh sb="7" eb="9">
      <t>アクシツ</t>
    </rPh>
    <rPh sb="9" eb="11">
      <t>ウンテン</t>
    </rPh>
    <rPh sb="16" eb="17">
      <t>カイ</t>
    </rPh>
    <rPh sb="19" eb="21">
      <t>カイシャ</t>
    </rPh>
    <rPh sb="21" eb="23">
      <t>シャチョウ</t>
    </rPh>
    <phoneticPr fontId="3"/>
  </si>
  <si>
    <t>大(名古屋市立)</t>
    <rPh sb="0" eb="1">
      <t>ダイ</t>
    </rPh>
    <rPh sb="2" eb="5">
      <t>ナゴヤ</t>
    </rPh>
    <rPh sb="5" eb="7">
      <t>シリツ</t>
    </rPh>
    <phoneticPr fontId="3"/>
  </si>
  <si>
    <t>医師(聖霊病院/小児科医)</t>
    <rPh sb="0" eb="2">
      <t>イシ</t>
    </rPh>
    <rPh sb="3" eb="5">
      <t>セイレイ</t>
    </rPh>
    <rPh sb="5" eb="7">
      <t>ビョウイン</t>
    </rPh>
    <rPh sb="8" eb="12">
      <t>ショウニカイ</t>
    </rPh>
    <phoneticPr fontId="3"/>
  </si>
  <si>
    <t>増田　成美</t>
    <rPh sb="0" eb="2">
      <t>マスダ</t>
    </rPh>
    <rPh sb="3" eb="5">
      <t>ナリミ</t>
    </rPh>
    <phoneticPr fontId="3"/>
  </si>
  <si>
    <t>会社社長(大徳)</t>
    <rPh sb="0" eb="2">
      <t>カイシャ</t>
    </rPh>
    <rPh sb="2" eb="4">
      <t>シャチョウ</t>
    </rPh>
    <rPh sb="5" eb="7">
      <t>ダイトク</t>
    </rPh>
    <phoneticPr fontId="3"/>
  </si>
  <si>
    <t>他(東海工業専門学校)</t>
    <rPh sb="0" eb="1">
      <t>ホカ</t>
    </rPh>
    <rPh sb="2" eb="4">
      <t>トウカイ</t>
    </rPh>
    <rPh sb="4" eb="6">
      <t>コウギョウ</t>
    </rPh>
    <rPh sb="6" eb="8">
      <t>センモン</t>
    </rPh>
    <rPh sb="8" eb="10">
      <t>ガッコウ</t>
    </rPh>
    <phoneticPr fontId="3"/>
  </si>
  <si>
    <t>共産党地区委員,港民主商工会事務局長</t>
    <rPh sb="0" eb="3">
      <t>キョウサントウ</t>
    </rPh>
    <rPh sb="3" eb="5">
      <t>チク</t>
    </rPh>
    <rPh sb="5" eb="7">
      <t>イイン</t>
    </rPh>
    <rPh sb="8" eb="9">
      <t>ミナト</t>
    </rPh>
    <rPh sb="9" eb="11">
      <t>ミンシュ</t>
    </rPh>
    <rPh sb="11" eb="14">
      <t>ショウコウカイ</t>
    </rPh>
    <rPh sb="14" eb="16">
      <t>ジム</t>
    </rPh>
    <rPh sb="16" eb="18">
      <t>キョクチョウ</t>
    </rPh>
    <phoneticPr fontId="3"/>
  </si>
  <si>
    <t>高(高浜)</t>
    <rPh sb="0" eb="1">
      <t>コウ</t>
    </rPh>
    <rPh sb="2" eb="4">
      <t>タカハマ</t>
    </rPh>
    <phoneticPr fontId="3"/>
  </si>
  <si>
    <t>178三重2区05</t>
    <rPh sb="3" eb="5">
      <t>ミエ</t>
    </rPh>
    <rPh sb="6" eb="7">
      <t>ク</t>
    </rPh>
    <phoneticPr fontId="3"/>
  </si>
  <si>
    <t>今村　昭一</t>
    <rPh sb="0" eb="2">
      <t>イマムラ</t>
    </rPh>
    <rPh sb="3" eb="5">
      <t>ショウイチ</t>
    </rPh>
    <phoneticPr fontId="3"/>
  </si>
  <si>
    <t>高(亀山)</t>
    <rPh sb="0" eb="1">
      <t>コウ</t>
    </rPh>
    <rPh sb="2" eb="4">
      <t>カメヤマ</t>
    </rPh>
    <phoneticPr fontId="3"/>
  </si>
  <si>
    <t>農業,会社員(JR東海)</t>
    <rPh sb="0" eb="2">
      <t>ノウギョウ</t>
    </rPh>
    <rPh sb="3" eb="6">
      <t>カイシャイン</t>
    </rPh>
    <rPh sb="9" eb="11">
      <t>トウカイ</t>
    </rPh>
    <phoneticPr fontId="3"/>
  </si>
  <si>
    <t>182滋賀1区05</t>
    <rPh sb="3" eb="5">
      <t>シガ</t>
    </rPh>
    <rPh sb="6" eb="7">
      <t>ク</t>
    </rPh>
    <phoneticPr fontId="3"/>
  </si>
  <si>
    <t>西田　幸光</t>
    <rPh sb="0" eb="2">
      <t>ニシダ</t>
    </rPh>
    <rPh sb="3" eb="5">
      <t>ユキミツ</t>
    </rPh>
    <phoneticPr fontId="3"/>
  </si>
  <si>
    <t>大院(大阪)</t>
    <rPh sb="0" eb="2">
      <t>ダイイン</t>
    </rPh>
    <rPh sb="3" eb="5">
      <t>オオサカ</t>
    </rPh>
    <phoneticPr fontId="3"/>
  </si>
  <si>
    <t>歯科医師</t>
    <rPh sb="0" eb="4">
      <t>シカイシ</t>
    </rPh>
    <phoneticPr fontId="3"/>
  </si>
  <si>
    <t>大(米/ウィッチタ)</t>
    <rPh sb="0" eb="1">
      <t>ダイ</t>
    </rPh>
    <rPh sb="2" eb="3">
      <t>ベイ</t>
    </rPh>
    <phoneticPr fontId="3"/>
  </si>
  <si>
    <t>弁護士,薬剤師</t>
    <rPh sb="0" eb="3">
      <t>ベンゴシ</t>
    </rPh>
    <rPh sb="4" eb="7">
      <t>ヤクザイシ</t>
    </rPh>
    <phoneticPr fontId="3"/>
  </si>
  <si>
    <t>法</t>
    <rPh sb="0" eb="1">
      <t>ホウ</t>
    </rPh>
    <phoneticPr fontId="3"/>
  </si>
  <si>
    <t>他(京都歯科衛生士専門学校)</t>
    <rPh sb="0" eb="1">
      <t>ホカ</t>
    </rPh>
    <rPh sb="2" eb="4">
      <t>キョウト</t>
    </rPh>
    <rPh sb="4" eb="6">
      <t>シカ</t>
    </rPh>
    <rPh sb="6" eb="9">
      <t>エイセイシ</t>
    </rPh>
    <rPh sb="9" eb="11">
      <t>センモン</t>
    </rPh>
    <rPh sb="11" eb="13">
      <t>ガッコウ</t>
    </rPh>
    <phoneticPr fontId="3"/>
  </si>
  <si>
    <t>204大阪13区05</t>
    <rPh sb="3" eb="5">
      <t>オオサカ</t>
    </rPh>
    <rPh sb="7" eb="8">
      <t>ク</t>
    </rPh>
    <phoneticPr fontId="3"/>
  </si>
  <si>
    <t>皿田　幸市</t>
    <rPh sb="0" eb="1">
      <t>サラ</t>
    </rPh>
    <rPh sb="1" eb="2">
      <t>タ</t>
    </rPh>
    <rPh sb="3" eb="5">
      <t>コウイチ</t>
    </rPh>
    <phoneticPr fontId="3"/>
  </si>
  <si>
    <t>高(南部)</t>
    <rPh sb="0" eb="1">
      <t>コウ</t>
    </rPh>
    <rPh sb="2" eb="4">
      <t>ナンブ</t>
    </rPh>
    <phoneticPr fontId="3"/>
  </si>
  <si>
    <t>高(東大阪)</t>
    <rPh sb="0" eb="1">
      <t>コウ</t>
    </rPh>
    <rPh sb="2" eb="5">
      <t>ヒガシオオサカ</t>
    </rPh>
    <phoneticPr fontId="3"/>
  </si>
  <si>
    <t>大中(大阪工業)</t>
    <rPh sb="0" eb="1">
      <t>ダイ</t>
    </rPh>
    <rPh sb="1" eb="2">
      <t>チュウ</t>
    </rPh>
    <rPh sb="3" eb="5">
      <t>オオサカ</t>
    </rPh>
    <rPh sb="5" eb="7">
      <t>コウギョウ</t>
    </rPh>
    <phoneticPr fontId="3"/>
  </si>
  <si>
    <t>207大阪16区04</t>
    <rPh sb="3" eb="5">
      <t>オオサカ</t>
    </rPh>
    <rPh sb="7" eb="8">
      <t>ク</t>
    </rPh>
    <phoneticPr fontId="3"/>
  </si>
  <si>
    <t>中村　　勝</t>
    <rPh sb="0" eb="2">
      <t>ナカムラ</t>
    </rPh>
    <rPh sb="4" eb="5">
      <t>マサル</t>
    </rPh>
    <phoneticPr fontId="3"/>
  </si>
  <si>
    <t>二十一</t>
    <rPh sb="0" eb="3">
      <t>ニジュウイチ</t>
    </rPh>
    <phoneticPr fontId="3"/>
  </si>
  <si>
    <t>二十一世紀日本維新会代表</t>
    <rPh sb="0" eb="3">
      <t>ニジュウイッ</t>
    </rPh>
    <rPh sb="3" eb="5">
      <t>セイキ</t>
    </rPh>
    <rPh sb="5" eb="7">
      <t>ニホン</t>
    </rPh>
    <rPh sb="7" eb="9">
      <t>イシン</t>
    </rPh>
    <rPh sb="9" eb="10">
      <t>カイ</t>
    </rPh>
    <rPh sb="10" eb="12">
      <t>ダイヒョウ</t>
    </rPh>
    <phoneticPr fontId="3"/>
  </si>
  <si>
    <t>208大阪17区06</t>
    <rPh sb="3" eb="5">
      <t>オオサカ</t>
    </rPh>
    <rPh sb="7" eb="8">
      <t>ク</t>
    </rPh>
    <phoneticPr fontId="3"/>
  </si>
  <si>
    <t>奥田　クスミ</t>
    <rPh sb="0" eb="2">
      <t>オクダ</t>
    </rPh>
    <phoneticPr fontId="3"/>
  </si>
  <si>
    <t>大(帝塚山学院)</t>
    <rPh sb="0" eb="1">
      <t>ダイ</t>
    </rPh>
    <rPh sb="2" eb="5">
      <t>テヅカヤマ</t>
    </rPh>
    <rPh sb="5" eb="7">
      <t>ガクイン</t>
    </rPh>
    <phoneticPr fontId="3"/>
  </si>
  <si>
    <t>共産党地区常任委員,生協職員</t>
    <rPh sb="0" eb="3">
      <t>キョウサントウ</t>
    </rPh>
    <rPh sb="3" eb="5">
      <t>チク</t>
    </rPh>
    <rPh sb="5" eb="7">
      <t>ジョウニン</t>
    </rPh>
    <rPh sb="7" eb="9">
      <t>イイン</t>
    </rPh>
    <rPh sb="10" eb="12">
      <t>セイキョウ</t>
    </rPh>
    <rPh sb="12" eb="14">
      <t>ショクイン</t>
    </rPh>
    <phoneticPr fontId="3"/>
  </si>
  <si>
    <t>高(由良育英)</t>
    <rPh sb="0" eb="1">
      <t>コウ</t>
    </rPh>
    <rPh sb="2" eb="4">
      <t>ユラ</t>
    </rPh>
    <rPh sb="4" eb="6">
      <t>イクエイ</t>
    </rPh>
    <phoneticPr fontId="3"/>
  </si>
  <si>
    <t>大(大阪学院)</t>
    <rPh sb="0" eb="1">
      <t>ダイ</t>
    </rPh>
    <rPh sb="2" eb="4">
      <t>オオサカ</t>
    </rPh>
    <rPh sb="4" eb="6">
      <t>ガクイン</t>
    </rPh>
    <phoneticPr fontId="3"/>
  </si>
  <si>
    <t>大(大阪経済法科)</t>
    <rPh sb="0" eb="1">
      <t>ダイ</t>
    </rPh>
    <rPh sb="2" eb="4">
      <t>オオサカ</t>
    </rPh>
    <rPh sb="4" eb="8">
      <t>ケイザイホウカ</t>
    </rPh>
    <phoneticPr fontId="3"/>
  </si>
  <si>
    <t>230鳥取1区03</t>
    <rPh sb="3" eb="5">
      <t>トットリ</t>
    </rPh>
    <rPh sb="6" eb="7">
      <t>ク</t>
    </rPh>
    <phoneticPr fontId="3"/>
  </si>
  <si>
    <t>井上　　洋</t>
    <rPh sb="0" eb="2">
      <t>イノウエ</t>
    </rPh>
    <rPh sb="4" eb="5">
      <t>ヒロシ</t>
    </rPh>
    <phoneticPr fontId="3"/>
  </si>
  <si>
    <t>貿易コンサルタント</t>
    <rPh sb="0" eb="2">
      <t>ボウエキ</t>
    </rPh>
    <phoneticPr fontId="3"/>
  </si>
  <si>
    <t>大(四国学院)</t>
    <rPh sb="0" eb="1">
      <t>ダイ</t>
    </rPh>
    <rPh sb="2" eb="4">
      <t>シコク</t>
    </rPh>
    <rPh sb="4" eb="6">
      <t>ガクイン</t>
    </rPh>
    <phoneticPr fontId="3"/>
  </si>
  <si>
    <t>大中(九州情報)</t>
    <rPh sb="0" eb="1">
      <t>ダイ</t>
    </rPh>
    <rPh sb="1" eb="2">
      <t>チュウ</t>
    </rPh>
    <rPh sb="3" eb="5">
      <t>キュウシュウ</t>
    </rPh>
    <rPh sb="5" eb="7">
      <t>ジョウホウ</t>
    </rPh>
    <phoneticPr fontId="3"/>
  </si>
  <si>
    <t>旧たちあがれ日本事務局長,会社員(三井ホーム)</t>
    <rPh sb="0" eb="1">
      <t>キュウ</t>
    </rPh>
    <rPh sb="6" eb="8">
      <t>ニホン</t>
    </rPh>
    <rPh sb="8" eb="10">
      <t>ジム</t>
    </rPh>
    <rPh sb="10" eb="12">
      <t>キョクチョウ</t>
    </rPh>
    <rPh sb="13" eb="16">
      <t>カイシャイン</t>
    </rPh>
    <rPh sb="17" eb="19">
      <t>ミツイ</t>
    </rPh>
    <phoneticPr fontId="3"/>
  </si>
  <si>
    <t>整骨院副院長,銀行員(筑邦銀行)</t>
    <rPh sb="0" eb="3">
      <t>セイコツイン</t>
    </rPh>
    <rPh sb="3" eb="6">
      <t>フクインチョウ</t>
    </rPh>
    <rPh sb="7" eb="10">
      <t>ギンコウイン</t>
    </rPh>
    <rPh sb="11" eb="13">
      <t>チクホウ</t>
    </rPh>
    <rPh sb="13" eb="15">
      <t>ギンコウ</t>
    </rPh>
    <phoneticPr fontId="3"/>
  </si>
  <si>
    <t>高(博多女子商)</t>
    <rPh sb="0" eb="1">
      <t>コウ</t>
    </rPh>
    <rPh sb="2" eb="4">
      <t>ハカタ</t>
    </rPh>
    <rPh sb="4" eb="6">
      <t>ジョシ</t>
    </rPh>
    <rPh sb="6" eb="7">
      <t>ショウ</t>
    </rPh>
    <phoneticPr fontId="3"/>
  </si>
  <si>
    <t>大(吉備国際)</t>
    <rPh sb="0" eb="1">
      <t>ダイ</t>
    </rPh>
    <rPh sb="2" eb="4">
      <t>キビ</t>
    </rPh>
    <rPh sb="4" eb="6">
      <t>コクサイ</t>
    </rPh>
    <phoneticPr fontId="3"/>
  </si>
  <si>
    <t>高(小浜)</t>
    <rPh sb="0" eb="1">
      <t>コウ</t>
    </rPh>
    <rPh sb="2" eb="4">
      <t>オバマ</t>
    </rPh>
    <phoneticPr fontId="3"/>
  </si>
  <si>
    <t>278長崎2区05</t>
    <rPh sb="3" eb="5">
      <t>ナガサキ</t>
    </rPh>
    <rPh sb="6" eb="7">
      <t>ク</t>
    </rPh>
    <phoneticPr fontId="3"/>
  </si>
  <si>
    <t>森　　文義</t>
    <rPh sb="0" eb="1">
      <t>モリ</t>
    </rPh>
    <rPh sb="3" eb="5">
      <t>フミヨシ</t>
    </rPh>
    <phoneticPr fontId="3"/>
  </si>
  <si>
    <t>高(長崎水産)</t>
    <rPh sb="0" eb="1">
      <t>コウ</t>
    </rPh>
    <rPh sb="2" eb="4">
      <t>ナガサキ</t>
    </rPh>
    <rPh sb="4" eb="6">
      <t>スイサン</t>
    </rPh>
    <phoneticPr fontId="3"/>
  </si>
  <si>
    <t>小長井町漁協組合長,水産加工業</t>
    <rPh sb="0" eb="4">
      <t>コナガイチョウ</t>
    </rPh>
    <rPh sb="4" eb="6">
      <t>ギョキョウ</t>
    </rPh>
    <rPh sb="6" eb="9">
      <t>クミアイチョウ</t>
    </rPh>
    <rPh sb="10" eb="12">
      <t>スイサン</t>
    </rPh>
    <rPh sb="12" eb="15">
      <t>カコウギョウ</t>
    </rPh>
    <phoneticPr fontId="3"/>
  </si>
  <si>
    <t>281熊本1区05</t>
    <rPh sb="3" eb="5">
      <t>クマモト</t>
    </rPh>
    <rPh sb="6" eb="7">
      <t>ク</t>
    </rPh>
    <phoneticPr fontId="3"/>
  </si>
  <si>
    <t>倉田　千代喜</t>
    <rPh sb="0" eb="2">
      <t>クラタ</t>
    </rPh>
    <rPh sb="3" eb="5">
      <t>チヨ</t>
    </rPh>
    <rPh sb="5" eb="6">
      <t>キ</t>
    </rPh>
    <phoneticPr fontId="3"/>
  </si>
  <si>
    <t>高(一町田農)</t>
    <rPh sb="0" eb="1">
      <t>コウ</t>
    </rPh>
    <rPh sb="2" eb="3">
      <t>イチ</t>
    </rPh>
    <rPh sb="3" eb="5">
      <t>マチダ</t>
    </rPh>
    <rPh sb="5" eb="6">
      <t>ノウ</t>
    </rPh>
    <phoneticPr fontId="3"/>
  </si>
  <si>
    <t>熊本県警職員</t>
    <rPh sb="0" eb="2">
      <t>クマモト</t>
    </rPh>
    <rPh sb="2" eb="4">
      <t>ケンケイ</t>
    </rPh>
    <rPh sb="4" eb="6">
      <t>ショクイン</t>
    </rPh>
    <phoneticPr fontId="3"/>
  </si>
  <si>
    <t>高(熊本工)</t>
    <rPh sb="0" eb="1">
      <t>コウ</t>
    </rPh>
    <rPh sb="2" eb="4">
      <t>クマモト</t>
    </rPh>
    <rPh sb="4" eb="5">
      <t>コウ</t>
    </rPh>
    <phoneticPr fontId="3"/>
  </si>
  <si>
    <t>大(女子栄養)</t>
    <rPh sb="0" eb="1">
      <t>ダイ</t>
    </rPh>
    <rPh sb="2" eb="4">
      <t>ジョシ</t>
    </rPh>
    <rPh sb="4" eb="6">
      <t>エイヨウ</t>
    </rPh>
    <phoneticPr fontId="3"/>
  </si>
  <si>
    <t>大(宮崎)</t>
    <rPh sb="0" eb="1">
      <t>ダイ</t>
    </rPh>
    <rPh sb="2" eb="4">
      <t>ミヤザキ</t>
    </rPh>
    <phoneticPr fontId="3"/>
  </si>
  <si>
    <t>286大分1区06</t>
    <rPh sb="3" eb="5">
      <t>オオイタ</t>
    </rPh>
    <rPh sb="6" eb="7">
      <t>ク</t>
    </rPh>
    <phoneticPr fontId="3"/>
  </si>
  <si>
    <t>染矢　誠治</t>
    <rPh sb="0" eb="2">
      <t>ソメヤ</t>
    </rPh>
    <rPh sb="3" eb="5">
      <t>セイジ</t>
    </rPh>
    <phoneticPr fontId="3"/>
  </si>
  <si>
    <t>大(日本獣医畜産)</t>
    <rPh sb="0" eb="1">
      <t>ダイ</t>
    </rPh>
    <rPh sb="2" eb="4">
      <t>ニホン</t>
    </rPh>
    <rPh sb="4" eb="6">
      <t>ジュウイ</t>
    </rPh>
    <rPh sb="6" eb="8">
      <t>チクサン</t>
    </rPh>
    <phoneticPr fontId="3"/>
  </si>
  <si>
    <t>獣医師</t>
    <rPh sb="0" eb="3">
      <t>ジュウイシ</t>
    </rPh>
    <phoneticPr fontId="3"/>
  </si>
  <si>
    <t>287大分2区04</t>
    <rPh sb="3" eb="5">
      <t>オオイタ</t>
    </rPh>
    <rPh sb="6" eb="7">
      <t>ク</t>
    </rPh>
    <phoneticPr fontId="3"/>
  </si>
  <si>
    <t>大(大阪工業)</t>
    <rPh sb="0" eb="1">
      <t>ダイ</t>
    </rPh>
    <rPh sb="2" eb="4">
      <t>オオサカ</t>
    </rPh>
    <rPh sb="4" eb="6">
      <t>コウギョウ</t>
    </rPh>
    <phoneticPr fontId="3"/>
  </si>
  <si>
    <t>他(都城高専)</t>
    <rPh sb="0" eb="1">
      <t>ホカ</t>
    </rPh>
    <rPh sb="2" eb="4">
      <t>ミヤコノジョウ</t>
    </rPh>
    <rPh sb="4" eb="6">
      <t>コウセン</t>
    </rPh>
    <phoneticPr fontId="3"/>
  </si>
  <si>
    <t>高(鶴丸)</t>
    <rPh sb="0" eb="1">
      <t>コウ</t>
    </rPh>
    <rPh sb="2" eb="4">
      <t>ツルマル</t>
    </rPh>
    <phoneticPr fontId="3"/>
  </si>
  <si>
    <t>会社顧問,学習塾経営</t>
    <rPh sb="0" eb="2">
      <t>カイシャ</t>
    </rPh>
    <rPh sb="2" eb="4">
      <t>コモン</t>
    </rPh>
    <rPh sb="5" eb="8">
      <t>ガクシュウジュク</t>
    </rPh>
    <rPh sb="8" eb="10">
      <t>ケイエイ</t>
    </rPh>
    <phoneticPr fontId="3"/>
  </si>
  <si>
    <t>鹿児島県・西之表市議,高校教諭</t>
    <rPh sb="0" eb="4">
      <t>カゴシマケン</t>
    </rPh>
    <rPh sb="5" eb="8">
      <t>ニシノオモテ</t>
    </rPh>
    <rPh sb="8" eb="10">
      <t>シギ</t>
    </rPh>
    <rPh sb="11" eb="13">
      <t>コウコウ</t>
    </rPh>
    <rPh sb="13" eb="15">
      <t>キョウユ</t>
    </rPh>
    <phoneticPr fontId="3"/>
  </si>
  <si>
    <t>298沖縄2区04</t>
    <rPh sb="3" eb="5">
      <t>オキナワ</t>
    </rPh>
    <rPh sb="6" eb="7">
      <t>ク</t>
    </rPh>
    <phoneticPr fontId="3"/>
  </si>
  <si>
    <t>永井　　獏</t>
    <rPh sb="0" eb="2">
      <t>ナガイ</t>
    </rPh>
    <rPh sb="4" eb="5">
      <t>バク</t>
    </rPh>
    <phoneticPr fontId="3"/>
  </si>
  <si>
    <t>団体役員,大学教員(琉球大学教授)</t>
    <rPh sb="0" eb="2">
      <t>ダンタイ</t>
    </rPh>
    <rPh sb="2" eb="4">
      <t>ヤクイン</t>
    </rPh>
    <rPh sb="5" eb="7">
      <t>ダイガク</t>
    </rPh>
    <rPh sb="7" eb="9">
      <t>キョウイン</t>
    </rPh>
    <rPh sb="10" eb="12">
      <t>リュウキュウ</t>
    </rPh>
    <rPh sb="12" eb="14">
      <t>ダイガク</t>
    </rPh>
    <rPh sb="14" eb="16">
      <t>キョウジュ</t>
    </rPh>
    <phoneticPr fontId="3"/>
  </si>
  <si>
    <t>社会福祉法人理事長</t>
    <rPh sb="0" eb="2">
      <t>シャカイ</t>
    </rPh>
    <rPh sb="2" eb="4">
      <t>フクシ</t>
    </rPh>
    <rPh sb="4" eb="6">
      <t>ホウジン</t>
    </rPh>
    <rPh sb="6" eb="9">
      <t>リジチョウ</t>
    </rPh>
    <phoneticPr fontId="3"/>
  </si>
  <si>
    <t>森　　英士</t>
    <rPh sb="0" eb="1">
      <t>モリ</t>
    </rPh>
    <rPh sb="3" eb="5">
      <t>ツネト</t>
    </rPh>
    <phoneticPr fontId="3"/>
  </si>
  <si>
    <t>共産党北海道委員,病院職員</t>
    <rPh sb="0" eb="3">
      <t>キョウサントウ</t>
    </rPh>
    <rPh sb="3" eb="6">
      <t>ホッカイドウ</t>
    </rPh>
    <rPh sb="6" eb="8">
      <t>イイン</t>
    </rPh>
    <rPh sb="9" eb="11">
      <t>ビョウイン</t>
    </rPh>
    <rPh sb="11" eb="13">
      <t>ショクイン</t>
    </rPh>
    <phoneticPr fontId="3"/>
  </si>
  <si>
    <t>共産党地区委員長,病院職員</t>
    <rPh sb="0" eb="3">
      <t>キョウサントウ</t>
    </rPh>
    <rPh sb="3" eb="5">
      <t>チク</t>
    </rPh>
    <rPh sb="5" eb="8">
      <t>イインチョウ</t>
    </rPh>
    <rPh sb="9" eb="11">
      <t>ビョウイン</t>
    </rPh>
    <rPh sb="11" eb="13">
      <t>ショクイン</t>
    </rPh>
    <phoneticPr fontId="3"/>
  </si>
  <si>
    <t>未</t>
    <rPh sb="0" eb="1">
      <t>ミ</t>
    </rPh>
    <phoneticPr fontId="3"/>
  </si>
  <si>
    <t>共産党青森県委員,民青同盟青森県委員長</t>
    <rPh sb="0" eb="3">
      <t>キョウサントウ</t>
    </rPh>
    <rPh sb="3" eb="6">
      <t>アオモリケン</t>
    </rPh>
    <rPh sb="6" eb="8">
      <t>イイン</t>
    </rPh>
    <rPh sb="9" eb="11">
      <t>ミンセイ</t>
    </rPh>
    <rPh sb="11" eb="13">
      <t>ドウメイ</t>
    </rPh>
    <rPh sb="13" eb="16">
      <t>アオモリケン</t>
    </rPh>
    <rPh sb="16" eb="19">
      <t>イインチョウ</t>
    </rPh>
    <phoneticPr fontId="3"/>
  </si>
  <si>
    <t>千葉　浩規</t>
    <rPh sb="0" eb="2">
      <t>チバ</t>
    </rPh>
    <rPh sb="3" eb="5">
      <t>コウキ</t>
    </rPh>
    <phoneticPr fontId="3"/>
  </si>
  <si>
    <t>共産党地区常任委員,農業</t>
    <rPh sb="0" eb="3">
      <t>キョウサントウ</t>
    </rPh>
    <rPh sb="3" eb="5">
      <t>チク</t>
    </rPh>
    <rPh sb="5" eb="7">
      <t>ジョウニン</t>
    </rPh>
    <rPh sb="7" eb="9">
      <t>イイン</t>
    </rPh>
    <rPh sb="10" eb="12">
      <t>ノウギョウ</t>
    </rPh>
    <phoneticPr fontId="3"/>
  </si>
  <si>
    <t>大</t>
    <rPh sb="0" eb="1">
      <t>ダイ</t>
    </rPh>
    <phoneticPr fontId="3"/>
  </si>
  <si>
    <t>共産党岩手県常任委員,民青同盟岩手県副委員長</t>
    <rPh sb="0" eb="3">
      <t>キョウサントウ</t>
    </rPh>
    <rPh sb="3" eb="6">
      <t>イワテケン</t>
    </rPh>
    <rPh sb="6" eb="8">
      <t>ジョウニン</t>
    </rPh>
    <rPh sb="8" eb="10">
      <t>イイン</t>
    </rPh>
    <rPh sb="11" eb="15">
      <t>ミンセイドウメイ</t>
    </rPh>
    <rPh sb="15" eb="18">
      <t>イワテケン</t>
    </rPh>
    <rPh sb="18" eb="22">
      <t>フクイインチョウ</t>
    </rPh>
    <phoneticPr fontId="3"/>
  </si>
  <si>
    <t>林　　宙紀</t>
    <rPh sb="0" eb="1">
      <t>ハヤシ</t>
    </rPh>
    <rPh sb="3" eb="5">
      <t>ヒロキ</t>
    </rPh>
    <phoneticPr fontId="3"/>
  </si>
  <si>
    <t>維改</t>
    <rPh sb="0" eb="1">
      <t>イ</t>
    </rPh>
    <rPh sb="1" eb="2">
      <t>カイ</t>
    </rPh>
    <phoneticPr fontId="3"/>
  </si>
  <si>
    <t>戸津川　永</t>
    <rPh sb="0" eb="3">
      <t>トツカワ</t>
    </rPh>
    <rPh sb="4" eb="5">
      <t>ヒサシ</t>
    </rPh>
    <phoneticPr fontId="3"/>
  </si>
  <si>
    <t>共産党宮城県委員,郵便局員</t>
    <rPh sb="0" eb="3">
      <t>キョウサントウ</t>
    </rPh>
    <rPh sb="3" eb="6">
      <t>ミヤギケン</t>
    </rPh>
    <rPh sb="6" eb="8">
      <t>イイン</t>
    </rPh>
    <rPh sb="9" eb="11">
      <t>ユウビン</t>
    </rPh>
    <rPh sb="11" eb="13">
      <t>キョクイン</t>
    </rPh>
    <phoneticPr fontId="3"/>
  </si>
  <si>
    <t>石川　　渉</t>
    <rPh sb="0" eb="2">
      <t>イシカワ</t>
    </rPh>
    <rPh sb="4" eb="5">
      <t>ショウ</t>
    </rPh>
    <phoneticPr fontId="3"/>
  </si>
  <si>
    <t>共産党山形県委員,民青同盟山形県委員長</t>
    <rPh sb="0" eb="3">
      <t>キョウサントウ</t>
    </rPh>
    <rPh sb="3" eb="6">
      <t>ヤマガタケン</t>
    </rPh>
    <rPh sb="6" eb="8">
      <t>イイン</t>
    </rPh>
    <rPh sb="9" eb="13">
      <t>ミンセイドウメイ</t>
    </rPh>
    <rPh sb="13" eb="16">
      <t>ヤマガタケン</t>
    </rPh>
    <rPh sb="16" eb="19">
      <t>イインチョウ</t>
    </rPh>
    <phoneticPr fontId="3"/>
  </si>
  <si>
    <t>共産党地区委員長,大学生協職員</t>
    <rPh sb="0" eb="3">
      <t>キョウサントウ</t>
    </rPh>
    <rPh sb="3" eb="5">
      <t>チク</t>
    </rPh>
    <rPh sb="5" eb="8">
      <t>イインチョウ</t>
    </rPh>
    <rPh sb="9" eb="11">
      <t>ダイガク</t>
    </rPh>
    <rPh sb="11" eb="13">
      <t>セイキョウ</t>
    </rPh>
    <rPh sb="13" eb="15">
      <t>ショクイン</t>
    </rPh>
    <phoneticPr fontId="3"/>
  </si>
  <si>
    <t>共産党地区委員,全国農民連女性部副会長</t>
    <rPh sb="0" eb="3">
      <t>キョウサントウ</t>
    </rPh>
    <rPh sb="3" eb="5">
      <t>チク</t>
    </rPh>
    <rPh sb="5" eb="7">
      <t>イイン</t>
    </rPh>
    <rPh sb="8" eb="10">
      <t>ゼンコク</t>
    </rPh>
    <rPh sb="10" eb="12">
      <t>ノウミン</t>
    </rPh>
    <rPh sb="12" eb="13">
      <t>レン</t>
    </rPh>
    <rPh sb="13" eb="16">
      <t>ジョセイブ</t>
    </rPh>
    <rPh sb="16" eb="19">
      <t>フクカイチョウ</t>
    </rPh>
    <phoneticPr fontId="3"/>
  </si>
  <si>
    <t>小山田　智枝</t>
    <rPh sb="0" eb="3">
      <t>オヤマダ</t>
    </rPh>
    <rPh sb="4" eb="6">
      <t>トシエ</t>
    </rPh>
    <phoneticPr fontId="3"/>
  </si>
  <si>
    <t>議員秘書(武村正義),松下政経塾生</t>
    <rPh sb="0" eb="2">
      <t>ギイン</t>
    </rPh>
    <rPh sb="2" eb="4">
      <t>ヒショ</t>
    </rPh>
    <rPh sb="5" eb="7">
      <t>タケムラ</t>
    </rPh>
    <rPh sb="7" eb="9">
      <t>マサヨシ</t>
    </rPh>
    <rPh sb="11" eb="13">
      <t>マツシタ</t>
    </rPh>
    <rPh sb="13" eb="16">
      <t>セイケイジュク</t>
    </rPh>
    <rPh sb="16" eb="17">
      <t>セイ</t>
    </rPh>
    <phoneticPr fontId="3"/>
  </si>
  <si>
    <t>早乙女　利次</t>
    <rPh sb="0" eb="3">
      <t>ソウトメ</t>
    </rPh>
    <rPh sb="4" eb="6">
      <t>トシジ</t>
    </rPh>
    <phoneticPr fontId="3"/>
  </si>
  <si>
    <t>高中(浦和北)</t>
    <rPh sb="0" eb="1">
      <t>コウ</t>
    </rPh>
    <rPh sb="1" eb="2">
      <t>チュウ</t>
    </rPh>
    <rPh sb="3" eb="5">
      <t>ウラワ</t>
    </rPh>
    <rPh sb="5" eb="6">
      <t>キタ</t>
    </rPh>
    <phoneticPr fontId="3"/>
  </si>
  <si>
    <t>共産党神奈川県准委員</t>
    <rPh sb="0" eb="3">
      <t>キョウサントウ</t>
    </rPh>
    <rPh sb="3" eb="7">
      <t>カナガワケン</t>
    </rPh>
    <rPh sb="7" eb="8">
      <t>ジュン</t>
    </rPh>
    <rPh sb="8" eb="10">
      <t>イイン</t>
    </rPh>
    <phoneticPr fontId="3"/>
  </si>
  <si>
    <t>共産党神奈川県常任委員,横浜市職員</t>
    <rPh sb="0" eb="3">
      <t>キョウサントウ</t>
    </rPh>
    <rPh sb="3" eb="7">
      <t>カナガワケン</t>
    </rPh>
    <rPh sb="7" eb="9">
      <t>ジョウニン</t>
    </rPh>
    <rPh sb="9" eb="11">
      <t>イイン</t>
    </rPh>
    <rPh sb="12" eb="15">
      <t>ヨコハマシ</t>
    </rPh>
    <rPh sb="15" eb="17">
      <t>ショクイン</t>
    </rPh>
    <phoneticPr fontId="3"/>
  </si>
  <si>
    <t>中(山内)</t>
    <rPh sb="0" eb="1">
      <t>チュウ</t>
    </rPh>
    <rPh sb="2" eb="4">
      <t>ヤマウチ</t>
    </rPh>
    <phoneticPr fontId="3"/>
  </si>
  <si>
    <t>中(楠)</t>
    <rPh sb="0" eb="1">
      <t>チュウ</t>
    </rPh>
    <rPh sb="2" eb="3">
      <t>クスノキ</t>
    </rPh>
    <phoneticPr fontId="3"/>
  </si>
  <si>
    <t>中(小松原)</t>
    <rPh sb="0" eb="1">
      <t>チュウ</t>
    </rPh>
    <rPh sb="2" eb="5">
      <t>コマツバラ</t>
    </rPh>
    <phoneticPr fontId="3"/>
  </si>
  <si>
    <t>須増　伸子</t>
    <rPh sb="0" eb="2">
      <t>スマス</t>
    </rPh>
    <rPh sb="3" eb="5">
      <t>ノブコ</t>
    </rPh>
    <phoneticPr fontId="3"/>
  </si>
  <si>
    <t>三島　　照</t>
    <rPh sb="0" eb="2">
      <t>ミシマ</t>
    </rPh>
    <rPh sb="4" eb="5">
      <t>テラシ</t>
    </rPh>
    <phoneticPr fontId="3"/>
  </si>
  <si>
    <t>大ネ</t>
    <rPh sb="0" eb="1">
      <t>ダイ</t>
    </rPh>
    <phoneticPr fontId="3"/>
  </si>
  <si>
    <t>民</t>
    <rPh sb="0" eb="1">
      <t>ミン</t>
    </rPh>
    <phoneticPr fontId="3"/>
  </si>
  <si>
    <t>０５維新</t>
    <rPh sb="2" eb="4">
      <t>イシン</t>
    </rPh>
    <phoneticPr fontId="4"/>
  </si>
  <si>
    <t>０７共産党</t>
    <rPh sb="2" eb="5">
      <t>キョウサントウ</t>
    </rPh>
    <phoneticPr fontId="3"/>
  </si>
  <si>
    <t>０４公明党</t>
    <rPh sb="2" eb="5">
      <t>コウメイトウ</t>
    </rPh>
    <phoneticPr fontId="3"/>
  </si>
  <si>
    <t>０９国民新</t>
    <rPh sb="2" eb="5">
      <t>コクミンシン</t>
    </rPh>
    <phoneticPr fontId="3"/>
  </si>
  <si>
    <t>０２自民党</t>
    <rPh sb="2" eb="5">
      <t>ジミントウ</t>
    </rPh>
    <phoneticPr fontId="3"/>
  </si>
  <si>
    <t>０８社民党</t>
    <rPh sb="2" eb="5">
      <t>シャミントウ</t>
    </rPh>
    <phoneticPr fontId="3"/>
  </si>
  <si>
    <t>１３諸派</t>
    <rPh sb="2" eb="4">
      <t>ショハ</t>
    </rPh>
    <phoneticPr fontId="3"/>
  </si>
  <si>
    <t>１２新日本</t>
    <rPh sb="2" eb="5">
      <t>シンニホン</t>
    </rPh>
    <phoneticPr fontId="3"/>
  </si>
  <si>
    <t>１０大地</t>
    <rPh sb="2" eb="4">
      <t>ダイチ</t>
    </rPh>
    <phoneticPr fontId="4"/>
  </si>
  <si>
    <t>０３未来</t>
    <rPh sb="2" eb="4">
      <t>ミライ</t>
    </rPh>
    <phoneticPr fontId="3"/>
  </si>
  <si>
    <t>０１民主党</t>
    <rPh sb="2" eb="5">
      <t>ミンシュトウ</t>
    </rPh>
    <phoneticPr fontId="4"/>
  </si>
  <si>
    <t>０１民主党</t>
    <rPh sb="2" eb="5">
      <t>ミンシュトウ</t>
    </rPh>
    <phoneticPr fontId="3"/>
  </si>
  <si>
    <t>０６みんな</t>
    <phoneticPr fontId="3"/>
  </si>
  <si>
    <t>１４無所属</t>
    <rPh sb="2" eb="5">
      <t>ムショゾク</t>
    </rPh>
    <phoneticPr fontId="3"/>
  </si>
  <si>
    <t>０５維新</t>
    <rPh sb="2" eb="4">
      <t>イシン</t>
    </rPh>
    <phoneticPr fontId="3"/>
  </si>
  <si>
    <t>１１改革</t>
    <rPh sb="2" eb="4">
      <t>カイカク</t>
    </rPh>
    <phoneticPr fontId="3"/>
  </si>
  <si>
    <t>維</t>
    <rPh sb="0" eb="1">
      <t>イ</t>
    </rPh>
    <phoneticPr fontId="3"/>
  </si>
  <si>
    <t>高(帯広三条)</t>
    <rPh sb="0" eb="1">
      <t>コウ</t>
    </rPh>
    <rPh sb="2" eb="4">
      <t>オビヒロ</t>
    </rPh>
    <rPh sb="4" eb="6">
      <t>サンジョウ</t>
    </rPh>
    <phoneticPr fontId="3"/>
  </si>
  <si>
    <t>議員秘書(長谷川岳),漫画家,会社員(東芝)</t>
    <rPh sb="0" eb="2">
      <t>ギイン</t>
    </rPh>
    <rPh sb="2" eb="4">
      <t>ヒショ</t>
    </rPh>
    <rPh sb="5" eb="8">
      <t>ハセガワ</t>
    </rPh>
    <rPh sb="8" eb="9">
      <t>ガク</t>
    </rPh>
    <rPh sb="11" eb="14">
      <t>マンガカ</t>
    </rPh>
    <rPh sb="15" eb="18">
      <t>カイシャイン</t>
    </rPh>
    <rPh sb="19" eb="21">
      <t>トウシバ</t>
    </rPh>
    <phoneticPr fontId="3"/>
  </si>
  <si>
    <t>大院(一橋)</t>
    <rPh sb="0" eb="2">
      <t>ダイイン</t>
    </rPh>
    <rPh sb="3" eb="5">
      <t>ヒトツバシ</t>
    </rPh>
    <phoneticPr fontId="3"/>
  </si>
  <si>
    <t>北海道・岩見沢市長,歯科医師,岩見沢JC理事長</t>
    <rPh sb="0" eb="3">
      <t>ホッカイドウ</t>
    </rPh>
    <rPh sb="4" eb="7">
      <t>イワミザワ</t>
    </rPh>
    <rPh sb="7" eb="9">
      <t>シチョウ</t>
    </rPh>
    <rPh sb="10" eb="12">
      <t>シカ</t>
    </rPh>
    <rPh sb="12" eb="14">
      <t>イシ</t>
    </rPh>
    <rPh sb="15" eb="18">
      <t>イワミザワ</t>
    </rPh>
    <rPh sb="20" eb="23">
      <t>リジチョウ</t>
    </rPh>
    <phoneticPr fontId="3"/>
  </si>
  <si>
    <t>3005比例北海道維新01</t>
    <rPh sb="4" eb="6">
      <t>ヒレイ</t>
    </rPh>
    <rPh sb="6" eb="9">
      <t>ホッカイドウ</t>
    </rPh>
    <rPh sb="9" eb="11">
      <t>イシン</t>
    </rPh>
    <phoneticPr fontId="3"/>
  </si>
  <si>
    <t>3005比例北海道維新02</t>
    <rPh sb="4" eb="6">
      <t>ヒレイ</t>
    </rPh>
    <rPh sb="6" eb="9">
      <t>ホッカイドウ</t>
    </rPh>
    <rPh sb="9" eb="11">
      <t>イシン</t>
    </rPh>
    <phoneticPr fontId="3"/>
  </si>
  <si>
    <t>3005比例北海道維新03</t>
    <rPh sb="4" eb="6">
      <t>ヒレイ</t>
    </rPh>
    <rPh sb="6" eb="9">
      <t>ホッカイドウ</t>
    </rPh>
    <rPh sb="9" eb="11">
      <t>イシン</t>
    </rPh>
    <phoneticPr fontId="3"/>
  </si>
  <si>
    <t>3003比例北海道未来01</t>
    <rPh sb="4" eb="6">
      <t>ヒレイ</t>
    </rPh>
    <rPh sb="6" eb="9">
      <t>ホッカイドウ</t>
    </rPh>
    <rPh sb="9" eb="11">
      <t>ミライ</t>
    </rPh>
    <phoneticPr fontId="3"/>
  </si>
  <si>
    <t>3006比例北海道みんな01</t>
    <rPh sb="4" eb="6">
      <t>ヒレイ</t>
    </rPh>
    <rPh sb="6" eb="9">
      <t>ホッカイドウ</t>
    </rPh>
    <phoneticPr fontId="3"/>
  </si>
  <si>
    <t>3006比例北海道みんな02</t>
    <rPh sb="4" eb="6">
      <t>ヒレイ</t>
    </rPh>
    <rPh sb="6" eb="9">
      <t>ホッカイドウ</t>
    </rPh>
    <phoneticPr fontId="3"/>
  </si>
  <si>
    <t>3006比例北海道みんな03</t>
    <rPh sb="4" eb="6">
      <t>ヒレイ</t>
    </rPh>
    <rPh sb="6" eb="9">
      <t>ホッカイドウ</t>
    </rPh>
    <phoneticPr fontId="3"/>
  </si>
  <si>
    <t>3007比例北海道共産02</t>
    <rPh sb="4" eb="6">
      <t>ヒレイ</t>
    </rPh>
    <rPh sb="6" eb="9">
      <t>ホッカイドウ</t>
    </rPh>
    <rPh sb="9" eb="11">
      <t>キョウサン</t>
    </rPh>
    <phoneticPr fontId="3"/>
  </si>
  <si>
    <t>3010比例北海道大地01</t>
    <rPh sb="4" eb="6">
      <t>ヒレイ</t>
    </rPh>
    <rPh sb="6" eb="9">
      <t>ホッカイドウ</t>
    </rPh>
    <rPh sb="9" eb="11">
      <t>ダイチ</t>
    </rPh>
    <phoneticPr fontId="3"/>
  </si>
  <si>
    <t>3010比例北海道大地02</t>
    <rPh sb="4" eb="6">
      <t>ヒレイ</t>
    </rPh>
    <rPh sb="6" eb="9">
      <t>ホッカイドウ</t>
    </rPh>
    <rPh sb="9" eb="11">
      <t>ダイチ</t>
    </rPh>
    <phoneticPr fontId="3"/>
  </si>
  <si>
    <t>3010比例北海道大地03</t>
    <rPh sb="4" eb="6">
      <t>ヒレイ</t>
    </rPh>
    <rPh sb="6" eb="9">
      <t>ホッカイドウ</t>
    </rPh>
    <rPh sb="9" eb="11">
      <t>ダイチ</t>
    </rPh>
    <phoneticPr fontId="3"/>
  </si>
  <si>
    <t>3010比例北海道大地04</t>
    <rPh sb="4" eb="6">
      <t>ヒレイ</t>
    </rPh>
    <rPh sb="6" eb="9">
      <t>ホッカイドウ</t>
    </rPh>
    <rPh sb="9" eb="11">
      <t>ダイチ</t>
    </rPh>
    <phoneticPr fontId="3"/>
  </si>
  <si>
    <t>3010比例北海道大地05</t>
    <rPh sb="4" eb="6">
      <t>ヒレイ</t>
    </rPh>
    <rPh sb="6" eb="9">
      <t>ホッカイドウ</t>
    </rPh>
    <rPh sb="9" eb="11">
      <t>ダイチ</t>
    </rPh>
    <phoneticPr fontId="3"/>
  </si>
  <si>
    <t>3010比例北海道大地06</t>
    <rPh sb="4" eb="6">
      <t>ヒレイ</t>
    </rPh>
    <rPh sb="6" eb="9">
      <t>ホッカイドウ</t>
    </rPh>
    <rPh sb="9" eb="11">
      <t>ダイチ</t>
    </rPh>
    <phoneticPr fontId="3"/>
  </si>
  <si>
    <t>3010比例北海道大地07</t>
    <rPh sb="4" eb="6">
      <t>ヒレイ</t>
    </rPh>
    <rPh sb="6" eb="9">
      <t>ホッカイドウ</t>
    </rPh>
    <rPh sb="9" eb="11">
      <t>ダイチ</t>
    </rPh>
    <phoneticPr fontId="3"/>
  </si>
  <si>
    <t>3013比例北海道幸福01</t>
    <rPh sb="4" eb="6">
      <t>ヒレイ</t>
    </rPh>
    <rPh sb="6" eb="9">
      <t>ホッカイドウ</t>
    </rPh>
    <rPh sb="9" eb="11">
      <t>コウフク</t>
    </rPh>
    <phoneticPr fontId="3"/>
  </si>
  <si>
    <t>3013比例北海道幸福02</t>
    <rPh sb="4" eb="6">
      <t>ヒレイ</t>
    </rPh>
    <rPh sb="6" eb="9">
      <t>ホッカイドウ</t>
    </rPh>
    <rPh sb="9" eb="11">
      <t>コウフク</t>
    </rPh>
    <phoneticPr fontId="3"/>
  </si>
  <si>
    <t>大(国士舘)</t>
    <rPh sb="0" eb="1">
      <t>ダイ</t>
    </rPh>
    <rPh sb="2" eb="5">
      <t>コクシカン</t>
    </rPh>
    <phoneticPr fontId="3"/>
  </si>
  <si>
    <t>3103比例東北未来08</t>
    <rPh sb="4" eb="6">
      <t>ヒレイ</t>
    </rPh>
    <rPh sb="6" eb="8">
      <t>トウホク</t>
    </rPh>
    <rPh sb="8" eb="10">
      <t>ミライ</t>
    </rPh>
    <phoneticPr fontId="3"/>
  </si>
  <si>
    <t>3103比例東北未来16</t>
    <rPh sb="4" eb="6">
      <t>ヒレイ</t>
    </rPh>
    <rPh sb="6" eb="8">
      <t>トウホク</t>
    </rPh>
    <rPh sb="8" eb="10">
      <t>ミライ</t>
    </rPh>
    <phoneticPr fontId="3"/>
  </si>
  <si>
    <t>3103比例東北未来03</t>
    <rPh sb="4" eb="6">
      <t>ヒレイ</t>
    </rPh>
    <rPh sb="6" eb="8">
      <t>トウホク</t>
    </rPh>
    <rPh sb="8" eb="10">
      <t>ミライ</t>
    </rPh>
    <phoneticPr fontId="3"/>
  </si>
  <si>
    <t>3103比例東北未来04</t>
    <rPh sb="4" eb="6">
      <t>ヒレイ</t>
    </rPh>
    <rPh sb="6" eb="8">
      <t>トウホク</t>
    </rPh>
    <rPh sb="8" eb="10">
      <t>ミライ</t>
    </rPh>
    <phoneticPr fontId="3"/>
  </si>
  <si>
    <t>3103比例東北未来05</t>
    <rPh sb="4" eb="6">
      <t>ヒレイ</t>
    </rPh>
    <rPh sb="6" eb="8">
      <t>トウホク</t>
    </rPh>
    <rPh sb="8" eb="10">
      <t>ミライ</t>
    </rPh>
    <phoneticPr fontId="3"/>
  </si>
  <si>
    <t>3103比例東北未来06</t>
    <rPh sb="4" eb="6">
      <t>ヒレイ</t>
    </rPh>
    <rPh sb="6" eb="8">
      <t>トウホク</t>
    </rPh>
    <rPh sb="8" eb="10">
      <t>ミライ</t>
    </rPh>
    <phoneticPr fontId="3"/>
  </si>
  <si>
    <t>3103比例東北未来07</t>
    <rPh sb="4" eb="6">
      <t>ヒレイ</t>
    </rPh>
    <rPh sb="6" eb="8">
      <t>トウホク</t>
    </rPh>
    <rPh sb="8" eb="10">
      <t>ミライ</t>
    </rPh>
    <phoneticPr fontId="3"/>
  </si>
  <si>
    <t>3103比例東北未来09</t>
    <rPh sb="4" eb="6">
      <t>ヒレイ</t>
    </rPh>
    <rPh sb="6" eb="8">
      <t>トウホク</t>
    </rPh>
    <rPh sb="8" eb="10">
      <t>ミライ</t>
    </rPh>
    <phoneticPr fontId="3"/>
  </si>
  <si>
    <t>3103比例東北未来10</t>
    <rPh sb="4" eb="6">
      <t>ヒレイ</t>
    </rPh>
    <rPh sb="6" eb="8">
      <t>トウホク</t>
    </rPh>
    <rPh sb="8" eb="10">
      <t>ミライ</t>
    </rPh>
    <phoneticPr fontId="3"/>
  </si>
  <si>
    <t>3103比例東北未来11</t>
    <rPh sb="4" eb="6">
      <t>ヒレイ</t>
    </rPh>
    <rPh sb="6" eb="8">
      <t>トウホク</t>
    </rPh>
    <rPh sb="8" eb="10">
      <t>ミライ</t>
    </rPh>
    <phoneticPr fontId="3"/>
  </si>
  <si>
    <t>3103比例東北未来12</t>
    <rPh sb="4" eb="6">
      <t>ヒレイ</t>
    </rPh>
    <rPh sb="6" eb="8">
      <t>トウホク</t>
    </rPh>
    <rPh sb="8" eb="10">
      <t>ミライ</t>
    </rPh>
    <phoneticPr fontId="3"/>
  </si>
  <si>
    <t>3103比例東北未来13</t>
    <rPh sb="4" eb="6">
      <t>ヒレイ</t>
    </rPh>
    <rPh sb="6" eb="8">
      <t>トウホク</t>
    </rPh>
    <rPh sb="8" eb="10">
      <t>ミライ</t>
    </rPh>
    <phoneticPr fontId="3"/>
  </si>
  <si>
    <t>3103比例東北未来14</t>
    <rPh sb="4" eb="6">
      <t>ヒレイ</t>
    </rPh>
    <rPh sb="6" eb="8">
      <t>トウホク</t>
    </rPh>
    <rPh sb="8" eb="10">
      <t>ミライ</t>
    </rPh>
    <phoneticPr fontId="3"/>
  </si>
  <si>
    <t>3103比例東北未来15</t>
    <rPh sb="4" eb="6">
      <t>ヒレイ</t>
    </rPh>
    <rPh sb="6" eb="8">
      <t>トウホク</t>
    </rPh>
    <rPh sb="8" eb="10">
      <t>ミライ</t>
    </rPh>
    <phoneticPr fontId="3"/>
  </si>
  <si>
    <t>3105比例東北維新01</t>
    <rPh sb="4" eb="6">
      <t>ヒレイ</t>
    </rPh>
    <rPh sb="6" eb="8">
      <t>トウホク</t>
    </rPh>
    <rPh sb="8" eb="10">
      <t>イシン</t>
    </rPh>
    <phoneticPr fontId="3"/>
  </si>
  <si>
    <t>3105比例東北維新02</t>
    <rPh sb="4" eb="6">
      <t>ヒレイ</t>
    </rPh>
    <rPh sb="6" eb="8">
      <t>トウホク</t>
    </rPh>
    <rPh sb="8" eb="10">
      <t>イシン</t>
    </rPh>
    <phoneticPr fontId="3"/>
  </si>
  <si>
    <t>3105比例東北維新03</t>
    <rPh sb="4" eb="6">
      <t>ヒレイ</t>
    </rPh>
    <rPh sb="6" eb="8">
      <t>トウホク</t>
    </rPh>
    <rPh sb="8" eb="10">
      <t>イシン</t>
    </rPh>
    <phoneticPr fontId="3"/>
  </si>
  <si>
    <t>3105比例東北維新04</t>
    <rPh sb="4" eb="6">
      <t>ヒレイ</t>
    </rPh>
    <rPh sb="6" eb="8">
      <t>トウホク</t>
    </rPh>
    <rPh sb="8" eb="10">
      <t>イシン</t>
    </rPh>
    <phoneticPr fontId="3"/>
  </si>
  <si>
    <t>3105比例東北維新05</t>
    <rPh sb="4" eb="6">
      <t>ヒレイ</t>
    </rPh>
    <rPh sb="6" eb="8">
      <t>トウホク</t>
    </rPh>
    <rPh sb="8" eb="10">
      <t>イシン</t>
    </rPh>
    <phoneticPr fontId="3"/>
  </si>
  <si>
    <t>3105比例東北維新06</t>
    <rPh sb="4" eb="6">
      <t>ヒレイ</t>
    </rPh>
    <rPh sb="6" eb="8">
      <t>トウホク</t>
    </rPh>
    <rPh sb="8" eb="10">
      <t>イシン</t>
    </rPh>
    <phoneticPr fontId="3"/>
  </si>
  <si>
    <t>3105比例東北維新07</t>
    <rPh sb="4" eb="6">
      <t>ヒレイ</t>
    </rPh>
    <rPh sb="6" eb="8">
      <t>トウホク</t>
    </rPh>
    <rPh sb="8" eb="10">
      <t>イシン</t>
    </rPh>
    <phoneticPr fontId="3"/>
  </si>
  <si>
    <t>3105比例東北維新08</t>
    <rPh sb="4" eb="6">
      <t>ヒレイ</t>
    </rPh>
    <rPh sb="6" eb="8">
      <t>トウホク</t>
    </rPh>
    <rPh sb="8" eb="10">
      <t>イシン</t>
    </rPh>
    <phoneticPr fontId="3"/>
  </si>
  <si>
    <t>3105比例東北維新09</t>
    <rPh sb="4" eb="6">
      <t>ヒレイ</t>
    </rPh>
    <rPh sb="6" eb="8">
      <t>トウホク</t>
    </rPh>
    <rPh sb="8" eb="10">
      <t>イシン</t>
    </rPh>
    <phoneticPr fontId="3"/>
  </si>
  <si>
    <t>3105比例東北維新10</t>
    <rPh sb="4" eb="6">
      <t>ヒレイ</t>
    </rPh>
    <rPh sb="6" eb="8">
      <t>トウホク</t>
    </rPh>
    <rPh sb="8" eb="10">
      <t>イシン</t>
    </rPh>
    <phoneticPr fontId="3"/>
  </si>
  <si>
    <t>3106比例東北みんな01</t>
    <rPh sb="4" eb="6">
      <t>ヒレイ</t>
    </rPh>
    <rPh sb="6" eb="8">
      <t>トウホク</t>
    </rPh>
    <phoneticPr fontId="3"/>
  </si>
  <si>
    <t>3106比例東北みんな02</t>
    <rPh sb="4" eb="6">
      <t>ヒレイ</t>
    </rPh>
    <rPh sb="6" eb="8">
      <t>トウホク</t>
    </rPh>
    <phoneticPr fontId="3"/>
  </si>
  <si>
    <t>3106比例東北みんな03</t>
    <rPh sb="4" eb="6">
      <t>ヒレイ</t>
    </rPh>
    <rPh sb="6" eb="8">
      <t>トウホク</t>
    </rPh>
    <phoneticPr fontId="3"/>
  </si>
  <si>
    <t>3108比例東北社民06</t>
    <rPh sb="4" eb="6">
      <t>ヒレイ</t>
    </rPh>
    <rPh sb="6" eb="8">
      <t>トウホク</t>
    </rPh>
    <rPh sb="8" eb="10">
      <t>シャミン</t>
    </rPh>
    <phoneticPr fontId="3"/>
  </si>
  <si>
    <t>3108比例東北社民07</t>
    <rPh sb="4" eb="6">
      <t>ヒレイ</t>
    </rPh>
    <rPh sb="6" eb="8">
      <t>トウホク</t>
    </rPh>
    <rPh sb="8" eb="10">
      <t>シャミン</t>
    </rPh>
    <phoneticPr fontId="3"/>
  </si>
  <si>
    <t>3108比例東北社民03</t>
    <rPh sb="4" eb="6">
      <t>ヒレイ</t>
    </rPh>
    <rPh sb="6" eb="8">
      <t>トウホク</t>
    </rPh>
    <rPh sb="8" eb="10">
      <t>シャミン</t>
    </rPh>
    <phoneticPr fontId="3"/>
  </si>
  <si>
    <t>3108比例東北社民04</t>
    <rPh sb="4" eb="6">
      <t>ヒレイ</t>
    </rPh>
    <rPh sb="6" eb="8">
      <t>トウホク</t>
    </rPh>
    <rPh sb="8" eb="10">
      <t>シャミン</t>
    </rPh>
    <phoneticPr fontId="3"/>
  </si>
  <si>
    <t>3108比例東北社民05</t>
    <rPh sb="4" eb="6">
      <t>ヒレイ</t>
    </rPh>
    <rPh sb="6" eb="8">
      <t>トウホク</t>
    </rPh>
    <rPh sb="8" eb="10">
      <t>シャミン</t>
    </rPh>
    <phoneticPr fontId="3"/>
  </si>
  <si>
    <t>高中(苫小牧東)</t>
    <rPh sb="0" eb="2">
      <t>コウチュウ</t>
    </rPh>
    <rPh sb="3" eb="6">
      <t>トマコマイ</t>
    </rPh>
    <rPh sb="6" eb="7">
      <t>ヒガシ</t>
    </rPh>
    <phoneticPr fontId="3"/>
  </si>
  <si>
    <t>3111比例東北改革01</t>
    <rPh sb="4" eb="6">
      <t>ヒレイ</t>
    </rPh>
    <rPh sb="6" eb="8">
      <t>トウホク</t>
    </rPh>
    <rPh sb="8" eb="10">
      <t>カイカク</t>
    </rPh>
    <phoneticPr fontId="3"/>
  </si>
  <si>
    <t>医療法人理事長(晴生会),医師</t>
    <rPh sb="0" eb="2">
      <t>イリョウ</t>
    </rPh>
    <rPh sb="2" eb="4">
      <t>ホウジン</t>
    </rPh>
    <rPh sb="4" eb="7">
      <t>リジチョウ</t>
    </rPh>
    <rPh sb="8" eb="9">
      <t>ハ</t>
    </rPh>
    <rPh sb="10" eb="11">
      <t>カイ</t>
    </rPh>
    <rPh sb="13" eb="15">
      <t>イシ</t>
    </rPh>
    <phoneticPr fontId="3"/>
  </si>
  <si>
    <t>自民党埼玉県連事務局長,会社員(丸広百貨店)</t>
    <rPh sb="0" eb="3">
      <t>ジミントウ</t>
    </rPh>
    <rPh sb="3" eb="5">
      <t>サイタマ</t>
    </rPh>
    <rPh sb="5" eb="7">
      <t>ケンレン</t>
    </rPh>
    <rPh sb="7" eb="9">
      <t>ジム</t>
    </rPh>
    <rPh sb="9" eb="11">
      <t>キョクチョウ</t>
    </rPh>
    <rPh sb="12" eb="15">
      <t>カイシャイン</t>
    </rPh>
    <rPh sb="16" eb="17">
      <t>マル</t>
    </rPh>
    <rPh sb="17" eb="18">
      <t>ヒロ</t>
    </rPh>
    <rPh sb="18" eb="21">
      <t>ヒャッカテン</t>
    </rPh>
    <phoneticPr fontId="3"/>
  </si>
  <si>
    <t>3203比例北関東未来05</t>
    <rPh sb="4" eb="6">
      <t>ヒレイ</t>
    </rPh>
    <rPh sb="6" eb="9">
      <t>キタカントウ</t>
    </rPh>
    <rPh sb="9" eb="11">
      <t>ミライ</t>
    </rPh>
    <phoneticPr fontId="3"/>
  </si>
  <si>
    <t>3203比例北関東未来14</t>
    <rPh sb="4" eb="6">
      <t>ヒレイ</t>
    </rPh>
    <rPh sb="6" eb="9">
      <t>キタカントウ</t>
    </rPh>
    <rPh sb="9" eb="11">
      <t>ミライ</t>
    </rPh>
    <phoneticPr fontId="3"/>
  </si>
  <si>
    <t>駒井　　實</t>
    <rPh sb="0" eb="2">
      <t>コマイ</t>
    </rPh>
    <rPh sb="4" eb="5">
      <t>ミノル</t>
    </rPh>
    <phoneticPr fontId="3"/>
  </si>
  <si>
    <t>3203比例北関東未来01</t>
    <rPh sb="4" eb="6">
      <t>ヒレイ</t>
    </rPh>
    <rPh sb="6" eb="9">
      <t>キタカントウ</t>
    </rPh>
    <rPh sb="9" eb="11">
      <t>ミライ</t>
    </rPh>
    <phoneticPr fontId="3"/>
  </si>
  <si>
    <t>3203比例北関東未来02</t>
    <rPh sb="4" eb="6">
      <t>ヒレイ</t>
    </rPh>
    <rPh sb="6" eb="9">
      <t>キタカントウ</t>
    </rPh>
    <rPh sb="9" eb="11">
      <t>ミライ</t>
    </rPh>
    <phoneticPr fontId="3"/>
  </si>
  <si>
    <t>3203比例北関東未来03</t>
    <rPh sb="4" eb="6">
      <t>ヒレイ</t>
    </rPh>
    <rPh sb="6" eb="9">
      <t>キタカントウ</t>
    </rPh>
    <rPh sb="9" eb="11">
      <t>ミライ</t>
    </rPh>
    <phoneticPr fontId="3"/>
  </si>
  <si>
    <t>3203比例北関東未来04</t>
    <rPh sb="4" eb="6">
      <t>ヒレイ</t>
    </rPh>
    <rPh sb="6" eb="9">
      <t>キタカントウ</t>
    </rPh>
    <rPh sb="9" eb="11">
      <t>ミライ</t>
    </rPh>
    <phoneticPr fontId="3"/>
  </si>
  <si>
    <t>3203比例北関東未来06</t>
    <rPh sb="4" eb="6">
      <t>ヒレイ</t>
    </rPh>
    <rPh sb="6" eb="9">
      <t>キタカントウ</t>
    </rPh>
    <rPh sb="9" eb="11">
      <t>ミライ</t>
    </rPh>
    <phoneticPr fontId="3"/>
  </si>
  <si>
    <t>3203比例北関東未来07</t>
    <rPh sb="4" eb="6">
      <t>ヒレイ</t>
    </rPh>
    <rPh sb="6" eb="9">
      <t>キタカントウ</t>
    </rPh>
    <rPh sb="9" eb="11">
      <t>ミライ</t>
    </rPh>
    <phoneticPr fontId="3"/>
  </si>
  <si>
    <t>3203比例北関東未来08</t>
    <rPh sb="4" eb="6">
      <t>ヒレイ</t>
    </rPh>
    <rPh sb="6" eb="9">
      <t>キタカントウ</t>
    </rPh>
    <rPh sb="9" eb="11">
      <t>ミライ</t>
    </rPh>
    <phoneticPr fontId="3"/>
  </si>
  <si>
    <t>3203比例北関東未来09</t>
    <rPh sb="4" eb="6">
      <t>ヒレイ</t>
    </rPh>
    <rPh sb="6" eb="9">
      <t>キタカントウ</t>
    </rPh>
    <rPh sb="9" eb="11">
      <t>ミライ</t>
    </rPh>
    <phoneticPr fontId="3"/>
  </si>
  <si>
    <t>3203比例北関東未来10</t>
    <rPh sb="4" eb="6">
      <t>ヒレイ</t>
    </rPh>
    <rPh sb="6" eb="9">
      <t>キタカントウ</t>
    </rPh>
    <rPh sb="9" eb="11">
      <t>ミライ</t>
    </rPh>
    <phoneticPr fontId="3"/>
  </si>
  <si>
    <t>3203比例北関東未来11</t>
    <rPh sb="4" eb="6">
      <t>ヒレイ</t>
    </rPh>
    <rPh sb="6" eb="9">
      <t>キタカントウ</t>
    </rPh>
    <rPh sb="9" eb="11">
      <t>ミライ</t>
    </rPh>
    <phoneticPr fontId="3"/>
  </si>
  <si>
    <t>3203比例北関東未来12</t>
    <rPh sb="4" eb="6">
      <t>ヒレイ</t>
    </rPh>
    <rPh sb="6" eb="9">
      <t>キタカントウ</t>
    </rPh>
    <rPh sb="9" eb="11">
      <t>ミライ</t>
    </rPh>
    <phoneticPr fontId="3"/>
  </si>
  <si>
    <t>3203比例北関東未来13</t>
    <rPh sb="4" eb="6">
      <t>ヒレイ</t>
    </rPh>
    <rPh sb="6" eb="9">
      <t>キタカントウ</t>
    </rPh>
    <rPh sb="9" eb="11">
      <t>ミライ</t>
    </rPh>
    <phoneticPr fontId="3"/>
  </si>
  <si>
    <t>大(群馬)</t>
    <rPh sb="0" eb="1">
      <t>ダイ</t>
    </rPh>
    <rPh sb="2" eb="4">
      <t>グンマ</t>
    </rPh>
    <phoneticPr fontId="3"/>
  </si>
  <si>
    <t>医療法人代表(藤和グループ),医師</t>
    <rPh sb="0" eb="2">
      <t>イリョウ</t>
    </rPh>
    <rPh sb="2" eb="4">
      <t>ホウジン</t>
    </rPh>
    <rPh sb="4" eb="6">
      <t>ダイヒョウ</t>
    </rPh>
    <rPh sb="7" eb="9">
      <t>トウワ</t>
    </rPh>
    <rPh sb="15" eb="17">
      <t>イシ</t>
    </rPh>
    <phoneticPr fontId="3"/>
  </si>
  <si>
    <t>公明党栃木県事務長</t>
    <rPh sb="0" eb="3">
      <t>コウメイトウ</t>
    </rPh>
    <rPh sb="3" eb="6">
      <t>トチギケン</t>
    </rPh>
    <rPh sb="6" eb="9">
      <t>ジムチョウ</t>
    </rPh>
    <phoneticPr fontId="3"/>
  </si>
  <si>
    <t>公明党群馬県事務主任,財団法人職員(群馬県フラワー協会)</t>
    <rPh sb="0" eb="3">
      <t>コウメイトウ</t>
    </rPh>
    <rPh sb="3" eb="6">
      <t>グンマケン</t>
    </rPh>
    <rPh sb="6" eb="8">
      <t>ジム</t>
    </rPh>
    <rPh sb="8" eb="10">
      <t>シュニン</t>
    </rPh>
    <rPh sb="11" eb="15">
      <t>ザイダンホウジン</t>
    </rPh>
    <rPh sb="15" eb="17">
      <t>ショクイン</t>
    </rPh>
    <rPh sb="18" eb="21">
      <t>グンマケン</t>
    </rPh>
    <rPh sb="25" eb="27">
      <t>キョウカイ</t>
    </rPh>
    <phoneticPr fontId="3"/>
  </si>
  <si>
    <t>大(東京電機)</t>
    <rPh sb="0" eb="1">
      <t>ダイ</t>
    </rPh>
    <rPh sb="2" eb="4">
      <t>トウキョウ</t>
    </rPh>
    <rPh sb="4" eb="6">
      <t>デンキ</t>
    </rPh>
    <phoneticPr fontId="3"/>
  </si>
  <si>
    <t>3205比例北関東維新01</t>
    <rPh sb="4" eb="6">
      <t>ヒレイ</t>
    </rPh>
    <rPh sb="6" eb="9">
      <t>キタカントウ</t>
    </rPh>
    <rPh sb="9" eb="11">
      <t>イシン</t>
    </rPh>
    <phoneticPr fontId="3"/>
  </si>
  <si>
    <t>3205比例北関東維新02</t>
    <rPh sb="4" eb="6">
      <t>ヒレイ</t>
    </rPh>
    <rPh sb="6" eb="9">
      <t>キタカントウ</t>
    </rPh>
    <rPh sb="9" eb="11">
      <t>イシン</t>
    </rPh>
    <phoneticPr fontId="3"/>
  </si>
  <si>
    <t>3205比例北関東維新03</t>
    <rPh sb="4" eb="6">
      <t>ヒレイ</t>
    </rPh>
    <rPh sb="6" eb="9">
      <t>キタカントウ</t>
    </rPh>
    <rPh sb="9" eb="11">
      <t>イシン</t>
    </rPh>
    <phoneticPr fontId="3"/>
  </si>
  <si>
    <t>3205比例北関東維新04</t>
    <rPh sb="4" eb="6">
      <t>ヒレイ</t>
    </rPh>
    <rPh sb="6" eb="9">
      <t>キタカントウ</t>
    </rPh>
    <rPh sb="9" eb="11">
      <t>イシン</t>
    </rPh>
    <phoneticPr fontId="3"/>
  </si>
  <si>
    <t>3205比例北関東維新05</t>
    <rPh sb="4" eb="6">
      <t>ヒレイ</t>
    </rPh>
    <rPh sb="6" eb="9">
      <t>キタカントウ</t>
    </rPh>
    <rPh sb="9" eb="11">
      <t>イシン</t>
    </rPh>
    <phoneticPr fontId="3"/>
  </si>
  <si>
    <t>3205比例北関東維新06</t>
    <rPh sb="4" eb="6">
      <t>ヒレイ</t>
    </rPh>
    <rPh sb="6" eb="9">
      <t>キタカントウ</t>
    </rPh>
    <rPh sb="9" eb="11">
      <t>イシン</t>
    </rPh>
    <phoneticPr fontId="3"/>
  </si>
  <si>
    <t>3205比例北関東維新07</t>
    <rPh sb="4" eb="6">
      <t>ヒレイ</t>
    </rPh>
    <rPh sb="6" eb="9">
      <t>キタカントウ</t>
    </rPh>
    <rPh sb="9" eb="11">
      <t>イシン</t>
    </rPh>
    <phoneticPr fontId="3"/>
  </si>
  <si>
    <t>3205比例北関東維新08</t>
    <rPh sb="4" eb="6">
      <t>ヒレイ</t>
    </rPh>
    <rPh sb="6" eb="9">
      <t>キタカントウ</t>
    </rPh>
    <rPh sb="9" eb="11">
      <t>イシン</t>
    </rPh>
    <phoneticPr fontId="3"/>
  </si>
  <si>
    <t>3205比例北関東維新09</t>
    <rPh sb="4" eb="6">
      <t>ヒレイ</t>
    </rPh>
    <rPh sb="6" eb="9">
      <t>キタカントウ</t>
    </rPh>
    <rPh sb="9" eb="11">
      <t>イシン</t>
    </rPh>
    <phoneticPr fontId="3"/>
  </si>
  <si>
    <t>3205比例北関東維新10</t>
    <rPh sb="4" eb="6">
      <t>ヒレイ</t>
    </rPh>
    <rPh sb="6" eb="9">
      <t>キタカントウ</t>
    </rPh>
    <rPh sb="9" eb="11">
      <t>イシン</t>
    </rPh>
    <phoneticPr fontId="3"/>
  </si>
  <si>
    <t>3205比例北関東維新11</t>
    <rPh sb="4" eb="6">
      <t>ヒレイ</t>
    </rPh>
    <rPh sb="6" eb="9">
      <t>キタカントウ</t>
    </rPh>
    <rPh sb="9" eb="11">
      <t>イシン</t>
    </rPh>
    <phoneticPr fontId="3"/>
  </si>
  <si>
    <t>3205比例北関東維新12</t>
    <rPh sb="4" eb="6">
      <t>ヒレイ</t>
    </rPh>
    <rPh sb="6" eb="9">
      <t>キタカントウ</t>
    </rPh>
    <rPh sb="9" eb="11">
      <t>イシン</t>
    </rPh>
    <phoneticPr fontId="3"/>
  </si>
  <si>
    <t>3205比例北関東維新13</t>
    <rPh sb="4" eb="6">
      <t>ヒレイ</t>
    </rPh>
    <rPh sb="6" eb="9">
      <t>キタカントウ</t>
    </rPh>
    <rPh sb="9" eb="11">
      <t>イシン</t>
    </rPh>
    <phoneticPr fontId="3"/>
  </si>
  <si>
    <t>3205比例北関東維新14</t>
    <rPh sb="4" eb="6">
      <t>ヒレイ</t>
    </rPh>
    <rPh sb="6" eb="9">
      <t>キタカントウ</t>
    </rPh>
    <rPh sb="9" eb="11">
      <t>イシン</t>
    </rPh>
    <phoneticPr fontId="3"/>
  </si>
  <si>
    <t>3205比例北関東維新15</t>
    <rPh sb="4" eb="6">
      <t>ヒレイ</t>
    </rPh>
    <rPh sb="6" eb="9">
      <t>キタカントウ</t>
    </rPh>
    <rPh sb="9" eb="11">
      <t>イシン</t>
    </rPh>
    <phoneticPr fontId="3"/>
  </si>
  <si>
    <t>3205比例北関東維新16</t>
    <rPh sb="4" eb="6">
      <t>ヒレイ</t>
    </rPh>
    <rPh sb="6" eb="9">
      <t>キタカントウ</t>
    </rPh>
    <rPh sb="9" eb="11">
      <t>イシン</t>
    </rPh>
    <phoneticPr fontId="3"/>
  </si>
  <si>
    <t>3205比例北関東維新17</t>
    <rPh sb="4" eb="6">
      <t>ヒレイ</t>
    </rPh>
    <rPh sb="6" eb="9">
      <t>キタカントウ</t>
    </rPh>
    <rPh sb="9" eb="11">
      <t>イシン</t>
    </rPh>
    <phoneticPr fontId="3"/>
  </si>
  <si>
    <t>3205比例北関東維新18</t>
    <rPh sb="4" eb="6">
      <t>ヒレイ</t>
    </rPh>
    <rPh sb="6" eb="9">
      <t>キタカントウ</t>
    </rPh>
    <rPh sb="9" eb="11">
      <t>イシン</t>
    </rPh>
    <phoneticPr fontId="3"/>
  </si>
  <si>
    <t>仲田　大介</t>
    <rPh sb="0" eb="2">
      <t>ナカダ</t>
    </rPh>
    <rPh sb="3" eb="5">
      <t>ダイスケ</t>
    </rPh>
    <phoneticPr fontId="3"/>
  </si>
  <si>
    <t>3206比例北関東みんな02</t>
    <rPh sb="4" eb="6">
      <t>ヒレイ</t>
    </rPh>
    <rPh sb="6" eb="9">
      <t>キタカントウ</t>
    </rPh>
    <phoneticPr fontId="3"/>
  </si>
  <si>
    <t>3206比例北関東みんな03</t>
    <rPh sb="4" eb="6">
      <t>ヒレイ</t>
    </rPh>
    <rPh sb="6" eb="9">
      <t>キタカントウ</t>
    </rPh>
    <phoneticPr fontId="3"/>
  </si>
  <si>
    <t>3206比例北関東みんな04</t>
    <rPh sb="4" eb="6">
      <t>ヒレイ</t>
    </rPh>
    <rPh sb="6" eb="9">
      <t>キタカントウ</t>
    </rPh>
    <phoneticPr fontId="3"/>
  </si>
  <si>
    <t>3206比例北関東みんな05</t>
    <rPh sb="4" eb="6">
      <t>ヒレイ</t>
    </rPh>
    <rPh sb="6" eb="9">
      <t>キタカントウ</t>
    </rPh>
    <phoneticPr fontId="3"/>
  </si>
  <si>
    <t>3206比例北関東みんな06</t>
    <rPh sb="4" eb="6">
      <t>ヒレイ</t>
    </rPh>
    <rPh sb="6" eb="9">
      <t>キタカントウ</t>
    </rPh>
    <phoneticPr fontId="3"/>
  </si>
  <si>
    <t>3206比例北関東みんな07</t>
    <rPh sb="4" eb="6">
      <t>ヒレイ</t>
    </rPh>
    <rPh sb="6" eb="9">
      <t>キタカントウ</t>
    </rPh>
    <phoneticPr fontId="3"/>
  </si>
  <si>
    <t>3206比例北関東みんな08</t>
    <rPh sb="4" eb="6">
      <t>ヒレイ</t>
    </rPh>
    <rPh sb="6" eb="9">
      <t>キタカントウ</t>
    </rPh>
    <phoneticPr fontId="3"/>
  </si>
  <si>
    <t>3206比例北関東みんな09</t>
    <rPh sb="4" eb="6">
      <t>ヒレイ</t>
    </rPh>
    <rPh sb="6" eb="9">
      <t>キタカントウ</t>
    </rPh>
    <phoneticPr fontId="3"/>
  </si>
  <si>
    <t>3206比例北関東みんな10</t>
    <rPh sb="4" eb="6">
      <t>ヒレイ</t>
    </rPh>
    <rPh sb="6" eb="9">
      <t>キタカントウ</t>
    </rPh>
    <phoneticPr fontId="3"/>
  </si>
  <si>
    <t>3206比例北関東みんな11</t>
    <rPh sb="4" eb="6">
      <t>ヒレイ</t>
    </rPh>
    <rPh sb="6" eb="9">
      <t>キタカントウ</t>
    </rPh>
    <phoneticPr fontId="3"/>
  </si>
  <si>
    <t>3206比例北関東みんな12</t>
    <rPh sb="4" eb="6">
      <t>ヒレイ</t>
    </rPh>
    <rPh sb="6" eb="9">
      <t>キタカントウ</t>
    </rPh>
    <phoneticPr fontId="3"/>
  </si>
  <si>
    <t>3207比例北関東共産03</t>
    <rPh sb="4" eb="6">
      <t>ヒレイ</t>
    </rPh>
    <rPh sb="6" eb="9">
      <t>キタカントウ</t>
    </rPh>
    <rPh sb="9" eb="11">
      <t>キョウサン</t>
    </rPh>
    <phoneticPr fontId="3"/>
  </si>
  <si>
    <t>3208比例北関東社民02</t>
    <rPh sb="4" eb="6">
      <t>ヒレイ</t>
    </rPh>
    <rPh sb="6" eb="9">
      <t>キタカントウ</t>
    </rPh>
    <rPh sb="9" eb="11">
      <t>シャミン</t>
    </rPh>
    <phoneticPr fontId="3"/>
  </si>
  <si>
    <t>3208比例北関東社民03</t>
    <rPh sb="4" eb="6">
      <t>ヒレイ</t>
    </rPh>
    <rPh sb="6" eb="9">
      <t>キタカントウ</t>
    </rPh>
    <rPh sb="9" eb="11">
      <t>シャミン</t>
    </rPh>
    <phoneticPr fontId="3"/>
  </si>
  <si>
    <t>幸福実現党財務局長,幸福の科学理事長</t>
    <rPh sb="0" eb="2">
      <t>コウフク</t>
    </rPh>
    <rPh sb="2" eb="4">
      <t>ジツゲン</t>
    </rPh>
    <rPh sb="4" eb="5">
      <t>トウ</t>
    </rPh>
    <rPh sb="5" eb="7">
      <t>ザイム</t>
    </rPh>
    <rPh sb="7" eb="9">
      <t>キョクチョウ</t>
    </rPh>
    <rPh sb="10" eb="12">
      <t>コウフク</t>
    </rPh>
    <rPh sb="13" eb="15">
      <t>カガク</t>
    </rPh>
    <rPh sb="15" eb="18">
      <t>リジチョウ</t>
    </rPh>
    <phoneticPr fontId="3"/>
  </si>
  <si>
    <t>団体職員</t>
    <rPh sb="0" eb="2">
      <t>ダンタイ</t>
    </rPh>
    <rPh sb="2" eb="4">
      <t>ショクイン</t>
    </rPh>
    <phoneticPr fontId="3"/>
  </si>
  <si>
    <t>3303比例南関東未来01</t>
    <rPh sb="4" eb="6">
      <t>ヒレイ</t>
    </rPh>
    <rPh sb="6" eb="9">
      <t>ミナミカントウ</t>
    </rPh>
    <rPh sb="9" eb="11">
      <t>ミライ</t>
    </rPh>
    <phoneticPr fontId="3"/>
  </si>
  <si>
    <t>3303比例南関東未来02</t>
    <rPh sb="4" eb="6">
      <t>ヒレイ</t>
    </rPh>
    <rPh sb="6" eb="9">
      <t>ミナミカントウ</t>
    </rPh>
    <rPh sb="9" eb="11">
      <t>ミライ</t>
    </rPh>
    <phoneticPr fontId="3"/>
  </si>
  <si>
    <t>3303比例南関東未来03</t>
    <rPh sb="4" eb="6">
      <t>ヒレイ</t>
    </rPh>
    <rPh sb="6" eb="9">
      <t>ミナミカントウ</t>
    </rPh>
    <rPh sb="9" eb="11">
      <t>ミライ</t>
    </rPh>
    <phoneticPr fontId="3"/>
  </si>
  <si>
    <t>3303比例南関東未来04</t>
    <rPh sb="4" eb="6">
      <t>ヒレイ</t>
    </rPh>
    <rPh sb="6" eb="9">
      <t>ミナミカントウ</t>
    </rPh>
    <rPh sb="9" eb="11">
      <t>ミライ</t>
    </rPh>
    <phoneticPr fontId="3"/>
  </si>
  <si>
    <t>3303比例南関東未来05</t>
    <rPh sb="4" eb="6">
      <t>ヒレイ</t>
    </rPh>
    <rPh sb="6" eb="9">
      <t>ミナミカントウ</t>
    </rPh>
    <rPh sb="9" eb="11">
      <t>ミライ</t>
    </rPh>
    <phoneticPr fontId="3"/>
  </si>
  <si>
    <t>3303比例南関東未来06</t>
    <rPh sb="4" eb="6">
      <t>ヒレイ</t>
    </rPh>
    <rPh sb="6" eb="9">
      <t>ミナミカントウ</t>
    </rPh>
    <rPh sb="9" eb="11">
      <t>ミライ</t>
    </rPh>
    <phoneticPr fontId="3"/>
  </si>
  <si>
    <t>3303比例南関東未来07</t>
    <rPh sb="4" eb="6">
      <t>ヒレイ</t>
    </rPh>
    <rPh sb="6" eb="9">
      <t>ミナミカントウ</t>
    </rPh>
    <rPh sb="9" eb="11">
      <t>ミライ</t>
    </rPh>
    <phoneticPr fontId="3"/>
  </si>
  <si>
    <t>3303比例南関東未来08</t>
    <rPh sb="4" eb="6">
      <t>ヒレイ</t>
    </rPh>
    <rPh sb="6" eb="9">
      <t>ミナミカントウ</t>
    </rPh>
    <rPh sb="9" eb="11">
      <t>ミライ</t>
    </rPh>
    <phoneticPr fontId="3"/>
  </si>
  <si>
    <t>3303比例南関東未来09</t>
    <rPh sb="4" eb="6">
      <t>ヒレイ</t>
    </rPh>
    <rPh sb="6" eb="9">
      <t>ミナミカントウ</t>
    </rPh>
    <rPh sb="9" eb="11">
      <t>ミライ</t>
    </rPh>
    <phoneticPr fontId="3"/>
  </si>
  <si>
    <t>3303比例南関東未来10</t>
    <rPh sb="4" eb="6">
      <t>ヒレイ</t>
    </rPh>
    <rPh sb="6" eb="9">
      <t>ミナミカントウ</t>
    </rPh>
    <rPh sb="9" eb="11">
      <t>ミライ</t>
    </rPh>
    <phoneticPr fontId="3"/>
  </si>
  <si>
    <t>3303比例南関東未来11</t>
    <rPh sb="4" eb="6">
      <t>ヒレイ</t>
    </rPh>
    <rPh sb="6" eb="9">
      <t>ミナミカントウ</t>
    </rPh>
    <rPh sb="9" eb="11">
      <t>ミライ</t>
    </rPh>
    <phoneticPr fontId="3"/>
  </si>
  <si>
    <t>3303比例南関東未来12</t>
    <rPh sb="4" eb="6">
      <t>ヒレイ</t>
    </rPh>
    <rPh sb="6" eb="9">
      <t>ミナミカントウ</t>
    </rPh>
    <rPh sb="9" eb="11">
      <t>ミライ</t>
    </rPh>
    <phoneticPr fontId="3"/>
  </si>
  <si>
    <t>3303比例南関東未来13</t>
    <rPh sb="4" eb="6">
      <t>ヒレイ</t>
    </rPh>
    <rPh sb="6" eb="9">
      <t>ミナミカントウ</t>
    </rPh>
    <rPh sb="9" eb="11">
      <t>ミライ</t>
    </rPh>
    <phoneticPr fontId="3"/>
  </si>
  <si>
    <t>3303比例南関東未来14</t>
    <rPh sb="4" eb="6">
      <t>ヒレイ</t>
    </rPh>
    <rPh sb="6" eb="9">
      <t>ミナミカントウ</t>
    </rPh>
    <rPh sb="9" eb="11">
      <t>ミライ</t>
    </rPh>
    <phoneticPr fontId="3"/>
  </si>
  <si>
    <t>3303比例南関東未来15</t>
    <rPh sb="4" eb="6">
      <t>ヒレイ</t>
    </rPh>
    <rPh sb="6" eb="9">
      <t>ミナミカントウ</t>
    </rPh>
    <rPh sb="9" eb="11">
      <t>ミライ</t>
    </rPh>
    <phoneticPr fontId="3"/>
  </si>
  <si>
    <t>3303比例南関東未来16</t>
    <rPh sb="4" eb="6">
      <t>ヒレイ</t>
    </rPh>
    <rPh sb="6" eb="9">
      <t>ミナミカントウ</t>
    </rPh>
    <rPh sb="9" eb="11">
      <t>ミライ</t>
    </rPh>
    <phoneticPr fontId="3"/>
  </si>
  <si>
    <t>3303比例南関東未来17</t>
    <rPh sb="4" eb="6">
      <t>ヒレイ</t>
    </rPh>
    <rPh sb="6" eb="9">
      <t>ミナミカントウ</t>
    </rPh>
    <rPh sb="9" eb="11">
      <t>ミライ</t>
    </rPh>
    <phoneticPr fontId="3"/>
  </si>
  <si>
    <t>3305比例南関東維新01</t>
    <rPh sb="4" eb="6">
      <t>ヒレイ</t>
    </rPh>
    <rPh sb="6" eb="9">
      <t>ミナミカントウ</t>
    </rPh>
    <rPh sb="9" eb="11">
      <t>イシン</t>
    </rPh>
    <phoneticPr fontId="3"/>
  </si>
  <si>
    <t>3305比例南関東維新03</t>
    <rPh sb="4" eb="6">
      <t>ヒレイ</t>
    </rPh>
    <rPh sb="6" eb="9">
      <t>ミナミカントウ</t>
    </rPh>
    <rPh sb="9" eb="11">
      <t>イシン</t>
    </rPh>
    <phoneticPr fontId="3"/>
  </si>
  <si>
    <t>3305比例南関東維新04</t>
    <rPh sb="4" eb="6">
      <t>ヒレイ</t>
    </rPh>
    <rPh sb="6" eb="9">
      <t>ミナミカントウ</t>
    </rPh>
    <rPh sb="9" eb="11">
      <t>イシン</t>
    </rPh>
    <phoneticPr fontId="3"/>
  </si>
  <si>
    <t>3305比例南関東維新05</t>
    <rPh sb="4" eb="6">
      <t>ヒレイ</t>
    </rPh>
    <rPh sb="6" eb="9">
      <t>ミナミカントウ</t>
    </rPh>
    <rPh sb="9" eb="11">
      <t>イシン</t>
    </rPh>
    <phoneticPr fontId="3"/>
  </si>
  <si>
    <t>3305比例南関東維新06</t>
    <rPh sb="4" eb="6">
      <t>ヒレイ</t>
    </rPh>
    <rPh sb="6" eb="9">
      <t>ミナミカントウ</t>
    </rPh>
    <rPh sb="9" eb="11">
      <t>イシン</t>
    </rPh>
    <phoneticPr fontId="3"/>
  </si>
  <si>
    <t>3305比例南関東維新07</t>
    <rPh sb="4" eb="6">
      <t>ヒレイ</t>
    </rPh>
    <rPh sb="6" eb="9">
      <t>ミナミカントウ</t>
    </rPh>
    <rPh sb="9" eb="11">
      <t>イシン</t>
    </rPh>
    <phoneticPr fontId="3"/>
  </si>
  <si>
    <t>3305比例南関東維新08</t>
    <rPh sb="4" eb="6">
      <t>ヒレイ</t>
    </rPh>
    <rPh sb="6" eb="9">
      <t>ミナミカントウ</t>
    </rPh>
    <rPh sb="9" eb="11">
      <t>イシン</t>
    </rPh>
    <phoneticPr fontId="3"/>
  </si>
  <si>
    <t>3305比例南関東維新09</t>
    <rPh sb="4" eb="6">
      <t>ヒレイ</t>
    </rPh>
    <rPh sb="6" eb="9">
      <t>ミナミカントウ</t>
    </rPh>
    <rPh sb="9" eb="11">
      <t>イシン</t>
    </rPh>
    <phoneticPr fontId="3"/>
  </si>
  <si>
    <t>3305比例南関東維新10</t>
    <rPh sb="4" eb="6">
      <t>ヒレイ</t>
    </rPh>
    <rPh sb="6" eb="9">
      <t>ミナミカントウ</t>
    </rPh>
    <rPh sb="9" eb="11">
      <t>イシン</t>
    </rPh>
    <phoneticPr fontId="3"/>
  </si>
  <si>
    <t>3305比例南関東維新11</t>
    <rPh sb="4" eb="6">
      <t>ヒレイ</t>
    </rPh>
    <rPh sb="6" eb="9">
      <t>ミナミカントウ</t>
    </rPh>
    <rPh sb="9" eb="11">
      <t>イシン</t>
    </rPh>
    <phoneticPr fontId="3"/>
  </si>
  <si>
    <t>3305比例南関東維新12</t>
    <rPh sb="4" eb="6">
      <t>ヒレイ</t>
    </rPh>
    <rPh sb="6" eb="9">
      <t>ミナミカントウ</t>
    </rPh>
    <rPh sb="9" eb="11">
      <t>イシン</t>
    </rPh>
    <phoneticPr fontId="3"/>
  </si>
  <si>
    <t>3305比例南関東維新13</t>
    <rPh sb="4" eb="6">
      <t>ヒレイ</t>
    </rPh>
    <rPh sb="6" eb="9">
      <t>ミナミカントウ</t>
    </rPh>
    <rPh sb="9" eb="11">
      <t>イシン</t>
    </rPh>
    <phoneticPr fontId="3"/>
  </si>
  <si>
    <t>3305比例南関東維新14</t>
    <rPh sb="4" eb="6">
      <t>ヒレイ</t>
    </rPh>
    <rPh sb="6" eb="9">
      <t>ミナミカントウ</t>
    </rPh>
    <rPh sb="9" eb="11">
      <t>イシン</t>
    </rPh>
    <phoneticPr fontId="3"/>
  </si>
  <si>
    <t>3305比例南関東維新15</t>
    <rPh sb="4" eb="6">
      <t>ヒレイ</t>
    </rPh>
    <rPh sb="6" eb="9">
      <t>ミナミカントウ</t>
    </rPh>
    <rPh sb="9" eb="11">
      <t>イシン</t>
    </rPh>
    <phoneticPr fontId="3"/>
  </si>
  <si>
    <t>3305比例南関東維新16</t>
    <rPh sb="4" eb="6">
      <t>ヒレイ</t>
    </rPh>
    <rPh sb="6" eb="9">
      <t>ミナミカントウ</t>
    </rPh>
    <rPh sb="9" eb="11">
      <t>イシン</t>
    </rPh>
    <phoneticPr fontId="3"/>
  </si>
  <si>
    <t>3305比例南関東維新17</t>
    <rPh sb="4" eb="6">
      <t>ヒレイ</t>
    </rPh>
    <rPh sb="6" eb="9">
      <t>ミナミカントウ</t>
    </rPh>
    <rPh sb="9" eb="11">
      <t>イシン</t>
    </rPh>
    <phoneticPr fontId="3"/>
  </si>
  <si>
    <t>3305比例南関東維新18</t>
    <rPh sb="4" eb="6">
      <t>ヒレイ</t>
    </rPh>
    <rPh sb="6" eb="9">
      <t>ミナミカントウ</t>
    </rPh>
    <rPh sb="9" eb="11">
      <t>イシン</t>
    </rPh>
    <phoneticPr fontId="3"/>
  </si>
  <si>
    <t>NPO法人副代表,銀行員(富士銀行)</t>
    <rPh sb="3" eb="5">
      <t>ホウジン</t>
    </rPh>
    <rPh sb="5" eb="8">
      <t>フクダイヒョウ</t>
    </rPh>
    <rPh sb="9" eb="12">
      <t>ギンコウイン</t>
    </rPh>
    <rPh sb="13" eb="15">
      <t>フジ</t>
    </rPh>
    <rPh sb="15" eb="17">
      <t>ギンコウ</t>
    </rPh>
    <phoneticPr fontId="3"/>
  </si>
  <si>
    <t>かんぽ生命職員,総務省保険経営計画課室長</t>
    <rPh sb="3" eb="5">
      <t>セイメイ</t>
    </rPh>
    <rPh sb="5" eb="7">
      <t>ショクイン</t>
    </rPh>
    <rPh sb="8" eb="11">
      <t>ソウムショウ</t>
    </rPh>
    <rPh sb="11" eb="13">
      <t>ホケン</t>
    </rPh>
    <rPh sb="13" eb="15">
      <t>ケイエイ</t>
    </rPh>
    <rPh sb="15" eb="18">
      <t>ケイカクカ</t>
    </rPh>
    <rPh sb="18" eb="20">
      <t>シツチョウ</t>
    </rPh>
    <phoneticPr fontId="3"/>
  </si>
  <si>
    <t>かんぽ生命職員,総務省保険経営計画課室長</t>
    <rPh sb="3" eb="5">
      <t>セイメイ</t>
    </rPh>
    <rPh sb="5" eb="7">
      <t>ショクイン</t>
    </rPh>
    <rPh sb="8" eb="11">
      <t>ソウムショウ</t>
    </rPh>
    <rPh sb="11" eb="13">
      <t>ホケン</t>
    </rPh>
    <rPh sb="13" eb="15">
      <t>ケイエイ</t>
    </rPh>
    <rPh sb="15" eb="20">
      <t>ケイカクカシツチョウ</t>
    </rPh>
    <phoneticPr fontId="3"/>
  </si>
  <si>
    <t>会社社長(ビスケットホーム)</t>
    <rPh sb="0" eb="2">
      <t>カイシャ</t>
    </rPh>
    <rPh sb="2" eb="4">
      <t>シャチョウ</t>
    </rPh>
    <phoneticPr fontId="3"/>
  </si>
  <si>
    <t>旧たちあがれ日本青年部員,会社員</t>
    <rPh sb="0" eb="1">
      <t>キュウ</t>
    </rPh>
    <rPh sb="6" eb="8">
      <t>ニホン</t>
    </rPh>
    <rPh sb="8" eb="10">
      <t>セイネン</t>
    </rPh>
    <rPh sb="10" eb="12">
      <t>ブイン</t>
    </rPh>
    <rPh sb="13" eb="16">
      <t>カイシャイン</t>
    </rPh>
    <phoneticPr fontId="3"/>
  </si>
  <si>
    <t>3306比例南関東みんな01</t>
    <rPh sb="4" eb="6">
      <t>ヒレイ</t>
    </rPh>
    <rPh sb="6" eb="9">
      <t>ミナミカントウ</t>
    </rPh>
    <phoneticPr fontId="3"/>
  </si>
  <si>
    <t>3306比例南関東みんな02</t>
    <rPh sb="4" eb="6">
      <t>ヒレイ</t>
    </rPh>
    <rPh sb="6" eb="9">
      <t>ミナミカントウ</t>
    </rPh>
    <phoneticPr fontId="3"/>
  </si>
  <si>
    <t>3306比例南関東みんな03</t>
    <rPh sb="4" eb="6">
      <t>ヒレイ</t>
    </rPh>
    <rPh sb="6" eb="9">
      <t>ミナミカントウ</t>
    </rPh>
    <phoneticPr fontId="3"/>
  </si>
  <si>
    <t>3306比例南関東みんな04</t>
    <rPh sb="4" eb="6">
      <t>ヒレイ</t>
    </rPh>
    <rPh sb="6" eb="9">
      <t>ミナミカントウ</t>
    </rPh>
    <phoneticPr fontId="3"/>
  </si>
  <si>
    <t>3306比例南関東みんな05</t>
    <rPh sb="4" eb="6">
      <t>ヒレイ</t>
    </rPh>
    <rPh sb="6" eb="9">
      <t>ミナミカントウ</t>
    </rPh>
    <phoneticPr fontId="3"/>
  </si>
  <si>
    <t>3306比例南関東みんな06</t>
    <rPh sb="4" eb="6">
      <t>ヒレイ</t>
    </rPh>
    <rPh sb="6" eb="9">
      <t>ミナミカントウ</t>
    </rPh>
    <phoneticPr fontId="3"/>
  </si>
  <si>
    <t>3306比例南関東みんな07</t>
    <rPh sb="4" eb="6">
      <t>ヒレイ</t>
    </rPh>
    <rPh sb="6" eb="9">
      <t>ミナミカントウ</t>
    </rPh>
    <phoneticPr fontId="3"/>
  </si>
  <si>
    <t>3306比例南関東みんな08</t>
    <rPh sb="4" eb="6">
      <t>ヒレイ</t>
    </rPh>
    <rPh sb="6" eb="9">
      <t>ミナミカントウ</t>
    </rPh>
    <phoneticPr fontId="3"/>
  </si>
  <si>
    <t>3306比例南関東みんな09</t>
    <rPh sb="4" eb="6">
      <t>ヒレイ</t>
    </rPh>
    <rPh sb="6" eb="9">
      <t>ミナミカントウ</t>
    </rPh>
    <phoneticPr fontId="3"/>
  </si>
  <si>
    <t>3306比例南関東みんな10</t>
    <rPh sb="4" eb="6">
      <t>ヒレイ</t>
    </rPh>
    <rPh sb="6" eb="9">
      <t>ミナミカントウ</t>
    </rPh>
    <phoneticPr fontId="3"/>
  </si>
  <si>
    <t>3306比例南関東みんな11</t>
    <rPh sb="4" eb="6">
      <t>ヒレイ</t>
    </rPh>
    <rPh sb="6" eb="9">
      <t>ミナミカントウ</t>
    </rPh>
    <phoneticPr fontId="3"/>
  </si>
  <si>
    <t>3306比例南関東みんな12</t>
    <rPh sb="4" eb="6">
      <t>ヒレイ</t>
    </rPh>
    <rPh sb="6" eb="9">
      <t>ミナミカントウ</t>
    </rPh>
    <phoneticPr fontId="3"/>
  </si>
  <si>
    <t>3306比例南関東みんな13</t>
    <rPh sb="4" eb="6">
      <t>ヒレイ</t>
    </rPh>
    <rPh sb="6" eb="9">
      <t>ミナミカントウ</t>
    </rPh>
    <phoneticPr fontId="3"/>
  </si>
  <si>
    <t>3306比例南関東みんな14</t>
    <rPh sb="4" eb="6">
      <t>ヒレイ</t>
    </rPh>
    <rPh sb="6" eb="9">
      <t>ミナミカントウ</t>
    </rPh>
    <phoneticPr fontId="3"/>
  </si>
  <si>
    <t>3306比例南関東みんな15</t>
    <rPh sb="4" eb="6">
      <t>ヒレイ</t>
    </rPh>
    <rPh sb="6" eb="9">
      <t>ミナミカントウ</t>
    </rPh>
    <phoneticPr fontId="3"/>
  </si>
  <si>
    <t>3306比例南関東みんな16</t>
    <rPh sb="4" eb="6">
      <t>ヒレイ</t>
    </rPh>
    <rPh sb="6" eb="9">
      <t>ミナミカントウ</t>
    </rPh>
    <phoneticPr fontId="3"/>
  </si>
  <si>
    <t>3306比例南関東みんな17</t>
    <rPh sb="4" eb="6">
      <t>ヒレイ</t>
    </rPh>
    <rPh sb="6" eb="9">
      <t>ミナミカントウ</t>
    </rPh>
    <phoneticPr fontId="3"/>
  </si>
  <si>
    <t>3306比例南関東みんな18</t>
    <rPh sb="4" eb="6">
      <t>ヒレイ</t>
    </rPh>
    <rPh sb="6" eb="9">
      <t>ミナミカントウ</t>
    </rPh>
    <phoneticPr fontId="3"/>
  </si>
  <si>
    <t>3306比例南関東みんな19</t>
    <rPh sb="4" eb="6">
      <t>ヒレイ</t>
    </rPh>
    <rPh sb="6" eb="9">
      <t>ミナミカントウ</t>
    </rPh>
    <phoneticPr fontId="3"/>
  </si>
  <si>
    <t>会社員</t>
    <rPh sb="0" eb="3">
      <t>カイシャイン</t>
    </rPh>
    <phoneticPr fontId="3"/>
  </si>
  <si>
    <t>3307比例南関東共産04</t>
    <rPh sb="4" eb="6">
      <t>ヒレイ</t>
    </rPh>
    <rPh sb="6" eb="9">
      <t>ミナミカントウ</t>
    </rPh>
    <rPh sb="9" eb="11">
      <t>キョウサン</t>
    </rPh>
    <phoneticPr fontId="3"/>
  </si>
  <si>
    <t>3308比例南関東社民03</t>
    <rPh sb="4" eb="6">
      <t>ヒレイ</t>
    </rPh>
    <rPh sb="6" eb="9">
      <t>ミナミカントウ</t>
    </rPh>
    <rPh sb="9" eb="11">
      <t>シャミン</t>
    </rPh>
    <phoneticPr fontId="3"/>
  </si>
  <si>
    <t>3308比例南関東社民02</t>
    <rPh sb="4" eb="6">
      <t>ヒレイ</t>
    </rPh>
    <rPh sb="6" eb="9">
      <t>ミナミカントウ</t>
    </rPh>
    <rPh sb="9" eb="11">
      <t>シャミン</t>
    </rPh>
    <phoneticPr fontId="3"/>
  </si>
  <si>
    <t>3113比例東北幸福01</t>
    <rPh sb="4" eb="6">
      <t>ヒレイ</t>
    </rPh>
    <rPh sb="6" eb="8">
      <t>トウホク</t>
    </rPh>
    <rPh sb="8" eb="10">
      <t>コウフク</t>
    </rPh>
    <phoneticPr fontId="3"/>
  </si>
  <si>
    <t>3113比例東北幸福02</t>
    <rPh sb="4" eb="6">
      <t>ヒレイ</t>
    </rPh>
    <rPh sb="6" eb="8">
      <t>トウホク</t>
    </rPh>
    <rPh sb="8" eb="10">
      <t>コウフク</t>
    </rPh>
    <phoneticPr fontId="3"/>
  </si>
  <si>
    <t>3113比例東北幸福03</t>
    <rPh sb="4" eb="6">
      <t>ヒレイ</t>
    </rPh>
    <rPh sb="6" eb="8">
      <t>トウホク</t>
    </rPh>
    <rPh sb="8" eb="10">
      <t>コウフク</t>
    </rPh>
    <phoneticPr fontId="3"/>
  </si>
  <si>
    <t>3213比例北関東幸福01</t>
    <rPh sb="4" eb="6">
      <t>ヒレイ</t>
    </rPh>
    <rPh sb="6" eb="9">
      <t>キタカントウ</t>
    </rPh>
    <rPh sb="9" eb="11">
      <t>コウフク</t>
    </rPh>
    <phoneticPr fontId="3"/>
  </si>
  <si>
    <t>3213比例北関東幸福02</t>
    <rPh sb="4" eb="6">
      <t>ヒレイ</t>
    </rPh>
    <rPh sb="6" eb="9">
      <t>キタカントウ</t>
    </rPh>
    <rPh sb="9" eb="11">
      <t>コウフク</t>
    </rPh>
    <phoneticPr fontId="3"/>
  </si>
  <si>
    <t>3213比例北関東幸福03</t>
    <rPh sb="4" eb="6">
      <t>ヒレイ</t>
    </rPh>
    <rPh sb="6" eb="9">
      <t>キタカントウ</t>
    </rPh>
    <rPh sb="9" eb="11">
      <t>コウフク</t>
    </rPh>
    <phoneticPr fontId="3"/>
  </si>
  <si>
    <t>3213比例北関東幸福04</t>
    <rPh sb="4" eb="6">
      <t>ヒレイ</t>
    </rPh>
    <rPh sb="6" eb="9">
      <t>キタカントウ</t>
    </rPh>
    <rPh sb="9" eb="11">
      <t>コウフク</t>
    </rPh>
    <phoneticPr fontId="3"/>
  </si>
  <si>
    <t>3313比例南関東幸福01</t>
    <rPh sb="4" eb="6">
      <t>ヒレイ</t>
    </rPh>
    <rPh sb="6" eb="9">
      <t>ミナミカントウ</t>
    </rPh>
    <rPh sb="9" eb="11">
      <t>コウフク</t>
    </rPh>
    <phoneticPr fontId="3"/>
  </si>
  <si>
    <t>3313比例南関東幸福02</t>
    <rPh sb="4" eb="6">
      <t>ヒレイ</t>
    </rPh>
    <rPh sb="6" eb="9">
      <t>ミナミカントウ</t>
    </rPh>
    <rPh sb="9" eb="11">
      <t>コウフク</t>
    </rPh>
    <phoneticPr fontId="3"/>
  </si>
  <si>
    <t>3313比例南関東幸福03</t>
    <rPh sb="4" eb="6">
      <t>ヒレイ</t>
    </rPh>
    <rPh sb="6" eb="9">
      <t>ミナミカントウ</t>
    </rPh>
    <rPh sb="9" eb="11">
      <t>コウフク</t>
    </rPh>
    <phoneticPr fontId="3"/>
  </si>
  <si>
    <t>3313比例南関東幸福04</t>
    <rPh sb="4" eb="6">
      <t>ヒレイ</t>
    </rPh>
    <rPh sb="6" eb="9">
      <t>ミナミカントウ</t>
    </rPh>
    <rPh sb="9" eb="11">
      <t>コウフク</t>
    </rPh>
    <phoneticPr fontId="3"/>
  </si>
  <si>
    <t>3313比例南関東幸福05</t>
    <rPh sb="4" eb="6">
      <t>ヒレイ</t>
    </rPh>
    <rPh sb="6" eb="9">
      <t>ミナミカントウ</t>
    </rPh>
    <rPh sb="9" eb="11">
      <t>コウフク</t>
    </rPh>
    <phoneticPr fontId="3"/>
  </si>
  <si>
    <t>議員秘書(大島九州男,牧山弘恵),大学教員(日本大学非常勤講師)</t>
    <rPh sb="0" eb="2">
      <t>ギイン</t>
    </rPh>
    <rPh sb="2" eb="4">
      <t>ヒショ</t>
    </rPh>
    <rPh sb="5" eb="7">
      <t>オオシマ</t>
    </rPh>
    <rPh sb="7" eb="10">
      <t>クスオ</t>
    </rPh>
    <rPh sb="11" eb="13">
      <t>マキヤマ</t>
    </rPh>
    <rPh sb="13" eb="15">
      <t>ヒロエ</t>
    </rPh>
    <rPh sb="17" eb="19">
      <t>ダイガク</t>
    </rPh>
    <rPh sb="19" eb="21">
      <t>キョウイン</t>
    </rPh>
    <rPh sb="22" eb="24">
      <t>ニホン</t>
    </rPh>
    <rPh sb="24" eb="26">
      <t>ダイガク</t>
    </rPh>
    <rPh sb="26" eb="29">
      <t>ヒジョウキン</t>
    </rPh>
    <rPh sb="29" eb="31">
      <t>コウシ</t>
    </rPh>
    <phoneticPr fontId="3"/>
  </si>
  <si>
    <t>日本銀行員,行政書士</t>
    <rPh sb="0" eb="2">
      <t>ニホン</t>
    </rPh>
    <rPh sb="2" eb="5">
      <t>ギンコウイン</t>
    </rPh>
    <rPh sb="6" eb="10">
      <t>ギョウセイショシ</t>
    </rPh>
    <phoneticPr fontId="3"/>
  </si>
  <si>
    <t>会社役員(ジャルコ),電機連合総務局長</t>
    <rPh sb="0" eb="2">
      <t>カイシャ</t>
    </rPh>
    <rPh sb="2" eb="4">
      <t>ヤクイン</t>
    </rPh>
    <rPh sb="11" eb="13">
      <t>デンキ</t>
    </rPh>
    <rPh sb="13" eb="15">
      <t>レンゴウ</t>
    </rPh>
    <rPh sb="15" eb="17">
      <t>ソウム</t>
    </rPh>
    <rPh sb="17" eb="19">
      <t>キョクチョウ</t>
    </rPh>
    <phoneticPr fontId="3"/>
  </si>
  <si>
    <t>労</t>
    <rPh sb="0" eb="1">
      <t>ロウ</t>
    </rPh>
    <phoneticPr fontId="3"/>
  </si>
  <si>
    <t>3403比例東京未来17</t>
    <rPh sb="4" eb="6">
      <t>ヒレイ</t>
    </rPh>
    <rPh sb="6" eb="8">
      <t>トウキョウ</t>
    </rPh>
    <rPh sb="8" eb="10">
      <t>ミライ</t>
    </rPh>
    <phoneticPr fontId="3"/>
  </si>
  <si>
    <t>3403比例東京未来18</t>
    <rPh sb="4" eb="6">
      <t>ヒレイ</t>
    </rPh>
    <rPh sb="6" eb="8">
      <t>トウキョウ</t>
    </rPh>
    <rPh sb="8" eb="10">
      <t>ミライ</t>
    </rPh>
    <phoneticPr fontId="3"/>
  </si>
  <si>
    <t>3403比例東京未来10</t>
    <rPh sb="4" eb="6">
      <t>ヒレイ</t>
    </rPh>
    <rPh sb="6" eb="8">
      <t>トウキョウ</t>
    </rPh>
    <rPh sb="8" eb="10">
      <t>ミライ</t>
    </rPh>
    <phoneticPr fontId="3"/>
  </si>
  <si>
    <t>3403比例東京未来11</t>
    <rPh sb="4" eb="6">
      <t>ヒレイ</t>
    </rPh>
    <rPh sb="6" eb="8">
      <t>トウキョウ</t>
    </rPh>
    <rPh sb="8" eb="10">
      <t>ミライ</t>
    </rPh>
    <phoneticPr fontId="3"/>
  </si>
  <si>
    <t>3403比例東京未来12</t>
    <rPh sb="4" eb="6">
      <t>ヒレイ</t>
    </rPh>
    <rPh sb="6" eb="8">
      <t>トウキョウ</t>
    </rPh>
    <rPh sb="8" eb="10">
      <t>ミライ</t>
    </rPh>
    <phoneticPr fontId="3"/>
  </si>
  <si>
    <t>3403比例東京未来13</t>
    <rPh sb="4" eb="6">
      <t>ヒレイ</t>
    </rPh>
    <rPh sb="6" eb="8">
      <t>トウキョウ</t>
    </rPh>
    <rPh sb="8" eb="10">
      <t>ミライ</t>
    </rPh>
    <phoneticPr fontId="3"/>
  </si>
  <si>
    <t>3403比例東京未来14</t>
    <rPh sb="4" eb="6">
      <t>ヒレイ</t>
    </rPh>
    <rPh sb="6" eb="8">
      <t>トウキョウ</t>
    </rPh>
    <rPh sb="8" eb="10">
      <t>ミライ</t>
    </rPh>
    <phoneticPr fontId="3"/>
  </si>
  <si>
    <t>3403比例東京未来15</t>
    <rPh sb="4" eb="6">
      <t>ヒレイ</t>
    </rPh>
    <rPh sb="6" eb="8">
      <t>トウキョウ</t>
    </rPh>
    <rPh sb="8" eb="10">
      <t>ミライ</t>
    </rPh>
    <phoneticPr fontId="3"/>
  </si>
  <si>
    <t>3403比例東京未来16</t>
    <rPh sb="4" eb="6">
      <t>ヒレイ</t>
    </rPh>
    <rPh sb="6" eb="8">
      <t>トウキョウ</t>
    </rPh>
    <rPh sb="8" eb="10">
      <t>ミライ</t>
    </rPh>
    <phoneticPr fontId="3"/>
  </si>
  <si>
    <t>3403比例東京未来09</t>
    <rPh sb="4" eb="6">
      <t>ヒレイ</t>
    </rPh>
    <rPh sb="6" eb="8">
      <t>トウキョウ</t>
    </rPh>
    <rPh sb="8" eb="10">
      <t>ミライ</t>
    </rPh>
    <phoneticPr fontId="3"/>
  </si>
  <si>
    <t>3403比例東京未来01</t>
    <rPh sb="4" eb="6">
      <t>ヒレイ</t>
    </rPh>
    <rPh sb="6" eb="8">
      <t>トウキョウ</t>
    </rPh>
    <rPh sb="8" eb="10">
      <t>ミライ</t>
    </rPh>
    <phoneticPr fontId="3"/>
  </si>
  <si>
    <t>3403比例東京未来02</t>
    <rPh sb="4" eb="6">
      <t>ヒレイ</t>
    </rPh>
    <rPh sb="6" eb="8">
      <t>トウキョウ</t>
    </rPh>
    <rPh sb="8" eb="10">
      <t>ミライ</t>
    </rPh>
    <phoneticPr fontId="3"/>
  </si>
  <si>
    <t>3403比例東京未来03</t>
    <rPh sb="4" eb="6">
      <t>ヒレイ</t>
    </rPh>
    <rPh sb="6" eb="8">
      <t>トウキョウ</t>
    </rPh>
    <rPh sb="8" eb="10">
      <t>ミライ</t>
    </rPh>
    <phoneticPr fontId="3"/>
  </si>
  <si>
    <t>3403比例東京未来04</t>
    <rPh sb="4" eb="6">
      <t>ヒレイ</t>
    </rPh>
    <rPh sb="6" eb="8">
      <t>トウキョウ</t>
    </rPh>
    <rPh sb="8" eb="10">
      <t>ミライ</t>
    </rPh>
    <phoneticPr fontId="3"/>
  </si>
  <si>
    <t>3403比例東京未来05</t>
    <rPh sb="4" eb="6">
      <t>ヒレイ</t>
    </rPh>
    <rPh sb="6" eb="8">
      <t>トウキョウ</t>
    </rPh>
    <rPh sb="8" eb="10">
      <t>ミライ</t>
    </rPh>
    <phoneticPr fontId="3"/>
  </si>
  <si>
    <t>3403比例東京未来06</t>
    <rPh sb="4" eb="6">
      <t>ヒレイ</t>
    </rPh>
    <rPh sb="6" eb="8">
      <t>トウキョウ</t>
    </rPh>
    <rPh sb="8" eb="10">
      <t>ミライ</t>
    </rPh>
    <phoneticPr fontId="3"/>
  </si>
  <si>
    <t>3403比例東京未来07</t>
    <rPh sb="4" eb="6">
      <t>ヒレイ</t>
    </rPh>
    <rPh sb="6" eb="8">
      <t>トウキョウ</t>
    </rPh>
    <rPh sb="8" eb="10">
      <t>ミライ</t>
    </rPh>
    <phoneticPr fontId="3"/>
  </si>
  <si>
    <t>3403比例東京未来08</t>
    <rPh sb="4" eb="6">
      <t>ヒレイ</t>
    </rPh>
    <rPh sb="6" eb="8">
      <t>トウキョウ</t>
    </rPh>
    <rPh sb="8" eb="10">
      <t>ミライ</t>
    </rPh>
    <phoneticPr fontId="3"/>
  </si>
  <si>
    <t>公明党市民活動局次長</t>
    <rPh sb="0" eb="3">
      <t>コウメイトウ</t>
    </rPh>
    <rPh sb="3" eb="5">
      <t>シミン</t>
    </rPh>
    <rPh sb="5" eb="7">
      <t>カツドウ</t>
    </rPh>
    <rPh sb="7" eb="8">
      <t>キョク</t>
    </rPh>
    <rPh sb="8" eb="10">
      <t>ジチョウ</t>
    </rPh>
    <phoneticPr fontId="3"/>
  </si>
  <si>
    <t>公明党青年局次長</t>
    <rPh sb="0" eb="3">
      <t>コウメイトウ</t>
    </rPh>
    <rPh sb="3" eb="5">
      <t>セイネン</t>
    </rPh>
    <rPh sb="5" eb="6">
      <t>キョク</t>
    </rPh>
    <rPh sb="6" eb="8">
      <t>ジチョウ</t>
    </rPh>
    <phoneticPr fontId="3"/>
  </si>
  <si>
    <t>3405比例東京維新03</t>
    <rPh sb="4" eb="6">
      <t>ヒレイ</t>
    </rPh>
    <rPh sb="6" eb="8">
      <t>トウキョウ</t>
    </rPh>
    <rPh sb="8" eb="10">
      <t>イシン</t>
    </rPh>
    <phoneticPr fontId="3"/>
  </si>
  <si>
    <t>3405比例東京維新04</t>
    <rPh sb="4" eb="6">
      <t>ヒレイ</t>
    </rPh>
    <rPh sb="6" eb="8">
      <t>トウキョウ</t>
    </rPh>
    <rPh sb="8" eb="10">
      <t>イシン</t>
    </rPh>
    <phoneticPr fontId="3"/>
  </si>
  <si>
    <t>3405比例東京維新05</t>
    <rPh sb="4" eb="6">
      <t>ヒレイ</t>
    </rPh>
    <rPh sb="6" eb="8">
      <t>トウキョウ</t>
    </rPh>
    <rPh sb="8" eb="10">
      <t>イシン</t>
    </rPh>
    <phoneticPr fontId="3"/>
  </si>
  <si>
    <t>3405比例東京維新06</t>
    <rPh sb="4" eb="6">
      <t>ヒレイ</t>
    </rPh>
    <rPh sb="6" eb="8">
      <t>トウキョウ</t>
    </rPh>
    <rPh sb="8" eb="10">
      <t>イシン</t>
    </rPh>
    <phoneticPr fontId="3"/>
  </si>
  <si>
    <t>3405比例東京維新07</t>
    <rPh sb="4" eb="6">
      <t>ヒレイ</t>
    </rPh>
    <rPh sb="6" eb="8">
      <t>トウキョウ</t>
    </rPh>
    <rPh sb="8" eb="10">
      <t>イシン</t>
    </rPh>
    <phoneticPr fontId="3"/>
  </si>
  <si>
    <t>3405比例東京維新08</t>
    <rPh sb="4" eb="6">
      <t>ヒレイ</t>
    </rPh>
    <rPh sb="6" eb="8">
      <t>トウキョウ</t>
    </rPh>
    <rPh sb="8" eb="10">
      <t>イシン</t>
    </rPh>
    <phoneticPr fontId="3"/>
  </si>
  <si>
    <t>3405比例東京維新09</t>
    <rPh sb="4" eb="6">
      <t>ヒレイ</t>
    </rPh>
    <rPh sb="6" eb="8">
      <t>トウキョウ</t>
    </rPh>
    <rPh sb="8" eb="10">
      <t>イシン</t>
    </rPh>
    <phoneticPr fontId="3"/>
  </si>
  <si>
    <t>3405比例東京維新10</t>
    <rPh sb="4" eb="6">
      <t>ヒレイ</t>
    </rPh>
    <rPh sb="6" eb="8">
      <t>トウキョウ</t>
    </rPh>
    <rPh sb="8" eb="10">
      <t>イシン</t>
    </rPh>
    <phoneticPr fontId="3"/>
  </si>
  <si>
    <t>3405比例東京維新11</t>
    <rPh sb="4" eb="6">
      <t>ヒレイ</t>
    </rPh>
    <rPh sb="6" eb="8">
      <t>トウキョウ</t>
    </rPh>
    <rPh sb="8" eb="10">
      <t>イシン</t>
    </rPh>
    <phoneticPr fontId="3"/>
  </si>
  <si>
    <t>3405比例東京維新12</t>
    <rPh sb="4" eb="6">
      <t>ヒレイ</t>
    </rPh>
    <rPh sb="6" eb="8">
      <t>トウキョウ</t>
    </rPh>
    <rPh sb="8" eb="10">
      <t>イシン</t>
    </rPh>
    <phoneticPr fontId="3"/>
  </si>
  <si>
    <t>3405比例東京維新13</t>
    <rPh sb="4" eb="6">
      <t>ヒレイ</t>
    </rPh>
    <rPh sb="6" eb="8">
      <t>トウキョウ</t>
    </rPh>
    <rPh sb="8" eb="10">
      <t>イシン</t>
    </rPh>
    <phoneticPr fontId="3"/>
  </si>
  <si>
    <t>3405比例東京維新14</t>
    <rPh sb="4" eb="6">
      <t>ヒレイ</t>
    </rPh>
    <rPh sb="6" eb="8">
      <t>トウキョウ</t>
    </rPh>
    <rPh sb="8" eb="10">
      <t>イシン</t>
    </rPh>
    <phoneticPr fontId="3"/>
  </si>
  <si>
    <t>3405比例東京維新15</t>
    <rPh sb="4" eb="6">
      <t>ヒレイ</t>
    </rPh>
    <rPh sb="6" eb="8">
      <t>トウキョウ</t>
    </rPh>
    <rPh sb="8" eb="10">
      <t>イシン</t>
    </rPh>
    <phoneticPr fontId="3"/>
  </si>
  <si>
    <t>3405比例東京維新16</t>
    <rPh sb="4" eb="6">
      <t>ヒレイ</t>
    </rPh>
    <rPh sb="6" eb="8">
      <t>トウキョウ</t>
    </rPh>
    <rPh sb="8" eb="10">
      <t>イシン</t>
    </rPh>
    <phoneticPr fontId="3"/>
  </si>
  <si>
    <t>3405比例東京維新17</t>
    <rPh sb="4" eb="6">
      <t>ヒレイ</t>
    </rPh>
    <rPh sb="6" eb="8">
      <t>トウキョウ</t>
    </rPh>
    <rPh sb="8" eb="10">
      <t>イシン</t>
    </rPh>
    <phoneticPr fontId="3"/>
  </si>
  <si>
    <t>3405比例東京維新18</t>
    <rPh sb="4" eb="6">
      <t>ヒレイ</t>
    </rPh>
    <rPh sb="6" eb="8">
      <t>トウキョウ</t>
    </rPh>
    <rPh sb="8" eb="10">
      <t>イシン</t>
    </rPh>
    <phoneticPr fontId="3"/>
  </si>
  <si>
    <t>3405比例東京維新19</t>
    <rPh sb="4" eb="6">
      <t>ヒレイ</t>
    </rPh>
    <rPh sb="6" eb="8">
      <t>トウキョウ</t>
    </rPh>
    <rPh sb="8" eb="10">
      <t>イシン</t>
    </rPh>
    <phoneticPr fontId="3"/>
  </si>
  <si>
    <t>3405比例東京維新20</t>
    <rPh sb="4" eb="6">
      <t>ヒレイ</t>
    </rPh>
    <rPh sb="6" eb="8">
      <t>トウキョウ</t>
    </rPh>
    <rPh sb="8" eb="10">
      <t>イシン</t>
    </rPh>
    <phoneticPr fontId="3"/>
  </si>
  <si>
    <t>3405比例東京維新21</t>
    <rPh sb="4" eb="6">
      <t>ヒレイ</t>
    </rPh>
    <rPh sb="6" eb="8">
      <t>トウキョウ</t>
    </rPh>
    <rPh sb="8" eb="10">
      <t>イシン</t>
    </rPh>
    <phoneticPr fontId="3"/>
  </si>
  <si>
    <t>会社員(ブリティッシュアメリカンタバコジャパン)</t>
    <rPh sb="0" eb="3">
      <t>カイシャイン</t>
    </rPh>
    <phoneticPr fontId="3"/>
  </si>
  <si>
    <t>今村　洋史</t>
    <rPh sb="0" eb="2">
      <t>イマムラ</t>
    </rPh>
    <rPh sb="3" eb="5">
      <t>ヒロフミ</t>
    </rPh>
    <phoneticPr fontId="3"/>
  </si>
  <si>
    <t>大(埼玉医科)</t>
    <rPh sb="0" eb="1">
      <t>ダイ</t>
    </rPh>
    <rPh sb="2" eb="4">
      <t>サイタマ</t>
    </rPh>
    <rPh sb="4" eb="6">
      <t>イカ</t>
    </rPh>
    <phoneticPr fontId="3"/>
  </si>
  <si>
    <t>医療法人理事長(いまむら病院/精神科)</t>
    <rPh sb="0" eb="2">
      <t>イリョウ</t>
    </rPh>
    <rPh sb="2" eb="4">
      <t>ホウジン</t>
    </rPh>
    <rPh sb="4" eb="7">
      <t>リジチョウ</t>
    </rPh>
    <rPh sb="12" eb="14">
      <t>ビョウイン</t>
    </rPh>
    <rPh sb="15" eb="18">
      <t>セイシンカ</t>
    </rPh>
    <phoneticPr fontId="3"/>
  </si>
  <si>
    <t>大(明星)</t>
    <rPh sb="0" eb="1">
      <t>ダイ</t>
    </rPh>
    <rPh sb="2" eb="4">
      <t>ミョウジョウ</t>
    </rPh>
    <phoneticPr fontId="3"/>
  </si>
  <si>
    <t>3407比例東京共産04</t>
    <rPh sb="4" eb="6">
      <t>ヒレイ</t>
    </rPh>
    <rPh sb="6" eb="8">
      <t>トウキョウ</t>
    </rPh>
    <rPh sb="8" eb="10">
      <t>キョウサン</t>
    </rPh>
    <phoneticPr fontId="3"/>
  </si>
  <si>
    <t>3406比例東京みんな01</t>
    <rPh sb="4" eb="6">
      <t>ヒレイ</t>
    </rPh>
    <rPh sb="6" eb="8">
      <t>トウキョウ</t>
    </rPh>
    <phoneticPr fontId="3"/>
  </si>
  <si>
    <t>3406比例東京みんな02</t>
    <rPh sb="4" eb="6">
      <t>ヒレイ</t>
    </rPh>
    <rPh sb="6" eb="8">
      <t>トウキョウ</t>
    </rPh>
    <phoneticPr fontId="3"/>
  </si>
  <si>
    <t>3406比例東京みんな03</t>
    <rPh sb="4" eb="6">
      <t>ヒレイ</t>
    </rPh>
    <rPh sb="6" eb="8">
      <t>トウキョウ</t>
    </rPh>
    <phoneticPr fontId="3"/>
  </si>
  <si>
    <t>3406比例東京みんな04</t>
    <rPh sb="4" eb="6">
      <t>ヒレイ</t>
    </rPh>
    <rPh sb="6" eb="8">
      <t>トウキョウ</t>
    </rPh>
    <phoneticPr fontId="3"/>
  </si>
  <si>
    <t>3406比例東京みんな05</t>
    <rPh sb="4" eb="6">
      <t>ヒレイ</t>
    </rPh>
    <rPh sb="6" eb="8">
      <t>トウキョウ</t>
    </rPh>
    <phoneticPr fontId="3"/>
  </si>
  <si>
    <t>3406比例東京みんな06</t>
    <rPh sb="4" eb="6">
      <t>ヒレイ</t>
    </rPh>
    <rPh sb="6" eb="8">
      <t>トウキョウ</t>
    </rPh>
    <phoneticPr fontId="3"/>
  </si>
  <si>
    <t>3406比例東京みんな07</t>
    <rPh sb="4" eb="6">
      <t>ヒレイ</t>
    </rPh>
    <rPh sb="6" eb="8">
      <t>トウキョウ</t>
    </rPh>
    <phoneticPr fontId="3"/>
  </si>
  <si>
    <t>3406比例東京みんな08</t>
    <rPh sb="4" eb="6">
      <t>ヒレイ</t>
    </rPh>
    <rPh sb="6" eb="8">
      <t>トウキョウ</t>
    </rPh>
    <phoneticPr fontId="3"/>
  </si>
  <si>
    <t>3406比例東京みんな09</t>
    <rPh sb="4" eb="6">
      <t>ヒレイ</t>
    </rPh>
    <rPh sb="6" eb="8">
      <t>トウキョウ</t>
    </rPh>
    <phoneticPr fontId="3"/>
  </si>
  <si>
    <t>3406比例東京みんな10</t>
    <rPh sb="4" eb="6">
      <t>ヒレイ</t>
    </rPh>
    <rPh sb="6" eb="8">
      <t>トウキョウ</t>
    </rPh>
    <phoneticPr fontId="3"/>
  </si>
  <si>
    <t>共産党東京都委員会職員,民青同盟東京都副委員長</t>
    <rPh sb="0" eb="3">
      <t>キョウサントウ</t>
    </rPh>
    <rPh sb="3" eb="6">
      <t>トウキョウト</t>
    </rPh>
    <rPh sb="6" eb="9">
      <t>イインカイ</t>
    </rPh>
    <rPh sb="9" eb="11">
      <t>ショクイン</t>
    </rPh>
    <rPh sb="12" eb="16">
      <t>ミンセイドウメイ</t>
    </rPh>
    <rPh sb="16" eb="19">
      <t>トウキョウト</t>
    </rPh>
    <rPh sb="19" eb="23">
      <t>フクイインチョウ</t>
    </rPh>
    <phoneticPr fontId="3"/>
  </si>
  <si>
    <t>会社員(三菱UFJモルガンスタンレー証券)</t>
    <rPh sb="0" eb="3">
      <t>カイシャイン</t>
    </rPh>
    <rPh sb="4" eb="6">
      <t>ミツビシ</t>
    </rPh>
    <rPh sb="18" eb="20">
      <t>ショウケン</t>
    </rPh>
    <phoneticPr fontId="3"/>
  </si>
  <si>
    <t>大(金沢経済)</t>
    <rPh sb="0" eb="1">
      <t>ダイ</t>
    </rPh>
    <rPh sb="2" eb="4">
      <t>カナザワ</t>
    </rPh>
    <rPh sb="4" eb="6">
      <t>ケイザイ</t>
    </rPh>
    <phoneticPr fontId="3"/>
  </si>
  <si>
    <t>大(桃山学院)</t>
    <rPh sb="0" eb="1">
      <t>ダイ</t>
    </rPh>
    <rPh sb="2" eb="4">
      <t>モモヤマ</t>
    </rPh>
    <rPh sb="4" eb="6">
      <t>ガクイン</t>
    </rPh>
    <phoneticPr fontId="3"/>
  </si>
  <si>
    <t>3503比例北信越未来01</t>
    <rPh sb="4" eb="6">
      <t>ヒレイ</t>
    </rPh>
    <rPh sb="6" eb="9">
      <t>ホクシンエツ</t>
    </rPh>
    <rPh sb="9" eb="11">
      <t>ミライ</t>
    </rPh>
    <phoneticPr fontId="3"/>
  </si>
  <si>
    <t>3503比例北信越未来02</t>
    <rPh sb="4" eb="6">
      <t>ヒレイ</t>
    </rPh>
    <rPh sb="6" eb="9">
      <t>ホクシンエツ</t>
    </rPh>
    <rPh sb="9" eb="11">
      <t>ミライ</t>
    </rPh>
    <phoneticPr fontId="3"/>
  </si>
  <si>
    <t>3503比例北信越未来03</t>
    <rPh sb="4" eb="6">
      <t>ヒレイ</t>
    </rPh>
    <rPh sb="6" eb="9">
      <t>ホクシンエツ</t>
    </rPh>
    <rPh sb="9" eb="11">
      <t>ミライ</t>
    </rPh>
    <phoneticPr fontId="3"/>
  </si>
  <si>
    <t>3505比例北信越維新02</t>
    <rPh sb="4" eb="6">
      <t>ヒレイ</t>
    </rPh>
    <rPh sb="6" eb="9">
      <t>ホクシンエツ</t>
    </rPh>
    <rPh sb="9" eb="11">
      <t>イシン</t>
    </rPh>
    <phoneticPr fontId="3"/>
  </si>
  <si>
    <t>3505比例北信越維新03</t>
    <rPh sb="4" eb="6">
      <t>ヒレイ</t>
    </rPh>
    <rPh sb="6" eb="9">
      <t>ホクシンエツ</t>
    </rPh>
    <rPh sb="9" eb="11">
      <t>イシン</t>
    </rPh>
    <phoneticPr fontId="3"/>
  </si>
  <si>
    <t>3505比例北信越維新04</t>
    <rPh sb="4" eb="6">
      <t>ヒレイ</t>
    </rPh>
    <rPh sb="6" eb="9">
      <t>ホクシンエツ</t>
    </rPh>
    <rPh sb="9" eb="11">
      <t>イシン</t>
    </rPh>
    <phoneticPr fontId="3"/>
  </si>
  <si>
    <t>3505比例北信越維新05</t>
    <rPh sb="4" eb="6">
      <t>ヒレイ</t>
    </rPh>
    <rPh sb="6" eb="9">
      <t>ホクシンエツ</t>
    </rPh>
    <rPh sb="9" eb="11">
      <t>イシン</t>
    </rPh>
    <phoneticPr fontId="3"/>
  </si>
  <si>
    <t>3505比例北信越維新06</t>
    <rPh sb="4" eb="6">
      <t>ヒレイ</t>
    </rPh>
    <rPh sb="6" eb="9">
      <t>ホクシンエツ</t>
    </rPh>
    <rPh sb="9" eb="11">
      <t>イシン</t>
    </rPh>
    <phoneticPr fontId="3"/>
  </si>
  <si>
    <t>3505比例北信越維新07</t>
    <rPh sb="4" eb="6">
      <t>ヒレイ</t>
    </rPh>
    <rPh sb="6" eb="9">
      <t>ホクシンエツ</t>
    </rPh>
    <rPh sb="9" eb="11">
      <t>イシン</t>
    </rPh>
    <phoneticPr fontId="3"/>
  </si>
  <si>
    <t>3505比例北信越維新08</t>
    <rPh sb="4" eb="6">
      <t>ヒレイ</t>
    </rPh>
    <rPh sb="6" eb="9">
      <t>ホクシンエツ</t>
    </rPh>
    <rPh sb="9" eb="11">
      <t>イシン</t>
    </rPh>
    <phoneticPr fontId="3"/>
  </si>
  <si>
    <t>3505比例北信越維新09</t>
    <rPh sb="4" eb="6">
      <t>ヒレイ</t>
    </rPh>
    <rPh sb="6" eb="9">
      <t>ホクシンエツ</t>
    </rPh>
    <rPh sb="9" eb="11">
      <t>イシン</t>
    </rPh>
    <phoneticPr fontId="3"/>
  </si>
  <si>
    <t>大(豪/ラトローブ)</t>
    <rPh sb="0" eb="1">
      <t>ダイ</t>
    </rPh>
    <rPh sb="2" eb="3">
      <t>ゴウ</t>
    </rPh>
    <phoneticPr fontId="3"/>
  </si>
  <si>
    <t>3506比例北信越みんな01</t>
    <rPh sb="4" eb="6">
      <t>ヒレイ</t>
    </rPh>
    <rPh sb="6" eb="9">
      <t>ホクシンエツ</t>
    </rPh>
    <phoneticPr fontId="3"/>
  </si>
  <si>
    <t>3506比例北信越みんな02</t>
    <rPh sb="4" eb="6">
      <t>ヒレイ</t>
    </rPh>
    <rPh sb="6" eb="9">
      <t>ホクシンエツ</t>
    </rPh>
    <phoneticPr fontId="3"/>
  </si>
  <si>
    <t>3508比例北信越社民01</t>
    <rPh sb="4" eb="6">
      <t>ヒレイ</t>
    </rPh>
    <rPh sb="6" eb="9">
      <t>ホクシンエツ</t>
    </rPh>
    <rPh sb="9" eb="11">
      <t>シャミン</t>
    </rPh>
    <phoneticPr fontId="3"/>
  </si>
  <si>
    <t>3508比例北信越社民02</t>
    <rPh sb="4" eb="6">
      <t>ヒレイ</t>
    </rPh>
    <rPh sb="6" eb="9">
      <t>ホクシンエツ</t>
    </rPh>
    <rPh sb="9" eb="11">
      <t>シャミン</t>
    </rPh>
    <phoneticPr fontId="3"/>
  </si>
  <si>
    <t>3508比例北信越社民03</t>
    <rPh sb="4" eb="6">
      <t>ヒレイ</t>
    </rPh>
    <rPh sb="6" eb="9">
      <t>ホクシンエツ</t>
    </rPh>
    <rPh sb="9" eb="11">
      <t>シャミン</t>
    </rPh>
    <phoneticPr fontId="3"/>
  </si>
  <si>
    <t>3508比例北信越社民04</t>
    <rPh sb="4" eb="6">
      <t>ヒレイ</t>
    </rPh>
    <rPh sb="6" eb="9">
      <t>ホクシンエツ</t>
    </rPh>
    <rPh sb="9" eb="11">
      <t>シャミン</t>
    </rPh>
    <phoneticPr fontId="3"/>
  </si>
  <si>
    <t>3508比例北信越社民05</t>
    <rPh sb="4" eb="6">
      <t>ヒレイ</t>
    </rPh>
    <rPh sb="6" eb="9">
      <t>ホクシンエツ</t>
    </rPh>
    <rPh sb="9" eb="11">
      <t>シャミン</t>
    </rPh>
    <phoneticPr fontId="3"/>
  </si>
  <si>
    <t>3508比例北信越社民06</t>
    <rPh sb="4" eb="6">
      <t>ヒレイ</t>
    </rPh>
    <rPh sb="6" eb="9">
      <t>ホクシンエツ</t>
    </rPh>
    <rPh sb="9" eb="11">
      <t>シャミン</t>
    </rPh>
    <phoneticPr fontId="3"/>
  </si>
  <si>
    <t>自民党静岡県連事務局長,議員秘書</t>
    <rPh sb="0" eb="3">
      <t>ジミントウ</t>
    </rPh>
    <rPh sb="3" eb="5">
      <t>シズオカ</t>
    </rPh>
    <rPh sb="5" eb="7">
      <t>ケンレン</t>
    </rPh>
    <rPh sb="7" eb="9">
      <t>ジム</t>
    </rPh>
    <rPh sb="9" eb="11">
      <t>キョクチョウ</t>
    </rPh>
    <rPh sb="12" eb="14">
      <t>ギイン</t>
    </rPh>
    <rPh sb="14" eb="16">
      <t>ヒショ</t>
    </rPh>
    <phoneticPr fontId="3"/>
  </si>
  <si>
    <t>自民党新潟県連事務局長,議員秘書</t>
    <rPh sb="0" eb="3">
      <t>ジミントウ</t>
    </rPh>
    <rPh sb="3" eb="5">
      <t>ニイガタ</t>
    </rPh>
    <rPh sb="5" eb="7">
      <t>ケンレン</t>
    </rPh>
    <rPh sb="7" eb="9">
      <t>ジム</t>
    </rPh>
    <rPh sb="9" eb="11">
      <t>キョクチョウ</t>
    </rPh>
    <rPh sb="12" eb="14">
      <t>ギイン</t>
    </rPh>
    <rPh sb="14" eb="16">
      <t>ヒショ</t>
    </rPh>
    <phoneticPr fontId="3"/>
  </si>
  <si>
    <t>議員秘書</t>
    <rPh sb="0" eb="2">
      <t>ギイン</t>
    </rPh>
    <rPh sb="2" eb="4">
      <t>ヒショ</t>
    </rPh>
    <phoneticPr fontId="3"/>
  </si>
  <si>
    <t>公明党茨城県青年局次長,会社員</t>
    <rPh sb="0" eb="3">
      <t>コウメイトウ</t>
    </rPh>
    <rPh sb="3" eb="5">
      <t>イバラキ</t>
    </rPh>
    <rPh sb="5" eb="6">
      <t>ケン</t>
    </rPh>
    <rPh sb="6" eb="8">
      <t>セイネン</t>
    </rPh>
    <rPh sb="8" eb="11">
      <t>キョクジチョウ</t>
    </rPh>
    <rPh sb="12" eb="15">
      <t>カイシャイン</t>
    </rPh>
    <phoneticPr fontId="3"/>
  </si>
  <si>
    <t>行政書士,議員秘書</t>
    <rPh sb="0" eb="4">
      <t>ギョウセイショシ</t>
    </rPh>
    <rPh sb="5" eb="7">
      <t>ギイン</t>
    </rPh>
    <rPh sb="7" eb="9">
      <t>ヒショ</t>
    </rPh>
    <phoneticPr fontId="3"/>
  </si>
  <si>
    <t>会社社長,研究員(三菱総研)</t>
    <rPh sb="0" eb="2">
      <t>カイシャ</t>
    </rPh>
    <rPh sb="2" eb="4">
      <t>シャチョウ</t>
    </rPh>
    <rPh sb="5" eb="8">
      <t>ケンキュウイン</t>
    </rPh>
    <rPh sb="9" eb="11">
      <t>ミツビシ</t>
    </rPh>
    <rPh sb="11" eb="13">
      <t>ソウケン</t>
    </rPh>
    <phoneticPr fontId="3"/>
  </si>
  <si>
    <t>研究所所長(未来総研),議員秘書</t>
    <rPh sb="0" eb="3">
      <t>ケンキュウジョ</t>
    </rPh>
    <rPh sb="3" eb="5">
      <t>ショチョウ</t>
    </rPh>
    <rPh sb="6" eb="8">
      <t>ミライ</t>
    </rPh>
    <rPh sb="8" eb="10">
      <t>ソウケン</t>
    </rPh>
    <rPh sb="12" eb="14">
      <t>ギイン</t>
    </rPh>
    <rPh sb="14" eb="16">
      <t>ヒショ</t>
    </rPh>
    <phoneticPr fontId="3"/>
  </si>
  <si>
    <t>3603比例東海未来21</t>
    <rPh sb="4" eb="6">
      <t>ヒレイ</t>
    </rPh>
    <rPh sb="6" eb="8">
      <t>トウカイ</t>
    </rPh>
    <rPh sb="8" eb="10">
      <t>ミライ</t>
    </rPh>
    <phoneticPr fontId="3"/>
  </si>
  <si>
    <t>3603比例東海未来01</t>
    <rPh sb="4" eb="6">
      <t>ヒレイ</t>
    </rPh>
    <rPh sb="6" eb="8">
      <t>トウカイ</t>
    </rPh>
    <rPh sb="8" eb="10">
      <t>ミライ</t>
    </rPh>
    <phoneticPr fontId="3"/>
  </si>
  <si>
    <t>3603比例東海未来02</t>
    <rPh sb="4" eb="6">
      <t>ヒレイ</t>
    </rPh>
    <rPh sb="6" eb="8">
      <t>トウカイ</t>
    </rPh>
    <rPh sb="8" eb="10">
      <t>ミライ</t>
    </rPh>
    <phoneticPr fontId="3"/>
  </si>
  <si>
    <t>3603比例東海未来03</t>
    <rPh sb="4" eb="6">
      <t>ヒレイ</t>
    </rPh>
    <rPh sb="6" eb="8">
      <t>トウカイ</t>
    </rPh>
    <rPh sb="8" eb="10">
      <t>ミライ</t>
    </rPh>
    <phoneticPr fontId="3"/>
  </si>
  <si>
    <t>3603比例東海未来04</t>
    <rPh sb="4" eb="6">
      <t>ヒレイ</t>
    </rPh>
    <rPh sb="6" eb="8">
      <t>トウカイ</t>
    </rPh>
    <rPh sb="8" eb="10">
      <t>ミライ</t>
    </rPh>
    <phoneticPr fontId="3"/>
  </si>
  <si>
    <t>3603比例東海未来05</t>
    <rPh sb="4" eb="6">
      <t>ヒレイ</t>
    </rPh>
    <rPh sb="6" eb="8">
      <t>トウカイ</t>
    </rPh>
    <rPh sb="8" eb="10">
      <t>ミライ</t>
    </rPh>
    <phoneticPr fontId="3"/>
  </si>
  <si>
    <t>3603比例東海未来06</t>
    <rPh sb="4" eb="6">
      <t>ヒレイ</t>
    </rPh>
    <rPh sb="6" eb="8">
      <t>トウカイ</t>
    </rPh>
    <rPh sb="8" eb="10">
      <t>ミライ</t>
    </rPh>
    <phoneticPr fontId="3"/>
  </si>
  <si>
    <t>3603比例東海未来07</t>
    <rPh sb="4" eb="6">
      <t>ヒレイ</t>
    </rPh>
    <rPh sb="6" eb="8">
      <t>トウカイ</t>
    </rPh>
    <rPh sb="8" eb="10">
      <t>ミライ</t>
    </rPh>
    <phoneticPr fontId="3"/>
  </si>
  <si>
    <t>3603比例東海未来08</t>
    <rPh sb="4" eb="6">
      <t>ヒレイ</t>
    </rPh>
    <rPh sb="6" eb="8">
      <t>トウカイ</t>
    </rPh>
    <rPh sb="8" eb="10">
      <t>ミライ</t>
    </rPh>
    <phoneticPr fontId="3"/>
  </si>
  <si>
    <t>3603比例東海未来09</t>
    <rPh sb="4" eb="6">
      <t>ヒレイ</t>
    </rPh>
    <rPh sb="6" eb="8">
      <t>トウカイ</t>
    </rPh>
    <rPh sb="8" eb="10">
      <t>ミライ</t>
    </rPh>
    <phoneticPr fontId="3"/>
  </si>
  <si>
    <t>3603比例東海未来10</t>
    <rPh sb="4" eb="6">
      <t>ヒレイ</t>
    </rPh>
    <rPh sb="6" eb="8">
      <t>トウカイ</t>
    </rPh>
    <rPh sb="8" eb="10">
      <t>ミライ</t>
    </rPh>
    <phoneticPr fontId="3"/>
  </si>
  <si>
    <t>3603比例東海未来11</t>
    <rPh sb="4" eb="6">
      <t>ヒレイ</t>
    </rPh>
    <rPh sb="6" eb="8">
      <t>トウカイ</t>
    </rPh>
    <rPh sb="8" eb="10">
      <t>ミライ</t>
    </rPh>
    <phoneticPr fontId="3"/>
  </si>
  <si>
    <t>3603比例東海未来12</t>
    <rPh sb="4" eb="6">
      <t>ヒレイ</t>
    </rPh>
    <rPh sb="6" eb="8">
      <t>トウカイ</t>
    </rPh>
    <rPh sb="8" eb="10">
      <t>ミライ</t>
    </rPh>
    <phoneticPr fontId="3"/>
  </si>
  <si>
    <t>3603比例東海未来13</t>
    <rPh sb="4" eb="6">
      <t>ヒレイ</t>
    </rPh>
    <rPh sb="6" eb="8">
      <t>トウカイ</t>
    </rPh>
    <rPh sb="8" eb="10">
      <t>ミライ</t>
    </rPh>
    <phoneticPr fontId="3"/>
  </si>
  <si>
    <t>3603比例東海未来14</t>
    <rPh sb="4" eb="6">
      <t>ヒレイ</t>
    </rPh>
    <rPh sb="6" eb="8">
      <t>トウカイ</t>
    </rPh>
    <rPh sb="8" eb="10">
      <t>ミライ</t>
    </rPh>
    <phoneticPr fontId="3"/>
  </si>
  <si>
    <t>3603比例東海未来15</t>
    <rPh sb="4" eb="6">
      <t>ヒレイ</t>
    </rPh>
    <rPh sb="6" eb="8">
      <t>トウカイ</t>
    </rPh>
    <rPh sb="8" eb="10">
      <t>ミライ</t>
    </rPh>
    <phoneticPr fontId="3"/>
  </si>
  <si>
    <t>3603比例東海未来16</t>
    <rPh sb="4" eb="6">
      <t>ヒレイ</t>
    </rPh>
    <rPh sb="6" eb="8">
      <t>トウカイ</t>
    </rPh>
    <rPh sb="8" eb="10">
      <t>ミライ</t>
    </rPh>
    <phoneticPr fontId="3"/>
  </si>
  <si>
    <t>3603比例東海未来17</t>
    <rPh sb="4" eb="6">
      <t>ヒレイ</t>
    </rPh>
    <rPh sb="6" eb="8">
      <t>トウカイ</t>
    </rPh>
    <rPh sb="8" eb="10">
      <t>ミライ</t>
    </rPh>
    <phoneticPr fontId="3"/>
  </si>
  <si>
    <t>3603比例東海未来18</t>
    <rPh sb="4" eb="6">
      <t>ヒレイ</t>
    </rPh>
    <rPh sb="6" eb="8">
      <t>トウカイ</t>
    </rPh>
    <rPh sb="8" eb="10">
      <t>ミライ</t>
    </rPh>
    <phoneticPr fontId="3"/>
  </si>
  <si>
    <t>3603比例東海未来19</t>
    <rPh sb="4" eb="6">
      <t>ヒレイ</t>
    </rPh>
    <rPh sb="6" eb="8">
      <t>トウカイ</t>
    </rPh>
    <rPh sb="8" eb="10">
      <t>ミライ</t>
    </rPh>
    <phoneticPr fontId="3"/>
  </si>
  <si>
    <t>3603比例東海未来20</t>
    <rPh sb="4" eb="6">
      <t>ヒレイ</t>
    </rPh>
    <rPh sb="6" eb="8">
      <t>トウカイ</t>
    </rPh>
    <rPh sb="8" eb="10">
      <t>ミライ</t>
    </rPh>
    <phoneticPr fontId="3"/>
  </si>
  <si>
    <t>公明党岐阜県本部青年局次長</t>
    <rPh sb="0" eb="3">
      <t>コウメイトウ</t>
    </rPh>
    <rPh sb="3" eb="6">
      <t>ギフケン</t>
    </rPh>
    <rPh sb="6" eb="8">
      <t>ホンブ</t>
    </rPh>
    <rPh sb="8" eb="10">
      <t>セイネン</t>
    </rPh>
    <rPh sb="10" eb="11">
      <t>キョク</t>
    </rPh>
    <rPh sb="11" eb="13">
      <t>ジチョウ</t>
    </rPh>
    <phoneticPr fontId="3"/>
  </si>
  <si>
    <t>公明党愛知県本部事務長,高校教諭</t>
    <rPh sb="0" eb="3">
      <t>コウメイトウ</t>
    </rPh>
    <rPh sb="3" eb="6">
      <t>アイチケン</t>
    </rPh>
    <rPh sb="6" eb="8">
      <t>ホンブ</t>
    </rPh>
    <rPh sb="8" eb="11">
      <t>ジムチョウ</t>
    </rPh>
    <rPh sb="12" eb="14">
      <t>コウコウ</t>
    </rPh>
    <rPh sb="14" eb="16">
      <t>キョウユ</t>
    </rPh>
    <phoneticPr fontId="3"/>
  </si>
  <si>
    <t>公明党三重県本部市民活動局次長</t>
    <rPh sb="0" eb="3">
      <t>コウメイトウ</t>
    </rPh>
    <rPh sb="3" eb="6">
      <t>ミエケン</t>
    </rPh>
    <rPh sb="6" eb="8">
      <t>ホンブ</t>
    </rPh>
    <rPh sb="8" eb="10">
      <t>シミン</t>
    </rPh>
    <rPh sb="10" eb="12">
      <t>カツドウ</t>
    </rPh>
    <rPh sb="12" eb="13">
      <t>キョク</t>
    </rPh>
    <rPh sb="13" eb="15">
      <t>ジチョウ</t>
    </rPh>
    <phoneticPr fontId="3"/>
  </si>
  <si>
    <t>3605比例東海維新02</t>
    <rPh sb="4" eb="6">
      <t>ヒレイ</t>
    </rPh>
    <rPh sb="6" eb="8">
      <t>トウカイ</t>
    </rPh>
    <rPh sb="8" eb="10">
      <t>イシン</t>
    </rPh>
    <phoneticPr fontId="3"/>
  </si>
  <si>
    <t>3605比例東海維新03</t>
    <rPh sb="4" eb="6">
      <t>ヒレイ</t>
    </rPh>
    <rPh sb="6" eb="8">
      <t>トウカイ</t>
    </rPh>
    <rPh sb="8" eb="10">
      <t>イシン</t>
    </rPh>
    <phoneticPr fontId="3"/>
  </si>
  <si>
    <t>3605比例東海維新04</t>
    <rPh sb="4" eb="6">
      <t>ヒレイ</t>
    </rPh>
    <rPh sb="6" eb="8">
      <t>トウカイ</t>
    </rPh>
    <rPh sb="8" eb="10">
      <t>イシン</t>
    </rPh>
    <phoneticPr fontId="3"/>
  </si>
  <si>
    <t>3605比例東海維新05</t>
    <rPh sb="4" eb="6">
      <t>ヒレイ</t>
    </rPh>
    <rPh sb="6" eb="8">
      <t>トウカイ</t>
    </rPh>
    <rPh sb="8" eb="10">
      <t>イシン</t>
    </rPh>
    <phoneticPr fontId="3"/>
  </si>
  <si>
    <t>3605比例東海維新06</t>
    <rPh sb="4" eb="6">
      <t>ヒレイ</t>
    </rPh>
    <rPh sb="6" eb="8">
      <t>トウカイ</t>
    </rPh>
    <rPh sb="8" eb="10">
      <t>イシン</t>
    </rPh>
    <phoneticPr fontId="3"/>
  </si>
  <si>
    <t>3605比例東海維新07</t>
    <rPh sb="4" eb="6">
      <t>ヒレイ</t>
    </rPh>
    <rPh sb="6" eb="8">
      <t>トウカイ</t>
    </rPh>
    <rPh sb="8" eb="10">
      <t>イシン</t>
    </rPh>
    <phoneticPr fontId="3"/>
  </si>
  <si>
    <t>3605比例東海維新08</t>
    <rPh sb="4" eb="6">
      <t>ヒレイ</t>
    </rPh>
    <rPh sb="6" eb="8">
      <t>トウカイ</t>
    </rPh>
    <rPh sb="8" eb="10">
      <t>イシン</t>
    </rPh>
    <phoneticPr fontId="3"/>
  </si>
  <si>
    <t>3605比例東海維新09</t>
    <rPh sb="4" eb="6">
      <t>ヒレイ</t>
    </rPh>
    <rPh sb="6" eb="8">
      <t>トウカイ</t>
    </rPh>
    <rPh sb="8" eb="10">
      <t>イシン</t>
    </rPh>
    <phoneticPr fontId="3"/>
  </si>
  <si>
    <t>3605比例東海維新10</t>
    <rPh sb="4" eb="6">
      <t>ヒレイ</t>
    </rPh>
    <rPh sb="6" eb="8">
      <t>トウカイ</t>
    </rPh>
    <rPh sb="8" eb="10">
      <t>イシン</t>
    </rPh>
    <phoneticPr fontId="3"/>
  </si>
  <si>
    <t>3605比例東海維新11</t>
    <rPh sb="4" eb="6">
      <t>ヒレイ</t>
    </rPh>
    <rPh sb="6" eb="8">
      <t>トウカイ</t>
    </rPh>
    <rPh sb="8" eb="10">
      <t>イシン</t>
    </rPh>
    <phoneticPr fontId="3"/>
  </si>
  <si>
    <t>3605比例東海維新12</t>
    <rPh sb="4" eb="6">
      <t>ヒレイ</t>
    </rPh>
    <rPh sb="6" eb="8">
      <t>トウカイ</t>
    </rPh>
    <rPh sb="8" eb="10">
      <t>イシン</t>
    </rPh>
    <phoneticPr fontId="3"/>
  </si>
  <si>
    <t>3605比例東海維新13</t>
    <rPh sb="4" eb="6">
      <t>ヒレイ</t>
    </rPh>
    <rPh sb="6" eb="8">
      <t>トウカイ</t>
    </rPh>
    <rPh sb="8" eb="10">
      <t>イシン</t>
    </rPh>
    <phoneticPr fontId="3"/>
  </si>
  <si>
    <t>総務省情報セキュリティ対策室長</t>
    <rPh sb="0" eb="3">
      <t>ソウムショウ</t>
    </rPh>
    <rPh sb="3" eb="5">
      <t>ジョウホウ</t>
    </rPh>
    <rPh sb="11" eb="13">
      <t>タイサク</t>
    </rPh>
    <rPh sb="13" eb="15">
      <t>シツチョウ</t>
    </rPh>
    <phoneticPr fontId="3"/>
  </si>
  <si>
    <t>3606比例東海みんな04</t>
    <rPh sb="4" eb="6">
      <t>ヒレイ</t>
    </rPh>
    <rPh sb="6" eb="8">
      <t>トウカイ</t>
    </rPh>
    <phoneticPr fontId="3"/>
  </si>
  <si>
    <t>3606比例東海みんな02</t>
    <rPh sb="4" eb="6">
      <t>ヒレイ</t>
    </rPh>
    <rPh sb="6" eb="8">
      <t>トウカイ</t>
    </rPh>
    <phoneticPr fontId="3"/>
  </si>
  <si>
    <t>3606比例東海みんな03</t>
    <rPh sb="4" eb="6">
      <t>ヒレイ</t>
    </rPh>
    <rPh sb="6" eb="8">
      <t>トウカイ</t>
    </rPh>
    <phoneticPr fontId="3"/>
  </si>
  <si>
    <t>3608比例東海社民02</t>
    <rPh sb="4" eb="6">
      <t>ヒレイ</t>
    </rPh>
    <rPh sb="6" eb="8">
      <t>トウカイ</t>
    </rPh>
    <rPh sb="8" eb="10">
      <t>シャミン</t>
    </rPh>
    <phoneticPr fontId="3"/>
  </si>
  <si>
    <t>3513比例北信越幸福01</t>
    <rPh sb="4" eb="6">
      <t>ヒレイ</t>
    </rPh>
    <rPh sb="6" eb="9">
      <t>ホクシンエツ</t>
    </rPh>
    <rPh sb="9" eb="11">
      <t>コウフク</t>
    </rPh>
    <phoneticPr fontId="3"/>
  </si>
  <si>
    <t>3513比例北信越幸福02</t>
    <rPh sb="4" eb="6">
      <t>ヒレイ</t>
    </rPh>
    <rPh sb="6" eb="9">
      <t>ホクシンエツ</t>
    </rPh>
    <rPh sb="9" eb="11">
      <t>コウフク</t>
    </rPh>
    <phoneticPr fontId="3"/>
  </si>
  <si>
    <t>3513比例北信越幸福03</t>
    <rPh sb="4" eb="6">
      <t>ヒレイ</t>
    </rPh>
    <rPh sb="6" eb="9">
      <t>ホクシンエツ</t>
    </rPh>
    <rPh sb="9" eb="11">
      <t>コウフク</t>
    </rPh>
    <phoneticPr fontId="3"/>
  </si>
  <si>
    <t>3411比例東京改革01</t>
    <rPh sb="4" eb="6">
      <t>ヒレイ</t>
    </rPh>
    <rPh sb="6" eb="8">
      <t>トウキョウ</t>
    </rPh>
    <rPh sb="8" eb="10">
      <t>カイカク</t>
    </rPh>
    <phoneticPr fontId="3"/>
  </si>
  <si>
    <t>3413比例東京幸福01</t>
    <rPh sb="4" eb="6">
      <t>ヒレイ</t>
    </rPh>
    <rPh sb="6" eb="8">
      <t>トウキョウ</t>
    </rPh>
    <rPh sb="8" eb="10">
      <t>コウフク</t>
    </rPh>
    <phoneticPr fontId="3"/>
  </si>
  <si>
    <t>3413比例東京幸福02</t>
    <rPh sb="4" eb="6">
      <t>ヒレイ</t>
    </rPh>
    <rPh sb="6" eb="8">
      <t>トウキョウ</t>
    </rPh>
    <rPh sb="8" eb="10">
      <t>コウフク</t>
    </rPh>
    <phoneticPr fontId="3"/>
  </si>
  <si>
    <t>3413比例東京幸福03</t>
    <rPh sb="4" eb="6">
      <t>ヒレイ</t>
    </rPh>
    <rPh sb="6" eb="8">
      <t>トウキョウ</t>
    </rPh>
    <rPh sb="8" eb="10">
      <t>コウフク</t>
    </rPh>
    <phoneticPr fontId="3"/>
  </si>
  <si>
    <t>3413比例東京幸福04</t>
    <rPh sb="4" eb="6">
      <t>ヒレイ</t>
    </rPh>
    <rPh sb="6" eb="8">
      <t>トウキョウ</t>
    </rPh>
    <rPh sb="8" eb="10">
      <t>コウフク</t>
    </rPh>
    <phoneticPr fontId="3"/>
  </si>
  <si>
    <t>3613比例東海幸福01</t>
    <rPh sb="4" eb="6">
      <t>ヒレイ</t>
    </rPh>
    <rPh sb="6" eb="8">
      <t>トウカイ</t>
    </rPh>
    <rPh sb="8" eb="10">
      <t>コウフク</t>
    </rPh>
    <phoneticPr fontId="3"/>
  </si>
  <si>
    <t>3613比例東海幸福02</t>
    <rPh sb="4" eb="6">
      <t>ヒレイ</t>
    </rPh>
    <rPh sb="6" eb="8">
      <t>トウカイ</t>
    </rPh>
    <rPh sb="8" eb="10">
      <t>コウフク</t>
    </rPh>
    <phoneticPr fontId="3"/>
  </si>
  <si>
    <t>3613比例東海幸福03</t>
    <rPh sb="4" eb="6">
      <t>ヒレイ</t>
    </rPh>
    <rPh sb="6" eb="8">
      <t>トウカイ</t>
    </rPh>
    <rPh sb="8" eb="10">
      <t>コウフク</t>
    </rPh>
    <phoneticPr fontId="3"/>
  </si>
  <si>
    <t>3613比例東海幸福04</t>
    <rPh sb="4" eb="6">
      <t>ヒレイ</t>
    </rPh>
    <rPh sb="6" eb="8">
      <t>トウカイ</t>
    </rPh>
    <rPh sb="8" eb="10">
      <t>コウフク</t>
    </rPh>
    <phoneticPr fontId="3"/>
  </si>
  <si>
    <t>3613比例東海幸福05</t>
    <rPh sb="4" eb="6">
      <t>ヒレイ</t>
    </rPh>
    <rPh sb="6" eb="8">
      <t>トウカイ</t>
    </rPh>
    <rPh sb="8" eb="10">
      <t>コウフク</t>
    </rPh>
    <phoneticPr fontId="3"/>
  </si>
  <si>
    <t>み</t>
    <phoneticPr fontId="3"/>
  </si>
  <si>
    <t>み</t>
    <phoneticPr fontId="3"/>
  </si>
  <si>
    <t>公</t>
    <rPh sb="0" eb="1">
      <t>コウ</t>
    </rPh>
    <phoneticPr fontId="3"/>
  </si>
  <si>
    <t>3902比例四国自民18</t>
    <rPh sb="4" eb="6">
      <t>ヒレイ</t>
    </rPh>
    <rPh sb="6" eb="8">
      <t>シコク</t>
    </rPh>
    <rPh sb="8" eb="10">
      <t>ジミン</t>
    </rPh>
    <phoneticPr fontId="3"/>
  </si>
  <si>
    <t>大(京都府立)</t>
    <rPh sb="0" eb="1">
      <t>ダイ</t>
    </rPh>
    <rPh sb="2" eb="4">
      <t>キョウト</t>
    </rPh>
    <rPh sb="4" eb="6">
      <t>フリツ</t>
    </rPh>
    <phoneticPr fontId="3"/>
  </si>
  <si>
    <t>自民党京都府連事務局長,京都府警七条警察署長</t>
    <rPh sb="0" eb="3">
      <t>ジミントウ</t>
    </rPh>
    <rPh sb="3" eb="5">
      <t>キョウト</t>
    </rPh>
    <rPh sb="5" eb="7">
      <t>フレン</t>
    </rPh>
    <rPh sb="7" eb="9">
      <t>ジム</t>
    </rPh>
    <rPh sb="9" eb="11">
      <t>キョクチョウ</t>
    </rPh>
    <rPh sb="12" eb="14">
      <t>キョウト</t>
    </rPh>
    <rPh sb="14" eb="16">
      <t>フケイ</t>
    </rPh>
    <rPh sb="16" eb="18">
      <t>シチジョウ</t>
    </rPh>
    <rPh sb="18" eb="20">
      <t>ケイサツ</t>
    </rPh>
    <rPh sb="20" eb="22">
      <t>ショチョウ</t>
    </rPh>
    <phoneticPr fontId="3"/>
  </si>
  <si>
    <t>3703比例近畿未来01</t>
    <rPh sb="4" eb="6">
      <t>ヒレイ</t>
    </rPh>
    <rPh sb="6" eb="8">
      <t>キンキ</t>
    </rPh>
    <rPh sb="8" eb="10">
      <t>ミライ</t>
    </rPh>
    <phoneticPr fontId="3"/>
  </si>
  <si>
    <t>3703比例近畿未来02</t>
    <rPh sb="4" eb="6">
      <t>ヒレイ</t>
    </rPh>
    <rPh sb="6" eb="8">
      <t>キンキ</t>
    </rPh>
    <rPh sb="8" eb="10">
      <t>ミライ</t>
    </rPh>
    <phoneticPr fontId="3"/>
  </si>
  <si>
    <t>3703比例近畿未来03</t>
    <rPh sb="4" eb="6">
      <t>ヒレイ</t>
    </rPh>
    <rPh sb="6" eb="8">
      <t>キンキ</t>
    </rPh>
    <rPh sb="8" eb="10">
      <t>ミライ</t>
    </rPh>
    <phoneticPr fontId="3"/>
  </si>
  <si>
    <t>3703比例近畿未来04</t>
    <rPh sb="4" eb="6">
      <t>ヒレイ</t>
    </rPh>
    <rPh sb="6" eb="8">
      <t>キンキ</t>
    </rPh>
    <rPh sb="8" eb="10">
      <t>ミライ</t>
    </rPh>
    <phoneticPr fontId="3"/>
  </si>
  <si>
    <t>3703比例近畿未来05</t>
    <rPh sb="4" eb="6">
      <t>ヒレイ</t>
    </rPh>
    <rPh sb="6" eb="8">
      <t>キンキ</t>
    </rPh>
    <rPh sb="8" eb="10">
      <t>ミライ</t>
    </rPh>
    <phoneticPr fontId="3"/>
  </si>
  <si>
    <t>3703比例近畿未来06</t>
    <rPh sb="4" eb="6">
      <t>ヒレイ</t>
    </rPh>
    <rPh sb="6" eb="8">
      <t>キンキ</t>
    </rPh>
    <rPh sb="8" eb="10">
      <t>ミライ</t>
    </rPh>
    <phoneticPr fontId="3"/>
  </si>
  <si>
    <t>3703比例近畿未来07</t>
    <rPh sb="4" eb="6">
      <t>ヒレイ</t>
    </rPh>
    <rPh sb="6" eb="8">
      <t>キンキ</t>
    </rPh>
    <rPh sb="8" eb="10">
      <t>ミライ</t>
    </rPh>
    <phoneticPr fontId="3"/>
  </si>
  <si>
    <t>3703比例近畿未来08</t>
    <rPh sb="4" eb="6">
      <t>ヒレイ</t>
    </rPh>
    <rPh sb="6" eb="8">
      <t>キンキ</t>
    </rPh>
    <rPh sb="8" eb="10">
      <t>ミライ</t>
    </rPh>
    <phoneticPr fontId="3"/>
  </si>
  <si>
    <t>3703比例近畿未来09</t>
    <rPh sb="4" eb="6">
      <t>ヒレイ</t>
    </rPh>
    <rPh sb="6" eb="8">
      <t>キンキ</t>
    </rPh>
    <rPh sb="8" eb="10">
      <t>ミライ</t>
    </rPh>
    <phoneticPr fontId="3"/>
  </si>
  <si>
    <t>3703比例近畿未来10</t>
    <rPh sb="4" eb="6">
      <t>ヒレイ</t>
    </rPh>
    <rPh sb="6" eb="8">
      <t>キンキ</t>
    </rPh>
    <rPh sb="8" eb="10">
      <t>ミライ</t>
    </rPh>
    <phoneticPr fontId="3"/>
  </si>
  <si>
    <t>3703比例近畿未来11</t>
    <rPh sb="4" eb="6">
      <t>ヒレイ</t>
    </rPh>
    <rPh sb="6" eb="8">
      <t>キンキ</t>
    </rPh>
    <rPh sb="8" eb="10">
      <t>ミライ</t>
    </rPh>
    <phoneticPr fontId="3"/>
  </si>
  <si>
    <t>3703比例近畿未来12</t>
    <rPh sb="4" eb="6">
      <t>ヒレイ</t>
    </rPh>
    <rPh sb="6" eb="8">
      <t>キンキ</t>
    </rPh>
    <rPh sb="8" eb="10">
      <t>ミライ</t>
    </rPh>
    <phoneticPr fontId="3"/>
  </si>
  <si>
    <t>3703比例近畿未来13</t>
    <rPh sb="4" eb="6">
      <t>ヒレイ</t>
    </rPh>
    <rPh sb="6" eb="8">
      <t>キンキ</t>
    </rPh>
    <rPh sb="8" eb="10">
      <t>ミライ</t>
    </rPh>
    <phoneticPr fontId="3"/>
  </si>
  <si>
    <t>3703比例近畿未来14</t>
    <rPh sb="4" eb="6">
      <t>ヒレイ</t>
    </rPh>
    <rPh sb="6" eb="8">
      <t>キンキ</t>
    </rPh>
    <rPh sb="8" eb="10">
      <t>ミライ</t>
    </rPh>
    <phoneticPr fontId="3"/>
  </si>
  <si>
    <t>公明新聞関西支局長,公明党大阪府本部幹事</t>
    <rPh sb="0" eb="2">
      <t>コウメイ</t>
    </rPh>
    <rPh sb="2" eb="4">
      <t>シンブン</t>
    </rPh>
    <rPh sb="4" eb="6">
      <t>カンサイ</t>
    </rPh>
    <rPh sb="6" eb="9">
      <t>シキョクチョウ</t>
    </rPh>
    <rPh sb="10" eb="13">
      <t>コウメイトウ</t>
    </rPh>
    <rPh sb="13" eb="16">
      <t>オオサカフ</t>
    </rPh>
    <rPh sb="16" eb="18">
      <t>ホンブ</t>
    </rPh>
    <rPh sb="18" eb="20">
      <t>カンジ</t>
    </rPh>
    <phoneticPr fontId="3"/>
  </si>
  <si>
    <t>公明党兵庫県本部事務長,大阪市職員</t>
    <rPh sb="0" eb="3">
      <t>コウメイトウ</t>
    </rPh>
    <rPh sb="3" eb="6">
      <t>ヒョウゴケン</t>
    </rPh>
    <rPh sb="6" eb="8">
      <t>ホンブ</t>
    </rPh>
    <rPh sb="8" eb="11">
      <t>ジムチョウ</t>
    </rPh>
    <rPh sb="12" eb="15">
      <t>オオサカシ</t>
    </rPh>
    <rPh sb="15" eb="17">
      <t>ショクイン</t>
    </rPh>
    <phoneticPr fontId="3"/>
  </si>
  <si>
    <t>3705比例近畿維新03</t>
    <rPh sb="4" eb="6">
      <t>ヒレイ</t>
    </rPh>
    <rPh sb="6" eb="8">
      <t>キンキ</t>
    </rPh>
    <rPh sb="8" eb="10">
      <t>イシン</t>
    </rPh>
    <phoneticPr fontId="3"/>
  </si>
  <si>
    <t>3705比例近畿維新04</t>
    <rPh sb="4" eb="6">
      <t>ヒレイ</t>
    </rPh>
    <rPh sb="6" eb="8">
      <t>キンキ</t>
    </rPh>
    <rPh sb="8" eb="10">
      <t>イシン</t>
    </rPh>
    <phoneticPr fontId="3"/>
  </si>
  <si>
    <t>3705比例近畿維新05</t>
    <rPh sb="4" eb="6">
      <t>ヒレイ</t>
    </rPh>
    <rPh sb="6" eb="8">
      <t>キンキ</t>
    </rPh>
    <rPh sb="8" eb="10">
      <t>イシン</t>
    </rPh>
    <phoneticPr fontId="3"/>
  </si>
  <si>
    <t>3705比例近畿維新06</t>
    <rPh sb="4" eb="6">
      <t>ヒレイ</t>
    </rPh>
    <rPh sb="6" eb="8">
      <t>キンキ</t>
    </rPh>
    <rPh sb="8" eb="10">
      <t>イシン</t>
    </rPh>
    <phoneticPr fontId="3"/>
  </si>
  <si>
    <t>3705比例近畿維新07</t>
    <rPh sb="4" eb="6">
      <t>ヒレイ</t>
    </rPh>
    <rPh sb="6" eb="8">
      <t>キンキ</t>
    </rPh>
    <rPh sb="8" eb="10">
      <t>イシン</t>
    </rPh>
    <phoneticPr fontId="3"/>
  </si>
  <si>
    <t>3705比例近畿維新08</t>
    <rPh sb="4" eb="6">
      <t>ヒレイ</t>
    </rPh>
    <rPh sb="6" eb="8">
      <t>キンキ</t>
    </rPh>
    <rPh sb="8" eb="10">
      <t>イシン</t>
    </rPh>
    <phoneticPr fontId="3"/>
  </si>
  <si>
    <t>3705比例近畿維新09</t>
    <rPh sb="4" eb="6">
      <t>ヒレイ</t>
    </rPh>
    <rPh sb="6" eb="8">
      <t>キンキ</t>
    </rPh>
    <rPh sb="8" eb="10">
      <t>イシン</t>
    </rPh>
    <phoneticPr fontId="3"/>
  </si>
  <si>
    <t>3705比例近畿維新10</t>
    <rPh sb="4" eb="6">
      <t>ヒレイ</t>
    </rPh>
    <rPh sb="6" eb="8">
      <t>キンキ</t>
    </rPh>
    <rPh sb="8" eb="10">
      <t>イシン</t>
    </rPh>
    <phoneticPr fontId="3"/>
  </si>
  <si>
    <t>3705比例近畿維新12</t>
    <rPh sb="4" eb="6">
      <t>ヒレイ</t>
    </rPh>
    <rPh sb="6" eb="8">
      <t>キンキ</t>
    </rPh>
    <rPh sb="8" eb="10">
      <t>イシン</t>
    </rPh>
    <phoneticPr fontId="3"/>
  </si>
  <si>
    <t>3705比例近畿維新13</t>
    <rPh sb="4" eb="6">
      <t>ヒレイ</t>
    </rPh>
    <rPh sb="6" eb="8">
      <t>キンキ</t>
    </rPh>
    <rPh sb="8" eb="10">
      <t>イシン</t>
    </rPh>
    <phoneticPr fontId="3"/>
  </si>
  <si>
    <t>3705比例近畿維新14</t>
    <rPh sb="4" eb="6">
      <t>ヒレイ</t>
    </rPh>
    <rPh sb="6" eb="8">
      <t>キンキ</t>
    </rPh>
    <rPh sb="8" eb="10">
      <t>イシン</t>
    </rPh>
    <phoneticPr fontId="3"/>
  </si>
  <si>
    <t>3705比例近畿維新15</t>
    <rPh sb="4" eb="6">
      <t>ヒレイ</t>
    </rPh>
    <rPh sb="6" eb="8">
      <t>キンキ</t>
    </rPh>
    <rPh sb="8" eb="10">
      <t>イシン</t>
    </rPh>
    <phoneticPr fontId="3"/>
  </si>
  <si>
    <t>3705比例近畿維新16</t>
    <rPh sb="4" eb="6">
      <t>ヒレイ</t>
    </rPh>
    <rPh sb="6" eb="8">
      <t>キンキ</t>
    </rPh>
    <rPh sb="8" eb="10">
      <t>イシン</t>
    </rPh>
    <phoneticPr fontId="3"/>
  </si>
  <si>
    <t>3705比例近畿維新17</t>
    <rPh sb="4" eb="6">
      <t>ヒレイ</t>
    </rPh>
    <rPh sb="6" eb="8">
      <t>キンキ</t>
    </rPh>
    <rPh sb="8" eb="10">
      <t>イシン</t>
    </rPh>
    <phoneticPr fontId="3"/>
  </si>
  <si>
    <t>3705比例近畿維新18</t>
    <rPh sb="4" eb="6">
      <t>ヒレイ</t>
    </rPh>
    <rPh sb="6" eb="8">
      <t>キンキ</t>
    </rPh>
    <rPh sb="8" eb="10">
      <t>イシン</t>
    </rPh>
    <phoneticPr fontId="3"/>
  </si>
  <si>
    <t>3705比例近畿維新19</t>
    <rPh sb="4" eb="6">
      <t>ヒレイ</t>
    </rPh>
    <rPh sb="6" eb="8">
      <t>キンキ</t>
    </rPh>
    <rPh sb="8" eb="10">
      <t>イシン</t>
    </rPh>
    <phoneticPr fontId="3"/>
  </si>
  <si>
    <t>3705比例近畿維新20</t>
    <rPh sb="4" eb="6">
      <t>ヒレイ</t>
    </rPh>
    <rPh sb="6" eb="8">
      <t>キンキ</t>
    </rPh>
    <rPh sb="8" eb="10">
      <t>イシン</t>
    </rPh>
    <phoneticPr fontId="3"/>
  </si>
  <si>
    <t>3705比例近畿維新21</t>
    <rPh sb="4" eb="6">
      <t>ヒレイ</t>
    </rPh>
    <rPh sb="6" eb="8">
      <t>キンキ</t>
    </rPh>
    <rPh sb="8" eb="10">
      <t>イシン</t>
    </rPh>
    <phoneticPr fontId="3"/>
  </si>
  <si>
    <t>3705比例近畿維新22</t>
    <rPh sb="4" eb="6">
      <t>ヒレイ</t>
    </rPh>
    <rPh sb="6" eb="8">
      <t>キンキ</t>
    </rPh>
    <rPh sb="8" eb="10">
      <t>イシン</t>
    </rPh>
    <phoneticPr fontId="3"/>
  </si>
  <si>
    <t>3705比例近畿維新23</t>
    <rPh sb="4" eb="6">
      <t>ヒレイ</t>
    </rPh>
    <rPh sb="6" eb="8">
      <t>キンキ</t>
    </rPh>
    <rPh sb="8" eb="10">
      <t>イシン</t>
    </rPh>
    <phoneticPr fontId="3"/>
  </si>
  <si>
    <t>3705比例近畿維新24</t>
    <rPh sb="4" eb="6">
      <t>ヒレイ</t>
    </rPh>
    <rPh sb="6" eb="8">
      <t>キンキ</t>
    </rPh>
    <rPh sb="8" eb="10">
      <t>イシン</t>
    </rPh>
    <phoneticPr fontId="3"/>
  </si>
  <si>
    <t>3705比例近畿維新25</t>
    <rPh sb="4" eb="6">
      <t>ヒレイ</t>
    </rPh>
    <rPh sb="6" eb="8">
      <t>キンキ</t>
    </rPh>
    <rPh sb="8" eb="10">
      <t>イシン</t>
    </rPh>
    <phoneticPr fontId="3"/>
  </si>
  <si>
    <t>3705比例近畿維新26</t>
    <rPh sb="4" eb="6">
      <t>ヒレイ</t>
    </rPh>
    <rPh sb="6" eb="8">
      <t>キンキ</t>
    </rPh>
    <rPh sb="8" eb="10">
      <t>イシン</t>
    </rPh>
    <phoneticPr fontId="3"/>
  </si>
  <si>
    <t>3705比例近畿維新27</t>
    <rPh sb="4" eb="6">
      <t>ヒレイ</t>
    </rPh>
    <rPh sb="6" eb="8">
      <t>キンキ</t>
    </rPh>
    <rPh sb="8" eb="10">
      <t>イシン</t>
    </rPh>
    <phoneticPr fontId="3"/>
  </si>
  <si>
    <t>3705比例近畿維新28</t>
    <rPh sb="4" eb="6">
      <t>ヒレイ</t>
    </rPh>
    <rPh sb="6" eb="8">
      <t>キンキ</t>
    </rPh>
    <rPh sb="8" eb="10">
      <t>イシン</t>
    </rPh>
    <phoneticPr fontId="3"/>
  </si>
  <si>
    <t>3705比例近畿維新29</t>
    <rPh sb="4" eb="6">
      <t>ヒレイ</t>
    </rPh>
    <rPh sb="6" eb="8">
      <t>キンキ</t>
    </rPh>
    <rPh sb="8" eb="10">
      <t>イシン</t>
    </rPh>
    <phoneticPr fontId="3"/>
  </si>
  <si>
    <t>3705比例近畿維新30</t>
    <rPh sb="4" eb="6">
      <t>ヒレイ</t>
    </rPh>
    <rPh sb="6" eb="8">
      <t>キンキ</t>
    </rPh>
    <rPh sb="8" eb="10">
      <t>イシン</t>
    </rPh>
    <phoneticPr fontId="3"/>
  </si>
  <si>
    <t>3705比例近畿維新31</t>
    <rPh sb="4" eb="6">
      <t>ヒレイ</t>
    </rPh>
    <rPh sb="6" eb="8">
      <t>キンキ</t>
    </rPh>
    <rPh sb="8" eb="10">
      <t>イシン</t>
    </rPh>
    <phoneticPr fontId="3"/>
  </si>
  <si>
    <t>3705比例近畿維新32</t>
    <rPh sb="4" eb="6">
      <t>ヒレイ</t>
    </rPh>
    <rPh sb="6" eb="8">
      <t>キンキ</t>
    </rPh>
    <rPh sb="8" eb="10">
      <t>イシン</t>
    </rPh>
    <phoneticPr fontId="3"/>
  </si>
  <si>
    <t>3705比例近畿維新33</t>
    <rPh sb="4" eb="6">
      <t>ヒレイ</t>
    </rPh>
    <rPh sb="6" eb="8">
      <t>キンキ</t>
    </rPh>
    <rPh sb="8" eb="10">
      <t>イシン</t>
    </rPh>
    <phoneticPr fontId="3"/>
  </si>
  <si>
    <t>3705比例近畿維新34</t>
    <rPh sb="4" eb="6">
      <t>ヒレイ</t>
    </rPh>
    <rPh sb="6" eb="8">
      <t>キンキ</t>
    </rPh>
    <rPh sb="8" eb="10">
      <t>イシン</t>
    </rPh>
    <phoneticPr fontId="3"/>
  </si>
  <si>
    <t>3705比例近畿維新35</t>
    <rPh sb="4" eb="6">
      <t>ヒレイ</t>
    </rPh>
    <rPh sb="6" eb="8">
      <t>キンキ</t>
    </rPh>
    <rPh sb="8" eb="10">
      <t>イシン</t>
    </rPh>
    <phoneticPr fontId="3"/>
  </si>
  <si>
    <t>3705比例近畿維新36</t>
    <rPh sb="4" eb="6">
      <t>ヒレイ</t>
    </rPh>
    <rPh sb="6" eb="8">
      <t>キンキ</t>
    </rPh>
    <rPh sb="8" eb="10">
      <t>イシン</t>
    </rPh>
    <phoneticPr fontId="3"/>
  </si>
  <si>
    <t>3705比例近畿維新37</t>
    <rPh sb="4" eb="6">
      <t>ヒレイ</t>
    </rPh>
    <rPh sb="6" eb="8">
      <t>キンキ</t>
    </rPh>
    <rPh sb="8" eb="10">
      <t>イシン</t>
    </rPh>
    <phoneticPr fontId="3"/>
  </si>
  <si>
    <t>3705比例近畿維新38</t>
    <rPh sb="4" eb="6">
      <t>ヒレイ</t>
    </rPh>
    <rPh sb="6" eb="8">
      <t>キンキ</t>
    </rPh>
    <rPh sb="8" eb="10">
      <t>イシン</t>
    </rPh>
    <phoneticPr fontId="3"/>
  </si>
  <si>
    <t>3705比例近畿維新39</t>
    <rPh sb="4" eb="6">
      <t>ヒレイ</t>
    </rPh>
    <rPh sb="6" eb="8">
      <t>キンキ</t>
    </rPh>
    <rPh sb="8" eb="10">
      <t>イシン</t>
    </rPh>
    <phoneticPr fontId="3"/>
  </si>
  <si>
    <t>会社員(P&amp;G)</t>
    <rPh sb="0" eb="3">
      <t>カイシャイン</t>
    </rPh>
    <phoneticPr fontId="3"/>
  </si>
  <si>
    <t>日本維新の会事務局長,議員秘書</t>
    <rPh sb="0" eb="2">
      <t>ニホン</t>
    </rPh>
    <rPh sb="2" eb="4">
      <t>イシン</t>
    </rPh>
    <rPh sb="5" eb="6">
      <t>カイ</t>
    </rPh>
    <rPh sb="6" eb="8">
      <t>ジム</t>
    </rPh>
    <rPh sb="8" eb="10">
      <t>キョクチョウ</t>
    </rPh>
    <rPh sb="11" eb="13">
      <t>ギイン</t>
    </rPh>
    <rPh sb="13" eb="15">
      <t>ヒショ</t>
    </rPh>
    <phoneticPr fontId="3"/>
  </si>
  <si>
    <t>3706比例近畿みんな01</t>
    <rPh sb="4" eb="6">
      <t>ヒレイ</t>
    </rPh>
    <rPh sb="6" eb="8">
      <t>キンキ</t>
    </rPh>
    <phoneticPr fontId="3"/>
  </si>
  <si>
    <t>3706比例近畿みんな02</t>
    <rPh sb="4" eb="6">
      <t>ヒレイ</t>
    </rPh>
    <rPh sb="6" eb="8">
      <t>キンキ</t>
    </rPh>
    <phoneticPr fontId="3"/>
  </si>
  <si>
    <t>3706比例近畿みんな03</t>
    <rPh sb="4" eb="6">
      <t>ヒレイ</t>
    </rPh>
    <rPh sb="6" eb="8">
      <t>キンキ</t>
    </rPh>
    <phoneticPr fontId="3"/>
  </si>
  <si>
    <t>3706比例近畿みんな04</t>
    <rPh sb="4" eb="6">
      <t>ヒレイ</t>
    </rPh>
    <rPh sb="6" eb="8">
      <t>キンキ</t>
    </rPh>
    <phoneticPr fontId="3"/>
  </si>
  <si>
    <t>3706比例近畿みんな05</t>
    <rPh sb="4" eb="6">
      <t>ヒレイ</t>
    </rPh>
    <rPh sb="6" eb="8">
      <t>キンキ</t>
    </rPh>
    <phoneticPr fontId="3"/>
  </si>
  <si>
    <t>3706比例近畿みんな06</t>
    <rPh sb="4" eb="6">
      <t>ヒレイ</t>
    </rPh>
    <rPh sb="6" eb="8">
      <t>キンキ</t>
    </rPh>
    <phoneticPr fontId="3"/>
  </si>
  <si>
    <t>3707比例近畿共産03</t>
    <rPh sb="4" eb="6">
      <t>ヒレイ</t>
    </rPh>
    <rPh sb="6" eb="8">
      <t>キンキ</t>
    </rPh>
    <rPh sb="8" eb="10">
      <t>キョウサン</t>
    </rPh>
    <phoneticPr fontId="3"/>
  </si>
  <si>
    <t>3707比例近畿共産04</t>
    <rPh sb="4" eb="6">
      <t>ヒレイ</t>
    </rPh>
    <rPh sb="6" eb="8">
      <t>キンキ</t>
    </rPh>
    <rPh sb="8" eb="10">
      <t>キョウサン</t>
    </rPh>
    <phoneticPr fontId="3"/>
  </si>
  <si>
    <t>3707比例近畿共産05</t>
    <rPh sb="4" eb="6">
      <t>ヒレイ</t>
    </rPh>
    <rPh sb="6" eb="8">
      <t>キンキ</t>
    </rPh>
    <rPh sb="8" eb="10">
      <t>キョウサン</t>
    </rPh>
    <phoneticPr fontId="3"/>
  </si>
  <si>
    <t>3707比例近畿共産06</t>
    <rPh sb="4" eb="6">
      <t>ヒレイ</t>
    </rPh>
    <rPh sb="6" eb="8">
      <t>キンキ</t>
    </rPh>
    <rPh sb="8" eb="10">
      <t>キョウサン</t>
    </rPh>
    <phoneticPr fontId="3"/>
  </si>
  <si>
    <t>3707比例近畿共産07</t>
    <rPh sb="4" eb="6">
      <t>ヒレイ</t>
    </rPh>
    <rPh sb="6" eb="8">
      <t>キンキ</t>
    </rPh>
    <rPh sb="8" eb="10">
      <t>キョウサン</t>
    </rPh>
    <phoneticPr fontId="3"/>
  </si>
  <si>
    <t>3708比例近畿社民03</t>
    <rPh sb="4" eb="6">
      <t>ヒレイ</t>
    </rPh>
    <rPh sb="6" eb="8">
      <t>キンキ</t>
    </rPh>
    <rPh sb="8" eb="10">
      <t>シャミン</t>
    </rPh>
    <phoneticPr fontId="3"/>
  </si>
  <si>
    <t>3708比例近畿社民02</t>
    <rPh sb="4" eb="6">
      <t>ヒレイ</t>
    </rPh>
    <rPh sb="6" eb="8">
      <t>キンキ</t>
    </rPh>
    <rPh sb="8" eb="10">
      <t>シャミン</t>
    </rPh>
    <phoneticPr fontId="3"/>
  </si>
  <si>
    <t>岡山県議(井原市・小田郡),倉敷市職員</t>
    <rPh sb="0" eb="2">
      <t>オカヤマ</t>
    </rPh>
    <rPh sb="2" eb="4">
      <t>ケンギ</t>
    </rPh>
    <rPh sb="5" eb="8">
      <t>イバラシ</t>
    </rPh>
    <rPh sb="9" eb="12">
      <t>オダグン</t>
    </rPh>
    <rPh sb="14" eb="16">
      <t>クラシキ</t>
    </rPh>
    <rPh sb="16" eb="19">
      <t>シショクイン</t>
    </rPh>
    <phoneticPr fontId="3"/>
  </si>
  <si>
    <t>大(下関市立)</t>
    <rPh sb="0" eb="1">
      <t>ダイ</t>
    </rPh>
    <rPh sb="2" eb="4">
      <t>シモノセキ</t>
    </rPh>
    <rPh sb="4" eb="6">
      <t>シリツ</t>
    </rPh>
    <phoneticPr fontId="3"/>
  </si>
  <si>
    <t>他(広島ビジネス専門学校)</t>
    <rPh sb="0" eb="1">
      <t>ホカ</t>
    </rPh>
    <rPh sb="2" eb="4">
      <t>ヒロシマ</t>
    </rPh>
    <rPh sb="8" eb="10">
      <t>センモン</t>
    </rPh>
    <rPh sb="10" eb="12">
      <t>ガッコウ</t>
    </rPh>
    <phoneticPr fontId="3"/>
  </si>
  <si>
    <t>自民党広島県連青年局員,会社社長(プラザ広島)</t>
    <rPh sb="0" eb="3">
      <t>ジミントウ</t>
    </rPh>
    <rPh sb="3" eb="5">
      <t>ヒロシマ</t>
    </rPh>
    <rPh sb="5" eb="7">
      <t>ケンレン</t>
    </rPh>
    <rPh sb="7" eb="9">
      <t>セイネン</t>
    </rPh>
    <rPh sb="9" eb="11">
      <t>キョクイン</t>
    </rPh>
    <rPh sb="12" eb="14">
      <t>カイシャ</t>
    </rPh>
    <rPh sb="14" eb="16">
      <t>シャチョウ</t>
    </rPh>
    <rPh sb="20" eb="22">
      <t>ヒロシマ</t>
    </rPh>
    <phoneticPr fontId="3"/>
  </si>
  <si>
    <t>自民党鳥取県連青年局幹事長,会社社長(井木組)</t>
    <rPh sb="0" eb="3">
      <t>ジミントウ</t>
    </rPh>
    <rPh sb="3" eb="5">
      <t>トットリ</t>
    </rPh>
    <rPh sb="5" eb="7">
      <t>ケンレン</t>
    </rPh>
    <rPh sb="7" eb="9">
      <t>セイネン</t>
    </rPh>
    <rPh sb="9" eb="10">
      <t>キョク</t>
    </rPh>
    <rPh sb="10" eb="13">
      <t>カンジチョウ</t>
    </rPh>
    <rPh sb="14" eb="16">
      <t>カイシャ</t>
    </rPh>
    <rPh sb="16" eb="18">
      <t>シャチョウ</t>
    </rPh>
    <rPh sb="19" eb="21">
      <t>イギ</t>
    </rPh>
    <rPh sb="21" eb="22">
      <t>グミ</t>
    </rPh>
    <phoneticPr fontId="3"/>
  </si>
  <si>
    <t>他(広島会計学院)</t>
    <rPh sb="0" eb="1">
      <t>ホカ</t>
    </rPh>
    <rPh sb="2" eb="4">
      <t>ヒロシマ</t>
    </rPh>
    <rPh sb="4" eb="6">
      <t>カイケイ</t>
    </rPh>
    <rPh sb="6" eb="8">
      <t>ガクイン</t>
    </rPh>
    <phoneticPr fontId="3"/>
  </si>
  <si>
    <t>自民党島根県連事務局次長,新聞記者</t>
    <rPh sb="0" eb="3">
      <t>ジミントウ</t>
    </rPh>
    <rPh sb="3" eb="5">
      <t>シマネ</t>
    </rPh>
    <rPh sb="5" eb="7">
      <t>ケンレン</t>
    </rPh>
    <rPh sb="7" eb="10">
      <t>ジムキョク</t>
    </rPh>
    <rPh sb="10" eb="12">
      <t>ジチョウ</t>
    </rPh>
    <rPh sb="13" eb="15">
      <t>シンブン</t>
    </rPh>
    <rPh sb="15" eb="17">
      <t>キシャ</t>
    </rPh>
    <phoneticPr fontId="3"/>
  </si>
  <si>
    <t>ジ</t>
  </si>
  <si>
    <t>ジ</t>
    <phoneticPr fontId="3"/>
  </si>
  <si>
    <t>自民党山口県連職員,会社員</t>
    <rPh sb="0" eb="3">
      <t>ジミントウ</t>
    </rPh>
    <rPh sb="3" eb="5">
      <t>ヤマグチ</t>
    </rPh>
    <rPh sb="5" eb="7">
      <t>ケンレン</t>
    </rPh>
    <rPh sb="7" eb="9">
      <t>ショクイン</t>
    </rPh>
    <rPh sb="10" eb="13">
      <t>カイシャイン</t>
    </rPh>
    <phoneticPr fontId="3"/>
  </si>
  <si>
    <t>角屋　　忍</t>
    <rPh sb="0" eb="2">
      <t>スミヤ</t>
    </rPh>
    <rPh sb="4" eb="5">
      <t>シノブ</t>
    </rPh>
    <phoneticPr fontId="3"/>
  </si>
  <si>
    <t>公明党岡山県本部青年局次長,議員秘書(谷合正明)</t>
    <rPh sb="0" eb="3">
      <t>コウメイトウ</t>
    </rPh>
    <rPh sb="3" eb="6">
      <t>オカヤマケン</t>
    </rPh>
    <rPh sb="6" eb="8">
      <t>ホンブ</t>
    </rPh>
    <rPh sb="8" eb="10">
      <t>セイネン</t>
    </rPh>
    <rPh sb="10" eb="11">
      <t>キョク</t>
    </rPh>
    <rPh sb="11" eb="13">
      <t>ジチョウ</t>
    </rPh>
    <rPh sb="14" eb="16">
      <t>ギイン</t>
    </rPh>
    <rPh sb="16" eb="18">
      <t>ヒショ</t>
    </rPh>
    <rPh sb="19" eb="21">
      <t>タニアイ</t>
    </rPh>
    <rPh sb="21" eb="23">
      <t>マサアキ</t>
    </rPh>
    <phoneticPr fontId="3"/>
  </si>
  <si>
    <t>公明党島根県本部事務長,建設省中国地方建設局職員</t>
    <rPh sb="0" eb="2">
      <t>コウメイ</t>
    </rPh>
    <rPh sb="2" eb="3">
      <t>トウ</t>
    </rPh>
    <rPh sb="3" eb="6">
      <t>シマネケン</t>
    </rPh>
    <rPh sb="6" eb="8">
      <t>ホンブ</t>
    </rPh>
    <rPh sb="8" eb="11">
      <t>ジムチョウ</t>
    </rPh>
    <rPh sb="12" eb="15">
      <t>ケンセツショウ</t>
    </rPh>
    <rPh sb="15" eb="17">
      <t>チュウゴク</t>
    </rPh>
    <rPh sb="17" eb="19">
      <t>チホウ</t>
    </rPh>
    <rPh sb="19" eb="22">
      <t>ケンセツキョク</t>
    </rPh>
    <rPh sb="22" eb="24">
      <t>ショクイン</t>
    </rPh>
    <phoneticPr fontId="3"/>
  </si>
  <si>
    <t>官</t>
  </si>
  <si>
    <t>官</t>
    <rPh sb="0" eb="1">
      <t>カン</t>
    </rPh>
    <phoneticPr fontId="3"/>
  </si>
  <si>
    <t>3805比例中国維新01</t>
    <rPh sb="4" eb="6">
      <t>ヒレイ</t>
    </rPh>
    <rPh sb="6" eb="8">
      <t>チュウゴク</t>
    </rPh>
    <rPh sb="8" eb="10">
      <t>イシン</t>
    </rPh>
    <phoneticPr fontId="3"/>
  </si>
  <si>
    <t>3805比例中国維新02</t>
    <rPh sb="4" eb="6">
      <t>ヒレイ</t>
    </rPh>
    <rPh sb="6" eb="8">
      <t>チュウゴク</t>
    </rPh>
    <rPh sb="8" eb="10">
      <t>イシン</t>
    </rPh>
    <phoneticPr fontId="3"/>
  </si>
  <si>
    <t>3805比例中国維新03</t>
    <rPh sb="4" eb="6">
      <t>ヒレイ</t>
    </rPh>
    <rPh sb="6" eb="8">
      <t>チュウゴク</t>
    </rPh>
    <rPh sb="8" eb="10">
      <t>イシン</t>
    </rPh>
    <phoneticPr fontId="3"/>
  </si>
  <si>
    <t>3805比例中国維新04</t>
    <rPh sb="4" eb="6">
      <t>ヒレイ</t>
    </rPh>
    <rPh sb="6" eb="8">
      <t>チュウゴク</t>
    </rPh>
    <rPh sb="8" eb="10">
      <t>イシン</t>
    </rPh>
    <phoneticPr fontId="3"/>
  </si>
  <si>
    <t>3805比例中国維新05</t>
    <rPh sb="4" eb="6">
      <t>ヒレイ</t>
    </rPh>
    <rPh sb="6" eb="8">
      <t>チュウゴク</t>
    </rPh>
    <rPh sb="8" eb="10">
      <t>イシン</t>
    </rPh>
    <phoneticPr fontId="3"/>
  </si>
  <si>
    <t>3805比例中国維新06</t>
    <rPh sb="4" eb="6">
      <t>ヒレイ</t>
    </rPh>
    <rPh sb="6" eb="8">
      <t>チュウゴク</t>
    </rPh>
    <rPh sb="8" eb="10">
      <t>イシン</t>
    </rPh>
    <phoneticPr fontId="3"/>
  </si>
  <si>
    <t>大阪市議秘書</t>
    <rPh sb="0" eb="2">
      <t>オオサカ</t>
    </rPh>
    <rPh sb="2" eb="4">
      <t>シギ</t>
    </rPh>
    <rPh sb="4" eb="6">
      <t>ヒショ</t>
    </rPh>
    <phoneticPr fontId="3"/>
  </si>
  <si>
    <t>3806比例中国みんな02</t>
    <rPh sb="4" eb="6">
      <t>ヒレイ</t>
    </rPh>
    <rPh sb="6" eb="8">
      <t>チュウゴク</t>
    </rPh>
    <phoneticPr fontId="3"/>
  </si>
  <si>
    <t>3713比例近畿幸福01</t>
    <rPh sb="4" eb="6">
      <t>ヒレイ</t>
    </rPh>
    <rPh sb="6" eb="8">
      <t>キンキ</t>
    </rPh>
    <rPh sb="8" eb="10">
      <t>コウフク</t>
    </rPh>
    <phoneticPr fontId="3"/>
  </si>
  <si>
    <t>3713比例近畿幸福02</t>
    <rPh sb="4" eb="6">
      <t>ヒレイ</t>
    </rPh>
    <rPh sb="6" eb="8">
      <t>キンキ</t>
    </rPh>
    <rPh sb="8" eb="10">
      <t>コウフク</t>
    </rPh>
    <phoneticPr fontId="3"/>
  </si>
  <si>
    <t>3713比例近畿幸福03</t>
    <rPh sb="4" eb="6">
      <t>ヒレイ</t>
    </rPh>
    <rPh sb="6" eb="8">
      <t>キンキ</t>
    </rPh>
    <rPh sb="8" eb="10">
      <t>コウフク</t>
    </rPh>
    <phoneticPr fontId="3"/>
  </si>
  <si>
    <t>3713比例近畿幸福04</t>
    <rPh sb="4" eb="6">
      <t>ヒレイ</t>
    </rPh>
    <rPh sb="6" eb="8">
      <t>キンキ</t>
    </rPh>
    <rPh sb="8" eb="10">
      <t>コウフク</t>
    </rPh>
    <phoneticPr fontId="3"/>
  </si>
  <si>
    <t>3713比例近畿幸福05</t>
    <rPh sb="4" eb="6">
      <t>ヒレイ</t>
    </rPh>
    <rPh sb="6" eb="8">
      <t>キンキ</t>
    </rPh>
    <rPh sb="8" eb="10">
      <t>コウフク</t>
    </rPh>
    <phoneticPr fontId="3"/>
  </si>
  <si>
    <t>3713比例近畿幸福06</t>
    <rPh sb="4" eb="6">
      <t>ヒレイ</t>
    </rPh>
    <rPh sb="6" eb="8">
      <t>キンキ</t>
    </rPh>
    <rPh sb="8" eb="10">
      <t>コウフク</t>
    </rPh>
    <phoneticPr fontId="3"/>
  </si>
  <si>
    <t>3813比例中国幸福01</t>
    <rPh sb="4" eb="6">
      <t>ヒレイ</t>
    </rPh>
    <rPh sb="6" eb="8">
      <t>チュウゴク</t>
    </rPh>
    <rPh sb="8" eb="10">
      <t>コウフク</t>
    </rPh>
    <phoneticPr fontId="3"/>
  </si>
  <si>
    <t>3813比例中国幸福02</t>
    <rPh sb="4" eb="6">
      <t>ヒレイ</t>
    </rPh>
    <rPh sb="6" eb="8">
      <t>チュウゴク</t>
    </rPh>
    <rPh sb="8" eb="10">
      <t>コウフク</t>
    </rPh>
    <phoneticPr fontId="3"/>
  </si>
  <si>
    <t>3813比例中国幸福03</t>
    <rPh sb="4" eb="6">
      <t>ヒレイ</t>
    </rPh>
    <rPh sb="6" eb="8">
      <t>チュウゴク</t>
    </rPh>
    <rPh sb="8" eb="10">
      <t>コウフク</t>
    </rPh>
    <phoneticPr fontId="3"/>
  </si>
  <si>
    <t>大(山梨)</t>
    <rPh sb="0" eb="1">
      <t>ダイ</t>
    </rPh>
    <rPh sb="2" eb="4">
      <t>ヤマナシ</t>
    </rPh>
    <phoneticPr fontId="3"/>
  </si>
  <si>
    <t>自民党愛媛県連事務局次長,会社員</t>
    <rPh sb="0" eb="3">
      <t>ジミントウ</t>
    </rPh>
    <rPh sb="3" eb="5">
      <t>エヒメ</t>
    </rPh>
    <rPh sb="5" eb="7">
      <t>ケンレン</t>
    </rPh>
    <rPh sb="7" eb="10">
      <t>ジムキョク</t>
    </rPh>
    <rPh sb="10" eb="12">
      <t>ジチョウ</t>
    </rPh>
    <rPh sb="13" eb="16">
      <t>カイシャイン</t>
    </rPh>
    <phoneticPr fontId="3"/>
  </si>
  <si>
    <t>大(米/ケネソー)</t>
    <rPh sb="0" eb="1">
      <t>ダイ</t>
    </rPh>
    <rPh sb="2" eb="3">
      <t>ベイ</t>
    </rPh>
    <phoneticPr fontId="3"/>
  </si>
  <si>
    <t>自民党高知県連事務局長,会社員</t>
    <rPh sb="0" eb="3">
      <t>ジミントウ</t>
    </rPh>
    <rPh sb="3" eb="5">
      <t>コウチ</t>
    </rPh>
    <rPh sb="5" eb="7">
      <t>ケンレン</t>
    </rPh>
    <rPh sb="7" eb="9">
      <t>ジム</t>
    </rPh>
    <rPh sb="9" eb="11">
      <t>キョクチョウ</t>
    </rPh>
    <rPh sb="12" eb="15">
      <t>カイシャイン</t>
    </rPh>
    <phoneticPr fontId="3"/>
  </si>
  <si>
    <t>大中(徳島農業)</t>
    <rPh sb="0" eb="1">
      <t>ダイ</t>
    </rPh>
    <rPh sb="1" eb="2">
      <t>チュウ</t>
    </rPh>
    <rPh sb="3" eb="5">
      <t>トクシマ</t>
    </rPh>
    <rPh sb="5" eb="7">
      <t>ノウギョウ</t>
    </rPh>
    <phoneticPr fontId="3"/>
  </si>
  <si>
    <t>自民党徳島県連事務局長代行,徳島県職員</t>
    <rPh sb="0" eb="3">
      <t>ジミントウ</t>
    </rPh>
    <rPh sb="3" eb="5">
      <t>トクシマ</t>
    </rPh>
    <rPh sb="5" eb="7">
      <t>ケンレン</t>
    </rPh>
    <rPh sb="7" eb="9">
      <t>ジム</t>
    </rPh>
    <rPh sb="9" eb="11">
      <t>キョクチョウ</t>
    </rPh>
    <rPh sb="11" eb="13">
      <t>ダイコウ</t>
    </rPh>
    <rPh sb="14" eb="17">
      <t>トクシマケン</t>
    </rPh>
    <rPh sb="17" eb="19">
      <t>ショクイン</t>
    </rPh>
    <phoneticPr fontId="3"/>
  </si>
  <si>
    <t>3903比例四国未来02</t>
    <rPh sb="4" eb="6">
      <t>ヒレイ</t>
    </rPh>
    <rPh sb="6" eb="8">
      <t>シコク</t>
    </rPh>
    <rPh sb="8" eb="10">
      <t>ミライ</t>
    </rPh>
    <phoneticPr fontId="3"/>
  </si>
  <si>
    <t>大(豪/エディスコーワン)</t>
    <rPh sb="0" eb="1">
      <t>ダイ</t>
    </rPh>
    <rPh sb="2" eb="3">
      <t>ゴウ</t>
    </rPh>
    <phoneticPr fontId="3"/>
  </si>
  <si>
    <t>染色工房経営,看護師</t>
    <rPh sb="0" eb="2">
      <t>センショク</t>
    </rPh>
    <rPh sb="2" eb="4">
      <t>コウボウ</t>
    </rPh>
    <rPh sb="4" eb="6">
      <t>ケイエイ</t>
    </rPh>
    <rPh sb="7" eb="10">
      <t>カンゴシ</t>
    </rPh>
    <phoneticPr fontId="3"/>
  </si>
  <si>
    <t>公明党香川県本部幹事</t>
    <rPh sb="0" eb="3">
      <t>コウメイトウ</t>
    </rPh>
    <rPh sb="3" eb="6">
      <t>カガワケン</t>
    </rPh>
    <rPh sb="6" eb="8">
      <t>ホンブ</t>
    </rPh>
    <rPh sb="8" eb="10">
      <t>カンジ</t>
    </rPh>
    <phoneticPr fontId="3"/>
  </si>
  <si>
    <t>3905比例四国維新01</t>
    <rPh sb="4" eb="6">
      <t>ヒレイ</t>
    </rPh>
    <rPh sb="6" eb="8">
      <t>シコク</t>
    </rPh>
    <rPh sb="8" eb="10">
      <t>イシン</t>
    </rPh>
    <phoneticPr fontId="3"/>
  </si>
  <si>
    <t>3905比例四国維新02</t>
    <rPh sb="4" eb="6">
      <t>ヒレイ</t>
    </rPh>
    <rPh sb="6" eb="8">
      <t>シコク</t>
    </rPh>
    <rPh sb="8" eb="10">
      <t>イシン</t>
    </rPh>
    <phoneticPr fontId="3"/>
  </si>
  <si>
    <t>3905比例四国維新03</t>
    <rPh sb="4" eb="6">
      <t>ヒレイ</t>
    </rPh>
    <rPh sb="6" eb="8">
      <t>シコク</t>
    </rPh>
    <rPh sb="8" eb="10">
      <t>イシン</t>
    </rPh>
    <phoneticPr fontId="3"/>
  </si>
  <si>
    <t>3905比例四国維新04</t>
    <rPh sb="4" eb="6">
      <t>ヒレイ</t>
    </rPh>
    <rPh sb="6" eb="8">
      <t>シコク</t>
    </rPh>
    <rPh sb="8" eb="10">
      <t>イシン</t>
    </rPh>
    <phoneticPr fontId="3"/>
  </si>
  <si>
    <t>3905比例四国維新05</t>
    <rPh sb="4" eb="6">
      <t>ヒレイ</t>
    </rPh>
    <rPh sb="6" eb="8">
      <t>シコク</t>
    </rPh>
    <rPh sb="8" eb="10">
      <t>イシン</t>
    </rPh>
    <phoneticPr fontId="3"/>
  </si>
  <si>
    <t>3905比例四国維新06</t>
    <rPh sb="4" eb="6">
      <t>ヒレイ</t>
    </rPh>
    <rPh sb="6" eb="8">
      <t>シコク</t>
    </rPh>
    <rPh sb="8" eb="10">
      <t>イシン</t>
    </rPh>
    <phoneticPr fontId="3"/>
  </si>
  <si>
    <t>大(東亜)</t>
    <rPh sb="0" eb="1">
      <t>ダイ</t>
    </rPh>
    <rPh sb="2" eb="4">
      <t>トウア</t>
    </rPh>
    <phoneticPr fontId="3"/>
  </si>
  <si>
    <t>3907比例四国共産02</t>
    <rPh sb="4" eb="6">
      <t>ヒレイ</t>
    </rPh>
    <rPh sb="6" eb="8">
      <t>シコク</t>
    </rPh>
    <rPh sb="8" eb="10">
      <t>キョウサン</t>
    </rPh>
    <phoneticPr fontId="3"/>
  </si>
  <si>
    <t>3908比例四国社民01</t>
    <rPh sb="4" eb="6">
      <t>ヒレイ</t>
    </rPh>
    <rPh sb="6" eb="8">
      <t>シコク</t>
    </rPh>
    <rPh sb="8" eb="10">
      <t>シャミン</t>
    </rPh>
    <phoneticPr fontId="3"/>
  </si>
  <si>
    <t>3913比例四国幸福01</t>
    <rPh sb="4" eb="6">
      <t>ヒレイ</t>
    </rPh>
    <rPh sb="6" eb="8">
      <t>シコク</t>
    </rPh>
    <rPh sb="8" eb="10">
      <t>コウフク</t>
    </rPh>
    <phoneticPr fontId="3"/>
  </si>
  <si>
    <t>3913比例四国幸福02</t>
    <rPh sb="4" eb="6">
      <t>ヒレイ</t>
    </rPh>
    <rPh sb="6" eb="8">
      <t>シコク</t>
    </rPh>
    <rPh sb="8" eb="10">
      <t>コウフク</t>
    </rPh>
    <phoneticPr fontId="3"/>
  </si>
  <si>
    <t>大(慶應)</t>
  </si>
  <si>
    <t>自民党福岡県連職員,議員秘書</t>
    <rPh sb="0" eb="3">
      <t>ジミントウ</t>
    </rPh>
    <rPh sb="3" eb="5">
      <t>フクオカ</t>
    </rPh>
    <rPh sb="5" eb="7">
      <t>ケンレン</t>
    </rPh>
    <rPh sb="7" eb="9">
      <t>ショクイン</t>
    </rPh>
    <rPh sb="10" eb="12">
      <t>ギイン</t>
    </rPh>
    <rPh sb="12" eb="14">
      <t>ヒショ</t>
    </rPh>
    <phoneticPr fontId="3"/>
  </si>
  <si>
    <t>4003比例九州未来01</t>
    <rPh sb="4" eb="6">
      <t>ヒレイ</t>
    </rPh>
    <rPh sb="6" eb="8">
      <t>キュウシュウ</t>
    </rPh>
    <rPh sb="8" eb="10">
      <t>ミライ</t>
    </rPh>
    <phoneticPr fontId="3"/>
  </si>
  <si>
    <t>4003比例九州未来02</t>
    <rPh sb="4" eb="6">
      <t>ヒレイ</t>
    </rPh>
    <rPh sb="6" eb="8">
      <t>キュウシュウ</t>
    </rPh>
    <rPh sb="8" eb="10">
      <t>ミライ</t>
    </rPh>
    <phoneticPr fontId="3"/>
  </si>
  <si>
    <t>4003比例九州未来03</t>
    <rPh sb="4" eb="6">
      <t>ヒレイ</t>
    </rPh>
    <rPh sb="6" eb="8">
      <t>キュウシュウ</t>
    </rPh>
    <rPh sb="8" eb="10">
      <t>ミライ</t>
    </rPh>
    <phoneticPr fontId="3"/>
  </si>
  <si>
    <t>4003比例九州未来04</t>
    <rPh sb="4" eb="6">
      <t>ヒレイ</t>
    </rPh>
    <rPh sb="6" eb="8">
      <t>キュウシュウ</t>
    </rPh>
    <rPh sb="8" eb="10">
      <t>ミライ</t>
    </rPh>
    <phoneticPr fontId="3"/>
  </si>
  <si>
    <t>4003比例九州未来05</t>
    <rPh sb="4" eb="6">
      <t>ヒレイ</t>
    </rPh>
    <rPh sb="6" eb="8">
      <t>キュウシュウ</t>
    </rPh>
    <rPh sb="8" eb="10">
      <t>ミライ</t>
    </rPh>
    <phoneticPr fontId="3"/>
  </si>
  <si>
    <t>4003比例九州未来06</t>
    <rPh sb="4" eb="6">
      <t>ヒレイ</t>
    </rPh>
    <rPh sb="6" eb="8">
      <t>キュウシュウ</t>
    </rPh>
    <rPh sb="8" eb="10">
      <t>ミライ</t>
    </rPh>
    <phoneticPr fontId="3"/>
  </si>
  <si>
    <t>4003比例九州未来07</t>
    <rPh sb="4" eb="6">
      <t>ヒレイ</t>
    </rPh>
    <rPh sb="6" eb="8">
      <t>キュウシュウ</t>
    </rPh>
    <rPh sb="8" eb="10">
      <t>ミライ</t>
    </rPh>
    <phoneticPr fontId="3"/>
  </si>
  <si>
    <t>4003比例九州未来08</t>
    <rPh sb="4" eb="6">
      <t>ヒレイ</t>
    </rPh>
    <rPh sb="6" eb="8">
      <t>キュウシュウ</t>
    </rPh>
    <rPh sb="8" eb="10">
      <t>ミライ</t>
    </rPh>
    <phoneticPr fontId="3"/>
  </si>
  <si>
    <t>4003比例九州未来09</t>
    <rPh sb="4" eb="6">
      <t>ヒレイ</t>
    </rPh>
    <rPh sb="6" eb="8">
      <t>キュウシュウ</t>
    </rPh>
    <rPh sb="8" eb="10">
      <t>ミライ</t>
    </rPh>
    <phoneticPr fontId="3"/>
  </si>
  <si>
    <t>4003比例九州未来10</t>
    <rPh sb="4" eb="6">
      <t>ヒレイ</t>
    </rPh>
    <rPh sb="6" eb="8">
      <t>キュウシュウ</t>
    </rPh>
    <rPh sb="8" eb="10">
      <t>ミライ</t>
    </rPh>
    <phoneticPr fontId="3"/>
  </si>
  <si>
    <t>公明党佐賀県本部青年局次長,会社員</t>
    <rPh sb="0" eb="3">
      <t>コウメイトウ</t>
    </rPh>
    <rPh sb="3" eb="5">
      <t>サガ</t>
    </rPh>
    <rPh sb="5" eb="6">
      <t>ケン</t>
    </rPh>
    <rPh sb="6" eb="8">
      <t>ホンブ</t>
    </rPh>
    <rPh sb="8" eb="10">
      <t>セイネン</t>
    </rPh>
    <rPh sb="10" eb="11">
      <t>キョク</t>
    </rPh>
    <rPh sb="11" eb="13">
      <t>ジチョウ</t>
    </rPh>
    <rPh sb="14" eb="17">
      <t>カイシャイン</t>
    </rPh>
    <phoneticPr fontId="3"/>
  </si>
  <si>
    <t>公明党福岡県本部青年局次長,公明新聞記者</t>
    <rPh sb="0" eb="3">
      <t>コウメイトウ</t>
    </rPh>
    <rPh sb="3" eb="6">
      <t>フクオカケン</t>
    </rPh>
    <rPh sb="6" eb="8">
      <t>ホンブ</t>
    </rPh>
    <rPh sb="8" eb="10">
      <t>セイネン</t>
    </rPh>
    <rPh sb="10" eb="11">
      <t>キョク</t>
    </rPh>
    <rPh sb="11" eb="13">
      <t>ジチョウ</t>
    </rPh>
    <rPh sb="14" eb="16">
      <t>コウメイ</t>
    </rPh>
    <rPh sb="16" eb="18">
      <t>シンブン</t>
    </rPh>
    <rPh sb="18" eb="20">
      <t>キシャ</t>
    </rPh>
    <phoneticPr fontId="3"/>
  </si>
  <si>
    <t>4005比例九州維新10</t>
    <rPh sb="4" eb="6">
      <t>ヒレイ</t>
    </rPh>
    <rPh sb="6" eb="8">
      <t>キュウシュウ</t>
    </rPh>
    <rPh sb="8" eb="10">
      <t>イシン</t>
    </rPh>
    <phoneticPr fontId="3"/>
  </si>
  <si>
    <t>4005比例九州維新11</t>
    <rPh sb="4" eb="6">
      <t>ヒレイ</t>
    </rPh>
    <rPh sb="6" eb="8">
      <t>キュウシュウ</t>
    </rPh>
    <rPh sb="8" eb="10">
      <t>イシン</t>
    </rPh>
    <phoneticPr fontId="3"/>
  </si>
  <si>
    <t>4005比例九州維新12</t>
    <rPh sb="4" eb="6">
      <t>ヒレイ</t>
    </rPh>
    <rPh sb="6" eb="8">
      <t>キュウシュウ</t>
    </rPh>
    <rPh sb="8" eb="10">
      <t>イシン</t>
    </rPh>
    <phoneticPr fontId="3"/>
  </si>
  <si>
    <t>4005比例九州維新13</t>
    <rPh sb="4" eb="6">
      <t>ヒレイ</t>
    </rPh>
    <rPh sb="6" eb="8">
      <t>キュウシュウ</t>
    </rPh>
    <rPh sb="8" eb="10">
      <t>イシン</t>
    </rPh>
    <phoneticPr fontId="3"/>
  </si>
  <si>
    <t>4005比例九州維新14</t>
    <rPh sb="4" eb="6">
      <t>ヒレイ</t>
    </rPh>
    <rPh sb="6" eb="8">
      <t>キュウシュウ</t>
    </rPh>
    <rPh sb="8" eb="10">
      <t>イシン</t>
    </rPh>
    <phoneticPr fontId="3"/>
  </si>
  <si>
    <t>4005比例九州維新15</t>
    <rPh sb="4" eb="6">
      <t>ヒレイ</t>
    </rPh>
    <rPh sb="6" eb="8">
      <t>キュウシュウ</t>
    </rPh>
    <rPh sb="8" eb="10">
      <t>イシン</t>
    </rPh>
    <phoneticPr fontId="3"/>
  </si>
  <si>
    <t>4005比例九州維新16</t>
    <rPh sb="4" eb="6">
      <t>ヒレイ</t>
    </rPh>
    <rPh sb="6" eb="8">
      <t>キュウシュウ</t>
    </rPh>
    <rPh sb="8" eb="10">
      <t>イシン</t>
    </rPh>
    <phoneticPr fontId="3"/>
  </si>
  <si>
    <t>4005比例九州維新17</t>
    <rPh sb="4" eb="6">
      <t>ヒレイ</t>
    </rPh>
    <rPh sb="6" eb="8">
      <t>キュウシュウ</t>
    </rPh>
    <rPh sb="8" eb="10">
      <t>イシン</t>
    </rPh>
    <phoneticPr fontId="3"/>
  </si>
  <si>
    <t>4005比例九州維新18</t>
    <rPh sb="4" eb="6">
      <t>ヒレイ</t>
    </rPh>
    <rPh sb="6" eb="8">
      <t>キュウシュウ</t>
    </rPh>
    <rPh sb="8" eb="10">
      <t>イシン</t>
    </rPh>
    <phoneticPr fontId="3"/>
  </si>
  <si>
    <t>4005比例九州維新01</t>
    <rPh sb="4" eb="6">
      <t>ヒレイ</t>
    </rPh>
    <rPh sb="6" eb="8">
      <t>キュウシュウ</t>
    </rPh>
    <rPh sb="8" eb="10">
      <t>イシン</t>
    </rPh>
    <phoneticPr fontId="3"/>
  </si>
  <si>
    <t>4005比例九州維新02</t>
    <rPh sb="4" eb="6">
      <t>ヒレイ</t>
    </rPh>
    <rPh sb="6" eb="8">
      <t>キュウシュウ</t>
    </rPh>
    <rPh sb="8" eb="10">
      <t>イシン</t>
    </rPh>
    <phoneticPr fontId="3"/>
  </si>
  <si>
    <t>4005比例九州維新03</t>
    <rPh sb="4" eb="6">
      <t>ヒレイ</t>
    </rPh>
    <rPh sb="6" eb="8">
      <t>キュウシュウ</t>
    </rPh>
    <rPh sb="8" eb="10">
      <t>イシン</t>
    </rPh>
    <phoneticPr fontId="3"/>
  </si>
  <si>
    <t>4005比例九州維新04</t>
    <rPh sb="4" eb="6">
      <t>ヒレイ</t>
    </rPh>
    <rPh sb="6" eb="8">
      <t>キュウシュウ</t>
    </rPh>
    <rPh sb="8" eb="10">
      <t>イシン</t>
    </rPh>
    <phoneticPr fontId="3"/>
  </si>
  <si>
    <t>4005比例九州維新05</t>
    <rPh sb="4" eb="6">
      <t>ヒレイ</t>
    </rPh>
    <rPh sb="6" eb="8">
      <t>キュウシュウ</t>
    </rPh>
    <rPh sb="8" eb="10">
      <t>イシン</t>
    </rPh>
    <phoneticPr fontId="3"/>
  </si>
  <si>
    <t>4005比例九州維新06</t>
    <rPh sb="4" eb="6">
      <t>ヒレイ</t>
    </rPh>
    <rPh sb="6" eb="8">
      <t>キュウシュウ</t>
    </rPh>
    <rPh sb="8" eb="10">
      <t>イシン</t>
    </rPh>
    <phoneticPr fontId="3"/>
  </si>
  <si>
    <t>4005比例九州維新07</t>
    <rPh sb="4" eb="6">
      <t>ヒレイ</t>
    </rPh>
    <rPh sb="6" eb="8">
      <t>キュウシュウ</t>
    </rPh>
    <rPh sb="8" eb="10">
      <t>イシン</t>
    </rPh>
    <phoneticPr fontId="3"/>
  </si>
  <si>
    <t>4005比例九州維新08</t>
    <rPh sb="4" eb="6">
      <t>ヒレイ</t>
    </rPh>
    <rPh sb="6" eb="8">
      <t>キュウシュウ</t>
    </rPh>
    <rPh sb="8" eb="10">
      <t>イシン</t>
    </rPh>
    <phoneticPr fontId="3"/>
  </si>
  <si>
    <t>4005比例九州維新09</t>
    <rPh sb="4" eb="6">
      <t>ヒレイ</t>
    </rPh>
    <rPh sb="6" eb="8">
      <t>キュウシュウ</t>
    </rPh>
    <rPh sb="8" eb="10">
      <t>イシン</t>
    </rPh>
    <phoneticPr fontId="3"/>
  </si>
  <si>
    <t>会社役員,東京JC理事</t>
    <rPh sb="0" eb="2">
      <t>カイシャ</t>
    </rPh>
    <rPh sb="2" eb="4">
      <t>ヤクイン</t>
    </rPh>
    <rPh sb="5" eb="7">
      <t>トウキョウ</t>
    </rPh>
    <rPh sb="9" eb="11">
      <t>リジ</t>
    </rPh>
    <phoneticPr fontId="3"/>
  </si>
  <si>
    <t>会社社長,議員秘書(喜納昌吉)</t>
    <rPh sb="0" eb="2">
      <t>カイシャ</t>
    </rPh>
    <rPh sb="2" eb="4">
      <t>シャチョウ</t>
    </rPh>
    <rPh sb="5" eb="7">
      <t>ギイン</t>
    </rPh>
    <rPh sb="7" eb="9">
      <t>ヒショ</t>
    </rPh>
    <rPh sb="10" eb="12">
      <t>キナ</t>
    </rPh>
    <rPh sb="12" eb="14">
      <t>ショウキチ</t>
    </rPh>
    <phoneticPr fontId="3"/>
  </si>
  <si>
    <t>黒仁田　周昌</t>
    <rPh sb="0" eb="3">
      <t>クロニタ</t>
    </rPh>
    <rPh sb="4" eb="6">
      <t>ノリマサ</t>
    </rPh>
    <phoneticPr fontId="3"/>
  </si>
  <si>
    <t>医療法人理事長,歯科医師</t>
    <rPh sb="0" eb="2">
      <t>イリョウ</t>
    </rPh>
    <rPh sb="2" eb="4">
      <t>ホウジン</t>
    </rPh>
    <rPh sb="4" eb="7">
      <t>リジチョウ</t>
    </rPh>
    <rPh sb="8" eb="12">
      <t>シカイシ</t>
    </rPh>
    <phoneticPr fontId="3"/>
  </si>
  <si>
    <t>4006比例九州みんな01</t>
    <rPh sb="4" eb="6">
      <t>ヒレイ</t>
    </rPh>
    <rPh sb="6" eb="8">
      <t>キュウシュウ</t>
    </rPh>
    <phoneticPr fontId="3"/>
  </si>
  <si>
    <t>4006比例九州みんな02</t>
    <rPh sb="4" eb="6">
      <t>ヒレイ</t>
    </rPh>
    <rPh sb="6" eb="8">
      <t>キュウシュウ</t>
    </rPh>
    <phoneticPr fontId="3"/>
  </si>
  <si>
    <t>4006比例九州みんな03</t>
    <rPh sb="4" eb="6">
      <t>ヒレイ</t>
    </rPh>
    <rPh sb="6" eb="8">
      <t>キュウシュウ</t>
    </rPh>
    <phoneticPr fontId="3"/>
  </si>
  <si>
    <t>4006比例九州みんな04</t>
    <rPh sb="4" eb="6">
      <t>ヒレイ</t>
    </rPh>
    <rPh sb="6" eb="8">
      <t>キュウシュウ</t>
    </rPh>
    <phoneticPr fontId="3"/>
  </si>
  <si>
    <t>4006比例九州みんな05</t>
    <rPh sb="4" eb="6">
      <t>ヒレイ</t>
    </rPh>
    <rPh sb="6" eb="8">
      <t>キュウシュウ</t>
    </rPh>
    <phoneticPr fontId="3"/>
  </si>
  <si>
    <t>4006比例九州みんな06</t>
    <rPh sb="4" eb="6">
      <t>ヒレイ</t>
    </rPh>
    <rPh sb="6" eb="8">
      <t>キュウシュウ</t>
    </rPh>
    <phoneticPr fontId="3"/>
  </si>
  <si>
    <t>4007比例九州共産03</t>
    <rPh sb="4" eb="6">
      <t>ヒレイ</t>
    </rPh>
    <rPh sb="6" eb="8">
      <t>キュウシュウ</t>
    </rPh>
    <rPh sb="8" eb="10">
      <t>キョウサン</t>
    </rPh>
    <phoneticPr fontId="3"/>
  </si>
  <si>
    <t>4007比例九州共産04</t>
    <rPh sb="4" eb="6">
      <t>ヒレイ</t>
    </rPh>
    <rPh sb="6" eb="8">
      <t>キュウシュウ</t>
    </rPh>
    <rPh sb="8" eb="10">
      <t>キョウサン</t>
    </rPh>
    <phoneticPr fontId="3"/>
  </si>
  <si>
    <t>民</t>
    <rPh sb="0" eb="1">
      <t>ミン</t>
    </rPh>
    <phoneticPr fontId="3"/>
  </si>
  <si>
    <t>4008比例九州社民01</t>
    <rPh sb="4" eb="6">
      <t>ヒレイ</t>
    </rPh>
    <rPh sb="6" eb="8">
      <t>キュウシュウ</t>
    </rPh>
    <rPh sb="8" eb="10">
      <t>シャミン</t>
    </rPh>
    <phoneticPr fontId="3"/>
  </si>
  <si>
    <t>4008比例九州社民02</t>
    <rPh sb="4" eb="6">
      <t>ヒレイ</t>
    </rPh>
    <rPh sb="6" eb="8">
      <t>キュウシュウ</t>
    </rPh>
    <rPh sb="8" eb="10">
      <t>シャミン</t>
    </rPh>
    <phoneticPr fontId="3"/>
  </si>
  <si>
    <t>4008比例九州社民03</t>
    <rPh sb="4" eb="6">
      <t>ヒレイ</t>
    </rPh>
    <rPh sb="6" eb="8">
      <t>キュウシュウ</t>
    </rPh>
    <rPh sb="8" eb="10">
      <t>シャミン</t>
    </rPh>
    <phoneticPr fontId="3"/>
  </si>
  <si>
    <t>4008比例九州社民04</t>
    <rPh sb="4" eb="6">
      <t>ヒレイ</t>
    </rPh>
    <rPh sb="6" eb="8">
      <t>キュウシュウ</t>
    </rPh>
    <rPh sb="8" eb="10">
      <t>シャミン</t>
    </rPh>
    <phoneticPr fontId="3"/>
  </si>
  <si>
    <t>4008比例九州社民05</t>
    <rPh sb="4" eb="6">
      <t>ヒレイ</t>
    </rPh>
    <rPh sb="6" eb="8">
      <t>キュウシュウ</t>
    </rPh>
    <rPh sb="8" eb="10">
      <t>シャミン</t>
    </rPh>
    <phoneticPr fontId="3"/>
  </si>
  <si>
    <t>板花　孝子</t>
    <rPh sb="0" eb="2">
      <t>イタハナ</t>
    </rPh>
    <rPh sb="3" eb="5">
      <t>タカコ</t>
    </rPh>
    <phoneticPr fontId="3"/>
  </si>
  <si>
    <t>4013比例九州幸福01</t>
    <rPh sb="4" eb="6">
      <t>ヒレイ</t>
    </rPh>
    <rPh sb="6" eb="8">
      <t>キュウシュウ</t>
    </rPh>
    <rPh sb="8" eb="10">
      <t>コウフク</t>
    </rPh>
    <phoneticPr fontId="3"/>
  </si>
  <si>
    <t>4013比例九州幸福02</t>
    <rPh sb="4" eb="6">
      <t>ヒレイ</t>
    </rPh>
    <rPh sb="6" eb="8">
      <t>キュウシュウ</t>
    </rPh>
    <rPh sb="8" eb="10">
      <t>コウフク</t>
    </rPh>
    <phoneticPr fontId="3"/>
  </si>
  <si>
    <t>4013比例九州幸福03</t>
    <rPh sb="4" eb="6">
      <t>ヒレイ</t>
    </rPh>
    <rPh sb="6" eb="8">
      <t>キュウシュウ</t>
    </rPh>
    <rPh sb="8" eb="10">
      <t>コウフク</t>
    </rPh>
    <phoneticPr fontId="3"/>
  </si>
  <si>
    <t>4013比例九州幸福04</t>
    <rPh sb="4" eb="6">
      <t>ヒレイ</t>
    </rPh>
    <rPh sb="6" eb="8">
      <t>キュウシュウ</t>
    </rPh>
    <rPh sb="8" eb="10">
      <t>コウフク</t>
    </rPh>
    <phoneticPr fontId="3"/>
  </si>
  <si>
    <t>4013比例九州幸福05</t>
    <rPh sb="4" eb="6">
      <t>ヒレイ</t>
    </rPh>
    <rPh sb="6" eb="8">
      <t>キュウシュウ</t>
    </rPh>
    <rPh sb="8" eb="10">
      <t>コウフク</t>
    </rPh>
    <phoneticPr fontId="3"/>
  </si>
  <si>
    <t>3803比例中国未来01</t>
    <rPh sb="4" eb="6">
      <t>ヒレイ</t>
    </rPh>
    <rPh sb="6" eb="8">
      <t>チュウゴク</t>
    </rPh>
    <rPh sb="8" eb="10">
      <t>ミライ</t>
    </rPh>
    <phoneticPr fontId="3"/>
  </si>
  <si>
    <t>3803比例中国未来02</t>
    <rPh sb="4" eb="6">
      <t>ヒレイ</t>
    </rPh>
    <rPh sb="6" eb="8">
      <t>チュウゴク</t>
    </rPh>
    <rPh sb="8" eb="10">
      <t>ミライ</t>
    </rPh>
    <phoneticPr fontId="3"/>
  </si>
  <si>
    <t>3803比例中国未来03</t>
    <rPh sb="4" eb="6">
      <t>ヒレイ</t>
    </rPh>
    <rPh sb="6" eb="8">
      <t>チュウゴク</t>
    </rPh>
    <rPh sb="8" eb="10">
      <t>ミライ</t>
    </rPh>
    <phoneticPr fontId="3"/>
  </si>
  <si>
    <t>会社員,陸上自衛隊員</t>
    <rPh sb="0" eb="3">
      <t>カイシャイン</t>
    </rPh>
    <rPh sb="4" eb="6">
      <t>リクジョウ</t>
    </rPh>
    <rPh sb="6" eb="8">
      <t>ジエイ</t>
    </rPh>
    <rPh sb="8" eb="10">
      <t>タイイン</t>
    </rPh>
    <phoneticPr fontId="3"/>
  </si>
  <si>
    <t>会社社長</t>
    <rPh sb="0" eb="2">
      <t>カイシャ</t>
    </rPh>
    <rPh sb="2" eb="4">
      <t>シャチョウ</t>
    </rPh>
    <phoneticPr fontId="3"/>
  </si>
  <si>
    <t>会社社長,中学教諭</t>
    <rPh sb="0" eb="2">
      <t>カイシャ</t>
    </rPh>
    <rPh sb="2" eb="4">
      <t>シャチョウ</t>
    </rPh>
    <rPh sb="5" eb="7">
      <t>チュウガク</t>
    </rPh>
    <rPh sb="7" eb="9">
      <t>キョウユ</t>
    </rPh>
    <phoneticPr fontId="3"/>
  </si>
  <si>
    <t>衆</t>
    <rPh sb="0" eb="1">
      <t>シュウ</t>
    </rPh>
    <phoneticPr fontId="3"/>
  </si>
  <si>
    <t>大衆</t>
    <rPh sb="0" eb="1">
      <t>ダイ</t>
    </rPh>
    <rPh sb="1" eb="2">
      <t>シュウ</t>
    </rPh>
    <phoneticPr fontId="3"/>
  </si>
  <si>
    <t>松下政経塾生,会社員(東和科学)</t>
    <rPh sb="0" eb="2">
      <t>マツシタ</t>
    </rPh>
    <rPh sb="2" eb="5">
      <t>セイケイジュク</t>
    </rPh>
    <rPh sb="5" eb="6">
      <t>セイ</t>
    </rPh>
    <rPh sb="7" eb="10">
      <t>カイシャイン</t>
    </rPh>
    <rPh sb="11" eb="13">
      <t>トウワ</t>
    </rPh>
    <rPh sb="13" eb="15">
      <t>カガク</t>
    </rPh>
    <phoneticPr fontId="3"/>
  </si>
  <si>
    <t>松下政経塾生,会社員(ライオン)</t>
    <rPh sb="0" eb="2">
      <t>マツシタ</t>
    </rPh>
    <rPh sb="2" eb="5">
      <t>セイケイジュク</t>
    </rPh>
    <rPh sb="5" eb="6">
      <t>セイ</t>
    </rPh>
    <rPh sb="7" eb="10">
      <t>カイシャイン</t>
    </rPh>
    <phoneticPr fontId="3"/>
  </si>
  <si>
    <t>千葉県議(船橋市),松下政経塾生</t>
    <rPh sb="0" eb="2">
      <t>チバ</t>
    </rPh>
    <rPh sb="2" eb="4">
      <t>ケンギ</t>
    </rPh>
    <rPh sb="5" eb="8">
      <t>フナバシシ</t>
    </rPh>
    <rPh sb="10" eb="12">
      <t>マツシタ</t>
    </rPh>
    <rPh sb="12" eb="15">
      <t>セイケイジュク</t>
    </rPh>
    <rPh sb="15" eb="16">
      <t>セイ</t>
    </rPh>
    <phoneticPr fontId="3"/>
  </si>
  <si>
    <t>松下政経塾生,会社員</t>
    <rPh sb="0" eb="2">
      <t>マツシタ</t>
    </rPh>
    <rPh sb="2" eb="5">
      <t>セイケイジュク</t>
    </rPh>
    <rPh sb="5" eb="6">
      <t>セイ</t>
    </rPh>
    <rPh sb="7" eb="10">
      <t>カイシャイン</t>
    </rPh>
    <phoneticPr fontId="3"/>
  </si>
  <si>
    <t>松下政経塾生</t>
    <rPh sb="0" eb="2">
      <t>マツシタ</t>
    </rPh>
    <rPh sb="2" eb="5">
      <t>セイケイジュク</t>
    </rPh>
    <rPh sb="5" eb="6">
      <t>セイ</t>
    </rPh>
    <phoneticPr fontId="3"/>
  </si>
  <si>
    <t>研究員(PHP総研),松下政経塾生</t>
    <rPh sb="0" eb="3">
      <t>ケンキュウイン</t>
    </rPh>
    <rPh sb="7" eb="9">
      <t>ソウケン</t>
    </rPh>
    <rPh sb="11" eb="13">
      <t>マツシタ</t>
    </rPh>
    <rPh sb="13" eb="16">
      <t>セイケイジュク</t>
    </rPh>
    <rPh sb="16" eb="17">
      <t>セイ</t>
    </rPh>
    <phoneticPr fontId="3"/>
  </si>
  <si>
    <t>松下政経塾生,高校教諭</t>
    <rPh sb="0" eb="2">
      <t>マツシタ</t>
    </rPh>
    <rPh sb="2" eb="5">
      <t>セイケイジュク</t>
    </rPh>
    <rPh sb="5" eb="6">
      <t>セイ</t>
    </rPh>
    <rPh sb="7" eb="9">
      <t>コウコウ</t>
    </rPh>
    <rPh sb="9" eb="11">
      <t>キョウユ</t>
    </rPh>
    <phoneticPr fontId="3"/>
  </si>
  <si>
    <t>東京都議(品川区),松下政経塾生</t>
    <rPh sb="0" eb="2">
      <t>トウキョウ</t>
    </rPh>
    <rPh sb="2" eb="4">
      <t>トギ</t>
    </rPh>
    <rPh sb="5" eb="8">
      <t>シナガワク</t>
    </rPh>
    <rPh sb="10" eb="12">
      <t>マツシタ</t>
    </rPh>
    <rPh sb="12" eb="15">
      <t>セイケイジュク</t>
    </rPh>
    <rPh sb="15" eb="16">
      <t>セイ</t>
    </rPh>
    <phoneticPr fontId="3"/>
  </si>
  <si>
    <t>東京都議(杉並区),松下政経塾生</t>
    <rPh sb="0" eb="2">
      <t>トウキョウ</t>
    </rPh>
    <rPh sb="2" eb="4">
      <t>トギ</t>
    </rPh>
    <rPh sb="5" eb="8">
      <t>スギナミク</t>
    </rPh>
    <rPh sb="10" eb="12">
      <t>マツシタ</t>
    </rPh>
    <rPh sb="12" eb="15">
      <t>セイケイジュク</t>
    </rPh>
    <rPh sb="15" eb="16">
      <t>セイ</t>
    </rPh>
    <phoneticPr fontId="3"/>
  </si>
  <si>
    <t>愛知県・瀬戸市議,松下政経塾生</t>
    <rPh sb="0" eb="3">
      <t>アイチケン</t>
    </rPh>
    <rPh sb="4" eb="6">
      <t>セト</t>
    </rPh>
    <rPh sb="6" eb="8">
      <t>シギ</t>
    </rPh>
    <rPh sb="9" eb="11">
      <t>マツシタ</t>
    </rPh>
    <rPh sb="11" eb="14">
      <t>セイケイジュク</t>
    </rPh>
    <rPh sb="14" eb="15">
      <t>セイ</t>
    </rPh>
    <phoneticPr fontId="3"/>
  </si>
  <si>
    <t>松下政経塾生,JR西日本労組役員</t>
    <rPh sb="0" eb="2">
      <t>マツシタ</t>
    </rPh>
    <rPh sb="2" eb="5">
      <t>セイケイジュク</t>
    </rPh>
    <rPh sb="5" eb="6">
      <t>セイ</t>
    </rPh>
    <rPh sb="9" eb="12">
      <t>ニシニホン</t>
    </rPh>
    <rPh sb="12" eb="14">
      <t>ロウソ</t>
    </rPh>
    <rPh sb="14" eb="16">
      <t>ヤクイン</t>
    </rPh>
    <phoneticPr fontId="3"/>
  </si>
  <si>
    <t>京都府議(京都市左京区),松下政経塾生</t>
    <rPh sb="0" eb="2">
      <t>キョウト</t>
    </rPh>
    <rPh sb="2" eb="4">
      <t>フギ</t>
    </rPh>
    <rPh sb="5" eb="8">
      <t>キョウトシ</t>
    </rPh>
    <rPh sb="8" eb="11">
      <t>サキョウク</t>
    </rPh>
    <rPh sb="13" eb="15">
      <t>マツシタ</t>
    </rPh>
    <rPh sb="15" eb="18">
      <t>セイケイジュク</t>
    </rPh>
    <rPh sb="18" eb="19">
      <t>セイ</t>
    </rPh>
    <phoneticPr fontId="3"/>
  </si>
  <si>
    <t>松下政経塾生,環境団体代表(コロコロクラブ),海上自衛官</t>
    <rPh sb="0" eb="2">
      <t>マツシタ</t>
    </rPh>
    <rPh sb="2" eb="5">
      <t>セイケイジュク</t>
    </rPh>
    <rPh sb="5" eb="6">
      <t>セイ</t>
    </rPh>
    <rPh sb="7" eb="9">
      <t>カンキョウ</t>
    </rPh>
    <rPh sb="9" eb="11">
      <t>ダンタイ</t>
    </rPh>
    <rPh sb="11" eb="13">
      <t>ダイヒョウ</t>
    </rPh>
    <rPh sb="23" eb="25">
      <t>カイジョウ</t>
    </rPh>
    <rPh sb="25" eb="28">
      <t>ジエイカン</t>
    </rPh>
    <phoneticPr fontId="3"/>
  </si>
  <si>
    <t>大学教員(奈良女子大学講師),松下政経塾生</t>
    <rPh sb="0" eb="2">
      <t>ダイガク</t>
    </rPh>
    <rPh sb="2" eb="4">
      <t>キョウイン</t>
    </rPh>
    <rPh sb="5" eb="7">
      <t>ナラ</t>
    </rPh>
    <rPh sb="7" eb="9">
      <t>ジョシ</t>
    </rPh>
    <rPh sb="9" eb="11">
      <t>ダイガク</t>
    </rPh>
    <rPh sb="11" eb="13">
      <t>コウシ</t>
    </rPh>
    <rPh sb="15" eb="17">
      <t>マツシタ</t>
    </rPh>
    <rPh sb="17" eb="20">
      <t>セイケイジュク</t>
    </rPh>
    <rPh sb="20" eb="21">
      <t>セイ</t>
    </rPh>
    <phoneticPr fontId="3"/>
  </si>
  <si>
    <t>松下政経塾生,シンガーソングライター</t>
    <rPh sb="0" eb="2">
      <t>マツシタ</t>
    </rPh>
    <rPh sb="2" eb="5">
      <t>セイケイジュク</t>
    </rPh>
    <rPh sb="5" eb="6">
      <t>セイ</t>
    </rPh>
    <phoneticPr fontId="3"/>
  </si>
  <si>
    <t>短大教員(大阪薫英女子短大教授),松下政経塾生</t>
    <rPh sb="0" eb="2">
      <t>タンダイ</t>
    </rPh>
    <rPh sb="2" eb="4">
      <t>キョウイン</t>
    </rPh>
    <rPh sb="5" eb="7">
      <t>オオサカ</t>
    </rPh>
    <rPh sb="7" eb="9">
      <t>クンエイ</t>
    </rPh>
    <rPh sb="9" eb="11">
      <t>ジョシ</t>
    </rPh>
    <rPh sb="11" eb="13">
      <t>タンダイ</t>
    </rPh>
    <rPh sb="13" eb="15">
      <t>キョウジュ</t>
    </rPh>
    <rPh sb="17" eb="19">
      <t>マツシタ</t>
    </rPh>
    <rPh sb="19" eb="22">
      <t>セイケイジュク</t>
    </rPh>
    <rPh sb="22" eb="23">
      <t>セイ</t>
    </rPh>
    <phoneticPr fontId="3"/>
  </si>
  <si>
    <t>松下政経塾生,議員秘書(衛藤征士郎)</t>
    <rPh sb="0" eb="2">
      <t>マツシタ</t>
    </rPh>
    <rPh sb="2" eb="5">
      <t>セイケイジュク</t>
    </rPh>
    <rPh sb="5" eb="6">
      <t>セイ</t>
    </rPh>
    <rPh sb="7" eb="9">
      <t>ギイン</t>
    </rPh>
    <rPh sb="9" eb="11">
      <t>ヒショ</t>
    </rPh>
    <rPh sb="12" eb="14">
      <t>エトウ</t>
    </rPh>
    <rPh sb="14" eb="15">
      <t>セイ</t>
    </rPh>
    <rPh sb="15" eb="17">
      <t>シロウ</t>
    </rPh>
    <phoneticPr fontId="3"/>
  </si>
  <si>
    <t>松下政経塾生,原子力安全保安院保安課企画法規係長(経済産業省)</t>
    <rPh sb="0" eb="2">
      <t>マツシタ</t>
    </rPh>
    <rPh sb="2" eb="5">
      <t>セイケイジュク</t>
    </rPh>
    <rPh sb="5" eb="6">
      <t>セイ</t>
    </rPh>
    <rPh sb="7" eb="10">
      <t>ゲンシリョク</t>
    </rPh>
    <rPh sb="10" eb="12">
      <t>アンゼン</t>
    </rPh>
    <rPh sb="12" eb="15">
      <t>ホアンイン</t>
    </rPh>
    <rPh sb="15" eb="18">
      <t>ホアンカ</t>
    </rPh>
    <rPh sb="18" eb="20">
      <t>キカク</t>
    </rPh>
    <rPh sb="20" eb="22">
      <t>ホウキ</t>
    </rPh>
    <rPh sb="22" eb="24">
      <t>カカリチョウ</t>
    </rPh>
    <rPh sb="25" eb="27">
      <t>ケイザイ</t>
    </rPh>
    <rPh sb="27" eb="30">
      <t>サンギョウショウ</t>
    </rPh>
    <phoneticPr fontId="3"/>
  </si>
  <si>
    <t>会社員(明治生命保険),松下政経塾生</t>
    <rPh sb="0" eb="3">
      <t>カイシャイン</t>
    </rPh>
    <rPh sb="4" eb="6">
      <t>メイジ</t>
    </rPh>
    <rPh sb="6" eb="8">
      <t>セイメイ</t>
    </rPh>
    <rPh sb="8" eb="10">
      <t>ホケン</t>
    </rPh>
    <rPh sb="12" eb="14">
      <t>マツシタ</t>
    </rPh>
    <rPh sb="14" eb="17">
      <t>セイケイジュク</t>
    </rPh>
    <rPh sb="17" eb="18">
      <t>セイ</t>
    </rPh>
    <phoneticPr fontId="3"/>
  </si>
  <si>
    <t>松下政経塾生,銀行員(東京三菱銀行)</t>
    <rPh sb="0" eb="2">
      <t>マツシタ</t>
    </rPh>
    <rPh sb="2" eb="5">
      <t>セイケイジュク</t>
    </rPh>
    <rPh sb="5" eb="6">
      <t>セイ</t>
    </rPh>
    <rPh sb="7" eb="10">
      <t>ギンコウイン</t>
    </rPh>
    <rPh sb="11" eb="13">
      <t>トウキョウ</t>
    </rPh>
    <rPh sb="13" eb="15">
      <t>ミツビシ</t>
    </rPh>
    <rPh sb="15" eb="17">
      <t>ギンコウ</t>
    </rPh>
    <phoneticPr fontId="3"/>
  </si>
  <si>
    <t>広島県議(広島市安佐南区),松下政経塾生</t>
    <rPh sb="0" eb="2">
      <t>ヒロシマ</t>
    </rPh>
    <rPh sb="2" eb="4">
      <t>ケンギ</t>
    </rPh>
    <rPh sb="5" eb="8">
      <t>ヒロシマシ</t>
    </rPh>
    <rPh sb="8" eb="12">
      <t>アサミナミク</t>
    </rPh>
    <rPh sb="14" eb="16">
      <t>マツシタ</t>
    </rPh>
    <rPh sb="16" eb="19">
      <t>セイケイジュク</t>
    </rPh>
    <rPh sb="19" eb="20">
      <t>セイ</t>
    </rPh>
    <phoneticPr fontId="3"/>
  </si>
  <si>
    <t>会社員(丸紅),松下政経塾生</t>
    <rPh sb="0" eb="3">
      <t>カイシャイン</t>
    </rPh>
    <rPh sb="4" eb="6">
      <t>マルベニ</t>
    </rPh>
    <rPh sb="8" eb="10">
      <t>マツシタ</t>
    </rPh>
    <rPh sb="10" eb="13">
      <t>セイケイジュク</t>
    </rPh>
    <rPh sb="13" eb="14">
      <t>セイ</t>
    </rPh>
    <phoneticPr fontId="3"/>
  </si>
  <si>
    <t>議員秘書(前原誠司),松下政経塾生</t>
    <rPh sb="0" eb="2">
      <t>ギイン</t>
    </rPh>
    <rPh sb="2" eb="4">
      <t>ヒショ</t>
    </rPh>
    <rPh sb="5" eb="7">
      <t>マエハラ</t>
    </rPh>
    <rPh sb="7" eb="9">
      <t>セイジ</t>
    </rPh>
    <rPh sb="11" eb="13">
      <t>マツシタ</t>
    </rPh>
    <rPh sb="13" eb="16">
      <t>セイケイジュク</t>
    </rPh>
    <rPh sb="16" eb="17">
      <t>セイ</t>
    </rPh>
    <phoneticPr fontId="3"/>
  </si>
  <si>
    <t>佐賀県議(佐賀市),松下政経塾生</t>
    <rPh sb="0" eb="2">
      <t>サガ</t>
    </rPh>
    <rPh sb="2" eb="4">
      <t>ケンギ</t>
    </rPh>
    <rPh sb="5" eb="8">
      <t>サガシ</t>
    </rPh>
    <rPh sb="10" eb="12">
      <t>マツシタ</t>
    </rPh>
    <rPh sb="12" eb="15">
      <t>セイケイジュク</t>
    </rPh>
    <rPh sb="15" eb="16">
      <t>セイ</t>
    </rPh>
    <phoneticPr fontId="3"/>
  </si>
  <si>
    <t>会社員(シティグループ),松下政経塾生</t>
    <rPh sb="0" eb="3">
      <t>カイシャイン</t>
    </rPh>
    <rPh sb="13" eb="15">
      <t>マツシタ</t>
    </rPh>
    <rPh sb="15" eb="18">
      <t>セイケイジュク</t>
    </rPh>
    <rPh sb="18" eb="19">
      <t>セイ</t>
    </rPh>
    <phoneticPr fontId="3"/>
  </si>
  <si>
    <t>鹿児島県議(指宿市・揖宿郡),松下政経塾生</t>
    <rPh sb="0" eb="3">
      <t>カゴシマ</t>
    </rPh>
    <rPh sb="3" eb="5">
      <t>ケンギ</t>
    </rPh>
    <rPh sb="6" eb="9">
      <t>イブスキシ</t>
    </rPh>
    <rPh sb="10" eb="13">
      <t>イブスキグン</t>
    </rPh>
    <rPh sb="15" eb="17">
      <t>マツシタ</t>
    </rPh>
    <rPh sb="17" eb="20">
      <t>セイケイジュク</t>
    </rPh>
    <rPh sb="20" eb="21">
      <t>セイ</t>
    </rPh>
    <phoneticPr fontId="3"/>
  </si>
  <si>
    <t>　元委長(安保,経産,石炭特),副大臣(内閣),政務次官(外務),旧国民の生活が第一幹事長</t>
    <rPh sb="1" eb="2">
      <t>モト</t>
    </rPh>
    <rPh sb="2" eb="4">
      <t>イチョウ</t>
    </rPh>
    <rPh sb="5" eb="7">
      <t>アンポ</t>
    </rPh>
    <rPh sb="8" eb="10">
      <t>ケイサン</t>
    </rPh>
    <rPh sb="11" eb="13">
      <t>セキタン</t>
    </rPh>
    <rPh sb="13" eb="14">
      <t>トク</t>
    </rPh>
    <rPh sb="16" eb="19">
      <t>フクダイジン</t>
    </rPh>
    <rPh sb="20" eb="22">
      <t>ナイカク</t>
    </rPh>
    <rPh sb="24" eb="26">
      <t>セイム</t>
    </rPh>
    <rPh sb="26" eb="28">
      <t>ジカン</t>
    </rPh>
    <rPh sb="29" eb="31">
      <t>ガイム</t>
    </rPh>
    <rPh sb="33" eb="36">
      <t>キュウコクミン</t>
    </rPh>
    <rPh sb="37" eb="39">
      <t>セイカツ</t>
    </rPh>
    <rPh sb="40" eb="42">
      <t>ダイイチ</t>
    </rPh>
    <rPh sb="42" eb="45">
      <t>カンジチョウ</t>
    </rPh>
    <phoneticPr fontId="3"/>
  </si>
  <si>
    <t>　元委長(厚労,環境),副大臣(厚労),旧国民の生活が第一幹事長代行</t>
    <rPh sb="1" eb="2">
      <t>モト</t>
    </rPh>
    <rPh sb="2" eb="4">
      <t>イチョウ</t>
    </rPh>
    <rPh sb="5" eb="7">
      <t>コウロウ</t>
    </rPh>
    <rPh sb="8" eb="10">
      <t>カンキョウ</t>
    </rPh>
    <rPh sb="12" eb="15">
      <t>フクダイジン</t>
    </rPh>
    <rPh sb="16" eb="18">
      <t>コウロウ</t>
    </rPh>
    <rPh sb="20" eb="23">
      <t>キュウコクミン</t>
    </rPh>
    <rPh sb="24" eb="26">
      <t>セイカツ</t>
    </rPh>
    <rPh sb="27" eb="29">
      <t>ダイイチ</t>
    </rPh>
    <rPh sb="29" eb="32">
      <t>カンジチョウ</t>
    </rPh>
    <rPh sb="32" eb="34">
      <t>ダイコウ</t>
    </rPh>
    <phoneticPr fontId="3"/>
  </si>
  <si>
    <t>　元政務官(環境),旧国民の生活が第一幹事長代理</t>
    <rPh sb="1" eb="2">
      <t>モト</t>
    </rPh>
    <rPh sb="2" eb="5">
      <t>セイムカン</t>
    </rPh>
    <rPh sb="6" eb="8">
      <t>カンキョウ</t>
    </rPh>
    <rPh sb="10" eb="13">
      <t>キュウコクミン</t>
    </rPh>
    <rPh sb="14" eb="16">
      <t>セイカツ</t>
    </rPh>
    <rPh sb="17" eb="19">
      <t>ダイイチ</t>
    </rPh>
    <rPh sb="19" eb="22">
      <t>カンジチョウ</t>
    </rPh>
    <rPh sb="22" eb="24">
      <t>ダイリ</t>
    </rPh>
    <phoneticPr fontId="3"/>
  </si>
  <si>
    <t>　元政務官(法務),旧国民の生活が第一参院政審会長,参1</t>
    <rPh sb="1" eb="2">
      <t>モト</t>
    </rPh>
    <rPh sb="2" eb="5">
      <t>セイムカン</t>
    </rPh>
    <rPh sb="6" eb="8">
      <t>ホウム</t>
    </rPh>
    <rPh sb="10" eb="13">
      <t>キュウコクミン</t>
    </rPh>
    <rPh sb="14" eb="16">
      <t>セイカツ</t>
    </rPh>
    <rPh sb="17" eb="19">
      <t>ダイイチ</t>
    </rPh>
    <rPh sb="19" eb="21">
      <t>サンイン</t>
    </rPh>
    <rPh sb="21" eb="23">
      <t>セイシン</t>
    </rPh>
    <rPh sb="23" eb="25">
      <t>カイチョウ</t>
    </rPh>
    <rPh sb="26" eb="27">
      <t>サン</t>
    </rPh>
    <phoneticPr fontId="3"/>
  </si>
  <si>
    <t>　元大臣(自治・公安),委長(議運),副大臣(官房),政務次官(科技),旧国民の生活が第一代表,民主党代表,代表代行,幹事長,旧自由党党首,新進党党首,自民党幹事長</t>
    <rPh sb="1" eb="4">
      <t>モトダイジン</t>
    </rPh>
    <rPh sb="5" eb="7">
      <t>ジチ</t>
    </rPh>
    <rPh sb="8" eb="10">
      <t>コウアン</t>
    </rPh>
    <rPh sb="12" eb="14">
      <t>イチョウ</t>
    </rPh>
    <rPh sb="15" eb="16">
      <t>ギ</t>
    </rPh>
    <rPh sb="16" eb="17">
      <t>ウン</t>
    </rPh>
    <rPh sb="19" eb="22">
      <t>フクダイジン</t>
    </rPh>
    <rPh sb="23" eb="25">
      <t>カンボウ</t>
    </rPh>
    <rPh sb="27" eb="29">
      <t>セイム</t>
    </rPh>
    <rPh sb="29" eb="31">
      <t>ジカン</t>
    </rPh>
    <rPh sb="32" eb="34">
      <t>カギ</t>
    </rPh>
    <rPh sb="36" eb="39">
      <t>キュウコクミン</t>
    </rPh>
    <rPh sb="40" eb="42">
      <t>セイカツ</t>
    </rPh>
    <rPh sb="43" eb="45">
      <t>ダイイチ</t>
    </rPh>
    <rPh sb="45" eb="47">
      <t>ダイヒョウ</t>
    </rPh>
    <rPh sb="48" eb="51">
      <t>ミンシュトウ</t>
    </rPh>
    <rPh sb="51" eb="53">
      <t>ダイヒョウ</t>
    </rPh>
    <rPh sb="54" eb="56">
      <t>ダイヒョウ</t>
    </rPh>
    <rPh sb="56" eb="58">
      <t>ダイコウ</t>
    </rPh>
    <rPh sb="59" eb="62">
      <t>カンジチョウ</t>
    </rPh>
    <rPh sb="63" eb="64">
      <t>キュウ</t>
    </rPh>
    <rPh sb="64" eb="67">
      <t>ジユウトウ</t>
    </rPh>
    <rPh sb="67" eb="69">
      <t>トウシュ</t>
    </rPh>
    <rPh sb="70" eb="73">
      <t>シンシントウ</t>
    </rPh>
    <rPh sb="73" eb="75">
      <t>トウシュ</t>
    </rPh>
    <rPh sb="76" eb="79">
      <t>ジミントウ</t>
    </rPh>
    <rPh sb="79" eb="82">
      <t>カンジチョウ</t>
    </rPh>
    <phoneticPr fontId="4"/>
  </si>
  <si>
    <t>　元大臣(公安・消費者),委長(農水),政務次官(大蔵,法務),旧国民の生活が第一代表代行,民主党副代表,国対委長,参2</t>
    <rPh sb="1" eb="4">
      <t>モトダイジン</t>
    </rPh>
    <rPh sb="5" eb="7">
      <t>コウアン</t>
    </rPh>
    <rPh sb="8" eb="11">
      <t>ショウヒシャ</t>
    </rPh>
    <rPh sb="13" eb="15">
      <t>イチョウ</t>
    </rPh>
    <rPh sb="16" eb="18">
      <t>ノウスイ</t>
    </rPh>
    <rPh sb="20" eb="22">
      <t>セイム</t>
    </rPh>
    <rPh sb="22" eb="24">
      <t>ジカン</t>
    </rPh>
    <rPh sb="25" eb="27">
      <t>オオクラ</t>
    </rPh>
    <rPh sb="28" eb="30">
      <t>ホウム</t>
    </rPh>
    <rPh sb="32" eb="35">
      <t>キュウコクミン</t>
    </rPh>
    <rPh sb="36" eb="38">
      <t>セイカツ</t>
    </rPh>
    <rPh sb="39" eb="41">
      <t>ダイイチ</t>
    </rPh>
    <rPh sb="41" eb="43">
      <t>ダイヒョウ</t>
    </rPh>
    <rPh sb="43" eb="45">
      <t>ダイコウ</t>
    </rPh>
    <rPh sb="46" eb="49">
      <t>ミンシュトウ</t>
    </rPh>
    <rPh sb="49" eb="52">
      <t>フクダイヒョウ</t>
    </rPh>
    <rPh sb="53" eb="57">
      <t>コクタイイチョウ</t>
    </rPh>
    <rPh sb="58" eb="59">
      <t>サン</t>
    </rPh>
    <phoneticPr fontId="4"/>
  </si>
  <si>
    <t>日本未来の党副代表，元大臣(農水),委長(倫選特,農水),副大臣(農水)</t>
    <rPh sb="0" eb="2">
      <t>ニホン</t>
    </rPh>
    <rPh sb="2" eb="4">
      <t>ミライ</t>
    </rPh>
    <rPh sb="5" eb="6">
      <t>トウ</t>
    </rPh>
    <rPh sb="6" eb="9">
      <t>フクダイヒョウ</t>
    </rPh>
    <rPh sb="10" eb="13">
      <t>モトダイジン</t>
    </rPh>
    <rPh sb="14" eb="16">
      <t>ノウスイ</t>
    </rPh>
    <rPh sb="18" eb="20">
      <t>イチョウ</t>
    </rPh>
    <rPh sb="21" eb="23">
      <t>リンセン</t>
    </rPh>
    <rPh sb="23" eb="24">
      <t>トク</t>
    </rPh>
    <rPh sb="25" eb="27">
      <t>ノウスイ</t>
    </rPh>
    <rPh sb="29" eb="32">
      <t>フクダイジン</t>
    </rPh>
    <rPh sb="33" eb="35">
      <t>ノウスイ</t>
    </rPh>
    <phoneticPr fontId="3"/>
  </si>
  <si>
    <t>日本未来の党副代表，元社民党政審会長</t>
    <rPh sb="0" eb="2">
      <t>ニホン</t>
    </rPh>
    <rPh sb="2" eb="4">
      <t>ミライ</t>
    </rPh>
    <rPh sb="5" eb="6">
      <t>トウ</t>
    </rPh>
    <rPh sb="6" eb="9">
      <t>フクダイヒョウ</t>
    </rPh>
    <rPh sb="10" eb="11">
      <t>モト</t>
    </rPh>
    <rPh sb="11" eb="14">
      <t>シャミントウ</t>
    </rPh>
    <rPh sb="14" eb="16">
      <t>セイシン</t>
    </rPh>
    <rPh sb="16" eb="18">
      <t>カイチョウ</t>
    </rPh>
    <phoneticPr fontId="3"/>
  </si>
  <si>
    <t>会社員,小学校教諭</t>
    <rPh sb="0" eb="3">
      <t>カイシャイン</t>
    </rPh>
    <rPh sb="4" eb="7">
      <t>ショウガッコウ</t>
    </rPh>
    <rPh sb="7" eb="9">
      <t>キョウユ</t>
    </rPh>
    <phoneticPr fontId="3"/>
  </si>
  <si>
    <t>日本未来の党副代表，元大臣(農水),委長(倫選特,農水),副大臣(農水)</t>
    <rPh sb="0" eb="2">
      <t>ニホン</t>
    </rPh>
    <rPh sb="2" eb="4">
      <t>ミライ</t>
    </rPh>
    <rPh sb="5" eb="6">
      <t>トウ</t>
    </rPh>
    <rPh sb="6" eb="7">
      <t>フク</t>
    </rPh>
    <rPh sb="7" eb="9">
      <t>ダイヒョウ</t>
    </rPh>
    <rPh sb="10" eb="13">
      <t>モトダイジン</t>
    </rPh>
    <rPh sb="14" eb="16">
      <t>ノウスイ</t>
    </rPh>
    <rPh sb="18" eb="20">
      <t>イチョウ</t>
    </rPh>
    <rPh sb="21" eb="23">
      <t>リンセン</t>
    </rPh>
    <rPh sb="23" eb="24">
      <t>トク</t>
    </rPh>
    <rPh sb="25" eb="27">
      <t>ノウスイ</t>
    </rPh>
    <rPh sb="29" eb="32">
      <t>フクダイジン</t>
    </rPh>
    <rPh sb="33" eb="35">
      <t>ノウスイ</t>
    </rPh>
    <phoneticPr fontId="3"/>
  </si>
  <si>
    <t>　元大臣(公安・消費者),委長(農水),政務次官(大蔵,法務),国民の生活が第一代表代行,民主党副代表,国対委長,参2</t>
    <rPh sb="1" eb="4">
      <t>モトダイジン</t>
    </rPh>
    <rPh sb="5" eb="7">
      <t>コウアン</t>
    </rPh>
    <rPh sb="8" eb="11">
      <t>ショウヒシャ</t>
    </rPh>
    <rPh sb="13" eb="15">
      <t>イチョウ</t>
    </rPh>
    <rPh sb="16" eb="18">
      <t>ノウスイ</t>
    </rPh>
    <rPh sb="20" eb="22">
      <t>セイム</t>
    </rPh>
    <rPh sb="22" eb="24">
      <t>ジカン</t>
    </rPh>
    <rPh sb="25" eb="27">
      <t>オオクラ</t>
    </rPh>
    <rPh sb="28" eb="30">
      <t>ホウム</t>
    </rPh>
    <rPh sb="32" eb="34">
      <t>コクミン</t>
    </rPh>
    <rPh sb="35" eb="37">
      <t>セイカツ</t>
    </rPh>
    <rPh sb="38" eb="40">
      <t>ダイイチ</t>
    </rPh>
    <rPh sb="40" eb="42">
      <t>ダイヒョウ</t>
    </rPh>
    <rPh sb="42" eb="44">
      <t>ダイコウ</t>
    </rPh>
    <rPh sb="45" eb="48">
      <t>ミンシュトウ</t>
    </rPh>
    <rPh sb="48" eb="51">
      <t>フクダイヒョウ</t>
    </rPh>
    <rPh sb="52" eb="56">
      <t>コクタイイチョウ</t>
    </rPh>
    <rPh sb="57" eb="58">
      <t>サン</t>
    </rPh>
    <phoneticPr fontId="4"/>
  </si>
  <si>
    <t>　元政務官(環境),旧国民の生活が第一幹事長代理</t>
    <rPh sb="1" eb="2">
      <t>モト</t>
    </rPh>
    <rPh sb="2" eb="5">
      <t>セイムカン</t>
    </rPh>
    <rPh sb="6" eb="8">
      <t>カンキョウ</t>
    </rPh>
    <rPh sb="10" eb="11">
      <t>キュウ</t>
    </rPh>
    <rPh sb="11" eb="13">
      <t>コクミン</t>
    </rPh>
    <rPh sb="14" eb="16">
      <t>セイカツ</t>
    </rPh>
    <rPh sb="17" eb="19">
      <t>ダイイチ</t>
    </rPh>
    <rPh sb="19" eb="22">
      <t>カンジチョウ</t>
    </rPh>
    <rPh sb="22" eb="24">
      <t>ダイリ</t>
    </rPh>
    <phoneticPr fontId="3"/>
  </si>
  <si>
    <t>　元副大臣(総務),旧国民の生活が第一国対委長,民主党幹事長代理</t>
    <rPh sb="1" eb="2">
      <t>モト</t>
    </rPh>
    <rPh sb="2" eb="5">
      <t>フクダイジン</t>
    </rPh>
    <rPh sb="6" eb="8">
      <t>ソウム</t>
    </rPh>
    <rPh sb="10" eb="13">
      <t>キュウコクミン</t>
    </rPh>
    <rPh sb="14" eb="16">
      <t>セイカツ</t>
    </rPh>
    <rPh sb="17" eb="19">
      <t>ダイイチ</t>
    </rPh>
    <rPh sb="19" eb="23">
      <t>コクタイイチョウ</t>
    </rPh>
    <rPh sb="24" eb="27">
      <t>ミンシュトウ</t>
    </rPh>
    <rPh sb="27" eb="30">
      <t>カンジチョウ</t>
    </rPh>
    <rPh sb="30" eb="32">
      <t>ダイリ</t>
    </rPh>
    <phoneticPr fontId="3"/>
  </si>
  <si>
    <t>　元副大臣(総務),旧国民の生活が第一国対委長,民主党幹事長代理</t>
    <rPh sb="1" eb="2">
      <t>モト</t>
    </rPh>
    <rPh sb="2" eb="5">
      <t>フクダイジン</t>
    </rPh>
    <rPh sb="6" eb="8">
      <t>ソウム</t>
    </rPh>
    <rPh sb="10" eb="11">
      <t>キュウ</t>
    </rPh>
    <rPh sb="11" eb="13">
      <t>コクミン</t>
    </rPh>
    <rPh sb="14" eb="16">
      <t>セイカツ</t>
    </rPh>
    <rPh sb="17" eb="19">
      <t>ダイイチ</t>
    </rPh>
    <rPh sb="19" eb="23">
      <t>コクタイイチョウ</t>
    </rPh>
    <rPh sb="24" eb="27">
      <t>ミンシュトウ</t>
    </rPh>
    <rPh sb="27" eb="30">
      <t>カンジチョウ</t>
    </rPh>
    <rPh sb="30" eb="32">
      <t>ダイリ</t>
    </rPh>
    <phoneticPr fontId="3"/>
  </si>
  <si>
    <t>日本未来の党幹事</t>
    <rPh sb="0" eb="2">
      <t>ニホン</t>
    </rPh>
    <rPh sb="2" eb="4">
      <t>ミライ</t>
    </rPh>
    <rPh sb="5" eb="6">
      <t>トウ</t>
    </rPh>
    <rPh sb="6" eb="8">
      <t>カンジ</t>
    </rPh>
    <phoneticPr fontId="3"/>
  </si>
  <si>
    <t>0001</t>
    <phoneticPr fontId="3"/>
  </si>
  <si>
    <t>0002</t>
  </si>
  <si>
    <t>0003</t>
  </si>
  <si>
    <t>0004</t>
  </si>
  <si>
    <t>0005</t>
  </si>
  <si>
    <t>0006</t>
  </si>
  <si>
    <t>0007</t>
  </si>
  <si>
    <t>0008</t>
  </si>
  <si>
    <t>0009</t>
  </si>
  <si>
    <t>0010</t>
  </si>
  <si>
    <t>0011</t>
  </si>
  <si>
    <t>0012</t>
  </si>
  <si>
    <t>0013</t>
  </si>
  <si>
    <t>0014</t>
  </si>
  <si>
    <t>0015</t>
  </si>
  <si>
    <t>0016</t>
  </si>
  <si>
    <t>0017</t>
  </si>
  <si>
    <t>0018</t>
  </si>
  <si>
    <t>0019</t>
  </si>
  <si>
    <t>0020</t>
  </si>
  <si>
    <t>0021</t>
  </si>
  <si>
    <t>0022</t>
  </si>
  <si>
    <t>0023</t>
  </si>
  <si>
    <t>0024</t>
  </si>
  <si>
    <t>0025</t>
  </si>
  <si>
    <t>0026</t>
  </si>
  <si>
    <t>0027</t>
  </si>
  <si>
    <t>0028</t>
  </si>
  <si>
    <t>0029</t>
  </si>
  <si>
    <t>0030</t>
  </si>
  <si>
    <t>0031</t>
  </si>
  <si>
    <t>0032</t>
  </si>
  <si>
    <t>0033</t>
  </si>
  <si>
    <t>0034</t>
  </si>
  <si>
    <t>0035</t>
  </si>
  <si>
    <t>0036</t>
  </si>
  <si>
    <t>0037</t>
  </si>
  <si>
    <t>0038</t>
  </si>
  <si>
    <t>0039</t>
  </si>
  <si>
    <t>0040</t>
  </si>
  <si>
    <t>0041</t>
  </si>
  <si>
    <t>0042</t>
  </si>
  <si>
    <t>0043</t>
  </si>
  <si>
    <t>0044</t>
  </si>
  <si>
    <t>0045</t>
  </si>
  <si>
    <t>0046</t>
  </si>
  <si>
    <t>0047</t>
  </si>
  <si>
    <t>0048</t>
  </si>
  <si>
    <t>0049</t>
  </si>
  <si>
    <t>0050</t>
  </si>
  <si>
    <t>0051</t>
  </si>
  <si>
    <t>0052</t>
  </si>
  <si>
    <t>0053</t>
  </si>
  <si>
    <t>0054</t>
  </si>
  <si>
    <t>0055</t>
  </si>
  <si>
    <t>0056</t>
  </si>
  <si>
    <t>0057</t>
  </si>
  <si>
    <t>0058</t>
  </si>
  <si>
    <t>0059</t>
  </si>
  <si>
    <t>0060</t>
  </si>
  <si>
    <t>0061</t>
  </si>
  <si>
    <t>0062</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</si>
  <si>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</si>
  <si>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</si>
  <si>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</si>
  <si>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</si>
  <si>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</si>
  <si>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</si>
  <si>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</si>
  <si>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</si>
  <si>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</si>
  <si>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</si>
  <si>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</si>
  <si>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</si>
  <si>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</si>
  <si>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</si>
  <si>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</si>
  <si>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</si>
  <si>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</si>
  <si>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</si>
  <si>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</si>
  <si>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</si>
  <si>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</si>
  <si>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</si>
  <si>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</si>
  <si>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</si>
  <si>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</si>
  <si>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</si>
  <si>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</si>
  <si>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</si>
  <si>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</si>
  <si>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</si>
  <si>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</si>
  <si>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</si>
  <si>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0095</t>
  </si>
  <si>
    <t>0096</t>
  </si>
  <si>
    <t>0097</t>
  </si>
  <si>
    <t>0098</t>
  </si>
  <si>
    <t>0099</t>
  </si>
  <si>
    <t>0100</t>
  </si>
  <si>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</si>
  <si>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</si>
  <si>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</si>
  <si>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</si>
  <si>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</si>
  <si>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</si>
  <si>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</si>
  <si>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</si>
  <si>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</si>
  <si>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</si>
  <si>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</si>
  <si>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</si>
  <si>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</si>
  <si>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</si>
  <si>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</si>
  <si>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</si>
  <si>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</si>
  <si>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</si>
  <si>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</si>
  <si>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</si>
  <si>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</si>
  <si>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0122</t>
  </si>
  <si>
    <t>0123</t>
  </si>
  <si>
    <t>0124</t>
  </si>
  <si>
    <t>0125</t>
  </si>
  <si>
    <t>0126</t>
  </si>
  <si>
    <t>0127</t>
  </si>
  <si>
    <t>0128</t>
  </si>
  <si>
    <t>0129</t>
  </si>
  <si>
    <t>0130</t>
  </si>
  <si>
    <t>0131</t>
  </si>
  <si>
    <t>0132</t>
  </si>
  <si>
    <t>0133</t>
  </si>
  <si>
    <t>0134</t>
  </si>
  <si>
    <t>0135</t>
  </si>
  <si>
    <t>0136</t>
  </si>
  <si>
    <t>0137</t>
  </si>
  <si>
    <t>0138</t>
  </si>
  <si>
    <t>0139</t>
  </si>
  <si>
    <t>0140</t>
  </si>
  <si>
    <t>0141</t>
  </si>
  <si>
    <t>0142</t>
  </si>
  <si>
    <t>0143</t>
  </si>
  <si>
    <t>0144</t>
  </si>
  <si>
    <t>0145</t>
  </si>
  <si>
    <t>0146</t>
  </si>
  <si>
    <t>0147</t>
  </si>
  <si>
    <t>0148</t>
  </si>
  <si>
    <t>0149</t>
  </si>
  <si>
    <t>0150</t>
  </si>
  <si>
    <t>0151</t>
  </si>
  <si>
    <t>0152</t>
  </si>
  <si>
    <t>0153</t>
  </si>
  <si>
    <t>0154</t>
  </si>
  <si>
    <t>0155</t>
  </si>
  <si>
    <t>0156</t>
  </si>
  <si>
    <t>0157</t>
  </si>
  <si>
    <t>0158</t>
  </si>
  <si>
    <t>0159</t>
  </si>
  <si>
    <t>0160</t>
  </si>
  <si>
    <t>0161</t>
  </si>
  <si>
    <t>0162</t>
  </si>
  <si>
    <t>0163</t>
  </si>
  <si>
    <t>0164</t>
  </si>
  <si>
    <t>0165</t>
  </si>
  <si>
    <t>0166</t>
  </si>
  <si>
    <t>0167</t>
  </si>
  <si>
    <t>0168</t>
  </si>
  <si>
    <t>0169</t>
  </si>
  <si>
    <t>0170</t>
  </si>
  <si>
    <t>0171</t>
  </si>
  <si>
    <t>0172</t>
  </si>
  <si>
    <t>0173</t>
  </si>
  <si>
    <t>0174</t>
  </si>
  <si>
    <t>0175</t>
  </si>
  <si>
    <t>0176</t>
  </si>
  <si>
    <t>0177</t>
  </si>
  <si>
    <t>0178</t>
  </si>
  <si>
    <t>0179</t>
  </si>
  <si>
    <t>0180</t>
  </si>
  <si>
    <t>0181</t>
  </si>
  <si>
    <t>0182</t>
  </si>
  <si>
    <t>0183</t>
  </si>
  <si>
    <t>0184</t>
  </si>
  <si>
    <t>0185</t>
  </si>
  <si>
    <t>0186</t>
  </si>
  <si>
    <t>0187</t>
  </si>
  <si>
    <t>0188</t>
  </si>
  <si>
    <t>0189</t>
  </si>
  <si>
    <t>0190</t>
  </si>
  <si>
    <t>0191</t>
  </si>
  <si>
    <t>0192</t>
  </si>
  <si>
    <t>0193</t>
  </si>
  <si>
    <t>0194</t>
  </si>
  <si>
    <t>0195</t>
  </si>
  <si>
    <t>0196</t>
  </si>
  <si>
    <t>0197</t>
  </si>
  <si>
    <t>0198</t>
  </si>
  <si>
    <t>0199</t>
  </si>
  <si>
    <t>0200</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</si>
  <si>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</si>
  <si>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</si>
  <si>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</si>
  <si>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</si>
  <si>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</si>
  <si>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</si>
  <si>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</si>
  <si>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</si>
  <si>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</si>
  <si>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</si>
  <si>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</si>
  <si>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</si>
  <si>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</si>
  <si>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</si>
  <si>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</si>
  <si>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</si>
  <si>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</si>
  <si>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</si>
  <si>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</si>
  <si>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</si>
  <si>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</si>
  <si>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</si>
  <si>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</si>
  <si>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</si>
  <si>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</si>
  <si>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</si>
  <si>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</si>
  <si>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</si>
  <si>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0229</t>
  </si>
  <si>
    <t>0230</t>
  </si>
  <si>
    <t>0231</t>
  </si>
  <si>
    <t>0232</t>
  </si>
  <si>
    <t>0233</t>
  </si>
  <si>
    <t>0234</t>
  </si>
  <si>
    <t>0235</t>
  </si>
  <si>
    <t>0236</t>
  </si>
  <si>
    <t>0237</t>
  </si>
  <si>
    <t>0238</t>
  </si>
  <si>
    <t>0239</t>
  </si>
  <si>
    <t>0240</t>
  </si>
  <si>
    <t>0241</t>
  </si>
  <si>
    <t>0242</t>
  </si>
  <si>
    <t>0243</t>
  </si>
  <si>
    <t>0244</t>
  </si>
  <si>
    <t>0245</t>
  </si>
  <si>
    <t>0246</t>
  </si>
  <si>
    <t>0247</t>
  </si>
  <si>
    <t>0248</t>
  </si>
  <si>
    <t>0249</t>
  </si>
  <si>
    <t>0250</t>
  </si>
  <si>
    <t>0251</t>
  </si>
  <si>
    <t>0252</t>
  </si>
  <si>
    <t>0253</t>
  </si>
  <si>
    <t>0254</t>
  </si>
  <si>
    <t>0255</t>
  </si>
  <si>
    <t>0256</t>
  </si>
  <si>
    <t>0257</t>
  </si>
  <si>
    <t>0258</t>
  </si>
  <si>
    <t>0259</t>
  </si>
  <si>
    <t>0260</t>
  </si>
  <si>
    <t>0261</t>
  </si>
  <si>
    <t>0262</t>
  </si>
  <si>
    <t>0263</t>
  </si>
  <si>
    <t>0264</t>
  </si>
  <si>
    <t>0265</t>
  </si>
  <si>
    <t>0266</t>
  </si>
  <si>
    <t>0267</t>
  </si>
  <si>
    <t>0268</t>
  </si>
  <si>
    <t>0269</t>
  </si>
  <si>
    <t>0270</t>
  </si>
  <si>
    <t>0271</t>
  </si>
  <si>
    <t>0272</t>
  </si>
  <si>
    <t>0273</t>
  </si>
  <si>
    <t>0274</t>
  </si>
  <si>
    <t>0275</t>
  </si>
  <si>
    <t>0276</t>
  </si>
  <si>
    <t>0277</t>
  </si>
  <si>
    <t>0278</t>
  </si>
  <si>
    <t>0279</t>
  </si>
  <si>
    <t>0280</t>
  </si>
  <si>
    <t>0281</t>
  </si>
  <si>
    <t>0282</t>
  </si>
  <si>
    <t>0283</t>
  </si>
  <si>
    <t>0284</t>
  </si>
  <si>
    <t>0285</t>
  </si>
  <si>
    <t>0286</t>
  </si>
  <si>
    <t>0287</t>
  </si>
  <si>
    <t>0288</t>
  </si>
  <si>
    <t>0289</t>
  </si>
  <si>
    <t>0290</t>
  </si>
  <si>
    <t>0291</t>
  </si>
  <si>
    <t>0292</t>
  </si>
  <si>
    <t>0293</t>
  </si>
  <si>
    <t>0294</t>
  </si>
  <si>
    <t>0295</t>
  </si>
  <si>
    <t>0296</t>
  </si>
  <si>
    <t>0297</t>
  </si>
  <si>
    <t>0298</t>
  </si>
  <si>
    <t>0299</t>
  </si>
  <si>
    <t>0300</t>
  </si>
  <si>
    <t>0301</t>
  </si>
  <si>
    <t>0302</t>
  </si>
  <si>
    <t>0303</t>
  </si>
  <si>
    <t>0304</t>
  </si>
  <si>
    <t>0305</t>
  </si>
  <si>
    <t>0306</t>
  </si>
  <si>
    <t>0307</t>
  </si>
  <si>
    <t>0308</t>
  </si>
  <si>
    <t>0309</t>
  </si>
  <si>
    <t>0310</t>
  </si>
  <si>
    <t>0311</t>
  </si>
  <si>
    <t>0312</t>
  </si>
  <si>
    <t>0313</t>
  </si>
  <si>
    <t>0314</t>
  </si>
  <si>
    <t>0315</t>
  </si>
  <si>
    <t>0316</t>
  </si>
  <si>
    <t>0317</t>
  </si>
  <si>
    <t>0318</t>
  </si>
  <si>
    <t>0319</t>
  </si>
  <si>
    <t>0320</t>
  </si>
  <si>
    <t>0321</t>
  </si>
  <si>
    <t>0322</t>
  </si>
  <si>
    <t>0323</t>
  </si>
  <si>
    <t>0324</t>
  </si>
  <si>
    <t>0325</t>
  </si>
  <si>
    <t>0326</t>
  </si>
  <si>
    <t>0327</t>
  </si>
  <si>
    <t>0328</t>
  </si>
  <si>
    <t>0329</t>
  </si>
  <si>
    <t>0330</t>
  </si>
  <si>
    <t>0331</t>
  </si>
  <si>
    <t>0332</t>
  </si>
  <si>
    <t>0333</t>
  </si>
  <si>
    <t>0334</t>
  </si>
  <si>
    <t>0335</t>
  </si>
  <si>
    <t>0336</t>
  </si>
  <si>
    <t>0337</t>
  </si>
  <si>
    <t>0338</t>
  </si>
  <si>
    <t>0339</t>
  </si>
  <si>
    <t>0340</t>
  </si>
  <si>
    <t>0341</t>
  </si>
  <si>
    <t>0342</t>
  </si>
  <si>
    <t>0343</t>
  </si>
  <si>
    <t>0344</t>
  </si>
  <si>
    <t>0345</t>
  </si>
  <si>
    <t>0346</t>
  </si>
  <si>
    <t>0347</t>
  </si>
  <si>
    <t>0348</t>
  </si>
  <si>
    <t>0349</t>
  </si>
  <si>
    <t>0350</t>
  </si>
  <si>
    <t>0351</t>
  </si>
  <si>
    <t>0352</t>
  </si>
  <si>
    <t>0353</t>
  </si>
  <si>
    <t>0354</t>
  </si>
  <si>
    <t>0355</t>
  </si>
  <si>
    <t>0356</t>
  </si>
  <si>
    <t>0357</t>
  </si>
  <si>
    <t>0358</t>
  </si>
  <si>
    <t>0359</t>
  </si>
  <si>
    <t>0360</t>
  </si>
  <si>
    <t>0361</t>
  </si>
  <si>
    <t>0362</t>
  </si>
  <si>
    <t>0363</t>
  </si>
  <si>
    <t>0364</t>
  </si>
  <si>
    <t>0365</t>
  </si>
  <si>
    <t>0366</t>
  </si>
  <si>
    <t>0367</t>
  </si>
  <si>
    <t>0368</t>
  </si>
  <si>
    <t>0369</t>
  </si>
  <si>
    <t>0370</t>
  </si>
  <si>
    <t>0371</t>
  </si>
  <si>
    <t>0372</t>
  </si>
  <si>
    <t>0373</t>
  </si>
  <si>
    <t>0374</t>
  </si>
  <si>
    <t>0375</t>
  </si>
  <si>
    <t>0376</t>
  </si>
  <si>
    <t>0377</t>
  </si>
  <si>
    <t>0378</t>
  </si>
  <si>
    <t>0379</t>
  </si>
  <si>
    <t>0380</t>
  </si>
  <si>
    <t>0381</t>
  </si>
  <si>
    <t>0382</t>
  </si>
  <si>
    <t>0383</t>
  </si>
  <si>
    <t>0384</t>
  </si>
  <si>
    <t>0385</t>
  </si>
  <si>
    <t>0386</t>
  </si>
  <si>
    <t>0387</t>
  </si>
  <si>
    <t>0388</t>
  </si>
  <si>
    <t>0389</t>
  </si>
  <si>
    <t>0390</t>
  </si>
  <si>
    <t>0391</t>
  </si>
  <si>
    <t>0392</t>
  </si>
  <si>
    <t>0393</t>
  </si>
  <si>
    <t>0394</t>
  </si>
  <si>
    <t>0395</t>
  </si>
  <si>
    <t>0396</t>
  </si>
  <si>
    <t>0397</t>
  </si>
  <si>
    <t>0398</t>
  </si>
  <si>
    <t>0399</t>
  </si>
  <si>
    <t>0400</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</si>
  <si>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</si>
  <si>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</si>
  <si>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</si>
  <si>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</si>
  <si>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</si>
  <si>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</si>
  <si>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</si>
  <si>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</si>
  <si>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</si>
  <si>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</si>
  <si>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</si>
  <si>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</si>
  <si>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</si>
  <si>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</si>
  <si>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</si>
  <si>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</si>
  <si>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</si>
  <si>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</si>
  <si>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</si>
  <si>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</si>
  <si>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</si>
  <si>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</si>
  <si>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</si>
  <si>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</si>
  <si>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</si>
  <si>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</si>
  <si>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</si>
  <si>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</si>
  <si>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</si>
  <si>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</si>
  <si>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0431</t>
  </si>
  <si>
    <t>0432</t>
  </si>
  <si>
    <t>0433</t>
  </si>
  <si>
    <t>0434</t>
  </si>
  <si>
    <t>0435</t>
  </si>
  <si>
    <t>0436</t>
  </si>
  <si>
    <t>0437</t>
  </si>
  <si>
    <t>0438</t>
  </si>
  <si>
    <t>0439</t>
  </si>
  <si>
    <t>0440</t>
  </si>
  <si>
    <t>0441</t>
  </si>
  <si>
    <t>0442</t>
  </si>
  <si>
    <t>0443</t>
  </si>
  <si>
    <t>0444</t>
  </si>
  <si>
    <t>0445</t>
  </si>
  <si>
    <t>0446</t>
  </si>
  <si>
    <t>0447</t>
  </si>
  <si>
    <t>0448</t>
  </si>
  <si>
    <t>0449</t>
  </si>
  <si>
    <t>0450</t>
  </si>
  <si>
    <t>0451</t>
  </si>
  <si>
    <t>0452</t>
  </si>
  <si>
    <t>0453</t>
  </si>
  <si>
    <t>0454</t>
  </si>
  <si>
    <t>0455</t>
  </si>
  <si>
    <t>0456</t>
  </si>
  <si>
    <t>0457</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</si>
  <si>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</si>
  <si>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</si>
  <si>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</si>
  <si>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</si>
  <si>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</si>
  <si>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</si>
  <si>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</si>
  <si>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</si>
  <si>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</si>
  <si>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</si>
  <si>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</si>
  <si>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</si>
  <si>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</si>
  <si>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</si>
  <si>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</si>
  <si>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</si>
  <si>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</si>
  <si>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</si>
  <si>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</si>
  <si>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</si>
  <si>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</si>
  <si>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</si>
  <si>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</si>
  <si>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</si>
  <si>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</si>
  <si>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0483</t>
  </si>
  <si>
    <t>0484</t>
  </si>
  <si>
    <t>0485</t>
  </si>
  <si>
    <t>0486</t>
  </si>
  <si>
    <t>0487</t>
  </si>
  <si>
    <t>0488</t>
  </si>
  <si>
    <t>0489</t>
  </si>
  <si>
    <t>0490</t>
  </si>
  <si>
    <t>0491</t>
  </si>
  <si>
    <t>0492</t>
  </si>
  <si>
    <t>0493</t>
  </si>
  <si>
    <t>0494</t>
  </si>
  <si>
    <t>0495</t>
  </si>
  <si>
    <t>0496</t>
  </si>
  <si>
    <t>0497</t>
  </si>
  <si>
    <t>0498</t>
  </si>
  <si>
    <t>0499</t>
  </si>
  <si>
    <t>0500</t>
  </si>
  <si>
    <t>0501</t>
  </si>
  <si>
    <t>0502</t>
  </si>
  <si>
    <t>0503</t>
  </si>
  <si>
    <t>0504</t>
  </si>
  <si>
    <t>0505</t>
  </si>
  <si>
    <t>0506</t>
  </si>
  <si>
    <t>0507</t>
  </si>
  <si>
    <t>0508</t>
  </si>
  <si>
    <t>0509</t>
  </si>
  <si>
    <t>0510</t>
  </si>
  <si>
    <t>0511</t>
  </si>
  <si>
    <t>0512</t>
  </si>
  <si>
    <t>0513</t>
  </si>
  <si>
    <t>0514</t>
  </si>
  <si>
    <t>0515</t>
  </si>
  <si>
    <t>0516</t>
  </si>
  <si>
    <t>0517</t>
  </si>
  <si>
    <t>0518</t>
  </si>
  <si>
    <t>0519</t>
  </si>
  <si>
    <t>0520</t>
  </si>
  <si>
    <t>0521</t>
  </si>
  <si>
    <t>0522</t>
  </si>
  <si>
    <t>0523</t>
  </si>
  <si>
    <t>0524</t>
  </si>
  <si>
    <t>0525</t>
  </si>
  <si>
    <t>0526</t>
  </si>
  <si>
    <t>0527</t>
  </si>
  <si>
    <t>0528</t>
  </si>
  <si>
    <t>0529</t>
  </si>
  <si>
    <t>0530</t>
  </si>
  <si>
    <t>0531</t>
  </si>
  <si>
    <t>0532</t>
  </si>
  <si>
    <t>0533</t>
  </si>
  <si>
    <t>0534</t>
  </si>
  <si>
    <t>0535</t>
  </si>
  <si>
    <t>0536</t>
  </si>
  <si>
    <t>0537</t>
  </si>
  <si>
    <t>0538</t>
  </si>
  <si>
    <t>0539</t>
  </si>
  <si>
    <t>0540</t>
  </si>
  <si>
    <t>0541</t>
  </si>
  <si>
    <t>0542</t>
  </si>
  <si>
    <t>0543</t>
  </si>
  <si>
    <t>0544</t>
  </si>
  <si>
    <t>0545</t>
  </si>
  <si>
    <t>0546</t>
  </si>
  <si>
    <t>0547</t>
  </si>
  <si>
    <t>0548</t>
  </si>
  <si>
    <t>0549</t>
  </si>
  <si>
    <t>0550</t>
  </si>
  <si>
    <t>0551</t>
  </si>
  <si>
    <t>0552</t>
  </si>
  <si>
    <t>0553</t>
  </si>
  <si>
    <t>0554</t>
  </si>
  <si>
    <t>0555</t>
  </si>
  <si>
    <t>0556</t>
  </si>
  <si>
    <t>0557</t>
  </si>
  <si>
    <t>0558</t>
  </si>
  <si>
    <t>0559</t>
  </si>
  <si>
    <t>0560</t>
  </si>
  <si>
    <t>0561</t>
  </si>
  <si>
    <t>0562</t>
  </si>
  <si>
    <t>0563</t>
  </si>
  <si>
    <t>0564</t>
  </si>
  <si>
    <t>0565</t>
  </si>
  <si>
    <t>0566</t>
  </si>
  <si>
    <t>0567</t>
  </si>
  <si>
    <t>0568</t>
  </si>
  <si>
    <t>0569</t>
  </si>
  <si>
    <t>0570</t>
  </si>
  <si>
    <t>0571</t>
  </si>
  <si>
    <t>0572</t>
  </si>
  <si>
    <t>0573</t>
  </si>
  <si>
    <t>0574</t>
  </si>
  <si>
    <t>0575</t>
  </si>
  <si>
    <t>0576</t>
  </si>
  <si>
    <t>0577</t>
  </si>
  <si>
    <t>0578</t>
  </si>
  <si>
    <t>0579</t>
  </si>
  <si>
    <t>0580</t>
  </si>
  <si>
    <t>0581</t>
  </si>
  <si>
    <t>0582</t>
  </si>
  <si>
    <t>0583</t>
  </si>
  <si>
    <t>0584</t>
  </si>
  <si>
    <t>0585</t>
  </si>
  <si>
    <t>0586</t>
  </si>
  <si>
    <t>0587</t>
  </si>
  <si>
    <t>0588</t>
  </si>
  <si>
    <t>0589</t>
  </si>
  <si>
    <t>0590</t>
  </si>
  <si>
    <t>0591</t>
  </si>
  <si>
    <t>0592</t>
  </si>
  <si>
    <t>0593</t>
  </si>
  <si>
    <t>0594</t>
  </si>
  <si>
    <t>0595</t>
  </si>
  <si>
    <t>0596</t>
  </si>
  <si>
    <t>0597</t>
  </si>
  <si>
    <t>0598</t>
  </si>
  <si>
    <t>0599</t>
  </si>
  <si>
    <t>0600</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</si>
  <si>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</si>
  <si>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</si>
  <si>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</si>
  <si>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</si>
  <si>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</si>
  <si>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</si>
  <si>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</si>
  <si>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</si>
  <si>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</si>
  <si>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</si>
  <si>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</si>
  <si>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</si>
  <si>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</si>
  <si>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</si>
  <si>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</si>
  <si>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</si>
  <si>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</si>
  <si>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</si>
  <si>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</si>
  <si>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</si>
  <si>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</si>
  <si>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</si>
  <si>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</si>
  <si>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</si>
  <si>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</si>
  <si>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</si>
  <si>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0627</t>
  </si>
  <si>
    <t>0628</t>
  </si>
  <si>
    <t>0629</t>
  </si>
  <si>
    <t>0630</t>
  </si>
  <si>
    <t>0631</t>
  </si>
  <si>
    <t>0632</t>
  </si>
  <si>
    <t>0633</t>
  </si>
  <si>
    <t>0634</t>
  </si>
  <si>
    <t>0635</t>
  </si>
  <si>
    <t>0636</t>
  </si>
  <si>
    <t>0637</t>
  </si>
  <si>
    <t>0638</t>
  </si>
  <si>
    <t>0639</t>
  </si>
  <si>
    <t>0640</t>
  </si>
  <si>
    <t>0641</t>
  </si>
  <si>
    <t>0642</t>
  </si>
  <si>
    <t>0643</t>
  </si>
  <si>
    <t>0644</t>
  </si>
  <si>
    <t>0645</t>
  </si>
  <si>
    <t>0646</t>
  </si>
  <si>
    <t>0647</t>
  </si>
  <si>
    <t>0648</t>
  </si>
  <si>
    <t>0649</t>
  </si>
  <si>
    <t>0650</t>
  </si>
  <si>
    <t>0651</t>
  </si>
  <si>
    <t>0652</t>
  </si>
  <si>
    <t>0653</t>
  </si>
  <si>
    <t>0654</t>
  </si>
  <si>
    <t>0655</t>
  </si>
  <si>
    <t>0656</t>
  </si>
  <si>
    <t>0657</t>
  </si>
  <si>
    <t>0658</t>
  </si>
  <si>
    <t>0659</t>
  </si>
  <si>
    <t>0660</t>
  </si>
  <si>
    <t>0661</t>
  </si>
  <si>
    <t>0662</t>
  </si>
  <si>
    <t>0663</t>
  </si>
  <si>
    <t>0664</t>
  </si>
  <si>
    <t>0665</t>
  </si>
  <si>
    <t>0666</t>
  </si>
  <si>
    <t>0667</t>
  </si>
  <si>
    <t>0668</t>
  </si>
  <si>
    <t>0669</t>
  </si>
  <si>
    <t>0670</t>
  </si>
  <si>
    <t>0671</t>
  </si>
  <si>
    <t>0672</t>
  </si>
  <si>
    <t>0673</t>
  </si>
  <si>
    <t>0674</t>
  </si>
  <si>
    <t>0675</t>
  </si>
  <si>
    <t>0676</t>
  </si>
  <si>
    <t>0677</t>
  </si>
  <si>
    <t>0678</t>
  </si>
  <si>
    <t>0679</t>
  </si>
  <si>
    <t>0680</t>
  </si>
  <si>
    <t>0681</t>
  </si>
  <si>
    <t>0682</t>
  </si>
  <si>
    <t>0683</t>
  </si>
  <si>
    <t>0684</t>
  </si>
  <si>
    <t>0685</t>
  </si>
  <si>
    <t>0686</t>
  </si>
  <si>
    <t>0687</t>
  </si>
  <si>
    <t>0688</t>
  </si>
  <si>
    <t>0689</t>
  </si>
  <si>
    <t>0690</t>
  </si>
  <si>
    <t>0691</t>
  </si>
  <si>
    <t>0692</t>
  </si>
  <si>
    <t>0693</t>
  </si>
  <si>
    <t>0694</t>
  </si>
  <si>
    <t>0695</t>
  </si>
  <si>
    <t>0696</t>
  </si>
  <si>
    <t>0697</t>
  </si>
  <si>
    <t>0698</t>
  </si>
  <si>
    <t>0699</t>
  </si>
  <si>
    <t>0700</t>
  </si>
  <si>
    <t>0701</t>
  </si>
  <si>
    <t>0702</t>
  </si>
  <si>
    <t>0703</t>
  </si>
  <si>
    <t>0704</t>
  </si>
  <si>
    <t>0705</t>
  </si>
  <si>
    <t>0706</t>
  </si>
  <si>
    <t>0707</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</si>
  <si>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</si>
  <si>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</si>
  <si>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</si>
  <si>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</si>
  <si>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</si>
  <si>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</si>
  <si>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</si>
  <si>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</si>
  <si>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</si>
  <si>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</si>
  <si>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</si>
  <si>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</si>
  <si>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</si>
  <si>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</si>
  <si>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</si>
  <si>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</si>
  <si>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</si>
  <si>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</si>
  <si>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</si>
  <si>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</si>
  <si>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</si>
  <si>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</si>
  <si>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</si>
  <si>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</si>
  <si>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0732</t>
  </si>
  <si>
    <t>0733</t>
  </si>
  <si>
    <t>0734</t>
  </si>
  <si>
    <t>0735</t>
  </si>
  <si>
    <t>0736</t>
  </si>
  <si>
    <t>0737</t>
  </si>
  <si>
    <t>0738</t>
  </si>
  <si>
    <t>0739</t>
  </si>
  <si>
    <t>0740</t>
  </si>
  <si>
    <t>0741</t>
  </si>
  <si>
    <t>0742</t>
  </si>
  <si>
    <t>0743</t>
  </si>
  <si>
    <t>0744</t>
  </si>
  <si>
    <t>0745</t>
  </si>
  <si>
    <t>0746</t>
  </si>
  <si>
    <t>0747</t>
  </si>
  <si>
    <t>0748</t>
  </si>
  <si>
    <t>0749</t>
  </si>
  <si>
    <t>0750</t>
  </si>
  <si>
    <t>0751</t>
  </si>
  <si>
    <t>0752</t>
  </si>
  <si>
    <t>0753</t>
  </si>
  <si>
    <t>0754</t>
  </si>
  <si>
    <t>0755</t>
  </si>
  <si>
    <t>0756</t>
  </si>
  <si>
    <t>0757</t>
  </si>
  <si>
    <t>0758</t>
  </si>
  <si>
    <t>0759</t>
  </si>
  <si>
    <t>0760</t>
  </si>
  <si>
    <t>0761</t>
  </si>
  <si>
    <t>0762</t>
  </si>
  <si>
    <t>0763</t>
  </si>
  <si>
    <t>0764</t>
  </si>
  <si>
    <t>0765</t>
  </si>
  <si>
    <t>0766</t>
  </si>
  <si>
    <t>0767</t>
  </si>
  <si>
    <t>0768</t>
  </si>
  <si>
    <t>0769</t>
  </si>
  <si>
    <t>0770</t>
  </si>
  <si>
    <t>0771</t>
  </si>
  <si>
    <t>0772</t>
  </si>
  <si>
    <t>0773</t>
  </si>
  <si>
    <t>0774</t>
  </si>
  <si>
    <t>0775</t>
  </si>
  <si>
    <t>0776</t>
  </si>
  <si>
    <t>0777</t>
  </si>
  <si>
    <t>0778</t>
  </si>
  <si>
    <t>0779</t>
  </si>
  <si>
    <t>0780</t>
  </si>
  <si>
    <t>0781</t>
  </si>
  <si>
    <t>0782</t>
  </si>
  <si>
    <t>0783</t>
  </si>
  <si>
    <t>0784</t>
  </si>
  <si>
    <t>0785</t>
  </si>
  <si>
    <t>0786</t>
  </si>
  <si>
    <t>0787</t>
  </si>
  <si>
    <t>0788</t>
  </si>
  <si>
    <t>0789</t>
  </si>
  <si>
    <t>0790</t>
  </si>
  <si>
    <t>0791</t>
  </si>
  <si>
    <t>0792</t>
  </si>
  <si>
    <t>0793</t>
  </si>
  <si>
    <t>0794</t>
  </si>
  <si>
    <t>0795</t>
  </si>
  <si>
    <t>0796</t>
  </si>
  <si>
    <t>0797</t>
  </si>
  <si>
    <t>0798</t>
  </si>
  <si>
    <t>0799</t>
  </si>
  <si>
    <t>0800</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</si>
  <si>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</si>
  <si>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</si>
  <si>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</si>
  <si>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</si>
  <si>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</si>
  <si>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</si>
  <si>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</si>
  <si>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</si>
  <si>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</si>
  <si>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</si>
  <si>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</si>
  <si>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</si>
  <si>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</si>
  <si>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</si>
  <si>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</si>
  <si>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</si>
  <si>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</si>
  <si>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</si>
  <si>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</si>
  <si>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</si>
  <si>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</si>
  <si>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</si>
  <si>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</si>
  <si>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</si>
  <si>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</si>
  <si>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</si>
  <si>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</si>
  <si>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</si>
  <si>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</si>
  <si>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</si>
  <si>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</si>
  <si>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0832</t>
  </si>
  <si>
    <t>0833</t>
  </si>
  <si>
    <t>0834</t>
  </si>
  <si>
    <t>0835</t>
  </si>
  <si>
    <t>0836</t>
  </si>
  <si>
    <t>0837</t>
  </si>
  <si>
    <t>0838</t>
  </si>
  <si>
    <t>0839</t>
  </si>
  <si>
    <t>0840</t>
  </si>
  <si>
    <t>0841</t>
  </si>
  <si>
    <t>0842</t>
  </si>
  <si>
    <t>0843</t>
  </si>
  <si>
    <t>0844</t>
  </si>
  <si>
    <t>0845</t>
  </si>
  <si>
    <t>0846</t>
  </si>
  <si>
    <t>0847</t>
  </si>
  <si>
    <t>0848</t>
  </si>
  <si>
    <t>0849</t>
  </si>
  <si>
    <t>0850</t>
  </si>
  <si>
    <t>0851</t>
  </si>
  <si>
    <t>0852</t>
  </si>
  <si>
    <t>0853</t>
  </si>
  <si>
    <t>0854</t>
  </si>
  <si>
    <t>0855</t>
  </si>
  <si>
    <t>0856</t>
  </si>
  <si>
    <t>0857</t>
  </si>
  <si>
    <t>0858</t>
  </si>
  <si>
    <t>0859</t>
  </si>
  <si>
    <t>0860</t>
  </si>
  <si>
    <t>0861</t>
  </si>
  <si>
    <t>0862</t>
  </si>
  <si>
    <t>0863</t>
  </si>
  <si>
    <t>0864</t>
  </si>
  <si>
    <t>0865</t>
  </si>
  <si>
    <t>0866</t>
  </si>
  <si>
    <t>0867</t>
  </si>
  <si>
    <t>0868</t>
  </si>
  <si>
    <t>0869</t>
  </si>
  <si>
    <t>0870</t>
  </si>
  <si>
    <t>0871</t>
  </si>
  <si>
    <t>0872</t>
  </si>
  <si>
    <t>0873</t>
  </si>
  <si>
    <t>0874</t>
  </si>
  <si>
    <t>0875</t>
  </si>
  <si>
    <t>0876</t>
  </si>
  <si>
    <t>0877</t>
  </si>
  <si>
    <t>0878</t>
  </si>
  <si>
    <t>0879</t>
  </si>
  <si>
    <t>0880</t>
  </si>
  <si>
    <t>0881</t>
  </si>
  <si>
    <t>0882</t>
  </si>
  <si>
    <t>0883</t>
  </si>
  <si>
    <t>0884</t>
  </si>
  <si>
    <t>0885</t>
  </si>
  <si>
    <t>0886</t>
  </si>
  <si>
    <t>0887</t>
  </si>
  <si>
    <t>0888</t>
  </si>
  <si>
    <t>0889</t>
  </si>
  <si>
    <t>0890</t>
  </si>
  <si>
    <t>0891</t>
  </si>
  <si>
    <t>0892</t>
  </si>
  <si>
    <t>0893</t>
  </si>
  <si>
    <t>0894</t>
  </si>
  <si>
    <t>0895</t>
  </si>
  <si>
    <t>0896</t>
  </si>
  <si>
    <t>0897</t>
  </si>
  <si>
    <t>0898</t>
  </si>
  <si>
    <t>0899</t>
  </si>
  <si>
    <t>0900</t>
  </si>
  <si>
    <t>0901</t>
  </si>
  <si>
    <t>0902</t>
  </si>
  <si>
    <t>0903</t>
  </si>
  <si>
    <t>0904</t>
  </si>
  <si>
    <t>0905</t>
  </si>
  <si>
    <t>0906</t>
  </si>
  <si>
    <t>0907</t>
  </si>
  <si>
    <t>0908</t>
  </si>
  <si>
    <t>0909</t>
  </si>
  <si>
    <t>0910</t>
  </si>
  <si>
    <t>0911</t>
  </si>
  <si>
    <t>0912</t>
  </si>
  <si>
    <t>0913</t>
  </si>
  <si>
    <t>0914</t>
  </si>
  <si>
    <t>0915</t>
  </si>
  <si>
    <t>0916</t>
  </si>
  <si>
    <t>0917</t>
  </si>
  <si>
    <t>0918</t>
  </si>
  <si>
    <t>0919</t>
  </si>
  <si>
    <t>0920</t>
  </si>
  <si>
    <t>0921</t>
  </si>
  <si>
    <t>0922</t>
  </si>
  <si>
    <t>0923</t>
  </si>
  <si>
    <t>0924</t>
  </si>
  <si>
    <t>0925</t>
  </si>
  <si>
    <t>0926</t>
  </si>
  <si>
    <t>0927</t>
  </si>
  <si>
    <t>0928</t>
  </si>
  <si>
    <t>0929</t>
  </si>
  <si>
    <t>0930</t>
  </si>
  <si>
    <t>0931</t>
  </si>
  <si>
    <t>0932</t>
  </si>
  <si>
    <t>0933</t>
  </si>
  <si>
    <t>0934</t>
  </si>
  <si>
    <t>0935</t>
  </si>
  <si>
    <t>0936</t>
  </si>
  <si>
    <t>0937</t>
  </si>
  <si>
    <t>0938</t>
  </si>
  <si>
    <t>0939</t>
  </si>
  <si>
    <t>0940</t>
  </si>
  <si>
    <t>0941</t>
  </si>
  <si>
    <t>0942</t>
  </si>
  <si>
    <t>0943</t>
  </si>
  <si>
    <t>0944</t>
  </si>
  <si>
    <t>0945</t>
  </si>
  <si>
    <t>0946</t>
  </si>
  <si>
    <t>0947</t>
  </si>
  <si>
    <t>0948</t>
  </si>
  <si>
    <t>0949</t>
  </si>
  <si>
    <t>0950</t>
  </si>
  <si>
    <t>0951</t>
  </si>
  <si>
    <t>0952</t>
  </si>
  <si>
    <t>0953</t>
  </si>
  <si>
    <t>0954</t>
  </si>
  <si>
    <t>0955</t>
  </si>
  <si>
    <t>0956</t>
  </si>
  <si>
    <t>0957</t>
  </si>
  <si>
    <t>0958</t>
  </si>
  <si>
    <t>0959</t>
  </si>
  <si>
    <t>0960</t>
  </si>
  <si>
    <t>0961</t>
  </si>
  <si>
    <t>0962</t>
  </si>
  <si>
    <t>0963</t>
  </si>
  <si>
    <t>0964</t>
  </si>
  <si>
    <t>0965</t>
  </si>
  <si>
    <t>0966</t>
  </si>
  <si>
    <t>0967</t>
  </si>
  <si>
    <t>0968</t>
  </si>
  <si>
    <t>0969</t>
  </si>
  <si>
    <t>0970</t>
  </si>
  <si>
    <t>0971</t>
  </si>
  <si>
    <t>0972</t>
  </si>
  <si>
    <t>0973</t>
  </si>
  <si>
    <t>0974</t>
  </si>
  <si>
    <t>0975</t>
  </si>
  <si>
    <t>0976</t>
  </si>
  <si>
    <t>0977</t>
  </si>
  <si>
    <t>0978</t>
  </si>
  <si>
    <t>0979</t>
  </si>
  <si>
    <t>0980</t>
  </si>
  <si>
    <t>0981</t>
  </si>
  <si>
    <t>0982</t>
  </si>
  <si>
    <t>0983</t>
  </si>
  <si>
    <t>0984</t>
  </si>
  <si>
    <t>0985</t>
  </si>
  <si>
    <t>0986</t>
  </si>
  <si>
    <t>0987</t>
  </si>
  <si>
    <t>0988</t>
  </si>
  <si>
    <t>0989</t>
  </si>
  <si>
    <t>0990</t>
  </si>
  <si>
    <t>0991</t>
  </si>
  <si>
    <t>0992</t>
  </si>
  <si>
    <t>0993</t>
  </si>
  <si>
    <t>0994</t>
  </si>
  <si>
    <t>0995</t>
  </si>
  <si>
    <t>0996</t>
  </si>
  <si>
    <t>0997</t>
  </si>
  <si>
    <t>0998</t>
  </si>
  <si>
    <t>0999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</si>
  <si>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</si>
  <si>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</si>
  <si>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</si>
  <si>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</si>
  <si>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</si>
  <si>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</si>
  <si>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</si>
  <si>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</si>
  <si>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</si>
  <si>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</si>
  <si>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</si>
  <si>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</si>
  <si>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</si>
  <si>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</si>
  <si>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</si>
  <si>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</si>
  <si>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</si>
  <si>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</si>
  <si>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</si>
  <si>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</si>
  <si>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</si>
  <si>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</si>
  <si>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</si>
  <si>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</si>
  <si>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</si>
  <si>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</si>
  <si>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</si>
  <si>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</si>
  <si>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</si>
  <si>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</si>
  <si>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</si>
  <si>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</si>
  <si>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</si>
  <si>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</si>
  <si>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</si>
  <si>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</si>
  <si>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</si>
  <si>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</si>
  <si>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</si>
  <si>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</si>
  <si>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</si>
  <si>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</si>
  <si>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</si>
  <si>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</si>
  <si>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</si>
  <si>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</si>
  <si>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</si>
  <si>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</si>
  <si>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</si>
  <si>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</si>
  <si>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</si>
  <si>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</si>
  <si>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</si>
  <si>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</si>
  <si>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</si>
  <si>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</si>
  <si>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</si>
  <si>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</si>
  <si>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</si>
  <si>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</si>
  <si>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</si>
  <si>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</si>
  <si>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</si>
  <si>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</si>
  <si>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</si>
  <si>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</si>
  <si>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</si>
  <si>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</si>
  <si>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</si>
  <si>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</si>
  <si>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</si>
  <si>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</si>
  <si>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</si>
  <si>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</si>
  <si>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</si>
  <si>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</si>
  <si>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</si>
  <si>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</si>
  <si>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</si>
  <si>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</si>
  <si>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</si>
  <si>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</si>
  <si>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</si>
  <si>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</si>
  <si>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</si>
  <si>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</si>
  <si>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</si>
  <si>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</si>
  <si>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</si>
  <si>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</si>
  <si>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</si>
  <si>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</si>
  <si>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</si>
  <si>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</si>
  <si>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</si>
  <si>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</si>
  <si>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</si>
  <si>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</si>
  <si>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</si>
  <si>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</si>
  <si>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</si>
  <si>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</si>
  <si>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</si>
  <si>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</si>
  <si>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</si>
  <si>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</si>
  <si>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</si>
  <si>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</si>
  <si>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</si>
  <si>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</si>
  <si>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</si>
  <si>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</si>
  <si>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</si>
  <si>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</si>
  <si>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</si>
  <si>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</si>
  <si>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</si>
  <si>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</si>
  <si>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</si>
  <si>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</si>
  <si>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</si>
  <si>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</si>
  <si>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</si>
  <si>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</si>
  <si>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</si>
  <si>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</si>
  <si>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</si>
  <si>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</si>
  <si>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</si>
  <si>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</si>
  <si>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</si>
  <si>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</si>
  <si>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</si>
  <si>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</si>
  <si>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</si>
  <si>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</si>
  <si>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</si>
  <si>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</si>
  <si>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</si>
  <si>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</si>
  <si>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</si>
  <si>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</si>
  <si>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</si>
  <si>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</si>
  <si>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</si>
  <si>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</si>
  <si>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</si>
  <si>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</si>
  <si>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</si>
  <si>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</si>
  <si>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</si>
  <si>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</si>
  <si>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</si>
  <si>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</si>
  <si>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</si>
  <si>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</si>
  <si>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</si>
  <si>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</si>
  <si>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</si>
  <si>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</si>
  <si>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</si>
  <si>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</si>
  <si>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</si>
  <si>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</si>
  <si>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</si>
  <si>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</si>
  <si>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</si>
  <si>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</si>
  <si>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</si>
  <si>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</si>
  <si>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</si>
  <si>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</si>
  <si>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</si>
  <si>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</si>
  <si>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</si>
  <si>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</si>
  <si>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</si>
  <si>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</si>
  <si>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</si>
  <si>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</si>
  <si>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</si>
  <si>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</si>
  <si>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</si>
  <si>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</si>
  <si>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</si>
  <si>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</si>
  <si>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</si>
  <si>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</si>
  <si>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</si>
  <si>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</si>
  <si>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</si>
  <si>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</si>
  <si>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</si>
  <si>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</si>
  <si>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</si>
  <si>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</si>
  <si>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</si>
  <si>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</si>
  <si>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</si>
  <si>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</si>
  <si>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</si>
  <si>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</si>
  <si>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</si>
  <si>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</si>
  <si>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</si>
  <si>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</si>
  <si>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</si>
  <si>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</si>
  <si>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</si>
  <si>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</si>
  <si>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</si>
  <si>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</si>
  <si>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</si>
  <si>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</si>
  <si>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</si>
  <si>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</si>
  <si>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</si>
  <si>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</si>
  <si>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</si>
  <si>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</si>
  <si>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</si>
  <si>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</si>
  <si>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</si>
  <si>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</si>
  <si>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</si>
  <si>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</si>
  <si>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</si>
  <si>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</si>
  <si>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</si>
  <si>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</si>
  <si>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</si>
  <si>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</si>
  <si>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</si>
  <si>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</si>
  <si>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</si>
  <si>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</si>
  <si>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</si>
  <si>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</si>
  <si>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</si>
  <si>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</si>
  <si>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</si>
  <si>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</si>
  <si>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</si>
  <si>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</si>
  <si>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</si>
  <si>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</si>
  <si>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</si>
  <si>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</si>
  <si>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</si>
  <si>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</si>
  <si>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</si>
  <si>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</si>
  <si>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</si>
  <si>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</si>
  <si>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</si>
  <si>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</si>
  <si>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</si>
  <si>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</si>
  <si>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</si>
  <si>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</si>
  <si>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</si>
  <si>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</si>
  <si>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</si>
  <si>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</si>
  <si>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</si>
  <si>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</si>
  <si>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</si>
  <si>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</si>
  <si>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</si>
  <si>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</si>
  <si>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</si>
  <si>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</si>
  <si>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</si>
  <si>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</si>
  <si>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</si>
  <si>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</si>
  <si>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</si>
  <si>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</si>
  <si>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</si>
  <si>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</si>
  <si>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</si>
  <si>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</si>
  <si>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</si>
  <si>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</si>
  <si>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</si>
  <si>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</si>
  <si>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</si>
  <si>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</si>
  <si>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</si>
  <si>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</si>
  <si>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</si>
  <si>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</si>
  <si>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</si>
  <si>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</si>
  <si>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</si>
  <si>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</si>
  <si>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</si>
  <si>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</si>
  <si>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</si>
  <si>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</si>
  <si>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</si>
  <si>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</si>
  <si>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</si>
  <si>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</si>
  <si>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</si>
  <si>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</si>
  <si>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</si>
  <si>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</si>
  <si>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</si>
  <si>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</si>
  <si>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</si>
  <si>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</si>
  <si>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</si>
  <si>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</si>
  <si>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</si>
  <si>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</si>
  <si>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</si>
  <si>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</si>
  <si>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</si>
  <si>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</si>
  <si>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</si>
  <si>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</si>
  <si>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</si>
  <si>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</si>
  <si>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</si>
  <si>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</si>
  <si>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</si>
  <si>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</si>
  <si>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</si>
  <si>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</si>
  <si>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</si>
  <si>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</si>
  <si>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</si>
  <si>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</si>
  <si>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</si>
  <si>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</si>
  <si>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</si>
  <si>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</si>
  <si>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</si>
  <si>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</si>
  <si>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</si>
  <si>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</si>
  <si>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</si>
  <si>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</si>
  <si>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</si>
  <si>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</si>
  <si>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</si>
  <si>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</si>
  <si>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</si>
  <si>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</si>
  <si>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</si>
  <si>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</si>
  <si>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</si>
  <si>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</si>
  <si>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</si>
  <si>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</si>
  <si>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</si>
  <si>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</si>
  <si>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</si>
  <si>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</si>
  <si>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</si>
  <si>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</si>
  <si>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</si>
  <si>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</si>
  <si>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</si>
  <si>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</si>
  <si>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</si>
  <si>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</si>
  <si>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</si>
  <si>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</si>
  <si>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</si>
  <si>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</si>
  <si>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</si>
  <si>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</si>
  <si>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</si>
  <si>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</si>
  <si>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</si>
  <si>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</si>
  <si>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</si>
  <si>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</si>
  <si>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</si>
  <si>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</si>
  <si>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</si>
  <si>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</si>
  <si>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</si>
  <si>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</si>
  <si>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</si>
  <si>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</si>
  <si>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</si>
  <si>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</si>
  <si>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</si>
  <si>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</si>
  <si>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</si>
  <si>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</si>
  <si>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</si>
  <si>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</si>
  <si>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</si>
  <si>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</si>
  <si>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</si>
  <si>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</si>
  <si>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</si>
  <si>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</si>
  <si>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</si>
  <si>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</si>
  <si>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</si>
  <si>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</si>
  <si>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</si>
  <si>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</si>
  <si>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</si>
  <si>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</si>
  <si>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</si>
  <si>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</si>
  <si>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</si>
  <si>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</si>
  <si>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</si>
  <si>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</si>
  <si>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</si>
  <si>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</si>
  <si>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</si>
  <si>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</si>
  <si>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</si>
  <si>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</si>
  <si>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</si>
  <si>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</si>
  <si>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</si>
  <si>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</si>
  <si>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</si>
  <si>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</si>
  <si>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</si>
  <si>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</si>
  <si>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</si>
  <si>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</si>
  <si>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</si>
  <si>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</si>
  <si>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</si>
  <si>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</si>
  <si>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</si>
  <si>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</si>
  <si>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</si>
  <si>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</si>
  <si>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</si>
  <si>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</si>
  <si>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</si>
  <si>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</si>
  <si>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</si>
  <si>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</si>
  <si>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</si>
  <si>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</si>
  <si>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</si>
  <si>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</si>
  <si>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</si>
  <si>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</si>
  <si>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</si>
  <si>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</si>
  <si>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</si>
  <si>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</si>
  <si>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</si>
  <si>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</si>
  <si>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</si>
  <si>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</si>
  <si>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</si>
  <si>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</si>
  <si>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</si>
  <si>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</si>
  <si>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</si>
  <si>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</si>
  <si>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</si>
  <si>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</si>
  <si>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</si>
  <si>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</si>
  <si>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</si>
  <si>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</si>
  <si>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</si>
  <si>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</si>
  <si>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</si>
  <si>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</si>
  <si>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</si>
  <si>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</si>
  <si>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</si>
  <si>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</si>
  <si>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</si>
  <si>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</si>
  <si>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</si>
  <si>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</si>
  <si>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</si>
  <si>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</si>
  <si>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</si>
  <si>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</si>
  <si>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</si>
  <si>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</si>
  <si>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</si>
  <si>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</si>
  <si>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</si>
  <si>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</si>
  <si>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</si>
  <si>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</si>
  <si>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</si>
  <si>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</si>
  <si>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</si>
  <si>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</si>
  <si>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</si>
  <si>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</si>
  <si>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</si>
  <si>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</si>
  <si>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</si>
  <si>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平均年齢</t>
    <rPh sb="0" eb="2">
      <t>ヘイキン</t>
    </rPh>
    <rPh sb="2" eb="4">
      <t>ネンレイ</t>
    </rPh>
    <phoneticPr fontId="3"/>
  </si>
  <si>
    <t>男性</t>
    <rPh sb="0" eb="2">
      <t>ダンセイ</t>
    </rPh>
    <phoneticPr fontId="3"/>
  </si>
  <si>
    <t>女性</t>
    <rPh sb="0" eb="2">
      <t>ジョセイ</t>
    </rPh>
    <phoneticPr fontId="3"/>
  </si>
  <si>
    <t>重複候補者数</t>
    <rPh sb="0" eb="2">
      <t>チョウフク</t>
    </rPh>
    <rPh sb="2" eb="5">
      <t>コウホシャ</t>
    </rPh>
    <rPh sb="5" eb="6">
      <t>スウ</t>
    </rPh>
    <phoneticPr fontId="3"/>
  </si>
  <si>
    <t>301比例北海道</t>
    <rPh sb="3" eb="5">
      <t>ヒレイ</t>
    </rPh>
    <rPh sb="5" eb="8">
      <t>ホッカイドウ</t>
    </rPh>
    <phoneticPr fontId="3"/>
  </si>
  <si>
    <t>302比例東北</t>
    <rPh sb="3" eb="5">
      <t>ヒレイ</t>
    </rPh>
    <rPh sb="5" eb="7">
      <t>トウホク</t>
    </rPh>
    <phoneticPr fontId="3"/>
  </si>
  <si>
    <t>303比例北関東</t>
    <rPh sb="3" eb="5">
      <t>ヒレイ</t>
    </rPh>
    <rPh sb="5" eb="8">
      <t>キタカントウ</t>
    </rPh>
    <phoneticPr fontId="3"/>
  </si>
  <si>
    <t>304比例南関東</t>
    <rPh sb="3" eb="5">
      <t>ヒレイ</t>
    </rPh>
    <rPh sb="5" eb="8">
      <t>ミナミカントウ</t>
    </rPh>
    <phoneticPr fontId="3"/>
  </si>
  <si>
    <t>305比例東京</t>
    <rPh sb="3" eb="5">
      <t>ヒレイ</t>
    </rPh>
    <rPh sb="5" eb="7">
      <t>トウキョウ</t>
    </rPh>
    <phoneticPr fontId="3"/>
  </si>
  <si>
    <t>306比例北信越</t>
    <rPh sb="3" eb="5">
      <t>ヒレイ</t>
    </rPh>
    <rPh sb="5" eb="8">
      <t>ホクシンエツ</t>
    </rPh>
    <phoneticPr fontId="3"/>
  </si>
  <si>
    <t>307比例東海</t>
    <rPh sb="3" eb="5">
      <t>ヒレイ</t>
    </rPh>
    <rPh sb="5" eb="7">
      <t>トウカイ</t>
    </rPh>
    <phoneticPr fontId="3"/>
  </si>
  <si>
    <t>308比例近畿</t>
    <rPh sb="3" eb="5">
      <t>ヒレイ</t>
    </rPh>
    <rPh sb="5" eb="7">
      <t>キンキ</t>
    </rPh>
    <phoneticPr fontId="3"/>
  </si>
  <si>
    <t>309比例中国</t>
    <rPh sb="3" eb="5">
      <t>ヒレイ</t>
    </rPh>
    <rPh sb="5" eb="7">
      <t>チュウゴク</t>
    </rPh>
    <phoneticPr fontId="3"/>
  </si>
  <si>
    <t>310比例四国</t>
    <rPh sb="3" eb="5">
      <t>ヒレイ</t>
    </rPh>
    <rPh sb="5" eb="7">
      <t>シコク</t>
    </rPh>
    <phoneticPr fontId="3"/>
  </si>
  <si>
    <t>311比例九州</t>
    <rPh sb="3" eb="5">
      <t>ヒレイ</t>
    </rPh>
    <rPh sb="5" eb="7">
      <t>キュウシュウ</t>
    </rPh>
    <phoneticPr fontId="3"/>
  </si>
  <si>
    <t>政党名</t>
    <rPh sb="0" eb="3">
      <t>セイトウメイ</t>
    </rPh>
    <phoneticPr fontId="3"/>
  </si>
  <si>
    <t>民主党</t>
    <rPh sb="0" eb="3">
      <t>ミンシュトウ</t>
    </rPh>
    <phoneticPr fontId="3"/>
  </si>
  <si>
    <t>予想印</t>
    <rPh sb="0" eb="2">
      <t>ヨソウ</t>
    </rPh>
    <rPh sb="2" eb="3">
      <t>イン</t>
    </rPh>
    <phoneticPr fontId="3"/>
  </si>
  <si>
    <t>数</t>
    <rPh sb="0" eb="1">
      <t>カズ</t>
    </rPh>
    <phoneticPr fontId="3"/>
  </si>
  <si>
    <t>○</t>
    <phoneticPr fontId="3"/>
  </si>
  <si>
    <t>△</t>
    <phoneticPr fontId="3"/>
  </si>
  <si>
    <t>☆</t>
    <phoneticPr fontId="3"/>
  </si>
  <si>
    <t>★</t>
    <phoneticPr fontId="3"/>
  </si>
  <si>
    <t>▲</t>
    <phoneticPr fontId="3"/>
  </si>
  <si>
    <t>×</t>
    <phoneticPr fontId="3"/>
  </si>
  <si>
    <t>無印</t>
    <rPh sb="0" eb="2">
      <t>ムジルシ</t>
    </rPh>
    <phoneticPr fontId="3"/>
  </si>
  <si>
    <t>自民党</t>
    <rPh sb="0" eb="3">
      <t>ジミントウ</t>
    </rPh>
    <phoneticPr fontId="3"/>
  </si>
  <si>
    <t>未来</t>
    <rPh sb="0" eb="2">
      <t>ミライ</t>
    </rPh>
    <phoneticPr fontId="3"/>
  </si>
  <si>
    <t>公明党</t>
    <rPh sb="0" eb="3">
      <t>コウメイトウ</t>
    </rPh>
    <phoneticPr fontId="3"/>
  </si>
  <si>
    <t>維新</t>
    <rPh sb="0" eb="2">
      <t>イシン</t>
    </rPh>
    <phoneticPr fontId="3"/>
  </si>
  <si>
    <t>みんな</t>
    <phoneticPr fontId="3"/>
  </si>
  <si>
    <t>共産党</t>
    <rPh sb="0" eb="3">
      <t>キョウサントウ</t>
    </rPh>
    <phoneticPr fontId="3"/>
  </si>
  <si>
    <t>社民党</t>
    <rPh sb="0" eb="3">
      <t>シャミントウ</t>
    </rPh>
    <phoneticPr fontId="3"/>
  </si>
  <si>
    <t>国民新</t>
    <rPh sb="0" eb="3">
      <t>コクミンシン</t>
    </rPh>
    <phoneticPr fontId="3"/>
  </si>
  <si>
    <t>大地</t>
    <rPh sb="0" eb="2">
      <t>ダイチ</t>
    </rPh>
    <phoneticPr fontId="3"/>
  </si>
  <si>
    <t>改革</t>
    <rPh sb="0" eb="2">
      <t>カイカク</t>
    </rPh>
    <phoneticPr fontId="3"/>
  </si>
  <si>
    <t>日本</t>
    <rPh sb="0" eb="2">
      <t>ニホン</t>
    </rPh>
    <phoneticPr fontId="3"/>
  </si>
  <si>
    <t>諸派</t>
    <rPh sb="0" eb="2">
      <t>ショハ</t>
    </rPh>
    <phoneticPr fontId="3"/>
  </si>
  <si>
    <t>無所属</t>
    <rPh sb="0" eb="3">
      <t>ムショゾク</t>
    </rPh>
    <phoneticPr fontId="3"/>
  </si>
  <si>
    <t>当選/落選</t>
    <rPh sb="0" eb="2">
      <t>トウセン</t>
    </rPh>
    <rPh sb="3" eb="5">
      <t>ラクセン</t>
    </rPh>
    <phoneticPr fontId="3"/>
  </si>
  <si>
    <t>修正値</t>
    <rPh sb="0" eb="3">
      <t>シュウセイチ</t>
    </rPh>
    <phoneticPr fontId="3"/>
  </si>
  <si>
    <t>－</t>
    <phoneticPr fontId="3"/>
  </si>
  <si>
    <t>＋</t>
    <phoneticPr fontId="3"/>
  </si>
  <si>
    <t>合計</t>
    <rPh sb="0" eb="2">
      <t>ゴウケイ</t>
    </rPh>
    <phoneticPr fontId="3"/>
  </si>
  <si>
    <t>高中(箕面自由学園)</t>
    <rPh sb="0" eb="1">
      <t>コウ</t>
    </rPh>
    <rPh sb="1" eb="2">
      <t>チュウ</t>
    </rPh>
    <rPh sb="3" eb="5">
      <t>ミノオ</t>
    </rPh>
    <rPh sb="5" eb="7">
      <t>ジユウ</t>
    </rPh>
    <rPh sb="7" eb="9">
      <t>ガクエン</t>
    </rPh>
    <phoneticPr fontId="3"/>
  </si>
  <si>
    <t>旧たちあがれ日本青年部長,医師(救急科)</t>
    <rPh sb="0" eb="1">
      <t>キュウ</t>
    </rPh>
    <rPh sb="6" eb="8">
      <t>ニホン</t>
    </rPh>
    <rPh sb="8" eb="10">
      <t>セイネン</t>
    </rPh>
    <rPh sb="10" eb="12">
      <t>ブチョウ</t>
    </rPh>
    <rPh sb="13" eb="15">
      <t>イシ</t>
    </rPh>
    <rPh sb="16" eb="18">
      <t>キュウキュウ</t>
    </rPh>
    <rPh sb="18" eb="19">
      <t>カ</t>
    </rPh>
    <phoneticPr fontId="3"/>
  </si>
  <si>
    <t>▲</t>
    <phoneticPr fontId="3"/>
  </si>
  <si>
    <t>★</t>
    <phoneticPr fontId="3"/>
  </si>
  <si>
    <t>小選挙区政党別当落予想集計</t>
    <rPh sb="0" eb="4">
      <t>ショウセンキョク</t>
    </rPh>
    <rPh sb="4" eb="7">
      <t>セイトウベツ</t>
    </rPh>
    <rPh sb="7" eb="9">
      <t>トウラク</t>
    </rPh>
    <rPh sb="9" eb="11">
      <t>ヨソウ</t>
    </rPh>
    <rPh sb="11" eb="13">
      <t>シュウケイ</t>
    </rPh>
    <phoneticPr fontId="3"/>
  </si>
  <si>
    <t>北海道</t>
    <rPh sb="0" eb="3">
      <t>ホッカイドウ</t>
    </rPh>
    <phoneticPr fontId="3"/>
  </si>
  <si>
    <t>東北</t>
    <rPh sb="0" eb="2">
      <t>トウホク</t>
    </rPh>
    <phoneticPr fontId="3"/>
  </si>
  <si>
    <t>北関東</t>
    <rPh sb="0" eb="3">
      <t>キタカントウ</t>
    </rPh>
    <phoneticPr fontId="3"/>
  </si>
  <si>
    <t>南関東</t>
    <rPh sb="0" eb="3">
      <t>ミナミカントウ</t>
    </rPh>
    <phoneticPr fontId="3"/>
  </si>
  <si>
    <t>東京</t>
    <rPh sb="0" eb="2">
      <t>トウキョウ</t>
    </rPh>
    <phoneticPr fontId="3"/>
  </si>
  <si>
    <t>北陸信越</t>
    <rPh sb="0" eb="2">
      <t>ホクリク</t>
    </rPh>
    <rPh sb="2" eb="4">
      <t>シンエツ</t>
    </rPh>
    <phoneticPr fontId="3"/>
  </si>
  <si>
    <t>東海</t>
    <rPh sb="0" eb="2">
      <t>トウカイ</t>
    </rPh>
    <phoneticPr fontId="3"/>
  </si>
  <si>
    <t>近畿</t>
    <rPh sb="0" eb="2">
      <t>キンキ</t>
    </rPh>
    <phoneticPr fontId="3"/>
  </si>
  <si>
    <t>中国</t>
    <rPh sb="0" eb="2">
      <t>チュウゴク</t>
    </rPh>
    <phoneticPr fontId="3"/>
  </si>
  <si>
    <t>四国</t>
    <rPh sb="0" eb="2">
      <t>シコク</t>
    </rPh>
    <phoneticPr fontId="3"/>
  </si>
  <si>
    <t>九州</t>
    <rPh sb="0" eb="2">
      <t>キュウシュウ</t>
    </rPh>
    <phoneticPr fontId="3"/>
  </si>
  <si>
    <t>総計</t>
    <rPh sb="0" eb="2">
      <t>ソウケイ</t>
    </rPh>
    <phoneticPr fontId="3"/>
  </si>
  <si>
    <t>民主党</t>
    <rPh sb="0" eb="3">
      <t>ミンシュトウ</t>
    </rPh>
    <phoneticPr fontId="3"/>
  </si>
  <si>
    <t>自民党</t>
    <rPh sb="0" eb="3">
      <t>ジミントウ</t>
    </rPh>
    <phoneticPr fontId="3"/>
  </si>
  <si>
    <t>未来</t>
    <rPh sb="0" eb="2">
      <t>ミライ</t>
    </rPh>
    <phoneticPr fontId="3"/>
  </si>
  <si>
    <t>公明党</t>
    <rPh sb="0" eb="3">
      <t>コウメイトウ</t>
    </rPh>
    <phoneticPr fontId="3"/>
  </si>
  <si>
    <t>維新</t>
    <rPh sb="0" eb="2">
      <t>イシン</t>
    </rPh>
    <phoneticPr fontId="3"/>
  </si>
  <si>
    <t>みんな</t>
    <phoneticPr fontId="3"/>
  </si>
  <si>
    <t>共産党</t>
    <rPh sb="0" eb="3">
      <t>キョウサントウ</t>
    </rPh>
    <phoneticPr fontId="3"/>
  </si>
  <si>
    <t>社民党</t>
    <rPh sb="0" eb="3">
      <t>シャミントウ</t>
    </rPh>
    <phoneticPr fontId="3"/>
  </si>
  <si>
    <t>国民新</t>
    <rPh sb="0" eb="3">
      <t>コクミンシン</t>
    </rPh>
    <phoneticPr fontId="3"/>
  </si>
  <si>
    <t>大地</t>
    <rPh sb="0" eb="2">
      <t>ダイチ</t>
    </rPh>
    <phoneticPr fontId="3"/>
  </si>
  <si>
    <t>改革</t>
    <rPh sb="0" eb="2">
      <t>カイカク</t>
    </rPh>
    <phoneticPr fontId="3"/>
  </si>
  <si>
    <t>日本</t>
    <rPh sb="0" eb="2">
      <t>ニホン</t>
    </rPh>
    <phoneticPr fontId="3"/>
  </si>
  <si>
    <t>諸派
(幸福)</t>
    <rPh sb="0" eb="2">
      <t>ショハ</t>
    </rPh>
    <rPh sb="4" eb="6">
      <t>コウフク</t>
    </rPh>
    <phoneticPr fontId="3"/>
  </si>
  <si>
    <t>定数</t>
    <rPh sb="0" eb="2">
      <t>テイスウ</t>
    </rPh>
    <phoneticPr fontId="3"/>
  </si>
  <si>
    <t>比例代表計算補助シート</t>
    <rPh sb="0" eb="2">
      <t>ヒレイ</t>
    </rPh>
    <rPh sb="2" eb="4">
      <t>ダイヒョウ</t>
    </rPh>
    <rPh sb="4" eb="6">
      <t>ケイサン</t>
    </rPh>
    <rPh sb="6" eb="8">
      <t>ホジョ</t>
    </rPh>
    <phoneticPr fontId="3"/>
  </si>
  <si>
    <t>政党</t>
    <rPh sb="0" eb="2">
      <t>セイトウ</t>
    </rPh>
    <phoneticPr fontId="3"/>
  </si>
  <si>
    <t>地区名</t>
    <rPh sb="0" eb="3">
      <t>チクメイ</t>
    </rPh>
    <phoneticPr fontId="3"/>
  </si>
  <si>
    <t>÷1</t>
    <phoneticPr fontId="3"/>
  </si>
  <si>
    <t>÷2</t>
  </si>
  <si>
    <t>÷3</t>
  </si>
  <si>
    <t>÷4</t>
  </si>
  <si>
    <t>÷5</t>
  </si>
  <si>
    <t>÷6</t>
  </si>
  <si>
    <t>÷7</t>
  </si>
  <si>
    <t>÷8</t>
  </si>
  <si>
    <t>÷9</t>
  </si>
  <si>
    <t>÷10</t>
  </si>
  <si>
    <t>÷11</t>
  </si>
  <si>
    <t>÷12</t>
  </si>
  <si>
    <t>÷13</t>
  </si>
  <si>
    <t>÷14</t>
  </si>
  <si>
    <t>諸派</t>
    <rPh sb="0" eb="2">
      <t>ショハ</t>
    </rPh>
    <phoneticPr fontId="3"/>
  </si>
  <si>
    <t>獲得議席予想</t>
    <rPh sb="0" eb="2">
      <t>カクトク</t>
    </rPh>
    <rPh sb="2" eb="4">
      <t>ギセキ</t>
    </rPh>
    <rPh sb="4" eb="6">
      <t>ヨソウ</t>
    </rPh>
    <phoneticPr fontId="3"/>
  </si>
  <si>
    <t>得票率予想</t>
    <rPh sb="0" eb="2">
      <t>トクヒョウ</t>
    </rPh>
    <rPh sb="2" eb="3">
      <t>リツ</t>
    </rPh>
    <rPh sb="3" eb="5">
      <t>ヨソウ</t>
    </rPh>
    <phoneticPr fontId="3"/>
  </si>
  <si>
    <t>民主）今野東　未来）中村哲治,姫井由美子,友近聡朗,外山斎　維新）藤井孝男,櫻内文城,小熊慎司,上野宏史</t>
    <rPh sb="0" eb="2">
      <t>ミンシュ</t>
    </rPh>
    <rPh sb="7" eb="9">
      <t>ミライ</t>
    </rPh>
    <rPh sb="10" eb="12">
      <t>ナカムラ</t>
    </rPh>
    <rPh sb="12" eb="14">
      <t>テツジ</t>
    </rPh>
    <rPh sb="15" eb="17">
      <t>ヒメイ</t>
    </rPh>
    <rPh sb="17" eb="20">
      <t>ユミコ</t>
    </rPh>
    <rPh sb="26" eb="28">
      <t>トヤマ</t>
    </rPh>
    <rPh sb="28" eb="29">
      <t>イツキ</t>
    </rPh>
    <rPh sb="30" eb="32">
      <t>イシン</t>
    </rPh>
    <phoneticPr fontId="3"/>
  </si>
  <si>
    <t>参院議員には，自動失職した9議員を含む</t>
    <rPh sb="0" eb="2">
      <t>サンイン</t>
    </rPh>
    <rPh sb="2" eb="4">
      <t>ギイン</t>
    </rPh>
    <rPh sb="7" eb="9">
      <t>ジドウ</t>
    </rPh>
    <rPh sb="9" eb="11">
      <t>シッショク</t>
    </rPh>
    <rPh sb="14" eb="16">
      <t>ギイン</t>
    </rPh>
    <rPh sb="17" eb="18">
      <t>フク</t>
    </rPh>
    <phoneticPr fontId="3"/>
  </si>
  <si>
    <t>衆議院の欠員は比例近畿，参議院の欠員は07比例自民と10山口</t>
    <rPh sb="0" eb="3">
      <t>シュウギイン</t>
    </rPh>
    <rPh sb="4" eb="6">
      <t>ケツイン</t>
    </rPh>
    <rPh sb="7" eb="9">
      <t>ヒレイ</t>
    </rPh>
    <rPh sb="9" eb="11">
      <t>キンキ</t>
    </rPh>
    <rPh sb="12" eb="15">
      <t>サンギイン</t>
    </rPh>
    <rPh sb="16" eb="18">
      <t>ケツイン</t>
    </rPh>
    <rPh sb="21" eb="23">
      <t>ヒレイ</t>
    </rPh>
    <rPh sb="23" eb="25">
      <t>ジミン</t>
    </rPh>
    <rPh sb="28" eb="30">
      <t>ヤマグチ</t>
    </rPh>
    <phoneticPr fontId="3"/>
  </si>
  <si>
    <t>総選挙に立候補しなかった前議員</t>
    <rPh sb="0" eb="3">
      <t>ソウセンキョ</t>
    </rPh>
    <rPh sb="4" eb="7">
      <t>リッコウホ</t>
    </rPh>
    <rPh sb="12" eb="15">
      <t>ゼンギイン</t>
    </rPh>
    <phoneticPr fontId="3"/>
  </si>
  <si>
    <t>036福島4区</t>
  </si>
  <si>
    <t>⑭</t>
  </si>
  <si>
    <t>大(早稲田)</t>
  </si>
  <si>
    <t>福島県議(会津若松市)</t>
  </si>
  <si>
    <t>民主党</t>
    <rPh sb="0" eb="3">
      <t>ミンシュトウ</t>
    </rPh>
    <phoneticPr fontId="3"/>
  </si>
  <si>
    <t>　元衆議院副議長,大臣(通産,自治,厚生),委長(予算,商工),政務次官(文部),民主党最高顧問,旧新進党副党首,総務会長</t>
    <rPh sb="22" eb="24">
      <t>イチョウ</t>
    </rPh>
    <rPh sb="25" eb="27">
      <t>ヨサン</t>
    </rPh>
    <rPh sb="28" eb="30">
      <t>ショウコウ</t>
    </rPh>
    <rPh sb="32" eb="34">
      <t>セイム</t>
    </rPh>
    <rPh sb="34" eb="36">
      <t>ジカン</t>
    </rPh>
    <rPh sb="37" eb="39">
      <t>モンブ</t>
    </rPh>
    <phoneticPr fontId="4"/>
  </si>
  <si>
    <t>146長野3区</t>
  </si>
  <si>
    <t>大(成城)</t>
  </si>
  <si>
    <t>会社員(小田急バス)</t>
  </si>
  <si>
    <t>　元首相,大臣(副総理・外務,大蔵,農水),委長(農水),政務次官(農水,郵政),民主党最高顧問,幹事長,旧民政党代表,旧新生党代表</t>
    <rPh sb="22" eb="24">
      <t>イチョウ</t>
    </rPh>
    <rPh sb="25" eb="27">
      <t>ノウスイ</t>
    </rPh>
    <rPh sb="29" eb="31">
      <t>セイム</t>
    </rPh>
    <rPh sb="31" eb="33">
      <t>ジカン</t>
    </rPh>
    <rPh sb="34" eb="36">
      <t>ノウスイ</t>
    </rPh>
    <rPh sb="37" eb="39">
      <t>ユウセイ</t>
    </rPh>
    <phoneticPr fontId="4"/>
  </si>
  <si>
    <t>二</t>
  </si>
  <si>
    <t>単</t>
  </si>
  <si>
    <t>304比例南関東07</t>
  </si>
  <si>
    <t>⑦</t>
  </si>
  <si>
    <t>大(東京)</t>
  </si>
  <si>
    <t>大蔵省主計局主計官</t>
    <rPh sb="3" eb="6">
      <t>シュケイキョク</t>
    </rPh>
    <phoneticPr fontId="4"/>
  </si>
  <si>
    <t>　元大臣(財務,大蔵),委長(大蔵,参大蔵),副大臣(官房),政務次官(大蔵),首相補佐官,民主党幹事長,旧自由党幹事長・政調会長,参2</t>
    <rPh sb="12" eb="14">
      <t>イチョウ</t>
    </rPh>
    <rPh sb="15" eb="17">
      <t>オオクラ</t>
    </rPh>
    <rPh sb="18" eb="19">
      <t>サン</t>
    </rPh>
    <rPh sb="19" eb="21">
      <t>オオクラ</t>
    </rPh>
    <rPh sb="23" eb="26">
      <t>フクダイジン</t>
    </rPh>
    <rPh sb="27" eb="29">
      <t>カンボウ</t>
    </rPh>
    <rPh sb="31" eb="33">
      <t>セイム</t>
    </rPh>
    <rPh sb="33" eb="35">
      <t>ジカン</t>
    </rPh>
    <rPh sb="36" eb="38">
      <t>オオクラ</t>
    </rPh>
    <rPh sb="40" eb="42">
      <t>シュショウ</t>
    </rPh>
    <rPh sb="42" eb="45">
      <t>ホサカン</t>
    </rPh>
    <rPh sb="49" eb="52">
      <t>カンジチョウ</t>
    </rPh>
    <rPh sb="61" eb="63">
      <t>セイチョウ</t>
    </rPh>
    <rPh sb="63" eb="65">
      <t>カイチョウ</t>
    </rPh>
    <phoneticPr fontId="4"/>
  </si>
  <si>
    <t>官鞍</t>
  </si>
  <si>
    <t>199大阪8区</t>
  </si>
  <si>
    <t>⑪</t>
  </si>
  <si>
    <t>大(関西)</t>
  </si>
  <si>
    <t>大阪府・豊中市議,旧民社党職員</t>
    <rPh sb="9" eb="10">
      <t>キュウ</t>
    </rPh>
    <rPh sb="10" eb="13">
      <t>ミンシャトウ</t>
    </rPh>
    <rPh sb="13" eb="15">
      <t>ショクイン</t>
    </rPh>
    <phoneticPr fontId="4"/>
  </si>
  <si>
    <t>　元衆議院副議長,大臣(公安・拉致),委長(一体特,外務),民主党幹事長,副代表,政調会長,代表代行,旧新党友愛代表,旧新進党国対委長,政審会長,旧民社党書記長,政審会長</t>
    <rPh sb="19" eb="21">
      <t>イチョウ</t>
    </rPh>
    <rPh sb="22" eb="24">
      <t>イッタイ</t>
    </rPh>
    <rPh sb="24" eb="25">
      <t>トク</t>
    </rPh>
    <rPh sb="26" eb="28">
      <t>ガイム</t>
    </rPh>
    <rPh sb="46" eb="48">
      <t>ダイヒョウ</t>
    </rPh>
    <rPh sb="48" eb="50">
      <t>ダイコウ</t>
    </rPh>
    <rPh sb="51" eb="52">
      <t>キュウ</t>
    </rPh>
    <rPh sb="52" eb="54">
      <t>シントウ</t>
    </rPh>
    <rPh sb="54" eb="56">
      <t>ユウアイ</t>
    </rPh>
    <rPh sb="56" eb="58">
      <t>ダイヒョウ</t>
    </rPh>
    <rPh sb="63" eb="67">
      <t>コクタイイチョウ</t>
    </rPh>
    <rPh sb="81" eb="83">
      <t>セイシン</t>
    </rPh>
    <rPh sb="83" eb="85">
      <t>カイチョウ</t>
    </rPh>
    <phoneticPr fontId="4"/>
  </si>
  <si>
    <t>177三重1区</t>
  </si>
  <si>
    <t>議員秘書(中井徳次郎)</t>
  </si>
  <si>
    <t>衆議院予算委員長，元大臣(公安・防災・拉致,法務),委長(国移特,商工),民主党副代表</t>
    <rPh sb="26" eb="28">
      <t>イチョウ</t>
    </rPh>
    <rPh sb="29" eb="30">
      <t>クニ</t>
    </rPh>
    <rPh sb="30" eb="31">
      <t>ワタル</t>
    </rPh>
    <rPh sb="31" eb="32">
      <t>トク</t>
    </rPh>
    <rPh sb="33" eb="35">
      <t>ショウコウ</t>
    </rPh>
    <rPh sb="37" eb="40">
      <t>ミンシュトウ</t>
    </rPh>
    <rPh sb="40" eb="43">
      <t>フクダイヒョウ</t>
    </rPh>
    <phoneticPr fontId="4"/>
  </si>
  <si>
    <t>沓掛　哲男</t>
    <phoneticPr fontId="4"/>
  </si>
  <si>
    <t>306比例北信越05</t>
  </si>
  <si>
    <t>①</t>
  </si>
  <si>
    <t>建設省技監</t>
  </si>
  <si>
    <t>　元大臣(公安・防災),委長(参倫選特,参商工),副大臣(環境),政務次官(通産),参4</t>
    <rPh sb="12" eb="14">
      <t>イチョウ</t>
    </rPh>
    <rPh sb="15" eb="16">
      <t>サン</t>
    </rPh>
    <rPh sb="16" eb="17">
      <t>リン</t>
    </rPh>
    <rPh sb="17" eb="18">
      <t>セン</t>
    </rPh>
    <rPh sb="18" eb="19">
      <t>トク</t>
    </rPh>
    <rPh sb="20" eb="21">
      <t>サン</t>
    </rPh>
    <rPh sb="21" eb="23">
      <t>ショウコウ</t>
    </rPh>
    <rPh sb="25" eb="28">
      <t>フクダイジン</t>
    </rPh>
    <rPh sb="29" eb="31">
      <t>カンキョウ</t>
    </rPh>
    <rPh sb="33" eb="35">
      <t>セイム</t>
    </rPh>
    <rPh sb="35" eb="37">
      <t>ジカン</t>
    </rPh>
    <rPh sb="38" eb="40">
      <t>ツウサン</t>
    </rPh>
    <phoneticPr fontId="4"/>
  </si>
  <si>
    <t>009北海道9区</t>
  </si>
  <si>
    <t>⑧</t>
  </si>
  <si>
    <t>大学教員(専修大学助教授)</t>
  </si>
  <si>
    <t>　元首相・民主党代表,副大臣(官房),政務次官(北開),民主党幹事長</t>
    <rPh sb="11" eb="14">
      <t>フクダイジン</t>
    </rPh>
    <rPh sb="15" eb="17">
      <t>カンボウ</t>
    </rPh>
    <rPh sb="19" eb="21">
      <t>セイム</t>
    </rPh>
    <rPh sb="21" eb="23">
      <t>ジカン</t>
    </rPh>
    <rPh sb="24" eb="26">
      <t>ホクカイ</t>
    </rPh>
    <rPh sb="28" eb="31">
      <t>ミンシュトウ</t>
    </rPh>
    <phoneticPr fontId="4"/>
  </si>
  <si>
    <t>ニ</t>
  </si>
  <si>
    <t>224奈良2区</t>
  </si>
  <si>
    <t>⑤</t>
  </si>
  <si>
    <t>消防庁長官(自治省)</t>
  </si>
  <si>
    <t>法務大臣，元大臣(法務),委長(法務),副大臣(法務),政務官(総務),新党日本総務会長</t>
    <rPh sb="0" eb="2">
      <t>ホウム</t>
    </rPh>
    <rPh sb="2" eb="4">
      <t>ダイジン</t>
    </rPh>
    <rPh sb="6" eb="8">
      <t>ダイジン</t>
    </rPh>
    <rPh sb="9" eb="11">
      <t>ホウム</t>
    </rPh>
    <phoneticPr fontId="4"/>
  </si>
  <si>
    <t>305比例東京03</t>
  </si>
  <si>
    <t>④</t>
  </si>
  <si>
    <t>大(日本女子)</t>
  </si>
  <si>
    <t>大学教員(飯田女子短大教授)</t>
    <rPh sb="2" eb="4">
      <t>キョウイン</t>
    </rPh>
    <rPh sb="11" eb="13">
      <t>キョウジュ</t>
    </rPh>
    <phoneticPr fontId="4"/>
  </si>
  <si>
    <t>　元委長(文科,消費特),民主党副代表</t>
    <rPh sb="2" eb="4">
      <t>イチョウ</t>
    </rPh>
    <rPh sb="5" eb="7">
      <t>モンカ</t>
    </rPh>
    <rPh sb="8" eb="10">
      <t>ショウヒ</t>
    </rPh>
    <rPh sb="10" eb="11">
      <t>トク</t>
    </rPh>
    <phoneticPr fontId="4"/>
  </si>
  <si>
    <t>307比例東海06</t>
  </si>
  <si>
    <t>高(四日市工)</t>
    <phoneticPr fontId="4"/>
  </si>
  <si>
    <t>三重県議(四日市市),三重県・四日市市議,富士電機労組役員</t>
    <rPh sb="11" eb="14">
      <t>ミエケン</t>
    </rPh>
    <rPh sb="15" eb="18">
      <t>ヨッカイチ</t>
    </rPh>
    <rPh sb="18" eb="20">
      <t>シギ</t>
    </rPh>
    <rPh sb="21" eb="23">
      <t>フジ</t>
    </rPh>
    <rPh sb="23" eb="25">
      <t>デンキ</t>
    </rPh>
    <rPh sb="25" eb="27">
      <t>ロウソ</t>
    </rPh>
    <rPh sb="27" eb="29">
      <t>ヤクイン</t>
    </rPh>
    <phoneticPr fontId="4"/>
  </si>
  <si>
    <t>労</t>
    <rPh sb="0" eb="1">
      <t>ロウ</t>
    </rPh>
    <phoneticPr fontId="4"/>
  </si>
  <si>
    <t>303比例北関東07</t>
  </si>
  <si>
    <t>埼玉県・和光市長</t>
  </si>
  <si>
    <t>首</t>
  </si>
  <si>
    <t>渡部　一夫</t>
    <rPh sb="0" eb="2">
      <t>ワタナベ</t>
    </rPh>
    <rPh sb="3" eb="5">
      <t>イップ</t>
    </rPh>
    <phoneticPr fontId="4"/>
  </si>
  <si>
    <t>302比例東北07</t>
  </si>
  <si>
    <t>高(小高工)</t>
    <rPh sb="0" eb="1">
      <t>コウ</t>
    </rPh>
    <rPh sb="2" eb="4">
      <t>コダカ</t>
    </rPh>
    <rPh sb="4" eb="5">
      <t>タクミ</t>
    </rPh>
    <phoneticPr fontId="4"/>
  </si>
  <si>
    <t>福島県・南相馬市議,議員秘書(石原洋三郎),連合地区議長</t>
    <rPh sb="0" eb="3">
      <t>フクシマケン</t>
    </rPh>
    <rPh sb="4" eb="7">
      <t>ミナミソウマ</t>
    </rPh>
    <rPh sb="7" eb="9">
      <t>シギ</t>
    </rPh>
    <rPh sb="10" eb="12">
      <t>ギイン</t>
    </rPh>
    <rPh sb="12" eb="14">
      <t>ヒショ</t>
    </rPh>
    <rPh sb="15" eb="17">
      <t>イシハラ</t>
    </rPh>
    <rPh sb="17" eb="20">
      <t>ヨウザブロウ</t>
    </rPh>
    <rPh sb="22" eb="24">
      <t>レンゴウ</t>
    </rPh>
    <rPh sb="24" eb="26">
      <t>チク</t>
    </rPh>
    <rPh sb="26" eb="28">
      <t>ギチョウ</t>
    </rPh>
    <phoneticPr fontId="4"/>
  </si>
  <si>
    <t>303比例北関東10</t>
  </si>
  <si>
    <t>高(宇都宮中央女子)</t>
  </si>
  <si>
    <t>栃木県難病連会長,法律事務所事務長</t>
    <rPh sb="9" eb="11">
      <t>ホウリツ</t>
    </rPh>
    <rPh sb="11" eb="14">
      <t>ジムショ</t>
    </rPh>
    <rPh sb="14" eb="17">
      <t>ジムチョウ</t>
    </rPh>
    <phoneticPr fontId="4"/>
  </si>
  <si>
    <t>308比例近畿03</t>
  </si>
  <si>
    <t>高(田辺)</t>
  </si>
  <si>
    <t>和歌山県議(西牟婁郡),白浜町職労役員</t>
    <rPh sb="12" eb="15">
      <t>シラハマチョウ</t>
    </rPh>
    <rPh sb="15" eb="16">
      <t>ショク</t>
    </rPh>
    <rPh sb="16" eb="17">
      <t>ロウ</t>
    </rPh>
    <rPh sb="17" eb="19">
      <t>ヤクイン</t>
    </rPh>
    <phoneticPr fontId="4"/>
  </si>
  <si>
    <t>302比例東北06</t>
    <phoneticPr fontId="4"/>
  </si>
  <si>
    <t>大(東京国際)</t>
  </si>
  <si>
    <t>大学教員(郡山女子大学講師),福島県理学療法士会長</t>
    <rPh sb="0" eb="2">
      <t>ダイガク</t>
    </rPh>
    <rPh sb="2" eb="4">
      <t>キョウイン</t>
    </rPh>
    <rPh sb="5" eb="7">
      <t>コオリヤマ</t>
    </rPh>
    <rPh sb="7" eb="9">
      <t>ジョシ</t>
    </rPh>
    <rPh sb="9" eb="11">
      <t>ダイガク</t>
    </rPh>
    <rPh sb="11" eb="13">
      <t>コウシ</t>
    </rPh>
    <phoneticPr fontId="4"/>
  </si>
  <si>
    <t>307比例東海07</t>
  </si>
  <si>
    <t>大院中(早稲田)</t>
  </si>
  <si>
    <t>岐阜県・下呂市長,岐阜県・下呂町議</t>
    <rPh sb="9" eb="12">
      <t>ギフケン</t>
    </rPh>
    <rPh sb="13" eb="15">
      <t>ゲロ</t>
    </rPh>
    <rPh sb="15" eb="17">
      <t>チョウギ</t>
    </rPh>
    <phoneticPr fontId="4"/>
  </si>
  <si>
    <t>086神奈川4区</t>
  </si>
  <si>
    <t>大院(東京)</t>
    <rPh sb="3" eb="5">
      <t>トウキョウ</t>
    </rPh>
    <phoneticPr fontId="4"/>
  </si>
  <si>
    <t>神奈川県・逗子市長,神奈川県・鎌倉市議,テレビ記者(フジテレビ)</t>
    <rPh sb="10" eb="14">
      <t>カナガワケン</t>
    </rPh>
    <rPh sb="15" eb="17">
      <t>カマクラ</t>
    </rPh>
    <rPh sb="17" eb="19">
      <t>シギ</t>
    </rPh>
    <phoneticPr fontId="4"/>
  </si>
  <si>
    <t>首ジ</t>
  </si>
  <si>
    <t>196大阪5区</t>
  </si>
  <si>
    <t>②</t>
  </si>
  <si>
    <t>高(大阪星光学院)</t>
  </si>
  <si>
    <t>大阪地方自治研究センター副理事長,大阪市職労副委員長</t>
    <rPh sb="17" eb="19">
      <t>オオサカ</t>
    </rPh>
    <rPh sb="19" eb="21">
      <t>シショク</t>
    </rPh>
    <rPh sb="21" eb="22">
      <t>ロウ</t>
    </rPh>
    <rPh sb="22" eb="26">
      <t>フクイインチョウ</t>
    </rPh>
    <phoneticPr fontId="4"/>
  </si>
  <si>
    <t>総務・内閣府政務官</t>
    <rPh sb="0" eb="2">
      <t>ソウム</t>
    </rPh>
    <rPh sb="3" eb="6">
      <t>ナイカクフ</t>
    </rPh>
    <rPh sb="6" eb="9">
      <t>セイムカン</t>
    </rPh>
    <phoneticPr fontId="4"/>
  </si>
  <si>
    <t>労</t>
  </si>
  <si>
    <t>139石川2区</t>
  </si>
  <si>
    <t>新聞記者(産経新聞)</t>
  </si>
  <si>
    <t>　元首相・自民党総裁,大臣(建設,通産,文部),委長(議運),副大臣(官房),政務次官(総務),自民党幹事長,総務会長,政調会長,政調会長代理</t>
    <rPh sb="24" eb="26">
      <t>イチョウ</t>
    </rPh>
    <rPh sb="27" eb="28">
      <t>ギ</t>
    </rPh>
    <rPh sb="28" eb="29">
      <t>ウン</t>
    </rPh>
    <rPh sb="31" eb="34">
      <t>フクダイジン</t>
    </rPh>
    <rPh sb="35" eb="37">
      <t>カンボウ</t>
    </rPh>
    <rPh sb="39" eb="41">
      <t>セイム</t>
    </rPh>
    <rPh sb="41" eb="43">
      <t>ジカン</t>
    </rPh>
    <rPh sb="44" eb="46">
      <t>ソウム</t>
    </rPh>
    <rPh sb="48" eb="51">
      <t>ジミントウ</t>
    </rPh>
    <rPh sb="65" eb="67">
      <t>セイチョウ</t>
    </rPh>
    <rPh sb="67" eb="69">
      <t>カイチョウ</t>
    </rPh>
    <rPh sb="69" eb="71">
      <t>ダイリ</t>
    </rPh>
    <phoneticPr fontId="4"/>
  </si>
  <si>
    <t>269福岡7区</t>
  </si>
  <si>
    <t>⑩</t>
  </si>
  <si>
    <t>大(日本)</t>
  </si>
  <si>
    <t>議員秘書(鬼丸勝之,遠藤政夫)</t>
    <rPh sb="5" eb="7">
      <t>オニマル</t>
    </rPh>
    <rPh sb="7" eb="9">
      <t>カツユキ</t>
    </rPh>
    <phoneticPr fontId="4"/>
  </si>
  <si>
    <t>　元大臣(運輸),委長(建設),政務次官(建設),自民党幹事長,国対委長</t>
    <rPh sb="9" eb="11">
      <t>イチョウ</t>
    </rPh>
    <rPh sb="12" eb="14">
      <t>ケンセツ</t>
    </rPh>
    <rPh sb="16" eb="18">
      <t>セイム</t>
    </rPh>
    <rPh sb="18" eb="20">
      <t>ジカン</t>
    </rPh>
    <rPh sb="21" eb="23">
      <t>ケンセツ</t>
    </rPh>
    <phoneticPr fontId="4"/>
  </si>
  <si>
    <t>309比例中国10</t>
  </si>
  <si>
    <t>新聞記者(日本経済新聞)</t>
  </si>
  <si>
    <t>　元大臣(官房・沖縄,科技),委長(議運,経済特,科技),政務次官(通産,国土),首相補佐官,自民党幹事長,政調会長,国対委長,幹事長代理</t>
    <rPh sb="15" eb="17">
      <t>イチョウ</t>
    </rPh>
    <rPh sb="18" eb="19">
      <t>ギ</t>
    </rPh>
    <rPh sb="19" eb="20">
      <t>ウン</t>
    </rPh>
    <rPh sb="21" eb="23">
      <t>ケイザイ</t>
    </rPh>
    <rPh sb="23" eb="24">
      <t>トク</t>
    </rPh>
    <rPh sb="25" eb="27">
      <t>カギ</t>
    </rPh>
    <rPh sb="29" eb="31">
      <t>セイム</t>
    </rPh>
    <rPh sb="31" eb="33">
      <t>ジカン</t>
    </rPh>
    <rPh sb="34" eb="36">
      <t>ツウサン</t>
    </rPh>
    <rPh sb="37" eb="39">
      <t>コクド</t>
    </rPh>
    <rPh sb="41" eb="43">
      <t>シュショウ</t>
    </rPh>
    <rPh sb="43" eb="46">
      <t>ホサカン</t>
    </rPh>
    <rPh sb="54" eb="56">
      <t>セイチョウ</t>
    </rPh>
    <rPh sb="56" eb="58">
      <t>カイチョウ</t>
    </rPh>
    <phoneticPr fontId="4"/>
  </si>
  <si>
    <t>ジ二</t>
  </si>
  <si>
    <t>大野　功統</t>
    <phoneticPr fontId="4"/>
  </si>
  <si>
    <t>255香川3区</t>
  </si>
  <si>
    <t>大蔵省国際機構課長</t>
  </si>
  <si>
    <t>　元大臣(防衛),委長(議運,運輸),副大臣(文科),政務次官(科技,大蔵,郵政)</t>
    <rPh sb="9" eb="11">
      <t>イチョウ</t>
    </rPh>
    <rPh sb="12" eb="13">
      <t>ギ</t>
    </rPh>
    <rPh sb="13" eb="14">
      <t>ウン</t>
    </rPh>
    <rPh sb="15" eb="17">
      <t>ウンユ</t>
    </rPh>
    <rPh sb="19" eb="22">
      <t>フクダイジン</t>
    </rPh>
    <rPh sb="23" eb="25">
      <t>モンカ</t>
    </rPh>
    <rPh sb="27" eb="29">
      <t>セイム</t>
    </rPh>
    <rPh sb="29" eb="31">
      <t>ジカン</t>
    </rPh>
    <rPh sb="32" eb="34">
      <t>カギ</t>
    </rPh>
    <rPh sb="35" eb="37">
      <t>オオクラ</t>
    </rPh>
    <rPh sb="38" eb="40">
      <t>ユウセイ</t>
    </rPh>
    <phoneticPr fontId="4"/>
  </si>
  <si>
    <t>官二</t>
  </si>
  <si>
    <t>武部　　勤</t>
    <phoneticPr fontId="4"/>
  </si>
  <si>
    <t>301比例北海道05</t>
  </si>
  <si>
    <t>北海道議(北見市)</t>
  </si>
  <si>
    <t>　元大臣(農水),委長(議運,法務,商工),政務次官(運輸,北開),自民党幹事長</t>
    <rPh sb="9" eb="11">
      <t>イチョウ</t>
    </rPh>
    <rPh sb="12" eb="13">
      <t>ギ</t>
    </rPh>
    <rPh sb="13" eb="14">
      <t>ウン</t>
    </rPh>
    <rPh sb="15" eb="17">
      <t>ホウム</t>
    </rPh>
    <rPh sb="18" eb="20">
      <t>ショウコウ</t>
    </rPh>
    <rPh sb="22" eb="24">
      <t>セイム</t>
    </rPh>
    <rPh sb="24" eb="26">
      <t>ジカン</t>
    </rPh>
    <rPh sb="27" eb="29">
      <t>ウンユ</t>
    </rPh>
    <rPh sb="30" eb="31">
      <t>ホク</t>
    </rPh>
    <rPh sb="31" eb="32">
      <t>カイ</t>
    </rPh>
    <phoneticPr fontId="4"/>
  </si>
  <si>
    <t>053群馬4区</t>
  </si>
  <si>
    <t>議員秘書(福田赳夫)</t>
  </si>
  <si>
    <t>　元首相・自民党総裁,大臣(官房・沖開),委長(外務),政務次官(外務)</t>
    <rPh sb="17" eb="18">
      <t>オキ</t>
    </rPh>
    <rPh sb="18" eb="19">
      <t>カイ</t>
    </rPh>
    <rPh sb="21" eb="23">
      <t>イチョウ</t>
    </rPh>
    <rPh sb="24" eb="26">
      <t>ガイム</t>
    </rPh>
    <rPh sb="28" eb="30">
      <t>セイム</t>
    </rPh>
    <rPh sb="30" eb="32">
      <t>ジカン</t>
    </rPh>
    <rPh sb="33" eb="35">
      <t>ガイム</t>
    </rPh>
    <phoneticPr fontId="4"/>
  </si>
  <si>
    <t>306比例北信越10</t>
  </si>
  <si>
    <t>労働省労働法規課長</t>
  </si>
  <si>
    <t>　元大臣(法務),委長(法務),政務次官(労働,厚生)</t>
    <rPh sb="9" eb="11">
      <t>イチョウ</t>
    </rPh>
    <rPh sb="12" eb="14">
      <t>ホウム</t>
    </rPh>
    <rPh sb="16" eb="18">
      <t>セイム</t>
    </rPh>
    <rPh sb="18" eb="20">
      <t>ジカン</t>
    </rPh>
    <rPh sb="21" eb="23">
      <t>ロウドウ</t>
    </rPh>
    <rPh sb="24" eb="26">
      <t>コウセイ</t>
    </rPh>
    <phoneticPr fontId="4"/>
  </si>
  <si>
    <t>309比例中国08</t>
  </si>
  <si>
    <t>大(京都)</t>
  </si>
  <si>
    <t>大蔵省国際金融局調査課長</t>
  </si>
  <si>
    <t>　元大臣(公安・防災・有事),委長(経産),副大臣(内閣),政務次官(大蔵,経企),自民党国対委長代理</t>
    <rPh sb="15" eb="17">
      <t>イチョウ</t>
    </rPh>
    <rPh sb="18" eb="20">
      <t>ケイサン</t>
    </rPh>
    <rPh sb="22" eb="25">
      <t>フクダイジン</t>
    </rPh>
    <rPh sb="26" eb="28">
      <t>ナイカク</t>
    </rPh>
    <rPh sb="30" eb="32">
      <t>セイム</t>
    </rPh>
    <rPh sb="32" eb="34">
      <t>ジカン</t>
    </rPh>
    <rPh sb="35" eb="37">
      <t>オオクラ</t>
    </rPh>
    <rPh sb="38" eb="40">
      <t>ケイキ</t>
    </rPh>
    <rPh sb="42" eb="45">
      <t>ジミントウ</t>
    </rPh>
    <rPh sb="45" eb="49">
      <t>コクタイイチョウ</t>
    </rPh>
    <rPh sb="49" eb="51">
      <t>ダイリ</t>
    </rPh>
    <phoneticPr fontId="4"/>
  </si>
  <si>
    <t>226奈良4区</t>
  </si>
  <si>
    <t>⑥</t>
  </si>
  <si>
    <t>大(名古屋工)</t>
  </si>
  <si>
    <t>奈良県議(五條市)</t>
  </si>
  <si>
    <t>　元委長(財金),副大臣(財務),政務次官(自治),自民党幹事長代行,総務会長</t>
    <rPh sb="29" eb="32">
      <t>カンジチョウ</t>
    </rPh>
    <rPh sb="32" eb="34">
      <t>ダイコウ</t>
    </rPh>
    <phoneticPr fontId="4"/>
  </si>
  <si>
    <t>308比例近畿13</t>
  </si>
  <si>
    <t>大院(早稲田)</t>
  </si>
  <si>
    <t>大阪府・大阪市議,議員秘書(中曽根康弘)</t>
    <rPh sb="9" eb="11">
      <t>ギイン</t>
    </rPh>
    <rPh sb="11" eb="13">
      <t>ヒショ</t>
    </rPh>
    <rPh sb="14" eb="17">
      <t>ナカソネ</t>
    </rPh>
    <rPh sb="17" eb="19">
      <t>ヤスヒロ</t>
    </rPh>
    <phoneticPr fontId="4"/>
  </si>
  <si>
    <t>　元委長(拉致特,法務),政務次官(労働,環境)</t>
  </si>
  <si>
    <t>大阪府議(東大阪市)</t>
  </si>
  <si>
    <t>　元委長(環境),副大臣(経産),政務官(環境)</t>
  </si>
  <si>
    <t>308比例近畿12</t>
  </si>
  <si>
    <t>大(甲南女子)</t>
  </si>
  <si>
    <t>経済ジャーナリスト,テレビキャスター</t>
    <phoneticPr fontId="4"/>
  </si>
  <si>
    <t>304比例南関東09</t>
  </si>
  <si>
    <t>高(長狭)</t>
  </si>
  <si>
    <t>NPO法人理事長(大山千枚田保存会),農業</t>
    <rPh sb="9" eb="11">
      <t>オオヤマ</t>
    </rPh>
    <rPh sb="11" eb="14">
      <t>センマイダ</t>
    </rPh>
    <rPh sb="14" eb="17">
      <t>ホゾンカイ</t>
    </rPh>
    <rPh sb="19" eb="21">
      <t>ノウギョウ</t>
    </rPh>
    <phoneticPr fontId="4"/>
  </si>
  <si>
    <t>NPO法人会長(全国eコマース協議会),会社社長(ウォークス)</t>
    <rPh sb="8" eb="10">
      <t>ゼンコク</t>
    </rPh>
    <rPh sb="15" eb="18">
      <t>キョウギカイ</t>
    </rPh>
    <rPh sb="20" eb="22">
      <t>カイシャ</t>
    </rPh>
    <rPh sb="22" eb="24">
      <t>シャチョウ</t>
    </rPh>
    <phoneticPr fontId="4"/>
  </si>
  <si>
    <t>国民新党国対委員長</t>
    <rPh sb="0" eb="2">
      <t>コクミン</t>
    </rPh>
    <rPh sb="2" eb="4">
      <t>シントウ</t>
    </rPh>
    <rPh sb="4" eb="6">
      <t>コクタイ</t>
    </rPh>
    <rPh sb="6" eb="9">
      <t>イインチョウ</t>
    </rPh>
    <phoneticPr fontId="4"/>
  </si>
  <si>
    <t>307比例東海19</t>
  </si>
  <si>
    <t>大院(三重)</t>
  </si>
  <si>
    <t>医師(三重県赤十字血液センター所長)</t>
  </si>
  <si>
    <t>　元大臣(厚労,厚生,労働),公明党副代表,政審会長</t>
  </si>
  <si>
    <t>311比例九州17</t>
  </si>
  <si>
    <t>大(北九州)</t>
  </si>
  <si>
    <t>新聞記者(聖教新聞)</t>
  </si>
  <si>
    <t>　元委長(経産),政務次官(防衛),公明党副代表,国対委長</t>
  </si>
  <si>
    <t>308比例近畿25</t>
  </si>
  <si>
    <t>公明新聞記者</t>
  </si>
  <si>
    <t>　元委長(総務,国交),副大臣(厚労)</t>
  </si>
  <si>
    <t>303比例北関東18</t>
  </si>
  <si>
    <t>大(英/ケンブリッジ)</t>
  </si>
  <si>
    <t>外務省文化第二課長</t>
  </si>
  <si>
    <t>　元委長(文科,建設),副大臣(財務),政務次官(通産),公明党幹事長代理</t>
  </si>
  <si>
    <t>308比例近畿22</t>
  </si>
  <si>
    <t>大院(徳島)</t>
  </si>
  <si>
    <t>高専教諭(和歌山高専助教授)</t>
  </si>
  <si>
    <t>　元委長(文教),副大臣(厚労)</t>
  </si>
  <si>
    <t>308比例近畿21</t>
  </si>
  <si>
    <t>大中(学習院)</t>
  </si>
  <si>
    <t>学園理事長(池坊学園)</t>
  </si>
  <si>
    <t>　元委長(青少特,文科),副大臣(文科),政務官(文科)</t>
    <phoneticPr fontId="4"/>
  </si>
  <si>
    <t>308比例近畿27</t>
  </si>
  <si>
    <t>大阪府議(堺市)</t>
  </si>
  <si>
    <t>　参1</t>
  </si>
  <si>
    <t>鞍</t>
  </si>
  <si>
    <t>287大分2区</t>
  </si>
  <si>
    <t>③</t>
  </si>
  <si>
    <t>他(大分県立農業講習所)</t>
  </si>
  <si>
    <t>大分県議(大分市),自治労大分県本部書記長</t>
    <phoneticPr fontId="4"/>
  </si>
  <si>
    <t>社民党幹事長，元社民党国対委長</t>
    <rPh sb="7" eb="8">
      <t>モト</t>
    </rPh>
    <rPh sb="8" eb="11">
      <t>シャミントウ</t>
    </rPh>
    <rPh sb="11" eb="15">
      <t>コクタイイチョウ</t>
    </rPh>
    <phoneticPr fontId="4"/>
  </si>
  <si>
    <t>305比例東京11</t>
  </si>
  <si>
    <t>議員秘書(中曽根康弘)</t>
  </si>
  <si>
    <t>　元大臣(経財,財務,官房,金融経済財政,通産,文部),委長(議運,科技,商工),副大臣(官房),政務次官(通産),たちあがれ日本共同代表,自民党政調会長</t>
    <rPh sb="28" eb="30">
      <t>イチョウ</t>
    </rPh>
    <rPh sb="31" eb="32">
      <t>ギ</t>
    </rPh>
    <rPh sb="32" eb="33">
      <t>ウン</t>
    </rPh>
    <rPh sb="34" eb="36">
      <t>カギ</t>
    </rPh>
    <rPh sb="37" eb="39">
      <t>ショウコウ</t>
    </rPh>
    <rPh sb="41" eb="44">
      <t>フクダイジン</t>
    </rPh>
    <rPh sb="45" eb="47">
      <t>カンボウ</t>
    </rPh>
    <rPh sb="49" eb="51">
      <t>セイム</t>
    </rPh>
    <rPh sb="51" eb="53">
      <t>ジカン</t>
    </rPh>
    <rPh sb="54" eb="56">
      <t>ツウサン</t>
    </rPh>
    <phoneticPr fontId="4"/>
  </si>
  <si>
    <t>213兵庫3区</t>
  </si>
  <si>
    <t>(民改)</t>
  </si>
  <si>
    <t>大院(東京神学)</t>
  </si>
  <si>
    <t>牧師(日本基督教団),議員秘書(河上民雄)</t>
    <rPh sb="3" eb="9">
      <t>ニホンキリストキョウダン</t>
    </rPh>
    <rPh sb="11" eb="13">
      <t>ギイン</t>
    </rPh>
    <rPh sb="13" eb="15">
      <t>ヒショ</t>
    </rPh>
    <rPh sb="16" eb="18">
      <t>カワカミ</t>
    </rPh>
    <rPh sb="18" eb="20">
      <t>タミオ</t>
    </rPh>
    <phoneticPr fontId="4"/>
  </si>
  <si>
    <t>　元委長(政倫審,災害特,外務,石炭特),旧民主改革連合幹事長</t>
    <rPh sb="21" eb="22">
      <t>キュウ</t>
    </rPh>
    <rPh sb="22" eb="24">
      <t>ミンシュ</t>
    </rPh>
    <rPh sb="24" eb="26">
      <t>カイカク</t>
    </rPh>
    <rPh sb="26" eb="28">
      <t>レンゴウ</t>
    </rPh>
    <rPh sb="28" eb="31">
      <t>カンジチョウ</t>
    </rPh>
    <phoneticPr fontId="4"/>
  </si>
  <si>
    <t>303比例北関東08</t>
  </si>
  <si>
    <t>(民さ)</t>
  </si>
  <si>
    <t>議員秘書(五十嵐文彦)</t>
  </si>
  <si>
    <t>自民党</t>
    <rPh sb="0" eb="3">
      <t>ジミントウ</t>
    </rPh>
    <phoneticPr fontId="3"/>
  </si>
  <si>
    <t>未来</t>
    <rPh sb="0" eb="2">
      <t>ミライ</t>
    </rPh>
    <phoneticPr fontId="4"/>
  </si>
  <si>
    <t>第46回衆議院議員総選挙 各政党別議席獲得予想</t>
    <rPh sb="0" eb="1">
      <t>ダイ</t>
    </rPh>
    <rPh sb="3" eb="4">
      <t>カイ</t>
    </rPh>
    <rPh sb="4" eb="7">
      <t>シュウギイン</t>
    </rPh>
    <rPh sb="7" eb="9">
      <t>ギイン</t>
    </rPh>
    <rPh sb="9" eb="12">
      <t>ソウセンキョ</t>
    </rPh>
    <rPh sb="13" eb="16">
      <t>カクセイトウ</t>
    </rPh>
    <rPh sb="16" eb="17">
      <t>ベツ</t>
    </rPh>
    <rPh sb="17" eb="19">
      <t>ギセキ</t>
    </rPh>
    <rPh sb="19" eb="21">
      <t>カクトク</t>
    </rPh>
    <rPh sb="21" eb="23">
      <t>ヨソウ</t>
    </rPh>
    <phoneticPr fontId="3"/>
  </si>
  <si>
    <t>無所属</t>
    <rPh sb="0" eb="3">
      <t>ムショゾク</t>
    </rPh>
    <phoneticPr fontId="3"/>
  </si>
  <si>
    <t>小選挙区</t>
    <rPh sb="0" eb="4">
      <t>ショウセンキョク</t>
    </rPh>
    <phoneticPr fontId="3"/>
  </si>
  <si>
    <t>比例代表</t>
    <rPh sb="0" eb="2">
      <t>ヒレイ</t>
    </rPh>
    <rPh sb="2" eb="4">
      <t>ダイヒョウ</t>
    </rPh>
    <phoneticPr fontId="3"/>
  </si>
  <si>
    <t>合計</t>
    <rPh sb="0" eb="2">
      <t>ゴウケイ</t>
    </rPh>
    <phoneticPr fontId="3"/>
  </si>
  <si>
    <t>最小値</t>
    <rPh sb="0" eb="3">
      <t>サイショウチ</t>
    </rPh>
    <phoneticPr fontId="3"/>
  </si>
  <si>
    <t>予測値</t>
    <rPh sb="0" eb="3">
      <t>ヨソクチ</t>
    </rPh>
    <phoneticPr fontId="3"/>
  </si>
  <si>
    <t>最大値</t>
    <rPh sb="0" eb="3">
      <t>サイダイチ</t>
    </rPh>
    <phoneticPr fontId="3"/>
  </si>
  <si>
    <t>公示時勢力</t>
    <rPh sb="0" eb="2">
      <t>コウジ</t>
    </rPh>
    <rPh sb="2" eb="3">
      <t>ジ</t>
    </rPh>
    <rPh sb="3" eb="5">
      <t>セイリョク</t>
    </rPh>
    <phoneticPr fontId="3"/>
  </si>
  <si>
    <t>増減</t>
    <rPh sb="0" eb="2">
      <t>ゾウゲン</t>
    </rPh>
    <phoneticPr fontId="3"/>
  </si>
  <si>
    <t>予想短評</t>
    <rPh sb="0" eb="2">
      <t>ヨソウ</t>
    </rPh>
    <rPh sb="2" eb="4">
      <t>タンピョウ</t>
    </rPh>
    <phoneticPr fontId="3"/>
  </si>
  <si>
    <t>小選挙区・比例代表ともに議席大幅減の見通し，結党以来最低の議席数の可能性も</t>
    <rPh sb="0" eb="4">
      <t>ショウセンキョク</t>
    </rPh>
    <rPh sb="5" eb="7">
      <t>ヒレイ</t>
    </rPh>
    <rPh sb="7" eb="9">
      <t>ダイヒョウ</t>
    </rPh>
    <rPh sb="12" eb="14">
      <t>ギセキ</t>
    </rPh>
    <rPh sb="14" eb="17">
      <t>オオハバゲン</t>
    </rPh>
    <rPh sb="18" eb="20">
      <t>ミトオ</t>
    </rPh>
    <rPh sb="22" eb="24">
      <t>ケットウ</t>
    </rPh>
    <rPh sb="24" eb="26">
      <t>イライ</t>
    </rPh>
    <rPh sb="26" eb="28">
      <t>サイテイ</t>
    </rPh>
    <rPh sb="29" eb="32">
      <t>ギセキスウ</t>
    </rPh>
    <rPh sb="33" eb="36">
      <t>カノウセイ</t>
    </rPh>
    <phoneticPr fontId="3"/>
  </si>
  <si>
    <t>小選挙区で圧倒的優位に立ち，単独で絶対安定多数を上回る公算</t>
    <rPh sb="0" eb="4">
      <t>ショウセンキョク</t>
    </rPh>
    <rPh sb="5" eb="8">
      <t>アットウテキ</t>
    </rPh>
    <rPh sb="8" eb="10">
      <t>ユウイ</t>
    </rPh>
    <rPh sb="11" eb="12">
      <t>タ</t>
    </rPh>
    <rPh sb="14" eb="16">
      <t>タンドク</t>
    </rPh>
    <rPh sb="17" eb="19">
      <t>ゼッタイ</t>
    </rPh>
    <rPh sb="19" eb="21">
      <t>アンテイ</t>
    </rPh>
    <rPh sb="21" eb="23">
      <t>タスウ</t>
    </rPh>
    <rPh sb="24" eb="26">
      <t>ウワマワ</t>
    </rPh>
    <rPh sb="27" eb="29">
      <t>コウサン</t>
    </rPh>
    <phoneticPr fontId="3"/>
  </si>
  <si>
    <t>小選挙区で失地回復し，30議席台に乗せそう</t>
    <rPh sb="0" eb="4">
      <t>ショウセンキョク</t>
    </rPh>
    <rPh sb="5" eb="7">
      <t>シッチ</t>
    </rPh>
    <rPh sb="7" eb="9">
      <t>カイフク</t>
    </rPh>
    <rPh sb="13" eb="15">
      <t>ギセキ</t>
    </rPh>
    <rPh sb="15" eb="16">
      <t>ダイ</t>
    </rPh>
    <rPh sb="17" eb="18">
      <t>ノ</t>
    </rPh>
    <phoneticPr fontId="3"/>
  </si>
  <si>
    <t>小選挙区・比例代表ともに厳しい戦い，大幅に議席を減らす見通し</t>
    <rPh sb="0" eb="4">
      <t>ショウセンキョク</t>
    </rPh>
    <rPh sb="5" eb="7">
      <t>ヒレイ</t>
    </rPh>
    <rPh sb="7" eb="9">
      <t>ダイヒョウ</t>
    </rPh>
    <rPh sb="12" eb="13">
      <t>キビ</t>
    </rPh>
    <rPh sb="15" eb="16">
      <t>タタカ</t>
    </rPh>
    <rPh sb="18" eb="20">
      <t>オオハバ</t>
    </rPh>
    <rPh sb="21" eb="23">
      <t>ギセキ</t>
    </rPh>
    <rPh sb="24" eb="25">
      <t>ヘ</t>
    </rPh>
    <rPh sb="27" eb="29">
      <t>ミトオ</t>
    </rPh>
    <phoneticPr fontId="3"/>
  </si>
  <si>
    <t>第三極の波に乗れず，現有議席を増やすが伸びは大きくなさそう</t>
    <rPh sb="0" eb="1">
      <t>ダイ</t>
    </rPh>
    <rPh sb="1" eb="2">
      <t>サン</t>
    </rPh>
    <rPh sb="2" eb="3">
      <t>キョク</t>
    </rPh>
    <rPh sb="4" eb="5">
      <t>ナミ</t>
    </rPh>
    <rPh sb="6" eb="7">
      <t>ノ</t>
    </rPh>
    <rPh sb="10" eb="12">
      <t>ゲンユウ</t>
    </rPh>
    <rPh sb="12" eb="14">
      <t>ギセキ</t>
    </rPh>
    <rPh sb="15" eb="16">
      <t>フ</t>
    </rPh>
    <rPh sb="19" eb="20">
      <t>ノ</t>
    </rPh>
    <rPh sb="22" eb="23">
      <t>オオ</t>
    </rPh>
    <phoneticPr fontId="3"/>
  </si>
  <si>
    <t>現有議席の維持が微妙な情勢，比例代表で議席確保を目指す</t>
    <rPh sb="0" eb="2">
      <t>ゲンユウ</t>
    </rPh>
    <rPh sb="2" eb="4">
      <t>ギセキ</t>
    </rPh>
    <rPh sb="5" eb="7">
      <t>イジ</t>
    </rPh>
    <rPh sb="8" eb="10">
      <t>ビミョウ</t>
    </rPh>
    <rPh sb="11" eb="13">
      <t>ジョウセイ</t>
    </rPh>
    <rPh sb="14" eb="16">
      <t>ヒレイ</t>
    </rPh>
    <rPh sb="16" eb="18">
      <t>ダイヒョウ</t>
    </rPh>
    <rPh sb="19" eb="21">
      <t>ギセキ</t>
    </rPh>
    <rPh sb="21" eb="23">
      <t>カクホ</t>
    </rPh>
    <rPh sb="24" eb="26">
      <t>メザ</t>
    </rPh>
    <phoneticPr fontId="3"/>
  </si>
  <si>
    <t>現有議席の維持は困難な情勢</t>
    <rPh sb="0" eb="2">
      <t>ゲンユウ</t>
    </rPh>
    <rPh sb="2" eb="4">
      <t>ギセキ</t>
    </rPh>
    <rPh sb="5" eb="7">
      <t>イジ</t>
    </rPh>
    <rPh sb="8" eb="10">
      <t>コンナン</t>
    </rPh>
    <rPh sb="11" eb="13">
      <t>ジョウセイ</t>
    </rPh>
    <phoneticPr fontId="3"/>
  </si>
  <si>
    <t>現有議席の維持が微妙な情勢，小選挙区での戦いに賭ける</t>
    <rPh sb="0" eb="2">
      <t>ゲンユウ</t>
    </rPh>
    <rPh sb="2" eb="4">
      <t>ギセキ</t>
    </rPh>
    <rPh sb="5" eb="7">
      <t>イジ</t>
    </rPh>
    <rPh sb="8" eb="10">
      <t>ビミョウ</t>
    </rPh>
    <rPh sb="11" eb="13">
      <t>ジョウセイ</t>
    </rPh>
    <rPh sb="14" eb="18">
      <t>ショウセンキョク</t>
    </rPh>
    <rPh sb="20" eb="21">
      <t>タタカ</t>
    </rPh>
    <rPh sb="23" eb="24">
      <t>カ</t>
    </rPh>
    <phoneticPr fontId="3"/>
  </si>
  <si>
    <t>現有議席からの積み増しは厳しい状況</t>
    <rPh sb="0" eb="2">
      <t>ゲンユウ</t>
    </rPh>
    <rPh sb="2" eb="4">
      <t>ギセキ</t>
    </rPh>
    <rPh sb="7" eb="8">
      <t>ツ</t>
    </rPh>
    <rPh sb="9" eb="10">
      <t>マ</t>
    </rPh>
    <rPh sb="12" eb="13">
      <t>キビ</t>
    </rPh>
    <rPh sb="15" eb="17">
      <t>ジョウキョウ</t>
    </rPh>
    <phoneticPr fontId="3"/>
  </si>
  <si>
    <t>議席の確保は難しい状況</t>
    <rPh sb="0" eb="2">
      <t>ギセキ</t>
    </rPh>
    <rPh sb="3" eb="5">
      <t>カクホ</t>
    </rPh>
    <rPh sb="6" eb="7">
      <t>ムズカ</t>
    </rPh>
    <rPh sb="9" eb="11">
      <t>ジョウキョウ</t>
    </rPh>
    <phoneticPr fontId="3"/>
  </si>
  <si>
    <t>自民系分裂区で保守系無所属に議席獲得の可能性</t>
    <rPh sb="0" eb="3">
      <t>ジミンケイ</t>
    </rPh>
    <rPh sb="3" eb="5">
      <t>ブンレツ</t>
    </rPh>
    <rPh sb="5" eb="6">
      <t>ク</t>
    </rPh>
    <rPh sb="7" eb="10">
      <t>ホシュケイ</t>
    </rPh>
    <rPh sb="10" eb="13">
      <t>ムショゾク</t>
    </rPh>
    <rPh sb="14" eb="16">
      <t>ギセキ</t>
    </rPh>
    <rPh sb="16" eb="18">
      <t>カクトク</t>
    </rPh>
    <rPh sb="19" eb="22">
      <t>カノウセイ</t>
    </rPh>
    <phoneticPr fontId="3"/>
  </si>
  <si>
    <t>▲</t>
    <phoneticPr fontId="3"/>
  </si>
  <si>
    <t>―</t>
  </si>
  <si>
    <t>０６みんな</t>
  </si>
  <si>
    <t>アイヌ</t>
  </si>
  <si>
    <t>得票数</t>
    <rPh sb="0" eb="3">
      <t>トクヒョウスウ</t>
    </rPh>
    <phoneticPr fontId="3"/>
  </si>
  <si>
    <t>得票率</t>
    <rPh sb="0" eb="3">
      <t>トクヒョウリツ</t>
    </rPh>
    <phoneticPr fontId="3"/>
  </si>
  <si>
    <t>惜敗率</t>
    <rPh sb="0" eb="2">
      <t>セキハイ</t>
    </rPh>
    <rPh sb="2" eb="3">
      <t>リツ</t>
    </rPh>
    <phoneticPr fontId="3"/>
  </si>
  <si>
    <t>当選</t>
    <rPh sb="0" eb="2">
      <t>トウセン</t>
    </rPh>
    <phoneticPr fontId="3"/>
  </si>
  <si>
    <t>政党名</t>
    <rPh sb="0" eb="3">
      <t>セイトウメイ</t>
    </rPh>
    <phoneticPr fontId="3"/>
  </si>
  <si>
    <t>新日本</t>
    <rPh sb="0" eb="1">
      <t>シン</t>
    </rPh>
    <rPh sb="1" eb="3">
      <t>ニホン</t>
    </rPh>
    <phoneticPr fontId="3"/>
  </si>
  <si>
    <t>残り</t>
    <rPh sb="0" eb="1">
      <t>ノコ</t>
    </rPh>
    <phoneticPr fontId="3"/>
  </si>
  <si>
    <t>議席数</t>
    <rPh sb="0" eb="3">
      <t>ギセキスウ</t>
    </rPh>
    <phoneticPr fontId="3"/>
  </si>
  <si>
    <t>票</t>
    <rPh sb="0" eb="1">
      <t>ヒョウ</t>
    </rPh>
    <phoneticPr fontId="3"/>
  </si>
  <si>
    <t>小選挙区　各政党別獲得議席・得票率</t>
    <rPh sb="0" eb="4">
      <t>ショウセンキョク</t>
    </rPh>
    <rPh sb="5" eb="8">
      <t>カクセイトウ</t>
    </rPh>
    <rPh sb="8" eb="9">
      <t>ベツ</t>
    </rPh>
    <rPh sb="9" eb="11">
      <t>カクトク</t>
    </rPh>
    <rPh sb="11" eb="13">
      <t>ギセキ</t>
    </rPh>
    <rPh sb="14" eb="17">
      <t>トクヒョウリツ</t>
    </rPh>
    <phoneticPr fontId="3"/>
  </si>
  <si>
    <t>町村</t>
    <phoneticPr fontId="3"/>
  </si>
  <si>
    <t>岸田</t>
    <rPh sb="0" eb="2">
      <t>キシダ</t>
    </rPh>
    <phoneticPr fontId="4"/>
  </si>
  <si>
    <t>無派</t>
    <phoneticPr fontId="3"/>
  </si>
  <si>
    <t>山崎</t>
    <phoneticPr fontId="3"/>
  </si>
  <si>
    <t>伊吹</t>
    <phoneticPr fontId="3"/>
  </si>
  <si>
    <t>大きく躍進し比例代表で民主と第2党争いも，小選挙区では伸び悩みか</t>
    <rPh sb="0" eb="1">
      <t>オオ</t>
    </rPh>
    <rPh sb="3" eb="5">
      <t>ヤクシン</t>
    </rPh>
    <rPh sb="6" eb="8">
      <t>ヒレイ</t>
    </rPh>
    <rPh sb="8" eb="10">
      <t>ダイヒョウ</t>
    </rPh>
    <rPh sb="11" eb="13">
      <t>ミンシュ</t>
    </rPh>
    <rPh sb="14" eb="15">
      <t>ダイ</t>
    </rPh>
    <rPh sb="16" eb="17">
      <t>トウ</t>
    </rPh>
    <rPh sb="17" eb="18">
      <t>アラソ</t>
    </rPh>
    <rPh sb="21" eb="25">
      <t>ショウセンキョク</t>
    </rPh>
    <rPh sb="27" eb="28">
      <t>ノ</t>
    </rPh>
    <rPh sb="29" eb="30">
      <t>ナヤ</t>
    </rPh>
    <phoneticPr fontId="3"/>
  </si>
  <si>
    <t>区</t>
    <rPh sb="0" eb="1">
      <t>ク</t>
    </rPh>
    <phoneticPr fontId="3"/>
  </si>
  <si>
    <t>当落</t>
    <rPh sb="0" eb="2">
      <t>トウラク</t>
    </rPh>
    <phoneticPr fontId="3"/>
  </si>
  <si>
    <t>区</t>
    <rPh sb="0" eb="1">
      <t>ク</t>
    </rPh>
    <phoneticPr fontId="3"/>
  </si>
  <si>
    <t>惜敗率</t>
    <rPh sb="0" eb="2">
      <t>セキハイ</t>
    </rPh>
    <rPh sb="2" eb="3">
      <t>リツ</t>
    </rPh>
    <phoneticPr fontId="3"/>
  </si>
  <si>
    <t>得票数</t>
    <rPh sb="0" eb="3">
      <t>トクヒョウスウ</t>
    </rPh>
    <phoneticPr fontId="3"/>
  </si>
  <si>
    <t>得票率</t>
    <rPh sb="0" eb="3">
      <t>トクヒョウリツ</t>
    </rPh>
    <phoneticPr fontId="3"/>
  </si>
  <si>
    <t>議席数</t>
    <rPh sb="0" eb="3">
      <t>ギセキスウ</t>
    </rPh>
    <phoneticPr fontId="3"/>
  </si>
  <si>
    <t>票</t>
    <rPh sb="0" eb="1">
      <t>ヒョウ</t>
    </rPh>
    <phoneticPr fontId="3"/>
  </si>
  <si>
    <t>比例代表区　各政党別獲得議席・得票率</t>
    <rPh sb="0" eb="2">
      <t>ヒレイ</t>
    </rPh>
    <rPh sb="2" eb="4">
      <t>ダイヒョウ</t>
    </rPh>
    <rPh sb="4" eb="5">
      <t>ク</t>
    </rPh>
    <rPh sb="6" eb="9">
      <t>カクセイトウ</t>
    </rPh>
    <rPh sb="9" eb="10">
      <t>ベツ</t>
    </rPh>
    <rPh sb="10" eb="12">
      <t>カクトク</t>
    </rPh>
    <rPh sb="12" eb="14">
      <t>ギセキ</t>
    </rPh>
    <rPh sb="15" eb="18">
      <t>トクヒョウリツ</t>
    </rPh>
    <phoneticPr fontId="3"/>
  </si>
  <si>
    <t>政党名</t>
    <rPh sb="0" eb="3">
      <t>セイトウメイ</t>
    </rPh>
    <phoneticPr fontId="3"/>
  </si>
  <si>
    <t>小選挙区</t>
    <rPh sb="0" eb="4">
      <t>ショウセンキョク</t>
    </rPh>
    <phoneticPr fontId="3"/>
  </si>
  <si>
    <t>比例代表区</t>
    <rPh sb="0" eb="2">
      <t>ヒレイ</t>
    </rPh>
    <rPh sb="2" eb="4">
      <t>ダイヒョウ</t>
    </rPh>
    <rPh sb="4" eb="5">
      <t>ク</t>
    </rPh>
    <phoneticPr fontId="3"/>
  </si>
  <si>
    <t>合計議席</t>
    <rPh sb="0" eb="2">
      <t>ゴウケイ</t>
    </rPh>
    <rPh sb="2" eb="4">
      <t>ギセキ</t>
    </rPh>
    <phoneticPr fontId="3"/>
  </si>
  <si>
    <t>増減</t>
    <rPh sb="0" eb="2">
      <t>ゾウゲン</t>
    </rPh>
    <phoneticPr fontId="3"/>
  </si>
  <si>
    <t>民主党</t>
    <rPh sb="0" eb="3">
      <t>ミンシュトウ</t>
    </rPh>
    <phoneticPr fontId="3"/>
  </si>
  <si>
    <t>国民新党</t>
    <rPh sb="0" eb="2">
      <t>コクミン</t>
    </rPh>
    <rPh sb="2" eb="4">
      <t>シントウ</t>
    </rPh>
    <phoneticPr fontId="3"/>
  </si>
  <si>
    <t>残り</t>
    <rPh sb="0" eb="1">
      <t>ノコ</t>
    </rPh>
    <phoneticPr fontId="3"/>
  </si>
  <si>
    <t>無所属</t>
    <rPh sb="0" eb="3">
      <t>ムショゾク</t>
    </rPh>
    <phoneticPr fontId="3"/>
  </si>
  <si>
    <t>諸派</t>
    <rPh sb="0" eb="2">
      <t>ショハ</t>
    </rPh>
    <phoneticPr fontId="3"/>
  </si>
  <si>
    <t>新党日本</t>
    <rPh sb="0" eb="2">
      <t>シントウ</t>
    </rPh>
    <rPh sb="2" eb="4">
      <t>ニホン</t>
    </rPh>
    <phoneticPr fontId="3"/>
  </si>
  <si>
    <t>新党改革</t>
    <rPh sb="0" eb="2">
      <t>シントウ</t>
    </rPh>
    <rPh sb="2" eb="4">
      <t>カイカク</t>
    </rPh>
    <phoneticPr fontId="3"/>
  </si>
  <si>
    <t>新党大地</t>
    <rPh sb="0" eb="2">
      <t>シントウ</t>
    </rPh>
    <rPh sb="2" eb="4">
      <t>ダイチ</t>
    </rPh>
    <phoneticPr fontId="3"/>
  </si>
  <si>
    <t>社会民主党</t>
    <rPh sb="0" eb="2">
      <t>シャカイ</t>
    </rPh>
    <rPh sb="2" eb="5">
      <t>ミンシュトウ</t>
    </rPh>
    <phoneticPr fontId="3"/>
  </si>
  <si>
    <t>日本共産党</t>
    <rPh sb="0" eb="2">
      <t>ニホン</t>
    </rPh>
    <rPh sb="2" eb="5">
      <t>キョウサントウ</t>
    </rPh>
    <phoneticPr fontId="3"/>
  </si>
  <si>
    <t>みんなの党</t>
    <rPh sb="4" eb="5">
      <t>トウ</t>
    </rPh>
    <phoneticPr fontId="3"/>
  </si>
  <si>
    <t>日本維新の会</t>
    <rPh sb="0" eb="2">
      <t>ニホン</t>
    </rPh>
    <rPh sb="2" eb="4">
      <t>イシン</t>
    </rPh>
    <rPh sb="5" eb="6">
      <t>カイ</t>
    </rPh>
    <phoneticPr fontId="3"/>
  </si>
  <si>
    <t>日本未来の党</t>
    <rPh sb="0" eb="2">
      <t>ニッポン</t>
    </rPh>
    <rPh sb="2" eb="4">
      <t>ミライ</t>
    </rPh>
    <rPh sb="5" eb="6">
      <t>トウ</t>
    </rPh>
    <phoneticPr fontId="3"/>
  </si>
  <si>
    <t>公明党</t>
    <rPh sb="0" eb="3">
      <t>コウメイトウ</t>
    </rPh>
    <phoneticPr fontId="3"/>
  </si>
  <si>
    <t>自由民主党</t>
    <rPh sb="0" eb="2">
      <t>ジユウ</t>
    </rPh>
    <rPh sb="2" eb="5">
      <t>ミンシュトウ</t>
    </rPh>
    <phoneticPr fontId="3"/>
  </si>
  <si>
    <t>第46回総選挙 政党別獲得議席数 一覧</t>
    <rPh sb="0" eb="1">
      <t>ダイ</t>
    </rPh>
    <rPh sb="3" eb="4">
      <t>カイ</t>
    </rPh>
    <rPh sb="4" eb="7">
      <t>ソウセンキョ</t>
    </rPh>
    <rPh sb="8" eb="10">
      <t>セイトウ</t>
    </rPh>
    <rPh sb="10" eb="11">
      <t>ベツ</t>
    </rPh>
    <rPh sb="11" eb="13">
      <t>カクトク</t>
    </rPh>
    <rPh sb="13" eb="16">
      <t>ギセキスウ</t>
    </rPh>
    <rPh sb="17" eb="19">
      <t>イチラン</t>
    </rPh>
    <phoneticPr fontId="3"/>
  </si>
  <si>
    <t>NHK</t>
    <phoneticPr fontId="3"/>
  </si>
  <si>
    <t>JNN</t>
    <phoneticPr fontId="3"/>
  </si>
  <si>
    <t>FNN</t>
    <phoneticPr fontId="3"/>
  </si>
  <si>
    <t>NNN</t>
    <phoneticPr fontId="3"/>
  </si>
  <si>
    <t>ANN</t>
    <phoneticPr fontId="3"/>
  </si>
  <si>
    <t>民主</t>
    <rPh sb="0" eb="2">
      <t>ミンシュ</t>
    </rPh>
    <phoneticPr fontId="3"/>
  </si>
  <si>
    <t>自民</t>
    <rPh sb="0" eb="2">
      <t>ジミン</t>
    </rPh>
    <phoneticPr fontId="3"/>
  </si>
  <si>
    <t>公明</t>
    <rPh sb="0" eb="2">
      <t>コウメイ</t>
    </rPh>
    <phoneticPr fontId="3"/>
  </si>
  <si>
    <t>未来</t>
    <rPh sb="0" eb="2">
      <t>ミライ</t>
    </rPh>
    <phoneticPr fontId="3"/>
  </si>
  <si>
    <t>～</t>
    <phoneticPr fontId="3"/>
  </si>
  <si>
    <t>～</t>
    <phoneticPr fontId="3"/>
  </si>
  <si>
    <t>維新</t>
    <rPh sb="0" eb="2">
      <t>イシン</t>
    </rPh>
    <phoneticPr fontId="3"/>
  </si>
  <si>
    <t>みんな</t>
    <phoneticPr fontId="3"/>
  </si>
  <si>
    <t>共産</t>
    <rPh sb="0" eb="2">
      <t>キョウサン</t>
    </rPh>
    <phoneticPr fontId="3"/>
  </si>
  <si>
    <t>社民</t>
    <rPh sb="0" eb="2">
      <t>シャミン</t>
    </rPh>
    <phoneticPr fontId="3"/>
  </si>
  <si>
    <t>国民</t>
    <rPh sb="0" eb="2">
      <t>コクミン</t>
    </rPh>
    <phoneticPr fontId="3"/>
  </si>
  <si>
    <t>大地</t>
    <rPh sb="0" eb="2">
      <t>ダイチ</t>
    </rPh>
    <phoneticPr fontId="3"/>
  </si>
  <si>
    <t>改革</t>
    <rPh sb="0" eb="2">
      <t>カイカク</t>
    </rPh>
    <phoneticPr fontId="3"/>
  </si>
  <si>
    <t>日本</t>
    <rPh sb="0" eb="2">
      <t>ニホン</t>
    </rPh>
    <phoneticPr fontId="3"/>
  </si>
  <si>
    <t>その他</t>
    <rPh sb="2" eb="3">
      <t>タ</t>
    </rPh>
    <phoneticPr fontId="3"/>
  </si>
  <si>
    <t>テレビ各局出口調査結果</t>
    <rPh sb="3" eb="5">
      <t>カッキョク</t>
    </rPh>
    <rPh sb="5" eb="7">
      <t>デグチ</t>
    </rPh>
    <rPh sb="7" eb="9">
      <t>チョウサ</t>
    </rPh>
    <rPh sb="9" eb="11">
      <t>ケッカ</t>
    </rPh>
    <phoneticPr fontId="3"/>
  </si>
  <si>
    <t>み</t>
    <phoneticPr fontId="3"/>
  </si>
  <si>
    <t>み</t>
    <phoneticPr fontId="3"/>
  </si>
  <si>
    <t>み</t>
    <phoneticPr fontId="3"/>
  </si>
  <si>
    <t>み</t>
    <phoneticPr fontId="3"/>
  </si>
  <si>
    <t>み</t>
    <phoneticPr fontId="3"/>
  </si>
</sst>
</file>

<file path=xl/styles.xml><?xml version="1.0" encoding="utf-8"?>
<styleSheet xmlns="http://schemas.openxmlformats.org/spreadsheetml/2006/main">
  <numFmts count="7">
    <numFmt numFmtId="176" formatCode="#,##0_ "/>
    <numFmt numFmtId="177" formatCode="0.00_ "/>
    <numFmt numFmtId="178" formatCode="#,##0_);[Red]\(#,##0\)"/>
    <numFmt numFmtId="179" formatCode="0.00_);[Red]\(0.00\)"/>
    <numFmt numFmtId="180" formatCode="0.000"/>
    <numFmt numFmtId="181" formatCode="0.00000_ "/>
    <numFmt numFmtId="182" formatCode="0_ "/>
  </numFmts>
  <fonts count="50">
    <font>
      <sz val="11"/>
      <color theme="1"/>
      <name val="ＭＳ Ｐゴシック"/>
      <family val="2"/>
      <scheme val="minor"/>
    </font>
    <font>
      <sz val="9"/>
      <color theme="1"/>
      <name val="ＭＳ Ｐゴシック"/>
      <family val="2"/>
      <scheme val="minor"/>
    </font>
    <font>
      <sz val="9"/>
      <name val="ＭＳ Ｐゴシック"/>
      <family val="3"/>
      <charset val="128"/>
    </font>
    <font>
      <sz val="6"/>
      <name val="ＭＳ Ｐゴシック"/>
      <family val="3"/>
      <charset val="128"/>
      <scheme val="minor"/>
    </font>
    <font>
      <sz val="6"/>
      <name val="ＭＳ Ｐゴシック"/>
      <family val="3"/>
      <charset val="128"/>
    </font>
    <font>
      <sz val="12"/>
      <name val="ＭＳ Ｐゴシック"/>
      <family val="3"/>
      <charset val="128"/>
    </font>
    <font>
      <sz val="9"/>
      <name val="Century Gothic"/>
      <family val="2"/>
    </font>
    <font>
      <sz val="9"/>
      <color theme="1"/>
      <name val="Century Gothic"/>
      <family val="2"/>
    </font>
    <font>
      <sz val="12"/>
      <color theme="1"/>
      <name val="ＭＳ Ｐゴシック"/>
      <family val="3"/>
      <charset val="128"/>
      <scheme val="minor"/>
    </font>
    <font>
      <sz val="9"/>
      <color theme="1"/>
      <name val="ＭＳ Ｐゴシック"/>
      <family val="3"/>
      <charset val="128"/>
      <scheme val="minor"/>
    </font>
    <font>
      <sz val="9"/>
      <color theme="1"/>
      <name val="ＭＳ Ｐゴシック"/>
      <family val="3"/>
      <charset val="128"/>
    </font>
    <font>
      <sz val="11"/>
      <color theme="1"/>
      <name val="ＭＳ Ｐゴシック"/>
      <family val="2"/>
      <scheme val="minor"/>
    </font>
    <font>
      <sz val="12"/>
      <name val="Times New Roman"/>
      <family val="1"/>
    </font>
    <font>
      <sz val="9"/>
      <name val="Times New Roman"/>
      <family val="1"/>
    </font>
    <font>
      <b/>
      <sz val="9"/>
      <name val="HG丸ｺﾞｼｯｸM-PRO"/>
      <family val="3"/>
      <charset val="128"/>
    </font>
    <font>
      <sz val="9"/>
      <name val="HG丸ｺﾞｼｯｸM-PRO"/>
      <family val="3"/>
      <charset val="128"/>
    </font>
    <font>
      <sz val="12"/>
      <name val="Arial Black"/>
      <family val="2"/>
    </font>
    <font>
      <sz val="11"/>
      <name val="HG丸ｺﾞｼｯｸM-PRO"/>
      <family val="3"/>
      <charset val="128"/>
    </font>
    <font>
      <b/>
      <sz val="11"/>
      <name val="HG丸ｺﾞｼｯｸM-PRO"/>
      <family val="3"/>
      <charset val="128"/>
    </font>
    <font>
      <sz val="9"/>
      <color indexed="10"/>
      <name val="ＭＳ Ｐゴシック"/>
      <family val="3"/>
      <charset val="128"/>
    </font>
    <font>
      <b/>
      <sz val="16"/>
      <name val="Times New Roman"/>
      <family val="1"/>
    </font>
    <font>
      <sz val="12"/>
      <name val="HG丸ｺﾞｼｯｸM-PRO"/>
      <family val="3"/>
      <charset val="128"/>
    </font>
    <font>
      <sz val="10"/>
      <name val="Arial Black"/>
      <family val="2"/>
    </font>
    <font>
      <sz val="10"/>
      <name val="HG丸ｺﾞｼｯｸM-PRO"/>
      <family val="3"/>
      <charset val="128"/>
    </font>
    <font>
      <b/>
      <sz val="12"/>
      <name val="HG丸ｺﾞｼｯｸM-PRO"/>
      <family val="3"/>
      <charset val="128"/>
    </font>
    <font>
      <sz val="9"/>
      <name val="ＭＳ Ｐ明朝"/>
      <family val="1"/>
      <charset val="128"/>
    </font>
    <font>
      <sz val="11"/>
      <name val="Times New Roman"/>
      <family val="1"/>
    </font>
    <font>
      <b/>
      <sz val="9"/>
      <name val="ＭＳ Ｐゴシック"/>
      <family val="3"/>
      <charset val="128"/>
    </font>
    <font>
      <sz val="11"/>
      <color theme="1"/>
      <name val="HG丸ｺﾞｼｯｸM-PRO"/>
      <family val="3"/>
      <charset val="128"/>
    </font>
    <font>
      <b/>
      <sz val="14"/>
      <color theme="1"/>
      <name val="HG丸ｺﾞｼｯｸM-PRO"/>
      <family val="3"/>
      <charset val="128"/>
    </font>
    <font>
      <sz val="9"/>
      <color theme="1"/>
      <name val="HG丸ｺﾞｼｯｸM-PRO"/>
      <family val="3"/>
      <charset val="128"/>
    </font>
    <font>
      <sz val="6"/>
      <color theme="1"/>
      <name val="ＭＳ Ｐゴシック"/>
      <family val="2"/>
      <scheme val="minor"/>
    </font>
    <font>
      <b/>
      <sz val="11"/>
      <color theme="1"/>
      <name val="HG丸ｺﾞｼｯｸM-PRO"/>
      <family val="3"/>
      <charset val="128"/>
    </font>
    <font>
      <b/>
      <sz val="9"/>
      <color theme="1"/>
      <name val="HG丸ｺﾞｼｯｸM-PRO"/>
      <family val="3"/>
      <charset val="128"/>
    </font>
    <font>
      <sz val="14"/>
      <color theme="1"/>
      <name val="Century Gothic"/>
      <family val="2"/>
    </font>
    <font>
      <b/>
      <sz val="14"/>
      <color theme="1"/>
      <name val="Century Gothic"/>
      <family val="2"/>
    </font>
    <font>
      <sz val="11"/>
      <color theme="1"/>
      <name val="Century Gothic"/>
      <family val="2"/>
    </font>
    <font>
      <sz val="12"/>
      <color theme="1"/>
      <name val="Century Gothic"/>
      <family val="2"/>
    </font>
    <font>
      <sz val="12"/>
      <color theme="1"/>
      <name val="HG丸ｺﾞｼｯｸM-PRO"/>
      <family val="3"/>
      <charset val="128"/>
    </font>
    <font>
      <b/>
      <sz val="12"/>
      <color theme="1"/>
      <name val="HG丸ｺﾞｼｯｸM-PRO"/>
      <family val="3"/>
      <charset val="128"/>
    </font>
    <font>
      <sz val="10"/>
      <color theme="1"/>
      <name val="Century Gothic"/>
      <family val="2"/>
    </font>
    <font>
      <b/>
      <sz val="11"/>
      <color theme="1"/>
      <name val="Century Gothic"/>
      <family val="2"/>
    </font>
    <font>
      <b/>
      <sz val="12"/>
      <color theme="1"/>
      <name val="Century Gothic"/>
      <family val="2"/>
    </font>
    <font>
      <sz val="10"/>
      <color theme="1"/>
      <name val="HG丸ｺﾞｼｯｸM-PRO"/>
      <family val="3"/>
      <charset val="128"/>
    </font>
    <font>
      <sz val="9"/>
      <color theme="1"/>
      <name val="ＭＳ Ｐゴシック"/>
      <family val="3"/>
      <charset val="128"/>
      <scheme val="major"/>
    </font>
    <font>
      <b/>
      <sz val="16"/>
      <color theme="1"/>
      <name val="Century Gothic"/>
      <family val="2"/>
    </font>
    <font>
      <sz val="9"/>
      <name val="ＭＳ Ｐゴシック"/>
      <family val="3"/>
      <charset val="128"/>
      <scheme val="major"/>
    </font>
    <font>
      <b/>
      <sz val="20"/>
      <color theme="1"/>
      <name val="Century Gothic"/>
      <family val="2"/>
    </font>
    <font>
      <i/>
      <sz val="11"/>
      <color theme="1"/>
      <name val="Century Gothic"/>
      <family val="2"/>
    </font>
    <font>
      <b/>
      <sz val="10"/>
      <color theme="1"/>
      <name val="HG丸ｺﾞｼｯｸM-PRO"/>
      <family val="3"/>
      <charset val="128"/>
    </font>
  </fonts>
  <fills count="38">
    <fill>
      <patternFill patternType="none"/>
    </fill>
    <fill>
      <patternFill patternType="gray125"/>
    </fill>
    <fill>
      <patternFill patternType="solid">
        <fgColor rgb="FFFFFF00"/>
        <bgColor indexed="64"/>
      </patternFill>
    </fill>
    <fill>
      <patternFill patternType="solid">
        <fgColor indexed="52"/>
        <bgColor indexed="64"/>
      </patternFill>
    </fill>
    <fill>
      <patternFill patternType="solid">
        <fgColor indexed="57"/>
        <bgColor indexed="64"/>
      </patternFill>
    </fill>
    <fill>
      <patternFill patternType="solid">
        <fgColor indexed="22"/>
        <bgColor indexed="64"/>
      </patternFill>
    </fill>
    <fill>
      <patternFill patternType="solid">
        <fgColor indexed="15"/>
        <bgColor indexed="64"/>
      </patternFill>
    </fill>
    <fill>
      <patternFill patternType="solid">
        <fgColor indexed="48"/>
        <bgColor indexed="64"/>
      </patternFill>
    </fill>
    <fill>
      <patternFill patternType="solid">
        <fgColor indexed="10"/>
        <bgColor indexed="64"/>
      </patternFill>
    </fill>
    <fill>
      <patternFill patternType="solid">
        <fgColor indexed="50"/>
        <bgColor indexed="64"/>
      </patternFill>
    </fill>
    <fill>
      <patternFill patternType="solid">
        <fgColor indexed="14"/>
        <bgColor indexed="64"/>
      </patternFill>
    </fill>
    <fill>
      <patternFill patternType="solid">
        <fgColor indexed="17"/>
        <bgColor indexed="64"/>
      </patternFill>
    </fill>
    <fill>
      <patternFill patternType="solid">
        <fgColor indexed="13"/>
        <bgColor indexed="64"/>
      </patternFill>
    </fill>
    <fill>
      <patternFill patternType="solid">
        <fgColor indexed="11"/>
        <bgColor indexed="64"/>
      </patternFill>
    </fill>
    <fill>
      <patternFill patternType="solid">
        <fgColor indexed="47"/>
        <bgColor indexed="64"/>
      </patternFill>
    </fill>
    <fill>
      <patternFill patternType="solid">
        <fgColor indexed="55"/>
        <bgColor indexed="64"/>
      </patternFill>
    </fill>
    <fill>
      <patternFill patternType="solid">
        <fgColor indexed="42"/>
        <bgColor indexed="64"/>
      </patternFill>
    </fill>
    <fill>
      <patternFill patternType="solid">
        <fgColor indexed="41"/>
        <bgColor indexed="64"/>
      </patternFill>
    </fill>
    <fill>
      <patternFill patternType="solid">
        <fgColor indexed="60"/>
        <bgColor indexed="64"/>
      </patternFill>
    </fill>
    <fill>
      <patternFill patternType="solid">
        <fgColor indexed="12"/>
        <bgColor indexed="64"/>
      </patternFill>
    </fill>
    <fill>
      <patternFill patternType="solid">
        <fgColor rgb="FF66FFFF"/>
        <bgColor indexed="64"/>
      </patternFill>
    </fill>
    <fill>
      <patternFill patternType="solid">
        <fgColor rgb="FFFF9900"/>
        <bgColor indexed="64"/>
      </patternFill>
    </fill>
    <fill>
      <patternFill patternType="solid">
        <fgColor rgb="FF339966"/>
        <bgColor indexed="64"/>
      </patternFill>
    </fill>
    <fill>
      <patternFill patternType="solid">
        <fgColor rgb="FFFFCC66"/>
        <bgColor indexed="64"/>
      </patternFill>
    </fill>
    <fill>
      <patternFill patternType="solid">
        <fgColor theme="5" tint="0.39997558519241921"/>
        <bgColor indexed="64"/>
      </patternFill>
    </fill>
    <fill>
      <patternFill patternType="solid">
        <fgColor rgb="FF3366FF"/>
        <bgColor indexed="64"/>
      </patternFill>
    </fill>
    <fill>
      <patternFill patternType="solid">
        <fgColor rgb="FFFF0000"/>
        <bgColor indexed="64"/>
      </patternFill>
    </fill>
    <fill>
      <patternFill patternType="solid">
        <fgColor rgb="FF00FFFF"/>
        <bgColor indexed="64"/>
      </patternFill>
    </fill>
    <fill>
      <patternFill patternType="solid">
        <fgColor rgb="FFFF00FF"/>
        <bgColor indexed="64"/>
      </patternFill>
    </fill>
    <fill>
      <patternFill patternType="solid">
        <fgColor rgb="FF993300"/>
        <bgColor indexed="64"/>
      </patternFill>
    </fill>
    <fill>
      <patternFill patternType="solid">
        <fgColor rgb="FFFFCC99"/>
        <bgColor indexed="64"/>
      </patternFill>
    </fill>
    <fill>
      <patternFill patternType="solid">
        <fgColor rgb="FF00FF00"/>
        <bgColor indexed="64"/>
      </patternFill>
    </fill>
    <fill>
      <patternFill patternType="solid">
        <fgColor rgb="FF99CC00"/>
        <bgColor indexed="64"/>
      </patternFill>
    </fill>
    <fill>
      <patternFill patternType="solid">
        <fgColor rgb="FF0070C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0"/>
        <bgColor indexed="64"/>
      </patternFill>
    </fill>
    <fill>
      <patternFill patternType="solid">
        <fgColor theme="7" tint="0.59999389629810485"/>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bottom/>
      <diagonal/>
    </border>
    <border>
      <left style="medium">
        <color indexed="64"/>
      </left>
      <right style="medium">
        <color indexed="64"/>
      </right>
      <top/>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medium">
        <color indexed="64"/>
      </left>
      <right/>
      <top/>
      <bottom style="medium">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tted">
        <color indexed="64"/>
      </top>
      <bottom style="thin">
        <color indexed="64"/>
      </bottom>
      <diagonal/>
    </border>
    <border>
      <left style="thin">
        <color indexed="64"/>
      </left>
      <right/>
      <top/>
      <bottom style="thin">
        <color indexed="64"/>
      </bottom>
      <diagonal/>
    </border>
    <border>
      <left style="thin">
        <color indexed="64"/>
      </left>
      <right/>
      <top style="medium">
        <color indexed="64"/>
      </top>
      <bottom style="dotted">
        <color indexed="64"/>
      </bottom>
      <diagonal/>
    </border>
    <border>
      <left style="thin">
        <color indexed="64"/>
      </left>
      <right style="medium">
        <color indexed="64"/>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style="thin">
        <color indexed="64"/>
      </right>
      <top style="thin">
        <color indexed="64"/>
      </top>
      <bottom style="dotted">
        <color indexed="64"/>
      </bottom>
      <diagonal/>
    </border>
    <border>
      <left style="thin">
        <color indexed="64"/>
      </left>
      <right/>
      <top/>
      <bottom/>
      <diagonal/>
    </border>
    <border>
      <left/>
      <right style="medium">
        <color indexed="64"/>
      </right>
      <top style="medium">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thin">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s>
  <cellStyleXfs count="2">
    <xf numFmtId="0" fontId="0" fillId="0" borderId="0"/>
    <xf numFmtId="38" fontId="11" fillId="0" borderId="0" applyFont="0" applyFill="0" applyBorder="0" applyAlignment="0" applyProtection="0">
      <alignment vertical="center"/>
    </xf>
  </cellStyleXfs>
  <cellXfs count="1818">
    <xf numFmtId="0" fontId="0" fillId="0" borderId="0" xfId="0"/>
    <xf numFmtId="0" fontId="1" fillId="0" borderId="1" xfId="0" applyFont="1" applyBorder="1" applyAlignment="1">
      <alignment horizontal="center" vertical="center"/>
    </xf>
    <xf numFmtId="0" fontId="1" fillId="0" borderId="1" xfId="0" applyFont="1" applyFill="1" applyBorder="1" applyAlignment="1">
      <alignment horizontal="center" vertical="center"/>
    </xf>
    <xf numFmtId="0" fontId="1" fillId="0" borderId="1" xfId="0" applyFont="1" applyBorder="1" applyAlignment="1">
      <alignment vertical="center"/>
    </xf>
    <xf numFmtId="0" fontId="1" fillId="0" borderId="1"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vertical="center"/>
    </xf>
    <xf numFmtId="49" fontId="2" fillId="0" borderId="1" xfId="0" applyNumberFormat="1" applyFont="1" applyFill="1" applyBorder="1" applyAlignment="1">
      <alignment horizontal="lef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14" fontId="2" fillId="0" borderId="1" xfId="0" applyNumberFormat="1" applyFont="1" applyBorder="1" applyAlignment="1">
      <alignment horizontal="left" vertical="center"/>
    </xf>
    <xf numFmtId="0" fontId="2" fillId="0" borderId="1" xfId="0" applyFont="1" applyFill="1" applyBorder="1" applyAlignment="1">
      <alignment vertical="center"/>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xf>
    <xf numFmtId="14" fontId="2" fillId="0" borderId="1" xfId="0" applyNumberFormat="1" applyFont="1" applyFill="1" applyBorder="1" applyAlignment="1">
      <alignment horizontal="left" vertical="center"/>
    </xf>
    <xf numFmtId="0" fontId="8" fillId="0" borderId="1" xfId="0" applyFont="1" applyBorder="1" applyAlignment="1">
      <alignment horizontal="center" vertical="center"/>
    </xf>
    <xf numFmtId="0" fontId="7" fillId="0" borderId="1" xfId="0" applyFont="1" applyBorder="1" applyAlignment="1">
      <alignment horizontal="center" vertical="center"/>
    </xf>
    <xf numFmtId="0" fontId="2" fillId="0" borderId="1" xfId="0" applyFont="1" applyBorder="1" applyAlignment="1">
      <alignment horizontal="left" vertical="center"/>
    </xf>
    <xf numFmtId="0" fontId="2" fillId="0" borderId="1" xfId="0" applyFont="1" applyFill="1" applyBorder="1" applyAlignment="1">
      <alignment horizontal="left" vertical="center"/>
    </xf>
    <xf numFmtId="14" fontId="1" fillId="0" borderId="1" xfId="0" applyNumberFormat="1" applyFont="1" applyBorder="1" applyAlignment="1">
      <alignment horizontal="left" vertical="center"/>
    </xf>
    <xf numFmtId="14" fontId="1" fillId="0" borderId="1" xfId="0" applyNumberFormat="1" applyFont="1" applyFill="1" applyBorder="1" applyAlignment="1">
      <alignment horizontal="left" vertical="center"/>
    </xf>
    <xf numFmtId="0" fontId="1" fillId="0" borderId="1" xfId="0" applyFont="1" applyFill="1" applyBorder="1" applyAlignment="1">
      <alignment vertical="center"/>
    </xf>
    <xf numFmtId="0" fontId="1" fillId="0" borderId="1" xfId="0" applyFont="1" applyFill="1" applyBorder="1" applyAlignment="1">
      <alignment horizontal="left" vertical="center"/>
    </xf>
    <xf numFmtId="0" fontId="8"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0" xfId="0" applyFont="1" applyAlignment="1">
      <alignment vertical="center"/>
    </xf>
    <xf numFmtId="0" fontId="2" fillId="0" borderId="6" xfId="0" applyFont="1" applyBorder="1" applyAlignment="1">
      <alignment horizontal="center" vertical="center"/>
    </xf>
    <xf numFmtId="0" fontId="2" fillId="0" borderId="8" xfId="0" applyFont="1" applyBorder="1" applyAlignment="1">
      <alignment vertical="center"/>
    </xf>
    <xf numFmtId="0" fontId="2" fillId="3" borderId="9" xfId="0" applyFont="1" applyFill="1" applyBorder="1" applyAlignment="1">
      <alignment vertical="center"/>
    </xf>
    <xf numFmtId="176" fontId="12" fillId="3" borderId="9" xfId="0" applyNumberFormat="1" applyFont="1" applyFill="1" applyBorder="1" applyAlignment="1">
      <alignment horizontal="right" vertical="center"/>
    </xf>
    <xf numFmtId="10" fontId="13" fillId="3" borderId="9" xfId="0" applyNumberFormat="1" applyFont="1" applyFill="1" applyBorder="1" applyAlignment="1">
      <alignment horizontal="right" vertical="center"/>
    </xf>
    <xf numFmtId="177" fontId="13" fillId="3" borderId="9" xfId="0" applyNumberFormat="1" applyFont="1" applyFill="1" applyBorder="1" applyAlignment="1">
      <alignment horizontal="right" vertical="center"/>
    </xf>
    <xf numFmtId="0" fontId="2" fillId="3" borderId="9" xfId="0" applyFont="1" applyFill="1" applyBorder="1" applyAlignment="1">
      <alignment horizontal="center" vertical="center"/>
    </xf>
    <xf numFmtId="0" fontId="2" fillId="3" borderId="10" xfId="0" applyFont="1" applyFill="1" applyBorder="1" applyAlignment="1">
      <alignment vertical="center"/>
    </xf>
    <xf numFmtId="0" fontId="2" fillId="0" borderId="9" xfId="0" applyFont="1" applyBorder="1" applyAlignment="1">
      <alignment vertical="center"/>
    </xf>
    <xf numFmtId="176" fontId="12" fillId="0" borderId="9" xfId="0" applyNumberFormat="1" applyFont="1" applyBorder="1" applyAlignment="1">
      <alignment horizontal="right" vertical="center"/>
    </xf>
    <xf numFmtId="10" fontId="13" fillId="0" borderId="9" xfId="0" applyNumberFormat="1" applyFont="1" applyBorder="1" applyAlignment="1">
      <alignment horizontal="right" vertical="center"/>
    </xf>
    <xf numFmtId="177" fontId="13" fillId="0" borderId="9" xfId="0" applyNumberFormat="1" applyFont="1" applyBorder="1" applyAlignment="1">
      <alignment horizontal="right" vertical="center"/>
    </xf>
    <xf numFmtId="0" fontId="2" fillId="0" borderId="9" xfId="0" applyFont="1" applyBorder="1" applyAlignment="1">
      <alignment horizontal="center" vertical="center"/>
    </xf>
    <xf numFmtId="0" fontId="2" fillId="0" borderId="10" xfId="0" applyFont="1" applyBorder="1" applyAlignment="1">
      <alignment vertical="center"/>
    </xf>
    <xf numFmtId="0" fontId="2" fillId="0" borderId="14" xfId="0" applyFont="1" applyBorder="1" applyAlignment="1">
      <alignment vertical="center"/>
    </xf>
    <xf numFmtId="0" fontId="2" fillId="0" borderId="15" xfId="0" applyFont="1" applyBorder="1" applyAlignment="1">
      <alignment vertical="center"/>
    </xf>
    <xf numFmtId="176" fontId="12" fillId="0" borderId="15" xfId="0" applyNumberFormat="1" applyFont="1" applyBorder="1" applyAlignment="1">
      <alignment horizontal="right" vertical="center"/>
    </xf>
    <xf numFmtId="10" fontId="13" fillId="0" borderId="15" xfId="0" applyNumberFormat="1" applyFont="1" applyBorder="1" applyAlignment="1">
      <alignment horizontal="right" vertical="center"/>
    </xf>
    <xf numFmtId="177" fontId="13" fillId="0" borderId="15" xfId="0" applyNumberFormat="1" applyFont="1" applyBorder="1" applyAlignment="1">
      <alignment horizontal="right" vertical="center"/>
    </xf>
    <xf numFmtId="0" fontId="2" fillId="0" borderId="15" xfId="0" applyFont="1" applyBorder="1" applyAlignment="1">
      <alignment horizontal="center" vertical="center"/>
    </xf>
    <xf numFmtId="0" fontId="2" fillId="0" borderId="16" xfId="0" applyFont="1" applyBorder="1" applyAlignment="1">
      <alignment vertical="center"/>
    </xf>
    <xf numFmtId="0" fontId="2" fillId="0" borderId="17" xfId="0" applyFont="1" applyBorder="1" applyAlignment="1">
      <alignment vertical="center"/>
    </xf>
    <xf numFmtId="0" fontId="2" fillId="3" borderId="18" xfId="0" applyFont="1" applyFill="1" applyBorder="1" applyAlignment="1">
      <alignment vertical="center"/>
    </xf>
    <xf numFmtId="176" fontId="12" fillId="3" borderId="18" xfId="0" applyNumberFormat="1" applyFont="1" applyFill="1" applyBorder="1" applyAlignment="1">
      <alignment horizontal="right" vertical="center"/>
    </xf>
    <xf numFmtId="10" fontId="13" fillId="3" borderId="18" xfId="0" applyNumberFormat="1" applyFont="1" applyFill="1" applyBorder="1" applyAlignment="1">
      <alignment horizontal="right" vertical="center"/>
    </xf>
    <xf numFmtId="177" fontId="13" fillId="3" borderId="18" xfId="0" applyNumberFormat="1" applyFont="1" applyFill="1" applyBorder="1" applyAlignment="1">
      <alignment horizontal="right" vertical="center"/>
    </xf>
    <xf numFmtId="0" fontId="2" fillId="3" borderId="18" xfId="0" applyFont="1" applyFill="1" applyBorder="1" applyAlignment="1">
      <alignment horizontal="center" vertical="center"/>
    </xf>
    <xf numFmtId="0" fontId="2" fillId="3" borderId="19" xfId="0" applyFont="1" applyFill="1" applyBorder="1" applyAlignment="1">
      <alignment vertical="center"/>
    </xf>
    <xf numFmtId="177" fontId="13" fillId="4" borderId="9" xfId="0" applyNumberFormat="1" applyFont="1" applyFill="1" applyBorder="1" applyAlignment="1">
      <alignment horizontal="right" vertical="center"/>
    </xf>
    <xf numFmtId="0" fontId="2" fillId="4" borderId="9" xfId="0" applyFont="1" applyFill="1" applyBorder="1" applyAlignment="1">
      <alignment horizontal="center" vertical="center"/>
    </xf>
    <xf numFmtId="0" fontId="2" fillId="4" borderId="18" xfId="0" applyFont="1" applyFill="1" applyBorder="1" applyAlignment="1">
      <alignment vertical="center"/>
    </xf>
    <xf numFmtId="176" fontId="12" fillId="4" borderId="18" xfId="0" applyNumberFormat="1" applyFont="1" applyFill="1" applyBorder="1" applyAlignment="1">
      <alignment horizontal="right" vertical="center"/>
    </xf>
    <xf numFmtId="10" fontId="13" fillId="4" borderId="18" xfId="0" applyNumberFormat="1" applyFont="1" applyFill="1" applyBorder="1" applyAlignment="1">
      <alignment horizontal="right" vertical="center"/>
    </xf>
    <xf numFmtId="177" fontId="13" fillId="4" borderId="18" xfId="0" applyNumberFormat="1" applyFont="1" applyFill="1" applyBorder="1" applyAlignment="1">
      <alignment horizontal="right" vertical="center"/>
    </xf>
    <xf numFmtId="0" fontId="2" fillId="4" borderId="18" xfId="0" applyFont="1" applyFill="1" applyBorder="1" applyAlignment="1">
      <alignment horizontal="center" vertical="center"/>
    </xf>
    <xf numFmtId="0" fontId="2" fillId="4" borderId="19" xfId="0" applyFont="1" applyFill="1" applyBorder="1" applyAlignment="1">
      <alignment vertical="center"/>
    </xf>
    <xf numFmtId="0" fontId="2" fillId="0" borderId="20" xfId="0" applyFont="1" applyBorder="1" applyAlignment="1">
      <alignment vertical="center"/>
    </xf>
    <xf numFmtId="0" fontId="2" fillId="0" borderId="21" xfId="0" applyFont="1" applyBorder="1" applyAlignment="1">
      <alignment vertical="center"/>
    </xf>
    <xf numFmtId="176" fontId="12" fillId="0" borderId="21" xfId="0" applyNumberFormat="1" applyFont="1" applyBorder="1" applyAlignment="1">
      <alignment horizontal="right" vertical="center"/>
    </xf>
    <xf numFmtId="10" fontId="13" fillId="0" borderId="21" xfId="0" applyNumberFormat="1" applyFont="1" applyBorder="1" applyAlignment="1">
      <alignment horizontal="right" vertical="center"/>
    </xf>
    <xf numFmtId="177" fontId="13" fillId="0" borderId="21" xfId="0" applyNumberFormat="1" applyFont="1" applyBorder="1" applyAlignment="1">
      <alignment horizontal="right" vertical="center"/>
    </xf>
    <xf numFmtId="0" fontId="2" fillId="0" borderId="21" xfId="0" applyFont="1" applyBorder="1" applyAlignment="1">
      <alignment horizontal="center" vertical="center"/>
    </xf>
    <xf numFmtId="0" fontId="2" fillId="0" borderId="22" xfId="0" applyFont="1" applyBorder="1" applyAlignment="1">
      <alignment vertical="center"/>
    </xf>
    <xf numFmtId="0" fontId="2" fillId="0" borderId="23" xfId="0" applyFont="1" applyBorder="1" applyAlignment="1">
      <alignment vertical="center"/>
    </xf>
    <xf numFmtId="0" fontId="2" fillId="0" borderId="24" xfId="0" applyFont="1" applyBorder="1" applyAlignment="1">
      <alignment vertical="center"/>
    </xf>
    <xf numFmtId="176" fontId="12" fillId="0" borderId="24" xfId="0" applyNumberFormat="1" applyFont="1" applyBorder="1" applyAlignment="1">
      <alignment horizontal="right" vertical="center"/>
    </xf>
    <xf numFmtId="10" fontId="13" fillId="0" borderId="24" xfId="0" applyNumberFormat="1" applyFont="1" applyBorder="1" applyAlignment="1">
      <alignment horizontal="right" vertical="center"/>
    </xf>
    <xf numFmtId="177" fontId="13" fillId="0" borderId="24" xfId="0" applyNumberFormat="1" applyFont="1" applyBorder="1" applyAlignment="1">
      <alignment horizontal="right" vertical="center"/>
    </xf>
    <xf numFmtId="0" fontId="2" fillId="0" borderId="24" xfId="0" applyFont="1" applyBorder="1" applyAlignment="1">
      <alignment horizontal="center" vertical="center"/>
    </xf>
    <xf numFmtId="0" fontId="2" fillId="0" borderId="25" xfId="0" applyFont="1" applyBorder="1" applyAlignment="1">
      <alignment vertical="center"/>
    </xf>
    <xf numFmtId="0" fontId="2" fillId="0" borderId="11" xfId="0" applyFont="1" applyBorder="1" applyAlignment="1">
      <alignment vertical="center"/>
    </xf>
    <xf numFmtId="0" fontId="2" fillId="3" borderId="12" xfId="0" applyFont="1" applyFill="1" applyBorder="1" applyAlignment="1">
      <alignment vertical="center"/>
    </xf>
    <xf numFmtId="176" fontId="12" fillId="3" borderId="12" xfId="0" applyNumberFormat="1" applyFont="1" applyFill="1" applyBorder="1" applyAlignment="1">
      <alignment horizontal="right" vertical="center"/>
    </xf>
    <xf numFmtId="10" fontId="13" fillId="3" borderId="12" xfId="0" applyNumberFormat="1" applyFont="1" applyFill="1" applyBorder="1" applyAlignment="1">
      <alignment horizontal="right" vertical="center"/>
    </xf>
    <xf numFmtId="177" fontId="13" fillId="3" borderId="12" xfId="0" applyNumberFormat="1" applyFont="1" applyFill="1" applyBorder="1" applyAlignment="1">
      <alignment horizontal="right" vertical="center"/>
    </xf>
    <xf numFmtId="0" fontId="2" fillId="3" borderId="12" xfId="0" applyFont="1" applyFill="1" applyBorder="1" applyAlignment="1">
      <alignment horizontal="center" vertical="center"/>
    </xf>
    <xf numFmtId="0" fontId="2" fillId="3" borderId="13" xfId="0" applyFont="1" applyFill="1" applyBorder="1" applyAlignment="1">
      <alignment vertical="center"/>
    </xf>
    <xf numFmtId="0" fontId="2" fillId="5" borderId="18" xfId="0" applyFont="1" applyFill="1" applyBorder="1" applyAlignment="1">
      <alignment vertical="center"/>
    </xf>
    <xf numFmtId="176" fontId="12" fillId="5" borderId="18" xfId="0" applyNumberFormat="1" applyFont="1" applyFill="1" applyBorder="1" applyAlignment="1">
      <alignment horizontal="right" vertical="center"/>
    </xf>
    <xf numFmtId="10" fontId="13" fillId="5" borderId="18" xfId="0" applyNumberFormat="1" applyFont="1" applyFill="1" applyBorder="1" applyAlignment="1">
      <alignment horizontal="right" vertical="center"/>
    </xf>
    <xf numFmtId="177" fontId="13" fillId="5" borderId="18" xfId="0" applyNumberFormat="1" applyFont="1" applyFill="1" applyBorder="1" applyAlignment="1">
      <alignment horizontal="right" vertical="center"/>
    </xf>
    <xf numFmtId="0" fontId="2" fillId="5" borderId="18" xfId="0" applyFont="1" applyFill="1" applyBorder="1" applyAlignment="1">
      <alignment horizontal="center" vertical="center"/>
    </xf>
    <xf numFmtId="0" fontId="2" fillId="5" borderId="19" xfId="0" applyFont="1" applyFill="1" applyBorder="1" applyAlignment="1">
      <alignment vertical="center"/>
    </xf>
    <xf numFmtId="177" fontId="13" fillId="0" borderId="9" xfId="0" applyNumberFormat="1" applyFont="1" applyFill="1" applyBorder="1" applyAlignment="1">
      <alignment horizontal="right" vertical="center"/>
    </xf>
    <xf numFmtId="177" fontId="13" fillId="6" borderId="9" xfId="0" applyNumberFormat="1" applyFont="1" applyFill="1" applyBorder="1" applyAlignment="1">
      <alignment horizontal="right" vertical="center"/>
    </xf>
    <xf numFmtId="0" fontId="2" fillId="6" borderId="9" xfId="0" applyFont="1" applyFill="1" applyBorder="1" applyAlignment="1">
      <alignment horizontal="center" vertical="center"/>
    </xf>
    <xf numFmtId="177" fontId="13" fillId="4" borderId="15" xfId="0" applyNumberFormat="1" applyFont="1" applyFill="1" applyBorder="1" applyAlignment="1">
      <alignment horizontal="right" vertical="center"/>
    </xf>
    <xf numFmtId="0" fontId="2" fillId="4" borderId="15" xfId="0" applyFont="1" applyFill="1" applyBorder="1" applyAlignment="1">
      <alignment horizontal="center" vertical="center"/>
    </xf>
    <xf numFmtId="0" fontId="2" fillId="7" borderId="18" xfId="0" applyFont="1" applyFill="1" applyBorder="1" applyAlignment="1">
      <alignment vertical="center"/>
    </xf>
    <xf numFmtId="176" fontId="12" fillId="7" borderId="18" xfId="0" applyNumberFormat="1" applyFont="1" applyFill="1" applyBorder="1" applyAlignment="1">
      <alignment horizontal="right" vertical="center"/>
    </xf>
    <xf numFmtId="10" fontId="13" fillId="7" borderId="18" xfId="0" applyNumberFormat="1" applyFont="1" applyFill="1" applyBorder="1" applyAlignment="1">
      <alignment horizontal="right" vertical="center"/>
    </xf>
    <xf numFmtId="177" fontId="13" fillId="7" borderId="18" xfId="0" applyNumberFormat="1" applyFont="1" applyFill="1" applyBorder="1" applyAlignment="1">
      <alignment horizontal="right" vertical="center"/>
    </xf>
    <xf numFmtId="0" fontId="2" fillId="7" borderId="18" xfId="0" applyFont="1" applyFill="1" applyBorder="1" applyAlignment="1">
      <alignment horizontal="center" vertical="center"/>
    </xf>
    <xf numFmtId="0" fontId="2" fillId="7" borderId="19" xfId="0" applyFont="1" applyFill="1" applyBorder="1" applyAlignment="1">
      <alignment vertical="center"/>
    </xf>
    <xf numFmtId="177" fontId="13" fillId="8" borderId="9" xfId="0" applyNumberFormat="1" applyFont="1" applyFill="1" applyBorder="1" applyAlignment="1">
      <alignment horizontal="right" vertical="center"/>
    </xf>
    <xf numFmtId="0" fontId="2" fillId="8" borderId="9" xfId="0" applyFont="1" applyFill="1" applyBorder="1" applyAlignment="1">
      <alignment horizontal="center" vertical="center"/>
    </xf>
    <xf numFmtId="177" fontId="13" fillId="7" borderId="9" xfId="0" applyNumberFormat="1" applyFont="1" applyFill="1" applyBorder="1" applyAlignment="1">
      <alignment horizontal="right" vertical="center"/>
    </xf>
    <xf numFmtId="0" fontId="2" fillId="7" borderId="9" xfId="0" applyFont="1" applyFill="1" applyBorder="1" applyAlignment="1">
      <alignment horizontal="center" vertical="center"/>
    </xf>
    <xf numFmtId="0" fontId="2" fillId="4" borderId="12" xfId="0" applyFont="1" applyFill="1" applyBorder="1" applyAlignment="1">
      <alignment vertical="center"/>
    </xf>
    <xf numFmtId="176" fontId="12" fillId="4" borderId="12" xfId="0" applyNumberFormat="1" applyFont="1" applyFill="1" applyBorder="1" applyAlignment="1">
      <alignment horizontal="right" vertical="center"/>
    </xf>
    <xf numFmtId="10" fontId="13" fillId="4" borderId="12" xfId="0" applyNumberFormat="1" applyFont="1" applyFill="1" applyBorder="1" applyAlignment="1">
      <alignment horizontal="right" vertical="center"/>
    </xf>
    <xf numFmtId="177" fontId="13" fillId="4" borderId="12" xfId="0" applyNumberFormat="1" applyFont="1" applyFill="1" applyBorder="1" applyAlignment="1">
      <alignment horizontal="right" vertical="center"/>
    </xf>
    <xf numFmtId="0" fontId="2" fillId="4" borderId="12" xfId="0" applyFont="1" applyFill="1" applyBorder="1" applyAlignment="1">
      <alignment horizontal="center" vertical="center"/>
    </xf>
    <xf numFmtId="0" fontId="2" fillId="4" borderId="13" xfId="0" applyFont="1" applyFill="1" applyBorder="1" applyAlignment="1">
      <alignment vertical="center"/>
    </xf>
    <xf numFmtId="177" fontId="13" fillId="4" borderId="24" xfId="0" applyNumberFormat="1" applyFont="1" applyFill="1" applyBorder="1" applyAlignment="1">
      <alignment horizontal="right" vertical="center"/>
    </xf>
    <xf numFmtId="0" fontId="2" fillId="4" borderId="24" xfId="0" applyFont="1" applyFill="1" applyBorder="1" applyAlignment="1">
      <alignment horizontal="center" vertical="center"/>
    </xf>
    <xf numFmtId="176" fontId="12" fillId="0" borderId="9" xfId="0" applyNumberFormat="1" applyFont="1" applyFill="1" applyBorder="1" applyAlignment="1">
      <alignment horizontal="right" vertical="center"/>
    </xf>
    <xf numFmtId="10" fontId="13" fillId="0" borderId="9" xfId="0" applyNumberFormat="1" applyFont="1" applyFill="1" applyBorder="1" applyAlignment="1">
      <alignment horizontal="right" vertical="center"/>
    </xf>
    <xf numFmtId="0" fontId="2" fillId="6" borderId="18" xfId="0" applyFont="1" applyFill="1" applyBorder="1" applyAlignment="1">
      <alignment vertical="center"/>
    </xf>
    <xf numFmtId="176" fontId="12" fillId="6" borderId="18" xfId="0" applyNumberFormat="1" applyFont="1" applyFill="1" applyBorder="1" applyAlignment="1">
      <alignment horizontal="right" vertical="center"/>
    </xf>
    <xf numFmtId="10" fontId="13" fillId="6" borderId="18" xfId="0" applyNumberFormat="1" applyFont="1" applyFill="1" applyBorder="1" applyAlignment="1">
      <alignment horizontal="right" vertical="center"/>
    </xf>
    <xf numFmtId="177" fontId="13" fillId="6" borderId="18" xfId="0" applyNumberFormat="1" applyFont="1" applyFill="1" applyBorder="1" applyAlignment="1">
      <alignment horizontal="right" vertical="center"/>
    </xf>
    <xf numFmtId="0" fontId="2" fillId="6" borderId="18" xfId="0" applyFont="1" applyFill="1" applyBorder="1" applyAlignment="1">
      <alignment horizontal="center" vertical="center"/>
    </xf>
    <xf numFmtId="0" fontId="2" fillId="6" borderId="19" xfId="0" applyFont="1" applyFill="1" applyBorder="1" applyAlignment="1">
      <alignment vertical="center"/>
    </xf>
    <xf numFmtId="0" fontId="2" fillId="9" borderId="18" xfId="0" applyFont="1" applyFill="1" applyBorder="1" applyAlignment="1">
      <alignment vertical="center"/>
    </xf>
    <xf numFmtId="176" fontId="12" fillId="9" borderId="18" xfId="0" applyNumberFormat="1" applyFont="1" applyFill="1" applyBorder="1" applyAlignment="1">
      <alignment horizontal="right" vertical="center"/>
    </xf>
    <xf numFmtId="10" fontId="13" fillId="9" borderId="18" xfId="0" applyNumberFormat="1" applyFont="1" applyFill="1" applyBorder="1" applyAlignment="1">
      <alignment horizontal="right" vertical="center"/>
    </xf>
    <xf numFmtId="177" fontId="13" fillId="9" borderId="18" xfId="0" applyNumberFormat="1" applyFont="1" applyFill="1" applyBorder="1" applyAlignment="1">
      <alignment horizontal="right" vertical="center"/>
    </xf>
    <xf numFmtId="0" fontId="2" fillId="9" borderId="18" xfId="0" applyFont="1" applyFill="1" applyBorder="1" applyAlignment="1">
      <alignment horizontal="center" vertical="center"/>
    </xf>
    <xf numFmtId="0" fontId="2" fillId="9" borderId="19" xfId="0" applyFont="1" applyFill="1" applyBorder="1" applyAlignment="1">
      <alignment vertical="center"/>
    </xf>
    <xf numFmtId="0" fontId="2" fillId="4" borderId="9" xfId="0" applyFont="1" applyFill="1" applyBorder="1" applyAlignment="1">
      <alignment vertical="center"/>
    </xf>
    <xf numFmtId="176" fontId="12" fillId="4" borderId="9" xfId="0" applyNumberFormat="1" applyFont="1" applyFill="1" applyBorder="1" applyAlignment="1">
      <alignment horizontal="right" vertical="center"/>
    </xf>
    <xf numFmtId="10" fontId="13" fillId="4" borderId="9" xfId="0" applyNumberFormat="1" applyFont="1" applyFill="1" applyBorder="1" applyAlignment="1">
      <alignment horizontal="right" vertical="center"/>
    </xf>
    <xf numFmtId="0" fontId="2" fillId="4" borderId="10" xfId="0" applyFont="1" applyFill="1" applyBorder="1" applyAlignment="1">
      <alignment vertical="center"/>
    </xf>
    <xf numFmtId="0" fontId="2" fillId="10" borderId="18" xfId="0" applyFont="1" applyFill="1" applyBorder="1" applyAlignment="1">
      <alignment vertical="center"/>
    </xf>
    <xf numFmtId="176" fontId="12" fillId="10" borderId="18" xfId="0" applyNumberFormat="1" applyFont="1" applyFill="1" applyBorder="1" applyAlignment="1">
      <alignment horizontal="right" vertical="center"/>
    </xf>
    <xf numFmtId="10" fontId="13" fillId="10" borderId="18" xfId="0" applyNumberFormat="1" applyFont="1" applyFill="1" applyBorder="1" applyAlignment="1">
      <alignment horizontal="right" vertical="center"/>
    </xf>
    <xf numFmtId="177" fontId="13" fillId="10" borderId="18" xfId="0" applyNumberFormat="1" applyFont="1" applyFill="1" applyBorder="1" applyAlignment="1">
      <alignment horizontal="right" vertical="center"/>
    </xf>
    <xf numFmtId="0" fontId="2" fillId="10" borderId="18" xfId="0" applyFont="1" applyFill="1" applyBorder="1" applyAlignment="1">
      <alignment horizontal="center" vertical="center"/>
    </xf>
    <xf numFmtId="0" fontId="2" fillId="10" borderId="19" xfId="0" applyFont="1" applyFill="1" applyBorder="1" applyAlignment="1">
      <alignment vertical="center"/>
    </xf>
    <xf numFmtId="177" fontId="13" fillId="3" borderId="15" xfId="0" applyNumberFormat="1" applyFont="1" applyFill="1" applyBorder="1" applyAlignment="1">
      <alignment horizontal="right" vertical="center"/>
    </xf>
    <xf numFmtId="0" fontId="2" fillId="3" borderId="15" xfId="0" applyFont="1" applyFill="1" applyBorder="1" applyAlignment="1">
      <alignment horizontal="center" vertical="center"/>
    </xf>
    <xf numFmtId="0" fontId="2" fillId="5" borderId="12" xfId="0" applyFont="1" applyFill="1" applyBorder="1" applyAlignment="1">
      <alignment vertical="center"/>
    </xf>
    <xf numFmtId="176" fontId="12" fillId="5" borderId="12" xfId="0" applyNumberFormat="1" applyFont="1" applyFill="1" applyBorder="1" applyAlignment="1">
      <alignment horizontal="right" vertical="center"/>
    </xf>
    <xf numFmtId="10" fontId="13" fillId="5" borderId="12" xfId="0" applyNumberFormat="1" applyFont="1" applyFill="1" applyBorder="1" applyAlignment="1">
      <alignment horizontal="right" vertical="center"/>
    </xf>
    <xf numFmtId="177" fontId="13" fillId="5" borderId="12" xfId="0" applyNumberFormat="1" applyFont="1" applyFill="1" applyBorder="1" applyAlignment="1">
      <alignment horizontal="right" vertical="center"/>
    </xf>
    <xf numFmtId="0" fontId="2" fillId="5" borderId="12" xfId="0" applyFont="1" applyFill="1" applyBorder="1" applyAlignment="1">
      <alignment horizontal="center" vertical="center"/>
    </xf>
    <xf numFmtId="0" fontId="2" fillId="5" borderId="13" xfId="0" applyFont="1" applyFill="1" applyBorder="1" applyAlignment="1">
      <alignment vertical="center"/>
    </xf>
    <xf numFmtId="0" fontId="2" fillId="10" borderId="12" xfId="0" applyFont="1" applyFill="1" applyBorder="1" applyAlignment="1">
      <alignment vertical="center"/>
    </xf>
    <xf numFmtId="176" fontId="12" fillId="10" borderId="12" xfId="0" applyNumberFormat="1" applyFont="1" applyFill="1" applyBorder="1" applyAlignment="1">
      <alignment horizontal="right" vertical="center"/>
    </xf>
    <xf numFmtId="10" fontId="13" fillId="10" borderId="12" xfId="0" applyNumberFormat="1" applyFont="1" applyFill="1" applyBorder="1" applyAlignment="1">
      <alignment horizontal="right" vertical="center"/>
    </xf>
    <xf numFmtId="177" fontId="13" fillId="10" borderId="12" xfId="0" applyNumberFormat="1" applyFont="1" applyFill="1" applyBorder="1" applyAlignment="1">
      <alignment horizontal="right" vertical="center"/>
    </xf>
    <xf numFmtId="0" fontId="2" fillId="10" borderId="12" xfId="0" applyFont="1" applyFill="1" applyBorder="1" applyAlignment="1">
      <alignment horizontal="center" vertical="center"/>
    </xf>
    <xf numFmtId="0" fontId="2" fillId="10" borderId="13" xfId="0" applyFont="1" applyFill="1" applyBorder="1" applyAlignment="1">
      <alignment vertical="center"/>
    </xf>
    <xf numFmtId="0" fontId="2" fillId="0" borderId="0" xfId="0" applyFont="1" applyAlignment="1">
      <alignment horizontal="center" vertical="center"/>
    </xf>
    <xf numFmtId="0" fontId="15" fillId="0" borderId="5" xfId="0" applyFont="1" applyBorder="1" applyAlignment="1">
      <alignment horizontal="center" vertical="center"/>
    </xf>
    <xf numFmtId="0" fontId="15" fillId="0" borderId="7" xfId="0" applyFont="1" applyBorder="1" applyAlignment="1">
      <alignment horizontal="center" vertical="center"/>
    </xf>
    <xf numFmtId="0" fontId="15" fillId="11" borderId="27" xfId="0" applyFont="1" applyFill="1" applyBorder="1" applyAlignment="1">
      <alignment horizontal="center" vertical="center"/>
    </xf>
    <xf numFmtId="0" fontId="16" fillId="0" borderId="28" xfId="0" applyFont="1" applyBorder="1" applyAlignment="1">
      <alignment horizontal="right" vertical="center"/>
    </xf>
    <xf numFmtId="0" fontId="15" fillId="0" borderId="29" xfId="0" applyFont="1" applyBorder="1" applyAlignment="1">
      <alignment horizontal="center" vertical="center"/>
    </xf>
    <xf numFmtId="10" fontId="15" fillId="0" borderId="28" xfId="0" applyNumberFormat="1" applyFont="1" applyBorder="1" applyAlignment="1">
      <alignment horizontal="right" vertical="center"/>
    </xf>
    <xf numFmtId="0" fontId="15" fillId="3" borderId="34" xfId="0" applyFont="1" applyFill="1" applyBorder="1" applyAlignment="1">
      <alignment horizontal="center" vertical="center"/>
    </xf>
    <xf numFmtId="0" fontId="16" fillId="0" borderId="35" xfId="0" applyFont="1" applyBorder="1" applyAlignment="1">
      <alignment horizontal="right" vertical="center"/>
    </xf>
    <xf numFmtId="0" fontId="15" fillId="0" borderId="36" xfId="0" applyFont="1" applyBorder="1" applyAlignment="1">
      <alignment horizontal="center" vertical="center"/>
    </xf>
    <xf numFmtId="10" fontId="15" fillId="0" borderId="35" xfId="0" applyNumberFormat="1" applyFont="1" applyBorder="1" applyAlignment="1">
      <alignment horizontal="right" vertical="center"/>
    </xf>
    <xf numFmtId="0" fontId="15" fillId="12" borderId="34" xfId="0" applyFont="1" applyFill="1" applyBorder="1" applyAlignment="1">
      <alignment horizontal="center" vertical="center"/>
    </xf>
    <xf numFmtId="0" fontId="15" fillId="8" borderId="34" xfId="0" applyFont="1" applyFill="1" applyBorder="1" applyAlignment="1">
      <alignment horizontal="center" vertical="center"/>
    </xf>
    <xf numFmtId="0" fontId="15" fillId="6" borderId="34" xfId="0" applyFont="1" applyFill="1" applyBorder="1" applyAlignment="1">
      <alignment horizontal="center" vertical="center"/>
    </xf>
    <xf numFmtId="0" fontId="15" fillId="10" borderId="34" xfId="0" applyFont="1" applyFill="1" applyBorder="1" applyAlignment="1">
      <alignment horizontal="center" vertical="center"/>
    </xf>
    <xf numFmtId="0" fontId="15" fillId="7" borderId="34" xfId="0" applyFont="1" applyFill="1" applyBorder="1" applyAlignment="1">
      <alignment horizontal="center" vertical="center"/>
    </xf>
    <xf numFmtId="0" fontId="15" fillId="13" borderId="34" xfId="0" applyFont="1" applyFill="1" applyBorder="1" applyAlignment="1">
      <alignment horizontal="center" vertical="center"/>
    </xf>
    <xf numFmtId="0" fontId="15" fillId="9" borderId="34" xfId="0" applyFont="1" applyFill="1" applyBorder="1" applyAlignment="1">
      <alignment horizontal="center" vertical="center"/>
    </xf>
    <xf numFmtId="0" fontId="15" fillId="14" borderId="34" xfId="0" applyFont="1" applyFill="1" applyBorder="1" applyAlignment="1">
      <alignment horizontal="center" vertical="center"/>
    </xf>
    <xf numFmtId="0" fontId="15" fillId="15" borderId="40" xfId="0" applyFont="1" applyFill="1" applyBorder="1" applyAlignment="1">
      <alignment horizontal="center" vertical="center"/>
    </xf>
    <xf numFmtId="0" fontId="16" fillId="0" borderId="41" xfId="0" applyFont="1" applyBorder="1" applyAlignment="1">
      <alignment horizontal="right" vertical="center"/>
    </xf>
    <xf numFmtId="0" fontId="15" fillId="0" borderId="42" xfId="0" applyFont="1" applyBorder="1" applyAlignment="1">
      <alignment horizontal="center" vertical="center"/>
    </xf>
    <xf numFmtId="10" fontId="15" fillId="0" borderId="41" xfId="0" applyNumberFormat="1" applyFont="1" applyBorder="1" applyAlignment="1">
      <alignment horizontal="right" vertical="center"/>
    </xf>
    <xf numFmtId="0" fontId="14" fillId="0" borderId="5" xfId="0" applyFont="1" applyBorder="1" applyAlignment="1">
      <alignment horizontal="center" vertical="center"/>
    </xf>
    <xf numFmtId="0" fontId="16" fillId="0" borderId="7" xfId="0" applyFont="1" applyBorder="1" applyAlignment="1">
      <alignment horizontal="right" vertical="center"/>
    </xf>
    <xf numFmtId="0" fontId="15" fillId="0" borderId="26" xfId="0" applyFont="1" applyBorder="1" applyAlignment="1">
      <alignment horizontal="center" vertical="center"/>
    </xf>
    <xf numFmtId="10" fontId="15" fillId="0" borderId="7" xfId="0" applyNumberFormat="1" applyFont="1" applyBorder="1" applyAlignment="1">
      <alignment horizontal="right" vertical="center"/>
    </xf>
    <xf numFmtId="0" fontId="14" fillId="0" borderId="23" xfId="0" applyFont="1" applyBorder="1" applyAlignment="1">
      <alignment horizontal="center" vertical="center"/>
    </xf>
    <xf numFmtId="0" fontId="16" fillId="0" borderId="25" xfId="0" applyFont="1" applyBorder="1" applyAlignment="1">
      <alignment horizontal="right" vertical="center"/>
    </xf>
    <xf numFmtId="0" fontId="2" fillId="0" borderId="48" xfId="0" applyFont="1" applyBorder="1" applyAlignment="1">
      <alignment horizontal="center" vertical="center"/>
    </xf>
    <xf numFmtId="0" fontId="2" fillId="0" borderId="49" xfId="0" applyFont="1" applyBorder="1" applyAlignment="1">
      <alignment horizontal="center" vertical="center"/>
    </xf>
    <xf numFmtId="0" fontId="2" fillId="4" borderId="50" xfId="0" applyFont="1" applyFill="1" applyBorder="1" applyAlignment="1">
      <alignment horizontal="center" vertical="center"/>
    </xf>
    <xf numFmtId="177" fontId="13" fillId="4" borderId="9" xfId="0" applyNumberFormat="1" applyFont="1" applyFill="1" applyBorder="1" applyAlignment="1">
      <alignment horizontal="center" vertical="center"/>
    </xf>
    <xf numFmtId="0" fontId="2" fillId="0" borderId="50" xfId="0" applyFont="1" applyBorder="1" applyAlignment="1">
      <alignment horizontal="center" vertical="center"/>
    </xf>
    <xf numFmtId="177" fontId="13" fillId="0" borderId="9" xfId="0" applyNumberFormat="1" applyFont="1" applyBorder="1" applyAlignment="1">
      <alignment horizontal="center" vertical="center"/>
    </xf>
    <xf numFmtId="0" fontId="2" fillId="16" borderId="9" xfId="0" applyFont="1" applyFill="1" applyBorder="1" applyAlignment="1">
      <alignment horizontal="center" vertical="center"/>
    </xf>
    <xf numFmtId="0" fontId="2" fillId="0" borderId="52" xfId="0" applyFont="1" applyBorder="1" applyAlignment="1">
      <alignment horizontal="center" vertical="center"/>
    </xf>
    <xf numFmtId="177" fontId="13" fillId="4" borderId="15" xfId="0" applyNumberFormat="1" applyFont="1" applyFill="1" applyBorder="1" applyAlignment="1">
      <alignment horizontal="center" vertical="center"/>
    </xf>
    <xf numFmtId="0" fontId="2" fillId="3" borderId="54" xfId="0" applyFont="1" applyFill="1" applyBorder="1" applyAlignment="1">
      <alignment horizontal="center" vertical="center"/>
    </xf>
    <xf numFmtId="177" fontId="13" fillId="3" borderId="18" xfId="0" applyNumberFormat="1" applyFont="1" applyFill="1" applyBorder="1" applyAlignment="1">
      <alignment horizontal="center" vertical="center"/>
    </xf>
    <xf numFmtId="0" fontId="2" fillId="3" borderId="50" xfId="0" applyFont="1" applyFill="1" applyBorder="1" applyAlignment="1">
      <alignment horizontal="center" vertical="center"/>
    </xf>
    <xf numFmtId="177" fontId="13" fillId="3" borderId="9" xfId="0" applyNumberFormat="1" applyFont="1" applyFill="1" applyBorder="1" applyAlignment="1">
      <alignment horizontal="center" vertical="center"/>
    </xf>
    <xf numFmtId="177" fontId="13" fillId="3" borderId="15" xfId="0" applyNumberFormat="1" applyFont="1" applyFill="1" applyBorder="1" applyAlignment="1">
      <alignment horizontal="center" vertical="center"/>
    </xf>
    <xf numFmtId="0" fontId="2" fillId="12" borderId="54" xfId="0" applyFont="1" applyFill="1" applyBorder="1" applyAlignment="1">
      <alignment horizontal="center" vertical="center"/>
    </xf>
    <xf numFmtId="0" fontId="2" fillId="12" borderId="18" xfId="0" applyFont="1" applyFill="1" applyBorder="1" applyAlignment="1">
      <alignment horizontal="center" vertical="center"/>
    </xf>
    <xf numFmtId="177" fontId="13" fillId="12" borderId="18" xfId="0" applyNumberFormat="1" applyFont="1" applyFill="1" applyBorder="1" applyAlignment="1">
      <alignment horizontal="center" vertical="center"/>
    </xf>
    <xf numFmtId="0" fontId="2" fillId="12" borderId="19" xfId="0" applyFont="1" applyFill="1" applyBorder="1" applyAlignment="1">
      <alignment horizontal="left" vertical="center"/>
    </xf>
    <xf numFmtId="177" fontId="13" fillId="0" borderId="15" xfId="0" applyNumberFormat="1" applyFont="1" applyBorder="1" applyAlignment="1">
      <alignment horizontal="center" vertical="center"/>
    </xf>
    <xf numFmtId="0" fontId="2" fillId="0" borderId="16" xfId="0" applyFont="1" applyBorder="1" applyAlignment="1">
      <alignment horizontal="left" vertical="center"/>
    </xf>
    <xf numFmtId="0" fontId="2" fillId="0" borderId="54" xfId="0" applyFont="1" applyBorder="1" applyAlignment="1">
      <alignment horizontal="center" vertical="center"/>
    </xf>
    <xf numFmtId="0" fontId="2" fillId="0" borderId="18" xfId="0" applyFont="1" applyBorder="1" applyAlignment="1">
      <alignment horizontal="center" vertical="center"/>
    </xf>
    <xf numFmtId="177" fontId="13" fillId="0" borderId="18" xfId="0" applyNumberFormat="1" applyFont="1" applyBorder="1" applyAlignment="1">
      <alignment horizontal="center" vertical="center"/>
    </xf>
    <xf numFmtId="0" fontId="2" fillId="0" borderId="19" xfId="0" applyFont="1" applyBorder="1" applyAlignment="1">
      <alignment horizontal="left" vertical="center"/>
    </xf>
    <xf numFmtId="0" fontId="2" fillId="0" borderId="10" xfId="0" applyFont="1" applyBorder="1" applyAlignment="1">
      <alignment horizontal="left" vertical="center"/>
    </xf>
    <xf numFmtId="0" fontId="2" fillId="14" borderId="54" xfId="0" applyFont="1" applyFill="1" applyBorder="1" applyAlignment="1">
      <alignment horizontal="center" vertical="center"/>
    </xf>
    <xf numFmtId="0" fontId="2" fillId="14" borderId="18" xfId="0" applyFont="1" applyFill="1" applyBorder="1" applyAlignment="1">
      <alignment horizontal="center" vertical="center"/>
    </xf>
    <xf numFmtId="177" fontId="13" fillId="14" borderId="18" xfId="0" applyNumberFormat="1" applyFont="1" applyFill="1" applyBorder="1" applyAlignment="1">
      <alignment horizontal="center" vertical="center"/>
    </xf>
    <xf numFmtId="0" fontId="2" fillId="14" borderId="19" xfId="0" applyFont="1" applyFill="1" applyBorder="1" applyAlignment="1">
      <alignment horizontal="left" vertical="center"/>
    </xf>
    <xf numFmtId="0" fontId="2" fillId="0" borderId="9" xfId="0" applyFont="1" applyFill="1" applyBorder="1" applyAlignment="1">
      <alignment horizontal="center" vertical="center"/>
    </xf>
    <xf numFmtId="0" fontId="2" fillId="0" borderId="15" xfId="0" applyFont="1" applyFill="1" applyBorder="1" applyAlignment="1">
      <alignment horizontal="center" vertical="center"/>
    </xf>
    <xf numFmtId="0" fontId="2" fillId="0" borderId="18" xfId="0" applyFont="1" applyFill="1" applyBorder="1" applyAlignment="1">
      <alignment horizontal="center" vertical="center"/>
    </xf>
    <xf numFmtId="0" fontId="2" fillId="0" borderId="56" xfId="0" applyFont="1" applyBorder="1" applyAlignment="1">
      <alignment horizontal="center" vertical="center"/>
    </xf>
    <xf numFmtId="177" fontId="13" fillId="0" borderId="24" xfId="0" applyNumberFormat="1" applyFont="1" applyBorder="1" applyAlignment="1">
      <alignment horizontal="center" vertical="center"/>
    </xf>
    <xf numFmtId="0" fontId="2" fillId="0" borderId="24" xfId="0" applyFont="1" applyFill="1" applyBorder="1" applyAlignment="1">
      <alignment horizontal="center" vertical="center"/>
    </xf>
    <xf numFmtId="0" fontId="2" fillId="0" borderId="25" xfId="0" applyFont="1" applyBorder="1" applyAlignment="1">
      <alignment horizontal="left" vertical="center"/>
    </xf>
    <xf numFmtId="0" fontId="2" fillId="4" borderId="58" xfId="0" applyFont="1" applyFill="1" applyBorder="1" applyAlignment="1">
      <alignment horizontal="center" vertical="center"/>
    </xf>
    <xf numFmtId="177" fontId="13" fillId="4" borderId="12" xfId="0" applyNumberFormat="1" applyFont="1" applyFill="1" applyBorder="1" applyAlignment="1">
      <alignment horizontal="center" vertical="center"/>
    </xf>
    <xf numFmtId="0" fontId="2" fillId="4" borderId="10" xfId="0" applyFont="1" applyFill="1" applyBorder="1" applyAlignment="1">
      <alignment horizontal="left" vertical="center"/>
    </xf>
    <xf numFmtId="0" fontId="2" fillId="0" borderId="10" xfId="0" applyFont="1" applyFill="1" applyBorder="1" applyAlignment="1">
      <alignment vertical="center"/>
    </xf>
    <xf numFmtId="0" fontId="2" fillId="3" borderId="10" xfId="0" applyFont="1" applyFill="1" applyBorder="1" applyAlignment="1">
      <alignment horizontal="left" vertical="center"/>
    </xf>
    <xf numFmtId="0" fontId="2" fillId="8" borderId="54" xfId="0" applyFont="1" applyFill="1" applyBorder="1" applyAlignment="1">
      <alignment horizontal="center" vertical="center"/>
    </xf>
    <xf numFmtId="0" fontId="2" fillId="8" borderId="18" xfId="0" applyFont="1" applyFill="1" applyBorder="1" applyAlignment="1">
      <alignment horizontal="center" vertical="center"/>
    </xf>
    <xf numFmtId="177" fontId="13" fillId="8" borderId="18" xfId="0" applyNumberFormat="1" applyFont="1" applyFill="1" applyBorder="1" applyAlignment="1">
      <alignment horizontal="center" vertical="center"/>
    </xf>
    <xf numFmtId="0" fontId="2" fillId="8" borderId="19" xfId="0" applyFont="1" applyFill="1" applyBorder="1" applyAlignment="1">
      <alignment vertical="center"/>
    </xf>
    <xf numFmtId="0" fontId="2" fillId="6" borderId="54" xfId="0" applyFont="1" applyFill="1" applyBorder="1" applyAlignment="1">
      <alignment horizontal="center" vertical="center"/>
    </xf>
    <xf numFmtId="177" fontId="13" fillId="6" borderId="18" xfId="0" applyNumberFormat="1" applyFont="1" applyFill="1" applyBorder="1" applyAlignment="1">
      <alignment horizontal="center" vertical="center"/>
    </xf>
    <xf numFmtId="0" fontId="2" fillId="0" borderId="19" xfId="0" applyFont="1" applyBorder="1" applyAlignment="1">
      <alignment vertical="center"/>
    </xf>
    <xf numFmtId="0" fontId="2" fillId="12" borderId="50" xfId="0" applyFont="1" applyFill="1" applyBorder="1" applyAlignment="1">
      <alignment horizontal="center" vertical="center"/>
    </xf>
    <xf numFmtId="0" fontId="2" fillId="12" borderId="9" xfId="0" applyFont="1" applyFill="1" applyBorder="1" applyAlignment="1">
      <alignment horizontal="center" vertical="center"/>
    </xf>
    <xf numFmtId="177" fontId="13" fillId="12" borderId="9" xfId="0" applyNumberFormat="1" applyFont="1" applyFill="1" applyBorder="1" applyAlignment="1">
      <alignment horizontal="center" vertical="center"/>
    </xf>
    <xf numFmtId="0" fontId="2" fillId="12" borderId="10" xfId="0" applyFont="1" applyFill="1" applyBorder="1" applyAlignment="1">
      <alignment horizontal="left" vertical="center"/>
    </xf>
    <xf numFmtId="0" fontId="2" fillId="8" borderId="19" xfId="0" applyFont="1" applyFill="1" applyBorder="1" applyAlignment="1">
      <alignment horizontal="left" vertical="center"/>
    </xf>
    <xf numFmtId="0" fontId="2" fillId="0" borderId="34" xfId="0" applyFont="1" applyBorder="1" applyAlignment="1">
      <alignment vertical="center"/>
    </xf>
    <xf numFmtId="0" fontId="2" fillId="0" borderId="36" xfId="0" applyFont="1" applyBorder="1" applyAlignment="1">
      <alignment horizontal="center" vertical="center"/>
    </xf>
    <xf numFmtId="177" fontId="13" fillId="0" borderId="1" xfId="0" applyNumberFormat="1" applyFont="1" applyBorder="1" applyAlignment="1">
      <alignment horizontal="center" vertical="center"/>
    </xf>
    <xf numFmtId="0" fontId="2" fillId="0" borderId="35" xfId="0" applyFont="1" applyBorder="1" applyAlignment="1">
      <alignment horizontal="left" vertical="center"/>
    </xf>
    <xf numFmtId="0" fontId="20" fillId="10" borderId="60" xfId="0" applyFont="1" applyFill="1" applyBorder="1" applyAlignment="1">
      <alignment horizontal="center" vertical="center"/>
    </xf>
    <xf numFmtId="176" fontId="12" fillId="0" borderId="60" xfId="0" applyNumberFormat="1" applyFont="1" applyBorder="1" applyAlignment="1">
      <alignment horizontal="right" vertical="center"/>
    </xf>
    <xf numFmtId="10" fontId="12" fillId="0" borderId="60" xfId="0" applyNumberFormat="1" applyFont="1" applyBorder="1" applyAlignment="1">
      <alignment horizontal="right" vertical="center"/>
    </xf>
    <xf numFmtId="0" fontId="2" fillId="7" borderId="54" xfId="0" applyFont="1" applyFill="1" applyBorder="1" applyAlignment="1">
      <alignment horizontal="center" vertical="center"/>
    </xf>
    <xf numFmtId="177" fontId="13" fillId="7" borderId="18" xfId="0" applyNumberFormat="1" applyFont="1" applyFill="1" applyBorder="1" applyAlignment="1">
      <alignment horizontal="center" vertical="center"/>
    </xf>
    <xf numFmtId="0" fontId="2" fillId="7" borderId="19" xfId="0" applyFont="1" applyFill="1" applyBorder="1" applyAlignment="1">
      <alignment horizontal="left" vertical="center"/>
    </xf>
    <xf numFmtId="0" fontId="2" fillId="7" borderId="15" xfId="0" applyFont="1" applyFill="1" applyBorder="1" applyAlignment="1">
      <alignment horizontal="center" vertical="center"/>
    </xf>
    <xf numFmtId="177" fontId="13" fillId="7" borderId="15" xfId="0" applyNumberFormat="1" applyFont="1" applyFill="1" applyBorder="1" applyAlignment="1">
      <alignment horizontal="center" vertical="center"/>
    </xf>
    <xf numFmtId="0" fontId="20" fillId="9" borderId="60" xfId="0" applyFont="1" applyFill="1" applyBorder="1" applyAlignment="1">
      <alignment horizontal="center" vertical="center"/>
    </xf>
    <xf numFmtId="0" fontId="2" fillId="0" borderId="11" xfId="0" applyFont="1" applyFill="1" applyBorder="1" applyAlignment="1">
      <alignment vertical="center"/>
    </xf>
    <xf numFmtId="0" fontId="2" fillId="0" borderId="8" xfId="0" applyFont="1" applyFill="1" applyBorder="1" applyAlignment="1">
      <alignment vertical="center"/>
    </xf>
    <xf numFmtId="0" fontId="2" fillId="3" borderId="17" xfId="0" applyFont="1" applyFill="1" applyBorder="1" applyAlignment="1">
      <alignment vertical="center"/>
    </xf>
    <xf numFmtId="0" fontId="2" fillId="3" borderId="8" xfId="0" applyFont="1" applyFill="1" applyBorder="1" applyAlignment="1">
      <alignment vertical="center"/>
    </xf>
    <xf numFmtId="0" fontId="2" fillId="7" borderId="36" xfId="0" applyFont="1" applyFill="1" applyBorder="1" applyAlignment="1">
      <alignment horizontal="center" vertical="center"/>
    </xf>
    <xf numFmtId="0" fontId="2" fillId="7" borderId="1" xfId="0" applyFont="1" applyFill="1" applyBorder="1" applyAlignment="1">
      <alignment horizontal="center" vertical="center"/>
    </xf>
    <xf numFmtId="177" fontId="13" fillId="7" borderId="1" xfId="0" applyNumberFormat="1" applyFont="1" applyFill="1" applyBorder="1" applyAlignment="1">
      <alignment horizontal="center" vertical="center"/>
    </xf>
    <xf numFmtId="0" fontId="2" fillId="7" borderId="35" xfId="0" applyFont="1" applyFill="1" applyBorder="1" applyAlignment="1">
      <alignment vertical="center"/>
    </xf>
    <xf numFmtId="0" fontId="20" fillId="7" borderId="60" xfId="0" applyFont="1" applyFill="1" applyBorder="1" applyAlignment="1">
      <alignment horizontal="center" vertical="center"/>
    </xf>
    <xf numFmtId="0" fontId="2" fillId="4" borderId="13" xfId="0" applyFont="1" applyFill="1" applyBorder="1" applyAlignment="1">
      <alignment horizontal="left" vertical="center"/>
    </xf>
    <xf numFmtId="0" fontId="2" fillId="8" borderId="50" xfId="0" applyFont="1" applyFill="1" applyBorder="1" applyAlignment="1">
      <alignment horizontal="center" vertical="center"/>
    </xf>
    <xf numFmtId="177" fontId="13" fillId="8" borderId="9" xfId="0" applyNumberFormat="1" applyFont="1" applyFill="1" applyBorder="1" applyAlignment="1">
      <alignment horizontal="center" vertical="center"/>
    </xf>
    <xf numFmtId="0" fontId="2" fillId="8" borderId="10" xfId="0" applyFont="1" applyFill="1" applyBorder="1" applyAlignment="1">
      <alignment horizontal="left" vertical="center"/>
    </xf>
    <xf numFmtId="0" fontId="2" fillId="6" borderId="19" xfId="0" applyFont="1" applyFill="1" applyBorder="1" applyAlignment="1">
      <alignment horizontal="left" vertical="center"/>
    </xf>
    <xf numFmtId="0" fontId="2" fillId="6" borderId="15" xfId="0" applyFont="1" applyFill="1" applyBorder="1" applyAlignment="1">
      <alignment horizontal="center" vertical="center"/>
    </xf>
    <xf numFmtId="177" fontId="13" fillId="6" borderId="15" xfId="0" applyNumberFormat="1" applyFont="1" applyFill="1" applyBorder="1" applyAlignment="1">
      <alignment horizontal="center" vertical="center"/>
    </xf>
    <xf numFmtId="0" fontId="2" fillId="0" borderId="35" xfId="0" applyFont="1" applyBorder="1" applyAlignment="1">
      <alignment vertical="center"/>
    </xf>
    <xf numFmtId="0" fontId="20" fillId="13" borderId="60" xfId="0" applyFont="1" applyFill="1" applyBorder="1" applyAlignment="1">
      <alignment horizontal="center" vertical="center"/>
    </xf>
    <xf numFmtId="0" fontId="2" fillId="9" borderId="15" xfId="0" applyFont="1" applyFill="1" applyBorder="1" applyAlignment="1">
      <alignment horizontal="center" vertical="center"/>
    </xf>
    <xf numFmtId="177" fontId="13" fillId="9" borderId="15" xfId="0" applyNumberFormat="1" applyFont="1" applyFill="1" applyBorder="1" applyAlignment="1">
      <alignment horizontal="center" vertical="center"/>
    </xf>
    <xf numFmtId="0" fontId="2" fillId="17" borderId="9" xfId="0" applyFont="1" applyFill="1" applyBorder="1" applyAlignment="1">
      <alignment horizontal="center" vertical="center"/>
    </xf>
    <xf numFmtId="0" fontId="20" fillId="6" borderId="60" xfId="0" applyFont="1" applyFill="1" applyBorder="1" applyAlignment="1">
      <alignment horizontal="center" vertical="center"/>
    </xf>
    <xf numFmtId="0" fontId="2" fillId="16" borderId="18" xfId="0" applyFont="1" applyFill="1" applyBorder="1" applyAlignment="1">
      <alignment horizontal="center" vertical="center"/>
    </xf>
    <xf numFmtId="0" fontId="2" fillId="10" borderId="15" xfId="0" applyFont="1" applyFill="1" applyBorder="1" applyAlignment="1">
      <alignment horizontal="center" vertical="center"/>
    </xf>
    <xf numFmtId="177" fontId="13" fillId="10" borderId="15" xfId="0" applyNumberFormat="1" applyFont="1" applyFill="1" applyBorder="1" applyAlignment="1">
      <alignment horizontal="center" vertical="center"/>
    </xf>
    <xf numFmtId="177" fontId="13" fillId="6" borderId="9" xfId="0" applyNumberFormat="1" applyFont="1" applyFill="1" applyBorder="1" applyAlignment="1">
      <alignment horizontal="center" vertical="center"/>
    </xf>
    <xf numFmtId="0" fontId="2" fillId="10" borderId="9" xfId="0" applyFont="1" applyFill="1" applyBorder="1" applyAlignment="1">
      <alignment horizontal="center" vertical="center"/>
    </xf>
    <xf numFmtId="177" fontId="13" fillId="10" borderId="9" xfId="0" applyNumberFormat="1" applyFont="1" applyFill="1" applyBorder="1" applyAlignment="1">
      <alignment horizontal="center" vertical="center"/>
    </xf>
    <xf numFmtId="0" fontId="2" fillId="0" borderId="0" xfId="0" applyFont="1" applyBorder="1" applyAlignment="1">
      <alignment vertical="center"/>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2" fillId="0" borderId="0" xfId="0" applyFont="1" applyBorder="1" applyAlignment="1">
      <alignment horizontal="left" vertical="center"/>
    </xf>
    <xf numFmtId="0" fontId="15" fillId="11" borderId="14" xfId="0" applyFont="1" applyFill="1" applyBorder="1" applyAlignment="1">
      <alignment horizontal="center" vertical="center"/>
    </xf>
    <xf numFmtId="0" fontId="16" fillId="0" borderId="16" xfId="0" applyFont="1" applyBorder="1" applyAlignment="1">
      <alignment horizontal="right" vertical="center"/>
    </xf>
    <xf numFmtId="0" fontId="15" fillId="0" borderId="52" xfId="0" applyFont="1" applyBorder="1" applyAlignment="1">
      <alignment horizontal="center" vertical="center"/>
    </xf>
    <xf numFmtId="0" fontId="15" fillId="14" borderId="40" xfId="0" applyFont="1" applyFill="1" applyBorder="1" applyAlignment="1">
      <alignment horizontal="center" vertical="center"/>
    </xf>
    <xf numFmtId="0" fontId="15" fillId="14" borderId="67" xfId="0" applyFont="1" applyFill="1" applyBorder="1" applyAlignment="1">
      <alignment horizontal="center" vertical="center"/>
    </xf>
    <xf numFmtId="0" fontId="22" fillId="0" borderId="68" xfId="0" applyFont="1" applyBorder="1" applyAlignment="1">
      <alignment horizontal="right" vertical="center"/>
    </xf>
    <xf numFmtId="0" fontId="15" fillId="0" borderId="71" xfId="0" applyFont="1" applyBorder="1" applyAlignment="1">
      <alignment horizontal="center" vertical="center"/>
    </xf>
    <xf numFmtId="0" fontId="15" fillId="14" borderId="73" xfId="0" applyFont="1" applyFill="1" applyBorder="1" applyAlignment="1">
      <alignment horizontal="center" vertical="center"/>
    </xf>
    <xf numFmtId="0" fontId="22" fillId="0" borderId="74" xfId="0" applyFont="1" applyBorder="1" applyAlignment="1">
      <alignment horizontal="right" vertical="center"/>
    </xf>
    <xf numFmtId="0" fontId="15" fillId="0" borderId="77" xfId="0" applyFont="1" applyBorder="1" applyAlignment="1">
      <alignment horizontal="center" vertical="center"/>
    </xf>
    <xf numFmtId="0" fontId="15" fillId="14" borderId="8" xfId="0" applyFont="1" applyFill="1" applyBorder="1" applyAlignment="1">
      <alignment horizontal="center" vertical="center"/>
    </xf>
    <xf numFmtId="0" fontId="22" fillId="0" borderId="10" xfId="0" applyFont="1" applyBorder="1" applyAlignment="1">
      <alignment horizontal="right" vertical="center"/>
    </xf>
    <xf numFmtId="0" fontId="15" fillId="0" borderId="50" xfId="0" applyFont="1" applyBorder="1" applyAlignment="1">
      <alignment horizontal="center" vertical="center"/>
    </xf>
    <xf numFmtId="0" fontId="14" fillId="0" borderId="26" xfId="0" applyFont="1" applyBorder="1" applyAlignment="1">
      <alignment horizontal="center" vertical="center"/>
    </xf>
    <xf numFmtId="0" fontId="15" fillId="0" borderId="23" xfId="0" applyFont="1" applyBorder="1" applyAlignment="1">
      <alignment horizontal="center" vertical="center"/>
    </xf>
    <xf numFmtId="0" fontId="16" fillId="0" borderId="25" xfId="0" applyFont="1" applyBorder="1" applyAlignment="1">
      <alignment horizontal="center" vertical="center"/>
    </xf>
    <xf numFmtId="0" fontId="2" fillId="0" borderId="0" xfId="0" applyFont="1" applyAlignment="1">
      <alignment horizontal="left" vertical="center"/>
    </xf>
    <xf numFmtId="0" fontId="0" fillId="0" borderId="0" xfId="0" applyAlignment="1">
      <alignment vertical="center"/>
    </xf>
    <xf numFmtId="0" fontId="2" fillId="0" borderId="26" xfId="0" applyFont="1" applyBorder="1" applyAlignment="1">
      <alignment horizontal="center" vertical="center"/>
    </xf>
    <xf numFmtId="0" fontId="2" fillId="0" borderId="82" xfId="0" applyFont="1" applyBorder="1" applyAlignment="1">
      <alignment horizontal="center" vertical="center"/>
    </xf>
    <xf numFmtId="0" fontId="2" fillId="0" borderId="83" xfId="0" applyFont="1" applyBorder="1" applyAlignment="1">
      <alignment horizontal="center" vertical="center"/>
    </xf>
    <xf numFmtId="0" fontId="2" fillId="11" borderId="50" xfId="0" applyFont="1" applyFill="1" applyBorder="1" applyAlignment="1">
      <alignment horizontal="center" vertical="center"/>
    </xf>
    <xf numFmtId="0" fontId="2" fillId="11" borderId="9" xfId="0" applyFont="1" applyFill="1" applyBorder="1" applyAlignment="1">
      <alignment horizontal="center" vertical="center"/>
    </xf>
    <xf numFmtId="177" fontId="13" fillId="11" borderId="9" xfId="0" applyNumberFormat="1" applyFont="1" applyFill="1" applyBorder="1" applyAlignment="1">
      <alignment horizontal="center" vertical="center"/>
    </xf>
    <xf numFmtId="0" fontId="2" fillId="11" borderId="84" xfId="0" applyFont="1" applyFill="1" applyBorder="1" applyAlignment="1">
      <alignment horizontal="left" vertical="center"/>
    </xf>
    <xf numFmtId="0" fontId="13" fillId="11" borderId="9" xfId="0" applyFont="1" applyFill="1" applyBorder="1" applyAlignment="1">
      <alignment horizontal="center" vertical="center"/>
    </xf>
    <xf numFmtId="0" fontId="2" fillId="11" borderId="84" xfId="0" applyFont="1" applyFill="1" applyBorder="1" applyAlignment="1">
      <alignment horizontal="center" vertical="center"/>
    </xf>
    <xf numFmtId="0" fontId="2" fillId="0" borderId="84" xfId="0" applyFont="1" applyBorder="1" applyAlignment="1">
      <alignment horizontal="center" vertical="center"/>
    </xf>
    <xf numFmtId="0" fontId="13" fillId="0" borderId="9" xfId="0" applyFont="1" applyBorder="1" applyAlignment="1">
      <alignment horizontal="center" vertical="center"/>
    </xf>
    <xf numFmtId="0" fontId="2" fillId="0" borderId="84" xfId="0" applyFont="1" applyBorder="1" applyAlignment="1">
      <alignment horizontal="left" vertical="center"/>
    </xf>
    <xf numFmtId="0" fontId="2" fillId="11" borderId="15" xfId="0" applyFont="1" applyFill="1" applyBorder="1" applyAlignment="1">
      <alignment horizontal="center" vertical="center"/>
    </xf>
    <xf numFmtId="0" fontId="13" fillId="11" borderId="15" xfId="0" applyFont="1" applyFill="1" applyBorder="1" applyAlignment="1">
      <alignment horizontal="center" vertical="center"/>
    </xf>
    <xf numFmtId="0" fontId="2" fillId="11" borderId="85" xfId="0" applyFont="1" applyFill="1" applyBorder="1" applyAlignment="1">
      <alignment horizontal="center" vertical="center"/>
    </xf>
    <xf numFmtId="0" fontId="13" fillId="3" borderId="18" xfId="0" applyFont="1" applyFill="1" applyBorder="1" applyAlignment="1">
      <alignment horizontal="center" vertical="center"/>
    </xf>
    <xf numFmtId="0" fontId="2" fillId="3" borderId="86" xfId="0" applyFont="1" applyFill="1" applyBorder="1" applyAlignment="1">
      <alignment horizontal="left" vertical="center"/>
    </xf>
    <xf numFmtId="0" fontId="2" fillId="3" borderId="84" xfId="0" applyFont="1" applyFill="1" applyBorder="1" applyAlignment="1">
      <alignment horizontal="center" vertical="center"/>
    </xf>
    <xf numFmtId="0" fontId="13" fillId="3" borderId="9" xfId="0" applyFont="1" applyFill="1" applyBorder="1" applyAlignment="1">
      <alignment horizontal="center" vertical="center"/>
    </xf>
    <xf numFmtId="0" fontId="2" fillId="3" borderId="52" xfId="0" applyFont="1" applyFill="1" applyBorder="1" applyAlignment="1">
      <alignment horizontal="center" vertical="center"/>
    </xf>
    <xf numFmtId="0" fontId="13" fillId="3" borderId="15" xfId="0" applyFont="1" applyFill="1" applyBorder="1" applyAlignment="1">
      <alignment horizontal="center" vertical="center"/>
    </xf>
    <xf numFmtId="0" fontId="2" fillId="3" borderId="85" xfId="0" applyFont="1" applyFill="1" applyBorder="1" applyAlignment="1">
      <alignment horizontal="center" vertical="center"/>
    </xf>
    <xf numFmtId="0" fontId="13" fillId="12" borderId="18" xfId="0" applyFont="1" applyFill="1" applyBorder="1" applyAlignment="1">
      <alignment horizontal="center" vertical="center"/>
    </xf>
    <xf numFmtId="0" fontId="2" fillId="12" borderId="86" xfId="0" applyFont="1" applyFill="1" applyBorder="1" applyAlignment="1">
      <alignment horizontal="left" vertical="center"/>
    </xf>
    <xf numFmtId="0" fontId="13" fillId="0" borderId="15" xfId="0" applyFont="1" applyBorder="1" applyAlignment="1">
      <alignment horizontal="center" vertical="center"/>
    </xf>
    <xf numFmtId="0" fontId="2" fillId="0" borderId="85" xfId="0" applyFont="1" applyBorder="1" applyAlignment="1">
      <alignment horizontal="left" vertical="center"/>
    </xf>
    <xf numFmtId="0" fontId="13" fillId="0" borderId="18" xfId="0" applyFont="1" applyBorder="1" applyAlignment="1">
      <alignment horizontal="center" vertical="center"/>
    </xf>
    <xf numFmtId="0" fontId="2" fillId="0" borderId="86" xfId="0" applyFont="1" applyBorder="1" applyAlignment="1">
      <alignment horizontal="left" vertical="center"/>
    </xf>
    <xf numFmtId="0" fontId="13" fillId="0" borderId="1" xfId="0" applyFont="1" applyBorder="1" applyAlignment="1">
      <alignment horizontal="center" vertical="center"/>
    </xf>
    <xf numFmtId="0" fontId="2" fillId="0" borderId="39" xfId="0" applyFont="1" applyBorder="1" applyAlignment="1">
      <alignment horizontal="left" vertical="center"/>
    </xf>
    <xf numFmtId="0" fontId="20" fillId="0" borderId="60" xfId="0" applyFont="1" applyBorder="1" applyAlignment="1">
      <alignment horizontal="center" vertical="center"/>
    </xf>
    <xf numFmtId="176" fontId="12" fillId="0" borderId="60" xfId="0" applyNumberFormat="1" applyFont="1" applyBorder="1" applyAlignment="1">
      <alignment vertical="center"/>
    </xf>
    <xf numFmtId="177" fontId="12" fillId="0" borderId="60" xfId="0" applyNumberFormat="1" applyFont="1" applyBorder="1" applyAlignment="1">
      <alignment horizontal="center" vertical="center"/>
    </xf>
    <xf numFmtId="0" fontId="13" fillId="14" borderId="18" xfId="0" applyFont="1" applyFill="1" applyBorder="1" applyAlignment="1">
      <alignment horizontal="center" vertical="center"/>
    </xf>
    <xf numFmtId="0" fontId="2" fillId="14" borderId="86" xfId="0" applyFont="1" applyFill="1" applyBorder="1" applyAlignment="1">
      <alignment horizontal="left" vertical="center"/>
    </xf>
    <xf numFmtId="0" fontId="13" fillId="0" borderId="24" xfId="0" applyFont="1" applyBorder="1" applyAlignment="1">
      <alignment horizontal="center" vertical="center"/>
    </xf>
    <xf numFmtId="0" fontId="2" fillId="0" borderId="87" xfId="0" applyFont="1" applyBorder="1" applyAlignment="1">
      <alignment horizontal="left" vertical="center"/>
    </xf>
    <xf numFmtId="0" fontId="2" fillId="11" borderId="58" xfId="0" applyFont="1" applyFill="1" applyBorder="1" applyAlignment="1">
      <alignment horizontal="center" vertical="center"/>
    </xf>
    <xf numFmtId="0" fontId="2" fillId="11" borderId="12" xfId="0" applyFont="1" applyFill="1" applyBorder="1" applyAlignment="1">
      <alignment horizontal="center" vertical="center"/>
    </xf>
    <xf numFmtId="0" fontId="13" fillId="11" borderId="12" xfId="0" applyFont="1" applyFill="1" applyBorder="1" applyAlignment="1">
      <alignment horizontal="center" vertical="center"/>
    </xf>
    <xf numFmtId="0" fontId="2" fillId="11" borderId="88" xfId="0" applyFont="1" applyFill="1" applyBorder="1" applyAlignment="1">
      <alignment horizontal="left" vertical="center"/>
    </xf>
    <xf numFmtId="0" fontId="2" fillId="11" borderId="52" xfId="0" applyFont="1" applyFill="1" applyBorder="1" applyAlignment="1">
      <alignment horizontal="center" vertical="center"/>
    </xf>
    <xf numFmtId="0" fontId="2" fillId="3" borderId="86" xfId="0" applyFont="1" applyFill="1" applyBorder="1" applyAlignment="1">
      <alignment horizontal="center" vertical="center"/>
    </xf>
    <xf numFmtId="0" fontId="13" fillId="8" borderId="18" xfId="0" applyFont="1" applyFill="1" applyBorder="1" applyAlignment="1">
      <alignment horizontal="center" vertical="center"/>
    </xf>
    <xf numFmtId="0" fontId="2" fillId="8" borderId="86" xfId="0" applyFont="1" applyFill="1" applyBorder="1" applyAlignment="1">
      <alignment horizontal="left" vertical="center"/>
    </xf>
    <xf numFmtId="0" fontId="2" fillId="0" borderId="85" xfId="0" applyFont="1" applyBorder="1" applyAlignment="1">
      <alignment horizontal="center" vertical="center"/>
    </xf>
    <xf numFmtId="0" fontId="2" fillId="6" borderId="86" xfId="0" applyFont="1" applyFill="1" applyBorder="1" applyAlignment="1">
      <alignment horizontal="center" vertical="center"/>
    </xf>
    <xf numFmtId="0" fontId="2" fillId="0" borderId="86" xfId="0" applyFont="1" applyBorder="1" applyAlignment="1">
      <alignment horizontal="center" vertical="center"/>
    </xf>
    <xf numFmtId="0" fontId="2" fillId="0" borderId="87" xfId="0" applyFont="1" applyBorder="1" applyAlignment="1">
      <alignment horizontal="center" vertical="center"/>
    </xf>
    <xf numFmtId="0" fontId="13" fillId="12" borderId="9" xfId="0" applyFont="1" applyFill="1" applyBorder="1" applyAlignment="1">
      <alignment horizontal="center" vertical="center"/>
    </xf>
    <xf numFmtId="0" fontId="2" fillId="12" borderId="84" xfId="0" applyFont="1" applyFill="1" applyBorder="1" applyAlignment="1">
      <alignment horizontal="left" vertical="center"/>
    </xf>
    <xf numFmtId="0" fontId="2" fillId="8" borderId="86" xfId="0" applyFont="1" applyFill="1" applyBorder="1" applyAlignment="1">
      <alignment horizontal="center" vertical="center"/>
    </xf>
    <xf numFmtId="0" fontId="13" fillId="6" borderId="18" xfId="0" applyFont="1" applyFill="1" applyBorder="1" applyAlignment="1">
      <alignment horizontal="center" vertical="center"/>
    </xf>
    <xf numFmtId="0" fontId="2" fillId="6" borderId="86" xfId="0" applyFont="1" applyFill="1" applyBorder="1" applyAlignment="1">
      <alignment horizontal="left" vertical="center"/>
    </xf>
    <xf numFmtId="40" fontId="13" fillId="0" borderId="9" xfId="1" applyNumberFormat="1" applyFont="1" applyBorder="1" applyAlignment="1">
      <alignment horizontal="center" vertical="center"/>
    </xf>
    <xf numFmtId="40" fontId="13" fillId="0" borderId="15" xfId="1" applyNumberFormat="1" applyFont="1" applyBorder="1" applyAlignment="1">
      <alignment horizontal="center"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13" fillId="0" borderId="43" xfId="0" applyFont="1" applyBorder="1" applyAlignment="1">
      <alignment horizontal="center" vertical="center"/>
    </xf>
    <xf numFmtId="0" fontId="2" fillId="0" borderId="46" xfId="0" applyFont="1" applyBorder="1" applyAlignment="1">
      <alignment horizontal="left" vertical="center"/>
    </xf>
    <xf numFmtId="0" fontId="20" fillId="0" borderId="89" xfId="0" applyFont="1" applyBorder="1" applyAlignment="1">
      <alignment horizontal="center" vertical="center"/>
    </xf>
    <xf numFmtId="176" fontId="12" fillId="0" borderId="89" xfId="0" applyNumberFormat="1" applyFont="1" applyBorder="1" applyAlignment="1">
      <alignment vertical="center"/>
    </xf>
    <xf numFmtId="177" fontId="12" fillId="0" borderId="89" xfId="0" applyNumberFormat="1" applyFont="1" applyBorder="1" applyAlignment="1">
      <alignment horizontal="center" vertical="center"/>
    </xf>
    <xf numFmtId="177" fontId="13" fillId="0" borderId="43" xfId="0" applyNumberFormat="1" applyFont="1" applyBorder="1" applyAlignment="1">
      <alignment horizontal="center" vertical="center"/>
    </xf>
    <xf numFmtId="0" fontId="2" fillId="3" borderId="84" xfId="0" applyFont="1" applyFill="1" applyBorder="1" applyAlignment="1">
      <alignment horizontal="left" vertical="center"/>
    </xf>
    <xf numFmtId="0" fontId="2" fillId="3" borderId="85" xfId="0" applyFont="1" applyFill="1" applyBorder="1" applyAlignment="1">
      <alignment horizontal="left" vertical="center"/>
    </xf>
    <xf numFmtId="0" fontId="2" fillId="10" borderId="54" xfId="0" applyFont="1" applyFill="1" applyBorder="1" applyAlignment="1">
      <alignment horizontal="center" vertical="center"/>
    </xf>
    <xf numFmtId="0" fontId="13" fillId="10" borderId="18" xfId="0" applyFont="1" applyFill="1" applyBorder="1" applyAlignment="1">
      <alignment horizontal="center" vertical="center"/>
    </xf>
    <xf numFmtId="0" fontId="2" fillId="10" borderId="86" xfId="0" applyFont="1" applyFill="1" applyBorder="1" applyAlignment="1">
      <alignment horizontal="left" vertical="center"/>
    </xf>
    <xf numFmtId="0" fontId="2" fillId="10" borderId="56" xfId="0" applyFont="1" applyFill="1" applyBorder="1" applyAlignment="1">
      <alignment horizontal="center" vertical="center"/>
    </xf>
    <xf numFmtId="0" fontId="2" fillId="10" borderId="24" xfId="0" applyFont="1" applyFill="1" applyBorder="1" applyAlignment="1">
      <alignment horizontal="center" vertical="center"/>
    </xf>
    <xf numFmtId="0" fontId="13" fillId="10" borderId="24" xfId="0" applyFont="1" applyFill="1" applyBorder="1" applyAlignment="1">
      <alignment horizontal="center" vertical="center"/>
    </xf>
    <xf numFmtId="0" fontId="2" fillId="10" borderId="87" xfId="0" applyFont="1" applyFill="1" applyBorder="1" applyAlignment="1">
      <alignment horizontal="center" vertical="center"/>
    </xf>
    <xf numFmtId="177" fontId="13" fillId="11" borderId="12" xfId="0" applyNumberFormat="1" applyFont="1" applyFill="1" applyBorder="1" applyAlignment="1">
      <alignment horizontal="center" vertical="center"/>
    </xf>
    <xf numFmtId="0" fontId="2" fillId="11" borderId="88" xfId="0" applyFont="1" applyFill="1" applyBorder="1" applyAlignment="1">
      <alignment horizontal="center" vertical="center"/>
    </xf>
    <xf numFmtId="0" fontId="2" fillId="0" borderId="50" xfId="0" applyFont="1" applyFill="1" applyBorder="1" applyAlignment="1">
      <alignment horizontal="center" vertical="center"/>
    </xf>
    <xf numFmtId="177" fontId="13" fillId="0" borderId="9" xfId="0" applyNumberFormat="1" applyFont="1" applyFill="1" applyBorder="1" applyAlignment="1">
      <alignment horizontal="center" vertical="center"/>
    </xf>
    <xf numFmtId="0" fontId="2" fillId="0" borderId="84" xfId="0" applyFont="1" applyFill="1" applyBorder="1" applyAlignment="1">
      <alignment horizontal="center" vertical="center"/>
    </xf>
    <xf numFmtId="0" fontId="2" fillId="8" borderId="84" xfId="0" applyFont="1" applyFill="1" applyBorder="1" applyAlignment="1">
      <alignment horizontal="center" vertical="center"/>
    </xf>
    <xf numFmtId="0" fontId="2" fillId="9" borderId="54" xfId="0" applyFont="1" applyFill="1" applyBorder="1" applyAlignment="1">
      <alignment horizontal="center" vertical="center"/>
    </xf>
    <xf numFmtId="177" fontId="13" fillId="9" borderId="18" xfId="0" applyNumberFormat="1" applyFont="1" applyFill="1" applyBorder="1" applyAlignment="1">
      <alignment horizontal="center" vertical="center"/>
    </xf>
    <xf numFmtId="0" fontId="2" fillId="9" borderId="86" xfId="0" applyFont="1" applyFill="1" applyBorder="1" applyAlignment="1">
      <alignment horizontal="center" vertical="center"/>
    </xf>
    <xf numFmtId="177" fontId="13" fillId="10" borderId="18" xfId="0" applyNumberFormat="1" applyFont="1" applyFill="1" applyBorder="1" applyAlignment="1">
      <alignment horizontal="center" vertical="center"/>
    </xf>
    <xf numFmtId="0" fontId="2" fillId="10" borderId="86" xfId="0" applyFont="1" applyFill="1" applyBorder="1" applyAlignment="1">
      <alignment horizontal="center" vertical="center"/>
    </xf>
    <xf numFmtId="0" fontId="2" fillId="6" borderId="52" xfId="0" applyFont="1" applyFill="1" applyBorder="1" applyAlignment="1">
      <alignment horizontal="center" vertical="center"/>
    </xf>
    <xf numFmtId="0" fontId="2" fillId="6" borderId="85" xfId="0" applyFont="1" applyFill="1" applyBorder="1" applyAlignment="1">
      <alignment horizontal="center" vertical="center"/>
    </xf>
    <xf numFmtId="0" fontId="21" fillId="0" borderId="16" xfId="0" applyFont="1" applyBorder="1" applyAlignment="1">
      <alignment horizontal="right" vertical="center"/>
    </xf>
    <xf numFmtId="0" fontId="21" fillId="0" borderId="35" xfId="0" applyFont="1" applyBorder="1" applyAlignment="1">
      <alignment horizontal="right" vertical="center"/>
    </xf>
    <xf numFmtId="0" fontId="15" fillId="14" borderId="17" xfId="0" applyFont="1" applyFill="1" applyBorder="1" applyAlignment="1">
      <alignment horizontal="center" vertical="center"/>
    </xf>
    <xf numFmtId="0" fontId="21" fillId="0" borderId="19" xfId="0" applyFont="1" applyBorder="1" applyAlignment="1">
      <alignment horizontal="right" vertical="center"/>
    </xf>
    <xf numFmtId="0" fontId="15" fillId="0" borderId="54" xfId="0" applyFont="1" applyBorder="1" applyAlignment="1">
      <alignment horizontal="center" vertical="center"/>
    </xf>
    <xf numFmtId="0" fontId="24" fillId="0" borderId="7" xfId="0" applyFont="1" applyBorder="1" applyAlignment="1">
      <alignment horizontal="right" vertical="center"/>
    </xf>
    <xf numFmtId="0" fontId="15" fillId="0" borderId="25" xfId="0" applyFont="1" applyBorder="1" applyAlignment="1">
      <alignment horizontal="center" vertical="center"/>
    </xf>
    <xf numFmtId="177" fontId="15" fillId="0" borderId="16" xfId="0" applyNumberFormat="1" applyFont="1" applyBorder="1" applyAlignment="1">
      <alignment horizontal="right" vertical="center"/>
    </xf>
    <xf numFmtId="177" fontId="15" fillId="0" borderId="7" xfId="0" applyNumberFormat="1" applyFont="1" applyBorder="1" applyAlignment="1">
      <alignment horizontal="right"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3" borderId="9" xfId="0" applyFont="1" applyFill="1" applyBorder="1" applyAlignment="1">
      <alignment horizontal="left" vertical="center"/>
    </xf>
    <xf numFmtId="0" fontId="13" fillId="3" borderId="9" xfId="0" applyFont="1" applyFill="1" applyBorder="1" applyAlignment="1">
      <alignment horizontal="right" vertical="center"/>
    </xf>
    <xf numFmtId="0" fontId="2" fillId="3" borderId="10"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9" xfId="0" applyFont="1" applyFill="1" applyBorder="1" applyAlignment="1">
      <alignment horizontal="left" vertical="center"/>
    </xf>
    <xf numFmtId="0" fontId="2" fillId="0" borderId="10" xfId="0" applyFont="1" applyFill="1" applyBorder="1" applyAlignment="1">
      <alignment horizontal="center" vertical="center"/>
    </xf>
    <xf numFmtId="0" fontId="13" fillId="0" borderId="9" xfId="0" applyFont="1" applyFill="1" applyBorder="1" applyAlignment="1">
      <alignment horizontal="right" vertical="center"/>
    </xf>
    <xf numFmtId="0" fontId="2" fillId="0" borderId="15" xfId="0" applyFont="1" applyFill="1" applyBorder="1" applyAlignment="1">
      <alignment horizontal="left" vertical="center"/>
    </xf>
    <xf numFmtId="176" fontId="12" fillId="0" borderId="15" xfId="0" applyNumberFormat="1" applyFont="1" applyFill="1" applyBorder="1" applyAlignment="1">
      <alignment horizontal="right" vertical="center"/>
    </xf>
    <xf numFmtId="177" fontId="13" fillId="0" borderId="15" xfId="0" applyNumberFormat="1" applyFont="1" applyFill="1" applyBorder="1" applyAlignment="1">
      <alignment horizontal="right" vertical="center"/>
    </xf>
    <xf numFmtId="0" fontId="13" fillId="0" borderId="15" xfId="0" applyFont="1" applyFill="1" applyBorder="1" applyAlignment="1">
      <alignment horizontal="right" vertical="center"/>
    </xf>
    <xf numFmtId="0" fontId="2" fillId="0" borderId="16" xfId="0" applyFont="1" applyFill="1" applyBorder="1" applyAlignment="1">
      <alignment horizontal="center" vertical="center"/>
    </xf>
    <xf numFmtId="0" fontId="2" fillId="3" borderId="18" xfId="0" applyFont="1" applyFill="1" applyBorder="1" applyAlignment="1">
      <alignment horizontal="left" vertical="center"/>
    </xf>
    <xf numFmtId="0" fontId="13" fillId="3" borderId="18" xfId="0" applyFont="1" applyFill="1" applyBorder="1" applyAlignment="1">
      <alignment horizontal="right" vertical="center"/>
    </xf>
    <xf numFmtId="0" fontId="2" fillId="3" borderId="19" xfId="0" applyFont="1" applyFill="1" applyBorder="1" applyAlignment="1">
      <alignment horizontal="center" vertical="center"/>
    </xf>
    <xf numFmtId="0" fontId="2" fillId="11" borderId="18" xfId="0" applyFont="1" applyFill="1" applyBorder="1" applyAlignment="1">
      <alignment horizontal="left" vertical="center"/>
    </xf>
    <xf numFmtId="176" fontId="12" fillId="11" borderId="18" xfId="0" applyNumberFormat="1" applyFont="1" applyFill="1" applyBorder="1" applyAlignment="1">
      <alignment horizontal="right" vertical="center"/>
    </xf>
    <xf numFmtId="177" fontId="13" fillId="11" borderId="18" xfId="0" applyNumberFormat="1" applyFont="1" applyFill="1" applyBorder="1" applyAlignment="1">
      <alignment horizontal="right" vertical="center"/>
    </xf>
    <xf numFmtId="0" fontId="13" fillId="11" borderId="18" xfId="0" applyFont="1" applyFill="1" applyBorder="1" applyAlignment="1">
      <alignment horizontal="right" vertical="center"/>
    </xf>
    <xf numFmtId="0" fontId="2" fillId="11" borderId="18" xfId="0" applyFont="1" applyFill="1" applyBorder="1" applyAlignment="1">
      <alignment horizontal="center" vertical="center"/>
    </xf>
    <xf numFmtId="0" fontId="2" fillId="11" borderId="19" xfId="0" applyFont="1" applyFill="1" applyBorder="1" applyAlignment="1">
      <alignment horizontal="center" vertical="center"/>
    </xf>
    <xf numFmtId="0" fontId="2" fillId="0" borderId="20" xfId="0" applyFont="1" applyFill="1" applyBorder="1" applyAlignment="1">
      <alignment horizontal="center" vertical="center"/>
    </xf>
    <xf numFmtId="0" fontId="2" fillId="0" borderId="21" xfId="0" applyFont="1" applyFill="1" applyBorder="1" applyAlignment="1">
      <alignment horizontal="left" vertical="center"/>
    </xf>
    <xf numFmtId="176" fontId="12" fillId="0" borderId="21" xfId="0" applyNumberFormat="1" applyFont="1" applyFill="1" applyBorder="1" applyAlignment="1">
      <alignment horizontal="right" vertical="center"/>
    </xf>
    <xf numFmtId="177" fontId="13" fillId="0" borderId="21" xfId="0" applyNumberFormat="1" applyFont="1" applyFill="1" applyBorder="1" applyAlignment="1">
      <alignment horizontal="right" vertical="center"/>
    </xf>
    <xf numFmtId="0" fontId="13" fillId="0" borderId="21" xfId="0" applyFont="1" applyFill="1" applyBorder="1" applyAlignment="1">
      <alignment horizontal="right" vertical="center"/>
    </xf>
    <xf numFmtId="0" fontId="2" fillId="0" borderId="21" xfId="0" applyFont="1" applyFill="1" applyBorder="1" applyAlignment="1">
      <alignment horizontal="center" vertical="center"/>
    </xf>
    <xf numFmtId="0" fontId="2" fillId="0" borderId="22" xfId="0" applyFont="1" applyFill="1" applyBorder="1" applyAlignment="1">
      <alignment horizontal="center" vertical="center"/>
    </xf>
    <xf numFmtId="0" fontId="2" fillId="11" borderId="9" xfId="0" applyFont="1" applyFill="1" applyBorder="1" applyAlignment="1">
      <alignment horizontal="left" vertical="center"/>
    </xf>
    <xf numFmtId="176" fontId="12" fillId="11" borderId="9" xfId="0" applyNumberFormat="1" applyFont="1" applyFill="1" applyBorder="1" applyAlignment="1">
      <alignment horizontal="right" vertical="center"/>
    </xf>
    <xf numFmtId="177" fontId="13" fillId="11" borderId="9" xfId="0" applyNumberFormat="1" applyFont="1" applyFill="1" applyBorder="1" applyAlignment="1">
      <alignment horizontal="right" vertical="center"/>
    </xf>
    <xf numFmtId="0" fontId="13" fillId="11" borderId="9" xfId="0" applyFont="1" applyFill="1" applyBorder="1" applyAlignment="1">
      <alignment horizontal="right" vertical="center"/>
    </xf>
    <xf numFmtId="0" fontId="2" fillId="11" borderId="10" xfId="0" applyFont="1" applyFill="1" applyBorder="1" applyAlignment="1">
      <alignment horizontal="center" vertical="center"/>
    </xf>
    <xf numFmtId="0" fontId="2" fillId="0" borderId="23" xfId="0" applyFont="1" applyFill="1" applyBorder="1" applyAlignment="1">
      <alignment horizontal="center" vertical="center"/>
    </xf>
    <xf numFmtId="0" fontId="2" fillId="0" borderId="24" xfId="0" applyFont="1" applyFill="1" applyBorder="1" applyAlignment="1">
      <alignment horizontal="left" vertical="center"/>
    </xf>
    <xf numFmtId="176" fontId="12" fillId="0" borderId="24" xfId="0" applyNumberFormat="1" applyFont="1" applyFill="1" applyBorder="1" applyAlignment="1">
      <alignment horizontal="right" vertical="center"/>
    </xf>
    <xf numFmtId="177" fontId="13" fillId="0" borderId="24" xfId="0" applyNumberFormat="1" applyFont="1" applyFill="1" applyBorder="1" applyAlignment="1">
      <alignment horizontal="right" vertical="center"/>
    </xf>
    <xf numFmtId="0" fontId="13" fillId="0" borderId="24" xfId="0" applyFont="1" applyFill="1" applyBorder="1" applyAlignment="1">
      <alignment horizontal="right" vertical="center"/>
    </xf>
    <xf numFmtId="0" fontId="2" fillId="0" borderId="25" xfId="0" applyFont="1" applyFill="1" applyBorder="1" applyAlignment="1">
      <alignment horizontal="center" vertical="center"/>
    </xf>
    <xf numFmtId="0" fontId="2" fillId="3" borderId="12" xfId="0" applyFont="1" applyFill="1" applyBorder="1" applyAlignment="1">
      <alignment horizontal="left" vertical="center"/>
    </xf>
    <xf numFmtId="0" fontId="13" fillId="3" borderId="12" xfId="0" applyFont="1" applyFill="1" applyBorder="1" applyAlignment="1">
      <alignment horizontal="right" vertical="center"/>
    </xf>
    <xf numFmtId="0" fontId="2" fillId="3" borderId="13" xfId="0" applyFont="1" applyFill="1" applyBorder="1" applyAlignment="1">
      <alignment horizontal="center" vertical="center"/>
    </xf>
    <xf numFmtId="0" fontId="2" fillId="11" borderId="12" xfId="0" applyFont="1" applyFill="1" applyBorder="1" applyAlignment="1">
      <alignment horizontal="left" vertical="center"/>
    </xf>
    <xf numFmtId="176" fontId="12" fillId="11" borderId="12" xfId="0" applyNumberFormat="1" applyFont="1" applyFill="1" applyBorder="1" applyAlignment="1">
      <alignment horizontal="right" vertical="center"/>
    </xf>
    <xf numFmtId="177" fontId="13" fillId="11" borderId="12" xfId="0" applyNumberFormat="1" applyFont="1" applyFill="1" applyBorder="1" applyAlignment="1">
      <alignment horizontal="right" vertical="center"/>
    </xf>
    <xf numFmtId="0" fontId="13" fillId="11" borderId="12" xfId="0" applyFont="1" applyFill="1" applyBorder="1" applyAlignment="1">
      <alignment horizontal="right" vertical="center"/>
    </xf>
    <xf numFmtId="0" fontId="2" fillId="11" borderId="13" xfId="0" applyFont="1" applyFill="1" applyBorder="1" applyAlignment="1">
      <alignment horizontal="center" vertical="center"/>
    </xf>
    <xf numFmtId="0" fontId="2" fillId="15" borderId="18" xfId="0" applyFont="1" applyFill="1" applyBorder="1" applyAlignment="1">
      <alignment horizontal="left" vertical="center"/>
    </xf>
    <xf numFmtId="176" fontId="12" fillId="15" borderId="18" xfId="0" applyNumberFormat="1" applyFont="1" applyFill="1" applyBorder="1" applyAlignment="1">
      <alignment horizontal="right" vertical="center"/>
    </xf>
    <xf numFmtId="177" fontId="13" fillId="15" borderId="18" xfId="0" applyNumberFormat="1" applyFont="1" applyFill="1" applyBorder="1" applyAlignment="1">
      <alignment horizontal="right" vertical="center"/>
    </xf>
    <xf numFmtId="0" fontId="13" fillId="15" borderId="18" xfId="0" applyFont="1" applyFill="1" applyBorder="1" applyAlignment="1">
      <alignment horizontal="right" vertical="center"/>
    </xf>
    <xf numFmtId="0" fontId="2" fillId="15" borderId="18" xfId="0" applyFont="1" applyFill="1" applyBorder="1" applyAlignment="1">
      <alignment horizontal="center" vertical="center"/>
    </xf>
    <xf numFmtId="0" fontId="2" fillId="15" borderId="19" xfId="0" applyFont="1" applyFill="1" applyBorder="1" applyAlignment="1">
      <alignment horizontal="center" vertical="center"/>
    </xf>
    <xf numFmtId="0" fontId="2" fillId="12" borderId="18" xfId="0" applyFont="1" applyFill="1" applyBorder="1" applyAlignment="1">
      <alignment horizontal="left" vertical="center"/>
    </xf>
    <xf numFmtId="176" fontId="12" fillId="12" borderId="18" xfId="0" applyNumberFormat="1" applyFont="1" applyFill="1" applyBorder="1" applyAlignment="1">
      <alignment horizontal="right" vertical="center"/>
    </xf>
    <xf numFmtId="177" fontId="13" fillId="12" borderId="18" xfId="0" applyNumberFormat="1" applyFont="1" applyFill="1" applyBorder="1" applyAlignment="1">
      <alignment horizontal="right" vertical="center"/>
    </xf>
    <xf numFmtId="0" fontId="13" fillId="12" borderId="18" xfId="0" applyFont="1" applyFill="1" applyBorder="1" applyAlignment="1">
      <alignment horizontal="right" vertical="center"/>
    </xf>
    <xf numFmtId="0" fontId="2" fillId="12" borderId="19" xfId="0" applyFont="1" applyFill="1" applyBorder="1" applyAlignment="1">
      <alignment horizontal="center" vertical="center"/>
    </xf>
    <xf numFmtId="0" fontId="2" fillId="0" borderId="15" xfId="0" applyFont="1" applyBorder="1" applyAlignment="1">
      <alignment horizontal="left" vertical="center"/>
    </xf>
    <xf numFmtId="0" fontId="13" fillId="0" borderId="15" xfId="0" applyFont="1" applyBorder="1" applyAlignment="1">
      <alignment horizontal="right" vertical="center"/>
    </xf>
    <xf numFmtId="0" fontId="2" fillId="0" borderId="16" xfId="0" applyFont="1" applyBorder="1" applyAlignment="1">
      <alignment horizontal="center" vertical="center"/>
    </xf>
    <xf numFmtId="0" fontId="2" fillId="0" borderId="9" xfId="0" applyFont="1" applyBorder="1" applyAlignment="1">
      <alignment horizontal="left" vertical="center"/>
    </xf>
    <xf numFmtId="0" fontId="2" fillId="0" borderId="10" xfId="0" applyFont="1" applyBorder="1" applyAlignment="1">
      <alignment horizontal="center" vertical="center"/>
    </xf>
    <xf numFmtId="0" fontId="2" fillId="0" borderId="21" xfId="0" applyFont="1" applyBorder="1" applyAlignment="1">
      <alignment horizontal="left" vertical="center"/>
    </xf>
    <xf numFmtId="0" fontId="13" fillId="0" borderId="21" xfId="0" applyFont="1" applyBorder="1" applyAlignment="1">
      <alignment horizontal="right" vertical="center"/>
    </xf>
    <xf numFmtId="0" fontId="2" fillId="0" borderId="22" xfId="0" applyFont="1" applyBorder="1" applyAlignment="1">
      <alignment horizontal="center" vertical="center"/>
    </xf>
    <xf numFmtId="0" fontId="2" fillId="0" borderId="24" xfId="0" applyFont="1" applyBorder="1" applyAlignment="1">
      <alignment horizontal="left" vertical="center"/>
    </xf>
    <xf numFmtId="0" fontId="13" fillId="0" borderId="24" xfId="0" applyFont="1" applyBorder="1" applyAlignment="1">
      <alignment horizontal="right" vertical="center"/>
    </xf>
    <xf numFmtId="0" fontId="2" fillId="0" borderId="25" xfId="0" applyFont="1" applyBorder="1" applyAlignment="1">
      <alignment horizontal="center" vertical="center"/>
    </xf>
    <xf numFmtId="0" fontId="2" fillId="10" borderId="18" xfId="0" applyFont="1" applyFill="1" applyBorder="1" applyAlignment="1">
      <alignment horizontal="left" vertical="center"/>
    </xf>
    <xf numFmtId="0" fontId="13" fillId="10" borderId="18" xfId="0" applyFont="1" applyFill="1" applyBorder="1" applyAlignment="1">
      <alignment horizontal="right" vertical="center"/>
    </xf>
    <xf numFmtId="0" fontId="2" fillId="10" borderId="19" xfId="0" applyFont="1" applyFill="1" applyBorder="1" applyAlignment="1">
      <alignment horizontal="center" vertical="center"/>
    </xf>
    <xf numFmtId="0" fontId="13" fillId="0" borderId="9" xfId="0" applyFont="1" applyBorder="1" applyAlignment="1">
      <alignment horizontal="right" vertical="center"/>
    </xf>
    <xf numFmtId="0" fontId="2" fillId="15" borderId="9" xfId="0" applyFont="1" applyFill="1" applyBorder="1" applyAlignment="1">
      <alignment horizontal="left" vertical="center"/>
    </xf>
    <xf numFmtId="176" fontId="12" fillId="15" borderId="9" xfId="0" applyNumberFormat="1" applyFont="1" applyFill="1" applyBorder="1" applyAlignment="1">
      <alignment horizontal="right" vertical="center"/>
    </xf>
    <xf numFmtId="177" fontId="13" fillId="15" borderId="9" xfId="0" applyNumberFormat="1" applyFont="1" applyFill="1" applyBorder="1" applyAlignment="1">
      <alignment horizontal="right" vertical="center"/>
    </xf>
    <xf numFmtId="0" fontId="13" fillId="15" borderId="9" xfId="0" applyFont="1" applyFill="1" applyBorder="1" applyAlignment="1">
      <alignment horizontal="right" vertical="center"/>
    </xf>
    <xf numFmtId="0" fontId="2" fillId="15" borderId="9" xfId="0" applyFont="1" applyFill="1" applyBorder="1" applyAlignment="1">
      <alignment horizontal="center" vertical="center"/>
    </xf>
    <xf numFmtId="0" fontId="2" fillId="15" borderId="10" xfId="0" applyFont="1" applyFill="1" applyBorder="1" applyAlignment="1">
      <alignment horizontal="center" vertical="center"/>
    </xf>
    <xf numFmtId="0" fontId="2" fillId="15" borderId="12" xfId="0" applyFont="1" applyFill="1" applyBorder="1" applyAlignment="1">
      <alignment horizontal="left" vertical="center"/>
    </xf>
    <xf numFmtId="176" fontId="12" fillId="15" borderId="12" xfId="0" applyNumberFormat="1" applyFont="1" applyFill="1" applyBorder="1" applyAlignment="1">
      <alignment horizontal="right" vertical="center"/>
    </xf>
    <xf numFmtId="177" fontId="13" fillId="15" borderId="12" xfId="0" applyNumberFormat="1" applyFont="1" applyFill="1" applyBorder="1" applyAlignment="1">
      <alignment horizontal="right" vertical="center"/>
    </xf>
    <xf numFmtId="0" fontId="13" fillId="15" borderId="12" xfId="0" applyFont="1" applyFill="1" applyBorder="1" applyAlignment="1">
      <alignment horizontal="right" vertical="center"/>
    </xf>
    <xf numFmtId="0" fontId="2" fillId="15" borderId="12" xfId="0" applyFont="1" applyFill="1" applyBorder="1" applyAlignment="1">
      <alignment horizontal="center" vertical="center"/>
    </xf>
    <xf numFmtId="0" fontId="2" fillId="15" borderId="13" xfId="0" applyFont="1" applyFill="1" applyBorder="1" applyAlignment="1">
      <alignment horizontal="center" vertical="center"/>
    </xf>
    <xf numFmtId="0" fontId="2" fillId="6" borderId="18" xfId="0" applyFont="1" applyFill="1" applyBorder="1" applyAlignment="1">
      <alignment horizontal="left" vertical="center"/>
    </xf>
    <xf numFmtId="0" fontId="13" fillId="6" borderId="18" xfId="0" applyFont="1" applyFill="1" applyBorder="1" applyAlignment="1">
      <alignment horizontal="right" vertical="center"/>
    </xf>
    <xf numFmtId="0" fontId="2" fillId="6" borderId="19" xfId="0" applyFont="1" applyFill="1" applyBorder="1" applyAlignment="1">
      <alignment horizontal="center" vertical="center"/>
    </xf>
    <xf numFmtId="0" fontId="15" fillId="0" borderId="7" xfId="0" applyFont="1" applyBorder="1" applyAlignment="1">
      <alignment horizontal="right" vertical="center"/>
    </xf>
    <xf numFmtId="177" fontId="15" fillId="0" borderId="35" xfId="0" applyNumberFormat="1" applyFont="1" applyBorder="1" applyAlignment="1">
      <alignment horizontal="right" vertical="center"/>
    </xf>
    <xf numFmtId="0" fontId="15" fillId="15" borderId="17" xfId="0" applyFont="1" applyFill="1" applyBorder="1" applyAlignment="1">
      <alignment horizontal="center" vertical="center"/>
    </xf>
    <xf numFmtId="177" fontId="15" fillId="0" borderId="19" xfId="0" applyNumberFormat="1" applyFont="1" applyBorder="1" applyAlignment="1">
      <alignment horizontal="right" vertical="center"/>
    </xf>
    <xf numFmtId="0" fontId="14" fillId="0" borderId="11" xfId="0" applyFont="1" applyBorder="1" applyAlignment="1">
      <alignment horizontal="center" vertical="center"/>
    </xf>
    <xf numFmtId="0" fontId="24" fillId="0" borderId="13" xfId="0" applyFont="1" applyBorder="1" applyAlignment="1">
      <alignment horizontal="right" vertical="center"/>
    </xf>
    <xf numFmtId="0" fontId="2" fillId="0" borderId="0" xfId="0" applyFont="1" applyAlignment="1">
      <alignment horizontal="right" vertical="center"/>
    </xf>
    <xf numFmtId="0" fontId="2" fillId="0" borderId="18" xfId="0" applyFont="1" applyBorder="1" applyAlignment="1">
      <alignment horizontal="right" vertical="center"/>
    </xf>
    <xf numFmtId="0" fontId="2" fillId="0" borderId="95" xfId="0" applyFont="1" applyBorder="1" applyAlignment="1">
      <alignment horizontal="center" vertical="center"/>
    </xf>
    <xf numFmtId="0" fontId="19" fillId="3" borderId="96" xfId="0" applyFont="1" applyFill="1" applyBorder="1" applyAlignment="1">
      <alignment horizontal="left" vertical="center"/>
    </xf>
    <xf numFmtId="176" fontId="12" fillId="3" borderId="96" xfId="0" applyNumberFormat="1" applyFont="1" applyFill="1" applyBorder="1" applyAlignment="1">
      <alignment vertical="center"/>
    </xf>
    <xf numFmtId="177" fontId="13" fillId="3" borderId="96" xfId="0" applyNumberFormat="1" applyFont="1" applyFill="1" applyBorder="1" applyAlignment="1">
      <alignment vertical="center"/>
    </xf>
    <xf numFmtId="179" fontId="13" fillId="3" borderId="96" xfId="0" applyNumberFormat="1" applyFont="1" applyFill="1" applyBorder="1" applyAlignment="1">
      <alignment horizontal="right" vertical="center"/>
    </xf>
    <xf numFmtId="0" fontId="2" fillId="3" borderId="96" xfId="0" applyFont="1" applyFill="1" applyBorder="1" applyAlignment="1">
      <alignment horizontal="center" vertical="center"/>
    </xf>
    <xf numFmtId="0" fontId="13" fillId="3" borderId="96" xfId="0" applyFont="1" applyFill="1" applyBorder="1" applyAlignment="1">
      <alignment horizontal="center" vertical="center"/>
    </xf>
    <xf numFmtId="0" fontId="2" fillId="3" borderId="88" xfId="0" applyFont="1" applyFill="1" applyBorder="1" applyAlignment="1">
      <alignment horizontal="center" vertical="center"/>
    </xf>
    <xf numFmtId="0" fontId="2" fillId="0" borderId="97" xfId="0" applyFont="1" applyBorder="1" applyAlignment="1">
      <alignment horizontal="center" vertical="center"/>
    </xf>
    <xf numFmtId="176" fontId="12" fillId="0" borderId="0" xfId="0" applyNumberFormat="1" applyFont="1" applyBorder="1" applyAlignment="1">
      <alignment vertical="center"/>
    </xf>
    <xf numFmtId="177" fontId="13" fillId="0" borderId="0" xfId="0" applyNumberFormat="1" applyFont="1" applyBorder="1" applyAlignment="1">
      <alignment vertical="center"/>
    </xf>
    <xf numFmtId="179" fontId="13" fillId="0" borderId="0" xfId="0" applyNumberFormat="1" applyFont="1" applyBorder="1" applyAlignment="1">
      <alignment horizontal="right" vertical="center"/>
    </xf>
    <xf numFmtId="0" fontId="13" fillId="0" borderId="0" xfId="0" applyFont="1" applyBorder="1" applyAlignment="1">
      <alignment horizontal="center" vertical="center"/>
    </xf>
    <xf numFmtId="0" fontId="2" fillId="0" borderId="92" xfId="0" applyFont="1" applyBorder="1" applyAlignment="1">
      <alignment horizontal="center" vertical="center"/>
    </xf>
    <xf numFmtId="0" fontId="2" fillId="0" borderId="93" xfId="0" applyFont="1" applyBorder="1" applyAlignment="1">
      <alignment horizontal="center" vertical="center"/>
    </xf>
    <xf numFmtId="0" fontId="19" fillId="3" borderId="94" xfId="0" applyFont="1" applyFill="1" applyBorder="1" applyAlignment="1">
      <alignment horizontal="left" vertical="center"/>
    </xf>
    <xf numFmtId="178" fontId="12" fillId="3" borderId="94" xfId="0" applyNumberFormat="1" applyFont="1" applyFill="1" applyBorder="1" applyAlignment="1">
      <alignment vertical="center"/>
    </xf>
    <xf numFmtId="177" fontId="13" fillId="3" borderId="94" xfId="0" applyNumberFormat="1" applyFont="1" applyFill="1" applyBorder="1" applyAlignment="1">
      <alignment vertical="center"/>
    </xf>
    <xf numFmtId="179" fontId="13" fillId="3" borderId="94" xfId="0" applyNumberFormat="1" applyFont="1" applyFill="1" applyBorder="1" applyAlignment="1">
      <alignment horizontal="right" vertical="center"/>
    </xf>
    <xf numFmtId="0" fontId="2" fillId="3" borderId="0" xfId="0" applyFont="1" applyFill="1" applyBorder="1" applyAlignment="1">
      <alignment horizontal="center" vertical="center"/>
    </xf>
    <xf numFmtId="0" fontId="13" fillId="3" borderId="94" xfId="0" applyFont="1" applyFill="1" applyBorder="1" applyAlignment="1">
      <alignment horizontal="center" vertical="center"/>
    </xf>
    <xf numFmtId="0" fontId="2" fillId="3" borderId="94" xfId="0" applyFont="1" applyFill="1" applyBorder="1" applyAlignment="1">
      <alignment horizontal="center" vertical="center"/>
    </xf>
    <xf numFmtId="178" fontId="12" fillId="0" borderId="0" xfId="0" applyNumberFormat="1" applyFont="1" applyBorder="1" applyAlignment="1">
      <alignment vertical="center"/>
    </xf>
    <xf numFmtId="0" fontId="19" fillId="0" borderId="0" xfId="0" applyFont="1" applyBorder="1" applyAlignment="1">
      <alignment horizontal="left" vertical="center"/>
    </xf>
    <xf numFmtId="0" fontId="2" fillId="11" borderId="0" xfId="0" applyFont="1" applyFill="1" applyBorder="1" applyAlignment="1">
      <alignment horizontal="center" vertical="center"/>
    </xf>
    <xf numFmtId="0" fontId="13" fillId="11" borderId="0" xfId="0" applyFont="1" applyFill="1" applyBorder="1" applyAlignment="1">
      <alignment horizontal="center" vertical="center"/>
    </xf>
    <xf numFmtId="0" fontId="19" fillId="11" borderId="94" xfId="0" applyFont="1" applyFill="1" applyBorder="1" applyAlignment="1">
      <alignment horizontal="left" vertical="center"/>
    </xf>
    <xf numFmtId="178" fontId="12" fillId="11" borderId="94" xfId="0" applyNumberFormat="1" applyFont="1" applyFill="1" applyBorder="1" applyAlignment="1">
      <alignment vertical="center"/>
    </xf>
    <xf numFmtId="177" fontId="13" fillId="11" borderId="94" xfId="0" applyNumberFormat="1" applyFont="1" applyFill="1" applyBorder="1" applyAlignment="1">
      <alignment vertical="center"/>
    </xf>
    <xf numFmtId="179" fontId="13" fillId="11" borderId="94" xfId="0" applyNumberFormat="1" applyFont="1" applyFill="1" applyBorder="1" applyAlignment="1">
      <alignment horizontal="right" vertical="center"/>
    </xf>
    <xf numFmtId="0" fontId="2" fillId="11" borderId="94" xfId="0" applyFont="1" applyFill="1" applyBorder="1" applyAlignment="1">
      <alignment horizontal="center" vertical="center"/>
    </xf>
    <xf numFmtId="0" fontId="13" fillId="11" borderId="94" xfId="0" applyFont="1" applyFill="1" applyBorder="1" applyAlignment="1">
      <alignment horizontal="center" vertical="center"/>
    </xf>
    <xf numFmtId="0" fontId="2" fillId="11" borderId="86" xfId="0" applyFont="1" applyFill="1" applyBorder="1" applyAlignment="1">
      <alignment horizontal="center" vertical="center"/>
    </xf>
    <xf numFmtId="0" fontId="13" fillId="3" borderId="0" xfId="0" applyFont="1" applyFill="1" applyBorder="1" applyAlignment="1">
      <alignment horizontal="center" vertical="center"/>
    </xf>
    <xf numFmtId="0" fontId="2" fillId="0" borderId="79" xfId="0" applyFont="1" applyBorder="1" applyAlignment="1">
      <alignment horizontal="center" vertical="center"/>
    </xf>
    <xf numFmtId="0" fontId="2" fillId="0" borderId="61" xfId="0" applyFont="1" applyBorder="1" applyAlignment="1">
      <alignment horizontal="left" vertical="center"/>
    </xf>
    <xf numFmtId="178" fontId="12" fillId="0" borderId="61" xfId="0" applyNumberFormat="1" applyFont="1" applyBorder="1" applyAlignment="1">
      <alignment vertical="center"/>
    </xf>
    <xf numFmtId="177" fontId="13" fillId="0" borderId="61" xfId="0" applyNumberFormat="1" applyFont="1" applyBorder="1" applyAlignment="1">
      <alignment vertical="center"/>
    </xf>
    <xf numFmtId="179" fontId="13" fillId="0" borderId="61" xfId="0" applyNumberFormat="1" applyFont="1" applyBorder="1" applyAlignment="1">
      <alignment horizontal="right" vertical="center"/>
    </xf>
    <xf numFmtId="0" fontId="2" fillId="0" borderId="61" xfId="0" applyFont="1" applyBorder="1" applyAlignment="1">
      <alignment horizontal="center" vertical="center"/>
    </xf>
    <xf numFmtId="0" fontId="13" fillId="0" borderId="61" xfId="0" applyFont="1" applyBorder="1" applyAlignment="1">
      <alignment horizontal="center" vertical="center"/>
    </xf>
    <xf numFmtId="0" fontId="19" fillId="11" borderId="96" xfId="0" applyFont="1" applyFill="1" applyBorder="1" applyAlignment="1">
      <alignment horizontal="left" vertical="center"/>
    </xf>
    <xf numFmtId="178" fontId="12" fillId="11" borderId="96" xfId="0" applyNumberFormat="1" applyFont="1" applyFill="1" applyBorder="1" applyAlignment="1">
      <alignment vertical="center"/>
    </xf>
    <xf numFmtId="177" fontId="13" fillId="11" borderId="96" xfId="0" applyNumberFormat="1" applyFont="1" applyFill="1" applyBorder="1" applyAlignment="1">
      <alignment vertical="center"/>
    </xf>
    <xf numFmtId="179" fontId="13" fillId="11" borderId="96" xfId="0" applyNumberFormat="1" applyFont="1" applyFill="1" applyBorder="1" applyAlignment="1">
      <alignment horizontal="right" vertical="center"/>
    </xf>
    <xf numFmtId="0" fontId="2" fillId="11" borderId="96" xfId="0" applyFont="1" applyFill="1" applyBorder="1" applyAlignment="1">
      <alignment horizontal="center" vertical="center"/>
    </xf>
    <xf numFmtId="0" fontId="13" fillId="11" borderId="96" xfId="0" applyFont="1" applyFill="1" applyBorder="1" applyAlignment="1">
      <alignment horizontal="center" vertical="center"/>
    </xf>
    <xf numFmtId="178" fontId="12" fillId="3" borderId="96" xfId="0" applyNumberFormat="1" applyFont="1" applyFill="1" applyBorder="1" applyAlignment="1">
      <alignment vertical="center"/>
    </xf>
    <xf numFmtId="0" fontId="2" fillId="0" borderId="0" xfId="0" applyFont="1" applyFill="1" applyBorder="1" applyAlignment="1">
      <alignment horizontal="center" vertical="center"/>
    </xf>
    <xf numFmtId="0" fontId="13" fillId="0" borderId="0" xfId="0" applyFont="1" applyFill="1" applyBorder="1" applyAlignment="1">
      <alignment horizontal="center" vertical="center"/>
    </xf>
    <xf numFmtId="0" fontId="2" fillId="6" borderId="0" xfId="0" applyFont="1" applyFill="1" applyBorder="1" applyAlignment="1">
      <alignment horizontal="center" vertical="center"/>
    </xf>
    <xf numFmtId="0" fontId="13" fillId="6" borderId="0" xfId="0" applyFont="1" applyFill="1" applyBorder="1" applyAlignment="1">
      <alignment horizontal="center" vertical="center"/>
    </xf>
    <xf numFmtId="0" fontId="19" fillId="15" borderId="94" xfId="0" applyFont="1" applyFill="1" applyBorder="1" applyAlignment="1">
      <alignment horizontal="left" vertical="center"/>
    </xf>
    <xf numFmtId="178" fontId="12" fillId="15" borderId="94" xfId="0" applyNumberFormat="1" applyFont="1" applyFill="1" applyBorder="1" applyAlignment="1">
      <alignment vertical="center"/>
    </xf>
    <xf numFmtId="177" fontId="13" fillId="15" borderId="94" xfId="0" applyNumberFormat="1" applyFont="1" applyFill="1" applyBorder="1" applyAlignment="1">
      <alignment vertical="center"/>
    </xf>
    <xf numFmtId="179" fontId="13" fillId="15" borderId="94" xfId="0" applyNumberFormat="1" applyFont="1" applyFill="1" applyBorder="1" applyAlignment="1">
      <alignment horizontal="right" vertical="center"/>
    </xf>
    <xf numFmtId="0" fontId="2" fillId="15" borderId="94" xfId="0" applyFont="1" applyFill="1" applyBorder="1" applyAlignment="1">
      <alignment horizontal="center" vertical="center"/>
    </xf>
    <xf numFmtId="0" fontId="13" fillId="15" borderId="94" xfId="0" applyFont="1" applyFill="1" applyBorder="1" applyAlignment="1">
      <alignment horizontal="center" vertical="center"/>
    </xf>
    <xf numFmtId="0" fontId="2" fillId="15" borderId="86" xfId="0" applyFont="1" applyFill="1" applyBorder="1" applyAlignment="1">
      <alignment horizontal="center" vertical="center"/>
    </xf>
    <xf numFmtId="0" fontId="2" fillId="0" borderId="93" xfId="0" applyFont="1" applyFill="1" applyBorder="1" applyAlignment="1">
      <alignment horizontal="center" vertical="center"/>
    </xf>
    <xf numFmtId="0" fontId="2" fillId="0" borderId="97" xfId="0" applyFont="1" applyFill="1" applyBorder="1" applyAlignment="1">
      <alignment horizontal="center" vertical="center"/>
    </xf>
    <xf numFmtId="0" fontId="2" fillId="0" borderId="0" xfId="0" applyFont="1" applyFill="1" applyBorder="1" applyAlignment="1">
      <alignment horizontal="left" vertical="center"/>
    </xf>
    <xf numFmtId="178" fontId="12" fillId="0" borderId="0" xfId="0" applyNumberFormat="1" applyFont="1" applyFill="1" applyBorder="1" applyAlignment="1">
      <alignment vertical="center"/>
    </xf>
    <xf numFmtId="177" fontId="13" fillId="0" borderId="0" xfId="0" applyNumberFormat="1" applyFont="1" applyFill="1" applyBorder="1" applyAlignment="1">
      <alignment vertical="center"/>
    </xf>
    <xf numFmtId="179" fontId="13" fillId="0" borderId="0" xfId="0" applyNumberFormat="1" applyFont="1" applyFill="1" applyBorder="1" applyAlignment="1">
      <alignment horizontal="right" vertical="center"/>
    </xf>
    <xf numFmtId="0" fontId="19" fillId="18" borderId="94" xfId="0" applyFont="1" applyFill="1" applyBorder="1" applyAlignment="1">
      <alignment horizontal="left" vertical="center"/>
    </xf>
    <xf numFmtId="178" fontId="12" fillId="18" borderId="94" xfId="0" applyNumberFormat="1" applyFont="1" applyFill="1" applyBorder="1" applyAlignment="1">
      <alignment vertical="center"/>
    </xf>
    <xf numFmtId="177" fontId="13" fillId="18" borderId="94" xfId="0" applyNumberFormat="1" applyFont="1" applyFill="1" applyBorder="1" applyAlignment="1">
      <alignment vertical="center"/>
    </xf>
    <xf numFmtId="179" fontId="13" fillId="18" borderId="94" xfId="0" applyNumberFormat="1" applyFont="1" applyFill="1" applyBorder="1" applyAlignment="1">
      <alignment horizontal="right" vertical="center"/>
    </xf>
    <xf numFmtId="0" fontId="2" fillId="18" borderId="94" xfId="0" applyFont="1" applyFill="1" applyBorder="1" applyAlignment="1">
      <alignment horizontal="center" vertical="center"/>
    </xf>
    <xf numFmtId="0" fontId="13" fillId="18" borderId="94" xfId="0" applyFont="1" applyFill="1" applyBorder="1" applyAlignment="1">
      <alignment horizontal="center" vertical="center"/>
    </xf>
    <xf numFmtId="0" fontId="2" fillId="18" borderId="86" xfId="0" applyFont="1" applyFill="1" applyBorder="1" applyAlignment="1">
      <alignment horizontal="center" vertical="center"/>
    </xf>
    <xf numFmtId="179" fontId="25" fillId="11" borderId="94" xfId="0" applyNumberFormat="1" applyFont="1" applyFill="1" applyBorder="1" applyAlignment="1">
      <alignment horizontal="right" vertical="center"/>
    </xf>
    <xf numFmtId="0" fontId="19" fillId="12" borderId="94" xfId="0" applyFont="1" applyFill="1" applyBorder="1" applyAlignment="1">
      <alignment horizontal="left" vertical="center"/>
    </xf>
    <xf numFmtId="178" fontId="12" fillId="12" borderId="94" xfId="0" applyNumberFormat="1" applyFont="1" applyFill="1" applyBorder="1" applyAlignment="1">
      <alignment vertical="center"/>
    </xf>
    <xf numFmtId="177" fontId="13" fillId="12" borderId="94" xfId="0" applyNumberFormat="1" applyFont="1" applyFill="1" applyBorder="1" applyAlignment="1">
      <alignment vertical="center"/>
    </xf>
    <xf numFmtId="179" fontId="13" fillId="12" borderId="94" xfId="0" applyNumberFormat="1" applyFont="1" applyFill="1" applyBorder="1" applyAlignment="1">
      <alignment horizontal="right" vertical="center"/>
    </xf>
    <xf numFmtId="0" fontId="2" fillId="12" borderId="94" xfId="0" applyFont="1" applyFill="1" applyBorder="1" applyAlignment="1">
      <alignment horizontal="center" vertical="center"/>
    </xf>
    <xf numFmtId="0" fontId="13" fillId="12" borderId="94" xfId="0" applyFont="1" applyFill="1" applyBorder="1" applyAlignment="1">
      <alignment horizontal="center" vertical="center"/>
    </xf>
    <xf numFmtId="0" fontId="2" fillId="12" borderId="86" xfId="0" applyFont="1" applyFill="1" applyBorder="1" applyAlignment="1">
      <alignment horizontal="center" vertical="center"/>
    </xf>
    <xf numFmtId="0" fontId="2" fillId="8" borderId="0" xfId="0" applyFont="1" applyFill="1" applyBorder="1" applyAlignment="1">
      <alignment horizontal="center" vertical="center"/>
    </xf>
    <xf numFmtId="0" fontId="13" fillId="8" borderId="0" xfId="0" applyFont="1" applyFill="1" applyBorder="1" applyAlignment="1">
      <alignment horizontal="center" vertical="center"/>
    </xf>
    <xf numFmtId="0" fontId="19" fillId="19" borderId="94" xfId="0" applyFont="1" applyFill="1" applyBorder="1" applyAlignment="1">
      <alignment horizontal="left" vertical="center"/>
    </xf>
    <xf numFmtId="178" fontId="12" fillId="19" borderId="94" xfId="0" applyNumberFormat="1" applyFont="1" applyFill="1" applyBorder="1" applyAlignment="1">
      <alignment vertical="center"/>
    </xf>
    <xf numFmtId="177" fontId="13" fillId="19" borderId="94" xfId="0" applyNumberFormat="1" applyFont="1" applyFill="1" applyBorder="1" applyAlignment="1">
      <alignment vertical="center"/>
    </xf>
    <xf numFmtId="179" fontId="13" fillId="19" borderId="94" xfId="0" applyNumberFormat="1" applyFont="1" applyFill="1" applyBorder="1" applyAlignment="1">
      <alignment horizontal="right" vertical="center"/>
    </xf>
    <xf numFmtId="0" fontId="2" fillId="19" borderId="94" xfId="0" applyFont="1" applyFill="1" applyBorder="1" applyAlignment="1">
      <alignment horizontal="center" vertical="center"/>
    </xf>
    <xf numFmtId="0" fontId="13" fillId="19" borderId="94" xfId="0" applyFont="1" applyFill="1" applyBorder="1" applyAlignment="1">
      <alignment horizontal="center" vertical="center"/>
    </xf>
    <xf numFmtId="0" fontId="2" fillId="19" borderId="86" xfId="0" applyFont="1" applyFill="1" applyBorder="1" applyAlignment="1">
      <alignment horizontal="center" vertical="center"/>
    </xf>
    <xf numFmtId="0" fontId="2" fillId="0" borderId="91" xfId="0" applyFont="1" applyBorder="1" applyAlignment="1">
      <alignment horizontal="center" vertical="center"/>
    </xf>
    <xf numFmtId="0" fontId="2" fillId="0" borderId="92" xfId="0" applyFont="1" applyBorder="1" applyAlignment="1">
      <alignment horizontal="left" vertical="center"/>
    </xf>
    <xf numFmtId="178" fontId="12" fillId="0" borderId="92" xfId="0" applyNumberFormat="1" applyFont="1" applyBorder="1" applyAlignment="1">
      <alignment vertical="center"/>
    </xf>
    <xf numFmtId="177" fontId="13" fillId="0" borderId="92" xfId="0" applyNumberFormat="1" applyFont="1" applyBorder="1" applyAlignment="1">
      <alignment vertical="center"/>
    </xf>
    <xf numFmtId="179" fontId="13" fillId="0" borderId="92" xfId="0" applyNumberFormat="1" applyFont="1" applyBorder="1" applyAlignment="1">
      <alignment horizontal="right" vertical="center"/>
    </xf>
    <xf numFmtId="0" fontId="13" fillId="0" borderId="92" xfId="0" applyFont="1" applyBorder="1" applyAlignment="1">
      <alignment horizontal="center" vertical="center"/>
    </xf>
    <xf numFmtId="0" fontId="13" fillId="3" borderId="94" xfId="0" applyFont="1" applyFill="1" applyBorder="1" applyAlignment="1">
      <alignment vertical="center"/>
    </xf>
    <xf numFmtId="0" fontId="13" fillId="0" borderId="0" xfId="0" applyFont="1" applyBorder="1" applyAlignment="1">
      <alignment vertical="center"/>
    </xf>
    <xf numFmtId="0" fontId="19" fillId="15" borderId="96" xfId="0" applyFont="1" applyFill="1" applyBorder="1" applyAlignment="1">
      <alignment horizontal="left" vertical="center"/>
    </xf>
    <xf numFmtId="178" fontId="12" fillId="15" borderId="96" xfId="0" applyNumberFormat="1" applyFont="1" applyFill="1" applyBorder="1" applyAlignment="1">
      <alignment vertical="center"/>
    </xf>
    <xf numFmtId="177" fontId="13" fillId="15" borderId="96" xfId="0" applyNumberFormat="1" applyFont="1" applyFill="1" applyBorder="1" applyAlignment="1">
      <alignment vertical="center"/>
    </xf>
    <xf numFmtId="179" fontId="13" fillId="15" borderId="96" xfId="0" applyNumberFormat="1" applyFont="1" applyFill="1" applyBorder="1" applyAlignment="1">
      <alignment horizontal="right" vertical="center"/>
    </xf>
    <xf numFmtId="0" fontId="2" fillId="15" borderId="96" xfId="0" applyFont="1" applyFill="1" applyBorder="1" applyAlignment="1">
      <alignment horizontal="center" vertical="center"/>
    </xf>
    <xf numFmtId="0" fontId="13" fillId="15" borderId="96" xfId="0" applyFont="1" applyFill="1" applyBorder="1" applyAlignment="1">
      <alignment horizontal="center" vertical="center"/>
    </xf>
    <xf numFmtId="0" fontId="2" fillId="15" borderId="88" xfId="0" applyFont="1" applyFill="1" applyBorder="1" applyAlignment="1">
      <alignment horizontal="center" vertical="center"/>
    </xf>
    <xf numFmtId="0" fontId="19" fillId="16" borderId="94" xfId="0" applyFont="1" applyFill="1" applyBorder="1" applyAlignment="1">
      <alignment horizontal="left" vertical="center"/>
    </xf>
    <xf numFmtId="178" fontId="12" fillId="16" borderId="94" xfId="0" applyNumberFormat="1" applyFont="1" applyFill="1" applyBorder="1" applyAlignment="1">
      <alignment vertical="center"/>
    </xf>
    <xf numFmtId="177" fontId="13" fillId="16" borderId="94" xfId="0" applyNumberFormat="1" applyFont="1" applyFill="1" applyBorder="1" applyAlignment="1">
      <alignment vertical="center"/>
    </xf>
    <xf numFmtId="179" fontId="13" fillId="16" borderId="94" xfId="0" applyNumberFormat="1" applyFont="1" applyFill="1" applyBorder="1" applyAlignment="1">
      <alignment horizontal="right" vertical="center"/>
    </xf>
    <xf numFmtId="0" fontId="2" fillId="16" borderId="94" xfId="0" applyFont="1" applyFill="1" applyBorder="1" applyAlignment="1">
      <alignment horizontal="center" vertical="center"/>
    </xf>
    <xf numFmtId="0" fontId="13" fillId="16" borderId="94" xfId="0" applyFont="1" applyFill="1" applyBorder="1" applyAlignment="1">
      <alignment horizontal="center" vertical="center"/>
    </xf>
    <xf numFmtId="0" fontId="2" fillId="16" borderId="86" xfId="0" applyFont="1" applyFill="1" applyBorder="1" applyAlignment="1">
      <alignment horizontal="center" vertical="center"/>
    </xf>
    <xf numFmtId="0" fontId="19" fillId="12" borderId="96" xfId="0" applyFont="1" applyFill="1" applyBorder="1" applyAlignment="1">
      <alignment horizontal="left" vertical="center"/>
    </xf>
    <xf numFmtId="178" fontId="12" fillId="12" borderId="96" xfId="0" applyNumberFormat="1" applyFont="1" applyFill="1" applyBorder="1" applyAlignment="1">
      <alignment vertical="center"/>
    </xf>
    <xf numFmtId="177" fontId="13" fillId="12" borderId="96" xfId="0" applyNumberFormat="1" applyFont="1" applyFill="1" applyBorder="1" applyAlignment="1">
      <alignment vertical="center"/>
    </xf>
    <xf numFmtId="179" fontId="13" fillId="12" borderId="96" xfId="0" applyNumberFormat="1" applyFont="1" applyFill="1" applyBorder="1" applyAlignment="1">
      <alignment horizontal="right" vertical="center"/>
    </xf>
    <xf numFmtId="0" fontId="2" fillId="12" borderId="96" xfId="0" applyFont="1" applyFill="1" applyBorder="1" applyAlignment="1">
      <alignment horizontal="center" vertical="center"/>
    </xf>
    <xf numFmtId="0" fontId="13" fillId="12" borderId="96" xfId="0" applyFont="1" applyFill="1" applyBorder="1" applyAlignment="1">
      <alignment horizontal="center" vertical="center"/>
    </xf>
    <xf numFmtId="0" fontId="2" fillId="12" borderId="88" xfId="0" applyFont="1" applyFill="1" applyBorder="1" applyAlignment="1">
      <alignment horizontal="center" vertical="center"/>
    </xf>
    <xf numFmtId="0" fontId="19" fillId="6" borderId="94" xfId="0" applyFont="1" applyFill="1" applyBorder="1" applyAlignment="1">
      <alignment horizontal="left" vertical="center"/>
    </xf>
    <xf numFmtId="178" fontId="12" fillId="6" borderId="94" xfId="0" applyNumberFormat="1" applyFont="1" applyFill="1" applyBorder="1" applyAlignment="1">
      <alignment vertical="center"/>
    </xf>
    <xf numFmtId="177" fontId="13" fillId="6" borderId="94" xfId="0" applyNumberFormat="1" applyFont="1" applyFill="1" applyBorder="1" applyAlignment="1">
      <alignment vertical="center"/>
    </xf>
    <xf numFmtId="179" fontId="13" fillId="6" borderId="94" xfId="0" applyNumberFormat="1" applyFont="1" applyFill="1" applyBorder="1" applyAlignment="1">
      <alignment horizontal="right" vertical="center"/>
    </xf>
    <xf numFmtId="0" fontId="2" fillId="6" borderId="94" xfId="0" applyFont="1" applyFill="1" applyBorder="1" applyAlignment="1">
      <alignment horizontal="center" vertical="center"/>
    </xf>
    <xf numFmtId="0" fontId="13" fillId="6" borderId="94" xfId="0" applyFont="1" applyFill="1" applyBorder="1" applyAlignment="1">
      <alignment horizontal="center" vertical="center"/>
    </xf>
    <xf numFmtId="0" fontId="26" fillId="0" borderId="0" xfId="0" applyFont="1" applyAlignment="1">
      <alignment vertical="center"/>
    </xf>
    <xf numFmtId="0" fontId="13" fillId="0" borderId="0" xfId="0" applyFont="1" applyAlignment="1">
      <alignment vertical="center"/>
    </xf>
    <xf numFmtId="0" fontId="13" fillId="0" borderId="0" xfId="0" applyFont="1" applyAlignment="1">
      <alignment horizontal="right" vertical="center"/>
    </xf>
    <xf numFmtId="0" fontId="13" fillId="0" borderId="0" xfId="0" applyFont="1" applyAlignment="1">
      <alignment horizontal="center" vertical="center"/>
    </xf>
    <xf numFmtId="0" fontId="0" fillId="0" borderId="0" xfId="0" applyAlignment="1">
      <alignment horizontal="center" vertical="center"/>
    </xf>
    <xf numFmtId="0" fontId="15" fillId="4" borderId="6" xfId="0" applyFont="1" applyFill="1" applyBorder="1" applyAlignment="1">
      <alignment horizontal="center" vertical="center"/>
    </xf>
    <xf numFmtId="0" fontId="15" fillId="12" borderId="6" xfId="0" applyFont="1" applyFill="1" applyBorder="1" applyAlignment="1">
      <alignment horizontal="center" vertical="center"/>
    </xf>
    <xf numFmtId="0" fontId="14" fillId="0" borderId="6" xfId="0" applyFont="1" applyBorder="1" applyAlignment="1">
      <alignment horizontal="center" vertical="center"/>
    </xf>
    <xf numFmtId="0" fontId="15" fillId="3" borderId="6" xfId="0" applyFont="1" applyFill="1" applyBorder="1" applyAlignment="1">
      <alignment horizontal="center" vertical="center"/>
    </xf>
    <xf numFmtId="0" fontId="15" fillId="6" borderId="6" xfId="0" applyFont="1" applyFill="1" applyBorder="1" applyAlignment="1">
      <alignment horizontal="center" vertical="center"/>
    </xf>
    <xf numFmtId="0" fontId="15" fillId="10" borderId="6" xfId="0" applyFont="1" applyFill="1" applyBorder="1" applyAlignment="1">
      <alignment horizontal="center" vertical="center"/>
    </xf>
    <xf numFmtId="0" fontId="15" fillId="9" borderId="6" xfId="0" applyFont="1" applyFill="1" applyBorder="1" applyAlignment="1">
      <alignment horizontal="center" vertical="center"/>
    </xf>
    <xf numFmtId="0" fontId="15" fillId="8" borderId="6" xfId="0" applyFont="1" applyFill="1" applyBorder="1" applyAlignment="1">
      <alignment horizontal="center" vertical="center"/>
    </xf>
    <xf numFmtId="0" fontId="15" fillId="14" borderId="6" xfId="0" applyFont="1" applyFill="1" applyBorder="1" applyAlignment="1">
      <alignment horizontal="center" vertical="center"/>
    </xf>
    <xf numFmtId="0" fontId="15" fillId="0" borderId="6" xfId="0" applyFont="1" applyBorder="1" applyAlignment="1">
      <alignment horizontal="center" vertical="center" shrinkToFit="1"/>
    </xf>
    <xf numFmtId="0" fontId="15" fillId="0" borderId="72" xfId="0" applyFont="1" applyBorder="1" applyAlignment="1">
      <alignment horizontal="center" vertical="center"/>
    </xf>
    <xf numFmtId="178" fontId="2" fillId="0" borderId="72" xfId="0" applyNumberFormat="1" applyFont="1" applyBorder="1" applyAlignment="1">
      <alignment vertical="center"/>
    </xf>
    <xf numFmtId="178" fontId="27" fillId="0" borderId="72" xfId="0" applyNumberFormat="1" applyFont="1" applyBorder="1" applyAlignment="1">
      <alignment vertical="center"/>
    </xf>
    <xf numFmtId="0" fontId="15" fillId="0" borderId="15" xfId="0" applyFont="1" applyBorder="1" applyAlignment="1">
      <alignment horizontal="center" vertical="center"/>
    </xf>
    <xf numFmtId="10" fontId="2" fillId="0" borderId="15" xfId="0" applyNumberFormat="1" applyFont="1" applyBorder="1" applyAlignment="1">
      <alignment vertical="center"/>
    </xf>
    <xf numFmtId="10" fontId="27" fillId="0" borderId="15" xfId="0" applyNumberFormat="1" applyFont="1" applyBorder="1" applyAlignment="1">
      <alignment vertical="center"/>
    </xf>
    <xf numFmtId="0" fontId="15" fillId="0" borderId="98" xfId="0" applyFont="1" applyBorder="1" applyAlignment="1">
      <alignment horizontal="center" vertical="center"/>
    </xf>
    <xf numFmtId="176" fontId="2" fillId="0" borderId="98" xfId="0" applyNumberFormat="1" applyFont="1" applyBorder="1" applyAlignment="1">
      <alignment vertical="center"/>
    </xf>
    <xf numFmtId="176" fontId="27" fillId="0" borderId="98" xfId="0" applyNumberFormat="1" applyFont="1" applyBorder="1" applyAlignment="1">
      <alignment vertical="center"/>
    </xf>
    <xf numFmtId="0" fontId="15" fillId="0" borderId="24" xfId="0" applyFont="1" applyBorder="1" applyAlignment="1">
      <alignment horizontal="center" vertical="center"/>
    </xf>
    <xf numFmtId="10" fontId="2" fillId="0" borderId="24" xfId="0" applyNumberFormat="1" applyFont="1" applyBorder="1" applyAlignment="1">
      <alignment vertical="center"/>
    </xf>
    <xf numFmtId="10" fontId="27" fillId="0" borderId="24" xfId="0" applyNumberFormat="1" applyFont="1" applyBorder="1" applyAlignment="1">
      <alignment vertical="center"/>
    </xf>
    <xf numFmtId="0" fontId="15" fillId="0" borderId="21" xfId="0" applyFont="1" applyBorder="1" applyAlignment="1">
      <alignment horizontal="center" vertical="center"/>
    </xf>
    <xf numFmtId="10" fontId="2" fillId="0" borderId="21" xfId="0" applyNumberFormat="1" applyFont="1" applyBorder="1" applyAlignment="1">
      <alignment vertical="center"/>
    </xf>
    <xf numFmtId="10" fontId="27" fillId="0" borderId="21" xfId="0" applyNumberFormat="1" applyFont="1" applyBorder="1" applyAlignment="1">
      <alignment vertical="center"/>
    </xf>
    <xf numFmtId="0" fontId="15" fillId="0" borderId="80" xfId="0" applyFont="1" applyBorder="1" applyAlignment="1">
      <alignment horizontal="center" vertical="center"/>
    </xf>
    <xf numFmtId="178" fontId="2" fillId="0" borderId="80" xfId="0" applyNumberFormat="1" applyFont="1" applyBorder="1" applyAlignment="1">
      <alignment vertical="center"/>
    </xf>
    <xf numFmtId="178" fontId="27" fillId="0" borderId="80" xfId="0" applyNumberFormat="1" applyFont="1" applyBorder="1" applyAlignment="1">
      <alignment vertical="center"/>
    </xf>
    <xf numFmtId="10" fontId="2" fillId="0" borderId="102" xfId="0" applyNumberFormat="1" applyFont="1" applyBorder="1" applyAlignment="1">
      <alignment vertical="center"/>
    </xf>
    <xf numFmtId="10" fontId="27" fillId="0" borderId="102" xfId="0" applyNumberFormat="1" applyFont="1" applyBorder="1" applyAlignment="1">
      <alignment vertical="center"/>
    </xf>
    <xf numFmtId="176" fontId="27" fillId="0" borderId="80" xfId="0" applyNumberFormat="1" applyFont="1" applyBorder="1" applyAlignment="1">
      <alignment vertical="center"/>
    </xf>
    <xf numFmtId="0" fontId="28" fillId="0" borderId="0" xfId="0" applyFont="1" applyAlignment="1">
      <alignment vertical="center"/>
    </xf>
    <xf numFmtId="0" fontId="29" fillId="0" borderId="0" xfId="0" applyFont="1" applyAlignment="1">
      <alignment vertical="center"/>
    </xf>
    <xf numFmtId="0" fontId="1" fillId="0" borderId="36" xfId="0" applyFont="1" applyBorder="1" applyAlignment="1">
      <alignment vertical="center"/>
    </xf>
    <xf numFmtId="0" fontId="1" fillId="0" borderId="15" xfId="0" applyFont="1" applyBorder="1" applyAlignment="1">
      <alignment horizontal="left" vertical="center"/>
    </xf>
    <xf numFmtId="0" fontId="1" fillId="0" borderId="15" xfId="0" applyFont="1" applyFill="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6" xfId="0" applyFont="1" applyFill="1" applyBorder="1" applyAlignment="1">
      <alignment horizontal="center" vertical="center"/>
    </xf>
    <xf numFmtId="0" fontId="9" fillId="0" borderId="6" xfId="0" applyFont="1" applyBorder="1" applyAlignment="1">
      <alignment horizontal="center" vertical="center"/>
    </xf>
    <xf numFmtId="0" fontId="10" fillId="0" borderId="6" xfId="0" applyFont="1" applyBorder="1" applyAlignment="1">
      <alignment horizontal="center" vertical="center"/>
    </xf>
    <xf numFmtId="14" fontId="1" fillId="0" borderId="6" xfId="0" applyNumberFormat="1" applyFont="1" applyBorder="1" applyAlignment="1">
      <alignment horizontal="center" vertical="center"/>
    </xf>
    <xf numFmtId="0" fontId="1" fillId="0" borderId="7" xfId="0" applyFont="1" applyFill="1" applyBorder="1" applyAlignment="1">
      <alignment horizontal="center" vertical="center"/>
    </xf>
    <xf numFmtId="0" fontId="28" fillId="0" borderId="0" xfId="0" applyFont="1" applyAlignment="1">
      <alignment horizontal="center" vertical="center"/>
    </xf>
    <xf numFmtId="0" fontId="28" fillId="0" borderId="43" xfId="0" applyFont="1" applyBorder="1" applyAlignment="1">
      <alignment horizontal="center" vertical="center"/>
    </xf>
    <xf numFmtId="0" fontId="28" fillId="0" borderId="42" xfId="0" applyFont="1" applyBorder="1" applyAlignment="1">
      <alignment horizontal="center" vertical="center"/>
    </xf>
    <xf numFmtId="0" fontId="30" fillId="0" borderId="16" xfId="0" applyFont="1" applyBorder="1" applyAlignment="1">
      <alignment vertical="center"/>
    </xf>
    <xf numFmtId="0" fontId="28" fillId="0" borderId="29" xfId="0" applyFont="1" applyBorder="1" applyAlignment="1">
      <alignment horizontal="center" vertical="center"/>
    </xf>
    <xf numFmtId="0" fontId="28" fillId="0" borderId="30" xfId="0" applyFont="1" applyBorder="1" applyAlignment="1">
      <alignment horizontal="center" vertical="center"/>
    </xf>
    <xf numFmtId="0" fontId="28" fillId="0" borderId="44" xfId="0" applyFont="1" applyBorder="1" applyAlignment="1">
      <alignment horizontal="center" vertical="center"/>
    </xf>
    <xf numFmtId="0" fontId="28" fillId="0" borderId="31" xfId="0" applyFont="1" applyBorder="1" applyAlignment="1">
      <alignment horizontal="center" vertical="center"/>
    </xf>
    <xf numFmtId="0" fontId="30" fillId="0" borderId="68" xfId="0" applyFont="1" applyBorder="1" applyAlignment="1">
      <alignment vertical="center"/>
    </xf>
    <xf numFmtId="0" fontId="28" fillId="0" borderId="71" xfId="0" applyFont="1" applyBorder="1" applyAlignment="1">
      <alignment horizontal="center" vertical="center"/>
    </xf>
    <xf numFmtId="0" fontId="28" fillId="0" borderId="72" xfId="0" applyFont="1" applyBorder="1" applyAlignment="1">
      <alignment horizontal="center" vertical="center"/>
    </xf>
    <xf numFmtId="0" fontId="28" fillId="0" borderId="104" xfId="0" applyFont="1" applyBorder="1" applyAlignment="1">
      <alignment horizontal="center" vertical="center"/>
    </xf>
    <xf numFmtId="0" fontId="30" fillId="0" borderId="105" xfId="0" applyFont="1" applyBorder="1" applyAlignment="1">
      <alignment vertical="center"/>
    </xf>
    <xf numFmtId="0" fontId="28" fillId="0" borderId="106" xfId="0" applyFont="1" applyBorder="1" applyAlignment="1">
      <alignment horizontal="center" vertical="center"/>
    </xf>
    <xf numFmtId="0" fontId="28" fillId="0" borderId="98" xfId="0" applyFont="1" applyBorder="1" applyAlignment="1">
      <alignment horizontal="center" vertical="center"/>
    </xf>
    <xf numFmtId="0" fontId="28" fillId="0" borderId="107" xfId="0" applyFont="1" applyBorder="1" applyAlignment="1">
      <alignment horizontal="center" vertical="center"/>
    </xf>
    <xf numFmtId="0" fontId="30" fillId="0" borderId="10" xfId="0" applyFont="1" applyBorder="1" applyAlignment="1">
      <alignment vertical="center"/>
    </xf>
    <xf numFmtId="0" fontId="32" fillId="0" borderId="40" xfId="0" applyFont="1" applyBorder="1" applyAlignment="1">
      <alignment horizontal="center" vertical="center"/>
    </xf>
    <xf numFmtId="0" fontId="32" fillId="0" borderId="43" xfId="0" applyFont="1" applyBorder="1" applyAlignment="1">
      <alignment horizontal="center" vertical="center"/>
    </xf>
    <xf numFmtId="0" fontId="1" fillId="0" borderId="15" xfId="0" applyFont="1" applyBorder="1" applyAlignment="1">
      <alignment vertical="center"/>
    </xf>
    <xf numFmtId="0" fontId="1" fillId="0" borderId="15" xfId="0" applyFont="1" applyBorder="1" applyAlignment="1">
      <alignment horizontal="center" vertical="center"/>
    </xf>
    <xf numFmtId="0" fontId="1" fillId="0" borderId="15" xfId="0" applyFont="1" applyFill="1" applyBorder="1" applyAlignment="1">
      <alignment vertical="center"/>
    </xf>
    <xf numFmtId="0" fontId="1" fillId="0" borderId="30" xfId="0" applyFont="1" applyBorder="1" applyAlignment="1">
      <alignment horizontal="center" vertical="center"/>
    </xf>
    <xf numFmtId="0" fontId="1" fillId="0" borderId="30" xfId="0" applyFont="1" applyBorder="1" applyAlignment="1">
      <alignment horizontal="left" vertical="center"/>
    </xf>
    <xf numFmtId="0" fontId="2" fillId="0" borderId="30" xfId="0" applyFont="1" applyBorder="1" applyAlignment="1">
      <alignment horizontal="center" vertical="center"/>
    </xf>
    <xf numFmtId="0" fontId="2" fillId="0" borderId="30" xfId="0" applyFont="1" applyFill="1" applyBorder="1" applyAlignment="1">
      <alignment horizontal="center" vertical="center"/>
    </xf>
    <xf numFmtId="0" fontId="2" fillId="0" borderId="30" xfId="0" applyFont="1" applyBorder="1" applyAlignment="1">
      <alignment vertical="center"/>
    </xf>
    <xf numFmtId="49" fontId="2" fillId="0" borderId="30" xfId="0" applyNumberFormat="1" applyFont="1" applyFill="1" applyBorder="1" applyAlignment="1">
      <alignment horizontal="left" vertical="center"/>
    </xf>
    <xf numFmtId="0" fontId="5" fillId="0" borderId="30" xfId="0" applyFont="1" applyBorder="1" applyAlignment="1">
      <alignment horizontal="center" vertical="center"/>
    </xf>
    <xf numFmtId="0" fontId="6" fillId="0" borderId="30" xfId="0" applyFont="1" applyBorder="1" applyAlignment="1">
      <alignment horizontal="center" vertical="center"/>
    </xf>
    <xf numFmtId="14" fontId="2" fillId="0" borderId="30" xfId="0" applyNumberFormat="1" applyFont="1" applyBorder="1" applyAlignment="1">
      <alignment horizontal="left" vertical="center"/>
    </xf>
    <xf numFmtId="0" fontId="1" fillId="0" borderId="30" xfId="0" applyFont="1" applyFill="1" applyBorder="1" applyAlignment="1">
      <alignment horizontal="center" vertical="center"/>
    </xf>
    <xf numFmtId="0" fontId="1" fillId="0" borderId="28" xfId="0" applyFont="1" applyFill="1" applyBorder="1" applyAlignment="1">
      <alignment horizontal="center" vertical="center"/>
    </xf>
    <xf numFmtId="0" fontId="1" fillId="0" borderId="35" xfId="0" applyFont="1" applyFill="1" applyBorder="1" applyAlignment="1">
      <alignment horizontal="center" vertical="center"/>
    </xf>
    <xf numFmtId="0" fontId="1" fillId="0" borderId="43" xfId="0" applyFont="1" applyBorder="1" applyAlignment="1">
      <alignment horizontal="center" vertical="center"/>
    </xf>
    <xf numFmtId="0" fontId="1" fillId="0" borderId="43" xfId="0" applyFont="1" applyBorder="1" applyAlignment="1">
      <alignment horizontal="left" vertical="center"/>
    </xf>
    <xf numFmtId="0" fontId="2" fillId="0" borderId="43" xfId="0" applyFont="1" applyFill="1" applyBorder="1" applyAlignment="1">
      <alignment horizontal="center" vertical="center"/>
    </xf>
    <xf numFmtId="0" fontId="1" fillId="0" borderId="43" xfId="0" applyFont="1" applyFill="1" applyBorder="1" applyAlignment="1">
      <alignment horizontal="center" vertical="center"/>
    </xf>
    <xf numFmtId="0" fontId="1" fillId="0" borderId="43" xfId="0" applyFont="1" applyBorder="1" applyAlignment="1">
      <alignment vertical="center"/>
    </xf>
    <xf numFmtId="49" fontId="2" fillId="0" borderId="43" xfId="0" applyNumberFormat="1" applyFont="1" applyFill="1" applyBorder="1" applyAlignment="1">
      <alignment horizontal="left" vertical="center"/>
    </xf>
    <xf numFmtId="0" fontId="8" fillId="0" borderId="43" xfId="0" applyFont="1" applyBorder="1" applyAlignment="1">
      <alignment horizontal="center" vertical="center"/>
    </xf>
    <xf numFmtId="0" fontId="7" fillId="0" borderId="43" xfId="0" applyFont="1" applyBorder="1" applyAlignment="1">
      <alignment horizontal="center" vertical="center"/>
    </xf>
    <xf numFmtId="14" fontId="1" fillId="0" borderId="43" xfId="0" applyNumberFormat="1" applyFont="1" applyBorder="1" applyAlignment="1">
      <alignment horizontal="left" vertical="center"/>
    </xf>
    <xf numFmtId="0" fontId="1" fillId="0" borderId="41" xfId="0" applyFont="1" applyFill="1" applyBorder="1" applyAlignment="1">
      <alignment horizontal="center" vertical="center"/>
    </xf>
    <xf numFmtId="0" fontId="1" fillId="21" borderId="27" xfId="0" applyFont="1" applyFill="1" applyBorder="1" applyAlignment="1">
      <alignment vertical="center"/>
    </xf>
    <xf numFmtId="0" fontId="1" fillId="21" borderId="34" xfId="0" applyFont="1" applyFill="1" applyBorder="1" applyAlignment="1">
      <alignment vertical="center"/>
    </xf>
    <xf numFmtId="0" fontId="1" fillId="21" borderId="40" xfId="0" applyFont="1" applyFill="1" applyBorder="1" applyAlignment="1">
      <alignment vertical="center"/>
    </xf>
    <xf numFmtId="0" fontId="8" fillId="0" borderId="15" xfId="0" applyFont="1" applyBorder="1" applyAlignment="1">
      <alignment horizontal="center" vertical="center"/>
    </xf>
    <xf numFmtId="0" fontId="7" fillId="0" borderId="15" xfId="0" applyFont="1" applyBorder="1" applyAlignment="1">
      <alignment horizontal="center" vertical="center"/>
    </xf>
    <xf numFmtId="14" fontId="1" fillId="0" borderId="15" xfId="0" applyNumberFormat="1" applyFont="1" applyBorder="1" applyAlignment="1">
      <alignment horizontal="left" vertical="center"/>
    </xf>
    <xf numFmtId="0" fontId="1" fillId="0" borderId="30" xfId="0" applyFont="1" applyFill="1" applyBorder="1" applyAlignment="1">
      <alignment vertical="center"/>
    </xf>
    <xf numFmtId="0" fontId="1" fillId="0" borderId="30" xfId="0" applyFont="1" applyFill="1" applyBorder="1" applyAlignment="1">
      <alignment horizontal="left" vertical="center"/>
    </xf>
    <xf numFmtId="0" fontId="8" fillId="0" borderId="30" xfId="0" applyFont="1" applyFill="1" applyBorder="1" applyAlignment="1">
      <alignment horizontal="center" vertical="center"/>
    </xf>
    <xf numFmtId="0" fontId="7" fillId="0" borderId="30" xfId="0" applyFont="1" applyFill="1" applyBorder="1" applyAlignment="1">
      <alignment horizontal="center" vertical="center"/>
    </xf>
    <xf numFmtId="14" fontId="1" fillId="0" borderId="30" xfId="0" applyNumberFormat="1" applyFont="1" applyFill="1" applyBorder="1" applyAlignment="1">
      <alignment horizontal="left" vertical="center"/>
    </xf>
    <xf numFmtId="0" fontId="1" fillId="0" borderId="43" xfId="0" applyFont="1" applyFill="1" applyBorder="1" applyAlignment="1">
      <alignment vertical="center"/>
    </xf>
    <xf numFmtId="0" fontId="8" fillId="0" borderId="43" xfId="0" applyFont="1" applyFill="1" applyBorder="1" applyAlignment="1">
      <alignment horizontal="center" vertical="center"/>
    </xf>
    <xf numFmtId="0" fontId="7" fillId="0" borderId="43" xfId="0" applyFont="1" applyFill="1" applyBorder="1" applyAlignment="1">
      <alignment horizontal="center" vertical="center"/>
    </xf>
    <xf numFmtId="14" fontId="1" fillId="0" borderId="43" xfId="0" applyNumberFormat="1" applyFont="1" applyFill="1" applyBorder="1" applyAlignment="1">
      <alignment horizontal="left" vertical="center"/>
    </xf>
    <xf numFmtId="0" fontId="1" fillId="22" borderId="27" xfId="0" applyFont="1" applyFill="1" applyBorder="1" applyAlignment="1">
      <alignment horizontal="left" vertical="center"/>
    </xf>
    <xf numFmtId="0" fontId="1" fillId="22" borderId="34" xfId="0" applyFont="1" applyFill="1" applyBorder="1" applyAlignment="1">
      <alignment horizontal="left" vertical="center"/>
    </xf>
    <xf numFmtId="0" fontId="1" fillId="22" borderId="40" xfId="0" applyFont="1" applyFill="1" applyBorder="1" applyAlignment="1">
      <alignment horizontal="left" vertical="center"/>
    </xf>
    <xf numFmtId="0" fontId="1" fillId="0" borderId="6" xfId="0" applyFont="1" applyBorder="1" applyAlignment="1">
      <alignment horizontal="left" vertical="center"/>
    </xf>
    <xf numFmtId="0" fontId="2" fillId="0" borderId="6" xfId="0" applyFont="1" applyFill="1" applyBorder="1" applyAlignment="1">
      <alignment horizontal="center" vertical="center"/>
    </xf>
    <xf numFmtId="0" fontId="1" fillId="0" borderId="6" xfId="0" applyFont="1" applyBorder="1" applyAlignment="1">
      <alignment vertical="center"/>
    </xf>
    <xf numFmtId="0" fontId="8" fillId="0" borderId="6" xfId="0" applyFont="1" applyBorder="1" applyAlignment="1">
      <alignment horizontal="center" vertical="center"/>
    </xf>
    <xf numFmtId="0" fontId="7" fillId="0" borderId="6" xfId="0" applyFont="1" applyBorder="1" applyAlignment="1">
      <alignment horizontal="center" vertical="center"/>
    </xf>
    <xf numFmtId="14" fontId="1" fillId="0" borderId="6" xfId="0" applyNumberFormat="1" applyFont="1" applyBorder="1" applyAlignment="1">
      <alignment horizontal="left" vertical="center"/>
    </xf>
    <xf numFmtId="0" fontId="1" fillId="0" borderId="6" xfId="0" applyFont="1" applyFill="1" applyBorder="1" applyAlignment="1">
      <alignment vertical="center"/>
    </xf>
    <xf numFmtId="0" fontId="1" fillId="23" borderId="5" xfId="0" applyFont="1" applyFill="1" applyBorder="1" applyAlignment="1">
      <alignment horizontal="left" vertical="center"/>
    </xf>
    <xf numFmtId="0" fontId="2" fillId="0" borderId="30" xfId="0" applyFont="1" applyFill="1" applyBorder="1" applyAlignment="1">
      <alignment vertical="center"/>
    </xf>
    <xf numFmtId="0" fontId="2" fillId="0" borderId="30" xfId="0" applyFont="1" applyFill="1" applyBorder="1" applyAlignment="1">
      <alignment horizontal="left" vertical="center"/>
    </xf>
    <xf numFmtId="0" fontId="5" fillId="0" borderId="30" xfId="0" applyFont="1" applyFill="1" applyBorder="1" applyAlignment="1">
      <alignment horizontal="center" vertical="center"/>
    </xf>
    <xf numFmtId="0" fontId="6" fillId="0" borderId="30" xfId="0" applyFont="1" applyFill="1" applyBorder="1" applyAlignment="1">
      <alignment horizontal="center" vertical="center"/>
    </xf>
    <xf numFmtId="14" fontId="2" fillId="0" borderId="30" xfId="0" applyNumberFormat="1" applyFont="1" applyFill="1" applyBorder="1" applyAlignment="1">
      <alignment horizontal="left" vertical="center"/>
    </xf>
    <xf numFmtId="0" fontId="2" fillId="0" borderId="43" xfId="0" applyFont="1" applyFill="1" applyBorder="1" applyAlignment="1">
      <alignment vertical="center"/>
    </xf>
    <xf numFmtId="0" fontId="2" fillId="0" borderId="43" xfId="0" applyFont="1" applyFill="1" applyBorder="1" applyAlignment="1">
      <alignment horizontal="left" vertical="center"/>
    </xf>
    <xf numFmtId="0" fontId="5" fillId="0" borderId="43" xfId="0" applyFont="1" applyFill="1" applyBorder="1" applyAlignment="1">
      <alignment horizontal="center" vertical="center"/>
    </xf>
    <xf numFmtId="0" fontId="6" fillId="0" borderId="43" xfId="0" applyFont="1" applyFill="1" applyBorder="1" applyAlignment="1">
      <alignment horizontal="center" vertical="center"/>
    </xf>
    <xf numFmtId="14" fontId="2" fillId="0" borderId="43" xfId="0" applyNumberFormat="1" applyFont="1" applyFill="1" applyBorder="1" applyAlignment="1">
      <alignment horizontal="left" vertical="center"/>
    </xf>
    <xf numFmtId="0" fontId="1" fillId="2" borderId="27" xfId="0" applyFont="1" applyFill="1" applyBorder="1" applyAlignment="1">
      <alignment horizontal="left" vertical="center"/>
    </xf>
    <xf numFmtId="0" fontId="1" fillId="2" borderId="40" xfId="0" applyFont="1" applyFill="1" applyBorder="1" applyAlignment="1">
      <alignment horizontal="left" vertical="center"/>
    </xf>
    <xf numFmtId="0" fontId="1" fillId="0" borderId="30" xfId="0" applyFont="1" applyBorder="1" applyAlignment="1">
      <alignment vertical="center"/>
    </xf>
    <xf numFmtId="0" fontId="8" fillId="0" borderId="30" xfId="0" applyFont="1" applyBorder="1" applyAlignment="1">
      <alignment horizontal="center" vertical="center"/>
    </xf>
    <xf numFmtId="0" fontId="7" fillId="0" borderId="30" xfId="0" applyFont="1" applyBorder="1" applyAlignment="1">
      <alignment horizontal="center" vertical="center"/>
    </xf>
    <xf numFmtId="0" fontId="1" fillId="24" borderId="27" xfId="0" applyFont="1" applyFill="1" applyBorder="1" applyAlignment="1">
      <alignment horizontal="left" vertical="center"/>
    </xf>
    <xf numFmtId="0" fontId="1" fillId="24" borderId="34" xfId="0" applyFont="1" applyFill="1" applyBorder="1" applyAlignment="1">
      <alignment horizontal="left" vertical="center"/>
    </xf>
    <xf numFmtId="0" fontId="1" fillId="24" borderId="40" xfId="0" applyFont="1" applyFill="1" applyBorder="1" applyAlignment="1">
      <alignment horizontal="left" vertical="center"/>
    </xf>
    <xf numFmtId="0" fontId="2" fillId="0" borderId="43" xfId="0" applyFont="1" applyBorder="1" applyAlignment="1">
      <alignment vertical="center"/>
    </xf>
    <xf numFmtId="0" fontId="5" fillId="0" borderId="43" xfId="0" applyFont="1" applyBorder="1" applyAlignment="1">
      <alignment horizontal="center" vertical="center"/>
    </xf>
    <xf numFmtId="0" fontId="6" fillId="0" borderId="43" xfId="0" applyFont="1" applyBorder="1" applyAlignment="1">
      <alignment horizontal="center" vertical="center"/>
    </xf>
    <xf numFmtId="14" fontId="2" fillId="0" borderId="43" xfId="0" applyNumberFormat="1" applyFont="1" applyBorder="1" applyAlignment="1">
      <alignment horizontal="left" vertical="center"/>
    </xf>
    <xf numFmtId="0" fontId="1" fillId="25" borderId="27" xfId="0" applyFont="1" applyFill="1" applyBorder="1" applyAlignment="1">
      <alignment horizontal="left" vertical="center"/>
    </xf>
    <xf numFmtId="0" fontId="1" fillId="25" borderId="34" xfId="0" applyFont="1" applyFill="1" applyBorder="1" applyAlignment="1">
      <alignment horizontal="left" vertical="center"/>
    </xf>
    <xf numFmtId="0" fontId="1" fillId="25" borderId="40" xfId="0" applyFont="1" applyFill="1" applyBorder="1" applyAlignment="1">
      <alignment horizontal="left" vertical="center"/>
    </xf>
    <xf numFmtId="0" fontId="1" fillId="26" borderId="27" xfId="0" applyFont="1" applyFill="1" applyBorder="1" applyAlignment="1">
      <alignment horizontal="left" vertical="center"/>
    </xf>
    <xf numFmtId="0" fontId="1" fillId="26" borderId="40" xfId="0" applyFont="1" applyFill="1" applyBorder="1" applyAlignment="1">
      <alignment horizontal="left" vertical="center"/>
    </xf>
    <xf numFmtId="0" fontId="1" fillId="0" borderId="6" xfId="0" applyFont="1" applyFill="1" applyBorder="1" applyAlignment="1">
      <alignment horizontal="left" vertical="center"/>
    </xf>
    <xf numFmtId="0" fontId="8" fillId="0" borderId="6" xfId="0" applyFont="1" applyFill="1" applyBorder="1" applyAlignment="1">
      <alignment horizontal="center" vertical="center"/>
    </xf>
    <xf numFmtId="0" fontId="7" fillId="0" borderId="6" xfId="0" applyFont="1" applyFill="1" applyBorder="1" applyAlignment="1">
      <alignment horizontal="center" vertical="center"/>
    </xf>
    <xf numFmtId="14" fontId="1" fillId="0" borderId="6" xfId="0" applyNumberFormat="1" applyFont="1" applyFill="1" applyBorder="1" applyAlignment="1">
      <alignment horizontal="left" vertical="center"/>
    </xf>
    <xf numFmtId="0" fontId="1" fillId="27" borderId="5" xfId="0" applyFont="1" applyFill="1" applyBorder="1" applyAlignment="1">
      <alignment horizontal="left" vertical="center"/>
    </xf>
    <xf numFmtId="0" fontId="1" fillId="29" borderId="27" xfId="0" applyFont="1" applyFill="1" applyBorder="1" applyAlignment="1">
      <alignment horizontal="left" vertical="center"/>
    </xf>
    <xf numFmtId="0" fontId="1" fillId="29" borderId="34" xfId="0" applyFont="1" applyFill="1" applyBorder="1" applyAlignment="1">
      <alignment horizontal="left" vertical="center"/>
    </xf>
    <xf numFmtId="0" fontId="1" fillId="29" borderId="40" xfId="0" applyFont="1" applyFill="1" applyBorder="1" applyAlignment="1">
      <alignment horizontal="left" vertical="center"/>
    </xf>
    <xf numFmtId="0" fontId="1" fillId="0" borderId="43" xfId="0" applyFont="1" applyFill="1" applyBorder="1" applyAlignment="1">
      <alignment horizontal="left" vertical="center"/>
    </xf>
    <xf numFmtId="0" fontId="1" fillId="30" borderId="27" xfId="0" applyFont="1" applyFill="1" applyBorder="1" applyAlignment="1">
      <alignment horizontal="left" vertical="center"/>
    </xf>
    <xf numFmtId="0" fontId="1" fillId="30" borderId="40" xfId="0" applyFont="1" applyFill="1" applyBorder="1" applyAlignment="1">
      <alignment horizontal="left" vertical="center"/>
    </xf>
    <xf numFmtId="14" fontId="1" fillId="0" borderId="30" xfId="0" applyNumberFormat="1" applyFont="1" applyBorder="1" applyAlignment="1">
      <alignment horizontal="left" vertical="center"/>
    </xf>
    <xf numFmtId="0" fontId="1" fillId="0" borderId="35" xfId="0" applyFont="1" applyBorder="1" applyAlignment="1">
      <alignment vertical="center"/>
    </xf>
    <xf numFmtId="0" fontId="2" fillId="0" borderId="43" xfId="0" applyFont="1" applyBorder="1" applyAlignment="1">
      <alignment horizontal="left" vertical="center"/>
    </xf>
    <xf numFmtId="0" fontId="1" fillId="21" borderId="27" xfId="0" applyFont="1" applyFill="1" applyBorder="1" applyAlignment="1">
      <alignment horizontal="left" vertical="center"/>
    </xf>
    <xf numFmtId="0" fontId="1" fillId="21" borderId="34" xfId="0" applyFont="1" applyFill="1" applyBorder="1" applyAlignment="1">
      <alignment horizontal="left" vertical="center"/>
    </xf>
    <xf numFmtId="0" fontId="1" fillId="21" borderId="40" xfId="0" applyFont="1" applyFill="1" applyBorder="1" applyAlignment="1">
      <alignment horizontal="left" vertical="center"/>
    </xf>
    <xf numFmtId="0" fontId="1" fillId="0" borderId="16" xfId="0" applyFont="1" applyFill="1" applyBorder="1" applyAlignment="1">
      <alignment horizontal="center" vertical="center"/>
    </xf>
    <xf numFmtId="0" fontId="1" fillId="23" borderId="27" xfId="0" applyFont="1" applyFill="1" applyBorder="1" applyAlignment="1">
      <alignment horizontal="left" vertical="center"/>
    </xf>
    <xf numFmtId="0" fontId="1" fillId="23" borderId="14" xfId="0" applyFont="1" applyFill="1" applyBorder="1" applyAlignment="1">
      <alignment horizontal="left" vertical="center"/>
    </xf>
    <xf numFmtId="0" fontId="1" fillId="23" borderId="40" xfId="0" applyFont="1" applyFill="1" applyBorder="1" applyAlignment="1">
      <alignment horizontal="left" vertical="center"/>
    </xf>
    <xf numFmtId="0" fontId="2" fillId="0" borderId="30" xfId="0" applyFont="1" applyBorder="1" applyAlignment="1">
      <alignment horizontal="left" vertical="center"/>
    </xf>
    <xf numFmtId="0" fontId="1" fillId="20" borderId="27" xfId="0" applyFont="1" applyFill="1" applyBorder="1" applyAlignment="1">
      <alignment horizontal="left" vertical="center"/>
    </xf>
    <xf numFmtId="0" fontId="1" fillId="20" borderId="34" xfId="0" applyFont="1" applyFill="1" applyBorder="1" applyAlignment="1">
      <alignment horizontal="left" vertical="center"/>
    </xf>
    <xf numFmtId="0" fontId="1" fillId="20" borderId="40" xfId="0" applyFont="1" applyFill="1" applyBorder="1" applyAlignment="1">
      <alignment horizontal="left" vertical="center"/>
    </xf>
    <xf numFmtId="49" fontId="2" fillId="0" borderId="6" xfId="0" applyNumberFormat="1" applyFont="1" applyFill="1" applyBorder="1" applyAlignment="1">
      <alignment horizontal="left" vertical="center"/>
    </xf>
    <xf numFmtId="0" fontId="1" fillId="31" borderId="5" xfId="0" applyFont="1" applyFill="1" applyBorder="1" applyAlignment="1">
      <alignment horizontal="left" vertical="center"/>
    </xf>
    <xf numFmtId="0" fontId="1" fillId="30" borderId="34" xfId="0" applyFont="1" applyFill="1" applyBorder="1" applyAlignment="1">
      <alignment horizontal="left" vertical="center"/>
    </xf>
    <xf numFmtId="0" fontId="1" fillId="23" borderId="34" xfId="0" applyFont="1" applyFill="1" applyBorder="1" applyAlignment="1">
      <alignment horizontal="left" vertical="center"/>
    </xf>
    <xf numFmtId="0" fontId="1" fillId="2" borderId="34" xfId="0" applyFont="1" applyFill="1" applyBorder="1" applyAlignment="1">
      <alignment horizontal="left" vertical="center"/>
    </xf>
    <xf numFmtId="0" fontId="1" fillId="0" borderId="41" xfId="0" applyFont="1" applyFill="1" applyBorder="1" applyAlignment="1">
      <alignment vertical="center"/>
    </xf>
    <xf numFmtId="0" fontId="1" fillId="0" borderId="41" xfId="0" applyFont="1" applyBorder="1" applyAlignment="1">
      <alignment vertical="center"/>
    </xf>
    <xf numFmtId="0" fontId="1" fillId="33" borderId="27" xfId="0" applyFont="1" applyFill="1" applyBorder="1" applyAlignment="1">
      <alignment horizontal="left" vertical="center"/>
    </xf>
    <xf numFmtId="0" fontId="1" fillId="33" borderId="40" xfId="0" applyFont="1" applyFill="1" applyBorder="1" applyAlignment="1">
      <alignment horizontal="left" vertical="center"/>
    </xf>
    <xf numFmtId="0" fontId="1" fillId="24" borderId="17" xfId="0" applyFont="1" applyFill="1" applyBorder="1" applyAlignment="1">
      <alignment horizontal="left" vertical="center"/>
    </xf>
    <xf numFmtId="0" fontId="1" fillId="0" borderId="18" xfId="0" applyFont="1" applyFill="1" applyBorder="1" applyAlignment="1">
      <alignment horizontal="center" vertical="center"/>
    </xf>
    <xf numFmtId="0" fontId="1" fillId="0" borderId="18" xfId="0" applyFont="1" applyBorder="1" applyAlignment="1">
      <alignment horizontal="left" vertical="center"/>
    </xf>
    <xf numFmtId="0" fontId="1" fillId="0" borderId="18" xfId="0" applyFont="1" applyBorder="1" applyAlignment="1">
      <alignment horizontal="center" vertical="center"/>
    </xf>
    <xf numFmtId="0" fontId="1" fillId="0" borderId="18" xfId="0" applyFont="1" applyBorder="1" applyAlignment="1">
      <alignment vertical="center"/>
    </xf>
    <xf numFmtId="0" fontId="8" fillId="0" borderId="18" xfId="0" applyFont="1" applyBorder="1" applyAlignment="1">
      <alignment horizontal="center" vertical="center"/>
    </xf>
    <xf numFmtId="0" fontId="7" fillId="0" borderId="18" xfId="0" applyFont="1" applyBorder="1" applyAlignment="1">
      <alignment horizontal="center" vertical="center"/>
    </xf>
    <xf numFmtId="14" fontId="1" fillId="0" borderId="18" xfId="0" applyNumberFormat="1" applyFont="1" applyBorder="1" applyAlignment="1">
      <alignment horizontal="left" vertical="center"/>
    </xf>
    <xf numFmtId="0" fontId="1" fillId="0" borderId="19" xfId="0" applyFont="1" applyFill="1" applyBorder="1" applyAlignment="1">
      <alignment horizontal="center" vertical="center"/>
    </xf>
    <xf numFmtId="0" fontId="1" fillId="0" borderId="28" xfId="0" applyFont="1" applyBorder="1" applyAlignment="1">
      <alignment vertical="center"/>
    </xf>
    <xf numFmtId="0" fontId="1" fillId="26" borderId="34" xfId="0" applyFont="1" applyFill="1" applyBorder="1" applyAlignment="1">
      <alignment horizontal="left" vertical="center"/>
    </xf>
    <xf numFmtId="0" fontId="1" fillId="0" borderId="35" xfId="0" applyFont="1" applyFill="1" applyBorder="1" applyAlignment="1">
      <alignment vertical="center"/>
    </xf>
    <xf numFmtId="0" fontId="2" fillId="0" borderId="6" xfId="0" applyFont="1" applyFill="1" applyBorder="1" applyAlignment="1">
      <alignment vertical="center"/>
    </xf>
    <xf numFmtId="0" fontId="2" fillId="0" borderId="6" xfId="0" applyFont="1" applyFill="1" applyBorder="1" applyAlignment="1">
      <alignment horizontal="left" vertical="center"/>
    </xf>
    <xf numFmtId="0" fontId="5" fillId="0" borderId="6" xfId="0" applyFont="1" applyFill="1" applyBorder="1" applyAlignment="1">
      <alignment horizontal="center" vertical="center"/>
    </xf>
    <xf numFmtId="0" fontId="6" fillId="0" borderId="6" xfId="0" applyFont="1" applyFill="1" applyBorder="1" applyAlignment="1">
      <alignment horizontal="center" vertical="center"/>
    </xf>
    <xf numFmtId="14" fontId="2" fillId="0" borderId="6" xfId="0" applyNumberFormat="1" applyFont="1" applyFill="1" applyBorder="1" applyAlignment="1">
      <alignment horizontal="left" vertical="center"/>
    </xf>
    <xf numFmtId="0" fontId="1" fillId="20" borderId="5" xfId="0" applyFont="1" applyFill="1" applyBorder="1" applyAlignment="1">
      <alignment horizontal="left" vertical="center"/>
    </xf>
    <xf numFmtId="0" fontId="1" fillId="0" borderId="28" xfId="0" applyFont="1" applyFill="1" applyBorder="1" applyAlignment="1">
      <alignment vertical="center"/>
    </xf>
    <xf numFmtId="0" fontId="32" fillId="0" borderId="27" xfId="0" applyFont="1" applyBorder="1" applyAlignment="1">
      <alignment horizontal="center" vertical="center"/>
    </xf>
    <xf numFmtId="0" fontId="32" fillId="0" borderId="30" xfId="0" applyFont="1" applyBorder="1" applyAlignment="1">
      <alignment horizontal="center" vertical="center"/>
    </xf>
    <xf numFmtId="0" fontId="2" fillId="0" borderId="14" xfId="0" applyFont="1" applyFill="1" applyBorder="1" applyAlignment="1">
      <alignment horizontal="center" vertical="center"/>
    </xf>
    <xf numFmtId="0" fontId="1" fillId="25" borderId="5" xfId="0" applyFont="1" applyFill="1" applyBorder="1" applyAlignment="1">
      <alignment horizontal="left" vertical="center"/>
    </xf>
    <xf numFmtId="0" fontId="1" fillId="0" borderId="100" xfId="0" applyFont="1" applyFill="1" applyBorder="1" applyAlignment="1">
      <alignment horizontal="center" vertical="center"/>
    </xf>
    <xf numFmtId="0" fontId="1" fillId="0" borderId="7" xfId="0" applyFont="1" applyFill="1" applyBorder="1" applyAlignment="1">
      <alignment vertical="center"/>
    </xf>
    <xf numFmtId="0" fontId="1" fillId="28" borderId="5" xfId="0" applyFont="1" applyFill="1" applyBorder="1" applyAlignment="1">
      <alignment horizontal="left" vertical="center"/>
    </xf>
    <xf numFmtId="0" fontId="31" fillId="0" borderId="15" xfId="0" applyFont="1" applyBorder="1" applyAlignment="1">
      <alignment vertical="center"/>
    </xf>
    <xf numFmtId="0" fontId="2" fillId="0" borderId="12" xfId="0" applyFont="1" applyFill="1" applyBorder="1" applyAlignment="1">
      <alignment horizontal="center" vertical="center"/>
    </xf>
    <xf numFmtId="0" fontId="1" fillId="0" borderId="0" xfId="0" applyFont="1" applyAlignment="1">
      <alignment vertical="center"/>
    </xf>
    <xf numFmtId="0" fontId="9" fillId="0" borderId="1" xfId="0" applyFont="1" applyBorder="1" applyAlignment="1">
      <alignment horizontal="center" vertical="center"/>
    </xf>
    <xf numFmtId="0" fontId="9" fillId="0" borderId="1" xfId="0" applyFont="1" applyFill="1" applyBorder="1" applyAlignment="1">
      <alignment horizontal="center" vertical="center"/>
    </xf>
    <xf numFmtId="14" fontId="1" fillId="0" borderId="0" xfId="0" applyNumberFormat="1" applyFont="1" applyAlignment="1">
      <alignment vertical="center"/>
    </xf>
    <xf numFmtId="49" fontId="1" fillId="0" borderId="1" xfId="0" applyNumberFormat="1" applyFont="1" applyBorder="1" applyAlignment="1">
      <alignment horizontal="right" vertical="center"/>
    </xf>
    <xf numFmtId="0" fontId="1" fillId="0" borderId="0" xfId="0" applyFont="1" applyFill="1" applyAlignment="1">
      <alignment vertical="center"/>
    </xf>
    <xf numFmtId="0" fontId="1" fillId="0" borderId="0" xfId="0" applyFont="1" applyAlignment="1">
      <alignment horizontal="center" vertical="center"/>
    </xf>
    <xf numFmtId="2" fontId="1" fillId="0" borderId="0" xfId="0" applyNumberFormat="1" applyFont="1" applyAlignment="1">
      <alignment horizontal="right" vertical="center"/>
    </xf>
    <xf numFmtId="0" fontId="30" fillId="0" borderId="33" xfId="0" applyFont="1" applyBorder="1" applyAlignment="1">
      <alignment horizontal="left" vertical="center"/>
    </xf>
    <xf numFmtId="0" fontId="30" fillId="0" borderId="46" xfId="0" applyFont="1" applyBorder="1" applyAlignment="1">
      <alignment horizontal="right" vertical="center"/>
    </xf>
    <xf numFmtId="0" fontId="28" fillId="0" borderId="110" xfId="0" applyFont="1" applyBorder="1" applyAlignment="1">
      <alignment horizontal="left" vertical="center"/>
    </xf>
    <xf numFmtId="0" fontId="28" fillId="0" borderId="85" xfId="0" applyFont="1" applyBorder="1" applyAlignment="1">
      <alignment horizontal="right" vertical="center"/>
    </xf>
    <xf numFmtId="0" fontId="28" fillId="0" borderId="111" xfId="0" applyFont="1" applyBorder="1" applyAlignment="1">
      <alignment horizontal="left" vertical="center"/>
    </xf>
    <xf numFmtId="0" fontId="28" fillId="0" borderId="84" xfId="0" applyFont="1" applyBorder="1" applyAlignment="1">
      <alignment horizontal="right" vertical="center"/>
    </xf>
    <xf numFmtId="0" fontId="28" fillId="0" borderId="33" xfId="0" applyFont="1" applyBorder="1" applyAlignment="1">
      <alignment horizontal="left" vertical="center"/>
    </xf>
    <xf numFmtId="0" fontId="28" fillId="0" borderId="46" xfId="0" applyFont="1" applyBorder="1" applyAlignment="1">
      <alignment vertical="center"/>
    </xf>
    <xf numFmtId="0" fontId="32" fillId="0" borderId="41" xfId="0" applyFont="1" applyBorder="1" applyAlignment="1">
      <alignment horizontal="center" vertical="center"/>
    </xf>
    <xf numFmtId="0" fontId="32" fillId="0" borderId="28" xfId="0" applyFont="1" applyBorder="1" applyAlignment="1">
      <alignment horizontal="center" vertical="center"/>
    </xf>
    <xf numFmtId="0" fontId="32" fillId="21" borderId="67" xfId="0" applyFont="1" applyFill="1" applyBorder="1" applyAlignment="1">
      <alignment horizontal="center" vertical="center"/>
    </xf>
    <xf numFmtId="0" fontId="32" fillId="21" borderId="72" xfId="0" applyFont="1" applyFill="1" applyBorder="1" applyAlignment="1">
      <alignment horizontal="center" vertical="center"/>
    </xf>
    <xf numFmtId="0" fontId="32" fillId="21" borderId="68" xfId="0" applyFont="1" applyFill="1" applyBorder="1" applyAlignment="1">
      <alignment horizontal="center" vertical="center"/>
    </xf>
    <xf numFmtId="0" fontId="32" fillId="22" borderId="108" xfId="0" applyFont="1" applyFill="1" applyBorder="1" applyAlignment="1">
      <alignment horizontal="center" vertical="center"/>
    </xf>
    <xf numFmtId="0" fontId="32" fillId="22" borderId="98" xfId="0" applyFont="1" applyFill="1" applyBorder="1" applyAlignment="1">
      <alignment horizontal="center" vertical="center"/>
    </xf>
    <xf numFmtId="0" fontId="32" fillId="22" borderId="105" xfId="0" applyFont="1" applyFill="1" applyBorder="1" applyAlignment="1">
      <alignment horizontal="center" vertical="center"/>
    </xf>
    <xf numFmtId="0" fontId="32" fillId="2" borderId="108" xfId="0" applyFont="1" applyFill="1" applyBorder="1" applyAlignment="1">
      <alignment horizontal="center" vertical="center"/>
    </xf>
    <xf numFmtId="0" fontId="32" fillId="2" borderId="98" xfId="0" applyFont="1" applyFill="1" applyBorder="1" applyAlignment="1">
      <alignment horizontal="center" vertical="center"/>
    </xf>
    <xf numFmtId="0" fontId="32" fillId="2" borderId="105" xfId="0" applyFont="1" applyFill="1" applyBorder="1" applyAlignment="1">
      <alignment horizontal="center" vertical="center"/>
    </xf>
    <xf numFmtId="0" fontId="32" fillId="23" borderId="108" xfId="0" applyFont="1" applyFill="1" applyBorder="1" applyAlignment="1">
      <alignment horizontal="center" vertical="center"/>
    </xf>
    <xf numFmtId="0" fontId="32" fillId="23" borderId="98" xfId="0" applyFont="1" applyFill="1" applyBorder="1" applyAlignment="1">
      <alignment horizontal="center" vertical="center"/>
    </xf>
    <xf numFmtId="0" fontId="32" fillId="23" borderId="105" xfId="0" applyFont="1" applyFill="1" applyBorder="1" applyAlignment="1">
      <alignment horizontal="center" vertical="center"/>
    </xf>
    <xf numFmtId="0" fontId="32" fillId="24" borderId="108" xfId="0" applyFont="1" applyFill="1" applyBorder="1" applyAlignment="1">
      <alignment horizontal="center" vertical="center"/>
    </xf>
    <xf numFmtId="0" fontId="32" fillId="24" borderId="98" xfId="0" applyFont="1" applyFill="1" applyBorder="1" applyAlignment="1">
      <alignment horizontal="center" vertical="center"/>
    </xf>
    <xf numFmtId="0" fontId="32" fillId="24" borderId="105" xfId="0" applyFont="1" applyFill="1" applyBorder="1" applyAlignment="1">
      <alignment horizontal="center" vertical="center"/>
    </xf>
    <xf numFmtId="0" fontId="32" fillId="25" borderId="108" xfId="0" applyFont="1" applyFill="1" applyBorder="1" applyAlignment="1">
      <alignment horizontal="center" vertical="center"/>
    </xf>
    <xf numFmtId="0" fontId="32" fillId="25" borderId="98" xfId="0" applyFont="1" applyFill="1" applyBorder="1" applyAlignment="1">
      <alignment horizontal="center" vertical="center"/>
    </xf>
    <xf numFmtId="0" fontId="32" fillId="25" borderId="105" xfId="0" applyFont="1" applyFill="1" applyBorder="1" applyAlignment="1">
      <alignment horizontal="center" vertical="center"/>
    </xf>
    <xf numFmtId="0" fontId="32" fillId="26" borderId="108" xfId="0" applyFont="1" applyFill="1" applyBorder="1" applyAlignment="1">
      <alignment horizontal="center" vertical="center"/>
    </xf>
    <xf numFmtId="0" fontId="32" fillId="26" borderId="98" xfId="0" applyFont="1" applyFill="1" applyBorder="1" applyAlignment="1">
      <alignment horizontal="center" vertical="center"/>
    </xf>
    <xf numFmtId="0" fontId="32" fillId="26" borderId="105" xfId="0" applyFont="1" applyFill="1" applyBorder="1" applyAlignment="1">
      <alignment horizontal="center" vertical="center"/>
    </xf>
    <xf numFmtId="0" fontId="32" fillId="20" borderId="108" xfId="0" applyFont="1" applyFill="1" applyBorder="1" applyAlignment="1">
      <alignment horizontal="center" vertical="center"/>
    </xf>
    <xf numFmtId="0" fontId="32" fillId="20" borderId="98" xfId="0" applyFont="1" applyFill="1" applyBorder="1" applyAlignment="1">
      <alignment horizontal="center" vertical="center"/>
    </xf>
    <xf numFmtId="0" fontId="32" fillId="20" borderId="105" xfId="0" applyFont="1" applyFill="1" applyBorder="1" applyAlignment="1">
      <alignment horizontal="center" vertical="center"/>
    </xf>
    <xf numFmtId="0" fontId="32" fillId="28" borderId="108" xfId="0" applyFont="1" applyFill="1" applyBorder="1" applyAlignment="1">
      <alignment horizontal="center" vertical="center"/>
    </xf>
    <xf numFmtId="0" fontId="32" fillId="28" borderId="98" xfId="0" applyFont="1" applyFill="1" applyBorder="1" applyAlignment="1">
      <alignment horizontal="center" vertical="center"/>
    </xf>
    <xf numFmtId="0" fontId="32" fillId="28" borderId="105" xfId="0" applyFont="1" applyFill="1" applyBorder="1" applyAlignment="1">
      <alignment horizontal="center" vertical="center"/>
    </xf>
    <xf numFmtId="0" fontId="32" fillId="29" borderId="108" xfId="0" applyFont="1" applyFill="1" applyBorder="1" applyAlignment="1">
      <alignment horizontal="center" vertical="center"/>
    </xf>
    <xf numFmtId="0" fontId="32" fillId="29" borderId="98" xfId="0" applyFont="1" applyFill="1" applyBorder="1" applyAlignment="1">
      <alignment horizontal="center" vertical="center"/>
    </xf>
    <xf numFmtId="0" fontId="32" fillId="29" borderId="105" xfId="0" applyFont="1" applyFill="1" applyBorder="1" applyAlignment="1">
      <alignment horizontal="center" vertical="center"/>
    </xf>
    <xf numFmtId="0" fontId="32" fillId="31" borderId="108" xfId="0" applyFont="1" applyFill="1" applyBorder="1" applyAlignment="1">
      <alignment horizontal="center" vertical="center"/>
    </xf>
    <xf numFmtId="0" fontId="32" fillId="31" borderId="98" xfId="0" applyFont="1" applyFill="1" applyBorder="1" applyAlignment="1">
      <alignment horizontal="center" vertical="center"/>
    </xf>
    <xf numFmtId="0" fontId="32" fillId="31" borderId="105" xfId="0" applyFont="1" applyFill="1" applyBorder="1" applyAlignment="1">
      <alignment horizontal="center" vertical="center"/>
    </xf>
    <xf numFmtId="0" fontId="32" fillId="32" borderId="108" xfId="0" applyFont="1" applyFill="1" applyBorder="1" applyAlignment="1">
      <alignment horizontal="center" vertical="center"/>
    </xf>
    <xf numFmtId="0" fontId="32" fillId="32" borderId="98" xfId="0" applyFont="1" applyFill="1" applyBorder="1" applyAlignment="1">
      <alignment horizontal="center" vertical="center"/>
    </xf>
    <xf numFmtId="0" fontId="32" fillId="32" borderId="105" xfId="0" applyFont="1" applyFill="1" applyBorder="1" applyAlignment="1">
      <alignment horizontal="center" vertical="center"/>
    </xf>
    <xf numFmtId="0" fontId="32" fillId="30" borderId="108" xfId="0" applyFont="1" applyFill="1" applyBorder="1" applyAlignment="1">
      <alignment horizontal="center" vertical="center"/>
    </xf>
    <xf numFmtId="0" fontId="32" fillId="30" borderId="98" xfId="0" applyFont="1" applyFill="1" applyBorder="1" applyAlignment="1">
      <alignment horizontal="center" vertical="center"/>
    </xf>
    <xf numFmtId="0" fontId="32" fillId="30" borderId="105" xfId="0" applyFont="1" applyFill="1" applyBorder="1" applyAlignment="1">
      <alignment horizontal="center" vertical="center"/>
    </xf>
    <xf numFmtId="0" fontId="32" fillId="34" borderId="108" xfId="0" applyFont="1" applyFill="1" applyBorder="1" applyAlignment="1">
      <alignment horizontal="center" vertical="center"/>
    </xf>
    <xf numFmtId="0" fontId="32" fillId="34" borderId="98" xfId="0" applyFont="1" applyFill="1" applyBorder="1" applyAlignment="1">
      <alignment horizontal="center" vertical="center"/>
    </xf>
    <xf numFmtId="0" fontId="32" fillId="34" borderId="105" xfId="0" applyFont="1" applyFill="1" applyBorder="1" applyAlignment="1">
      <alignment horizontal="center" vertical="center"/>
    </xf>
    <xf numFmtId="0" fontId="1" fillId="0" borderId="37" xfId="0" applyFont="1" applyBorder="1" applyAlignment="1">
      <alignment horizontal="center" vertical="center"/>
    </xf>
    <xf numFmtId="0" fontId="1" fillId="0" borderId="36" xfId="0" applyFont="1" applyBorder="1" applyAlignment="1">
      <alignment horizontal="center" vertical="center"/>
    </xf>
    <xf numFmtId="0" fontId="30" fillId="0" borderId="47" xfId="0" applyFont="1" applyBorder="1" applyAlignment="1">
      <alignment horizontal="center" vertical="center"/>
    </xf>
    <xf numFmtId="0" fontId="30" fillId="0" borderId="7" xfId="0" applyFont="1" applyBorder="1" applyAlignment="1">
      <alignment horizontal="center" vertical="center"/>
    </xf>
    <xf numFmtId="0" fontId="30" fillId="0" borderId="26" xfId="0" applyFont="1" applyBorder="1" applyAlignment="1">
      <alignment horizontal="center" vertical="center"/>
    </xf>
    <xf numFmtId="0" fontId="30" fillId="0" borderId="52" xfId="0" applyFont="1" applyBorder="1" applyAlignment="1">
      <alignment horizontal="center" vertical="center"/>
    </xf>
    <xf numFmtId="0" fontId="30" fillId="0" borderId="36" xfId="0" applyFont="1" applyBorder="1" applyAlignment="1">
      <alignment horizontal="center" vertical="center"/>
    </xf>
    <xf numFmtId="0" fontId="30" fillId="0" borderId="42" xfId="0" applyFont="1" applyBorder="1" applyAlignment="1">
      <alignment horizontal="center" vertical="center"/>
    </xf>
    <xf numFmtId="0" fontId="33" fillId="0" borderId="83" xfId="0" applyFont="1" applyBorder="1" applyAlignment="1">
      <alignment horizontal="center" vertical="center"/>
    </xf>
    <xf numFmtId="0" fontId="30" fillId="0" borderId="83" xfId="0" applyFont="1" applyBorder="1" applyAlignment="1">
      <alignment horizontal="center" vertical="center"/>
    </xf>
    <xf numFmtId="0" fontId="30" fillId="0" borderId="29" xfId="0" applyFont="1" applyBorder="1" applyAlignment="1">
      <alignment horizontal="center" vertical="center"/>
    </xf>
    <xf numFmtId="0" fontId="1" fillId="0" borderId="33" xfId="0" applyFont="1" applyFill="1" applyBorder="1" applyAlignment="1">
      <alignment horizontal="center" vertical="center"/>
    </xf>
    <xf numFmtId="0" fontId="1" fillId="0" borderId="39" xfId="0" applyFont="1" applyFill="1" applyBorder="1" applyAlignment="1">
      <alignment horizontal="center" vertical="center"/>
    </xf>
    <xf numFmtId="0" fontId="1" fillId="0" borderId="46" xfId="0" applyFont="1" applyFill="1" applyBorder="1" applyAlignment="1">
      <alignment horizontal="center" vertical="center"/>
    </xf>
    <xf numFmtId="0" fontId="7" fillId="0" borderId="1" xfId="0" applyFont="1" applyBorder="1" applyAlignment="1">
      <alignment vertical="center"/>
    </xf>
    <xf numFmtId="0" fontId="7" fillId="35" borderId="1" xfId="0" applyFont="1" applyFill="1" applyBorder="1" applyAlignment="1">
      <alignment vertical="center"/>
    </xf>
    <xf numFmtId="0" fontId="1" fillId="0" borderId="89" xfId="0" applyFont="1" applyBorder="1" applyAlignment="1">
      <alignment vertical="center"/>
    </xf>
    <xf numFmtId="0" fontId="7" fillId="35" borderId="15" xfId="0" applyFont="1" applyFill="1" applyBorder="1" applyAlignment="1">
      <alignment vertical="center"/>
    </xf>
    <xf numFmtId="0" fontId="7" fillId="0" borderId="15" xfId="0" applyFont="1" applyBorder="1" applyAlignment="1">
      <alignment vertical="center"/>
    </xf>
    <xf numFmtId="0" fontId="7" fillId="0" borderId="43" xfId="0" applyFont="1" applyBorder="1" applyAlignment="1">
      <alignment horizontal="center" vertical="center"/>
    </xf>
    <xf numFmtId="0" fontId="7" fillId="35" borderId="18" xfId="0" applyFont="1" applyFill="1" applyBorder="1" applyAlignment="1">
      <alignment vertical="center"/>
    </xf>
    <xf numFmtId="0" fontId="7" fillId="0" borderId="18" xfId="0" applyFont="1" applyBorder="1" applyAlignment="1">
      <alignment vertical="center"/>
    </xf>
    <xf numFmtId="0" fontId="1" fillId="0" borderId="43" xfId="0" applyFont="1" applyBorder="1" applyAlignment="1">
      <alignment horizontal="center" vertical="center"/>
    </xf>
    <xf numFmtId="0" fontId="7" fillId="35" borderId="103" xfId="0" applyFont="1" applyFill="1" applyBorder="1" applyAlignment="1">
      <alignment vertical="center"/>
    </xf>
    <xf numFmtId="0" fontId="7" fillId="35" borderId="37" xfId="0" applyFont="1" applyFill="1" applyBorder="1" applyAlignment="1">
      <alignment vertical="center"/>
    </xf>
    <xf numFmtId="0" fontId="7" fillId="0" borderId="37" xfId="0" applyFont="1" applyBorder="1" applyAlignment="1">
      <alignment vertical="center"/>
    </xf>
    <xf numFmtId="0" fontId="7" fillId="35" borderId="112" xfId="0" applyFont="1" applyFill="1" applyBorder="1" applyAlignment="1">
      <alignment vertical="center"/>
    </xf>
    <xf numFmtId="0" fontId="1" fillId="0" borderId="31" xfId="0" applyFont="1" applyBorder="1" applyAlignment="1">
      <alignment vertical="center"/>
    </xf>
    <xf numFmtId="0" fontId="1" fillId="0" borderId="37" xfId="0" applyFont="1" applyBorder="1" applyAlignment="1">
      <alignment vertical="center"/>
    </xf>
    <xf numFmtId="0" fontId="7" fillId="0" borderId="16" xfId="0" applyFont="1" applyBorder="1" applyAlignment="1">
      <alignment vertical="center"/>
    </xf>
    <xf numFmtId="0" fontId="7" fillId="0" borderId="35" xfId="0" applyFont="1" applyBorder="1" applyAlignment="1">
      <alignment vertical="center"/>
    </xf>
    <xf numFmtId="0" fontId="7" fillId="0" borderId="19" xfId="0" applyFont="1" applyBorder="1" applyAlignment="1">
      <alignment vertical="center"/>
    </xf>
    <xf numFmtId="0" fontId="1" fillId="0" borderId="40" xfId="0" applyFont="1" applyBorder="1" applyAlignment="1">
      <alignment horizontal="center" vertical="center"/>
    </xf>
    <xf numFmtId="0" fontId="30" fillId="0" borderId="0" xfId="0" applyFont="1" applyAlignment="1">
      <alignment vertical="center"/>
    </xf>
    <xf numFmtId="0" fontId="38" fillId="0" borderId="0" xfId="0" applyFont="1" applyAlignment="1">
      <alignment vertical="center"/>
    </xf>
    <xf numFmtId="0" fontId="30" fillId="0" borderId="0" xfId="0" applyFont="1" applyAlignment="1">
      <alignment horizontal="right" vertical="center"/>
    </xf>
    <xf numFmtId="0" fontId="30" fillId="0" borderId="7" xfId="0" applyFont="1" applyBorder="1" applyAlignment="1">
      <alignment horizontal="center" vertical="center"/>
    </xf>
    <xf numFmtId="0" fontId="30" fillId="21" borderId="53" xfId="0" applyFont="1" applyFill="1" applyBorder="1" applyAlignment="1">
      <alignment horizontal="center" vertical="center"/>
    </xf>
    <xf numFmtId="0" fontId="30" fillId="22" borderId="60" xfId="0" applyFont="1" applyFill="1" applyBorder="1" applyAlignment="1">
      <alignment horizontal="center" vertical="center"/>
    </xf>
    <xf numFmtId="0" fontId="30" fillId="23" borderId="60" xfId="0" applyFont="1" applyFill="1" applyBorder="1" applyAlignment="1">
      <alignment horizontal="center" vertical="center"/>
    </xf>
    <xf numFmtId="0" fontId="30" fillId="2" borderId="60" xfId="0" applyFont="1" applyFill="1" applyBorder="1" applyAlignment="1">
      <alignment horizontal="center" vertical="center"/>
    </xf>
    <xf numFmtId="0" fontId="30" fillId="24" borderId="60" xfId="0" applyFont="1" applyFill="1" applyBorder="1" applyAlignment="1">
      <alignment horizontal="center" vertical="center"/>
    </xf>
    <xf numFmtId="0" fontId="30" fillId="25" borderId="60" xfId="0" applyFont="1" applyFill="1" applyBorder="1" applyAlignment="1">
      <alignment horizontal="center" vertical="center"/>
    </xf>
    <xf numFmtId="0" fontId="30" fillId="26" borderId="60" xfId="0" applyFont="1" applyFill="1" applyBorder="1" applyAlignment="1">
      <alignment horizontal="center" vertical="center"/>
    </xf>
    <xf numFmtId="0" fontId="30" fillId="20" borderId="60" xfId="0" applyFont="1" applyFill="1" applyBorder="1" applyAlignment="1">
      <alignment horizontal="center" vertical="center"/>
    </xf>
    <xf numFmtId="0" fontId="30" fillId="28" borderId="60" xfId="0" applyFont="1" applyFill="1" applyBorder="1" applyAlignment="1">
      <alignment horizontal="center" vertical="center"/>
    </xf>
    <xf numFmtId="0" fontId="30" fillId="29" borderId="60" xfId="0" applyFont="1" applyFill="1" applyBorder="1" applyAlignment="1">
      <alignment horizontal="center" vertical="center"/>
    </xf>
    <xf numFmtId="0" fontId="30" fillId="31" borderId="60" xfId="0" applyFont="1" applyFill="1" applyBorder="1" applyAlignment="1">
      <alignment horizontal="center" vertical="center"/>
    </xf>
    <xf numFmtId="0" fontId="30" fillId="32" borderId="60" xfId="0" applyFont="1" applyFill="1" applyBorder="1" applyAlignment="1">
      <alignment horizontal="center" vertical="center"/>
    </xf>
    <xf numFmtId="0" fontId="30" fillId="30" borderId="89" xfId="0" applyFont="1" applyFill="1" applyBorder="1" applyAlignment="1">
      <alignment horizontal="center" vertical="center" wrapText="1"/>
    </xf>
    <xf numFmtId="0" fontId="30" fillId="0" borderId="62" xfId="0" applyFont="1" applyBorder="1" applyAlignment="1">
      <alignment horizontal="center" vertical="center"/>
    </xf>
    <xf numFmtId="182" fontId="40" fillId="0" borderId="83" xfId="0" applyNumberFormat="1" applyFont="1" applyBorder="1" applyAlignment="1">
      <alignment horizontal="center" vertical="center"/>
    </xf>
    <xf numFmtId="0" fontId="1" fillId="35" borderId="27" xfId="0" applyFont="1" applyFill="1" applyBorder="1" applyAlignment="1">
      <alignment horizontal="center" vertical="center"/>
    </xf>
    <xf numFmtId="0" fontId="1" fillId="35" borderId="34" xfId="0" applyFont="1" applyFill="1" applyBorder="1" applyAlignment="1">
      <alignment horizontal="center" vertical="center"/>
    </xf>
    <xf numFmtId="0" fontId="1" fillId="35" borderId="40" xfId="0" applyFont="1" applyFill="1" applyBorder="1" applyAlignment="1">
      <alignment horizontal="center" vertical="center"/>
    </xf>
    <xf numFmtId="0" fontId="31" fillId="0" borderId="15" xfId="0" applyFont="1" applyFill="1" applyBorder="1" applyAlignment="1">
      <alignment horizontal="center" vertical="center"/>
    </xf>
    <xf numFmtId="0" fontId="2" fillId="0" borderId="17"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0" xfId="0" applyFont="1" applyFill="1" applyAlignment="1">
      <alignment vertical="center"/>
    </xf>
    <xf numFmtId="0" fontId="0" fillId="0" borderId="0" xfId="0" applyFill="1"/>
    <xf numFmtId="0" fontId="2" fillId="0" borderId="5" xfId="0" applyFont="1" applyFill="1" applyBorder="1" applyAlignment="1">
      <alignment horizontal="center" vertical="center"/>
    </xf>
    <xf numFmtId="0" fontId="2" fillId="0" borderId="14" xfId="0" applyFont="1" applyFill="1" applyBorder="1" applyAlignment="1">
      <alignment vertical="center"/>
    </xf>
    <xf numFmtId="0" fontId="2" fillId="0" borderId="17" xfId="0" applyFont="1" applyFill="1" applyBorder="1" applyAlignment="1">
      <alignment vertical="center"/>
    </xf>
    <xf numFmtId="0" fontId="2" fillId="0" borderId="34" xfId="0" applyFont="1" applyFill="1" applyBorder="1" applyAlignment="1">
      <alignment vertical="center"/>
    </xf>
    <xf numFmtId="0" fontId="2" fillId="0" borderId="23" xfId="0" applyFont="1" applyFill="1" applyBorder="1" applyAlignment="1">
      <alignment vertical="center"/>
    </xf>
    <xf numFmtId="0" fontId="2" fillId="0" borderId="40" xfId="0" applyFont="1" applyFill="1" applyBorder="1" applyAlignment="1">
      <alignment vertical="center"/>
    </xf>
    <xf numFmtId="14" fontId="44" fillId="0" borderId="0" xfId="0" applyNumberFormat="1" applyFont="1" applyAlignment="1">
      <alignment horizontal="left" vertical="center"/>
    </xf>
    <xf numFmtId="0" fontId="28" fillId="0" borderId="0" xfId="0" applyFont="1" applyFill="1" applyAlignment="1">
      <alignment horizontal="left" vertical="center"/>
    </xf>
    <xf numFmtId="0" fontId="32" fillId="0" borderId="0" xfId="0" applyFont="1" applyFill="1" applyAlignment="1">
      <alignment horizontal="left" vertical="center"/>
    </xf>
    <xf numFmtId="0" fontId="32" fillId="0" borderId="0" xfId="0" applyFont="1" applyAlignment="1">
      <alignment vertical="center"/>
    </xf>
    <xf numFmtId="0" fontId="32" fillId="0" borderId="83" xfId="0" applyFont="1" applyBorder="1" applyAlignment="1">
      <alignment vertical="center"/>
    </xf>
    <xf numFmtId="0" fontId="32" fillId="21" borderId="53" xfId="0" applyFont="1" applyFill="1" applyBorder="1" applyAlignment="1">
      <alignment horizontal="center" vertical="center"/>
    </xf>
    <xf numFmtId="0" fontId="32" fillId="23" borderId="60" xfId="0" applyFont="1" applyFill="1" applyBorder="1" applyAlignment="1">
      <alignment horizontal="center" vertical="center"/>
    </xf>
    <xf numFmtId="0" fontId="32" fillId="2" borderId="60" xfId="0" applyFont="1" applyFill="1" applyBorder="1" applyAlignment="1">
      <alignment horizontal="center" vertical="center"/>
    </xf>
    <xf numFmtId="0" fontId="32" fillId="24" borderId="60" xfId="0" applyFont="1" applyFill="1" applyBorder="1" applyAlignment="1">
      <alignment horizontal="center" vertical="center"/>
    </xf>
    <xf numFmtId="0" fontId="32" fillId="25" borderId="60" xfId="0" applyFont="1" applyFill="1" applyBorder="1" applyAlignment="1">
      <alignment horizontal="center" vertical="center"/>
    </xf>
    <xf numFmtId="0" fontId="32" fillId="26" borderId="60" xfId="0" applyFont="1" applyFill="1" applyBorder="1" applyAlignment="1">
      <alignment horizontal="center" vertical="center"/>
    </xf>
    <xf numFmtId="0" fontId="32" fillId="20" borderId="60" xfId="0" applyFont="1" applyFill="1" applyBorder="1" applyAlignment="1">
      <alignment horizontal="center" vertical="center"/>
    </xf>
    <xf numFmtId="0" fontId="32" fillId="29" borderId="60" xfId="0" applyFont="1" applyFill="1" applyBorder="1" applyAlignment="1">
      <alignment horizontal="center" vertical="center"/>
    </xf>
    <xf numFmtId="0" fontId="32" fillId="31" borderId="60" xfId="0" applyFont="1" applyFill="1" applyBorder="1" applyAlignment="1">
      <alignment horizontal="center" vertical="center"/>
    </xf>
    <xf numFmtId="0" fontId="32" fillId="32" borderId="60" xfId="0" applyFont="1" applyFill="1" applyBorder="1" applyAlignment="1">
      <alignment horizontal="center" vertical="center"/>
    </xf>
    <xf numFmtId="0" fontId="32" fillId="30" borderId="60" xfId="0" applyFont="1" applyFill="1" applyBorder="1" applyAlignment="1">
      <alignment horizontal="center" vertical="center"/>
    </xf>
    <xf numFmtId="0" fontId="7" fillId="0" borderId="103" xfId="0" applyFont="1" applyBorder="1" applyAlignment="1">
      <alignment vertical="center"/>
    </xf>
    <xf numFmtId="0" fontId="7" fillId="0" borderId="112" xfId="0" applyFont="1" applyBorder="1" applyAlignment="1">
      <alignment vertical="center"/>
    </xf>
    <xf numFmtId="0" fontId="41" fillId="0" borderId="16" xfId="0" applyFont="1" applyBorder="1" applyAlignment="1">
      <alignment vertical="center"/>
    </xf>
    <xf numFmtId="0" fontId="41" fillId="0" borderId="19" xfId="0" applyFont="1" applyBorder="1" applyAlignment="1">
      <alignment vertical="center"/>
    </xf>
    <xf numFmtId="0" fontId="7" fillId="0" borderId="9" xfId="0" applyFont="1" applyBorder="1" applyAlignment="1">
      <alignment vertical="center"/>
    </xf>
    <xf numFmtId="0" fontId="7" fillId="0" borderId="102" xfId="0" applyFont="1" applyBorder="1" applyAlignment="1">
      <alignment vertical="center"/>
    </xf>
    <xf numFmtId="0" fontId="7" fillId="0" borderId="109" xfId="0" applyFont="1" applyBorder="1" applyAlignment="1">
      <alignment vertical="center"/>
    </xf>
    <xf numFmtId="0" fontId="7" fillId="0" borderId="113" xfId="0" applyFont="1" applyBorder="1" applyAlignment="1">
      <alignment vertical="center"/>
    </xf>
    <xf numFmtId="0" fontId="41" fillId="0" borderId="10" xfId="0" applyFont="1" applyBorder="1" applyAlignment="1">
      <alignment vertical="center"/>
    </xf>
    <xf numFmtId="0" fontId="41" fillId="0" borderId="113" xfId="0" applyFont="1" applyBorder="1" applyAlignment="1">
      <alignment vertical="center"/>
    </xf>
    <xf numFmtId="0" fontId="41" fillId="0" borderId="105" xfId="0" applyFont="1" applyBorder="1" applyAlignment="1">
      <alignment vertical="center"/>
    </xf>
    <xf numFmtId="0" fontId="41" fillId="0" borderId="114" xfId="0" applyFont="1" applyBorder="1" applyAlignment="1">
      <alignment vertical="center"/>
    </xf>
    <xf numFmtId="0" fontId="7" fillId="0" borderId="105" xfId="0" applyFont="1" applyBorder="1" applyAlignment="1">
      <alignment vertical="center"/>
    </xf>
    <xf numFmtId="0" fontId="7" fillId="0" borderId="98" xfId="0" applyFont="1" applyBorder="1" applyAlignment="1">
      <alignment vertical="center"/>
    </xf>
    <xf numFmtId="0" fontId="7" fillId="0" borderId="115" xfId="0" applyFont="1" applyBorder="1" applyAlignment="1">
      <alignment vertical="center"/>
    </xf>
    <xf numFmtId="0" fontId="30" fillId="0" borderId="5" xfId="0" applyFont="1" applyBorder="1" applyAlignment="1">
      <alignment horizontal="center" vertical="center"/>
    </xf>
    <xf numFmtId="0" fontId="30" fillId="0" borderId="82" xfId="0" applyFont="1" applyBorder="1" applyAlignment="1">
      <alignment horizontal="center" vertical="center"/>
    </xf>
    <xf numFmtId="0" fontId="46" fillId="0" borderId="0" xfId="0" applyFont="1" applyFill="1" applyBorder="1" applyAlignment="1">
      <alignment horizontal="left" vertical="center"/>
    </xf>
    <xf numFmtId="0" fontId="46" fillId="0" borderId="0" xfId="0" applyFont="1" applyBorder="1" applyAlignment="1">
      <alignment horizontal="center" vertical="center"/>
    </xf>
    <xf numFmtId="0" fontId="46" fillId="0" borderId="0" xfId="0" applyFont="1" applyBorder="1" applyAlignment="1">
      <alignment vertical="center"/>
    </xf>
    <xf numFmtId="49" fontId="46" fillId="3" borderId="0" xfId="0" applyNumberFormat="1" applyFont="1" applyFill="1" applyBorder="1" applyAlignment="1">
      <alignment horizontal="center" vertical="center"/>
    </xf>
    <xf numFmtId="14" fontId="46" fillId="0" borderId="0" xfId="0" applyNumberFormat="1" applyFont="1" applyBorder="1" applyAlignment="1">
      <alignment horizontal="left" vertical="center"/>
    </xf>
    <xf numFmtId="0" fontId="46" fillId="0" borderId="0" xfId="0" applyFont="1" applyBorder="1" applyAlignment="1">
      <alignment horizontal="left" vertical="center"/>
    </xf>
    <xf numFmtId="0" fontId="46" fillId="0" borderId="0" xfId="0" applyFont="1" applyFill="1" applyBorder="1" applyAlignment="1">
      <alignment vertical="center"/>
    </xf>
    <xf numFmtId="14" fontId="46" fillId="0" borderId="0" xfId="0" applyNumberFormat="1" applyFont="1" applyFill="1" applyBorder="1" applyAlignment="1">
      <alignment horizontal="left" vertical="center"/>
    </xf>
    <xf numFmtId="0" fontId="46" fillId="0" borderId="0" xfId="0" applyFont="1" applyFill="1" applyBorder="1" applyAlignment="1">
      <alignment horizontal="center" vertical="center"/>
    </xf>
    <xf numFmtId="49" fontId="46" fillId="4" borderId="0" xfId="0" applyNumberFormat="1" applyFont="1" applyFill="1" applyBorder="1" applyAlignment="1">
      <alignment horizontal="center" vertical="center"/>
    </xf>
    <xf numFmtId="49" fontId="46" fillId="23" borderId="0" xfId="0" applyNumberFormat="1" applyFont="1" applyFill="1" applyBorder="1" applyAlignment="1">
      <alignment horizontal="center" vertical="center"/>
    </xf>
    <xf numFmtId="49" fontId="46" fillId="12" borderId="0" xfId="0" applyNumberFormat="1" applyFont="1" applyFill="1" applyBorder="1" applyAlignment="1">
      <alignment horizontal="center" vertical="center"/>
    </xf>
    <xf numFmtId="49" fontId="46" fillId="8" borderId="0" xfId="0" applyNumberFormat="1" applyFont="1" applyFill="1" applyBorder="1" applyAlignment="1">
      <alignment horizontal="center" vertical="center"/>
    </xf>
    <xf numFmtId="49" fontId="46" fillId="6" borderId="0" xfId="0" applyNumberFormat="1" applyFont="1" applyFill="1" applyBorder="1" applyAlignment="1">
      <alignment horizontal="center" vertical="center"/>
    </xf>
    <xf numFmtId="49" fontId="46" fillId="5" borderId="0" xfId="0" applyNumberFormat="1" applyFont="1" applyFill="1" applyBorder="1" applyAlignment="1">
      <alignment horizontal="center" vertical="center"/>
    </xf>
    <xf numFmtId="0" fontId="44" fillId="0" borderId="0" xfId="0" applyFont="1" applyFill="1" applyAlignment="1">
      <alignment horizontal="left" vertical="center"/>
    </xf>
    <xf numFmtId="0" fontId="44" fillId="0" borderId="0" xfId="0" applyFont="1" applyAlignment="1">
      <alignment vertical="center"/>
    </xf>
    <xf numFmtId="0" fontId="44" fillId="0" borderId="0" xfId="0" applyFont="1" applyAlignment="1">
      <alignment horizontal="center" vertical="center"/>
    </xf>
    <xf numFmtId="10" fontId="7" fillId="0" borderId="30" xfId="0" applyNumberFormat="1" applyFont="1" applyBorder="1" applyAlignment="1">
      <alignment horizontal="right" vertical="center"/>
    </xf>
    <xf numFmtId="10" fontId="7" fillId="0" borderId="1" xfId="0" applyNumberFormat="1" applyFont="1" applyBorder="1" applyAlignment="1">
      <alignment horizontal="right" vertical="center"/>
    </xf>
    <xf numFmtId="10" fontId="7" fillId="0" borderId="43" xfId="0" applyNumberFormat="1" applyFont="1" applyBorder="1" applyAlignment="1">
      <alignment horizontal="right" vertical="center"/>
    </xf>
    <xf numFmtId="180" fontId="1" fillId="0" borderId="30" xfId="0" applyNumberFormat="1" applyFont="1" applyBorder="1" applyAlignment="1">
      <alignment horizontal="right" vertical="center"/>
    </xf>
    <xf numFmtId="180" fontId="1" fillId="0" borderId="1" xfId="0" applyNumberFormat="1" applyFont="1" applyBorder="1" applyAlignment="1">
      <alignment horizontal="right" vertical="center"/>
    </xf>
    <xf numFmtId="180" fontId="1" fillId="0" borderId="15" xfId="0" applyNumberFormat="1" applyFont="1" applyBorder="1" applyAlignment="1">
      <alignment horizontal="right" vertical="center"/>
    </xf>
    <xf numFmtId="176" fontId="36" fillId="35" borderId="30" xfId="0" applyNumberFormat="1" applyFont="1" applyFill="1" applyBorder="1" applyAlignment="1">
      <alignment horizontal="right" vertical="center"/>
    </xf>
    <xf numFmtId="176" fontId="36" fillId="35" borderId="1" xfId="0" applyNumberFormat="1" applyFont="1" applyFill="1" applyBorder="1" applyAlignment="1">
      <alignment horizontal="right" vertical="center"/>
    </xf>
    <xf numFmtId="176" fontId="36" fillId="35" borderId="43" xfId="0" applyNumberFormat="1" applyFont="1" applyFill="1" applyBorder="1" applyAlignment="1">
      <alignment horizontal="right" vertical="center"/>
    </xf>
    <xf numFmtId="0" fontId="42" fillId="0" borderId="52" xfId="0" applyFont="1" applyBorder="1" applyAlignment="1">
      <alignment vertical="center"/>
    </xf>
    <xf numFmtId="0" fontId="42" fillId="0" borderId="36" xfId="0" applyFont="1" applyBorder="1" applyAlignment="1">
      <alignment vertical="center"/>
    </xf>
    <xf numFmtId="0" fontId="30" fillId="0" borderId="89" xfId="0" applyFont="1" applyBorder="1" applyAlignment="1">
      <alignment horizontal="center" vertical="center"/>
    </xf>
    <xf numFmtId="0" fontId="42" fillId="0" borderId="54" xfId="0" applyFont="1" applyBorder="1" applyAlignment="1">
      <alignment vertical="center"/>
    </xf>
    <xf numFmtId="0" fontId="42" fillId="0" borderId="26" xfId="0" applyFont="1" applyBorder="1" applyAlignment="1">
      <alignment vertical="center"/>
    </xf>
    <xf numFmtId="0" fontId="0" fillId="0" borderId="7" xfId="0" applyBorder="1" applyAlignment="1">
      <alignment vertical="center"/>
    </xf>
    <xf numFmtId="10" fontId="36" fillId="0" borderId="16" xfId="0" applyNumberFormat="1" applyFont="1" applyBorder="1" applyAlignment="1">
      <alignment vertical="center"/>
    </xf>
    <xf numFmtId="10" fontId="36" fillId="0" borderId="35" xfId="0" applyNumberFormat="1" applyFont="1" applyBorder="1" applyAlignment="1">
      <alignment vertical="center"/>
    </xf>
    <xf numFmtId="10" fontId="36" fillId="0" borderId="19" xfId="0" applyNumberFormat="1" applyFont="1" applyBorder="1" applyAlignment="1">
      <alignment vertical="center"/>
    </xf>
    <xf numFmtId="0" fontId="36" fillId="0" borderId="82" xfId="0" applyFont="1" applyBorder="1" applyAlignment="1">
      <alignment vertical="center"/>
    </xf>
    <xf numFmtId="0" fontId="30" fillId="0" borderId="54" xfId="0" applyFont="1" applyBorder="1" applyAlignment="1">
      <alignment horizontal="center" vertical="center"/>
    </xf>
    <xf numFmtId="0" fontId="33" fillId="21" borderId="53" xfId="0" applyFont="1" applyFill="1" applyBorder="1" applyAlignment="1">
      <alignment horizontal="center" vertical="center"/>
    </xf>
    <xf numFmtId="0" fontId="33" fillId="22" borderId="60" xfId="0" applyFont="1" applyFill="1" applyBorder="1" applyAlignment="1">
      <alignment horizontal="center" vertical="center"/>
    </xf>
    <xf numFmtId="0" fontId="33" fillId="23" borderId="60" xfId="0" applyFont="1" applyFill="1" applyBorder="1" applyAlignment="1">
      <alignment horizontal="center" vertical="center"/>
    </xf>
    <xf numFmtId="0" fontId="33" fillId="2" borderId="60" xfId="0" applyFont="1" applyFill="1" applyBorder="1" applyAlignment="1">
      <alignment horizontal="center" vertical="center"/>
    </xf>
    <xf numFmtId="0" fontId="33" fillId="24" borderId="60" xfId="0" applyFont="1" applyFill="1" applyBorder="1" applyAlignment="1">
      <alignment horizontal="center" vertical="center"/>
    </xf>
    <xf numFmtId="0" fontId="33" fillId="25" borderId="60" xfId="0" applyFont="1" applyFill="1" applyBorder="1" applyAlignment="1">
      <alignment horizontal="center" vertical="center"/>
    </xf>
    <xf numFmtId="0" fontId="33" fillId="26" borderId="60" xfId="0" applyFont="1" applyFill="1" applyBorder="1" applyAlignment="1">
      <alignment horizontal="center" vertical="center"/>
    </xf>
    <xf numFmtId="0" fontId="33" fillId="20" borderId="60" xfId="0" applyFont="1" applyFill="1" applyBorder="1" applyAlignment="1">
      <alignment horizontal="center" vertical="center"/>
    </xf>
    <xf numFmtId="0" fontId="33" fillId="28" borderId="60" xfId="0" applyFont="1" applyFill="1" applyBorder="1" applyAlignment="1">
      <alignment horizontal="center" vertical="center"/>
    </xf>
    <xf numFmtId="0" fontId="33" fillId="29" borderId="60" xfId="0" applyFont="1" applyFill="1" applyBorder="1" applyAlignment="1">
      <alignment horizontal="center" vertical="center"/>
    </xf>
    <xf numFmtId="0" fontId="33" fillId="31" borderId="60" xfId="0" applyFont="1" applyFill="1" applyBorder="1" applyAlignment="1">
      <alignment horizontal="center" vertical="center"/>
    </xf>
    <xf numFmtId="0" fontId="33" fillId="32" borderId="60" xfId="0" applyFont="1" applyFill="1" applyBorder="1" applyAlignment="1">
      <alignment horizontal="center" vertical="center"/>
    </xf>
    <xf numFmtId="0" fontId="33" fillId="30" borderId="60" xfId="0" applyFont="1" applyFill="1" applyBorder="1" applyAlignment="1">
      <alignment horizontal="center" vertical="center"/>
    </xf>
    <xf numFmtId="0" fontId="33" fillId="34" borderId="55" xfId="0" applyFont="1" applyFill="1" applyBorder="1" applyAlignment="1">
      <alignment horizontal="center" vertical="center"/>
    </xf>
    <xf numFmtId="0" fontId="30" fillId="0" borderId="90" xfId="0" applyFont="1" applyBorder="1" applyAlignment="1">
      <alignment vertical="center"/>
    </xf>
    <xf numFmtId="10" fontId="7" fillId="0" borderId="15" xfId="0" applyNumberFormat="1" applyFont="1" applyBorder="1" applyAlignment="1">
      <alignment horizontal="right" vertical="center"/>
    </xf>
    <xf numFmtId="0" fontId="1" fillId="0" borderId="7" xfId="0" applyFont="1" applyBorder="1" applyAlignment="1">
      <alignment horizontal="center" vertical="center"/>
    </xf>
    <xf numFmtId="0" fontId="1" fillId="0" borderId="27" xfId="0" applyFont="1" applyBorder="1" applyAlignment="1">
      <alignment horizontal="center" vertical="center"/>
    </xf>
    <xf numFmtId="0" fontId="2" fillId="0" borderId="28" xfId="0" applyFont="1" applyBorder="1" applyAlignment="1">
      <alignment vertical="center"/>
    </xf>
    <xf numFmtId="0" fontId="1" fillId="0" borderId="34" xfId="0" applyFont="1" applyBorder="1" applyAlignment="1">
      <alignment horizontal="center" vertical="center"/>
    </xf>
    <xf numFmtId="180" fontId="1" fillId="0" borderId="43" xfId="0" applyNumberFormat="1" applyFont="1" applyBorder="1" applyAlignment="1">
      <alignment horizontal="right" vertical="center"/>
    </xf>
    <xf numFmtId="0" fontId="2" fillId="0" borderId="28" xfId="0" applyFont="1" applyFill="1" applyBorder="1" applyAlignment="1">
      <alignment vertical="center"/>
    </xf>
    <xf numFmtId="0" fontId="2" fillId="0" borderId="41" xfId="0" applyFont="1" applyFill="1" applyBorder="1" applyAlignment="1">
      <alignment vertical="center"/>
    </xf>
    <xf numFmtId="0" fontId="2" fillId="0" borderId="35" xfId="0" applyFont="1" applyFill="1" applyBorder="1" applyAlignment="1">
      <alignment vertical="center"/>
    </xf>
    <xf numFmtId="0" fontId="2" fillId="0" borderId="35" xfId="0" applyFont="1" applyFill="1" applyBorder="1" applyAlignment="1">
      <alignment horizontal="left" vertical="center"/>
    </xf>
    <xf numFmtId="0" fontId="1" fillId="0" borderId="0" xfId="0" applyFont="1" applyBorder="1" applyAlignment="1">
      <alignment horizontal="center" vertical="center"/>
    </xf>
    <xf numFmtId="0" fontId="1" fillId="0" borderId="0" xfId="0" applyFont="1" applyFill="1" applyBorder="1" applyAlignment="1">
      <alignment horizontal="center" vertical="center"/>
    </xf>
    <xf numFmtId="0" fontId="1" fillId="0" borderId="0" xfId="0" applyFont="1" applyBorder="1" applyAlignment="1">
      <alignment vertical="center"/>
    </xf>
    <xf numFmtId="0" fontId="1" fillId="0" borderId="0" xfId="0" applyFont="1" applyBorder="1" applyAlignment="1">
      <alignment horizontal="left" vertical="center"/>
    </xf>
    <xf numFmtId="0" fontId="8" fillId="0" borderId="0" xfId="0" applyFont="1" applyBorder="1" applyAlignment="1">
      <alignment horizontal="center" vertical="center"/>
    </xf>
    <xf numFmtId="0" fontId="7" fillId="0" borderId="0" xfId="0" applyFont="1" applyBorder="1" applyAlignment="1">
      <alignment horizontal="center" vertical="center"/>
    </xf>
    <xf numFmtId="0" fontId="1" fillId="21" borderId="1" xfId="0" applyFont="1" applyFill="1" applyBorder="1" applyAlignment="1">
      <alignment vertical="center"/>
    </xf>
    <xf numFmtId="0" fontId="1" fillId="22" borderId="1" xfId="0" applyFont="1" applyFill="1" applyBorder="1" applyAlignment="1">
      <alignment horizontal="left" vertical="center"/>
    </xf>
    <xf numFmtId="0" fontId="1" fillId="23" borderId="1" xfId="0" applyFont="1" applyFill="1" applyBorder="1" applyAlignment="1">
      <alignment horizontal="left" vertical="center"/>
    </xf>
    <xf numFmtId="0" fontId="1" fillId="2" borderId="1" xfId="0" applyFont="1" applyFill="1" applyBorder="1" applyAlignment="1">
      <alignment horizontal="left" vertical="center"/>
    </xf>
    <xf numFmtId="0" fontId="1" fillId="24" borderId="1" xfId="0" applyFont="1" applyFill="1" applyBorder="1" applyAlignment="1">
      <alignment horizontal="left" vertical="center"/>
    </xf>
    <xf numFmtId="0" fontId="1" fillId="25" borderId="1" xfId="0" applyFont="1" applyFill="1" applyBorder="1" applyAlignment="1">
      <alignment horizontal="left" vertical="center"/>
    </xf>
    <xf numFmtId="0" fontId="1" fillId="26" borderId="1" xfId="0" applyFont="1" applyFill="1" applyBorder="1" applyAlignment="1">
      <alignment horizontal="left" vertical="center"/>
    </xf>
    <xf numFmtId="0" fontId="1" fillId="29" borderId="1" xfId="0" applyFont="1" applyFill="1" applyBorder="1" applyAlignment="1">
      <alignment horizontal="left" vertical="center"/>
    </xf>
    <xf numFmtId="0" fontId="1" fillId="30" borderId="1" xfId="0" applyFont="1" applyFill="1" applyBorder="1" applyAlignment="1">
      <alignment horizontal="left" vertical="center"/>
    </xf>
    <xf numFmtId="0" fontId="1" fillId="21" borderId="1" xfId="0" applyFont="1" applyFill="1" applyBorder="1" applyAlignment="1">
      <alignment horizontal="left" vertical="center"/>
    </xf>
    <xf numFmtId="0" fontId="1" fillId="20" borderId="1" xfId="0" applyFont="1" applyFill="1" applyBorder="1" applyAlignment="1">
      <alignment horizontal="left" vertical="center"/>
    </xf>
    <xf numFmtId="0" fontId="1" fillId="36" borderId="1" xfId="0" applyFont="1" applyFill="1" applyBorder="1" applyAlignment="1">
      <alignment vertical="center"/>
    </xf>
    <xf numFmtId="0" fontId="1" fillId="36" borderId="1" xfId="0" applyFont="1" applyFill="1" applyBorder="1" applyAlignment="1">
      <alignment horizontal="left" vertical="center"/>
    </xf>
    <xf numFmtId="180" fontId="1" fillId="0" borderId="1" xfId="0" applyNumberFormat="1" applyFont="1" applyFill="1" applyBorder="1" applyAlignment="1">
      <alignment horizontal="center" vertical="center"/>
    </xf>
    <xf numFmtId="0" fontId="1" fillId="21" borderId="30" xfId="0" applyFont="1" applyFill="1" applyBorder="1" applyAlignment="1">
      <alignment vertical="center"/>
    </xf>
    <xf numFmtId="0" fontId="1" fillId="36" borderId="30" xfId="0" applyFont="1" applyFill="1" applyBorder="1" applyAlignment="1">
      <alignment vertical="center"/>
    </xf>
    <xf numFmtId="180" fontId="1" fillId="0" borderId="30" xfId="0" applyNumberFormat="1" applyFont="1" applyFill="1" applyBorder="1" applyAlignment="1">
      <alignment horizontal="center" vertical="center"/>
    </xf>
    <xf numFmtId="0" fontId="1" fillId="21" borderId="43" xfId="0" applyFont="1" applyFill="1" applyBorder="1" applyAlignment="1">
      <alignment vertical="center"/>
    </xf>
    <xf numFmtId="0" fontId="1" fillId="36" borderId="43" xfId="0" applyFont="1" applyFill="1" applyBorder="1" applyAlignment="1">
      <alignment vertical="center"/>
    </xf>
    <xf numFmtId="180" fontId="1" fillId="0" borderId="43" xfId="0" applyNumberFormat="1" applyFont="1" applyFill="1" applyBorder="1" applyAlignment="1">
      <alignment horizontal="center" vertical="center"/>
    </xf>
    <xf numFmtId="0" fontId="1" fillId="22" borderId="30" xfId="0" applyFont="1" applyFill="1" applyBorder="1" applyAlignment="1">
      <alignment horizontal="left" vertical="center"/>
    </xf>
    <xf numFmtId="0" fontId="1" fillId="36" borderId="30" xfId="0" applyFont="1" applyFill="1" applyBorder="1" applyAlignment="1">
      <alignment horizontal="left" vertical="center"/>
    </xf>
    <xf numFmtId="0" fontId="1" fillId="22" borderId="43" xfId="0" applyFont="1" applyFill="1" applyBorder="1" applyAlignment="1">
      <alignment horizontal="left" vertical="center"/>
    </xf>
    <xf numFmtId="0" fontId="1" fillId="36" borderId="43" xfId="0" applyFont="1" applyFill="1" applyBorder="1" applyAlignment="1">
      <alignment horizontal="left" vertical="center"/>
    </xf>
    <xf numFmtId="0" fontId="1" fillId="23" borderId="6" xfId="0" applyFont="1" applyFill="1" applyBorder="1" applyAlignment="1">
      <alignment horizontal="left" vertical="center"/>
    </xf>
    <xf numFmtId="0" fontId="1" fillId="36" borderId="6" xfId="0" applyFont="1" applyFill="1" applyBorder="1" applyAlignment="1">
      <alignment horizontal="left" vertical="center"/>
    </xf>
    <xf numFmtId="180" fontId="1" fillId="0" borderId="6" xfId="0" applyNumberFormat="1" applyFont="1" applyFill="1" applyBorder="1" applyAlignment="1">
      <alignment horizontal="center" vertical="center"/>
    </xf>
    <xf numFmtId="0" fontId="42" fillId="23" borderId="6" xfId="0" applyFont="1" applyFill="1" applyBorder="1" applyAlignment="1">
      <alignment horizontal="center" vertical="center"/>
    </xf>
    <xf numFmtId="10" fontId="37" fillId="0" borderId="7" xfId="0" applyNumberFormat="1" applyFont="1" applyBorder="1" applyAlignment="1">
      <alignment horizontal="right" vertical="center"/>
    </xf>
    <xf numFmtId="0" fontId="1" fillId="2" borderId="30" xfId="0" applyFont="1" applyFill="1" applyBorder="1" applyAlignment="1">
      <alignment horizontal="left" vertical="center"/>
    </xf>
    <xf numFmtId="0" fontId="1" fillId="2" borderId="43" xfId="0" applyFont="1" applyFill="1" applyBorder="1" applyAlignment="1">
      <alignment horizontal="left" vertical="center"/>
    </xf>
    <xf numFmtId="0" fontId="1" fillId="24" borderId="30" xfId="0" applyFont="1" applyFill="1" applyBorder="1" applyAlignment="1">
      <alignment horizontal="left" vertical="center"/>
    </xf>
    <xf numFmtId="0" fontId="1" fillId="24" borderId="43" xfId="0" applyFont="1" applyFill="1" applyBorder="1" applyAlignment="1">
      <alignment horizontal="left" vertical="center"/>
    </xf>
    <xf numFmtId="0" fontId="1" fillId="25" borderId="30" xfId="0" applyFont="1" applyFill="1" applyBorder="1" applyAlignment="1">
      <alignment horizontal="left" vertical="center"/>
    </xf>
    <xf numFmtId="0" fontId="1" fillId="25" borderId="43" xfId="0" applyFont="1" applyFill="1" applyBorder="1" applyAlignment="1">
      <alignment horizontal="left" vertical="center"/>
    </xf>
    <xf numFmtId="0" fontId="1" fillId="26" borderId="30" xfId="0" applyFont="1" applyFill="1" applyBorder="1" applyAlignment="1">
      <alignment horizontal="left" vertical="center"/>
    </xf>
    <xf numFmtId="0" fontId="1" fillId="26" borderId="43" xfId="0" applyFont="1" applyFill="1" applyBorder="1" applyAlignment="1">
      <alignment horizontal="left" vertical="center"/>
    </xf>
    <xf numFmtId="0" fontId="1" fillId="27" borderId="6" xfId="0" applyFont="1" applyFill="1" applyBorder="1" applyAlignment="1">
      <alignment horizontal="left" vertical="center"/>
    </xf>
    <xf numFmtId="0" fontId="42" fillId="20" borderId="6" xfId="0" applyFont="1" applyFill="1" applyBorder="1" applyAlignment="1">
      <alignment horizontal="center" vertical="center"/>
    </xf>
    <xf numFmtId="0" fontId="1" fillId="29" borderId="30" xfId="0" applyFont="1" applyFill="1" applyBorder="1" applyAlignment="1">
      <alignment horizontal="left" vertical="center"/>
    </xf>
    <xf numFmtId="0" fontId="1" fillId="29" borderId="43" xfId="0" applyFont="1" applyFill="1" applyBorder="1" applyAlignment="1">
      <alignment horizontal="left" vertical="center"/>
    </xf>
    <xf numFmtId="0" fontId="1" fillId="30" borderId="30" xfId="0" applyFont="1" applyFill="1" applyBorder="1" applyAlignment="1">
      <alignment horizontal="left" vertical="center"/>
    </xf>
    <xf numFmtId="0" fontId="1" fillId="30" borderId="43" xfId="0" applyFont="1" applyFill="1" applyBorder="1" applyAlignment="1">
      <alignment horizontal="left" vertical="center"/>
    </xf>
    <xf numFmtId="0" fontId="1" fillId="21" borderId="30" xfId="0" applyFont="1" applyFill="1" applyBorder="1" applyAlignment="1">
      <alignment horizontal="left" vertical="center"/>
    </xf>
    <xf numFmtId="0" fontId="1" fillId="21" borderId="43" xfId="0" applyFont="1" applyFill="1" applyBorder="1" applyAlignment="1">
      <alignment horizontal="left" vertical="center"/>
    </xf>
    <xf numFmtId="0" fontId="1" fillId="23" borderId="30" xfId="0" applyFont="1" applyFill="1" applyBorder="1" applyAlignment="1">
      <alignment horizontal="left" vertical="center"/>
    </xf>
    <xf numFmtId="0" fontId="1" fillId="23" borderId="43" xfId="0" applyFont="1" applyFill="1" applyBorder="1" applyAlignment="1">
      <alignment horizontal="left" vertical="center"/>
    </xf>
    <xf numFmtId="0" fontId="1" fillId="20" borderId="30" xfId="0" applyFont="1" applyFill="1" applyBorder="1" applyAlignment="1">
      <alignment horizontal="left" vertical="center"/>
    </xf>
    <xf numFmtId="0" fontId="1" fillId="20" borderId="43" xfId="0" applyFont="1" applyFill="1" applyBorder="1" applyAlignment="1">
      <alignment horizontal="left" vertical="center"/>
    </xf>
    <xf numFmtId="0" fontId="1" fillId="31" borderId="6" xfId="0" applyFont="1" applyFill="1" applyBorder="1" applyAlignment="1">
      <alignment horizontal="left" vertical="center"/>
    </xf>
    <xf numFmtId="0" fontId="42" fillId="31" borderId="6" xfId="0" applyFont="1" applyFill="1" applyBorder="1" applyAlignment="1">
      <alignment horizontal="center" vertical="center"/>
    </xf>
    <xf numFmtId="0" fontId="1" fillId="20" borderId="6" xfId="0" applyFont="1" applyFill="1" applyBorder="1" applyAlignment="1">
      <alignment horizontal="left" vertical="center"/>
    </xf>
    <xf numFmtId="0" fontId="1" fillId="33" borderId="30" xfId="0" applyFont="1" applyFill="1" applyBorder="1" applyAlignment="1">
      <alignment horizontal="left" vertical="center"/>
    </xf>
    <xf numFmtId="0" fontId="1" fillId="33" borderId="43" xfId="0" applyFont="1" applyFill="1" applyBorder="1" applyAlignment="1">
      <alignment horizontal="left" vertical="center"/>
    </xf>
    <xf numFmtId="0" fontId="1" fillId="24" borderId="14" xfId="0" applyFont="1" applyFill="1" applyBorder="1" applyAlignment="1">
      <alignment horizontal="left" vertical="center"/>
    </xf>
    <xf numFmtId="0" fontId="1" fillId="24" borderId="23" xfId="0" applyFont="1" applyFill="1" applyBorder="1" applyAlignment="1">
      <alignment horizontal="left" vertical="center"/>
    </xf>
    <xf numFmtId="0" fontId="1" fillId="25" borderId="6" xfId="0" applyFont="1" applyFill="1" applyBorder="1" applyAlignment="1">
      <alignment horizontal="left" vertical="center"/>
    </xf>
    <xf numFmtId="0" fontId="42" fillId="25" borderId="6" xfId="0" applyFont="1" applyFill="1" applyBorder="1" applyAlignment="1">
      <alignment horizontal="center" vertical="center"/>
    </xf>
    <xf numFmtId="0" fontId="1" fillId="28" borderId="6" xfId="0" applyFont="1" applyFill="1" applyBorder="1" applyAlignment="1">
      <alignment horizontal="left" vertical="center"/>
    </xf>
    <xf numFmtId="0" fontId="42" fillId="28" borderId="6" xfId="0" applyFont="1" applyFill="1" applyBorder="1" applyAlignment="1">
      <alignment horizontal="center" vertical="center"/>
    </xf>
    <xf numFmtId="0" fontId="30" fillId="0" borderId="23" xfId="0" applyFont="1" applyBorder="1" applyAlignment="1">
      <alignment horizontal="center" vertical="center"/>
    </xf>
    <xf numFmtId="0" fontId="36" fillId="0" borderId="87" xfId="0" applyFont="1" applyBorder="1" applyAlignment="1">
      <alignment vertical="center"/>
    </xf>
    <xf numFmtId="0" fontId="1" fillId="0" borderId="7" xfId="0" applyFont="1" applyBorder="1" applyAlignment="1">
      <alignment vertical="center"/>
    </xf>
    <xf numFmtId="10" fontId="36" fillId="0" borderId="16" xfId="0" applyNumberFormat="1" applyFont="1" applyBorder="1" applyAlignment="1">
      <alignment horizontal="right" vertical="center"/>
    </xf>
    <xf numFmtId="10" fontId="36" fillId="0" borderId="35" xfId="0" applyNumberFormat="1" applyFont="1" applyBorder="1" applyAlignment="1">
      <alignment horizontal="right" vertical="center"/>
    </xf>
    <xf numFmtId="10" fontId="36" fillId="0" borderId="19" xfId="0" applyNumberFormat="1" applyFont="1" applyBorder="1" applyAlignment="1">
      <alignment horizontal="right" vertical="center"/>
    </xf>
    <xf numFmtId="0" fontId="35" fillId="0" borderId="52" xfId="0" applyFont="1" applyBorder="1" applyAlignment="1">
      <alignment horizontal="right" vertical="center"/>
    </xf>
    <xf numFmtId="0" fontId="35" fillId="0" borderId="54" xfId="0" applyFont="1" applyBorder="1" applyAlignment="1">
      <alignment horizontal="right" vertical="center"/>
    </xf>
    <xf numFmtId="0" fontId="48" fillId="0" borderId="26" xfId="0" applyFont="1" applyBorder="1" applyAlignment="1">
      <alignment horizontal="right" vertical="center"/>
    </xf>
    <xf numFmtId="0" fontId="35" fillId="0" borderId="36" xfId="0" applyFont="1" applyBorder="1" applyAlignment="1">
      <alignment horizontal="right" vertical="center"/>
    </xf>
    <xf numFmtId="0" fontId="35" fillId="0" borderId="42" xfId="0" applyFont="1" applyBorder="1" applyAlignment="1">
      <alignment horizontal="right" vertical="center"/>
    </xf>
    <xf numFmtId="0" fontId="49" fillId="0" borderId="83" xfId="0" applyFont="1" applyBorder="1" applyAlignment="1">
      <alignment horizontal="center" vertical="center"/>
    </xf>
    <xf numFmtId="0" fontId="35" fillId="0" borderId="103" xfId="0" applyFont="1" applyBorder="1" applyAlignment="1">
      <alignment horizontal="right" vertical="center"/>
    </xf>
    <xf numFmtId="0" fontId="35" fillId="0" borderId="112" xfId="0" applyFont="1" applyBorder="1" applyAlignment="1">
      <alignment horizontal="right" vertical="center"/>
    </xf>
    <xf numFmtId="0" fontId="48" fillId="0" borderId="47" xfId="0" applyFont="1" applyBorder="1" applyAlignment="1">
      <alignment horizontal="right" vertical="center"/>
    </xf>
    <xf numFmtId="0" fontId="35" fillId="0" borderId="37" xfId="0" applyFont="1" applyBorder="1" applyAlignment="1">
      <alignment horizontal="right" vertical="center"/>
    </xf>
    <xf numFmtId="0" fontId="35" fillId="0" borderId="44" xfId="0" applyFont="1" applyBorder="1" applyAlignment="1">
      <alignment horizontal="right" vertical="center"/>
    </xf>
    <xf numFmtId="0" fontId="48" fillId="0" borderId="85" xfId="0" applyFont="1" applyBorder="1" applyAlignment="1">
      <alignment horizontal="right" vertical="center"/>
    </xf>
    <xf numFmtId="0" fontId="48" fillId="0" borderId="86" xfId="0" applyFont="1" applyBorder="1" applyAlignment="1">
      <alignment horizontal="right" vertical="center"/>
    </xf>
    <xf numFmtId="0" fontId="48" fillId="0" borderId="82" xfId="0" applyFont="1" applyBorder="1" applyAlignment="1">
      <alignment horizontal="right" vertical="center"/>
    </xf>
    <xf numFmtId="0" fontId="48" fillId="0" borderId="39" xfId="0" applyFont="1" applyBorder="1" applyAlignment="1">
      <alignment horizontal="right" vertical="center"/>
    </xf>
    <xf numFmtId="0" fontId="48" fillId="0" borderId="46" xfId="0" applyFont="1" applyBorder="1" applyAlignment="1">
      <alignment horizontal="right" vertical="center"/>
    </xf>
    <xf numFmtId="0" fontId="48" fillId="0" borderId="83" xfId="0" applyFont="1" applyBorder="1" applyAlignment="1">
      <alignment horizontal="right" vertical="center"/>
    </xf>
    <xf numFmtId="0" fontId="47" fillId="21" borderId="53" xfId="0" applyFont="1" applyFill="1" applyBorder="1" applyAlignment="1">
      <alignment horizontal="right" vertical="center"/>
    </xf>
    <xf numFmtId="0" fontId="32" fillId="28" borderId="55" xfId="0" applyFont="1" applyFill="1" applyBorder="1" applyAlignment="1">
      <alignment horizontal="center" vertical="center"/>
    </xf>
    <xf numFmtId="0" fontId="47" fillId="28" borderId="55" xfId="0" applyFont="1" applyFill="1" applyBorder="1" applyAlignment="1">
      <alignment horizontal="right" vertical="center"/>
    </xf>
    <xf numFmtId="0" fontId="32" fillId="34" borderId="53" xfId="0" applyFont="1" applyFill="1" applyBorder="1" applyAlignment="1">
      <alignment horizontal="center" vertical="center"/>
    </xf>
    <xf numFmtId="0" fontId="47" fillId="34" borderId="53" xfId="0" applyFont="1" applyFill="1" applyBorder="1" applyAlignment="1">
      <alignment horizontal="right" vertical="center"/>
    </xf>
    <xf numFmtId="0" fontId="47" fillId="30" borderId="60" xfId="0" applyFont="1" applyFill="1" applyBorder="1" applyAlignment="1">
      <alignment horizontal="right" vertical="center"/>
    </xf>
    <xf numFmtId="0" fontId="47" fillId="32" borderId="60" xfId="0" applyFont="1" applyFill="1" applyBorder="1" applyAlignment="1">
      <alignment horizontal="right" vertical="center"/>
    </xf>
    <xf numFmtId="0" fontId="47" fillId="31" borderId="60" xfId="0" applyFont="1" applyFill="1" applyBorder="1" applyAlignment="1">
      <alignment horizontal="right" vertical="center"/>
    </xf>
    <xf numFmtId="0" fontId="47" fillId="29" borderId="60" xfId="0" applyFont="1" applyFill="1" applyBorder="1" applyAlignment="1">
      <alignment horizontal="right" vertical="center"/>
    </xf>
    <xf numFmtId="0" fontId="47" fillId="20" borderId="60" xfId="0" applyFont="1" applyFill="1" applyBorder="1" applyAlignment="1">
      <alignment horizontal="right" vertical="center"/>
    </xf>
    <xf numFmtId="0" fontId="47" fillId="26" borderId="60" xfId="0" applyFont="1" applyFill="1" applyBorder="1" applyAlignment="1">
      <alignment horizontal="right" vertical="center"/>
    </xf>
    <xf numFmtId="0" fontId="47" fillId="25" borderId="60" xfId="0" applyFont="1" applyFill="1" applyBorder="1" applyAlignment="1">
      <alignment horizontal="right" vertical="center"/>
    </xf>
    <xf numFmtId="0" fontId="47" fillId="24" borderId="60" xfId="0" applyFont="1" applyFill="1" applyBorder="1" applyAlignment="1">
      <alignment horizontal="right" vertical="center"/>
    </xf>
    <xf numFmtId="0" fontId="47" fillId="23" borderId="60" xfId="0" applyFont="1" applyFill="1" applyBorder="1" applyAlignment="1">
      <alignment horizontal="right" vertical="center"/>
    </xf>
    <xf numFmtId="0" fontId="47" fillId="2" borderId="60" xfId="0" applyFont="1" applyFill="1" applyBorder="1" applyAlignment="1">
      <alignment horizontal="right" vertical="center"/>
    </xf>
    <xf numFmtId="0" fontId="32" fillId="22" borderId="89" xfId="0" applyFont="1" applyFill="1" applyBorder="1" applyAlignment="1">
      <alignment horizontal="center" vertical="center"/>
    </xf>
    <xf numFmtId="0" fontId="47" fillId="22" borderId="89" xfId="0" applyFont="1" applyFill="1" applyBorder="1" applyAlignment="1">
      <alignment horizontal="right" vertical="center"/>
    </xf>
    <xf numFmtId="176" fontId="36" fillId="35" borderId="6" xfId="0" applyNumberFormat="1" applyFont="1" applyFill="1" applyBorder="1" applyAlignment="1">
      <alignment horizontal="right" vertical="center"/>
    </xf>
    <xf numFmtId="176" fontId="36" fillId="37" borderId="6" xfId="0" applyNumberFormat="1" applyFont="1" applyFill="1" applyBorder="1" applyAlignment="1">
      <alignment horizontal="right" vertical="center"/>
    </xf>
    <xf numFmtId="0" fontId="44" fillId="0" borderId="60" xfId="0" applyFont="1" applyBorder="1" applyAlignment="1">
      <alignment horizontal="center" vertical="center"/>
    </xf>
    <xf numFmtId="0" fontId="44" fillId="0" borderId="89" xfId="0" applyFont="1" applyBorder="1" applyAlignment="1">
      <alignment horizontal="center" vertical="center"/>
    </xf>
    <xf numFmtId="0" fontId="44" fillId="0" borderId="53" xfId="0" applyFont="1" applyBorder="1" applyAlignment="1">
      <alignment horizontal="center" vertical="center"/>
    </xf>
    <xf numFmtId="0" fontId="44" fillId="0" borderId="92" xfId="0" applyFont="1" applyBorder="1" applyAlignment="1">
      <alignment horizontal="center" vertical="center"/>
    </xf>
    <xf numFmtId="0" fontId="44" fillId="0" borderId="52" xfId="0" applyFont="1" applyBorder="1" applyAlignment="1">
      <alignment horizontal="center" vertical="center"/>
    </xf>
    <xf numFmtId="0" fontId="44" fillId="0" borderId="103" xfId="0" applyFont="1" applyBorder="1" applyAlignment="1">
      <alignment horizontal="center" vertical="center"/>
    </xf>
    <xf numFmtId="0" fontId="44" fillId="0" borderId="85" xfId="0" applyFont="1" applyBorder="1" applyAlignment="1">
      <alignment horizontal="center" vertical="center"/>
    </xf>
    <xf numFmtId="0" fontId="44" fillId="0" borderId="83" xfId="0" applyFont="1" applyBorder="1" applyAlignment="1">
      <alignment horizontal="center" vertical="center"/>
    </xf>
    <xf numFmtId="0" fontId="28" fillId="0" borderId="109" xfId="0" applyFont="1" applyBorder="1" applyAlignment="1">
      <alignment horizontal="center" vertical="center"/>
    </xf>
    <xf numFmtId="0" fontId="28" fillId="0" borderId="0" xfId="0" applyFont="1" applyBorder="1" applyAlignment="1">
      <alignment horizontal="center" vertical="center"/>
    </xf>
    <xf numFmtId="0" fontId="32" fillId="34" borderId="97" xfId="0" applyFont="1" applyFill="1" applyBorder="1" applyAlignment="1">
      <alignment horizontal="center" vertical="center"/>
    </xf>
    <xf numFmtId="0" fontId="32" fillId="34" borderId="0" xfId="0" applyFont="1" applyFill="1" applyBorder="1" applyAlignment="1">
      <alignment horizontal="center" vertical="center"/>
    </xf>
    <xf numFmtId="0" fontId="32" fillId="34" borderId="84" xfId="0" applyFont="1" applyFill="1" applyBorder="1" applyAlignment="1">
      <alignment horizontal="center" vertical="center"/>
    </xf>
    <xf numFmtId="0" fontId="28" fillId="0" borderId="44" xfId="0" applyFont="1" applyBorder="1" applyAlignment="1">
      <alignment horizontal="center" vertical="center"/>
    </xf>
    <xf numFmtId="0" fontId="28" fillId="0" borderId="66" xfId="0" applyFont="1" applyBorder="1" applyAlignment="1">
      <alignment horizontal="center" vertical="center"/>
    </xf>
    <xf numFmtId="0" fontId="32" fillId="0" borderId="45" xfId="0" applyFont="1" applyBorder="1" applyAlignment="1">
      <alignment horizontal="center" vertical="center"/>
    </xf>
    <xf numFmtId="0" fontId="32" fillId="0" borderId="66" xfId="0" applyFont="1" applyBorder="1" applyAlignment="1">
      <alignment horizontal="center" vertical="center"/>
    </xf>
    <xf numFmtId="0" fontId="32" fillId="0" borderId="46" xfId="0" applyFont="1" applyBorder="1" applyAlignment="1">
      <alignment horizontal="center" vertical="center"/>
    </xf>
    <xf numFmtId="0" fontId="28" fillId="0" borderId="103" xfId="0" applyFont="1" applyBorder="1" applyAlignment="1">
      <alignment horizontal="center" vertical="center"/>
    </xf>
    <xf numFmtId="0" fontId="28" fillId="0" borderId="92" xfId="0" applyFont="1" applyBorder="1" applyAlignment="1">
      <alignment horizontal="center" vertical="center"/>
    </xf>
    <xf numFmtId="0" fontId="32" fillId="31" borderId="91" xfId="0" applyFont="1" applyFill="1" applyBorder="1" applyAlignment="1">
      <alignment horizontal="center" vertical="center"/>
    </xf>
    <xf numFmtId="0" fontId="32" fillId="31" borderId="92" xfId="0" applyFont="1" applyFill="1" applyBorder="1" applyAlignment="1">
      <alignment horizontal="center" vertical="center"/>
    </xf>
    <xf numFmtId="0" fontId="32" fillId="31" borderId="85" xfId="0" applyFont="1" applyFill="1" applyBorder="1" applyAlignment="1">
      <alignment horizontal="center" vertical="center"/>
    </xf>
    <xf numFmtId="0" fontId="32" fillId="32" borderId="91" xfId="0" applyFont="1" applyFill="1" applyBorder="1" applyAlignment="1">
      <alignment horizontal="center" vertical="center"/>
    </xf>
    <xf numFmtId="0" fontId="32" fillId="32" borderId="92" xfId="0" applyFont="1" applyFill="1" applyBorder="1" applyAlignment="1">
      <alignment horizontal="center" vertical="center"/>
    </xf>
    <xf numFmtId="0" fontId="32" fillId="32" borderId="85" xfId="0" applyFont="1" applyFill="1" applyBorder="1" applyAlignment="1">
      <alignment horizontal="center" vertical="center"/>
    </xf>
    <xf numFmtId="0" fontId="32" fillId="30" borderId="91" xfId="0" applyFont="1" applyFill="1" applyBorder="1" applyAlignment="1">
      <alignment horizontal="center" vertical="center"/>
    </xf>
    <xf numFmtId="0" fontId="32" fillId="30" borderId="92" xfId="0" applyFont="1" applyFill="1" applyBorder="1" applyAlignment="1">
      <alignment horizontal="center" vertical="center"/>
    </xf>
    <xf numFmtId="0" fontId="32" fillId="30" borderId="85" xfId="0" applyFont="1" applyFill="1" applyBorder="1" applyAlignment="1">
      <alignment horizontal="center" vertical="center"/>
    </xf>
    <xf numFmtId="0" fontId="32" fillId="20" borderId="91" xfId="0" applyFont="1" applyFill="1" applyBorder="1" applyAlignment="1">
      <alignment horizontal="center" vertical="center"/>
    </xf>
    <xf numFmtId="0" fontId="32" fillId="20" borderId="92" xfId="0" applyFont="1" applyFill="1" applyBorder="1" applyAlignment="1">
      <alignment horizontal="center" vertical="center"/>
    </xf>
    <xf numFmtId="0" fontId="32" fillId="20" borderId="85" xfId="0" applyFont="1" applyFill="1" applyBorder="1" applyAlignment="1">
      <alignment horizontal="center" vertical="center"/>
    </xf>
    <xf numFmtId="0" fontId="32" fillId="28" borderId="91" xfId="0" applyFont="1" applyFill="1" applyBorder="1" applyAlignment="1">
      <alignment horizontal="center" vertical="center"/>
    </xf>
    <xf numFmtId="0" fontId="32" fillId="28" borderId="92" xfId="0" applyFont="1" applyFill="1" applyBorder="1" applyAlignment="1">
      <alignment horizontal="center" vertical="center"/>
    </xf>
    <xf numFmtId="0" fontId="32" fillId="28" borderId="85" xfId="0" applyFont="1" applyFill="1" applyBorder="1" applyAlignment="1">
      <alignment horizontal="center" vertical="center"/>
    </xf>
    <xf numFmtId="0" fontId="32" fillId="29" borderId="91" xfId="0" applyFont="1" applyFill="1" applyBorder="1" applyAlignment="1">
      <alignment horizontal="center" vertical="center"/>
    </xf>
    <xf numFmtId="0" fontId="32" fillId="29" borderId="92" xfId="0" applyFont="1" applyFill="1" applyBorder="1" applyAlignment="1">
      <alignment horizontal="center" vertical="center"/>
    </xf>
    <xf numFmtId="0" fontId="32" fillId="29" borderId="85" xfId="0" applyFont="1" applyFill="1" applyBorder="1" applyAlignment="1">
      <alignment horizontal="center" vertical="center"/>
    </xf>
    <xf numFmtId="0" fontId="28" fillId="0" borderId="42" xfId="0" applyFont="1" applyBorder="1" applyAlignment="1">
      <alignment horizontal="center" vertical="center"/>
    </xf>
    <xf numFmtId="0" fontId="32" fillId="21" borderId="91" xfId="0" applyFont="1" applyFill="1" applyBorder="1" applyAlignment="1">
      <alignment horizontal="center" vertical="center"/>
    </xf>
    <xf numFmtId="0" fontId="32" fillId="21" borderId="92" xfId="0" applyFont="1" applyFill="1" applyBorder="1" applyAlignment="1">
      <alignment horizontal="center" vertical="center"/>
    </xf>
    <xf numFmtId="0" fontId="32" fillId="21" borderId="85" xfId="0" applyFont="1" applyFill="1" applyBorder="1" applyAlignment="1">
      <alignment horizontal="center" vertical="center"/>
    </xf>
    <xf numFmtId="0" fontId="32" fillId="22" borderId="91" xfId="0" applyFont="1" applyFill="1" applyBorder="1" applyAlignment="1">
      <alignment horizontal="center" vertical="center"/>
    </xf>
    <xf numFmtId="0" fontId="32" fillId="22" borderId="92" xfId="0" applyFont="1" applyFill="1" applyBorder="1" applyAlignment="1">
      <alignment horizontal="center" vertical="center"/>
    </xf>
    <xf numFmtId="0" fontId="32" fillId="22" borderId="85" xfId="0" applyFont="1" applyFill="1" applyBorder="1" applyAlignment="1">
      <alignment horizontal="center" vertical="center"/>
    </xf>
    <xf numFmtId="0" fontId="32" fillId="23" borderId="91" xfId="0" applyFont="1" applyFill="1" applyBorder="1" applyAlignment="1">
      <alignment horizontal="center" vertical="center"/>
    </xf>
    <xf numFmtId="0" fontId="32" fillId="23" borderId="92" xfId="0" applyFont="1" applyFill="1" applyBorder="1" applyAlignment="1">
      <alignment horizontal="center" vertical="center"/>
    </xf>
    <xf numFmtId="0" fontId="32" fillId="23" borderId="85" xfId="0" applyFont="1" applyFill="1" applyBorder="1" applyAlignment="1">
      <alignment horizontal="center" vertical="center"/>
    </xf>
    <xf numFmtId="0" fontId="32" fillId="2" borderId="91" xfId="0" applyFont="1" applyFill="1" applyBorder="1" applyAlignment="1">
      <alignment horizontal="center" vertical="center"/>
    </xf>
    <xf numFmtId="0" fontId="32" fillId="2" borderId="92" xfId="0" applyFont="1" applyFill="1" applyBorder="1" applyAlignment="1">
      <alignment horizontal="center" vertical="center"/>
    </xf>
    <xf numFmtId="0" fontId="32" fillId="2" borderId="85" xfId="0" applyFont="1" applyFill="1" applyBorder="1" applyAlignment="1">
      <alignment horizontal="center" vertical="center"/>
    </xf>
    <xf numFmtId="0" fontId="32" fillId="24" borderId="91" xfId="0" applyFont="1" applyFill="1" applyBorder="1" applyAlignment="1">
      <alignment horizontal="center" vertical="center"/>
    </xf>
    <xf numFmtId="0" fontId="32" fillId="24" borderId="92" xfId="0" applyFont="1" applyFill="1" applyBorder="1" applyAlignment="1">
      <alignment horizontal="center" vertical="center"/>
    </xf>
    <xf numFmtId="0" fontId="32" fillId="24" borderId="85" xfId="0" applyFont="1" applyFill="1" applyBorder="1" applyAlignment="1">
      <alignment horizontal="center" vertical="center"/>
    </xf>
    <xf numFmtId="0" fontId="32" fillId="25" borderId="91" xfId="0" applyFont="1" applyFill="1" applyBorder="1" applyAlignment="1">
      <alignment horizontal="center" vertical="center"/>
    </xf>
    <xf numFmtId="0" fontId="32" fillId="25" borderId="92" xfId="0" applyFont="1" applyFill="1" applyBorder="1" applyAlignment="1">
      <alignment horizontal="center" vertical="center"/>
    </xf>
    <xf numFmtId="0" fontId="32" fillId="25" borderId="85" xfId="0" applyFont="1" applyFill="1" applyBorder="1" applyAlignment="1">
      <alignment horizontal="center" vertical="center"/>
    </xf>
    <xf numFmtId="0" fontId="32" fillId="26" borderId="91" xfId="0" applyFont="1" applyFill="1" applyBorder="1" applyAlignment="1">
      <alignment horizontal="center" vertical="center"/>
    </xf>
    <xf numFmtId="0" fontId="32" fillId="26" borderId="92" xfId="0" applyFont="1" applyFill="1" applyBorder="1" applyAlignment="1">
      <alignment horizontal="center" vertical="center"/>
    </xf>
    <xf numFmtId="0" fontId="32" fillId="26" borderId="85" xfId="0" applyFont="1" applyFill="1" applyBorder="1" applyAlignment="1">
      <alignment horizontal="center" vertical="center"/>
    </xf>
    <xf numFmtId="0" fontId="28" fillId="0" borderId="52" xfId="0" applyFont="1" applyBorder="1" applyAlignment="1">
      <alignment horizontal="center" vertical="center"/>
    </xf>
    <xf numFmtId="0" fontId="28" fillId="0" borderId="27" xfId="0" applyFont="1" applyBorder="1" applyAlignment="1">
      <alignment horizontal="center" vertical="center"/>
    </xf>
    <xf numFmtId="0" fontId="28" fillId="0" borderId="40" xfId="0" applyFont="1" applyBorder="1" applyAlignment="1">
      <alignment horizontal="center" vertical="center"/>
    </xf>
    <xf numFmtId="0" fontId="28" fillId="0" borderId="28" xfId="0" applyFont="1" applyBorder="1" applyAlignment="1">
      <alignment horizontal="center" vertical="center"/>
    </xf>
    <xf numFmtId="0" fontId="28" fillId="0" borderId="41" xfId="0" applyFont="1" applyBorder="1" applyAlignment="1">
      <alignment horizontal="center" vertical="center"/>
    </xf>
    <xf numFmtId="0" fontId="28" fillId="0" borderId="29" xfId="0" applyFont="1" applyBorder="1" applyAlignment="1">
      <alignment horizontal="center" vertical="center"/>
    </xf>
    <xf numFmtId="0" fontId="28" fillId="0" borderId="30" xfId="0" applyFont="1" applyBorder="1" applyAlignment="1">
      <alignment horizontal="center" vertical="center"/>
    </xf>
    <xf numFmtId="0" fontId="32" fillId="2" borderId="34" xfId="0" applyFont="1" applyFill="1" applyBorder="1" applyAlignment="1">
      <alignment horizontal="center" vertical="center"/>
    </xf>
    <xf numFmtId="0" fontId="32" fillId="24" borderId="34" xfId="0" applyFont="1" applyFill="1" applyBorder="1" applyAlignment="1">
      <alignment horizontal="center" vertical="center"/>
    </xf>
    <xf numFmtId="0" fontId="32" fillId="25" borderId="34" xfId="0" applyFont="1" applyFill="1" applyBorder="1" applyAlignment="1">
      <alignment horizontal="center" vertical="center"/>
    </xf>
    <xf numFmtId="0" fontId="32" fillId="34" borderId="34" xfId="0" applyFont="1" applyFill="1" applyBorder="1" applyAlignment="1">
      <alignment horizontal="center" vertical="center"/>
    </xf>
    <xf numFmtId="0" fontId="32" fillId="34" borderId="17" xfId="0" applyFont="1" applyFill="1" applyBorder="1" applyAlignment="1">
      <alignment horizontal="center" vertical="center"/>
    </xf>
    <xf numFmtId="0" fontId="28" fillId="0" borderId="50" xfId="0" applyFont="1" applyBorder="1" applyAlignment="1">
      <alignment horizontal="center" vertical="center"/>
    </xf>
    <xf numFmtId="0" fontId="30" fillId="0" borderId="96" xfId="0" applyFont="1" applyBorder="1" applyAlignment="1">
      <alignment horizontal="left" vertical="center"/>
    </xf>
    <xf numFmtId="0" fontId="30" fillId="0" borderId="0" xfId="0" applyFont="1" applyBorder="1" applyAlignment="1">
      <alignment horizontal="left" vertical="center"/>
    </xf>
    <xf numFmtId="0" fontId="28" fillId="0" borderId="95" xfId="0" applyFont="1" applyBorder="1" applyAlignment="1">
      <alignment horizontal="center" vertical="center"/>
    </xf>
    <xf numFmtId="0" fontId="28" fillId="0" borderId="88" xfId="0" applyFont="1" applyBorder="1" applyAlignment="1">
      <alignment horizontal="center" vertical="center"/>
    </xf>
    <xf numFmtId="0" fontId="28" fillId="0" borderId="79" xfId="0" applyFont="1" applyBorder="1" applyAlignment="1">
      <alignment horizontal="center" vertical="center"/>
    </xf>
    <xf numFmtId="0" fontId="28" fillId="0" borderId="87" xfId="0" applyFont="1" applyBorder="1" applyAlignment="1">
      <alignment horizontal="center" vertical="center"/>
    </xf>
    <xf numFmtId="0" fontId="28" fillId="0" borderId="31" xfId="0" applyFont="1" applyBorder="1" applyAlignment="1">
      <alignment horizontal="center" vertical="center"/>
    </xf>
    <xf numFmtId="0" fontId="32" fillId="0" borderId="27" xfId="0" applyFont="1" applyBorder="1" applyAlignment="1">
      <alignment horizontal="center" vertical="center"/>
    </xf>
    <xf numFmtId="0" fontId="32" fillId="0" borderId="30" xfId="0" applyFont="1" applyBorder="1" applyAlignment="1">
      <alignment horizontal="center" vertical="center"/>
    </xf>
    <xf numFmtId="0" fontId="32" fillId="0" borderId="28" xfId="0" applyFont="1" applyBorder="1" applyAlignment="1">
      <alignment horizontal="center" vertical="center"/>
    </xf>
    <xf numFmtId="0" fontId="32" fillId="30" borderId="34" xfId="0" applyFont="1" applyFill="1" applyBorder="1" applyAlignment="1">
      <alignment horizontal="center" vertical="center"/>
    </xf>
    <xf numFmtId="0" fontId="32" fillId="26" borderId="34" xfId="0" applyFont="1" applyFill="1" applyBorder="1" applyAlignment="1">
      <alignment horizontal="center" vertical="center"/>
    </xf>
    <xf numFmtId="0" fontId="32" fillId="27" borderId="34" xfId="0" applyFont="1" applyFill="1" applyBorder="1" applyAlignment="1">
      <alignment horizontal="center" vertical="center"/>
    </xf>
    <xf numFmtId="0" fontId="32" fillId="28" borderId="34" xfId="0" applyFont="1" applyFill="1" applyBorder="1" applyAlignment="1">
      <alignment horizontal="center" vertical="center"/>
    </xf>
    <xf numFmtId="0" fontId="32" fillId="29" borderId="34" xfId="0" applyFont="1" applyFill="1" applyBorder="1" applyAlignment="1">
      <alignment horizontal="center" vertical="center"/>
    </xf>
    <xf numFmtId="0" fontId="32" fillId="31" borderId="34" xfId="0" applyFont="1" applyFill="1" applyBorder="1" applyAlignment="1">
      <alignment horizontal="center" vertical="center"/>
    </xf>
    <xf numFmtId="0" fontId="32" fillId="32" borderId="34" xfId="0" applyFont="1" applyFill="1" applyBorder="1" applyAlignment="1">
      <alignment horizontal="center" vertical="center"/>
    </xf>
    <xf numFmtId="0" fontId="32" fillId="21" borderId="14" xfId="0" applyFont="1" applyFill="1" applyBorder="1" applyAlignment="1">
      <alignment horizontal="center" vertical="center"/>
    </xf>
    <xf numFmtId="0" fontId="32" fillId="21" borderId="34" xfId="0" applyFont="1" applyFill="1" applyBorder="1" applyAlignment="1">
      <alignment horizontal="center" vertical="center"/>
    </xf>
    <xf numFmtId="0" fontId="32" fillId="22" borderId="34" xfId="0" applyFont="1" applyFill="1" applyBorder="1" applyAlignment="1">
      <alignment horizontal="center" vertical="center"/>
    </xf>
    <xf numFmtId="0" fontId="32" fillId="23" borderId="34" xfId="0" applyFont="1" applyFill="1" applyBorder="1" applyAlignment="1">
      <alignment horizontal="center" vertical="center"/>
    </xf>
    <xf numFmtId="0" fontId="30" fillId="0" borderId="47" xfId="0" applyFont="1" applyBorder="1" applyAlignment="1">
      <alignment horizontal="center" vertical="center"/>
    </xf>
    <xf numFmtId="0" fontId="30" fillId="0" borderId="63" xfId="0" applyFont="1" applyBorder="1" applyAlignment="1">
      <alignment horizontal="center" vertical="center"/>
    </xf>
    <xf numFmtId="0" fontId="33" fillId="21" borderId="59" xfId="0" applyFont="1" applyFill="1" applyBorder="1" applyAlignment="1">
      <alignment horizontal="center" vertical="center"/>
    </xf>
    <xf numFmtId="0" fontId="33" fillId="21" borderId="51" xfId="0" applyFont="1" applyFill="1" applyBorder="1" applyAlignment="1">
      <alignment horizontal="center" vertical="center"/>
    </xf>
    <xf numFmtId="0" fontId="33" fillId="21" borderId="57" xfId="0" applyFont="1" applyFill="1" applyBorder="1" applyAlignment="1">
      <alignment horizontal="center" vertical="center"/>
    </xf>
    <xf numFmtId="0" fontId="33" fillId="22" borderId="59" xfId="0" applyFont="1" applyFill="1" applyBorder="1" applyAlignment="1">
      <alignment horizontal="center" vertical="center"/>
    </xf>
    <xf numFmtId="0" fontId="33" fillId="22" borderId="51" xfId="0" applyFont="1" applyFill="1" applyBorder="1" applyAlignment="1">
      <alignment horizontal="center" vertical="center"/>
    </xf>
    <xf numFmtId="0" fontId="33" fillId="22" borderId="57" xfId="0" applyFont="1" applyFill="1" applyBorder="1" applyAlignment="1">
      <alignment horizontal="center" vertical="center"/>
    </xf>
    <xf numFmtId="0" fontId="33" fillId="23" borderId="59" xfId="0" applyFont="1" applyFill="1" applyBorder="1" applyAlignment="1">
      <alignment horizontal="center" vertical="center"/>
    </xf>
    <xf numFmtId="0" fontId="33" fillId="23" borderId="51" xfId="0" applyFont="1" applyFill="1" applyBorder="1" applyAlignment="1">
      <alignment horizontal="center" vertical="center"/>
    </xf>
    <xf numFmtId="0" fontId="33" fillId="23" borderId="57" xfId="0" applyFont="1" applyFill="1" applyBorder="1" applyAlignment="1">
      <alignment horizontal="center" vertical="center"/>
    </xf>
    <xf numFmtId="0" fontId="33" fillId="2" borderId="59" xfId="0" applyFont="1" applyFill="1" applyBorder="1" applyAlignment="1">
      <alignment horizontal="center" vertical="center"/>
    </xf>
    <xf numFmtId="0" fontId="33" fillId="2" borderId="51" xfId="0" applyFont="1" applyFill="1" applyBorder="1" applyAlignment="1">
      <alignment horizontal="center" vertical="center"/>
    </xf>
    <xf numFmtId="0" fontId="33" fillId="2" borderId="57" xfId="0" applyFont="1" applyFill="1" applyBorder="1" applyAlignment="1">
      <alignment horizontal="center" vertical="center"/>
    </xf>
    <xf numFmtId="0" fontId="33" fillId="24" borderId="59" xfId="0" applyFont="1" applyFill="1" applyBorder="1" applyAlignment="1">
      <alignment horizontal="center" vertical="center"/>
    </xf>
    <xf numFmtId="0" fontId="33" fillId="24" borderId="51" xfId="0" applyFont="1" applyFill="1" applyBorder="1" applyAlignment="1">
      <alignment horizontal="center" vertical="center"/>
    </xf>
    <xf numFmtId="0" fontId="33" fillId="24" borderId="57" xfId="0" applyFont="1" applyFill="1" applyBorder="1" applyAlignment="1">
      <alignment horizontal="center" vertical="center"/>
    </xf>
    <xf numFmtId="0" fontId="7" fillId="0" borderId="37" xfId="0" applyFont="1" applyBorder="1" applyAlignment="1">
      <alignment horizontal="center" vertical="center"/>
    </xf>
    <xf numFmtId="0" fontId="7" fillId="0" borderId="65" xfId="0" applyFont="1" applyBorder="1" applyAlignment="1">
      <alignment horizontal="center" vertical="center"/>
    </xf>
    <xf numFmtId="0" fontId="7" fillId="0" borderId="44" xfId="0" applyFont="1" applyBorder="1" applyAlignment="1">
      <alignment horizontal="center" vertical="center"/>
    </xf>
    <xf numFmtId="0" fontId="7" fillId="0" borderId="66" xfId="0" applyFont="1" applyBorder="1" applyAlignment="1">
      <alignment horizontal="center" vertical="center"/>
    </xf>
    <xf numFmtId="0" fontId="7" fillId="0" borderId="31" xfId="0" applyFont="1" applyBorder="1" applyAlignment="1">
      <alignment horizontal="center" vertical="center"/>
    </xf>
    <xf numFmtId="0" fontId="7" fillId="0" borderId="64" xfId="0" applyFont="1" applyBorder="1" applyAlignment="1">
      <alignment horizontal="center" vertical="center"/>
    </xf>
    <xf numFmtId="0" fontId="33" fillId="30" borderId="59" xfId="0" applyFont="1" applyFill="1" applyBorder="1" applyAlignment="1">
      <alignment horizontal="center" vertical="center"/>
    </xf>
    <xf numFmtId="0" fontId="33" fillId="30" borderId="51" xfId="0" applyFont="1" applyFill="1" applyBorder="1" applyAlignment="1">
      <alignment horizontal="center" vertical="center"/>
    </xf>
    <xf numFmtId="0" fontId="33" fillId="30" borderId="57" xfId="0" applyFont="1" applyFill="1" applyBorder="1" applyAlignment="1">
      <alignment horizontal="center" vertical="center"/>
    </xf>
    <xf numFmtId="0" fontId="33" fillId="34" borderId="51" xfId="0" applyFont="1" applyFill="1" applyBorder="1" applyAlignment="1">
      <alignment horizontal="center" vertical="center"/>
    </xf>
    <xf numFmtId="0" fontId="33" fillId="34" borderId="57" xfId="0" applyFont="1" applyFill="1" applyBorder="1" applyAlignment="1">
      <alignment horizontal="center" vertical="center"/>
    </xf>
    <xf numFmtId="0" fontId="33" fillId="32" borderId="59" xfId="0" applyFont="1" applyFill="1" applyBorder="1" applyAlignment="1">
      <alignment horizontal="center" vertical="center"/>
    </xf>
    <xf numFmtId="0" fontId="33" fillId="32" borderId="51" xfId="0" applyFont="1" applyFill="1" applyBorder="1" applyAlignment="1">
      <alignment horizontal="center" vertical="center"/>
    </xf>
    <xf numFmtId="0" fontId="33" fillId="32" borderId="57" xfId="0" applyFont="1" applyFill="1" applyBorder="1" applyAlignment="1">
      <alignment horizontal="center" vertical="center"/>
    </xf>
    <xf numFmtId="0" fontId="33" fillId="25" borderId="59" xfId="0" applyFont="1" applyFill="1" applyBorder="1" applyAlignment="1">
      <alignment horizontal="center" vertical="center"/>
    </xf>
    <xf numFmtId="0" fontId="33" fillId="25" borderId="51" xfId="0" applyFont="1" applyFill="1" applyBorder="1" applyAlignment="1">
      <alignment horizontal="center" vertical="center"/>
    </xf>
    <xf numFmtId="0" fontId="33" fillId="25" borderId="57" xfId="0" applyFont="1" applyFill="1" applyBorder="1" applyAlignment="1">
      <alignment horizontal="center" vertical="center"/>
    </xf>
    <xf numFmtId="0" fontId="33" fillId="26" borderId="59" xfId="0" applyFont="1" applyFill="1" applyBorder="1" applyAlignment="1">
      <alignment horizontal="center" vertical="center"/>
    </xf>
    <xf numFmtId="0" fontId="33" fillId="26" borderId="51" xfId="0" applyFont="1" applyFill="1" applyBorder="1" applyAlignment="1">
      <alignment horizontal="center" vertical="center"/>
    </xf>
    <xf numFmtId="0" fontId="33" fillId="26" borderId="57" xfId="0" applyFont="1" applyFill="1" applyBorder="1" applyAlignment="1">
      <alignment horizontal="center" vertical="center"/>
    </xf>
    <xf numFmtId="0" fontId="33" fillId="20" borderId="59" xfId="0" applyFont="1" applyFill="1" applyBorder="1" applyAlignment="1">
      <alignment horizontal="center" vertical="center"/>
    </xf>
    <xf numFmtId="0" fontId="33" fillId="20" borderId="51" xfId="0" applyFont="1" applyFill="1" applyBorder="1" applyAlignment="1">
      <alignment horizontal="center" vertical="center"/>
    </xf>
    <xf numFmtId="0" fontId="33" fillId="20" borderId="57" xfId="0" applyFont="1" applyFill="1" applyBorder="1" applyAlignment="1">
      <alignment horizontal="center" vertical="center"/>
    </xf>
    <xf numFmtId="0" fontId="33" fillId="28" borderId="59" xfId="0" applyFont="1" applyFill="1" applyBorder="1" applyAlignment="1">
      <alignment horizontal="center" vertical="center"/>
    </xf>
    <xf numFmtId="0" fontId="33" fillId="28" borderId="51" xfId="0" applyFont="1" applyFill="1" applyBorder="1" applyAlignment="1">
      <alignment horizontal="center" vertical="center"/>
    </xf>
    <xf numFmtId="0" fontId="33" fillId="28" borderId="57" xfId="0" applyFont="1" applyFill="1" applyBorder="1" applyAlignment="1">
      <alignment horizontal="center" vertical="center"/>
    </xf>
    <xf numFmtId="0" fontId="33" fillId="29" borderId="59" xfId="0" applyFont="1" applyFill="1" applyBorder="1" applyAlignment="1">
      <alignment horizontal="center" vertical="center"/>
    </xf>
    <xf numFmtId="0" fontId="33" fillId="29" borderId="51" xfId="0" applyFont="1" applyFill="1" applyBorder="1" applyAlignment="1">
      <alignment horizontal="center" vertical="center"/>
    </xf>
    <xf numFmtId="0" fontId="33" fillId="29" borderId="57" xfId="0" applyFont="1" applyFill="1" applyBorder="1" applyAlignment="1">
      <alignment horizontal="center" vertical="center"/>
    </xf>
    <xf numFmtId="0" fontId="33" fillId="31" borderId="59" xfId="0" applyFont="1" applyFill="1" applyBorder="1" applyAlignment="1">
      <alignment horizontal="center" vertical="center"/>
    </xf>
    <xf numFmtId="0" fontId="33" fillId="31" borderId="51" xfId="0" applyFont="1" applyFill="1" applyBorder="1" applyAlignment="1">
      <alignment horizontal="center" vertical="center"/>
    </xf>
    <xf numFmtId="0" fontId="33" fillId="31" borderId="57" xfId="0" applyFont="1" applyFill="1" applyBorder="1" applyAlignment="1">
      <alignment horizontal="center" vertical="center"/>
    </xf>
    <xf numFmtId="0" fontId="35" fillId="21" borderId="59" xfId="0" applyFont="1" applyFill="1" applyBorder="1" applyAlignment="1">
      <alignment horizontal="center" vertical="center"/>
    </xf>
    <xf numFmtId="0" fontId="35" fillId="21" borderId="51" xfId="0" applyFont="1" applyFill="1" applyBorder="1" applyAlignment="1">
      <alignment horizontal="center" vertical="center"/>
    </xf>
    <xf numFmtId="0" fontId="35" fillId="21" borderId="53" xfId="0" applyFont="1" applyFill="1" applyBorder="1" applyAlignment="1">
      <alignment horizontal="center" vertical="center"/>
    </xf>
    <xf numFmtId="0" fontId="36" fillId="0" borderId="55" xfId="0" applyFont="1" applyBorder="1" applyAlignment="1">
      <alignment horizontal="center" vertical="center"/>
    </xf>
    <xf numFmtId="0" fontId="36" fillId="0" borderId="51" xfId="0" applyFont="1" applyBorder="1" applyAlignment="1">
      <alignment horizontal="center" vertical="center"/>
    </xf>
    <xf numFmtId="0" fontId="36" fillId="0" borderId="57" xfId="0" applyFont="1" applyBorder="1" applyAlignment="1">
      <alignment horizontal="center" vertical="center"/>
    </xf>
    <xf numFmtId="0" fontId="35" fillId="22" borderId="59" xfId="0" applyFont="1" applyFill="1" applyBorder="1" applyAlignment="1">
      <alignment horizontal="center" vertical="center"/>
    </xf>
    <xf numFmtId="0" fontId="35" fillId="22" borderId="51" xfId="0" applyFont="1" applyFill="1" applyBorder="1" applyAlignment="1">
      <alignment horizontal="center" vertical="center"/>
    </xf>
    <xf numFmtId="0" fontId="35" fillId="22" borderId="53" xfId="0" applyFont="1" applyFill="1" applyBorder="1" applyAlignment="1">
      <alignment horizontal="center" vertical="center"/>
    </xf>
    <xf numFmtId="0" fontId="35" fillId="23" borderId="59" xfId="0" applyFont="1" applyFill="1" applyBorder="1" applyAlignment="1">
      <alignment horizontal="center" vertical="center"/>
    </xf>
    <xf numFmtId="0" fontId="35" fillId="23" borderId="51" xfId="0" applyFont="1" applyFill="1" applyBorder="1" applyAlignment="1">
      <alignment horizontal="center" vertical="center"/>
    </xf>
    <xf numFmtId="0" fontId="35" fillId="23" borderId="53" xfId="0" applyFont="1" applyFill="1" applyBorder="1" applyAlignment="1">
      <alignment horizontal="center" vertical="center"/>
    </xf>
    <xf numFmtId="0" fontId="35" fillId="24" borderId="59" xfId="0" applyFont="1" applyFill="1" applyBorder="1" applyAlignment="1">
      <alignment horizontal="center" vertical="center"/>
    </xf>
    <xf numFmtId="0" fontId="35" fillId="24" borderId="51" xfId="0" applyFont="1" applyFill="1" applyBorder="1" applyAlignment="1">
      <alignment horizontal="center" vertical="center"/>
    </xf>
    <xf numFmtId="0" fontId="35" fillId="24" borderId="53" xfId="0" applyFont="1" applyFill="1" applyBorder="1" applyAlignment="1">
      <alignment horizontal="center" vertical="center"/>
    </xf>
    <xf numFmtId="0" fontId="35" fillId="25" borderId="59" xfId="0" applyFont="1" applyFill="1" applyBorder="1" applyAlignment="1">
      <alignment horizontal="center" vertical="center"/>
    </xf>
    <xf numFmtId="0" fontId="35" fillId="25" borderId="51" xfId="0" applyFont="1" applyFill="1" applyBorder="1" applyAlignment="1">
      <alignment horizontal="center" vertical="center"/>
    </xf>
    <xf numFmtId="0" fontId="35" fillId="25" borderId="53" xfId="0" applyFont="1" applyFill="1" applyBorder="1" applyAlignment="1">
      <alignment horizontal="center" vertical="center"/>
    </xf>
    <xf numFmtId="0" fontId="7" fillId="0" borderId="103" xfId="0" applyFont="1" applyBorder="1" applyAlignment="1">
      <alignment horizontal="center" vertical="center"/>
    </xf>
    <xf numFmtId="0" fontId="7" fillId="0" borderId="92" xfId="0" applyFont="1" applyBorder="1" applyAlignment="1">
      <alignment horizontal="center" vertical="center"/>
    </xf>
    <xf numFmtId="0" fontId="35" fillId="30" borderId="59" xfId="0" applyFont="1" applyFill="1" applyBorder="1" applyAlignment="1">
      <alignment horizontal="center" vertical="center"/>
    </xf>
    <xf numFmtId="0" fontId="35" fillId="30" borderId="51" xfId="0" applyFont="1" applyFill="1" applyBorder="1" applyAlignment="1">
      <alignment horizontal="center" vertical="center"/>
    </xf>
    <xf numFmtId="0" fontId="35" fillId="30" borderId="53" xfId="0" applyFont="1" applyFill="1" applyBorder="1" applyAlignment="1">
      <alignment horizontal="center" vertical="center"/>
    </xf>
    <xf numFmtId="0" fontId="35" fillId="34" borderId="51" xfId="0" applyFont="1" applyFill="1" applyBorder="1" applyAlignment="1">
      <alignment horizontal="center" vertical="center"/>
    </xf>
    <xf numFmtId="0" fontId="35" fillId="34" borderId="53" xfId="0" applyFont="1" applyFill="1" applyBorder="1" applyAlignment="1">
      <alignment horizontal="center" vertical="center"/>
    </xf>
    <xf numFmtId="0" fontId="30" fillId="0" borderId="26" xfId="0" applyFont="1" applyBorder="1" applyAlignment="1">
      <alignment horizontal="center" vertical="center"/>
    </xf>
    <xf numFmtId="0" fontId="28" fillId="0" borderId="64" xfId="0" applyFont="1" applyBorder="1" applyAlignment="1">
      <alignment horizontal="center" vertical="center"/>
    </xf>
    <xf numFmtId="0" fontId="37" fillId="0" borderId="94" xfId="0" applyFont="1" applyBorder="1" applyAlignment="1">
      <alignment horizontal="center" vertical="center"/>
    </xf>
    <xf numFmtId="0" fontId="37" fillId="0" borderId="54" xfId="0" applyFont="1" applyBorder="1" applyAlignment="1">
      <alignment horizontal="center" vertical="center"/>
    </xf>
    <xf numFmtId="0" fontId="37" fillId="0" borderId="92" xfId="0" applyFont="1" applyBorder="1" applyAlignment="1">
      <alignment horizontal="center" vertical="center"/>
    </xf>
    <xf numFmtId="0" fontId="37" fillId="0" borderId="52" xfId="0" applyFont="1" applyBorder="1" applyAlignment="1">
      <alignment horizontal="center" vertical="center"/>
    </xf>
    <xf numFmtId="0" fontId="28" fillId="0" borderId="65" xfId="0" applyFont="1" applyBorder="1" applyAlignment="1">
      <alignment horizontal="center" vertical="center"/>
    </xf>
    <xf numFmtId="0" fontId="28" fillId="0" borderId="36" xfId="0" applyFont="1" applyBorder="1" applyAlignment="1">
      <alignment horizontal="center" vertical="center"/>
    </xf>
    <xf numFmtId="0" fontId="35" fillId="29" borderId="59" xfId="0" applyFont="1" applyFill="1" applyBorder="1" applyAlignment="1">
      <alignment horizontal="center" vertical="center"/>
    </xf>
    <xf numFmtId="0" fontId="35" fillId="29" borderId="51" xfId="0" applyFont="1" applyFill="1" applyBorder="1" applyAlignment="1">
      <alignment horizontal="center" vertical="center"/>
    </xf>
    <xf numFmtId="0" fontId="35" fillId="29" borderId="53" xfId="0" applyFont="1" applyFill="1" applyBorder="1" applyAlignment="1">
      <alignment horizontal="center" vertical="center"/>
    </xf>
    <xf numFmtId="0" fontId="35" fillId="31" borderId="59" xfId="0" applyFont="1" applyFill="1" applyBorder="1" applyAlignment="1">
      <alignment horizontal="center" vertical="center"/>
    </xf>
    <xf numFmtId="0" fontId="35" fillId="31" borderId="51" xfId="0" applyFont="1" applyFill="1" applyBorder="1" applyAlignment="1">
      <alignment horizontal="center" vertical="center"/>
    </xf>
    <xf numFmtId="0" fontId="35" fillId="31" borderId="53" xfId="0" applyFont="1" applyFill="1" applyBorder="1" applyAlignment="1">
      <alignment horizontal="center" vertical="center"/>
    </xf>
    <xf numFmtId="0" fontId="35" fillId="32" borderId="59" xfId="0" applyFont="1" applyFill="1" applyBorder="1" applyAlignment="1">
      <alignment horizontal="center" vertical="center"/>
    </xf>
    <xf numFmtId="0" fontId="35" fillId="32" borderId="51" xfId="0" applyFont="1" applyFill="1" applyBorder="1" applyAlignment="1">
      <alignment horizontal="center" vertical="center"/>
    </xf>
    <xf numFmtId="0" fontId="35" fillId="32" borderId="53" xfId="0" applyFont="1" applyFill="1" applyBorder="1" applyAlignment="1">
      <alignment horizontal="center" vertical="center"/>
    </xf>
    <xf numFmtId="0" fontId="35" fillId="26" borderId="59" xfId="0" applyFont="1" applyFill="1" applyBorder="1" applyAlignment="1">
      <alignment horizontal="center" vertical="center"/>
    </xf>
    <xf numFmtId="0" fontId="35" fillId="26" borderId="51" xfId="0" applyFont="1" applyFill="1" applyBorder="1" applyAlignment="1">
      <alignment horizontal="center" vertical="center"/>
    </xf>
    <xf numFmtId="0" fontId="35" fillId="26" borderId="53" xfId="0" applyFont="1" applyFill="1" applyBorder="1" applyAlignment="1">
      <alignment horizontal="center" vertical="center"/>
    </xf>
    <xf numFmtId="0" fontId="35" fillId="20" borderId="59" xfId="0" applyFont="1" applyFill="1" applyBorder="1" applyAlignment="1">
      <alignment horizontal="center" vertical="center"/>
    </xf>
    <xf numFmtId="0" fontId="35" fillId="20" borderId="51" xfId="0" applyFont="1" applyFill="1" applyBorder="1" applyAlignment="1">
      <alignment horizontal="center" vertical="center"/>
    </xf>
    <xf numFmtId="0" fontId="35" fillId="20" borderId="53" xfId="0" applyFont="1" applyFill="1" applyBorder="1" applyAlignment="1">
      <alignment horizontal="center" vertical="center"/>
    </xf>
    <xf numFmtId="0" fontId="35" fillId="28" borderId="59" xfId="0" applyFont="1" applyFill="1" applyBorder="1" applyAlignment="1">
      <alignment horizontal="center" vertical="center"/>
    </xf>
    <xf numFmtId="0" fontId="35" fillId="28" borderId="51" xfId="0" applyFont="1" applyFill="1" applyBorder="1" applyAlignment="1">
      <alignment horizontal="center" vertical="center"/>
    </xf>
    <xf numFmtId="0" fontId="35" fillId="28" borderId="53" xfId="0" applyFont="1" applyFill="1" applyBorder="1" applyAlignment="1">
      <alignment horizontal="center" vertical="center"/>
    </xf>
    <xf numFmtId="0" fontId="35" fillId="2" borderId="59" xfId="0" applyFont="1" applyFill="1" applyBorder="1" applyAlignment="1">
      <alignment horizontal="center" vertical="center"/>
    </xf>
    <xf numFmtId="0" fontId="35" fillId="2" borderId="51" xfId="0" applyFont="1" applyFill="1" applyBorder="1" applyAlignment="1">
      <alignment horizontal="center" vertical="center"/>
    </xf>
    <xf numFmtId="0" fontId="35" fillId="2" borderId="53" xfId="0" applyFont="1" applyFill="1" applyBorder="1" applyAlignment="1">
      <alignment horizontal="center" vertical="center"/>
    </xf>
    <xf numFmtId="0" fontId="1" fillId="0" borderId="66" xfId="0" applyFont="1" applyBorder="1" applyAlignment="1">
      <alignment horizontal="center" vertical="center"/>
    </xf>
    <xf numFmtId="0" fontId="1" fillId="0" borderId="42" xfId="0" applyFont="1" applyBorder="1" applyAlignment="1">
      <alignment horizontal="center" vertical="center"/>
    </xf>
    <xf numFmtId="0" fontId="7" fillId="0" borderId="10" xfId="0" applyFont="1" applyBorder="1" applyAlignment="1">
      <alignment horizontal="center" vertical="center"/>
    </xf>
    <xf numFmtId="0" fontId="7" fillId="0" borderId="25" xfId="0" applyFont="1" applyBorder="1" applyAlignment="1">
      <alignment horizontal="center" vertical="center"/>
    </xf>
    <xf numFmtId="0" fontId="39" fillId="0" borderId="62" xfId="0" applyFont="1" applyBorder="1" applyAlignment="1">
      <alignment horizontal="center" vertical="center"/>
    </xf>
    <xf numFmtId="0" fontId="39" fillId="0" borderId="63" xfId="0" applyFont="1" applyBorder="1" applyAlignment="1">
      <alignment horizontal="center" vertical="center"/>
    </xf>
    <xf numFmtId="0" fontId="39" fillId="0" borderId="82" xfId="0" applyFont="1" applyBorder="1" applyAlignment="1">
      <alignment horizontal="center" vertical="center"/>
    </xf>
    <xf numFmtId="0" fontId="7" fillId="0" borderId="13" xfId="0" applyFont="1" applyBorder="1" applyAlignment="1">
      <alignment horizontal="center" vertical="center"/>
    </xf>
    <xf numFmtId="178" fontId="23" fillId="0" borderId="75" xfId="0" applyNumberFormat="1" applyFont="1" applyBorder="1" applyAlignment="1">
      <alignment horizontal="right" vertical="center"/>
    </xf>
    <xf numFmtId="178" fontId="23" fillId="0" borderId="76" xfId="0" applyNumberFormat="1" applyFont="1" applyBorder="1" applyAlignment="1">
      <alignment horizontal="right" vertical="center"/>
    </xf>
    <xf numFmtId="10" fontId="15" fillId="0" borderId="78" xfId="0" applyNumberFormat="1" applyFont="1" applyBorder="1" applyAlignment="1">
      <alignment horizontal="right" vertical="center"/>
    </xf>
    <xf numFmtId="10" fontId="15" fillId="0" borderId="74" xfId="0" applyNumberFormat="1" applyFont="1" applyBorder="1" applyAlignment="1">
      <alignment horizontal="right" vertical="center"/>
    </xf>
    <xf numFmtId="178" fontId="23" fillId="0" borderId="79" xfId="0" applyNumberFormat="1" applyFont="1" applyBorder="1" applyAlignment="1">
      <alignment horizontal="right" vertical="center"/>
    </xf>
    <xf numFmtId="178" fontId="23" fillId="0" borderId="61" xfId="0" applyNumberFormat="1" applyFont="1" applyBorder="1" applyAlignment="1">
      <alignment horizontal="right" vertical="center"/>
    </xf>
    <xf numFmtId="10" fontId="15" fillId="0" borderId="80" xfId="0" applyNumberFormat="1" applyFont="1" applyBorder="1" applyAlignment="1">
      <alignment horizontal="right" vertical="center"/>
    </xf>
    <xf numFmtId="10" fontId="15" fillId="0" borderId="81" xfId="0" applyNumberFormat="1" applyFont="1" applyBorder="1" applyAlignment="1">
      <alignment horizontal="right" vertical="center"/>
    </xf>
    <xf numFmtId="178" fontId="24" fillId="0" borderId="62" xfId="0" applyNumberFormat="1" applyFont="1" applyBorder="1" applyAlignment="1">
      <alignment horizontal="right" vertical="center"/>
    </xf>
    <xf numFmtId="178" fontId="24" fillId="0" borderId="63" xfId="0" applyNumberFormat="1" applyFont="1" applyBorder="1" applyAlignment="1">
      <alignment horizontal="right" vertical="center"/>
    </xf>
    <xf numFmtId="177" fontId="15" fillId="0" borderId="6" xfId="0" applyNumberFormat="1" applyFont="1" applyBorder="1" applyAlignment="1">
      <alignment horizontal="right" vertical="center"/>
    </xf>
    <xf numFmtId="177" fontId="15" fillId="0" borderId="7" xfId="0" applyNumberFormat="1" applyFont="1" applyBorder="1" applyAlignment="1">
      <alignment horizontal="right" vertical="center"/>
    </xf>
    <xf numFmtId="178" fontId="21" fillId="0" borderId="38" xfId="0" applyNumberFormat="1" applyFont="1" applyBorder="1" applyAlignment="1">
      <alignment horizontal="right" vertical="center"/>
    </xf>
    <xf numFmtId="178" fontId="21" fillId="0" borderId="65" xfId="0" applyNumberFormat="1" applyFont="1" applyBorder="1" applyAlignment="1">
      <alignment horizontal="right" vertical="center"/>
    </xf>
    <xf numFmtId="10" fontId="15" fillId="0" borderId="15" xfId="0" applyNumberFormat="1" applyFont="1" applyBorder="1" applyAlignment="1">
      <alignment horizontal="right" vertical="center"/>
    </xf>
    <xf numFmtId="10" fontId="15" fillId="0" borderId="16" xfId="0" applyNumberFormat="1" applyFont="1" applyBorder="1" applyAlignment="1">
      <alignment horizontal="right" vertical="center"/>
    </xf>
    <xf numFmtId="178" fontId="21" fillId="0" borderId="45" xfId="0" applyNumberFormat="1" applyFont="1" applyBorder="1" applyAlignment="1">
      <alignment horizontal="right" vertical="center"/>
    </xf>
    <xf numFmtId="178" fontId="21" fillId="0" borderId="66" xfId="0" applyNumberFormat="1" applyFont="1" applyBorder="1" applyAlignment="1">
      <alignment horizontal="right" vertical="center"/>
    </xf>
    <xf numFmtId="178" fontId="23" fillId="0" borderId="69" xfId="0" applyNumberFormat="1" applyFont="1" applyBorder="1" applyAlignment="1">
      <alignment horizontal="right" vertical="center"/>
    </xf>
    <xf numFmtId="178" fontId="23" fillId="0" borderId="70" xfId="0" applyNumberFormat="1" applyFont="1" applyBorder="1" applyAlignment="1">
      <alignment horizontal="right" vertical="center"/>
    </xf>
    <xf numFmtId="10" fontId="15" fillId="0" borderId="72" xfId="0" applyNumberFormat="1" applyFont="1" applyBorder="1" applyAlignment="1">
      <alignment horizontal="right" vertical="center"/>
    </xf>
    <xf numFmtId="10" fontId="15" fillId="0" borderId="68" xfId="0" applyNumberFormat="1" applyFont="1" applyBorder="1" applyAlignment="1">
      <alignment horizontal="right" vertical="center"/>
    </xf>
    <xf numFmtId="0" fontId="14" fillId="0" borderId="61" xfId="0" applyFont="1" applyBorder="1" applyAlignment="1">
      <alignment horizontal="center" vertical="center"/>
    </xf>
    <xf numFmtId="0" fontId="15" fillId="0" borderId="62" xfId="0" applyFont="1" applyBorder="1" applyAlignment="1">
      <alignment horizontal="center" vertical="center"/>
    </xf>
    <xf numFmtId="0" fontId="15" fillId="0" borderId="63" xfId="0" applyFont="1" applyBorder="1" applyAlignment="1">
      <alignment horizontal="center" vertical="center"/>
    </xf>
    <xf numFmtId="0" fontId="15" fillId="0" borderId="26" xfId="0" applyFont="1" applyBorder="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vertical="center"/>
    </xf>
    <xf numFmtId="178" fontId="21" fillId="0" borderId="32" xfId="0" applyNumberFormat="1" applyFont="1" applyBorder="1" applyAlignment="1">
      <alignment horizontal="right" vertical="center"/>
    </xf>
    <xf numFmtId="178" fontId="21" fillId="0" borderId="64" xfId="0" applyNumberFormat="1" applyFont="1" applyBorder="1" applyAlignment="1">
      <alignment horizontal="right" vertical="center"/>
    </xf>
    <xf numFmtId="0" fontId="20" fillId="10" borderId="55" xfId="0" applyFont="1" applyFill="1" applyBorder="1" applyAlignment="1">
      <alignment horizontal="center" vertical="center"/>
    </xf>
    <xf numFmtId="0" fontId="20" fillId="10" borderId="51" xfId="0" applyFont="1" applyFill="1" applyBorder="1" applyAlignment="1">
      <alignment horizontal="center" vertical="center"/>
    </xf>
    <xf numFmtId="0" fontId="20" fillId="10" borderId="53" xfId="0" applyFont="1" applyFill="1" applyBorder="1" applyAlignment="1">
      <alignment horizontal="center" vertical="center"/>
    </xf>
    <xf numFmtId="176" fontId="12" fillId="0" borderId="55" xfId="0" applyNumberFormat="1" applyFont="1" applyBorder="1" applyAlignment="1">
      <alignment horizontal="right" vertical="center"/>
    </xf>
    <xf numFmtId="176" fontId="12" fillId="0" borderId="51" xfId="0" applyNumberFormat="1" applyFont="1" applyBorder="1" applyAlignment="1">
      <alignment horizontal="right" vertical="center"/>
    </xf>
    <xf numFmtId="176" fontId="12" fillId="0" borderId="53" xfId="0" applyNumberFormat="1" applyFont="1" applyBorder="1" applyAlignment="1">
      <alignment horizontal="right" vertical="center"/>
    </xf>
    <xf numFmtId="10" fontId="12" fillId="0" borderId="55" xfId="0" applyNumberFormat="1" applyFont="1" applyBorder="1" applyAlignment="1">
      <alignment horizontal="right" vertical="center"/>
    </xf>
    <xf numFmtId="10" fontId="12" fillId="0" borderId="51" xfId="0" applyNumberFormat="1" applyFont="1" applyBorder="1" applyAlignment="1">
      <alignment horizontal="right" vertical="center"/>
    </xf>
    <xf numFmtId="10" fontId="12" fillId="0" borderId="53" xfId="0" applyNumberFormat="1" applyFont="1" applyBorder="1" applyAlignment="1">
      <alignment horizontal="right" vertical="center"/>
    </xf>
    <xf numFmtId="0" fontId="20" fillId="14" borderId="51" xfId="0" applyFont="1" applyFill="1" applyBorder="1" applyAlignment="1">
      <alignment horizontal="center" vertical="center"/>
    </xf>
    <xf numFmtId="0" fontId="20" fillId="14" borderId="57" xfId="0" applyFont="1" applyFill="1" applyBorder="1" applyAlignment="1">
      <alignment horizontal="center" vertical="center"/>
    </xf>
    <xf numFmtId="176" fontId="12" fillId="0" borderId="57" xfId="0" applyNumberFormat="1" applyFont="1" applyBorder="1" applyAlignment="1">
      <alignment horizontal="right" vertical="center"/>
    </xf>
    <xf numFmtId="10" fontId="12" fillId="0" borderId="57" xfId="0" applyNumberFormat="1" applyFont="1" applyBorder="1" applyAlignment="1">
      <alignment horizontal="right" vertical="center"/>
    </xf>
    <xf numFmtId="0" fontId="20" fillId="8" borderId="55" xfId="0" applyFont="1" applyFill="1" applyBorder="1" applyAlignment="1">
      <alignment horizontal="center" vertical="center"/>
    </xf>
    <xf numFmtId="0" fontId="20" fillId="8" borderId="51" xfId="0" applyFont="1" applyFill="1" applyBorder="1" applyAlignment="1">
      <alignment horizontal="center" vertical="center"/>
    </xf>
    <xf numFmtId="0" fontId="20" fillId="8" borderId="53" xfId="0" applyFont="1" applyFill="1" applyBorder="1" applyAlignment="1">
      <alignment horizontal="center" vertical="center"/>
    </xf>
    <xf numFmtId="0" fontId="20" fillId="6" borderId="55" xfId="0" applyFont="1" applyFill="1" applyBorder="1" applyAlignment="1">
      <alignment horizontal="center" vertical="center"/>
    </xf>
    <xf numFmtId="0" fontId="20" fillId="6" borderId="51" xfId="0" applyFont="1" applyFill="1" applyBorder="1" applyAlignment="1">
      <alignment horizontal="center" vertical="center"/>
    </xf>
    <xf numFmtId="0" fontId="20" fillId="6" borderId="53" xfId="0" applyFont="1" applyFill="1" applyBorder="1" applyAlignment="1">
      <alignment horizontal="center" vertical="center"/>
    </xf>
    <xf numFmtId="0" fontId="20" fillId="3" borderId="55" xfId="0" applyFont="1" applyFill="1" applyBorder="1" applyAlignment="1">
      <alignment horizontal="center" vertical="center"/>
    </xf>
    <xf numFmtId="0" fontId="20" fillId="3" borderId="51" xfId="0" applyFont="1" applyFill="1" applyBorder="1" applyAlignment="1">
      <alignment horizontal="center" vertical="center"/>
    </xf>
    <xf numFmtId="0" fontId="20" fillId="3" borderId="53" xfId="0" applyFont="1" applyFill="1" applyBorder="1" applyAlignment="1">
      <alignment horizontal="center" vertical="center"/>
    </xf>
    <xf numFmtId="0" fontId="20" fillId="12" borderId="55" xfId="0" applyFont="1" applyFill="1" applyBorder="1" applyAlignment="1">
      <alignment horizontal="center" vertical="center"/>
    </xf>
    <xf numFmtId="0" fontId="20" fillId="12" borderId="51" xfId="0" applyFont="1" applyFill="1" applyBorder="1" applyAlignment="1">
      <alignment horizontal="center" vertical="center"/>
    </xf>
    <xf numFmtId="0" fontId="20" fillId="12" borderId="53" xfId="0" applyFont="1" applyFill="1" applyBorder="1" applyAlignment="1">
      <alignment horizontal="center" vertical="center"/>
    </xf>
    <xf numFmtId="0" fontId="20" fillId="4" borderId="59" xfId="0" applyFont="1" applyFill="1" applyBorder="1" applyAlignment="1">
      <alignment horizontal="center" vertical="center"/>
    </xf>
    <xf numFmtId="0" fontId="20" fillId="4" borderId="51" xfId="0" applyFont="1" applyFill="1" applyBorder="1" applyAlignment="1">
      <alignment horizontal="center" vertical="center"/>
    </xf>
    <xf numFmtId="0" fontId="20" fillId="4" borderId="53" xfId="0" applyFont="1" applyFill="1" applyBorder="1" applyAlignment="1">
      <alignment horizontal="center" vertical="center"/>
    </xf>
    <xf numFmtId="176" fontId="12" fillId="0" borderId="59" xfId="0" applyNumberFormat="1" applyFont="1" applyBorder="1" applyAlignment="1">
      <alignment horizontal="right" vertical="center"/>
    </xf>
    <xf numFmtId="10" fontId="12" fillId="0" borderId="59" xfId="0" applyNumberFormat="1" applyFont="1" applyBorder="1" applyAlignment="1">
      <alignment horizontal="right" vertical="center"/>
    </xf>
    <xf numFmtId="0" fontId="20" fillId="9" borderId="55" xfId="0" applyFont="1" applyFill="1" applyBorder="1" applyAlignment="1">
      <alignment horizontal="center" vertical="center"/>
    </xf>
    <xf numFmtId="0" fontId="20" fillId="9" borderId="53" xfId="0" applyFont="1" applyFill="1" applyBorder="1" applyAlignment="1">
      <alignment horizontal="center" vertical="center"/>
    </xf>
    <xf numFmtId="0" fontId="20" fillId="7" borderId="55" xfId="0" applyFont="1" applyFill="1" applyBorder="1" applyAlignment="1">
      <alignment horizontal="center" vertical="center"/>
    </xf>
    <xf numFmtId="0" fontId="20" fillId="7" borderId="51" xfId="0" applyFont="1" applyFill="1" applyBorder="1" applyAlignment="1">
      <alignment horizontal="center" vertical="center"/>
    </xf>
    <xf numFmtId="0" fontId="20" fillId="7" borderId="53" xfId="0" applyFont="1" applyFill="1" applyBorder="1" applyAlignment="1">
      <alignment horizontal="center" vertical="center"/>
    </xf>
    <xf numFmtId="0" fontId="20" fillId="14" borderId="55" xfId="0" applyFont="1" applyFill="1" applyBorder="1" applyAlignment="1">
      <alignment horizontal="center" vertical="center"/>
    </xf>
    <xf numFmtId="0" fontId="20" fillId="14" borderId="53" xfId="0" applyFont="1" applyFill="1" applyBorder="1" applyAlignment="1">
      <alignment horizontal="center" vertical="center"/>
    </xf>
    <xf numFmtId="176" fontId="17" fillId="0" borderId="36" xfId="0" applyNumberFormat="1" applyFont="1" applyBorder="1" applyAlignment="1">
      <alignment horizontal="right" vertical="center"/>
    </xf>
    <xf numFmtId="176" fontId="17" fillId="0" borderId="1" xfId="0" applyNumberFormat="1" applyFont="1" applyBorder="1" applyAlignment="1">
      <alignment horizontal="right" vertical="center"/>
    </xf>
    <xf numFmtId="176" fontId="17" fillId="0" borderId="37" xfId="0" applyNumberFormat="1" applyFont="1" applyBorder="1" applyAlignment="1">
      <alignment horizontal="right" vertical="center"/>
    </xf>
    <xf numFmtId="0" fontId="15" fillId="9" borderId="38" xfId="0" applyFont="1" applyFill="1" applyBorder="1" applyAlignment="1">
      <alignment horizontal="center" vertical="center"/>
    </xf>
    <xf numFmtId="0" fontId="15" fillId="9" borderId="39" xfId="0" applyFont="1" applyFill="1" applyBorder="1" applyAlignment="1">
      <alignment horizontal="center" vertical="center"/>
    </xf>
    <xf numFmtId="0" fontId="15" fillId="14" borderId="38" xfId="0" applyFont="1" applyFill="1" applyBorder="1" applyAlignment="1">
      <alignment horizontal="center" vertical="center"/>
    </xf>
    <xf numFmtId="0" fontId="15" fillId="14" borderId="39" xfId="0" applyFont="1" applyFill="1" applyBorder="1" applyAlignment="1">
      <alignment horizontal="center" vertical="center"/>
    </xf>
    <xf numFmtId="176" fontId="17" fillId="0" borderId="42" xfId="0" applyNumberFormat="1" applyFont="1" applyBorder="1" applyAlignment="1">
      <alignment horizontal="right" vertical="center"/>
    </xf>
    <xf numFmtId="176" fontId="17" fillId="0" borderId="43" xfId="0" applyNumberFormat="1" applyFont="1" applyBorder="1" applyAlignment="1">
      <alignment horizontal="right" vertical="center"/>
    </xf>
    <xf numFmtId="176" fontId="17" fillId="0" borderId="44" xfId="0" applyNumberFormat="1" applyFont="1" applyBorder="1" applyAlignment="1">
      <alignment horizontal="right" vertical="center"/>
    </xf>
    <xf numFmtId="0" fontId="15" fillId="15" borderId="45" xfId="0" applyFont="1" applyFill="1" applyBorder="1" applyAlignment="1">
      <alignment horizontal="center" vertical="center"/>
    </xf>
    <xf numFmtId="0" fontId="15" fillId="15" borderId="46" xfId="0" applyFont="1" applyFill="1" applyBorder="1" applyAlignment="1">
      <alignment horizontal="center" vertical="center"/>
    </xf>
    <xf numFmtId="0" fontId="15" fillId="13" borderId="38" xfId="0" applyFont="1" applyFill="1" applyBorder="1" applyAlignment="1">
      <alignment horizontal="center" vertical="center"/>
    </xf>
    <xf numFmtId="0" fontId="15" fillId="13" borderId="39" xfId="0" applyFont="1" applyFill="1" applyBorder="1" applyAlignment="1">
      <alignment horizontal="center" vertical="center"/>
    </xf>
    <xf numFmtId="0" fontId="15" fillId="12" borderId="38" xfId="0" applyFont="1" applyFill="1" applyBorder="1" applyAlignment="1">
      <alignment horizontal="center" vertical="center"/>
    </xf>
    <xf numFmtId="0" fontId="15" fillId="12" borderId="39" xfId="0" applyFont="1" applyFill="1" applyBorder="1" applyAlignment="1">
      <alignment horizontal="center" vertical="center"/>
    </xf>
    <xf numFmtId="0" fontId="15" fillId="8" borderId="38" xfId="0" applyFont="1" applyFill="1" applyBorder="1" applyAlignment="1">
      <alignment horizontal="center" vertical="center"/>
    </xf>
    <xf numFmtId="0" fontId="15" fillId="8" borderId="39" xfId="0" applyFont="1" applyFill="1" applyBorder="1" applyAlignment="1">
      <alignment horizontal="center" vertical="center"/>
    </xf>
    <xf numFmtId="0" fontId="15" fillId="6" borderId="38" xfId="0" applyFont="1" applyFill="1" applyBorder="1" applyAlignment="1">
      <alignment horizontal="center" vertical="center"/>
    </xf>
    <xf numFmtId="0" fontId="15" fillId="6" borderId="39" xfId="0" applyFont="1" applyFill="1" applyBorder="1" applyAlignment="1">
      <alignment horizontal="center" vertical="center"/>
    </xf>
    <xf numFmtId="176" fontId="18" fillId="0" borderId="26" xfId="0" applyNumberFormat="1" applyFont="1" applyBorder="1" applyAlignment="1">
      <alignment horizontal="right" vertical="center"/>
    </xf>
    <xf numFmtId="176" fontId="18" fillId="0" borderId="6" xfId="0" applyNumberFormat="1" applyFont="1" applyBorder="1" applyAlignment="1">
      <alignment horizontal="right" vertical="center"/>
    </xf>
    <xf numFmtId="176" fontId="18" fillId="0" borderId="47" xfId="0" applyNumberFormat="1" applyFont="1" applyBorder="1" applyAlignment="1">
      <alignment horizontal="right" vertical="center"/>
    </xf>
    <xf numFmtId="0" fontId="14" fillId="0" borderId="0" xfId="0" applyFont="1" applyBorder="1" applyAlignment="1">
      <alignment horizontal="center" vertical="center"/>
    </xf>
    <xf numFmtId="176" fontId="17" fillId="0" borderId="29" xfId="0" applyNumberFormat="1" applyFont="1" applyBorder="1" applyAlignment="1">
      <alignment horizontal="right" vertical="center"/>
    </xf>
    <xf numFmtId="176" fontId="17" fillId="0" borderId="30" xfId="0" applyNumberFormat="1" applyFont="1" applyBorder="1" applyAlignment="1">
      <alignment horizontal="right" vertical="center"/>
    </xf>
    <xf numFmtId="176" fontId="17" fillId="0" borderId="31" xfId="0" applyNumberFormat="1" applyFont="1" applyBorder="1" applyAlignment="1">
      <alignment horizontal="right" vertical="center"/>
    </xf>
    <xf numFmtId="0" fontId="15" fillId="11" borderId="32" xfId="0" applyFont="1" applyFill="1" applyBorder="1" applyAlignment="1">
      <alignment horizontal="center" vertical="center"/>
    </xf>
    <xf numFmtId="0" fontId="15" fillId="11" borderId="33" xfId="0" applyFont="1" applyFill="1" applyBorder="1" applyAlignment="1">
      <alignment horizontal="center" vertical="center"/>
    </xf>
    <xf numFmtId="0" fontId="15" fillId="3" borderId="38" xfId="0" applyFont="1" applyFill="1" applyBorder="1" applyAlignment="1">
      <alignment horizontal="center" vertical="center"/>
    </xf>
    <xf numFmtId="0" fontId="15" fillId="3" borderId="39" xfId="0" applyFont="1" applyFill="1" applyBorder="1" applyAlignment="1">
      <alignment horizontal="center" vertical="center"/>
    </xf>
    <xf numFmtId="0" fontId="15" fillId="10" borderId="38" xfId="0" applyFont="1" applyFill="1" applyBorder="1" applyAlignment="1">
      <alignment horizontal="center" vertical="center"/>
    </xf>
    <xf numFmtId="0" fontId="15" fillId="10" borderId="39" xfId="0" applyFont="1" applyFill="1" applyBorder="1" applyAlignment="1">
      <alignment horizontal="center" vertical="center"/>
    </xf>
    <xf numFmtId="0" fontId="15" fillId="7" borderId="38" xfId="0" applyFont="1" applyFill="1" applyBorder="1" applyAlignment="1">
      <alignment horizontal="center" vertical="center"/>
    </xf>
    <xf numFmtId="0" fontId="15" fillId="7" borderId="39" xfId="0" applyFont="1" applyFill="1" applyBorder="1" applyAlignment="1">
      <alignment horizontal="center" vertical="center"/>
    </xf>
    <xf numFmtId="176" fontId="18" fillId="0" borderId="62" xfId="0" applyNumberFormat="1" applyFont="1" applyBorder="1" applyAlignment="1">
      <alignment horizontal="right" vertical="center"/>
    </xf>
    <xf numFmtId="176" fontId="18" fillId="0" borderId="63" xfId="0" applyNumberFormat="1" applyFont="1" applyBorder="1" applyAlignment="1">
      <alignment horizontal="right" vertical="center"/>
    </xf>
    <xf numFmtId="176" fontId="17" fillId="0" borderId="38" xfId="0" applyNumberFormat="1" applyFont="1" applyBorder="1" applyAlignment="1">
      <alignment horizontal="right" vertical="center"/>
    </xf>
    <xf numFmtId="176" fontId="17" fillId="0" borderId="65" xfId="0" applyNumberFormat="1" applyFont="1" applyBorder="1" applyAlignment="1">
      <alignment horizontal="right" vertical="center"/>
    </xf>
    <xf numFmtId="177" fontId="15" fillId="0" borderId="15" xfId="0" applyNumberFormat="1" applyFont="1" applyBorder="1" applyAlignment="1">
      <alignment horizontal="right" vertical="center"/>
    </xf>
    <xf numFmtId="177" fontId="15" fillId="0" borderId="16" xfId="0" applyNumberFormat="1" applyFont="1" applyBorder="1" applyAlignment="1">
      <alignment horizontal="right" vertical="center"/>
    </xf>
    <xf numFmtId="176" fontId="17" fillId="0" borderId="93" xfId="0" applyNumberFormat="1" applyFont="1" applyBorder="1" applyAlignment="1">
      <alignment horizontal="right" vertical="center"/>
    </xf>
    <xf numFmtId="176" fontId="17" fillId="0" borderId="94" xfId="0" applyNumberFormat="1" applyFont="1" applyBorder="1" applyAlignment="1">
      <alignment horizontal="right" vertical="center"/>
    </xf>
    <xf numFmtId="177" fontId="15" fillId="0" borderId="9" xfId="0" applyNumberFormat="1" applyFont="1" applyBorder="1" applyAlignment="1">
      <alignment horizontal="right" vertical="center"/>
    </xf>
    <xf numFmtId="177" fontId="15" fillId="0" borderId="10" xfId="0" applyNumberFormat="1" applyFont="1" applyBorder="1" applyAlignment="1">
      <alignment horizontal="right" vertical="center"/>
    </xf>
    <xf numFmtId="0" fontId="15" fillId="0" borderId="61" xfId="0" applyFont="1" applyBorder="1" applyAlignment="1">
      <alignment horizontal="center" vertical="center"/>
    </xf>
    <xf numFmtId="176" fontId="17" fillId="0" borderId="91" xfId="0" applyNumberFormat="1" applyFont="1" applyBorder="1" applyAlignment="1">
      <alignment horizontal="right" vertical="center"/>
    </xf>
    <xf numFmtId="176" fontId="17" fillId="0" borderId="92" xfId="0" applyNumberFormat="1" applyFont="1" applyBorder="1" applyAlignment="1">
      <alignment horizontal="right" vertical="center"/>
    </xf>
    <xf numFmtId="0" fontId="20" fillId="0" borderId="60" xfId="0" applyFont="1" applyBorder="1" applyAlignment="1">
      <alignment horizontal="center" vertical="center"/>
    </xf>
    <xf numFmtId="176" fontId="12" fillId="0" borderId="60" xfId="0" applyNumberFormat="1" applyFont="1" applyBorder="1" applyAlignment="1">
      <alignment vertical="center"/>
    </xf>
    <xf numFmtId="177" fontId="12" fillId="0" borderId="60" xfId="0" applyNumberFormat="1" applyFont="1" applyBorder="1" applyAlignment="1">
      <alignment horizontal="center" vertical="center"/>
    </xf>
    <xf numFmtId="0" fontId="20" fillId="0" borderId="89" xfId="0" applyFont="1" applyBorder="1" applyAlignment="1">
      <alignment horizontal="center" vertical="center"/>
    </xf>
    <xf numFmtId="176" fontId="12" fillId="0" borderId="89" xfId="0" applyNumberFormat="1" applyFont="1" applyBorder="1" applyAlignment="1">
      <alignment vertical="center"/>
    </xf>
    <xf numFmtId="177" fontId="12" fillId="0" borderId="89" xfId="0" applyNumberFormat="1" applyFont="1" applyBorder="1" applyAlignment="1">
      <alignment horizontal="center" vertical="center"/>
    </xf>
    <xf numFmtId="0" fontId="20" fillId="0" borderId="53" xfId="0" applyFont="1" applyBorder="1" applyAlignment="1">
      <alignment horizontal="center" vertical="center"/>
    </xf>
    <xf numFmtId="176" fontId="12" fillId="0" borderId="53" xfId="0" applyNumberFormat="1" applyFont="1" applyBorder="1" applyAlignment="1">
      <alignment vertical="center"/>
    </xf>
    <xf numFmtId="177" fontId="12" fillId="0" borderId="53" xfId="0" applyNumberFormat="1" applyFont="1" applyBorder="1" applyAlignment="1">
      <alignment horizontal="center" vertical="center"/>
    </xf>
    <xf numFmtId="0" fontId="20" fillId="0" borderId="90" xfId="0" applyFont="1" applyBorder="1" applyAlignment="1">
      <alignment horizontal="center" vertical="center"/>
    </xf>
    <xf numFmtId="176" fontId="12" fillId="0" borderId="90" xfId="0" applyNumberFormat="1" applyFont="1" applyBorder="1" applyAlignment="1">
      <alignment vertical="center"/>
    </xf>
    <xf numFmtId="177" fontId="12" fillId="0" borderId="90" xfId="0" applyNumberFormat="1" applyFont="1" applyBorder="1" applyAlignment="1">
      <alignment horizontal="center" vertical="center"/>
    </xf>
    <xf numFmtId="0" fontId="20" fillId="0" borderId="55" xfId="0" applyFont="1" applyBorder="1" applyAlignment="1">
      <alignment horizontal="center" vertical="center"/>
    </xf>
    <xf numFmtId="0" fontId="20" fillId="0" borderId="51" xfId="0" applyFont="1" applyBorder="1" applyAlignment="1">
      <alignment horizontal="center" vertical="center"/>
    </xf>
    <xf numFmtId="176" fontId="12" fillId="0" borderId="55" xfId="0" applyNumberFormat="1" applyFont="1" applyBorder="1" applyAlignment="1">
      <alignment vertical="center"/>
    </xf>
    <xf numFmtId="176" fontId="12" fillId="0" borderId="51" xfId="0" applyNumberFormat="1" applyFont="1" applyBorder="1" applyAlignment="1">
      <alignment vertical="center"/>
    </xf>
    <xf numFmtId="177" fontId="12" fillId="0" borderId="55" xfId="0" applyNumberFormat="1" applyFont="1" applyBorder="1" applyAlignment="1">
      <alignment horizontal="center" vertical="center"/>
    </xf>
    <xf numFmtId="177" fontId="12" fillId="0" borderId="51" xfId="0" applyNumberFormat="1" applyFont="1" applyBorder="1" applyAlignment="1">
      <alignment horizontal="center" vertical="center"/>
    </xf>
    <xf numFmtId="0" fontId="20" fillId="0" borderId="57" xfId="0" applyFont="1" applyBorder="1" applyAlignment="1">
      <alignment horizontal="center" vertical="center"/>
    </xf>
    <xf numFmtId="176" fontId="12" fillId="0" borderId="57" xfId="0" applyNumberFormat="1" applyFont="1" applyBorder="1" applyAlignment="1">
      <alignment vertical="center"/>
    </xf>
    <xf numFmtId="177" fontId="12" fillId="0" borderId="57" xfId="0" applyNumberFormat="1" applyFont="1" applyBorder="1" applyAlignment="1">
      <alignment horizontal="center" vertical="center"/>
    </xf>
    <xf numFmtId="0" fontId="20" fillId="0" borderId="59" xfId="0" applyFont="1" applyBorder="1" applyAlignment="1">
      <alignment horizontal="center" vertical="center"/>
    </xf>
    <xf numFmtId="176" fontId="12" fillId="0" borderId="59" xfId="0" applyNumberFormat="1" applyFont="1" applyBorder="1" applyAlignment="1">
      <alignment vertical="center"/>
    </xf>
    <xf numFmtId="177" fontId="12" fillId="0" borderId="59" xfId="0" applyNumberFormat="1" applyFont="1" applyBorder="1" applyAlignment="1">
      <alignment horizontal="center" vertical="center"/>
    </xf>
    <xf numFmtId="176" fontId="13" fillId="0" borderId="0" xfId="0" applyNumberFormat="1" applyFont="1" applyAlignment="1">
      <alignment horizontal="center" vertical="center"/>
    </xf>
    <xf numFmtId="177" fontId="13" fillId="0" borderId="0" xfId="0" applyNumberFormat="1" applyFont="1" applyAlignment="1">
      <alignment horizontal="center" vertical="center"/>
    </xf>
    <xf numFmtId="0" fontId="13" fillId="0" borderId="0" xfId="0" applyFont="1" applyAlignment="1">
      <alignment horizontal="center" vertical="center"/>
    </xf>
    <xf numFmtId="0" fontId="2" fillId="0" borderId="0" xfId="0" applyFont="1" applyAlignment="1">
      <alignment horizontal="center" vertical="center"/>
    </xf>
    <xf numFmtId="49" fontId="2" fillId="0" borderId="1" xfId="0" applyNumberFormat="1" applyFont="1" applyBorder="1" applyAlignment="1">
      <alignment horizontal="center" vertical="center"/>
    </xf>
    <xf numFmtId="10" fontId="2" fillId="0" borderId="35" xfId="0" applyNumberFormat="1" applyFont="1" applyBorder="1" applyAlignment="1">
      <alignment horizontal="center" vertical="center"/>
    </xf>
    <xf numFmtId="49" fontId="2" fillId="0" borderId="100" xfId="0" applyNumberFormat="1" applyFont="1" applyBorder="1" applyAlignment="1">
      <alignment horizontal="center" vertical="center"/>
    </xf>
    <xf numFmtId="10" fontId="2" fillId="0" borderId="101" xfId="0" applyNumberFormat="1" applyFont="1" applyBorder="1" applyAlignment="1">
      <alignment horizontal="center" vertical="center"/>
    </xf>
    <xf numFmtId="0" fontId="2" fillId="0" borderId="14" xfId="0" applyFont="1" applyFill="1" applyBorder="1" applyAlignment="1">
      <alignment horizontal="center" vertical="center"/>
    </xf>
    <xf numFmtId="0" fontId="2" fillId="0" borderId="34" xfId="0" applyFont="1" applyFill="1" applyBorder="1" applyAlignment="1">
      <alignment horizontal="center" vertical="center"/>
    </xf>
    <xf numFmtId="0" fontId="2" fillId="0" borderId="99" xfId="0" applyFont="1" applyFill="1" applyBorder="1" applyAlignment="1">
      <alignment horizontal="center" vertical="center"/>
    </xf>
    <xf numFmtId="49" fontId="2" fillId="0" borderId="15" xfId="0" applyNumberFormat="1" applyFont="1" applyBorder="1" applyAlignment="1">
      <alignment horizontal="center" vertical="center"/>
    </xf>
    <xf numFmtId="10" fontId="2" fillId="0" borderId="16" xfId="0" applyNumberFormat="1" applyFont="1" applyBorder="1" applyAlignment="1">
      <alignment horizontal="center" vertical="center"/>
    </xf>
    <xf numFmtId="0" fontId="2" fillId="0" borderId="14" xfId="0" applyFont="1" applyBorder="1" applyAlignment="1">
      <alignment horizontal="center" vertical="center"/>
    </xf>
    <xf numFmtId="0" fontId="2" fillId="0" borderId="34" xfId="0" applyFont="1" applyBorder="1" applyAlignment="1">
      <alignment horizontal="center" vertical="center"/>
    </xf>
    <xf numFmtId="0" fontId="2" fillId="0" borderId="99" xfId="0" applyFont="1" applyBorder="1" applyAlignment="1">
      <alignment horizontal="center" vertical="center"/>
    </xf>
    <xf numFmtId="49" fontId="2" fillId="0" borderId="43" xfId="0" applyNumberFormat="1" applyFont="1" applyBorder="1" applyAlignment="1">
      <alignment horizontal="center" vertical="center"/>
    </xf>
    <xf numFmtId="10" fontId="2" fillId="0" borderId="41" xfId="0" applyNumberFormat="1" applyFont="1" applyBorder="1" applyAlignment="1">
      <alignment horizontal="center" vertical="center"/>
    </xf>
    <xf numFmtId="0" fontId="2" fillId="4" borderId="14" xfId="0" applyFont="1" applyFill="1" applyBorder="1" applyAlignment="1">
      <alignment horizontal="center" vertical="center"/>
    </xf>
    <xf numFmtId="0" fontId="2" fillId="4" borderId="34" xfId="0" applyFont="1" applyFill="1" applyBorder="1" applyAlignment="1">
      <alignment horizontal="center" vertical="center"/>
    </xf>
    <xf numFmtId="0" fontId="2" fillId="4" borderId="99" xfId="0" applyFont="1" applyFill="1" applyBorder="1" applyAlignment="1">
      <alignment horizontal="center" vertical="center"/>
    </xf>
    <xf numFmtId="0" fontId="2" fillId="4" borderId="40" xfId="0" applyFont="1" applyFill="1" applyBorder="1" applyAlignment="1">
      <alignment horizontal="center" vertical="center"/>
    </xf>
    <xf numFmtId="0" fontId="2" fillId="6" borderId="14" xfId="0" applyFont="1" applyFill="1" applyBorder="1" applyAlignment="1">
      <alignment horizontal="center" vertical="center"/>
    </xf>
    <xf numFmtId="0" fontId="2" fillId="6" borderId="34" xfId="0" applyFont="1" applyFill="1" applyBorder="1" applyAlignment="1">
      <alignment horizontal="center" vertical="center"/>
    </xf>
    <xf numFmtId="0" fontId="2" fillId="6" borderId="40" xfId="0" applyFont="1" applyFill="1" applyBorder="1" applyAlignment="1">
      <alignment horizontal="center" vertical="center"/>
    </xf>
    <xf numFmtId="0" fontId="2" fillId="10" borderId="14" xfId="0" applyFont="1" applyFill="1" applyBorder="1" applyAlignment="1">
      <alignment horizontal="center" vertical="center"/>
    </xf>
    <xf numFmtId="0" fontId="2" fillId="10" borderId="34" xfId="0" applyFont="1" applyFill="1" applyBorder="1" applyAlignment="1">
      <alignment horizontal="center" vertical="center"/>
    </xf>
    <xf numFmtId="0" fontId="2" fillId="10" borderId="40"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34" xfId="0" applyFont="1" applyFill="1" applyBorder="1" applyAlignment="1">
      <alignment horizontal="center" vertical="center"/>
    </xf>
    <xf numFmtId="0" fontId="2" fillId="3" borderId="40" xfId="0" applyFont="1" applyFill="1" applyBorder="1" applyAlignment="1">
      <alignment horizontal="center" vertical="center"/>
    </xf>
    <xf numFmtId="0" fontId="2" fillId="15" borderId="14" xfId="0" applyFont="1" applyFill="1" applyBorder="1" applyAlignment="1">
      <alignment horizontal="center" vertical="center"/>
    </xf>
    <xf numFmtId="0" fontId="2" fillId="15" borderId="34" xfId="0" applyFont="1" applyFill="1" applyBorder="1" applyAlignment="1">
      <alignment horizontal="center" vertical="center"/>
    </xf>
    <xf numFmtId="0" fontId="2" fillId="15" borderId="40" xfId="0" applyFont="1" applyFill="1" applyBorder="1" applyAlignment="1">
      <alignment horizontal="center" vertical="center"/>
    </xf>
    <xf numFmtId="0" fontId="2" fillId="12" borderId="14" xfId="0" applyFont="1" applyFill="1" applyBorder="1" applyAlignment="1">
      <alignment horizontal="center" vertical="center"/>
    </xf>
    <xf numFmtId="0" fontId="2" fillId="12" borderId="34" xfId="0" applyFont="1" applyFill="1" applyBorder="1" applyAlignment="1">
      <alignment horizontal="center" vertical="center"/>
    </xf>
    <xf numFmtId="0" fontId="2" fillId="12" borderId="40" xfId="0" applyFont="1" applyFill="1" applyBorder="1" applyAlignment="1">
      <alignment horizontal="center" vertical="center"/>
    </xf>
    <xf numFmtId="0" fontId="2" fillId="4" borderId="27" xfId="0" applyFont="1" applyFill="1" applyBorder="1" applyAlignment="1">
      <alignment horizontal="center" vertical="center"/>
    </xf>
    <xf numFmtId="49" fontId="2" fillId="0" borderId="30" xfId="0" applyNumberFormat="1" applyFont="1" applyBorder="1" applyAlignment="1">
      <alignment horizontal="center" vertical="center"/>
    </xf>
    <xf numFmtId="10" fontId="2" fillId="0" borderId="28" xfId="0" applyNumberFormat="1" applyFont="1" applyBorder="1" applyAlignment="1">
      <alignment horizontal="center" vertical="center"/>
    </xf>
    <xf numFmtId="0" fontId="2" fillId="3" borderId="27" xfId="0" applyFont="1" applyFill="1" applyBorder="1" applyAlignment="1">
      <alignment horizontal="center" vertical="center"/>
    </xf>
    <xf numFmtId="0" fontId="2" fillId="7" borderId="27" xfId="0" applyFont="1" applyFill="1" applyBorder="1" applyAlignment="1">
      <alignment horizontal="center" vertical="center"/>
    </xf>
    <xf numFmtId="0" fontId="2" fillId="7" borderId="34" xfId="0" applyFont="1" applyFill="1" applyBorder="1" applyAlignment="1">
      <alignment horizontal="center" vertical="center"/>
    </xf>
    <xf numFmtId="0" fontId="2" fillId="7" borderId="40" xfId="0" applyFont="1" applyFill="1" applyBorder="1" applyAlignment="1">
      <alignment horizontal="center" vertical="center"/>
    </xf>
    <xf numFmtId="0" fontId="2" fillId="12" borderId="27" xfId="0" applyFont="1" applyFill="1" applyBorder="1" applyAlignment="1">
      <alignment horizontal="center" vertical="center"/>
    </xf>
    <xf numFmtId="0" fontId="2" fillId="15" borderId="27" xfId="0" applyFont="1" applyFill="1" applyBorder="1" applyAlignment="1">
      <alignment horizontal="center" vertical="center"/>
    </xf>
    <xf numFmtId="0" fontId="18" fillId="0" borderId="62" xfId="0" applyFont="1" applyBorder="1" applyAlignment="1">
      <alignment horizontal="center" vertical="center"/>
    </xf>
    <xf numFmtId="0" fontId="18" fillId="0" borderId="63" xfId="0" applyFont="1" applyBorder="1" applyAlignment="1">
      <alignment horizontal="center" vertical="center"/>
    </xf>
    <xf numFmtId="0" fontId="18" fillId="0" borderId="26" xfId="0" applyFont="1" applyBorder="1" applyAlignment="1">
      <alignment horizontal="center" vertical="center"/>
    </xf>
    <xf numFmtId="0" fontId="33" fillId="0" borderId="30" xfId="0" applyFont="1" applyBorder="1" applyAlignment="1">
      <alignment horizontal="center" vertical="center"/>
    </xf>
    <xf numFmtId="0" fontId="33" fillId="0" borderId="31" xfId="0" applyFont="1" applyBorder="1" applyAlignment="1">
      <alignment horizontal="center" vertical="center"/>
    </xf>
    <xf numFmtId="0" fontId="33" fillId="0" borderId="27" xfId="0" applyFont="1" applyBorder="1" applyAlignment="1">
      <alignment horizontal="center" vertical="center"/>
    </xf>
    <xf numFmtId="0" fontId="33" fillId="0" borderId="28" xfId="0" applyFont="1" applyBorder="1" applyAlignment="1">
      <alignment horizontal="center" vertical="center"/>
    </xf>
    <xf numFmtId="0" fontId="33" fillId="0" borderId="29" xfId="0" applyFont="1" applyBorder="1" applyAlignment="1">
      <alignment horizontal="center" vertical="center"/>
    </xf>
    <xf numFmtId="0" fontId="33" fillId="30" borderId="60" xfId="0" applyFont="1" applyFill="1" applyBorder="1" applyAlignment="1">
      <alignment horizontal="center" vertical="center" wrapText="1"/>
    </xf>
    <xf numFmtId="0" fontId="33" fillId="30" borderId="55" xfId="0" applyFont="1" applyFill="1" applyBorder="1" applyAlignment="1">
      <alignment horizontal="center" vertical="center"/>
    </xf>
    <xf numFmtId="0" fontId="33" fillId="0" borderId="90" xfId="0" applyFont="1" applyBorder="1" applyAlignment="1">
      <alignment horizontal="center" vertical="center" wrapText="1"/>
    </xf>
    <xf numFmtId="0" fontId="33" fillId="0" borderId="60" xfId="0" applyFont="1" applyBorder="1" applyAlignment="1">
      <alignment horizontal="center" vertical="center"/>
    </xf>
    <xf numFmtId="0" fontId="7" fillId="0" borderId="42" xfId="0" applyFont="1" applyBorder="1" applyAlignment="1">
      <alignment horizontal="center" vertical="center"/>
    </xf>
    <xf numFmtId="0" fontId="7" fillId="0" borderId="43" xfId="0" applyFont="1" applyBorder="1" applyAlignment="1">
      <alignment horizontal="center" vertical="center"/>
    </xf>
    <xf numFmtId="0" fontId="36" fillId="35" borderId="36" xfId="0" applyFont="1" applyFill="1" applyBorder="1" applyAlignment="1">
      <alignment horizontal="center" vertical="center"/>
    </xf>
    <xf numFmtId="0" fontId="33" fillId="26" borderId="60" xfId="0" applyFont="1" applyFill="1" applyBorder="1" applyAlignment="1">
      <alignment horizontal="center" vertical="center"/>
    </xf>
    <xf numFmtId="0" fontId="33" fillId="20" borderId="60" xfId="0" applyFont="1" applyFill="1" applyBorder="1" applyAlignment="1">
      <alignment horizontal="center" vertical="center"/>
    </xf>
    <xf numFmtId="0" fontId="33" fillId="28" borderId="60" xfId="0" applyFont="1" applyFill="1" applyBorder="1" applyAlignment="1">
      <alignment horizontal="center" vertical="center"/>
    </xf>
    <xf numFmtId="0" fontId="33" fillId="29" borderId="60" xfId="0" applyFont="1" applyFill="1" applyBorder="1" applyAlignment="1">
      <alignment horizontal="center" vertical="center"/>
    </xf>
    <xf numFmtId="0" fontId="33" fillId="31" borderId="60" xfId="0" applyFont="1" applyFill="1" applyBorder="1" applyAlignment="1">
      <alignment horizontal="center" vertical="center"/>
    </xf>
    <xf numFmtId="0" fontId="33" fillId="32" borderId="60" xfId="0" applyFont="1" applyFill="1" applyBorder="1" applyAlignment="1">
      <alignment horizontal="center" vertical="center"/>
    </xf>
    <xf numFmtId="0" fontId="33" fillId="21" borderId="53" xfId="0" applyFont="1" applyFill="1" applyBorder="1" applyAlignment="1">
      <alignment horizontal="center" vertical="center"/>
    </xf>
    <xf numFmtId="0" fontId="33" fillId="21" borderId="60" xfId="0" applyFont="1" applyFill="1" applyBorder="1" applyAlignment="1">
      <alignment horizontal="center" vertical="center"/>
    </xf>
    <xf numFmtId="0" fontId="33" fillId="22" borderId="60" xfId="0" applyFont="1" applyFill="1" applyBorder="1" applyAlignment="1">
      <alignment horizontal="center" vertical="center"/>
    </xf>
    <xf numFmtId="0" fontId="33" fillId="23" borderId="60" xfId="0" applyFont="1" applyFill="1" applyBorder="1" applyAlignment="1">
      <alignment horizontal="center" vertical="center"/>
    </xf>
    <xf numFmtId="0" fontId="33" fillId="2" borderId="60" xfId="0" applyFont="1" applyFill="1" applyBorder="1" applyAlignment="1">
      <alignment horizontal="center" vertical="center"/>
    </xf>
    <xf numFmtId="0" fontId="33" fillId="24" borderId="60" xfId="0" applyFont="1" applyFill="1" applyBorder="1" applyAlignment="1">
      <alignment horizontal="center" vertical="center"/>
    </xf>
    <xf numFmtId="0" fontId="33" fillId="25" borderId="60" xfId="0" applyFont="1" applyFill="1" applyBorder="1" applyAlignment="1">
      <alignment horizontal="center" vertical="center"/>
    </xf>
    <xf numFmtId="0" fontId="36" fillId="35" borderId="54" xfId="0" applyFont="1" applyFill="1" applyBorder="1" applyAlignment="1">
      <alignment horizontal="center" vertical="center"/>
    </xf>
    <xf numFmtId="0" fontId="41" fillId="0" borderId="29" xfId="0" applyFont="1" applyBorder="1" applyAlignment="1">
      <alignment horizontal="center" vertical="center"/>
    </xf>
    <xf numFmtId="0" fontId="41" fillId="0" borderId="36" xfId="0" applyFont="1" applyBorder="1" applyAlignment="1">
      <alignment horizontal="center" vertical="center"/>
    </xf>
    <xf numFmtId="0" fontId="41" fillId="0" borderId="40" xfId="0" applyFont="1" applyBorder="1" applyAlignment="1">
      <alignment horizontal="center" vertical="center"/>
    </xf>
    <xf numFmtId="0" fontId="41" fillId="0" borderId="41" xfId="0" applyFont="1" applyBorder="1" applyAlignment="1">
      <alignment horizontal="center" vertical="center"/>
    </xf>
    <xf numFmtId="0" fontId="36" fillId="35" borderId="52" xfId="0" applyFont="1" applyFill="1" applyBorder="1" applyAlignment="1">
      <alignment horizontal="center" vertical="center"/>
    </xf>
    <xf numFmtId="0" fontId="36" fillId="35" borderId="15" xfId="0" applyFont="1" applyFill="1" applyBorder="1" applyAlignment="1">
      <alignment horizontal="center" vertical="center"/>
    </xf>
    <xf numFmtId="0" fontId="36" fillId="35" borderId="1" xfId="0" applyFont="1" applyFill="1" applyBorder="1" applyAlignment="1">
      <alignment horizontal="center" vertical="center"/>
    </xf>
    <xf numFmtId="0" fontId="1" fillId="0" borderId="43" xfId="0" applyFont="1" applyBorder="1" applyAlignment="1">
      <alignment horizontal="center" vertical="center"/>
    </xf>
    <xf numFmtId="0" fontId="36" fillId="0" borderId="36" xfId="0" applyFont="1" applyBorder="1" applyAlignment="1">
      <alignment horizontal="center" vertical="center"/>
    </xf>
    <xf numFmtId="0" fontId="41" fillId="0" borderId="30" xfId="0" applyFont="1" applyBorder="1" applyAlignment="1">
      <alignment horizontal="center" vertical="center"/>
    </xf>
    <xf numFmtId="0" fontId="41" fillId="0" borderId="1" xfId="0" applyFont="1" applyBorder="1" applyAlignment="1">
      <alignment horizontal="center" vertical="center"/>
    </xf>
    <xf numFmtId="0" fontId="36" fillId="0" borderId="1" xfId="0" applyFont="1" applyBorder="1" applyAlignment="1">
      <alignment horizontal="center" vertical="center"/>
    </xf>
    <xf numFmtId="0" fontId="36" fillId="35" borderId="18" xfId="0" applyFont="1" applyFill="1" applyBorder="1" applyAlignment="1">
      <alignment horizontal="center" vertical="center"/>
    </xf>
    <xf numFmtId="0" fontId="42" fillId="29" borderId="34" xfId="0" applyFont="1" applyFill="1" applyBorder="1" applyAlignment="1">
      <alignment horizontal="right" vertical="center"/>
    </xf>
    <xf numFmtId="0" fontId="42" fillId="31" borderId="34" xfId="0" applyFont="1" applyFill="1" applyBorder="1" applyAlignment="1">
      <alignment horizontal="right" vertical="center"/>
    </xf>
    <xf numFmtId="0" fontId="42" fillId="32" borderId="34" xfId="0" applyFont="1" applyFill="1" applyBorder="1" applyAlignment="1">
      <alignment horizontal="right" vertical="center"/>
    </xf>
    <xf numFmtId="0" fontId="42" fillId="30" borderId="34" xfId="0" applyFont="1" applyFill="1" applyBorder="1" applyAlignment="1">
      <alignment horizontal="right" vertical="center"/>
    </xf>
    <xf numFmtId="0" fontId="42" fillId="30" borderId="17" xfId="0" applyFont="1" applyFill="1" applyBorder="1" applyAlignment="1">
      <alignment horizontal="right" vertical="center"/>
    </xf>
    <xf numFmtId="0" fontId="42" fillId="0" borderId="11" xfId="0" applyFont="1" applyBorder="1" applyAlignment="1">
      <alignment horizontal="right" vertical="center"/>
    </xf>
    <xf numFmtId="0" fontId="42" fillId="0" borderId="14" xfId="0" applyFont="1" applyBorder="1" applyAlignment="1">
      <alignment horizontal="right" vertical="center"/>
    </xf>
    <xf numFmtId="0" fontId="1" fillId="0" borderId="40" xfId="0" applyFont="1" applyBorder="1" applyAlignment="1">
      <alignment horizontal="center" vertical="center"/>
    </xf>
    <xf numFmtId="0" fontId="1" fillId="0" borderId="41" xfId="0" applyFont="1" applyBorder="1" applyAlignment="1">
      <alignment horizontal="center" vertical="center"/>
    </xf>
    <xf numFmtId="0" fontId="1" fillId="0" borderId="44" xfId="0" applyFont="1" applyBorder="1" applyAlignment="1">
      <alignment horizontal="center" vertical="center"/>
    </xf>
    <xf numFmtId="0" fontId="42" fillId="21" borderId="14" xfId="0" applyFont="1" applyFill="1" applyBorder="1" applyAlignment="1">
      <alignment horizontal="right" vertical="center"/>
    </xf>
    <xf numFmtId="0" fontId="42" fillId="21" borderId="34" xfId="0" applyFont="1" applyFill="1" applyBorder="1" applyAlignment="1">
      <alignment horizontal="right" vertical="center"/>
    </xf>
    <xf numFmtId="0" fontId="42" fillId="22" borderId="34" xfId="0" applyFont="1" applyFill="1" applyBorder="1" applyAlignment="1">
      <alignment horizontal="right" vertical="center"/>
    </xf>
    <xf numFmtId="0" fontId="42" fillId="23" borderId="34" xfId="0" applyFont="1" applyFill="1" applyBorder="1" applyAlignment="1">
      <alignment horizontal="right" vertical="center"/>
    </xf>
    <xf numFmtId="0" fontId="42" fillId="2" borderId="34" xfId="0" applyFont="1" applyFill="1" applyBorder="1" applyAlignment="1">
      <alignment horizontal="right" vertical="center"/>
    </xf>
    <xf numFmtId="0" fontId="42" fillId="24" borderId="34" xfId="0" applyFont="1" applyFill="1" applyBorder="1" applyAlignment="1">
      <alignment horizontal="right" vertical="center"/>
    </xf>
    <xf numFmtId="0" fontId="42" fillId="25" borderId="34" xfId="0" applyFont="1" applyFill="1" applyBorder="1" applyAlignment="1">
      <alignment horizontal="right" vertical="center"/>
    </xf>
    <xf numFmtId="0" fontId="42" fillId="26" borderId="34" xfId="0" applyFont="1" applyFill="1" applyBorder="1" applyAlignment="1">
      <alignment horizontal="right" vertical="center"/>
    </xf>
    <xf numFmtId="0" fontId="42" fillId="20" borderId="34" xfId="0" applyFont="1" applyFill="1" applyBorder="1" applyAlignment="1">
      <alignment horizontal="right" vertical="center"/>
    </xf>
    <xf numFmtId="0" fontId="42" fillId="28" borderId="34" xfId="0" applyFont="1" applyFill="1" applyBorder="1" applyAlignment="1">
      <alignment horizontal="right" vertical="center"/>
    </xf>
    <xf numFmtId="177" fontId="7" fillId="35" borderId="36" xfId="0" applyNumberFormat="1" applyFont="1" applyFill="1" applyBorder="1" applyAlignment="1">
      <alignment horizontal="center" vertical="center"/>
    </xf>
    <xf numFmtId="177" fontId="7" fillId="35" borderId="35" xfId="0" applyNumberFormat="1" applyFont="1" applyFill="1" applyBorder="1" applyAlignment="1">
      <alignment horizontal="center" vertical="center"/>
    </xf>
    <xf numFmtId="177" fontId="7" fillId="35" borderId="42" xfId="0" applyNumberFormat="1" applyFont="1" applyFill="1" applyBorder="1" applyAlignment="1">
      <alignment horizontal="center" vertical="center"/>
    </xf>
    <xf numFmtId="177" fontId="7" fillId="35" borderId="41" xfId="0" applyNumberFormat="1" applyFont="1" applyFill="1" applyBorder="1" applyAlignment="1">
      <alignment horizontal="center" vertical="center"/>
    </xf>
    <xf numFmtId="0" fontId="30" fillId="0" borderId="7" xfId="0" applyFont="1" applyBorder="1" applyAlignment="1">
      <alignment horizontal="center" vertical="center"/>
    </xf>
    <xf numFmtId="177" fontId="7" fillId="35" borderId="52" xfId="0" applyNumberFormat="1" applyFont="1" applyFill="1" applyBorder="1" applyAlignment="1">
      <alignment horizontal="center" vertical="center"/>
    </xf>
    <xf numFmtId="177" fontId="7" fillId="35" borderId="16" xfId="0" applyNumberFormat="1" applyFont="1" applyFill="1" applyBorder="1" applyAlignment="1">
      <alignment horizontal="center" vertical="center"/>
    </xf>
    <xf numFmtId="0" fontId="30" fillId="0" borderId="0" xfId="0" applyFont="1" applyAlignment="1">
      <alignment horizontal="right" vertical="center"/>
    </xf>
    <xf numFmtId="0" fontId="30" fillId="35" borderId="5" xfId="0" applyFont="1" applyFill="1" applyBorder="1" applyAlignment="1">
      <alignment horizontal="center" vertical="center"/>
    </xf>
    <xf numFmtId="0" fontId="30" fillId="35" borderId="7" xfId="0" applyFont="1" applyFill="1" applyBorder="1" applyAlignment="1">
      <alignment horizontal="center" vertical="center"/>
    </xf>
    <xf numFmtId="0" fontId="30" fillId="0" borderId="6" xfId="0" applyFont="1" applyBorder="1" applyAlignment="1">
      <alignment horizontal="center" vertical="center"/>
    </xf>
    <xf numFmtId="181" fontId="7" fillId="0" borderId="1" xfId="0" applyNumberFormat="1" applyFont="1" applyBorder="1" applyAlignment="1">
      <alignment horizontal="right" vertical="center"/>
    </xf>
    <xf numFmtId="181" fontId="7" fillId="0" borderId="52" xfId="0" applyNumberFormat="1" applyFont="1" applyBorder="1" applyAlignment="1">
      <alignment horizontal="right" vertical="center"/>
    </xf>
    <xf numFmtId="181" fontId="7" fillId="0" borderId="15" xfId="0" applyNumberFormat="1" applyFont="1" applyBorder="1" applyAlignment="1">
      <alignment horizontal="right" vertical="center"/>
    </xf>
    <xf numFmtId="181" fontId="7" fillId="0" borderId="35" xfId="0" applyNumberFormat="1" applyFont="1" applyBorder="1" applyAlignment="1">
      <alignment horizontal="right" vertical="center"/>
    </xf>
    <xf numFmtId="181" fontId="7" fillId="0" borderId="16" xfId="0" applyNumberFormat="1" applyFont="1" applyBorder="1" applyAlignment="1">
      <alignment horizontal="right" vertical="center"/>
    </xf>
    <xf numFmtId="181" fontId="7" fillId="0" borderId="36" xfId="0" applyNumberFormat="1" applyFont="1" applyBorder="1" applyAlignment="1">
      <alignment horizontal="right" vertical="center"/>
    </xf>
    <xf numFmtId="181" fontId="7" fillId="0" borderId="43" xfId="0" applyNumberFormat="1" applyFont="1" applyBorder="1" applyAlignment="1">
      <alignment horizontal="right" vertical="center"/>
    </xf>
    <xf numFmtId="0" fontId="7" fillId="0" borderId="15" xfId="0" applyNumberFormat="1" applyFont="1" applyBorder="1" applyAlignment="1">
      <alignment horizontal="center" vertical="center"/>
    </xf>
    <xf numFmtId="181" fontId="7" fillId="0" borderId="41" xfId="0" applyNumberFormat="1" applyFont="1" applyBorder="1" applyAlignment="1">
      <alignment horizontal="right" vertical="center"/>
    </xf>
    <xf numFmtId="177" fontId="7" fillId="35" borderId="15" xfId="0" applyNumberFormat="1" applyFont="1" applyFill="1" applyBorder="1" applyAlignment="1">
      <alignment horizontal="center" vertical="center"/>
    </xf>
    <xf numFmtId="0" fontId="30" fillId="0" borderId="5" xfId="0" applyFont="1" applyBorder="1" applyAlignment="1">
      <alignment horizontal="center" vertical="center"/>
    </xf>
    <xf numFmtId="181" fontId="7" fillId="0" borderId="42" xfId="0" applyNumberFormat="1" applyFont="1" applyBorder="1" applyAlignment="1">
      <alignment horizontal="right" vertical="center"/>
    </xf>
    <xf numFmtId="0" fontId="7" fillId="0" borderId="1" xfId="0" applyNumberFormat="1" applyFont="1" applyBorder="1" applyAlignment="1">
      <alignment horizontal="center" vertical="center"/>
    </xf>
    <xf numFmtId="0" fontId="7" fillId="0" borderId="35" xfId="0" applyNumberFormat="1" applyFont="1" applyBorder="1" applyAlignment="1">
      <alignment horizontal="center" vertical="center"/>
    </xf>
    <xf numFmtId="0" fontId="7" fillId="0" borderId="16" xfId="0" applyNumberFormat="1" applyFont="1" applyBorder="1" applyAlignment="1">
      <alignment horizontal="center" vertical="center"/>
    </xf>
    <xf numFmtId="182" fontId="7" fillId="35" borderId="14" xfId="0" applyNumberFormat="1" applyFont="1" applyFill="1" applyBorder="1" applyAlignment="1">
      <alignment horizontal="center" vertical="center"/>
    </xf>
    <xf numFmtId="182" fontId="7" fillId="35" borderId="16" xfId="0" applyNumberFormat="1" applyFont="1" applyFill="1" applyBorder="1" applyAlignment="1">
      <alignment horizontal="center" vertical="center"/>
    </xf>
    <xf numFmtId="0" fontId="7" fillId="0" borderId="36" xfId="0" applyNumberFormat="1" applyFont="1" applyBorder="1" applyAlignment="1">
      <alignment horizontal="center" vertical="center"/>
    </xf>
    <xf numFmtId="0" fontId="7" fillId="0" borderId="52" xfId="0" applyNumberFormat="1" applyFont="1" applyBorder="1" applyAlignment="1">
      <alignment horizontal="center" vertical="center"/>
    </xf>
    <xf numFmtId="182" fontId="7" fillId="35" borderId="23" xfId="0" applyNumberFormat="1" applyFont="1" applyFill="1" applyBorder="1" applyAlignment="1">
      <alignment horizontal="center" vertical="center"/>
    </xf>
    <xf numFmtId="182" fontId="7" fillId="35" borderId="25" xfId="0" applyNumberFormat="1" applyFont="1" applyFill="1" applyBorder="1" applyAlignment="1">
      <alignment horizontal="center" vertical="center"/>
    </xf>
    <xf numFmtId="0" fontId="7" fillId="0" borderId="42" xfId="0" applyNumberFormat="1" applyFont="1" applyBorder="1" applyAlignment="1">
      <alignment horizontal="center" vertical="center"/>
    </xf>
    <xf numFmtId="0" fontId="7" fillId="0" borderId="43" xfId="0" applyNumberFormat="1" applyFont="1" applyBorder="1" applyAlignment="1">
      <alignment horizontal="center" vertical="center"/>
    </xf>
    <xf numFmtId="0" fontId="7" fillId="0" borderId="41" xfId="0" applyNumberFormat="1" applyFont="1" applyBorder="1" applyAlignment="1">
      <alignment horizontal="center" vertical="center"/>
    </xf>
    <xf numFmtId="0" fontId="32" fillId="30" borderId="60" xfId="0" applyFont="1" applyFill="1" applyBorder="1" applyAlignment="1">
      <alignment horizontal="center" vertical="center" wrapText="1"/>
    </xf>
    <xf numFmtId="0" fontId="32" fillId="30" borderId="60" xfId="0" applyFont="1" applyFill="1" applyBorder="1" applyAlignment="1">
      <alignment horizontal="center" vertical="center"/>
    </xf>
    <xf numFmtId="0" fontId="32" fillId="34" borderId="60" xfId="0" applyFont="1" applyFill="1" applyBorder="1" applyAlignment="1">
      <alignment horizontal="center" vertical="center"/>
    </xf>
    <xf numFmtId="0" fontId="32" fillId="34" borderId="55" xfId="0" applyFont="1" applyFill="1" applyBorder="1" applyAlignment="1">
      <alignment horizontal="center" vertical="center"/>
    </xf>
    <xf numFmtId="0" fontId="32" fillId="0" borderId="90" xfId="0" applyFont="1" applyFill="1" applyBorder="1" applyAlignment="1">
      <alignment horizontal="center" vertical="center"/>
    </xf>
    <xf numFmtId="0" fontId="32" fillId="0" borderId="89" xfId="0" applyFont="1" applyFill="1" applyBorder="1" applyAlignment="1">
      <alignment horizontal="center" vertical="center"/>
    </xf>
    <xf numFmtId="0" fontId="34" fillId="0" borderId="52" xfId="0" applyFont="1" applyBorder="1" applyAlignment="1">
      <alignment horizontal="right" vertical="center"/>
    </xf>
    <xf numFmtId="0" fontId="34" fillId="0" borderId="36" xfId="0" applyFont="1" applyBorder="1" applyAlignment="1">
      <alignment horizontal="right" vertical="center"/>
    </xf>
    <xf numFmtId="0" fontId="34" fillId="0" borderId="54" xfId="0" applyFont="1" applyBorder="1" applyAlignment="1">
      <alignment horizontal="right" vertical="center"/>
    </xf>
    <xf numFmtId="0" fontId="32" fillId="26" borderId="60" xfId="0" applyFont="1" applyFill="1" applyBorder="1" applyAlignment="1">
      <alignment horizontal="center" vertical="center"/>
    </xf>
    <xf numFmtId="0" fontId="32" fillId="20" borderId="60" xfId="0" applyFont="1" applyFill="1" applyBorder="1" applyAlignment="1">
      <alignment horizontal="center" vertical="center"/>
    </xf>
    <xf numFmtId="0" fontId="32" fillId="28" borderId="60" xfId="0" applyFont="1" applyFill="1" applyBorder="1" applyAlignment="1">
      <alignment horizontal="center" vertical="center"/>
    </xf>
    <xf numFmtId="0" fontId="32" fillId="29" borderId="60" xfId="0" applyFont="1" applyFill="1" applyBorder="1" applyAlignment="1">
      <alignment horizontal="center" vertical="center"/>
    </xf>
    <xf numFmtId="0" fontId="32" fillId="31" borderId="60" xfId="0" applyFont="1" applyFill="1" applyBorder="1" applyAlignment="1">
      <alignment horizontal="center" vertical="center"/>
    </xf>
    <xf numFmtId="0" fontId="32" fillId="32" borderId="60" xfId="0" applyFont="1" applyFill="1" applyBorder="1" applyAlignment="1">
      <alignment horizontal="center" vertical="center"/>
    </xf>
    <xf numFmtId="0" fontId="32" fillId="21" borderId="53" xfId="0" applyFont="1" applyFill="1" applyBorder="1" applyAlignment="1">
      <alignment horizontal="center" vertical="center"/>
    </xf>
    <xf numFmtId="0" fontId="32" fillId="21" borderId="60" xfId="0" applyFont="1" applyFill="1" applyBorder="1" applyAlignment="1">
      <alignment horizontal="center" vertical="center"/>
    </xf>
    <xf numFmtId="0" fontId="32" fillId="22" borderId="60" xfId="0" applyFont="1" applyFill="1" applyBorder="1" applyAlignment="1">
      <alignment horizontal="center" vertical="center"/>
    </xf>
    <xf numFmtId="0" fontId="32" fillId="23" borderId="60" xfId="0" applyFont="1" applyFill="1" applyBorder="1" applyAlignment="1">
      <alignment horizontal="center" vertical="center"/>
    </xf>
    <xf numFmtId="0" fontId="32" fillId="2" borderId="60" xfId="0" applyFont="1" applyFill="1" applyBorder="1" applyAlignment="1">
      <alignment horizontal="center" vertical="center"/>
    </xf>
    <xf numFmtId="0" fontId="32" fillId="24" borderId="60" xfId="0" applyFont="1" applyFill="1" applyBorder="1" applyAlignment="1">
      <alignment horizontal="center" vertical="center"/>
    </xf>
    <xf numFmtId="0" fontId="32" fillId="25" borderId="60" xfId="0" applyFont="1" applyFill="1" applyBorder="1" applyAlignment="1">
      <alignment horizontal="center" vertical="center"/>
    </xf>
    <xf numFmtId="0" fontId="34" fillId="0" borderId="50" xfId="0" applyFont="1" applyBorder="1" applyAlignment="1">
      <alignment horizontal="right" vertical="center"/>
    </xf>
    <xf numFmtId="0" fontId="35" fillId="0" borderId="29" xfId="0" applyFont="1" applyBorder="1" applyAlignment="1">
      <alignment horizontal="center" vertical="center"/>
    </xf>
    <xf numFmtId="0" fontId="35" fillId="0" borderId="30" xfId="0" applyFont="1" applyBorder="1" applyAlignment="1">
      <alignment horizontal="center" vertical="center"/>
    </xf>
    <xf numFmtId="0" fontId="35" fillId="0" borderId="42" xfId="0" applyFont="1" applyBorder="1" applyAlignment="1">
      <alignment horizontal="center" vertical="center"/>
    </xf>
    <xf numFmtId="0" fontId="35" fillId="0" borderId="43" xfId="0" applyFont="1" applyBorder="1" applyAlignment="1">
      <alignment horizontal="center" vertical="center"/>
    </xf>
    <xf numFmtId="0" fontId="34" fillId="0" borderId="109" xfId="0" applyFont="1" applyBorder="1" applyAlignment="1">
      <alignment horizontal="right" vertical="center"/>
    </xf>
    <xf numFmtId="0" fontId="34" fillId="0" borderId="112" xfId="0" applyFont="1" applyBorder="1" applyAlignment="1">
      <alignment horizontal="right" vertical="center"/>
    </xf>
    <xf numFmtId="0" fontId="35" fillId="0" borderId="31" xfId="0" applyFont="1" applyBorder="1" applyAlignment="1">
      <alignment horizontal="center" vertical="center"/>
    </xf>
    <xf numFmtId="0" fontId="35" fillId="0" borderId="44" xfId="0" applyFont="1" applyBorder="1" applyAlignment="1">
      <alignment horizontal="center" vertical="center"/>
    </xf>
    <xf numFmtId="0" fontId="45" fillId="21" borderId="14" xfId="0" applyFont="1" applyFill="1" applyBorder="1" applyAlignment="1">
      <alignment horizontal="right" vertical="center"/>
    </xf>
    <xf numFmtId="0" fontId="45" fillId="21" borderId="34" xfId="0" applyFont="1" applyFill="1" applyBorder="1" applyAlignment="1">
      <alignment horizontal="right" vertical="center"/>
    </xf>
    <xf numFmtId="0" fontId="45" fillId="22" borderId="34" xfId="0" applyFont="1" applyFill="1" applyBorder="1" applyAlignment="1">
      <alignment horizontal="right" vertical="center"/>
    </xf>
    <xf numFmtId="0" fontId="45" fillId="23" borderId="34" xfId="0" applyFont="1" applyFill="1" applyBorder="1" applyAlignment="1">
      <alignment horizontal="right" vertical="center"/>
    </xf>
    <xf numFmtId="0" fontId="45" fillId="2" borderId="34" xfId="0" applyFont="1" applyFill="1" applyBorder="1" applyAlignment="1">
      <alignment horizontal="right" vertical="center"/>
    </xf>
    <xf numFmtId="0" fontId="45" fillId="30" borderId="34" xfId="0" applyFont="1" applyFill="1" applyBorder="1" applyAlignment="1">
      <alignment horizontal="right" vertical="center"/>
    </xf>
    <xf numFmtId="0" fontId="45" fillId="34" borderId="34" xfId="0" applyFont="1" applyFill="1" applyBorder="1" applyAlignment="1">
      <alignment horizontal="right" vertical="center"/>
    </xf>
    <xf numFmtId="0" fontId="45" fillId="34" borderId="17" xfId="0" applyFont="1" applyFill="1" applyBorder="1" applyAlignment="1">
      <alignment horizontal="right" vertical="center"/>
    </xf>
    <xf numFmtId="0" fontId="45" fillId="0" borderId="27" xfId="0" applyFont="1" applyBorder="1" applyAlignment="1">
      <alignment horizontal="center" vertical="center"/>
    </xf>
    <xf numFmtId="0" fontId="45" fillId="0" borderId="28" xfId="0" applyFont="1" applyBorder="1" applyAlignment="1">
      <alignment horizontal="center" vertical="center"/>
    </xf>
    <xf numFmtId="0" fontId="45" fillId="0" borderId="40" xfId="0" applyFont="1" applyBorder="1" applyAlignment="1">
      <alignment horizontal="center" vertical="center"/>
    </xf>
    <xf numFmtId="0" fontId="45" fillId="0" borderId="41" xfId="0" applyFont="1" applyBorder="1" applyAlignment="1">
      <alignment horizontal="center" vertical="center"/>
    </xf>
    <xf numFmtId="0" fontId="45" fillId="21" borderId="90" xfId="0" applyFont="1" applyFill="1" applyBorder="1" applyAlignment="1">
      <alignment horizontal="right" vertical="center"/>
    </xf>
    <xf numFmtId="0" fontId="45" fillId="21" borderId="60" xfId="0" applyFont="1" applyFill="1" applyBorder="1" applyAlignment="1">
      <alignment horizontal="right" vertical="center"/>
    </xf>
    <xf numFmtId="0" fontId="36" fillId="0" borderId="32" xfId="0" applyFont="1" applyBorder="1" applyAlignment="1">
      <alignment horizontal="right" vertical="center"/>
    </xf>
    <xf numFmtId="0" fontId="36" fillId="0" borderId="38" xfId="0" applyFont="1" applyBorder="1" applyAlignment="1">
      <alignment horizontal="right" vertical="center"/>
    </xf>
    <xf numFmtId="0" fontId="45" fillId="2" borderId="60" xfId="0" applyFont="1" applyFill="1" applyBorder="1" applyAlignment="1">
      <alignment horizontal="right" vertical="center"/>
    </xf>
    <xf numFmtId="0" fontId="45" fillId="24" borderId="34" xfId="0" applyFont="1" applyFill="1" applyBorder="1" applyAlignment="1">
      <alignment horizontal="right" vertical="center"/>
    </xf>
    <xf numFmtId="0" fontId="45" fillId="25" borderId="34" xfId="0" applyFont="1" applyFill="1" applyBorder="1" applyAlignment="1">
      <alignment horizontal="right" vertical="center"/>
    </xf>
    <xf numFmtId="0" fontId="45" fillId="26" borderId="34" xfId="0" applyFont="1" applyFill="1" applyBorder="1" applyAlignment="1">
      <alignment horizontal="right" vertical="center"/>
    </xf>
    <xf numFmtId="0" fontId="45" fillId="20" borderId="34" xfId="0" applyFont="1" applyFill="1" applyBorder="1" applyAlignment="1">
      <alignment horizontal="right" vertical="center"/>
    </xf>
    <xf numFmtId="0" fontId="45" fillId="28" borderId="34" xfId="0" applyFont="1" applyFill="1" applyBorder="1" applyAlignment="1">
      <alignment horizontal="right" vertical="center"/>
    </xf>
    <xf numFmtId="0" fontId="45" fillId="29" borderId="34" xfId="0" applyFont="1" applyFill="1" applyBorder="1" applyAlignment="1">
      <alignment horizontal="right" vertical="center"/>
    </xf>
    <xf numFmtId="0" fontId="43" fillId="0" borderId="35" xfId="0" applyFont="1" applyBorder="1" applyAlignment="1">
      <alignment horizontal="right" vertical="center"/>
    </xf>
    <xf numFmtId="0" fontId="28" fillId="0" borderId="36" xfId="0" applyFont="1" applyBorder="1" applyAlignment="1">
      <alignment horizontal="right" vertical="center"/>
    </xf>
    <xf numFmtId="0" fontId="36" fillId="0" borderId="45" xfId="0" applyFont="1" applyBorder="1" applyAlignment="1">
      <alignment horizontal="right" vertical="center"/>
    </xf>
    <xf numFmtId="0" fontId="45" fillId="34" borderId="60" xfId="0" applyFont="1" applyFill="1" applyBorder="1" applyAlignment="1">
      <alignment horizontal="right" vertical="center"/>
    </xf>
    <xf numFmtId="0" fontId="45" fillId="34" borderId="89" xfId="0" applyFont="1" applyFill="1" applyBorder="1" applyAlignment="1">
      <alignment horizontal="right" vertical="center"/>
    </xf>
    <xf numFmtId="0" fontId="28" fillId="0" borderId="58" xfId="0" applyFont="1" applyBorder="1" applyAlignment="1">
      <alignment horizontal="right" vertical="center"/>
    </xf>
    <xf numFmtId="0" fontId="28" fillId="0" borderId="56" xfId="0" applyFont="1" applyBorder="1" applyAlignment="1">
      <alignment horizontal="right" vertical="center"/>
    </xf>
    <xf numFmtId="0" fontId="43" fillId="0" borderId="28" xfId="0" applyFont="1" applyBorder="1" applyAlignment="1">
      <alignment horizontal="right" vertical="center"/>
    </xf>
    <xf numFmtId="0" fontId="43" fillId="0" borderId="41" xfId="0" applyFont="1" applyBorder="1" applyAlignment="1">
      <alignment horizontal="right" vertical="center"/>
    </xf>
    <xf numFmtId="0" fontId="36" fillId="0" borderId="64" xfId="0" applyFont="1" applyBorder="1" applyAlignment="1">
      <alignment horizontal="right" vertical="center"/>
    </xf>
    <xf numFmtId="0" fontId="36" fillId="0" borderId="65" xfId="0" applyFont="1" applyBorder="1" applyAlignment="1">
      <alignment horizontal="right" vertical="center"/>
    </xf>
    <xf numFmtId="0" fontId="45" fillId="22" borderId="60" xfId="0" applyFont="1" applyFill="1" applyBorder="1" applyAlignment="1">
      <alignment horizontal="right" vertical="center"/>
    </xf>
    <xf numFmtId="0" fontId="45" fillId="23" borderId="60" xfId="0" applyFont="1" applyFill="1" applyBorder="1" applyAlignment="1">
      <alignment horizontal="right" vertical="center"/>
    </xf>
    <xf numFmtId="0" fontId="45" fillId="31" borderId="34" xfId="0" applyFont="1" applyFill="1" applyBorder="1" applyAlignment="1">
      <alignment horizontal="right" vertical="center"/>
    </xf>
    <xf numFmtId="0" fontId="45" fillId="32" borderId="34" xfId="0" applyFont="1" applyFill="1" applyBorder="1" applyAlignment="1">
      <alignment horizontal="right" vertical="center"/>
    </xf>
    <xf numFmtId="0" fontId="45" fillId="32" borderId="60" xfId="0" applyFont="1" applyFill="1" applyBorder="1" applyAlignment="1">
      <alignment horizontal="right" vertical="center"/>
    </xf>
    <xf numFmtId="0" fontId="45" fillId="30" borderId="60" xfId="0" applyFont="1" applyFill="1" applyBorder="1" applyAlignment="1">
      <alignment horizontal="right" vertical="center"/>
    </xf>
    <xf numFmtId="0" fontId="45" fillId="29" borderId="60" xfId="0" applyFont="1" applyFill="1" applyBorder="1" applyAlignment="1">
      <alignment horizontal="right" vertical="center"/>
    </xf>
    <xf numFmtId="0" fontId="45" fillId="31" borderId="60" xfId="0" applyFont="1" applyFill="1" applyBorder="1" applyAlignment="1">
      <alignment horizontal="right" vertical="center"/>
    </xf>
    <xf numFmtId="0" fontId="45" fillId="24" borderId="60" xfId="0" applyFont="1" applyFill="1" applyBorder="1" applyAlignment="1">
      <alignment horizontal="right" vertical="center"/>
    </xf>
    <xf numFmtId="0" fontId="45" fillId="25" borderId="60" xfId="0" applyFont="1" applyFill="1" applyBorder="1" applyAlignment="1">
      <alignment horizontal="right" vertical="center"/>
    </xf>
    <xf numFmtId="0" fontId="30" fillId="35" borderId="90" xfId="0" applyFont="1" applyFill="1" applyBorder="1" applyAlignment="1">
      <alignment horizontal="left" vertical="center"/>
    </xf>
    <xf numFmtId="0" fontId="30" fillId="35" borderId="60" xfId="0" applyFont="1" applyFill="1" applyBorder="1" applyAlignment="1">
      <alignment horizontal="left" vertical="center"/>
    </xf>
    <xf numFmtId="0" fontId="28" fillId="0" borderId="52" xfId="0" applyFont="1" applyBorder="1" applyAlignment="1">
      <alignment horizontal="right" vertical="center"/>
    </xf>
    <xf numFmtId="0" fontId="43" fillId="0" borderId="16" xfId="0" applyFont="1" applyBorder="1" applyAlignment="1">
      <alignment horizontal="right" vertical="center"/>
    </xf>
    <xf numFmtId="0" fontId="30" fillId="35" borderId="89" xfId="0" applyFont="1" applyFill="1" applyBorder="1" applyAlignment="1">
      <alignment horizontal="left" vertical="center"/>
    </xf>
    <xf numFmtId="0" fontId="28" fillId="0" borderId="54" xfId="0" applyFont="1" applyBorder="1" applyAlignment="1">
      <alignment horizontal="right" vertical="center"/>
    </xf>
    <xf numFmtId="0" fontId="43" fillId="0" borderId="19" xfId="0" applyFont="1" applyBorder="1" applyAlignment="1">
      <alignment horizontal="right" vertical="center"/>
    </xf>
    <xf numFmtId="0" fontId="45" fillId="26" borderId="60" xfId="0" applyFont="1" applyFill="1" applyBorder="1" applyAlignment="1">
      <alignment horizontal="right" vertical="center"/>
    </xf>
    <xf numFmtId="0" fontId="45" fillId="20" borderId="60" xfId="0" applyFont="1" applyFill="1" applyBorder="1" applyAlignment="1">
      <alignment horizontal="right" vertical="center"/>
    </xf>
    <xf numFmtId="0" fontId="45" fillId="28" borderId="60" xfId="0" applyFont="1" applyFill="1" applyBorder="1" applyAlignment="1">
      <alignment horizontal="right" vertical="center"/>
    </xf>
    <xf numFmtId="0" fontId="36" fillId="0" borderId="66" xfId="0" applyFont="1" applyBorder="1" applyAlignment="1">
      <alignment horizontal="right" vertical="center"/>
    </xf>
    <xf numFmtId="0" fontId="32" fillId="0" borderId="61" xfId="0" applyFont="1" applyBorder="1" applyAlignment="1">
      <alignment horizontal="center" vertical="center"/>
    </xf>
    <xf numFmtId="176" fontId="37" fillId="0" borderId="1" xfId="0" applyNumberFormat="1" applyFont="1" applyBorder="1" applyAlignment="1">
      <alignment horizontal="right" vertical="center"/>
    </xf>
    <xf numFmtId="176" fontId="37" fillId="0" borderId="37" xfId="0" applyNumberFormat="1" applyFont="1" applyBorder="1" applyAlignment="1">
      <alignment horizontal="right" vertical="center"/>
    </xf>
    <xf numFmtId="176" fontId="37" fillId="0" borderId="30" xfId="0" applyNumberFormat="1" applyFont="1" applyBorder="1" applyAlignment="1">
      <alignment horizontal="right" vertical="center"/>
    </xf>
    <xf numFmtId="176" fontId="37" fillId="0" borderId="31" xfId="0" applyNumberFormat="1" applyFont="1" applyBorder="1" applyAlignment="1">
      <alignment horizontal="right" vertical="center"/>
    </xf>
    <xf numFmtId="176" fontId="37" fillId="0" borderId="18" xfId="0" applyNumberFormat="1" applyFont="1" applyBorder="1" applyAlignment="1">
      <alignment horizontal="right" vertical="center"/>
    </xf>
    <xf numFmtId="176" fontId="37" fillId="0" borderId="112" xfId="0" applyNumberFormat="1" applyFont="1" applyBorder="1" applyAlignment="1">
      <alignment horizontal="right" vertical="center"/>
    </xf>
    <xf numFmtId="176" fontId="42" fillId="0" borderId="6" xfId="0" applyNumberFormat="1" applyFont="1" applyBorder="1" applyAlignment="1">
      <alignment horizontal="right" vertical="center"/>
    </xf>
    <xf numFmtId="176" fontId="42" fillId="0" borderId="47" xfId="0" applyNumberFormat="1" applyFont="1" applyBorder="1" applyAlignment="1">
      <alignment horizontal="right" vertical="center"/>
    </xf>
    <xf numFmtId="178" fontId="37" fillId="0" borderId="37" xfId="0" applyNumberFormat="1" applyFont="1" applyBorder="1" applyAlignment="1">
      <alignment horizontal="right" vertical="center"/>
    </xf>
    <xf numFmtId="178" fontId="37" fillId="0" borderId="65" xfId="0" applyNumberFormat="1" applyFont="1" applyBorder="1" applyAlignment="1">
      <alignment horizontal="right" vertical="center"/>
    </xf>
    <xf numFmtId="178" fontId="37" fillId="0" borderId="112" xfId="0" applyNumberFormat="1" applyFont="1" applyBorder="1" applyAlignment="1">
      <alignment horizontal="right" vertical="center"/>
    </xf>
    <xf numFmtId="178" fontId="37" fillId="0" borderId="94" xfId="0" applyNumberFormat="1" applyFont="1" applyBorder="1" applyAlignment="1">
      <alignment horizontal="right" vertical="center"/>
    </xf>
    <xf numFmtId="178" fontId="42" fillId="0" borderId="47" xfId="0" applyNumberFormat="1" applyFont="1" applyBorder="1" applyAlignment="1">
      <alignment horizontal="right" vertical="center"/>
    </xf>
    <xf numFmtId="178" fontId="42" fillId="0" borderId="63" xfId="0" applyNumberFormat="1" applyFont="1" applyBorder="1" applyAlignment="1">
      <alignment horizontal="right" vertical="center"/>
    </xf>
    <xf numFmtId="0" fontId="32" fillId="0" borderId="0" xfId="0" applyFont="1" applyBorder="1" applyAlignment="1">
      <alignment horizontal="center" vertical="center"/>
    </xf>
    <xf numFmtId="178" fontId="37" fillId="0" borderId="103" xfId="0" applyNumberFormat="1" applyFont="1" applyBorder="1" applyAlignment="1">
      <alignment horizontal="right" vertical="center"/>
    </xf>
    <xf numFmtId="178" fontId="37" fillId="0" borderId="92" xfId="0" applyNumberFormat="1" applyFont="1" applyBorder="1" applyAlignment="1">
      <alignment horizontal="right" vertical="center"/>
    </xf>
    <xf numFmtId="0" fontId="42" fillId="20" borderId="12" xfId="0" applyFont="1" applyFill="1" applyBorder="1" applyAlignment="1">
      <alignment horizontal="center" vertical="center"/>
    </xf>
    <xf numFmtId="0" fontId="42" fillId="20" borderId="9" xfId="0" applyFont="1" applyFill="1" applyBorder="1" applyAlignment="1">
      <alignment horizontal="center" vertical="center"/>
    </xf>
    <xf numFmtId="0" fontId="42" fillId="20" borderId="24" xfId="0" applyFont="1" applyFill="1" applyBorder="1" applyAlignment="1">
      <alignment horizontal="center" vertical="center"/>
    </xf>
    <xf numFmtId="176" fontId="36" fillId="35" borderId="12" xfId="0" applyNumberFormat="1" applyFont="1" applyFill="1" applyBorder="1" applyAlignment="1">
      <alignment horizontal="right" vertical="center"/>
    </xf>
    <xf numFmtId="176" fontId="36" fillId="35" borderId="9" xfId="0" applyNumberFormat="1" applyFont="1" applyFill="1" applyBorder="1" applyAlignment="1">
      <alignment horizontal="right" vertical="center"/>
    </xf>
    <xf numFmtId="176" fontId="36" fillId="35" borderId="24" xfId="0" applyNumberFormat="1" applyFont="1" applyFill="1" applyBorder="1" applyAlignment="1">
      <alignment horizontal="right" vertical="center"/>
    </xf>
    <xf numFmtId="10" fontId="37" fillId="0" borderId="13" xfId="0" applyNumberFormat="1" applyFont="1" applyBorder="1" applyAlignment="1">
      <alignment horizontal="right" vertical="center"/>
    </xf>
    <xf numFmtId="10" fontId="37" fillId="0" borderId="10" xfId="0" applyNumberFormat="1" applyFont="1" applyBorder="1" applyAlignment="1">
      <alignment horizontal="right" vertical="center"/>
    </xf>
    <xf numFmtId="10" fontId="37" fillId="0" borderId="25" xfId="0" applyNumberFormat="1" applyFont="1" applyBorder="1" applyAlignment="1">
      <alignment horizontal="right" vertical="center"/>
    </xf>
    <xf numFmtId="0" fontId="42" fillId="30" borderId="12" xfId="0" applyFont="1" applyFill="1" applyBorder="1" applyAlignment="1">
      <alignment horizontal="center" vertical="center"/>
    </xf>
    <xf numFmtId="0" fontId="42" fillId="30" borderId="9" xfId="0" applyFont="1" applyFill="1" applyBorder="1" applyAlignment="1">
      <alignment horizontal="center" vertical="center"/>
    </xf>
    <xf numFmtId="0" fontId="42" fillId="30" borderId="24" xfId="0" applyFont="1" applyFill="1" applyBorder="1" applyAlignment="1">
      <alignment horizontal="center" vertical="center"/>
    </xf>
    <xf numFmtId="0" fontId="42" fillId="25" borderId="12" xfId="0" applyFont="1" applyFill="1" applyBorder="1" applyAlignment="1">
      <alignment horizontal="center" vertical="center"/>
    </xf>
    <xf numFmtId="0" fontId="42" fillId="25" borderId="9" xfId="0" applyFont="1" applyFill="1" applyBorder="1" applyAlignment="1">
      <alignment horizontal="center" vertical="center"/>
    </xf>
    <xf numFmtId="0" fontId="42" fillId="25" borderId="24" xfId="0" applyFont="1" applyFill="1" applyBorder="1" applyAlignment="1">
      <alignment horizontal="center" vertical="center"/>
    </xf>
    <xf numFmtId="0" fontId="42" fillId="26" borderId="12" xfId="0" applyFont="1" applyFill="1" applyBorder="1" applyAlignment="1">
      <alignment horizontal="center" vertical="center"/>
    </xf>
    <xf numFmtId="0" fontId="42" fillId="26" borderId="9" xfId="0" applyFont="1" applyFill="1" applyBorder="1" applyAlignment="1">
      <alignment horizontal="center" vertical="center"/>
    </xf>
    <xf numFmtId="0" fontId="42" fillId="26" borderId="24" xfId="0" applyFont="1" applyFill="1" applyBorder="1" applyAlignment="1">
      <alignment horizontal="center" vertical="center"/>
    </xf>
    <xf numFmtId="0" fontId="42" fillId="2" borderId="12" xfId="0" applyFont="1" applyFill="1" applyBorder="1" applyAlignment="1">
      <alignment horizontal="center" vertical="center"/>
    </xf>
    <xf numFmtId="0" fontId="42" fillId="2" borderId="9" xfId="0" applyFont="1" applyFill="1" applyBorder="1" applyAlignment="1">
      <alignment horizontal="center" vertical="center"/>
    </xf>
    <xf numFmtId="0" fontId="42" fillId="2" borderId="24" xfId="0" applyFont="1" applyFill="1" applyBorder="1" applyAlignment="1">
      <alignment horizontal="center" vertical="center"/>
    </xf>
    <xf numFmtId="0" fontId="42" fillId="24" borderId="12" xfId="0" applyFont="1" applyFill="1" applyBorder="1" applyAlignment="1">
      <alignment horizontal="center" vertical="center"/>
    </xf>
    <xf numFmtId="0" fontId="42" fillId="24" borderId="9" xfId="0" applyFont="1" applyFill="1" applyBorder="1" applyAlignment="1">
      <alignment horizontal="center" vertical="center"/>
    </xf>
    <xf numFmtId="0" fontId="42" fillId="24" borderId="24" xfId="0" applyFont="1" applyFill="1" applyBorder="1" applyAlignment="1">
      <alignment horizontal="center" vertical="center"/>
    </xf>
    <xf numFmtId="0" fontId="42" fillId="22" borderId="12" xfId="0" applyFont="1" applyFill="1" applyBorder="1" applyAlignment="1">
      <alignment horizontal="center" vertical="center"/>
    </xf>
    <xf numFmtId="0" fontId="42" fillId="22" borderId="9" xfId="0" applyFont="1" applyFill="1" applyBorder="1" applyAlignment="1">
      <alignment horizontal="center" vertical="center"/>
    </xf>
    <xf numFmtId="0" fontId="42" fillId="22" borderId="24" xfId="0" applyFont="1" applyFill="1" applyBorder="1" applyAlignment="1">
      <alignment horizontal="center" vertical="center"/>
    </xf>
    <xf numFmtId="0" fontId="42" fillId="23" borderId="12" xfId="0" applyFont="1" applyFill="1" applyBorder="1" applyAlignment="1">
      <alignment horizontal="center" vertical="center"/>
    </xf>
    <xf numFmtId="0" fontId="42" fillId="23" borderId="9" xfId="0" applyFont="1" applyFill="1" applyBorder="1" applyAlignment="1">
      <alignment horizontal="center" vertical="center"/>
    </xf>
    <xf numFmtId="0" fontId="42" fillId="23" borderId="24" xfId="0" applyFont="1" applyFill="1" applyBorder="1" applyAlignment="1">
      <alignment horizontal="center" vertical="center"/>
    </xf>
    <xf numFmtId="176" fontId="36" fillId="37" borderId="12" xfId="0" applyNumberFormat="1" applyFont="1" applyFill="1" applyBorder="1" applyAlignment="1">
      <alignment horizontal="right" vertical="center"/>
    </xf>
    <xf numFmtId="176" fontId="36" fillId="37" borderId="24" xfId="0" applyNumberFormat="1" applyFont="1" applyFill="1" applyBorder="1" applyAlignment="1">
      <alignment horizontal="right" vertical="center"/>
    </xf>
    <xf numFmtId="0" fontId="42" fillId="21" borderId="12" xfId="0" applyFont="1" applyFill="1" applyBorder="1" applyAlignment="1">
      <alignment horizontal="center" vertical="center"/>
    </xf>
    <xf numFmtId="0" fontId="42" fillId="21" borderId="9" xfId="0" applyFont="1" applyFill="1" applyBorder="1" applyAlignment="1">
      <alignment horizontal="center" vertical="center"/>
    </xf>
    <xf numFmtId="0" fontId="42" fillId="21" borderId="24" xfId="0" applyFont="1" applyFill="1" applyBorder="1" applyAlignment="1">
      <alignment horizontal="center" vertical="center"/>
    </xf>
    <xf numFmtId="176" fontId="36" fillId="37" borderId="9" xfId="0" applyNumberFormat="1" applyFont="1" applyFill="1" applyBorder="1" applyAlignment="1">
      <alignment horizontal="right" vertical="center"/>
    </xf>
    <xf numFmtId="0" fontId="42" fillId="29" borderId="12" xfId="0" applyFont="1" applyFill="1" applyBorder="1" applyAlignment="1">
      <alignment horizontal="center" vertical="center"/>
    </xf>
    <xf numFmtId="0" fontId="42" fillId="29" borderId="9" xfId="0" applyFont="1" applyFill="1" applyBorder="1" applyAlignment="1">
      <alignment horizontal="center" vertical="center"/>
    </xf>
    <xf numFmtId="0" fontId="42" fillId="29" borderId="24" xfId="0" applyFont="1" applyFill="1" applyBorder="1" applyAlignment="1">
      <alignment horizontal="center" vertical="center"/>
    </xf>
    <xf numFmtId="0" fontId="42" fillId="21" borderId="30" xfId="0" applyFont="1" applyFill="1" applyBorder="1" applyAlignment="1">
      <alignment horizontal="center" vertical="center"/>
    </xf>
    <xf numFmtId="0" fontId="42" fillId="21" borderId="1" xfId="0" applyFont="1" applyFill="1" applyBorder="1" applyAlignment="1">
      <alignment horizontal="center" vertical="center"/>
    </xf>
    <xf numFmtId="0" fontId="42" fillId="21" borderId="43" xfId="0" applyFont="1" applyFill="1" applyBorder="1" applyAlignment="1">
      <alignment horizontal="center" vertical="center"/>
    </xf>
    <xf numFmtId="0" fontId="42" fillId="22" borderId="30" xfId="0" applyFont="1" applyFill="1" applyBorder="1" applyAlignment="1">
      <alignment horizontal="center" vertical="center"/>
    </xf>
    <xf numFmtId="0" fontId="42" fillId="22" borderId="1" xfId="0" applyFont="1" applyFill="1" applyBorder="1" applyAlignment="1">
      <alignment horizontal="center" vertical="center"/>
    </xf>
    <xf numFmtId="0" fontId="42" fillId="22" borderId="43" xfId="0" applyFont="1" applyFill="1" applyBorder="1" applyAlignment="1">
      <alignment horizontal="center" vertical="center"/>
    </xf>
    <xf numFmtId="176" fontId="36" fillId="35" borderId="30" xfId="0" applyNumberFormat="1" applyFont="1" applyFill="1" applyBorder="1" applyAlignment="1">
      <alignment horizontal="right" vertical="center"/>
    </xf>
    <xf numFmtId="176" fontId="36" fillId="35" borderId="1" xfId="0" applyNumberFormat="1" applyFont="1" applyFill="1" applyBorder="1" applyAlignment="1">
      <alignment horizontal="right" vertical="center"/>
    </xf>
    <xf numFmtId="176" fontId="36" fillId="35" borderId="43" xfId="0" applyNumberFormat="1" applyFont="1" applyFill="1" applyBorder="1" applyAlignment="1">
      <alignment horizontal="right" vertical="center"/>
    </xf>
    <xf numFmtId="10" fontId="37" fillId="0" borderId="28" xfId="0" applyNumberFormat="1" applyFont="1" applyBorder="1" applyAlignment="1">
      <alignment horizontal="right" vertical="center"/>
    </xf>
    <xf numFmtId="10" fontId="37" fillId="0" borderId="35" xfId="0" applyNumberFormat="1" applyFont="1" applyBorder="1" applyAlignment="1">
      <alignment horizontal="right" vertical="center"/>
    </xf>
    <xf numFmtId="10" fontId="37" fillId="0" borderId="41" xfId="0" applyNumberFormat="1" applyFont="1" applyBorder="1" applyAlignment="1">
      <alignment horizontal="right" vertical="center"/>
    </xf>
    <xf numFmtId="0" fontId="44" fillId="0" borderId="43" xfId="0" applyFont="1" applyBorder="1" applyAlignment="1">
      <alignment horizontal="center" vertical="center"/>
    </xf>
    <xf numFmtId="0" fontId="44" fillId="0" borderId="41" xfId="0" applyFont="1" applyBorder="1" applyAlignment="1">
      <alignment horizontal="center" vertical="center"/>
    </xf>
    <xf numFmtId="0" fontId="44" fillId="0" borderId="1" xfId="0" applyFont="1" applyBorder="1" applyAlignment="1">
      <alignment horizontal="center" vertical="center"/>
    </xf>
    <xf numFmtId="0" fontId="44" fillId="0" borderId="35" xfId="0" applyFont="1" applyBorder="1" applyAlignment="1">
      <alignment horizontal="center" vertical="center"/>
    </xf>
    <xf numFmtId="0" fontId="44" fillId="0" borderId="42" xfId="0" applyFont="1" applyBorder="1" applyAlignment="1">
      <alignment horizontal="center" vertical="center"/>
    </xf>
    <xf numFmtId="0" fontId="44" fillId="0" borderId="36" xfId="0" applyFont="1" applyBorder="1" applyAlignment="1">
      <alignment horizontal="center" vertical="center"/>
    </xf>
    <xf numFmtId="0" fontId="44" fillId="32" borderId="6" xfId="0" applyFont="1" applyFill="1" applyBorder="1" applyAlignment="1">
      <alignment horizontal="center" vertical="center"/>
    </xf>
    <xf numFmtId="0" fontId="44" fillId="34" borderId="6" xfId="0" applyFont="1" applyFill="1" applyBorder="1" applyAlignment="1">
      <alignment horizontal="center" vertical="center"/>
    </xf>
    <xf numFmtId="0" fontId="44" fillId="34" borderId="7" xfId="0" applyFont="1" applyFill="1" applyBorder="1" applyAlignment="1">
      <alignment horizontal="center" vertical="center"/>
    </xf>
    <xf numFmtId="0" fontId="44" fillId="25" borderId="6" xfId="0" applyFont="1" applyFill="1" applyBorder="1" applyAlignment="1">
      <alignment horizontal="center" vertical="center"/>
    </xf>
    <xf numFmtId="0" fontId="44" fillId="26" borderId="6" xfId="0" applyFont="1" applyFill="1" applyBorder="1" applyAlignment="1">
      <alignment horizontal="center" vertical="center"/>
    </xf>
    <xf numFmtId="0" fontId="44" fillId="20" borderId="6" xfId="0" applyFont="1" applyFill="1" applyBorder="1" applyAlignment="1">
      <alignment horizontal="center" vertical="center"/>
    </xf>
    <xf numFmtId="0" fontId="44" fillId="28" borderId="6" xfId="0" applyFont="1" applyFill="1" applyBorder="1" applyAlignment="1">
      <alignment horizontal="center" vertical="center"/>
    </xf>
    <xf numFmtId="0" fontId="44" fillId="29" borderId="6" xfId="0" applyFont="1" applyFill="1" applyBorder="1" applyAlignment="1">
      <alignment horizontal="center" vertical="center"/>
    </xf>
    <xf numFmtId="0" fontId="44" fillId="31" borderId="6" xfId="0" applyFont="1" applyFill="1" applyBorder="1" applyAlignment="1">
      <alignment horizontal="center" vertical="center"/>
    </xf>
    <xf numFmtId="0" fontId="44" fillId="24" borderId="6" xfId="0" applyFont="1" applyFill="1" applyBorder="1" applyAlignment="1">
      <alignment horizontal="center" vertical="center"/>
    </xf>
    <xf numFmtId="0" fontId="29" fillId="0" borderId="61" xfId="0" applyFont="1" applyBorder="1" applyAlignment="1">
      <alignment horizontal="center" vertical="center"/>
    </xf>
    <xf numFmtId="0" fontId="44" fillId="21" borderId="26" xfId="0" applyFont="1" applyFill="1" applyBorder="1" applyAlignment="1">
      <alignment horizontal="center" vertical="center"/>
    </xf>
    <xf numFmtId="0" fontId="44" fillId="21" borderId="6" xfId="0" applyFont="1" applyFill="1" applyBorder="1" applyAlignment="1">
      <alignment horizontal="center" vertical="center"/>
    </xf>
    <xf numFmtId="0" fontId="44" fillId="22" borderId="6" xfId="0" applyFont="1" applyFill="1" applyBorder="1" applyAlignment="1">
      <alignment horizontal="center" vertical="center"/>
    </xf>
    <xf numFmtId="0" fontId="44" fillId="23" borderId="6" xfId="0" applyFont="1" applyFill="1" applyBorder="1" applyAlignment="1">
      <alignment horizontal="center" vertical="center"/>
    </xf>
    <xf numFmtId="0" fontId="44" fillId="2" borderId="6" xfId="0" applyFont="1" applyFill="1" applyBorder="1" applyAlignment="1">
      <alignment horizontal="center" vertical="center"/>
    </xf>
  </cellXfs>
  <cellStyles count="2">
    <cellStyle name="桁区切り" xfId="1" builtinId="6"/>
    <cellStyle name="標準" xfId="0" builtinId="0"/>
  </cellStyles>
  <dxfs count="1088">
    <dxf>
      <font>
        <color rgb="FFFF0000"/>
      </font>
    </dxf>
    <dxf>
      <fill>
        <patternFill>
          <bgColor theme="3" tint="0.39994506668294322"/>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theme="3" tint="0.59996337778862885"/>
        </patternFill>
      </fill>
    </dxf>
    <dxf>
      <fill>
        <patternFill>
          <bgColor theme="3" tint="0.7999816888943144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ont>
        <color rgb="FFFF0000"/>
      </font>
      <fill>
        <patternFill>
          <bgColor theme="0"/>
        </patternFill>
      </fill>
    </dxf>
    <dxf>
      <font>
        <color rgb="FFFF0000"/>
      </font>
    </dxf>
    <dxf>
      <fill>
        <patternFill>
          <bgColor rgb="FFFFC7CE"/>
        </patternFill>
      </fill>
    </dxf>
    <dxf>
      <fill>
        <patternFill>
          <bgColor theme="3" tint="0.39994506668294322"/>
        </patternFill>
      </fill>
    </dxf>
    <dxf>
      <font>
        <color rgb="FFFF0000"/>
      </font>
      <fill>
        <patternFill>
          <bgColor theme="9" tint="0.79998168889431442"/>
        </patternFill>
      </fill>
    </dxf>
    <dxf>
      <font>
        <condense val="0"/>
        <extend val="0"/>
        <color indexed="12"/>
      </font>
    </dxf>
    <dxf>
      <font>
        <condense val="0"/>
        <extend val="0"/>
        <color indexed="12"/>
      </font>
    </dxf>
    <dxf>
      <font>
        <condense val="0"/>
        <extend val="0"/>
        <color indexed="10"/>
      </font>
    </dxf>
    <dxf>
      <font>
        <condense val="0"/>
        <extend val="0"/>
        <color indexed="10"/>
      </font>
    </dxf>
    <dxf>
      <font>
        <condense val="0"/>
        <extend val="0"/>
        <color indexed="10"/>
      </font>
    </dxf>
    <dxf>
      <fill>
        <patternFill patternType="solid">
          <bgColor indexed="41"/>
        </patternFill>
      </fill>
    </dxf>
    <dxf>
      <fill>
        <patternFill patternType="solid">
          <bgColor indexed="45"/>
        </patternFill>
      </fill>
    </dxf>
    <dxf>
      <font>
        <b val="0"/>
        <condense val="0"/>
        <extend val="0"/>
        <color indexed="10"/>
      </font>
    </dxf>
    <dxf>
      <font>
        <b val="0"/>
        <condense val="0"/>
        <extend val="0"/>
        <color indexed="10"/>
      </font>
    </dxf>
    <dxf>
      <fill>
        <patternFill patternType="solid">
          <bgColor indexed="45"/>
        </patternFill>
      </fill>
    </dxf>
    <dxf>
      <fill>
        <patternFill patternType="solid">
          <bgColor indexed="41"/>
        </patternFill>
      </fill>
    </dxf>
    <dxf>
      <fill>
        <patternFill patternType="solid">
          <bgColor indexed="45"/>
        </patternFill>
      </fill>
    </dxf>
    <dxf>
      <font>
        <b val="0"/>
        <condense val="0"/>
        <extend val="0"/>
        <color indexed="12"/>
      </font>
    </dxf>
    <dxf>
      <font>
        <b val="0"/>
        <condense val="0"/>
        <extend val="0"/>
        <color indexed="12"/>
      </font>
    </dxf>
    <dxf>
      <font>
        <b val="0"/>
        <condense val="0"/>
        <extend val="0"/>
        <color indexed="10"/>
      </font>
    </dxf>
    <dxf>
      <fill>
        <patternFill patternType="solid">
          <bgColor indexed="45"/>
        </patternFill>
      </fill>
    </dxf>
    <dxf>
      <fill>
        <patternFill patternType="solid">
          <bgColor indexed="41"/>
        </patternFill>
      </fill>
    </dxf>
    <dxf>
      <fill>
        <patternFill patternType="solid">
          <bgColor indexed="41"/>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theme="3" tint="0.59996337778862885"/>
        </patternFill>
      </fill>
    </dxf>
    <dxf>
      <fill>
        <patternFill>
          <bgColor theme="3" tint="0.7999816888943144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rgb="FFFFC7CE"/>
        </patternFill>
      </fill>
    </dxf>
    <dxf>
      <fill>
        <patternFill>
          <bgColor rgb="FFFFC7CE"/>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rgb="FFFFC7CE"/>
        </patternFill>
      </fill>
    </dxf>
    <dxf>
      <fill>
        <patternFill>
          <bgColor theme="3" tint="0.39994506668294322"/>
        </patternFill>
      </fill>
    </dxf>
    <dxf>
      <fill>
        <patternFill patternType="solid">
          <bgColor indexed="12"/>
        </patternFill>
      </fill>
    </dxf>
    <dxf>
      <fill>
        <patternFill patternType="solid">
          <bgColor indexed="15"/>
        </patternFill>
      </fill>
    </dxf>
    <dxf>
      <fill>
        <patternFill patternType="solid">
          <bgColor indexed="41"/>
        </patternFill>
      </fill>
    </dxf>
    <dxf>
      <fill>
        <patternFill patternType="solid">
          <bgColor indexed="45"/>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1"/>
        </patternFill>
      </fill>
    </dxf>
    <dxf>
      <fill>
        <patternFill patternType="solid">
          <bgColor indexed="45"/>
        </patternFill>
      </fill>
    </dxf>
    <dxf>
      <fill>
        <patternFill patternType="solid">
          <bgColor indexed="12"/>
        </patternFill>
      </fill>
    </dxf>
    <dxf>
      <fill>
        <patternFill patternType="solid">
          <bgColor indexed="15"/>
        </patternFill>
      </fill>
    </dxf>
    <dxf>
      <fill>
        <patternFill patternType="solid">
          <bgColor indexed="41"/>
        </patternFill>
      </fill>
    </dxf>
    <dxf>
      <fill>
        <patternFill patternType="solid">
          <bgColor indexed="45"/>
        </patternFill>
      </fill>
    </dxf>
    <dxf>
      <fill>
        <patternFill patternType="solid">
          <bgColor indexed="12"/>
        </patternFill>
      </fill>
    </dxf>
    <dxf>
      <fill>
        <patternFill patternType="solid">
          <bgColor indexed="15"/>
        </patternFill>
      </fill>
    </dxf>
    <dxf>
      <fill>
        <patternFill patternType="solid">
          <bgColor indexed="41"/>
        </patternFill>
      </fill>
    </dxf>
    <dxf>
      <fill>
        <patternFill patternType="solid">
          <bgColor indexed="45"/>
        </patternFill>
      </fill>
    </dxf>
    <dxf>
      <fill>
        <patternFill patternType="solid">
          <bgColor indexed="12"/>
        </patternFill>
      </fill>
    </dxf>
    <dxf>
      <fill>
        <patternFill patternType="solid">
          <bgColor indexed="15"/>
        </patternFill>
      </fill>
    </dxf>
    <dxf>
      <fill>
        <patternFill patternType="solid">
          <bgColor indexed="41"/>
        </patternFill>
      </fill>
    </dxf>
    <dxf>
      <fill>
        <patternFill patternType="solid">
          <bgColor indexed="45"/>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1"/>
        </patternFill>
      </fill>
    </dxf>
    <dxf>
      <fill>
        <patternFill patternType="solid">
          <bgColor indexed="45"/>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1"/>
        </patternFill>
      </fill>
    </dxf>
    <dxf>
      <fill>
        <patternFill patternType="solid">
          <bgColor indexed="45"/>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1"/>
        </patternFill>
      </fill>
    </dxf>
    <dxf>
      <fill>
        <patternFill patternType="solid">
          <bgColor indexed="45"/>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1"/>
        </patternFill>
      </fill>
    </dxf>
    <dxf>
      <fill>
        <patternFill patternType="solid">
          <bgColor indexed="45"/>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12"/>
        </patternFill>
      </fill>
    </dxf>
    <dxf>
      <fill>
        <patternFill patternType="solid">
          <bgColor indexed="15"/>
        </patternFill>
      </fill>
    </dxf>
    <dxf>
      <fill>
        <patternFill patternType="solid">
          <bgColor indexed="45"/>
        </patternFill>
      </fill>
    </dxf>
    <dxf>
      <fill>
        <patternFill patternType="solid">
          <bgColor indexed="41"/>
        </patternFill>
      </fill>
    </dxf>
    <dxf>
      <fill>
        <patternFill patternType="solid">
          <bgColor indexed="41"/>
        </patternFill>
      </fill>
    </dxf>
  </dxfs>
  <tableStyles count="0" defaultTableStyle="TableStyleMedium2" defaultPivotStyle="PivotStyleMedium9"/>
  <colors>
    <mruColors>
      <color rgb="FF339966"/>
      <color rgb="FFFFCC66"/>
      <color rgb="FF3366FF"/>
      <color rgb="FF66FFFF"/>
      <color rgb="FF993300"/>
      <color rgb="FF00FF00"/>
      <color rgb="FF99CC00"/>
      <color rgb="FFFFCC99"/>
      <color rgb="FFFF00FF"/>
      <color rgb="FFFF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latin typeface="HG丸ｺﾞｼｯｸM-PRO" pitchFamily="50" charset="-128"/>
                <a:ea typeface="HG丸ｺﾞｼｯｸM-PRO" pitchFamily="50" charset="-128"/>
              </a:rPr>
              <a:t>第</a:t>
            </a:r>
            <a:r>
              <a:rPr lang="en-US" altLang="ja-JP">
                <a:latin typeface="HG丸ｺﾞｼｯｸM-PRO" pitchFamily="50" charset="-128"/>
                <a:ea typeface="HG丸ｺﾞｼｯｸM-PRO" pitchFamily="50" charset="-128"/>
              </a:rPr>
              <a:t>46</a:t>
            </a:r>
            <a:r>
              <a:rPr lang="ja-JP" altLang="en-US">
                <a:latin typeface="HG丸ｺﾞｼｯｸM-PRO" pitchFamily="50" charset="-128"/>
                <a:ea typeface="HG丸ｺﾞｼｯｸM-PRO" pitchFamily="50" charset="-128"/>
              </a:rPr>
              <a:t>回総選挙　各政党の獲得議席予想</a:t>
            </a:r>
          </a:p>
        </c:rich>
      </c:tx>
    </c:title>
    <c:view3D>
      <c:rotX val="20"/>
      <c:rotY val="60"/>
      <c:depthPercent val="100"/>
      <c:perspective val="10"/>
    </c:view3D>
    <c:plotArea>
      <c:layout/>
      <c:area3DChart>
        <c:grouping val="standard"/>
        <c:ser>
          <c:idx val="0"/>
          <c:order val="0"/>
          <c:tx>
            <c:strRef>
              <c:f>予想計!$A$3</c:f>
              <c:strCache>
                <c:ptCount val="1"/>
                <c:pt idx="0">
                  <c:v>民主党</c:v>
                </c:pt>
              </c:strCache>
            </c:strRef>
          </c:tx>
          <c:spPr>
            <a:solidFill>
              <a:srgbClr val="FF9900"/>
            </a:solidFill>
          </c:spPr>
          <c:cat>
            <c:strRef>
              <c:f>予想計!$K$2:$M$2</c:f>
              <c:strCache>
                <c:ptCount val="3"/>
                <c:pt idx="0">
                  <c:v>最小値</c:v>
                </c:pt>
                <c:pt idx="1">
                  <c:v>予測値</c:v>
                </c:pt>
                <c:pt idx="2">
                  <c:v>最大値</c:v>
                </c:pt>
              </c:strCache>
            </c:strRef>
          </c:cat>
          <c:val>
            <c:numRef>
              <c:f>予想計!$K$3:$M$3</c:f>
              <c:numCache>
                <c:formatCode>General</c:formatCode>
                <c:ptCount val="3"/>
                <c:pt idx="0">
                  <c:v>60</c:v>
                </c:pt>
                <c:pt idx="1">
                  <c:v>73</c:v>
                </c:pt>
                <c:pt idx="2">
                  <c:v>92</c:v>
                </c:pt>
              </c:numCache>
            </c:numRef>
          </c:val>
        </c:ser>
        <c:ser>
          <c:idx val="2"/>
          <c:order val="1"/>
          <c:tx>
            <c:strRef>
              <c:f>予想計!$A$5</c:f>
              <c:strCache>
                <c:ptCount val="1"/>
                <c:pt idx="0">
                  <c:v>自民党</c:v>
                </c:pt>
              </c:strCache>
            </c:strRef>
          </c:tx>
          <c:spPr>
            <a:solidFill>
              <a:srgbClr val="339966"/>
            </a:solidFill>
          </c:spPr>
          <c:cat>
            <c:strRef>
              <c:f>予想計!$K$2:$M$2</c:f>
              <c:strCache>
                <c:ptCount val="3"/>
                <c:pt idx="0">
                  <c:v>最小値</c:v>
                </c:pt>
                <c:pt idx="1">
                  <c:v>予測値</c:v>
                </c:pt>
                <c:pt idx="2">
                  <c:v>最大値</c:v>
                </c:pt>
              </c:strCache>
            </c:strRef>
          </c:cat>
          <c:val>
            <c:numRef>
              <c:f>予想計!$K$5:$M$5</c:f>
              <c:numCache>
                <c:formatCode>General</c:formatCode>
                <c:ptCount val="3"/>
                <c:pt idx="0">
                  <c:v>265</c:v>
                </c:pt>
                <c:pt idx="1">
                  <c:v>287</c:v>
                </c:pt>
                <c:pt idx="2">
                  <c:v>304</c:v>
                </c:pt>
              </c:numCache>
            </c:numRef>
          </c:val>
        </c:ser>
        <c:ser>
          <c:idx val="4"/>
          <c:order val="2"/>
          <c:tx>
            <c:strRef>
              <c:f>予想計!$A$7</c:f>
              <c:strCache>
                <c:ptCount val="1"/>
                <c:pt idx="0">
                  <c:v>未来</c:v>
                </c:pt>
              </c:strCache>
            </c:strRef>
          </c:tx>
          <c:spPr>
            <a:solidFill>
              <a:srgbClr val="FFCC66"/>
            </a:solidFill>
            <a:ln w="25400">
              <a:noFill/>
            </a:ln>
          </c:spPr>
          <c:cat>
            <c:strRef>
              <c:f>予想計!$K$2:$M$2</c:f>
              <c:strCache>
                <c:ptCount val="3"/>
                <c:pt idx="0">
                  <c:v>最小値</c:v>
                </c:pt>
                <c:pt idx="1">
                  <c:v>予測値</c:v>
                </c:pt>
                <c:pt idx="2">
                  <c:v>最大値</c:v>
                </c:pt>
              </c:strCache>
            </c:strRef>
          </c:cat>
          <c:val>
            <c:numRef>
              <c:f>予想計!$K$7:$M$7</c:f>
              <c:numCache>
                <c:formatCode>General</c:formatCode>
                <c:ptCount val="3"/>
                <c:pt idx="0">
                  <c:v>9</c:v>
                </c:pt>
                <c:pt idx="1">
                  <c:v>11</c:v>
                </c:pt>
                <c:pt idx="2">
                  <c:v>16</c:v>
                </c:pt>
              </c:numCache>
            </c:numRef>
          </c:val>
        </c:ser>
        <c:ser>
          <c:idx val="6"/>
          <c:order val="3"/>
          <c:tx>
            <c:strRef>
              <c:f>予想計!$A$9</c:f>
              <c:strCache>
                <c:ptCount val="1"/>
                <c:pt idx="0">
                  <c:v>公明党</c:v>
                </c:pt>
              </c:strCache>
            </c:strRef>
          </c:tx>
          <c:spPr>
            <a:solidFill>
              <a:srgbClr val="FFFF00"/>
            </a:solidFill>
            <a:ln w="25400">
              <a:noFill/>
            </a:ln>
          </c:spPr>
          <c:cat>
            <c:strRef>
              <c:f>予想計!$K$2:$M$2</c:f>
              <c:strCache>
                <c:ptCount val="3"/>
                <c:pt idx="0">
                  <c:v>最小値</c:v>
                </c:pt>
                <c:pt idx="1">
                  <c:v>予測値</c:v>
                </c:pt>
                <c:pt idx="2">
                  <c:v>最大値</c:v>
                </c:pt>
              </c:strCache>
            </c:strRef>
          </c:cat>
          <c:val>
            <c:numRef>
              <c:f>予想計!$K$9:$M$9</c:f>
              <c:numCache>
                <c:formatCode>General</c:formatCode>
                <c:ptCount val="3"/>
                <c:pt idx="0">
                  <c:v>30</c:v>
                </c:pt>
                <c:pt idx="1">
                  <c:v>33</c:v>
                </c:pt>
                <c:pt idx="2">
                  <c:v>35</c:v>
                </c:pt>
              </c:numCache>
            </c:numRef>
          </c:val>
        </c:ser>
        <c:ser>
          <c:idx val="8"/>
          <c:order val="4"/>
          <c:tx>
            <c:strRef>
              <c:f>予想計!$A$11</c:f>
              <c:strCache>
                <c:ptCount val="1"/>
                <c:pt idx="0">
                  <c:v>維新</c:v>
                </c:pt>
              </c:strCache>
            </c:strRef>
          </c:tx>
          <c:spPr>
            <a:solidFill>
              <a:schemeClr val="accent2">
                <a:lumMod val="60000"/>
                <a:lumOff val="40000"/>
              </a:schemeClr>
            </a:solidFill>
            <a:ln w="25400">
              <a:noFill/>
            </a:ln>
          </c:spPr>
          <c:cat>
            <c:strRef>
              <c:f>予想計!$K$2:$M$2</c:f>
              <c:strCache>
                <c:ptCount val="3"/>
                <c:pt idx="0">
                  <c:v>最小値</c:v>
                </c:pt>
                <c:pt idx="1">
                  <c:v>予測値</c:v>
                </c:pt>
                <c:pt idx="2">
                  <c:v>最大値</c:v>
                </c:pt>
              </c:strCache>
            </c:strRef>
          </c:cat>
          <c:val>
            <c:numRef>
              <c:f>予想計!$K$11:$M$11</c:f>
              <c:numCache>
                <c:formatCode>General</c:formatCode>
                <c:ptCount val="3"/>
                <c:pt idx="0">
                  <c:v>43</c:v>
                </c:pt>
                <c:pt idx="1">
                  <c:v>48</c:v>
                </c:pt>
                <c:pt idx="2">
                  <c:v>54</c:v>
                </c:pt>
              </c:numCache>
            </c:numRef>
          </c:val>
        </c:ser>
        <c:ser>
          <c:idx val="10"/>
          <c:order val="5"/>
          <c:tx>
            <c:strRef>
              <c:f>予想計!$A$13</c:f>
              <c:strCache>
                <c:ptCount val="1"/>
                <c:pt idx="0">
                  <c:v>みんな</c:v>
                </c:pt>
              </c:strCache>
            </c:strRef>
          </c:tx>
          <c:spPr>
            <a:solidFill>
              <a:srgbClr val="3366FF"/>
            </a:solidFill>
            <a:ln w="25400">
              <a:noFill/>
            </a:ln>
          </c:spPr>
          <c:cat>
            <c:strRef>
              <c:f>予想計!$K$2:$M$2</c:f>
              <c:strCache>
                <c:ptCount val="3"/>
                <c:pt idx="0">
                  <c:v>最小値</c:v>
                </c:pt>
                <c:pt idx="1">
                  <c:v>予測値</c:v>
                </c:pt>
                <c:pt idx="2">
                  <c:v>最大値</c:v>
                </c:pt>
              </c:strCache>
            </c:strRef>
          </c:cat>
          <c:val>
            <c:numRef>
              <c:f>予想計!$K$13:$M$13</c:f>
              <c:numCache>
                <c:formatCode>General</c:formatCode>
                <c:ptCount val="3"/>
                <c:pt idx="0">
                  <c:v>8</c:v>
                </c:pt>
                <c:pt idx="1">
                  <c:v>11</c:v>
                </c:pt>
                <c:pt idx="2">
                  <c:v>13</c:v>
                </c:pt>
              </c:numCache>
            </c:numRef>
          </c:val>
        </c:ser>
        <c:ser>
          <c:idx val="12"/>
          <c:order val="6"/>
          <c:tx>
            <c:strRef>
              <c:f>予想計!$A$15</c:f>
              <c:strCache>
                <c:ptCount val="1"/>
                <c:pt idx="0">
                  <c:v>共産党</c:v>
                </c:pt>
              </c:strCache>
            </c:strRef>
          </c:tx>
          <c:spPr>
            <a:solidFill>
              <a:srgbClr val="FF0000"/>
            </a:solidFill>
            <a:ln w="25400">
              <a:noFill/>
            </a:ln>
          </c:spPr>
          <c:cat>
            <c:strRef>
              <c:f>予想計!$K$2:$M$2</c:f>
              <c:strCache>
                <c:ptCount val="3"/>
                <c:pt idx="0">
                  <c:v>最小値</c:v>
                </c:pt>
                <c:pt idx="1">
                  <c:v>予測値</c:v>
                </c:pt>
                <c:pt idx="2">
                  <c:v>最大値</c:v>
                </c:pt>
              </c:strCache>
            </c:strRef>
          </c:cat>
          <c:val>
            <c:numRef>
              <c:f>予想計!$K$15:$M$15</c:f>
              <c:numCache>
                <c:formatCode>General</c:formatCode>
                <c:ptCount val="3"/>
                <c:pt idx="0">
                  <c:v>7</c:v>
                </c:pt>
                <c:pt idx="1">
                  <c:v>9</c:v>
                </c:pt>
                <c:pt idx="2">
                  <c:v>9</c:v>
                </c:pt>
              </c:numCache>
            </c:numRef>
          </c:val>
        </c:ser>
        <c:ser>
          <c:idx val="14"/>
          <c:order val="7"/>
          <c:tx>
            <c:strRef>
              <c:f>予想計!$A$17</c:f>
              <c:strCache>
                <c:ptCount val="1"/>
                <c:pt idx="0">
                  <c:v>社民党</c:v>
                </c:pt>
              </c:strCache>
            </c:strRef>
          </c:tx>
          <c:spPr>
            <a:solidFill>
              <a:srgbClr val="66FFFF"/>
            </a:solidFill>
            <a:ln w="25400">
              <a:noFill/>
            </a:ln>
          </c:spPr>
          <c:cat>
            <c:strRef>
              <c:f>予想計!$K$2:$M$2</c:f>
              <c:strCache>
                <c:ptCount val="3"/>
                <c:pt idx="0">
                  <c:v>最小値</c:v>
                </c:pt>
                <c:pt idx="1">
                  <c:v>予測値</c:v>
                </c:pt>
                <c:pt idx="2">
                  <c:v>最大値</c:v>
                </c:pt>
              </c:strCache>
            </c:strRef>
          </c:cat>
          <c:val>
            <c:numRef>
              <c:f>予想計!$K$17:$M$17</c:f>
              <c:numCache>
                <c:formatCode>General</c:formatCode>
                <c:ptCount val="3"/>
                <c:pt idx="0">
                  <c:v>2</c:v>
                </c:pt>
                <c:pt idx="1">
                  <c:v>3</c:v>
                </c:pt>
                <c:pt idx="2">
                  <c:v>5</c:v>
                </c:pt>
              </c:numCache>
            </c:numRef>
          </c:val>
        </c:ser>
        <c:ser>
          <c:idx val="16"/>
          <c:order val="8"/>
          <c:tx>
            <c:strRef>
              <c:f>予想計!$A$19</c:f>
              <c:strCache>
                <c:ptCount val="1"/>
                <c:pt idx="0">
                  <c:v>国民新</c:v>
                </c:pt>
              </c:strCache>
            </c:strRef>
          </c:tx>
          <c:spPr>
            <a:solidFill>
              <a:srgbClr val="FF00FF"/>
            </a:solidFill>
            <a:ln w="25400">
              <a:noFill/>
            </a:ln>
          </c:spPr>
          <c:cat>
            <c:strRef>
              <c:f>予想計!$K$2:$M$2</c:f>
              <c:strCache>
                <c:ptCount val="3"/>
                <c:pt idx="0">
                  <c:v>最小値</c:v>
                </c:pt>
                <c:pt idx="1">
                  <c:v>予測値</c:v>
                </c:pt>
                <c:pt idx="2">
                  <c:v>最大値</c:v>
                </c:pt>
              </c:strCache>
            </c:strRef>
          </c:cat>
          <c:val>
            <c:numRef>
              <c:f>予想計!$K$19:$M$19</c:f>
              <c:numCache>
                <c:formatCode>General</c:formatCode>
                <c:ptCount val="3"/>
                <c:pt idx="0">
                  <c:v>0</c:v>
                </c:pt>
                <c:pt idx="1">
                  <c:v>1</c:v>
                </c:pt>
                <c:pt idx="2">
                  <c:v>2</c:v>
                </c:pt>
              </c:numCache>
            </c:numRef>
          </c:val>
        </c:ser>
        <c:ser>
          <c:idx val="18"/>
          <c:order val="9"/>
          <c:tx>
            <c:strRef>
              <c:f>予想計!$A$21</c:f>
              <c:strCache>
                <c:ptCount val="1"/>
                <c:pt idx="0">
                  <c:v>大地</c:v>
                </c:pt>
              </c:strCache>
            </c:strRef>
          </c:tx>
          <c:spPr>
            <a:solidFill>
              <a:srgbClr val="993300"/>
            </a:solidFill>
            <a:ln w="25400">
              <a:noFill/>
            </a:ln>
          </c:spPr>
          <c:cat>
            <c:strRef>
              <c:f>予想計!$K$2:$M$2</c:f>
              <c:strCache>
                <c:ptCount val="3"/>
                <c:pt idx="0">
                  <c:v>最小値</c:v>
                </c:pt>
                <c:pt idx="1">
                  <c:v>予測値</c:v>
                </c:pt>
                <c:pt idx="2">
                  <c:v>最大値</c:v>
                </c:pt>
              </c:strCache>
            </c:strRef>
          </c:cat>
          <c:val>
            <c:numRef>
              <c:f>予想計!$K$21:$M$21</c:f>
              <c:numCache>
                <c:formatCode>General</c:formatCode>
                <c:ptCount val="3"/>
                <c:pt idx="0">
                  <c:v>1</c:v>
                </c:pt>
                <c:pt idx="1">
                  <c:v>1</c:v>
                </c:pt>
                <c:pt idx="2">
                  <c:v>1</c:v>
                </c:pt>
              </c:numCache>
            </c:numRef>
          </c:val>
        </c:ser>
        <c:ser>
          <c:idx val="20"/>
          <c:order val="10"/>
          <c:tx>
            <c:strRef>
              <c:f>予想計!$A$23</c:f>
              <c:strCache>
                <c:ptCount val="1"/>
                <c:pt idx="0">
                  <c:v>改革</c:v>
                </c:pt>
              </c:strCache>
            </c:strRef>
          </c:tx>
          <c:spPr>
            <a:solidFill>
              <a:srgbClr val="00FF00"/>
            </a:solidFill>
            <a:ln w="25400">
              <a:noFill/>
            </a:ln>
          </c:spPr>
          <c:cat>
            <c:strRef>
              <c:f>予想計!$K$2:$M$2</c:f>
              <c:strCache>
                <c:ptCount val="3"/>
                <c:pt idx="0">
                  <c:v>最小値</c:v>
                </c:pt>
                <c:pt idx="1">
                  <c:v>予測値</c:v>
                </c:pt>
                <c:pt idx="2">
                  <c:v>最大値</c:v>
                </c:pt>
              </c:strCache>
            </c:strRef>
          </c:cat>
          <c:val>
            <c:numRef>
              <c:f>予想計!$K$23:$M$23</c:f>
              <c:numCache>
                <c:formatCode>General</c:formatCode>
                <c:ptCount val="3"/>
                <c:pt idx="0">
                  <c:v>0</c:v>
                </c:pt>
                <c:pt idx="1">
                  <c:v>0</c:v>
                </c:pt>
                <c:pt idx="2">
                  <c:v>0</c:v>
                </c:pt>
              </c:numCache>
            </c:numRef>
          </c:val>
        </c:ser>
        <c:ser>
          <c:idx val="22"/>
          <c:order val="11"/>
          <c:tx>
            <c:strRef>
              <c:f>予想計!$A$25</c:f>
              <c:strCache>
                <c:ptCount val="1"/>
                <c:pt idx="0">
                  <c:v>日本</c:v>
                </c:pt>
              </c:strCache>
            </c:strRef>
          </c:tx>
          <c:spPr>
            <a:solidFill>
              <a:srgbClr val="99CC00"/>
            </a:solidFill>
            <a:ln w="25400">
              <a:noFill/>
            </a:ln>
          </c:spPr>
          <c:cat>
            <c:strRef>
              <c:f>予想計!$K$2:$M$2</c:f>
              <c:strCache>
                <c:ptCount val="3"/>
                <c:pt idx="0">
                  <c:v>最小値</c:v>
                </c:pt>
                <c:pt idx="1">
                  <c:v>予測値</c:v>
                </c:pt>
                <c:pt idx="2">
                  <c:v>最大値</c:v>
                </c:pt>
              </c:strCache>
            </c:strRef>
          </c:cat>
          <c:val>
            <c:numRef>
              <c:f>予想計!$K$25:$M$25</c:f>
              <c:numCache>
                <c:formatCode>General</c:formatCode>
                <c:ptCount val="3"/>
                <c:pt idx="0">
                  <c:v>0</c:v>
                </c:pt>
                <c:pt idx="1">
                  <c:v>0</c:v>
                </c:pt>
                <c:pt idx="2">
                  <c:v>0</c:v>
                </c:pt>
              </c:numCache>
            </c:numRef>
          </c:val>
        </c:ser>
        <c:ser>
          <c:idx val="24"/>
          <c:order val="12"/>
          <c:tx>
            <c:strRef>
              <c:f>予想計!$A$27</c:f>
              <c:strCache>
                <c:ptCount val="1"/>
                <c:pt idx="0">
                  <c:v>諸派</c:v>
                </c:pt>
              </c:strCache>
            </c:strRef>
          </c:tx>
          <c:spPr>
            <a:solidFill>
              <a:srgbClr val="FFCC99"/>
            </a:solidFill>
            <a:ln w="25400">
              <a:noFill/>
            </a:ln>
          </c:spPr>
          <c:cat>
            <c:strRef>
              <c:f>予想計!$K$2:$M$2</c:f>
              <c:strCache>
                <c:ptCount val="3"/>
                <c:pt idx="0">
                  <c:v>最小値</c:v>
                </c:pt>
                <c:pt idx="1">
                  <c:v>予測値</c:v>
                </c:pt>
                <c:pt idx="2">
                  <c:v>最大値</c:v>
                </c:pt>
              </c:strCache>
            </c:strRef>
          </c:cat>
          <c:val>
            <c:numRef>
              <c:f>予想計!$K$27:$M$27</c:f>
              <c:numCache>
                <c:formatCode>General</c:formatCode>
                <c:ptCount val="3"/>
                <c:pt idx="0">
                  <c:v>0</c:v>
                </c:pt>
                <c:pt idx="1">
                  <c:v>0</c:v>
                </c:pt>
                <c:pt idx="2">
                  <c:v>0</c:v>
                </c:pt>
              </c:numCache>
            </c:numRef>
          </c:val>
        </c:ser>
        <c:ser>
          <c:idx val="26"/>
          <c:order val="13"/>
          <c:tx>
            <c:strRef>
              <c:f>予想計!$A$29</c:f>
              <c:strCache>
                <c:ptCount val="1"/>
                <c:pt idx="0">
                  <c:v>無所属</c:v>
                </c:pt>
              </c:strCache>
            </c:strRef>
          </c:tx>
          <c:spPr>
            <a:solidFill>
              <a:schemeClr val="bg1">
                <a:lumMod val="75000"/>
              </a:schemeClr>
            </a:solidFill>
            <a:ln w="25400">
              <a:noFill/>
            </a:ln>
          </c:spPr>
          <c:cat>
            <c:strRef>
              <c:f>予想計!$K$2:$M$2</c:f>
              <c:strCache>
                <c:ptCount val="3"/>
                <c:pt idx="0">
                  <c:v>最小値</c:v>
                </c:pt>
                <c:pt idx="1">
                  <c:v>予測値</c:v>
                </c:pt>
                <c:pt idx="2">
                  <c:v>最大値</c:v>
                </c:pt>
              </c:strCache>
            </c:strRef>
          </c:cat>
          <c:val>
            <c:numRef>
              <c:f>予想計!$K$29:$M$29</c:f>
              <c:numCache>
                <c:formatCode>General</c:formatCode>
                <c:ptCount val="3"/>
                <c:pt idx="0">
                  <c:v>2</c:v>
                </c:pt>
                <c:pt idx="1">
                  <c:v>3</c:v>
                </c:pt>
                <c:pt idx="2">
                  <c:v>4</c:v>
                </c:pt>
              </c:numCache>
            </c:numRef>
          </c:val>
        </c:ser>
        <c:axId val="50288512"/>
        <c:axId val="50290048"/>
        <c:axId val="50707520"/>
      </c:area3DChart>
      <c:catAx>
        <c:axId val="50288512"/>
        <c:scaling>
          <c:orientation val="minMax"/>
        </c:scaling>
        <c:axPos val="b"/>
        <c:majorTickMark val="none"/>
        <c:tickLblPos val="nextTo"/>
        <c:txPr>
          <a:bodyPr/>
          <a:lstStyle/>
          <a:p>
            <a:pPr>
              <a:defRPr sz="900">
                <a:latin typeface="HG丸ｺﾞｼｯｸM-PRO" pitchFamily="50" charset="-128"/>
                <a:ea typeface="HG丸ｺﾞｼｯｸM-PRO" pitchFamily="50" charset="-128"/>
              </a:defRPr>
            </a:pPr>
            <a:endParaRPr lang="ja-JP"/>
          </a:p>
        </c:txPr>
        <c:crossAx val="50290048"/>
        <c:crosses val="autoZero"/>
        <c:auto val="1"/>
        <c:lblAlgn val="ctr"/>
        <c:lblOffset val="100"/>
      </c:catAx>
      <c:valAx>
        <c:axId val="50290048"/>
        <c:scaling>
          <c:orientation val="minMax"/>
          <c:max val="300"/>
        </c:scaling>
        <c:axPos val="l"/>
        <c:majorGridlines/>
        <c:numFmt formatCode="General" sourceLinked="1"/>
        <c:majorTickMark val="none"/>
        <c:tickLblPos val="nextTo"/>
        <c:txPr>
          <a:bodyPr/>
          <a:lstStyle/>
          <a:p>
            <a:pPr>
              <a:defRPr sz="1100">
                <a:latin typeface="Century Gothic" pitchFamily="34" charset="0"/>
              </a:defRPr>
            </a:pPr>
            <a:endParaRPr lang="ja-JP"/>
          </a:p>
        </c:txPr>
        <c:crossAx val="50288512"/>
        <c:crosses val="autoZero"/>
        <c:crossBetween val="midCat"/>
        <c:majorUnit val="50"/>
      </c:valAx>
      <c:serAx>
        <c:axId val="50707520"/>
        <c:scaling>
          <c:orientation val="minMax"/>
        </c:scaling>
        <c:delete val="1"/>
        <c:axPos val="b"/>
        <c:tickLblPos val="none"/>
        <c:crossAx val="50290048"/>
        <c:crosses val="autoZero"/>
      </c:serAx>
    </c:plotArea>
    <c:legend>
      <c:legendPos val="b"/>
      <c:txPr>
        <a:bodyPr/>
        <a:lstStyle/>
        <a:p>
          <a:pPr>
            <a:defRPr sz="900">
              <a:latin typeface="HG丸ｺﾞｼｯｸM-PRO" pitchFamily="50" charset="-128"/>
              <a:ea typeface="HG丸ｺﾞｼｯｸM-PRO" pitchFamily="50" charset="-128"/>
            </a:defRPr>
          </a:pPr>
          <a:endParaRPr lang="ja-JP"/>
        </a:p>
      </c:txPr>
    </c:legend>
    <c:plotVisOnly val="1"/>
    <c:dispBlanksAs val="zero"/>
  </c:chart>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view3D>
      <c:rotX val="5"/>
      <c:rotY val="12"/>
      <c:perspective val="2"/>
    </c:view3D>
    <c:floor>
      <c:spPr>
        <a:noFill/>
        <a:ln w="9525">
          <a:noFill/>
        </a:ln>
      </c:spPr>
    </c:floor>
    <c:plotArea>
      <c:layout/>
      <c:bar3DChart>
        <c:barDir val="bar"/>
        <c:grouping val="percentStacked"/>
        <c:ser>
          <c:idx val="0"/>
          <c:order val="0"/>
          <c:tx>
            <c:strRef>
              <c:f>'結果(総計)'!$A$3</c:f>
              <c:strCache>
                <c:ptCount val="1"/>
                <c:pt idx="0">
                  <c:v>民主党</c:v>
                </c:pt>
              </c:strCache>
            </c:strRef>
          </c:tx>
          <c:spPr>
            <a:solidFill>
              <a:srgbClr val="FF9900"/>
            </a:solidFill>
            <a:ln>
              <a:solidFill>
                <a:sysClr val="windowText" lastClr="000000"/>
              </a:solidFill>
            </a:ln>
          </c:spPr>
          <c:val>
            <c:numRef>
              <c:f>'結果(総計)'!$D$3</c:f>
              <c:numCache>
                <c:formatCode>General</c:formatCode>
                <c:ptCount val="1"/>
                <c:pt idx="0">
                  <c:v>0</c:v>
                </c:pt>
              </c:numCache>
            </c:numRef>
          </c:val>
        </c:ser>
        <c:ser>
          <c:idx val="1"/>
          <c:order val="1"/>
          <c:tx>
            <c:strRef>
              <c:f>'結果(総計)'!$A$4</c:f>
              <c:strCache>
                <c:ptCount val="1"/>
                <c:pt idx="0">
                  <c:v>国民新党</c:v>
                </c:pt>
              </c:strCache>
            </c:strRef>
          </c:tx>
          <c:spPr>
            <a:solidFill>
              <a:srgbClr val="FF00FF"/>
            </a:solidFill>
            <a:ln>
              <a:solidFill>
                <a:sysClr val="windowText" lastClr="000000"/>
              </a:solidFill>
            </a:ln>
          </c:spPr>
          <c:val>
            <c:numRef>
              <c:f>'結果(総計)'!$D$4</c:f>
              <c:numCache>
                <c:formatCode>General</c:formatCode>
                <c:ptCount val="1"/>
                <c:pt idx="0">
                  <c:v>0</c:v>
                </c:pt>
              </c:numCache>
            </c:numRef>
          </c:val>
        </c:ser>
        <c:ser>
          <c:idx val="2"/>
          <c:order val="2"/>
          <c:tx>
            <c:strRef>
              <c:f>'結果(総計)'!$A$5</c:f>
              <c:strCache>
                <c:ptCount val="1"/>
                <c:pt idx="0">
                  <c:v>残り</c:v>
                </c:pt>
              </c:strCache>
            </c:strRef>
          </c:tx>
          <c:spPr>
            <a:solidFill>
              <a:schemeClr val="accent1">
                <a:lumMod val="20000"/>
                <a:lumOff val="80000"/>
              </a:schemeClr>
            </a:solidFill>
            <a:ln>
              <a:noFill/>
            </a:ln>
          </c:spPr>
          <c:val>
            <c:numRef>
              <c:f>'結果(総計)'!$D$5</c:f>
              <c:numCache>
                <c:formatCode>General</c:formatCode>
                <c:ptCount val="1"/>
                <c:pt idx="0">
                  <c:v>480</c:v>
                </c:pt>
              </c:numCache>
            </c:numRef>
          </c:val>
        </c:ser>
        <c:ser>
          <c:idx val="3"/>
          <c:order val="3"/>
          <c:tx>
            <c:strRef>
              <c:f>'結果(総計)'!$A$6</c:f>
              <c:strCache>
                <c:ptCount val="1"/>
                <c:pt idx="0">
                  <c:v>無所属</c:v>
                </c:pt>
              </c:strCache>
            </c:strRef>
          </c:tx>
          <c:spPr>
            <a:solidFill>
              <a:schemeClr val="bg1">
                <a:lumMod val="75000"/>
              </a:schemeClr>
            </a:solidFill>
            <a:ln>
              <a:solidFill>
                <a:sysClr val="windowText" lastClr="000000"/>
              </a:solidFill>
            </a:ln>
          </c:spPr>
          <c:val>
            <c:numRef>
              <c:f>'結果(総計)'!$D$6</c:f>
              <c:numCache>
                <c:formatCode>General</c:formatCode>
                <c:ptCount val="1"/>
                <c:pt idx="0">
                  <c:v>0</c:v>
                </c:pt>
              </c:numCache>
            </c:numRef>
          </c:val>
        </c:ser>
        <c:ser>
          <c:idx val="4"/>
          <c:order val="4"/>
          <c:tx>
            <c:strRef>
              <c:f>'結果(総計)'!$A$7</c:f>
              <c:strCache>
                <c:ptCount val="1"/>
                <c:pt idx="0">
                  <c:v>諸派</c:v>
                </c:pt>
              </c:strCache>
            </c:strRef>
          </c:tx>
          <c:spPr>
            <a:solidFill>
              <a:srgbClr val="FFCC99"/>
            </a:solidFill>
            <a:ln>
              <a:solidFill>
                <a:sysClr val="windowText" lastClr="000000"/>
              </a:solidFill>
            </a:ln>
          </c:spPr>
          <c:val>
            <c:numRef>
              <c:f>'結果(総計)'!$D$7</c:f>
              <c:numCache>
                <c:formatCode>General</c:formatCode>
                <c:ptCount val="1"/>
                <c:pt idx="0">
                  <c:v>0</c:v>
                </c:pt>
              </c:numCache>
            </c:numRef>
          </c:val>
        </c:ser>
        <c:ser>
          <c:idx val="5"/>
          <c:order val="5"/>
          <c:tx>
            <c:strRef>
              <c:f>'結果(総計)'!$A$8</c:f>
              <c:strCache>
                <c:ptCount val="1"/>
                <c:pt idx="0">
                  <c:v>新党日本</c:v>
                </c:pt>
              </c:strCache>
            </c:strRef>
          </c:tx>
          <c:spPr>
            <a:solidFill>
              <a:srgbClr val="99CC00"/>
            </a:solidFill>
            <a:ln>
              <a:solidFill>
                <a:sysClr val="windowText" lastClr="000000"/>
              </a:solidFill>
            </a:ln>
          </c:spPr>
          <c:val>
            <c:numRef>
              <c:f>'結果(総計)'!$D$8</c:f>
              <c:numCache>
                <c:formatCode>General</c:formatCode>
                <c:ptCount val="1"/>
                <c:pt idx="0">
                  <c:v>0</c:v>
                </c:pt>
              </c:numCache>
            </c:numRef>
          </c:val>
        </c:ser>
        <c:ser>
          <c:idx val="6"/>
          <c:order val="6"/>
          <c:tx>
            <c:strRef>
              <c:f>'結果(総計)'!$A$9</c:f>
              <c:strCache>
                <c:ptCount val="1"/>
                <c:pt idx="0">
                  <c:v>新党改革</c:v>
                </c:pt>
              </c:strCache>
            </c:strRef>
          </c:tx>
          <c:spPr>
            <a:solidFill>
              <a:srgbClr val="00FF00"/>
            </a:solidFill>
            <a:ln>
              <a:solidFill>
                <a:sysClr val="windowText" lastClr="000000"/>
              </a:solidFill>
            </a:ln>
          </c:spPr>
          <c:val>
            <c:numRef>
              <c:f>'結果(総計)'!$D$9</c:f>
              <c:numCache>
                <c:formatCode>General</c:formatCode>
                <c:ptCount val="1"/>
                <c:pt idx="0">
                  <c:v>0</c:v>
                </c:pt>
              </c:numCache>
            </c:numRef>
          </c:val>
        </c:ser>
        <c:ser>
          <c:idx val="7"/>
          <c:order val="7"/>
          <c:tx>
            <c:strRef>
              <c:f>'結果(総計)'!$A$10</c:f>
              <c:strCache>
                <c:ptCount val="1"/>
                <c:pt idx="0">
                  <c:v>新党大地</c:v>
                </c:pt>
              </c:strCache>
            </c:strRef>
          </c:tx>
          <c:spPr>
            <a:solidFill>
              <a:srgbClr val="993300"/>
            </a:solidFill>
            <a:ln>
              <a:solidFill>
                <a:sysClr val="windowText" lastClr="000000"/>
              </a:solidFill>
            </a:ln>
          </c:spPr>
          <c:val>
            <c:numRef>
              <c:f>'結果(総計)'!$D$10</c:f>
              <c:numCache>
                <c:formatCode>General</c:formatCode>
                <c:ptCount val="1"/>
                <c:pt idx="0">
                  <c:v>0</c:v>
                </c:pt>
              </c:numCache>
            </c:numRef>
          </c:val>
        </c:ser>
        <c:ser>
          <c:idx val="8"/>
          <c:order val="8"/>
          <c:tx>
            <c:strRef>
              <c:f>'結果(総計)'!$A$11</c:f>
              <c:strCache>
                <c:ptCount val="1"/>
                <c:pt idx="0">
                  <c:v>社会民主党</c:v>
                </c:pt>
              </c:strCache>
            </c:strRef>
          </c:tx>
          <c:spPr>
            <a:solidFill>
              <a:srgbClr val="66FFFF"/>
            </a:solidFill>
            <a:ln>
              <a:solidFill>
                <a:sysClr val="windowText" lastClr="000000"/>
              </a:solidFill>
            </a:ln>
          </c:spPr>
          <c:val>
            <c:numRef>
              <c:f>'結果(総計)'!$D$11</c:f>
              <c:numCache>
                <c:formatCode>General</c:formatCode>
                <c:ptCount val="1"/>
                <c:pt idx="0">
                  <c:v>0</c:v>
                </c:pt>
              </c:numCache>
            </c:numRef>
          </c:val>
        </c:ser>
        <c:ser>
          <c:idx val="9"/>
          <c:order val="9"/>
          <c:tx>
            <c:strRef>
              <c:f>'結果(総計)'!$A$12</c:f>
              <c:strCache>
                <c:ptCount val="1"/>
                <c:pt idx="0">
                  <c:v>日本共産党</c:v>
                </c:pt>
              </c:strCache>
            </c:strRef>
          </c:tx>
          <c:spPr>
            <a:solidFill>
              <a:srgbClr val="FF0000"/>
            </a:solidFill>
            <a:ln>
              <a:solidFill>
                <a:sysClr val="windowText" lastClr="000000"/>
              </a:solidFill>
            </a:ln>
          </c:spPr>
          <c:val>
            <c:numRef>
              <c:f>'結果(総計)'!$D$12</c:f>
              <c:numCache>
                <c:formatCode>General</c:formatCode>
                <c:ptCount val="1"/>
                <c:pt idx="0">
                  <c:v>0</c:v>
                </c:pt>
              </c:numCache>
            </c:numRef>
          </c:val>
        </c:ser>
        <c:ser>
          <c:idx val="10"/>
          <c:order val="10"/>
          <c:tx>
            <c:strRef>
              <c:f>'結果(総計)'!$A$13</c:f>
              <c:strCache>
                <c:ptCount val="1"/>
                <c:pt idx="0">
                  <c:v>みんなの党</c:v>
                </c:pt>
              </c:strCache>
            </c:strRef>
          </c:tx>
          <c:spPr>
            <a:solidFill>
              <a:srgbClr val="3366FF"/>
            </a:solidFill>
            <a:ln>
              <a:solidFill>
                <a:sysClr val="windowText" lastClr="000000"/>
              </a:solidFill>
            </a:ln>
          </c:spPr>
          <c:val>
            <c:numRef>
              <c:f>'結果(総計)'!$D$13</c:f>
              <c:numCache>
                <c:formatCode>General</c:formatCode>
                <c:ptCount val="1"/>
                <c:pt idx="0">
                  <c:v>0</c:v>
                </c:pt>
              </c:numCache>
            </c:numRef>
          </c:val>
        </c:ser>
        <c:ser>
          <c:idx val="11"/>
          <c:order val="11"/>
          <c:tx>
            <c:strRef>
              <c:f>'結果(総計)'!$A$14</c:f>
              <c:strCache>
                <c:ptCount val="1"/>
                <c:pt idx="0">
                  <c:v>日本維新の会</c:v>
                </c:pt>
              </c:strCache>
            </c:strRef>
          </c:tx>
          <c:spPr>
            <a:solidFill>
              <a:schemeClr val="accent2">
                <a:lumMod val="60000"/>
                <a:lumOff val="40000"/>
              </a:schemeClr>
            </a:solidFill>
            <a:ln>
              <a:solidFill>
                <a:sysClr val="windowText" lastClr="000000"/>
              </a:solidFill>
            </a:ln>
          </c:spPr>
          <c:val>
            <c:numRef>
              <c:f>'結果(総計)'!$D$14</c:f>
              <c:numCache>
                <c:formatCode>General</c:formatCode>
                <c:ptCount val="1"/>
                <c:pt idx="0">
                  <c:v>0</c:v>
                </c:pt>
              </c:numCache>
            </c:numRef>
          </c:val>
        </c:ser>
        <c:ser>
          <c:idx val="12"/>
          <c:order val="12"/>
          <c:tx>
            <c:strRef>
              <c:f>'結果(総計)'!$A$15</c:f>
              <c:strCache>
                <c:ptCount val="1"/>
                <c:pt idx="0">
                  <c:v>日本未来の党</c:v>
                </c:pt>
              </c:strCache>
            </c:strRef>
          </c:tx>
          <c:spPr>
            <a:solidFill>
              <a:srgbClr val="FFCC66"/>
            </a:solidFill>
            <a:ln>
              <a:solidFill>
                <a:sysClr val="windowText" lastClr="000000"/>
              </a:solidFill>
            </a:ln>
          </c:spPr>
          <c:val>
            <c:numRef>
              <c:f>'結果(総計)'!$D$15</c:f>
              <c:numCache>
                <c:formatCode>General</c:formatCode>
                <c:ptCount val="1"/>
                <c:pt idx="0">
                  <c:v>0</c:v>
                </c:pt>
              </c:numCache>
            </c:numRef>
          </c:val>
        </c:ser>
        <c:ser>
          <c:idx val="13"/>
          <c:order val="13"/>
          <c:tx>
            <c:strRef>
              <c:f>'結果(総計)'!$A$16</c:f>
              <c:strCache>
                <c:ptCount val="1"/>
                <c:pt idx="0">
                  <c:v>公明党</c:v>
                </c:pt>
              </c:strCache>
            </c:strRef>
          </c:tx>
          <c:spPr>
            <a:solidFill>
              <a:srgbClr val="FFFF00"/>
            </a:solidFill>
            <a:ln>
              <a:solidFill>
                <a:sysClr val="windowText" lastClr="000000"/>
              </a:solidFill>
            </a:ln>
          </c:spPr>
          <c:val>
            <c:numRef>
              <c:f>'結果(総計)'!$D$16</c:f>
              <c:numCache>
                <c:formatCode>General</c:formatCode>
                <c:ptCount val="1"/>
                <c:pt idx="0">
                  <c:v>0</c:v>
                </c:pt>
              </c:numCache>
            </c:numRef>
          </c:val>
        </c:ser>
        <c:ser>
          <c:idx val="14"/>
          <c:order val="14"/>
          <c:tx>
            <c:strRef>
              <c:f>'結果(総計)'!$A$17</c:f>
              <c:strCache>
                <c:ptCount val="1"/>
                <c:pt idx="0">
                  <c:v>自由民主党</c:v>
                </c:pt>
              </c:strCache>
            </c:strRef>
          </c:tx>
          <c:spPr>
            <a:solidFill>
              <a:srgbClr val="339966"/>
            </a:solidFill>
            <a:ln>
              <a:solidFill>
                <a:sysClr val="windowText" lastClr="000000"/>
              </a:solidFill>
            </a:ln>
          </c:spPr>
          <c:val>
            <c:numRef>
              <c:f>'結果(総計)'!$D$17</c:f>
              <c:numCache>
                <c:formatCode>General</c:formatCode>
                <c:ptCount val="1"/>
                <c:pt idx="0">
                  <c:v>0</c:v>
                </c:pt>
              </c:numCache>
            </c:numRef>
          </c:val>
        </c:ser>
        <c:shape val="cylinder"/>
        <c:axId val="55858304"/>
        <c:axId val="56491392"/>
        <c:axId val="0"/>
      </c:bar3DChart>
      <c:valAx>
        <c:axId val="56491392"/>
        <c:scaling>
          <c:orientation val="minMax"/>
        </c:scaling>
        <c:delete val="1"/>
        <c:axPos val="b"/>
        <c:numFmt formatCode="#,##0_);[Red]\(#,##0\)" sourceLinked="0"/>
        <c:tickLblPos val="none"/>
        <c:crossAx val="55858304"/>
        <c:crosses val="autoZero"/>
        <c:crossBetween val="between"/>
      </c:valAx>
      <c:catAx>
        <c:axId val="55858304"/>
        <c:scaling>
          <c:orientation val="minMax"/>
        </c:scaling>
        <c:delete val="1"/>
        <c:axPos val="l"/>
        <c:tickLblPos val="none"/>
        <c:crossAx val="56491392"/>
        <c:crosses val="autoZero"/>
        <c:auto val="1"/>
        <c:lblAlgn val="ctr"/>
        <c:lblOffset val="100"/>
      </c:catAx>
      <c:spPr>
        <a:effectLst/>
      </c:spPr>
    </c:plotArea>
    <c:legend>
      <c:legendPos val="b"/>
      <c:txPr>
        <a:bodyPr/>
        <a:lstStyle/>
        <a:p>
          <a:pPr rtl="0">
            <a:defRPr sz="900">
              <a:latin typeface="HG丸ｺﾞｼｯｸM-PRO" pitchFamily="50" charset="-128"/>
              <a:ea typeface="HG丸ｺﾞｼｯｸM-PRO" pitchFamily="50" charset="-128"/>
            </a:defRPr>
          </a:pPr>
          <a:endParaRPr lang="ja-JP"/>
        </a:p>
      </c:txPr>
    </c:legend>
    <c:plotVisOnly val="1"/>
    <c:dispBlanksAs val="gap"/>
  </c:chart>
  <c:printSettings>
    <c:headerFooter/>
    <c:pageMargins b="0.75000000000000022" l="0.70000000000000018" r="0.70000000000000018" t="0.75000000000000022" header="0.3000000000000001" footer="0.3000000000000001"/>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209550</xdr:colOff>
      <xdr:row>0</xdr:row>
      <xdr:rowOff>38100</xdr:rowOff>
    </xdr:from>
    <xdr:to>
      <xdr:col>17</xdr:col>
      <xdr:colOff>228600</xdr:colOff>
      <xdr:row>27</xdr:row>
      <xdr:rowOff>85725</xdr:rowOff>
    </xdr:to>
    <xdr:sp macro="" textlink="">
      <xdr:nvSpPr>
        <xdr:cNvPr id="2" name="テキスト ボックス 1"/>
        <xdr:cNvSpPr txBox="1"/>
      </xdr:nvSpPr>
      <xdr:spPr>
        <a:xfrm>
          <a:off x="209550" y="38100"/>
          <a:ext cx="11677650" cy="4676775"/>
        </a:xfrm>
        <a:prstGeom prst="rect">
          <a:avLst/>
        </a:prstGeom>
        <a:solidFill>
          <a:schemeClr val="bg2">
            <a:lumMod val="90000"/>
          </a:schemeClr>
        </a:solidFill>
        <a:ln w="2540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HG丸ｺﾞｼｯｸM-PRO" pitchFamily="50" charset="-128"/>
              <a:ea typeface="HG丸ｺﾞｼｯｸM-PRO" pitchFamily="50" charset="-128"/>
            </a:rPr>
            <a:t>第</a:t>
          </a:r>
          <a:r>
            <a:rPr kumimoji="1" lang="en-US" altLang="ja-JP" sz="1100" b="1">
              <a:latin typeface="HG丸ｺﾞｼｯｸM-PRO" pitchFamily="50" charset="-128"/>
              <a:ea typeface="HG丸ｺﾞｼｯｸM-PRO" pitchFamily="50" charset="-128"/>
            </a:rPr>
            <a:t>46</a:t>
          </a:r>
          <a:r>
            <a:rPr kumimoji="1" lang="ja-JP" altLang="en-US" sz="1100" b="1">
              <a:latin typeface="HG丸ｺﾞｼｯｸM-PRO" pitchFamily="50" charset="-128"/>
              <a:ea typeface="HG丸ｺﾞｼｯｸM-PRO" pitchFamily="50" charset="-128"/>
            </a:rPr>
            <a:t>回衆議院議員総選挙　予想・開票支援ソフト </a:t>
          </a:r>
          <a:r>
            <a:rPr kumimoji="1" lang="en-US" altLang="ja-JP" sz="1100" b="1">
              <a:solidFill>
                <a:srgbClr val="FF0000"/>
              </a:solidFill>
              <a:latin typeface="HG丸ｺﾞｼｯｸM-PRO" pitchFamily="50" charset="-128"/>
              <a:ea typeface="HG丸ｺﾞｼｯｸM-PRO" pitchFamily="50" charset="-128"/>
            </a:rPr>
            <a:t>Decision2012</a:t>
          </a:r>
          <a:r>
            <a:rPr kumimoji="1" lang="ja-JP" altLang="en-US" sz="1100" b="1">
              <a:latin typeface="HG丸ｺﾞｼｯｸM-PRO" pitchFamily="50" charset="-128"/>
              <a:ea typeface="HG丸ｺﾞｼｯｸM-PRO" pitchFamily="50" charset="-128"/>
            </a:rPr>
            <a:t>について</a:t>
          </a:r>
          <a:endParaRPr kumimoji="1" lang="en-US" altLang="ja-JP" sz="1100" b="1">
            <a:latin typeface="HG丸ｺﾞｼｯｸM-PRO" pitchFamily="50" charset="-128"/>
            <a:ea typeface="HG丸ｺﾞｼｯｸM-PRO" pitchFamily="50" charset="-128"/>
          </a:endParaRPr>
        </a:p>
        <a:p>
          <a:endParaRPr kumimoji="1" lang="en-US" altLang="ja-JP" sz="1100">
            <a:latin typeface="HG丸ｺﾞｼｯｸM-PRO" pitchFamily="50" charset="-128"/>
            <a:ea typeface="HG丸ｺﾞｼｯｸM-PRO" pitchFamily="50" charset="-128"/>
          </a:endParaRPr>
        </a:p>
        <a:p>
          <a:r>
            <a:rPr kumimoji="1" lang="ja-JP" altLang="en-US" sz="1100">
              <a:latin typeface="HG丸ｺﾞｼｯｸM-PRO" pitchFamily="50" charset="-128"/>
              <a:ea typeface="HG丸ｺﾞｼｯｸM-PRO" pitchFamily="50" charset="-128"/>
            </a:rPr>
            <a:t>　選挙マニアの皆さん，こんにちは。</a:t>
          </a:r>
          <a:r>
            <a:rPr kumimoji="1" lang="ja-JP" altLang="en-US" sz="1100" b="1">
              <a:latin typeface="HG丸ｺﾞｼｯｸM-PRO" pitchFamily="50" charset="-128"/>
              <a:ea typeface="HG丸ｺﾞｼｯｸM-PRO" pitchFamily="50" charset="-128"/>
            </a:rPr>
            <a:t>旧ホントは社民支持</a:t>
          </a:r>
          <a:r>
            <a:rPr kumimoji="1" lang="en-US" altLang="ja-JP" sz="1100" b="1">
              <a:latin typeface="HG丸ｺﾞｼｯｸM-PRO" pitchFamily="50" charset="-128"/>
              <a:ea typeface="HG丸ｺﾞｼｯｸM-PRO" pitchFamily="50" charset="-128"/>
            </a:rPr>
            <a:t>@</a:t>
          </a:r>
          <a:r>
            <a:rPr kumimoji="1" lang="ja-JP" altLang="en-US" sz="1100" b="1">
              <a:latin typeface="HG丸ｺﾞｼｯｸM-PRO" pitchFamily="50" charset="-128"/>
              <a:ea typeface="HG丸ｺﾞｼｯｸM-PRO" pitchFamily="50" charset="-128"/>
            </a:rPr>
            <a:t>鹿児島市</a:t>
          </a:r>
          <a:r>
            <a:rPr kumimoji="1" lang="ja-JP" altLang="en-US" sz="1100">
              <a:latin typeface="HG丸ｺﾞｼｯｸM-PRO" pitchFamily="50" charset="-128"/>
              <a:ea typeface="HG丸ｺﾞｼｯｸM-PRO" pitchFamily="50" charset="-128"/>
            </a:rPr>
            <a:t>と申します。いよいよ待ちに待った選挙の季節ですね。。。</a:t>
          </a:r>
          <a:endParaRPr kumimoji="1" lang="en-US" altLang="ja-JP" sz="1100">
            <a:latin typeface="HG丸ｺﾞｼｯｸM-PRO" pitchFamily="50" charset="-128"/>
            <a:ea typeface="HG丸ｺﾞｼｯｸM-PRO" pitchFamily="50" charset="-128"/>
          </a:endParaRPr>
        </a:p>
        <a:p>
          <a:r>
            <a:rPr kumimoji="1" lang="ja-JP" altLang="en-US" sz="1100">
              <a:latin typeface="HG丸ｺﾞｼｯｸM-PRO" pitchFamily="50" charset="-128"/>
              <a:ea typeface="HG丸ｺﾞｼｯｸM-PRO" pitchFamily="50" charset="-128"/>
            </a:rPr>
            <a:t>　このたび，第</a:t>
          </a:r>
          <a:r>
            <a:rPr kumimoji="1" lang="en-US" altLang="ja-JP" sz="1100">
              <a:latin typeface="HG丸ｺﾞｼｯｸM-PRO" pitchFamily="50" charset="-128"/>
              <a:ea typeface="HG丸ｺﾞｼｯｸM-PRO" pitchFamily="50" charset="-128"/>
            </a:rPr>
            <a:t>46</a:t>
          </a:r>
          <a:r>
            <a:rPr kumimoji="1" lang="ja-JP" altLang="en-US" sz="1100">
              <a:latin typeface="HG丸ｺﾞｼｯｸM-PRO" pitchFamily="50" charset="-128"/>
              <a:ea typeface="HG丸ｺﾞｼｯｸM-PRO" pitchFamily="50" charset="-128"/>
            </a:rPr>
            <a:t>回衆議院議員総選挙の予想・開票速報をよりいっそうお楽しみいただける（？）ソフトとして</a:t>
          </a:r>
          <a:r>
            <a:rPr kumimoji="1" lang="en-US" altLang="ja-JP" sz="1100">
              <a:solidFill>
                <a:srgbClr val="FF0000"/>
              </a:solidFill>
              <a:latin typeface="HG丸ｺﾞｼｯｸM-PRO" pitchFamily="50" charset="-128"/>
              <a:ea typeface="HG丸ｺﾞｼｯｸM-PRO" pitchFamily="50" charset="-128"/>
            </a:rPr>
            <a:t>Decision2012</a:t>
          </a:r>
          <a:r>
            <a:rPr kumimoji="1" lang="ja-JP" altLang="en-US" sz="1100">
              <a:latin typeface="HG丸ｺﾞｼｯｸM-PRO" pitchFamily="50" charset="-128"/>
              <a:ea typeface="HG丸ｺﾞｼｯｸM-PRO" pitchFamily="50" charset="-128"/>
            </a:rPr>
            <a:t>を作成いたしました。これまでも，開票速報ソフトを作って遊んでいましたが，これまでいろいろな情報提供をいただいた皆様にも何か還元したいと思い，公開の運びとなりました。</a:t>
          </a:r>
          <a:endParaRPr kumimoji="1" lang="en-US" altLang="ja-JP" sz="1100">
            <a:latin typeface="HG丸ｺﾞｼｯｸM-PRO" pitchFamily="50" charset="-128"/>
            <a:ea typeface="HG丸ｺﾞｼｯｸM-PRO" pitchFamily="50" charset="-128"/>
          </a:endParaRPr>
        </a:p>
        <a:p>
          <a:endParaRPr kumimoji="1" lang="en-US" altLang="ja-JP" sz="1100">
            <a:latin typeface="HG丸ｺﾞｼｯｸM-PRO" pitchFamily="50" charset="-128"/>
            <a:ea typeface="HG丸ｺﾞｼｯｸM-PRO" pitchFamily="50" charset="-128"/>
          </a:endParaRPr>
        </a:p>
        <a:p>
          <a:r>
            <a:rPr kumimoji="1" lang="ja-JP" altLang="en-US" sz="1100">
              <a:latin typeface="HG丸ｺﾞｼｯｸM-PRO" pitchFamily="50" charset="-128"/>
              <a:ea typeface="HG丸ｺﾞｼｯｸM-PRO" pitchFamily="50" charset="-128"/>
            </a:rPr>
            <a:t>　候補者経歴情報の一覧を記載したほか，自分自身でも選挙予測，開票速報（？）ができるようにしてあります。また，予想の参考に（今回は全くならんと思います</a:t>
          </a:r>
          <a:r>
            <a:rPr kumimoji="1" lang="en-US" altLang="ja-JP" sz="1100">
              <a:latin typeface="HG丸ｺﾞｼｯｸM-PRO" pitchFamily="50" charset="-128"/>
              <a:ea typeface="HG丸ｺﾞｼｯｸM-PRO" pitchFamily="50" charset="-128"/>
            </a:rPr>
            <a:t>…</a:t>
          </a:r>
          <a:r>
            <a:rPr kumimoji="1" lang="ja-JP" altLang="en-US" sz="1100">
              <a:latin typeface="HG丸ｺﾞｼｯｸM-PRO" pitchFamily="50" charset="-128"/>
              <a:ea typeface="HG丸ｺﾞｼｯｸM-PRO" pitchFamily="50" charset="-128"/>
            </a:rPr>
            <a:t>）過去</a:t>
          </a:r>
          <a:r>
            <a:rPr kumimoji="1" lang="en-US" altLang="ja-JP" sz="1100">
              <a:latin typeface="HG丸ｺﾞｼｯｸM-PRO" pitchFamily="50" charset="-128"/>
              <a:ea typeface="HG丸ｺﾞｼｯｸM-PRO" pitchFamily="50" charset="-128"/>
            </a:rPr>
            <a:t>3</a:t>
          </a:r>
          <a:r>
            <a:rPr kumimoji="1" lang="ja-JP" altLang="en-US" sz="1100">
              <a:latin typeface="HG丸ｺﾞｼｯｸM-PRO" pitchFamily="50" charset="-128"/>
              <a:ea typeface="HG丸ｺﾞｼｯｸM-PRO" pitchFamily="50" charset="-128"/>
            </a:rPr>
            <a:t>回の総選挙開票結果，選挙区別比例得票データ（</a:t>
          </a:r>
          <a:r>
            <a:rPr kumimoji="1" lang="en-US" altLang="ja-JP" sz="1100">
              <a:latin typeface="HG丸ｺﾞｼｯｸM-PRO" pitchFamily="50" charset="-128"/>
              <a:ea typeface="HG丸ｺﾞｼｯｸM-PRO" pitchFamily="50" charset="-128"/>
            </a:rPr>
            <a:t>09</a:t>
          </a:r>
          <a:r>
            <a:rPr kumimoji="1" lang="ja-JP" altLang="en-US" sz="1100">
              <a:latin typeface="HG丸ｺﾞｼｯｸM-PRO" pitchFamily="50" charset="-128"/>
              <a:ea typeface="HG丸ｺﾞｼｯｸM-PRO" pitchFamily="50" charset="-128"/>
            </a:rPr>
            <a:t>・</a:t>
          </a:r>
          <a:r>
            <a:rPr kumimoji="1" lang="en-US" altLang="ja-JP" sz="1100">
              <a:latin typeface="HG丸ｺﾞｼｯｸM-PRO" pitchFamily="50" charset="-128"/>
              <a:ea typeface="HG丸ｺﾞｼｯｸM-PRO" pitchFamily="50" charset="-128"/>
            </a:rPr>
            <a:t>10</a:t>
          </a:r>
          <a:r>
            <a:rPr kumimoji="1" lang="ja-JP" altLang="en-US" sz="1100">
              <a:latin typeface="HG丸ｺﾞｼｯｸM-PRO" pitchFamily="50" charset="-128"/>
              <a:ea typeface="HG丸ｺﾞｼｯｸM-PRO" pitchFamily="50" charset="-128"/>
            </a:rPr>
            <a:t>除く</a:t>
          </a:r>
          <a:r>
            <a:rPr kumimoji="1" lang="en-US" altLang="ja-JP" sz="1100">
              <a:latin typeface="HG丸ｺﾞｼｯｸM-PRO" pitchFamily="50" charset="-128"/>
              <a:ea typeface="HG丸ｺﾞｼｯｸM-PRO" pitchFamily="50" charset="-128"/>
            </a:rPr>
            <a:t>…</a:t>
          </a:r>
          <a:r>
            <a:rPr kumimoji="1" lang="ja-JP" altLang="en-US" sz="1100">
              <a:latin typeface="HG丸ｺﾞｼｯｸM-PRO" pitchFamily="50" charset="-128"/>
              <a:ea typeface="HG丸ｺﾞｼｯｸM-PRO" pitchFamily="50" charset="-128"/>
            </a:rPr>
            <a:t>誰か作って</a:t>
          </a:r>
          <a:r>
            <a:rPr kumimoji="1" lang="en-US" altLang="ja-JP" sz="1100">
              <a:latin typeface="HG丸ｺﾞｼｯｸM-PRO" pitchFamily="50" charset="-128"/>
              <a:ea typeface="HG丸ｺﾞｼｯｸM-PRO" pitchFamily="50" charset="-128"/>
            </a:rPr>
            <a:t>…</a:t>
          </a:r>
          <a:r>
            <a:rPr kumimoji="1" lang="ja-JP" altLang="en-US" sz="1100">
              <a:latin typeface="HG丸ｺﾞｼｯｸM-PRO" pitchFamily="50" charset="-128"/>
              <a:ea typeface="HG丸ｺﾞｼｯｸM-PRO" pitchFamily="50" charset="-128"/>
            </a:rPr>
            <a:t>）も載せてあります。</a:t>
          </a:r>
          <a:r>
            <a:rPr kumimoji="1" lang="en-US" altLang="ja-JP" sz="1050">
              <a:latin typeface="HG丸ｺﾞｼｯｸM-PRO" pitchFamily="50" charset="-128"/>
              <a:ea typeface="HG丸ｺﾞｼｯｸM-PRO" pitchFamily="50" charset="-128"/>
            </a:rPr>
            <a:t>……</a:t>
          </a:r>
          <a:r>
            <a:rPr kumimoji="1" lang="ja-JP" altLang="en-US" sz="1000">
              <a:latin typeface="HG丸ｺﾞｼｯｸM-PRO" pitchFamily="50" charset="-128"/>
              <a:ea typeface="HG丸ｺﾞｼｯｸM-PRO" pitchFamily="50" charset="-128"/>
            </a:rPr>
            <a:t>ソフト導入に伴う不具合は自己責任でお願いします。</a:t>
          </a:r>
          <a:endParaRPr kumimoji="1" lang="en-US" altLang="ja-JP" sz="1000">
            <a:latin typeface="HG丸ｺﾞｼｯｸM-PRO" pitchFamily="50" charset="-128"/>
            <a:ea typeface="HG丸ｺﾞｼｯｸM-PRO" pitchFamily="50" charset="-128"/>
          </a:endParaRPr>
        </a:p>
        <a:p>
          <a:endParaRPr kumimoji="1" lang="en-US" altLang="ja-JP" sz="1100">
            <a:latin typeface="HG丸ｺﾞｼｯｸM-PRO" pitchFamily="50" charset="-128"/>
            <a:ea typeface="HG丸ｺﾞｼｯｸM-PRO" pitchFamily="50" charset="-128"/>
          </a:endParaRPr>
        </a:p>
        <a:p>
          <a:r>
            <a:rPr kumimoji="1" lang="ja-JP" altLang="en-US" sz="1100">
              <a:latin typeface="HG丸ｺﾞｼｯｸM-PRO" pitchFamily="50" charset="-128"/>
              <a:ea typeface="HG丸ｺﾞｼｯｸM-PRO" pitchFamily="50" charset="-128"/>
            </a:rPr>
            <a:t>（使い方）</a:t>
          </a:r>
          <a:endParaRPr kumimoji="1" lang="en-US" altLang="ja-JP" sz="1100">
            <a:latin typeface="HG丸ｺﾞｼｯｸM-PRO" pitchFamily="50" charset="-128"/>
            <a:ea typeface="HG丸ｺﾞｼｯｸM-PRO" pitchFamily="50" charset="-128"/>
          </a:endParaRPr>
        </a:p>
        <a:p>
          <a:r>
            <a:rPr kumimoji="1" lang="ja-JP" altLang="en-US" sz="1100">
              <a:solidFill>
                <a:srgbClr val="FF0000"/>
              </a:solidFill>
              <a:latin typeface="HG丸ｺﾞｼｯｸM-PRO" pitchFamily="50" charset="-128"/>
              <a:ea typeface="HG丸ｺﾞｼｯｸM-PRO" pitchFamily="50" charset="-128"/>
            </a:rPr>
            <a:t>　予想</a:t>
          </a:r>
          <a:r>
            <a:rPr kumimoji="1" lang="ja-JP" altLang="en-US" sz="1100">
              <a:latin typeface="HG丸ｺﾞｼｯｸM-PRO" pitchFamily="50" charset="-128"/>
              <a:ea typeface="HG丸ｺﾞｼｯｸM-PRO" pitchFamily="50" charset="-128"/>
            </a:rPr>
            <a:t>：</a:t>
          </a:r>
          <a:r>
            <a:rPr kumimoji="1" lang="ja-JP" altLang="en-US" sz="1100">
              <a:solidFill>
                <a:srgbClr val="0070C0"/>
              </a:solidFill>
              <a:latin typeface="HG丸ｺﾞｼｯｸM-PRO" pitchFamily="50" charset="-128"/>
              <a:ea typeface="HG丸ｺﾞｼｯｸM-PRO" pitchFamily="50" charset="-128"/>
            </a:rPr>
            <a:t>小選挙区</a:t>
          </a:r>
          <a:r>
            <a:rPr kumimoji="1" lang="ja-JP" altLang="en-US" sz="1100">
              <a:latin typeface="HG丸ｺﾞｼｯｸM-PRO" pitchFamily="50" charset="-128"/>
              <a:ea typeface="HG丸ｺﾞｼｯｸM-PRO" pitchFamily="50" charset="-128"/>
            </a:rPr>
            <a:t>は「小選挙区」タブから。予想欄に◯（まる），△（さんかく），☆（ほし），★（ほし），▲（さんかく），</a:t>
          </a:r>
          <a:r>
            <a:rPr kumimoji="1" lang="en-US" altLang="ja-JP" sz="1100">
              <a:latin typeface="HG丸ｺﾞｼｯｸM-PRO" pitchFamily="50" charset="-128"/>
              <a:ea typeface="HG丸ｺﾞｼｯｸM-PRO" pitchFamily="50" charset="-128"/>
            </a:rPr>
            <a:t>×</a:t>
          </a:r>
          <a:r>
            <a:rPr kumimoji="1" lang="ja-JP" altLang="en-US" sz="1100">
              <a:latin typeface="HG丸ｺﾞｼｯｸM-PRO" pitchFamily="50" charset="-128"/>
              <a:ea typeface="HG丸ｺﾞｼｯｸM-PRO" pitchFamily="50" charset="-128"/>
            </a:rPr>
            <a:t>（ばつ）で入力を。◯・△・☆の数が「予想計」のタブに集計されます。ちなみに，各政党の獲得予想議席数のプラスマイナスは，☆・★の数の</a:t>
          </a:r>
          <a:r>
            <a:rPr kumimoji="1" lang="en-US" altLang="ja-JP" sz="1100">
              <a:latin typeface="HG丸ｺﾞｼｯｸM-PRO" pitchFamily="50" charset="-128"/>
              <a:ea typeface="HG丸ｺﾞｼｯｸM-PRO" pitchFamily="50" charset="-128"/>
            </a:rPr>
            <a:t>1/3</a:t>
          </a:r>
          <a:r>
            <a:rPr kumimoji="1" lang="ja-JP" altLang="en-US" sz="1100">
              <a:latin typeface="HG丸ｺﾞｼｯｸM-PRO" pitchFamily="50" charset="-128"/>
              <a:ea typeface="HG丸ｺﾞｼｯｸM-PRO" pitchFamily="50" charset="-128"/>
            </a:rPr>
            <a:t>となっています。接戦だと思う選挙区にはこちらで入力すればよろしいかと。</a:t>
          </a:r>
          <a:r>
            <a:rPr kumimoji="1" lang="ja-JP" altLang="en-US" sz="1100">
              <a:solidFill>
                <a:srgbClr val="0070C0"/>
              </a:solidFill>
              <a:latin typeface="HG丸ｺﾞｼｯｸM-PRO" pitchFamily="50" charset="-128"/>
              <a:ea typeface="HG丸ｺﾞｼｯｸM-PRO" pitchFamily="50" charset="-128"/>
            </a:rPr>
            <a:t>比例代表</a:t>
          </a:r>
          <a:r>
            <a:rPr kumimoji="1" lang="ja-JP" altLang="en-US" sz="1100">
              <a:latin typeface="HG丸ｺﾞｼｯｸM-PRO" pitchFamily="50" charset="-128"/>
              <a:ea typeface="HG丸ｺﾞｼｯｸM-PRO" pitchFamily="50" charset="-128"/>
            </a:rPr>
            <a:t>は「比例予想」タブから。こちらはプラスマイナスの値は自分で変更できますので。</a:t>
          </a:r>
          <a:endParaRPr kumimoji="1" lang="en-US" altLang="ja-JP" sz="1100">
            <a:latin typeface="HG丸ｺﾞｼｯｸM-PRO" pitchFamily="50" charset="-128"/>
            <a:ea typeface="HG丸ｺﾞｼｯｸM-PRO" pitchFamily="50" charset="-128"/>
          </a:endParaRPr>
        </a:p>
        <a:p>
          <a:endParaRPr kumimoji="1" lang="en-US" altLang="ja-JP" sz="1100">
            <a:latin typeface="HG丸ｺﾞｼｯｸM-PRO" pitchFamily="50" charset="-128"/>
            <a:ea typeface="HG丸ｺﾞｼｯｸM-PRO" pitchFamily="50" charset="-128"/>
          </a:endParaRPr>
        </a:p>
        <a:p>
          <a:r>
            <a:rPr kumimoji="1" lang="ja-JP" altLang="en-US" sz="1100">
              <a:latin typeface="HG丸ｺﾞｼｯｸM-PRO" pitchFamily="50" charset="-128"/>
              <a:ea typeface="HG丸ｺﾞｼｯｸM-PRO" pitchFamily="50" charset="-128"/>
            </a:rPr>
            <a:t>　</a:t>
          </a:r>
          <a:r>
            <a:rPr kumimoji="1" lang="ja-JP" altLang="en-US" sz="1100">
              <a:solidFill>
                <a:srgbClr val="FF0000"/>
              </a:solidFill>
              <a:latin typeface="HG丸ｺﾞｼｯｸM-PRO" pitchFamily="50" charset="-128"/>
              <a:ea typeface="HG丸ｺﾞｼｯｸM-PRO" pitchFamily="50" charset="-128"/>
            </a:rPr>
            <a:t>データベース</a:t>
          </a:r>
          <a:r>
            <a:rPr kumimoji="1" lang="ja-JP" altLang="en-US" sz="1100">
              <a:latin typeface="HG丸ｺﾞｼｯｸM-PRO" pitchFamily="50" charset="-128"/>
              <a:ea typeface="HG丸ｺﾞｼｯｸM-PRO" pitchFamily="50" charset="-128"/>
            </a:rPr>
            <a:t>：候補者情報・選挙結果等は，各種媒体を参考にしました。ただし，</a:t>
          </a:r>
          <a:r>
            <a:rPr kumimoji="1" lang="ja-JP" altLang="en-US" sz="1100" u="none">
              <a:solidFill>
                <a:srgbClr val="7030A0"/>
              </a:solidFill>
              <a:latin typeface="HG丸ｺﾞｼｯｸM-PRO" pitchFamily="50" charset="-128"/>
              <a:ea typeface="HG丸ｺﾞｼｯｸM-PRO" pitchFamily="50" charset="-128"/>
            </a:rPr>
            <a:t>正確さは必ずしも保証できるものではありません（というより直前に候補を大量擁立する政党のせいで</a:t>
          </a:r>
          <a:r>
            <a:rPr kumimoji="1" lang="en-US" altLang="ja-JP" sz="1100" u="none">
              <a:solidFill>
                <a:srgbClr val="7030A0"/>
              </a:solidFill>
              <a:latin typeface="HG丸ｺﾞｼｯｸM-PRO" pitchFamily="50" charset="-128"/>
              <a:ea typeface="HG丸ｺﾞｼｯｸM-PRO" pitchFamily="50" charset="-128"/>
            </a:rPr>
            <a:t>(ry</a:t>
          </a:r>
          <a:r>
            <a:rPr kumimoji="1" lang="ja-JP" altLang="en-US" sz="1100" u="none">
              <a:solidFill>
                <a:srgbClr val="7030A0"/>
              </a:solidFill>
              <a:latin typeface="HG丸ｺﾞｼｯｸM-PRO" pitchFamily="50" charset="-128"/>
              <a:ea typeface="HG丸ｺﾞｼｯｸM-PRO" pitchFamily="50" charset="-128"/>
            </a:rPr>
            <a:t>）</a:t>
          </a:r>
          <a:r>
            <a:rPr kumimoji="1" lang="ja-JP" altLang="en-US" sz="1100" u="none">
              <a:solidFill>
                <a:schemeClr val="dk1"/>
              </a:solidFill>
              <a:latin typeface="HG丸ｺﾞｼｯｸM-PRO" pitchFamily="50" charset="-128"/>
              <a:ea typeface="HG丸ｺﾞｼｯｸM-PRO" pitchFamily="50" charset="-128"/>
            </a:rPr>
            <a:t>。間違っていたら，ごめんなさい。本業が忙しく，間違いがあっても，修正できるかどうか微妙です。</a:t>
          </a:r>
          <a:endParaRPr kumimoji="1" lang="en-US" altLang="ja-JP" sz="1100" u="none">
            <a:solidFill>
              <a:schemeClr val="dk1"/>
            </a:solidFill>
            <a:latin typeface="HG丸ｺﾞｼｯｸM-PRO" pitchFamily="50" charset="-128"/>
            <a:ea typeface="HG丸ｺﾞｼｯｸM-PRO" pitchFamily="50" charset="-128"/>
          </a:endParaRPr>
        </a:p>
        <a:p>
          <a:r>
            <a:rPr kumimoji="1" lang="ja-JP" altLang="en-US" sz="1100" u="none">
              <a:solidFill>
                <a:schemeClr val="dk1"/>
              </a:solidFill>
              <a:latin typeface="HG丸ｺﾞｼｯｸM-PRO" pitchFamily="50" charset="-128"/>
              <a:ea typeface="HG丸ｺﾞｼｯｸM-PRO" pitchFamily="50" charset="-128"/>
            </a:rPr>
            <a:t>「小選挙区」「比例区」の属性は，官：官僚，議：地方議員，首：地方自治体首長，鞍：参議院議員，ジ：マスメディア・ジャーナリスト，タ：タレント・スポーツ・文芸，二：（初当選する前に）親族に国会議員がいる（世襲を意味するものではありませんので注意），法：弁護士・検察官・裁判官の法曹職，松：松下政経塾，労：労働組合　となっています。</a:t>
          </a:r>
          <a:endParaRPr kumimoji="1" lang="en-US" altLang="ja-JP" sz="1100" u="none">
            <a:solidFill>
              <a:schemeClr val="dk1"/>
            </a:solidFill>
            <a:latin typeface="HG丸ｺﾞｼｯｸM-PRO" pitchFamily="50" charset="-128"/>
            <a:ea typeface="HG丸ｺﾞｼｯｸM-PRO" pitchFamily="50" charset="-128"/>
          </a:endParaRPr>
        </a:p>
        <a:p>
          <a:endParaRPr kumimoji="1" lang="en-US" altLang="ja-JP" sz="1100" u="none">
            <a:solidFill>
              <a:schemeClr val="dk1"/>
            </a:solidFill>
            <a:latin typeface="HG丸ｺﾞｼｯｸM-PRO" pitchFamily="50" charset="-128"/>
            <a:ea typeface="HG丸ｺﾞｼｯｸM-PRO" pitchFamily="50" charset="-128"/>
          </a:endParaRPr>
        </a:p>
        <a:p>
          <a:r>
            <a:rPr kumimoji="1" lang="ja-JP" altLang="en-US" sz="1100" u="none">
              <a:solidFill>
                <a:schemeClr val="dk1"/>
              </a:solidFill>
              <a:latin typeface="HG丸ｺﾞｼｯｸM-PRO" pitchFamily="50" charset="-128"/>
              <a:ea typeface="HG丸ｺﾞｼｯｸM-PRO" pitchFamily="50" charset="-128"/>
            </a:rPr>
            <a:t>　</a:t>
          </a:r>
          <a:r>
            <a:rPr kumimoji="1" lang="ja-JP" altLang="en-US" sz="1100" u="none">
              <a:solidFill>
                <a:srgbClr val="FF0000"/>
              </a:solidFill>
              <a:latin typeface="HG丸ｺﾞｼｯｸM-PRO" pitchFamily="50" charset="-128"/>
              <a:ea typeface="HG丸ｺﾞｼｯｸM-PRO" pitchFamily="50" charset="-128"/>
            </a:rPr>
            <a:t>開票速報</a:t>
          </a:r>
          <a:r>
            <a:rPr kumimoji="1" lang="ja-JP" altLang="en-US" sz="1100" u="none">
              <a:solidFill>
                <a:schemeClr val="dk1"/>
              </a:solidFill>
              <a:latin typeface="HG丸ｺﾞｼｯｸM-PRO" pitchFamily="50" charset="-128"/>
              <a:ea typeface="HG丸ｺﾞｼｯｸM-PRO" pitchFamily="50" charset="-128"/>
            </a:rPr>
            <a:t>：「結果（小）」「結果（比）」に得票数などを入力してください。「結果（小）」は，当選欄に「当選」と打ち込むと，「結果（総計）」タブで自動集計してくれます。「結果（比）」は議席数欄に議席数を打ち込めばよいです。惜敗率は，一応自動計算です。開票当日の集計・実況作業（？）にでもどうぞ。</a:t>
          </a:r>
          <a:endParaRPr kumimoji="1" lang="en-US" altLang="ja-JP" sz="1100" u="none">
            <a:solidFill>
              <a:schemeClr val="dk1"/>
            </a:solidFill>
            <a:latin typeface="HG丸ｺﾞｼｯｸM-PRO" pitchFamily="50" charset="-128"/>
            <a:ea typeface="HG丸ｺﾞｼｯｸM-PRO" pitchFamily="50" charset="-128"/>
          </a:endParaRPr>
        </a:p>
        <a:p>
          <a:endParaRPr kumimoji="1" lang="en-US" altLang="ja-JP" sz="1100" u="none">
            <a:solidFill>
              <a:schemeClr val="dk1"/>
            </a:solidFill>
            <a:latin typeface="HG丸ｺﾞｼｯｸM-PRO" pitchFamily="50" charset="-128"/>
            <a:ea typeface="HG丸ｺﾞｼｯｸM-PRO" pitchFamily="50" charset="-128"/>
          </a:endParaRPr>
        </a:p>
        <a:p>
          <a:r>
            <a:rPr kumimoji="1" lang="ja-JP" altLang="en-US" sz="1100" u="none">
              <a:solidFill>
                <a:schemeClr val="dk1"/>
              </a:solidFill>
              <a:latin typeface="HG丸ｺﾞｼｯｸM-PRO" pitchFamily="50" charset="-128"/>
              <a:ea typeface="HG丸ｺﾞｼｯｸM-PRO" pitchFamily="50" charset="-128"/>
            </a:rPr>
            <a:t>　いろいろ書きましたが，使い方・遊び方は人それぞれ。</a:t>
          </a:r>
          <a:r>
            <a:rPr kumimoji="1" lang="en-US" altLang="ja-JP" sz="1100" u="none">
              <a:solidFill>
                <a:schemeClr val="dk1"/>
              </a:solidFill>
              <a:latin typeface="HG丸ｺﾞｼｯｸM-PRO" pitchFamily="50" charset="-128"/>
              <a:ea typeface="HG丸ｺﾞｼｯｸM-PRO" pitchFamily="50" charset="-128"/>
            </a:rPr>
            <a:t>12</a:t>
          </a:r>
          <a:r>
            <a:rPr kumimoji="1" lang="ja-JP" altLang="en-US" sz="1100" u="none">
              <a:solidFill>
                <a:schemeClr val="dk1"/>
              </a:solidFill>
              <a:latin typeface="HG丸ｺﾞｼｯｸM-PRO" pitchFamily="50" charset="-128"/>
              <a:ea typeface="HG丸ｺﾞｼｯｸM-PRO" pitchFamily="50" charset="-128"/>
            </a:rPr>
            <a:t>月</a:t>
          </a:r>
          <a:r>
            <a:rPr kumimoji="1" lang="en-US" altLang="ja-JP" sz="1100" u="none">
              <a:solidFill>
                <a:schemeClr val="dk1"/>
              </a:solidFill>
              <a:latin typeface="HG丸ｺﾞｼｯｸM-PRO" pitchFamily="50" charset="-128"/>
              <a:ea typeface="HG丸ｺﾞｼｯｸM-PRO" pitchFamily="50" charset="-128"/>
            </a:rPr>
            <a:t>16</a:t>
          </a:r>
          <a:r>
            <a:rPr kumimoji="1" lang="ja-JP" altLang="en-US" sz="1100" u="none">
              <a:solidFill>
                <a:schemeClr val="dk1"/>
              </a:solidFill>
              <a:latin typeface="HG丸ｺﾞｼｯｸM-PRO" pitchFamily="50" charset="-128"/>
              <a:ea typeface="HG丸ｺﾞｼｯｸM-PRO" pitchFamily="50" charset="-128"/>
            </a:rPr>
            <a:t>日に楽しく使ってもらえれば幸いです。</a:t>
          </a:r>
          <a:endParaRPr kumimoji="1" lang="en-US" altLang="ja-JP" sz="1100" u="none">
            <a:solidFill>
              <a:schemeClr val="dk1"/>
            </a:solidFill>
            <a:latin typeface="HG丸ｺﾞｼｯｸM-PRO" pitchFamily="50" charset="-128"/>
            <a:ea typeface="HG丸ｺﾞｼｯｸM-PRO" pitchFamily="50" charset="-128"/>
          </a:endParaRPr>
        </a:p>
        <a:p>
          <a:r>
            <a:rPr kumimoji="1" lang="ja-JP" altLang="en-US" sz="1100" u="none">
              <a:solidFill>
                <a:schemeClr val="dk1"/>
              </a:solidFill>
              <a:latin typeface="HG丸ｺﾞｼｯｸM-PRO" pitchFamily="50" charset="-128"/>
              <a:ea typeface="HG丸ｺﾞｼｯｸM-PRO" pitchFamily="50" charset="-128"/>
            </a:rPr>
            <a:t>　姉妹品の「両院の勢力分野」ファイルもよろしくっ。次回</a:t>
          </a:r>
          <a:r>
            <a:rPr kumimoji="1" lang="en-US" altLang="ja-JP" sz="1100" u="none">
              <a:solidFill>
                <a:srgbClr val="FF0000"/>
              </a:solidFill>
              <a:latin typeface="HG丸ｺﾞｼｯｸM-PRO" pitchFamily="50" charset="-128"/>
              <a:ea typeface="HG丸ｺﾞｼｯｸM-PRO" pitchFamily="50" charset="-128"/>
            </a:rPr>
            <a:t>Decision2013</a:t>
          </a:r>
          <a:r>
            <a:rPr kumimoji="1" lang="ja-JP" altLang="en-US" sz="1100" u="none">
              <a:solidFill>
                <a:schemeClr val="dk1"/>
              </a:solidFill>
              <a:latin typeface="HG丸ｺﾞｼｯｸM-PRO" pitchFamily="50" charset="-128"/>
              <a:ea typeface="HG丸ｺﾞｼｯｸM-PRO" pitchFamily="50" charset="-128"/>
            </a:rPr>
            <a:t>にてお会いしましょう。ではではっ。</a:t>
          </a:r>
          <a:endParaRPr kumimoji="1" lang="en-US" altLang="ja-JP" sz="1100" u="none">
            <a:solidFill>
              <a:schemeClr val="dk1"/>
            </a:solidFill>
            <a:latin typeface="HG丸ｺﾞｼｯｸM-PRO" pitchFamily="50" charset="-128"/>
            <a:ea typeface="HG丸ｺﾞｼｯｸM-PRO" pitchFamily="50" charset="-128"/>
          </a:endParaRPr>
        </a:p>
        <a:p>
          <a:r>
            <a:rPr kumimoji="1" lang="ja-JP" altLang="en-US" sz="1100" u="none">
              <a:solidFill>
                <a:schemeClr val="dk1"/>
              </a:solidFill>
              <a:latin typeface="HG丸ｺﾞｼｯｸM-PRO" pitchFamily="50" charset="-128"/>
              <a:ea typeface="HG丸ｺﾞｼｯｸM-PRO" pitchFamily="50" charset="-128"/>
            </a:rPr>
            <a:t>　　　　　　　　　　　　　　　　　　　　　　　　　　　　　　　　　　　　　　　　　　　　　　　　　　　　　　　　　　　　　　　　　　　　</a:t>
          </a:r>
          <a:r>
            <a:rPr kumimoji="1" lang="ja-JP" altLang="en-US" sz="1100" b="1" u="none">
              <a:solidFill>
                <a:schemeClr val="dk1"/>
              </a:solidFill>
              <a:latin typeface="HG丸ｺﾞｼｯｸM-PRO" pitchFamily="50" charset="-128"/>
              <a:ea typeface="HG丸ｺﾞｼｯｸM-PRO" pitchFamily="50" charset="-128"/>
            </a:rPr>
            <a:t>旧ホントは社民支持</a:t>
          </a:r>
          <a:r>
            <a:rPr kumimoji="1" lang="en-US" altLang="ja-JP" sz="1100" b="1" u="none">
              <a:solidFill>
                <a:schemeClr val="dk1"/>
              </a:solidFill>
              <a:latin typeface="HG丸ｺﾞｼｯｸM-PRO" pitchFamily="50" charset="-128"/>
              <a:ea typeface="HG丸ｺﾞｼｯｸM-PRO" pitchFamily="50" charset="-128"/>
            </a:rPr>
            <a:t>@</a:t>
          </a:r>
          <a:r>
            <a:rPr kumimoji="1" lang="ja-JP" altLang="en-US" sz="1100" b="1" u="none">
              <a:solidFill>
                <a:schemeClr val="dk1"/>
              </a:solidFill>
              <a:latin typeface="HG丸ｺﾞｼｯｸM-PRO" pitchFamily="50" charset="-128"/>
              <a:ea typeface="HG丸ｺﾞｼｯｸM-PRO" pitchFamily="50" charset="-128"/>
            </a:rPr>
            <a:t>鹿児島市</a:t>
          </a:r>
          <a:endParaRPr kumimoji="1" lang="en-US" altLang="ja-JP" sz="1100" b="1" u="none">
            <a:solidFill>
              <a:schemeClr val="dk1"/>
            </a:solidFill>
            <a:latin typeface="HG丸ｺﾞｼｯｸM-PRO" pitchFamily="50" charset="-128"/>
            <a:ea typeface="HG丸ｺﾞｼｯｸM-PRO" pitchFamily="50" charset="-128"/>
          </a:endParaRPr>
        </a:p>
        <a:p>
          <a:endParaRPr kumimoji="1" lang="en-US" altLang="ja-JP" sz="1100" u="none">
            <a:solidFill>
              <a:schemeClr val="dk1"/>
            </a:solidFill>
            <a:latin typeface="HG丸ｺﾞｼｯｸM-PRO" pitchFamily="50" charset="-128"/>
            <a:ea typeface="HG丸ｺﾞｼｯｸM-PRO" pitchFamily="50" charset="-128"/>
          </a:endParaRPr>
        </a:p>
        <a:p>
          <a:endParaRPr kumimoji="1" lang="en-US" altLang="ja-JP" sz="1100">
            <a:latin typeface="HG丸ｺﾞｼｯｸM-PRO" pitchFamily="50" charset="-128"/>
            <a:ea typeface="HG丸ｺﾞｼｯｸM-PRO"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333374</xdr:colOff>
      <xdr:row>32</xdr:row>
      <xdr:rowOff>19050</xdr:rowOff>
    </xdr:from>
    <xdr:to>
      <xdr:col>13</xdr:col>
      <xdr:colOff>2800349</xdr:colOff>
      <xdr:row>63</xdr:row>
      <xdr:rowOff>152400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38100</xdr:colOff>
      <xdr:row>0</xdr:row>
      <xdr:rowOff>104775</xdr:rowOff>
    </xdr:from>
    <xdr:to>
      <xdr:col>45</xdr:col>
      <xdr:colOff>219075</xdr:colOff>
      <xdr:row>16</xdr:row>
      <xdr:rowOff>238125</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
  <sheetViews>
    <sheetView tabSelected="1" workbookViewId="0"/>
  </sheetViews>
  <sheetFormatPr defaultRowHeight="13.5"/>
  <cols>
    <col min="1" max="16384" width="9" style="298"/>
  </cols>
  <sheetData/>
  <phoneticPr fontId="3"/>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dimension ref="A1:AE64"/>
  <sheetViews>
    <sheetView workbookViewId="0"/>
  </sheetViews>
  <sheetFormatPr defaultRowHeight="11.25"/>
  <cols>
    <col min="1" max="1" width="9" style="824"/>
    <col min="2" max="2" width="5.625" style="824" customWidth="1"/>
    <col min="3" max="3" width="3.625" style="824" customWidth="1"/>
    <col min="4" max="4" width="5.625" style="824" customWidth="1"/>
    <col min="5" max="5" width="3.625" style="824" customWidth="1"/>
    <col min="6" max="6" width="5.625" style="824" customWidth="1"/>
    <col min="7" max="7" width="3.625" style="824" customWidth="1"/>
    <col min="8" max="8" width="5.625" style="824" customWidth="1"/>
    <col min="9" max="9" width="3.625" style="824" customWidth="1"/>
    <col min="10" max="10" width="5.625" style="824" customWidth="1"/>
    <col min="11" max="11" width="3.625" style="824" customWidth="1"/>
    <col min="12" max="12" width="5.625" style="824" customWidth="1"/>
    <col min="13" max="13" width="3.625" style="824" customWidth="1"/>
    <col min="14" max="14" width="5.625" style="824" customWidth="1"/>
    <col min="15" max="15" width="3.625" style="824" customWidth="1"/>
    <col min="16" max="16" width="5.625" style="824" customWidth="1"/>
    <col min="17" max="17" width="3.625" style="824" customWidth="1"/>
    <col min="18" max="18" width="5.625" style="824" customWidth="1"/>
    <col min="19" max="19" width="3.625" style="824" customWidth="1"/>
    <col min="20" max="20" width="5.625" style="824" customWidth="1"/>
    <col min="21" max="21" width="3.625" style="824" customWidth="1"/>
    <col min="22" max="22" width="5.625" style="824" customWidth="1"/>
    <col min="23" max="23" width="3.625" style="824" customWidth="1"/>
    <col min="24" max="24" width="5.625" style="824" customWidth="1"/>
    <col min="25" max="25" width="3.625" style="824" customWidth="1"/>
    <col min="26" max="26" width="5.625" style="824" customWidth="1"/>
    <col min="27" max="27" width="3.625" style="824" customWidth="1"/>
    <col min="28" max="28" width="5.625" style="824" customWidth="1"/>
    <col min="29" max="29" width="3.625" style="824" customWidth="1"/>
    <col min="30" max="30" width="5.625" style="824" customWidth="1"/>
    <col min="31" max="31" width="3.625" style="824" customWidth="1"/>
    <col min="32" max="16384" width="9" style="824"/>
  </cols>
  <sheetData>
    <row r="1" spans="1:25">
      <c r="A1" s="1035"/>
      <c r="B1" s="1551" t="s">
        <v>18248</v>
      </c>
      <c r="C1" s="1547"/>
      <c r="D1" s="1547" t="s">
        <v>18249</v>
      </c>
      <c r="E1" s="1547"/>
      <c r="F1" s="1547" t="s">
        <v>18250</v>
      </c>
      <c r="G1" s="1547"/>
      <c r="H1" s="1547" t="s">
        <v>18251</v>
      </c>
      <c r="I1" s="1547"/>
      <c r="J1" s="1547" t="s">
        <v>18252</v>
      </c>
      <c r="K1" s="1547"/>
      <c r="L1" s="1547" t="s">
        <v>18253</v>
      </c>
      <c r="M1" s="1547"/>
      <c r="N1" s="1547" t="s">
        <v>18254</v>
      </c>
      <c r="O1" s="1547"/>
      <c r="P1" s="1547" t="s">
        <v>18255</v>
      </c>
      <c r="Q1" s="1547"/>
      <c r="R1" s="1547" t="s">
        <v>18256</v>
      </c>
      <c r="S1" s="1547"/>
      <c r="T1" s="1547" t="s">
        <v>18257</v>
      </c>
      <c r="U1" s="1547"/>
      <c r="V1" s="1547" t="s">
        <v>18258</v>
      </c>
      <c r="W1" s="1548"/>
      <c r="X1" s="1549" t="s">
        <v>18259</v>
      </c>
      <c r="Y1" s="1550"/>
    </row>
    <row r="2" spans="1:25" ht="15" thickBot="1">
      <c r="A2" s="1012" t="s">
        <v>18273</v>
      </c>
      <c r="B2" s="1556">
        <v>8</v>
      </c>
      <c r="C2" s="1557"/>
      <c r="D2" s="1557">
        <v>14</v>
      </c>
      <c r="E2" s="1557"/>
      <c r="F2" s="1557">
        <v>20</v>
      </c>
      <c r="G2" s="1557"/>
      <c r="H2" s="1557">
        <v>22</v>
      </c>
      <c r="I2" s="1557"/>
      <c r="J2" s="1557">
        <v>17</v>
      </c>
      <c r="K2" s="1557"/>
      <c r="L2" s="1557">
        <v>11</v>
      </c>
      <c r="M2" s="1557"/>
      <c r="N2" s="1557">
        <v>21</v>
      </c>
      <c r="O2" s="1557"/>
      <c r="P2" s="1557">
        <v>29</v>
      </c>
      <c r="Q2" s="1557"/>
      <c r="R2" s="1557">
        <v>11</v>
      </c>
      <c r="S2" s="1557"/>
      <c r="T2" s="1557">
        <v>6</v>
      </c>
      <c r="U2" s="1557"/>
      <c r="V2" s="1557">
        <v>21</v>
      </c>
      <c r="W2" s="1267"/>
      <c r="X2" s="1575">
        <f>SUM(B2:W2)</f>
        <v>180</v>
      </c>
      <c r="Y2" s="1576"/>
    </row>
    <row r="3" spans="1:25" ht="12" customHeight="1">
      <c r="A3" s="1565" t="s">
        <v>18260</v>
      </c>
      <c r="B3" s="1577">
        <v>2</v>
      </c>
      <c r="C3" s="901"/>
      <c r="D3" s="1578">
        <v>3</v>
      </c>
      <c r="E3" s="901"/>
      <c r="F3" s="1578">
        <v>4</v>
      </c>
      <c r="G3" s="901"/>
      <c r="H3" s="1578">
        <v>4</v>
      </c>
      <c r="I3" s="901">
        <v>1</v>
      </c>
      <c r="J3" s="1578">
        <v>3</v>
      </c>
      <c r="K3" s="901">
        <v>1</v>
      </c>
      <c r="L3" s="1578">
        <v>3</v>
      </c>
      <c r="M3" s="901"/>
      <c r="N3" s="1578">
        <v>4</v>
      </c>
      <c r="O3" s="901">
        <v>1</v>
      </c>
      <c r="P3" s="1578">
        <v>4</v>
      </c>
      <c r="Q3" s="901">
        <v>1</v>
      </c>
      <c r="R3" s="1578">
        <v>2</v>
      </c>
      <c r="S3" s="901">
        <v>1</v>
      </c>
      <c r="T3" s="1578">
        <v>1</v>
      </c>
      <c r="U3" s="901"/>
      <c r="V3" s="1578">
        <v>4</v>
      </c>
      <c r="W3" s="907"/>
      <c r="X3" s="1596">
        <f>B3+D3+F3+H3+J3+L3+N3+P3+R3+T3+V3</f>
        <v>34</v>
      </c>
      <c r="Y3" s="913">
        <f>C3+E3+G3+I3+K3+M3+O3+Q3+S3+U3+W3</f>
        <v>5</v>
      </c>
    </row>
    <row r="4" spans="1:25" ht="12" customHeight="1">
      <c r="A4" s="1566"/>
      <c r="B4" s="1558"/>
      <c r="C4" s="899">
        <v>-1</v>
      </c>
      <c r="D4" s="1579"/>
      <c r="E4" s="899"/>
      <c r="F4" s="1579"/>
      <c r="G4" s="899">
        <v>-1</v>
      </c>
      <c r="H4" s="1579"/>
      <c r="I4" s="899">
        <v>-1</v>
      </c>
      <c r="J4" s="1579"/>
      <c r="K4" s="899"/>
      <c r="L4" s="1579"/>
      <c r="M4" s="899">
        <v>-1</v>
      </c>
      <c r="N4" s="1579"/>
      <c r="O4" s="899"/>
      <c r="P4" s="1579"/>
      <c r="Q4" s="899"/>
      <c r="R4" s="1579"/>
      <c r="S4" s="899"/>
      <c r="T4" s="1579"/>
      <c r="U4" s="899"/>
      <c r="V4" s="1579"/>
      <c r="W4" s="908"/>
      <c r="X4" s="1597"/>
      <c r="Y4" s="914">
        <f t="shared" ref="Y4:Y28" si="0">C4+E4+G4+I4+K4+M4+O4+Q4+S4+U4+W4</f>
        <v>-4</v>
      </c>
    </row>
    <row r="5" spans="1:25" ht="12" customHeight="1">
      <c r="A5" s="1567" t="s">
        <v>18261</v>
      </c>
      <c r="B5" s="1558">
        <v>3</v>
      </c>
      <c r="C5" s="899">
        <v>1</v>
      </c>
      <c r="D5" s="1579">
        <v>6</v>
      </c>
      <c r="E5" s="899"/>
      <c r="F5" s="1579">
        <v>7</v>
      </c>
      <c r="G5" s="899"/>
      <c r="H5" s="1579">
        <v>7</v>
      </c>
      <c r="I5" s="899">
        <v>1</v>
      </c>
      <c r="J5" s="1579">
        <v>5</v>
      </c>
      <c r="K5" s="899">
        <v>1</v>
      </c>
      <c r="L5" s="1579">
        <v>5</v>
      </c>
      <c r="M5" s="899"/>
      <c r="N5" s="1579">
        <v>7</v>
      </c>
      <c r="O5" s="899"/>
      <c r="P5" s="1579">
        <v>6</v>
      </c>
      <c r="Q5" s="899">
        <v>1</v>
      </c>
      <c r="R5" s="1579">
        <v>5</v>
      </c>
      <c r="S5" s="899"/>
      <c r="T5" s="1579">
        <v>3</v>
      </c>
      <c r="U5" s="899"/>
      <c r="V5" s="1579">
        <v>7</v>
      </c>
      <c r="W5" s="908">
        <v>1</v>
      </c>
      <c r="X5" s="1598">
        <f t="shared" ref="X5" si="1">B5+D5+F5+H5+J5+L5+N5+P5+R5+T5+V5</f>
        <v>61</v>
      </c>
      <c r="Y5" s="914">
        <f t="shared" si="0"/>
        <v>5</v>
      </c>
    </row>
    <row r="6" spans="1:25" ht="12" customHeight="1">
      <c r="A6" s="1567"/>
      <c r="B6" s="1558"/>
      <c r="C6" s="899"/>
      <c r="D6" s="1579"/>
      <c r="E6" s="899">
        <v>-1</v>
      </c>
      <c r="F6" s="1579"/>
      <c r="G6" s="899">
        <v>-1</v>
      </c>
      <c r="H6" s="1579"/>
      <c r="I6" s="899">
        <v>-1</v>
      </c>
      <c r="J6" s="1579"/>
      <c r="K6" s="899"/>
      <c r="L6" s="1579"/>
      <c r="M6" s="899">
        <v>-1</v>
      </c>
      <c r="N6" s="1579"/>
      <c r="O6" s="899"/>
      <c r="P6" s="1579"/>
      <c r="Q6" s="899"/>
      <c r="R6" s="1579"/>
      <c r="S6" s="899">
        <v>-1</v>
      </c>
      <c r="T6" s="1579"/>
      <c r="U6" s="899"/>
      <c r="V6" s="1579"/>
      <c r="W6" s="908"/>
      <c r="X6" s="1598"/>
      <c r="Y6" s="914">
        <f t="shared" si="0"/>
        <v>-5</v>
      </c>
    </row>
    <row r="7" spans="1:25" ht="12" customHeight="1">
      <c r="A7" s="1568" t="s">
        <v>18262</v>
      </c>
      <c r="B7" s="1558">
        <v>0</v>
      </c>
      <c r="C7" s="899"/>
      <c r="D7" s="1579">
        <v>2</v>
      </c>
      <c r="E7" s="899"/>
      <c r="F7" s="1579">
        <v>1</v>
      </c>
      <c r="G7" s="899"/>
      <c r="H7" s="1579">
        <v>1</v>
      </c>
      <c r="I7" s="899">
        <v>1</v>
      </c>
      <c r="J7" s="1579">
        <v>1</v>
      </c>
      <c r="K7" s="899"/>
      <c r="L7" s="1579">
        <v>0</v>
      </c>
      <c r="M7" s="899">
        <v>1</v>
      </c>
      <c r="N7" s="1579">
        <v>1</v>
      </c>
      <c r="O7" s="899">
        <v>1</v>
      </c>
      <c r="P7" s="1579">
        <v>1</v>
      </c>
      <c r="Q7" s="899">
        <v>1</v>
      </c>
      <c r="R7" s="1579">
        <v>0</v>
      </c>
      <c r="S7" s="899"/>
      <c r="T7" s="1579">
        <v>0</v>
      </c>
      <c r="U7" s="899"/>
      <c r="V7" s="1579">
        <v>1</v>
      </c>
      <c r="W7" s="908"/>
      <c r="X7" s="1599">
        <f t="shared" ref="X7" si="2">B7+D7+F7+H7+J7+L7+N7+P7+R7+T7+V7</f>
        <v>8</v>
      </c>
      <c r="Y7" s="914">
        <f t="shared" si="0"/>
        <v>4</v>
      </c>
    </row>
    <row r="8" spans="1:25" ht="12" customHeight="1">
      <c r="A8" s="1568"/>
      <c r="B8" s="1558"/>
      <c r="C8" s="899"/>
      <c r="D8" s="1579"/>
      <c r="E8" s="899">
        <v>-1</v>
      </c>
      <c r="F8" s="1579"/>
      <c r="G8" s="899"/>
      <c r="H8" s="1579"/>
      <c r="I8" s="899"/>
      <c r="J8" s="1579"/>
      <c r="K8" s="899"/>
      <c r="L8" s="1579"/>
      <c r="M8" s="899"/>
      <c r="N8" s="1579"/>
      <c r="O8" s="899"/>
      <c r="P8" s="1579"/>
      <c r="Q8" s="899"/>
      <c r="R8" s="1579"/>
      <c r="S8" s="899"/>
      <c r="T8" s="1579"/>
      <c r="U8" s="899"/>
      <c r="V8" s="1579"/>
      <c r="W8" s="908"/>
      <c r="X8" s="1599"/>
      <c r="Y8" s="914">
        <f t="shared" si="0"/>
        <v>-1</v>
      </c>
    </row>
    <row r="9" spans="1:25" ht="12" customHeight="1">
      <c r="A9" s="1569" t="s">
        <v>18263</v>
      </c>
      <c r="B9" s="1558">
        <v>1</v>
      </c>
      <c r="C9" s="899"/>
      <c r="D9" s="1579">
        <v>1</v>
      </c>
      <c r="E9" s="899">
        <v>1</v>
      </c>
      <c r="F9" s="1579">
        <v>2</v>
      </c>
      <c r="G9" s="899">
        <v>1</v>
      </c>
      <c r="H9" s="1579">
        <v>3</v>
      </c>
      <c r="I9" s="899"/>
      <c r="J9" s="1579">
        <v>2</v>
      </c>
      <c r="K9" s="899"/>
      <c r="L9" s="1579">
        <v>1</v>
      </c>
      <c r="M9" s="899"/>
      <c r="N9" s="1579">
        <v>3</v>
      </c>
      <c r="O9" s="899"/>
      <c r="P9" s="1579">
        <v>5</v>
      </c>
      <c r="Q9" s="899"/>
      <c r="R9" s="1579">
        <v>2</v>
      </c>
      <c r="S9" s="899"/>
      <c r="T9" s="1579">
        <v>1</v>
      </c>
      <c r="U9" s="899"/>
      <c r="V9" s="1579">
        <v>3</v>
      </c>
      <c r="W9" s="908"/>
      <c r="X9" s="1600">
        <f t="shared" ref="X9" si="3">B9+D9+F9+H9+J9+L9+N9+P9+R9+T9+V9</f>
        <v>24</v>
      </c>
      <c r="Y9" s="914">
        <f t="shared" si="0"/>
        <v>2</v>
      </c>
    </row>
    <row r="10" spans="1:25" ht="12" customHeight="1">
      <c r="A10" s="1569"/>
      <c r="B10" s="1558"/>
      <c r="C10" s="899"/>
      <c r="D10" s="1579"/>
      <c r="E10" s="899"/>
      <c r="F10" s="1579"/>
      <c r="G10" s="899"/>
      <c r="H10" s="1579"/>
      <c r="I10" s="899">
        <v>-1</v>
      </c>
      <c r="J10" s="1579"/>
      <c r="K10" s="899"/>
      <c r="L10" s="1579"/>
      <c r="M10" s="899"/>
      <c r="N10" s="1579"/>
      <c r="O10" s="899"/>
      <c r="P10" s="1579"/>
      <c r="Q10" s="899">
        <v>-1</v>
      </c>
      <c r="R10" s="1579"/>
      <c r="S10" s="899"/>
      <c r="T10" s="1579"/>
      <c r="U10" s="899"/>
      <c r="V10" s="1579"/>
      <c r="W10" s="908"/>
      <c r="X10" s="1600"/>
      <c r="Y10" s="914">
        <f t="shared" si="0"/>
        <v>-2</v>
      </c>
    </row>
    <row r="11" spans="1:25" ht="12" customHeight="1">
      <c r="A11" s="1570" t="s">
        <v>18264</v>
      </c>
      <c r="B11" s="1558">
        <v>1</v>
      </c>
      <c r="C11" s="899"/>
      <c r="D11" s="1579">
        <v>1</v>
      </c>
      <c r="E11" s="899">
        <v>1</v>
      </c>
      <c r="F11" s="1579">
        <v>3</v>
      </c>
      <c r="G11" s="899"/>
      <c r="H11" s="1579">
        <v>4</v>
      </c>
      <c r="I11" s="899">
        <v>1</v>
      </c>
      <c r="J11" s="1579">
        <v>4</v>
      </c>
      <c r="K11" s="899"/>
      <c r="L11" s="1579">
        <v>2</v>
      </c>
      <c r="M11" s="899"/>
      <c r="N11" s="1579">
        <v>4</v>
      </c>
      <c r="O11" s="899"/>
      <c r="P11" s="1579">
        <v>8</v>
      </c>
      <c r="Q11" s="899">
        <v>1</v>
      </c>
      <c r="R11" s="1579">
        <v>2</v>
      </c>
      <c r="S11" s="899"/>
      <c r="T11" s="1579">
        <v>1</v>
      </c>
      <c r="U11" s="899"/>
      <c r="V11" s="1579">
        <v>3</v>
      </c>
      <c r="W11" s="908"/>
      <c r="X11" s="1601">
        <f t="shared" ref="X11" si="4">B11+D11+F11+H11+J11+L11+N11+P11+R11+T11+V11</f>
        <v>33</v>
      </c>
      <c r="Y11" s="914">
        <f t="shared" si="0"/>
        <v>3</v>
      </c>
    </row>
    <row r="12" spans="1:25" ht="12" customHeight="1">
      <c r="A12" s="1570"/>
      <c r="B12" s="1558"/>
      <c r="C12" s="899"/>
      <c r="D12" s="1579"/>
      <c r="E12" s="899"/>
      <c r="F12" s="1579"/>
      <c r="G12" s="899"/>
      <c r="H12" s="1579"/>
      <c r="I12" s="899"/>
      <c r="J12" s="1579"/>
      <c r="K12" s="899">
        <v>-1</v>
      </c>
      <c r="L12" s="1579"/>
      <c r="M12" s="899"/>
      <c r="N12" s="1579"/>
      <c r="O12" s="899">
        <v>-1</v>
      </c>
      <c r="P12" s="1579"/>
      <c r="Q12" s="899"/>
      <c r="R12" s="1579"/>
      <c r="S12" s="899">
        <v>-1</v>
      </c>
      <c r="T12" s="1579"/>
      <c r="U12" s="899"/>
      <c r="V12" s="1579"/>
      <c r="W12" s="908"/>
      <c r="X12" s="1601"/>
      <c r="Y12" s="914">
        <f t="shared" si="0"/>
        <v>-3</v>
      </c>
    </row>
    <row r="13" spans="1:25" ht="12" customHeight="1">
      <c r="A13" s="1571" t="s">
        <v>18265</v>
      </c>
      <c r="B13" s="1558">
        <v>0</v>
      </c>
      <c r="C13" s="899"/>
      <c r="D13" s="1579">
        <v>0</v>
      </c>
      <c r="E13" s="899"/>
      <c r="F13" s="1579">
        <v>2</v>
      </c>
      <c r="G13" s="899"/>
      <c r="H13" s="1579">
        <v>2</v>
      </c>
      <c r="I13" s="899"/>
      <c r="J13" s="1579">
        <v>1</v>
      </c>
      <c r="K13" s="899">
        <v>1</v>
      </c>
      <c r="L13" s="1579">
        <v>0</v>
      </c>
      <c r="M13" s="899"/>
      <c r="N13" s="1579">
        <v>1</v>
      </c>
      <c r="O13" s="899"/>
      <c r="P13" s="1579">
        <v>1</v>
      </c>
      <c r="Q13" s="899"/>
      <c r="R13" s="1579">
        <v>0</v>
      </c>
      <c r="S13" s="899"/>
      <c r="T13" s="1579">
        <v>0</v>
      </c>
      <c r="U13" s="899"/>
      <c r="V13" s="1579">
        <v>1</v>
      </c>
      <c r="W13" s="908"/>
      <c r="X13" s="1602">
        <f t="shared" ref="X13" si="5">B13+D13+F13+H13+J13+L13+N13+P13+R13+T13+V13</f>
        <v>8</v>
      </c>
      <c r="Y13" s="914">
        <f t="shared" si="0"/>
        <v>1</v>
      </c>
    </row>
    <row r="14" spans="1:25" ht="12" customHeight="1">
      <c r="A14" s="1571"/>
      <c r="B14" s="1558"/>
      <c r="C14" s="899"/>
      <c r="D14" s="1579"/>
      <c r="E14" s="899"/>
      <c r="F14" s="1579"/>
      <c r="G14" s="899">
        <v>-1</v>
      </c>
      <c r="H14" s="1579"/>
      <c r="I14" s="899">
        <v>-1</v>
      </c>
      <c r="J14" s="1579"/>
      <c r="K14" s="899"/>
      <c r="L14" s="1579"/>
      <c r="M14" s="899"/>
      <c r="N14" s="1579"/>
      <c r="O14" s="899"/>
      <c r="P14" s="1579"/>
      <c r="Q14" s="899"/>
      <c r="R14" s="1579"/>
      <c r="S14" s="899"/>
      <c r="T14" s="1579"/>
      <c r="U14" s="899"/>
      <c r="V14" s="1579"/>
      <c r="W14" s="908"/>
      <c r="X14" s="1602"/>
      <c r="Y14" s="914">
        <f t="shared" si="0"/>
        <v>-2</v>
      </c>
    </row>
    <row r="15" spans="1:25" ht="12" customHeight="1">
      <c r="A15" s="1559" t="s">
        <v>18266</v>
      </c>
      <c r="B15" s="1558">
        <v>0</v>
      </c>
      <c r="C15" s="899"/>
      <c r="D15" s="1579">
        <v>1</v>
      </c>
      <c r="E15" s="899"/>
      <c r="F15" s="1579">
        <v>1</v>
      </c>
      <c r="G15" s="899"/>
      <c r="H15" s="1579">
        <v>1</v>
      </c>
      <c r="I15" s="899"/>
      <c r="J15" s="1579">
        <v>1</v>
      </c>
      <c r="K15" s="899"/>
      <c r="L15" s="1579">
        <v>0</v>
      </c>
      <c r="M15" s="899"/>
      <c r="N15" s="1579">
        <v>1</v>
      </c>
      <c r="O15" s="899"/>
      <c r="P15" s="1579">
        <v>3</v>
      </c>
      <c r="Q15" s="899"/>
      <c r="R15" s="1579">
        <v>0</v>
      </c>
      <c r="S15" s="899"/>
      <c r="T15" s="1579">
        <v>0</v>
      </c>
      <c r="U15" s="899"/>
      <c r="V15" s="1579">
        <v>1</v>
      </c>
      <c r="W15" s="908"/>
      <c r="X15" s="1603">
        <f t="shared" ref="X15" si="6">B15+D15+F15+H15+J15+L15+N15+P15+R15+T15+V15</f>
        <v>9</v>
      </c>
      <c r="Y15" s="914">
        <f t="shared" si="0"/>
        <v>0</v>
      </c>
    </row>
    <row r="16" spans="1:25" ht="12" customHeight="1">
      <c r="A16" s="1559"/>
      <c r="B16" s="1558"/>
      <c r="C16" s="899"/>
      <c r="D16" s="1579"/>
      <c r="E16" s="899">
        <v>-1</v>
      </c>
      <c r="F16" s="1579"/>
      <c r="G16" s="899"/>
      <c r="H16" s="1579"/>
      <c r="I16" s="899"/>
      <c r="J16" s="1579"/>
      <c r="K16" s="899"/>
      <c r="L16" s="1579"/>
      <c r="M16" s="899"/>
      <c r="N16" s="1579"/>
      <c r="O16" s="899"/>
      <c r="P16" s="1579"/>
      <c r="Q16" s="899">
        <v>-1</v>
      </c>
      <c r="R16" s="1579"/>
      <c r="S16" s="899"/>
      <c r="T16" s="1579"/>
      <c r="U16" s="899"/>
      <c r="V16" s="1579"/>
      <c r="W16" s="908"/>
      <c r="X16" s="1603"/>
      <c r="Y16" s="914">
        <f t="shared" si="0"/>
        <v>-2</v>
      </c>
    </row>
    <row r="17" spans="1:25" ht="12" customHeight="1">
      <c r="A17" s="1560" t="s">
        <v>18267</v>
      </c>
      <c r="B17" s="1558">
        <v>0</v>
      </c>
      <c r="C17" s="899"/>
      <c r="D17" s="1579">
        <v>0</v>
      </c>
      <c r="E17" s="899">
        <v>1</v>
      </c>
      <c r="F17" s="1579">
        <v>0</v>
      </c>
      <c r="G17" s="899"/>
      <c r="H17" s="1579">
        <v>0</v>
      </c>
      <c r="I17" s="899">
        <v>1</v>
      </c>
      <c r="J17" s="1579">
        <v>0</v>
      </c>
      <c r="K17" s="899"/>
      <c r="L17" s="1579">
        <v>0</v>
      </c>
      <c r="M17" s="899"/>
      <c r="N17" s="1579">
        <v>0</v>
      </c>
      <c r="O17" s="899"/>
      <c r="P17" s="1579">
        <v>1</v>
      </c>
      <c r="Q17" s="899"/>
      <c r="R17" s="1579">
        <v>0</v>
      </c>
      <c r="S17" s="899"/>
      <c r="T17" s="1579">
        <v>0</v>
      </c>
      <c r="U17" s="899"/>
      <c r="V17" s="1579">
        <v>1</v>
      </c>
      <c r="W17" s="908"/>
      <c r="X17" s="1604">
        <f t="shared" ref="X17" si="7">B17+D17+F17+H17+J17+L17+N17+P17+R17+T17+V17</f>
        <v>2</v>
      </c>
      <c r="Y17" s="914">
        <f t="shared" si="0"/>
        <v>2</v>
      </c>
    </row>
    <row r="18" spans="1:25" ht="12" customHeight="1">
      <c r="A18" s="1560"/>
      <c r="B18" s="1558"/>
      <c r="C18" s="899"/>
      <c r="D18" s="1579"/>
      <c r="E18" s="899"/>
      <c r="F18" s="1579"/>
      <c r="G18" s="899"/>
      <c r="H18" s="1579"/>
      <c r="I18" s="899"/>
      <c r="J18" s="1579"/>
      <c r="K18" s="899"/>
      <c r="L18" s="1579"/>
      <c r="M18" s="899"/>
      <c r="N18" s="1579"/>
      <c r="O18" s="899"/>
      <c r="P18" s="1579"/>
      <c r="Q18" s="899">
        <v>-1</v>
      </c>
      <c r="R18" s="1579"/>
      <c r="S18" s="899"/>
      <c r="T18" s="1579"/>
      <c r="U18" s="899"/>
      <c r="V18" s="1579"/>
      <c r="W18" s="908"/>
      <c r="X18" s="1604"/>
      <c r="Y18" s="914">
        <f t="shared" si="0"/>
        <v>-1</v>
      </c>
    </row>
    <row r="19" spans="1:25" ht="12" customHeight="1">
      <c r="A19" s="1561" t="s">
        <v>18268</v>
      </c>
      <c r="B19" s="1581"/>
      <c r="C19" s="898"/>
      <c r="D19" s="1584"/>
      <c r="E19" s="898"/>
      <c r="F19" s="1584"/>
      <c r="G19" s="898"/>
      <c r="H19" s="1584"/>
      <c r="I19" s="898"/>
      <c r="J19" s="1584"/>
      <c r="K19" s="898"/>
      <c r="L19" s="1584"/>
      <c r="M19" s="898"/>
      <c r="N19" s="1584"/>
      <c r="O19" s="898"/>
      <c r="P19" s="1584"/>
      <c r="Q19" s="898"/>
      <c r="R19" s="1584"/>
      <c r="S19" s="898"/>
      <c r="T19" s="1584"/>
      <c r="U19" s="898"/>
      <c r="V19" s="1579">
        <v>0</v>
      </c>
      <c r="W19" s="908"/>
      <c r="X19" s="1605">
        <f>V19</f>
        <v>0</v>
      </c>
      <c r="Y19" s="914">
        <f>W19</f>
        <v>0</v>
      </c>
    </row>
    <row r="20" spans="1:25" ht="12" customHeight="1">
      <c r="A20" s="1561"/>
      <c r="B20" s="1581"/>
      <c r="C20" s="898"/>
      <c r="D20" s="1584"/>
      <c r="E20" s="898"/>
      <c r="F20" s="1584"/>
      <c r="G20" s="898"/>
      <c r="H20" s="1584"/>
      <c r="I20" s="898"/>
      <c r="J20" s="1584"/>
      <c r="K20" s="898"/>
      <c r="L20" s="1584"/>
      <c r="M20" s="898"/>
      <c r="N20" s="1584"/>
      <c r="O20" s="898"/>
      <c r="P20" s="1584"/>
      <c r="Q20" s="898"/>
      <c r="R20" s="1584"/>
      <c r="S20" s="898"/>
      <c r="T20" s="1584"/>
      <c r="U20" s="898"/>
      <c r="V20" s="1579"/>
      <c r="W20" s="908"/>
      <c r="X20" s="1605"/>
      <c r="Y20" s="914">
        <f>W20</f>
        <v>0</v>
      </c>
    </row>
    <row r="21" spans="1:25" ht="12" customHeight="1">
      <c r="A21" s="1562" t="s">
        <v>18269</v>
      </c>
      <c r="B21" s="1558">
        <v>1</v>
      </c>
      <c r="C21" s="899"/>
      <c r="D21" s="1584"/>
      <c r="E21" s="898"/>
      <c r="F21" s="1584"/>
      <c r="G21" s="898"/>
      <c r="H21" s="1584"/>
      <c r="I21" s="898"/>
      <c r="J21" s="1584"/>
      <c r="K21" s="898"/>
      <c r="L21" s="1584"/>
      <c r="M21" s="898"/>
      <c r="N21" s="1584"/>
      <c r="O21" s="898"/>
      <c r="P21" s="1584"/>
      <c r="Q21" s="898"/>
      <c r="R21" s="1584"/>
      <c r="S21" s="898"/>
      <c r="T21" s="1584"/>
      <c r="U21" s="898"/>
      <c r="V21" s="1584"/>
      <c r="W21" s="909"/>
      <c r="X21" s="1586">
        <f>B21</f>
        <v>1</v>
      </c>
      <c r="Y21" s="914">
        <f>C21</f>
        <v>0</v>
      </c>
    </row>
    <row r="22" spans="1:25" ht="12" customHeight="1">
      <c r="A22" s="1562"/>
      <c r="B22" s="1558"/>
      <c r="C22" s="899"/>
      <c r="D22" s="1584"/>
      <c r="E22" s="898"/>
      <c r="F22" s="1584"/>
      <c r="G22" s="898"/>
      <c r="H22" s="1584"/>
      <c r="I22" s="898"/>
      <c r="J22" s="1584"/>
      <c r="K22" s="898"/>
      <c r="L22" s="1584"/>
      <c r="M22" s="898"/>
      <c r="N22" s="1584"/>
      <c r="O22" s="898"/>
      <c r="P22" s="1584"/>
      <c r="Q22" s="898"/>
      <c r="R22" s="1584"/>
      <c r="S22" s="898"/>
      <c r="T22" s="1584"/>
      <c r="U22" s="898"/>
      <c r="V22" s="1584"/>
      <c r="W22" s="909"/>
      <c r="X22" s="1586"/>
      <c r="Y22" s="914">
        <f>C22</f>
        <v>0</v>
      </c>
    </row>
    <row r="23" spans="1:25" ht="12" customHeight="1">
      <c r="A23" s="1563" t="s">
        <v>18270</v>
      </c>
      <c r="B23" s="1581"/>
      <c r="C23" s="898"/>
      <c r="D23" s="1579">
        <v>0</v>
      </c>
      <c r="E23" s="899"/>
      <c r="F23" s="1584"/>
      <c r="G23" s="898"/>
      <c r="H23" s="1584"/>
      <c r="I23" s="898"/>
      <c r="J23" s="1579">
        <v>0</v>
      </c>
      <c r="K23" s="899"/>
      <c r="L23" s="1584"/>
      <c r="M23" s="898"/>
      <c r="N23" s="1584"/>
      <c r="O23" s="898"/>
      <c r="P23" s="1584"/>
      <c r="Q23" s="898"/>
      <c r="R23" s="1584"/>
      <c r="S23" s="898"/>
      <c r="T23" s="1584"/>
      <c r="U23" s="898"/>
      <c r="V23" s="1584"/>
      <c r="W23" s="909"/>
      <c r="X23" s="1587">
        <f>D23+J23</f>
        <v>0</v>
      </c>
      <c r="Y23" s="914">
        <f>E23+K23</f>
        <v>0</v>
      </c>
    </row>
    <row r="24" spans="1:25" ht="12" customHeight="1">
      <c r="A24" s="1563"/>
      <c r="B24" s="1581"/>
      <c r="C24" s="898"/>
      <c r="D24" s="1579"/>
      <c r="E24" s="899"/>
      <c r="F24" s="1584"/>
      <c r="G24" s="898"/>
      <c r="H24" s="1584"/>
      <c r="I24" s="898"/>
      <c r="J24" s="1579"/>
      <c r="K24" s="899"/>
      <c r="L24" s="1584"/>
      <c r="M24" s="898"/>
      <c r="N24" s="1584"/>
      <c r="O24" s="898"/>
      <c r="P24" s="1584"/>
      <c r="Q24" s="898"/>
      <c r="R24" s="1584"/>
      <c r="S24" s="898"/>
      <c r="T24" s="1584"/>
      <c r="U24" s="898"/>
      <c r="V24" s="1584"/>
      <c r="W24" s="909"/>
      <c r="X24" s="1587"/>
      <c r="Y24" s="914">
        <f>E24+K24</f>
        <v>0</v>
      </c>
    </row>
    <row r="25" spans="1:25" ht="12" customHeight="1">
      <c r="A25" s="1564" t="s">
        <v>18271</v>
      </c>
      <c r="B25" s="1581"/>
      <c r="C25" s="898"/>
      <c r="D25" s="1584"/>
      <c r="E25" s="898"/>
      <c r="F25" s="1584"/>
      <c r="G25" s="898"/>
      <c r="H25" s="1584"/>
      <c r="I25" s="898"/>
      <c r="J25" s="1584"/>
      <c r="K25" s="898"/>
      <c r="L25" s="1584"/>
      <c r="M25" s="898"/>
      <c r="N25" s="1584"/>
      <c r="O25" s="898"/>
      <c r="P25" s="1584"/>
      <c r="Q25" s="898"/>
      <c r="R25" s="1584"/>
      <c r="S25" s="898"/>
      <c r="T25" s="1584"/>
      <c r="U25" s="898"/>
      <c r="V25" s="1584"/>
      <c r="W25" s="909"/>
      <c r="X25" s="1588">
        <v>0</v>
      </c>
      <c r="Y25" s="914">
        <v>0</v>
      </c>
    </row>
    <row r="26" spans="1:25" ht="12" customHeight="1">
      <c r="A26" s="1564"/>
      <c r="B26" s="1581"/>
      <c r="C26" s="898"/>
      <c r="D26" s="1584"/>
      <c r="E26" s="898"/>
      <c r="F26" s="1584"/>
      <c r="G26" s="898"/>
      <c r="H26" s="1584"/>
      <c r="I26" s="898"/>
      <c r="J26" s="1584"/>
      <c r="K26" s="898"/>
      <c r="L26" s="1584"/>
      <c r="M26" s="898"/>
      <c r="N26" s="1584"/>
      <c r="O26" s="898"/>
      <c r="P26" s="1584"/>
      <c r="Q26" s="898"/>
      <c r="R26" s="1584"/>
      <c r="S26" s="898"/>
      <c r="T26" s="1584"/>
      <c r="U26" s="898"/>
      <c r="V26" s="1584"/>
      <c r="W26" s="909"/>
      <c r="X26" s="1588"/>
      <c r="Y26" s="914">
        <v>0</v>
      </c>
    </row>
    <row r="27" spans="1:25" ht="12" customHeight="1">
      <c r="A27" s="1552" t="s">
        <v>18272</v>
      </c>
      <c r="B27" s="1558">
        <v>0</v>
      </c>
      <c r="C27" s="899"/>
      <c r="D27" s="1579">
        <v>0</v>
      </c>
      <c r="E27" s="899"/>
      <c r="F27" s="1579">
        <v>0</v>
      </c>
      <c r="G27" s="899"/>
      <c r="H27" s="1579">
        <v>0</v>
      </c>
      <c r="I27" s="899"/>
      <c r="J27" s="1579">
        <v>0</v>
      </c>
      <c r="K27" s="899"/>
      <c r="L27" s="1579">
        <v>0</v>
      </c>
      <c r="M27" s="899"/>
      <c r="N27" s="1579">
        <v>0</v>
      </c>
      <c r="O27" s="899"/>
      <c r="P27" s="1579">
        <v>0</v>
      </c>
      <c r="Q27" s="899"/>
      <c r="R27" s="1579">
        <v>0</v>
      </c>
      <c r="S27" s="899"/>
      <c r="T27" s="1579">
        <v>0</v>
      </c>
      <c r="U27" s="899"/>
      <c r="V27" s="1579">
        <v>0</v>
      </c>
      <c r="W27" s="908"/>
      <c r="X27" s="1589">
        <f t="shared" ref="X27" si="8">B27+D27+F27+H27+J27+L27+N27+P27+R27+T27+V27</f>
        <v>0</v>
      </c>
      <c r="Y27" s="914">
        <f t="shared" si="0"/>
        <v>0</v>
      </c>
    </row>
    <row r="28" spans="1:25" ht="12" customHeight="1" thickBot="1">
      <c r="A28" s="1553"/>
      <c r="B28" s="1572"/>
      <c r="C28" s="904"/>
      <c r="D28" s="1585"/>
      <c r="E28" s="904"/>
      <c r="F28" s="1585"/>
      <c r="G28" s="904"/>
      <c r="H28" s="1585"/>
      <c r="I28" s="904"/>
      <c r="J28" s="1585"/>
      <c r="K28" s="904"/>
      <c r="L28" s="1585"/>
      <c r="M28" s="904"/>
      <c r="N28" s="1585"/>
      <c r="O28" s="904"/>
      <c r="P28" s="1585"/>
      <c r="Q28" s="904"/>
      <c r="R28" s="1585"/>
      <c r="S28" s="904"/>
      <c r="T28" s="1585"/>
      <c r="U28" s="904"/>
      <c r="V28" s="1585"/>
      <c r="W28" s="910"/>
      <c r="X28" s="1590"/>
      <c r="Y28" s="915">
        <f t="shared" si="0"/>
        <v>0</v>
      </c>
    </row>
    <row r="29" spans="1:25" ht="11.25" customHeight="1">
      <c r="A29" s="1554" t="s">
        <v>18259</v>
      </c>
      <c r="B29" s="1573">
        <f>SUM(B3:B18)+B27+B21</f>
        <v>8</v>
      </c>
      <c r="C29" s="747"/>
      <c r="D29" s="1582">
        <f>SUM(D3:D18)+D27+D23</f>
        <v>14</v>
      </c>
      <c r="E29" s="747"/>
      <c r="F29" s="1582">
        <f>SUM(F3:F18)+F27</f>
        <v>20</v>
      </c>
      <c r="G29" s="747"/>
      <c r="H29" s="1582">
        <f>SUM(H3:H18)+H27</f>
        <v>22</v>
      </c>
      <c r="I29" s="747"/>
      <c r="J29" s="1582">
        <f>SUM(J3:J18)+J27+J23</f>
        <v>17</v>
      </c>
      <c r="K29" s="747"/>
      <c r="L29" s="1582">
        <f>SUM(L3:L18)+L27</f>
        <v>11</v>
      </c>
      <c r="M29" s="747"/>
      <c r="N29" s="1582">
        <f>SUM(N3:N18)+N27</f>
        <v>21</v>
      </c>
      <c r="O29" s="747"/>
      <c r="P29" s="1582">
        <f>SUM(P3:P18)+P27</f>
        <v>29</v>
      </c>
      <c r="Q29" s="747"/>
      <c r="R29" s="1582">
        <f>SUM(R3:R18)+R27</f>
        <v>11</v>
      </c>
      <c r="S29" s="747"/>
      <c r="T29" s="1582">
        <f>SUM(T3:T18)+T27</f>
        <v>6</v>
      </c>
      <c r="U29" s="747"/>
      <c r="V29" s="1582">
        <f>SUM(V3:V20)+V27</f>
        <v>21</v>
      </c>
      <c r="W29" s="911"/>
      <c r="X29" s="1591">
        <f>SUM(X3:X28)</f>
        <v>180</v>
      </c>
      <c r="Y29" s="805"/>
    </row>
    <row r="30" spans="1:25" ht="11.25" customHeight="1">
      <c r="A30" s="1555"/>
      <c r="B30" s="1574"/>
      <c r="C30" s="3"/>
      <c r="D30" s="1583"/>
      <c r="E30" s="3"/>
      <c r="F30" s="1583"/>
      <c r="G30" s="3"/>
      <c r="H30" s="1583"/>
      <c r="I30" s="3"/>
      <c r="J30" s="1583"/>
      <c r="K30" s="3"/>
      <c r="L30" s="1583"/>
      <c r="M30" s="3"/>
      <c r="N30" s="1583"/>
      <c r="O30" s="3"/>
      <c r="P30" s="1583"/>
      <c r="Q30" s="3"/>
      <c r="R30" s="1583"/>
      <c r="S30" s="3"/>
      <c r="T30" s="1583"/>
      <c r="U30" s="3"/>
      <c r="V30" s="1583"/>
      <c r="W30" s="912"/>
      <c r="X30" s="1592"/>
      <c r="Y30" s="774"/>
    </row>
    <row r="31" spans="1:25" ht="12" thickBot="1">
      <c r="A31" s="900"/>
      <c r="B31" s="1352" t="str">
        <f>IF(B2=B29,"○","×")</f>
        <v>○</v>
      </c>
      <c r="C31" s="1580"/>
      <c r="D31" s="1580" t="str">
        <f>IF(D2=D29,"○","×")</f>
        <v>○</v>
      </c>
      <c r="E31" s="1580"/>
      <c r="F31" s="1580" t="str">
        <f>IF(F2=F29,"○","×")</f>
        <v>○</v>
      </c>
      <c r="G31" s="1580"/>
      <c r="H31" s="1580" t="str">
        <f>IF(H2=H29,"○","×")</f>
        <v>○</v>
      </c>
      <c r="I31" s="1580"/>
      <c r="J31" s="1580" t="str">
        <f>IF(J2=J29,"○","×")</f>
        <v>○</v>
      </c>
      <c r="K31" s="1580"/>
      <c r="L31" s="1580" t="str">
        <f>IF(L2=L29,"○","×")</f>
        <v>○</v>
      </c>
      <c r="M31" s="1580"/>
      <c r="N31" s="1580" t="str">
        <f>IF(N2=N29,"○","×")</f>
        <v>○</v>
      </c>
      <c r="O31" s="1580"/>
      <c r="P31" s="1580" t="str">
        <f>IF(P2=P29,"○","×")</f>
        <v>○</v>
      </c>
      <c r="Q31" s="1580"/>
      <c r="R31" s="1580" t="str">
        <f>IF(R2=R29,"○","×")</f>
        <v>○</v>
      </c>
      <c r="S31" s="1580"/>
      <c r="T31" s="1580" t="str">
        <f>IF(T2=T29,"○","×")</f>
        <v>○</v>
      </c>
      <c r="U31" s="1580"/>
      <c r="V31" s="1580" t="str">
        <f>IF(V2=V29,"○","×")</f>
        <v>○</v>
      </c>
      <c r="W31" s="1595"/>
      <c r="X31" s="1593" t="str">
        <f>IF(X2=X29,"○","×")</f>
        <v>○</v>
      </c>
      <c r="Y31" s="1594"/>
    </row>
    <row r="33" spans="1:31" ht="12" thickBot="1"/>
    <row r="34" spans="1:31" ht="15" thickBot="1">
      <c r="A34" s="918" t="s">
        <v>18274</v>
      </c>
      <c r="E34" s="1613" t="s">
        <v>18276</v>
      </c>
      <c r="F34" s="1613"/>
      <c r="G34" s="1614" t="s">
        <v>18252</v>
      </c>
      <c r="H34" s="1615"/>
      <c r="I34" s="919" t="s">
        <v>18273</v>
      </c>
      <c r="J34" s="935">
        <f>IF(G34="","",IF(G34="北海道",8,IF(G34="東北",14,IF(G34="北関東",20,IF(G34="南関東",22,IF(G34="東京",17,IF(G34="北陸信越",11,IF(G34="東海",21,IF(G34="近畿",29,IF(G34="中国",11,IF(G34="四国",6,IF(G34="九州",21,0))))))))))))</f>
        <v>17</v>
      </c>
    </row>
    <row r="35" spans="1:31" ht="12" customHeight="1" thickBot="1">
      <c r="A35" s="893" t="s">
        <v>18275</v>
      </c>
      <c r="B35" s="1322" t="s">
        <v>18293</v>
      </c>
      <c r="C35" s="1610"/>
      <c r="D35" s="1322" t="s">
        <v>18277</v>
      </c>
      <c r="E35" s="1616"/>
      <c r="F35" s="1616" t="s">
        <v>18278</v>
      </c>
      <c r="G35" s="1616"/>
      <c r="H35" s="1616" t="s">
        <v>18279</v>
      </c>
      <c r="I35" s="1616"/>
      <c r="J35" s="1616" t="s">
        <v>18280</v>
      </c>
      <c r="K35" s="1616"/>
      <c r="L35" s="1616" t="s">
        <v>18281</v>
      </c>
      <c r="M35" s="1616"/>
      <c r="N35" s="1616" t="s">
        <v>18282</v>
      </c>
      <c r="O35" s="1616"/>
      <c r="P35" s="1616" t="s">
        <v>18283</v>
      </c>
      <c r="Q35" s="1616"/>
      <c r="R35" s="1616" t="s">
        <v>18284</v>
      </c>
      <c r="S35" s="1616"/>
      <c r="T35" s="1616" t="s">
        <v>18285</v>
      </c>
      <c r="U35" s="1616"/>
      <c r="V35" s="1616" t="s">
        <v>18286</v>
      </c>
      <c r="W35" s="1616"/>
      <c r="X35" s="1616" t="s">
        <v>18287</v>
      </c>
      <c r="Y35" s="1616"/>
      <c r="Z35" s="1616" t="s">
        <v>18288</v>
      </c>
      <c r="AA35" s="1616"/>
      <c r="AB35" s="1616" t="s">
        <v>18289</v>
      </c>
      <c r="AC35" s="1616"/>
      <c r="AD35" s="1616" t="s">
        <v>18290</v>
      </c>
      <c r="AE35" s="1610"/>
    </row>
    <row r="36" spans="1:31" ht="12" customHeight="1">
      <c r="A36" s="921" t="s">
        <v>18260</v>
      </c>
      <c r="B36" s="1611">
        <v>17.5</v>
      </c>
      <c r="C36" s="1612"/>
      <c r="D36" s="1618">
        <f>IF(B36="","",B36)</f>
        <v>17.5</v>
      </c>
      <c r="E36" s="1619"/>
      <c r="F36" s="1619">
        <f>IF(B36="","",B36/2)</f>
        <v>8.75</v>
      </c>
      <c r="G36" s="1619"/>
      <c r="H36" s="1619">
        <f>IF(B36="","",B36/3)</f>
        <v>5.833333333333333</v>
      </c>
      <c r="I36" s="1619"/>
      <c r="J36" s="1619">
        <f>IF(B36="","",B36/4)</f>
        <v>4.375</v>
      </c>
      <c r="K36" s="1619"/>
      <c r="L36" s="1619">
        <f>IF(B36="","",B36/5)</f>
        <v>3.5</v>
      </c>
      <c r="M36" s="1619"/>
      <c r="N36" s="1619">
        <f>IF(B36="","",B36/6)</f>
        <v>2.9166666666666665</v>
      </c>
      <c r="O36" s="1619"/>
      <c r="P36" s="1619">
        <f>IF(B36="","",B36/7)</f>
        <v>2.5</v>
      </c>
      <c r="Q36" s="1619"/>
      <c r="R36" s="1619">
        <f>IF(B36="","",B36/8)</f>
        <v>2.1875</v>
      </c>
      <c r="S36" s="1619"/>
      <c r="T36" s="1619">
        <f>IF(B36="","",B36/9)</f>
        <v>1.9444444444444444</v>
      </c>
      <c r="U36" s="1619"/>
      <c r="V36" s="1619">
        <f>IF(B36="","",B36/10)</f>
        <v>1.75</v>
      </c>
      <c r="W36" s="1619"/>
      <c r="X36" s="1619">
        <f>IF(B36="","",B36/11)</f>
        <v>1.5909090909090908</v>
      </c>
      <c r="Y36" s="1619"/>
      <c r="Z36" s="1619">
        <f>IF(B36="","",B36/12)</f>
        <v>1.4583333333333333</v>
      </c>
      <c r="AA36" s="1619"/>
      <c r="AB36" s="1619">
        <f>IF(B36="","",B36/13)</f>
        <v>1.3461538461538463</v>
      </c>
      <c r="AC36" s="1619"/>
      <c r="AD36" s="1619">
        <f>IF(B36="","",B36/14)</f>
        <v>1.25</v>
      </c>
      <c r="AE36" s="1621"/>
    </row>
    <row r="37" spans="1:31" ht="12" customHeight="1">
      <c r="A37" s="922" t="s">
        <v>18261</v>
      </c>
      <c r="B37" s="1606">
        <v>25.5</v>
      </c>
      <c r="C37" s="1607"/>
      <c r="D37" s="1622">
        <f t="shared" ref="D37:D48" si="9">IF(B37="","",B37)</f>
        <v>25.5</v>
      </c>
      <c r="E37" s="1617"/>
      <c r="F37" s="1617">
        <f t="shared" ref="F37:F48" si="10">IF(B37="","",B37/2)</f>
        <v>12.75</v>
      </c>
      <c r="G37" s="1617"/>
      <c r="H37" s="1617">
        <f t="shared" ref="H37:H48" si="11">IF(B37="","",B37/3)</f>
        <v>8.5</v>
      </c>
      <c r="I37" s="1617"/>
      <c r="J37" s="1617">
        <f t="shared" ref="J37:J48" si="12">IF(B37="","",B37/4)</f>
        <v>6.375</v>
      </c>
      <c r="K37" s="1617"/>
      <c r="L37" s="1617">
        <f t="shared" ref="L37:L48" si="13">IF(B37="","",B37/5)</f>
        <v>5.0999999999999996</v>
      </c>
      <c r="M37" s="1617"/>
      <c r="N37" s="1617">
        <f t="shared" ref="N37:N48" si="14">IF(B37="","",B37/6)</f>
        <v>4.25</v>
      </c>
      <c r="O37" s="1617"/>
      <c r="P37" s="1617">
        <f t="shared" ref="P37:P48" si="15">IF(B37="","",B37/7)</f>
        <v>3.6428571428571428</v>
      </c>
      <c r="Q37" s="1617"/>
      <c r="R37" s="1617">
        <f t="shared" ref="R37:R48" si="16">IF(B37="","",B37/8)</f>
        <v>3.1875</v>
      </c>
      <c r="S37" s="1617"/>
      <c r="T37" s="1617">
        <f t="shared" ref="T37:T48" si="17">IF(B37="","",B37/9)</f>
        <v>2.8333333333333335</v>
      </c>
      <c r="U37" s="1617"/>
      <c r="V37" s="1617">
        <f t="shared" ref="V37:V48" si="18">IF(B37="","",B37/10)</f>
        <v>2.5499999999999998</v>
      </c>
      <c r="W37" s="1617"/>
      <c r="X37" s="1617">
        <f t="shared" ref="X37:X48" si="19">IF(B37="","",B37/11)</f>
        <v>2.3181818181818183</v>
      </c>
      <c r="Y37" s="1617"/>
      <c r="Z37" s="1617">
        <f t="shared" ref="Z37:Z48" si="20">IF(B37="","",B37/12)</f>
        <v>2.125</v>
      </c>
      <c r="AA37" s="1617"/>
      <c r="AB37" s="1617">
        <f t="shared" ref="AB37:AB48" si="21">IF(B37="","",B37/13)</f>
        <v>1.9615384615384615</v>
      </c>
      <c r="AC37" s="1617"/>
      <c r="AD37" s="1617">
        <f t="shared" ref="AD37:AD48" si="22">IF(B37="","",B37/14)</f>
        <v>1.8214285714285714</v>
      </c>
      <c r="AE37" s="1620"/>
    </row>
    <row r="38" spans="1:31" ht="12" customHeight="1">
      <c r="A38" s="923" t="s">
        <v>18262</v>
      </c>
      <c r="B38" s="1606">
        <v>6.5</v>
      </c>
      <c r="C38" s="1607"/>
      <c r="D38" s="1622">
        <f t="shared" si="9"/>
        <v>6.5</v>
      </c>
      <c r="E38" s="1617"/>
      <c r="F38" s="1617">
        <f t="shared" si="10"/>
        <v>3.25</v>
      </c>
      <c r="G38" s="1617"/>
      <c r="H38" s="1617">
        <f t="shared" si="11"/>
        <v>2.1666666666666665</v>
      </c>
      <c r="I38" s="1617"/>
      <c r="J38" s="1617">
        <f t="shared" si="12"/>
        <v>1.625</v>
      </c>
      <c r="K38" s="1617"/>
      <c r="L38" s="1617">
        <f t="shared" si="13"/>
        <v>1.3</v>
      </c>
      <c r="M38" s="1617"/>
      <c r="N38" s="1617">
        <f t="shared" si="14"/>
        <v>1.0833333333333333</v>
      </c>
      <c r="O38" s="1617"/>
      <c r="P38" s="1617">
        <f t="shared" si="15"/>
        <v>0.9285714285714286</v>
      </c>
      <c r="Q38" s="1617"/>
      <c r="R38" s="1617">
        <f t="shared" si="16"/>
        <v>0.8125</v>
      </c>
      <c r="S38" s="1617"/>
      <c r="T38" s="1617">
        <f t="shared" si="17"/>
        <v>0.72222222222222221</v>
      </c>
      <c r="U38" s="1617"/>
      <c r="V38" s="1617">
        <f t="shared" si="18"/>
        <v>0.65</v>
      </c>
      <c r="W38" s="1617"/>
      <c r="X38" s="1617">
        <f t="shared" si="19"/>
        <v>0.59090909090909094</v>
      </c>
      <c r="Y38" s="1617"/>
      <c r="Z38" s="1617">
        <f t="shared" si="20"/>
        <v>0.54166666666666663</v>
      </c>
      <c r="AA38" s="1617"/>
      <c r="AB38" s="1617">
        <f t="shared" si="21"/>
        <v>0.5</v>
      </c>
      <c r="AC38" s="1617"/>
      <c r="AD38" s="1617">
        <f t="shared" si="22"/>
        <v>0.4642857142857143</v>
      </c>
      <c r="AE38" s="1620"/>
    </row>
    <row r="39" spans="1:31" ht="12" customHeight="1">
      <c r="A39" s="924" t="s">
        <v>18263</v>
      </c>
      <c r="B39" s="1606">
        <v>12.5</v>
      </c>
      <c r="C39" s="1607"/>
      <c r="D39" s="1622">
        <f t="shared" si="9"/>
        <v>12.5</v>
      </c>
      <c r="E39" s="1617"/>
      <c r="F39" s="1617">
        <f t="shared" si="10"/>
        <v>6.25</v>
      </c>
      <c r="G39" s="1617"/>
      <c r="H39" s="1617">
        <f t="shared" si="11"/>
        <v>4.166666666666667</v>
      </c>
      <c r="I39" s="1617"/>
      <c r="J39" s="1617">
        <f t="shared" si="12"/>
        <v>3.125</v>
      </c>
      <c r="K39" s="1617"/>
      <c r="L39" s="1617">
        <f t="shared" si="13"/>
        <v>2.5</v>
      </c>
      <c r="M39" s="1617"/>
      <c r="N39" s="1617">
        <f t="shared" si="14"/>
        <v>2.0833333333333335</v>
      </c>
      <c r="O39" s="1617"/>
      <c r="P39" s="1617">
        <f t="shared" si="15"/>
        <v>1.7857142857142858</v>
      </c>
      <c r="Q39" s="1617"/>
      <c r="R39" s="1617">
        <f t="shared" si="16"/>
        <v>1.5625</v>
      </c>
      <c r="S39" s="1617"/>
      <c r="T39" s="1617">
        <f t="shared" si="17"/>
        <v>1.3888888888888888</v>
      </c>
      <c r="U39" s="1617"/>
      <c r="V39" s="1617">
        <f t="shared" si="18"/>
        <v>1.25</v>
      </c>
      <c r="W39" s="1617"/>
      <c r="X39" s="1617">
        <f t="shared" si="19"/>
        <v>1.1363636363636365</v>
      </c>
      <c r="Y39" s="1617"/>
      <c r="Z39" s="1617">
        <f t="shared" si="20"/>
        <v>1.0416666666666667</v>
      </c>
      <c r="AA39" s="1617"/>
      <c r="AB39" s="1617">
        <f t="shared" si="21"/>
        <v>0.96153846153846156</v>
      </c>
      <c r="AC39" s="1617"/>
      <c r="AD39" s="1617">
        <f t="shared" si="22"/>
        <v>0.8928571428571429</v>
      </c>
      <c r="AE39" s="1620"/>
    </row>
    <row r="40" spans="1:31" ht="12" customHeight="1">
      <c r="A40" s="925" t="s">
        <v>18264</v>
      </c>
      <c r="B40" s="1606">
        <v>16.5</v>
      </c>
      <c r="C40" s="1607"/>
      <c r="D40" s="1622">
        <f t="shared" si="9"/>
        <v>16.5</v>
      </c>
      <c r="E40" s="1617"/>
      <c r="F40" s="1617">
        <f t="shared" si="10"/>
        <v>8.25</v>
      </c>
      <c r="G40" s="1617"/>
      <c r="H40" s="1617">
        <f t="shared" si="11"/>
        <v>5.5</v>
      </c>
      <c r="I40" s="1617"/>
      <c r="J40" s="1617">
        <f t="shared" si="12"/>
        <v>4.125</v>
      </c>
      <c r="K40" s="1617"/>
      <c r="L40" s="1617">
        <f t="shared" si="13"/>
        <v>3.3</v>
      </c>
      <c r="M40" s="1617"/>
      <c r="N40" s="1617">
        <f t="shared" si="14"/>
        <v>2.75</v>
      </c>
      <c r="O40" s="1617"/>
      <c r="P40" s="1617">
        <f t="shared" si="15"/>
        <v>2.3571428571428572</v>
      </c>
      <c r="Q40" s="1617"/>
      <c r="R40" s="1617">
        <f t="shared" si="16"/>
        <v>2.0625</v>
      </c>
      <c r="S40" s="1617"/>
      <c r="T40" s="1617">
        <f t="shared" si="17"/>
        <v>1.8333333333333333</v>
      </c>
      <c r="U40" s="1617"/>
      <c r="V40" s="1617">
        <f t="shared" si="18"/>
        <v>1.65</v>
      </c>
      <c r="W40" s="1617"/>
      <c r="X40" s="1617">
        <f t="shared" si="19"/>
        <v>1.5</v>
      </c>
      <c r="Y40" s="1617"/>
      <c r="Z40" s="1617">
        <f t="shared" si="20"/>
        <v>1.375</v>
      </c>
      <c r="AA40" s="1617"/>
      <c r="AB40" s="1617">
        <f t="shared" si="21"/>
        <v>1.2692307692307692</v>
      </c>
      <c r="AC40" s="1617"/>
      <c r="AD40" s="1617">
        <f t="shared" si="22"/>
        <v>1.1785714285714286</v>
      </c>
      <c r="AE40" s="1620"/>
    </row>
    <row r="41" spans="1:31" ht="12" customHeight="1">
      <c r="A41" s="926" t="s">
        <v>18265</v>
      </c>
      <c r="B41" s="1606">
        <v>8.5</v>
      </c>
      <c r="C41" s="1607"/>
      <c r="D41" s="1622">
        <f t="shared" si="9"/>
        <v>8.5</v>
      </c>
      <c r="E41" s="1617"/>
      <c r="F41" s="1617">
        <f t="shared" si="10"/>
        <v>4.25</v>
      </c>
      <c r="G41" s="1617"/>
      <c r="H41" s="1617">
        <f t="shared" si="11"/>
        <v>2.8333333333333335</v>
      </c>
      <c r="I41" s="1617"/>
      <c r="J41" s="1617">
        <f t="shared" si="12"/>
        <v>2.125</v>
      </c>
      <c r="K41" s="1617"/>
      <c r="L41" s="1617">
        <f t="shared" si="13"/>
        <v>1.7</v>
      </c>
      <c r="M41" s="1617"/>
      <c r="N41" s="1617">
        <f t="shared" si="14"/>
        <v>1.4166666666666667</v>
      </c>
      <c r="O41" s="1617"/>
      <c r="P41" s="1617">
        <f t="shared" si="15"/>
        <v>1.2142857142857142</v>
      </c>
      <c r="Q41" s="1617"/>
      <c r="R41" s="1617">
        <f t="shared" si="16"/>
        <v>1.0625</v>
      </c>
      <c r="S41" s="1617"/>
      <c r="T41" s="1617">
        <f t="shared" si="17"/>
        <v>0.94444444444444442</v>
      </c>
      <c r="U41" s="1617"/>
      <c r="V41" s="1617">
        <f t="shared" si="18"/>
        <v>0.85</v>
      </c>
      <c r="W41" s="1617"/>
      <c r="X41" s="1617">
        <f t="shared" si="19"/>
        <v>0.77272727272727271</v>
      </c>
      <c r="Y41" s="1617"/>
      <c r="Z41" s="1617">
        <f t="shared" si="20"/>
        <v>0.70833333333333337</v>
      </c>
      <c r="AA41" s="1617"/>
      <c r="AB41" s="1617">
        <f t="shared" si="21"/>
        <v>0.65384615384615385</v>
      </c>
      <c r="AC41" s="1617"/>
      <c r="AD41" s="1617">
        <f t="shared" si="22"/>
        <v>0.6071428571428571</v>
      </c>
      <c r="AE41" s="1620"/>
    </row>
    <row r="42" spans="1:31" ht="12" customHeight="1">
      <c r="A42" s="927" t="s">
        <v>18266</v>
      </c>
      <c r="B42" s="1606">
        <v>7.5</v>
      </c>
      <c r="C42" s="1607"/>
      <c r="D42" s="1622">
        <f t="shared" si="9"/>
        <v>7.5</v>
      </c>
      <c r="E42" s="1617"/>
      <c r="F42" s="1617">
        <f t="shared" si="10"/>
        <v>3.75</v>
      </c>
      <c r="G42" s="1617"/>
      <c r="H42" s="1617">
        <f t="shared" si="11"/>
        <v>2.5</v>
      </c>
      <c r="I42" s="1617"/>
      <c r="J42" s="1617">
        <f t="shared" si="12"/>
        <v>1.875</v>
      </c>
      <c r="K42" s="1617"/>
      <c r="L42" s="1617">
        <f t="shared" si="13"/>
        <v>1.5</v>
      </c>
      <c r="M42" s="1617"/>
      <c r="N42" s="1617">
        <f t="shared" si="14"/>
        <v>1.25</v>
      </c>
      <c r="O42" s="1617"/>
      <c r="P42" s="1617">
        <f t="shared" si="15"/>
        <v>1.0714285714285714</v>
      </c>
      <c r="Q42" s="1617"/>
      <c r="R42" s="1617">
        <f t="shared" si="16"/>
        <v>0.9375</v>
      </c>
      <c r="S42" s="1617"/>
      <c r="T42" s="1617">
        <f t="shared" si="17"/>
        <v>0.83333333333333337</v>
      </c>
      <c r="U42" s="1617"/>
      <c r="V42" s="1617">
        <f t="shared" si="18"/>
        <v>0.75</v>
      </c>
      <c r="W42" s="1617"/>
      <c r="X42" s="1617">
        <f t="shared" si="19"/>
        <v>0.68181818181818177</v>
      </c>
      <c r="Y42" s="1617"/>
      <c r="Z42" s="1617">
        <f t="shared" si="20"/>
        <v>0.625</v>
      </c>
      <c r="AA42" s="1617"/>
      <c r="AB42" s="1617">
        <f t="shared" si="21"/>
        <v>0.57692307692307687</v>
      </c>
      <c r="AC42" s="1617"/>
      <c r="AD42" s="1617">
        <f t="shared" si="22"/>
        <v>0.5357142857142857</v>
      </c>
      <c r="AE42" s="1620"/>
    </row>
    <row r="43" spans="1:31" ht="12" customHeight="1">
      <c r="A43" s="928" t="s">
        <v>18267</v>
      </c>
      <c r="B43" s="1606">
        <v>3.5</v>
      </c>
      <c r="C43" s="1607"/>
      <c r="D43" s="1622">
        <f t="shared" si="9"/>
        <v>3.5</v>
      </c>
      <c r="E43" s="1617"/>
      <c r="F43" s="1617">
        <f t="shared" si="10"/>
        <v>1.75</v>
      </c>
      <c r="G43" s="1617"/>
      <c r="H43" s="1617">
        <f t="shared" si="11"/>
        <v>1.1666666666666667</v>
      </c>
      <c r="I43" s="1617"/>
      <c r="J43" s="1617">
        <f t="shared" si="12"/>
        <v>0.875</v>
      </c>
      <c r="K43" s="1617"/>
      <c r="L43" s="1617">
        <f t="shared" si="13"/>
        <v>0.7</v>
      </c>
      <c r="M43" s="1617"/>
      <c r="N43" s="1617">
        <f t="shared" si="14"/>
        <v>0.58333333333333337</v>
      </c>
      <c r="O43" s="1617"/>
      <c r="P43" s="1617">
        <f t="shared" si="15"/>
        <v>0.5</v>
      </c>
      <c r="Q43" s="1617"/>
      <c r="R43" s="1617">
        <f t="shared" si="16"/>
        <v>0.4375</v>
      </c>
      <c r="S43" s="1617"/>
      <c r="T43" s="1617">
        <f t="shared" si="17"/>
        <v>0.3888888888888889</v>
      </c>
      <c r="U43" s="1617"/>
      <c r="V43" s="1617">
        <f t="shared" si="18"/>
        <v>0.35</v>
      </c>
      <c r="W43" s="1617"/>
      <c r="X43" s="1617">
        <f t="shared" si="19"/>
        <v>0.31818181818181818</v>
      </c>
      <c r="Y43" s="1617"/>
      <c r="Z43" s="1617">
        <f t="shared" si="20"/>
        <v>0.29166666666666669</v>
      </c>
      <c r="AA43" s="1617"/>
      <c r="AB43" s="1617">
        <f t="shared" si="21"/>
        <v>0.26923076923076922</v>
      </c>
      <c r="AC43" s="1617"/>
      <c r="AD43" s="1617">
        <f t="shared" si="22"/>
        <v>0.25</v>
      </c>
      <c r="AE43" s="1620"/>
    </row>
    <row r="44" spans="1:31" ht="12" customHeight="1">
      <c r="A44" s="929" t="s">
        <v>18268</v>
      </c>
      <c r="B44" s="1606"/>
      <c r="C44" s="1607"/>
      <c r="D44" s="1622" t="str">
        <f t="shared" si="9"/>
        <v/>
      </c>
      <c r="E44" s="1617"/>
      <c r="F44" s="1617" t="str">
        <f t="shared" si="10"/>
        <v/>
      </c>
      <c r="G44" s="1617"/>
      <c r="H44" s="1617" t="str">
        <f t="shared" si="11"/>
        <v/>
      </c>
      <c r="I44" s="1617"/>
      <c r="J44" s="1617" t="str">
        <f t="shared" si="12"/>
        <v/>
      </c>
      <c r="K44" s="1617"/>
      <c r="L44" s="1617" t="str">
        <f t="shared" si="13"/>
        <v/>
      </c>
      <c r="M44" s="1617"/>
      <c r="N44" s="1617" t="str">
        <f t="shared" si="14"/>
        <v/>
      </c>
      <c r="O44" s="1617"/>
      <c r="P44" s="1617" t="str">
        <f t="shared" si="15"/>
        <v/>
      </c>
      <c r="Q44" s="1617"/>
      <c r="R44" s="1617" t="str">
        <f t="shared" si="16"/>
        <v/>
      </c>
      <c r="S44" s="1617"/>
      <c r="T44" s="1617" t="str">
        <f t="shared" si="17"/>
        <v/>
      </c>
      <c r="U44" s="1617"/>
      <c r="V44" s="1617" t="str">
        <f t="shared" si="18"/>
        <v/>
      </c>
      <c r="W44" s="1617"/>
      <c r="X44" s="1617" t="str">
        <f t="shared" si="19"/>
        <v/>
      </c>
      <c r="Y44" s="1617"/>
      <c r="Z44" s="1617" t="str">
        <f t="shared" si="20"/>
        <v/>
      </c>
      <c r="AA44" s="1617"/>
      <c r="AB44" s="1617" t="str">
        <f t="shared" si="21"/>
        <v/>
      </c>
      <c r="AC44" s="1617"/>
      <c r="AD44" s="1617" t="str">
        <f t="shared" si="22"/>
        <v/>
      </c>
      <c r="AE44" s="1620"/>
    </row>
    <row r="45" spans="1:31" ht="12" customHeight="1">
      <c r="A45" s="930" t="s">
        <v>18269</v>
      </c>
      <c r="B45" s="1606"/>
      <c r="C45" s="1607"/>
      <c r="D45" s="1622" t="str">
        <f t="shared" si="9"/>
        <v/>
      </c>
      <c r="E45" s="1617"/>
      <c r="F45" s="1617" t="str">
        <f t="shared" si="10"/>
        <v/>
      </c>
      <c r="G45" s="1617"/>
      <c r="H45" s="1617" t="str">
        <f t="shared" si="11"/>
        <v/>
      </c>
      <c r="I45" s="1617"/>
      <c r="J45" s="1617" t="str">
        <f t="shared" si="12"/>
        <v/>
      </c>
      <c r="K45" s="1617"/>
      <c r="L45" s="1617" t="str">
        <f t="shared" si="13"/>
        <v/>
      </c>
      <c r="M45" s="1617"/>
      <c r="N45" s="1617" t="str">
        <f t="shared" si="14"/>
        <v/>
      </c>
      <c r="O45" s="1617"/>
      <c r="P45" s="1617" t="str">
        <f t="shared" si="15"/>
        <v/>
      </c>
      <c r="Q45" s="1617"/>
      <c r="R45" s="1617" t="str">
        <f t="shared" si="16"/>
        <v/>
      </c>
      <c r="S45" s="1617"/>
      <c r="T45" s="1617" t="str">
        <f t="shared" si="17"/>
        <v/>
      </c>
      <c r="U45" s="1617"/>
      <c r="V45" s="1617" t="str">
        <f t="shared" si="18"/>
        <v/>
      </c>
      <c r="W45" s="1617"/>
      <c r="X45" s="1617" t="str">
        <f t="shared" si="19"/>
        <v/>
      </c>
      <c r="Y45" s="1617"/>
      <c r="Z45" s="1617" t="str">
        <f t="shared" si="20"/>
        <v/>
      </c>
      <c r="AA45" s="1617"/>
      <c r="AB45" s="1617" t="str">
        <f t="shared" si="21"/>
        <v/>
      </c>
      <c r="AC45" s="1617"/>
      <c r="AD45" s="1617" t="str">
        <f t="shared" si="22"/>
        <v/>
      </c>
      <c r="AE45" s="1620"/>
    </row>
    <row r="46" spans="1:31" ht="12" customHeight="1">
      <c r="A46" s="931" t="s">
        <v>18270</v>
      </c>
      <c r="B46" s="1606">
        <v>1</v>
      </c>
      <c r="C46" s="1607"/>
      <c r="D46" s="1622">
        <f t="shared" si="9"/>
        <v>1</v>
      </c>
      <c r="E46" s="1617"/>
      <c r="F46" s="1617">
        <f t="shared" si="10"/>
        <v>0.5</v>
      </c>
      <c r="G46" s="1617"/>
      <c r="H46" s="1617">
        <f t="shared" si="11"/>
        <v>0.33333333333333331</v>
      </c>
      <c r="I46" s="1617"/>
      <c r="J46" s="1617">
        <f t="shared" si="12"/>
        <v>0.25</v>
      </c>
      <c r="K46" s="1617"/>
      <c r="L46" s="1617">
        <f t="shared" si="13"/>
        <v>0.2</v>
      </c>
      <c r="M46" s="1617"/>
      <c r="N46" s="1617">
        <f t="shared" si="14"/>
        <v>0.16666666666666666</v>
      </c>
      <c r="O46" s="1617"/>
      <c r="P46" s="1617">
        <f t="shared" si="15"/>
        <v>0.14285714285714285</v>
      </c>
      <c r="Q46" s="1617"/>
      <c r="R46" s="1617">
        <f t="shared" si="16"/>
        <v>0.125</v>
      </c>
      <c r="S46" s="1617"/>
      <c r="T46" s="1617">
        <f t="shared" si="17"/>
        <v>0.1111111111111111</v>
      </c>
      <c r="U46" s="1617"/>
      <c r="V46" s="1617">
        <f t="shared" si="18"/>
        <v>0.1</v>
      </c>
      <c r="W46" s="1617"/>
      <c r="X46" s="1617">
        <f t="shared" si="19"/>
        <v>9.0909090909090912E-2</v>
      </c>
      <c r="Y46" s="1617"/>
      <c r="Z46" s="1617">
        <f t="shared" si="20"/>
        <v>8.3333333333333329E-2</v>
      </c>
      <c r="AA46" s="1617"/>
      <c r="AB46" s="1617">
        <f t="shared" si="21"/>
        <v>7.6923076923076927E-2</v>
      </c>
      <c r="AC46" s="1617"/>
      <c r="AD46" s="1617">
        <f t="shared" si="22"/>
        <v>7.1428571428571425E-2</v>
      </c>
      <c r="AE46" s="1620"/>
    </row>
    <row r="47" spans="1:31" ht="12" customHeight="1">
      <c r="A47" s="932" t="s">
        <v>18271</v>
      </c>
      <c r="B47" s="1606"/>
      <c r="C47" s="1607"/>
      <c r="D47" s="1622" t="str">
        <f t="shared" si="9"/>
        <v/>
      </c>
      <c r="E47" s="1617"/>
      <c r="F47" s="1617" t="str">
        <f t="shared" si="10"/>
        <v/>
      </c>
      <c r="G47" s="1617"/>
      <c r="H47" s="1617" t="str">
        <f t="shared" si="11"/>
        <v/>
      </c>
      <c r="I47" s="1617"/>
      <c r="J47" s="1617" t="str">
        <f t="shared" si="12"/>
        <v/>
      </c>
      <c r="K47" s="1617"/>
      <c r="L47" s="1617" t="str">
        <f t="shared" si="13"/>
        <v/>
      </c>
      <c r="M47" s="1617"/>
      <c r="N47" s="1617" t="str">
        <f t="shared" si="14"/>
        <v/>
      </c>
      <c r="O47" s="1617"/>
      <c r="P47" s="1617" t="str">
        <f t="shared" si="15"/>
        <v/>
      </c>
      <c r="Q47" s="1617"/>
      <c r="R47" s="1617" t="str">
        <f t="shared" si="16"/>
        <v/>
      </c>
      <c r="S47" s="1617"/>
      <c r="T47" s="1617" t="str">
        <f t="shared" si="17"/>
        <v/>
      </c>
      <c r="U47" s="1617"/>
      <c r="V47" s="1617" t="str">
        <f t="shared" si="18"/>
        <v/>
      </c>
      <c r="W47" s="1617"/>
      <c r="X47" s="1617" t="str">
        <f t="shared" si="19"/>
        <v/>
      </c>
      <c r="Y47" s="1617"/>
      <c r="Z47" s="1617" t="str">
        <f t="shared" si="20"/>
        <v/>
      </c>
      <c r="AA47" s="1617"/>
      <c r="AB47" s="1617" t="str">
        <f t="shared" si="21"/>
        <v/>
      </c>
      <c r="AC47" s="1617"/>
      <c r="AD47" s="1617" t="str">
        <f t="shared" si="22"/>
        <v/>
      </c>
      <c r="AE47" s="1620"/>
    </row>
    <row r="48" spans="1:31" ht="12" customHeight="1" thickBot="1">
      <c r="A48" s="933" t="s">
        <v>18291</v>
      </c>
      <c r="B48" s="1608">
        <v>1</v>
      </c>
      <c r="C48" s="1609"/>
      <c r="D48" s="1628">
        <f t="shared" si="9"/>
        <v>1</v>
      </c>
      <c r="E48" s="1623"/>
      <c r="F48" s="1623">
        <f t="shared" si="10"/>
        <v>0.5</v>
      </c>
      <c r="G48" s="1623"/>
      <c r="H48" s="1623">
        <f t="shared" si="11"/>
        <v>0.33333333333333331</v>
      </c>
      <c r="I48" s="1623"/>
      <c r="J48" s="1623">
        <f t="shared" si="12"/>
        <v>0.25</v>
      </c>
      <c r="K48" s="1623"/>
      <c r="L48" s="1623">
        <f t="shared" si="13"/>
        <v>0.2</v>
      </c>
      <c r="M48" s="1623"/>
      <c r="N48" s="1623">
        <f t="shared" si="14"/>
        <v>0.16666666666666666</v>
      </c>
      <c r="O48" s="1623"/>
      <c r="P48" s="1623">
        <f t="shared" si="15"/>
        <v>0.14285714285714285</v>
      </c>
      <c r="Q48" s="1623"/>
      <c r="R48" s="1623">
        <f t="shared" si="16"/>
        <v>0.125</v>
      </c>
      <c r="S48" s="1623"/>
      <c r="T48" s="1623">
        <f t="shared" si="17"/>
        <v>0.1111111111111111</v>
      </c>
      <c r="U48" s="1623"/>
      <c r="V48" s="1623">
        <f t="shared" si="18"/>
        <v>0.1</v>
      </c>
      <c r="W48" s="1623"/>
      <c r="X48" s="1623">
        <f t="shared" si="19"/>
        <v>9.0909090909090912E-2</v>
      </c>
      <c r="Y48" s="1623"/>
      <c r="Z48" s="1623">
        <f t="shared" si="20"/>
        <v>8.3333333333333329E-2</v>
      </c>
      <c r="AA48" s="1623"/>
      <c r="AB48" s="1623">
        <f t="shared" si="21"/>
        <v>7.6923076923076927E-2</v>
      </c>
      <c r="AC48" s="1623"/>
      <c r="AD48" s="1623">
        <f t="shared" si="22"/>
        <v>7.1428571428571425E-2</v>
      </c>
      <c r="AE48" s="1625"/>
    </row>
    <row r="49" spans="1:31" ht="12" customHeight="1">
      <c r="B49" s="1626">
        <f>SUM(B36:C48)</f>
        <v>100</v>
      </c>
      <c r="C49" s="1626"/>
      <c r="D49" s="830" t="str">
        <f>IF(B49=100,"○","×")</f>
        <v>○</v>
      </c>
    </row>
    <row r="50" spans="1:31" ht="12" thickBot="1"/>
    <row r="51" spans="1:31" ht="12" thickBot="1">
      <c r="A51" s="893" t="s">
        <v>18275</v>
      </c>
      <c r="B51" s="1627" t="s">
        <v>18292</v>
      </c>
      <c r="C51" s="1610"/>
      <c r="D51" s="1322" t="s">
        <v>18277</v>
      </c>
      <c r="E51" s="1616"/>
      <c r="F51" s="1616" t="s">
        <v>18278</v>
      </c>
      <c r="G51" s="1616"/>
      <c r="H51" s="1616" t="s">
        <v>18279</v>
      </c>
      <c r="I51" s="1616"/>
      <c r="J51" s="1616" t="s">
        <v>18280</v>
      </c>
      <c r="K51" s="1616"/>
      <c r="L51" s="1616" t="s">
        <v>18281</v>
      </c>
      <c r="M51" s="1616"/>
      <c r="N51" s="1616" t="s">
        <v>18282</v>
      </c>
      <c r="O51" s="1616"/>
      <c r="P51" s="1616" t="s">
        <v>18283</v>
      </c>
      <c r="Q51" s="1616"/>
      <c r="R51" s="1616" t="s">
        <v>18284</v>
      </c>
      <c r="S51" s="1616"/>
      <c r="T51" s="1616" t="s">
        <v>18285</v>
      </c>
      <c r="U51" s="1616"/>
      <c r="V51" s="1616" t="s">
        <v>18286</v>
      </c>
      <c r="W51" s="1616"/>
      <c r="X51" s="1616" t="s">
        <v>18287</v>
      </c>
      <c r="Y51" s="1616"/>
      <c r="Z51" s="1616" t="s">
        <v>18288</v>
      </c>
      <c r="AA51" s="1616"/>
      <c r="AB51" s="1616" t="s">
        <v>18289</v>
      </c>
      <c r="AC51" s="1616"/>
      <c r="AD51" s="1616" t="s">
        <v>18290</v>
      </c>
      <c r="AE51" s="1610"/>
    </row>
    <row r="52" spans="1:31" ht="12" customHeight="1">
      <c r="A52" s="921" t="s">
        <v>18260</v>
      </c>
      <c r="B52" s="1632"/>
      <c r="C52" s="1633"/>
      <c r="D52" s="1635">
        <f>IF(D36="","",RANK(D36,$D$36:$AE$48,0))</f>
        <v>2</v>
      </c>
      <c r="E52" s="1624"/>
      <c r="F52" s="1624">
        <f t="shared" ref="F52" si="23">IF(F36="","",RANK(F36,$D$36:$AE$48,0))</f>
        <v>6</v>
      </c>
      <c r="G52" s="1624"/>
      <c r="H52" s="1624">
        <f t="shared" ref="H52" si="24">IF(H36="","",RANK(H36,$D$36:$AE$48,0))</f>
        <v>14</v>
      </c>
      <c r="I52" s="1624"/>
      <c r="J52" s="1624">
        <f t="shared" ref="J52" si="25">IF(J36="","",RANK(J36,$D$36:$AE$48,0))</f>
        <v>17</v>
      </c>
      <c r="K52" s="1624"/>
      <c r="L52" s="1624">
        <f t="shared" ref="L52" si="26">IF(L36="","",RANK(L36,$D$36:$AE$48,0))</f>
        <v>24</v>
      </c>
      <c r="M52" s="1624"/>
      <c r="N52" s="1624">
        <f t="shared" ref="N52" si="27">IF(N36="","",RANK(N36,$D$36:$AE$48,0))</f>
        <v>30</v>
      </c>
      <c r="O52" s="1624"/>
      <c r="P52" s="1624">
        <f t="shared" ref="P52" si="28">IF(P36="","",RANK(P36,$D$36:$AE$48,0))</f>
        <v>35</v>
      </c>
      <c r="Q52" s="1624"/>
      <c r="R52" s="1624">
        <f t="shared" ref="R52" si="29">IF(R36="","",RANK(R36,$D$36:$AE$48,0))</f>
        <v>40</v>
      </c>
      <c r="S52" s="1624"/>
      <c r="T52" s="1624">
        <f t="shared" ref="T52" si="30">IF(T36="","",RANK(T36,$D$36:$AE$48,0))</f>
        <v>47</v>
      </c>
      <c r="U52" s="1624"/>
      <c r="V52" s="1624">
        <f t="shared" ref="V52" si="31">IF(V36="","",RANK(V36,$D$36:$AE$48,0))</f>
        <v>52</v>
      </c>
      <c r="W52" s="1624"/>
      <c r="X52" s="1624">
        <f t="shared" ref="X52" si="32">IF(X36="","",RANK(X36,$D$36:$AE$48,0))</f>
        <v>57</v>
      </c>
      <c r="Y52" s="1624"/>
      <c r="Z52" s="1624">
        <f t="shared" ref="Z52" si="33">IF(Z36="","",RANK(Z36,$D$36:$AE$48,0))</f>
        <v>61</v>
      </c>
      <c r="AA52" s="1624"/>
      <c r="AB52" s="1624">
        <f t="shared" ref="AB52" si="34">IF(AB36="","",RANK(AB36,$D$36:$AE$48,0))</f>
        <v>65</v>
      </c>
      <c r="AC52" s="1624"/>
      <c r="AD52" s="1624">
        <f t="shared" ref="AD52" si="35">IF(AD36="","",RANK(AD36,$D$36:$AE$48,0))</f>
        <v>68</v>
      </c>
      <c r="AE52" s="1631"/>
    </row>
    <row r="53" spans="1:31" ht="12" customHeight="1">
      <c r="A53" s="922" t="s">
        <v>18261</v>
      </c>
      <c r="B53" s="1632"/>
      <c r="C53" s="1633"/>
      <c r="D53" s="1634">
        <f t="shared" ref="D53:D64" si="36">IF(D37="","",RANK(D37,$D$36:$AE$48,0))</f>
        <v>1</v>
      </c>
      <c r="E53" s="1629"/>
      <c r="F53" s="1629">
        <f t="shared" ref="F53" si="37">IF(F37="","",RANK(F37,$D$36:$AE$48,0))</f>
        <v>4</v>
      </c>
      <c r="G53" s="1629"/>
      <c r="H53" s="1629">
        <f t="shared" ref="H53" si="38">IF(H37="","",RANK(H37,$D$36:$AE$48,0))</f>
        <v>7</v>
      </c>
      <c r="I53" s="1629"/>
      <c r="J53" s="1629">
        <f t="shared" ref="J53" si="39">IF(J37="","",RANK(J37,$D$36:$AE$48,0))</f>
        <v>12</v>
      </c>
      <c r="K53" s="1629"/>
      <c r="L53" s="1629">
        <f t="shared" ref="L53" si="40">IF(L37="","",RANK(L37,$D$36:$AE$48,0))</f>
        <v>16</v>
      </c>
      <c r="M53" s="1629"/>
      <c r="N53" s="1629">
        <f t="shared" ref="N53" si="41">IF(N37="","",RANK(N37,$D$36:$AE$48,0))</f>
        <v>18</v>
      </c>
      <c r="O53" s="1629"/>
      <c r="P53" s="1629">
        <f t="shared" ref="P53" si="42">IF(P37="","",RANK(P37,$D$36:$AE$48,0))</f>
        <v>23</v>
      </c>
      <c r="Q53" s="1629"/>
      <c r="R53" s="1629">
        <f t="shared" ref="R53" si="43">IF(R37="","",RANK(R37,$D$36:$AE$48,0))</f>
        <v>28</v>
      </c>
      <c r="S53" s="1629"/>
      <c r="T53" s="1629">
        <f t="shared" ref="T53" si="44">IF(T37="","",RANK(T37,$D$36:$AE$48,0))</f>
        <v>31</v>
      </c>
      <c r="U53" s="1629"/>
      <c r="V53" s="1629">
        <f t="shared" ref="V53" si="45">IF(V37="","",RANK(V37,$D$36:$AE$48,0))</f>
        <v>34</v>
      </c>
      <c r="W53" s="1629"/>
      <c r="X53" s="1629">
        <f t="shared" ref="X53" si="46">IF(X37="","",RANK(X37,$D$36:$AE$48,0))</f>
        <v>39</v>
      </c>
      <c r="Y53" s="1629"/>
      <c r="Z53" s="1629">
        <f t="shared" ref="Z53" si="47">IF(Z37="","",RANK(Z37,$D$36:$AE$48,0))</f>
        <v>42</v>
      </c>
      <c r="AA53" s="1629"/>
      <c r="AB53" s="1629">
        <f t="shared" ref="AB53" si="48">IF(AB37="","",RANK(AB37,$D$36:$AE$48,0))</f>
        <v>46</v>
      </c>
      <c r="AC53" s="1629"/>
      <c r="AD53" s="1629">
        <f t="shared" ref="AD53" si="49">IF(AD37="","",RANK(AD37,$D$36:$AE$48,0))</f>
        <v>50</v>
      </c>
      <c r="AE53" s="1630"/>
    </row>
    <row r="54" spans="1:31" ht="12" customHeight="1">
      <c r="A54" s="923" t="s">
        <v>18262</v>
      </c>
      <c r="B54" s="1632"/>
      <c r="C54" s="1633"/>
      <c r="D54" s="1634">
        <f t="shared" si="36"/>
        <v>11</v>
      </c>
      <c r="E54" s="1629"/>
      <c r="F54" s="1629">
        <f t="shared" ref="F54" si="50">IF(F38="","",RANK(F38,$D$36:$AE$48,0))</f>
        <v>27</v>
      </c>
      <c r="G54" s="1629"/>
      <c r="H54" s="1629">
        <f t="shared" ref="H54" si="51">IF(H38="","",RANK(H38,$D$36:$AE$48,0))</f>
        <v>41</v>
      </c>
      <c r="I54" s="1629"/>
      <c r="J54" s="1629">
        <f t="shared" ref="J54" si="52">IF(J38="","",RANK(J38,$D$36:$AE$48,0))</f>
        <v>56</v>
      </c>
      <c r="K54" s="1629"/>
      <c r="L54" s="1629">
        <f t="shared" ref="L54" si="53">IF(L38="","",RANK(L38,$D$36:$AE$48,0))</f>
        <v>66</v>
      </c>
      <c r="M54" s="1629"/>
      <c r="N54" s="1629">
        <f t="shared" ref="N54" si="54">IF(N38="","",RANK(N38,$D$36:$AE$48,0))</f>
        <v>75</v>
      </c>
      <c r="O54" s="1629"/>
      <c r="P54" s="1629">
        <f t="shared" ref="P54" si="55">IF(P38="","",RANK(P38,$D$36:$AE$48,0))</f>
        <v>84</v>
      </c>
      <c r="Q54" s="1629"/>
      <c r="R54" s="1629">
        <f t="shared" ref="R54" si="56">IF(R38="","",RANK(R38,$D$36:$AE$48,0))</f>
        <v>89</v>
      </c>
      <c r="S54" s="1629"/>
      <c r="T54" s="1629">
        <f t="shared" ref="T54" si="57">IF(T38="","",RANK(T38,$D$36:$AE$48,0))</f>
        <v>92</v>
      </c>
      <c r="U54" s="1629"/>
      <c r="V54" s="1629">
        <f t="shared" ref="V54" si="58">IF(V38="","",RANK(V38,$D$36:$AE$48,0))</f>
        <v>97</v>
      </c>
      <c r="W54" s="1629"/>
      <c r="X54" s="1629">
        <f t="shared" ref="X54" si="59">IF(X38="","",RANK(X38,$D$36:$AE$48,0))</f>
        <v>100</v>
      </c>
      <c r="Y54" s="1629"/>
      <c r="Z54" s="1629">
        <f t="shared" ref="Z54" si="60">IF(Z38="","",RANK(Z38,$D$36:$AE$48,0))</f>
        <v>103</v>
      </c>
      <c r="AA54" s="1629"/>
      <c r="AB54" s="1629">
        <f t="shared" ref="AB54" si="61">IF(AB38="","",RANK(AB38,$D$36:$AE$48,0))</f>
        <v>105</v>
      </c>
      <c r="AC54" s="1629"/>
      <c r="AD54" s="1629">
        <f t="shared" ref="AD54" si="62">IF(AD38="","",RANK(AD38,$D$36:$AE$48,0))</f>
        <v>109</v>
      </c>
      <c r="AE54" s="1630"/>
    </row>
    <row r="55" spans="1:31" ht="12" customHeight="1">
      <c r="A55" s="924" t="s">
        <v>18263</v>
      </c>
      <c r="B55" s="1632"/>
      <c r="C55" s="1633"/>
      <c r="D55" s="1634">
        <f t="shared" si="36"/>
        <v>5</v>
      </c>
      <c r="E55" s="1629"/>
      <c r="F55" s="1629">
        <f t="shared" ref="F55" si="63">IF(F39="","",RANK(F39,$D$36:$AE$48,0))</f>
        <v>13</v>
      </c>
      <c r="G55" s="1629"/>
      <c r="H55" s="1629">
        <f t="shared" ref="H55" si="64">IF(H39="","",RANK(H39,$D$36:$AE$48,0))</f>
        <v>20</v>
      </c>
      <c r="I55" s="1629"/>
      <c r="J55" s="1629">
        <f t="shared" ref="J55" si="65">IF(J39="","",RANK(J39,$D$36:$AE$48,0))</f>
        <v>29</v>
      </c>
      <c r="K55" s="1629"/>
      <c r="L55" s="1629">
        <f t="shared" ref="L55" si="66">IF(L39="","",RANK(L39,$D$36:$AE$48,0))</f>
        <v>35</v>
      </c>
      <c r="M55" s="1629"/>
      <c r="N55" s="1629">
        <f t="shared" ref="N55" si="67">IF(N39="","",RANK(N39,$D$36:$AE$48,0))</f>
        <v>44</v>
      </c>
      <c r="O55" s="1629"/>
      <c r="P55" s="1629">
        <f t="shared" ref="P55" si="68">IF(P39="","",RANK(P39,$D$36:$AE$48,0))</f>
        <v>51</v>
      </c>
      <c r="Q55" s="1629"/>
      <c r="R55" s="1629">
        <f t="shared" ref="R55" si="69">IF(R39="","",RANK(R39,$D$36:$AE$48,0))</f>
        <v>58</v>
      </c>
      <c r="S55" s="1629"/>
      <c r="T55" s="1629">
        <f t="shared" ref="T55" si="70">IF(T39="","",RANK(T39,$D$36:$AE$48,0))</f>
        <v>63</v>
      </c>
      <c r="U55" s="1629"/>
      <c r="V55" s="1629">
        <f t="shared" ref="V55" si="71">IF(V39="","",RANK(V39,$D$36:$AE$48,0))</f>
        <v>68</v>
      </c>
      <c r="W55" s="1629"/>
      <c r="X55" s="1629">
        <f t="shared" ref="X55" si="72">IF(X39="","",RANK(X39,$D$36:$AE$48,0))</f>
        <v>74</v>
      </c>
      <c r="Y55" s="1629"/>
      <c r="Z55" s="1629">
        <f t="shared" ref="Z55" si="73">IF(Z39="","",RANK(Z39,$D$36:$AE$48,0))</f>
        <v>78</v>
      </c>
      <c r="AA55" s="1629"/>
      <c r="AB55" s="1629">
        <f t="shared" ref="AB55" si="74">IF(AB39="","",RANK(AB39,$D$36:$AE$48,0))</f>
        <v>81</v>
      </c>
      <c r="AC55" s="1629"/>
      <c r="AD55" s="1629">
        <f t="shared" ref="AD55" si="75">IF(AD39="","",RANK(AD39,$D$36:$AE$48,0))</f>
        <v>85</v>
      </c>
      <c r="AE55" s="1630"/>
    </row>
    <row r="56" spans="1:31" ht="12" customHeight="1">
      <c r="A56" s="925" t="s">
        <v>18264</v>
      </c>
      <c r="B56" s="1632"/>
      <c r="C56" s="1633"/>
      <c r="D56" s="1634">
        <f t="shared" si="36"/>
        <v>3</v>
      </c>
      <c r="E56" s="1629"/>
      <c r="F56" s="1629">
        <f t="shared" ref="F56" si="76">IF(F40="","",RANK(F40,$D$36:$AE$48,0))</f>
        <v>9</v>
      </c>
      <c r="G56" s="1629"/>
      <c r="H56" s="1629">
        <f t="shared" ref="H56" si="77">IF(H40="","",RANK(H40,$D$36:$AE$48,0))</f>
        <v>15</v>
      </c>
      <c r="I56" s="1629"/>
      <c r="J56" s="1629">
        <f t="shared" ref="J56" si="78">IF(J40="","",RANK(J40,$D$36:$AE$48,0))</f>
        <v>21</v>
      </c>
      <c r="K56" s="1629"/>
      <c r="L56" s="1629">
        <f t="shared" ref="L56" si="79">IF(L40="","",RANK(L40,$D$36:$AE$48,0))</f>
        <v>26</v>
      </c>
      <c r="M56" s="1629"/>
      <c r="N56" s="1629">
        <f t="shared" ref="N56" si="80">IF(N40="","",RANK(N40,$D$36:$AE$48,0))</f>
        <v>33</v>
      </c>
      <c r="O56" s="1629"/>
      <c r="P56" s="1629">
        <f t="shared" ref="P56" si="81">IF(P40="","",RANK(P40,$D$36:$AE$48,0))</f>
        <v>38</v>
      </c>
      <c r="Q56" s="1629"/>
      <c r="R56" s="1629">
        <f t="shared" ref="R56" si="82">IF(R40="","",RANK(R40,$D$36:$AE$48,0))</f>
        <v>45</v>
      </c>
      <c r="S56" s="1629"/>
      <c r="T56" s="1629">
        <f t="shared" ref="T56" si="83">IF(T40="","",RANK(T40,$D$36:$AE$48,0))</f>
        <v>49</v>
      </c>
      <c r="U56" s="1629"/>
      <c r="V56" s="1629">
        <f t="shared" ref="V56" si="84">IF(V40="","",RANK(V40,$D$36:$AE$48,0))</f>
        <v>55</v>
      </c>
      <c r="W56" s="1629"/>
      <c r="X56" s="1629">
        <f t="shared" ref="X56" si="85">IF(X40="","",RANK(X40,$D$36:$AE$48,0))</f>
        <v>59</v>
      </c>
      <c r="Y56" s="1629"/>
      <c r="Z56" s="1629">
        <f t="shared" ref="Z56" si="86">IF(Z40="","",RANK(Z40,$D$36:$AE$48,0))</f>
        <v>64</v>
      </c>
      <c r="AA56" s="1629"/>
      <c r="AB56" s="1629">
        <f t="shared" ref="AB56" si="87">IF(AB40="","",RANK(AB40,$D$36:$AE$48,0))</f>
        <v>67</v>
      </c>
      <c r="AC56" s="1629"/>
      <c r="AD56" s="1629">
        <f t="shared" ref="AD56" si="88">IF(AD40="","",RANK(AD40,$D$36:$AE$48,0))</f>
        <v>72</v>
      </c>
      <c r="AE56" s="1630"/>
    </row>
    <row r="57" spans="1:31" ht="12" customHeight="1">
      <c r="A57" s="926" t="s">
        <v>18265</v>
      </c>
      <c r="B57" s="1632"/>
      <c r="C57" s="1633"/>
      <c r="D57" s="1634">
        <f t="shared" si="36"/>
        <v>7</v>
      </c>
      <c r="E57" s="1629"/>
      <c r="F57" s="1629">
        <f t="shared" ref="F57" si="89">IF(F41="","",RANK(F41,$D$36:$AE$48,0))</f>
        <v>18</v>
      </c>
      <c r="G57" s="1629"/>
      <c r="H57" s="1629">
        <f t="shared" ref="H57" si="90">IF(H41="","",RANK(H41,$D$36:$AE$48,0))</f>
        <v>31</v>
      </c>
      <c r="I57" s="1629"/>
      <c r="J57" s="1629">
        <f t="shared" ref="J57" si="91">IF(J41="","",RANK(J41,$D$36:$AE$48,0))</f>
        <v>42</v>
      </c>
      <c r="K57" s="1629"/>
      <c r="L57" s="1629">
        <f t="shared" ref="L57" si="92">IF(L41="","",RANK(L41,$D$36:$AE$48,0))</f>
        <v>54</v>
      </c>
      <c r="M57" s="1629"/>
      <c r="N57" s="1629">
        <f t="shared" ref="N57" si="93">IF(N41="","",RANK(N41,$D$36:$AE$48,0))</f>
        <v>62</v>
      </c>
      <c r="O57" s="1629"/>
      <c r="P57" s="1629">
        <f t="shared" ref="P57" si="94">IF(P41="","",RANK(P41,$D$36:$AE$48,0))</f>
        <v>71</v>
      </c>
      <c r="Q57" s="1629"/>
      <c r="R57" s="1629">
        <f t="shared" ref="R57" si="95">IF(R41="","",RANK(R41,$D$36:$AE$48,0))</f>
        <v>77</v>
      </c>
      <c r="S57" s="1629"/>
      <c r="T57" s="1629">
        <f t="shared" ref="T57" si="96">IF(T41="","",RANK(T41,$D$36:$AE$48,0))</f>
        <v>82</v>
      </c>
      <c r="U57" s="1629"/>
      <c r="V57" s="1629">
        <f t="shared" ref="V57" si="97">IF(V41="","",RANK(V41,$D$36:$AE$48,0))</f>
        <v>87</v>
      </c>
      <c r="W57" s="1629"/>
      <c r="X57" s="1629">
        <f t="shared" ref="X57" si="98">IF(X41="","",RANK(X41,$D$36:$AE$48,0))</f>
        <v>90</v>
      </c>
      <c r="Y57" s="1629"/>
      <c r="Z57" s="1629">
        <f t="shared" ref="Z57" si="99">IF(Z41="","",RANK(Z41,$D$36:$AE$48,0))</f>
        <v>93</v>
      </c>
      <c r="AA57" s="1629"/>
      <c r="AB57" s="1629">
        <f t="shared" ref="AB57" si="100">IF(AB41="","",RANK(AB41,$D$36:$AE$48,0))</f>
        <v>96</v>
      </c>
      <c r="AC57" s="1629"/>
      <c r="AD57" s="1629">
        <f t="shared" ref="AD57" si="101">IF(AD41="","",RANK(AD41,$D$36:$AE$48,0))</f>
        <v>99</v>
      </c>
      <c r="AE57" s="1630"/>
    </row>
    <row r="58" spans="1:31" ht="12" customHeight="1">
      <c r="A58" s="927" t="s">
        <v>18266</v>
      </c>
      <c r="B58" s="1632"/>
      <c r="C58" s="1633"/>
      <c r="D58" s="1634">
        <f t="shared" si="36"/>
        <v>10</v>
      </c>
      <c r="E58" s="1629"/>
      <c r="F58" s="1629">
        <f t="shared" ref="F58" si="102">IF(F42="","",RANK(F42,$D$36:$AE$48,0))</f>
        <v>22</v>
      </c>
      <c r="G58" s="1629"/>
      <c r="H58" s="1629">
        <f t="shared" ref="H58" si="103">IF(H42="","",RANK(H42,$D$36:$AE$48,0))</f>
        <v>35</v>
      </c>
      <c r="I58" s="1629"/>
      <c r="J58" s="1629">
        <f t="shared" ref="J58" si="104">IF(J42="","",RANK(J42,$D$36:$AE$48,0))</f>
        <v>48</v>
      </c>
      <c r="K58" s="1629"/>
      <c r="L58" s="1629">
        <f t="shared" ref="L58" si="105">IF(L42="","",RANK(L42,$D$36:$AE$48,0))</f>
        <v>59</v>
      </c>
      <c r="M58" s="1629"/>
      <c r="N58" s="1629">
        <f t="shared" ref="N58" si="106">IF(N42="","",RANK(N42,$D$36:$AE$48,0))</f>
        <v>68</v>
      </c>
      <c r="O58" s="1629"/>
      <c r="P58" s="1629">
        <f t="shared" ref="P58" si="107">IF(P42="","",RANK(P42,$D$36:$AE$48,0))</f>
        <v>76</v>
      </c>
      <c r="Q58" s="1629"/>
      <c r="R58" s="1629">
        <f t="shared" ref="R58" si="108">IF(R42="","",RANK(R42,$D$36:$AE$48,0))</f>
        <v>83</v>
      </c>
      <c r="S58" s="1629"/>
      <c r="T58" s="1629">
        <f t="shared" ref="T58" si="109">IF(T42="","",RANK(T42,$D$36:$AE$48,0))</f>
        <v>88</v>
      </c>
      <c r="U58" s="1629"/>
      <c r="V58" s="1629">
        <f t="shared" ref="V58" si="110">IF(V42="","",RANK(V42,$D$36:$AE$48,0))</f>
        <v>91</v>
      </c>
      <c r="W58" s="1629"/>
      <c r="X58" s="1629">
        <f t="shared" ref="X58" si="111">IF(X42="","",RANK(X42,$D$36:$AE$48,0))</f>
        <v>95</v>
      </c>
      <c r="Y58" s="1629"/>
      <c r="Z58" s="1629">
        <f t="shared" ref="Z58" si="112">IF(Z42="","",RANK(Z42,$D$36:$AE$48,0))</f>
        <v>98</v>
      </c>
      <c r="AA58" s="1629"/>
      <c r="AB58" s="1629">
        <f t="shared" ref="AB58" si="113">IF(AB42="","",RANK(AB42,$D$36:$AE$48,0))</f>
        <v>102</v>
      </c>
      <c r="AC58" s="1629"/>
      <c r="AD58" s="1629">
        <f t="shared" ref="AD58" si="114">IF(AD42="","",RANK(AD42,$D$36:$AE$48,0))</f>
        <v>104</v>
      </c>
      <c r="AE58" s="1630"/>
    </row>
    <row r="59" spans="1:31" ht="12" customHeight="1">
      <c r="A59" s="928" t="s">
        <v>18267</v>
      </c>
      <c r="B59" s="1632"/>
      <c r="C59" s="1633"/>
      <c r="D59" s="1634">
        <f t="shared" si="36"/>
        <v>24</v>
      </c>
      <c r="E59" s="1629"/>
      <c r="F59" s="1629">
        <f t="shared" ref="F59" si="115">IF(F43="","",RANK(F43,$D$36:$AE$48,0))</f>
        <v>52</v>
      </c>
      <c r="G59" s="1629"/>
      <c r="H59" s="1629">
        <f t="shared" ref="H59" si="116">IF(H43="","",RANK(H43,$D$36:$AE$48,0))</f>
        <v>73</v>
      </c>
      <c r="I59" s="1629"/>
      <c r="J59" s="1629">
        <f t="shared" ref="J59" si="117">IF(J43="","",RANK(J43,$D$36:$AE$48,0))</f>
        <v>86</v>
      </c>
      <c r="K59" s="1629"/>
      <c r="L59" s="1629">
        <f t="shared" ref="L59" si="118">IF(L43="","",RANK(L43,$D$36:$AE$48,0))</f>
        <v>94</v>
      </c>
      <c r="M59" s="1629"/>
      <c r="N59" s="1629">
        <f t="shared" ref="N59" si="119">IF(N43="","",RANK(N43,$D$36:$AE$48,0))</f>
        <v>101</v>
      </c>
      <c r="O59" s="1629"/>
      <c r="P59" s="1629">
        <f t="shared" ref="P59" si="120">IF(P43="","",RANK(P43,$D$36:$AE$48,0))</f>
        <v>105</v>
      </c>
      <c r="Q59" s="1629"/>
      <c r="R59" s="1629">
        <f t="shared" ref="R59" si="121">IF(R43="","",RANK(R43,$D$36:$AE$48,0))</f>
        <v>110</v>
      </c>
      <c r="S59" s="1629"/>
      <c r="T59" s="1629">
        <f t="shared" ref="T59" si="122">IF(T43="","",RANK(T43,$D$36:$AE$48,0))</f>
        <v>111</v>
      </c>
      <c r="U59" s="1629"/>
      <c r="V59" s="1629">
        <f t="shared" ref="V59" si="123">IF(V43="","",RANK(V43,$D$36:$AE$48,0))</f>
        <v>112</v>
      </c>
      <c r="W59" s="1629"/>
      <c r="X59" s="1629">
        <f t="shared" ref="X59" si="124">IF(X43="","",RANK(X43,$D$36:$AE$48,0))</f>
        <v>115</v>
      </c>
      <c r="Y59" s="1629"/>
      <c r="Z59" s="1629">
        <f t="shared" ref="Z59" si="125">IF(Z43="","",RANK(Z43,$D$36:$AE$48,0))</f>
        <v>116</v>
      </c>
      <c r="AA59" s="1629"/>
      <c r="AB59" s="1629">
        <f t="shared" ref="AB59" si="126">IF(AB43="","",RANK(AB43,$D$36:$AE$48,0))</f>
        <v>117</v>
      </c>
      <c r="AC59" s="1629"/>
      <c r="AD59" s="1629">
        <f t="shared" ref="AD59" si="127">IF(AD43="","",RANK(AD43,$D$36:$AE$48,0))</f>
        <v>118</v>
      </c>
      <c r="AE59" s="1630"/>
    </row>
    <row r="60" spans="1:31" ht="12" customHeight="1">
      <c r="A60" s="929" t="s">
        <v>18268</v>
      </c>
      <c r="B60" s="1632"/>
      <c r="C60" s="1633"/>
      <c r="D60" s="1634" t="str">
        <f t="shared" si="36"/>
        <v/>
      </c>
      <c r="E60" s="1629"/>
      <c r="F60" s="1629" t="str">
        <f t="shared" ref="F60" si="128">IF(F44="","",RANK(F44,$D$36:$AE$48,0))</f>
        <v/>
      </c>
      <c r="G60" s="1629"/>
      <c r="H60" s="1629" t="str">
        <f t="shared" ref="H60" si="129">IF(H44="","",RANK(H44,$D$36:$AE$48,0))</f>
        <v/>
      </c>
      <c r="I60" s="1629"/>
      <c r="J60" s="1629" t="str">
        <f t="shared" ref="J60" si="130">IF(J44="","",RANK(J44,$D$36:$AE$48,0))</f>
        <v/>
      </c>
      <c r="K60" s="1629"/>
      <c r="L60" s="1629" t="str">
        <f t="shared" ref="L60" si="131">IF(L44="","",RANK(L44,$D$36:$AE$48,0))</f>
        <v/>
      </c>
      <c r="M60" s="1629"/>
      <c r="N60" s="1629" t="str">
        <f t="shared" ref="N60" si="132">IF(N44="","",RANK(N44,$D$36:$AE$48,0))</f>
        <v/>
      </c>
      <c r="O60" s="1629"/>
      <c r="P60" s="1629" t="str">
        <f t="shared" ref="P60" si="133">IF(P44="","",RANK(P44,$D$36:$AE$48,0))</f>
        <v/>
      </c>
      <c r="Q60" s="1629"/>
      <c r="R60" s="1629" t="str">
        <f t="shared" ref="R60" si="134">IF(R44="","",RANK(R44,$D$36:$AE$48,0))</f>
        <v/>
      </c>
      <c r="S60" s="1629"/>
      <c r="T60" s="1629" t="str">
        <f t="shared" ref="T60" si="135">IF(T44="","",RANK(T44,$D$36:$AE$48,0))</f>
        <v/>
      </c>
      <c r="U60" s="1629"/>
      <c r="V60" s="1629" t="str">
        <f t="shared" ref="V60" si="136">IF(V44="","",RANK(V44,$D$36:$AE$48,0))</f>
        <v/>
      </c>
      <c r="W60" s="1629"/>
      <c r="X60" s="1629" t="str">
        <f t="shared" ref="X60" si="137">IF(X44="","",RANK(X44,$D$36:$AE$48,0))</f>
        <v/>
      </c>
      <c r="Y60" s="1629"/>
      <c r="Z60" s="1629" t="str">
        <f t="shared" ref="Z60" si="138">IF(Z44="","",RANK(Z44,$D$36:$AE$48,0))</f>
        <v/>
      </c>
      <c r="AA60" s="1629"/>
      <c r="AB60" s="1629" t="str">
        <f t="shared" ref="AB60" si="139">IF(AB44="","",RANK(AB44,$D$36:$AE$48,0))</f>
        <v/>
      </c>
      <c r="AC60" s="1629"/>
      <c r="AD60" s="1629" t="str">
        <f t="shared" ref="AD60" si="140">IF(AD44="","",RANK(AD44,$D$36:$AE$48,0))</f>
        <v/>
      </c>
      <c r="AE60" s="1630"/>
    </row>
    <row r="61" spans="1:31" ht="12" customHeight="1">
      <c r="A61" s="930" t="s">
        <v>18269</v>
      </c>
      <c r="B61" s="1632"/>
      <c r="C61" s="1633"/>
      <c r="D61" s="1634" t="str">
        <f t="shared" si="36"/>
        <v/>
      </c>
      <c r="E61" s="1629"/>
      <c r="F61" s="1629" t="str">
        <f t="shared" ref="F61" si="141">IF(F45="","",RANK(F45,$D$36:$AE$48,0))</f>
        <v/>
      </c>
      <c r="G61" s="1629"/>
      <c r="H61" s="1629" t="str">
        <f t="shared" ref="H61" si="142">IF(H45="","",RANK(H45,$D$36:$AE$48,0))</f>
        <v/>
      </c>
      <c r="I61" s="1629"/>
      <c r="J61" s="1629" t="str">
        <f t="shared" ref="J61" si="143">IF(J45="","",RANK(J45,$D$36:$AE$48,0))</f>
        <v/>
      </c>
      <c r="K61" s="1629"/>
      <c r="L61" s="1629" t="str">
        <f t="shared" ref="L61" si="144">IF(L45="","",RANK(L45,$D$36:$AE$48,0))</f>
        <v/>
      </c>
      <c r="M61" s="1629"/>
      <c r="N61" s="1629" t="str">
        <f t="shared" ref="N61" si="145">IF(N45="","",RANK(N45,$D$36:$AE$48,0))</f>
        <v/>
      </c>
      <c r="O61" s="1629"/>
      <c r="P61" s="1629" t="str">
        <f t="shared" ref="P61" si="146">IF(P45="","",RANK(P45,$D$36:$AE$48,0))</f>
        <v/>
      </c>
      <c r="Q61" s="1629"/>
      <c r="R61" s="1629" t="str">
        <f t="shared" ref="R61" si="147">IF(R45="","",RANK(R45,$D$36:$AE$48,0))</f>
        <v/>
      </c>
      <c r="S61" s="1629"/>
      <c r="T61" s="1629" t="str">
        <f t="shared" ref="T61" si="148">IF(T45="","",RANK(T45,$D$36:$AE$48,0))</f>
        <v/>
      </c>
      <c r="U61" s="1629"/>
      <c r="V61" s="1629" t="str">
        <f t="shared" ref="V61" si="149">IF(V45="","",RANK(V45,$D$36:$AE$48,0))</f>
        <v/>
      </c>
      <c r="W61" s="1629"/>
      <c r="X61" s="1629" t="str">
        <f t="shared" ref="X61" si="150">IF(X45="","",RANK(X45,$D$36:$AE$48,0))</f>
        <v/>
      </c>
      <c r="Y61" s="1629"/>
      <c r="Z61" s="1629" t="str">
        <f t="shared" ref="Z61" si="151">IF(Z45="","",RANK(Z45,$D$36:$AE$48,0))</f>
        <v/>
      </c>
      <c r="AA61" s="1629"/>
      <c r="AB61" s="1629" t="str">
        <f t="shared" ref="AB61" si="152">IF(AB45="","",RANK(AB45,$D$36:$AE$48,0))</f>
        <v/>
      </c>
      <c r="AC61" s="1629"/>
      <c r="AD61" s="1629" t="str">
        <f t="shared" ref="AD61" si="153">IF(AD45="","",RANK(AD45,$D$36:$AE$48,0))</f>
        <v/>
      </c>
      <c r="AE61" s="1630"/>
    </row>
    <row r="62" spans="1:31" ht="12" customHeight="1">
      <c r="A62" s="931" t="s">
        <v>18270</v>
      </c>
      <c r="B62" s="1632"/>
      <c r="C62" s="1633"/>
      <c r="D62" s="1634">
        <f t="shared" si="36"/>
        <v>79</v>
      </c>
      <c r="E62" s="1629"/>
      <c r="F62" s="1629">
        <f t="shared" ref="F62" si="154">IF(F46="","",RANK(F46,$D$36:$AE$48,0))</f>
        <v>105</v>
      </c>
      <c r="G62" s="1629"/>
      <c r="H62" s="1629">
        <f t="shared" ref="H62" si="155">IF(H46="","",RANK(H46,$D$36:$AE$48,0))</f>
        <v>113</v>
      </c>
      <c r="I62" s="1629"/>
      <c r="J62" s="1629">
        <f t="shared" ref="J62" si="156">IF(J46="","",RANK(J46,$D$36:$AE$48,0))</f>
        <v>118</v>
      </c>
      <c r="K62" s="1629"/>
      <c r="L62" s="1629">
        <f t="shared" ref="L62" si="157">IF(L46="","",RANK(L46,$D$36:$AE$48,0))</f>
        <v>121</v>
      </c>
      <c r="M62" s="1629"/>
      <c r="N62" s="1629">
        <f t="shared" ref="N62" si="158">IF(N46="","",RANK(N46,$D$36:$AE$48,0))</f>
        <v>123</v>
      </c>
      <c r="O62" s="1629"/>
      <c r="P62" s="1629">
        <f t="shared" ref="P62" si="159">IF(P46="","",RANK(P46,$D$36:$AE$48,0))</f>
        <v>125</v>
      </c>
      <c r="Q62" s="1629"/>
      <c r="R62" s="1629">
        <f t="shared" ref="R62" si="160">IF(R46="","",RANK(R46,$D$36:$AE$48,0))</f>
        <v>127</v>
      </c>
      <c r="S62" s="1629"/>
      <c r="T62" s="1629">
        <f t="shared" ref="T62" si="161">IF(T46="","",RANK(T46,$D$36:$AE$48,0))</f>
        <v>129</v>
      </c>
      <c r="U62" s="1629"/>
      <c r="V62" s="1629">
        <f t="shared" ref="V62" si="162">IF(V46="","",RANK(V46,$D$36:$AE$48,0))</f>
        <v>131</v>
      </c>
      <c r="W62" s="1629"/>
      <c r="X62" s="1629">
        <f t="shared" ref="X62" si="163">IF(X46="","",RANK(X46,$D$36:$AE$48,0))</f>
        <v>133</v>
      </c>
      <c r="Y62" s="1629"/>
      <c r="Z62" s="1629">
        <f t="shared" ref="Z62" si="164">IF(Z46="","",RANK(Z46,$D$36:$AE$48,0))</f>
        <v>135</v>
      </c>
      <c r="AA62" s="1629"/>
      <c r="AB62" s="1629">
        <f t="shared" ref="AB62" si="165">IF(AB46="","",RANK(AB46,$D$36:$AE$48,0))</f>
        <v>137</v>
      </c>
      <c r="AC62" s="1629"/>
      <c r="AD62" s="1629">
        <f t="shared" ref="AD62" si="166">IF(AD46="","",RANK(AD46,$D$36:$AE$48,0))</f>
        <v>139</v>
      </c>
      <c r="AE62" s="1630"/>
    </row>
    <row r="63" spans="1:31" ht="12" customHeight="1">
      <c r="A63" s="932" t="s">
        <v>18271</v>
      </c>
      <c r="B63" s="1632"/>
      <c r="C63" s="1633"/>
      <c r="D63" s="1634" t="str">
        <f t="shared" si="36"/>
        <v/>
      </c>
      <c r="E63" s="1629"/>
      <c r="F63" s="1629" t="str">
        <f t="shared" ref="F63" si="167">IF(F47="","",RANK(F47,$D$36:$AE$48,0))</f>
        <v/>
      </c>
      <c r="G63" s="1629"/>
      <c r="H63" s="1629" t="str">
        <f t="shared" ref="H63" si="168">IF(H47="","",RANK(H47,$D$36:$AE$48,0))</f>
        <v/>
      </c>
      <c r="I63" s="1629"/>
      <c r="J63" s="1629" t="str">
        <f t="shared" ref="J63" si="169">IF(J47="","",RANK(J47,$D$36:$AE$48,0))</f>
        <v/>
      </c>
      <c r="K63" s="1629"/>
      <c r="L63" s="1629" t="str">
        <f t="shared" ref="L63" si="170">IF(L47="","",RANK(L47,$D$36:$AE$48,0))</f>
        <v/>
      </c>
      <c r="M63" s="1629"/>
      <c r="N63" s="1629" t="str">
        <f t="shared" ref="N63" si="171">IF(N47="","",RANK(N47,$D$36:$AE$48,0))</f>
        <v/>
      </c>
      <c r="O63" s="1629"/>
      <c r="P63" s="1629" t="str">
        <f t="shared" ref="P63" si="172">IF(P47="","",RANK(P47,$D$36:$AE$48,0))</f>
        <v/>
      </c>
      <c r="Q63" s="1629"/>
      <c r="R63" s="1629" t="str">
        <f t="shared" ref="R63" si="173">IF(R47="","",RANK(R47,$D$36:$AE$48,0))</f>
        <v/>
      </c>
      <c r="S63" s="1629"/>
      <c r="T63" s="1629" t="str">
        <f t="shared" ref="T63" si="174">IF(T47="","",RANK(T47,$D$36:$AE$48,0))</f>
        <v/>
      </c>
      <c r="U63" s="1629"/>
      <c r="V63" s="1629" t="str">
        <f t="shared" ref="V63" si="175">IF(V47="","",RANK(V47,$D$36:$AE$48,0))</f>
        <v/>
      </c>
      <c r="W63" s="1629"/>
      <c r="X63" s="1629" t="str">
        <f t="shared" ref="X63" si="176">IF(X47="","",RANK(X47,$D$36:$AE$48,0))</f>
        <v/>
      </c>
      <c r="Y63" s="1629"/>
      <c r="Z63" s="1629" t="str">
        <f t="shared" ref="Z63" si="177">IF(Z47="","",RANK(Z47,$D$36:$AE$48,0))</f>
        <v/>
      </c>
      <c r="AA63" s="1629"/>
      <c r="AB63" s="1629" t="str">
        <f t="shared" ref="AB63" si="178">IF(AB47="","",RANK(AB47,$D$36:$AE$48,0))</f>
        <v/>
      </c>
      <c r="AC63" s="1629"/>
      <c r="AD63" s="1629" t="str">
        <f t="shared" ref="AD63" si="179">IF(AD47="","",RANK(AD47,$D$36:$AE$48,0))</f>
        <v/>
      </c>
      <c r="AE63" s="1630"/>
    </row>
    <row r="64" spans="1:31" ht="12" customHeight="1" thickBot="1">
      <c r="A64" s="933" t="s">
        <v>18291</v>
      </c>
      <c r="B64" s="1636"/>
      <c r="C64" s="1637"/>
      <c r="D64" s="1638">
        <f t="shared" si="36"/>
        <v>79</v>
      </c>
      <c r="E64" s="1639"/>
      <c r="F64" s="1639">
        <f t="shared" ref="F64" si="180">IF(F48="","",RANK(F48,$D$36:$AE$48,0))</f>
        <v>105</v>
      </c>
      <c r="G64" s="1639"/>
      <c r="H64" s="1639">
        <f t="shared" ref="H64" si="181">IF(H48="","",RANK(H48,$D$36:$AE$48,0))</f>
        <v>113</v>
      </c>
      <c r="I64" s="1639"/>
      <c r="J64" s="1639">
        <f t="shared" ref="J64" si="182">IF(J48="","",RANK(J48,$D$36:$AE$48,0))</f>
        <v>118</v>
      </c>
      <c r="K64" s="1639"/>
      <c r="L64" s="1639">
        <f t="shared" ref="L64" si="183">IF(L48="","",RANK(L48,$D$36:$AE$48,0))</f>
        <v>121</v>
      </c>
      <c r="M64" s="1639"/>
      <c r="N64" s="1639">
        <f t="shared" ref="N64" si="184">IF(N48="","",RANK(N48,$D$36:$AE$48,0))</f>
        <v>123</v>
      </c>
      <c r="O64" s="1639"/>
      <c r="P64" s="1639">
        <f t="shared" ref="P64" si="185">IF(P48="","",RANK(P48,$D$36:$AE$48,0))</f>
        <v>125</v>
      </c>
      <c r="Q64" s="1639"/>
      <c r="R64" s="1639">
        <f t="shared" ref="R64" si="186">IF(R48="","",RANK(R48,$D$36:$AE$48,0))</f>
        <v>127</v>
      </c>
      <c r="S64" s="1639"/>
      <c r="T64" s="1639">
        <f t="shared" ref="T64" si="187">IF(T48="","",RANK(T48,$D$36:$AE$48,0))</f>
        <v>129</v>
      </c>
      <c r="U64" s="1639"/>
      <c r="V64" s="1639">
        <f t="shared" ref="V64" si="188">IF(V48="","",RANK(V48,$D$36:$AE$48,0))</f>
        <v>131</v>
      </c>
      <c r="W64" s="1639"/>
      <c r="X64" s="1639">
        <f t="shared" ref="X64" si="189">IF(X48="","",RANK(X48,$D$36:$AE$48,0))</f>
        <v>133</v>
      </c>
      <c r="Y64" s="1639"/>
      <c r="Z64" s="1639">
        <f t="shared" ref="Z64" si="190">IF(Z48="","",RANK(Z48,$D$36:$AE$48,0))</f>
        <v>135</v>
      </c>
      <c r="AA64" s="1639"/>
      <c r="AB64" s="1639">
        <f t="shared" ref="AB64" si="191">IF(AB48="","",RANK(AB48,$D$36:$AE$48,0))</f>
        <v>137</v>
      </c>
      <c r="AC64" s="1639"/>
      <c r="AD64" s="1639">
        <f t="shared" ref="AD64" si="192">IF(AD48="","",RANK(AD48,$D$36:$AE$48,0))</f>
        <v>139</v>
      </c>
      <c r="AE64" s="1640"/>
    </row>
  </sheetData>
  <mergeCells count="641">
    <mergeCell ref="P64:Q64"/>
    <mergeCell ref="P63:Q63"/>
    <mergeCell ref="AD64:AE64"/>
    <mergeCell ref="R64:S64"/>
    <mergeCell ref="T64:U64"/>
    <mergeCell ref="V64:W64"/>
    <mergeCell ref="X64:Y64"/>
    <mergeCell ref="Z64:AA64"/>
    <mergeCell ref="AB64:AC64"/>
    <mergeCell ref="AB63:AC63"/>
    <mergeCell ref="AD63:AE63"/>
    <mergeCell ref="R63:S63"/>
    <mergeCell ref="T63:U63"/>
    <mergeCell ref="V63:W63"/>
    <mergeCell ref="X63:Y63"/>
    <mergeCell ref="Z63:AA63"/>
    <mergeCell ref="J62:K62"/>
    <mergeCell ref="L62:M62"/>
    <mergeCell ref="B64:C64"/>
    <mergeCell ref="D64:E64"/>
    <mergeCell ref="F64:G64"/>
    <mergeCell ref="H64:I64"/>
    <mergeCell ref="J64:K64"/>
    <mergeCell ref="L64:M64"/>
    <mergeCell ref="N64:O64"/>
    <mergeCell ref="F60:G60"/>
    <mergeCell ref="H60:I60"/>
    <mergeCell ref="J60:K60"/>
    <mergeCell ref="L60:M60"/>
    <mergeCell ref="Z62:AA62"/>
    <mergeCell ref="AB62:AC62"/>
    <mergeCell ref="AD62:AE62"/>
    <mergeCell ref="B63:C63"/>
    <mergeCell ref="D63:E63"/>
    <mergeCell ref="F63:G63"/>
    <mergeCell ref="H63:I63"/>
    <mergeCell ref="J63:K63"/>
    <mergeCell ref="L63:M63"/>
    <mergeCell ref="N63:O63"/>
    <mergeCell ref="N62:O62"/>
    <mergeCell ref="P62:Q62"/>
    <mergeCell ref="R62:S62"/>
    <mergeCell ref="T62:U62"/>
    <mergeCell ref="V62:W62"/>
    <mergeCell ref="X62:Y62"/>
    <mergeCell ref="B62:C62"/>
    <mergeCell ref="D62:E62"/>
    <mergeCell ref="F62:G62"/>
    <mergeCell ref="H62:I62"/>
    <mergeCell ref="T61:U61"/>
    <mergeCell ref="V61:W61"/>
    <mergeCell ref="X61:Y61"/>
    <mergeCell ref="Z61:AA61"/>
    <mergeCell ref="AB61:AC61"/>
    <mergeCell ref="AD61:AE61"/>
    <mergeCell ref="AD60:AE60"/>
    <mergeCell ref="B61:C61"/>
    <mergeCell ref="D61:E61"/>
    <mergeCell ref="F61:G61"/>
    <mergeCell ref="H61:I61"/>
    <mergeCell ref="J61:K61"/>
    <mergeCell ref="L61:M61"/>
    <mergeCell ref="N61:O61"/>
    <mergeCell ref="P61:Q61"/>
    <mergeCell ref="R61:S61"/>
    <mergeCell ref="R60:S60"/>
    <mergeCell ref="T60:U60"/>
    <mergeCell ref="V60:W60"/>
    <mergeCell ref="X60:Y60"/>
    <mergeCell ref="Z60:AA60"/>
    <mergeCell ref="AB60:AC60"/>
    <mergeCell ref="B60:C60"/>
    <mergeCell ref="D60:E60"/>
    <mergeCell ref="B58:C58"/>
    <mergeCell ref="D58:E58"/>
    <mergeCell ref="F58:G58"/>
    <mergeCell ref="H58:I58"/>
    <mergeCell ref="J58:K58"/>
    <mergeCell ref="R59:S59"/>
    <mergeCell ref="T59:U59"/>
    <mergeCell ref="V59:W59"/>
    <mergeCell ref="X59:Y59"/>
    <mergeCell ref="X56:Y56"/>
    <mergeCell ref="Z56:AA56"/>
    <mergeCell ref="AB56:AC56"/>
    <mergeCell ref="B56:C56"/>
    <mergeCell ref="D56:E56"/>
    <mergeCell ref="F56:G56"/>
    <mergeCell ref="N60:O60"/>
    <mergeCell ref="P60:Q60"/>
    <mergeCell ref="P59:Q59"/>
    <mergeCell ref="Z58:AA58"/>
    <mergeCell ref="AB58:AC58"/>
    <mergeCell ref="B59:C59"/>
    <mergeCell ref="D59:E59"/>
    <mergeCell ref="F59:G59"/>
    <mergeCell ref="H59:I59"/>
    <mergeCell ref="J59:K59"/>
    <mergeCell ref="L59:M59"/>
    <mergeCell ref="N59:O59"/>
    <mergeCell ref="N58:O58"/>
    <mergeCell ref="P58:Q58"/>
    <mergeCell ref="R58:S58"/>
    <mergeCell ref="T58:U58"/>
    <mergeCell ref="V58:W58"/>
    <mergeCell ref="X58:Y58"/>
    <mergeCell ref="B57:C57"/>
    <mergeCell ref="D57:E57"/>
    <mergeCell ref="F57:G57"/>
    <mergeCell ref="H57:I57"/>
    <mergeCell ref="J57:K57"/>
    <mergeCell ref="L57:M57"/>
    <mergeCell ref="N57:O57"/>
    <mergeCell ref="P57:Q57"/>
    <mergeCell ref="R57:S57"/>
    <mergeCell ref="T57:U57"/>
    <mergeCell ref="V57:W57"/>
    <mergeCell ref="X57:Y57"/>
    <mergeCell ref="Z57:AA57"/>
    <mergeCell ref="L58:M58"/>
    <mergeCell ref="AB59:AC59"/>
    <mergeCell ref="AD59:AE59"/>
    <mergeCell ref="AB57:AC57"/>
    <mergeCell ref="AD57:AE57"/>
    <mergeCell ref="AD58:AE58"/>
    <mergeCell ref="Z59:AA59"/>
    <mergeCell ref="H56:I56"/>
    <mergeCell ref="J56:K56"/>
    <mergeCell ref="L56:M56"/>
    <mergeCell ref="N56:O56"/>
    <mergeCell ref="P56:Q56"/>
    <mergeCell ref="P55:Q55"/>
    <mergeCell ref="Z54:AA54"/>
    <mergeCell ref="AB54:AC54"/>
    <mergeCell ref="AD54:AE54"/>
    <mergeCell ref="R54:S54"/>
    <mergeCell ref="T54:U54"/>
    <mergeCell ref="V54:W54"/>
    <mergeCell ref="X54:Y54"/>
    <mergeCell ref="AB55:AC55"/>
    <mergeCell ref="AD55:AE55"/>
    <mergeCell ref="R55:S55"/>
    <mergeCell ref="T55:U55"/>
    <mergeCell ref="V55:W55"/>
    <mergeCell ref="X55:Y55"/>
    <mergeCell ref="Z55:AA55"/>
    <mergeCell ref="AD56:AE56"/>
    <mergeCell ref="R56:S56"/>
    <mergeCell ref="T56:U56"/>
    <mergeCell ref="V56:W56"/>
    <mergeCell ref="N55:O55"/>
    <mergeCell ref="N54:O54"/>
    <mergeCell ref="P54:Q54"/>
    <mergeCell ref="B54:C54"/>
    <mergeCell ref="D54:E54"/>
    <mergeCell ref="F54:G54"/>
    <mergeCell ref="H54:I54"/>
    <mergeCell ref="J54:K54"/>
    <mergeCell ref="L54:M54"/>
    <mergeCell ref="F52:G52"/>
    <mergeCell ref="H52:I52"/>
    <mergeCell ref="J52:K52"/>
    <mergeCell ref="L52:M52"/>
    <mergeCell ref="B55:C55"/>
    <mergeCell ref="D55:E55"/>
    <mergeCell ref="F55:G55"/>
    <mergeCell ref="H55:I55"/>
    <mergeCell ref="J55:K55"/>
    <mergeCell ref="L55:M55"/>
    <mergeCell ref="T53:U53"/>
    <mergeCell ref="V53:W53"/>
    <mergeCell ref="X53:Y53"/>
    <mergeCell ref="Z53:AA53"/>
    <mergeCell ref="AB53:AC53"/>
    <mergeCell ref="AD53:AE53"/>
    <mergeCell ref="AD52:AE52"/>
    <mergeCell ref="B53:C53"/>
    <mergeCell ref="D53:E53"/>
    <mergeCell ref="F53:G53"/>
    <mergeCell ref="H53:I53"/>
    <mergeCell ref="J53:K53"/>
    <mergeCell ref="L53:M53"/>
    <mergeCell ref="N53:O53"/>
    <mergeCell ref="P53:Q53"/>
    <mergeCell ref="R53:S53"/>
    <mergeCell ref="R52:S52"/>
    <mergeCell ref="T52:U52"/>
    <mergeCell ref="V52:W52"/>
    <mergeCell ref="X52:Y52"/>
    <mergeCell ref="Z52:AA52"/>
    <mergeCell ref="AB52:AC52"/>
    <mergeCell ref="B52:C52"/>
    <mergeCell ref="D52:E52"/>
    <mergeCell ref="N52:O52"/>
    <mergeCell ref="P52:Q52"/>
    <mergeCell ref="P51:Q51"/>
    <mergeCell ref="AB48:AC48"/>
    <mergeCell ref="AD48:AE48"/>
    <mergeCell ref="B49:C49"/>
    <mergeCell ref="B51:C51"/>
    <mergeCell ref="D51:E51"/>
    <mergeCell ref="F51:G51"/>
    <mergeCell ref="H51:I51"/>
    <mergeCell ref="J51:K51"/>
    <mergeCell ref="L51:M51"/>
    <mergeCell ref="N51:O51"/>
    <mergeCell ref="P48:Q48"/>
    <mergeCell ref="R48:S48"/>
    <mergeCell ref="T48:U48"/>
    <mergeCell ref="V48:W48"/>
    <mergeCell ref="X48:Y48"/>
    <mergeCell ref="Z48:AA48"/>
    <mergeCell ref="D48:E48"/>
    <mergeCell ref="F48:G48"/>
    <mergeCell ref="H48:I48"/>
    <mergeCell ref="J48:K48"/>
    <mergeCell ref="L48:M48"/>
    <mergeCell ref="N48:O48"/>
    <mergeCell ref="AB51:AC51"/>
    <mergeCell ref="AD51:AE51"/>
    <mergeCell ref="T47:U47"/>
    <mergeCell ref="V47:W47"/>
    <mergeCell ref="X47:Y47"/>
    <mergeCell ref="Z47:AA47"/>
    <mergeCell ref="AB47:AC47"/>
    <mergeCell ref="AD47:AE47"/>
    <mergeCell ref="R51:S51"/>
    <mergeCell ref="T51:U51"/>
    <mergeCell ref="V51:W51"/>
    <mergeCell ref="X51:Y51"/>
    <mergeCell ref="Z51:AA51"/>
    <mergeCell ref="AB46:AC46"/>
    <mergeCell ref="AD46:AE46"/>
    <mergeCell ref="D47:E47"/>
    <mergeCell ref="F47:G47"/>
    <mergeCell ref="H47:I47"/>
    <mergeCell ref="J47:K47"/>
    <mergeCell ref="L47:M47"/>
    <mergeCell ref="N47:O47"/>
    <mergeCell ref="P47:Q47"/>
    <mergeCell ref="R47:S47"/>
    <mergeCell ref="P46:Q46"/>
    <mergeCell ref="R46:S46"/>
    <mergeCell ref="T46:U46"/>
    <mergeCell ref="V46:W46"/>
    <mergeCell ref="X46:Y46"/>
    <mergeCell ref="Z46:AA46"/>
    <mergeCell ref="D46:E46"/>
    <mergeCell ref="F46:G46"/>
    <mergeCell ref="H46:I46"/>
    <mergeCell ref="J46:K46"/>
    <mergeCell ref="L46:M46"/>
    <mergeCell ref="N46:O46"/>
    <mergeCell ref="T45:U45"/>
    <mergeCell ref="V45:W45"/>
    <mergeCell ref="X45:Y45"/>
    <mergeCell ref="Z45:AA45"/>
    <mergeCell ref="AB45:AC45"/>
    <mergeCell ref="AD45:AE45"/>
    <mergeCell ref="AB44:AC44"/>
    <mergeCell ref="AD44:AE44"/>
    <mergeCell ref="D45:E45"/>
    <mergeCell ref="F45:G45"/>
    <mergeCell ref="H45:I45"/>
    <mergeCell ref="J45:K45"/>
    <mergeCell ref="L45:M45"/>
    <mergeCell ref="N45:O45"/>
    <mergeCell ref="P45:Q45"/>
    <mergeCell ref="R45:S45"/>
    <mergeCell ref="P44:Q44"/>
    <mergeCell ref="R44:S44"/>
    <mergeCell ref="T44:U44"/>
    <mergeCell ref="V44:W44"/>
    <mergeCell ref="X44:Y44"/>
    <mergeCell ref="Z44:AA44"/>
    <mergeCell ref="D44:E44"/>
    <mergeCell ref="F44:G44"/>
    <mergeCell ref="L44:M44"/>
    <mergeCell ref="N44:O44"/>
    <mergeCell ref="AD43:AE43"/>
    <mergeCell ref="AB42:AC42"/>
    <mergeCell ref="AD42:AE42"/>
    <mergeCell ref="D43:E43"/>
    <mergeCell ref="F43:G43"/>
    <mergeCell ref="H43:I43"/>
    <mergeCell ref="J43:K43"/>
    <mergeCell ref="L43:M43"/>
    <mergeCell ref="N43:O43"/>
    <mergeCell ref="P43:Q43"/>
    <mergeCell ref="R43:S43"/>
    <mergeCell ref="P42:Q42"/>
    <mergeCell ref="R42:S42"/>
    <mergeCell ref="T42:U42"/>
    <mergeCell ref="V42:W42"/>
    <mergeCell ref="X42:Y42"/>
    <mergeCell ref="Z42:AA42"/>
    <mergeCell ref="D42:E42"/>
    <mergeCell ref="F42:G42"/>
    <mergeCell ref="L42:M42"/>
    <mergeCell ref="N40:O40"/>
    <mergeCell ref="N42:O42"/>
    <mergeCell ref="T41:U41"/>
    <mergeCell ref="V41:W41"/>
    <mergeCell ref="X41:Y41"/>
    <mergeCell ref="Z41:AA41"/>
    <mergeCell ref="AB41:AC41"/>
    <mergeCell ref="T43:U43"/>
    <mergeCell ref="V43:W43"/>
    <mergeCell ref="X43:Y43"/>
    <mergeCell ref="Z43:AA43"/>
    <mergeCell ref="AB43:AC43"/>
    <mergeCell ref="L38:M38"/>
    <mergeCell ref="N38:O38"/>
    <mergeCell ref="AD41:AE41"/>
    <mergeCell ref="AB40:AC40"/>
    <mergeCell ref="AD40:AE40"/>
    <mergeCell ref="D41:E41"/>
    <mergeCell ref="F41:G41"/>
    <mergeCell ref="H41:I41"/>
    <mergeCell ref="J41:K41"/>
    <mergeCell ref="L41:M41"/>
    <mergeCell ref="N41:O41"/>
    <mergeCell ref="P41:Q41"/>
    <mergeCell ref="R41:S41"/>
    <mergeCell ref="P40:Q40"/>
    <mergeCell ref="R40:S40"/>
    <mergeCell ref="T40:U40"/>
    <mergeCell ref="V40:W40"/>
    <mergeCell ref="X40:Y40"/>
    <mergeCell ref="Z40:AA40"/>
    <mergeCell ref="D40:E40"/>
    <mergeCell ref="F40:G40"/>
    <mergeCell ref="H40:I40"/>
    <mergeCell ref="J40:K40"/>
    <mergeCell ref="L40:M40"/>
    <mergeCell ref="T39:U39"/>
    <mergeCell ref="V39:W39"/>
    <mergeCell ref="X39:Y39"/>
    <mergeCell ref="Z39:AA39"/>
    <mergeCell ref="AB39:AC39"/>
    <mergeCell ref="AD39:AE39"/>
    <mergeCell ref="AB38:AC38"/>
    <mergeCell ref="AD38:AE38"/>
    <mergeCell ref="D39:E39"/>
    <mergeCell ref="F39:G39"/>
    <mergeCell ref="H39:I39"/>
    <mergeCell ref="J39:K39"/>
    <mergeCell ref="L39:M39"/>
    <mergeCell ref="N39:O39"/>
    <mergeCell ref="P39:Q39"/>
    <mergeCell ref="R39:S39"/>
    <mergeCell ref="P38:Q38"/>
    <mergeCell ref="R38:S38"/>
    <mergeCell ref="T38:U38"/>
    <mergeCell ref="V38:W38"/>
    <mergeCell ref="X38:Y38"/>
    <mergeCell ref="Z38:AA38"/>
    <mergeCell ref="D38:E38"/>
    <mergeCell ref="F38:G38"/>
    <mergeCell ref="AD37:AE37"/>
    <mergeCell ref="AB36:AC36"/>
    <mergeCell ref="AD36:AE36"/>
    <mergeCell ref="D37:E37"/>
    <mergeCell ref="F37:G37"/>
    <mergeCell ref="H37:I37"/>
    <mergeCell ref="J37:K37"/>
    <mergeCell ref="L37:M37"/>
    <mergeCell ref="N37:O37"/>
    <mergeCell ref="P37:Q37"/>
    <mergeCell ref="R37:S37"/>
    <mergeCell ref="P36:Q36"/>
    <mergeCell ref="R36:S36"/>
    <mergeCell ref="T36:U36"/>
    <mergeCell ref="V36:W36"/>
    <mergeCell ref="X36:Y36"/>
    <mergeCell ref="Z36:AA36"/>
    <mergeCell ref="T37:U37"/>
    <mergeCell ref="V37:W37"/>
    <mergeCell ref="X37:Y37"/>
    <mergeCell ref="Z37:AA37"/>
    <mergeCell ref="AB37:AC37"/>
    <mergeCell ref="X35:Y35"/>
    <mergeCell ref="Z35:AA35"/>
    <mergeCell ref="AB35:AC35"/>
    <mergeCell ref="AD35:AE35"/>
    <mergeCell ref="D36:E36"/>
    <mergeCell ref="F36:G36"/>
    <mergeCell ref="H36:I36"/>
    <mergeCell ref="J36:K36"/>
    <mergeCell ref="L36:M36"/>
    <mergeCell ref="N36:O36"/>
    <mergeCell ref="L35:M35"/>
    <mergeCell ref="N35:O35"/>
    <mergeCell ref="P35:Q35"/>
    <mergeCell ref="R35:S35"/>
    <mergeCell ref="T35:U35"/>
    <mergeCell ref="V35:W35"/>
    <mergeCell ref="E34:F34"/>
    <mergeCell ref="G34:H34"/>
    <mergeCell ref="D35:E35"/>
    <mergeCell ref="F35:G35"/>
    <mergeCell ref="H35:I35"/>
    <mergeCell ref="J35:K35"/>
    <mergeCell ref="B43:C43"/>
    <mergeCell ref="B44:C44"/>
    <mergeCell ref="B45:C45"/>
    <mergeCell ref="H38:I38"/>
    <mergeCell ref="J38:K38"/>
    <mergeCell ref="H42:I42"/>
    <mergeCell ref="J42:K42"/>
    <mergeCell ref="H44:I44"/>
    <mergeCell ref="J44:K44"/>
    <mergeCell ref="B46:C46"/>
    <mergeCell ref="B47:C47"/>
    <mergeCell ref="B48:C48"/>
    <mergeCell ref="B35:C35"/>
    <mergeCell ref="B36:C36"/>
    <mergeCell ref="B37:C37"/>
    <mergeCell ref="B38:C38"/>
    <mergeCell ref="B39:C39"/>
    <mergeCell ref="B40:C40"/>
    <mergeCell ref="B41:C41"/>
    <mergeCell ref="B42:C42"/>
    <mergeCell ref="X21:X22"/>
    <mergeCell ref="X23:X24"/>
    <mergeCell ref="X25:X26"/>
    <mergeCell ref="X27:X28"/>
    <mergeCell ref="X29:X30"/>
    <mergeCell ref="X31:Y31"/>
    <mergeCell ref="V31:W31"/>
    <mergeCell ref="X3:X4"/>
    <mergeCell ref="X5:X6"/>
    <mergeCell ref="X7:X8"/>
    <mergeCell ref="X9:X10"/>
    <mergeCell ref="X11:X12"/>
    <mergeCell ref="X13:X14"/>
    <mergeCell ref="X15:X16"/>
    <mergeCell ref="X17:X18"/>
    <mergeCell ref="X19:X20"/>
    <mergeCell ref="V19:V20"/>
    <mergeCell ref="V21:V22"/>
    <mergeCell ref="V23:V24"/>
    <mergeCell ref="V25:V26"/>
    <mergeCell ref="V27:V28"/>
    <mergeCell ref="V29:V30"/>
    <mergeCell ref="V7:V8"/>
    <mergeCell ref="V9:V10"/>
    <mergeCell ref="V11:V12"/>
    <mergeCell ref="V13:V14"/>
    <mergeCell ref="V15:V16"/>
    <mergeCell ref="V17:V18"/>
    <mergeCell ref="T21:T22"/>
    <mergeCell ref="T23:T24"/>
    <mergeCell ref="T25:T26"/>
    <mergeCell ref="T27:T28"/>
    <mergeCell ref="T29:T30"/>
    <mergeCell ref="T31:U31"/>
    <mergeCell ref="R31:S31"/>
    <mergeCell ref="T3:T4"/>
    <mergeCell ref="T5:T6"/>
    <mergeCell ref="T7:T8"/>
    <mergeCell ref="T9:T10"/>
    <mergeCell ref="T11:T12"/>
    <mergeCell ref="T13:T14"/>
    <mergeCell ref="T15:T16"/>
    <mergeCell ref="T17:T18"/>
    <mergeCell ref="T19:T20"/>
    <mergeCell ref="R19:R20"/>
    <mergeCell ref="R21:R22"/>
    <mergeCell ref="R23:R24"/>
    <mergeCell ref="R25:R26"/>
    <mergeCell ref="R27:R28"/>
    <mergeCell ref="R29:R30"/>
    <mergeCell ref="P29:P30"/>
    <mergeCell ref="P31:Q31"/>
    <mergeCell ref="R3:R4"/>
    <mergeCell ref="R5:R6"/>
    <mergeCell ref="R7:R8"/>
    <mergeCell ref="R9:R10"/>
    <mergeCell ref="R11:R12"/>
    <mergeCell ref="R13:R14"/>
    <mergeCell ref="R15:R16"/>
    <mergeCell ref="R17:R18"/>
    <mergeCell ref="P17:P18"/>
    <mergeCell ref="P19:P20"/>
    <mergeCell ref="P21:P22"/>
    <mergeCell ref="P23:P24"/>
    <mergeCell ref="P25:P26"/>
    <mergeCell ref="P27:P28"/>
    <mergeCell ref="P7:P8"/>
    <mergeCell ref="P9:P10"/>
    <mergeCell ref="P11:P12"/>
    <mergeCell ref="P13:P14"/>
    <mergeCell ref="P15:P16"/>
    <mergeCell ref="N15:N16"/>
    <mergeCell ref="N17:N18"/>
    <mergeCell ref="N19:N20"/>
    <mergeCell ref="N21:N22"/>
    <mergeCell ref="L25:L26"/>
    <mergeCell ref="L27:L28"/>
    <mergeCell ref="L29:L30"/>
    <mergeCell ref="L31:M31"/>
    <mergeCell ref="N3:N4"/>
    <mergeCell ref="N5:N6"/>
    <mergeCell ref="N7:N8"/>
    <mergeCell ref="N9:N10"/>
    <mergeCell ref="N11:N12"/>
    <mergeCell ref="N13:N14"/>
    <mergeCell ref="L13:L14"/>
    <mergeCell ref="L15:L16"/>
    <mergeCell ref="L17:L18"/>
    <mergeCell ref="L19:L20"/>
    <mergeCell ref="L21:L22"/>
    <mergeCell ref="L23:L24"/>
    <mergeCell ref="N27:N28"/>
    <mergeCell ref="N29:N30"/>
    <mergeCell ref="N31:O31"/>
    <mergeCell ref="N23:N24"/>
    <mergeCell ref="N25:N26"/>
    <mergeCell ref="J29:J30"/>
    <mergeCell ref="D31:E31"/>
    <mergeCell ref="F31:G31"/>
    <mergeCell ref="H31:I31"/>
    <mergeCell ref="J31:K31"/>
    <mergeCell ref="L3:L4"/>
    <mergeCell ref="L5:L6"/>
    <mergeCell ref="L7:L8"/>
    <mergeCell ref="L9:L10"/>
    <mergeCell ref="L11:L12"/>
    <mergeCell ref="J17:J18"/>
    <mergeCell ref="J19:J20"/>
    <mergeCell ref="J21:J22"/>
    <mergeCell ref="J23:J24"/>
    <mergeCell ref="J25:J26"/>
    <mergeCell ref="J27:J28"/>
    <mergeCell ref="H25:H26"/>
    <mergeCell ref="H27:H28"/>
    <mergeCell ref="H29:H30"/>
    <mergeCell ref="J3:J4"/>
    <mergeCell ref="J5:J6"/>
    <mergeCell ref="J7:J8"/>
    <mergeCell ref="J9:J10"/>
    <mergeCell ref="J11:J12"/>
    <mergeCell ref="J13:J14"/>
    <mergeCell ref="J15:J16"/>
    <mergeCell ref="H13:H14"/>
    <mergeCell ref="H15:H16"/>
    <mergeCell ref="H17:H18"/>
    <mergeCell ref="H19:H20"/>
    <mergeCell ref="H21:H22"/>
    <mergeCell ref="H23:H24"/>
    <mergeCell ref="F21:F22"/>
    <mergeCell ref="F23:F24"/>
    <mergeCell ref="F25:F26"/>
    <mergeCell ref="F27:F28"/>
    <mergeCell ref="F29:F30"/>
    <mergeCell ref="H3:H4"/>
    <mergeCell ref="H5:H6"/>
    <mergeCell ref="H7:H8"/>
    <mergeCell ref="H9:H10"/>
    <mergeCell ref="H11:H12"/>
    <mergeCell ref="F7:F8"/>
    <mergeCell ref="F9:F10"/>
    <mergeCell ref="F11:F12"/>
    <mergeCell ref="F13:F14"/>
    <mergeCell ref="F15:F16"/>
    <mergeCell ref="F17:F18"/>
    <mergeCell ref="F19:F20"/>
    <mergeCell ref="D17:D18"/>
    <mergeCell ref="D19:D20"/>
    <mergeCell ref="B31:C31"/>
    <mergeCell ref="D3:D4"/>
    <mergeCell ref="D5:D6"/>
    <mergeCell ref="D7:D8"/>
    <mergeCell ref="D9:D10"/>
    <mergeCell ref="D11:D12"/>
    <mergeCell ref="D13:D14"/>
    <mergeCell ref="D15:D16"/>
    <mergeCell ref="B15:B16"/>
    <mergeCell ref="B17:B18"/>
    <mergeCell ref="B19:B20"/>
    <mergeCell ref="B21:B22"/>
    <mergeCell ref="B23:B24"/>
    <mergeCell ref="B25:B26"/>
    <mergeCell ref="D29:D30"/>
    <mergeCell ref="D21:D22"/>
    <mergeCell ref="D23:D24"/>
    <mergeCell ref="D25:D26"/>
    <mergeCell ref="D27:D28"/>
    <mergeCell ref="R2:S2"/>
    <mergeCell ref="T2:U2"/>
    <mergeCell ref="V2:W2"/>
    <mergeCell ref="X2:Y2"/>
    <mergeCell ref="B3:B4"/>
    <mergeCell ref="B5:B6"/>
    <mergeCell ref="V3:V4"/>
    <mergeCell ref="V5:V6"/>
    <mergeCell ref="F2:G2"/>
    <mergeCell ref="H2:I2"/>
    <mergeCell ref="J2:K2"/>
    <mergeCell ref="L2:M2"/>
    <mergeCell ref="N2:O2"/>
    <mergeCell ref="P2:Q2"/>
    <mergeCell ref="P3:P4"/>
    <mergeCell ref="P5:P6"/>
    <mergeCell ref="F3:F4"/>
    <mergeCell ref="F5:F6"/>
    <mergeCell ref="A27:A28"/>
    <mergeCell ref="A29:A30"/>
    <mergeCell ref="B2:C2"/>
    <mergeCell ref="D2:E2"/>
    <mergeCell ref="B7:B8"/>
    <mergeCell ref="B9:B10"/>
    <mergeCell ref="B11:B12"/>
    <mergeCell ref="B13:B14"/>
    <mergeCell ref="A15:A16"/>
    <mergeCell ref="A17:A18"/>
    <mergeCell ref="A19:A20"/>
    <mergeCell ref="A21:A22"/>
    <mergeCell ref="A23:A24"/>
    <mergeCell ref="A25:A26"/>
    <mergeCell ref="A3:A4"/>
    <mergeCell ref="A5:A6"/>
    <mergeCell ref="A7:A8"/>
    <mergeCell ref="A9:A10"/>
    <mergeCell ref="A11:A12"/>
    <mergeCell ref="A13:A14"/>
    <mergeCell ref="B27:B28"/>
    <mergeCell ref="B29:B30"/>
    <mergeCell ref="N1:O1"/>
    <mergeCell ref="P1:Q1"/>
    <mergeCell ref="R1:S1"/>
    <mergeCell ref="T1:U1"/>
    <mergeCell ref="V1:W1"/>
    <mergeCell ref="X1:Y1"/>
    <mergeCell ref="B1:C1"/>
    <mergeCell ref="D1:E1"/>
    <mergeCell ref="F1:G1"/>
    <mergeCell ref="H1:I1"/>
    <mergeCell ref="J1:K1"/>
    <mergeCell ref="L1:M1"/>
  </mergeCells>
  <phoneticPr fontId="3"/>
  <conditionalFormatting sqref="D52:AE64">
    <cfRule type="cellIs" dxfId="425" priority="1" operator="lessThanOrEqual">
      <formula>$J$34</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N32"/>
  <sheetViews>
    <sheetView workbookViewId="0"/>
  </sheetViews>
  <sheetFormatPr defaultRowHeight="13.5"/>
  <cols>
    <col min="1" max="1" width="9" style="653"/>
    <col min="2" max="2" width="8.625" style="653" customWidth="1"/>
    <col min="3" max="3" width="4.625" style="653" customWidth="1"/>
    <col min="4" max="4" width="8.625" style="653" customWidth="1"/>
    <col min="5" max="5" width="4.625" style="653" customWidth="1"/>
    <col min="6" max="6" width="8.625" style="653" customWidth="1"/>
    <col min="7" max="7" width="4.625" style="653" customWidth="1"/>
    <col min="8" max="8" width="8.625" style="653" customWidth="1"/>
    <col min="9" max="9" width="6.625" style="653" customWidth="1"/>
    <col min="10" max="10" width="4.625" style="653" customWidth="1"/>
    <col min="11" max="11" width="6.625" style="653" customWidth="1"/>
    <col min="12" max="12" width="8.625" style="653" customWidth="1"/>
    <col min="13" max="13" width="6.625" style="653" customWidth="1"/>
    <col min="14" max="14" width="60.625" style="653" customWidth="1"/>
    <col min="15" max="16384" width="9" style="653"/>
  </cols>
  <sheetData>
    <row r="1" spans="1:14" ht="14.25" thickBot="1">
      <c r="A1" s="953" t="s">
        <v>18471</v>
      </c>
    </row>
    <row r="2" spans="1:14" ht="13.5" customHeight="1" thickBot="1">
      <c r="A2" s="954"/>
      <c r="B2" s="1322" t="s">
        <v>18473</v>
      </c>
      <c r="C2" s="1616"/>
      <c r="D2" s="1616" t="s">
        <v>18474</v>
      </c>
      <c r="E2" s="1248"/>
      <c r="F2" s="1627" t="s">
        <v>18475</v>
      </c>
      <c r="G2" s="1610"/>
      <c r="H2" s="888" t="s">
        <v>18479</v>
      </c>
      <c r="I2" s="887" t="s">
        <v>18480</v>
      </c>
      <c r="J2" s="917"/>
      <c r="K2" s="934" t="s">
        <v>18476</v>
      </c>
      <c r="L2" s="893" t="s">
        <v>18477</v>
      </c>
      <c r="M2" s="982" t="s">
        <v>18478</v>
      </c>
      <c r="N2" s="893" t="s">
        <v>18481</v>
      </c>
    </row>
    <row r="3" spans="1:14" ht="11.45" customHeight="1">
      <c r="A3" s="1656" t="s">
        <v>18260</v>
      </c>
      <c r="B3" s="1647">
        <f>小選挙区!G1310</f>
        <v>39</v>
      </c>
      <c r="C3" s="970">
        <f>小選挙区!H1311</f>
        <v>14</v>
      </c>
      <c r="D3" s="1668">
        <f>比例予想!X3</f>
        <v>34</v>
      </c>
      <c r="E3" s="972">
        <f>比例予想!Y3</f>
        <v>5</v>
      </c>
      <c r="F3" s="1672">
        <f>B3+D3</f>
        <v>73</v>
      </c>
      <c r="G3" s="974">
        <f>C3+E3</f>
        <v>19</v>
      </c>
      <c r="H3" s="1718">
        <v>230</v>
      </c>
      <c r="I3" s="1719">
        <f>F3-H3</f>
        <v>-157</v>
      </c>
      <c r="K3" s="1686">
        <f>F3+G4</f>
        <v>60</v>
      </c>
      <c r="L3" s="1684">
        <f>F3</f>
        <v>73</v>
      </c>
      <c r="M3" s="1704">
        <f>F3+G3</f>
        <v>92</v>
      </c>
      <c r="N3" s="1716" t="s">
        <v>18482</v>
      </c>
    </row>
    <row r="4" spans="1:14" ht="11.45" customHeight="1">
      <c r="A4" s="1657"/>
      <c r="B4" s="1648"/>
      <c r="C4" s="971">
        <f>小選挙区!H1313*(-1)</f>
        <v>-9</v>
      </c>
      <c r="D4" s="1668"/>
      <c r="E4" s="973">
        <f>比例予想!Y4</f>
        <v>-4</v>
      </c>
      <c r="F4" s="1673"/>
      <c r="G4" s="975">
        <f>C4+E4</f>
        <v>-13</v>
      </c>
      <c r="H4" s="1696"/>
      <c r="I4" s="1695"/>
      <c r="K4" s="1687"/>
      <c r="L4" s="1685"/>
      <c r="M4" s="1705"/>
      <c r="N4" s="1717"/>
    </row>
    <row r="5" spans="1:14" ht="11.45" customHeight="1">
      <c r="A5" s="1658" t="s">
        <v>18261</v>
      </c>
      <c r="B5" s="1649">
        <f>小選挙区!G1317</f>
        <v>226</v>
      </c>
      <c r="C5" s="905">
        <f>小選挙区!H1318</f>
        <v>12</v>
      </c>
      <c r="D5" s="1669">
        <f>比例予想!X5</f>
        <v>61</v>
      </c>
      <c r="E5" s="967">
        <f>比例予想!Y5</f>
        <v>5</v>
      </c>
      <c r="F5" s="1674">
        <f t="shared" ref="F5" si="0">B5+D5</f>
        <v>287</v>
      </c>
      <c r="G5" s="969">
        <f t="shared" ref="G5:G30" si="1">C5+E5</f>
        <v>17</v>
      </c>
      <c r="H5" s="1696">
        <v>118</v>
      </c>
      <c r="I5" s="1695">
        <f t="shared" ref="I5" si="2">F5-H5</f>
        <v>169</v>
      </c>
      <c r="K5" s="1687">
        <f t="shared" ref="K5" si="3">F5+G6</f>
        <v>265</v>
      </c>
      <c r="L5" s="1706">
        <f t="shared" ref="L5" si="4">F5</f>
        <v>287</v>
      </c>
      <c r="M5" s="1705">
        <f t="shared" ref="M5" si="5">F5+G5</f>
        <v>304</v>
      </c>
      <c r="N5" s="1717" t="s">
        <v>18483</v>
      </c>
    </row>
    <row r="6" spans="1:14" ht="11.45" customHeight="1">
      <c r="A6" s="1658"/>
      <c r="B6" s="1647"/>
      <c r="C6" s="971">
        <f>小選挙区!H1320*(-1)</f>
        <v>-17</v>
      </c>
      <c r="D6" s="1668"/>
      <c r="E6" s="973">
        <f>比例予想!Y6</f>
        <v>-5</v>
      </c>
      <c r="F6" s="1674"/>
      <c r="G6" s="975">
        <f t="shared" si="1"/>
        <v>-22</v>
      </c>
      <c r="H6" s="1696"/>
      <c r="I6" s="1695"/>
      <c r="K6" s="1687"/>
      <c r="L6" s="1706"/>
      <c r="M6" s="1705"/>
      <c r="N6" s="1717"/>
    </row>
    <row r="7" spans="1:14" ht="11.45" customHeight="1">
      <c r="A7" s="1659" t="s">
        <v>18262</v>
      </c>
      <c r="B7" s="1649">
        <f>小選挙区!G1324</f>
        <v>3</v>
      </c>
      <c r="C7" s="905">
        <f>小選挙区!H1325</f>
        <v>1</v>
      </c>
      <c r="D7" s="1669">
        <f>比例予想!X7</f>
        <v>8</v>
      </c>
      <c r="E7" s="967">
        <f>比例予想!Y7</f>
        <v>4</v>
      </c>
      <c r="F7" s="1675">
        <f t="shared" ref="F7" si="6">B7+D7</f>
        <v>11</v>
      </c>
      <c r="G7" s="969">
        <f t="shared" si="1"/>
        <v>5</v>
      </c>
      <c r="H7" s="1696">
        <v>62</v>
      </c>
      <c r="I7" s="1695">
        <f t="shared" ref="I7" si="7">F7-H7</f>
        <v>-51</v>
      </c>
      <c r="K7" s="1687">
        <f t="shared" ref="K7" si="8">F7+G8</f>
        <v>9</v>
      </c>
      <c r="L7" s="1707">
        <f t="shared" ref="L7" si="9">F7</f>
        <v>11</v>
      </c>
      <c r="M7" s="1705">
        <f t="shared" ref="M7" si="10">F7+G7</f>
        <v>16</v>
      </c>
      <c r="N7" s="1717" t="s">
        <v>18485</v>
      </c>
    </row>
    <row r="8" spans="1:14" ht="11.45" customHeight="1">
      <c r="A8" s="1659"/>
      <c r="B8" s="1647"/>
      <c r="C8" s="971">
        <f>小選挙区!H1327*(-1)</f>
        <v>-1</v>
      </c>
      <c r="D8" s="1668"/>
      <c r="E8" s="973">
        <f>比例予想!Y8</f>
        <v>-1</v>
      </c>
      <c r="F8" s="1675"/>
      <c r="G8" s="975">
        <f t="shared" si="1"/>
        <v>-2</v>
      </c>
      <c r="H8" s="1696"/>
      <c r="I8" s="1695"/>
      <c r="K8" s="1687"/>
      <c r="L8" s="1707"/>
      <c r="M8" s="1705"/>
      <c r="N8" s="1717"/>
    </row>
    <row r="9" spans="1:14" ht="11.45" customHeight="1">
      <c r="A9" s="1660" t="s">
        <v>18263</v>
      </c>
      <c r="B9" s="1649">
        <f>小選挙区!G1331</f>
        <v>9</v>
      </c>
      <c r="C9" s="905">
        <f>小選挙区!H1332</f>
        <v>0</v>
      </c>
      <c r="D9" s="1669">
        <f>比例予想!X9</f>
        <v>24</v>
      </c>
      <c r="E9" s="967">
        <f>比例予想!Y9</f>
        <v>2</v>
      </c>
      <c r="F9" s="1676">
        <f t="shared" ref="F9" si="11">B9+D9</f>
        <v>33</v>
      </c>
      <c r="G9" s="969">
        <f t="shared" si="1"/>
        <v>2</v>
      </c>
      <c r="H9" s="1696">
        <v>21</v>
      </c>
      <c r="I9" s="1695">
        <f t="shared" ref="I9" si="12">F9-H9</f>
        <v>12</v>
      </c>
      <c r="K9" s="1687">
        <f t="shared" ref="K9" si="13">F9+G10</f>
        <v>30</v>
      </c>
      <c r="L9" s="1688">
        <f t="shared" ref="L9" si="14">F9</f>
        <v>33</v>
      </c>
      <c r="M9" s="1705">
        <f t="shared" ref="M9" si="15">F9+G9</f>
        <v>35</v>
      </c>
      <c r="N9" s="1717" t="s">
        <v>18484</v>
      </c>
    </row>
    <row r="10" spans="1:14" ht="11.45" customHeight="1">
      <c r="A10" s="1660"/>
      <c r="B10" s="1647"/>
      <c r="C10" s="971">
        <f>小選挙区!H1334*(-1)</f>
        <v>-1</v>
      </c>
      <c r="D10" s="1668"/>
      <c r="E10" s="973">
        <f>比例予想!Y10</f>
        <v>-2</v>
      </c>
      <c r="F10" s="1676"/>
      <c r="G10" s="975">
        <f t="shared" si="1"/>
        <v>-3</v>
      </c>
      <c r="H10" s="1696"/>
      <c r="I10" s="1695"/>
      <c r="K10" s="1687"/>
      <c r="L10" s="1688"/>
      <c r="M10" s="1705"/>
      <c r="N10" s="1717"/>
    </row>
    <row r="11" spans="1:14" ht="11.45" customHeight="1">
      <c r="A11" s="1661" t="s">
        <v>18264</v>
      </c>
      <c r="B11" s="1649">
        <f>小選挙区!G1338</f>
        <v>15</v>
      </c>
      <c r="C11" s="905">
        <f>小選挙区!H1339</f>
        <v>3</v>
      </c>
      <c r="D11" s="1669">
        <f>比例予想!X11</f>
        <v>33</v>
      </c>
      <c r="E11" s="978">
        <f>比例予想!Y11</f>
        <v>3</v>
      </c>
      <c r="F11" s="1689">
        <f t="shared" ref="F11" si="16">B11+D11</f>
        <v>48</v>
      </c>
      <c r="G11" s="969">
        <f t="shared" si="1"/>
        <v>6</v>
      </c>
      <c r="H11" s="1696">
        <v>11</v>
      </c>
      <c r="I11" s="1695">
        <f t="shared" ref="I11" si="17">F11-H11</f>
        <v>37</v>
      </c>
      <c r="K11" s="1687">
        <f t="shared" ref="K11" si="18">F11+G12</f>
        <v>43</v>
      </c>
      <c r="L11" s="1714">
        <f t="shared" ref="L11" si="19">F11</f>
        <v>48</v>
      </c>
      <c r="M11" s="1705">
        <f t="shared" ref="M11" si="20">F11+G11</f>
        <v>54</v>
      </c>
      <c r="N11" s="1717" t="s">
        <v>18512</v>
      </c>
    </row>
    <row r="12" spans="1:14" ht="11.45" customHeight="1">
      <c r="A12" s="1661"/>
      <c r="B12" s="1647"/>
      <c r="C12" s="971">
        <f>小選挙区!H1341*(-1)</f>
        <v>-2</v>
      </c>
      <c r="D12" s="1668"/>
      <c r="E12" s="966">
        <f>比例予想!Y12</f>
        <v>-3</v>
      </c>
      <c r="F12" s="1689"/>
      <c r="G12" s="975">
        <f t="shared" si="1"/>
        <v>-5</v>
      </c>
      <c r="H12" s="1696"/>
      <c r="I12" s="1695"/>
      <c r="K12" s="1687"/>
      <c r="L12" s="1714"/>
      <c r="M12" s="1705"/>
      <c r="N12" s="1717"/>
    </row>
    <row r="13" spans="1:14" ht="11.45" customHeight="1">
      <c r="A13" s="1662" t="s">
        <v>18265</v>
      </c>
      <c r="B13" s="1649">
        <f>小選挙区!G1345</f>
        <v>3</v>
      </c>
      <c r="C13" s="979">
        <f>小選挙区!H1346</f>
        <v>1</v>
      </c>
      <c r="D13" s="1669">
        <f>比例予想!X13</f>
        <v>8</v>
      </c>
      <c r="E13" s="967">
        <f>比例予想!Y13</f>
        <v>1</v>
      </c>
      <c r="F13" s="1690">
        <f t="shared" ref="F13" si="21">B13+D13</f>
        <v>11</v>
      </c>
      <c r="G13" s="969">
        <f t="shared" si="1"/>
        <v>2</v>
      </c>
      <c r="H13" s="1696">
        <v>8</v>
      </c>
      <c r="I13" s="1695">
        <f t="shared" ref="I13" si="22">F13-H13</f>
        <v>3</v>
      </c>
      <c r="K13" s="1687">
        <f t="shared" ref="K13" si="23">F13+G14</f>
        <v>8</v>
      </c>
      <c r="L13" s="1715">
        <f t="shared" ref="L13" si="24">F13</f>
        <v>11</v>
      </c>
      <c r="M13" s="1705">
        <f t="shared" ref="M13" si="25">F13+G13</f>
        <v>13</v>
      </c>
      <c r="N13" s="1717" t="s">
        <v>18486</v>
      </c>
    </row>
    <row r="14" spans="1:14" ht="11.45" customHeight="1">
      <c r="A14" s="1662"/>
      <c r="B14" s="1647"/>
      <c r="C14" s="902">
        <f>小選挙区!H1348*(-1)</f>
        <v>-1</v>
      </c>
      <c r="D14" s="1668"/>
      <c r="E14" s="973">
        <f>比例予想!Y14</f>
        <v>-2</v>
      </c>
      <c r="F14" s="1690"/>
      <c r="G14" s="975">
        <f t="shared" si="1"/>
        <v>-3</v>
      </c>
      <c r="H14" s="1696"/>
      <c r="I14" s="1695"/>
      <c r="K14" s="1687"/>
      <c r="L14" s="1715"/>
      <c r="M14" s="1705"/>
      <c r="N14" s="1717"/>
    </row>
    <row r="15" spans="1:14" ht="11.45" customHeight="1">
      <c r="A15" s="1650" t="s">
        <v>18266</v>
      </c>
      <c r="B15" s="1649">
        <f>小選挙区!G1352</f>
        <v>0</v>
      </c>
      <c r="C15" s="905">
        <f>小選挙区!H1353</f>
        <v>0</v>
      </c>
      <c r="D15" s="1669">
        <f>比例予想!X15</f>
        <v>9</v>
      </c>
      <c r="E15" s="967">
        <f>比例予想!Y15</f>
        <v>0</v>
      </c>
      <c r="F15" s="1691">
        <f t="shared" ref="F15" si="26">B15+D15</f>
        <v>9</v>
      </c>
      <c r="G15" s="969">
        <f t="shared" si="1"/>
        <v>0</v>
      </c>
      <c r="H15" s="1696">
        <v>9</v>
      </c>
      <c r="I15" s="1695">
        <f t="shared" ref="I15" si="27">F15-H15</f>
        <v>0</v>
      </c>
      <c r="K15" s="1687">
        <f t="shared" ref="K15" si="28">F15+G16</f>
        <v>7</v>
      </c>
      <c r="L15" s="1723">
        <f t="shared" ref="L15" si="29">F15</f>
        <v>9</v>
      </c>
      <c r="M15" s="1705">
        <f t="shared" ref="M15" si="30">F15+G15</f>
        <v>9</v>
      </c>
      <c r="N15" s="1717" t="s">
        <v>18487</v>
      </c>
    </row>
    <row r="16" spans="1:14" ht="11.45" customHeight="1">
      <c r="A16" s="1650"/>
      <c r="B16" s="1647"/>
      <c r="C16" s="971">
        <f>小選挙区!H1355*(-1)</f>
        <v>0</v>
      </c>
      <c r="D16" s="1668"/>
      <c r="E16" s="973">
        <f>比例予想!Y16</f>
        <v>-2</v>
      </c>
      <c r="F16" s="1691"/>
      <c r="G16" s="975">
        <f t="shared" si="1"/>
        <v>-2</v>
      </c>
      <c r="H16" s="1696"/>
      <c r="I16" s="1695"/>
      <c r="K16" s="1687"/>
      <c r="L16" s="1723"/>
      <c r="M16" s="1705"/>
      <c r="N16" s="1717"/>
    </row>
    <row r="17" spans="1:14" ht="11.45" customHeight="1">
      <c r="A17" s="1651" t="s">
        <v>18267</v>
      </c>
      <c r="B17" s="1649">
        <f>小選挙区!G1359</f>
        <v>1</v>
      </c>
      <c r="C17" s="905">
        <f>小選挙区!H1360</f>
        <v>0</v>
      </c>
      <c r="D17" s="1669">
        <f>比例予想!X17</f>
        <v>2</v>
      </c>
      <c r="E17" s="967">
        <f>比例予想!Y17</f>
        <v>2</v>
      </c>
      <c r="F17" s="1692">
        <f t="shared" ref="F17" si="31">B17+D17</f>
        <v>3</v>
      </c>
      <c r="G17" s="969">
        <f t="shared" si="1"/>
        <v>2</v>
      </c>
      <c r="H17" s="1696">
        <v>5</v>
      </c>
      <c r="I17" s="1695">
        <f t="shared" ref="I17" si="32">F17-H17</f>
        <v>-2</v>
      </c>
      <c r="K17" s="1687">
        <f t="shared" ref="K17" si="33">F17+G18</f>
        <v>2</v>
      </c>
      <c r="L17" s="1724">
        <f t="shared" ref="L17" si="34">F17</f>
        <v>3</v>
      </c>
      <c r="M17" s="1705">
        <f t="shared" ref="M17" si="35">F17+G17</f>
        <v>5</v>
      </c>
      <c r="N17" s="1717" t="s">
        <v>18488</v>
      </c>
    </row>
    <row r="18" spans="1:14" ht="11.45" customHeight="1">
      <c r="A18" s="1651"/>
      <c r="B18" s="1647"/>
      <c r="C18" s="971">
        <f>小選挙区!H1362*(-1)</f>
        <v>0</v>
      </c>
      <c r="D18" s="1668"/>
      <c r="E18" s="973">
        <f>比例予想!Y18</f>
        <v>-1</v>
      </c>
      <c r="F18" s="1692"/>
      <c r="G18" s="975">
        <f t="shared" si="1"/>
        <v>-1</v>
      </c>
      <c r="H18" s="1696"/>
      <c r="I18" s="1695"/>
      <c r="K18" s="1687"/>
      <c r="L18" s="1724"/>
      <c r="M18" s="1705"/>
      <c r="N18" s="1717"/>
    </row>
    <row r="19" spans="1:14" ht="11.45" customHeight="1">
      <c r="A19" s="1652" t="s">
        <v>18268</v>
      </c>
      <c r="B19" s="1649">
        <f>小選挙区!G1366</f>
        <v>1</v>
      </c>
      <c r="C19" s="905">
        <f>小選挙区!H1367</f>
        <v>1</v>
      </c>
      <c r="D19" s="1669">
        <f>比例予想!X19</f>
        <v>0</v>
      </c>
      <c r="E19" s="978">
        <f>比例予想!Y19</f>
        <v>0</v>
      </c>
      <c r="F19" s="1693">
        <f t="shared" ref="F19" si="36">B19+D19</f>
        <v>1</v>
      </c>
      <c r="G19" s="969">
        <f t="shared" si="1"/>
        <v>1</v>
      </c>
      <c r="H19" s="1696">
        <v>2</v>
      </c>
      <c r="I19" s="1695">
        <f t="shared" ref="I19" si="37">F19-H19</f>
        <v>-1</v>
      </c>
      <c r="K19" s="1687">
        <f t="shared" ref="K19" si="38">F19+G20</f>
        <v>0</v>
      </c>
      <c r="L19" s="1725">
        <f t="shared" ref="L19" si="39">F19</f>
        <v>1</v>
      </c>
      <c r="M19" s="1705">
        <f t="shared" ref="M19" si="40">F19+G19</f>
        <v>2</v>
      </c>
      <c r="N19" s="1717" t="s">
        <v>18489</v>
      </c>
    </row>
    <row r="20" spans="1:14" ht="11.45" customHeight="1">
      <c r="A20" s="1652"/>
      <c r="B20" s="1647"/>
      <c r="C20" s="971">
        <f>小選挙区!H1369*(-1)</f>
        <v>-1</v>
      </c>
      <c r="D20" s="1668"/>
      <c r="E20" s="966">
        <f>比例予想!Y20</f>
        <v>0</v>
      </c>
      <c r="F20" s="1693"/>
      <c r="G20" s="975">
        <f t="shared" si="1"/>
        <v>-1</v>
      </c>
      <c r="H20" s="1696"/>
      <c r="I20" s="1695"/>
      <c r="K20" s="1687"/>
      <c r="L20" s="1725"/>
      <c r="M20" s="1705"/>
      <c r="N20" s="1717"/>
    </row>
    <row r="21" spans="1:14" ht="11.45" customHeight="1">
      <c r="A21" s="1653" t="s">
        <v>18269</v>
      </c>
      <c r="B21" s="1649">
        <f>小選挙区!G1373</f>
        <v>0</v>
      </c>
      <c r="C21" s="905">
        <f>小選挙区!H1374</f>
        <v>0</v>
      </c>
      <c r="D21" s="1669">
        <f>比例予想!X21</f>
        <v>1</v>
      </c>
      <c r="E21" s="967">
        <f>比例予想!Y21</f>
        <v>0</v>
      </c>
      <c r="F21" s="1694">
        <f t="shared" ref="F21" si="41">B21+D21</f>
        <v>1</v>
      </c>
      <c r="G21" s="976">
        <f t="shared" si="1"/>
        <v>0</v>
      </c>
      <c r="H21" s="1696">
        <v>3</v>
      </c>
      <c r="I21" s="1695">
        <f t="shared" ref="I21" si="42">F21-H21</f>
        <v>-2</v>
      </c>
      <c r="K21" s="1687">
        <f t="shared" ref="K21" si="43">F21+G22</f>
        <v>1</v>
      </c>
      <c r="L21" s="1712">
        <f t="shared" ref="L21" si="44">F21</f>
        <v>1</v>
      </c>
      <c r="M21" s="1705">
        <f t="shared" ref="M21" si="45">F21+G21</f>
        <v>1</v>
      </c>
      <c r="N21" s="1717" t="s">
        <v>18490</v>
      </c>
    </row>
    <row r="22" spans="1:14" ht="11.45" customHeight="1">
      <c r="A22" s="1653"/>
      <c r="B22" s="1647"/>
      <c r="C22" s="971">
        <f>小選挙区!H1376*(-1)</f>
        <v>0</v>
      </c>
      <c r="D22" s="1668"/>
      <c r="E22" s="973">
        <f>比例予想!Y22</f>
        <v>0</v>
      </c>
      <c r="F22" s="1694"/>
      <c r="G22" s="968">
        <f t="shared" si="1"/>
        <v>0</v>
      </c>
      <c r="H22" s="1696"/>
      <c r="I22" s="1695"/>
      <c r="K22" s="1687"/>
      <c r="L22" s="1712"/>
      <c r="M22" s="1705"/>
      <c r="N22" s="1717"/>
    </row>
    <row r="23" spans="1:14" ht="11.45" customHeight="1">
      <c r="A23" s="1654" t="s">
        <v>18270</v>
      </c>
      <c r="B23" s="1649">
        <f>小選挙区!G1380</f>
        <v>0</v>
      </c>
      <c r="C23" s="905">
        <f>小選挙区!H1381</f>
        <v>0</v>
      </c>
      <c r="D23" s="1669">
        <f>比例予想!X23</f>
        <v>0</v>
      </c>
      <c r="E23" s="978">
        <f>比例予想!Y23</f>
        <v>0</v>
      </c>
      <c r="F23" s="1708">
        <f t="shared" ref="F23" si="46">B23+D23</f>
        <v>0</v>
      </c>
      <c r="G23" s="969">
        <f>C23+E23</f>
        <v>0</v>
      </c>
      <c r="H23" s="1696">
        <v>0</v>
      </c>
      <c r="I23" s="1695">
        <f t="shared" ref="I23" si="47">F23-H23</f>
        <v>0</v>
      </c>
      <c r="K23" s="1687">
        <f t="shared" ref="K23" si="48">F23+G24</f>
        <v>0</v>
      </c>
      <c r="L23" s="1713">
        <f t="shared" ref="L23" si="49">F23</f>
        <v>0</v>
      </c>
      <c r="M23" s="1705">
        <f t="shared" ref="M23" si="50">F23+G23</f>
        <v>0</v>
      </c>
      <c r="N23" s="1717" t="s">
        <v>18491</v>
      </c>
    </row>
    <row r="24" spans="1:14" ht="11.45" customHeight="1">
      <c r="A24" s="1654"/>
      <c r="B24" s="1647"/>
      <c r="C24" s="971">
        <f>小選挙区!H1383*(-1)</f>
        <v>0</v>
      </c>
      <c r="D24" s="1668"/>
      <c r="E24" s="966">
        <f>比例予想!Y24</f>
        <v>0</v>
      </c>
      <c r="F24" s="1708"/>
      <c r="G24" s="975">
        <f t="shared" si="1"/>
        <v>0</v>
      </c>
      <c r="H24" s="1696"/>
      <c r="I24" s="1695"/>
      <c r="K24" s="1687"/>
      <c r="L24" s="1713"/>
      <c r="M24" s="1705"/>
      <c r="N24" s="1717"/>
    </row>
    <row r="25" spans="1:14" ht="11.45" customHeight="1">
      <c r="A25" s="1655" t="s">
        <v>18271</v>
      </c>
      <c r="B25" s="1649">
        <f>小選挙区!G1387</f>
        <v>0</v>
      </c>
      <c r="C25" s="905">
        <f>小選挙区!H1388</f>
        <v>0</v>
      </c>
      <c r="D25" s="1669">
        <f>比例予想!X25</f>
        <v>0</v>
      </c>
      <c r="E25" s="978">
        <f>比例予想!Y25</f>
        <v>0</v>
      </c>
      <c r="F25" s="1709">
        <f t="shared" ref="F25" si="51">B25+D25</f>
        <v>0</v>
      </c>
      <c r="G25" s="969">
        <f t="shared" si="1"/>
        <v>0</v>
      </c>
      <c r="H25" s="1696">
        <v>1</v>
      </c>
      <c r="I25" s="1695">
        <f t="shared" ref="I25" si="52">F25-H25</f>
        <v>-1</v>
      </c>
      <c r="K25" s="1687">
        <f t="shared" ref="K25" si="53">F25+G26</f>
        <v>0</v>
      </c>
      <c r="L25" s="1710">
        <f t="shared" ref="L25" si="54">F25</f>
        <v>0</v>
      </c>
      <c r="M25" s="1705">
        <f t="shared" ref="M25" si="55">F25+G25</f>
        <v>0</v>
      </c>
      <c r="N25" s="1717" t="s">
        <v>18491</v>
      </c>
    </row>
    <row r="26" spans="1:14" ht="11.45" customHeight="1">
      <c r="A26" s="1655"/>
      <c r="B26" s="1647"/>
      <c r="C26" s="971">
        <f>小選挙区!H1390*(-1)</f>
        <v>0</v>
      </c>
      <c r="D26" s="1668"/>
      <c r="E26" s="966">
        <f>比例予想!Y26</f>
        <v>0</v>
      </c>
      <c r="F26" s="1709"/>
      <c r="G26" s="975">
        <f t="shared" si="1"/>
        <v>0</v>
      </c>
      <c r="H26" s="1696"/>
      <c r="I26" s="1695"/>
      <c r="K26" s="1687"/>
      <c r="L26" s="1710"/>
      <c r="M26" s="1705"/>
      <c r="N26" s="1717"/>
    </row>
    <row r="27" spans="1:14" ht="11.45" customHeight="1">
      <c r="A27" s="1641" t="s">
        <v>18291</v>
      </c>
      <c r="B27" s="1649">
        <f>小選挙区!G1394</f>
        <v>0</v>
      </c>
      <c r="C27" s="905">
        <f>小選挙区!H1395</f>
        <v>0</v>
      </c>
      <c r="D27" s="1669">
        <f>比例予想!X27</f>
        <v>0</v>
      </c>
      <c r="E27" s="978">
        <f>比例予想!Y27</f>
        <v>0</v>
      </c>
      <c r="F27" s="1677">
        <f t="shared" ref="F27" si="56">B27+D27</f>
        <v>0</v>
      </c>
      <c r="G27" s="969">
        <f t="shared" si="1"/>
        <v>0</v>
      </c>
      <c r="H27" s="1696">
        <v>0</v>
      </c>
      <c r="I27" s="1695">
        <f t="shared" ref="I27" si="57">F27-H27</f>
        <v>0</v>
      </c>
      <c r="K27" s="1687">
        <f t="shared" ref="K27" si="58">F27+G28</f>
        <v>0</v>
      </c>
      <c r="L27" s="1711">
        <f t="shared" ref="L27" si="59">F27</f>
        <v>0</v>
      </c>
      <c r="M27" s="1705">
        <f t="shared" ref="M27" si="60">F27+G27</f>
        <v>0</v>
      </c>
      <c r="N27" s="1717" t="s">
        <v>18491</v>
      </c>
    </row>
    <row r="28" spans="1:14" ht="11.45" customHeight="1">
      <c r="A28" s="1642"/>
      <c r="B28" s="1647"/>
      <c r="C28" s="971">
        <f>小選挙区!H1397*(-1)</f>
        <v>0</v>
      </c>
      <c r="D28" s="1668"/>
      <c r="E28" s="966">
        <f>比例予想!Y28</f>
        <v>0</v>
      </c>
      <c r="F28" s="1677"/>
      <c r="G28" s="975">
        <f t="shared" si="1"/>
        <v>0</v>
      </c>
      <c r="H28" s="1696"/>
      <c r="I28" s="1695"/>
      <c r="K28" s="1687"/>
      <c r="L28" s="1711"/>
      <c r="M28" s="1705"/>
      <c r="N28" s="1717"/>
    </row>
    <row r="29" spans="1:14" ht="11.45" customHeight="1">
      <c r="A29" s="1643" t="s">
        <v>18472</v>
      </c>
      <c r="B29" s="1649">
        <f>小選挙区!G1401</f>
        <v>3</v>
      </c>
      <c r="C29" s="905">
        <f>小選挙区!H1402</f>
        <v>1</v>
      </c>
      <c r="D29" s="1669">
        <v>0</v>
      </c>
      <c r="E29" s="978">
        <v>0</v>
      </c>
      <c r="F29" s="1678">
        <f t="shared" ref="F29" si="61">B29+D29</f>
        <v>3</v>
      </c>
      <c r="G29" s="969">
        <f t="shared" si="1"/>
        <v>1</v>
      </c>
      <c r="H29" s="1696">
        <v>9</v>
      </c>
      <c r="I29" s="1695">
        <f t="shared" ref="I29" si="62">F29-H29</f>
        <v>-6</v>
      </c>
      <c r="K29" s="1687">
        <f t="shared" ref="K29" si="63">F29+G30</f>
        <v>2</v>
      </c>
      <c r="L29" s="1698">
        <f t="shared" ref="L29" si="64">F29</f>
        <v>3</v>
      </c>
      <c r="M29" s="1705">
        <f t="shared" ref="M29" si="65">F29+G29</f>
        <v>4</v>
      </c>
      <c r="N29" s="1717" t="s">
        <v>18492</v>
      </c>
    </row>
    <row r="30" spans="1:14" ht="11.45" customHeight="1" thickBot="1">
      <c r="A30" s="1644"/>
      <c r="B30" s="1663"/>
      <c r="C30" s="980">
        <f>小選挙区!H1404*(-1)</f>
        <v>-1</v>
      </c>
      <c r="D30" s="1668"/>
      <c r="E30" s="972">
        <v>0</v>
      </c>
      <c r="F30" s="1679"/>
      <c r="G30" s="977">
        <f t="shared" si="1"/>
        <v>-1</v>
      </c>
      <c r="H30" s="1721"/>
      <c r="I30" s="1722"/>
      <c r="K30" s="1697"/>
      <c r="L30" s="1699"/>
      <c r="M30" s="1726"/>
      <c r="N30" s="1720"/>
    </row>
    <row r="31" spans="1:14" ht="11.45" customHeight="1">
      <c r="A31" s="1645" t="s">
        <v>18259</v>
      </c>
      <c r="B31" s="1664">
        <f>SUM(B3:B30)</f>
        <v>300</v>
      </c>
      <c r="C31" s="1665"/>
      <c r="D31" s="1665">
        <f>SUM(D3:D30)</f>
        <v>180</v>
      </c>
      <c r="E31" s="1670"/>
      <c r="F31" s="1680">
        <f>SUM(F3:F30)</f>
        <v>480</v>
      </c>
      <c r="G31" s="1681"/>
      <c r="H31" s="1700">
        <v>479</v>
      </c>
      <c r="I31" s="1702">
        <f t="shared" ref="I31" si="66">F31-H31</f>
        <v>1</v>
      </c>
    </row>
    <row r="32" spans="1:14" ht="11.45" customHeight="1" thickBot="1">
      <c r="A32" s="1646"/>
      <c r="B32" s="1666"/>
      <c r="C32" s="1667"/>
      <c r="D32" s="1667"/>
      <c r="E32" s="1671"/>
      <c r="F32" s="1682"/>
      <c r="G32" s="1683"/>
      <c r="H32" s="1701"/>
      <c r="I32" s="1703"/>
    </row>
  </sheetData>
  <mergeCells count="149">
    <mergeCell ref="N27:N28"/>
    <mergeCell ref="N29:N30"/>
    <mergeCell ref="N15:N16"/>
    <mergeCell ref="N17:N18"/>
    <mergeCell ref="N19:N20"/>
    <mergeCell ref="N21:N22"/>
    <mergeCell ref="N23:N24"/>
    <mergeCell ref="N25:N26"/>
    <mergeCell ref="H29:H30"/>
    <mergeCell ref="I29:I30"/>
    <mergeCell ref="M23:M24"/>
    <mergeCell ref="L15:L16"/>
    <mergeCell ref="M15:M16"/>
    <mergeCell ref="K17:K18"/>
    <mergeCell ref="L17:L18"/>
    <mergeCell ref="M17:M18"/>
    <mergeCell ref="K19:K20"/>
    <mergeCell ref="L19:L20"/>
    <mergeCell ref="M19:M20"/>
    <mergeCell ref="M29:M30"/>
    <mergeCell ref="N3:N4"/>
    <mergeCell ref="N5:N6"/>
    <mergeCell ref="N7:N8"/>
    <mergeCell ref="N9:N10"/>
    <mergeCell ref="N11:N12"/>
    <mergeCell ref="N13:N14"/>
    <mergeCell ref="H23:H24"/>
    <mergeCell ref="I23:I24"/>
    <mergeCell ref="H25:H26"/>
    <mergeCell ref="I25:I26"/>
    <mergeCell ref="H17:H18"/>
    <mergeCell ref="I17:I18"/>
    <mergeCell ref="H19:H20"/>
    <mergeCell ref="I19:I20"/>
    <mergeCell ref="H21:H22"/>
    <mergeCell ref="I21:I22"/>
    <mergeCell ref="I9:I10"/>
    <mergeCell ref="H11:H12"/>
    <mergeCell ref="I11:I12"/>
    <mergeCell ref="H13:H14"/>
    <mergeCell ref="H3:H4"/>
    <mergeCell ref="I3:I4"/>
    <mergeCell ref="H5:H6"/>
    <mergeCell ref="I5:I6"/>
    <mergeCell ref="M27:M28"/>
    <mergeCell ref="K21:K22"/>
    <mergeCell ref="L21:L22"/>
    <mergeCell ref="M21:M22"/>
    <mergeCell ref="K23:K24"/>
    <mergeCell ref="L23:L24"/>
    <mergeCell ref="H27:H28"/>
    <mergeCell ref="I27:I28"/>
    <mergeCell ref="M9:M10"/>
    <mergeCell ref="K11:K12"/>
    <mergeCell ref="L11:L12"/>
    <mergeCell ref="M11:M12"/>
    <mergeCell ref="K13:K14"/>
    <mergeCell ref="L13:L14"/>
    <mergeCell ref="M13:M14"/>
    <mergeCell ref="M3:M4"/>
    <mergeCell ref="K5:K6"/>
    <mergeCell ref="L5:L6"/>
    <mergeCell ref="M5:M6"/>
    <mergeCell ref="K7:K8"/>
    <mergeCell ref="L7:L8"/>
    <mergeCell ref="M7:M8"/>
    <mergeCell ref="F23:F24"/>
    <mergeCell ref="F25:F26"/>
    <mergeCell ref="H7:H8"/>
    <mergeCell ref="I7:I8"/>
    <mergeCell ref="H9:H10"/>
    <mergeCell ref="K25:K26"/>
    <mergeCell ref="L25:L26"/>
    <mergeCell ref="M25:M26"/>
    <mergeCell ref="F27:F28"/>
    <mergeCell ref="F29:F30"/>
    <mergeCell ref="F31:G32"/>
    <mergeCell ref="L3:L4"/>
    <mergeCell ref="K3:K4"/>
    <mergeCell ref="K9:K10"/>
    <mergeCell ref="L9:L10"/>
    <mergeCell ref="K15:K16"/>
    <mergeCell ref="F11:F12"/>
    <mergeCell ref="F13:F14"/>
    <mergeCell ref="F15:F16"/>
    <mergeCell ref="F17:F18"/>
    <mergeCell ref="F19:F20"/>
    <mergeCell ref="F21:F22"/>
    <mergeCell ref="I13:I14"/>
    <mergeCell ref="H15:H16"/>
    <mergeCell ref="I15:I16"/>
    <mergeCell ref="K29:K30"/>
    <mergeCell ref="L29:L30"/>
    <mergeCell ref="H31:H32"/>
    <mergeCell ref="I31:I32"/>
    <mergeCell ref="K27:K28"/>
    <mergeCell ref="L27:L28"/>
    <mergeCell ref="F2:G2"/>
    <mergeCell ref="F3:F4"/>
    <mergeCell ref="F5:F6"/>
    <mergeCell ref="F7:F8"/>
    <mergeCell ref="F9:F10"/>
    <mergeCell ref="D13:D14"/>
    <mergeCell ref="D15:D16"/>
    <mergeCell ref="D17:D18"/>
    <mergeCell ref="D19:D20"/>
    <mergeCell ref="B31:C32"/>
    <mergeCell ref="D2:E2"/>
    <mergeCell ref="D3:D4"/>
    <mergeCell ref="D5:D6"/>
    <mergeCell ref="D7:D8"/>
    <mergeCell ref="D9:D10"/>
    <mergeCell ref="D11:D12"/>
    <mergeCell ref="B15:B16"/>
    <mergeCell ref="B17:B18"/>
    <mergeCell ref="B19:B20"/>
    <mergeCell ref="B21:B22"/>
    <mergeCell ref="B23:B24"/>
    <mergeCell ref="B25:B26"/>
    <mergeCell ref="D25:D26"/>
    <mergeCell ref="D27:D28"/>
    <mergeCell ref="D29:D30"/>
    <mergeCell ref="D31:E32"/>
    <mergeCell ref="D21:D22"/>
    <mergeCell ref="D23:D24"/>
    <mergeCell ref="A27:A28"/>
    <mergeCell ref="A29:A30"/>
    <mergeCell ref="A31:A32"/>
    <mergeCell ref="B2:C2"/>
    <mergeCell ref="B3:B4"/>
    <mergeCell ref="B5:B6"/>
    <mergeCell ref="B7:B8"/>
    <mergeCell ref="B9:B10"/>
    <mergeCell ref="B11:B12"/>
    <mergeCell ref="B13:B14"/>
    <mergeCell ref="A15:A16"/>
    <mergeCell ref="A17:A18"/>
    <mergeCell ref="A19:A20"/>
    <mergeCell ref="A21:A22"/>
    <mergeCell ref="A23:A24"/>
    <mergeCell ref="A25:A26"/>
    <mergeCell ref="A3:A4"/>
    <mergeCell ref="A5:A6"/>
    <mergeCell ref="A7:A8"/>
    <mergeCell ref="A9:A10"/>
    <mergeCell ref="A11:A12"/>
    <mergeCell ref="A13:A14"/>
    <mergeCell ref="B27:B28"/>
    <mergeCell ref="B29:B30"/>
  </mergeCells>
  <phoneticPr fontId="3"/>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S1315"/>
  <sheetViews>
    <sheetView workbookViewId="0">
      <pane ySplit="1" topLeftCell="A2" activePane="bottomLeft" state="frozen"/>
      <selection pane="bottomLeft"/>
    </sheetView>
  </sheetViews>
  <sheetFormatPr defaultRowHeight="13.5"/>
  <cols>
    <col min="1" max="1" width="3.625" style="298" customWidth="1"/>
    <col min="2" max="2" width="11.625" style="298" customWidth="1"/>
    <col min="3" max="3" width="5.625" style="298" customWidth="1"/>
    <col min="4" max="4" width="9" style="298"/>
    <col min="5" max="5" width="6.625" style="298" customWidth="1"/>
    <col min="6" max="6" width="5.625" style="298" customWidth="1"/>
    <col min="7" max="7" width="10.625" style="298" customWidth="1"/>
    <col min="8" max="10" width="2.625" style="298" customWidth="1"/>
    <col min="11" max="11" width="9.625" style="298" customWidth="1"/>
    <col min="12" max="13" width="1.625" style="298" customWidth="1"/>
    <col min="14" max="14" width="7.625" style="298" customWidth="1"/>
    <col min="15" max="15" width="5.125" style="298" customWidth="1"/>
    <col min="16" max="18" width="2.625" style="298" customWidth="1"/>
    <col min="19" max="19" width="5.625" style="298" customWidth="1"/>
    <col min="20" max="16384" width="9" style="298"/>
  </cols>
  <sheetData>
    <row r="1" spans="1:19" ht="12" customHeight="1" thickBot="1">
      <c r="A1" s="658" t="s">
        <v>18513</v>
      </c>
      <c r="B1" s="659" t="s">
        <v>132</v>
      </c>
      <c r="C1" s="659" t="s">
        <v>18500</v>
      </c>
      <c r="D1" s="659" t="s">
        <v>18497</v>
      </c>
      <c r="E1" s="659" t="s">
        <v>18498</v>
      </c>
      <c r="F1" s="659" t="s">
        <v>18499</v>
      </c>
      <c r="G1" s="659" t="s">
        <v>133</v>
      </c>
      <c r="H1" s="659" t="s">
        <v>134</v>
      </c>
      <c r="I1" s="660" t="s">
        <v>135</v>
      </c>
      <c r="J1" s="659" t="s">
        <v>136</v>
      </c>
      <c r="K1" s="659" t="s">
        <v>15250</v>
      </c>
      <c r="L1" s="659" t="s">
        <v>373</v>
      </c>
      <c r="M1" s="659"/>
      <c r="N1" s="659" t="s">
        <v>137</v>
      </c>
      <c r="O1" s="659" t="s">
        <v>138</v>
      </c>
      <c r="P1" s="659" t="s">
        <v>25</v>
      </c>
      <c r="Q1" s="661" t="s">
        <v>139</v>
      </c>
      <c r="R1" s="662" t="s">
        <v>140</v>
      </c>
      <c r="S1" s="1037" t="s">
        <v>5090</v>
      </c>
    </row>
    <row r="2" spans="1:19" ht="12" customHeight="1">
      <c r="A2" s="1038" t="str">
        <f>MIDB(B2,1,3)</f>
        <v>001</v>
      </c>
      <c r="B2" s="688" t="s">
        <v>1</v>
      </c>
      <c r="C2" s="688"/>
      <c r="D2" s="1007"/>
      <c r="E2" s="1001" t="str">
        <f>IF(D2="","",D2/SUM($D$2:$D$6))</f>
        <v/>
      </c>
      <c r="F2" s="1004" t="e">
        <f>IF(J2="","$",IF(C2="当選","-",D2*100/MAX($D$2:$D$6)))</f>
        <v>#DIV/0!</v>
      </c>
      <c r="G2" s="689" t="s">
        <v>852</v>
      </c>
      <c r="H2" s="689">
        <v>71</v>
      </c>
      <c r="I2" s="690" t="s">
        <v>5</v>
      </c>
      <c r="J2" s="689" t="s">
        <v>15273</v>
      </c>
      <c r="K2" s="691" t="s">
        <v>1317</v>
      </c>
      <c r="L2" s="689"/>
      <c r="M2" s="690"/>
      <c r="N2" s="692" t="s">
        <v>16126</v>
      </c>
      <c r="O2" s="689" t="s">
        <v>45</v>
      </c>
      <c r="P2" s="689" t="s">
        <v>25</v>
      </c>
      <c r="Q2" s="693">
        <v>10</v>
      </c>
      <c r="R2" s="694">
        <v>13</v>
      </c>
      <c r="S2" s="1039" t="s">
        <v>736</v>
      </c>
    </row>
    <row r="3" spans="1:19" ht="12" customHeight="1">
      <c r="A3" s="1040" t="str">
        <f>MIDB(B3,1,3)</f>
        <v>001</v>
      </c>
      <c r="B3" s="4" t="s">
        <v>3</v>
      </c>
      <c r="C3" s="4"/>
      <c r="D3" s="1008"/>
      <c r="E3" s="1002" t="str">
        <f>IF(D3="","",D3/SUM($D$2:$D$6))</f>
        <v/>
      </c>
      <c r="F3" s="1005" t="e">
        <f>IF(J3="","$",IF(C3="当選","-",D3*100/MAX($D$2:$D$6)))</f>
        <v>#DIV/0!</v>
      </c>
      <c r="G3" s="6" t="s">
        <v>929</v>
      </c>
      <c r="H3" s="5">
        <v>52</v>
      </c>
      <c r="I3" s="6" t="s">
        <v>5</v>
      </c>
      <c r="J3" s="6" t="s">
        <v>15273</v>
      </c>
      <c r="K3" s="12"/>
      <c r="L3" s="6"/>
      <c r="M3" s="6"/>
      <c r="N3" s="8" t="s">
        <v>16120</v>
      </c>
      <c r="O3" s="6" t="s">
        <v>30</v>
      </c>
      <c r="P3" s="6" t="s">
        <v>6</v>
      </c>
      <c r="Q3" s="13"/>
      <c r="R3" s="14"/>
      <c r="S3" s="265" t="s">
        <v>5457</v>
      </c>
    </row>
    <row r="4" spans="1:19" ht="12" customHeight="1">
      <c r="A4" s="1040" t="str">
        <f>MIDB(B4,1,3)</f>
        <v>001</v>
      </c>
      <c r="B4" s="4" t="s">
        <v>54</v>
      </c>
      <c r="C4" s="4"/>
      <c r="D4" s="1008"/>
      <c r="E4" s="1002" t="str">
        <f>IF(D4="","",D4/SUM($D$2:$D$6))</f>
        <v/>
      </c>
      <c r="F4" s="1005" t="e">
        <f>IF(J4="","$",IF(C4="当選","-",D4*100/MAX($D$2:$D$6)))</f>
        <v>#DIV/0!</v>
      </c>
      <c r="G4" s="1" t="s">
        <v>4989</v>
      </c>
      <c r="H4" s="5">
        <v>35</v>
      </c>
      <c r="I4" s="2" t="s">
        <v>5</v>
      </c>
      <c r="J4" s="1" t="s">
        <v>15273</v>
      </c>
      <c r="K4" s="3"/>
      <c r="L4" s="1"/>
      <c r="M4" s="1"/>
      <c r="N4" s="4" t="s">
        <v>16116</v>
      </c>
      <c r="O4" s="1" t="s">
        <v>18494</v>
      </c>
      <c r="P4" s="1" t="s">
        <v>6</v>
      </c>
      <c r="Q4" s="16"/>
      <c r="R4" s="17"/>
      <c r="S4" s="774" t="s">
        <v>6154</v>
      </c>
    </row>
    <row r="5" spans="1:19" ht="12" customHeight="1">
      <c r="A5" s="1040" t="str">
        <f>MIDB(B5,1,3)</f>
        <v>001</v>
      </c>
      <c r="B5" s="4" t="s">
        <v>4988</v>
      </c>
      <c r="C5" s="4"/>
      <c r="D5" s="1008"/>
      <c r="E5" s="1002" t="str">
        <f>IF(D5="","",D5/SUM($D$2:$D$6))</f>
        <v/>
      </c>
      <c r="F5" s="1005" t="e">
        <f>IF(J5="","$",IF(C5="当選","-",D5*100/MAX($D$2:$D$6)))</f>
        <v>#DIV/0!</v>
      </c>
      <c r="G5" s="1" t="s">
        <v>4</v>
      </c>
      <c r="H5" s="5">
        <v>54</v>
      </c>
      <c r="I5" s="2" t="s">
        <v>5</v>
      </c>
      <c r="J5" s="1" t="s">
        <v>15273</v>
      </c>
      <c r="K5" s="3"/>
      <c r="L5" s="1"/>
      <c r="M5" s="1"/>
      <c r="N5" s="4" t="s">
        <v>16117</v>
      </c>
      <c r="O5" s="1"/>
      <c r="P5" s="1" t="s">
        <v>6</v>
      </c>
      <c r="Q5" s="16"/>
      <c r="R5" s="17"/>
      <c r="S5" s="774"/>
    </row>
    <row r="6" spans="1:19" ht="12" customHeight="1" thickBot="1">
      <c r="A6" s="916" t="str">
        <f>MIDB(B6,1,3)</f>
        <v>001</v>
      </c>
      <c r="B6" s="700" t="s">
        <v>5556</v>
      </c>
      <c r="C6" s="700"/>
      <c r="D6" s="1009"/>
      <c r="E6" s="1003" t="str">
        <f>IF(D6="","",D6/SUM($D$2:$D$6))</f>
        <v/>
      </c>
      <c r="F6" s="1041" t="e">
        <f>IF(J6="","$",IF(C6="当選","-",D6*100/MAX($D$2:$D$6)))</f>
        <v>#DIV/0!</v>
      </c>
      <c r="G6" s="906" t="s">
        <v>5557</v>
      </c>
      <c r="H6" s="356">
        <v>38</v>
      </c>
      <c r="I6" s="702" t="s">
        <v>5</v>
      </c>
      <c r="J6" s="906" t="s">
        <v>15273</v>
      </c>
      <c r="K6" s="703"/>
      <c r="L6" s="906"/>
      <c r="M6" s="906"/>
      <c r="N6" s="700" t="s">
        <v>16124</v>
      </c>
      <c r="O6" s="906"/>
      <c r="P6" s="906" t="s">
        <v>6</v>
      </c>
      <c r="Q6" s="705"/>
      <c r="R6" s="903"/>
      <c r="S6" s="793" t="s">
        <v>15585</v>
      </c>
    </row>
    <row r="7" spans="1:19" ht="12" customHeight="1">
      <c r="A7" s="1038" t="str">
        <f t="shared" ref="A7:A66" si="0">MIDB(B7,1,3)</f>
        <v>002</v>
      </c>
      <c r="B7" s="688" t="s">
        <v>8</v>
      </c>
      <c r="C7" s="688"/>
      <c r="D7" s="1007"/>
      <c r="E7" s="1001" t="str">
        <f>IF(D7="","",D7/SUM($D$7:$D$11))</f>
        <v/>
      </c>
      <c r="F7" s="1004" t="e">
        <f>IF(J7="","$",IF(C7="当選","-",D7*100/MAX($D$7:$D$11)))</f>
        <v>#DIV/0!</v>
      </c>
      <c r="G7" s="689" t="s">
        <v>3559</v>
      </c>
      <c r="H7" s="689">
        <v>70</v>
      </c>
      <c r="I7" s="690" t="s">
        <v>5</v>
      </c>
      <c r="J7" s="689" t="s">
        <v>15273</v>
      </c>
      <c r="K7" s="691" t="s">
        <v>1318</v>
      </c>
      <c r="L7" s="689"/>
      <c r="M7" s="736"/>
      <c r="N7" s="692" t="s">
        <v>16127</v>
      </c>
      <c r="O7" s="689" t="s">
        <v>604</v>
      </c>
      <c r="P7" s="689" t="s">
        <v>25</v>
      </c>
      <c r="Q7" s="693">
        <v>4</v>
      </c>
      <c r="R7" s="694">
        <v>4</v>
      </c>
      <c r="S7" s="1039" t="s">
        <v>736</v>
      </c>
    </row>
    <row r="8" spans="1:19" ht="12" customHeight="1">
      <c r="A8" s="1040" t="str">
        <f t="shared" si="0"/>
        <v>002</v>
      </c>
      <c r="B8" s="4" t="s">
        <v>9</v>
      </c>
      <c r="C8" s="4"/>
      <c r="D8" s="1008"/>
      <c r="E8" s="1002" t="str">
        <f>IF(D8="","",D8/SUM($D$7:$D$11))</f>
        <v/>
      </c>
      <c r="F8" s="1005" t="e">
        <f>IF(J8="","$",IF(C8="当選","-",D8*100/MAX($D$7:$D$11)))</f>
        <v>#DIV/0!</v>
      </c>
      <c r="G8" s="1" t="s">
        <v>12</v>
      </c>
      <c r="H8" s="5">
        <v>62</v>
      </c>
      <c r="I8" s="2" t="s">
        <v>5</v>
      </c>
      <c r="J8" s="1" t="s">
        <v>15273</v>
      </c>
      <c r="K8" s="3"/>
      <c r="L8" s="1"/>
      <c r="M8" s="1"/>
      <c r="N8" s="4" t="s">
        <v>16120</v>
      </c>
      <c r="O8" s="1" t="s">
        <v>30</v>
      </c>
      <c r="P8" s="1" t="s">
        <v>14</v>
      </c>
      <c r="Q8" s="16">
        <v>3</v>
      </c>
      <c r="R8" s="17">
        <v>3</v>
      </c>
      <c r="S8" s="774" t="s">
        <v>5457</v>
      </c>
    </row>
    <row r="9" spans="1:19" ht="12" customHeight="1">
      <c r="A9" s="1040" t="str">
        <f t="shared" si="0"/>
        <v>002</v>
      </c>
      <c r="B9" s="4" t="s">
        <v>10</v>
      </c>
      <c r="C9" s="4"/>
      <c r="D9" s="1008"/>
      <c r="E9" s="1002" t="str">
        <f>IF(D9="","",D9/SUM($D$7:$D$11))</f>
        <v/>
      </c>
      <c r="F9" s="1005" t="e">
        <f>IF(J9="","$",IF(C9="当選","-",D9*100/MAX($D$7:$D$11)))</f>
        <v>#DIV/0!</v>
      </c>
      <c r="G9" s="1" t="s">
        <v>4991</v>
      </c>
      <c r="H9" s="5">
        <v>47</v>
      </c>
      <c r="I9" s="2" t="s">
        <v>19</v>
      </c>
      <c r="J9" s="1" t="s">
        <v>15273</v>
      </c>
      <c r="K9" s="3"/>
      <c r="L9" s="1"/>
      <c r="M9" s="1"/>
      <c r="N9" s="4" t="s">
        <v>16116</v>
      </c>
      <c r="O9" s="1" t="s">
        <v>18494</v>
      </c>
      <c r="P9" s="1" t="s">
        <v>6</v>
      </c>
      <c r="Q9" s="16"/>
      <c r="R9" s="17"/>
      <c r="S9" s="774"/>
    </row>
    <row r="10" spans="1:19" ht="12" customHeight="1">
      <c r="A10" s="1040" t="str">
        <f t="shared" si="0"/>
        <v>002</v>
      </c>
      <c r="B10" s="4" t="s">
        <v>11</v>
      </c>
      <c r="C10" s="4"/>
      <c r="D10" s="1008"/>
      <c r="E10" s="1002" t="str">
        <f>IF(D10="","",D10/SUM($D$7:$D$11))</f>
        <v/>
      </c>
      <c r="F10" s="1005" t="e">
        <f>IF(J10="","$",IF(C10="当選","-",D10*100/MAX($D$7:$D$11)))</f>
        <v>#DIV/0!</v>
      </c>
      <c r="G10" s="1" t="s">
        <v>4588</v>
      </c>
      <c r="H10" s="5">
        <v>42</v>
      </c>
      <c r="I10" s="2" t="s">
        <v>5</v>
      </c>
      <c r="J10" s="1" t="s">
        <v>15273</v>
      </c>
      <c r="K10" s="3"/>
      <c r="L10" s="1"/>
      <c r="M10" s="1"/>
      <c r="N10" s="4" t="s">
        <v>18495</v>
      </c>
      <c r="O10" s="1"/>
      <c r="P10" s="1" t="s">
        <v>6</v>
      </c>
      <c r="Q10" s="16"/>
      <c r="R10" s="17"/>
      <c r="S10" s="774"/>
    </row>
    <row r="11" spans="1:19" ht="12" customHeight="1" thickBot="1">
      <c r="A11" s="916" t="str">
        <f t="shared" si="0"/>
        <v>002</v>
      </c>
      <c r="B11" s="700" t="s">
        <v>4990</v>
      </c>
      <c r="C11" s="700"/>
      <c r="D11" s="1009"/>
      <c r="E11" s="1003" t="str">
        <f>IF(D11="","",D11/SUM($D$7:$D$11))</f>
        <v/>
      </c>
      <c r="F11" s="1041" t="str">
        <f>IF(J11="","$",IF(C11="当選","-",D11*100/MAX($D$7:$D$11)))</f>
        <v>$</v>
      </c>
      <c r="G11" s="906" t="s">
        <v>18</v>
      </c>
      <c r="H11" s="356">
        <v>55</v>
      </c>
      <c r="I11" s="702" t="s">
        <v>19</v>
      </c>
      <c r="J11" s="906"/>
      <c r="K11" s="703"/>
      <c r="L11" s="906"/>
      <c r="M11" s="906"/>
      <c r="N11" s="700" t="s">
        <v>16117</v>
      </c>
      <c r="O11" s="906"/>
      <c r="P11" s="906" t="s">
        <v>6</v>
      </c>
      <c r="Q11" s="705"/>
      <c r="R11" s="903"/>
      <c r="S11" s="793"/>
    </row>
    <row r="12" spans="1:19" ht="12" customHeight="1">
      <c r="A12" s="1038" t="str">
        <f t="shared" si="0"/>
        <v>003</v>
      </c>
      <c r="B12" s="688" t="s">
        <v>26</v>
      </c>
      <c r="C12" s="688"/>
      <c r="D12" s="1007"/>
      <c r="E12" s="1001" t="str">
        <f>IF(D12="","",D12/SUM($D$12:$D$16))</f>
        <v/>
      </c>
      <c r="F12" s="1004" t="e">
        <f>IF(J12="","$",IF(C12="当選","-",D12*100/MAX($D$12:$D$16)))</f>
        <v>#DIV/0!</v>
      </c>
      <c r="G12" s="689" t="s">
        <v>870</v>
      </c>
      <c r="H12" s="689">
        <v>66</v>
      </c>
      <c r="I12" s="690" t="s">
        <v>5</v>
      </c>
      <c r="J12" s="689" t="s">
        <v>15273</v>
      </c>
      <c r="K12" s="691" t="s">
        <v>1319</v>
      </c>
      <c r="L12" s="689"/>
      <c r="M12" s="736"/>
      <c r="N12" s="692" t="s">
        <v>16127</v>
      </c>
      <c r="O12" s="689" t="s">
        <v>24</v>
      </c>
      <c r="P12" s="689" t="s">
        <v>25</v>
      </c>
      <c r="Q12" s="693">
        <v>5</v>
      </c>
      <c r="R12" s="694">
        <v>5</v>
      </c>
      <c r="S12" s="1039" t="s">
        <v>736</v>
      </c>
    </row>
    <row r="13" spans="1:19" ht="12" customHeight="1">
      <c r="A13" s="1040" t="str">
        <f t="shared" si="0"/>
        <v>003</v>
      </c>
      <c r="B13" s="4" t="s">
        <v>27</v>
      </c>
      <c r="C13" s="4"/>
      <c r="D13" s="1008"/>
      <c r="E13" s="1002" t="str">
        <f t="shared" ref="E13:E16" si="1">IF(D13="","",D13/SUM($D$12:$D$16))</f>
        <v/>
      </c>
      <c r="F13" s="1005" t="e">
        <f t="shared" ref="F13:F16" si="2">IF(J13="","$",IF(C13="当選","-",D13*100/MAX($D$12:$D$16)))</f>
        <v>#DIV/0!</v>
      </c>
      <c r="G13" s="1" t="s">
        <v>29</v>
      </c>
      <c r="H13" s="5">
        <v>52</v>
      </c>
      <c r="I13" s="2" t="s">
        <v>5</v>
      </c>
      <c r="J13" s="1" t="s">
        <v>15273</v>
      </c>
      <c r="K13" s="3"/>
      <c r="L13" s="1"/>
      <c r="M13" s="1"/>
      <c r="N13" s="4" t="s">
        <v>16120</v>
      </c>
      <c r="O13" s="1" t="s">
        <v>30</v>
      </c>
      <c r="P13" s="1" t="s">
        <v>6</v>
      </c>
      <c r="Q13" s="16"/>
      <c r="R13" s="17"/>
      <c r="S13" s="774" t="s">
        <v>5457</v>
      </c>
    </row>
    <row r="14" spans="1:19" ht="12" customHeight="1">
      <c r="A14" s="1040" t="str">
        <f t="shared" si="0"/>
        <v>003</v>
      </c>
      <c r="B14" s="4" t="s">
        <v>28</v>
      </c>
      <c r="C14" s="4"/>
      <c r="D14" s="1008"/>
      <c r="E14" s="1002" t="str">
        <f t="shared" si="1"/>
        <v/>
      </c>
      <c r="F14" s="1005" t="e">
        <f t="shared" si="2"/>
        <v>#DIV/0!</v>
      </c>
      <c r="G14" s="1" t="s">
        <v>6138</v>
      </c>
      <c r="H14" s="5">
        <v>42</v>
      </c>
      <c r="I14" s="2" t="s">
        <v>5</v>
      </c>
      <c r="J14" s="1" t="s">
        <v>15273</v>
      </c>
      <c r="K14" s="3"/>
      <c r="L14" s="1"/>
      <c r="M14" s="1"/>
      <c r="N14" s="4" t="s">
        <v>16116</v>
      </c>
      <c r="O14" s="1" t="s">
        <v>18494</v>
      </c>
      <c r="P14" s="1" t="s">
        <v>6</v>
      </c>
      <c r="Q14" s="16"/>
      <c r="R14" s="17"/>
      <c r="S14" s="774" t="s">
        <v>6154</v>
      </c>
    </row>
    <row r="15" spans="1:19" ht="12" customHeight="1">
      <c r="A15" s="1040" t="str">
        <f t="shared" si="0"/>
        <v>003</v>
      </c>
      <c r="B15" s="4" t="s">
        <v>5562</v>
      </c>
      <c r="C15" s="4"/>
      <c r="D15" s="1008"/>
      <c r="E15" s="1002" t="str">
        <f t="shared" si="1"/>
        <v/>
      </c>
      <c r="F15" s="1005" t="str">
        <f t="shared" si="2"/>
        <v>$</v>
      </c>
      <c r="G15" s="1" t="s">
        <v>16086</v>
      </c>
      <c r="H15" s="5">
        <v>34</v>
      </c>
      <c r="I15" s="2" t="s">
        <v>5</v>
      </c>
      <c r="J15" s="1"/>
      <c r="K15" s="3"/>
      <c r="L15" s="1"/>
      <c r="M15" s="1"/>
      <c r="N15" s="4" t="s">
        <v>16117</v>
      </c>
      <c r="O15" s="1"/>
      <c r="P15" s="1" t="s">
        <v>6</v>
      </c>
      <c r="Q15" s="16"/>
      <c r="R15" s="17"/>
      <c r="S15" s="774"/>
    </row>
    <row r="16" spans="1:19" ht="12" customHeight="1" thickBot="1">
      <c r="A16" s="916" t="str">
        <f t="shared" si="0"/>
        <v>003</v>
      </c>
      <c r="B16" s="700" t="s">
        <v>5620</v>
      </c>
      <c r="C16" s="700"/>
      <c r="D16" s="1009"/>
      <c r="E16" s="1003" t="str">
        <f t="shared" si="1"/>
        <v/>
      </c>
      <c r="F16" s="1041" t="e">
        <f t="shared" si="2"/>
        <v>#DIV/0!</v>
      </c>
      <c r="G16" s="906" t="s">
        <v>5563</v>
      </c>
      <c r="H16" s="356">
        <v>53</v>
      </c>
      <c r="I16" s="702" t="s">
        <v>19</v>
      </c>
      <c r="J16" s="906" t="s">
        <v>15273</v>
      </c>
      <c r="K16" s="703"/>
      <c r="L16" s="906"/>
      <c r="M16" s="906"/>
      <c r="N16" s="700" t="s">
        <v>16124</v>
      </c>
      <c r="O16" s="906"/>
      <c r="P16" s="906" t="s">
        <v>6</v>
      </c>
      <c r="Q16" s="705"/>
      <c r="R16" s="903"/>
      <c r="S16" s="793" t="s">
        <v>15585</v>
      </c>
    </row>
    <row r="17" spans="1:19" ht="12" customHeight="1">
      <c r="A17" s="1038" t="str">
        <f t="shared" si="0"/>
        <v>004</v>
      </c>
      <c r="B17" s="688" t="s">
        <v>35</v>
      </c>
      <c r="C17" s="688"/>
      <c r="D17" s="1007"/>
      <c r="E17" s="1001" t="str">
        <f>IF(D17="","",D17/SUM($D$17:$D$20))</f>
        <v/>
      </c>
      <c r="F17" s="1004" t="e">
        <f>IF(J17="","$",IF(C17="当選","-",D17*100/MAX($D$17:$D$20)))</f>
        <v>#DIV/0!</v>
      </c>
      <c r="G17" s="689" t="s">
        <v>921</v>
      </c>
      <c r="H17" s="689">
        <v>64</v>
      </c>
      <c r="I17" s="690" t="s">
        <v>5</v>
      </c>
      <c r="J17" s="689" t="s">
        <v>15273</v>
      </c>
      <c r="K17" s="691" t="s">
        <v>1320</v>
      </c>
      <c r="L17" s="689"/>
      <c r="M17" s="736"/>
      <c r="N17" s="692" t="s">
        <v>16126</v>
      </c>
      <c r="O17" s="689" t="s">
        <v>45</v>
      </c>
      <c r="P17" s="689" t="s">
        <v>25</v>
      </c>
      <c r="Q17" s="693">
        <v>7</v>
      </c>
      <c r="R17" s="694">
        <v>7</v>
      </c>
      <c r="S17" s="1039" t="s">
        <v>736</v>
      </c>
    </row>
    <row r="18" spans="1:19" ht="12" customHeight="1">
      <c r="A18" s="1040" t="str">
        <f t="shared" si="0"/>
        <v>004</v>
      </c>
      <c r="B18" s="4" t="s">
        <v>36</v>
      </c>
      <c r="C18" s="4"/>
      <c r="D18" s="1008"/>
      <c r="E18" s="1002" t="str">
        <f t="shared" ref="E18:E20" si="3">IF(D18="","",D18/SUM($D$17:$D$20))</f>
        <v/>
      </c>
      <c r="F18" s="1005" t="e">
        <f t="shared" ref="F18:F20" si="4">IF(J18="","$",IF(C18="当選","-",D18*100/MAX($D$17:$D$20)))</f>
        <v>#DIV/0!</v>
      </c>
      <c r="G18" s="5" t="s">
        <v>5268</v>
      </c>
      <c r="H18" s="5">
        <v>51</v>
      </c>
      <c r="I18" s="6" t="s">
        <v>5</v>
      </c>
      <c r="J18" s="5" t="s">
        <v>15273</v>
      </c>
      <c r="K18" s="7"/>
      <c r="L18" s="5"/>
      <c r="M18" s="19"/>
      <c r="N18" s="8" t="s">
        <v>16120</v>
      </c>
      <c r="O18" s="5" t="s">
        <v>30</v>
      </c>
      <c r="P18" s="5" t="s">
        <v>6</v>
      </c>
      <c r="Q18" s="9"/>
      <c r="R18" s="10"/>
      <c r="S18" s="265" t="s">
        <v>5457</v>
      </c>
    </row>
    <row r="19" spans="1:19" ht="12" customHeight="1">
      <c r="A19" s="1040" t="str">
        <f t="shared" si="0"/>
        <v>004</v>
      </c>
      <c r="B19" s="4" t="s">
        <v>55</v>
      </c>
      <c r="C19" s="4"/>
      <c r="D19" s="1008"/>
      <c r="E19" s="1002" t="str">
        <f t="shared" si="3"/>
        <v/>
      </c>
      <c r="F19" s="1005" t="str">
        <f t="shared" si="4"/>
        <v>$</v>
      </c>
      <c r="G19" s="1" t="s">
        <v>37</v>
      </c>
      <c r="H19" s="5">
        <v>61</v>
      </c>
      <c r="I19" s="2" t="s">
        <v>19</v>
      </c>
      <c r="J19" s="1"/>
      <c r="K19" s="3"/>
      <c r="L19" s="1"/>
      <c r="M19" s="1"/>
      <c r="N19" s="4" t="s">
        <v>16117</v>
      </c>
      <c r="O19" s="1"/>
      <c r="P19" s="1" t="s">
        <v>6</v>
      </c>
      <c r="Q19" s="16"/>
      <c r="R19" s="17"/>
      <c r="S19" s="774"/>
    </row>
    <row r="20" spans="1:19" ht="12" customHeight="1" thickBot="1">
      <c r="A20" s="916" t="str">
        <f t="shared" si="0"/>
        <v>004</v>
      </c>
      <c r="B20" s="700" t="s">
        <v>5566</v>
      </c>
      <c r="C20" s="700"/>
      <c r="D20" s="1009"/>
      <c r="E20" s="1003" t="str">
        <f t="shared" si="3"/>
        <v/>
      </c>
      <c r="F20" s="1041" t="e">
        <f t="shared" si="4"/>
        <v>#DIV/0!</v>
      </c>
      <c r="G20" s="906" t="s">
        <v>5567</v>
      </c>
      <c r="H20" s="356">
        <v>53</v>
      </c>
      <c r="I20" s="702" t="s">
        <v>5</v>
      </c>
      <c r="J20" s="906" t="s">
        <v>15273</v>
      </c>
      <c r="K20" s="703"/>
      <c r="L20" s="906"/>
      <c r="M20" s="906"/>
      <c r="N20" s="700" t="s">
        <v>16124</v>
      </c>
      <c r="O20" s="906"/>
      <c r="P20" s="906" t="s">
        <v>6</v>
      </c>
      <c r="Q20" s="705"/>
      <c r="R20" s="903"/>
      <c r="S20" s="793" t="s">
        <v>15585</v>
      </c>
    </row>
    <row r="21" spans="1:19" ht="12" customHeight="1">
      <c r="A21" s="1038" t="str">
        <f t="shared" si="0"/>
        <v>005</v>
      </c>
      <c r="B21" s="688" t="s">
        <v>39</v>
      </c>
      <c r="C21" s="688"/>
      <c r="D21" s="1007"/>
      <c r="E21" s="1001" t="str">
        <f>IF(D21="","",D21/SUM($D$21:$D$25))</f>
        <v/>
      </c>
      <c r="F21" s="1004" t="e">
        <f>IF(J21="","$",IF(C21="当選","-",D21*100/MAX($D$21:$D$25)))</f>
        <v>#DIV/0!</v>
      </c>
      <c r="G21" s="687" t="s">
        <v>43</v>
      </c>
      <c r="H21" s="689">
        <v>40</v>
      </c>
      <c r="I21" s="696" t="s">
        <v>5</v>
      </c>
      <c r="J21" s="689" t="s">
        <v>15273</v>
      </c>
      <c r="K21" s="747"/>
      <c r="L21" s="687"/>
      <c r="M21" s="687"/>
      <c r="N21" s="692" t="s">
        <v>16127</v>
      </c>
      <c r="O21" s="687" t="s">
        <v>44</v>
      </c>
      <c r="P21" s="687" t="s">
        <v>6</v>
      </c>
      <c r="Q21" s="748"/>
      <c r="R21" s="749"/>
      <c r="S21" s="805"/>
    </row>
    <row r="22" spans="1:19" ht="12" customHeight="1">
      <c r="A22" s="1040" t="str">
        <f t="shared" si="0"/>
        <v>005</v>
      </c>
      <c r="B22" s="4" t="s">
        <v>40</v>
      </c>
      <c r="C22" s="4"/>
      <c r="D22" s="1008"/>
      <c r="E22" s="1002" t="str">
        <f>IF(D22="","",D22/SUM($D$21:$D$25))</f>
        <v/>
      </c>
      <c r="F22" s="1005" t="e">
        <f>IF(J22="","$",IF(C22="当選","-",D22*100/MAX($D$21:$D$25)))</f>
        <v>#DIV/0!</v>
      </c>
      <c r="G22" s="5" t="s">
        <v>916</v>
      </c>
      <c r="H22" s="5">
        <v>68</v>
      </c>
      <c r="I22" s="6" t="s">
        <v>5</v>
      </c>
      <c r="J22" s="5" t="s">
        <v>15273</v>
      </c>
      <c r="K22" s="7" t="s">
        <v>1321</v>
      </c>
      <c r="L22" s="5"/>
      <c r="M22" s="19"/>
      <c r="N22" s="4" t="s">
        <v>16120</v>
      </c>
      <c r="O22" s="5" t="s">
        <v>48</v>
      </c>
      <c r="P22" s="5" t="s">
        <v>25</v>
      </c>
      <c r="Q22" s="9">
        <v>10</v>
      </c>
      <c r="R22" s="10">
        <v>9</v>
      </c>
      <c r="S22" s="265" t="s">
        <v>5457</v>
      </c>
    </row>
    <row r="23" spans="1:19" ht="12" customHeight="1">
      <c r="A23" s="1040" t="str">
        <f t="shared" si="0"/>
        <v>005</v>
      </c>
      <c r="B23" s="4" t="s">
        <v>41</v>
      </c>
      <c r="C23" s="4"/>
      <c r="D23" s="1008"/>
      <c r="E23" s="1002" t="str">
        <f>IF(D23="","",D23/SUM($D$21:$D$25))</f>
        <v/>
      </c>
      <c r="F23" s="1005" t="e">
        <f>IF(J23="","$",IF(C23="当選","-",D23*100/MAX($D$21:$D$25)))</f>
        <v>#DIV/0!</v>
      </c>
      <c r="G23" s="1" t="s">
        <v>49</v>
      </c>
      <c r="H23" s="5">
        <v>49</v>
      </c>
      <c r="I23" s="2" t="s">
        <v>5</v>
      </c>
      <c r="J23" s="1" t="s">
        <v>15273</v>
      </c>
      <c r="K23" s="3"/>
      <c r="L23" s="1"/>
      <c r="M23" s="1"/>
      <c r="N23" s="4" t="s">
        <v>18495</v>
      </c>
      <c r="O23" s="1"/>
      <c r="P23" s="1" t="s">
        <v>6</v>
      </c>
      <c r="Q23" s="16"/>
      <c r="R23" s="17"/>
      <c r="S23" s="774" t="s">
        <v>6031</v>
      </c>
    </row>
    <row r="24" spans="1:19" ht="12" customHeight="1">
      <c r="A24" s="1040" t="str">
        <f t="shared" si="0"/>
        <v>005</v>
      </c>
      <c r="B24" s="4" t="s">
        <v>42</v>
      </c>
      <c r="C24" s="4"/>
      <c r="D24" s="1008"/>
      <c r="E24" s="1002" t="str">
        <f>IF(D24="","",D24/SUM($D$21:$D$25))</f>
        <v/>
      </c>
      <c r="F24" s="1005" t="str">
        <f>IF(J24="","$",IF(C24="当選","-",D24*100/MAX($D$21:$D$25)))</f>
        <v>$</v>
      </c>
      <c r="G24" s="1" t="s">
        <v>51</v>
      </c>
      <c r="H24" s="5">
        <v>52</v>
      </c>
      <c r="I24" s="2" t="s">
        <v>5</v>
      </c>
      <c r="J24" s="1"/>
      <c r="K24" s="3"/>
      <c r="L24" s="1"/>
      <c r="M24" s="1"/>
      <c r="N24" s="4" t="s">
        <v>16117</v>
      </c>
      <c r="O24" s="1"/>
      <c r="P24" s="1" t="s">
        <v>6</v>
      </c>
      <c r="Q24" s="16"/>
      <c r="R24" s="17"/>
      <c r="S24" s="265"/>
    </row>
    <row r="25" spans="1:19" ht="12" customHeight="1" thickBot="1">
      <c r="A25" s="916" t="str">
        <f t="shared" si="0"/>
        <v>005</v>
      </c>
      <c r="B25" s="700" t="s">
        <v>5161</v>
      </c>
      <c r="C25" s="700"/>
      <c r="D25" s="1009"/>
      <c r="E25" s="1003" t="str">
        <f>IF(D25="","",D25/SUM($D$21:$D$25))</f>
        <v/>
      </c>
      <c r="F25" s="1041" t="str">
        <f>IF(J25="","$",IF(C25="当選","-",D25*100/MAX($D$21:$D$25)))</f>
        <v>$</v>
      </c>
      <c r="G25" s="906" t="s">
        <v>5162</v>
      </c>
      <c r="H25" s="356">
        <v>45</v>
      </c>
      <c r="I25" s="702" t="s">
        <v>5</v>
      </c>
      <c r="J25" s="906"/>
      <c r="K25" s="703"/>
      <c r="L25" s="906"/>
      <c r="M25" s="906"/>
      <c r="N25" s="700" t="s">
        <v>16122</v>
      </c>
      <c r="O25" s="906" t="s">
        <v>22</v>
      </c>
      <c r="P25" s="906" t="s">
        <v>6</v>
      </c>
      <c r="Q25" s="705"/>
      <c r="R25" s="903"/>
      <c r="S25" s="793"/>
    </row>
    <row r="26" spans="1:19" ht="12" customHeight="1">
      <c r="A26" s="1038" t="str">
        <f t="shared" si="0"/>
        <v>006</v>
      </c>
      <c r="B26" s="688" t="s">
        <v>56</v>
      </c>
      <c r="C26" s="688"/>
      <c r="D26" s="1007"/>
      <c r="E26" s="1001" t="str">
        <f>IF(D26="","",D26/SUM($D$26:$D$29))</f>
        <v/>
      </c>
      <c r="F26" s="1004" t="e">
        <f>IF(J26="","$",IF(C26="当選","-",D26*100/MAX($D$26:$D$29)))</f>
        <v>#DIV/0!</v>
      </c>
      <c r="G26" s="689" t="s">
        <v>874</v>
      </c>
      <c r="H26" s="689">
        <v>63</v>
      </c>
      <c r="I26" s="690" t="s">
        <v>5</v>
      </c>
      <c r="J26" s="689" t="s">
        <v>15273</v>
      </c>
      <c r="K26" s="691" t="s">
        <v>1322</v>
      </c>
      <c r="L26" s="689"/>
      <c r="M26" s="736"/>
      <c r="N26" s="692" t="s">
        <v>16127</v>
      </c>
      <c r="O26" s="689" t="s">
        <v>45</v>
      </c>
      <c r="P26" s="689" t="s">
        <v>25</v>
      </c>
      <c r="Q26" s="693">
        <v>2</v>
      </c>
      <c r="R26" s="694">
        <v>2</v>
      </c>
      <c r="S26" s="1039" t="s">
        <v>736</v>
      </c>
    </row>
    <row r="27" spans="1:19" ht="12" customHeight="1">
      <c r="A27" s="1040" t="str">
        <f t="shared" si="0"/>
        <v>006</v>
      </c>
      <c r="B27" s="4" t="s">
        <v>57</v>
      </c>
      <c r="C27" s="4"/>
      <c r="D27" s="1008"/>
      <c r="E27" s="1002" t="str">
        <f t="shared" ref="E27:E29" si="5">IF(D27="","",D27/SUM($D$26:$D$29))</f>
        <v/>
      </c>
      <c r="F27" s="1005" t="e">
        <f t="shared" ref="F27:F29" si="6">IF(J27="","$",IF(C27="当選","-",D27*100/MAX($D$26:$D$29)))</f>
        <v>#DIV/0!</v>
      </c>
      <c r="G27" s="5" t="s">
        <v>872</v>
      </c>
      <c r="H27" s="5">
        <v>66</v>
      </c>
      <c r="I27" s="6" t="s">
        <v>5</v>
      </c>
      <c r="J27" s="6" t="s">
        <v>15273</v>
      </c>
      <c r="K27" s="7" t="s">
        <v>1308</v>
      </c>
      <c r="L27" s="5"/>
      <c r="M27" s="19"/>
      <c r="N27" s="4" t="s">
        <v>16120</v>
      </c>
      <c r="O27" s="5" t="s">
        <v>13</v>
      </c>
      <c r="P27" s="5" t="s">
        <v>25</v>
      </c>
      <c r="Q27" s="9">
        <v>5</v>
      </c>
      <c r="R27" s="10">
        <v>5</v>
      </c>
      <c r="S27" s="265" t="s">
        <v>5457</v>
      </c>
    </row>
    <row r="28" spans="1:19" ht="12" customHeight="1">
      <c r="A28" s="1040" t="str">
        <f t="shared" si="0"/>
        <v>006</v>
      </c>
      <c r="B28" s="4" t="s">
        <v>58</v>
      </c>
      <c r="C28" s="4"/>
      <c r="D28" s="1008"/>
      <c r="E28" s="1002" t="str">
        <f t="shared" si="5"/>
        <v/>
      </c>
      <c r="F28" s="1005" t="e">
        <f t="shared" si="6"/>
        <v>#DIV/0!</v>
      </c>
      <c r="G28" s="5" t="s">
        <v>5874</v>
      </c>
      <c r="H28" s="5">
        <v>42</v>
      </c>
      <c r="I28" s="6" t="s">
        <v>5</v>
      </c>
      <c r="J28" s="1" t="s">
        <v>15273</v>
      </c>
      <c r="K28" s="7"/>
      <c r="L28" s="5"/>
      <c r="M28" s="19"/>
      <c r="N28" s="8" t="s">
        <v>18495</v>
      </c>
      <c r="O28" s="5"/>
      <c r="P28" s="5" t="s">
        <v>6</v>
      </c>
      <c r="Q28" s="9"/>
      <c r="R28" s="10"/>
      <c r="S28" s="265" t="s">
        <v>6031</v>
      </c>
    </row>
    <row r="29" spans="1:19" ht="12" customHeight="1" thickBot="1">
      <c r="A29" s="916" t="str">
        <f t="shared" si="0"/>
        <v>006</v>
      </c>
      <c r="B29" s="700" t="s">
        <v>5873</v>
      </c>
      <c r="C29" s="700"/>
      <c r="D29" s="1009"/>
      <c r="E29" s="1003" t="str">
        <f t="shared" si="5"/>
        <v/>
      </c>
      <c r="F29" s="1041" t="str">
        <f t="shared" si="6"/>
        <v>$</v>
      </c>
      <c r="G29" s="906" t="s">
        <v>59</v>
      </c>
      <c r="H29" s="356">
        <v>63</v>
      </c>
      <c r="I29" s="702" t="s">
        <v>5</v>
      </c>
      <c r="J29" s="906"/>
      <c r="K29" s="703"/>
      <c r="L29" s="906"/>
      <c r="M29" s="906"/>
      <c r="N29" s="700" t="s">
        <v>16117</v>
      </c>
      <c r="O29" s="906"/>
      <c r="P29" s="906" t="s">
        <v>6</v>
      </c>
      <c r="Q29" s="705"/>
      <c r="R29" s="903"/>
      <c r="S29" s="793"/>
    </row>
    <row r="30" spans="1:19" ht="12" customHeight="1">
      <c r="A30" s="1038" t="str">
        <f t="shared" si="0"/>
        <v>007</v>
      </c>
      <c r="B30" s="688" t="s">
        <v>61</v>
      </c>
      <c r="C30" s="688"/>
      <c r="D30" s="1007"/>
      <c r="E30" s="1001" t="str">
        <f>IF(D30="","",D30/SUM($D$30:$D$33))</f>
        <v/>
      </c>
      <c r="F30" s="1004" t="e">
        <f>IF(J30="","$",IF(C30="当選","-",D30*100/MAX($D$30:$D$33)))</f>
        <v>#DIV/0!</v>
      </c>
      <c r="G30" s="689" t="s">
        <v>915</v>
      </c>
      <c r="H30" s="689">
        <v>53</v>
      </c>
      <c r="I30" s="690" t="s">
        <v>19</v>
      </c>
      <c r="J30" s="689" t="s">
        <v>15273</v>
      </c>
      <c r="K30" s="691" t="s">
        <v>1307</v>
      </c>
      <c r="L30" s="689"/>
      <c r="M30" s="736"/>
      <c r="N30" s="692" t="s">
        <v>16126</v>
      </c>
      <c r="O30" s="689" t="s">
        <v>45</v>
      </c>
      <c r="P30" s="689" t="s">
        <v>25</v>
      </c>
      <c r="Q30" s="693">
        <v>3</v>
      </c>
      <c r="R30" s="694">
        <v>3</v>
      </c>
      <c r="S30" s="1039" t="s">
        <v>736</v>
      </c>
    </row>
    <row r="31" spans="1:19" ht="12" customHeight="1">
      <c r="A31" s="1040" t="str">
        <f t="shared" si="0"/>
        <v>007</v>
      </c>
      <c r="B31" s="4" t="s">
        <v>62</v>
      </c>
      <c r="C31" s="4"/>
      <c r="D31" s="1008"/>
      <c r="E31" s="1002" t="str">
        <f t="shared" ref="E31:E33" si="7">IF(D31="","",D31/SUM($D$30:$D$33))</f>
        <v/>
      </c>
      <c r="F31" s="1005" t="e">
        <f t="shared" ref="F31:F33" si="8">IF(J31="","$",IF(C31="当選","-",D31*100/MAX($D$30:$D$33)))</f>
        <v>#DIV/0!</v>
      </c>
      <c r="G31" s="5" t="s">
        <v>847</v>
      </c>
      <c r="H31" s="5">
        <v>64</v>
      </c>
      <c r="I31" s="5" t="s">
        <v>5</v>
      </c>
      <c r="J31" s="5" t="s">
        <v>15273</v>
      </c>
      <c r="K31" s="7" t="s">
        <v>1323</v>
      </c>
      <c r="L31" s="5"/>
      <c r="M31" s="19"/>
      <c r="N31" s="8" t="s">
        <v>16120</v>
      </c>
      <c r="O31" s="5" t="s">
        <v>65</v>
      </c>
      <c r="P31" s="5" t="s">
        <v>25</v>
      </c>
      <c r="Q31" s="9">
        <v>1</v>
      </c>
      <c r="R31" s="10">
        <v>1</v>
      </c>
      <c r="S31" s="265" t="s">
        <v>5457</v>
      </c>
    </row>
    <row r="32" spans="1:19" ht="12" customHeight="1">
      <c r="A32" s="1040" t="str">
        <f t="shared" si="0"/>
        <v>007</v>
      </c>
      <c r="B32" s="4" t="s">
        <v>63</v>
      </c>
      <c r="C32" s="4"/>
      <c r="D32" s="1008"/>
      <c r="E32" s="1002" t="str">
        <f t="shared" si="7"/>
        <v/>
      </c>
      <c r="F32" s="1005" t="str">
        <f t="shared" si="8"/>
        <v>$</v>
      </c>
      <c r="G32" s="1" t="s">
        <v>66</v>
      </c>
      <c r="H32" s="5">
        <v>52</v>
      </c>
      <c r="I32" s="2" t="s">
        <v>19</v>
      </c>
      <c r="J32" s="1"/>
      <c r="K32" s="3"/>
      <c r="L32" s="1"/>
      <c r="M32" s="1"/>
      <c r="N32" s="4" t="s">
        <v>16117</v>
      </c>
      <c r="O32" s="1"/>
      <c r="P32" s="1" t="s">
        <v>6</v>
      </c>
      <c r="Q32" s="16"/>
      <c r="R32" s="17"/>
      <c r="S32" s="774"/>
    </row>
    <row r="33" spans="1:19" ht="12" customHeight="1" thickBot="1">
      <c r="A33" s="916" t="str">
        <f t="shared" si="0"/>
        <v>007</v>
      </c>
      <c r="B33" s="700" t="s">
        <v>64</v>
      </c>
      <c r="C33" s="700"/>
      <c r="D33" s="1009"/>
      <c r="E33" s="1003" t="str">
        <f t="shared" si="7"/>
        <v/>
      </c>
      <c r="F33" s="1041" t="e">
        <f t="shared" si="8"/>
        <v>#DIV/0!</v>
      </c>
      <c r="G33" s="906" t="s">
        <v>5578</v>
      </c>
      <c r="H33" s="356">
        <v>26</v>
      </c>
      <c r="I33" s="702" t="s">
        <v>19</v>
      </c>
      <c r="J33" s="906" t="s">
        <v>15273</v>
      </c>
      <c r="K33" s="703"/>
      <c r="L33" s="906"/>
      <c r="M33" s="906"/>
      <c r="N33" s="700" t="s">
        <v>16124</v>
      </c>
      <c r="O33" s="906"/>
      <c r="P33" s="906" t="s">
        <v>6</v>
      </c>
      <c r="Q33" s="705"/>
      <c r="R33" s="903"/>
      <c r="S33" s="793" t="s">
        <v>15585</v>
      </c>
    </row>
    <row r="34" spans="1:19" ht="12" customHeight="1">
      <c r="A34" s="1038" t="str">
        <f t="shared" si="0"/>
        <v>008</v>
      </c>
      <c r="B34" s="688" t="s">
        <v>70</v>
      </c>
      <c r="C34" s="688"/>
      <c r="D34" s="1007"/>
      <c r="E34" s="1001" t="str">
        <f>IF(D34="","",D34/SUM($D$34:$D$37))</f>
        <v/>
      </c>
      <c r="F34" s="1004" t="e">
        <f>IF(J34="","$",IF(C34="当選","-",D34*100/MAX($D$34:$D$37)))</f>
        <v>#DIV/0!</v>
      </c>
      <c r="G34" s="689" t="s">
        <v>845</v>
      </c>
      <c r="H34" s="689">
        <v>53</v>
      </c>
      <c r="I34" s="689" t="s">
        <v>5</v>
      </c>
      <c r="J34" s="689" t="s">
        <v>15273</v>
      </c>
      <c r="K34" s="691" t="s">
        <v>1324</v>
      </c>
      <c r="L34" s="689"/>
      <c r="M34" s="736"/>
      <c r="N34" s="692" t="s">
        <v>16127</v>
      </c>
      <c r="O34" s="689" t="s">
        <v>44</v>
      </c>
      <c r="P34" s="689" t="s">
        <v>25</v>
      </c>
      <c r="Q34" s="693">
        <v>2</v>
      </c>
      <c r="R34" s="694">
        <v>2</v>
      </c>
      <c r="S34" s="1039" t="s">
        <v>736</v>
      </c>
    </row>
    <row r="35" spans="1:19" ht="12" customHeight="1">
      <c r="A35" s="1040" t="str">
        <f t="shared" si="0"/>
        <v>008</v>
      </c>
      <c r="B35" s="4" t="s">
        <v>71</v>
      </c>
      <c r="C35" s="4"/>
      <c r="D35" s="1008"/>
      <c r="E35" s="1002" t="str">
        <f>IF(D35="","",D35/SUM($D$34:$D$37))</f>
        <v/>
      </c>
      <c r="F35" s="1005" t="e">
        <f>IF(J35="","$",IF(C35="当選","-",D35*100/MAX($D$34:$D$37)))</f>
        <v>#DIV/0!</v>
      </c>
      <c r="G35" s="1" t="s">
        <v>73</v>
      </c>
      <c r="H35" s="5">
        <v>46</v>
      </c>
      <c r="I35" s="2" t="s">
        <v>5</v>
      </c>
      <c r="J35" s="1" t="s">
        <v>15273</v>
      </c>
      <c r="K35" s="3"/>
      <c r="L35" s="1"/>
      <c r="M35" s="1"/>
      <c r="N35" s="4" t="s">
        <v>16120</v>
      </c>
      <c r="O35" s="1" t="s">
        <v>30</v>
      </c>
      <c r="P35" s="1" t="s">
        <v>6</v>
      </c>
      <c r="Q35" s="16"/>
      <c r="R35" s="17"/>
      <c r="S35" s="774" t="s">
        <v>5457</v>
      </c>
    </row>
    <row r="36" spans="1:19" ht="12" customHeight="1">
      <c r="A36" s="1040" t="str">
        <f t="shared" si="0"/>
        <v>008</v>
      </c>
      <c r="B36" s="4" t="s">
        <v>72</v>
      </c>
      <c r="C36" s="4"/>
      <c r="D36" s="1008"/>
      <c r="E36" s="1002" t="str">
        <f>IF(D36="","",D36/SUM($D$34:$D$37))</f>
        <v/>
      </c>
      <c r="F36" s="1005" t="e">
        <f>IF(J36="","$",IF(C36="当選","-",D36*100/MAX($D$34:$D$37)))</f>
        <v>#DIV/0!</v>
      </c>
      <c r="G36" s="1" t="s">
        <v>5070</v>
      </c>
      <c r="H36" s="5">
        <v>26</v>
      </c>
      <c r="I36" s="2" t="s">
        <v>19</v>
      </c>
      <c r="J36" s="1" t="s">
        <v>15273</v>
      </c>
      <c r="K36" s="3"/>
      <c r="L36" s="1"/>
      <c r="M36" s="1"/>
      <c r="N36" s="4" t="s">
        <v>16125</v>
      </c>
      <c r="O36" s="1"/>
      <c r="P36" s="1" t="s">
        <v>6</v>
      </c>
      <c r="Q36" s="16"/>
      <c r="R36" s="17"/>
      <c r="S36" s="774" t="s">
        <v>5561</v>
      </c>
    </row>
    <row r="37" spans="1:19" ht="12" customHeight="1" thickBot="1">
      <c r="A37" s="916" t="str">
        <f t="shared" si="0"/>
        <v>008</v>
      </c>
      <c r="B37" s="700" t="s">
        <v>2933</v>
      </c>
      <c r="C37" s="700"/>
      <c r="D37" s="1009"/>
      <c r="E37" s="1003" t="str">
        <f>IF(D37="","",D37/SUM($D$34:$D$37))</f>
        <v/>
      </c>
      <c r="F37" s="1041" t="str">
        <f>IF(J37="","$",IF(C37="当選","-",D37*100/MAX($D$34:$D$37)))</f>
        <v>$</v>
      </c>
      <c r="G37" s="906" t="s">
        <v>76</v>
      </c>
      <c r="H37" s="356">
        <v>53</v>
      </c>
      <c r="I37" s="702" t="s">
        <v>5</v>
      </c>
      <c r="J37" s="906"/>
      <c r="K37" s="703"/>
      <c r="L37" s="906"/>
      <c r="M37" s="906"/>
      <c r="N37" s="700" t="s">
        <v>16117</v>
      </c>
      <c r="O37" s="906"/>
      <c r="P37" s="906" t="s">
        <v>6</v>
      </c>
      <c r="Q37" s="705"/>
      <c r="R37" s="903"/>
      <c r="S37" s="793"/>
    </row>
    <row r="38" spans="1:19" ht="12" customHeight="1">
      <c r="A38" s="1038" t="str">
        <f t="shared" si="0"/>
        <v>009</v>
      </c>
      <c r="B38" s="688" t="s">
        <v>79</v>
      </c>
      <c r="C38" s="688"/>
      <c r="D38" s="1007"/>
      <c r="E38" s="1001" t="str">
        <f>IF(D38="","",D38/SUM($D$38:$D$41))</f>
        <v/>
      </c>
      <c r="F38" s="1004" t="e">
        <f>IF(J38="","$",IF(C38="当選","-",D38*100/MAX($D$38:$D$41)))</f>
        <v>#DIV/0!</v>
      </c>
      <c r="G38" s="689" t="s">
        <v>2068</v>
      </c>
      <c r="H38" s="689">
        <v>33</v>
      </c>
      <c r="I38" s="689" t="s">
        <v>5</v>
      </c>
      <c r="J38" s="689" t="s">
        <v>15273</v>
      </c>
      <c r="K38" s="691"/>
      <c r="L38" s="689"/>
      <c r="M38" s="736"/>
      <c r="N38" s="692" t="s">
        <v>16127</v>
      </c>
      <c r="O38" s="689" t="s">
        <v>737</v>
      </c>
      <c r="P38" s="689" t="s">
        <v>25</v>
      </c>
      <c r="Q38" s="693">
        <v>1</v>
      </c>
      <c r="R38" s="694">
        <v>1</v>
      </c>
      <c r="S38" s="1042" t="s">
        <v>736</v>
      </c>
    </row>
    <row r="39" spans="1:19" ht="12" customHeight="1">
      <c r="A39" s="1040" t="str">
        <f t="shared" si="0"/>
        <v>009</v>
      </c>
      <c r="B39" s="4" t="s">
        <v>80</v>
      </c>
      <c r="C39" s="4"/>
      <c r="D39" s="1008"/>
      <c r="E39" s="1002" t="str">
        <f t="shared" ref="E39:E41" si="9">IF(D39="","",D39/SUM($D$38:$D$41))</f>
        <v/>
      </c>
      <c r="F39" s="1005" t="e">
        <f t="shared" ref="F39:F41" si="10">IF(J39="","$",IF(C39="当選","-",D39*100/MAX($D$38:$D$41)))</f>
        <v>#DIV/0!</v>
      </c>
      <c r="G39" s="1" t="s">
        <v>82</v>
      </c>
      <c r="H39" s="5">
        <v>40</v>
      </c>
      <c r="I39" s="2" t="s">
        <v>5</v>
      </c>
      <c r="J39" s="1" t="s">
        <v>15273</v>
      </c>
      <c r="K39" s="3"/>
      <c r="L39" s="1"/>
      <c r="M39" s="1"/>
      <c r="N39" s="4" t="s">
        <v>16120</v>
      </c>
      <c r="O39" s="1" t="s">
        <v>30</v>
      </c>
      <c r="P39" s="1" t="s">
        <v>6</v>
      </c>
      <c r="Q39" s="16"/>
      <c r="R39" s="17"/>
      <c r="S39" s="774" t="s">
        <v>5457</v>
      </c>
    </row>
    <row r="40" spans="1:19" ht="12" customHeight="1">
      <c r="A40" s="1040" t="str">
        <f t="shared" si="0"/>
        <v>009</v>
      </c>
      <c r="B40" s="4" t="s">
        <v>81</v>
      </c>
      <c r="C40" s="4"/>
      <c r="D40" s="1008"/>
      <c r="E40" s="1002" t="str">
        <f t="shared" si="9"/>
        <v/>
      </c>
      <c r="F40" s="1005" t="str">
        <f t="shared" si="10"/>
        <v>$</v>
      </c>
      <c r="G40" s="1" t="s">
        <v>86</v>
      </c>
      <c r="H40" s="5">
        <v>69</v>
      </c>
      <c r="I40" s="2" t="s">
        <v>19</v>
      </c>
      <c r="J40" s="1"/>
      <c r="K40" s="3"/>
      <c r="L40" s="1"/>
      <c r="M40" s="1"/>
      <c r="N40" s="4" t="s">
        <v>16117</v>
      </c>
      <c r="O40" s="1"/>
      <c r="P40" s="1" t="s">
        <v>6</v>
      </c>
      <c r="Q40" s="16"/>
      <c r="R40" s="17"/>
      <c r="S40" s="774"/>
    </row>
    <row r="41" spans="1:19" ht="12" customHeight="1" thickBot="1">
      <c r="A41" s="916" t="str">
        <f t="shared" si="0"/>
        <v>009</v>
      </c>
      <c r="B41" s="700" t="s">
        <v>5710</v>
      </c>
      <c r="C41" s="700"/>
      <c r="D41" s="1009"/>
      <c r="E41" s="1003" t="str">
        <f t="shared" si="9"/>
        <v/>
      </c>
      <c r="F41" s="1041" t="str">
        <f t="shared" si="10"/>
        <v>$</v>
      </c>
      <c r="G41" s="906" t="s">
        <v>5711</v>
      </c>
      <c r="H41" s="356">
        <v>53</v>
      </c>
      <c r="I41" s="702" t="s">
        <v>19</v>
      </c>
      <c r="J41" s="906"/>
      <c r="K41" s="703"/>
      <c r="L41" s="906"/>
      <c r="M41" s="906"/>
      <c r="N41" s="700" t="s">
        <v>16122</v>
      </c>
      <c r="O41" s="906" t="s">
        <v>18496</v>
      </c>
      <c r="P41" s="906" t="s">
        <v>6</v>
      </c>
      <c r="Q41" s="705"/>
      <c r="R41" s="903"/>
      <c r="S41" s="793"/>
    </row>
    <row r="42" spans="1:19" ht="12" customHeight="1">
      <c r="A42" s="1038" t="str">
        <f t="shared" si="0"/>
        <v>010</v>
      </c>
      <c r="B42" s="688" t="s">
        <v>90</v>
      </c>
      <c r="C42" s="688"/>
      <c r="D42" s="1007"/>
      <c r="E42" s="1001" t="str">
        <f>IF(D42="","",D42/SUM($D$42:$D$45))</f>
        <v/>
      </c>
      <c r="F42" s="1004" t="e">
        <f>IF(J42="","$",IF(C42="当選","-",D42*100/MAX($D$42:$D$45)))</f>
        <v>#DIV/0!</v>
      </c>
      <c r="G42" s="689" t="s">
        <v>891</v>
      </c>
      <c r="H42" s="689">
        <v>70</v>
      </c>
      <c r="I42" s="689" t="s">
        <v>5</v>
      </c>
      <c r="J42" s="689" t="s">
        <v>15273</v>
      </c>
      <c r="K42" s="691" t="s">
        <v>1325</v>
      </c>
      <c r="L42" s="689"/>
      <c r="M42" s="736"/>
      <c r="N42" s="692" t="s">
        <v>16126</v>
      </c>
      <c r="O42" s="689" t="s">
        <v>24</v>
      </c>
      <c r="P42" s="689" t="s">
        <v>25</v>
      </c>
      <c r="Q42" s="693">
        <v>7</v>
      </c>
      <c r="R42" s="694">
        <v>7</v>
      </c>
      <c r="S42" s="1039" t="s">
        <v>736</v>
      </c>
    </row>
    <row r="43" spans="1:19" ht="12" customHeight="1">
      <c r="A43" s="1040" t="str">
        <f t="shared" si="0"/>
        <v>010</v>
      </c>
      <c r="B43" s="4" t="s">
        <v>91</v>
      </c>
      <c r="C43" s="4"/>
      <c r="D43" s="1008"/>
      <c r="E43" s="1002" t="str">
        <f t="shared" ref="E43:E45" si="11">IF(D43="","",D43/SUM($D$42:$D$45))</f>
        <v/>
      </c>
      <c r="F43" s="1005" t="str">
        <f t="shared" ref="F43:F45" si="12">IF(J43="","$",IF(C43="当選","-",D43*100/MAX($D$42:$D$45)))</f>
        <v>$</v>
      </c>
      <c r="G43" s="5" t="s">
        <v>848</v>
      </c>
      <c r="H43" s="5">
        <v>54</v>
      </c>
      <c r="I43" s="5" t="s">
        <v>5</v>
      </c>
      <c r="J43" s="5"/>
      <c r="K43" s="7" t="s">
        <v>1309</v>
      </c>
      <c r="L43" s="5"/>
      <c r="M43" s="19"/>
      <c r="N43" s="8" t="s">
        <v>16118</v>
      </c>
      <c r="O43" s="5"/>
      <c r="P43" s="5" t="s">
        <v>25</v>
      </c>
      <c r="Q43" s="9">
        <v>1</v>
      </c>
      <c r="R43" s="10">
        <v>1</v>
      </c>
      <c r="S43" s="239" t="s">
        <v>276</v>
      </c>
    </row>
    <row r="44" spans="1:19" ht="12" customHeight="1">
      <c r="A44" s="1040" t="str">
        <f t="shared" si="0"/>
        <v>010</v>
      </c>
      <c r="B44" s="4" t="s">
        <v>92</v>
      </c>
      <c r="C44" s="4"/>
      <c r="D44" s="1008"/>
      <c r="E44" s="1002" t="str">
        <f t="shared" si="11"/>
        <v/>
      </c>
      <c r="F44" s="1005" t="str">
        <f t="shared" si="12"/>
        <v>$</v>
      </c>
      <c r="G44" s="1" t="s">
        <v>94</v>
      </c>
      <c r="H44" s="5">
        <v>61</v>
      </c>
      <c r="I44" s="2" t="s">
        <v>5</v>
      </c>
      <c r="J44" s="1"/>
      <c r="K44" s="3"/>
      <c r="L44" s="1"/>
      <c r="M44" s="1"/>
      <c r="N44" s="4" t="s">
        <v>16117</v>
      </c>
      <c r="O44" s="1"/>
      <c r="P44" s="1" t="s">
        <v>6</v>
      </c>
      <c r="Q44" s="16"/>
      <c r="R44" s="17"/>
      <c r="S44" s="774"/>
    </row>
    <row r="45" spans="1:19" ht="12" customHeight="1" thickBot="1">
      <c r="A45" s="916" t="str">
        <f t="shared" si="0"/>
        <v>010</v>
      </c>
      <c r="B45" s="700" t="s">
        <v>93</v>
      </c>
      <c r="C45" s="700"/>
      <c r="D45" s="1009"/>
      <c r="E45" s="1003" t="str">
        <f t="shared" si="11"/>
        <v/>
      </c>
      <c r="F45" s="1041" t="e">
        <f t="shared" si="12"/>
        <v>#DIV/0!</v>
      </c>
      <c r="G45" s="906" t="s">
        <v>5251</v>
      </c>
      <c r="H45" s="356">
        <v>34</v>
      </c>
      <c r="I45" s="702" t="s">
        <v>5</v>
      </c>
      <c r="J45" s="906" t="s">
        <v>15273</v>
      </c>
      <c r="K45" s="703" t="s">
        <v>5252</v>
      </c>
      <c r="L45" s="906"/>
      <c r="M45" s="906"/>
      <c r="N45" s="700" t="s">
        <v>16124</v>
      </c>
      <c r="O45" s="906"/>
      <c r="P45" s="906" t="s">
        <v>25</v>
      </c>
      <c r="Q45" s="705">
        <v>1</v>
      </c>
      <c r="R45" s="903">
        <v>1</v>
      </c>
      <c r="S45" s="793" t="s">
        <v>15585</v>
      </c>
    </row>
    <row r="46" spans="1:19" ht="12" customHeight="1">
      <c r="A46" s="1038" t="str">
        <f t="shared" si="0"/>
        <v>011</v>
      </c>
      <c r="B46" s="688" t="s">
        <v>98</v>
      </c>
      <c r="C46" s="688"/>
      <c r="D46" s="1007"/>
      <c r="E46" s="1001" t="str">
        <f>IF(D46="","",D46/SUM($D$46:$D$48))</f>
        <v/>
      </c>
      <c r="F46" s="1004" t="e">
        <f>IF(J46="","$",IF(C46="当選","-",D46*100/MAX($D$46:$D$48)))</f>
        <v>#DIV/0!</v>
      </c>
      <c r="G46" s="687" t="s">
        <v>101</v>
      </c>
      <c r="H46" s="689">
        <v>53</v>
      </c>
      <c r="I46" s="696" t="s">
        <v>19</v>
      </c>
      <c r="J46" s="687" t="s">
        <v>15273</v>
      </c>
      <c r="K46" s="747"/>
      <c r="L46" s="687"/>
      <c r="M46" s="687"/>
      <c r="N46" s="692" t="s">
        <v>16120</v>
      </c>
      <c r="O46" s="687" t="s">
        <v>65</v>
      </c>
      <c r="P46" s="687" t="s">
        <v>6</v>
      </c>
      <c r="Q46" s="748"/>
      <c r="R46" s="749"/>
      <c r="S46" s="805" t="s">
        <v>6051</v>
      </c>
    </row>
    <row r="47" spans="1:19" ht="12" customHeight="1">
      <c r="A47" s="1040" t="str">
        <f t="shared" si="0"/>
        <v>011</v>
      </c>
      <c r="B47" s="4" t="s">
        <v>99</v>
      </c>
      <c r="C47" s="4"/>
      <c r="D47" s="1008"/>
      <c r="E47" s="1002" t="str">
        <f t="shared" ref="E47:E48" si="13">IF(D47="","",D47/SUM($D$46:$D$48))</f>
        <v/>
      </c>
      <c r="F47" s="1005" t="str">
        <f t="shared" ref="F47:F48" si="14">IF(J47="","$",IF(C47="当選","-",D47*100/MAX($D$46:$D$48)))</f>
        <v>$</v>
      </c>
      <c r="G47" s="1" t="s">
        <v>105</v>
      </c>
      <c r="H47" s="5">
        <v>64</v>
      </c>
      <c r="I47" s="2" t="s">
        <v>19</v>
      </c>
      <c r="J47" s="1"/>
      <c r="K47" s="3"/>
      <c r="L47" s="1"/>
      <c r="M47" s="1"/>
      <c r="N47" s="4" t="s">
        <v>16117</v>
      </c>
      <c r="O47" s="1"/>
      <c r="P47" s="1" t="s">
        <v>6</v>
      </c>
      <c r="Q47" s="16"/>
      <c r="R47" s="17"/>
      <c r="S47" s="774"/>
    </row>
    <row r="48" spans="1:19" ht="12" customHeight="1" thickBot="1">
      <c r="A48" s="916" t="str">
        <f t="shared" si="0"/>
        <v>011</v>
      </c>
      <c r="B48" s="700" t="s">
        <v>100</v>
      </c>
      <c r="C48" s="700"/>
      <c r="D48" s="1009"/>
      <c r="E48" s="1003" t="str">
        <f t="shared" si="13"/>
        <v/>
      </c>
      <c r="F48" s="1041" t="e">
        <f t="shared" si="14"/>
        <v>#DIV/0!</v>
      </c>
      <c r="G48" s="356" t="s">
        <v>904</v>
      </c>
      <c r="H48" s="356">
        <v>39</v>
      </c>
      <c r="I48" s="356" t="s">
        <v>5</v>
      </c>
      <c r="J48" s="906" t="s">
        <v>15273</v>
      </c>
      <c r="K48" s="753" t="s">
        <v>1326</v>
      </c>
      <c r="L48" s="356"/>
      <c r="M48" s="741"/>
      <c r="N48" s="704" t="s">
        <v>16124</v>
      </c>
      <c r="O48" s="356"/>
      <c r="P48" s="356" t="s">
        <v>25</v>
      </c>
      <c r="Q48" s="754">
        <v>2</v>
      </c>
      <c r="R48" s="755">
        <v>2</v>
      </c>
      <c r="S48" s="793" t="s">
        <v>15585</v>
      </c>
    </row>
    <row r="49" spans="1:19" ht="12" customHeight="1">
      <c r="A49" s="1038" t="str">
        <f t="shared" si="0"/>
        <v>012</v>
      </c>
      <c r="B49" s="688" t="s">
        <v>109</v>
      </c>
      <c r="C49" s="688"/>
      <c r="D49" s="1007"/>
      <c r="E49" s="1001" t="str">
        <f>IF(D49="","",D49/SUM($D$49:$D$52))</f>
        <v/>
      </c>
      <c r="F49" s="1004" t="e">
        <f>IF(J49="","$",IF(C49="当選","-",D49*100/MAX($D$49:$D$52)))</f>
        <v>#DIV/0!</v>
      </c>
      <c r="G49" s="687" t="s">
        <v>2063</v>
      </c>
      <c r="H49" s="689">
        <v>65</v>
      </c>
      <c r="I49" s="696" t="s">
        <v>19</v>
      </c>
      <c r="J49" s="689" t="s">
        <v>15273</v>
      </c>
      <c r="K49" s="747" t="s">
        <v>5846</v>
      </c>
      <c r="L49" s="687"/>
      <c r="M49" s="687"/>
      <c r="N49" s="692" t="s">
        <v>16127</v>
      </c>
      <c r="O49" s="687" t="s">
        <v>44</v>
      </c>
      <c r="P49" s="687" t="s">
        <v>25</v>
      </c>
      <c r="Q49" s="748">
        <v>1</v>
      </c>
      <c r="R49" s="749">
        <v>1</v>
      </c>
      <c r="S49" s="805" t="s">
        <v>736</v>
      </c>
    </row>
    <row r="50" spans="1:19" ht="12" customHeight="1">
      <c r="A50" s="1040" t="str">
        <f t="shared" si="0"/>
        <v>012</v>
      </c>
      <c r="B50" s="4" t="s">
        <v>110</v>
      </c>
      <c r="C50" s="4"/>
      <c r="D50" s="1008"/>
      <c r="E50" s="1002" t="str">
        <f t="shared" ref="E50:E52" si="15">IF(D50="","",D50/SUM($D$49:$D$52))</f>
        <v/>
      </c>
      <c r="F50" s="1005" t="e">
        <f t="shared" ref="F50:F52" si="16">IF(J50="","$",IF(C50="当選","-",D50*100/MAX($D$49:$D$52)))</f>
        <v>#DIV/0!</v>
      </c>
      <c r="G50" s="1" t="s">
        <v>933</v>
      </c>
      <c r="H50" s="5">
        <v>42</v>
      </c>
      <c r="I50" s="2" t="s">
        <v>5</v>
      </c>
      <c r="J50" s="1" t="s">
        <v>15273</v>
      </c>
      <c r="K50" s="3"/>
      <c r="L50" s="1"/>
      <c r="M50" s="1"/>
      <c r="N50" s="4" t="s">
        <v>16120</v>
      </c>
      <c r="O50" s="1" t="s">
        <v>934</v>
      </c>
      <c r="P50" s="1" t="s">
        <v>6</v>
      </c>
      <c r="Q50" s="16"/>
      <c r="R50" s="17"/>
      <c r="S50" s="774" t="s">
        <v>5457</v>
      </c>
    </row>
    <row r="51" spans="1:19" ht="12" customHeight="1">
      <c r="A51" s="1040" t="str">
        <f t="shared" si="0"/>
        <v>012</v>
      </c>
      <c r="B51" s="4" t="s">
        <v>111</v>
      </c>
      <c r="C51" s="4"/>
      <c r="D51" s="1008"/>
      <c r="E51" s="1002" t="str">
        <f t="shared" si="15"/>
        <v/>
      </c>
      <c r="F51" s="1005" t="str">
        <f t="shared" si="16"/>
        <v>$</v>
      </c>
      <c r="G51" s="1" t="s">
        <v>113</v>
      </c>
      <c r="H51" s="5">
        <v>39</v>
      </c>
      <c r="I51" s="2" t="s">
        <v>5</v>
      </c>
      <c r="J51" s="1"/>
      <c r="K51" s="3"/>
      <c r="L51" s="1"/>
      <c r="M51" s="1"/>
      <c r="N51" s="4" t="s">
        <v>16117</v>
      </c>
      <c r="O51" s="1"/>
      <c r="P51" s="1" t="s">
        <v>6</v>
      </c>
      <c r="Q51" s="16"/>
      <c r="R51" s="17"/>
      <c r="S51" s="774"/>
    </row>
    <row r="52" spans="1:19" ht="12" customHeight="1" thickBot="1">
      <c r="A52" s="916" t="str">
        <f t="shared" si="0"/>
        <v>012</v>
      </c>
      <c r="B52" s="700" t="s">
        <v>112</v>
      </c>
      <c r="C52" s="700"/>
      <c r="D52" s="1009"/>
      <c r="E52" s="1003" t="str">
        <f t="shared" si="15"/>
        <v/>
      </c>
      <c r="F52" s="1041" t="e">
        <f t="shared" si="16"/>
        <v>#DIV/0!</v>
      </c>
      <c r="G52" s="701" t="s">
        <v>896</v>
      </c>
      <c r="H52" s="356">
        <v>53</v>
      </c>
      <c r="I52" s="701" t="s">
        <v>5</v>
      </c>
      <c r="J52" s="906" t="s">
        <v>15273</v>
      </c>
      <c r="K52" s="740" t="s">
        <v>1327</v>
      </c>
      <c r="L52" s="701"/>
      <c r="M52" s="741"/>
      <c r="N52" s="704" t="s">
        <v>16124</v>
      </c>
      <c r="O52" s="701"/>
      <c r="P52" s="701" t="s">
        <v>25</v>
      </c>
      <c r="Q52" s="742">
        <v>3</v>
      </c>
      <c r="R52" s="743">
        <v>3</v>
      </c>
      <c r="S52" s="1043" t="s">
        <v>15585</v>
      </c>
    </row>
    <row r="53" spans="1:19" ht="12" customHeight="1">
      <c r="A53" s="1038" t="str">
        <f t="shared" si="0"/>
        <v>013</v>
      </c>
      <c r="B53" s="688" t="s">
        <v>116</v>
      </c>
      <c r="C53" s="688"/>
      <c r="D53" s="1007"/>
      <c r="E53" s="1001" t="str">
        <f>IF(D53="","",D53/SUM($D$53:$D$57))</f>
        <v/>
      </c>
      <c r="F53" s="1004" t="e">
        <f>IF(J53="","$",IF(C53="当選","-",D53*100/MAX($D$53:$D$57)))</f>
        <v>#DIV/0!</v>
      </c>
      <c r="G53" s="687" t="s">
        <v>4181</v>
      </c>
      <c r="H53" s="689">
        <v>39</v>
      </c>
      <c r="I53" s="696" t="s">
        <v>19</v>
      </c>
      <c r="J53" s="689" t="s">
        <v>15273</v>
      </c>
      <c r="K53" s="747"/>
      <c r="L53" s="687"/>
      <c r="M53" s="687"/>
      <c r="N53" s="692" t="s">
        <v>16127</v>
      </c>
      <c r="O53" s="687" t="s">
        <v>44</v>
      </c>
      <c r="P53" s="687" t="s">
        <v>6</v>
      </c>
      <c r="Q53" s="748"/>
      <c r="R53" s="749"/>
      <c r="S53" s="805"/>
    </row>
    <row r="54" spans="1:19" ht="12" customHeight="1">
      <c r="A54" s="1040" t="str">
        <f t="shared" si="0"/>
        <v>013</v>
      </c>
      <c r="B54" s="4" t="s">
        <v>117</v>
      </c>
      <c r="C54" s="4"/>
      <c r="D54" s="1008"/>
      <c r="E54" s="1002" t="str">
        <f>IF(D54="","",D54/SUM($D$53:$D$57))</f>
        <v/>
      </c>
      <c r="F54" s="1005" t="e">
        <f>IF(J54="","$",IF(C54="当選","-",D54*100/MAX($D$53:$D$57)))</f>
        <v>#DIV/0!</v>
      </c>
      <c r="G54" s="1" t="s">
        <v>121</v>
      </c>
      <c r="H54" s="5">
        <v>46</v>
      </c>
      <c r="I54" s="2" t="s">
        <v>5</v>
      </c>
      <c r="J54" s="1" t="s">
        <v>15273</v>
      </c>
      <c r="K54" s="3"/>
      <c r="L54" s="1"/>
      <c r="M54" s="1"/>
      <c r="N54" s="4" t="s">
        <v>16120</v>
      </c>
      <c r="O54" s="1" t="s">
        <v>13</v>
      </c>
      <c r="P54" s="1" t="s">
        <v>6</v>
      </c>
      <c r="Q54" s="16"/>
      <c r="R54" s="17"/>
      <c r="S54" s="774" t="s">
        <v>5457</v>
      </c>
    </row>
    <row r="55" spans="1:19" ht="12" customHeight="1">
      <c r="A55" s="1040" t="str">
        <f t="shared" si="0"/>
        <v>013</v>
      </c>
      <c r="B55" s="4" t="s">
        <v>118</v>
      </c>
      <c r="C55" s="4"/>
      <c r="D55" s="1008"/>
      <c r="E55" s="1002" t="str">
        <f>IF(D55="","",D55/SUM($D$53:$D$57))</f>
        <v/>
      </c>
      <c r="F55" s="1005" t="e">
        <f>IF(J55="","$",IF(C55="当選","-",D55*100/MAX($D$53:$D$57)))</f>
        <v>#DIV/0!</v>
      </c>
      <c r="G55" s="6" t="s">
        <v>851</v>
      </c>
      <c r="H55" s="5">
        <v>49</v>
      </c>
      <c r="I55" s="6" t="s">
        <v>5</v>
      </c>
      <c r="J55" s="1" t="s">
        <v>15273</v>
      </c>
      <c r="K55" s="12" t="s">
        <v>1328</v>
      </c>
      <c r="L55" s="6"/>
      <c r="M55" s="19"/>
      <c r="N55" s="4" t="s">
        <v>16125</v>
      </c>
      <c r="O55" s="6"/>
      <c r="P55" s="6" t="s">
        <v>25</v>
      </c>
      <c r="Q55" s="13">
        <v>2</v>
      </c>
      <c r="R55" s="14">
        <v>2</v>
      </c>
      <c r="S55" s="774" t="s">
        <v>5561</v>
      </c>
    </row>
    <row r="56" spans="1:19" ht="12" customHeight="1">
      <c r="A56" s="1040" t="str">
        <f t="shared" si="0"/>
        <v>013</v>
      </c>
      <c r="B56" s="4" t="s">
        <v>119</v>
      </c>
      <c r="C56" s="4"/>
      <c r="D56" s="1008"/>
      <c r="E56" s="1002" t="str">
        <f>IF(D56="","",D56/SUM($D$53:$D$57))</f>
        <v/>
      </c>
      <c r="F56" s="1005" t="e">
        <f>IF(J56="","$",IF(C56="当選","-",D56*100/MAX($D$53:$D$57)))</f>
        <v>#DIV/0!</v>
      </c>
      <c r="G56" s="1" t="s">
        <v>124</v>
      </c>
      <c r="H56" s="5">
        <v>55</v>
      </c>
      <c r="I56" s="2" t="s">
        <v>5</v>
      </c>
      <c r="J56" s="1" t="s">
        <v>15273</v>
      </c>
      <c r="K56" s="3"/>
      <c r="L56" s="1"/>
      <c r="M56" s="1"/>
      <c r="N56" s="4" t="s">
        <v>16116</v>
      </c>
      <c r="O56" s="1" t="s">
        <v>4993</v>
      </c>
      <c r="P56" s="1" t="s">
        <v>6</v>
      </c>
      <c r="Q56" s="16"/>
      <c r="R56" s="17"/>
      <c r="S56" s="774"/>
    </row>
    <row r="57" spans="1:19" ht="12" customHeight="1" thickBot="1">
      <c r="A57" s="916" t="str">
        <f t="shared" si="0"/>
        <v>013</v>
      </c>
      <c r="B57" s="700" t="s">
        <v>120</v>
      </c>
      <c r="C57" s="700"/>
      <c r="D57" s="1009"/>
      <c r="E57" s="1003" t="str">
        <f>IF(D57="","",D57/SUM($D$53:$D$57))</f>
        <v/>
      </c>
      <c r="F57" s="1041" t="str">
        <f>IF(J57="","$",IF(C57="当選","-",D57*100/MAX($D$53:$D$57)))</f>
        <v>$</v>
      </c>
      <c r="G57" s="906" t="s">
        <v>348</v>
      </c>
      <c r="H57" s="356">
        <v>32</v>
      </c>
      <c r="I57" s="702" t="s">
        <v>19</v>
      </c>
      <c r="J57" s="906"/>
      <c r="K57" s="703"/>
      <c r="L57" s="906"/>
      <c r="M57" s="906"/>
      <c r="N57" s="700" t="s">
        <v>16117</v>
      </c>
      <c r="O57" s="906"/>
      <c r="P57" s="906" t="s">
        <v>6</v>
      </c>
      <c r="Q57" s="705"/>
      <c r="R57" s="903"/>
      <c r="S57" s="793"/>
    </row>
    <row r="58" spans="1:19" ht="12" customHeight="1">
      <c r="A58" s="1038" t="str">
        <f t="shared" si="0"/>
        <v>014</v>
      </c>
      <c r="B58" s="688" t="s">
        <v>127</v>
      </c>
      <c r="C58" s="688"/>
      <c r="D58" s="1007"/>
      <c r="E58" s="1001" t="str">
        <f>IF(D58="","",D58/SUM($D$58:$D$61))</f>
        <v/>
      </c>
      <c r="F58" s="1004" t="e">
        <f>IF(J58="","$",IF(C58="当選","-",D58*100/MAX($D$58:$D$61)))</f>
        <v>#DIV/0!</v>
      </c>
      <c r="G58" s="687" t="s">
        <v>3502</v>
      </c>
      <c r="H58" s="689">
        <v>57</v>
      </c>
      <c r="I58" s="696" t="s">
        <v>5</v>
      </c>
      <c r="J58" s="689" t="s">
        <v>15273</v>
      </c>
      <c r="K58" s="747"/>
      <c r="L58" s="687"/>
      <c r="M58" s="687"/>
      <c r="N58" s="692" t="s">
        <v>16126</v>
      </c>
      <c r="O58" s="687" t="s">
        <v>44</v>
      </c>
      <c r="P58" s="687" t="s">
        <v>6</v>
      </c>
      <c r="Q58" s="748"/>
      <c r="R58" s="749"/>
      <c r="S58" s="805"/>
    </row>
    <row r="59" spans="1:19" ht="12" customHeight="1">
      <c r="A59" s="1040" t="str">
        <f t="shared" si="0"/>
        <v>014</v>
      </c>
      <c r="B59" s="4" t="s">
        <v>128</v>
      </c>
      <c r="C59" s="4"/>
      <c r="D59" s="1008"/>
      <c r="E59" s="1002" t="str">
        <f t="shared" ref="E59:E61" si="17">IF(D59="","",D59/SUM($D$58:$D$61))</f>
        <v/>
      </c>
      <c r="F59" s="1005" t="e">
        <f t="shared" ref="F59:F61" si="18">IF(J59="","$",IF(C59="当選","-",D59*100/MAX($D$58:$D$61)))</f>
        <v>#DIV/0!</v>
      </c>
      <c r="G59" s="6" t="s">
        <v>869</v>
      </c>
      <c r="H59" s="5">
        <v>57</v>
      </c>
      <c r="I59" s="6" t="s">
        <v>5</v>
      </c>
      <c r="J59" s="6" t="s">
        <v>15273</v>
      </c>
      <c r="K59" s="12" t="s">
        <v>1329</v>
      </c>
      <c r="L59" s="6"/>
      <c r="M59" s="19"/>
      <c r="N59" s="8" t="s">
        <v>16120</v>
      </c>
      <c r="O59" s="6" t="s">
        <v>475</v>
      </c>
      <c r="P59" s="6" t="s">
        <v>25</v>
      </c>
      <c r="Q59" s="13">
        <v>4</v>
      </c>
      <c r="R59" s="14">
        <v>4</v>
      </c>
      <c r="S59" s="1044" t="s">
        <v>5457</v>
      </c>
    </row>
    <row r="60" spans="1:19" ht="12" customHeight="1">
      <c r="A60" s="1040" t="str">
        <f t="shared" si="0"/>
        <v>014</v>
      </c>
      <c r="B60" s="4" t="s">
        <v>129</v>
      </c>
      <c r="C60" s="4"/>
      <c r="D60" s="1008"/>
      <c r="E60" s="1002" t="str">
        <f t="shared" si="17"/>
        <v/>
      </c>
      <c r="F60" s="1005" t="e">
        <f t="shared" si="18"/>
        <v>#DIV/0!</v>
      </c>
      <c r="G60" s="6" t="s">
        <v>914</v>
      </c>
      <c r="H60" s="5">
        <v>42</v>
      </c>
      <c r="I60" s="6" t="s">
        <v>19</v>
      </c>
      <c r="J60" s="1" t="s">
        <v>15273</v>
      </c>
      <c r="K60" s="12" t="s">
        <v>1312</v>
      </c>
      <c r="L60" s="6"/>
      <c r="M60" s="19"/>
      <c r="N60" s="4" t="s">
        <v>16125</v>
      </c>
      <c r="O60" s="6"/>
      <c r="P60" s="6" t="s">
        <v>25</v>
      </c>
      <c r="Q60" s="13">
        <v>1</v>
      </c>
      <c r="R60" s="14">
        <v>1</v>
      </c>
      <c r="S60" s="774" t="s">
        <v>5561</v>
      </c>
    </row>
    <row r="61" spans="1:19" ht="12" customHeight="1" thickBot="1">
      <c r="A61" s="916" t="str">
        <f t="shared" si="0"/>
        <v>014</v>
      </c>
      <c r="B61" s="700" t="s">
        <v>130</v>
      </c>
      <c r="C61" s="700"/>
      <c r="D61" s="1009"/>
      <c r="E61" s="1003" t="str">
        <f t="shared" si="17"/>
        <v/>
      </c>
      <c r="F61" s="1041" t="str">
        <f t="shared" si="18"/>
        <v>$</v>
      </c>
      <c r="G61" s="906" t="s">
        <v>15959</v>
      </c>
      <c r="H61" s="356">
        <v>63</v>
      </c>
      <c r="I61" s="702" t="s">
        <v>19</v>
      </c>
      <c r="J61" s="906"/>
      <c r="K61" s="703"/>
      <c r="L61" s="906"/>
      <c r="M61" s="906"/>
      <c r="N61" s="700" t="s">
        <v>16117</v>
      </c>
      <c r="O61" s="906"/>
      <c r="P61" s="906" t="s">
        <v>6</v>
      </c>
      <c r="Q61" s="705"/>
      <c r="R61" s="903"/>
      <c r="S61" s="793"/>
    </row>
    <row r="62" spans="1:19" ht="12" customHeight="1">
      <c r="A62" s="1038" t="str">
        <f t="shared" si="0"/>
        <v>015</v>
      </c>
      <c r="B62" s="688" t="s">
        <v>152</v>
      </c>
      <c r="C62" s="688"/>
      <c r="D62" s="1007"/>
      <c r="E62" s="1001" t="str">
        <f>IF(D62="","",D62/SUM($D$62:$D$65))</f>
        <v/>
      </c>
      <c r="F62" s="1004" t="e">
        <f>IF(J62="","$",IF(C62="当選","-",D62*100/MAX($D$62:$D$65)))</f>
        <v>#DIV/0!</v>
      </c>
      <c r="G62" s="689" t="s">
        <v>918</v>
      </c>
      <c r="H62" s="689">
        <v>43</v>
      </c>
      <c r="I62" s="689" t="s">
        <v>19</v>
      </c>
      <c r="J62" s="689" t="s">
        <v>15273</v>
      </c>
      <c r="K62" s="691" t="s">
        <v>1310</v>
      </c>
      <c r="L62" s="689"/>
      <c r="M62" s="736"/>
      <c r="N62" s="692" t="s">
        <v>16127</v>
      </c>
      <c r="O62" s="689" t="s">
        <v>604</v>
      </c>
      <c r="P62" s="689" t="s">
        <v>25</v>
      </c>
      <c r="Q62" s="693">
        <v>3</v>
      </c>
      <c r="R62" s="694">
        <v>3</v>
      </c>
      <c r="S62" s="1039"/>
    </row>
    <row r="63" spans="1:19" ht="12" customHeight="1">
      <c r="A63" s="1040" t="str">
        <f t="shared" si="0"/>
        <v>015</v>
      </c>
      <c r="B63" s="4" t="s">
        <v>153</v>
      </c>
      <c r="C63" s="4"/>
      <c r="D63" s="1008"/>
      <c r="E63" s="1002" t="str">
        <f t="shared" ref="E63:E65" si="19">IF(D63="","",D63/SUM($D$62:$D$65))</f>
        <v/>
      </c>
      <c r="F63" s="1005" t="e">
        <f t="shared" ref="F63:F65" si="20">IF(J63="","$",IF(C63="当選","-",D63*100/MAX($D$62:$D$65)))</f>
        <v>#DIV/0!</v>
      </c>
      <c r="G63" s="5" t="s">
        <v>911</v>
      </c>
      <c r="H63" s="5">
        <v>66</v>
      </c>
      <c r="I63" s="5" t="s">
        <v>5</v>
      </c>
      <c r="J63" s="5" t="s">
        <v>15273</v>
      </c>
      <c r="K63" s="7" t="s">
        <v>1330</v>
      </c>
      <c r="L63" s="5"/>
      <c r="M63" s="19"/>
      <c r="N63" s="4" t="s">
        <v>16120</v>
      </c>
      <c r="O63" s="5" t="s">
        <v>475</v>
      </c>
      <c r="P63" s="5" t="s">
        <v>25</v>
      </c>
      <c r="Q63" s="9">
        <v>9</v>
      </c>
      <c r="R63" s="10">
        <v>9</v>
      </c>
      <c r="S63" s="265" t="s">
        <v>5457</v>
      </c>
    </row>
    <row r="64" spans="1:19" ht="12" customHeight="1">
      <c r="A64" s="1040" t="str">
        <f t="shared" si="0"/>
        <v>015</v>
      </c>
      <c r="B64" s="4" t="s">
        <v>154</v>
      </c>
      <c r="C64" s="4"/>
      <c r="D64" s="1008"/>
      <c r="E64" s="1002" t="str">
        <f t="shared" si="19"/>
        <v/>
      </c>
      <c r="F64" s="1005" t="e">
        <f t="shared" si="20"/>
        <v>#DIV/0!</v>
      </c>
      <c r="G64" s="5" t="s">
        <v>5072</v>
      </c>
      <c r="H64" s="5">
        <v>34</v>
      </c>
      <c r="I64" s="5" t="s">
        <v>5</v>
      </c>
      <c r="J64" s="1" t="s">
        <v>15273</v>
      </c>
      <c r="K64" s="7"/>
      <c r="L64" s="5"/>
      <c r="M64" s="19"/>
      <c r="N64" s="4" t="s">
        <v>16125</v>
      </c>
      <c r="O64" s="5"/>
      <c r="P64" s="5" t="s">
        <v>6</v>
      </c>
      <c r="Q64" s="9"/>
      <c r="R64" s="10"/>
      <c r="S64" s="265" t="s">
        <v>5561</v>
      </c>
    </row>
    <row r="65" spans="1:19" ht="12" customHeight="1" thickBot="1">
      <c r="A65" s="916" t="str">
        <f t="shared" si="0"/>
        <v>015</v>
      </c>
      <c r="B65" s="700" t="s">
        <v>5071</v>
      </c>
      <c r="C65" s="700"/>
      <c r="D65" s="1009"/>
      <c r="E65" s="1003" t="str">
        <f t="shared" si="19"/>
        <v/>
      </c>
      <c r="F65" s="1041" t="str">
        <f t="shared" si="20"/>
        <v>$</v>
      </c>
      <c r="G65" s="906" t="s">
        <v>156</v>
      </c>
      <c r="H65" s="356">
        <v>63</v>
      </c>
      <c r="I65" s="702" t="s">
        <v>5</v>
      </c>
      <c r="J65" s="906"/>
      <c r="K65" s="703"/>
      <c r="L65" s="906"/>
      <c r="M65" s="906"/>
      <c r="N65" s="700" t="s">
        <v>16117</v>
      </c>
      <c r="O65" s="906"/>
      <c r="P65" s="906" t="s">
        <v>6</v>
      </c>
      <c r="Q65" s="705"/>
      <c r="R65" s="903"/>
      <c r="S65" s="793"/>
    </row>
    <row r="66" spans="1:19" ht="12" customHeight="1">
      <c r="A66" s="1038" t="str">
        <f t="shared" si="0"/>
        <v>016</v>
      </c>
      <c r="B66" s="688" t="s">
        <v>160</v>
      </c>
      <c r="C66" s="688"/>
      <c r="D66" s="1007"/>
      <c r="E66" s="1001" t="str">
        <f>IF(D66="","",D66/SUM($D$66:$D$68))</f>
        <v/>
      </c>
      <c r="F66" s="1004" t="e">
        <f>IF(J66="","$",IF(C66="当選","-",D66*100/MAX($D$66:$D$68)))</f>
        <v>#DIV/0!</v>
      </c>
      <c r="G66" s="689" t="s">
        <v>917</v>
      </c>
      <c r="H66" s="689">
        <v>58</v>
      </c>
      <c r="I66" s="689" t="s">
        <v>5</v>
      </c>
      <c r="J66" s="689" t="s">
        <v>15273</v>
      </c>
      <c r="K66" s="691" t="s">
        <v>1311</v>
      </c>
      <c r="L66" s="689"/>
      <c r="M66" s="736"/>
      <c r="N66" s="692" t="s">
        <v>16127</v>
      </c>
      <c r="O66" s="689" t="s">
        <v>736</v>
      </c>
      <c r="P66" s="689" t="s">
        <v>25</v>
      </c>
      <c r="Q66" s="693">
        <v>3</v>
      </c>
      <c r="R66" s="694">
        <v>3</v>
      </c>
      <c r="S66" s="1039" t="s">
        <v>736</v>
      </c>
    </row>
    <row r="67" spans="1:19" ht="12" customHeight="1">
      <c r="A67" s="1040" t="str">
        <f t="shared" ref="A67:A130" si="21">MIDB(B67,1,3)</f>
        <v>016</v>
      </c>
      <c r="B67" s="4" t="s">
        <v>161</v>
      </c>
      <c r="C67" s="4"/>
      <c r="D67" s="1008"/>
      <c r="E67" s="1002" t="str">
        <f t="shared" ref="E67:E68" si="22">IF(D67="","",D67/SUM($D$66:$D$68))</f>
        <v/>
      </c>
      <c r="F67" s="1005" t="e">
        <f t="shared" ref="F67:F68" si="23">IF(J67="","$",IF(C67="当選","-",D67*100/MAX($D$66:$D$68)))</f>
        <v>#DIV/0!</v>
      </c>
      <c r="G67" s="5" t="s">
        <v>927</v>
      </c>
      <c r="H67" s="5">
        <v>47</v>
      </c>
      <c r="I67" s="5" t="s">
        <v>5</v>
      </c>
      <c r="J67" s="5" t="s">
        <v>15273</v>
      </c>
      <c r="K67" s="7" t="s">
        <v>1331</v>
      </c>
      <c r="L67" s="5"/>
      <c r="M67" s="19"/>
      <c r="N67" s="4" t="s">
        <v>16120</v>
      </c>
      <c r="O67" s="5" t="s">
        <v>48</v>
      </c>
      <c r="P67" s="5" t="s">
        <v>25</v>
      </c>
      <c r="Q67" s="9">
        <v>5</v>
      </c>
      <c r="R67" s="10">
        <v>5</v>
      </c>
      <c r="S67" s="265" t="s">
        <v>5457</v>
      </c>
    </row>
    <row r="68" spans="1:19" ht="12" customHeight="1" thickBot="1">
      <c r="A68" s="916" t="str">
        <f t="shared" si="21"/>
        <v>016</v>
      </c>
      <c r="B68" s="700" t="s">
        <v>162</v>
      </c>
      <c r="C68" s="700"/>
      <c r="D68" s="1009"/>
      <c r="E68" s="1036" t="str">
        <f t="shared" si="22"/>
        <v/>
      </c>
      <c r="F68" s="1006" t="str">
        <f t="shared" si="23"/>
        <v>$</v>
      </c>
      <c r="G68" s="906" t="s">
        <v>16091</v>
      </c>
      <c r="H68" s="356">
        <v>51</v>
      </c>
      <c r="I68" s="702" t="s">
        <v>5</v>
      </c>
      <c r="J68" s="906"/>
      <c r="K68" s="703"/>
      <c r="L68" s="906"/>
      <c r="M68" s="906"/>
      <c r="N68" s="700" t="s">
        <v>16117</v>
      </c>
      <c r="O68" s="906"/>
      <c r="P68" s="906" t="s">
        <v>6</v>
      </c>
      <c r="Q68" s="705"/>
      <c r="R68" s="903"/>
      <c r="S68" s="793"/>
    </row>
    <row r="69" spans="1:19" ht="12" customHeight="1">
      <c r="A69" s="1038" t="str">
        <f t="shared" si="21"/>
        <v>017</v>
      </c>
      <c r="B69" s="688" t="s">
        <v>165</v>
      </c>
      <c r="C69" s="688"/>
      <c r="D69" s="1007"/>
      <c r="E69" s="1001" t="str">
        <f>IF(D69="","",D69/SUM($D$69:$D$73))</f>
        <v/>
      </c>
      <c r="F69" s="1004" t="e">
        <f>IF(J69="","$",IF(C69="当選","-",D69*100/MAX($D$69:$D$73)))</f>
        <v>#DIV/0!</v>
      </c>
      <c r="G69" s="689" t="s">
        <v>855</v>
      </c>
      <c r="H69" s="689">
        <v>46</v>
      </c>
      <c r="I69" s="689" t="s">
        <v>5</v>
      </c>
      <c r="J69" s="689" t="s">
        <v>15273</v>
      </c>
      <c r="K69" s="691" t="s">
        <v>1332</v>
      </c>
      <c r="L69" s="689"/>
      <c r="M69" s="736"/>
      <c r="N69" s="692" t="s">
        <v>16126</v>
      </c>
      <c r="O69" s="689" t="s">
        <v>44</v>
      </c>
      <c r="P69" s="689" t="s">
        <v>25</v>
      </c>
      <c r="Q69" s="693">
        <v>2</v>
      </c>
      <c r="R69" s="694">
        <v>2</v>
      </c>
      <c r="S69" s="1039" t="s">
        <v>736</v>
      </c>
    </row>
    <row r="70" spans="1:19" ht="12" customHeight="1">
      <c r="A70" s="1040" t="str">
        <f t="shared" si="21"/>
        <v>017</v>
      </c>
      <c r="B70" s="4" t="s">
        <v>166</v>
      </c>
      <c r="C70" s="4"/>
      <c r="D70" s="1008"/>
      <c r="E70" s="1002" t="str">
        <f>IF(D70="","",D70/SUM($D$69:$D$73))</f>
        <v/>
      </c>
      <c r="F70" s="1005" t="e">
        <f>IF(J70="","$",IF(C70="当選","-",D70*100/MAX($D$69:$D$73)))</f>
        <v>#DIV/0!</v>
      </c>
      <c r="G70" s="1" t="s">
        <v>171</v>
      </c>
      <c r="H70" s="5">
        <v>54</v>
      </c>
      <c r="I70" s="2" t="s">
        <v>19</v>
      </c>
      <c r="J70" s="1" t="s">
        <v>15273</v>
      </c>
      <c r="K70" s="3"/>
      <c r="L70" s="1"/>
      <c r="M70" s="1"/>
      <c r="N70" s="8" t="s">
        <v>16120</v>
      </c>
      <c r="O70" s="1" t="s">
        <v>30</v>
      </c>
      <c r="P70" s="1" t="s">
        <v>6</v>
      </c>
      <c r="Q70" s="16"/>
      <c r="R70" s="17"/>
      <c r="S70" s="774"/>
    </row>
    <row r="71" spans="1:19" ht="12" customHeight="1">
      <c r="A71" s="1040" t="str">
        <f t="shared" si="21"/>
        <v>017</v>
      </c>
      <c r="B71" s="4" t="s">
        <v>167</v>
      </c>
      <c r="C71" s="4"/>
      <c r="D71" s="1008"/>
      <c r="E71" s="1002" t="str">
        <f>IF(D71="","",D71/SUM($D$69:$D$73))</f>
        <v/>
      </c>
      <c r="F71" s="1005" t="e">
        <f>IF(J71="","$",IF(C71="当選","-",D71*100/MAX($D$69:$D$73)))</f>
        <v>#DIV/0!</v>
      </c>
      <c r="G71" s="1" t="s">
        <v>5990</v>
      </c>
      <c r="H71" s="5">
        <v>47</v>
      </c>
      <c r="I71" s="2" t="s">
        <v>19</v>
      </c>
      <c r="J71" s="1" t="s">
        <v>15273</v>
      </c>
      <c r="K71" s="3"/>
      <c r="L71" s="1"/>
      <c r="M71" s="1"/>
      <c r="N71" s="4" t="s">
        <v>16125</v>
      </c>
      <c r="O71" s="1"/>
      <c r="P71" s="1" t="s">
        <v>6</v>
      </c>
      <c r="Q71" s="16"/>
      <c r="R71" s="17"/>
      <c r="S71" s="774" t="s">
        <v>5561</v>
      </c>
    </row>
    <row r="72" spans="1:19" ht="12" customHeight="1">
      <c r="A72" s="1040" t="str">
        <f t="shared" si="21"/>
        <v>017</v>
      </c>
      <c r="B72" s="4" t="s">
        <v>168</v>
      </c>
      <c r="C72" s="4"/>
      <c r="D72" s="1008"/>
      <c r="E72" s="1002" t="str">
        <f>IF(D72="","",D72/SUM($D$69:$D$73))</f>
        <v/>
      </c>
      <c r="F72" s="1005" t="str">
        <f>IF(J72="","$",IF(C72="当選","-",D72*100/MAX($D$69:$D$73)))</f>
        <v>$</v>
      </c>
      <c r="G72" s="1" t="s">
        <v>174</v>
      </c>
      <c r="H72" s="5">
        <v>30</v>
      </c>
      <c r="I72" s="2" t="s">
        <v>19</v>
      </c>
      <c r="J72" s="1"/>
      <c r="K72" s="3"/>
      <c r="L72" s="1"/>
      <c r="M72" s="1"/>
      <c r="N72" s="4" t="s">
        <v>16117</v>
      </c>
      <c r="O72" s="1"/>
      <c r="P72" s="1" t="s">
        <v>6</v>
      </c>
      <c r="Q72" s="16"/>
      <c r="R72" s="17"/>
      <c r="S72" s="774"/>
    </row>
    <row r="73" spans="1:19" ht="12" customHeight="1" thickBot="1">
      <c r="A73" s="916" t="str">
        <f t="shared" si="21"/>
        <v>017</v>
      </c>
      <c r="B73" s="700" t="s">
        <v>169</v>
      </c>
      <c r="C73" s="700"/>
      <c r="D73" s="1009"/>
      <c r="E73" s="1003" t="str">
        <f>IF(D73="","",D73/SUM($D$69:$D$73))</f>
        <v/>
      </c>
      <c r="F73" s="1041" t="e">
        <f>IF(J73="","$",IF(C73="当選","-",D73*100/MAX($D$69:$D$73)))</f>
        <v>#DIV/0!</v>
      </c>
      <c r="G73" s="906" t="s">
        <v>177</v>
      </c>
      <c r="H73" s="356">
        <v>65</v>
      </c>
      <c r="I73" s="702" t="s">
        <v>5</v>
      </c>
      <c r="J73" s="906" t="s">
        <v>15273</v>
      </c>
      <c r="K73" s="703"/>
      <c r="L73" s="906"/>
      <c r="M73" s="906"/>
      <c r="N73" s="700" t="s">
        <v>16121</v>
      </c>
      <c r="O73" s="906"/>
      <c r="P73" s="906" t="s">
        <v>6</v>
      </c>
      <c r="Q73" s="705"/>
      <c r="R73" s="903"/>
      <c r="S73" s="793"/>
    </row>
    <row r="74" spans="1:19" ht="12" customHeight="1">
      <c r="A74" s="1038" t="str">
        <f t="shared" si="21"/>
        <v>018</v>
      </c>
      <c r="B74" s="688" t="s">
        <v>183</v>
      </c>
      <c r="C74" s="688"/>
      <c r="D74" s="1007"/>
      <c r="E74" s="1001" t="str">
        <f>IF(D74="","",D74/SUM($D$74:$D$76))</f>
        <v/>
      </c>
      <c r="F74" s="1004" t="e">
        <f>IF(J74="","$",IF(C74="当選","-",D74*100/MAX($D$74:$D$76)))</f>
        <v>#DIV/0!</v>
      </c>
      <c r="G74" s="687" t="s">
        <v>186</v>
      </c>
      <c r="H74" s="689">
        <v>59</v>
      </c>
      <c r="I74" s="696" t="s">
        <v>5</v>
      </c>
      <c r="J74" s="687" t="s">
        <v>15273</v>
      </c>
      <c r="K74" s="747"/>
      <c r="L74" s="687"/>
      <c r="M74" s="687"/>
      <c r="N74" s="688" t="s">
        <v>16120</v>
      </c>
      <c r="O74" s="687" t="s">
        <v>476</v>
      </c>
      <c r="P74" s="687" t="s">
        <v>14</v>
      </c>
      <c r="Q74" s="748">
        <v>6</v>
      </c>
      <c r="R74" s="749">
        <v>6</v>
      </c>
      <c r="S74" s="805" t="s">
        <v>6051</v>
      </c>
    </row>
    <row r="75" spans="1:19" ht="12" customHeight="1">
      <c r="A75" s="1040" t="str">
        <f t="shared" si="21"/>
        <v>018</v>
      </c>
      <c r="B75" s="4" t="s">
        <v>184</v>
      </c>
      <c r="C75" s="4"/>
      <c r="D75" s="1008"/>
      <c r="E75" s="1002" t="str">
        <f t="shared" ref="E75:E76" si="24">IF(D75="","",D75/SUM($D$74:$D$76))</f>
        <v/>
      </c>
      <c r="F75" s="1005" t="e">
        <f t="shared" ref="F75:F76" si="25">IF(J75="","$",IF(C75="当選","-",D75*100/MAX($D$74:$D$76)))</f>
        <v>#DIV/0!</v>
      </c>
      <c r="G75" s="5" t="s">
        <v>920</v>
      </c>
      <c r="H75" s="5">
        <v>49</v>
      </c>
      <c r="I75" s="5" t="s">
        <v>5</v>
      </c>
      <c r="J75" s="1" t="s">
        <v>15273</v>
      </c>
      <c r="K75" s="7" t="s">
        <v>1333</v>
      </c>
      <c r="L75" s="5"/>
      <c r="M75" s="19"/>
      <c r="N75" s="4" t="s">
        <v>16125</v>
      </c>
      <c r="O75" s="5"/>
      <c r="P75" s="5" t="s">
        <v>25</v>
      </c>
      <c r="Q75" s="9">
        <v>1</v>
      </c>
      <c r="R75" s="10">
        <v>1</v>
      </c>
      <c r="S75" s="265" t="s">
        <v>5561</v>
      </c>
    </row>
    <row r="76" spans="1:19" ht="12" customHeight="1" thickBot="1">
      <c r="A76" s="916" t="str">
        <f t="shared" si="21"/>
        <v>018</v>
      </c>
      <c r="B76" s="700" t="s">
        <v>185</v>
      </c>
      <c r="C76" s="700"/>
      <c r="D76" s="1009"/>
      <c r="E76" s="1003" t="str">
        <f t="shared" si="24"/>
        <v/>
      </c>
      <c r="F76" s="1041" t="str">
        <f t="shared" si="25"/>
        <v>$</v>
      </c>
      <c r="G76" s="906" t="s">
        <v>5230</v>
      </c>
      <c r="H76" s="356">
        <v>64</v>
      </c>
      <c r="I76" s="702" t="s">
        <v>5</v>
      </c>
      <c r="J76" s="906"/>
      <c r="K76" s="703"/>
      <c r="L76" s="906"/>
      <c r="M76" s="906"/>
      <c r="N76" s="700" t="s">
        <v>16117</v>
      </c>
      <c r="O76" s="906"/>
      <c r="P76" s="906" t="s">
        <v>6</v>
      </c>
      <c r="Q76" s="705"/>
      <c r="R76" s="903"/>
      <c r="S76" s="793"/>
    </row>
    <row r="77" spans="1:19" ht="12" customHeight="1">
      <c r="A77" s="1038" t="str">
        <f t="shared" si="21"/>
        <v>019</v>
      </c>
      <c r="B77" s="688" t="s">
        <v>190</v>
      </c>
      <c r="C77" s="688"/>
      <c r="D77" s="1007"/>
      <c r="E77" s="1001" t="str">
        <f>IF(D77="","",D77/SUM($D$77:$D$80))</f>
        <v/>
      </c>
      <c r="F77" s="1004" t="e">
        <f>IF(J77="","$",IF(C77="当選","-",D77*100/MAX($D$77:$D$80)))</f>
        <v>#DIV/0!</v>
      </c>
      <c r="G77" s="689" t="s">
        <v>853</v>
      </c>
      <c r="H77" s="689">
        <v>59</v>
      </c>
      <c r="I77" s="689" t="s">
        <v>5</v>
      </c>
      <c r="J77" s="689" t="s">
        <v>15273</v>
      </c>
      <c r="K77" s="691" t="s">
        <v>1334</v>
      </c>
      <c r="L77" s="689"/>
      <c r="M77" s="736"/>
      <c r="N77" s="692" t="s">
        <v>16127</v>
      </c>
      <c r="O77" s="689" t="s">
        <v>737</v>
      </c>
      <c r="P77" s="689" t="s">
        <v>25</v>
      </c>
      <c r="Q77" s="693">
        <v>4</v>
      </c>
      <c r="R77" s="694">
        <v>4</v>
      </c>
      <c r="S77" s="1039" t="s">
        <v>736</v>
      </c>
    </row>
    <row r="78" spans="1:19" ht="12" customHeight="1">
      <c r="A78" s="1040" t="str">
        <f t="shared" si="21"/>
        <v>019</v>
      </c>
      <c r="B78" s="4" t="s">
        <v>191</v>
      </c>
      <c r="C78" s="4"/>
      <c r="D78" s="1008"/>
      <c r="E78" s="1002" t="str">
        <f t="shared" ref="E78:E80" si="26">IF(D78="","",D78/SUM($D$77:$D$80))</f>
        <v/>
      </c>
      <c r="F78" s="1005" t="e">
        <f t="shared" ref="F78:F80" si="27">IF(J78="","$",IF(C78="当選","-",D78*100/MAX($D$77:$D$80)))</f>
        <v>#DIV/0!</v>
      </c>
      <c r="G78" s="1" t="s">
        <v>194</v>
      </c>
      <c r="H78" s="5">
        <v>45</v>
      </c>
      <c r="I78" s="2" t="s">
        <v>5</v>
      </c>
      <c r="J78" s="1" t="s">
        <v>15273</v>
      </c>
      <c r="K78" s="3"/>
      <c r="L78" s="1"/>
      <c r="M78" s="1"/>
      <c r="N78" s="4" t="s">
        <v>16120</v>
      </c>
      <c r="O78" s="1" t="s">
        <v>48</v>
      </c>
      <c r="P78" s="1" t="s">
        <v>6</v>
      </c>
      <c r="Q78" s="16"/>
      <c r="R78" s="17"/>
      <c r="S78" s="774"/>
    </row>
    <row r="79" spans="1:19" ht="12" customHeight="1">
      <c r="A79" s="1040" t="str">
        <f t="shared" si="21"/>
        <v>019</v>
      </c>
      <c r="B79" s="4" t="s">
        <v>192</v>
      </c>
      <c r="C79" s="4"/>
      <c r="D79" s="1008"/>
      <c r="E79" s="1002" t="str">
        <f t="shared" si="26"/>
        <v/>
      </c>
      <c r="F79" s="1005" t="e">
        <f t="shared" si="27"/>
        <v>#DIV/0!</v>
      </c>
      <c r="G79" s="1" t="s">
        <v>3205</v>
      </c>
      <c r="H79" s="5">
        <v>46</v>
      </c>
      <c r="I79" s="2" t="s">
        <v>19</v>
      </c>
      <c r="J79" s="1" t="s">
        <v>15273</v>
      </c>
      <c r="K79" s="3"/>
      <c r="L79" s="1"/>
      <c r="M79" s="1"/>
      <c r="N79" s="4" t="s">
        <v>16125</v>
      </c>
      <c r="O79" s="1"/>
      <c r="P79" s="1" t="s">
        <v>6</v>
      </c>
      <c r="Q79" s="16"/>
      <c r="R79" s="17"/>
      <c r="S79" s="774" t="s">
        <v>5561</v>
      </c>
    </row>
    <row r="80" spans="1:19" ht="12" customHeight="1" thickBot="1">
      <c r="A80" s="916" t="str">
        <f t="shared" si="21"/>
        <v>019</v>
      </c>
      <c r="B80" s="700" t="s">
        <v>193</v>
      </c>
      <c r="C80" s="700"/>
      <c r="D80" s="1009"/>
      <c r="E80" s="1003" t="str">
        <f t="shared" si="26"/>
        <v/>
      </c>
      <c r="F80" s="1041" t="str">
        <f t="shared" si="27"/>
        <v>$</v>
      </c>
      <c r="G80" s="906" t="s">
        <v>196</v>
      </c>
      <c r="H80" s="356">
        <v>53</v>
      </c>
      <c r="I80" s="702" t="s">
        <v>5</v>
      </c>
      <c r="J80" s="906"/>
      <c r="K80" s="703"/>
      <c r="L80" s="906"/>
      <c r="M80" s="906"/>
      <c r="N80" s="700" t="s">
        <v>16117</v>
      </c>
      <c r="O80" s="906"/>
      <c r="P80" s="906" t="s">
        <v>6</v>
      </c>
      <c r="Q80" s="705"/>
      <c r="R80" s="903"/>
      <c r="S80" s="793"/>
    </row>
    <row r="81" spans="1:19" ht="12" customHeight="1">
      <c r="A81" s="1038" t="str">
        <f t="shared" si="21"/>
        <v>020</v>
      </c>
      <c r="B81" s="688" t="s">
        <v>198</v>
      </c>
      <c r="C81" s="688"/>
      <c r="D81" s="1007"/>
      <c r="E81" s="1001" t="str">
        <f>IF(D81="","",D81/SUM($D$81:$D$84))</f>
        <v/>
      </c>
      <c r="F81" s="1004" t="e">
        <f>IF(J81="","$",IF(C81="当選","-",D81*100/MAX($D$81:$D$84)))</f>
        <v>#DIV/0!</v>
      </c>
      <c r="G81" s="687" t="s">
        <v>6034</v>
      </c>
      <c r="H81" s="689">
        <v>56</v>
      </c>
      <c r="I81" s="696" t="s">
        <v>5</v>
      </c>
      <c r="J81" s="689" t="s">
        <v>15273</v>
      </c>
      <c r="K81" s="747"/>
      <c r="L81" s="687"/>
      <c r="M81" s="687"/>
      <c r="N81" s="692" t="s">
        <v>16127</v>
      </c>
      <c r="O81" s="687" t="s">
        <v>737</v>
      </c>
      <c r="P81" s="687" t="s">
        <v>6</v>
      </c>
      <c r="Q81" s="748"/>
      <c r="R81" s="749"/>
      <c r="S81" s="805"/>
    </row>
    <row r="82" spans="1:19" ht="12" customHeight="1">
      <c r="A82" s="1040" t="str">
        <f t="shared" si="21"/>
        <v>020</v>
      </c>
      <c r="B82" s="4" t="s">
        <v>199</v>
      </c>
      <c r="C82" s="4"/>
      <c r="D82" s="1008"/>
      <c r="E82" s="1002" t="str">
        <f t="shared" ref="E82:E84" si="28">IF(D82="","",D82/SUM($D$81:$D$84))</f>
        <v/>
      </c>
      <c r="F82" s="1005" t="e">
        <f t="shared" ref="F82:F84" si="29">IF(J82="","$",IF(C82="当選","-",D82*100/MAX($D$81:$D$84)))</f>
        <v>#DIV/0!</v>
      </c>
      <c r="G82" s="1" t="s">
        <v>202</v>
      </c>
      <c r="H82" s="5">
        <v>29</v>
      </c>
      <c r="I82" s="2" t="s">
        <v>5</v>
      </c>
      <c r="J82" s="1" t="s">
        <v>15273</v>
      </c>
      <c r="K82" s="3"/>
      <c r="L82" s="1"/>
      <c r="M82" s="1"/>
      <c r="N82" s="8" t="s">
        <v>16120</v>
      </c>
      <c r="O82" s="1" t="s">
        <v>30</v>
      </c>
      <c r="P82" s="1" t="s">
        <v>6</v>
      </c>
      <c r="Q82" s="16"/>
      <c r="R82" s="17"/>
      <c r="S82" s="774"/>
    </row>
    <row r="83" spans="1:19" ht="12" customHeight="1">
      <c r="A83" s="1040" t="str">
        <f t="shared" si="21"/>
        <v>020</v>
      </c>
      <c r="B83" s="4" t="s">
        <v>200</v>
      </c>
      <c r="C83" s="4"/>
      <c r="D83" s="1008"/>
      <c r="E83" s="1002" t="str">
        <f t="shared" si="28"/>
        <v/>
      </c>
      <c r="F83" s="1005" t="str">
        <f t="shared" si="29"/>
        <v>$</v>
      </c>
      <c r="G83" s="5" t="s">
        <v>890</v>
      </c>
      <c r="H83" s="5">
        <v>70</v>
      </c>
      <c r="I83" s="5" t="s">
        <v>5</v>
      </c>
      <c r="J83" s="1"/>
      <c r="K83" s="7" t="s">
        <v>1335</v>
      </c>
      <c r="L83" s="5"/>
      <c r="M83" s="19"/>
      <c r="N83" s="4" t="s">
        <v>16125</v>
      </c>
      <c r="O83" s="5"/>
      <c r="P83" s="5" t="s">
        <v>25</v>
      </c>
      <c r="Q83" s="9">
        <v>14</v>
      </c>
      <c r="R83" s="10">
        <v>14</v>
      </c>
      <c r="S83" s="1044" t="s">
        <v>5561</v>
      </c>
    </row>
    <row r="84" spans="1:19" ht="12" customHeight="1" thickBot="1">
      <c r="A84" s="916" t="str">
        <f t="shared" si="21"/>
        <v>020</v>
      </c>
      <c r="B84" s="700" t="s">
        <v>201</v>
      </c>
      <c r="C84" s="700"/>
      <c r="D84" s="1009"/>
      <c r="E84" s="1003" t="str">
        <f t="shared" si="28"/>
        <v/>
      </c>
      <c r="F84" s="1041" t="str">
        <f t="shared" si="29"/>
        <v>$</v>
      </c>
      <c r="G84" s="906" t="s">
        <v>205</v>
      </c>
      <c r="H84" s="356">
        <v>65</v>
      </c>
      <c r="I84" s="702" t="s">
        <v>5</v>
      </c>
      <c r="J84" s="906"/>
      <c r="K84" s="703"/>
      <c r="L84" s="906"/>
      <c r="M84" s="906"/>
      <c r="N84" s="700" t="s">
        <v>16117</v>
      </c>
      <c r="O84" s="906"/>
      <c r="P84" s="906" t="s">
        <v>6</v>
      </c>
      <c r="Q84" s="705"/>
      <c r="R84" s="903"/>
      <c r="S84" s="793"/>
    </row>
    <row r="85" spans="1:19" ht="12" customHeight="1">
      <c r="A85" s="1038" t="str">
        <f t="shared" si="21"/>
        <v>021</v>
      </c>
      <c r="B85" s="688" t="s">
        <v>207</v>
      </c>
      <c r="C85" s="688"/>
      <c r="D85" s="1007"/>
      <c r="E85" s="1001" t="str">
        <f>IF(D85="","",D85/SUM($D$85:$D$90))</f>
        <v/>
      </c>
      <c r="F85" s="1004" t="e">
        <f>IF(J85="","$",IF(C85="当選","-",D85*100/MAX($D$85:$D$90)))</f>
        <v>#DIV/0!</v>
      </c>
      <c r="G85" s="689" t="s">
        <v>866</v>
      </c>
      <c r="H85" s="689">
        <v>55</v>
      </c>
      <c r="I85" s="689" t="s">
        <v>19</v>
      </c>
      <c r="J85" s="689" t="s">
        <v>15273</v>
      </c>
      <c r="K85" s="691" t="s">
        <v>1336</v>
      </c>
      <c r="L85" s="689"/>
      <c r="M85" s="736"/>
      <c r="N85" s="692" t="s">
        <v>16126</v>
      </c>
      <c r="O85" s="689" t="s">
        <v>44</v>
      </c>
      <c r="P85" s="689" t="s">
        <v>25</v>
      </c>
      <c r="Q85" s="693">
        <v>2</v>
      </c>
      <c r="R85" s="694">
        <v>2</v>
      </c>
      <c r="S85" s="1039" t="s">
        <v>736</v>
      </c>
    </row>
    <row r="86" spans="1:19" ht="12" customHeight="1">
      <c r="A86" s="1040" t="str">
        <f t="shared" si="21"/>
        <v>021</v>
      </c>
      <c r="B86" s="4" t="s">
        <v>208</v>
      </c>
      <c r="C86" s="4"/>
      <c r="D86" s="1008"/>
      <c r="E86" s="1002" t="str">
        <f t="shared" ref="E86:E90" si="30">IF(D86="","",D86/SUM($D$85:$D$90))</f>
        <v/>
      </c>
      <c r="F86" s="1005" t="e">
        <f t="shared" ref="F86:F90" si="31">IF(J86="","$",IF(C86="当選","-",D86*100/MAX($D$85:$D$90)))</f>
        <v>#DIV/0!</v>
      </c>
      <c r="G86" s="1" t="s">
        <v>213</v>
      </c>
      <c r="H86" s="5">
        <v>54</v>
      </c>
      <c r="I86" s="2" t="s">
        <v>5</v>
      </c>
      <c r="J86" s="1" t="s">
        <v>15273</v>
      </c>
      <c r="K86" s="3"/>
      <c r="L86" s="1"/>
      <c r="M86" s="1"/>
      <c r="N86" s="4" t="s">
        <v>16120</v>
      </c>
      <c r="O86" s="1" t="s">
        <v>48</v>
      </c>
      <c r="P86" s="1" t="s">
        <v>14</v>
      </c>
      <c r="Q86" s="16">
        <v>1</v>
      </c>
      <c r="R86" s="17">
        <v>1</v>
      </c>
      <c r="S86" s="774"/>
    </row>
    <row r="87" spans="1:19" ht="12" customHeight="1">
      <c r="A87" s="1040" t="str">
        <f t="shared" si="21"/>
        <v>021</v>
      </c>
      <c r="B87" s="4" t="s">
        <v>209</v>
      </c>
      <c r="C87" s="4"/>
      <c r="D87" s="1008"/>
      <c r="E87" s="1002" t="str">
        <f t="shared" si="30"/>
        <v/>
      </c>
      <c r="F87" s="1005" t="e">
        <f t="shared" si="31"/>
        <v>#DIV/0!</v>
      </c>
      <c r="G87" s="1" t="s">
        <v>2540</v>
      </c>
      <c r="H87" s="5">
        <v>47</v>
      </c>
      <c r="I87" s="2" t="s">
        <v>5</v>
      </c>
      <c r="J87" s="1" t="s">
        <v>15273</v>
      </c>
      <c r="K87" s="3"/>
      <c r="L87" s="1"/>
      <c r="M87" s="1"/>
      <c r="N87" s="4" t="s">
        <v>16125</v>
      </c>
      <c r="O87" s="1"/>
      <c r="P87" s="1" t="s">
        <v>6</v>
      </c>
      <c r="Q87" s="16"/>
      <c r="R87" s="17"/>
      <c r="S87" s="774" t="s">
        <v>5561</v>
      </c>
    </row>
    <row r="88" spans="1:19" ht="12" customHeight="1">
      <c r="A88" s="1040" t="str">
        <f t="shared" si="21"/>
        <v>021</v>
      </c>
      <c r="B88" s="4" t="s">
        <v>210</v>
      </c>
      <c r="C88" s="4"/>
      <c r="D88" s="1008"/>
      <c r="E88" s="1002" t="str">
        <f t="shared" si="30"/>
        <v/>
      </c>
      <c r="F88" s="1005" t="e">
        <f t="shared" si="31"/>
        <v>#DIV/0!</v>
      </c>
      <c r="G88" s="1" t="s">
        <v>16095</v>
      </c>
      <c r="H88" s="5">
        <v>35</v>
      </c>
      <c r="I88" s="2" t="s">
        <v>5</v>
      </c>
      <c r="J88" s="1" t="s">
        <v>15273</v>
      </c>
      <c r="K88" s="3"/>
      <c r="L88" s="1"/>
      <c r="M88" s="1"/>
      <c r="N88" s="4" t="s">
        <v>18495</v>
      </c>
      <c r="O88" s="1"/>
      <c r="P88" s="1" t="s">
        <v>6</v>
      </c>
      <c r="Q88" s="16"/>
      <c r="R88" s="17"/>
      <c r="S88" s="774" t="s">
        <v>6031</v>
      </c>
    </row>
    <row r="89" spans="1:19" ht="12" customHeight="1">
      <c r="A89" s="1040" t="str">
        <f t="shared" si="21"/>
        <v>021</v>
      </c>
      <c r="B89" s="4" t="s">
        <v>2539</v>
      </c>
      <c r="C89" s="4"/>
      <c r="D89" s="1008"/>
      <c r="E89" s="1002" t="str">
        <f t="shared" si="30"/>
        <v/>
      </c>
      <c r="F89" s="1005" t="str">
        <f t="shared" si="31"/>
        <v>$</v>
      </c>
      <c r="G89" s="1" t="s">
        <v>220</v>
      </c>
      <c r="H89" s="5">
        <v>53</v>
      </c>
      <c r="I89" s="2" t="s">
        <v>5</v>
      </c>
      <c r="J89" s="1"/>
      <c r="K89" s="3"/>
      <c r="L89" s="1"/>
      <c r="M89" s="1"/>
      <c r="N89" s="4" t="s">
        <v>16117</v>
      </c>
      <c r="O89" s="1"/>
      <c r="P89" s="1" t="s">
        <v>6</v>
      </c>
      <c r="Q89" s="16"/>
      <c r="R89" s="17"/>
      <c r="S89" s="774"/>
    </row>
    <row r="90" spans="1:19" ht="12" customHeight="1" thickBot="1">
      <c r="A90" s="916" t="str">
        <f t="shared" si="21"/>
        <v>021</v>
      </c>
      <c r="B90" s="700" t="s">
        <v>4658</v>
      </c>
      <c r="C90" s="700"/>
      <c r="D90" s="1009"/>
      <c r="E90" s="1003" t="str">
        <f t="shared" si="30"/>
        <v/>
      </c>
      <c r="F90" s="1041" t="e">
        <f t="shared" si="31"/>
        <v>#DIV/0!</v>
      </c>
      <c r="G90" s="906" t="s">
        <v>4659</v>
      </c>
      <c r="H90" s="356">
        <v>33</v>
      </c>
      <c r="I90" s="702" t="s">
        <v>5</v>
      </c>
      <c r="J90" s="906" t="s">
        <v>15273</v>
      </c>
      <c r="K90" s="703"/>
      <c r="L90" s="906"/>
      <c r="M90" s="906"/>
      <c r="N90" s="700" t="s">
        <v>16121</v>
      </c>
      <c r="O90" s="906"/>
      <c r="P90" s="906" t="s">
        <v>6</v>
      </c>
      <c r="Q90" s="705"/>
      <c r="R90" s="903"/>
      <c r="S90" s="793"/>
    </row>
    <row r="91" spans="1:19" ht="12" customHeight="1">
      <c r="A91" s="1038" t="str">
        <f t="shared" si="21"/>
        <v>022</v>
      </c>
      <c r="B91" s="688" t="s">
        <v>223</v>
      </c>
      <c r="C91" s="688"/>
      <c r="D91" s="1007"/>
      <c r="E91" s="1001" t="str">
        <f>IF(D91="","",D91/SUM($D$91:$D$96))</f>
        <v/>
      </c>
      <c r="F91" s="1004" t="e">
        <f>IF(J91="","$",IF(C91="当選","-",D91*100/MAX($D$91:$D$96)))</f>
        <v>#DIV/0!</v>
      </c>
      <c r="G91" s="690" t="s">
        <v>873</v>
      </c>
      <c r="H91" s="689">
        <v>64</v>
      </c>
      <c r="I91" s="690" t="s">
        <v>5</v>
      </c>
      <c r="J91" s="689" t="s">
        <v>15273</v>
      </c>
      <c r="K91" s="783" t="s">
        <v>1337</v>
      </c>
      <c r="L91" s="689" t="s">
        <v>373</v>
      </c>
      <c r="M91" s="736"/>
      <c r="N91" s="692" t="s">
        <v>16127</v>
      </c>
      <c r="O91" s="690" t="s">
        <v>45</v>
      </c>
      <c r="P91" s="690" t="s">
        <v>14</v>
      </c>
      <c r="Q91" s="737">
        <v>2</v>
      </c>
      <c r="R91" s="738">
        <v>4</v>
      </c>
      <c r="S91" s="1042" t="s">
        <v>736</v>
      </c>
    </row>
    <row r="92" spans="1:19" ht="12" customHeight="1">
      <c r="A92" s="1040" t="str">
        <f t="shared" si="21"/>
        <v>022</v>
      </c>
      <c r="B92" s="4" t="s">
        <v>224</v>
      </c>
      <c r="C92" s="4"/>
      <c r="D92" s="1008"/>
      <c r="E92" s="1002" t="str">
        <f t="shared" ref="E92:E96" si="32">IF(D92="","",D92/SUM($D$91:$D$96))</f>
        <v/>
      </c>
      <c r="F92" s="1005" t="e">
        <f t="shared" ref="F92:F96" si="33">IF(J92="","$",IF(C92="当選","-",D92*100/MAX($D$91:$D$96)))</f>
        <v>#DIV/0!</v>
      </c>
      <c r="G92" s="5" t="s">
        <v>885</v>
      </c>
      <c r="H92" s="5">
        <v>50</v>
      </c>
      <c r="I92" s="5" t="s">
        <v>5</v>
      </c>
      <c r="J92" s="5" t="s">
        <v>15273</v>
      </c>
      <c r="K92" s="7" t="s">
        <v>1313</v>
      </c>
      <c r="L92" s="5"/>
      <c r="M92" s="19"/>
      <c r="N92" s="4" t="s">
        <v>16120</v>
      </c>
      <c r="O92" s="5" t="s">
        <v>30</v>
      </c>
      <c r="P92" s="5" t="s">
        <v>25</v>
      </c>
      <c r="Q92" s="9">
        <v>3</v>
      </c>
      <c r="R92" s="10">
        <v>3</v>
      </c>
      <c r="S92" s="265"/>
    </row>
    <row r="93" spans="1:19" ht="12" customHeight="1">
      <c r="A93" s="1040" t="str">
        <f t="shared" si="21"/>
        <v>022</v>
      </c>
      <c r="B93" s="4" t="s">
        <v>225</v>
      </c>
      <c r="C93" s="4"/>
      <c r="D93" s="1008"/>
      <c r="E93" s="1002" t="str">
        <f t="shared" si="32"/>
        <v/>
      </c>
      <c r="F93" s="1005" t="e">
        <f t="shared" si="33"/>
        <v>#DIV/0!</v>
      </c>
      <c r="G93" s="5" t="s">
        <v>877</v>
      </c>
      <c r="H93" s="5">
        <v>43</v>
      </c>
      <c r="I93" s="5" t="s">
        <v>5</v>
      </c>
      <c r="J93" s="1" t="s">
        <v>15273</v>
      </c>
      <c r="K93" s="7" t="s">
        <v>1338</v>
      </c>
      <c r="L93" s="5"/>
      <c r="M93" s="19"/>
      <c r="N93" s="4" t="s">
        <v>16125</v>
      </c>
      <c r="O93" s="5"/>
      <c r="P93" s="5" t="s">
        <v>25</v>
      </c>
      <c r="Q93" s="9">
        <v>1</v>
      </c>
      <c r="R93" s="10">
        <v>1</v>
      </c>
      <c r="S93" s="265" t="s">
        <v>5561</v>
      </c>
    </row>
    <row r="94" spans="1:19" ht="12" customHeight="1">
      <c r="A94" s="1040" t="str">
        <f t="shared" si="21"/>
        <v>022</v>
      </c>
      <c r="B94" s="4" t="s">
        <v>226</v>
      </c>
      <c r="C94" s="4"/>
      <c r="D94" s="1008"/>
      <c r="E94" s="1002" t="str">
        <f t="shared" si="32"/>
        <v/>
      </c>
      <c r="F94" s="1005" t="e">
        <f t="shared" si="33"/>
        <v>#DIV/0!</v>
      </c>
      <c r="G94" s="1" t="s">
        <v>238</v>
      </c>
      <c r="H94" s="5">
        <v>64</v>
      </c>
      <c r="I94" s="2" t="s">
        <v>5</v>
      </c>
      <c r="J94" s="1" t="s">
        <v>15273</v>
      </c>
      <c r="K94" s="3"/>
      <c r="L94" s="1"/>
      <c r="M94" s="1"/>
      <c r="N94" s="4" t="s">
        <v>16116</v>
      </c>
      <c r="O94" s="1" t="s">
        <v>4993</v>
      </c>
      <c r="P94" s="1" t="s">
        <v>14</v>
      </c>
      <c r="Q94" s="16">
        <v>3</v>
      </c>
      <c r="R94" s="17">
        <v>3</v>
      </c>
      <c r="S94" s="774"/>
    </row>
    <row r="95" spans="1:19" ht="12" customHeight="1">
      <c r="A95" s="1040" t="str">
        <f t="shared" si="21"/>
        <v>022</v>
      </c>
      <c r="B95" s="4" t="s">
        <v>227</v>
      </c>
      <c r="C95" s="4"/>
      <c r="D95" s="1008"/>
      <c r="E95" s="1002" t="str">
        <f t="shared" si="32"/>
        <v/>
      </c>
      <c r="F95" s="1005" t="e">
        <f t="shared" si="33"/>
        <v>#DIV/0!</v>
      </c>
      <c r="G95" s="1" t="s">
        <v>235</v>
      </c>
      <c r="H95" s="5">
        <v>52</v>
      </c>
      <c r="I95" s="2" t="s">
        <v>5</v>
      </c>
      <c r="J95" s="1" t="s">
        <v>15273</v>
      </c>
      <c r="K95" s="3"/>
      <c r="L95" s="1"/>
      <c r="M95" s="1"/>
      <c r="N95" s="4" t="s">
        <v>18495</v>
      </c>
      <c r="O95" s="1"/>
      <c r="P95" s="1" t="s">
        <v>6</v>
      </c>
      <c r="Q95" s="16"/>
      <c r="R95" s="17"/>
      <c r="S95" s="774"/>
    </row>
    <row r="96" spans="1:19" ht="12" customHeight="1" thickBot="1">
      <c r="A96" s="916" t="str">
        <f t="shared" si="21"/>
        <v>022</v>
      </c>
      <c r="B96" s="700" t="s">
        <v>228</v>
      </c>
      <c r="C96" s="700"/>
      <c r="D96" s="1009"/>
      <c r="E96" s="1003" t="str">
        <f t="shared" si="32"/>
        <v/>
      </c>
      <c r="F96" s="1041" t="str">
        <f t="shared" si="33"/>
        <v>$</v>
      </c>
      <c r="G96" s="906" t="s">
        <v>231</v>
      </c>
      <c r="H96" s="356">
        <v>52</v>
      </c>
      <c r="I96" s="702" t="s">
        <v>19</v>
      </c>
      <c r="J96" s="906"/>
      <c r="K96" s="703"/>
      <c r="L96" s="906"/>
      <c r="M96" s="906"/>
      <c r="N96" s="700" t="s">
        <v>16117</v>
      </c>
      <c r="O96" s="906"/>
      <c r="P96" s="906" t="s">
        <v>6</v>
      </c>
      <c r="Q96" s="705"/>
      <c r="R96" s="903"/>
      <c r="S96" s="793"/>
    </row>
    <row r="97" spans="1:19" ht="12" customHeight="1">
      <c r="A97" s="1038" t="str">
        <f t="shared" si="21"/>
        <v>023</v>
      </c>
      <c r="B97" s="688" t="s">
        <v>241</v>
      </c>
      <c r="C97" s="688"/>
      <c r="D97" s="1007"/>
      <c r="E97" s="1001" t="str">
        <f>IF(D97="","",D97/SUM($D$97:$D$99))</f>
        <v/>
      </c>
      <c r="F97" s="1004" t="e">
        <f>IF(J97="","$",IF(C97="当選","-",D97*100/MAX($D$97:$D$99)))</f>
        <v>#DIV/0!</v>
      </c>
      <c r="G97" s="689" t="s">
        <v>863</v>
      </c>
      <c r="H97" s="689">
        <v>41</v>
      </c>
      <c r="I97" s="689" t="s">
        <v>5</v>
      </c>
      <c r="J97" s="689" t="s">
        <v>15273</v>
      </c>
      <c r="K97" s="691" t="s">
        <v>1339</v>
      </c>
      <c r="L97" s="689"/>
      <c r="M97" s="736"/>
      <c r="N97" s="692" t="s">
        <v>16127</v>
      </c>
      <c r="O97" s="689" t="s">
        <v>604</v>
      </c>
      <c r="P97" s="689" t="s">
        <v>25</v>
      </c>
      <c r="Q97" s="693">
        <v>2</v>
      </c>
      <c r="R97" s="694">
        <v>2</v>
      </c>
      <c r="S97" s="805" t="s">
        <v>736</v>
      </c>
    </row>
    <row r="98" spans="1:19" ht="12" customHeight="1">
      <c r="A98" s="1040" t="str">
        <f t="shared" si="21"/>
        <v>023</v>
      </c>
      <c r="B98" s="4" t="s">
        <v>242</v>
      </c>
      <c r="C98" s="4"/>
      <c r="D98" s="1008"/>
      <c r="E98" s="1002" t="str">
        <f t="shared" ref="E98:E99" si="34">IF(D98="","",D98/SUM($D$97:$D$99))</f>
        <v/>
      </c>
      <c r="F98" s="1005" t="e">
        <f t="shared" ref="F98:F99" si="35">IF(J98="","$",IF(C98="当選","-",D98*100/MAX($D$97:$D$99)))</f>
        <v>#DIV/0!</v>
      </c>
      <c r="G98" s="1" t="s">
        <v>244</v>
      </c>
      <c r="H98" s="5">
        <v>52</v>
      </c>
      <c r="I98" s="2" t="s">
        <v>5</v>
      </c>
      <c r="J98" s="1" t="s">
        <v>15273</v>
      </c>
      <c r="K98" s="3"/>
      <c r="L98" s="1"/>
      <c r="M98" s="1"/>
      <c r="N98" s="8" t="s">
        <v>16120</v>
      </c>
      <c r="O98" s="1" t="s">
        <v>48</v>
      </c>
      <c r="P98" s="1" t="s">
        <v>14</v>
      </c>
      <c r="Q98" s="16">
        <v>2</v>
      </c>
      <c r="R98" s="17">
        <v>2</v>
      </c>
      <c r="S98" s="774" t="s">
        <v>6051</v>
      </c>
    </row>
    <row r="99" spans="1:19" ht="12" customHeight="1" thickBot="1">
      <c r="A99" s="916" t="str">
        <f t="shared" si="21"/>
        <v>023</v>
      </c>
      <c r="B99" s="700" t="s">
        <v>243</v>
      </c>
      <c r="C99" s="700"/>
      <c r="D99" s="1009"/>
      <c r="E99" s="1003" t="str">
        <f t="shared" si="34"/>
        <v/>
      </c>
      <c r="F99" s="1041" t="str">
        <f t="shared" si="35"/>
        <v>$</v>
      </c>
      <c r="G99" s="906" t="s">
        <v>248</v>
      </c>
      <c r="H99" s="356">
        <v>31</v>
      </c>
      <c r="I99" s="702" t="s">
        <v>5</v>
      </c>
      <c r="J99" s="906"/>
      <c r="K99" s="703"/>
      <c r="L99" s="906"/>
      <c r="M99" s="906"/>
      <c r="N99" s="700" t="s">
        <v>16117</v>
      </c>
      <c r="O99" s="906"/>
      <c r="P99" s="906" t="s">
        <v>6</v>
      </c>
      <c r="Q99" s="705"/>
      <c r="R99" s="903"/>
      <c r="S99" s="793"/>
    </row>
    <row r="100" spans="1:19" ht="12" customHeight="1">
      <c r="A100" s="1038" t="str">
        <f t="shared" si="21"/>
        <v>024</v>
      </c>
      <c r="B100" s="688" t="s">
        <v>250</v>
      </c>
      <c r="C100" s="688"/>
      <c r="D100" s="1007"/>
      <c r="E100" s="1001" t="str">
        <f>IF(D100="","",D100/SUM($D$100:$D$104))</f>
        <v/>
      </c>
      <c r="F100" s="1004" t="e">
        <f>IF(J100="","$",IF(C100="当選","-",D100*100/MAX($D$100:$D$104)))</f>
        <v>#DIV/0!</v>
      </c>
      <c r="G100" s="689" t="s">
        <v>902</v>
      </c>
      <c r="H100" s="689">
        <v>42</v>
      </c>
      <c r="I100" s="689" t="s">
        <v>5</v>
      </c>
      <c r="J100" s="689" t="s">
        <v>15273</v>
      </c>
      <c r="K100" s="691" t="s">
        <v>1340</v>
      </c>
      <c r="L100" s="689"/>
      <c r="M100" s="736"/>
      <c r="N100" s="692" t="s">
        <v>16126</v>
      </c>
      <c r="O100" s="689" t="s">
        <v>44</v>
      </c>
      <c r="P100" s="689" t="s">
        <v>25</v>
      </c>
      <c r="Q100" s="693">
        <v>1</v>
      </c>
      <c r="R100" s="694">
        <v>1</v>
      </c>
      <c r="S100" s="805" t="s">
        <v>736</v>
      </c>
    </row>
    <row r="101" spans="1:19" ht="12" customHeight="1">
      <c r="A101" s="1040" t="str">
        <f t="shared" si="21"/>
        <v>024</v>
      </c>
      <c r="B101" s="4" t="s">
        <v>251</v>
      </c>
      <c r="C101" s="4"/>
      <c r="D101" s="1008"/>
      <c r="E101" s="1002" t="str">
        <f>IF(D101="","",D101/SUM($D$100:$D$104))</f>
        <v/>
      </c>
      <c r="F101" s="1005" t="e">
        <f>IF(J101="","$",IF(C101="当選","-",D101*100/MAX($D$100:$D$104)))</f>
        <v>#DIV/0!</v>
      </c>
      <c r="G101" s="1" t="s">
        <v>254</v>
      </c>
      <c r="H101" s="5">
        <v>59</v>
      </c>
      <c r="I101" s="2" t="s">
        <v>5</v>
      </c>
      <c r="J101" s="1" t="s">
        <v>15273</v>
      </c>
      <c r="K101" s="3"/>
      <c r="L101" s="1"/>
      <c r="M101" s="1"/>
      <c r="N101" s="4" t="s">
        <v>16120</v>
      </c>
      <c r="O101" s="1" t="s">
        <v>475</v>
      </c>
      <c r="P101" s="1" t="s">
        <v>14</v>
      </c>
      <c r="Q101" s="16">
        <v>3</v>
      </c>
      <c r="R101" s="17">
        <v>3</v>
      </c>
      <c r="S101" s="774" t="s">
        <v>5457</v>
      </c>
    </row>
    <row r="102" spans="1:19" ht="12" customHeight="1">
      <c r="A102" s="1040" t="str">
        <f t="shared" si="21"/>
        <v>024</v>
      </c>
      <c r="B102" s="4" t="s">
        <v>252</v>
      </c>
      <c r="C102" s="4"/>
      <c r="D102" s="1008"/>
      <c r="E102" s="1002" t="str">
        <f>IF(D102="","",D102/SUM($D$100:$D$104))</f>
        <v/>
      </c>
      <c r="F102" s="1005" t="e">
        <f>IF(J102="","$",IF(C102="当選","-",D102*100/MAX($D$100:$D$104)))</f>
        <v>#DIV/0!</v>
      </c>
      <c r="G102" s="1" t="s">
        <v>5224</v>
      </c>
      <c r="H102" s="5">
        <v>38</v>
      </c>
      <c r="I102" s="2" t="s">
        <v>5</v>
      </c>
      <c r="J102" s="1" t="s">
        <v>15273</v>
      </c>
      <c r="K102" s="3"/>
      <c r="L102" s="1"/>
      <c r="M102" s="1"/>
      <c r="N102" s="4" t="s">
        <v>16116</v>
      </c>
      <c r="O102" s="1" t="s">
        <v>18494</v>
      </c>
      <c r="P102" s="1" t="s">
        <v>6</v>
      </c>
      <c r="Q102" s="16"/>
      <c r="R102" s="17"/>
      <c r="S102" s="774" t="s">
        <v>6154</v>
      </c>
    </row>
    <row r="103" spans="1:19" ht="12" customHeight="1">
      <c r="A103" s="1040" t="str">
        <f t="shared" si="21"/>
        <v>024</v>
      </c>
      <c r="B103" s="4" t="s">
        <v>253</v>
      </c>
      <c r="C103" s="4"/>
      <c r="D103" s="1008"/>
      <c r="E103" s="1002" t="str">
        <f>IF(D103="","",D103/SUM($D$100:$D$104))</f>
        <v/>
      </c>
      <c r="F103" s="1005" t="str">
        <f>IF(J103="","$",IF(C103="当選","-",D103*100/MAX($D$100:$D$104)))</f>
        <v>$</v>
      </c>
      <c r="G103" s="1" t="s">
        <v>16097</v>
      </c>
      <c r="H103" s="5">
        <v>30</v>
      </c>
      <c r="I103" s="2" t="s">
        <v>5</v>
      </c>
      <c r="J103" s="1"/>
      <c r="K103" s="3"/>
      <c r="L103" s="1"/>
      <c r="M103" s="1"/>
      <c r="N103" s="4" t="s">
        <v>16117</v>
      </c>
      <c r="O103" s="1"/>
      <c r="P103" s="1" t="s">
        <v>6</v>
      </c>
      <c r="Q103" s="16"/>
      <c r="R103" s="17"/>
      <c r="S103" s="774"/>
    </row>
    <row r="104" spans="1:19" ht="12" customHeight="1" thickBot="1">
      <c r="A104" s="916" t="str">
        <f t="shared" si="21"/>
        <v>024</v>
      </c>
      <c r="B104" s="700" t="s">
        <v>5223</v>
      </c>
      <c r="C104" s="700"/>
      <c r="D104" s="1009"/>
      <c r="E104" s="1003" t="str">
        <f>IF(D104="","",D104/SUM($D$100:$D$104))</f>
        <v/>
      </c>
      <c r="F104" s="1041" t="str">
        <f>IF(J104="","$",IF(C104="当選","-",D104*100/MAX($D$100:$D$104)))</f>
        <v>$</v>
      </c>
      <c r="G104" s="906" t="s">
        <v>262</v>
      </c>
      <c r="H104" s="356">
        <v>40</v>
      </c>
      <c r="I104" s="702" t="s">
        <v>5</v>
      </c>
      <c r="J104" s="906"/>
      <c r="K104" s="703"/>
      <c r="L104" s="906"/>
      <c r="M104" s="906"/>
      <c r="N104" s="700" t="s">
        <v>16122</v>
      </c>
      <c r="O104" s="906" t="s">
        <v>22</v>
      </c>
      <c r="P104" s="906" t="s">
        <v>6</v>
      </c>
      <c r="Q104" s="705"/>
      <c r="R104" s="903"/>
      <c r="S104" s="793"/>
    </row>
    <row r="105" spans="1:19" ht="12" customHeight="1">
      <c r="A105" s="1038" t="str">
        <f t="shared" si="21"/>
        <v>025</v>
      </c>
      <c r="B105" s="688" t="s">
        <v>263</v>
      </c>
      <c r="C105" s="688"/>
      <c r="D105" s="1007"/>
      <c r="E105" s="1001" t="str">
        <f>IF(D105="","",D105/SUM($D$105:$D$109))</f>
        <v/>
      </c>
      <c r="F105" s="1004" t="e">
        <f>IF(J105="","$",IF(C105="当選","-",D105*100/MAX($D$105:$D$109)))</f>
        <v>#DIV/0!</v>
      </c>
      <c r="G105" s="689" t="s">
        <v>846</v>
      </c>
      <c r="H105" s="689">
        <v>50</v>
      </c>
      <c r="I105" s="689" t="s">
        <v>5</v>
      </c>
      <c r="J105" s="689" t="s">
        <v>15273</v>
      </c>
      <c r="K105" s="691" t="s">
        <v>1341</v>
      </c>
      <c r="L105" s="689"/>
      <c r="M105" s="736"/>
      <c r="N105" s="692" t="s">
        <v>16127</v>
      </c>
      <c r="O105" s="689" t="s">
        <v>24</v>
      </c>
      <c r="P105" s="689" t="s">
        <v>25</v>
      </c>
      <c r="Q105" s="693">
        <v>5</v>
      </c>
      <c r="R105" s="694">
        <v>5</v>
      </c>
      <c r="S105" s="1039" t="s">
        <v>736</v>
      </c>
    </row>
    <row r="106" spans="1:19" ht="12" customHeight="1">
      <c r="A106" s="1040" t="str">
        <f t="shared" si="21"/>
        <v>025</v>
      </c>
      <c r="B106" s="4" t="s">
        <v>264</v>
      </c>
      <c r="C106" s="4"/>
      <c r="D106" s="1008"/>
      <c r="E106" s="1002" t="str">
        <f t="shared" ref="E106:E109" si="36">IF(D106="","",D106/SUM($D$105:$D$109))</f>
        <v/>
      </c>
      <c r="F106" s="1005" t="e">
        <f t="shared" ref="F106:F109" si="37">IF(J106="","$",IF(C106="当選","-",D106*100/MAX($D$105:$D$109)))</f>
        <v>#DIV/0!</v>
      </c>
      <c r="G106" s="1" t="s">
        <v>266</v>
      </c>
      <c r="H106" s="5">
        <v>36</v>
      </c>
      <c r="I106" s="2" t="s">
        <v>19</v>
      </c>
      <c r="J106" s="1" t="s">
        <v>15273</v>
      </c>
      <c r="K106" s="3"/>
      <c r="L106" s="1"/>
      <c r="M106" s="1"/>
      <c r="N106" s="4" t="s">
        <v>16120</v>
      </c>
      <c r="O106" s="1" t="s">
        <v>30</v>
      </c>
      <c r="P106" s="1" t="s">
        <v>6</v>
      </c>
      <c r="Q106" s="16"/>
      <c r="R106" s="17"/>
      <c r="S106" s="774"/>
    </row>
    <row r="107" spans="1:19" ht="12" customHeight="1">
      <c r="A107" s="1040" t="str">
        <f t="shared" si="21"/>
        <v>025</v>
      </c>
      <c r="B107" s="4" t="s">
        <v>265</v>
      </c>
      <c r="C107" s="4"/>
      <c r="D107" s="1008"/>
      <c r="E107" s="1002" t="str">
        <f t="shared" si="36"/>
        <v/>
      </c>
      <c r="F107" s="1005" t="e">
        <f t="shared" si="37"/>
        <v>#DIV/0!</v>
      </c>
      <c r="G107" s="1" t="s">
        <v>6165</v>
      </c>
      <c r="H107" s="5">
        <v>49</v>
      </c>
      <c r="I107" s="2" t="s">
        <v>19</v>
      </c>
      <c r="J107" s="1" t="s">
        <v>15273</v>
      </c>
      <c r="K107" s="3"/>
      <c r="L107" s="1"/>
      <c r="M107" s="1"/>
      <c r="N107" s="4" t="s">
        <v>16125</v>
      </c>
      <c r="O107" s="1"/>
      <c r="P107" s="1" t="s">
        <v>6</v>
      </c>
      <c r="Q107" s="16"/>
      <c r="R107" s="17"/>
      <c r="S107" s="774" t="s">
        <v>5561</v>
      </c>
    </row>
    <row r="108" spans="1:19" ht="12" customHeight="1">
      <c r="A108" s="1040" t="str">
        <f t="shared" si="21"/>
        <v>025</v>
      </c>
      <c r="B108" s="4" t="s">
        <v>6164</v>
      </c>
      <c r="C108" s="4"/>
      <c r="D108" s="1008"/>
      <c r="E108" s="1002" t="str">
        <f t="shared" si="36"/>
        <v/>
      </c>
      <c r="F108" s="1005" t="str">
        <f t="shared" si="37"/>
        <v>$</v>
      </c>
      <c r="G108" s="1" t="s">
        <v>269</v>
      </c>
      <c r="H108" s="5">
        <v>59</v>
      </c>
      <c r="I108" s="2" t="s">
        <v>5</v>
      </c>
      <c r="J108" s="1"/>
      <c r="K108" s="3"/>
      <c r="L108" s="1"/>
      <c r="M108" s="1"/>
      <c r="N108" s="4" t="s">
        <v>16117</v>
      </c>
      <c r="O108" s="1"/>
      <c r="P108" s="1" t="s">
        <v>6</v>
      </c>
      <c r="Q108" s="16"/>
      <c r="R108" s="17"/>
      <c r="S108" s="774"/>
    </row>
    <row r="109" spans="1:19" ht="12" customHeight="1" thickBot="1">
      <c r="A109" s="916" t="str">
        <f t="shared" si="21"/>
        <v>025</v>
      </c>
      <c r="B109" s="700" t="s">
        <v>15960</v>
      </c>
      <c r="C109" s="700"/>
      <c r="D109" s="1009"/>
      <c r="E109" s="1003" t="str">
        <f t="shared" si="36"/>
        <v/>
      </c>
      <c r="F109" s="1041" t="str">
        <f t="shared" si="37"/>
        <v>$</v>
      </c>
      <c r="G109" s="906" t="s">
        <v>15961</v>
      </c>
      <c r="H109" s="356">
        <v>53</v>
      </c>
      <c r="I109" s="702" t="s">
        <v>5</v>
      </c>
      <c r="J109" s="906"/>
      <c r="K109" s="703"/>
      <c r="L109" s="906"/>
      <c r="M109" s="906"/>
      <c r="N109" s="700" t="s">
        <v>16129</v>
      </c>
      <c r="O109" s="906"/>
      <c r="P109" s="906" t="s">
        <v>6</v>
      </c>
      <c r="Q109" s="705"/>
      <c r="R109" s="903"/>
      <c r="S109" s="793"/>
    </row>
    <row r="110" spans="1:19" ht="12" customHeight="1">
      <c r="A110" s="1038" t="str">
        <f t="shared" si="21"/>
        <v>026</v>
      </c>
      <c r="B110" s="688" t="s">
        <v>272</v>
      </c>
      <c r="C110" s="688"/>
      <c r="D110" s="1007"/>
      <c r="E110" s="1001" t="str">
        <f>IF(D110="","",D110/SUM($D$110:$D$112))</f>
        <v/>
      </c>
      <c r="F110" s="1004" t="e">
        <f>IF(J110="","$",IF(C110="当選","-",D110*100/MAX($D$110:$D$112)))</f>
        <v>#DIV/0!</v>
      </c>
      <c r="G110" s="687" t="s">
        <v>275</v>
      </c>
      <c r="H110" s="689">
        <v>47</v>
      </c>
      <c r="I110" s="696" t="s">
        <v>19</v>
      </c>
      <c r="J110" s="689" t="s">
        <v>15273</v>
      </c>
      <c r="K110" s="747"/>
      <c r="L110" s="687"/>
      <c r="M110" s="687"/>
      <c r="N110" s="692" t="s">
        <v>16127</v>
      </c>
      <c r="O110" s="687" t="s">
        <v>276</v>
      </c>
      <c r="P110" s="687" t="s">
        <v>14</v>
      </c>
      <c r="Q110" s="748">
        <v>2</v>
      </c>
      <c r="R110" s="749">
        <v>2</v>
      </c>
      <c r="S110" s="805" t="s">
        <v>736</v>
      </c>
    </row>
    <row r="111" spans="1:19" ht="12" customHeight="1">
      <c r="A111" s="1040" t="str">
        <f t="shared" si="21"/>
        <v>026</v>
      </c>
      <c r="B111" s="4" t="s">
        <v>273</v>
      </c>
      <c r="C111" s="4"/>
      <c r="D111" s="1008"/>
      <c r="E111" s="1002" t="str">
        <f t="shared" ref="E111:E112" si="38">IF(D111="","",D111/SUM($D$110:$D$112))</f>
        <v/>
      </c>
      <c r="F111" s="1005" t="e">
        <f t="shared" ref="F111:F112" si="39">IF(J111="","$",IF(C111="当選","-",D111*100/MAX($D$110:$D$112)))</f>
        <v>#DIV/0!</v>
      </c>
      <c r="G111" s="5" t="s">
        <v>892</v>
      </c>
      <c r="H111" s="5">
        <v>52</v>
      </c>
      <c r="I111" s="5" t="s">
        <v>5</v>
      </c>
      <c r="J111" s="5" t="s">
        <v>15273</v>
      </c>
      <c r="K111" s="7" t="s">
        <v>1342</v>
      </c>
      <c r="L111" s="5"/>
      <c r="M111" s="19"/>
      <c r="N111" s="8" t="s">
        <v>16120</v>
      </c>
      <c r="O111" s="5" t="s">
        <v>476</v>
      </c>
      <c r="P111" s="5" t="s">
        <v>25</v>
      </c>
      <c r="Q111" s="9">
        <v>4</v>
      </c>
      <c r="R111" s="10">
        <v>4</v>
      </c>
      <c r="S111" s="265" t="s">
        <v>5457</v>
      </c>
    </row>
    <row r="112" spans="1:19" ht="12" customHeight="1" thickBot="1">
      <c r="A112" s="916" t="str">
        <f t="shared" si="21"/>
        <v>026</v>
      </c>
      <c r="B112" s="700" t="s">
        <v>274</v>
      </c>
      <c r="C112" s="700"/>
      <c r="D112" s="1009"/>
      <c r="E112" s="1003" t="str">
        <f t="shared" si="38"/>
        <v/>
      </c>
      <c r="F112" s="1041" t="str">
        <f t="shared" si="39"/>
        <v>$</v>
      </c>
      <c r="G112" s="906" t="s">
        <v>5342</v>
      </c>
      <c r="H112" s="356">
        <v>29</v>
      </c>
      <c r="I112" s="702" t="s">
        <v>5</v>
      </c>
      <c r="J112" s="906"/>
      <c r="K112" s="703"/>
      <c r="L112" s="906"/>
      <c r="M112" s="906"/>
      <c r="N112" s="700" t="s">
        <v>16117</v>
      </c>
      <c r="O112" s="906"/>
      <c r="P112" s="906" t="s">
        <v>6</v>
      </c>
      <c r="Q112" s="705"/>
      <c r="R112" s="903"/>
      <c r="S112" s="793"/>
    </row>
    <row r="113" spans="1:19" ht="12" customHeight="1">
      <c r="A113" s="1038" t="str">
        <f t="shared" si="21"/>
        <v>027</v>
      </c>
      <c r="B113" s="688" t="s">
        <v>278</v>
      </c>
      <c r="C113" s="688"/>
      <c r="D113" s="1007"/>
      <c r="E113" s="1001" t="str">
        <f>IF(D113="","",D113/SUM($D$113:$D$117))</f>
        <v/>
      </c>
      <c r="F113" s="1004" t="e">
        <f>IF(J113="","$",IF(C113="当選","-",D113*100/MAX($D$113:$D$117)))</f>
        <v>#DIV/0!</v>
      </c>
      <c r="G113" s="689" t="s">
        <v>882</v>
      </c>
      <c r="H113" s="689">
        <v>36</v>
      </c>
      <c r="I113" s="689" t="s">
        <v>5</v>
      </c>
      <c r="J113" s="689" t="s">
        <v>15273</v>
      </c>
      <c r="K113" s="691" t="s">
        <v>1343</v>
      </c>
      <c r="L113" s="689"/>
      <c r="M113" s="736"/>
      <c r="N113" s="692" t="s">
        <v>16126</v>
      </c>
      <c r="O113" s="689" t="s">
        <v>44</v>
      </c>
      <c r="P113" s="689" t="s">
        <v>25</v>
      </c>
      <c r="Q113" s="693">
        <v>3</v>
      </c>
      <c r="R113" s="694">
        <v>3</v>
      </c>
      <c r="S113" s="1039"/>
    </row>
    <row r="114" spans="1:19" ht="12" customHeight="1">
      <c r="A114" s="1040" t="str">
        <f t="shared" si="21"/>
        <v>027</v>
      </c>
      <c r="B114" s="4" t="s">
        <v>279</v>
      </c>
      <c r="C114" s="4"/>
      <c r="D114" s="1008"/>
      <c r="E114" s="1002" t="str">
        <f t="shared" ref="E114:E117" si="40">IF(D114="","",D114/SUM($D$113:$D$117))</f>
        <v/>
      </c>
      <c r="F114" s="1005" t="e">
        <f t="shared" ref="F114:F117" si="41">IF(J114="","$",IF(C114="当選","-",D114*100/MAX($D$113:$D$117)))</f>
        <v>#DIV/0!</v>
      </c>
      <c r="G114" s="1" t="s">
        <v>281</v>
      </c>
      <c r="H114" s="5">
        <v>57</v>
      </c>
      <c r="I114" s="2" t="s">
        <v>5</v>
      </c>
      <c r="J114" s="1" t="s">
        <v>15273</v>
      </c>
      <c r="K114" s="3"/>
      <c r="L114" s="1"/>
      <c r="M114" s="1"/>
      <c r="N114" s="4" t="s">
        <v>16120</v>
      </c>
      <c r="O114" s="1" t="s">
        <v>30</v>
      </c>
      <c r="P114" s="1" t="s">
        <v>6</v>
      </c>
      <c r="Q114" s="16"/>
      <c r="R114" s="17"/>
      <c r="S114" s="774" t="s">
        <v>5457</v>
      </c>
    </row>
    <row r="115" spans="1:19" ht="12" customHeight="1">
      <c r="A115" s="1040" t="str">
        <f t="shared" si="21"/>
        <v>027</v>
      </c>
      <c r="B115" s="4" t="s">
        <v>280</v>
      </c>
      <c r="C115" s="4"/>
      <c r="D115" s="1008"/>
      <c r="E115" s="1002" t="str">
        <f t="shared" si="40"/>
        <v/>
      </c>
      <c r="F115" s="1005" t="e">
        <f t="shared" si="41"/>
        <v>#DIV/0!</v>
      </c>
      <c r="G115" s="1" t="s">
        <v>1372</v>
      </c>
      <c r="H115" s="5">
        <v>70</v>
      </c>
      <c r="I115" s="2" t="s">
        <v>5</v>
      </c>
      <c r="J115" s="1" t="s">
        <v>15273</v>
      </c>
      <c r="K115" s="3" t="s">
        <v>1373</v>
      </c>
      <c r="L115" s="1"/>
      <c r="M115" s="1"/>
      <c r="N115" s="4" t="s">
        <v>16125</v>
      </c>
      <c r="O115" s="1"/>
      <c r="P115" s="1" t="s">
        <v>25</v>
      </c>
      <c r="Q115" s="16">
        <v>1</v>
      </c>
      <c r="R115" s="17">
        <v>1</v>
      </c>
      <c r="S115" s="774" t="s">
        <v>5561</v>
      </c>
    </row>
    <row r="116" spans="1:19" ht="12" customHeight="1">
      <c r="A116" s="1040" t="str">
        <f t="shared" si="21"/>
        <v>027</v>
      </c>
      <c r="B116" s="4" t="s">
        <v>1371</v>
      </c>
      <c r="C116" s="4"/>
      <c r="D116" s="1008"/>
      <c r="E116" s="1002" t="str">
        <f t="shared" si="40"/>
        <v/>
      </c>
      <c r="F116" s="1005" t="e">
        <f t="shared" si="41"/>
        <v>#DIV/0!</v>
      </c>
      <c r="G116" s="1" t="s">
        <v>5976</v>
      </c>
      <c r="H116" s="5">
        <v>63</v>
      </c>
      <c r="I116" s="2" t="s">
        <v>5</v>
      </c>
      <c r="J116" s="1" t="s">
        <v>15273</v>
      </c>
      <c r="K116" s="3"/>
      <c r="L116" s="1"/>
      <c r="M116" s="1"/>
      <c r="N116" s="4" t="s">
        <v>16116</v>
      </c>
      <c r="O116" s="1" t="s">
        <v>276</v>
      </c>
      <c r="P116" s="1" t="s">
        <v>14</v>
      </c>
      <c r="Q116" s="16">
        <v>1</v>
      </c>
      <c r="R116" s="17">
        <v>1</v>
      </c>
      <c r="S116" s="774"/>
    </row>
    <row r="117" spans="1:19" ht="12" customHeight="1" thickBot="1">
      <c r="A117" s="916" t="str">
        <f t="shared" si="21"/>
        <v>027</v>
      </c>
      <c r="B117" s="700" t="s">
        <v>5975</v>
      </c>
      <c r="C117" s="700"/>
      <c r="D117" s="1009"/>
      <c r="E117" s="1003" t="str">
        <f t="shared" si="40"/>
        <v/>
      </c>
      <c r="F117" s="1041" t="str">
        <f t="shared" si="41"/>
        <v>$</v>
      </c>
      <c r="G117" s="906" t="s">
        <v>284</v>
      </c>
      <c r="H117" s="356">
        <v>62</v>
      </c>
      <c r="I117" s="702" t="s">
        <v>5</v>
      </c>
      <c r="J117" s="906"/>
      <c r="K117" s="703"/>
      <c r="L117" s="906"/>
      <c r="M117" s="906"/>
      <c r="N117" s="700" t="s">
        <v>16117</v>
      </c>
      <c r="O117" s="906"/>
      <c r="P117" s="906" t="s">
        <v>6</v>
      </c>
      <c r="Q117" s="705"/>
      <c r="R117" s="903"/>
      <c r="S117" s="793"/>
    </row>
    <row r="118" spans="1:19" ht="12" customHeight="1">
      <c r="A118" s="1038" t="str">
        <f t="shared" si="21"/>
        <v>028</v>
      </c>
      <c r="B118" s="688" t="s">
        <v>287</v>
      </c>
      <c r="C118" s="688"/>
      <c r="D118" s="1007"/>
      <c r="E118" s="1001" t="str">
        <f>IF(D118="","",D118/SUM($D$118:$D$121))</f>
        <v/>
      </c>
      <c r="F118" s="1004" t="e">
        <f>IF(J118="","$",IF(C118="当選","-",D118*100/MAX($D$118:$D$121)))</f>
        <v>#DIV/0!</v>
      </c>
      <c r="G118" s="689" t="s">
        <v>907</v>
      </c>
      <c r="H118" s="689">
        <v>65</v>
      </c>
      <c r="I118" s="689" t="s">
        <v>5</v>
      </c>
      <c r="J118" s="689" t="s">
        <v>15273</v>
      </c>
      <c r="K118" s="691" t="s">
        <v>1344</v>
      </c>
      <c r="L118" s="689"/>
      <c r="M118" s="736"/>
      <c r="N118" s="692" t="s">
        <v>16127</v>
      </c>
      <c r="O118" s="689" t="s">
        <v>44</v>
      </c>
      <c r="P118" s="689" t="s">
        <v>25</v>
      </c>
      <c r="Q118" s="693">
        <v>1</v>
      </c>
      <c r="R118" s="694">
        <v>1</v>
      </c>
      <c r="S118" s="1039" t="s">
        <v>736</v>
      </c>
    </row>
    <row r="119" spans="1:19" ht="12" customHeight="1">
      <c r="A119" s="1040" t="str">
        <f t="shared" si="21"/>
        <v>028</v>
      </c>
      <c r="B119" s="4" t="s">
        <v>288</v>
      </c>
      <c r="C119" s="4"/>
      <c r="D119" s="1008"/>
      <c r="E119" s="1002" t="str">
        <f t="shared" ref="E119:E121" si="42">IF(D119="","",D119/SUM($D$118:$D$121))</f>
        <v/>
      </c>
      <c r="F119" s="1005" t="e">
        <f t="shared" ref="F119:F121" si="43">IF(J119="","$",IF(C119="当選","-",D119*100/MAX($D$118:$D$121)))</f>
        <v>#DIV/0!</v>
      </c>
      <c r="G119" s="6" t="s">
        <v>865</v>
      </c>
      <c r="H119" s="5">
        <v>63</v>
      </c>
      <c r="I119" s="5" t="s">
        <v>5</v>
      </c>
      <c r="J119" s="6" t="s">
        <v>15273</v>
      </c>
      <c r="K119" s="7" t="s">
        <v>1315</v>
      </c>
      <c r="L119" s="5"/>
      <c r="M119" s="19"/>
      <c r="N119" s="4" t="s">
        <v>16120</v>
      </c>
      <c r="O119" s="5" t="s">
        <v>13</v>
      </c>
      <c r="P119" s="5" t="s">
        <v>25</v>
      </c>
      <c r="Q119" s="9">
        <v>1</v>
      </c>
      <c r="R119" s="10">
        <v>5</v>
      </c>
      <c r="S119" s="265" t="s">
        <v>5457</v>
      </c>
    </row>
    <row r="120" spans="1:19" ht="12" customHeight="1">
      <c r="A120" s="1040" t="str">
        <f t="shared" si="21"/>
        <v>028</v>
      </c>
      <c r="B120" s="4" t="s">
        <v>289</v>
      </c>
      <c r="C120" s="4"/>
      <c r="D120" s="1008"/>
      <c r="E120" s="1002" t="str">
        <f t="shared" si="42"/>
        <v/>
      </c>
      <c r="F120" s="1005" t="str">
        <f t="shared" si="43"/>
        <v>$</v>
      </c>
      <c r="G120" s="1" t="s">
        <v>292</v>
      </c>
      <c r="H120" s="5">
        <v>57</v>
      </c>
      <c r="I120" s="2" t="s">
        <v>5</v>
      </c>
      <c r="J120" s="1"/>
      <c r="K120" s="3"/>
      <c r="L120" s="1"/>
      <c r="M120" s="1"/>
      <c r="N120" s="4" t="s">
        <v>16117</v>
      </c>
      <c r="O120" s="1"/>
      <c r="P120" s="1" t="s">
        <v>6</v>
      </c>
      <c r="Q120" s="16"/>
      <c r="R120" s="17"/>
      <c r="S120" s="774"/>
    </row>
    <row r="121" spans="1:19" ht="12" customHeight="1" thickBot="1">
      <c r="A121" s="916" t="str">
        <f t="shared" si="21"/>
        <v>028</v>
      </c>
      <c r="B121" s="700" t="s">
        <v>290</v>
      </c>
      <c r="C121" s="700"/>
      <c r="D121" s="1009"/>
      <c r="E121" s="1003" t="str">
        <f t="shared" si="42"/>
        <v/>
      </c>
      <c r="F121" s="1041" t="e">
        <f t="shared" si="43"/>
        <v>#DIV/0!</v>
      </c>
      <c r="G121" s="906" t="s">
        <v>295</v>
      </c>
      <c r="H121" s="356">
        <v>65</v>
      </c>
      <c r="I121" s="702" t="s">
        <v>5</v>
      </c>
      <c r="J121" s="906" t="s">
        <v>15273</v>
      </c>
      <c r="K121" s="703"/>
      <c r="L121" s="906"/>
      <c r="M121" s="906"/>
      <c r="N121" s="700" t="s">
        <v>16121</v>
      </c>
      <c r="O121" s="906"/>
      <c r="P121" s="906" t="s">
        <v>6</v>
      </c>
      <c r="Q121" s="705"/>
      <c r="R121" s="903"/>
      <c r="S121" s="793"/>
    </row>
    <row r="122" spans="1:19" ht="12" customHeight="1">
      <c r="A122" s="1038" t="str">
        <f t="shared" si="21"/>
        <v>029</v>
      </c>
      <c r="B122" s="688" t="s">
        <v>297</v>
      </c>
      <c r="C122" s="688"/>
      <c r="D122" s="1007"/>
      <c r="E122" s="1001" t="str">
        <f>IF(D122="","",D122/SUM($D$122:$D$126))</f>
        <v/>
      </c>
      <c r="F122" s="1004" t="e">
        <f>IF(J122="","$",IF(C122="当選","-",D122*100/MAX($D$122:$D$126)))</f>
        <v>#DIV/0!</v>
      </c>
      <c r="G122" s="687" t="s">
        <v>1007</v>
      </c>
      <c r="H122" s="689">
        <v>64</v>
      </c>
      <c r="I122" s="696" t="s">
        <v>19</v>
      </c>
      <c r="J122" s="689" t="s">
        <v>15273</v>
      </c>
      <c r="K122" s="747"/>
      <c r="L122" s="687"/>
      <c r="M122" s="687"/>
      <c r="N122" s="692" t="s">
        <v>16127</v>
      </c>
      <c r="O122" s="687" t="s">
        <v>45</v>
      </c>
      <c r="P122" s="687" t="s">
        <v>6</v>
      </c>
      <c r="Q122" s="748"/>
      <c r="R122" s="749"/>
      <c r="S122" s="805" t="s">
        <v>736</v>
      </c>
    </row>
    <row r="123" spans="1:19" ht="12" customHeight="1">
      <c r="A123" s="1040" t="str">
        <f t="shared" si="21"/>
        <v>029</v>
      </c>
      <c r="B123" s="4" t="s">
        <v>298</v>
      </c>
      <c r="C123" s="4"/>
      <c r="D123" s="1008"/>
      <c r="E123" s="1002" t="str">
        <f t="shared" ref="E123:E126" si="44">IF(D123="","",D123/SUM($D$122:$D$126))</f>
        <v/>
      </c>
      <c r="F123" s="1005" t="e">
        <f t="shared" ref="F123:F126" si="45">IF(J123="","$",IF(C123="当選","-",D123*100/MAX($D$122:$D$126)))</f>
        <v>#DIV/0!</v>
      </c>
      <c r="G123" s="1" t="s">
        <v>301</v>
      </c>
      <c r="H123" s="5">
        <v>48</v>
      </c>
      <c r="I123" s="2" t="s">
        <v>5</v>
      </c>
      <c r="J123" s="1" t="s">
        <v>15273</v>
      </c>
      <c r="K123" s="3"/>
      <c r="L123" s="1"/>
      <c r="M123" s="1"/>
      <c r="N123" s="8" t="s">
        <v>16120</v>
      </c>
      <c r="O123" s="1" t="s">
        <v>30</v>
      </c>
      <c r="P123" s="1" t="s">
        <v>14</v>
      </c>
      <c r="Q123" s="16">
        <v>2</v>
      </c>
      <c r="R123" s="17">
        <v>2</v>
      </c>
      <c r="S123" s="774"/>
    </row>
    <row r="124" spans="1:19" ht="12" customHeight="1">
      <c r="A124" s="1040" t="str">
        <f t="shared" si="21"/>
        <v>029</v>
      </c>
      <c r="B124" s="4" t="s">
        <v>299</v>
      </c>
      <c r="C124" s="4"/>
      <c r="D124" s="1008"/>
      <c r="E124" s="1002" t="str">
        <f t="shared" si="44"/>
        <v/>
      </c>
      <c r="F124" s="1005" t="e">
        <f t="shared" si="45"/>
        <v>#DIV/0!</v>
      </c>
      <c r="G124" s="5" t="s">
        <v>862</v>
      </c>
      <c r="H124" s="5">
        <v>62</v>
      </c>
      <c r="I124" s="5" t="s">
        <v>19</v>
      </c>
      <c r="J124" s="1" t="s">
        <v>15273</v>
      </c>
      <c r="K124" s="7" t="s">
        <v>1345</v>
      </c>
      <c r="L124" s="5"/>
      <c r="M124" s="19"/>
      <c r="N124" s="4" t="s">
        <v>16125</v>
      </c>
      <c r="O124" s="5"/>
      <c r="P124" s="5" t="s">
        <v>25</v>
      </c>
      <c r="Q124" s="9">
        <v>1</v>
      </c>
      <c r="R124" s="10">
        <v>1</v>
      </c>
      <c r="S124" s="774" t="s">
        <v>5561</v>
      </c>
    </row>
    <row r="125" spans="1:19" ht="12" customHeight="1">
      <c r="A125" s="1040" t="str">
        <f t="shared" si="21"/>
        <v>029</v>
      </c>
      <c r="B125" s="4" t="s">
        <v>300</v>
      </c>
      <c r="C125" s="4"/>
      <c r="D125" s="1008"/>
      <c r="E125" s="1002" t="str">
        <f t="shared" si="44"/>
        <v/>
      </c>
      <c r="F125" s="1005" t="e">
        <f t="shared" si="45"/>
        <v>#DIV/0!</v>
      </c>
      <c r="G125" s="1" t="s">
        <v>4586</v>
      </c>
      <c r="H125" s="5">
        <v>52</v>
      </c>
      <c r="I125" s="2" t="s">
        <v>5</v>
      </c>
      <c r="J125" s="1" t="s">
        <v>15273</v>
      </c>
      <c r="K125" s="3"/>
      <c r="L125" s="1"/>
      <c r="M125" s="1"/>
      <c r="N125" s="4" t="s">
        <v>16116</v>
      </c>
      <c r="O125" s="1" t="s">
        <v>4993</v>
      </c>
      <c r="P125" s="1" t="s">
        <v>6</v>
      </c>
      <c r="Q125" s="16"/>
      <c r="R125" s="17"/>
      <c r="S125" s="774"/>
    </row>
    <row r="126" spans="1:19" ht="12" customHeight="1" thickBot="1">
      <c r="A126" s="916" t="str">
        <f t="shared" si="21"/>
        <v>029</v>
      </c>
      <c r="B126" s="700" t="s">
        <v>4585</v>
      </c>
      <c r="C126" s="700"/>
      <c r="D126" s="1009"/>
      <c r="E126" s="1003" t="str">
        <f t="shared" si="44"/>
        <v/>
      </c>
      <c r="F126" s="1041" t="str">
        <f t="shared" si="45"/>
        <v>$</v>
      </c>
      <c r="G126" s="906" t="s">
        <v>305</v>
      </c>
      <c r="H126" s="356">
        <v>68</v>
      </c>
      <c r="I126" s="702" t="s">
        <v>5</v>
      </c>
      <c r="J126" s="906"/>
      <c r="K126" s="703"/>
      <c r="L126" s="906"/>
      <c r="M126" s="906"/>
      <c r="N126" s="700" t="s">
        <v>16117</v>
      </c>
      <c r="O126" s="906"/>
      <c r="P126" s="906" t="s">
        <v>6</v>
      </c>
      <c r="Q126" s="705"/>
      <c r="R126" s="903"/>
      <c r="S126" s="793"/>
    </row>
    <row r="127" spans="1:19" ht="12" customHeight="1">
      <c r="A127" s="1038" t="str">
        <f t="shared" si="21"/>
        <v>030</v>
      </c>
      <c r="B127" s="688" t="s">
        <v>308</v>
      </c>
      <c r="C127" s="688"/>
      <c r="D127" s="1007"/>
      <c r="E127" s="1001" t="str">
        <f>IF(D127="","",D127/SUM($D$127:$D$129))</f>
        <v/>
      </c>
      <c r="F127" s="1004" t="e">
        <f>IF(J127="","$",IF(C127="当選","-",D127*100/MAX($D$127:$D$129)))</f>
        <v>#DIV/0!</v>
      </c>
      <c r="G127" s="689" t="s">
        <v>883</v>
      </c>
      <c r="H127" s="689">
        <v>70</v>
      </c>
      <c r="I127" s="689" t="s">
        <v>5</v>
      </c>
      <c r="J127" s="689" t="s">
        <v>15273</v>
      </c>
      <c r="K127" s="691" t="s">
        <v>1346</v>
      </c>
      <c r="L127" s="689"/>
      <c r="M127" s="736"/>
      <c r="N127" s="692" t="s">
        <v>16126</v>
      </c>
      <c r="O127" s="689" t="s">
        <v>604</v>
      </c>
      <c r="P127" s="689" t="s">
        <v>25</v>
      </c>
      <c r="Q127" s="693">
        <v>11</v>
      </c>
      <c r="R127" s="694">
        <v>11</v>
      </c>
      <c r="S127" s="1039" t="s">
        <v>736</v>
      </c>
    </row>
    <row r="128" spans="1:19" ht="12" customHeight="1">
      <c r="A128" s="1040" t="str">
        <f t="shared" si="21"/>
        <v>030</v>
      </c>
      <c r="B128" s="4" t="s">
        <v>309</v>
      </c>
      <c r="C128" s="4"/>
      <c r="D128" s="1008"/>
      <c r="E128" s="1002" t="str">
        <f t="shared" ref="E128:E129" si="46">IF(D128="","",D128/SUM($D$127:$D$129))</f>
        <v/>
      </c>
      <c r="F128" s="1005" t="e">
        <f t="shared" ref="F128:F129" si="47">IF(J128="","$",IF(C128="当選","-",D128*100/MAX($D$127:$D$129)))</f>
        <v>#DIV/0!</v>
      </c>
      <c r="G128" s="5" t="s">
        <v>850</v>
      </c>
      <c r="H128" s="5">
        <v>62</v>
      </c>
      <c r="I128" s="5" t="s">
        <v>5</v>
      </c>
      <c r="J128" s="6" t="s">
        <v>15273</v>
      </c>
      <c r="K128" s="7" t="s">
        <v>1314</v>
      </c>
      <c r="L128" s="5"/>
      <c r="M128" s="19"/>
      <c r="N128" s="4" t="s">
        <v>16120</v>
      </c>
      <c r="O128" s="5" t="s">
        <v>30</v>
      </c>
      <c r="P128" s="5" t="s">
        <v>25</v>
      </c>
      <c r="Q128" s="9">
        <v>5</v>
      </c>
      <c r="R128" s="10">
        <v>5</v>
      </c>
      <c r="S128" s="265" t="s">
        <v>5457</v>
      </c>
    </row>
    <row r="129" spans="1:19" ht="12" customHeight="1" thickBot="1">
      <c r="A129" s="916" t="str">
        <f t="shared" si="21"/>
        <v>030</v>
      </c>
      <c r="B129" s="700" t="s">
        <v>310</v>
      </c>
      <c r="C129" s="700"/>
      <c r="D129" s="1009"/>
      <c r="E129" s="1003" t="str">
        <f t="shared" si="46"/>
        <v/>
      </c>
      <c r="F129" s="1041" t="str">
        <f t="shared" si="47"/>
        <v>$</v>
      </c>
      <c r="G129" s="906" t="s">
        <v>16099</v>
      </c>
      <c r="H129" s="356">
        <v>39</v>
      </c>
      <c r="I129" s="702" t="s">
        <v>5</v>
      </c>
      <c r="J129" s="906"/>
      <c r="K129" s="703"/>
      <c r="L129" s="906"/>
      <c r="M129" s="906"/>
      <c r="N129" s="700" t="s">
        <v>16117</v>
      </c>
      <c r="O129" s="906"/>
      <c r="P129" s="906" t="s">
        <v>6</v>
      </c>
      <c r="Q129" s="705"/>
      <c r="R129" s="903"/>
      <c r="S129" s="793"/>
    </row>
    <row r="130" spans="1:19" ht="12" customHeight="1">
      <c r="A130" s="1038" t="str">
        <f t="shared" si="21"/>
        <v>031</v>
      </c>
      <c r="B130" s="688" t="s">
        <v>312</v>
      </c>
      <c r="C130" s="688"/>
      <c r="D130" s="1007"/>
      <c r="E130" s="1001" t="str">
        <f>IF(D130="","",D130/SUM($D$130:$D$133))</f>
        <v/>
      </c>
      <c r="F130" s="1004" t="e">
        <f>IF(J130="","$",IF(C130="当選","-",D130*100/MAX($D$130:$D$133)))</f>
        <v>#DIV/0!</v>
      </c>
      <c r="G130" s="689" t="s">
        <v>864</v>
      </c>
      <c r="H130" s="689">
        <v>47</v>
      </c>
      <c r="I130" s="689" t="s">
        <v>5</v>
      </c>
      <c r="J130" s="689" t="s">
        <v>15273</v>
      </c>
      <c r="K130" s="691" t="s">
        <v>1347</v>
      </c>
      <c r="L130" s="689"/>
      <c r="M130" s="736"/>
      <c r="N130" s="692" t="s">
        <v>16127</v>
      </c>
      <c r="O130" s="689" t="s">
        <v>44</v>
      </c>
      <c r="P130" s="689" t="s">
        <v>25</v>
      </c>
      <c r="Q130" s="693">
        <v>3</v>
      </c>
      <c r="R130" s="694">
        <v>3</v>
      </c>
      <c r="S130" s="1039" t="s">
        <v>736</v>
      </c>
    </row>
    <row r="131" spans="1:19" ht="12" customHeight="1">
      <c r="A131" s="1040" t="str">
        <f t="shared" ref="A131:A194" si="48">MIDB(B131,1,3)</f>
        <v>031</v>
      </c>
      <c r="B131" s="4" t="s">
        <v>313</v>
      </c>
      <c r="C131" s="4"/>
      <c r="D131" s="1008"/>
      <c r="E131" s="1002" t="str">
        <f t="shared" ref="E131:E133" si="49">IF(D131="","",D131/SUM($D$130:$D$133))</f>
        <v/>
      </c>
      <c r="F131" s="1005" t="e">
        <f t="shared" ref="F131:F133" si="50">IF(J131="","$",IF(C131="当選","-",D131*100/MAX($D$130:$D$133)))</f>
        <v>#DIV/0!</v>
      </c>
      <c r="G131" s="1" t="s">
        <v>316</v>
      </c>
      <c r="H131" s="5">
        <v>30</v>
      </c>
      <c r="I131" s="2" t="s">
        <v>5</v>
      </c>
      <c r="J131" s="1" t="s">
        <v>15273</v>
      </c>
      <c r="K131" s="3"/>
      <c r="L131" s="1"/>
      <c r="M131" s="1"/>
      <c r="N131" s="4" t="s">
        <v>16120</v>
      </c>
      <c r="O131" s="1" t="s">
        <v>30</v>
      </c>
      <c r="P131" s="1" t="s">
        <v>6</v>
      </c>
      <c r="Q131" s="16"/>
      <c r="R131" s="17"/>
      <c r="S131" s="774" t="s">
        <v>5457</v>
      </c>
    </row>
    <row r="132" spans="1:19" ht="12" customHeight="1">
      <c r="A132" s="1040" t="str">
        <f t="shared" si="48"/>
        <v>031</v>
      </c>
      <c r="B132" s="4" t="s">
        <v>314</v>
      </c>
      <c r="C132" s="4"/>
      <c r="D132" s="1008"/>
      <c r="E132" s="1002" t="str">
        <f t="shared" si="49"/>
        <v/>
      </c>
      <c r="F132" s="1005" t="e">
        <f t="shared" si="50"/>
        <v>#DIV/0!</v>
      </c>
      <c r="G132" s="1" t="s">
        <v>320</v>
      </c>
      <c r="H132" s="5">
        <v>53</v>
      </c>
      <c r="I132" s="2" t="s">
        <v>5</v>
      </c>
      <c r="J132" s="1" t="s">
        <v>15273</v>
      </c>
      <c r="K132" s="3"/>
      <c r="L132" s="1"/>
      <c r="M132" s="1"/>
      <c r="N132" s="4" t="s">
        <v>16116</v>
      </c>
      <c r="O132" s="1" t="s">
        <v>6154</v>
      </c>
      <c r="P132" s="1" t="s">
        <v>6</v>
      </c>
      <c r="Q132" s="16"/>
      <c r="R132" s="17"/>
      <c r="S132" s="774"/>
    </row>
    <row r="133" spans="1:19" ht="12" customHeight="1" thickBot="1">
      <c r="A133" s="916" t="str">
        <f t="shared" si="48"/>
        <v>031</v>
      </c>
      <c r="B133" s="700" t="s">
        <v>315</v>
      </c>
      <c r="C133" s="700"/>
      <c r="D133" s="1009"/>
      <c r="E133" s="1003" t="str">
        <f t="shared" si="49"/>
        <v/>
      </c>
      <c r="F133" s="1041" t="str">
        <f t="shared" si="50"/>
        <v>$</v>
      </c>
      <c r="G133" s="906" t="s">
        <v>319</v>
      </c>
      <c r="H133" s="356">
        <v>47</v>
      </c>
      <c r="I133" s="702" t="s">
        <v>5</v>
      </c>
      <c r="J133" s="906"/>
      <c r="K133" s="703"/>
      <c r="L133" s="906"/>
      <c r="M133" s="906"/>
      <c r="N133" s="700" t="s">
        <v>16117</v>
      </c>
      <c r="O133" s="906"/>
      <c r="P133" s="906" t="s">
        <v>6</v>
      </c>
      <c r="Q133" s="705"/>
      <c r="R133" s="903"/>
      <c r="S133" s="793"/>
    </row>
    <row r="134" spans="1:19" ht="12" customHeight="1">
      <c r="A134" s="1038" t="str">
        <f t="shared" si="48"/>
        <v>032</v>
      </c>
      <c r="B134" s="688" t="s">
        <v>323</v>
      </c>
      <c r="C134" s="688"/>
      <c r="D134" s="1007"/>
      <c r="E134" s="1001" t="str">
        <f>IF(D134="","",D134/SUM($D$134:$D$138))</f>
        <v/>
      </c>
      <c r="F134" s="1004" t="str">
        <f>IF(J134="","$",IF(C134="当選","-",D134*100/MAX($D$134:$D$138)))</f>
        <v>$</v>
      </c>
      <c r="G134" s="689" t="s">
        <v>854</v>
      </c>
      <c r="H134" s="689">
        <v>73</v>
      </c>
      <c r="I134" s="689" t="s">
        <v>5</v>
      </c>
      <c r="J134" s="689"/>
      <c r="K134" s="691" t="s">
        <v>1348</v>
      </c>
      <c r="L134" s="689"/>
      <c r="M134" s="736"/>
      <c r="N134" s="692" t="s">
        <v>16120</v>
      </c>
      <c r="O134" s="689" t="s">
        <v>30</v>
      </c>
      <c r="P134" s="689" t="s">
        <v>25</v>
      </c>
      <c r="Q134" s="693">
        <v>13</v>
      </c>
      <c r="R134" s="694">
        <v>13</v>
      </c>
      <c r="S134" s="1039" t="s">
        <v>5457</v>
      </c>
    </row>
    <row r="135" spans="1:19" ht="12" customHeight="1">
      <c r="A135" s="1040" t="str">
        <f t="shared" si="48"/>
        <v>032</v>
      </c>
      <c r="B135" s="4" t="s">
        <v>324</v>
      </c>
      <c r="C135" s="4"/>
      <c r="D135" s="1008"/>
      <c r="E135" s="1002" t="str">
        <f t="shared" ref="E135:E138" si="51">IF(D135="","",D135/SUM($D$134:$D$138))</f>
        <v/>
      </c>
      <c r="F135" s="1005" t="e">
        <f t="shared" ref="F135:F138" si="52">IF(J135="","$",IF(C135="当選","-",D135*100/MAX($D$134:$D$138)))</f>
        <v>#DIV/0!</v>
      </c>
      <c r="G135" s="1" t="s">
        <v>330</v>
      </c>
      <c r="H135" s="5">
        <v>45</v>
      </c>
      <c r="I135" s="2" t="s">
        <v>5</v>
      </c>
      <c r="J135" s="1" t="s">
        <v>15273</v>
      </c>
      <c r="K135" s="3"/>
      <c r="L135" s="1"/>
      <c r="M135" s="1"/>
      <c r="N135" s="4" t="s">
        <v>16116</v>
      </c>
      <c r="O135" s="1" t="s">
        <v>6154</v>
      </c>
      <c r="P135" s="1" t="s">
        <v>6</v>
      </c>
      <c r="Q135" s="16"/>
      <c r="R135" s="17"/>
      <c r="S135" s="774"/>
    </row>
    <row r="136" spans="1:19" ht="12" customHeight="1">
      <c r="A136" s="1040" t="str">
        <f t="shared" si="48"/>
        <v>032</v>
      </c>
      <c r="B136" s="4" t="s">
        <v>325</v>
      </c>
      <c r="C136" s="4"/>
      <c r="D136" s="1008"/>
      <c r="E136" s="1002" t="str">
        <f t="shared" si="51"/>
        <v/>
      </c>
      <c r="F136" s="1005" t="str">
        <f t="shared" si="52"/>
        <v>$</v>
      </c>
      <c r="G136" s="1" t="s">
        <v>328</v>
      </c>
      <c r="H136" s="5">
        <v>34</v>
      </c>
      <c r="I136" s="2" t="s">
        <v>5</v>
      </c>
      <c r="J136" s="1"/>
      <c r="K136" s="3"/>
      <c r="L136" s="1"/>
      <c r="M136" s="1"/>
      <c r="N136" s="4" t="s">
        <v>16117</v>
      </c>
      <c r="O136" s="1"/>
      <c r="P136" s="1" t="s">
        <v>6</v>
      </c>
      <c r="Q136" s="16"/>
      <c r="R136" s="17"/>
      <c r="S136" s="774"/>
    </row>
    <row r="137" spans="1:19" ht="12" customHeight="1">
      <c r="A137" s="1040" t="str">
        <f t="shared" si="48"/>
        <v>032</v>
      </c>
      <c r="B137" s="4" t="s">
        <v>326</v>
      </c>
      <c r="C137" s="4"/>
      <c r="D137" s="1008"/>
      <c r="E137" s="1002" t="str">
        <f t="shared" si="51"/>
        <v/>
      </c>
      <c r="F137" s="1005" t="e">
        <f t="shared" si="52"/>
        <v>#DIV/0!</v>
      </c>
      <c r="G137" s="6" t="s">
        <v>859</v>
      </c>
      <c r="H137" s="5">
        <v>64</v>
      </c>
      <c r="I137" s="6" t="s">
        <v>5</v>
      </c>
      <c r="J137" s="1" t="s">
        <v>15273</v>
      </c>
      <c r="K137" s="12" t="s">
        <v>1316</v>
      </c>
      <c r="L137" s="6"/>
      <c r="M137" s="19"/>
      <c r="N137" s="8" t="s">
        <v>16121</v>
      </c>
      <c r="O137" s="6"/>
      <c r="P137" s="6" t="s">
        <v>25</v>
      </c>
      <c r="Q137" s="13">
        <v>1</v>
      </c>
      <c r="R137" s="14">
        <v>1</v>
      </c>
      <c r="S137" s="1044"/>
    </row>
    <row r="138" spans="1:19" ht="12" customHeight="1" thickBot="1">
      <c r="A138" s="916" t="str">
        <f t="shared" si="48"/>
        <v>032</v>
      </c>
      <c r="B138" s="700" t="s">
        <v>327</v>
      </c>
      <c r="C138" s="700"/>
      <c r="D138" s="1009"/>
      <c r="E138" s="1003" t="str">
        <f t="shared" si="51"/>
        <v/>
      </c>
      <c r="F138" s="1041" t="str">
        <f t="shared" si="52"/>
        <v>$</v>
      </c>
      <c r="G138" s="906" t="s">
        <v>332</v>
      </c>
      <c r="H138" s="356">
        <v>53</v>
      </c>
      <c r="I138" s="702" t="s">
        <v>5</v>
      </c>
      <c r="J138" s="906"/>
      <c r="K138" s="703"/>
      <c r="L138" s="906"/>
      <c r="M138" s="906"/>
      <c r="N138" s="700" t="s">
        <v>16129</v>
      </c>
      <c r="O138" s="906"/>
      <c r="P138" s="906" t="s">
        <v>6</v>
      </c>
      <c r="Q138" s="705"/>
      <c r="R138" s="903"/>
      <c r="S138" s="793"/>
    </row>
    <row r="139" spans="1:19" ht="12" customHeight="1">
      <c r="A139" s="1038" t="str">
        <f t="shared" si="48"/>
        <v>033</v>
      </c>
      <c r="B139" s="688" t="s">
        <v>335</v>
      </c>
      <c r="C139" s="688"/>
      <c r="D139" s="1007"/>
      <c r="E139" s="1001" t="str">
        <f>IF(D139="","",D139/SUM($D$139:$D$142))</f>
        <v/>
      </c>
      <c r="F139" s="1004" t="e">
        <f>IF(J139="","$",IF(C139="当選","-",D139*100/MAX($D$139:$D$142)))</f>
        <v>#DIV/0!</v>
      </c>
      <c r="G139" s="687" t="s">
        <v>5538</v>
      </c>
      <c r="H139" s="689">
        <v>43</v>
      </c>
      <c r="I139" s="696" t="s">
        <v>5</v>
      </c>
      <c r="J139" s="689" t="s">
        <v>15273</v>
      </c>
      <c r="K139" s="747"/>
      <c r="L139" s="687"/>
      <c r="M139" s="687"/>
      <c r="N139" s="692" t="s">
        <v>16127</v>
      </c>
      <c r="O139" s="687" t="s">
        <v>44</v>
      </c>
      <c r="P139" s="687" t="s">
        <v>6</v>
      </c>
      <c r="Q139" s="748"/>
      <c r="R139" s="749"/>
      <c r="S139" s="805"/>
    </row>
    <row r="140" spans="1:19" ht="12" customHeight="1">
      <c r="A140" s="1040" t="str">
        <f t="shared" si="48"/>
        <v>033</v>
      </c>
      <c r="B140" s="4" t="s">
        <v>336</v>
      </c>
      <c r="C140" s="4"/>
      <c r="D140" s="1008"/>
      <c r="E140" s="1002" t="str">
        <f t="shared" ref="E140:E142" si="53">IF(D140="","",D140/SUM($D$139:$D$142))</f>
        <v/>
      </c>
      <c r="F140" s="1005" t="e">
        <f t="shared" ref="F140:F142" si="54">IF(J140="","$",IF(C140="当選","-",D140*100/MAX($D$139:$D$142)))</f>
        <v>#DIV/0!</v>
      </c>
      <c r="G140" s="1" t="s">
        <v>339</v>
      </c>
      <c r="H140" s="5">
        <v>57</v>
      </c>
      <c r="I140" s="2" t="s">
        <v>5</v>
      </c>
      <c r="J140" s="1" t="s">
        <v>15273</v>
      </c>
      <c r="K140" s="3"/>
      <c r="L140" s="1"/>
      <c r="M140" s="1"/>
      <c r="N140" s="4" t="s">
        <v>16120</v>
      </c>
      <c r="O140" s="1" t="s">
        <v>48</v>
      </c>
      <c r="P140" s="1" t="s">
        <v>14</v>
      </c>
      <c r="Q140" s="16">
        <v>1</v>
      </c>
      <c r="R140" s="17">
        <v>1</v>
      </c>
      <c r="S140" s="774" t="s">
        <v>5457</v>
      </c>
    </row>
    <row r="141" spans="1:19" ht="12" customHeight="1">
      <c r="A141" s="1040" t="str">
        <f t="shared" si="48"/>
        <v>033</v>
      </c>
      <c r="B141" s="4" t="s">
        <v>337</v>
      </c>
      <c r="C141" s="4"/>
      <c r="D141" s="1008"/>
      <c r="E141" s="1002" t="str">
        <f t="shared" si="53"/>
        <v/>
      </c>
      <c r="F141" s="1005" t="e">
        <f t="shared" si="54"/>
        <v>#DIV/0!</v>
      </c>
      <c r="G141" s="5" t="s">
        <v>901</v>
      </c>
      <c r="H141" s="5">
        <v>39</v>
      </c>
      <c r="I141" s="5" t="s">
        <v>5</v>
      </c>
      <c r="J141" s="1" t="s">
        <v>15273</v>
      </c>
      <c r="K141" s="7" t="s">
        <v>1349</v>
      </c>
      <c r="L141" s="5"/>
      <c r="M141" s="19"/>
      <c r="N141" s="4" t="s">
        <v>16125</v>
      </c>
      <c r="O141" s="5"/>
      <c r="P141" s="5" t="s">
        <v>25</v>
      </c>
      <c r="Q141" s="9">
        <v>1</v>
      </c>
      <c r="R141" s="10">
        <v>1</v>
      </c>
      <c r="S141" s="265" t="s">
        <v>5561</v>
      </c>
    </row>
    <row r="142" spans="1:19" ht="12" customHeight="1" thickBot="1">
      <c r="A142" s="916" t="str">
        <f t="shared" si="48"/>
        <v>033</v>
      </c>
      <c r="B142" s="700" t="s">
        <v>338</v>
      </c>
      <c r="C142" s="700"/>
      <c r="D142" s="1009"/>
      <c r="E142" s="1003" t="str">
        <f t="shared" si="53"/>
        <v/>
      </c>
      <c r="F142" s="1041" t="str">
        <f t="shared" si="54"/>
        <v>$</v>
      </c>
      <c r="G142" s="906" t="s">
        <v>341</v>
      </c>
      <c r="H142" s="356">
        <v>59</v>
      </c>
      <c r="I142" s="702" t="s">
        <v>19</v>
      </c>
      <c r="J142" s="906"/>
      <c r="K142" s="703"/>
      <c r="L142" s="906"/>
      <c r="M142" s="906"/>
      <c r="N142" s="700" t="s">
        <v>16117</v>
      </c>
      <c r="O142" s="906"/>
      <c r="P142" s="906" t="s">
        <v>6</v>
      </c>
      <c r="Q142" s="705"/>
      <c r="R142" s="903"/>
      <c r="S142" s="793"/>
    </row>
    <row r="143" spans="1:19" ht="12" customHeight="1">
      <c r="A143" s="1038" t="str">
        <f t="shared" si="48"/>
        <v>034</v>
      </c>
      <c r="B143" s="688" t="s">
        <v>342</v>
      </c>
      <c r="C143" s="688"/>
      <c r="D143" s="1007"/>
      <c r="E143" s="1001" t="str">
        <f>IF(D143="","",D143/SUM($D$143:$D$147))</f>
        <v/>
      </c>
      <c r="F143" s="1004" t="e">
        <f>IF(J143="","$",IF(C143="当選","-",D143*100/MAX($D$143:$D$147)))</f>
        <v>#DIV/0!</v>
      </c>
      <c r="G143" s="687" t="s">
        <v>5651</v>
      </c>
      <c r="H143" s="689">
        <v>63</v>
      </c>
      <c r="I143" s="696" t="s">
        <v>5</v>
      </c>
      <c r="J143" s="689" t="s">
        <v>15273</v>
      </c>
      <c r="K143" s="747"/>
      <c r="L143" s="687"/>
      <c r="M143" s="687"/>
      <c r="N143" s="692" t="s">
        <v>16126</v>
      </c>
      <c r="O143" s="687" t="s">
        <v>44</v>
      </c>
      <c r="P143" s="687" t="s">
        <v>6</v>
      </c>
      <c r="Q143" s="748"/>
      <c r="R143" s="749"/>
      <c r="S143" s="805"/>
    </row>
    <row r="144" spans="1:19" ht="12" customHeight="1">
      <c r="A144" s="1040" t="str">
        <f t="shared" si="48"/>
        <v>034</v>
      </c>
      <c r="B144" s="4" t="s">
        <v>343</v>
      </c>
      <c r="C144" s="4"/>
      <c r="D144" s="1008"/>
      <c r="E144" s="1002" t="str">
        <f t="shared" ref="E144:E147" si="55">IF(D144="","",D144/SUM($D$143:$D$147))</f>
        <v/>
      </c>
      <c r="F144" s="1005" t="e">
        <f t="shared" ref="F144:F147" si="56">IF(J144="","$",IF(C144="当選","-",D144*100/MAX($D$143:$D$147)))</f>
        <v>#DIV/0!</v>
      </c>
      <c r="G144" s="1" t="s">
        <v>350</v>
      </c>
      <c r="H144" s="5">
        <v>61</v>
      </c>
      <c r="I144" s="2" t="s">
        <v>5</v>
      </c>
      <c r="J144" s="1" t="s">
        <v>15273</v>
      </c>
      <c r="K144" s="3"/>
      <c r="L144" s="1"/>
      <c r="M144" s="1"/>
      <c r="N144" s="4" t="s">
        <v>16120</v>
      </c>
      <c r="O144" s="1" t="s">
        <v>476</v>
      </c>
      <c r="P144" s="1" t="s">
        <v>14</v>
      </c>
      <c r="Q144" s="16">
        <v>5</v>
      </c>
      <c r="R144" s="17">
        <v>5</v>
      </c>
      <c r="S144" s="774" t="s">
        <v>5457</v>
      </c>
    </row>
    <row r="145" spans="1:19" ht="12" customHeight="1">
      <c r="A145" s="1040" t="str">
        <f t="shared" si="48"/>
        <v>034</v>
      </c>
      <c r="B145" s="4" t="s">
        <v>344</v>
      </c>
      <c r="C145" s="4"/>
      <c r="D145" s="1008"/>
      <c r="E145" s="1002" t="str">
        <f t="shared" si="55"/>
        <v/>
      </c>
      <c r="F145" s="1005" t="e">
        <f t="shared" si="56"/>
        <v>#DIV/0!</v>
      </c>
      <c r="G145" s="5" t="s">
        <v>908</v>
      </c>
      <c r="H145" s="5">
        <v>33</v>
      </c>
      <c r="I145" s="5" t="s">
        <v>19</v>
      </c>
      <c r="J145" s="1" t="s">
        <v>15273</v>
      </c>
      <c r="K145" s="7" t="s">
        <v>1350</v>
      </c>
      <c r="L145" s="5"/>
      <c r="M145" s="19"/>
      <c r="N145" s="4" t="s">
        <v>16125</v>
      </c>
      <c r="O145" s="5"/>
      <c r="P145" s="5" t="s">
        <v>25</v>
      </c>
      <c r="Q145" s="9">
        <v>2</v>
      </c>
      <c r="R145" s="10">
        <v>2</v>
      </c>
      <c r="S145" s="774" t="s">
        <v>5561</v>
      </c>
    </row>
    <row r="146" spans="1:19" ht="12" customHeight="1">
      <c r="A146" s="1040" t="str">
        <f t="shared" si="48"/>
        <v>034</v>
      </c>
      <c r="B146" s="4" t="s">
        <v>345</v>
      </c>
      <c r="C146" s="4"/>
      <c r="D146" s="1008"/>
      <c r="E146" s="1002" t="str">
        <f t="shared" si="55"/>
        <v/>
      </c>
      <c r="F146" s="1005" t="e">
        <f t="shared" si="56"/>
        <v>#DIV/0!</v>
      </c>
      <c r="G146" s="1" t="s">
        <v>5348</v>
      </c>
      <c r="H146" s="5">
        <v>31</v>
      </c>
      <c r="I146" s="2" t="s">
        <v>5</v>
      </c>
      <c r="J146" s="1" t="s">
        <v>15273</v>
      </c>
      <c r="K146" s="3"/>
      <c r="L146" s="1"/>
      <c r="M146" s="1"/>
      <c r="N146" s="4" t="s">
        <v>16116</v>
      </c>
      <c r="O146" s="1" t="s">
        <v>18494</v>
      </c>
      <c r="P146" s="1" t="s">
        <v>6</v>
      </c>
      <c r="Q146" s="16"/>
      <c r="R146" s="17"/>
      <c r="S146" s="774" t="s">
        <v>6154</v>
      </c>
    </row>
    <row r="147" spans="1:19" ht="12" customHeight="1" thickBot="1">
      <c r="A147" s="916" t="str">
        <f t="shared" si="48"/>
        <v>034</v>
      </c>
      <c r="B147" s="700" t="s">
        <v>5347</v>
      </c>
      <c r="C147" s="700"/>
      <c r="D147" s="1009"/>
      <c r="E147" s="1003" t="str">
        <f t="shared" si="55"/>
        <v/>
      </c>
      <c r="F147" s="1041" t="str">
        <f t="shared" si="56"/>
        <v>$</v>
      </c>
      <c r="G147" s="906" t="s">
        <v>5504</v>
      </c>
      <c r="H147" s="356">
        <v>60</v>
      </c>
      <c r="I147" s="702" t="s">
        <v>5</v>
      </c>
      <c r="J147" s="906"/>
      <c r="K147" s="703"/>
      <c r="L147" s="906"/>
      <c r="M147" s="906"/>
      <c r="N147" s="700" t="s">
        <v>16117</v>
      </c>
      <c r="O147" s="906"/>
      <c r="P147" s="906" t="s">
        <v>6</v>
      </c>
      <c r="Q147" s="705"/>
      <c r="R147" s="903"/>
      <c r="S147" s="793"/>
    </row>
    <row r="148" spans="1:19" ht="12" customHeight="1">
      <c r="A148" s="1038" t="str">
        <f t="shared" si="48"/>
        <v>035</v>
      </c>
      <c r="B148" s="688" t="s">
        <v>360</v>
      </c>
      <c r="C148" s="688"/>
      <c r="D148" s="1007"/>
      <c r="E148" s="1001" t="str">
        <f>IF(D148="","",D148/SUM($D$148:$D$150))</f>
        <v/>
      </c>
      <c r="F148" s="1004" t="e">
        <f>IF(J148="","$",IF(C148="当選","-",D148*100/MAX($D$148:$D$150)))</f>
        <v>#DIV/0!</v>
      </c>
      <c r="G148" s="689" t="s">
        <v>867</v>
      </c>
      <c r="H148" s="689">
        <v>48</v>
      </c>
      <c r="I148" s="689" t="s">
        <v>5</v>
      </c>
      <c r="J148" s="689" t="s">
        <v>15273</v>
      </c>
      <c r="K148" s="691" t="s">
        <v>1351</v>
      </c>
      <c r="L148" s="689"/>
      <c r="M148" s="736"/>
      <c r="N148" s="692" t="s">
        <v>16127</v>
      </c>
      <c r="O148" s="689" t="s">
        <v>24</v>
      </c>
      <c r="P148" s="689" t="s">
        <v>25</v>
      </c>
      <c r="Q148" s="693">
        <v>6</v>
      </c>
      <c r="R148" s="694">
        <v>6</v>
      </c>
      <c r="S148" s="1039" t="s">
        <v>736</v>
      </c>
    </row>
    <row r="149" spans="1:19" ht="12" customHeight="1">
      <c r="A149" s="1040" t="str">
        <f t="shared" si="48"/>
        <v>035</v>
      </c>
      <c r="B149" s="4" t="s">
        <v>361</v>
      </c>
      <c r="C149" s="4"/>
      <c r="D149" s="1008"/>
      <c r="E149" s="1002" t="str">
        <f t="shared" ref="E149:E150" si="57">IF(D149="","",D149/SUM($D$148:$D$150))</f>
        <v/>
      </c>
      <c r="F149" s="1005" t="e">
        <f t="shared" ref="F149:F150" si="58">IF(J149="","$",IF(C149="当選","-",D149*100/MAX($D$148:$D$150)))</f>
        <v>#DIV/0!</v>
      </c>
      <c r="G149" s="1" t="s">
        <v>5206</v>
      </c>
      <c r="H149" s="5">
        <v>59</v>
      </c>
      <c r="I149" s="2" t="s">
        <v>19</v>
      </c>
      <c r="J149" s="1" t="s">
        <v>15273</v>
      </c>
      <c r="K149" s="3"/>
      <c r="L149" s="1"/>
      <c r="M149" s="1"/>
      <c r="N149" s="8" t="s">
        <v>16120</v>
      </c>
      <c r="O149" s="1" t="s">
        <v>30</v>
      </c>
      <c r="P149" s="1" t="s">
        <v>6</v>
      </c>
      <c r="Q149" s="16"/>
      <c r="R149" s="17"/>
      <c r="S149" s="774" t="s">
        <v>5480</v>
      </c>
    </row>
    <row r="150" spans="1:19" ht="12" customHeight="1" thickBot="1">
      <c r="A150" s="916" t="str">
        <f t="shared" si="48"/>
        <v>035</v>
      </c>
      <c r="B150" s="700" t="s">
        <v>362</v>
      </c>
      <c r="C150" s="700"/>
      <c r="D150" s="1009"/>
      <c r="E150" s="1003" t="str">
        <f t="shared" si="57"/>
        <v/>
      </c>
      <c r="F150" s="1041" t="str">
        <f t="shared" si="58"/>
        <v>$</v>
      </c>
      <c r="G150" s="906" t="s">
        <v>16103</v>
      </c>
      <c r="H150" s="356">
        <v>43</v>
      </c>
      <c r="I150" s="702" t="s">
        <v>19</v>
      </c>
      <c r="J150" s="906"/>
      <c r="K150" s="703"/>
      <c r="L150" s="906"/>
      <c r="M150" s="906"/>
      <c r="N150" s="700" t="s">
        <v>16117</v>
      </c>
      <c r="O150" s="906"/>
      <c r="P150" s="906" t="s">
        <v>6</v>
      </c>
      <c r="Q150" s="705"/>
      <c r="R150" s="903"/>
      <c r="S150" s="793"/>
    </row>
    <row r="151" spans="1:19" ht="12" customHeight="1">
      <c r="A151" s="1038" t="str">
        <f t="shared" si="48"/>
        <v>036</v>
      </c>
      <c r="B151" s="688" t="s">
        <v>365</v>
      </c>
      <c r="C151" s="688"/>
      <c r="D151" s="1007"/>
      <c r="E151" s="1001" t="str">
        <f>IF(D151="","",D151/SUM($D$151:$D$154))</f>
        <v/>
      </c>
      <c r="F151" s="1004" t="e">
        <f>IF(J151="","$",IF(C151="当選","-",D151*100/MAX($D$151:$D$154)))</f>
        <v>#DIV/0!</v>
      </c>
      <c r="G151" s="687" t="s">
        <v>369</v>
      </c>
      <c r="H151" s="689">
        <v>57</v>
      </c>
      <c r="I151" s="696" t="s">
        <v>5</v>
      </c>
      <c r="J151" s="687" t="s">
        <v>15273</v>
      </c>
      <c r="K151" s="747"/>
      <c r="L151" s="687"/>
      <c r="M151" s="687"/>
      <c r="N151" s="688" t="s">
        <v>16120</v>
      </c>
      <c r="O151" s="687" t="s">
        <v>48</v>
      </c>
      <c r="P151" s="687" t="s">
        <v>6</v>
      </c>
      <c r="Q151" s="748"/>
      <c r="R151" s="749"/>
      <c r="S151" s="805" t="s">
        <v>5457</v>
      </c>
    </row>
    <row r="152" spans="1:19" ht="12" customHeight="1">
      <c r="A152" s="1040" t="str">
        <f t="shared" si="48"/>
        <v>036</v>
      </c>
      <c r="B152" s="4" t="s">
        <v>366</v>
      </c>
      <c r="C152" s="4"/>
      <c r="D152" s="1008"/>
      <c r="E152" s="1002" t="str">
        <f t="shared" ref="E152:E154" si="59">IF(D152="","",D152/SUM($D$151:$D$154))</f>
        <v/>
      </c>
      <c r="F152" s="1005" t="e">
        <f t="shared" ref="F152:F154" si="60">IF(J152="","$",IF(C152="当選","-",D152*100/MAX($D$151:$D$154)))</f>
        <v>#DIV/0!</v>
      </c>
      <c r="G152" s="6" t="s">
        <v>887</v>
      </c>
      <c r="H152" s="5">
        <v>44</v>
      </c>
      <c r="I152" s="6" t="s">
        <v>5</v>
      </c>
      <c r="J152" s="1" t="s">
        <v>15273</v>
      </c>
      <c r="K152" s="7" t="s">
        <v>1352</v>
      </c>
      <c r="L152" s="5" t="s">
        <v>373</v>
      </c>
      <c r="M152" s="19"/>
      <c r="N152" s="4" t="s">
        <v>16116</v>
      </c>
      <c r="O152" s="6" t="s">
        <v>6154</v>
      </c>
      <c r="P152" s="6" t="s">
        <v>6</v>
      </c>
      <c r="Q152" s="9"/>
      <c r="R152" s="10">
        <v>1</v>
      </c>
      <c r="S152" s="774"/>
    </row>
    <row r="153" spans="1:19" ht="12" customHeight="1">
      <c r="A153" s="1040" t="str">
        <f t="shared" si="48"/>
        <v>036</v>
      </c>
      <c r="B153" s="4" t="s">
        <v>367</v>
      </c>
      <c r="C153" s="4"/>
      <c r="D153" s="1008"/>
      <c r="E153" s="1002" t="str">
        <f t="shared" si="59"/>
        <v/>
      </c>
      <c r="F153" s="1005" t="str">
        <f t="shared" si="60"/>
        <v>$</v>
      </c>
      <c r="G153" s="1" t="s">
        <v>5506</v>
      </c>
      <c r="H153" s="5">
        <v>53</v>
      </c>
      <c r="I153" s="2" t="s">
        <v>5</v>
      </c>
      <c r="J153" s="1"/>
      <c r="K153" s="3"/>
      <c r="L153" s="1"/>
      <c r="M153" s="1"/>
      <c r="N153" s="4" t="s">
        <v>16117</v>
      </c>
      <c r="O153" s="1"/>
      <c r="P153" s="1" t="s">
        <v>6</v>
      </c>
      <c r="Q153" s="16"/>
      <c r="R153" s="17"/>
      <c r="S153" s="774"/>
    </row>
    <row r="154" spans="1:19" ht="12" customHeight="1" thickBot="1">
      <c r="A154" s="916" t="str">
        <f t="shared" si="48"/>
        <v>036</v>
      </c>
      <c r="B154" s="700" t="s">
        <v>368</v>
      </c>
      <c r="C154" s="700"/>
      <c r="D154" s="1009"/>
      <c r="E154" s="1003" t="str">
        <f t="shared" si="59"/>
        <v/>
      </c>
      <c r="F154" s="1041" t="e">
        <f t="shared" si="60"/>
        <v>#DIV/0!</v>
      </c>
      <c r="G154" s="906" t="s">
        <v>4647</v>
      </c>
      <c r="H154" s="356">
        <v>63</v>
      </c>
      <c r="I154" s="702" t="s">
        <v>5</v>
      </c>
      <c r="J154" s="906" t="s">
        <v>15273</v>
      </c>
      <c r="K154" s="703"/>
      <c r="L154" s="906"/>
      <c r="M154" s="906"/>
      <c r="N154" s="700" t="s">
        <v>16121</v>
      </c>
      <c r="O154" s="906"/>
      <c r="P154" s="906" t="s">
        <v>6</v>
      </c>
      <c r="Q154" s="705"/>
      <c r="R154" s="903"/>
      <c r="S154" s="793"/>
    </row>
    <row r="155" spans="1:19" ht="12" customHeight="1">
      <c r="A155" s="1038" t="str">
        <f t="shared" si="48"/>
        <v>037</v>
      </c>
      <c r="B155" s="688" t="s">
        <v>376</v>
      </c>
      <c r="C155" s="688"/>
      <c r="D155" s="1007"/>
      <c r="E155" s="1001" t="str">
        <f>IF(D155="","",D155/SUM($D$155:$D$160))</f>
        <v/>
      </c>
      <c r="F155" s="1004" t="e">
        <f>IF(J155="","$",IF(C155="当選","-",D155*100/MAX($D$155:$D$160)))</f>
        <v>#DIV/0!</v>
      </c>
      <c r="G155" s="689" t="s">
        <v>860</v>
      </c>
      <c r="H155" s="689">
        <v>63</v>
      </c>
      <c r="I155" s="689" t="s">
        <v>5</v>
      </c>
      <c r="J155" s="689" t="s">
        <v>15273</v>
      </c>
      <c r="K155" s="691" t="s">
        <v>1353</v>
      </c>
      <c r="L155" s="783"/>
      <c r="M155" s="736"/>
      <c r="N155" s="692" t="s">
        <v>16127</v>
      </c>
      <c r="O155" s="689" t="s">
        <v>44</v>
      </c>
      <c r="P155" s="689" t="s">
        <v>25</v>
      </c>
      <c r="Q155" s="693">
        <v>3</v>
      </c>
      <c r="R155" s="694">
        <v>3</v>
      </c>
      <c r="S155" s="1039" t="s">
        <v>736</v>
      </c>
    </row>
    <row r="156" spans="1:19" ht="12" customHeight="1">
      <c r="A156" s="1040" t="str">
        <f t="shared" si="48"/>
        <v>037</v>
      </c>
      <c r="B156" s="4" t="s">
        <v>377</v>
      </c>
      <c r="C156" s="4"/>
      <c r="D156" s="1008"/>
      <c r="E156" s="1002" t="str">
        <f t="shared" ref="E156:E160" si="61">IF(D156="","",D156/SUM($D$155:$D$160))</f>
        <v/>
      </c>
      <c r="F156" s="1005" t="e">
        <f t="shared" ref="F156:F160" si="62">IF(J156="","$",IF(C156="当選","-",D156*100/MAX($D$155:$D$160)))</f>
        <v>#DIV/0!</v>
      </c>
      <c r="G156" s="1" t="s">
        <v>380</v>
      </c>
      <c r="H156" s="5">
        <v>68</v>
      </c>
      <c r="I156" s="2" t="s">
        <v>5</v>
      </c>
      <c r="J156" s="1" t="s">
        <v>15273</v>
      </c>
      <c r="K156" s="3"/>
      <c r="L156" s="1"/>
      <c r="M156" s="1"/>
      <c r="N156" s="4" t="s">
        <v>16120</v>
      </c>
      <c r="O156" s="1" t="s">
        <v>48</v>
      </c>
      <c r="P156" s="1" t="s">
        <v>14</v>
      </c>
      <c r="Q156" s="16">
        <v>6</v>
      </c>
      <c r="R156" s="17">
        <v>6</v>
      </c>
      <c r="S156" s="774" t="s">
        <v>5457</v>
      </c>
    </row>
    <row r="157" spans="1:19" ht="12" customHeight="1">
      <c r="A157" s="1040" t="str">
        <f t="shared" si="48"/>
        <v>037</v>
      </c>
      <c r="B157" s="4" t="s">
        <v>378</v>
      </c>
      <c r="C157" s="4"/>
      <c r="D157" s="1008"/>
      <c r="E157" s="1002" t="str">
        <f t="shared" si="61"/>
        <v/>
      </c>
      <c r="F157" s="1005" t="e">
        <f t="shared" si="62"/>
        <v>#DIV/0!</v>
      </c>
      <c r="G157" s="1" t="s">
        <v>6167</v>
      </c>
      <c r="H157" s="5">
        <v>64</v>
      </c>
      <c r="I157" s="2" t="s">
        <v>5</v>
      </c>
      <c r="J157" s="1" t="s">
        <v>15273</v>
      </c>
      <c r="K157" s="3"/>
      <c r="L157" s="1"/>
      <c r="M157" s="1"/>
      <c r="N157" s="4" t="s">
        <v>16125</v>
      </c>
      <c r="O157" s="1"/>
      <c r="P157" s="1" t="s">
        <v>6</v>
      </c>
      <c r="Q157" s="16"/>
      <c r="R157" s="17"/>
      <c r="S157" s="774" t="s">
        <v>5561</v>
      </c>
    </row>
    <row r="158" spans="1:19" ht="12" customHeight="1">
      <c r="A158" s="1040" t="str">
        <f t="shared" si="48"/>
        <v>037</v>
      </c>
      <c r="B158" s="4" t="s">
        <v>5349</v>
      </c>
      <c r="C158" s="4"/>
      <c r="D158" s="1008"/>
      <c r="E158" s="1002" t="str">
        <f t="shared" si="61"/>
        <v/>
      </c>
      <c r="F158" s="1005" t="e">
        <f t="shared" si="62"/>
        <v>#DIV/0!</v>
      </c>
      <c r="G158" s="1" t="s">
        <v>5350</v>
      </c>
      <c r="H158" s="5">
        <v>45</v>
      </c>
      <c r="I158" s="2" t="s">
        <v>5</v>
      </c>
      <c r="J158" s="1" t="s">
        <v>15273</v>
      </c>
      <c r="K158" s="3"/>
      <c r="L158" s="1"/>
      <c r="M158" s="1"/>
      <c r="N158" s="4" t="s">
        <v>16116</v>
      </c>
      <c r="O158" s="1" t="s">
        <v>4422</v>
      </c>
      <c r="P158" s="1" t="s">
        <v>14</v>
      </c>
      <c r="Q158" s="16">
        <v>2</v>
      </c>
      <c r="R158" s="17">
        <v>2</v>
      </c>
      <c r="S158" s="774"/>
    </row>
    <row r="159" spans="1:19" ht="12" customHeight="1">
      <c r="A159" s="1040" t="str">
        <f t="shared" si="48"/>
        <v>037</v>
      </c>
      <c r="B159" s="4" t="s">
        <v>5876</v>
      </c>
      <c r="C159" s="4"/>
      <c r="D159" s="1008"/>
      <c r="E159" s="1002" t="str">
        <f t="shared" si="61"/>
        <v/>
      </c>
      <c r="F159" s="1005" t="e">
        <f t="shared" si="62"/>
        <v>#DIV/0!</v>
      </c>
      <c r="G159" s="1" t="s">
        <v>5877</v>
      </c>
      <c r="H159" s="5">
        <v>45</v>
      </c>
      <c r="I159" s="2" t="s">
        <v>5</v>
      </c>
      <c r="J159" s="1" t="s">
        <v>15273</v>
      </c>
      <c r="K159" s="3"/>
      <c r="L159" s="1"/>
      <c r="M159" s="1"/>
      <c r="N159" s="4" t="s">
        <v>18495</v>
      </c>
      <c r="O159" s="1"/>
      <c r="P159" s="1" t="s">
        <v>6</v>
      </c>
      <c r="Q159" s="16"/>
      <c r="R159" s="17"/>
      <c r="S159" s="774"/>
    </row>
    <row r="160" spans="1:19" ht="12" customHeight="1" thickBot="1">
      <c r="A160" s="916" t="str">
        <f t="shared" si="48"/>
        <v>037</v>
      </c>
      <c r="B160" s="700" t="s">
        <v>6166</v>
      </c>
      <c r="C160" s="700"/>
      <c r="D160" s="1009"/>
      <c r="E160" s="1003" t="str">
        <f t="shared" si="61"/>
        <v/>
      </c>
      <c r="F160" s="1041" t="str">
        <f t="shared" si="62"/>
        <v>$</v>
      </c>
      <c r="G160" s="906" t="s">
        <v>384</v>
      </c>
      <c r="H160" s="356">
        <v>53</v>
      </c>
      <c r="I160" s="702" t="s">
        <v>5</v>
      </c>
      <c r="J160" s="906"/>
      <c r="K160" s="703"/>
      <c r="L160" s="906"/>
      <c r="M160" s="906"/>
      <c r="N160" s="700" t="s">
        <v>16117</v>
      </c>
      <c r="O160" s="906"/>
      <c r="P160" s="906" t="s">
        <v>6</v>
      </c>
      <c r="Q160" s="705"/>
      <c r="R160" s="903"/>
      <c r="S160" s="793"/>
    </row>
    <row r="161" spans="1:19" ht="12" customHeight="1">
      <c r="A161" s="1038" t="str">
        <f t="shared" si="48"/>
        <v>038</v>
      </c>
      <c r="B161" s="688" t="s">
        <v>387</v>
      </c>
      <c r="C161" s="688"/>
      <c r="D161" s="1007"/>
      <c r="E161" s="1001" t="str">
        <f>IF(D161="","",D161/SUM($D$161:$D$165))</f>
        <v/>
      </c>
      <c r="F161" s="1004" t="e">
        <f>IF(J161="","$",IF(C161="当選","-",D161*100/MAX($D$161:$D$165)))</f>
        <v>#DIV/0!</v>
      </c>
      <c r="G161" s="689" t="s">
        <v>925</v>
      </c>
      <c r="H161" s="689">
        <v>42</v>
      </c>
      <c r="I161" s="689" t="s">
        <v>5</v>
      </c>
      <c r="J161" s="689" t="s">
        <v>15273</v>
      </c>
      <c r="K161" s="691" t="s">
        <v>1354</v>
      </c>
      <c r="L161" s="783"/>
      <c r="M161" s="736"/>
      <c r="N161" s="692" t="s">
        <v>16126</v>
      </c>
      <c r="O161" s="689" t="s">
        <v>44</v>
      </c>
      <c r="P161" s="689" t="s">
        <v>25</v>
      </c>
      <c r="Q161" s="693">
        <v>1</v>
      </c>
      <c r="R161" s="694">
        <v>1</v>
      </c>
      <c r="S161" s="1039" t="s">
        <v>736</v>
      </c>
    </row>
    <row r="162" spans="1:19" ht="12" customHeight="1">
      <c r="A162" s="1040" t="str">
        <f t="shared" si="48"/>
        <v>038</v>
      </c>
      <c r="B162" s="4" t="s">
        <v>388</v>
      </c>
      <c r="C162" s="4"/>
      <c r="D162" s="1008"/>
      <c r="E162" s="1002" t="str">
        <f t="shared" ref="E162:E165" si="63">IF(D162="","",D162/SUM($D$161:$D$165))</f>
        <v/>
      </c>
      <c r="F162" s="1005" t="e">
        <f t="shared" ref="F162:F165" si="64">IF(J162="","$",IF(C162="当選","-",D162*100/MAX($D$161:$D$165)))</f>
        <v>#DIV/0!</v>
      </c>
      <c r="G162" s="1" t="s">
        <v>390</v>
      </c>
      <c r="H162" s="5">
        <v>58</v>
      </c>
      <c r="I162" s="2" t="s">
        <v>5</v>
      </c>
      <c r="J162" s="1" t="s">
        <v>15273</v>
      </c>
      <c r="K162" s="3"/>
      <c r="L162" s="1"/>
      <c r="M162" s="1"/>
      <c r="N162" s="8" t="s">
        <v>16120</v>
      </c>
      <c r="O162" s="1" t="s">
        <v>30</v>
      </c>
      <c r="P162" s="1" t="s">
        <v>6</v>
      </c>
      <c r="Q162" s="16"/>
      <c r="R162" s="17"/>
      <c r="S162" s="774" t="s">
        <v>5457</v>
      </c>
    </row>
    <row r="163" spans="1:19" ht="12" customHeight="1">
      <c r="A163" s="1040" t="str">
        <f t="shared" si="48"/>
        <v>038</v>
      </c>
      <c r="B163" s="4" t="s">
        <v>389</v>
      </c>
      <c r="C163" s="4"/>
      <c r="D163" s="1008"/>
      <c r="E163" s="1002" t="str">
        <f t="shared" si="63"/>
        <v/>
      </c>
      <c r="F163" s="1005" t="e">
        <f t="shared" si="64"/>
        <v>#DIV/0!</v>
      </c>
      <c r="G163" s="1" t="s">
        <v>5730</v>
      </c>
      <c r="H163" s="5">
        <v>48</v>
      </c>
      <c r="I163" s="2" t="s">
        <v>19</v>
      </c>
      <c r="J163" s="1" t="s">
        <v>15273</v>
      </c>
      <c r="K163" s="3"/>
      <c r="L163" s="1"/>
      <c r="M163" s="1"/>
      <c r="N163" s="4" t="s">
        <v>16125</v>
      </c>
      <c r="O163" s="1"/>
      <c r="P163" s="1" t="s">
        <v>6</v>
      </c>
      <c r="Q163" s="16"/>
      <c r="R163" s="17"/>
      <c r="S163" s="774" t="s">
        <v>5561</v>
      </c>
    </row>
    <row r="164" spans="1:19" ht="12" customHeight="1">
      <c r="A164" s="1040" t="str">
        <f t="shared" si="48"/>
        <v>038</v>
      </c>
      <c r="B164" s="4" t="s">
        <v>5313</v>
      </c>
      <c r="C164" s="4"/>
      <c r="D164" s="1008"/>
      <c r="E164" s="1002" t="str">
        <f t="shared" si="63"/>
        <v/>
      </c>
      <c r="F164" s="1005" t="e">
        <f t="shared" si="64"/>
        <v>#DIV/0!</v>
      </c>
      <c r="G164" s="1" t="s">
        <v>5314</v>
      </c>
      <c r="H164" s="5">
        <v>38</v>
      </c>
      <c r="I164" s="2" t="s">
        <v>19</v>
      </c>
      <c r="J164" s="1" t="s">
        <v>15273</v>
      </c>
      <c r="K164" s="3"/>
      <c r="L164" s="1"/>
      <c r="M164" s="1"/>
      <c r="N164" s="4" t="s">
        <v>16116</v>
      </c>
      <c r="O164" s="1" t="s">
        <v>18494</v>
      </c>
      <c r="P164" s="1" t="s">
        <v>6</v>
      </c>
      <c r="Q164" s="16"/>
      <c r="R164" s="17"/>
      <c r="S164" s="774" t="s">
        <v>6154</v>
      </c>
    </row>
    <row r="165" spans="1:19" ht="12" customHeight="1" thickBot="1">
      <c r="A165" s="916" t="str">
        <f t="shared" si="48"/>
        <v>038</v>
      </c>
      <c r="B165" s="700" t="s">
        <v>5729</v>
      </c>
      <c r="C165" s="700"/>
      <c r="D165" s="1009"/>
      <c r="E165" s="1003" t="str">
        <f t="shared" si="63"/>
        <v/>
      </c>
      <c r="F165" s="1041" t="str">
        <f t="shared" si="64"/>
        <v>$</v>
      </c>
      <c r="G165" s="906" t="s">
        <v>393</v>
      </c>
      <c r="H165" s="356">
        <v>61</v>
      </c>
      <c r="I165" s="702" t="s">
        <v>5</v>
      </c>
      <c r="J165" s="906"/>
      <c r="K165" s="703"/>
      <c r="L165" s="906"/>
      <c r="M165" s="906"/>
      <c r="N165" s="700" t="s">
        <v>16117</v>
      </c>
      <c r="O165" s="906"/>
      <c r="P165" s="906" t="s">
        <v>6</v>
      </c>
      <c r="Q165" s="705"/>
      <c r="R165" s="903"/>
      <c r="S165" s="793"/>
    </row>
    <row r="166" spans="1:19" ht="12" customHeight="1">
      <c r="A166" s="1038" t="str">
        <f t="shared" si="48"/>
        <v>039</v>
      </c>
      <c r="B166" s="688" t="s">
        <v>396</v>
      </c>
      <c r="C166" s="688"/>
      <c r="D166" s="1007"/>
      <c r="E166" s="1001" t="str">
        <f>IF(D166="","",D166/SUM($D$166:$D$169))</f>
        <v/>
      </c>
      <c r="F166" s="1004" t="e">
        <f>IF(J166="","$",IF(C166="当選","-",D166*100/MAX($D$166:$D$169)))</f>
        <v>#DIV/0!</v>
      </c>
      <c r="G166" s="689" t="s">
        <v>905</v>
      </c>
      <c r="H166" s="689">
        <v>65</v>
      </c>
      <c r="I166" s="689" t="s">
        <v>5</v>
      </c>
      <c r="J166" s="689" t="s">
        <v>15273</v>
      </c>
      <c r="K166" s="691" t="s">
        <v>1355</v>
      </c>
      <c r="L166" s="783"/>
      <c r="M166" s="736"/>
      <c r="N166" s="692" t="s">
        <v>16127</v>
      </c>
      <c r="O166" s="689" t="s">
        <v>44</v>
      </c>
      <c r="P166" s="689" t="s">
        <v>25</v>
      </c>
      <c r="Q166" s="693">
        <v>1</v>
      </c>
      <c r="R166" s="694">
        <v>1</v>
      </c>
      <c r="S166" s="1039"/>
    </row>
    <row r="167" spans="1:19" ht="12" customHeight="1">
      <c r="A167" s="1040" t="str">
        <f t="shared" si="48"/>
        <v>039</v>
      </c>
      <c r="B167" s="4" t="s">
        <v>397</v>
      </c>
      <c r="C167" s="4"/>
      <c r="D167" s="1008"/>
      <c r="E167" s="1002" t="str">
        <f t="shared" ref="E167:E169" si="65">IF(D167="","",D167/SUM($D$166:$D$169))</f>
        <v/>
      </c>
      <c r="F167" s="1005" t="e">
        <f t="shared" ref="F167:F169" si="66">IF(J167="","$",IF(C167="当選","-",D167*100/MAX($D$166:$D$169)))</f>
        <v>#DIV/0!</v>
      </c>
      <c r="G167" s="5" t="s">
        <v>857</v>
      </c>
      <c r="H167" s="5">
        <v>68</v>
      </c>
      <c r="I167" s="5" t="s">
        <v>5</v>
      </c>
      <c r="J167" s="5" t="s">
        <v>15273</v>
      </c>
      <c r="K167" s="12" t="s">
        <v>1302</v>
      </c>
      <c r="L167" s="18"/>
      <c r="M167" s="19"/>
      <c r="N167" s="4" t="s">
        <v>16120</v>
      </c>
      <c r="O167" s="5" t="s">
        <v>13</v>
      </c>
      <c r="P167" s="5" t="s">
        <v>25</v>
      </c>
      <c r="Q167" s="9">
        <v>9</v>
      </c>
      <c r="R167" s="10">
        <v>9</v>
      </c>
      <c r="S167" s="265" t="s">
        <v>5457</v>
      </c>
    </row>
    <row r="168" spans="1:19" ht="12" customHeight="1">
      <c r="A168" s="1040" t="str">
        <f t="shared" si="48"/>
        <v>039</v>
      </c>
      <c r="B168" s="4" t="s">
        <v>398</v>
      </c>
      <c r="C168" s="4"/>
      <c r="D168" s="1008"/>
      <c r="E168" s="1002" t="str">
        <f t="shared" si="65"/>
        <v/>
      </c>
      <c r="F168" s="1005" t="e">
        <f t="shared" si="66"/>
        <v>#DIV/0!</v>
      </c>
      <c r="G168" s="1" t="s">
        <v>406</v>
      </c>
      <c r="H168" s="5">
        <v>43</v>
      </c>
      <c r="I168" s="2" t="s">
        <v>5</v>
      </c>
      <c r="J168" s="1" t="s">
        <v>15273</v>
      </c>
      <c r="K168" s="3"/>
      <c r="L168" s="1"/>
      <c r="M168" s="1"/>
      <c r="N168" s="4" t="s">
        <v>18495</v>
      </c>
      <c r="O168" s="1"/>
      <c r="P168" s="1" t="s">
        <v>6</v>
      </c>
      <c r="Q168" s="16"/>
      <c r="R168" s="17"/>
      <c r="S168" s="774" t="s">
        <v>6031</v>
      </c>
    </row>
    <row r="169" spans="1:19" ht="12" customHeight="1" thickBot="1">
      <c r="A169" s="916" t="str">
        <f t="shared" si="48"/>
        <v>039</v>
      </c>
      <c r="B169" s="700" t="s">
        <v>399</v>
      </c>
      <c r="C169" s="700"/>
      <c r="D169" s="1009"/>
      <c r="E169" s="1003" t="str">
        <f t="shared" si="65"/>
        <v/>
      </c>
      <c r="F169" s="1041" t="str">
        <f t="shared" si="66"/>
        <v>$</v>
      </c>
      <c r="G169" s="906" t="s">
        <v>403</v>
      </c>
      <c r="H169" s="356">
        <v>56</v>
      </c>
      <c r="I169" s="702" t="s">
        <v>19</v>
      </c>
      <c r="J169" s="906"/>
      <c r="K169" s="703"/>
      <c r="L169" s="906"/>
      <c r="M169" s="906"/>
      <c r="N169" s="700" t="s">
        <v>16117</v>
      </c>
      <c r="O169" s="906"/>
      <c r="P169" s="906" t="s">
        <v>6</v>
      </c>
      <c r="Q169" s="705"/>
      <c r="R169" s="903"/>
      <c r="S169" s="793"/>
    </row>
    <row r="170" spans="1:19" ht="12" customHeight="1">
      <c r="A170" s="1038" t="str">
        <f t="shared" si="48"/>
        <v>040</v>
      </c>
      <c r="B170" s="688" t="s">
        <v>408</v>
      </c>
      <c r="C170" s="688"/>
      <c r="D170" s="1007"/>
      <c r="E170" s="1001" t="str">
        <f>IF(D170="","",D170/SUM($D$170:$D$173))</f>
        <v/>
      </c>
      <c r="F170" s="1004" t="e">
        <f>IF(J170="","$",IF(C170="当選","-",D170*100/MAX($D$170:$D$173)))</f>
        <v>#DIV/0!</v>
      </c>
      <c r="G170" s="687" t="s">
        <v>412</v>
      </c>
      <c r="H170" s="689">
        <v>53</v>
      </c>
      <c r="I170" s="696" t="s">
        <v>5</v>
      </c>
      <c r="J170" s="687" t="s">
        <v>15273</v>
      </c>
      <c r="K170" s="747"/>
      <c r="L170" s="687"/>
      <c r="M170" s="687"/>
      <c r="N170" s="688" t="s">
        <v>16120</v>
      </c>
      <c r="O170" s="687" t="s">
        <v>476</v>
      </c>
      <c r="P170" s="687" t="s">
        <v>14</v>
      </c>
      <c r="Q170" s="748">
        <v>2</v>
      </c>
      <c r="R170" s="749">
        <v>2</v>
      </c>
      <c r="S170" s="805" t="s">
        <v>5457</v>
      </c>
    </row>
    <row r="171" spans="1:19" ht="12" customHeight="1">
      <c r="A171" s="1040" t="str">
        <f t="shared" si="48"/>
        <v>040</v>
      </c>
      <c r="B171" s="4" t="s">
        <v>409</v>
      </c>
      <c r="C171" s="4"/>
      <c r="D171" s="1008"/>
      <c r="E171" s="1002" t="str">
        <f t="shared" ref="E171:E173" si="67">IF(D171="","",D171/SUM($D$170:$D$173))</f>
        <v/>
      </c>
      <c r="F171" s="1005" t="e">
        <f t="shared" ref="F171:F173" si="68">IF(J171="","$",IF(C171="当選","-",D171*100/MAX($D$170:$D$173)))</f>
        <v>#DIV/0!</v>
      </c>
      <c r="G171" s="5" t="s">
        <v>888</v>
      </c>
      <c r="H171" s="5">
        <v>55</v>
      </c>
      <c r="I171" s="5" t="s">
        <v>5</v>
      </c>
      <c r="J171" s="1" t="s">
        <v>15273</v>
      </c>
      <c r="K171" s="7" t="s">
        <v>1356</v>
      </c>
      <c r="L171" s="18"/>
      <c r="M171" s="19"/>
      <c r="N171" s="4" t="s">
        <v>16125</v>
      </c>
      <c r="O171" s="5"/>
      <c r="P171" s="5" t="s">
        <v>25</v>
      </c>
      <c r="Q171" s="9">
        <v>3</v>
      </c>
      <c r="R171" s="10">
        <v>3</v>
      </c>
      <c r="S171" s="265" t="s">
        <v>5561</v>
      </c>
    </row>
    <row r="172" spans="1:19" ht="12" customHeight="1">
      <c r="A172" s="1040" t="str">
        <f t="shared" si="48"/>
        <v>040</v>
      </c>
      <c r="B172" s="4" t="s">
        <v>410</v>
      </c>
      <c r="C172" s="4"/>
      <c r="D172" s="1008"/>
      <c r="E172" s="1002" t="str">
        <f t="shared" si="67"/>
        <v/>
      </c>
      <c r="F172" s="1005" t="e">
        <f t="shared" si="68"/>
        <v>#DIV/0!</v>
      </c>
      <c r="G172" s="1" t="s">
        <v>5317</v>
      </c>
      <c r="H172" s="5">
        <v>45</v>
      </c>
      <c r="I172" s="2" t="s">
        <v>5</v>
      </c>
      <c r="J172" s="1" t="s">
        <v>15273</v>
      </c>
      <c r="K172" s="3"/>
      <c r="L172" s="1"/>
      <c r="M172" s="1"/>
      <c r="N172" s="4" t="s">
        <v>16116</v>
      </c>
      <c r="O172" s="1" t="s">
        <v>18494</v>
      </c>
      <c r="P172" s="1" t="s">
        <v>6</v>
      </c>
      <c r="Q172" s="16"/>
      <c r="R172" s="17"/>
      <c r="S172" s="774" t="s">
        <v>6154</v>
      </c>
    </row>
    <row r="173" spans="1:19" ht="12" customHeight="1" thickBot="1">
      <c r="A173" s="916" t="str">
        <f t="shared" si="48"/>
        <v>040</v>
      </c>
      <c r="B173" s="700" t="s">
        <v>411</v>
      </c>
      <c r="C173" s="700"/>
      <c r="D173" s="1009"/>
      <c r="E173" s="1003" t="str">
        <f t="shared" si="67"/>
        <v/>
      </c>
      <c r="F173" s="1041" t="str">
        <f t="shared" si="68"/>
        <v>$</v>
      </c>
      <c r="G173" s="906" t="s">
        <v>414</v>
      </c>
      <c r="H173" s="356">
        <v>62</v>
      </c>
      <c r="I173" s="702" t="s">
        <v>19</v>
      </c>
      <c r="J173" s="906"/>
      <c r="K173" s="703"/>
      <c r="L173" s="906"/>
      <c r="M173" s="906"/>
      <c r="N173" s="700" t="s">
        <v>16117</v>
      </c>
      <c r="O173" s="906"/>
      <c r="P173" s="906" t="s">
        <v>6</v>
      </c>
      <c r="Q173" s="705"/>
      <c r="R173" s="903"/>
      <c r="S173" s="793"/>
    </row>
    <row r="174" spans="1:19" ht="12" customHeight="1">
      <c r="A174" s="1038" t="str">
        <f t="shared" si="48"/>
        <v>041</v>
      </c>
      <c r="B174" s="688" t="s">
        <v>418</v>
      </c>
      <c r="C174" s="688"/>
      <c r="D174" s="1007"/>
      <c r="E174" s="1001" t="str">
        <f>IF(D174="","",D174/SUM($D$174:$D$176))</f>
        <v/>
      </c>
      <c r="F174" s="1004" t="e">
        <f>IF(J174="","$",IF(C174="当選","-",D174*100/MAX($D$174:$D$176)))</f>
        <v>#DIV/0!</v>
      </c>
      <c r="G174" s="690" t="s">
        <v>871</v>
      </c>
      <c r="H174" s="689">
        <v>53</v>
      </c>
      <c r="I174" s="690" t="s">
        <v>5</v>
      </c>
      <c r="J174" s="689" t="s">
        <v>15273</v>
      </c>
      <c r="K174" s="735" t="s">
        <v>1297</v>
      </c>
      <c r="L174" s="736"/>
      <c r="M174" s="736"/>
      <c r="N174" s="692" t="s">
        <v>16127</v>
      </c>
      <c r="O174" s="690" t="s">
        <v>44</v>
      </c>
      <c r="P174" s="690" t="s">
        <v>25</v>
      </c>
      <c r="Q174" s="737">
        <v>1</v>
      </c>
      <c r="R174" s="738">
        <v>1</v>
      </c>
      <c r="S174" s="805"/>
    </row>
    <row r="175" spans="1:19" ht="12" customHeight="1">
      <c r="A175" s="1040" t="str">
        <f t="shared" si="48"/>
        <v>041</v>
      </c>
      <c r="B175" s="4" t="s">
        <v>419</v>
      </c>
      <c r="C175" s="4"/>
      <c r="D175" s="1008"/>
      <c r="E175" s="1002" t="str">
        <f t="shared" ref="E175:E176" si="69">IF(D175="","",D175/SUM($D$174:$D$176))</f>
        <v/>
      </c>
      <c r="F175" s="1005" t="e">
        <f t="shared" ref="F175:F176" si="70">IF(J175="","$",IF(C175="当選","-",D175*100/MAX($D$174:$D$176)))</f>
        <v>#DIV/0!</v>
      </c>
      <c r="G175" s="6" t="s">
        <v>858</v>
      </c>
      <c r="H175" s="5">
        <v>57</v>
      </c>
      <c r="I175" s="6" t="s">
        <v>5</v>
      </c>
      <c r="J175" s="6" t="s">
        <v>15273</v>
      </c>
      <c r="K175" s="12" t="s">
        <v>1357</v>
      </c>
      <c r="L175" s="19"/>
      <c r="M175" s="19"/>
      <c r="N175" s="8" t="s">
        <v>16120</v>
      </c>
      <c r="O175" s="6" t="s">
        <v>30</v>
      </c>
      <c r="P175" s="6" t="s">
        <v>25</v>
      </c>
      <c r="Q175" s="13">
        <v>4</v>
      </c>
      <c r="R175" s="14">
        <v>4</v>
      </c>
      <c r="S175" s="1044" t="s">
        <v>5457</v>
      </c>
    </row>
    <row r="176" spans="1:19" ht="12" customHeight="1" thickBot="1">
      <c r="A176" s="916" t="str">
        <f t="shared" si="48"/>
        <v>041</v>
      </c>
      <c r="B176" s="700" t="s">
        <v>420</v>
      </c>
      <c r="C176" s="700"/>
      <c r="D176" s="1009"/>
      <c r="E176" s="1003" t="str">
        <f t="shared" si="69"/>
        <v/>
      </c>
      <c r="F176" s="1041" t="str">
        <f t="shared" si="70"/>
        <v>$</v>
      </c>
      <c r="G176" s="906" t="s">
        <v>421</v>
      </c>
      <c r="H176" s="356">
        <v>62</v>
      </c>
      <c r="I176" s="702" t="s">
        <v>5</v>
      </c>
      <c r="J176" s="906"/>
      <c r="K176" s="703"/>
      <c r="L176" s="906"/>
      <c r="M176" s="906"/>
      <c r="N176" s="700" t="s">
        <v>16117</v>
      </c>
      <c r="O176" s="906"/>
      <c r="P176" s="906" t="s">
        <v>6</v>
      </c>
      <c r="Q176" s="705"/>
      <c r="R176" s="903"/>
      <c r="S176" s="793"/>
    </row>
    <row r="177" spans="1:19" ht="12" customHeight="1">
      <c r="A177" s="1038" t="str">
        <f t="shared" si="48"/>
        <v>042</v>
      </c>
      <c r="B177" s="688" t="s">
        <v>424</v>
      </c>
      <c r="C177" s="688"/>
      <c r="D177" s="1007"/>
      <c r="E177" s="1001" t="str">
        <f>IF(D177="","",D177/SUM($D$177:$D$179))</f>
        <v/>
      </c>
      <c r="F177" s="1004" t="e">
        <f>IF(J177="","$",IF(C177="当選","-",D177*100/MAX($D$177:$D$179)))</f>
        <v>#DIV/0!</v>
      </c>
      <c r="G177" s="690" t="s">
        <v>912</v>
      </c>
      <c r="H177" s="689">
        <v>65</v>
      </c>
      <c r="I177" s="690" t="s">
        <v>5</v>
      </c>
      <c r="J177" s="689" t="s">
        <v>15273</v>
      </c>
      <c r="K177" s="735" t="s">
        <v>1358</v>
      </c>
      <c r="L177" s="736"/>
      <c r="M177" s="736"/>
      <c r="N177" s="692" t="s">
        <v>16126</v>
      </c>
      <c r="O177" s="690" t="s">
        <v>45</v>
      </c>
      <c r="P177" s="690" t="s">
        <v>25</v>
      </c>
      <c r="Q177" s="737">
        <v>7</v>
      </c>
      <c r="R177" s="738">
        <v>7</v>
      </c>
      <c r="S177" s="1042" t="s">
        <v>736</v>
      </c>
    </row>
    <row r="178" spans="1:19" ht="12" customHeight="1">
      <c r="A178" s="1040" t="str">
        <f t="shared" si="48"/>
        <v>042</v>
      </c>
      <c r="B178" s="4" t="s">
        <v>425</v>
      </c>
      <c r="C178" s="4"/>
      <c r="D178" s="1008"/>
      <c r="E178" s="1002" t="str">
        <f t="shared" ref="E178:E179" si="71">IF(D178="","",D178/SUM($D$177:$D$179))</f>
        <v/>
      </c>
      <c r="F178" s="1005" t="e">
        <f t="shared" ref="F178:F179" si="72">IF(J178="","$",IF(C178="当選","-",D178*100/MAX($D$177:$D$179)))</f>
        <v>#DIV/0!</v>
      </c>
      <c r="G178" s="1" t="s">
        <v>427</v>
      </c>
      <c r="H178" s="5">
        <v>40</v>
      </c>
      <c r="I178" s="2" t="s">
        <v>5</v>
      </c>
      <c r="J178" s="1" t="s">
        <v>15273</v>
      </c>
      <c r="K178" s="3"/>
      <c r="L178" s="1"/>
      <c r="M178" s="1"/>
      <c r="N178" s="4" t="s">
        <v>16120</v>
      </c>
      <c r="O178" s="1" t="s">
        <v>30</v>
      </c>
      <c r="P178" s="1" t="s">
        <v>6</v>
      </c>
      <c r="Q178" s="16"/>
      <c r="R178" s="17"/>
      <c r="S178" s="774"/>
    </row>
    <row r="179" spans="1:19" ht="12" customHeight="1" thickBot="1">
      <c r="A179" s="916" t="str">
        <f t="shared" si="48"/>
        <v>042</v>
      </c>
      <c r="B179" s="700" t="s">
        <v>426</v>
      </c>
      <c r="C179" s="700"/>
      <c r="D179" s="1009"/>
      <c r="E179" s="1003" t="str">
        <f t="shared" si="71"/>
        <v/>
      </c>
      <c r="F179" s="1041" t="str">
        <f t="shared" si="72"/>
        <v>$</v>
      </c>
      <c r="G179" s="906" t="s">
        <v>430</v>
      </c>
      <c r="H179" s="356">
        <v>56</v>
      </c>
      <c r="I179" s="702" t="s">
        <v>5</v>
      </c>
      <c r="J179" s="906"/>
      <c r="K179" s="703"/>
      <c r="L179" s="906"/>
      <c r="M179" s="906"/>
      <c r="N179" s="700" t="s">
        <v>16117</v>
      </c>
      <c r="O179" s="906"/>
      <c r="P179" s="906" t="s">
        <v>6</v>
      </c>
      <c r="Q179" s="705"/>
      <c r="R179" s="903"/>
      <c r="S179" s="793"/>
    </row>
    <row r="180" spans="1:19" ht="12" customHeight="1">
      <c r="A180" s="1038" t="str">
        <f t="shared" si="48"/>
        <v>043</v>
      </c>
      <c r="B180" s="688" t="s">
        <v>433</v>
      </c>
      <c r="C180" s="688"/>
      <c r="D180" s="1007"/>
      <c r="E180" s="1001" t="str">
        <f>IF(D180="","",D180/SUM($D$180:$D$185))</f>
        <v/>
      </c>
      <c r="F180" s="1004" t="e">
        <f>IF(J180="","$",IF(C180="当選","-",D180*100/MAX($D$180:$D$185)))</f>
        <v>#DIV/0!</v>
      </c>
      <c r="G180" s="690" t="s">
        <v>909</v>
      </c>
      <c r="H180" s="689">
        <v>62</v>
      </c>
      <c r="I180" s="690" t="s">
        <v>19</v>
      </c>
      <c r="J180" s="689" t="s">
        <v>15273</v>
      </c>
      <c r="K180" s="735" t="s">
        <v>1359</v>
      </c>
      <c r="L180" s="736"/>
      <c r="M180" s="736"/>
      <c r="N180" s="692" t="s">
        <v>16127</v>
      </c>
      <c r="O180" s="690" t="s">
        <v>44</v>
      </c>
      <c r="P180" s="690" t="s">
        <v>25</v>
      </c>
      <c r="Q180" s="737">
        <v>1</v>
      </c>
      <c r="R180" s="738">
        <v>1</v>
      </c>
      <c r="S180" s="1042" t="s">
        <v>736</v>
      </c>
    </row>
    <row r="181" spans="1:19" ht="12" customHeight="1">
      <c r="A181" s="1040" t="str">
        <f t="shared" si="48"/>
        <v>043</v>
      </c>
      <c r="B181" s="4" t="s">
        <v>434</v>
      </c>
      <c r="C181" s="4"/>
      <c r="D181" s="1008"/>
      <c r="E181" s="1002" t="str">
        <f t="shared" ref="E181:E185" si="73">IF(D181="","",D181/SUM($D$180:$D$185))</f>
        <v/>
      </c>
      <c r="F181" s="1005" t="e">
        <f t="shared" ref="F181:F185" si="74">IF(J181="","$",IF(C181="当選","-",D181*100/MAX($D$180:$D$185)))</f>
        <v>#DIV/0!</v>
      </c>
      <c r="G181" s="1" t="s">
        <v>436</v>
      </c>
      <c r="H181" s="5">
        <v>68</v>
      </c>
      <c r="I181" s="2" t="s">
        <v>5</v>
      </c>
      <c r="J181" s="1" t="s">
        <v>15273</v>
      </c>
      <c r="K181" s="3"/>
      <c r="L181" s="1"/>
      <c r="M181" s="1"/>
      <c r="N181" s="4" t="s">
        <v>16120</v>
      </c>
      <c r="O181" s="1" t="s">
        <v>30</v>
      </c>
      <c r="P181" s="1" t="s">
        <v>14</v>
      </c>
      <c r="Q181" s="16">
        <v>10</v>
      </c>
      <c r="R181" s="17">
        <v>10</v>
      </c>
      <c r="S181" s="774" t="s">
        <v>5457</v>
      </c>
    </row>
    <row r="182" spans="1:19" ht="12" customHeight="1">
      <c r="A182" s="1040" t="str">
        <f t="shared" si="48"/>
        <v>043</v>
      </c>
      <c r="B182" s="4" t="s">
        <v>435</v>
      </c>
      <c r="C182" s="4"/>
      <c r="D182" s="1008"/>
      <c r="E182" s="1002" t="str">
        <f t="shared" si="73"/>
        <v/>
      </c>
      <c r="F182" s="1005" t="e">
        <f t="shared" si="74"/>
        <v>#DIV/0!</v>
      </c>
      <c r="G182" s="1" t="s">
        <v>5983</v>
      </c>
      <c r="H182" s="5">
        <v>54</v>
      </c>
      <c r="I182" s="2" t="s">
        <v>5</v>
      </c>
      <c r="J182" s="1" t="s">
        <v>15273</v>
      </c>
      <c r="K182" s="3"/>
      <c r="L182" s="1"/>
      <c r="M182" s="1"/>
      <c r="N182" s="4" t="s">
        <v>16125</v>
      </c>
      <c r="O182" s="1"/>
      <c r="P182" s="1" t="s">
        <v>6</v>
      </c>
      <c r="Q182" s="16"/>
      <c r="R182" s="17"/>
      <c r="S182" s="774" t="s">
        <v>5561</v>
      </c>
    </row>
    <row r="183" spans="1:19" ht="12" customHeight="1">
      <c r="A183" s="1040" t="str">
        <f t="shared" si="48"/>
        <v>043</v>
      </c>
      <c r="B183" s="4" t="s">
        <v>4994</v>
      </c>
      <c r="C183" s="4"/>
      <c r="D183" s="1008"/>
      <c r="E183" s="1002" t="str">
        <f t="shared" si="73"/>
        <v/>
      </c>
      <c r="F183" s="1005" t="e">
        <f t="shared" si="74"/>
        <v>#DIV/0!</v>
      </c>
      <c r="G183" s="1" t="s">
        <v>4996</v>
      </c>
      <c r="H183" s="5">
        <v>41</v>
      </c>
      <c r="I183" s="2" t="s">
        <v>5</v>
      </c>
      <c r="J183" s="1" t="s">
        <v>15273</v>
      </c>
      <c r="K183" s="3"/>
      <c r="L183" s="1"/>
      <c r="M183" s="1"/>
      <c r="N183" s="4" t="s">
        <v>16116</v>
      </c>
      <c r="O183" s="1" t="s">
        <v>18494</v>
      </c>
      <c r="P183" s="1" t="s">
        <v>6</v>
      </c>
      <c r="Q183" s="16"/>
      <c r="R183" s="17"/>
      <c r="S183" s="774" t="s">
        <v>6154</v>
      </c>
    </row>
    <row r="184" spans="1:19" ht="12" customHeight="1">
      <c r="A184" s="1040" t="str">
        <f t="shared" si="48"/>
        <v>043</v>
      </c>
      <c r="B184" s="4" t="s">
        <v>4995</v>
      </c>
      <c r="C184" s="4"/>
      <c r="D184" s="1008"/>
      <c r="E184" s="1002" t="str">
        <f t="shared" si="73"/>
        <v/>
      </c>
      <c r="F184" s="1005" t="str">
        <f t="shared" si="74"/>
        <v>$</v>
      </c>
      <c r="G184" s="1" t="s">
        <v>438</v>
      </c>
      <c r="H184" s="5">
        <v>62</v>
      </c>
      <c r="I184" s="2" t="s">
        <v>19</v>
      </c>
      <c r="J184" s="1"/>
      <c r="K184" s="3"/>
      <c r="L184" s="1"/>
      <c r="M184" s="1"/>
      <c r="N184" s="4" t="s">
        <v>16117</v>
      </c>
      <c r="O184" s="1"/>
      <c r="P184" s="1" t="s">
        <v>6</v>
      </c>
      <c r="Q184" s="16"/>
      <c r="R184" s="17"/>
      <c r="S184" s="774"/>
    </row>
    <row r="185" spans="1:19" ht="12" customHeight="1" thickBot="1">
      <c r="A185" s="916" t="str">
        <f t="shared" si="48"/>
        <v>043</v>
      </c>
      <c r="B185" s="700" t="s">
        <v>5982</v>
      </c>
      <c r="C185" s="700"/>
      <c r="D185" s="1009"/>
      <c r="E185" s="1003" t="str">
        <f t="shared" si="73"/>
        <v/>
      </c>
      <c r="F185" s="1041" t="str">
        <f t="shared" si="74"/>
        <v>$</v>
      </c>
      <c r="G185" s="906" t="s">
        <v>4998</v>
      </c>
      <c r="H185" s="356">
        <v>48</v>
      </c>
      <c r="I185" s="702" t="s">
        <v>5</v>
      </c>
      <c r="J185" s="906"/>
      <c r="K185" s="703"/>
      <c r="L185" s="906"/>
      <c r="M185" s="906"/>
      <c r="N185" s="700" t="s">
        <v>16129</v>
      </c>
      <c r="O185" s="906" t="s">
        <v>97</v>
      </c>
      <c r="P185" s="906" t="s">
        <v>6</v>
      </c>
      <c r="Q185" s="705"/>
      <c r="R185" s="903"/>
      <c r="S185" s="793"/>
    </row>
    <row r="186" spans="1:19" ht="12" customHeight="1">
      <c r="A186" s="1038" t="str">
        <f t="shared" si="48"/>
        <v>044</v>
      </c>
      <c r="B186" s="688" t="s">
        <v>441</v>
      </c>
      <c r="C186" s="688"/>
      <c r="D186" s="1007"/>
      <c r="E186" s="1001" t="str">
        <f>IF(D186="","",D186/SUM($D$186:$D$190))</f>
        <v/>
      </c>
      <c r="F186" s="1004" t="e">
        <f>IF(J186="","$",IF(C186="当選","-",D186*100/MAX($D$186:$D$190)))</f>
        <v>#DIV/0!</v>
      </c>
      <c r="G186" s="690" t="s">
        <v>928</v>
      </c>
      <c r="H186" s="689">
        <v>62</v>
      </c>
      <c r="I186" s="690" t="s">
        <v>5</v>
      </c>
      <c r="J186" s="689" t="s">
        <v>15273</v>
      </c>
      <c r="K186" s="735" t="s">
        <v>1300</v>
      </c>
      <c r="L186" s="736"/>
      <c r="M186" s="736"/>
      <c r="N186" s="692" t="s">
        <v>16127</v>
      </c>
      <c r="O186" s="690" t="s">
        <v>44</v>
      </c>
      <c r="P186" s="690" t="s">
        <v>25</v>
      </c>
      <c r="Q186" s="737">
        <v>1</v>
      </c>
      <c r="R186" s="738">
        <v>1</v>
      </c>
      <c r="S186" s="805" t="s">
        <v>736</v>
      </c>
    </row>
    <row r="187" spans="1:19" ht="12" customHeight="1">
      <c r="A187" s="1040" t="str">
        <f t="shared" si="48"/>
        <v>044</v>
      </c>
      <c r="B187" s="4" t="s">
        <v>442</v>
      </c>
      <c r="C187" s="4"/>
      <c r="D187" s="1008"/>
      <c r="E187" s="1002" t="str">
        <f t="shared" ref="E187:E190" si="75">IF(D187="","",D187/SUM($D$186:$D$190))</f>
        <v/>
      </c>
      <c r="F187" s="1005" t="e">
        <f t="shared" ref="F187:F190" si="76">IF(J187="","$",IF(C187="当選","-",D187*100/MAX($D$186:$D$190)))</f>
        <v>#DIV/0!</v>
      </c>
      <c r="G187" s="6" t="s">
        <v>849</v>
      </c>
      <c r="H187" s="5">
        <v>59</v>
      </c>
      <c r="I187" s="6" t="s">
        <v>19</v>
      </c>
      <c r="J187" s="6" t="s">
        <v>15273</v>
      </c>
      <c r="K187" s="12" t="s">
        <v>1303</v>
      </c>
      <c r="L187" s="19"/>
      <c r="M187" s="19"/>
      <c r="N187" s="8" t="s">
        <v>16120</v>
      </c>
      <c r="O187" s="6" t="s">
        <v>445</v>
      </c>
      <c r="P187" s="6" t="s">
        <v>25</v>
      </c>
      <c r="Q187" s="13">
        <v>2</v>
      </c>
      <c r="R187" s="14">
        <v>2</v>
      </c>
      <c r="S187" s="1044"/>
    </row>
    <row r="188" spans="1:19" ht="12" customHeight="1">
      <c r="A188" s="1040" t="str">
        <f t="shared" si="48"/>
        <v>044</v>
      </c>
      <c r="B188" s="4" t="s">
        <v>443</v>
      </c>
      <c r="C188" s="4"/>
      <c r="D188" s="1008"/>
      <c r="E188" s="1002" t="str">
        <f t="shared" si="75"/>
        <v/>
      </c>
      <c r="F188" s="1005" t="e">
        <f t="shared" si="76"/>
        <v>#DIV/0!</v>
      </c>
      <c r="G188" s="1" t="s">
        <v>5353</v>
      </c>
      <c r="H188" s="5">
        <v>33</v>
      </c>
      <c r="I188" s="2" t="s">
        <v>5</v>
      </c>
      <c r="J188" s="1" t="s">
        <v>15273</v>
      </c>
      <c r="K188" s="3"/>
      <c r="L188" s="1"/>
      <c r="M188" s="1"/>
      <c r="N188" s="4" t="s">
        <v>16116</v>
      </c>
      <c r="O188" s="1" t="s">
        <v>18494</v>
      </c>
      <c r="P188" s="1" t="s">
        <v>6</v>
      </c>
      <c r="Q188" s="16"/>
      <c r="R188" s="17"/>
      <c r="S188" s="774" t="s">
        <v>6154</v>
      </c>
    </row>
    <row r="189" spans="1:19" ht="12" customHeight="1">
      <c r="A189" s="1040" t="str">
        <f t="shared" si="48"/>
        <v>044</v>
      </c>
      <c r="B189" s="4" t="s">
        <v>444</v>
      </c>
      <c r="C189" s="4"/>
      <c r="D189" s="1008"/>
      <c r="E189" s="1002" t="str">
        <f t="shared" si="75"/>
        <v/>
      </c>
      <c r="F189" s="1005" t="str">
        <f t="shared" si="76"/>
        <v>$</v>
      </c>
      <c r="G189" s="1" t="s">
        <v>15953</v>
      </c>
      <c r="H189" s="5">
        <v>60</v>
      </c>
      <c r="I189" s="2" t="s">
        <v>5</v>
      </c>
      <c r="J189" s="1"/>
      <c r="K189" s="3"/>
      <c r="L189" s="1"/>
      <c r="M189" s="1"/>
      <c r="N189" s="4" t="s">
        <v>16117</v>
      </c>
      <c r="O189" s="1"/>
      <c r="P189" s="1" t="s">
        <v>6</v>
      </c>
      <c r="Q189" s="16"/>
      <c r="R189" s="17"/>
      <c r="S189" s="774"/>
    </row>
    <row r="190" spans="1:19" ht="12" customHeight="1" thickBot="1">
      <c r="A190" s="916" t="str">
        <f t="shared" si="48"/>
        <v>044</v>
      </c>
      <c r="B190" s="700" t="s">
        <v>5352</v>
      </c>
      <c r="C190" s="700"/>
      <c r="D190" s="1009"/>
      <c r="E190" s="1003" t="str">
        <f t="shared" si="75"/>
        <v/>
      </c>
      <c r="F190" s="1041" t="str">
        <f t="shared" si="76"/>
        <v>$</v>
      </c>
      <c r="G190" s="701" t="s">
        <v>913</v>
      </c>
      <c r="H190" s="356">
        <v>63</v>
      </c>
      <c r="I190" s="701" t="s">
        <v>5</v>
      </c>
      <c r="J190" s="701"/>
      <c r="K190" s="740" t="s">
        <v>1360</v>
      </c>
      <c r="L190" s="741"/>
      <c r="M190" s="741"/>
      <c r="N190" s="704" t="s">
        <v>16129</v>
      </c>
      <c r="O190" s="701" t="s">
        <v>446</v>
      </c>
      <c r="P190" s="701" t="s">
        <v>25</v>
      </c>
      <c r="Q190" s="742">
        <v>11</v>
      </c>
      <c r="R190" s="743">
        <v>11</v>
      </c>
      <c r="S190" s="1043" t="s">
        <v>5457</v>
      </c>
    </row>
    <row r="191" spans="1:19" ht="12" customHeight="1">
      <c r="A191" s="1038" t="str">
        <f t="shared" si="48"/>
        <v>045</v>
      </c>
      <c r="B191" s="688" t="s">
        <v>470</v>
      </c>
      <c r="C191" s="688"/>
      <c r="D191" s="1007"/>
      <c r="E191" s="1001" t="str">
        <f>IF(D191="","",D191/SUM($D$191:$D$194))</f>
        <v/>
      </c>
      <c r="F191" s="1004" t="e">
        <f>IF(J191="","$",IF(C191="当選","-",D191*100/MAX($D$191:$D$194)))</f>
        <v>#DIV/0!</v>
      </c>
      <c r="G191" s="689" t="s">
        <v>903</v>
      </c>
      <c r="H191" s="689">
        <v>50</v>
      </c>
      <c r="I191" s="689" t="s">
        <v>5</v>
      </c>
      <c r="J191" s="689" t="s">
        <v>15273</v>
      </c>
      <c r="K191" s="691" t="s">
        <v>1361</v>
      </c>
      <c r="L191" s="783"/>
      <c r="M191" s="736"/>
      <c r="N191" s="692" t="s">
        <v>16126</v>
      </c>
      <c r="O191" s="689" t="s">
        <v>44</v>
      </c>
      <c r="P191" s="689" t="s">
        <v>25</v>
      </c>
      <c r="Q191" s="693">
        <v>1</v>
      </c>
      <c r="R191" s="694">
        <v>1</v>
      </c>
      <c r="S191" s="805" t="s">
        <v>736</v>
      </c>
    </row>
    <row r="192" spans="1:19" ht="12" customHeight="1">
      <c r="A192" s="1040" t="str">
        <f t="shared" si="48"/>
        <v>045</v>
      </c>
      <c r="B192" s="4" t="s">
        <v>471</v>
      </c>
      <c r="C192" s="4"/>
      <c r="D192" s="1008"/>
      <c r="E192" s="1002" t="str">
        <f t="shared" ref="E192:E194" si="77">IF(D192="","",D192/SUM($D$191:$D$194))</f>
        <v/>
      </c>
      <c r="F192" s="1005" t="e">
        <f t="shared" ref="F192:F194" si="78">IF(J192="","$",IF(C192="当選","-",D192*100/MAX($D$191:$D$194)))</f>
        <v>#DIV/0!</v>
      </c>
      <c r="G192" s="1" t="s">
        <v>477</v>
      </c>
      <c r="H192" s="5">
        <v>59</v>
      </c>
      <c r="I192" s="2" t="s">
        <v>5</v>
      </c>
      <c r="J192" s="1" t="s">
        <v>15273</v>
      </c>
      <c r="K192" s="3"/>
      <c r="L192" s="1"/>
      <c r="M192" s="1"/>
      <c r="N192" s="4" t="s">
        <v>16120</v>
      </c>
      <c r="O192" s="1" t="s">
        <v>13</v>
      </c>
      <c r="P192" s="1" t="s">
        <v>14</v>
      </c>
      <c r="Q192" s="16">
        <v>9</v>
      </c>
      <c r="R192" s="17">
        <v>9</v>
      </c>
      <c r="S192" s="774" t="s">
        <v>5457</v>
      </c>
    </row>
    <row r="193" spans="1:19" ht="12" customHeight="1">
      <c r="A193" s="1040" t="str">
        <f t="shared" si="48"/>
        <v>045</v>
      </c>
      <c r="B193" s="4" t="s">
        <v>472</v>
      </c>
      <c r="C193" s="4"/>
      <c r="D193" s="1008"/>
      <c r="E193" s="1002" t="str">
        <f t="shared" si="77"/>
        <v/>
      </c>
      <c r="F193" s="1005" t="e">
        <f t="shared" si="78"/>
        <v>#DIV/0!</v>
      </c>
      <c r="G193" s="1" t="s">
        <v>480</v>
      </c>
      <c r="H193" s="5">
        <v>41</v>
      </c>
      <c r="I193" s="2" t="s">
        <v>5</v>
      </c>
      <c r="J193" s="1" t="s">
        <v>15273</v>
      </c>
      <c r="K193" s="3"/>
      <c r="L193" s="1"/>
      <c r="M193" s="1"/>
      <c r="N193" s="4" t="s">
        <v>18495</v>
      </c>
      <c r="O193" s="1"/>
      <c r="P193" s="1" t="s">
        <v>6</v>
      </c>
      <c r="Q193" s="16"/>
      <c r="R193" s="17"/>
      <c r="S193" s="774" t="s">
        <v>6031</v>
      </c>
    </row>
    <row r="194" spans="1:19" ht="12" customHeight="1" thickBot="1">
      <c r="A194" s="916" t="str">
        <f t="shared" si="48"/>
        <v>045</v>
      </c>
      <c r="B194" s="700" t="s">
        <v>473</v>
      </c>
      <c r="C194" s="700"/>
      <c r="D194" s="1009"/>
      <c r="E194" s="1003" t="str">
        <f t="shared" si="77"/>
        <v/>
      </c>
      <c r="F194" s="1041" t="str">
        <f t="shared" si="78"/>
        <v>$</v>
      </c>
      <c r="G194" s="906" t="s">
        <v>482</v>
      </c>
      <c r="H194" s="356">
        <v>57</v>
      </c>
      <c r="I194" s="702" t="s">
        <v>5</v>
      </c>
      <c r="J194" s="906"/>
      <c r="K194" s="703"/>
      <c r="L194" s="906"/>
      <c r="M194" s="906"/>
      <c r="N194" s="700" t="s">
        <v>16117</v>
      </c>
      <c r="O194" s="906"/>
      <c r="P194" s="906" t="s">
        <v>6</v>
      </c>
      <c r="Q194" s="705"/>
      <c r="R194" s="903"/>
      <c r="S194" s="793"/>
    </row>
    <row r="195" spans="1:19" ht="12" customHeight="1">
      <c r="A195" s="1038" t="str">
        <f t="shared" ref="A195:A258" si="79">MIDB(B195,1,3)</f>
        <v>046</v>
      </c>
      <c r="B195" s="688" t="s">
        <v>485</v>
      </c>
      <c r="C195" s="688"/>
      <c r="D195" s="1007"/>
      <c r="E195" s="1001" t="str">
        <f>IF(D195="","",D195/SUM($D$195:$D$198))</f>
        <v/>
      </c>
      <c r="F195" s="1004" t="e">
        <f>IF(J195="","$",IF(C195="当選","-",D195*100/MAX($D$195:$D$198)))</f>
        <v>#DIV/0!</v>
      </c>
      <c r="G195" s="689" t="s">
        <v>924</v>
      </c>
      <c r="H195" s="689">
        <v>64</v>
      </c>
      <c r="I195" s="689" t="s">
        <v>5</v>
      </c>
      <c r="J195" s="689" t="s">
        <v>15273</v>
      </c>
      <c r="K195" s="691" t="s">
        <v>1362</v>
      </c>
      <c r="L195" s="783"/>
      <c r="M195" s="736"/>
      <c r="N195" s="692" t="s">
        <v>16127</v>
      </c>
      <c r="O195" s="689" t="s">
        <v>44</v>
      </c>
      <c r="P195" s="689" t="s">
        <v>25</v>
      </c>
      <c r="Q195" s="693">
        <v>2</v>
      </c>
      <c r="R195" s="694">
        <v>4</v>
      </c>
      <c r="S195" s="1039" t="s">
        <v>736</v>
      </c>
    </row>
    <row r="196" spans="1:19" ht="12" customHeight="1">
      <c r="A196" s="1040" t="str">
        <f t="shared" si="79"/>
        <v>046</v>
      </c>
      <c r="B196" s="4" t="s">
        <v>486</v>
      </c>
      <c r="C196" s="4"/>
      <c r="D196" s="1008"/>
      <c r="E196" s="1002" t="str">
        <f t="shared" ref="E196:E198" si="80">IF(D196="","",D196/SUM($D$195:$D$198))</f>
        <v/>
      </c>
      <c r="F196" s="1005" t="e">
        <f t="shared" ref="F196:F198" si="81">IF(J196="","$",IF(C196="当選","-",D196*100/MAX($D$195:$D$198)))</f>
        <v>#DIV/0!</v>
      </c>
      <c r="G196" s="1" t="s">
        <v>492</v>
      </c>
      <c r="H196" s="5">
        <v>69</v>
      </c>
      <c r="I196" s="2" t="s">
        <v>5</v>
      </c>
      <c r="J196" s="1" t="s">
        <v>15273</v>
      </c>
      <c r="K196" s="3"/>
      <c r="L196" s="1"/>
      <c r="M196" s="1"/>
      <c r="N196" s="4" t="s">
        <v>16120</v>
      </c>
      <c r="O196" s="1" t="s">
        <v>65</v>
      </c>
      <c r="P196" s="1" t="s">
        <v>14</v>
      </c>
      <c r="Q196" s="16">
        <v>4</v>
      </c>
      <c r="R196" s="17">
        <v>4</v>
      </c>
      <c r="S196" s="774" t="s">
        <v>5457</v>
      </c>
    </row>
    <row r="197" spans="1:19" ht="12" customHeight="1">
      <c r="A197" s="1040" t="str">
        <f t="shared" si="79"/>
        <v>046</v>
      </c>
      <c r="B197" s="4" t="s">
        <v>487</v>
      </c>
      <c r="C197" s="4"/>
      <c r="D197" s="1008"/>
      <c r="E197" s="1002" t="str">
        <f t="shared" si="80"/>
        <v/>
      </c>
      <c r="F197" s="1005" t="e">
        <f t="shared" si="81"/>
        <v>#DIV/0!</v>
      </c>
      <c r="G197" s="1" t="s">
        <v>500</v>
      </c>
      <c r="H197" s="5">
        <v>43</v>
      </c>
      <c r="I197" s="2" t="s">
        <v>5</v>
      </c>
      <c r="J197" s="1" t="s">
        <v>15273</v>
      </c>
      <c r="K197" s="3"/>
      <c r="L197" s="1"/>
      <c r="M197" s="1"/>
      <c r="N197" s="8" t="s">
        <v>18495</v>
      </c>
      <c r="O197" s="1"/>
      <c r="P197" s="1" t="s">
        <v>6</v>
      </c>
      <c r="Q197" s="16"/>
      <c r="R197" s="17"/>
      <c r="S197" s="774" t="s">
        <v>6031</v>
      </c>
    </row>
    <row r="198" spans="1:19" ht="12" customHeight="1" thickBot="1">
      <c r="A198" s="916" t="str">
        <f t="shared" si="79"/>
        <v>046</v>
      </c>
      <c r="B198" s="700" t="s">
        <v>488</v>
      </c>
      <c r="C198" s="700"/>
      <c r="D198" s="1009"/>
      <c r="E198" s="1003" t="str">
        <f t="shared" si="80"/>
        <v/>
      </c>
      <c r="F198" s="1041" t="str">
        <f t="shared" si="81"/>
        <v>$</v>
      </c>
      <c r="G198" s="906" t="s">
        <v>497</v>
      </c>
      <c r="H198" s="356">
        <v>64</v>
      </c>
      <c r="I198" s="702" t="s">
        <v>5</v>
      </c>
      <c r="J198" s="906"/>
      <c r="K198" s="703"/>
      <c r="L198" s="906"/>
      <c r="M198" s="906"/>
      <c r="N198" s="700" t="s">
        <v>16117</v>
      </c>
      <c r="O198" s="906"/>
      <c r="P198" s="906" t="s">
        <v>6</v>
      </c>
      <c r="Q198" s="705"/>
      <c r="R198" s="903"/>
      <c r="S198" s="793"/>
    </row>
    <row r="199" spans="1:19" ht="12" customHeight="1">
      <c r="A199" s="1038" t="str">
        <f t="shared" si="79"/>
        <v>047</v>
      </c>
      <c r="B199" s="688" t="s">
        <v>503</v>
      </c>
      <c r="C199" s="688"/>
      <c r="D199" s="1007"/>
      <c r="E199" s="1001" t="str">
        <f>IF(D199="","",D199/SUM($D$199:$D$201))</f>
        <v/>
      </c>
      <c r="F199" s="1004" t="e">
        <f>IF(J199="","$",IF(C199="当選","-",D199*100/MAX($D$199:$D$201)))</f>
        <v>#DIV/0!</v>
      </c>
      <c r="G199" s="687" t="s">
        <v>506</v>
      </c>
      <c r="H199" s="689">
        <v>33</v>
      </c>
      <c r="I199" s="696" t="s">
        <v>5</v>
      </c>
      <c r="J199" s="687" t="s">
        <v>15273</v>
      </c>
      <c r="K199" s="747"/>
      <c r="L199" s="687"/>
      <c r="M199" s="687"/>
      <c r="N199" s="692" t="s">
        <v>16120</v>
      </c>
      <c r="O199" s="687" t="s">
        <v>30</v>
      </c>
      <c r="P199" s="687" t="s">
        <v>6</v>
      </c>
      <c r="Q199" s="748"/>
      <c r="R199" s="749"/>
      <c r="S199" s="805" t="s">
        <v>5457</v>
      </c>
    </row>
    <row r="200" spans="1:19" ht="12" customHeight="1">
      <c r="A200" s="1040" t="str">
        <f t="shared" si="79"/>
        <v>047</v>
      </c>
      <c r="B200" s="4" t="s">
        <v>504</v>
      </c>
      <c r="C200" s="4"/>
      <c r="D200" s="1008"/>
      <c r="E200" s="1002" t="str">
        <f t="shared" ref="E200:E201" si="82">IF(D200="","",D200/SUM($D$199:$D$201))</f>
        <v/>
      </c>
      <c r="F200" s="1005" t="str">
        <f t="shared" ref="F200:F201" si="83">IF(J200="","$",IF(C200="当選","-",D200*100/MAX($D$199:$D$201)))</f>
        <v>$</v>
      </c>
      <c r="G200" s="5" t="s">
        <v>919</v>
      </c>
      <c r="H200" s="5">
        <v>60</v>
      </c>
      <c r="I200" s="5" t="s">
        <v>5</v>
      </c>
      <c r="J200" s="1"/>
      <c r="K200" s="7" t="s">
        <v>1363</v>
      </c>
      <c r="L200" s="18"/>
      <c r="M200" s="19"/>
      <c r="N200" s="4" t="s">
        <v>18495</v>
      </c>
      <c r="O200" s="5"/>
      <c r="P200" s="5" t="s">
        <v>25</v>
      </c>
      <c r="Q200" s="9">
        <v>5</v>
      </c>
      <c r="R200" s="10">
        <v>5</v>
      </c>
      <c r="S200" s="265"/>
    </row>
    <row r="201" spans="1:19" ht="12" customHeight="1" thickBot="1">
      <c r="A201" s="916" t="str">
        <f t="shared" si="79"/>
        <v>047</v>
      </c>
      <c r="B201" s="700" t="s">
        <v>505</v>
      </c>
      <c r="C201" s="700"/>
      <c r="D201" s="1009"/>
      <c r="E201" s="1003" t="str">
        <f t="shared" si="82"/>
        <v/>
      </c>
      <c r="F201" s="1041" t="str">
        <f t="shared" si="83"/>
        <v>$</v>
      </c>
      <c r="G201" s="906" t="s">
        <v>509</v>
      </c>
      <c r="H201" s="356">
        <v>61</v>
      </c>
      <c r="I201" s="702" t="s">
        <v>19</v>
      </c>
      <c r="J201" s="906"/>
      <c r="K201" s="703"/>
      <c r="L201" s="906"/>
      <c r="M201" s="906"/>
      <c r="N201" s="700" t="s">
        <v>16117</v>
      </c>
      <c r="O201" s="906"/>
      <c r="P201" s="906" t="s">
        <v>6</v>
      </c>
      <c r="Q201" s="705"/>
      <c r="R201" s="903"/>
      <c r="S201" s="793"/>
    </row>
    <row r="202" spans="1:19" ht="12" customHeight="1">
      <c r="A202" s="1038" t="str">
        <f t="shared" si="79"/>
        <v>048</v>
      </c>
      <c r="B202" s="688" t="s">
        <v>512</v>
      </c>
      <c r="C202" s="688"/>
      <c r="D202" s="1007"/>
      <c r="E202" s="1001" t="str">
        <f>IF(D202="","",D202/SUM($D$202:$D$206))</f>
        <v/>
      </c>
      <c r="F202" s="1004" t="e">
        <f>IF(J202="","$",IF(C202="当選","-",D202*100/MAX($D$202:$D$206)))</f>
        <v>#DIV/0!</v>
      </c>
      <c r="G202" s="687" t="s">
        <v>2072</v>
      </c>
      <c r="H202" s="689">
        <v>57</v>
      </c>
      <c r="I202" s="696" t="s">
        <v>19</v>
      </c>
      <c r="J202" s="689" t="s">
        <v>15273</v>
      </c>
      <c r="K202" s="747" t="s">
        <v>5447</v>
      </c>
      <c r="L202" s="687"/>
      <c r="M202" s="687"/>
      <c r="N202" s="692" t="s">
        <v>16127</v>
      </c>
      <c r="O202" s="687" t="s">
        <v>45</v>
      </c>
      <c r="P202" s="687" t="s">
        <v>25</v>
      </c>
      <c r="Q202" s="748">
        <v>1</v>
      </c>
      <c r="R202" s="749">
        <v>1</v>
      </c>
      <c r="S202" s="805"/>
    </row>
    <row r="203" spans="1:19" ht="12" customHeight="1">
      <c r="A203" s="1040" t="str">
        <f t="shared" si="79"/>
        <v>048</v>
      </c>
      <c r="B203" s="4" t="s">
        <v>513</v>
      </c>
      <c r="C203" s="4"/>
      <c r="D203" s="1008"/>
      <c r="E203" s="1002" t="str">
        <f t="shared" ref="E203:E206" si="84">IF(D203="","",D203/SUM($D$202:$D$206))</f>
        <v/>
      </c>
      <c r="F203" s="1005" t="e">
        <f t="shared" ref="F203:F206" si="85">IF(J203="","$",IF(C203="当選","-",D203*100/MAX($D$202:$D$206)))</f>
        <v>#DIV/0!</v>
      </c>
      <c r="G203" s="5" t="s">
        <v>876</v>
      </c>
      <c r="H203" s="5">
        <v>60</v>
      </c>
      <c r="I203" s="5" t="s">
        <v>5</v>
      </c>
      <c r="J203" s="5" t="s">
        <v>15273</v>
      </c>
      <c r="K203" s="12" t="s">
        <v>1306</v>
      </c>
      <c r="L203" s="18"/>
      <c r="M203" s="19"/>
      <c r="N203" s="4" t="s">
        <v>16120</v>
      </c>
      <c r="O203" s="5" t="s">
        <v>30</v>
      </c>
      <c r="P203" s="5" t="s">
        <v>25</v>
      </c>
      <c r="Q203" s="9">
        <v>5</v>
      </c>
      <c r="R203" s="10">
        <v>5</v>
      </c>
      <c r="S203" s="265" t="s">
        <v>5457</v>
      </c>
    </row>
    <row r="204" spans="1:19" ht="12" customHeight="1">
      <c r="A204" s="1040" t="str">
        <f t="shared" si="79"/>
        <v>048</v>
      </c>
      <c r="B204" s="4" t="s">
        <v>514</v>
      </c>
      <c r="C204" s="4"/>
      <c r="D204" s="1008"/>
      <c r="E204" s="1002" t="str">
        <f t="shared" si="84"/>
        <v/>
      </c>
      <c r="F204" s="1005" t="e">
        <f t="shared" si="85"/>
        <v>#DIV/0!</v>
      </c>
      <c r="G204" s="6" t="s">
        <v>880</v>
      </c>
      <c r="H204" s="5">
        <v>69</v>
      </c>
      <c r="I204" s="5" t="s">
        <v>5</v>
      </c>
      <c r="J204" s="1" t="s">
        <v>15273</v>
      </c>
      <c r="K204" s="7" t="s">
        <v>1364</v>
      </c>
      <c r="L204" s="18"/>
      <c r="M204" s="19"/>
      <c r="N204" s="4" t="s">
        <v>16125</v>
      </c>
      <c r="O204" s="5"/>
      <c r="P204" s="5" t="s">
        <v>25</v>
      </c>
      <c r="Q204" s="9">
        <v>5</v>
      </c>
      <c r="R204" s="10">
        <v>8</v>
      </c>
      <c r="S204" s="265" t="s">
        <v>5561</v>
      </c>
    </row>
    <row r="205" spans="1:19" ht="12" customHeight="1">
      <c r="A205" s="1040" t="str">
        <f t="shared" si="79"/>
        <v>048</v>
      </c>
      <c r="B205" s="4" t="s">
        <v>515</v>
      </c>
      <c r="C205" s="4"/>
      <c r="D205" s="1008"/>
      <c r="E205" s="1002" t="str">
        <f t="shared" si="84"/>
        <v/>
      </c>
      <c r="F205" s="1005" t="e">
        <f t="shared" si="85"/>
        <v>#DIV/0!</v>
      </c>
      <c r="G205" s="1" t="s">
        <v>519</v>
      </c>
      <c r="H205" s="5">
        <v>35</v>
      </c>
      <c r="I205" s="2" t="s">
        <v>5</v>
      </c>
      <c r="J205" s="1" t="s">
        <v>15273</v>
      </c>
      <c r="K205" s="3"/>
      <c r="L205" s="1"/>
      <c r="M205" s="1"/>
      <c r="N205" s="4" t="s">
        <v>18495</v>
      </c>
      <c r="O205" s="1"/>
      <c r="P205" s="1" t="s">
        <v>6</v>
      </c>
      <c r="Q205" s="16"/>
      <c r="R205" s="17"/>
      <c r="S205" s="774" t="s">
        <v>6031</v>
      </c>
    </row>
    <row r="206" spans="1:19" ht="12" customHeight="1" thickBot="1">
      <c r="A206" s="916" t="str">
        <f t="shared" si="79"/>
        <v>048</v>
      </c>
      <c r="B206" s="700" t="s">
        <v>516</v>
      </c>
      <c r="C206" s="700"/>
      <c r="D206" s="1009"/>
      <c r="E206" s="1003" t="str">
        <f t="shared" si="84"/>
        <v/>
      </c>
      <c r="F206" s="1041" t="str">
        <f t="shared" si="85"/>
        <v>$</v>
      </c>
      <c r="G206" s="906" t="s">
        <v>16105</v>
      </c>
      <c r="H206" s="356">
        <v>65</v>
      </c>
      <c r="I206" s="702" t="s">
        <v>5</v>
      </c>
      <c r="J206" s="906"/>
      <c r="K206" s="703"/>
      <c r="L206" s="906"/>
      <c r="M206" s="906"/>
      <c r="N206" s="700" t="s">
        <v>16117</v>
      </c>
      <c r="O206" s="906"/>
      <c r="P206" s="906" t="s">
        <v>6</v>
      </c>
      <c r="Q206" s="705"/>
      <c r="R206" s="903"/>
      <c r="S206" s="793"/>
    </row>
    <row r="207" spans="1:19" ht="12" customHeight="1">
      <c r="A207" s="1038" t="str">
        <f t="shared" si="79"/>
        <v>049</v>
      </c>
      <c r="B207" s="688" t="s">
        <v>524</v>
      </c>
      <c r="C207" s="688"/>
      <c r="D207" s="1007"/>
      <c r="E207" s="1001" t="str">
        <f>IF(D207="","",D207/SUM($D$207:$D$209))</f>
        <v/>
      </c>
      <c r="F207" s="1004" t="e">
        <f>IF(J207="","$",IF(C207="当選","-",D207*100/MAX($D$207:$D$209)))</f>
        <v>#DIV/0!</v>
      </c>
      <c r="G207" s="690" t="s">
        <v>926</v>
      </c>
      <c r="H207" s="689">
        <v>57</v>
      </c>
      <c r="I207" s="690" t="s">
        <v>5</v>
      </c>
      <c r="J207" s="690" t="s">
        <v>15273</v>
      </c>
      <c r="K207" s="735" t="s">
        <v>1365</v>
      </c>
      <c r="L207" s="736"/>
      <c r="M207" s="736"/>
      <c r="N207" s="688" t="s">
        <v>16120</v>
      </c>
      <c r="O207" s="690" t="s">
        <v>13</v>
      </c>
      <c r="P207" s="690" t="s">
        <v>25</v>
      </c>
      <c r="Q207" s="737">
        <v>6</v>
      </c>
      <c r="R207" s="738">
        <v>6</v>
      </c>
      <c r="S207" s="1039" t="s">
        <v>5457</v>
      </c>
    </row>
    <row r="208" spans="1:19" ht="12" customHeight="1">
      <c r="A208" s="1040" t="str">
        <f t="shared" si="79"/>
        <v>049</v>
      </c>
      <c r="B208" s="4" t="s">
        <v>525</v>
      </c>
      <c r="C208" s="4"/>
      <c r="D208" s="1008"/>
      <c r="E208" s="1002" t="str">
        <f t="shared" ref="E208:E209" si="86">IF(D208="","",D208/SUM($D$207:$D$209))</f>
        <v/>
      </c>
      <c r="F208" s="1005" t="e">
        <f t="shared" ref="F208:F209" si="87">IF(J208="","$",IF(C208="当選","-",D208*100/MAX($D$207:$D$209)))</f>
        <v>#DIV/0!</v>
      </c>
      <c r="G208" s="6" t="s">
        <v>922</v>
      </c>
      <c r="H208" s="5">
        <v>46</v>
      </c>
      <c r="I208" s="6" t="s">
        <v>5</v>
      </c>
      <c r="J208" s="1" t="s">
        <v>15273</v>
      </c>
      <c r="K208" s="12" t="s">
        <v>1298</v>
      </c>
      <c r="L208" s="19"/>
      <c r="M208" s="19"/>
      <c r="N208" s="4" t="s">
        <v>18495</v>
      </c>
      <c r="O208" s="6"/>
      <c r="P208" s="6" t="s">
        <v>25</v>
      </c>
      <c r="Q208" s="13">
        <v>1</v>
      </c>
      <c r="R208" s="14">
        <v>1</v>
      </c>
      <c r="S208" s="265" t="s">
        <v>6031</v>
      </c>
    </row>
    <row r="209" spans="1:19" ht="12" customHeight="1" thickBot="1">
      <c r="A209" s="916" t="str">
        <f t="shared" si="79"/>
        <v>049</v>
      </c>
      <c r="B209" s="700" t="s">
        <v>526</v>
      </c>
      <c r="C209" s="700"/>
      <c r="D209" s="1009"/>
      <c r="E209" s="1003" t="str">
        <f t="shared" si="86"/>
        <v/>
      </c>
      <c r="F209" s="1041" t="str">
        <f t="shared" si="87"/>
        <v>$</v>
      </c>
      <c r="G209" s="906" t="s">
        <v>529</v>
      </c>
      <c r="H209" s="356">
        <v>56</v>
      </c>
      <c r="I209" s="702" t="s">
        <v>5</v>
      </c>
      <c r="J209" s="906"/>
      <c r="K209" s="703"/>
      <c r="L209" s="906"/>
      <c r="M209" s="906"/>
      <c r="N209" s="700" t="s">
        <v>16117</v>
      </c>
      <c r="O209" s="906"/>
      <c r="P209" s="906" t="s">
        <v>6</v>
      </c>
      <c r="Q209" s="705"/>
      <c r="R209" s="903"/>
      <c r="S209" s="792"/>
    </row>
    <row r="210" spans="1:19" ht="12" customHeight="1">
      <c r="A210" s="1038" t="str">
        <f t="shared" si="79"/>
        <v>050</v>
      </c>
      <c r="B210" s="688" t="s">
        <v>535</v>
      </c>
      <c r="C210" s="688"/>
      <c r="D210" s="1007"/>
      <c r="E210" s="1001" t="str">
        <f>IF(D210="","",D210/SUM($D$210:$D$214))</f>
        <v/>
      </c>
      <c r="F210" s="1004" t="e">
        <f>IF(J210="","$",IF(C210="当選","-",D210*100/MAX($D$210:$D$214)))</f>
        <v>#DIV/0!</v>
      </c>
      <c r="G210" s="690" t="s">
        <v>861</v>
      </c>
      <c r="H210" s="689">
        <v>42</v>
      </c>
      <c r="I210" s="690" t="s">
        <v>5</v>
      </c>
      <c r="J210" s="689" t="s">
        <v>15273</v>
      </c>
      <c r="K210" s="735" t="s">
        <v>1366</v>
      </c>
      <c r="L210" s="736"/>
      <c r="M210" s="736"/>
      <c r="N210" s="692" t="s">
        <v>16126</v>
      </c>
      <c r="O210" s="690" t="s">
        <v>44</v>
      </c>
      <c r="P210" s="690" t="s">
        <v>25</v>
      </c>
      <c r="Q210" s="737">
        <v>1</v>
      </c>
      <c r="R210" s="738">
        <v>1</v>
      </c>
      <c r="S210" s="1042"/>
    </row>
    <row r="211" spans="1:19" ht="12" customHeight="1">
      <c r="A211" s="1040" t="str">
        <f t="shared" si="79"/>
        <v>050</v>
      </c>
      <c r="B211" s="4" t="s">
        <v>536</v>
      </c>
      <c r="C211" s="4"/>
      <c r="D211" s="1008"/>
      <c r="E211" s="1002" t="str">
        <f t="shared" ref="E211:E214" si="88">IF(D211="","",D211/SUM($D$210:$D$214))</f>
        <v/>
      </c>
      <c r="F211" s="1005" t="e">
        <f t="shared" ref="F211:F214" si="89">IF(J211="","$",IF(C211="当選","-",D211*100/MAX($D$210:$D$214)))</f>
        <v>#DIV/0!</v>
      </c>
      <c r="G211" s="6" t="s">
        <v>875</v>
      </c>
      <c r="H211" s="5">
        <v>59</v>
      </c>
      <c r="I211" s="6" t="s">
        <v>5</v>
      </c>
      <c r="J211" s="6" t="s">
        <v>15273</v>
      </c>
      <c r="K211" s="12" t="s">
        <v>1301</v>
      </c>
      <c r="L211" s="19"/>
      <c r="M211" s="19"/>
      <c r="N211" s="8" t="s">
        <v>16120</v>
      </c>
      <c r="O211" s="6" t="s">
        <v>13</v>
      </c>
      <c r="P211" s="6" t="s">
        <v>25</v>
      </c>
      <c r="Q211" s="13">
        <v>7</v>
      </c>
      <c r="R211" s="14">
        <v>7</v>
      </c>
      <c r="S211" s="1045" t="s">
        <v>5457</v>
      </c>
    </row>
    <row r="212" spans="1:19" ht="12" customHeight="1">
      <c r="A212" s="1040" t="str">
        <f t="shared" si="79"/>
        <v>050</v>
      </c>
      <c r="B212" s="4" t="s">
        <v>537</v>
      </c>
      <c r="C212" s="4"/>
      <c r="D212" s="1008"/>
      <c r="E212" s="1002" t="str">
        <f t="shared" si="88"/>
        <v/>
      </c>
      <c r="F212" s="1005" t="e">
        <f t="shared" si="89"/>
        <v>#DIV/0!</v>
      </c>
      <c r="G212" s="1" t="s">
        <v>544</v>
      </c>
      <c r="H212" s="5">
        <v>52</v>
      </c>
      <c r="I212" s="2" t="s">
        <v>5</v>
      </c>
      <c r="J212" s="1" t="s">
        <v>15273</v>
      </c>
      <c r="K212" s="3"/>
      <c r="L212" s="1"/>
      <c r="M212" s="1"/>
      <c r="N212" s="4" t="s">
        <v>16125</v>
      </c>
      <c r="O212" s="1"/>
      <c r="P212" s="1" t="s">
        <v>6</v>
      </c>
      <c r="Q212" s="16"/>
      <c r="R212" s="17"/>
      <c r="S212" s="774" t="s">
        <v>5561</v>
      </c>
    </row>
    <row r="213" spans="1:19" ht="12" customHeight="1">
      <c r="A213" s="1040" t="str">
        <f t="shared" si="79"/>
        <v>050</v>
      </c>
      <c r="B213" s="4" t="s">
        <v>538</v>
      </c>
      <c r="C213" s="4"/>
      <c r="D213" s="1008"/>
      <c r="E213" s="1002" t="str">
        <f t="shared" si="88"/>
        <v/>
      </c>
      <c r="F213" s="1005" t="e">
        <f t="shared" si="89"/>
        <v>#DIV/0!</v>
      </c>
      <c r="G213" s="6" t="s">
        <v>897</v>
      </c>
      <c r="H213" s="5">
        <v>41</v>
      </c>
      <c r="I213" s="6" t="s">
        <v>5</v>
      </c>
      <c r="J213" s="1" t="s">
        <v>15273</v>
      </c>
      <c r="K213" s="12" t="s">
        <v>1367</v>
      </c>
      <c r="L213" s="6" t="s">
        <v>373</v>
      </c>
      <c r="M213" s="19"/>
      <c r="N213" s="4" t="s">
        <v>16116</v>
      </c>
      <c r="O213" s="6" t="s">
        <v>6154</v>
      </c>
      <c r="P213" s="6" t="s">
        <v>6</v>
      </c>
      <c r="Q213" s="13"/>
      <c r="R213" s="14">
        <v>1</v>
      </c>
      <c r="S213" s="1044" t="s">
        <v>6154</v>
      </c>
    </row>
    <row r="214" spans="1:19" ht="12" customHeight="1" thickBot="1">
      <c r="A214" s="916" t="str">
        <f t="shared" si="79"/>
        <v>050</v>
      </c>
      <c r="B214" s="700" t="s">
        <v>549</v>
      </c>
      <c r="C214" s="700"/>
      <c r="D214" s="1009"/>
      <c r="E214" s="1003" t="str">
        <f t="shared" si="88"/>
        <v/>
      </c>
      <c r="F214" s="1041" t="str">
        <f t="shared" si="89"/>
        <v>$</v>
      </c>
      <c r="G214" s="906" t="s">
        <v>540</v>
      </c>
      <c r="H214" s="356">
        <v>64</v>
      </c>
      <c r="I214" s="702" t="s">
        <v>5</v>
      </c>
      <c r="J214" s="906"/>
      <c r="K214" s="703"/>
      <c r="L214" s="906"/>
      <c r="M214" s="906"/>
      <c r="N214" s="700" t="s">
        <v>16117</v>
      </c>
      <c r="O214" s="906"/>
      <c r="P214" s="906" t="s">
        <v>6</v>
      </c>
      <c r="Q214" s="705"/>
      <c r="R214" s="903"/>
      <c r="S214" s="793"/>
    </row>
    <row r="215" spans="1:19" ht="12" customHeight="1">
      <c r="A215" s="1038" t="str">
        <f t="shared" si="79"/>
        <v>051</v>
      </c>
      <c r="B215" s="688" t="s">
        <v>552</v>
      </c>
      <c r="C215" s="688"/>
      <c r="D215" s="1007"/>
      <c r="E215" s="1001" t="str">
        <f>IF(D215="","",D215/SUM($D$215:$D$218))</f>
        <v/>
      </c>
      <c r="F215" s="1004" t="e">
        <f>IF(J215="","$",IF(C215="当選","-",D215*100/MAX($D$215:$D$218)))</f>
        <v>#DIV/0!</v>
      </c>
      <c r="G215" s="687" t="s">
        <v>5847</v>
      </c>
      <c r="H215" s="689">
        <v>67</v>
      </c>
      <c r="I215" s="696" t="s">
        <v>5</v>
      </c>
      <c r="J215" s="689" t="s">
        <v>15273</v>
      </c>
      <c r="K215" s="747" t="s">
        <v>5848</v>
      </c>
      <c r="L215" s="687"/>
      <c r="M215" s="687"/>
      <c r="N215" s="692" t="s">
        <v>16127</v>
      </c>
      <c r="O215" s="687" t="s">
        <v>45</v>
      </c>
      <c r="P215" s="687" t="s">
        <v>25</v>
      </c>
      <c r="Q215" s="748">
        <v>1</v>
      </c>
      <c r="R215" s="749">
        <v>1</v>
      </c>
      <c r="S215" s="805"/>
    </row>
    <row r="216" spans="1:19" ht="12" customHeight="1">
      <c r="A216" s="1040" t="str">
        <f t="shared" si="79"/>
        <v>051</v>
      </c>
      <c r="B216" s="4" t="s">
        <v>553</v>
      </c>
      <c r="C216" s="4"/>
      <c r="D216" s="1008"/>
      <c r="E216" s="1002" t="str">
        <f t="shared" ref="E216:E218" si="90">IF(D216="","",D216/SUM($D$215:$D$218))</f>
        <v/>
      </c>
      <c r="F216" s="1005" t="e">
        <f t="shared" ref="F216:F218" si="91">IF(J216="","$",IF(C216="当選","-",D216*100/MAX($D$215:$D$218)))</f>
        <v>#DIV/0!</v>
      </c>
      <c r="G216" s="1" t="s">
        <v>556</v>
      </c>
      <c r="H216" s="5">
        <v>32</v>
      </c>
      <c r="I216" s="2" t="s">
        <v>5</v>
      </c>
      <c r="J216" s="1" t="s">
        <v>15273</v>
      </c>
      <c r="K216" s="3"/>
      <c r="L216" s="1"/>
      <c r="M216" s="1"/>
      <c r="N216" s="4" t="s">
        <v>16120</v>
      </c>
      <c r="O216" s="1" t="s">
        <v>30</v>
      </c>
      <c r="P216" s="1" t="s">
        <v>6</v>
      </c>
      <c r="Q216" s="16"/>
      <c r="R216" s="17"/>
      <c r="S216" s="774" t="s">
        <v>5457</v>
      </c>
    </row>
    <row r="217" spans="1:19" ht="12" customHeight="1">
      <c r="A217" s="1040" t="str">
        <f t="shared" si="79"/>
        <v>051</v>
      </c>
      <c r="B217" s="4" t="s">
        <v>554</v>
      </c>
      <c r="C217" s="4"/>
      <c r="D217" s="1008"/>
      <c r="E217" s="1002" t="str">
        <f t="shared" si="90"/>
        <v/>
      </c>
      <c r="F217" s="1005" t="e">
        <f t="shared" si="91"/>
        <v>#DIV/0!</v>
      </c>
      <c r="G217" s="5" t="s">
        <v>900</v>
      </c>
      <c r="H217" s="5">
        <v>40</v>
      </c>
      <c r="I217" s="5" t="s">
        <v>5</v>
      </c>
      <c r="J217" s="1" t="s">
        <v>15273</v>
      </c>
      <c r="K217" s="7" t="s">
        <v>1368</v>
      </c>
      <c r="L217" s="18"/>
      <c r="M217" s="19"/>
      <c r="N217" s="4" t="s">
        <v>16116</v>
      </c>
      <c r="O217" s="6" t="s">
        <v>564</v>
      </c>
      <c r="P217" s="5" t="s">
        <v>25</v>
      </c>
      <c r="Q217" s="9">
        <v>2</v>
      </c>
      <c r="R217" s="10">
        <v>2</v>
      </c>
      <c r="S217" s="265" t="s">
        <v>18568</v>
      </c>
    </row>
    <row r="218" spans="1:19" ht="12" customHeight="1" thickBot="1">
      <c r="A218" s="916" t="str">
        <f t="shared" si="79"/>
        <v>051</v>
      </c>
      <c r="B218" s="700" t="s">
        <v>555</v>
      </c>
      <c r="C218" s="700"/>
      <c r="D218" s="1009"/>
      <c r="E218" s="1003" t="str">
        <f t="shared" si="90"/>
        <v/>
      </c>
      <c r="F218" s="1041" t="str">
        <f t="shared" si="91"/>
        <v>$</v>
      </c>
      <c r="G218" s="906" t="s">
        <v>561</v>
      </c>
      <c r="H218" s="356">
        <v>62</v>
      </c>
      <c r="I218" s="702" t="s">
        <v>5</v>
      </c>
      <c r="J218" s="906"/>
      <c r="K218" s="703"/>
      <c r="L218" s="906"/>
      <c r="M218" s="906"/>
      <c r="N218" s="700" t="s">
        <v>16117</v>
      </c>
      <c r="O218" s="906"/>
      <c r="P218" s="906" t="s">
        <v>6</v>
      </c>
      <c r="Q218" s="705"/>
      <c r="R218" s="903"/>
      <c r="S218" s="793"/>
    </row>
    <row r="219" spans="1:19" ht="12" customHeight="1">
      <c r="A219" s="1038" t="str">
        <f t="shared" si="79"/>
        <v>052</v>
      </c>
      <c r="B219" s="688" t="s">
        <v>565</v>
      </c>
      <c r="C219" s="688"/>
      <c r="D219" s="1007"/>
      <c r="E219" s="1001" t="str">
        <f>IF(D219="","",D219/SUM($D$219:$D$222))</f>
        <v/>
      </c>
      <c r="F219" s="1004" t="e">
        <f>IF(J219="","$",IF(C219="当選","-",D219*100/MAX($D$219:$D$222)))</f>
        <v>#DIV/0!</v>
      </c>
      <c r="G219" s="690" t="s">
        <v>856</v>
      </c>
      <c r="H219" s="689">
        <v>47</v>
      </c>
      <c r="I219" s="690" t="s">
        <v>5</v>
      </c>
      <c r="J219" s="689" t="s">
        <v>15273</v>
      </c>
      <c r="K219" s="735" t="s">
        <v>1369</v>
      </c>
      <c r="L219" s="736"/>
      <c r="M219" s="736"/>
      <c r="N219" s="692" t="s">
        <v>16127</v>
      </c>
      <c r="O219" s="690" t="s">
        <v>44</v>
      </c>
      <c r="P219" s="690" t="s">
        <v>25</v>
      </c>
      <c r="Q219" s="737">
        <v>1</v>
      </c>
      <c r="R219" s="738">
        <v>1</v>
      </c>
      <c r="S219" s="805"/>
    </row>
    <row r="220" spans="1:19" ht="12" customHeight="1">
      <c r="A220" s="1040" t="str">
        <f t="shared" si="79"/>
        <v>052</v>
      </c>
      <c r="B220" s="4" t="s">
        <v>566</v>
      </c>
      <c r="C220" s="4"/>
      <c r="D220" s="1008"/>
      <c r="E220" s="1002" t="str">
        <f t="shared" ref="E220:E222" si="92">IF(D220="","",D220/SUM($D$219:$D$222))</f>
        <v/>
      </c>
      <c r="F220" s="1005" t="e">
        <f t="shared" ref="F220:F222" si="93">IF(J220="","$",IF(C220="当選","-",D220*100/MAX($D$219:$D$222)))</f>
        <v>#DIV/0!</v>
      </c>
      <c r="G220" s="1" t="s">
        <v>569</v>
      </c>
      <c r="H220" s="5">
        <v>46</v>
      </c>
      <c r="I220" s="2" t="s">
        <v>5</v>
      </c>
      <c r="J220" s="1" t="s">
        <v>15273</v>
      </c>
      <c r="K220" s="3"/>
      <c r="L220" s="1"/>
      <c r="M220" s="1"/>
      <c r="N220" s="4" t="s">
        <v>16120</v>
      </c>
      <c r="O220" s="1" t="s">
        <v>13</v>
      </c>
      <c r="P220" s="1" t="s">
        <v>6</v>
      </c>
      <c r="Q220" s="16"/>
      <c r="R220" s="17"/>
      <c r="S220" s="774" t="s">
        <v>5457</v>
      </c>
    </row>
    <row r="221" spans="1:19" ht="12" customHeight="1">
      <c r="A221" s="1040" t="str">
        <f t="shared" si="79"/>
        <v>052</v>
      </c>
      <c r="B221" s="4" t="s">
        <v>567</v>
      </c>
      <c r="C221" s="4"/>
      <c r="D221" s="1008"/>
      <c r="E221" s="1002" t="str">
        <f t="shared" si="92"/>
        <v/>
      </c>
      <c r="F221" s="1005" t="e">
        <f t="shared" si="93"/>
        <v>#DIV/0!</v>
      </c>
      <c r="G221" s="1" t="s">
        <v>576</v>
      </c>
      <c r="H221" s="5">
        <v>60</v>
      </c>
      <c r="I221" s="2" t="s">
        <v>5</v>
      </c>
      <c r="J221" s="1" t="s">
        <v>15273</v>
      </c>
      <c r="K221" s="3"/>
      <c r="L221" s="1"/>
      <c r="M221" s="1"/>
      <c r="N221" s="4" t="s">
        <v>16125</v>
      </c>
      <c r="O221" s="1"/>
      <c r="P221" s="1" t="s">
        <v>6</v>
      </c>
      <c r="Q221" s="16"/>
      <c r="R221" s="17"/>
      <c r="S221" s="774" t="s">
        <v>5561</v>
      </c>
    </row>
    <row r="222" spans="1:19" ht="12" customHeight="1" thickBot="1">
      <c r="A222" s="916" t="str">
        <f t="shared" si="79"/>
        <v>052</v>
      </c>
      <c r="B222" s="700" t="s">
        <v>568</v>
      </c>
      <c r="C222" s="700"/>
      <c r="D222" s="1009"/>
      <c r="E222" s="1003" t="str">
        <f t="shared" si="92"/>
        <v/>
      </c>
      <c r="F222" s="1041" t="str">
        <f t="shared" si="93"/>
        <v>$</v>
      </c>
      <c r="G222" s="906" t="s">
        <v>573</v>
      </c>
      <c r="H222" s="356">
        <v>53</v>
      </c>
      <c r="I222" s="702" t="s">
        <v>5</v>
      </c>
      <c r="J222" s="906"/>
      <c r="K222" s="703"/>
      <c r="L222" s="906"/>
      <c r="M222" s="906"/>
      <c r="N222" s="700" t="s">
        <v>16117</v>
      </c>
      <c r="O222" s="906"/>
      <c r="P222" s="906" t="s">
        <v>6</v>
      </c>
      <c r="Q222" s="705"/>
      <c r="R222" s="903"/>
      <c r="S222" s="793"/>
    </row>
    <row r="223" spans="1:19" ht="12" customHeight="1">
      <c r="A223" s="1038" t="str">
        <f t="shared" si="79"/>
        <v>053</v>
      </c>
      <c r="B223" s="688" t="s">
        <v>579</v>
      </c>
      <c r="C223" s="688"/>
      <c r="D223" s="1007"/>
      <c r="E223" s="1001" t="str">
        <f>IF(D223="","",D223/SUM($D$223:$D$226))</f>
        <v/>
      </c>
      <c r="F223" s="1004" t="e">
        <f>IF(J223="","$",IF(C223="当選","-",D223*100/MAX($D$223:$D$226)))</f>
        <v>#DIV/0!</v>
      </c>
      <c r="G223" s="687" t="s">
        <v>5574</v>
      </c>
      <c r="H223" s="689">
        <v>25</v>
      </c>
      <c r="I223" s="696" t="s">
        <v>5</v>
      </c>
      <c r="J223" s="689" t="s">
        <v>15273</v>
      </c>
      <c r="K223" s="747"/>
      <c r="L223" s="687"/>
      <c r="M223" s="687"/>
      <c r="N223" s="692" t="s">
        <v>16126</v>
      </c>
      <c r="O223" s="687" t="s">
        <v>44</v>
      </c>
      <c r="P223" s="687" t="s">
        <v>6</v>
      </c>
      <c r="Q223" s="748"/>
      <c r="R223" s="749"/>
      <c r="S223" s="805"/>
    </row>
    <row r="224" spans="1:19" ht="12" customHeight="1">
      <c r="A224" s="1040" t="str">
        <f t="shared" si="79"/>
        <v>053</v>
      </c>
      <c r="B224" s="4" t="s">
        <v>580</v>
      </c>
      <c r="C224" s="4"/>
      <c r="D224" s="1008"/>
      <c r="E224" s="1002" t="str">
        <f t="shared" ref="E224:E226" si="94">IF(D224="","",D224/SUM($D$223:$D$226))</f>
        <v/>
      </c>
      <c r="F224" s="1005" t="e">
        <f t="shared" ref="F224:F226" si="95">IF(J224="","$",IF(C224="当選","-",D224*100/MAX($D$223:$D$226)))</f>
        <v>#DIV/0!</v>
      </c>
      <c r="G224" s="1" t="s">
        <v>583</v>
      </c>
      <c r="H224" s="5">
        <v>45</v>
      </c>
      <c r="I224" s="2" t="s">
        <v>5</v>
      </c>
      <c r="J224" s="1" t="s">
        <v>15273</v>
      </c>
      <c r="K224" s="3"/>
      <c r="L224" s="1"/>
      <c r="M224" s="1"/>
      <c r="N224" s="8" t="s">
        <v>16120</v>
      </c>
      <c r="O224" s="1" t="s">
        <v>48</v>
      </c>
      <c r="P224" s="1" t="s">
        <v>6</v>
      </c>
      <c r="Q224" s="16"/>
      <c r="R224" s="17"/>
      <c r="S224" s="774" t="s">
        <v>5457</v>
      </c>
    </row>
    <row r="225" spans="1:19" ht="12" customHeight="1">
      <c r="A225" s="1040" t="str">
        <f t="shared" si="79"/>
        <v>053</v>
      </c>
      <c r="B225" s="4" t="s">
        <v>581</v>
      </c>
      <c r="C225" s="4"/>
      <c r="D225" s="1008"/>
      <c r="E225" s="1002" t="str">
        <f t="shared" si="94"/>
        <v/>
      </c>
      <c r="F225" s="1005" t="e">
        <f t="shared" si="95"/>
        <v>#DIV/0!</v>
      </c>
      <c r="G225" s="1" t="s">
        <v>589</v>
      </c>
      <c r="H225" s="5">
        <v>28</v>
      </c>
      <c r="I225" s="2" t="s">
        <v>19</v>
      </c>
      <c r="J225" s="1" t="s">
        <v>15273</v>
      </c>
      <c r="K225" s="3"/>
      <c r="L225" s="1"/>
      <c r="M225" s="1"/>
      <c r="N225" s="4" t="s">
        <v>16116</v>
      </c>
      <c r="O225" s="1" t="s">
        <v>18494</v>
      </c>
      <c r="P225" s="1" t="s">
        <v>6</v>
      </c>
      <c r="Q225" s="16"/>
      <c r="R225" s="17"/>
      <c r="S225" s="774"/>
    </row>
    <row r="226" spans="1:19" ht="12" customHeight="1" thickBot="1">
      <c r="A226" s="916" t="str">
        <f t="shared" si="79"/>
        <v>053</v>
      </c>
      <c r="B226" s="700" t="s">
        <v>582</v>
      </c>
      <c r="C226" s="700"/>
      <c r="D226" s="1009"/>
      <c r="E226" s="1003" t="str">
        <f t="shared" si="94"/>
        <v/>
      </c>
      <c r="F226" s="1041" t="str">
        <f t="shared" si="95"/>
        <v>$</v>
      </c>
      <c r="G226" s="906" t="s">
        <v>585</v>
      </c>
      <c r="H226" s="356">
        <v>63</v>
      </c>
      <c r="I226" s="702" t="s">
        <v>5</v>
      </c>
      <c r="J226" s="906"/>
      <c r="K226" s="703"/>
      <c r="L226" s="906"/>
      <c r="M226" s="906"/>
      <c r="N226" s="700" t="s">
        <v>16117</v>
      </c>
      <c r="O226" s="906"/>
      <c r="P226" s="906" t="s">
        <v>6</v>
      </c>
      <c r="Q226" s="705"/>
      <c r="R226" s="903"/>
      <c r="S226" s="793"/>
    </row>
    <row r="227" spans="1:19" ht="12" customHeight="1">
      <c r="A227" s="1038" t="str">
        <f t="shared" si="79"/>
        <v>054</v>
      </c>
      <c r="B227" s="688" t="s">
        <v>593</v>
      </c>
      <c r="C227" s="688"/>
      <c r="D227" s="1007"/>
      <c r="E227" s="1001" t="str">
        <f>IF(D227="","",D227/SUM($D$227:$D$229))</f>
        <v/>
      </c>
      <c r="F227" s="1004" t="e">
        <f>IF(J227="","$",IF(C227="当選","-",D227*100/MAX($D$227:$D$229)))</f>
        <v>#DIV/0!</v>
      </c>
      <c r="G227" s="690" t="s">
        <v>894</v>
      </c>
      <c r="H227" s="689">
        <v>39</v>
      </c>
      <c r="I227" s="690" t="s">
        <v>19</v>
      </c>
      <c r="J227" s="690" t="s">
        <v>15273</v>
      </c>
      <c r="K227" s="735" t="s">
        <v>1370</v>
      </c>
      <c r="L227" s="736"/>
      <c r="M227" s="736"/>
      <c r="N227" s="688" t="s">
        <v>16120</v>
      </c>
      <c r="O227" s="690" t="s">
        <v>13</v>
      </c>
      <c r="P227" s="690" t="s">
        <v>25</v>
      </c>
      <c r="Q227" s="737">
        <v>4</v>
      </c>
      <c r="R227" s="738">
        <v>4</v>
      </c>
      <c r="S227" s="1042" t="s">
        <v>6051</v>
      </c>
    </row>
    <row r="228" spans="1:19" ht="12" customHeight="1">
      <c r="A228" s="1040" t="str">
        <f t="shared" si="79"/>
        <v>054</v>
      </c>
      <c r="B228" s="4" t="s">
        <v>594</v>
      </c>
      <c r="C228" s="4"/>
      <c r="D228" s="1008"/>
      <c r="E228" s="1002" t="str">
        <f t="shared" ref="E228:E229" si="96">IF(D228="","",D228/SUM($D$227:$D$229))</f>
        <v/>
      </c>
      <c r="F228" s="1005" t="str">
        <f t="shared" ref="F228:F229" si="97">IF(J228="","$",IF(C228="当選","-",D228*100/MAX($D$227:$D$229)))</f>
        <v>$</v>
      </c>
      <c r="G228" s="1" t="s">
        <v>596</v>
      </c>
      <c r="H228" s="5">
        <v>44</v>
      </c>
      <c r="I228" s="2" t="s">
        <v>5</v>
      </c>
      <c r="J228" s="1"/>
      <c r="K228" s="3"/>
      <c r="L228" s="1"/>
      <c r="M228" s="1"/>
      <c r="N228" s="4" t="s">
        <v>16117</v>
      </c>
      <c r="O228" s="1"/>
      <c r="P228" s="1" t="s">
        <v>6</v>
      </c>
      <c r="Q228" s="16"/>
      <c r="R228" s="17"/>
      <c r="S228" s="774"/>
    </row>
    <row r="229" spans="1:19" ht="12" customHeight="1" thickBot="1">
      <c r="A229" s="916" t="str">
        <f t="shared" si="79"/>
        <v>054</v>
      </c>
      <c r="B229" s="700" t="s">
        <v>595</v>
      </c>
      <c r="C229" s="700"/>
      <c r="D229" s="1009"/>
      <c r="E229" s="1003" t="str">
        <f t="shared" si="96"/>
        <v/>
      </c>
      <c r="F229" s="1041" t="e">
        <f t="shared" si="97"/>
        <v>#DIV/0!</v>
      </c>
      <c r="G229" s="906" t="s">
        <v>1437</v>
      </c>
      <c r="H229" s="356">
        <v>61</v>
      </c>
      <c r="I229" s="702" t="s">
        <v>5</v>
      </c>
      <c r="J229" s="906" t="s">
        <v>15273</v>
      </c>
      <c r="K229" s="703"/>
      <c r="L229" s="906"/>
      <c r="M229" s="906"/>
      <c r="N229" s="700" t="s">
        <v>16121</v>
      </c>
      <c r="O229" s="906"/>
      <c r="P229" s="906" t="s">
        <v>6</v>
      </c>
      <c r="Q229" s="705"/>
      <c r="R229" s="903"/>
      <c r="S229" s="793"/>
    </row>
    <row r="230" spans="1:19" ht="12" customHeight="1">
      <c r="A230" s="1038" t="str">
        <f t="shared" si="79"/>
        <v>055</v>
      </c>
      <c r="B230" s="688" t="s">
        <v>598</v>
      </c>
      <c r="C230" s="688"/>
      <c r="D230" s="1007"/>
      <c r="E230" s="1001" t="str">
        <f>IF(D230="","",D230/SUM($D$230:$D$234))</f>
        <v/>
      </c>
      <c r="F230" s="1004" t="e">
        <f>IF(J230="","$",IF(C230="当選","-",D230*100/MAX($D$230:$D$234)))</f>
        <v>#DIV/0!</v>
      </c>
      <c r="G230" s="690" t="s">
        <v>923</v>
      </c>
      <c r="H230" s="689">
        <v>51</v>
      </c>
      <c r="I230" s="690" t="s">
        <v>5</v>
      </c>
      <c r="J230" s="689" t="s">
        <v>15273</v>
      </c>
      <c r="K230" s="735" t="s">
        <v>603</v>
      </c>
      <c r="L230" s="736"/>
      <c r="M230" s="736"/>
      <c r="N230" s="692" t="s">
        <v>16127</v>
      </c>
      <c r="O230" s="690" t="s">
        <v>604</v>
      </c>
      <c r="P230" s="690" t="s">
        <v>25</v>
      </c>
      <c r="Q230" s="737">
        <v>4</v>
      </c>
      <c r="R230" s="738">
        <v>4</v>
      </c>
      <c r="S230" s="1042" t="s">
        <v>736</v>
      </c>
    </row>
    <row r="231" spans="1:19" ht="12" customHeight="1">
      <c r="A231" s="1040" t="str">
        <f t="shared" si="79"/>
        <v>055</v>
      </c>
      <c r="B231" s="4" t="s">
        <v>599</v>
      </c>
      <c r="C231" s="4"/>
      <c r="D231" s="1008"/>
      <c r="E231" s="1002" t="str">
        <f t="shared" ref="E231:E234" si="98">IF(D231="","",D231/SUM($D$230:$D$234))</f>
        <v/>
      </c>
      <c r="F231" s="1005" t="e">
        <f t="shared" ref="F231:F233" si="99">IF(J231="","$",IF(C231="当選","-",D231*100/MAX($D$230:$D$234)))</f>
        <v>#DIV/0!</v>
      </c>
      <c r="G231" s="1" t="s">
        <v>606</v>
      </c>
      <c r="H231" s="5">
        <v>32</v>
      </c>
      <c r="I231" s="2" t="s">
        <v>5</v>
      </c>
      <c r="J231" s="1" t="s">
        <v>15273</v>
      </c>
      <c r="K231" s="3"/>
      <c r="L231" s="1"/>
      <c r="M231" s="1"/>
      <c r="N231" s="4" t="s">
        <v>16120</v>
      </c>
      <c r="O231" s="1" t="s">
        <v>30</v>
      </c>
      <c r="P231" s="1" t="s">
        <v>6</v>
      </c>
      <c r="Q231" s="16"/>
      <c r="R231" s="17"/>
      <c r="S231" s="774" t="s">
        <v>5457</v>
      </c>
    </row>
    <row r="232" spans="1:19" ht="12" customHeight="1">
      <c r="A232" s="1040" t="str">
        <f t="shared" si="79"/>
        <v>055</v>
      </c>
      <c r="B232" s="4" t="s">
        <v>600</v>
      </c>
      <c r="C232" s="4"/>
      <c r="D232" s="1008"/>
      <c r="E232" s="1002" t="str">
        <f t="shared" si="98"/>
        <v/>
      </c>
      <c r="F232" s="1005" t="e">
        <f t="shared" si="99"/>
        <v>#DIV/0!</v>
      </c>
      <c r="G232" s="1" t="s">
        <v>611</v>
      </c>
      <c r="H232" s="5">
        <v>47</v>
      </c>
      <c r="I232" s="2" t="s">
        <v>5</v>
      </c>
      <c r="J232" s="1" t="s">
        <v>15273</v>
      </c>
      <c r="K232" s="3"/>
      <c r="L232" s="1"/>
      <c r="M232" s="1"/>
      <c r="N232" s="4" t="s">
        <v>18495</v>
      </c>
      <c r="O232" s="1"/>
      <c r="P232" s="1" t="s">
        <v>6</v>
      </c>
      <c r="Q232" s="16"/>
      <c r="R232" s="17"/>
      <c r="S232" s="774" t="s">
        <v>6031</v>
      </c>
    </row>
    <row r="233" spans="1:19" ht="12" customHeight="1">
      <c r="A233" s="1040" t="str">
        <f t="shared" si="79"/>
        <v>055</v>
      </c>
      <c r="B233" s="4" t="s">
        <v>601</v>
      </c>
      <c r="C233" s="4"/>
      <c r="D233" s="1008"/>
      <c r="E233" s="1002" t="str">
        <f t="shared" si="98"/>
        <v/>
      </c>
      <c r="F233" s="1005" t="str">
        <f t="shared" si="99"/>
        <v>$</v>
      </c>
      <c r="G233" s="1" t="s">
        <v>608</v>
      </c>
      <c r="H233" s="5">
        <v>65</v>
      </c>
      <c r="I233" s="2" t="s">
        <v>5</v>
      </c>
      <c r="J233" s="1"/>
      <c r="K233" s="3"/>
      <c r="L233" s="1"/>
      <c r="M233" s="1"/>
      <c r="N233" s="4" t="s">
        <v>16117</v>
      </c>
      <c r="O233" s="1"/>
      <c r="P233" s="1" t="s">
        <v>6</v>
      </c>
      <c r="Q233" s="16"/>
      <c r="R233" s="17"/>
      <c r="S233" s="774"/>
    </row>
    <row r="234" spans="1:19" ht="12" customHeight="1" thickBot="1">
      <c r="A234" s="916" t="str">
        <f t="shared" si="79"/>
        <v>055</v>
      </c>
      <c r="B234" s="700" t="s">
        <v>602</v>
      </c>
      <c r="C234" s="700"/>
      <c r="D234" s="1009"/>
      <c r="E234" s="1003" t="str">
        <f t="shared" si="98"/>
        <v/>
      </c>
      <c r="F234" s="1041" t="e">
        <f t="shared" ref="F234" si="100">IF(J234="","$",IF(C234="当選","-",D234*100/MAX($D$230:$D$234)))</f>
        <v>#DIV/0!</v>
      </c>
      <c r="G234" s="906" t="s">
        <v>614</v>
      </c>
      <c r="H234" s="356">
        <v>48</v>
      </c>
      <c r="I234" s="702" t="s">
        <v>5</v>
      </c>
      <c r="J234" s="906" t="s">
        <v>15273</v>
      </c>
      <c r="K234" s="703"/>
      <c r="L234" s="906"/>
      <c r="M234" s="906"/>
      <c r="N234" s="700" t="s">
        <v>16121</v>
      </c>
      <c r="O234" s="906"/>
      <c r="P234" s="906" t="s">
        <v>6</v>
      </c>
      <c r="Q234" s="705"/>
      <c r="R234" s="903"/>
      <c r="S234" s="793"/>
    </row>
    <row r="235" spans="1:19" ht="12" customHeight="1">
      <c r="A235" s="1038" t="str">
        <f t="shared" si="79"/>
        <v>056</v>
      </c>
      <c r="B235" s="688" t="s">
        <v>616</v>
      </c>
      <c r="C235" s="688"/>
      <c r="D235" s="1007"/>
      <c r="E235" s="1001" t="str">
        <f>IF(D235="","",D235/SUM($D$235:$D$238))</f>
        <v/>
      </c>
      <c r="F235" s="1004" t="e">
        <f>IF(J235="","$",IF(C235="当選","-",D235*100/MAX($D$235:$D$238)))</f>
        <v>#DIV/0!</v>
      </c>
      <c r="G235" s="690" t="s">
        <v>906</v>
      </c>
      <c r="H235" s="689">
        <v>57</v>
      </c>
      <c r="I235" s="690" t="s">
        <v>5</v>
      </c>
      <c r="J235" s="689" t="s">
        <v>15273</v>
      </c>
      <c r="K235" s="735" t="s">
        <v>620</v>
      </c>
      <c r="L235" s="736"/>
      <c r="M235" s="736"/>
      <c r="N235" s="692" t="s">
        <v>16127</v>
      </c>
      <c r="O235" s="690" t="s">
        <v>604</v>
      </c>
      <c r="P235" s="690" t="s">
        <v>25</v>
      </c>
      <c r="Q235" s="737">
        <v>4</v>
      </c>
      <c r="R235" s="738">
        <v>4</v>
      </c>
      <c r="S235" s="1042" t="s">
        <v>736</v>
      </c>
    </row>
    <row r="236" spans="1:19" ht="12" customHeight="1">
      <c r="A236" s="1040" t="str">
        <f t="shared" si="79"/>
        <v>056</v>
      </c>
      <c r="B236" s="4" t="s">
        <v>617</v>
      </c>
      <c r="C236" s="4"/>
      <c r="D236" s="1008"/>
      <c r="E236" s="1002" t="str">
        <f t="shared" ref="E236:E238" si="101">IF(D236="","",D236/SUM($D$235:$D$238))</f>
        <v/>
      </c>
      <c r="F236" s="1005" t="e">
        <f t="shared" ref="F236:F238" si="102">IF(J236="","$",IF(C236="当選","-",D236*100/MAX($D$235:$D$238)))</f>
        <v>#DIV/0!</v>
      </c>
      <c r="G236" s="6" t="s">
        <v>898</v>
      </c>
      <c r="H236" s="5">
        <v>54</v>
      </c>
      <c r="I236" s="6" t="s">
        <v>5</v>
      </c>
      <c r="J236" s="6" t="s">
        <v>15273</v>
      </c>
      <c r="K236" s="12" t="s">
        <v>1304</v>
      </c>
      <c r="L236" s="19"/>
      <c r="M236" s="19"/>
      <c r="N236" s="8" t="s">
        <v>16120</v>
      </c>
      <c r="O236" s="6" t="s">
        <v>13</v>
      </c>
      <c r="P236" s="6" t="s">
        <v>25</v>
      </c>
      <c r="Q236" s="13">
        <v>4</v>
      </c>
      <c r="R236" s="14">
        <v>4</v>
      </c>
      <c r="S236" s="1044" t="s">
        <v>5457</v>
      </c>
    </row>
    <row r="237" spans="1:19" ht="12" customHeight="1">
      <c r="A237" s="1040" t="str">
        <f t="shared" si="79"/>
        <v>056</v>
      </c>
      <c r="B237" s="4" t="s">
        <v>618</v>
      </c>
      <c r="C237" s="4"/>
      <c r="D237" s="1008"/>
      <c r="E237" s="1002" t="str">
        <f t="shared" si="101"/>
        <v/>
      </c>
      <c r="F237" s="1005" t="e">
        <f t="shared" si="102"/>
        <v>#DIV/0!</v>
      </c>
      <c r="G237" s="1" t="s">
        <v>625</v>
      </c>
      <c r="H237" s="5">
        <v>47</v>
      </c>
      <c r="I237" s="2" t="s">
        <v>5</v>
      </c>
      <c r="J237" s="1" t="s">
        <v>15273</v>
      </c>
      <c r="K237" s="3"/>
      <c r="L237" s="1"/>
      <c r="M237" s="1"/>
      <c r="N237" s="4" t="s">
        <v>18495</v>
      </c>
      <c r="O237" s="1"/>
      <c r="P237" s="1" t="s">
        <v>6</v>
      </c>
      <c r="Q237" s="16"/>
      <c r="R237" s="17"/>
      <c r="S237" s="774" t="s">
        <v>6031</v>
      </c>
    </row>
    <row r="238" spans="1:19" ht="12" customHeight="1" thickBot="1">
      <c r="A238" s="916" t="str">
        <f t="shared" si="79"/>
        <v>056</v>
      </c>
      <c r="B238" s="700" t="s">
        <v>619</v>
      </c>
      <c r="C238" s="700"/>
      <c r="D238" s="1009"/>
      <c r="E238" s="1003" t="str">
        <f t="shared" si="101"/>
        <v/>
      </c>
      <c r="F238" s="1041" t="str">
        <f t="shared" si="102"/>
        <v>$</v>
      </c>
      <c r="G238" s="906" t="s">
        <v>622</v>
      </c>
      <c r="H238" s="356">
        <v>44</v>
      </c>
      <c r="I238" s="702" t="s">
        <v>19</v>
      </c>
      <c r="J238" s="906"/>
      <c r="K238" s="703"/>
      <c r="L238" s="906"/>
      <c r="M238" s="906"/>
      <c r="N238" s="700" t="s">
        <v>16117</v>
      </c>
      <c r="O238" s="906"/>
      <c r="P238" s="906" t="s">
        <v>6</v>
      </c>
      <c r="Q238" s="705"/>
      <c r="R238" s="903"/>
      <c r="S238" s="793"/>
    </row>
    <row r="239" spans="1:19" ht="12" customHeight="1">
      <c r="A239" s="1038" t="str">
        <f t="shared" si="79"/>
        <v>057</v>
      </c>
      <c r="B239" s="688" t="s">
        <v>627</v>
      </c>
      <c r="C239" s="688"/>
      <c r="D239" s="1007"/>
      <c r="E239" s="1001" t="str">
        <f>IF(D239="","",D239/SUM($D$239:$D$243))</f>
        <v/>
      </c>
      <c r="F239" s="1004" t="e">
        <f>IF(J239="","$",IF(C239="当選","-",D239*100/MAX($D$239:$D$243)))</f>
        <v>#DIV/0!</v>
      </c>
      <c r="G239" s="689" t="s">
        <v>878</v>
      </c>
      <c r="H239" s="689">
        <v>69</v>
      </c>
      <c r="I239" s="689" t="s">
        <v>5</v>
      </c>
      <c r="J239" s="689" t="s">
        <v>15273</v>
      </c>
      <c r="K239" s="691" t="s">
        <v>638</v>
      </c>
      <c r="L239" s="783"/>
      <c r="M239" s="736"/>
      <c r="N239" s="692" t="s">
        <v>16126</v>
      </c>
      <c r="O239" s="689" t="s">
        <v>45</v>
      </c>
      <c r="P239" s="689" t="s">
        <v>25</v>
      </c>
      <c r="Q239" s="693">
        <v>7</v>
      </c>
      <c r="R239" s="694">
        <v>7</v>
      </c>
      <c r="S239" s="1039" t="s">
        <v>736</v>
      </c>
    </row>
    <row r="240" spans="1:19" ht="12" customHeight="1">
      <c r="A240" s="1040" t="str">
        <f t="shared" si="79"/>
        <v>057</v>
      </c>
      <c r="B240" s="4" t="s">
        <v>628</v>
      </c>
      <c r="C240" s="4"/>
      <c r="D240" s="1008"/>
      <c r="E240" s="1002" t="str">
        <f t="shared" ref="E240:E243" si="103">IF(D240="","",D240/SUM($D$239:$D$243))</f>
        <v/>
      </c>
      <c r="F240" s="1005" t="e">
        <f t="shared" ref="F240:F243" si="104">IF(J240="","$",IF(C240="当選","-",D240*100/MAX($D$239:$D$243)))</f>
        <v>#DIV/0!</v>
      </c>
      <c r="G240" s="1" t="s">
        <v>639</v>
      </c>
      <c r="H240" s="5">
        <v>42</v>
      </c>
      <c r="I240" s="2" t="s">
        <v>5</v>
      </c>
      <c r="J240" s="1" t="s">
        <v>15273</v>
      </c>
      <c r="K240" s="3"/>
      <c r="L240" s="1"/>
      <c r="M240" s="1"/>
      <c r="N240" s="4" t="s">
        <v>16120</v>
      </c>
      <c r="O240" s="1" t="s">
        <v>30</v>
      </c>
      <c r="P240" s="1" t="s">
        <v>6</v>
      </c>
      <c r="Q240" s="16"/>
      <c r="R240" s="17"/>
      <c r="S240" s="774" t="s">
        <v>5457</v>
      </c>
    </row>
    <row r="241" spans="1:19" ht="12" customHeight="1">
      <c r="A241" s="1040" t="str">
        <f t="shared" si="79"/>
        <v>057</v>
      </c>
      <c r="B241" s="4" t="s">
        <v>629</v>
      </c>
      <c r="C241" s="4"/>
      <c r="D241" s="1008"/>
      <c r="E241" s="1002" t="str">
        <f t="shared" si="103"/>
        <v/>
      </c>
      <c r="F241" s="1005" t="e">
        <f t="shared" si="104"/>
        <v>#DIV/0!</v>
      </c>
      <c r="G241" s="1" t="s">
        <v>5772</v>
      </c>
      <c r="H241" s="5">
        <v>62</v>
      </c>
      <c r="I241" s="2" t="s">
        <v>5</v>
      </c>
      <c r="J241" s="1" t="s">
        <v>15273</v>
      </c>
      <c r="K241" s="3"/>
      <c r="L241" s="1"/>
      <c r="M241" s="1"/>
      <c r="N241" s="4" t="s">
        <v>16116</v>
      </c>
      <c r="O241" s="1" t="s">
        <v>276</v>
      </c>
      <c r="P241" s="1" t="s">
        <v>6</v>
      </c>
      <c r="Q241" s="16"/>
      <c r="R241" s="17"/>
      <c r="S241" s="774"/>
    </row>
    <row r="242" spans="1:19" ht="12" customHeight="1">
      <c r="A242" s="1040" t="str">
        <f t="shared" si="79"/>
        <v>057</v>
      </c>
      <c r="B242" s="4" t="s">
        <v>4591</v>
      </c>
      <c r="C242" s="4"/>
      <c r="D242" s="1008"/>
      <c r="E242" s="1002" t="str">
        <f t="shared" si="103"/>
        <v/>
      </c>
      <c r="F242" s="1005" t="e">
        <f t="shared" si="104"/>
        <v>#DIV/0!</v>
      </c>
      <c r="G242" s="1" t="s">
        <v>4592</v>
      </c>
      <c r="H242" s="5">
        <v>35</v>
      </c>
      <c r="I242" s="2" t="s">
        <v>5</v>
      </c>
      <c r="J242" s="1" t="s">
        <v>15273</v>
      </c>
      <c r="K242" s="3"/>
      <c r="L242" s="1"/>
      <c r="M242" s="1"/>
      <c r="N242" s="8" t="s">
        <v>18495</v>
      </c>
      <c r="O242" s="1"/>
      <c r="P242" s="1" t="s">
        <v>6</v>
      </c>
      <c r="Q242" s="16"/>
      <c r="R242" s="17"/>
      <c r="S242" s="774"/>
    </row>
    <row r="243" spans="1:19" ht="12" customHeight="1" thickBot="1">
      <c r="A243" s="916" t="str">
        <f t="shared" si="79"/>
        <v>057</v>
      </c>
      <c r="B243" s="700" t="s">
        <v>5771</v>
      </c>
      <c r="C243" s="700"/>
      <c r="D243" s="1009"/>
      <c r="E243" s="1003" t="str">
        <f t="shared" si="103"/>
        <v/>
      </c>
      <c r="F243" s="1041" t="str">
        <f t="shared" si="104"/>
        <v>$</v>
      </c>
      <c r="G243" s="906" t="s">
        <v>640</v>
      </c>
      <c r="H243" s="356">
        <v>56</v>
      </c>
      <c r="I243" s="702" t="s">
        <v>5</v>
      </c>
      <c r="J243" s="906"/>
      <c r="K243" s="703"/>
      <c r="L243" s="906"/>
      <c r="M243" s="906"/>
      <c r="N243" s="700" t="s">
        <v>16117</v>
      </c>
      <c r="O243" s="906"/>
      <c r="P243" s="906" t="s">
        <v>6</v>
      </c>
      <c r="Q243" s="705"/>
      <c r="R243" s="903"/>
      <c r="S243" s="793"/>
    </row>
    <row r="244" spans="1:19" ht="12" customHeight="1">
      <c r="A244" s="1038" t="str">
        <f t="shared" si="79"/>
        <v>058</v>
      </c>
      <c r="B244" s="688" t="s">
        <v>642</v>
      </c>
      <c r="C244" s="688"/>
      <c r="D244" s="1007"/>
      <c r="E244" s="1001" t="str">
        <f>IF(D244="","",D244/SUM($D$244:$D$248))</f>
        <v/>
      </c>
      <c r="F244" s="1004" t="e">
        <f>IF(J244="","$",IF(C244="当選","-",D244*100/MAX($D$244:$D$248)))</f>
        <v>#DIV/0!</v>
      </c>
      <c r="G244" s="690" t="s">
        <v>899</v>
      </c>
      <c r="H244" s="689">
        <v>51</v>
      </c>
      <c r="I244" s="690" t="s">
        <v>5</v>
      </c>
      <c r="J244" s="689" t="s">
        <v>15273</v>
      </c>
      <c r="K244" s="735" t="s">
        <v>645</v>
      </c>
      <c r="L244" s="736"/>
      <c r="M244" s="736"/>
      <c r="N244" s="692" t="s">
        <v>16127</v>
      </c>
      <c r="O244" s="690" t="s">
        <v>44</v>
      </c>
      <c r="P244" s="690" t="s">
        <v>25</v>
      </c>
      <c r="Q244" s="737">
        <v>3</v>
      </c>
      <c r="R244" s="738">
        <v>3</v>
      </c>
      <c r="S244" s="1042" t="s">
        <v>736</v>
      </c>
    </row>
    <row r="245" spans="1:19" ht="12" customHeight="1">
      <c r="A245" s="1040" t="str">
        <f t="shared" si="79"/>
        <v>058</v>
      </c>
      <c r="B245" s="4" t="s">
        <v>643</v>
      </c>
      <c r="C245" s="4"/>
      <c r="D245" s="1008"/>
      <c r="E245" s="1002" t="str">
        <f t="shared" ref="E245:E248" si="105">IF(D245="","",D245/SUM($D$244:$D$248))</f>
        <v/>
      </c>
      <c r="F245" s="1005" t="e">
        <f t="shared" ref="F245:F248" si="106">IF(J245="","$",IF(C245="当選","-",D245*100/MAX($D$244:$D$248)))</f>
        <v>#DIV/0!</v>
      </c>
      <c r="G245" s="1" t="s">
        <v>646</v>
      </c>
      <c r="H245" s="5">
        <v>38</v>
      </c>
      <c r="I245" s="2" t="s">
        <v>19</v>
      </c>
      <c r="J245" s="1" t="s">
        <v>15273</v>
      </c>
      <c r="K245" s="3"/>
      <c r="L245" s="1"/>
      <c r="M245" s="1"/>
      <c r="N245" s="4" t="s">
        <v>16120</v>
      </c>
      <c r="O245" s="1" t="s">
        <v>30</v>
      </c>
      <c r="P245" s="1" t="s">
        <v>6</v>
      </c>
      <c r="Q245" s="16"/>
      <c r="R245" s="17"/>
      <c r="S245" s="774" t="s">
        <v>5457</v>
      </c>
    </row>
    <row r="246" spans="1:19" ht="12" customHeight="1">
      <c r="A246" s="1040" t="str">
        <f t="shared" si="79"/>
        <v>058</v>
      </c>
      <c r="B246" s="4" t="s">
        <v>644</v>
      </c>
      <c r="C246" s="4"/>
      <c r="D246" s="1008"/>
      <c r="E246" s="1002" t="str">
        <f t="shared" si="105"/>
        <v/>
      </c>
      <c r="F246" s="1005" t="e">
        <f t="shared" si="106"/>
        <v>#DIV/0!</v>
      </c>
      <c r="G246" s="1" t="s">
        <v>5003</v>
      </c>
      <c r="H246" s="5">
        <v>34</v>
      </c>
      <c r="I246" s="2" t="s">
        <v>5</v>
      </c>
      <c r="J246" s="1" t="s">
        <v>15273</v>
      </c>
      <c r="K246" s="3"/>
      <c r="L246" s="1"/>
      <c r="M246" s="1"/>
      <c r="N246" s="4" t="s">
        <v>16116</v>
      </c>
      <c r="O246" s="1" t="s">
        <v>18494</v>
      </c>
      <c r="P246" s="1" t="s">
        <v>6</v>
      </c>
      <c r="Q246" s="16"/>
      <c r="R246" s="17"/>
      <c r="S246" s="774"/>
    </row>
    <row r="247" spans="1:19" ht="12" customHeight="1">
      <c r="A247" s="1040" t="str">
        <f t="shared" si="79"/>
        <v>058</v>
      </c>
      <c r="B247" s="4" t="s">
        <v>1081</v>
      </c>
      <c r="C247" s="4"/>
      <c r="D247" s="1008"/>
      <c r="E247" s="1002" t="str">
        <f t="shared" si="105"/>
        <v/>
      </c>
      <c r="F247" s="1005" t="e">
        <f t="shared" si="106"/>
        <v>#DIV/0!</v>
      </c>
      <c r="G247" s="1" t="s">
        <v>648</v>
      </c>
      <c r="H247" s="5">
        <v>56</v>
      </c>
      <c r="I247" s="2" t="s">
        <v>19</v>
      </c>
      <c r="J247" s="1" t="s">
        <v>15273</v>
      </c>
      <c r="K247" s="3"/>
      <c r="L247" s="1"/>
      <c r="M247" s="1"/>
      <c r="N247" s="4" t="s">
        <v>16117</v>
      </c>
      <c r="O247" s="1"/>
      <c r="P247" s="1" t="s">
        <v>6</v>
      </c>
      <c r="Q247" s="16"/>
      <c r="R247" s="17"/>
      <c r="S247" s="774"/>
    </row>
    <row r="248" spans="1:19" ht="12" customHeight="1" thickBot="1">
      <c r="A248" s="916" t="str">
        <f t="shared" si="79"/>
        <v>058</v>
      </c>
      <c r="B248" s="700" t="s">
        <v>5002</v>
      </c>
      <c r="C248" s="700"/>
      <c r="D248" s="1009"/>
      <c r="E248" s="1003" t="str">
        <f t="shared" si="105"/>
        <v/>
      </c>
      <c r="F248" s="1041" t="str">
        <f t="shared" si="106"/>
        <v>$</v>
      </c>
      <c r="G248" s="702" t="s">
        <v>15969</v>
      </c>
      <c r="H248" s="356">
        <v>28</v>
      </c>
      <c r="I248" s="702" t="s">
        <v>5</v>
      </c>
      <c r="J248" s="906"/>
      <c r="K248" s="703"/>
      <c r="L248" s="906"/>
      <c r="M248" s="906"/>
      <c r="N248" s="700" t="s">
        <v>16129</v>
      </c>
      <c r="O248" s="906"/>
      <c r="P248" s="906" t="s">
        <v>6</v>
      </c>
      <c r="Q248" s="705"/>
      <c r="R248" s="903"/>
      <c r="S248" s="793"/>
    </row>
    <row r="249" spans="1:19" ht="12" customHeight="1">
      <c r="A249" s="1038" t="str">
        <f t="shared" si="79"/>
        <v>059</v>
      </c>
      <c r="B249" s="688" t="s">
        <v>651</v>
      </c>
      <c r="C249" s="688"/>
      <c r="D249" s="1007"/>
      <c r="E249" s="1001" t="str">
        <f>IF(D249="","",D249/SUM($D$249:$D$252))</f>
        <v/>
      </c>
      <c r="F249" s="1004" t="e">
        <f>IF(J249="","$",IF(C249="当選","-",D249*100/MAX($D$249:$D$252)))</f>
        <v>#DIV/0!</v>
      </c>
      <c r="G249" s="690" t="s">
        <v>881</v>
      </c>
      <c r="H249" s="689">
        <v>48</v>
      </c>
      <c r="I249" s="690" t="s">
        <v>5</v>
      </c>
      <c r="J249" s="689" t="s">
        <v>15273</v>
      </c>
      <c r="K249" s="735" t="s">
        <v>654</v>
      </c>
      <c r="L249" s="736"/>
      <c r="M249" s="736"/>
      <c r="N249" s="692" t="s">
        <v>16127</v>
      </c>
      <c r="O249" s="690" t="s">
        <v>24</v>
      </c>
      <c r="P249" s="690" t="s">
        <v>25</v>
      </c>
      <c r="Q249" s="737">
        <v>6</v>
      </c>
      <c r="R249" s="738">
        <v>6</v>
      </c>
      <c r="S249" s="1042" t="s">
        <v>736</v>
      </c>
    </row>
    <row r="250" spans="1:19" ht="12" customHeight="1">
      <c r="A250" s="1040" t="str">
        <f t="shared" si="79"/>
        <v>059</v>
      </c>
      <c r="B250" s="4" t="s">
        <v>652</v>
      </c>
      <c r="C250" s="4"/>
      <c r="D250" s="1008"/>
      <c r="E250" s="1002" t="str">
        <f t="shared" ref="E250:E252" si="107">IF(D250="","",D250/SUM($D$249:$D$252))</f>
        <v/>
      </c>
      <c r="F250" s="1005" t="e">
        <f t="shared" ref="F250:F252" si="108">IF(J250="","$",IF(C250="当選","-",D250*100/MAX($D$249:$D$252)))</f>
        <v>#DIV/0!</v>
      </c>
      <c r="G250" s="1" t="s">
        <v>656</v>
      </c>
      <c r="H250" s="5">
        <v>41</v>
      </c>
      <c r="I250" s="2" t="s">
        <v>5</v>
      </c>
      <c r="J250" s="1" t="s">
        <v>15273</v>
      </c>
      <c r="K250" s="3"/>
      <c r="L250" s="1"/>
      <c r="M250" s="1"/>
      <c r="N250" s="8" t="s">
        <v>16120</v>
      </c>
      <c r="O250" s="1" t="s">
        <v>30</v>
      </c>
      <c r="P250" s="1" t="s">
        <v>14</v>
      </c>
      <c r="Q250" s="16">
        <v>1</v>
      </c>
      <c r="R250" s="17">
        <v>1</v>
      </c>
      <c r="S250" s="774" t="s">
        <v>5457</v>
      </c>
    </row>
    <row r="251" spans="1:19" ht="12" customHeight="1">
      <c r="A251" s="1040" t="str">
        <f t="shared" si="79"/>
        <v>059</v>
      </c>
      <c r="B251" s="4" t="s">
        <v>653</v>
      </c>
      <c r="C251" s="4"/>
      <c r="D251" s="1008"/>
      <c r="E251" s="1002" t="str">
        <f t="shared" si="107"/>
        <v/>
      </c>
      <c r="F251" s="1005" t="e">
        <f t="shared" si="108"/>
        <v>#DIV/0!</v>
      </c>
      <c r="G251" s="1" t="s">
        <v>15629</v>
      </c>
      <c r="H251" s="5">
        <v>50</v>
      </c>
      <c r="I251" s="2" t="s">
        <v>5</v>
      </c>
      <c r="J251" s="1" t="s">
        <v>15273</v>
      </c>
      <c r="K251" s="3"/>
      <c r="L251" s="1"/>
      <c r="M251" s="1"/>
      <c r="N251" s="4" t="s">
        <v>16125</v>
      </c>
      <c r="O251" s="1"/>
      <c r="P251" s="1" t="s">
        <v>6</v>
      </c>
      <c r="Q251" s="16"/>
      <c r="R251" s="17"/>
      <c r="S251" s="774" t="s">
        <v>5561</v>
      </c>
    </row>
    <row r="252" spans="1:19" ht="12" customHeight="1" thickBot="1">
      <c r="A252" s="916" t="str">
        <f t="shared" si="79"/>
        <v>059</v>
      </c>
      <c r="B252" s="700" t="s">
        <v>15628</v>
      </c>
      <c r="C252" s="700"/>
      <c r="D252" s="1009"/>
      <c r="E252" s="1003" t="str">
        <f t="shared" si="107"/>
        <v/>
      </c>
      <c r="F252" s="1041" t="str">
        <f t="shared" si="108"/>
        <v>$</v>
      </c>
      <c r="G252" s="906" t="s">
        <v>660</v>
      </c>
      <c r="H252" s="356">
        <v>52</v>
      </c>
      <c r="I252" s="702" t="s">
        <v>5</v>
      </c>
      <c r="J252" s="906"/>
      <c r="K252" s="703"/>
      <c r="L252" s="906"/>
      <c r="M252" s="906"/>
      <c r="N252" s="700" t="s">
        <v>16117</v>
      </c>
      <c r="O252" s="906"/>
      <c r="P252" s="906" t="s">
        <v>6</v>
      </c>
      <c r="Q252" s="705"/>
      <c r="R252" s="903"/>
      <c r="S252" s="793"/>
    </row>
    <row r="253" spans="1:19" ht="12" customHeight="1">
      <c r="A253" s="1038" t="str">
        <f t="shared" si="79"/>
        <v>060</v>
      </c>
      <c r="B253" s="688" t="s">
        <v>663</v>
      </c>
      <c r="C253" s="688"/>
      <c r="D253" s="1007"/>
      <c r="E253" s="1001" t="str">
        <f>IF(D253="","",D253/SUM($D$253:$D$257))</f>
        <v/>
      </c>
      <c r="F253" s="1004" t="e">
        <f>IF(J253="","$",IF(C253="当選","-",D253*100/MAX($D$253:$D$257)))</f>
        <v>#DIV/0!</v>
      </c>
      <c r="G253" s="690" t="s">
        <v>910</v>
      </c>
      <c r="H253" s="689">
        <v>55</v>
      </c>
      <c r="I253" s="690" t="s">
        <v>5</v>
      </c>
      <c r="J253" s="689" t="s">
        <v>15273</v>
      </c>
      <c r="K253" s="735" t="s">
        <v>667</v>
      </c>
      <c r="L253" s="736"/>
      <c r="M253" s="736"/>
      <c r="N253" s="692" t="s">
        <v>16126</v>
      </c>
      <c r="O253" s="690" t="s">
        <v>44</v>
      </c>
      <c r="P253" s="690" t="s">
        <v>25</v>
      </c>
      <c r="Q253" s="737">
        <v>4</v>
      </c>
      <c r="R253" s="738">
        <v>4</v>
      </c>
      <c r="S253" s="1042" t="s">
        <v>736</v>
      </c>
    </row>
    <row r="254" spans="1:19" ht="12" customHeight="1">
      <c r="A254" s="1040" t="str">
        <f t="shared" si="79"/>
        <v>060</v>
      </c>
      <c r="B254" s="4" t="s">
        <v>664</v>
      </c>
      <c r="C254" s="4"/>
      <c r="D254" s="1008"/>
      <c r="E254" s="1002" t="str">
        <f t="shared" ref="E254:E257" si="109">IF(D254="","",D254/SUM($D$253:$D$257))</f>
        <v/>
      </c>
      <c r="F254" s="1005" t="e">
        <f t="shared" ref="F254:F257" si="110">IF(J254="","$",IF(C254="当選","-",D254*100/MAX($D$253:$D$257)))</f>
        <v>#DIV/0!</v>
      </c>
      <c r="G254" s="1" t="s">
        <v>668</v>
      </c>
      <c r="H254" s="5">
        <v>43</v>
      </c>
      <c r="I254" s="2" t="s">
        <v>5</v>
      </c>
      <c r="J254" s="1" t="s">
        <v>15273</v>
      </c>
      <c r="K254" s="3"/>
      <c r="L254" s="1"/>
      <c r="M254" s="1"/>
      <c r="N254" s="4" t="s">
        <v>16120</v>
      </c>
      <c r="O254" s="1" t="s">
        <v>48</v>
      </c>
      <c r="P254" s="1" t="s">
        <v>14</v>
      </c>
      <c r="Q254" s="16">
        <v>1</v>
      </c>
      <c r="R254" s="17">
        <v>1</v>
      </c>
      <c r="S254" s="774" t="s">
        <v>5457</v>
      </c>
    </row>
    <row r="255" spans="1:19" ht="12" customHeight="1">
      <c r="A255" s="1040" t="str">
        <f t="shared" si="79"/>
        <v>060</v>
      </c>
      <c r="B255" s="4" t="s">
        <v>665</v>
      </c>
      <c r="C255" s="4"/>
      <c r="D255" s="1008"/>
      <c r="E255" s="1002" t="str">
        <f t="shared" si="109"/>
        <v/>
      </c>
      <c r="F255" s="1005" t="e">
        <f t="shared" si="110"/>
        <v>#DIV/0!</v>
      </c>
      <c r="G255" s="1" t="s">
        <v>5857</v>
      </c>
      <c r="H255" s="5">
        <v>63</v>
      </c>
      <c r="I255" s="2" t="s">
        <v>5</v>
      </c>
      <c r="J255" s="1" t="s">
        <v>15273</v>
      </c>
      <c r="K255" s="3"/>
      <c r="L255" s="1"/>
      <c r="M255" s="1"/>
      <c r="N255" s="4" t="s">
        <v>16116</v>
      </c>
      <c r="O255" s="1" t="s">
        <v>18494</v>
      </c>
      <c r="P255" s="1" t="s">
        <v>6</v>
      </c>
      <c r="Q255" s="16"/>
      <c r="R255" s="17"/>
      <c r="S255" s="774" t="s">
        <v>6154</v>
      </c>
    </row>
    <row r="256" spans="1:19" ht="12" customHeight="1">
      <c r="A256" s="1040" t="str">
        <f t="shared" si="79"/>
        <v>060</v>
      </c>
      <c r="B256" s="4" t="s">
        <v>666</v>
      </c>
      <c r="C256" s="4"/>
      <c r="D256" s="1008"/>
      <c r="E256" s="1002" t="str">
        <f t="shared" si="109"/>
        <v/>
      </c>
      <c r="F256" s="1005" t="str">
        <f t="shared" si="110"/>
        <v>$</v>
      </c>
      <c r="G256" s="1" t="s">
        <v>671</v>
      </c>
      <c r="H256" s="5">
        <v>62</v>
      </c>
      <c r="I256" s="2" t="s">
        <v>5</v>
      </c>
      <c r="J256" s="1"/>
      <c r="K256" s="3"/>
      <c r="L256" s="1"/>
      <c r="M256" s="1"/>
      <c r="N256" s="4" t="s">
        <v>16117</v>
      </c>
      <c r="O256" s="1"/>
      <c r="P256" s="1" t="s">
        <v>6</v>
      </c>
      <c r="Q256" s="16"/>
      <c r="R256" s="17"/>
      <c r="S256" s="774"/>
    </row>
    <row r="257" spans="1:19" ht="12" customHeight="1" thickBot="1">
      <c r="A257" s="916" t="str">
        <f t="shared" si="79"/>
        <v>060</v>
      </c>
      <c r="B257" s="700" t="s">
        <v>5856</v>
      </c>
      <c r="C257" s="700"/>
      <c r="D257" s="1009"/>
      <c r="E257" s="1003" t="str">
        <f t="shared" si="109"/>
        <v/>
      </c>
      <c r="F257" s="1041" t="str">
        <f t="shared" si="110"/>
        <v>$</v>
      </c>
      <c r="G257" s="906" t="s">
        <v>674</v>
      </c>
      <c r="H257" s="356">
        <v>45</v>
      </c>
      <c r="I257" s="702" t="s">
        <v>5</v>
      </c>
      <c r="J257" s="906"/>
      <c r="K257" s="703"/>
      <c r="L257" s="906"/>
      <c r="M257" s="906"/>
      <c r="N257" s="700" t="s">
        <v>16122</v>
      </c>
      <c r="O257" s="906" t="s">
        <v>22</v>
      </c>
      <c r="P257" s="906" t="s">
        <v>6</v>
      </c>
      <c r="Q257" s="705"/>
      <c r="R257" s="903"/>
      <c r="S257" s="793"/>
    </row>
    <row r="258" spans="1:19" ht="12" customHeight="1">
      <c r="A258" s="1038" t="str">
        <f t="shared" si="79"/>
        <v>061</v>
      </c>
      <c r="B258" s="688" t="s">
        <v>676</v>
      </c>
      <c r="C258" s="688"/>
      <c r="D258" s="1007"/>
      <c r="E258" s="1001" t="str">
        <f>IF(D258="","",D258/SUM($D$258:$D$262))</f>
        <v/>
      </c>
      <c r="F258" s="1004" t="e">
        <f>IF(J258="","$",IF(C258="当選","-",D258*100/MAX($D$258:$D$262)))</f>
        <v>#DIV/0!</v>
      </c>
      <c r="G258" s="687" t="s">
        <v>680</v>
      </c>
      <c r="H258" s="689">
        <v>50</v>
      </c>
      <c r="I258" s="696" t="s">
        <v>19</v>
      </c>
      <c r="J258" s="689" t="s">
        <v>15273</v>
      </c>
      <c r="K258" s="747"/>
      <c r="L258" s="687"/>
      <c r="M258" s="687"/>
      <c r="N258" s="692" t="s">
        <v>16127</v>
      </c>
      <c r="O258" s="687" t="s">
        <v>681</v>
      </c>
      <c r="P258" s="687" t="s">
        <v>6</v>
      </c>
      <c r="Q258" s="748"/>
      <c r="R258" s="749">
        <v>2</v>
      </c>
      <c r="S258" s="805"/>
    </row>
    <row r="259" spans="1:19" ht="12" customHeight="1">
      <c r="A259" s="1040" t="str">
        <f t="shared" ref="A259:A322" si="111">MIDB(B259,1,3)</f>
        <v>061</v>
      </c>
      <c r="B259" s="4" t="s">
        <v>677</v>
      </c>
      <c r="C259" s="4"/>
      <c r="D259" s="1008"/>
      <c r="E259" s="1002" t="str">
        <f t="shared" ref="E259:E262" si="112">IF(D259="","",D259/SUM($D$258:$D$262))</f>
        <v/>
      </c>
      <c r="F259" s="1005" t="e">
        <f t="shared" ref="F259:F262" si="113">IF(J259="","$",IF(C259="当選","-",D259*100/MAX($D$258:$D$262)))</f>
        <v>#DIV/0!</v>
      </c>
      <c r="G259" s="1" t="s">
        <v>684</v>
      </c>
      <c r="H259" s="5">
        <v>58</v>
      </c>
      <c r="I259" s="2" t="s">
        <v>5</v>
      </c>
      <c r="J259" s="1" t="s">
        <v>15273</v>
      </c>
      <c r="K259" s="3"/>
      <c r="L259" s="1"/>
      <c r="M259" s="1"/>
      <c r="N259" s="4" t="s">
        <v>16120</v>
      </c>
      <c r="O259" s="1" t="s">
        <v>30</v>
      </c>
      <c r="P259" s="1" t="s">
        <v>6</v>
      </c>
      <c r="Q259" s="16"/>
      <c r="R259" s="17"/>
      <c r="S259" s="774" t="s">
        <v>5457</v>
      </c>
    </row>
    <row r="260" spans="1:19" ht="12" customHeight="1">
      <c r="A260" s="1040" t="str">
        <f t="shared" si="111"/>
        <v>061</v>
      </c>
      <c r="B260" s="4" t="s">
        <v>678</v>
      </c>
      <c r="C260" s="4"/>
      <c r="D260" s="1008"/>
      <c r="E260" s="1002" t="str">
        <f t="shared" si="112"/>
        <v/>
      </c>
      <c r="F260" s="1005" t="e">
        <f t="shared" si="113"/>
        <v>#DIV/0!</v>
      </c>
      <c r="G260" s="5" t="s">
        <v>886</v>
      </c>
      <c r="H260" s="5">
        <v>47</v>
      </c>
      <c r="I260" s="5" t="s">
        <v>19</v>
      </c>
      <c r="J260" s="1" t="s">
        <v>15273</v>
      </c>
      <c r="K260" s="7" t="s">
        <v>687</v>
      </c>
      <c r="L260" s="18"/>
      <c r="M260" s="19"/>
      <c r="N260" s="4" t="s">
        <v>16125</v>
      </c>
      <c r="O260" s="5"/>
      <c r="P260" s="5" t="s">
        <v>25</v>
      </c>
      <c r="Q260" s="9">
        <v>3</v>
      </c>
      <c r="R260" s="10">
        <v>3</v>
      </c>
      <c r="S260" s="774" t="s">
        <v>5561</v>
      </c>
    </row>
    <row r="261" spans="1:19" ht="12" customHeight="1">
      <c r="A261" s="1040" t="str">
        <f t="shared" si="111"/>
        <v>061</v>
      </c>
      <c r="B261" s="4" t="s">
        <v>679</v>
      </c>
      <c r="C261" s="4"/>
      <c r="D261" s="1008"/>
      <c r="E261" s="1002" t="str">
        <f t="shared" si="112"/>
        <v/>
      </c>
      <c r="F261" s="1005" t="e">
        <f t="shared" si="113"/>
        <v>#DIV/0!</v>
      </c>
      <c r="G261" s="1" t="s">
        <v>5355</v>
      </c>
      <c r="H261" s="5">
        <v>40</v>
      </c>
      <c r="I261" s="2" t="s">
        <v>5</v>
      </c>
      <c r="J261" s="1" t="s">
        <v>15273</v>
      </c>
      <c r="K261" s="3"/>
      <c r="L261" s="1"/>
      <c r="M261" s="1"/>
      <c r="N261" s="4" t="s">
        <v>16116</v>
      </c>
      <c r="O261" s="1" t="s">
        <v>18494</v>
      </c>
      <c r="P261" s="1" t="s">
        <v>6</v>
      </c>
      <c r="Q261" s="16"/>
      <c r="R261" s="17"/>
      <c r="S261" s="774" t="s">
        <v>6154</v>
      </c>
    </row>
    <row r="262" spans="1:19" ht="12" customHeight="1" thickBot="1">
      <c r="A262" s="916" t="str">
        <f t="shared" si="111"/>
        <v>061</v>
      </c>
      <c r="B262" s="700" t="s">
        <v>5354</v>
      </c>
      <c r="C262" s="700"/>
      <c r="D262" s="1009"/>
      <c r="E262" s="1003" t="str">
        <f t="shared" si="112"/>
        <v/>
      </c>
      <c r="F262" s="1041" t="str">
        <f t="shared" si="113"/>
        <v>$</v>
      </c>
      <c r="G262" s="906" t="s">
        <v>688</v>
      </c>
      <c r="H262" s="356">
        <v>62</v>
      </c>
      <c r="I262" s="702" t="s">
        <v>19</v>
      </c>
      <c r="J262" s="906"/>
      <c r="K262" s="703"/>
      <c r="L262" s="906"/>
      <c r="M262" s="906"/>
      <c r="N262" s="700" t="s">
        <v>16117</v>
      </c>
      <c r="O262" s="906"/>
      <c r="P262" s="906" t="s">
        <v>6</v>
      </c>
      <c r="Q262" s="705"/>
      <c r="R262" s="903"/>
      <c r="S262" s="793"/>
    </row>
    <row r="263" spans="1:19" ht="12" customHeight="1">
      <c r="A263" s="1038" t="str">
        <f t="shared" si="111"/>
        <v>062</v>
      </c>
      <c r="B263" s="688" t="s">
        <v>691</v>
      </c>
      <c r="C263" s="688"/>
      <c r="D263" s="1007"/>
      <c r="E263" s="1001" t="str">
        <f>IF(D263="","",D263/SUM($D$263:$D$267))</f>
        <v/>
      </c>
      <c r="F263" s="1004" t="e">
        <f>IF(J263="","$",IF(C263="当選","-",D263*100/MAX($D$263:$D$267)))</f>
        <v>#DIV/0!</v>
      </c>
      <c r="G263" s="690" t="s">
        <v>893</v>
      </c>
      <c r="H263" s="689">
        <v>40</v>
      </c>
      <c r="I263" s="690" t="s">
        <v>5</v>
      </c>
      <c r="J263" s="689" t="s">
        <v>15273</v>
      </c>
      <c r="K263" s="735" t="s">
        <v>694</v>
      </c>
      <c r="L263" s="736"/>
      <c r="M263" s="736"/>
      <c r="N263" s="692" t="s">
        <v>16127</v>
      </c>
      <c r="O263" s="690" t="s">
        <v>44</v>
      </c>
      <c r="P263" s="690" t="s">
        <v>25</v>
      </c>
      <c r="Q263" s="737">
        <v>1</v>
      </c>
      <c r="R263" s="738">
        <v>1</v>
      </c>
      <c r="S263" s="805" t="s">
        <v>736</v>
      </c>
    </row>
    <row r="264" spans="1:19" ht="12" customHeight="1">
      <c r="A264" s="1040" t="str">
        <f t="shared" si="111"/>
        <v>062</v>
      </c>
      <c r="B264" s="4" t="s">
        <v>692</v>
      </c>
      <c r="C264" s="4"/>
      <c r="D264" s="1008"/>
      <c r="E264" s="1002" t="str">
        <f t="shared" ref="E264:E267" si="114">IF(D264="","",D264/SUM($D$263:$D$267))</f>
        <v/>
      </c>
      <c r="F264" s="1005" t="e">
        <f t="shared" ref="F264:F267" si="115">IF(J264="","$",IF(C264="当選","-",D264*100/MAX($D$263:$D$267)))</f>
        <v>#DIV/0!</v>
      </c>
      <c r="G264" s="6" t="s">
        <v>884</v>
      </c>
      <c r="H264" s="5">
        <v>47</v>
      </c>
      <c r="I264" s="6" t="s">
        <v>5</v>
      </c>
      <c r="J264" s="6" t="s">
        <v>15273</v>
      </c>
      <c r="K264" s="12" t="s">
        <v>1305</v>
      </c>
      <c r="L264" s="19"/>
      <c r="M264" s="19"/>
      <c r="N264" s="8" t="s">
        <v>16120</v>
      </c>
      <c r="O264" s="6" t="s">
        <v>48</v>
      </c>
      <c r="P264" s="6" t="s">
        <v>25</v>
      </c>
      <c r="Q264" s="13">
        <v>3</v>
      </c>
      <c r="R264" s="14">
        <v>3</v>
      </c>
      <c r="S264" s="1044"/>
    </row>
    <row r="265" spans="1:19" ht="12" customHeight="1">
      <c r="A265" s="1040" t="str">
        <f t="shared" si="111"/>
        <v>062</v>
      </c>
      <c r="B265" s="4" t="s">
        <v>693</v>
      </c>
      <c r="C265" s="4"/>
      <c r="D265" s="1008"/>
      <c r="E265" s="1002" t="str">
        <f t="shared" si="114"/>
        <v/>
      </c>
      <c r="F265" s="1005" t="e">
        <f t="shared" si="115"/>
        <v>#DIV/0!</v>
      </c>
      <c r="G265" s="1" t="s">
        <v>15973</v>
      </c>
      <c r="H265" s="5">
        <v>55</v>
      </c>
      <c r="I265" s="2" t="s">
        <v>5</v>
      </c>
      <c r="J265" s="1" t="s">
        <v>15273</v>
      </c>
      <c r="K265" s="3"/>
      <c r="L265" s="1"/>
      <c r="M265" s="1"/>
      <c r="N265" s="4" t="s">
        <v>16125</v>
      </c>
      <c r="O265" s="1"/>
      <c r="P265" s="1" t="s">
        <v>6</v>
      </c>
      <c r="Q265" s="16"/>
      <c r="R265" s="17"/>
      <c r="S265" s="774" t="s">
        <v>5561</v>
      </c>
    </row>
    <row r="266" spans="1:19" ht="12" customHeight="1">
      <c r="A266" s="1040" t="str">
        <f t="shared" si="111"/>
        <v>062</v>
      </c>
      <c r="B266" s="4" t="s">
        <v>1074</v>
      </c>
      <c r="C266" s="4"/>
      <c r="D266" s="1008"/>
      <c r="E266" s="1002" t="str">
        <f t="shared" si="114"/>
        <v/>
      </c>
      <c r="F266" s="1005" t="e">
        <f t="shared" si="115"/>
        <v>#DIV/0!</v>
      </c>
      <c r="G266" s="1" t="s">
        <v>1075</v>
      </c>
      <c r="H266" s="5">
        <v>63</v>
      </c>
      <c r="I266" s="2" t="s">
        <v>5</v>
      </c>
      <c r="J266" s="1" t="s">
        <v>15273</v>
      </c>
      <c r="K266" s="3"/>
      <c r="L266" s="1"/>
      <c r="M266" s="1"/>
      <c r="N266" s="4" t="s">
        <v>16116</v>
      </c>
      <c r="O266" s="1" t="s">
        <v>276</v>
      </c>
      <c r="P266" s="1" t="s">
        <v>14</v>
      </c>
      <c r="Q266" s="16">
        <v>2</v>
      </c>
      <c r="R266" s="17">
        <v>2</v>
      </c>
      <c r="S266" s="774"/>
    </row>
    <row r="267" spans="1:19" ht="12" customHeight="1" thickBot="1">
      <c r="A267" s="916" t="str">
        <f t="shared" si="111"/>
        <v>062</v>
      </c>
      <c r="B267" s="700" t="s">
        <v>5788</v>
      </c>
      <c r="C267" s="700"/>
      <c r="D267" s="1009"/>
      <c r="E267" s="1003" t="str">
        <f t="shared" si="114"/>
        <v/>
      </c>
      <c r="F267" s="1041" t="str">
        <f t="shared" si="115"/>
        <v>$</v>
      </c>
      <c r="G267" s="906" t="s">
        <v>696</v>
      </c>
      <c r="H267" s="356">
        <v>41</v>
      </c>
      <c r="I267" s="702" t="s">
        <v>5</v>
      </c>
      <c r="J267" s="906"/>
      <c r="K267" s="703"/>
      <c r="L267" s="906"/>
      <c r="M267" s="906"/>
      <c r="N267" s="700" t="s">
        <v>16117</v>
      </c>
      <c r="O267" s="906"/>
      <c r="P267" s="906" t="s">
        <v>6</v>
      </c>
      <c r="Q267" s="705"/>
      <c r="R267" s="903"/>
      <c r="S267" s="793"/>
    </row>
    <row r="268" spans="1:19" ht="12" customHeight="1">
      <c r="A268" s="1038" t="str">
        <f t="shared" si="111"/>
        <v>063</v>
      </c>
      <c r="B268" s="688" t="s">
        <v>697</v>
      </c>
      <c r="C268" s="688"/>
      <c r="D268" s="1007"/>
      <c r="E268" s="1001" t="str">
        <f>IF(D268="","",D268/SUM($D$268:$D$272))</f>
        <v/>
      </c>
      <c r="F268" s="1004" t="e">
        <f>IF(J268="","$",IF(C268="当選","-",D268*100/MAX($D$268:$D$272)))</f>
        <v>#DIV/0!</v>
      </c>
      <c r="G268" s="690" t="s">
        <v>868</v>
      </c>
      <c r="H268" s="689">
        <v>64</v>
      </c>
      <c r="I268" s="690" t="s">
        <v>5</v>
      </c>
      <c r="J268" s="689" t="s">
        <v>15273</v>
      </c>
      <c r="K268" s="735" t="s">
        <v>700</v>
      </c>
      <c r="L268" s="736"/>
      <c r="M268" s="736"/>
      <c r="N268" s="692" t="s">
        <v>16126</v>
      </c>
      <c r="O268" s="690" t="s">
        <v>24</v>
      </c>
      <c r="P268" s="690" t="s">
        <v>25</v>
      </c>
      <c r="Q268" s="737">
        <v>4</v>
      </c>
      <c r="R268" s="738">
        <v>4</v>
      </c>
      <c r="S268" s="1042" t="s">
        <v>736</v>
      </c>
    </row>
    <row r="269" spans="1:19" ht="12" customHeight="1">
      <c r="A269" s="1040" t="str">
        <f t="shared" si="111"/>
        <v>063</v>
      </c>
      <c r="B269" s="4" t="s">
        <v>698</v>
      </c>
      <c r="C269" s="4"/>
      <c r="D269" s="1008"/>
      <c r="E269" s="1002" t="str">
        <f t="shared" ref="E269:E272" si="116">IF(D269="","",D269/SUM($D$268:$D$272))</f>
        <v/>
      </c>
      <c r="F269" s="1005" t="e">
        <f t="shared" ref="F269:F272" si="117">IF(J269="","$",IF(C269="当選","-",D269*100/MAX($D$268:$D$272)))</f>
        <v>#DIV/0!</v>
      </c>
      <c r="G269" s="1" t="s">
        <v>702</v>
      </c>
      <c r="H269" s="5">
        <v>39</v>
      </c>
      <c r="I269" s="2" t="s">
        <v>5</v>
      </c>
      <c r="J269" s="1" t="s">
        <v>15273</v>
      </c>
      <c r="K269" s="3"/>
      <c r="L269" s="1"/>
      <c r="M269" s="1"/>
      <c r="N269" s="4" t="s">
        <v>16120</v>
      </c>
      <c r="O269" s="1" t="s">
        <v>48</v>
      </c>
      <c r="P269" s="1" t="s">
        <v>14</v>
      </c>
      <c r="Q269" s="16">
        <v>1</v>
      </c>
      <c r="R269" s="17">
        <v>1</v>
      </c>
      <c r="S269" s="774" t="s">
        <v>5457</v>
      </c>
    </row>
    <row r="270" spans="1:19" ht="12" customHeight="1">
      <c r="A270" s="1040" t="str">
        <f t="shared" si="111"/>
        <v>063</v>
      </c>
      <c r="B270" s="4" t="s">
        <v>699</v>
      </c>
      <c r="C270" s="4"/>
      <c r="D270" s="1008"/>
      <c r="E270" s="1002" t="str">
        <f t="shared" si="116"/>
        <v/>
      </c>
      <c r="F270" s="1005" t="e">
        <f t="shared" si="117"/>
        <v>#DIV/0!</v>
      </c>
      <c r="G270" s="1" t="s">
        <v>5074</v>
      </c>
      <c r="H270" s="5">
        <v>49</v>
      </c>
      <c r="I270" s="2" t="s">
        <v>5</v>
      </c>
      <c r="J270" s="1" t="s">
        <v>15273</v>
      </c>
      <c r="K270" s="3"/>
      <c r="L270" s="1"/>
      <c r="M270" s="1"/>
      <c r="N270" s="4" t="s">
        <v>16125</v>
      </c>
      <c r="O270" s="1"/>
      <c r="P270" s="1" t="s">
        <v>6</v>
      </c>
      <c r="Q270" s="16"/>
      <c r="R270" s="17"/>
      <c r="S270" s="774" t="s">
        <v>5561</v>
      </c>
    </row>
    <row r="271" spans="1:19" ht="12" customHeight="1">
      <c r="A271" s="1040" t="str">
        <f t="shared" si="111"/>
        <v>063</v>
      </c>
      <c r="B271" s="4" t="s">
        <v>5073</v>
      </c>
      <c r="C271" s="4"/>
      <c r="D271" s="1008"/>
      <c r="E271" s="1002" t="str">
        <f t="shared" si="116"/>
        <v/>
      </c>
      <c r="F271" s="1005" t="e">
        <f t="shared" si="117"/>
        <v>#DIV/0!</v>
      </c>
      <c r="G271" s="1" t="s">
        <v>6143</v>
      </c>
      <c r="H271" s="5">
        <v>45</v>
      </c>
      <c r="I271" s="2" t="s">
        <v>5</v>
      </c>
      <c r="J271" s="1" t="s">
        <v>15273</v>
      </c>
      <c r="K271" s="3"/>
      <c r="L271" s="1"/>
      <c r="M271" s="1"/>
      <c r="N271" s="4" t="s">
        <v>16116</v>
      </c>
      <c r="O271" s="1" t="s">
        <v>18494</v>
      </c>
      <c r="P271" s="1" t="s">
        <v>6</v>
      </c>
      <c r="Q271" s="16"/>
      <c r="R271" s="17"/>
      <c r="S271" s="774" t="s">
        <v>6154</v>
      </c>
    </row>
    <row r="272" spans="1:19" ht="12" customHeight="1" thickBot="1">
      <c r="A272" s="916" t="str">
        <f t="shared" si="111"/>
        <v>063</v>
      </c>
      <c r="B272" s="700" t="s">
        <v>5356</v>
      </c>
      <c r="C272" s="700"/>
      <c r="D272" s="1009"/>
      <c r="E272" s="1003" t="str">
        <f t="shared" si="116"/>
        <v/>
      </c>
      <c r="F272" s="1041" t="str">
        <f t="shared" si="117"/>
        <v>$</v>
      </c>
      <c r="G272" s="906" t="s">
        <v>704</v>
      </c>
      <c r="H272" s="356">
        <v>48</v>
      </c>
      <c r="I272" s="702" t="s">
        <v>5</v>
      </c>
      <c r="J272" s="906"/>
      <c r="K272" s="703"/>
      <c r="L272" s="906"/>
      <c r="M272" s="906"/>
      <c r="N272" s="700" t="s">
        <v>16117</v>
      </c>
      <c r="O272" s="906"/>
      <c r="P272" s="906" t="s">
        <v>6</v>
      </c>
      <c r="Q272" s="705"/>
      <c r="R272" s="903"/>
      <c r="S272" s="793"/>
    </row>
    <row r="273" spans="1:19" ht="12" customHeight="1">
      <c r="A273" s="1038" t="str">
        <f t="shared" si="111"/>
        <v>064</v>
      </c>
      <c r="B273" s="688" t="s">
        <v>707</v>
      </c>
      <c r="C273" s="688"/>
      <c r="D273" s="1007"/>
      <c r="E273" s="1001" t="str">
        <f>IF(D273="","",D273/SUM($D$273:$D$277))</f>
        <v/>
      </c>
      <c r="F273" s="1004" t="e">
        <f>IF(J273="","$",IF(C273="当選","-",D273*100/MAX($D$273:$D$277)))</f>
        <v>#DIV/0!</v>
      </c>
      <c r="G273" s="687" t="s">
        <v>5554</v>
      </c>
      <c r="H273" s="689">
        <v>39</v>
      </c>
      <c r="I273" s="696" t="s">
        <v>5</v>
      </c>
      <c r="J273" s="689" t="s">
        <v>15273</v>
      </c>
      <c r="K273" s="747"/>
      <c r="L273" s="687"/>
      <c r="M273" s="687"/>
      <c r="N273" s="692" t="s">
        <v>16127</v>
      </c>
      <c r="O273" s="687" t="s">
        <v>44</v>
      </c>
      <c r="P273" s="687" t="s">
        <v>6</v>
      </c>
      <c r="Q273" s="748"/>
      <c r="R273" s="749"/>
      <c r="S273" s="805"/>
    </row>
    <row r="274" spans="1:19" ht="12" customHeight="1">
      <c r="A274" s="1040" t="str">
        <f t="shared" si="111"/>
        <v>064</v>
      </c>
      <c r="B274" s="4" t="s">
        <v>708</v>
      </c>
      <c r="C274" s="4"/>
      <c r="D274" s="1008"/>
      <c r="E274" s="1002" t="str">
        <f t="shared" ref="E274:E277" si="118">IF(D274="","",D274/SUM($D$273:$D$277))</f>
        <v/>
      </c>
      <c r="F274" s="1005" t="e">
        <f t="shared" ref="F274:F277" si="119">IF(J274="","$",IF(C274="当選","-",D274*100/MAX($D$273:$D$277)))</f>
        <v>#DIV/0!</v>
      </c>
      <c r="G274" s="1" t="s">
        <v>712</v>
      </c>
      <c r="H274" s="5">
        <v>64</v>
      </c>
      <c r="I274" s="2" t="s">
        <v>5</v>
      </c>
      <c r="J274" s="1" t="s">
        <v>15273</v>
      </c>
      <c r="K274" s="3"/>
      <c r="L274" s="1"/>
      <c r="M274" s="1"/>
      <c r="N274" s="4" t="s">
        <v>16120</v>
      </c>
      <c r="O274" s="1" t="s">
        <v>13</v>
      </c>
      <c r="P274" s="1" t="s">
        <v>14</v>
      </c>
      <c r="Q274" s="16">
        <v>4</v>
      </c>
      <c r="R274" s="17">
        <v>4</v>
      </c>
      <c r="S274" s="774" t="s">
        <v>5457</v>
      </c>
    </row>
    <row r="275" spans="1:19" ht="12" customHeight="1">
      <c r="A275" s="1040" t="str">
        <f t="shared" si="111"/>
        <v>064</v>
      </c>
      <c r="B275" s="4" t="s">
        <v>709</v>
      </c>
      <c r="C275" s="4"/>
      <c r="D275" s="1008"/>
      <c r="E275" s="1002" t="str">
        <f t="shared" si="118"/>
        <v/>
      </c>
      <c r="F275" s="1005" t="e">
        <f t="shared" si="119"/>
        <v>#DIV/0!</v>
      </c>
      <c r="G275" s="6" t="s">
        <v>895</v>
      </c>
      <c r="H275" s="5">
        <v>62</v>
      </c>
      <c r="I275" s="6" t="s">
        <v>5</v>
      </c>
      <c r="J275" s="1" t="s">
        <v>15273</v>
      </c>
      <c r="K275" s="12" t="s">
        <v>715</v>
      </c>
      <c r="L275" s="19"/>
      <c r="M275" s="19"/>
      <c r="N275" s="4" t="s">
        <v>16125</v>
      </c>
      <c r="O275" s="6"/>
      <c r="P275" s="6" t="s">
        <v>25</v>
      </c>
      <c r="Q275" s="13">
        <v>2</v>
      </c>
      <c r="R275" s="14">
        <v>2</v>
      </c>
      <c r="S275" s="774" t="s">
        <v>5561</v>
      </c>
    </row>
    <row r="276" spans="1:19" ht="12" customHeight="1">
      <c r="A276" s="1040" t="str">
        <f t="shared" si="111"/>
        <v>064</v>
      </c>
      <c r="B276" s="4" t="s">
        <v>710</v>
      </c>
      <c r="C276" s="4"/>
      <c r="D276" s="1008"/>
      <c r="E276" s="1002" t="str">
        <f t="shared" si="118"/>
        <v/>
      </c>
      <c r="F276" s="1005" t="e">
        <f t="shared" si="119"/>
        <v>#DIV/0!</v>
      </c>
      <c r="G276" s="1" t="s">
        <v>720</v>
      </c>
      <c r="H276" s="5">
        <v>57</v>
      </c>
      <c r="I276" s="2" t="s">
        <v>5</v>
      </c>
      <c r="J276" s="1" t="s">
        <v>15273</v>
      </c>
      <c r="K276" s="3"/>
      <c r="L276" s="1"/>
      <c r="M276" s="1"/>
      <c r="N276" s="4" t="s">
        <v>16116</v>
      </c>
      <c r="O276" s="1" t="s">
        <v>18494</v>
      </c>
      <c r="P276" s="1" t="s">
        <v>6</v>
      </c>
      <c r="Q276" s="16"/>
      <c r="R276" s="17"/>
      <c r="S276" s="774"/>
    </row>
    <row r="277" spans="1:19" ht="12" customHeight="1" thickBot="1">
      <c r="A277" s="916" t="str">
        <f t="shared" si="111"/>
        <v>064</v>
      </c>
      <c r="B277" s="700" t="s">
        <v>711</v>
      </c>
      <c r="C277" s="700"/>
      <c r="D277" s="1009"/>
      <c r="E277" s="1003" t="str">
        <f t="shared" si="118"/>
        <v/>
      </c>
      <c r="F277" s="1041" t="str">
        <f t="shared" si="119"/>
        <v>$</v>
      </c>
      <c r="G277" s="906" t="s">
        <v>717</v>
      </c>
      <c r="H277" s="356">
        <v>63</v>
      </c>
      <c r="I277" s="702" t="s">
        <v>5</v>
      </c>
      <c r="J277" s="906"/>
      <c r="K277" s="703"/>
      <c r="L277" s="906"/>
      <c r="M277" s="906"/>
      <c r="N277" s="700" t="s">
        <v>16117</v>
      </c>
      <c r="O277" s="906"/>
      <c r="P277" s="906" t="s">
        <v>6</v>
      </c>
      <c r="Q277" s="705"/>
      <c r="R277" s="903"/>
      <c r="S277" s="793"/>
    </row>
    <row r="278" spans="1:19" ht="12" customHeight="1">
      <c r="A278" s="1038" t="str">
        <f t="shared" si="111"/>
        <v>065</v>
      </c>
      <c r="B278" s="688" t="s">
        <v>723</v>
      </c>
      <c r="C278" s="688"/>
      <c r="D278" s="1007"/>
      <c r="E278" s="1001" t="str">
        <f>IF(D278="","",D278/SUM($D$278:$D$280))</f>
        <v/>
      </c>
      <c r="F278" s="1004" t="e">
        <f>IF(J278="","$",IF(C278="当選","-",D278*100/MAX($D$278:$D$280)))</f>
        <v>#DIV/0!</v>
      </c>
      <c r="G278" s="687" t="s">
        <v>726</v>
      </c>
      <c r="H278" s="689">
        <v>37</v>
      </c>
      <c r="I278" s="696" t="s">
        <v>5</v>
      </c>
      <c r="J278" s="687" t="s">
        <v>15273</v>
      </c>
      <c r="K278" s="747"/>
      <c r="L278" s="687"/>
      <c r="M278" s="687"/>
      <c r="N278" s="692" t="s">
        <v>16120</v>
      </c>
      <c r="O278" s="687" t="s">
        <v>30</v>
      </c>
      <c r="P278" s="687" t="s">
        <v>6</v>
      </c>
      <c r="Q278" s="748"/>
      <c r="R278" s="749"/>
      <c r="S278" s="805"/>
    </row>
    <row r="279" spans="1:19" ht="12" customHeight="1">
      <c r="A279" s="1040" t="str">
        <f t="shared" si="111"/>
        <v>065</v>
      </c>
      <c r="B279" s="4" t="s">
        <v>724</v>
      </c>
      <c r="C279" s="4"/>
      <c r="D279" s="1008"/>
      <c r="E279" s="1002" t="str">
        <f t="shared" ref="E279:E280" si="120">IF(D279="","",D279/SUM($D$278:$D$280))</f>
        <v/>
      </c>
      <c r="F279" s="1005" t="str">
        <f t="shared" ref="F279:F280" si="121">IF(J279="","$",IF(C279="当選","-",D279*100/MAX($D$278:$D$280)))</f>
        <v>$</v>
      </c>
      <c r="G279" s="1" t="s">
        <v>728</v>
      </c>
      <c r="H279" s="5">
        <v>28</v>
      </c>
      <c r="I279" s="2" t="s">
        <v>5</v>
      </c>
      <c r="J279" s="1"/>
      <c r="K279" s="3"/>
      <c r="L279" s="1"/>
      <c r="M279" s="1"/>
      <c r="N279" s="4" t="s">
        <v>16117</v>
      </c>
      <c r="O279" s="1"/>
      <c r="P279" s="1" t="s">
        <v>6</v>
      </c>
      <c r="Q279" s="16"/>
      <c r="R279" s="17"/>
      <c r="S279" s="774"/>
    </row>
    <row r="280" spans="1:19" ht="12" customHeight="1" thickBot="1">
      <c r="A280" s="916" t="str">
        <f t="shared" si="111"/>
        <v>065</v>
      </c>
      <c r="B280" s="700" t="s">
        <v>725</v>
      </c>
      <c r="C280" s="700"/>
      <c r="D280" s="1009"/>
      <c r="E280" s="1003" t="str">
        <f t="shared" si="120"/>
        <v/>
      </c>
      <c r="F280" s="1041" t="str">
        <f t="shared" si="121"/>
        <v>$</v>
      </c>
      <c r="G280" s="701" t="s">
        <v>889</v>
      </c>
      <c r="H280" s="356">
        <v>60</v>
      </c>
      <c r="I280" s="701" t="s">
        <v>5</v>
      </c>
      <c r="J280" s="701"/>
      <c r="K280" s="740" t="s">
        <v>731</v>
      </c>
      <c r="L280" s="741"/>
      <c r="M280" s="741"/>
      <c r="N280" s="700" t="s">
        <v>16129</v>
      </c>
      <c r="O280" s="701" t="s">
        <v>97</v>
      </c>
      <c r="P280" s="701" t="s">
        <v>25</v>
      </c>
      <c r="Q280" s="742">
        <v>3</v>
      </c>
      <c r="R280" s="743">
        <v>3</v>
      </c>
      <c r="S280" s="793"/>
    </row>
    <row r="281" spans="1:19" ht="12" customHeight="1">
      <c r="A281" s="1038" t="str">
        <f t="shared" si="111"/>
        <v>066</v>
      </c>
      <c r="B281" s="688" t="s">
        <v>732</v>
      </c>
      <c r="C281" s="688"/>
      <c r="D281" s="1007"/>
      <c r="E281" s="1001" t="str">
        <f>IF(D281="","",D281/SUM($D$281:$D$286))</f>
        <v/>
      </c>
      <c r="F281" s="1004" t="e">
        <f>IF(J281="","$",IF(C281="当選","-",D281*100/MAX($D$281:$D$286)))</f>
        <v>#DIV/0!</v>
      </c>
      <c r="G281" s="687" t="s">
        <v>938</v>
      </c>
      <c r="H281" s="689">
        <v>48</v>
      </c>
      <c r="I281" s="696" t="s">
        <v>5</v>
      </c>
      <c r="J281" s="689" t="s">
        <v>15273</v>
      </c>
      <c r="K281" s="747" t="s">
        <v>939</v>
      </c>
      <c r="L281" s="687"/>
      <c r="M281" s="687"/>
      <c r="N281" s="692" t="s">
        <v>16127</v>
      </c>
      <c r="O281" s="687" t="s">
        <v>24</v>
      </c>
      <c r="P281" s="687" t="s">
        <v>25</v>
      </c>
      <c r="Q281" s="748">
        <v>2</v>
      </c>
      <c r="R281" s="749">
        <v>2</v>
      </c>
      <c r="S281" s="805" t="s">
        <v>736</v>
      </c>
    </row>
    <row r="282" spans="1:19" ht="12" customHeight="1">
      <c r="A282" s="1040" t="str">
        <f t="shared" si="111"/>
        <v>066</v>
      </c>
      <c r="B282" s="4" t="s">
        <v>733</v>
      </c>
      <c r="C282" s="4"/>
      <c r="D282" s="1008"/>
      <c r="E282" s="1002" t="str">
        <f t="shared" ref="E282:E286" si="122">IF(D282="","",D282/SUM($D$281:$D$286))</f>
        <v/>
      </c>
      <c r="F282" s="1005" t="e">
        <f t="shared" ref="F282:F286" si="123">IF(J282="","$",IF(C282="当選","-",D282*100/MAX($D$281:$D$286)))</f>
        <v>#DIV/0!</v>
      </c>
      <c r="G282" s="1" t="s">
        <v>944</v>
      </c>
      <c r="H282" s="5">
        <v>36</v>
      </c>
      <c r="I282" s="2" t="s">
        <v>5</v>
      </c>
      <c r="J282" s="1" t="s">
        <v>15273</v>
      </c>
      <c r="K282" s="3"/>
      <c r="L282" s="1"/>
      <c r="M282" s="1"/>
      <c r="N282" s="4" t="s">
        <v>16120</v>
      </c>
      <c r="O282" s="1" t="s">
        <v>30</v>
      </c>
      <c r="P282" s="1" t="s">
        <v>6</v>
      </c>
      <c r="Q282" s="16"/>
      <c r="R282" s="17"/>
      <c r="S282" s="774" t="s">
        <v>5457</v>
      </c>
    </row>
    <row r="283" spans="1:19" ht="12" customHeight="1">
      <c r="A283" s="1040" t="str">
        <f t="shared" si="111"/>
        <v>066</v>
      </c>
      <c r="B283" s="4" t="s">
        <v>15974</v>
      </c>
      <c r="C283" s="4"/>
      <c r="D283" s="1008"/>
      <c r="E283" s="1002" t="str">
        <f t="shared" si="122"/>
        <v/>
      </c>
      <c r="F283" s="1005" t="e">
        <f t="shared" si="123"/>
        <v>#DIV/0!</v>
      </c>
      <c r="G283" s="1" t="s">
        <v>948</v>
      </c>
      <c r="H283" s="5">
        <v>44</v>
      </c>
      <c r="I283" s="2" t="s">
        <v>5</v>
      </c>
      <c r="J283" s="1" t="s">
        <v>15273</v>
      </c>
      <c r="K283" s="3"/>
      <c r="L283" s="1"/>
      <c r="M283" s="1"/>
      <c r="N283" s="4" t="s">
        <v>18495</v>
      </c>
      <c r="O283" s="1"/>
      <c r="P283" s="1" t="s">
        <v>6</v>
      </c>
      <c r="Q283" s="16"/>
      <c r="R283" s="17"/>
      <c r="S283" s="774" t="s">
        <v>16096</v>
      </c>
    </row>
    <row r="284" spans="1:19" ht="12" customHeight="1">
      <c r="A284" s="1040" t="str">
        <f t="shared" si="111"/>
        <v>066</v>
      </c>
      <c r="B284" s="4" t="s">
        <v>734</v>
      </c>
      <c r="C284" s="4"/>
      <c r="D284" s="1008"/>
      <c r="E284" s="1002" t="str">
        <f t="shared" si="122"/>
        <v/>
      </c>
      <c r="F284" s="1005" t="str">
        <f t="shared" si="123"/>
        <v>$</v>
      </c>
      <c r="G284" s="1" t="s">
        <v>945</v>
      </c>
      <c r="H284" s="5">
        <v>59</v>
      </c>
      <c r="I284" s="2" t="s">
        <v>5</v>
      </c>
      <c r="J284" s="1"/>
      <c r="K284" s="3"/>
      <c r="L284" s="1"/>
      <c r="M284" s="1"/>
      <c r="N284" s="4" t="s">
        <v>16117</v>
      </c>
      <c r="O284" s="1"/>
      <c r="P284" s="1" t="s">
        <v>6</v>
      </c>
      <c r="Q284" s="16"/>
      <c r="R284" s="17"/>
      <c r="S284" s="774"/>
    </row>
    <row r="285" spans="1:19" ht="12" customHeight="1">
      <c r="A285" s="1040" t="str">
        <f t="shared" si="111"/>
        <v>066</v>
      </c>
      <c r="B285" s="4" t="s">
        <v>735</v>
      </c>
      <c r="C285" s="4"/>
      <c r="D285" s="1008"/>
      <c r="E285" s="1002" t="str">
        <f t="shared" si="122"/>
        <v/>
      </c>
      <c r="F285" s="1005" t="str">
        <f t="shared" si="123"/>
        <v>$</v>
      </c>
      <c r="G285" s="1" t="s">
        <v>15975</v>
      </c>
      <c r="H285" s="5">
        <v>94</v>
      </c>
      <c r="I285" s="2" t="s">
        <v>5</v>
      </c>
      <c r="J285" s="1"/>
      <c r="K285" s="3"/>
      <c r="L285" s="1"/>
      <c r="M285" s="1"/>
      <c r="N285" s="4" t="s">
        <v>16129</v>
      </c>
      <c r="O285" s="1"/>
      <c r="P285" s="1" t="s">
        <v>6</v>
      </c>
      <c r="Q285" s="16"/>
      <c r="R285" s="17"/>
      <c r="S285" s="774"/>
    </row>
    <row r="286" spans="1:19" ht="12" customHeight="1" thickBot="1">
      <c r="A286" s="916" t="str">
        <f t="shared" si="111"/>
        <v>066</v>
      </c>
      <c r="B286" s="700" t="s">
        <v>5789</v>
      </c>
      <c r="C286" s="700"/>
      <c r="D286" s="1009"/>
      <c r="E286" s="1003" t="str">
        <f t="shared" si="122"/>
        <v/>
      </c>
      <c r="F286" s="1041" t="str">
        <f t="shared" si="123"/>
        <v>$</v>
      </c>
      <c r="G286" s="906" t="s">
        <v>951</v>
      </c>
      <c r="H286" s="356">
        <v>38</v>
      </c>
      <c r="I286" s="702" t="s">
        <v>5</v>
      </c>
      <c r="J286" s="906"/>
      <c r="K286" s="703"/>
      <c r="L286" s="906"/>
      <c r="M286" s="906"/>
      <c r="N286" s="700" t="s">
        <v>16129</v>
      </c>
      <c r="O286" s="906" t="s">
        <v>97</v>
      </c>
      <c r="P286" s="906" t="s">
        <v>6</v>
      </c>
      <c r="Q286" s="705"/>
      <c r="R286" s="903"/>
      <c r="S286" s="793"/>
    </row>
    <row r="287" spans="1:19" ht="12" customHeight="1">
      <c r="A287" s="1038" t="str">
        <f t="shared" si="111"/>
        <v>067</v>
      </c>
      <c r="B287" s="688" t="s">
        <v>954</v>
      </c>
      <c r="C287" s="688"/>
      <c r="D287" s="1007"/>
      <c r="E287" s="1001" t="str">
        <f>IF(D287="","",D287/SUM($D$287:$D$291))</f>
        <v/>
      </c>
      <c r="F287" s="1004" t="e">
        <f>IF(J287="","$",IF(C287="当選","-",D287*100/MAX($D$287:$D$291)))</f>
        <v>#DIV/0!</v>
      </c>
      <c r="G287" s="687" t="s">
        <v>958</v>
      </c>
      <c r="H287" s="689">
        <v>37</v>
      </c>
      <c r="I287" s="696" t="s">
        <v>5</v>
      </c>
      <c r="J287" s="689" t="s">
        <v>15273</v>
      </c>
      <c r="K287" s="747" t="s">
        <v>959</v>
      </c>
      <c r="L287" s="687"/>
      <c r="M287" s="687"/>
      <c r="N287" s="692" t="s">
        <v>16126</v>
      </c>
      <c r="O287" s="687" t="s">
        <v>44</v>
      </c>
      <c r="P287" s="687" t="s">
        <v>25</v>
      </c>
      <c r="Q287" s="748">
        <v>1</v>
      </c>
      <c r="R287" s="749">
        <v>1</v>
      </c>
      <c r="S287" s="805" t="s">
        <v>736</v>
      </c>
    </row>
    <row r="288" spans="1:19" ht="12" customHeight="1">
      <c r="A288" s="1040" t="str">
        <f t="shared" si="111"/>
        <v>067</v>
      </c>
      <c r="B288" s="4" t="s">
        <v>955</v>
      </c>
      <c r="C288" s="4"/>
      <c r="D288" s="1008"/>
      <c r="E288" s="1002" t="str">
        <f t="shared" ref="E288:E291" si="124">IF(D288="","",D288/SUM($D$287:$D$291))</f>
        <v/>
      </c>
      <c r="F288" s="1005" t="e">
        <f t="shared" ref="F288:F291" si="125">IF(J288="","$",IF(C288="当選","-",D288*100/MAX($D$287:$D$291)))</f>
        <v>#DIV/0!</v>
      </c>
      <c r="G288" s="1" t="s">
        <v>962</v>
      </c>
      <c r="H288" s="5">
        <v>60</v>
      </c>
      <c r="I288" s="2" t="s">
        <v>19</v>
      </c>
      <c r="J288" s="1" t="s">
        <v>15273</v>
      </c>
      <c r="K288" s="3"/>
      <c r="L288" s="1"/>
      <c r="M288" s="1"/>
      <c r="N288" s="4" t="s">
        <v>16120</v>
      </c>
      <c r="O288" s="1" t="s">
        <v>30</v>
      </c>
      <c r="P288" s="1" t="s">
        <v>14</v>
      </c>
      <c r="Q288" s="16">
        <v>4</v>
      </c>
      <c r="R288" s="17">
        <v>4</v>
      </c>
      <c r="S288" s="774"/>
    </row>
    <row r="289" spans="1:19" ht="12" customHeight="1">
      <c r="A289" s="1040" t="str">
        <f t="shared" si="111"/>
        <v>067</v>
      </c>
      <c r="B289" s="4" t="s">
        <v>956</v>
      </c>
      <c r="C289" s="4"/>
      <c r="D289" s="1008"/>
      <c r="E289" s="1002" t="str">
        <f t="shared" si="124"/>
        <v/>
      </c>
      <c r="F289" s="1005" t="e">
        <f t="shared" si="125"/>
        <v>#DIV/0!</v>
      </c>
      <c r="G289" s="1" t="s">
        <v>5358</v>
      </c>
      <c r="H289" s="5">
        <v>35</v>
      </c>
      <c r="I289" s="2" t="s">
        <v>5</v>
      </c>
      <c r="J289" s="1" t="s">
        <v>15273</v>
      </c>
      <c r="K289" s="3"/>
      <c r="L289" s="1"/>
      <c r="M289" s="1"/>
      <c r="N289" s="4" t="s">
        <v>16116</v>
      </c>
      <c r="O289" s="1" t="s">
        <v>18494</v>
      </c>
      <c r="P289" s="1" t="s">
        <v>6</v>
      </c>
      <c r="Q289" s="16"/>
      <c r="R289" s="17"/>
      <c r="S289" s="774"/>
    </row>
    <row r="290" spans="1:19" ht="12" customHeight="1">
      <c r="A290" s="1040" t="str">
        <f t="shared" si="111"/>
        <v>067</v>
      </c>
      <c r="B290" s="4" t="s">
        <v>957</v>
      </c>
      <c r="C290" s="4"/>
      <c r="D290" s="1008"/>
      <c r="E290" s="1002" t="str">
        <f t="shared" si="124"/>
        <v/>
      </c>
      <c r="F290" s="1005" t="e">
        <f t="shared" si="125"/>
        <v>#DIV/0!</v>
      </c>
      <c r="G290" s="1" t="s">
        <v>969</v>
      </c>
      <c r="H290" s="5">
        <v>49</v>
      </c>
      <c r="I290" s="2" t="s">
        <v>5</v>
      </c>
      <c r="J290" s="1" t="s">
        <v>15273</v>
      </c>
      <c r="K290" s="3"/>
      <c r="L290" s="1"/>
      <c r="M290" s="1"/>
      <c r="N290" s="4" t="s">
        <v>18495</v>
      </c>
      <c r="O290" s="1"/>
      <c r="P290" s="1" t="s">
        <v>6</v>
      </c>
      <c r="Q290" s="16"/>
      <c r="R290" s="17"/>
      <c r="S290" s="774"/>
    </row>
    <row r="291" spans="1:19" ht="12" customHeight="1" thickBot="1">
      <c r="A291" s="916" t="str">
        <f t="shared" si="111"/>
        <v>067</v>
      </c>
      <c r="B291" s="700" t="s">
        <v>5357</v>
      </c>
      <c r="C291" s="700"/>
      <c r="D291" s="1009"/>
      <c r="E291" s="1003" t="str">
        <f t="shared" si="124"/>
        <v/>
      </c>
      <c r="F291" s="1041" t="str">
        <f t="shared" si="125"/>
        <v>$</v>
      </c>
      <c r="G291" s="906" t="s">
        <v>965</v>
      </c>
      <c r="H291" s="356">
        <v>52</v>
      </c>
      <c r="I291" s="702" t="s">
        <v>19</v>
      </c>
      <c r="J291" s="906"/>
      <c r="K291" s="703"/>
      <c r="L291" s="906"/>
      <c r="M291" s="906"/>
      <c r="N291" s="700" t="s">
        <v>16117</v>
      </c>
      <c r="O291" s="906"/>
      <c r="P291" s="906" t="s">
        <v>6</v>
      </c>
      <c r="Q291" s="705"/>
      <c r="R291" s="903"/>
      <c r="S291" s="793"/>
    </row>
    <row r="292" spans="1:19" ht="12" customHeight="1">
      <c r="A292" s="1038" t="str">
        <f t="shared" si="111"/>
        <v>068</v>
      </c>
      <c r="B292" s="688" t="s">
        <v>971</v>
      </c>
      <c r="C292" s="688"/>
      <c r="D292" s="1007"/>
      <c r="E292" s="1001" t="str">
        <f>IF(D292="","",D292/SUM($D$292:$D$296))</f>
        <v/>
      </c>
      <c r="F292" s="1004" t="e">
        <f>IF(J292="","$",IF(C292="当選","-",D292*100/MAX($D$292:$D$296)))</f>
        <v>#DIV/0!</v>
      </c>
      <c r="G292" s="687" t="s">
        <v>975</v>
      </c>
      <c r="H292" s="689">
        <v>45</v>
      </c>
      <c r="I292" s="696" t="s">
        <v>5</v>
      </c>
      <c r="J292" s="689" t="s">
        <v>15273</v>
      </c>
      <c r="K292" s="747" t="s">
        <v>976</v>
      </c>
      <c r="L292" s="687"/>
      <c r="M292" s="687"/>
      <c r="N292" s="692" t="s">
        <v>16127</v>
      </c>
      <c r="O292" s="687" t="s">
        <v>44</v>
      </c>
      <c r="P292" s="687" t="s">
        <v>25</v>
      </c>
      <c r="Q292" s="748">
        <v>2</v>
      </c>
      <c r="R292" s="749">
        <v>2</v>
      </c>
      <c r="S292" s="805" t="s">
        <v>736</v>
      </c>
    </row>
    <row r="293" spans="1:19" ht="12" customHeight="1">
      <c r="A293" s="1040" t="str">
        <f t="shared" si="111"/>
        <v>068</v>
      </c>
      <c r="B293" s="4" t="s">
        <v>972</v>
      </c>
      <c r="C293" s="4"/>
      <c r="D293" s="1008"/>
      <c r="E293" s="1002" t="str">
        <f t="shared" ref="E293:E296" si="126">IF(D293="","",D293/SUM($D$292:$D$296))</f>
        <v/>
      </c>
      <c r="F293" s="1005" t="e">
        <f t="shared" ref="F293:F296" si="127">IF(J293="","$",IF(C293="当選","-",D293*100/MAX($D$292:$D$296)))</f>
        <v>#DIV/0!</v>
      </c>
      <c r="G293" s="1" t="s">
        <v>979</v>
      </c>
      <c r="H293" s="5">
        <v>57</v>
      </c>
      <c r="I293" s="2" t="s">
        <v>5</v>
      </c>
      <c r="J293" s="1" t="s">
        <v>15273</v>
      </c>
      <c r="K293" s="3"/>
      <c r="L293" s="1"/>
      <c r="M293" s="1"/>
      <c r="N293" s="8" t="s">
        <v>16120</v>
      </c>
      <c r="O293" s="1" t="s">
        <v>48</v>
      </c>
      <c r="P293" s="1" t="s">
        <v>6</v>
      </c>
      <c r="Q293" s="16"/>
      <c r="R293" s="17"/>
      <c r="S293" s="774" t="s">
        <v>5457</v>
      </c>
    </row>
    <row r="294" spans="1:19" ht="12" customHeight="1">
      <c r="A294" s="1040" t="str">
        <f t="shared" si="111"/>
        <v>068</v>
      </c>
      <c r="B294" s="4" t="s">
        <v>973</v>
      </c>
      <c r="C294" s="4"/>
      <c r="D294" s="1008"/>
      <c r="E294" s="1002" t="str">
        <f t="shared" si="126"/>
        <v/>
      </c>
      <c r="F294" s="1005" t="e">
        <f t="shared" si="127"/>
        <v>#DIV/0!</v>
      </c>
      <c r="G294" s="1" t="s">
        <v>985</v>
      </c>
      <c r="H294" s="5">
        <v>50</v>
      </c>
      <c r="I294" s="2" t="s">
        <v>5</v>
      </c>
      <c r="J294" s="1" t="s">
        <v>15273</v>
      </c>
      <c r="K294" s="3"/>
      <c r="L294" s="1"/>
      <c r="M294" s="1"/>
      <c r="N294" s="4" t="s">
        <v>16116</v>
      </c>
      <c r="O294" s="1" t="s">
        <v>276</v>
      </c>
      <c r="P294" s="1" t="s">
        <v>6</v>
      </c>
      <c r="Q294" s="16"/>
      <c r="R294" s="17"/>
      <c r="S294" s="774" t="s">
        <v>6154</v>
      </c>
    </row>
    <row r="295" spans="1:19" ht="12" customHeight="1">
      <c r="A295" s="1040" t="str">
        <f t="shared" si="111"/>
        <v>068</v>
      </c>
      <c r="B295" s="4" t="s">
        <v>974</v>
      </c>
      <c r="C295" s="4"/>
      <c r="D295" s="1008"/>
      <c r="E295" s="1002" t="str">
        <f t="shared" si="126"/>
        <v/>
      </c>
      <c r="F295" s="1005" t="str">
        <f t="shared" si="127"/>
        <v>$</v>
      </c>
      <c r="G295" s="1" t="s">
        <v>982</v>
      </c>
      <c r="H295" s="5">
        <v>56</v>
      </c>
      <c r="I295" s="2" t="s">
        <v>5</v>
      </c>
      <c r="J295" s="1"/>
      <c r="K295" s="3"/>
      <c r="L295" s="1"/>
      <c r="M295" s="1"/>
      <c r="N295" s="4" t="s">
        <v>16117</v>
      </c>
      <c r="O295" s="1"/>
      <c r="P295" s="1" t="s">
        <v>6</v>
      </c>
      <c r="Q295" s="16"/>
      <c r="R295" s="17"/>
      <c r="S295" s="774"/>
    </row>
    <row r="296" spans="1:19" ht="12" customHeight="1" thickBot="1">
      <c r="A296" s="916" t="str">
        <f t="shared" si="111"/>
        <v>068</v>
      </c>
      <c r="B296" s="700" t="s">
        <v>15978</v>
      </c>
      <c r="C296" s="700"/>
      <c r="D296" s="1009"/>
      <c r="E296" s="1003" t="str">
        <f t="shared" si="126"/>
        <v/>
      </c>
      <c r="F296" s="1041" t="str">
        <f t="shared" si="127"/>
        <v>$</v>
      </c>
      <c r="G296" s="906" t="s">
        <v>15979</v>
      </c>
      <c r="H296" s="356">
        <v>65</v>
      </c>
      <c r="I296" s="702" t="s">
        <v>5</v>
      </c>
      <c r="J296" s="906"/>
      <c r="K296" s="703"/>
      <c r="L296" s="906"/>
      <c r="M296" s="906"/>
      <c r="N296" s="704" t="s">
        <v>16129</v>
      </c>
      <c r="O296" s="906"/>
      <c r="P296" s="906" t="s">
        <v>6</v>
      </c>
      <c r="Q296" s="705"/>
      <c r="R296" s="903"/>
      <c r="S296" s="793"/>
    </row>
    <row r="297" spans="1:19" ht="12" customHeight="1">
      <c r="A297" s="1038" t="str">
        <f t="shared" si="111"/>
        <v>069</v>
      </c>
      <c r="B297" s="688" t="s">
        <v>987</v>
      </c>
      <c r="C297" s="688"/>
      <c r="D297" s="1007"/>
      <c r="E297" s="1001" t="str">
        <f>IF(D297="","",D297/SUM($D$297:$D$301))</f>
        <v/>
      </c>
      <c r="F297" s="1004" t="e">
        <f>IF(J297="","$",IF(C297="当選","-",D297*100/MAX($D$297:$D$301)))</f>
        <v>#DIV/0!</v>
      </c>
      <c r="G297" s="687" t="s">
        <v>992</v>
      </c>
      <c r="H297" s="689">
        <v>42</v>
      </c>
      <c r="I297" s="696" t="s">
        <v>5</v>
      </c>
      <c r="J297" s="689" t="s">
        <v>15273</v>
      </c>
      <c r="K297" s="747" t="s">
        <v>993</v>
      </c>
      <c r="L297" s="687"/>
      <c r="M297" s="687"/>
      <c r="N297" s="692" t="s">
        <v>16127</v>
      </c>
      <c r="O297" s="687" t="s">
        <v>737</v>
      </c>
      <c r="P297" s="687" t="s">
        <v>25</v>
      </c>
      <c r="Q297" s="748">
        <v>3</v>
      </c>
      <c r="R297" s="749">
        <v>3</v>
      </c>
      <c r="S297" s="805" t="s">
        <v>736</v>
      </c>
    </row>
    <row r="298" spans="1:19" ht="12" customHeight="1">
      <c r="A298" s="1040" t="str">
        <f t="shared" si="111"/>
        <v>069</v>
      </c>
      <c r="B298" s="4" t="s">
        <v>988</v>
      </c>
      <c r="C298" s="4"/>
      <c r="D298" s="1008"/>
      <c r="E298" s="1002" t="str">
        <f>IF(D298="","",D298/SUM($D$297:$D$301))</f>
        <v/>
      </c>
      <c r="F298" s="1005" t="e">
        <f>IF(J298="","$",IF(C298="当選","-",D298*100/MAX($D$297:$D$301)))</f>
        <v>#DIV/0!</v>
      </c>
      <c r="G298" s="1" t="s">
        <v>998</v>
      </c>
      <c r="H298" s="5">
        <v>49</v>
      </c>
      <c r="I298" s="2" t="s">
        <v>5</v>
      </c>
      <c r="J298" s="1" t="s">
        <v>15273</v>
      </c>
      <c r="K298" s="3"/>
      <c r="L298" s="1"/>
      <c r="M298" s="1"/>
      <c r="N298" s="4" t="s">
        <v>16120</v>
      </c>
      <c r="O298" s="1" t="s">
        <v>30</v>
      </c>
      <c r="P298" s="1" t="s">
        <v>14</v>
      </c>
      <c r="Q298" s="16">
        <v>1</v>
      </c>
      <c r="R298" s="17">
        <v>1</v>
      </c>
      <c r="S298" s="774" t="s">
        <v>5457</v>
      </c>
    </row>
    <row r="299" spans="1:19" ht="12" customHeight="1">
      <c r="A299" s="1040" t="str">
        <f t="shared" si="111"/>
        <v>069</v>
      </c>
      <c r="B299" s="4" t="s">
        <v>989</v>
      </c>
      <c r="C299" s="4"/>
      <c r="D299" s="1008"/>
      <c r="E299" s="1002" t="str">
        <f>IF(D299="","",D299/SUM($D$297:$D$301))</f>
        <v/>
      </c>
      <c r="F299" s="1005" t="e">
        <f>IF(J299="","$",IF(C299="当選","-",D299*100/MAX($D$297:$D$301)))</f>
        <v>#DIV/0!</v>
      </c>
      <c r="G299" s="1" t="s">
        <v>5732</v>
      </c>
      <c r="H299" s="5">
        <v>48</v>
      </c>
      <c r="I299" s="2" t="s">
        <v>19</v>
      </c>
      <c r="J299" s="1" t="s">
        <v>15273</v>
      </c>
      <c r="K299" s="3"/>
      <c r="L299" s="1"/>
      <c r="M299" s="1"/>
      <c r="N299" s="4" t="s">
        <v>16125</v>
      </c>
      <c r="O299" s="1"/>
      <c r="P299" s="1" t="s">
        <v>6</v>
      </c>
      <c r="Q299" s="16"/>
      <c r="R299" s="17"/>
      <c r="S299" s="774" t="s">
        <v>5561</v>
      </c>
    </row>
    <row r="300" spans="1:19" ht="12" customHeight="1">
      <c r="A300" s="1040" t="str">
        <f t="shared" si="111"/>
        <v>069</v>
      </c>
      <c r="B300" s="4" t="s">
        <v>990</v>
      </c>
      <c r="C300" s="4"/>
      <c r="D300" s="1008"/>
      <c r="E300" s="1002" t="str">
        <f>IF(D300="","",D300/SUM($D$297:$D$301))</f>
        <v/>
      </c>
      <c r="F300" s="1005" t="e">
        <f>IF(J300="","$",IF(C300="当選","-",D300*100/MAX($D$297:$D$301)))</f>
        <v>#DIV/0!</v>
      </c>
      <c r="G300" s="1" t="s">
        <v>1003</v>
      </c>
      <c r="H300" s="5">
        <v>43</v>
      </c>
      <c r="I300" s="2" t="s">
        <v>5</v>
      </c>
      <c r="J300" s="1" t="s">
        <v>15273</v>
      </c>
      <c r="K300" s="3"/>
      <c r="L300" s="1"/>
      <c r="M300" s="1"/>
      <c r="N300" s="4" t="s">
        <v>18495</v>
      </c>
      <c r="O300" s="1"/>
      <c r="P300" s="1" t="s">
        <v>6</v>
      </c>
      <c r="Q300" s="16"/>
      <c r="R300" s="17"/>
      <c r="S300" s="774" t="s">
        <v>6031</v>
      </c>
    </row>
    <row r="301" spans="1:19" ht="12" customHeight="1" thickBot="1">
      <c r="A301" s="916" t="str">
        <f t="shared" si="111"/>
        <v>069</v>
      </c>
      <c r="B301" s="700" t="s">
        <v>5731</v>
      </c>
      <c r="C301" s="700"/>
      <c r="D301" s="1009"/>
      <c r="E301" s="1003" t="str">
        <f>IF(D301="","",D301/SUM($D$297:$D$301))</f>
        <v/>
      </c>
      <c r="F301" s="1041" t="str">
        <f>IF(J301="","$",IF(C301="当選","-",D301*100/MAX($D$297:$D$301)))</f>
        <v>$</v>
      </c>
      <c r="G301" s="906" t="s">
        <v>1000</v>
      </c>
      <c r="H301" s="356">
        <v>37</v>
      </c>
      <c r="I301" s="702" t="s">
        <v>5</v>
      </c>
      <c r="J301" s="906"/>
      <c r="K301" s="703"/>
      <c r="L301" s="906"/>
      <c r="M301" s="906"/>
      <c r="N301" s="700" t="s">
        <v>16117</v>
      </c>
      <c r="O301" s="906"/>
      <c r="P301" s="906" t="s">
        <v>6</v>
      </c>
      <c r="Q301" s="705"/>
      <c r="R301" s="903"/>
      <c r="S301" s="793"/>
    </row>
    <row r="302" spans="1:19" ht="12" customHeight="1">
      <c r="A302" s="1038" t="str">
        <f t="shared" si="111"/>
        <v>070</v>
      </c>
      <c r="B302" s="688" t="s">
        <v>1006</v>
      </c>
      <c r="C302" s="688"/>
      <c r="D302" s="1007"/>
      <c r="E302" s="1001" t="str">
        <f>IF(D302="","",D302/SUM($D$302:$D$306))</f>
        <v/>
      </c>
      <c r="F302" s="1004" t="e">
        <f>IF(J302="","$",IF(C302="当選","-",D302*100/MAX($D$302:$D$306)))</f>
        <v>#DIV/0!</v>
      </c>
      <c r="G302" s="687" t="s">
        <v>1013</v>
      </c>
      <c r="H302" s="687">
        <v>51</v>
      </c>
      <c r="I302" s="696" t="s">
        <v>5</v>
      </c>
      <c r="J302" s="689" t="s">
        <v>15273</v>
      </c>
      <c r="K302" s="747" t="s">
        <v>1014</v>
      </c>
      <c r="L302" s="687"/>
      <c r="M302" s="687"/>
      <c r="N302" s="692" t="s">
        <v>16126</v>
      </c>
      <c r="O302" s="687" t="s">
        <v>44</v>
      </c>
      <c r="P302" s="687" t="s">
        <v>25</v>
      </c>
      <c r="Q302" s="748">
        <v>3</v>
      </c>
      <c r="R302" s="749">
        <v>3</v>
      </c>
      <c r="S302" s="805" t="s">
        <v>736</v>
      </c>
    </row>
    <row r="303" spans="1:19" ht="12" customHeight="1">
      <c r="A303" s="1040" t="str">
        <f t="shared" si="111"/>
        <v>070</v>
      </c>
      <c r="B303" s="4" t="s">
        <v>1010</v>
      </c>
      <c r="C303" s="4"/>
      <c r="D303" s="1008"/>
      <c r="E303" s="1002" t="str">
        <f t="shared" ref="E303:E306" si="128">IF(D303="","",D303/SUM($D$302:$D$306))</f>
        <v/>
      </c>
      <c r="F303" s="1005" t="e">
        <f t="shared" ref="F303:F306" si="129">IF(J303="","$",IF(C303="当選","-",D303*100/MAX($D$302:$D$306)))</f>
        <v>#DIV/0!</v>
      </c>
      <c r="G303" s="1" t="s">
        <v>1018</v>
      </c>
      <c r="H303" s="1">
        <v>48</v>
      </c>
      <c r="I303" s="2" t="s">
        <v>5</v>
      </c>
      <c r="J303" s="1" t="s">
        <v>15273</v>
      </c>
      <c r="K303" s="3"/>
      <c r="L303" s="1"/>
      <c r="M303" s="1"/>
      <c r="N303" s="4" t="s">
        <v>16120</v>
      </c>
      <c r="O303" s="1" t="s">
        <v>30</v>
      </c>
      <c r="P303" s="1" t="s">
        <v>6</v>
      </c>
      <c r="Q303" s="16"/>
      <c r="R303" s="17"/>
      <c r="S303" s="774" t="s">
        <v>5457</v>
      </c>
    </row>
    <row r="304" spans="1:19" ht="12" customHeight="1">
      <c r="A304" s="1040" t="str">
        <f t="shared" si="111"/>
        <v>070</v>
      </c>
      <c r="B304" s="4" t="s">
        <v>1011</v>
      </c>
      <c r="C304" s="4"/>
      <c r="D304" s="1008"/>
      <c r="E304" s="1002" t="str">
        <f t="shared" si="128"/>
        <v/>
      </c>
      <c r="F304" s="1005" t="e">
        <f t="shared" si="129"/>
        <v>#DIV/0!</v>
      </c>
      <c r="G304" s="1" t="s">
        <v>5360</v>
      </c>
      <c r="H304" s="1">
        <v>36</v>
      </c>
      <c r="I304" s="2" t="s">
        <v>5</v>
      </c>
      <c r="J304" s="1" t="s">
        <v>15273</v>
      </c>
      <c r="K304" s="3"/>
      <c r="L304" s="1"/>
      <c r="M304" s="1"/>
      <c r="N304" s="4" t="s">
        <v>16116</v>
      </c>
      <c r="O304" s="1" t="s">
        <v>18494</v>
      </c>
      <c r="P304" s="1" t="s">
        <v>6</v>
      </c>
      <c r="Q304" s="16"/>
      <c r="R304" s="17"/>
      <c r="S304" s="774"/>
    </row>
    <row r="305" spans="1:19" ht="12" customHeight="1">
      <c r="A305" s="1040" t="str">
        <f t="shared" si="111"/>
        <v>070</v>
      </c>
      <c r="B305" s="4" t="s">
        <v>1012</v>
      </c>
      <c r="C305" s="4"/>
      <c r="D305" s="1008"/>
      <c r="E305" s="1002" t="str">
        <f t="shared" si="128"/>
        <v/>
      </c>
      <c r="F305" s="1005" t="e">
        <f t="shared" si="129"/>
        <v>#DIV/0!</v>
      </c>
      <c r="G305" s="1" t="s">
        <v>1021</v>
      </c>
      <c r="H305" s="1">
        <v>38</v>
      </c>
      <c r="I305" s="2" t="s">
        <v>5</v>
      </c>
      <c r="J305" s="1" t="s">
        <v>15273</v>
      </c>
      <c r="K305" s="3"/>
      <c r="L305" s="1"/>
      <c r="M305" s="1"/>
      <c r="N305" s="4" t="s">
        <v>18495</v>
      </c>
      <c r="O305" s="1"/>
      <c r="P305" s="1" t="s">
        <v>6</v>
      </c>
      <c r="Q305" s="16"/>
      <c r="R305" s="17"/>
      <c r="S305" s="774"/>
    </row>
    <row r="306" spans="1:19" ht="12" customHeight="1" thickBot="1">
      <c r="A306" s="916" t="str">
        <f t="shared" si="111"/>
        <v>070</v>
      </c>
      <c r="B306" s="700" t="s">
        <v>5359</v>
      </c>
      <c r="C306" s="700"/>
      <c r="D306" s="1009"/>
      <c r="E306" s="1003" t="str">
        <f t="shared" si="128"/>
        <v/>
      </c>
      <c r="F306" s="1041" t="str">
        <f t="shared" si="129"/>
        <v>$</v>
      </c>
      <c r="G306" s="906" t="s">
        <v>5179</v>
      </c>
      <c r="H306" s="906">
        <v>36</v>
      </c>
      <c r="I306" s="702" t="s">
        <v>5</v>
      </c>
      <c r="J306" s="906"/>
      <c r="K306" s="703"/>
      <c r="L306" s="906"/>
      <c r="M306" s="906"/>
      <c r="N306" s="700" t="s">
        <v>16117</v>
      </c>
      <c r="O306" s="906"/>
      <c r="P306" s="906" t="s">
        <v>6</v>
      </c>
      <c r="Q306" s="705"/>
      <c r="R306" s="903"/>
      <c r="S306" s="793"/>
    </row>
    <row r="307" spans="1:19" ht="12" customHeight="1">
      <c r="A307" s="1038" t="str">
        <f t="shared" si="111"/>
        <v>071</v>
      </c>
      <c r="B307" s="688" t="s">
        <v>1024</v>
      </c>
      <c r="C307" s="688"/>
      <c r="D307" s="1007"/>
      <c r="E307" s="1001" t="str">
        <f>IF(D307="","",D307/SUM($D$307:$D$311))</f>
        <v/>
      </c>
      <c r="F307" s="1004" t="e">
        <f>IF(J307="","$",IF(C307="当選","-",D307*100/MAX($D$307:$D$311)))</f>
        <v>#DIV/0!</v>
      </c>
      <c r="G307" s="687" t="s">
        <v>5824</v>
      </c>
      <c r="H307" s="687">
        <v>53</v>
      </c>
      <c r="I307" s="696" t="s">
        <v>5</v>
      </c>
      <c r="J307" s="689" t="s">
        <v>15273</v>
      </c>
      <c r="K307" s="747"/>
      <c r="L307" s="687"/>
      <c r="M307" s="687"/>
      <c r="N307" s="692" t="s">
        <v>16127</v>
      </c>
      <c r="O307" s="687" t="s">
        <v>44</v>
      </c>
      <c r="P307" s="687" t="s">
        <v>6</v>
      </c>
      <c r="Q307" s="748"/>
      <c r="R307" s="749"/>
      <c r="S307" s="805" t="s">
        <v>736</v>
      </c>
    </row>
    <row r="308" spans="1:19" ht="12" customHeight="1">
      <c r="A308" s="1040" t="str">
        <f t="shared" si="111"/>
        <v>071</v>
      </c>
      <c r="B308" s="4" t="s">
        <v>1025</v>
      </c>
      <c r="C308" s="4"/>
      <c r="D308" s="1008"/>
      <c r="E308" s="1002" t="str">
        <f t="shared" ref="E308:E311" si="130">IF(D308="","",D308/SUM($D$307:$D$311))</f>
        <v/>
      </c>
      <c r="F308" s="1005" t="e">
        <f t="shared" ref="F308:F311" si="131">IF(J308="","$",IF(C308="当選","-",D308*100/MAX($D$307:$D$311)))</f>
        <v>#DIV/0!</v>
      </c>
      <c r="G308" s="1" t="s">
        <v>1029</v>
      </c>
      <c r="H308" s="1">
        <v>38</v>
      </c>
      <c r="I308" s="2" t="s">
        <v>5</v>
      </c>
      <c r="J308" s="1" t="s">
        <v>15273</v>
      </c>
      <c r="K308" s="3"/>
      <c r="L308" s="1"/>
      <c r="M308" s="1"/>
      <c r="N308" s="8" t="s">
        <v>16120</v>
      </c>
      <c r="O308" s="1" t="s">
        <v>30</v>
      </c>
      <c r="P308" s="1" t="s">
        <v>6</v>
      </c>
      <c r="Q308" s="16"/>
      <c r="R308" s="17"/>
      <c r="S308" s="774" t="s">
        <v>5457</v>
      </c>
    </row>
    <row r="309" spans="1:19" ht="12" customHeight="1">
      <c r="A309" s="1040" t="str">
        <f t="shared" si="111"/>
        <v>071</v>
      </c>
      <c r="B309" s="4" t="s">
        <v>1026</v>
      </c>
      <c r="C309" s="4"/>
      <c r="D309" s="1008"/>
      <c r="E309" s="1002" t="str">
        <f t="shared" si="130"/>
        <v/>
      </c>
      <c r="F309" s="1005" t="e">
        <f t="shared" si="131"/>
        <v>#DIV/0!</v>
      </c>
      <c r="G309" s="1" t="s">
        <v>1035</v>
      </c>
      <c r="H309" s="1">
        <v>53</v>
      </c>
      <c r="I309" s="2" t="s">
        <v>5</v>
      </c>
      <c r="J309" s="1" t="s">
        <v>15273</v>
      </c>
      <c r="K309" s="3" t="s">
        <v>1040</v>
      </c>
      <c r="L309" s="1"/>
      <c r="M309" s="1"/>
      <c r="N309" s="4" t="s">
        <v>16125</v>
      </c>
      <c r="O309" s="1"/>
      <c r="P309" s="1" t="s">
        <v>25</v>
      </c>
      <c r="Q309" s="16">
        <v>1</v>
      </c>
      <c r="R309" s="17">
        <v>1</v>
      </c>
      <c r="S309" s="774" t="s">
        <v>5561</v>
      </c>
    </row>
    <row r="310" spans="1:19" ht="12" customHeight="1">
      <c r="A310" s="1040" t="str">
        <f t="shared" si="111"/>
        <v>071</v>
      </c>
      <c r="B310" s="4" t="s">
        <v>1027</v>
      </c>
      <c r="C310" s="4"/>
      <c r="D310" s="1008"/>
      <c r="E310" s="1002" t="str">
        <f t="shared" si="130"/>
        <v/>
      </c>
      <c r="F310" s="1005" t="e">
        <f t="shared" si="131"/>
        <v>#DIV/0!</v>
      </c>
      <c r="G310" s="1" t="s">
        <v>1034</v>
      </c>
      <c r="H310" s="1">
        <v>44</v>
      </c>
      <c r="I310" s="2" t="s">
        <v>5</v>
      </c>
      <c r="J310" s="1" t="s">
        <v>15273</v>
      </c>
      <c r="K310" s="3"/>
      <c r="L310" s="1"/>
      <c r="M310" s="1"/>
      <c r="N310" s="4" t="s">
        <v>16116</v>
      </c>
      <c r="O310" s="1" t="s">
        <v>6154</v>
      </c>
      <c r="P310" s="1" t="s">
        <v>6</v>
      </c>
      <c r="Q310" s="16"/>
      <c r="R310" s="17"/>
      <c r="S310" s="774"/>
    </row>
    <row r="311" spans="1:19" ht="12" customHeight="1" thickBot="1">
      <c r="A311" s="916" t="str">
        <f t="shared" si="111"/>
        <v>071</v>
      </c>
      <c r="B311" s="700" t="s">
        <v>1028</v>
      </c>
      <c r="C311" s="700"/>
      <c r="D311" s="1009"/>
      <c r="E311" s="1003" t="str">
        <f t="shared" si="130"/>
        <v/>
      </c>
      <c r="F311" s="1041" t="str">
        <f t="shared" si="131"/>
        <v>$</v>
      </c>
      <c r="G311" s="906" t="s">
        <v>1031</v>
      </c>
      <c r="H311" s="906">
        <v>35</v>
      </c>
      <c r="I311" s="702" t="s">
        <v>5</v>
      </c>
      <c r="J311" s="906"/>
      <c r="K311" s="703"/>
      <c r="L311" s="906"/>
      <c r="M311" s="906"/>
      <c r="N311" s="700" t="s">
        <v>16117</v>
      </c>
      <c r="O311" s="906"/>
      <c r="P311" s="906" t="s">
        <v>6</v>
      </c>
      <c r="Q311" s="705"/>
      <c r="R311" s="903"/>
      <c r="S311" s="793"/>
    </row>
    <row r="312" spans="1:19" ht="12" customHeight="1">
      <c r="A312" s="1038" t="str">
        <f t="shared" si="111"/>
        <v>072</v>
      </c>
      <c r="B312" s="688" t="s">
        <v>1039</v>
      </c>
      <c r="C312" s="688"/>
      <c r="D312" s="1007"/>
      <c r="E312" s="1001" t="str">
        <f>IF(D312="","",D312/SUM($D$312:$D$317))</f>
        <v/>
      </c>
      <c r="F312" s="1004" t="e">
        <f>IF(J312="","$",IF(C312="当選","-",D312*100/MAX($D$312:$D$317)))</f>
        <v>#DIV/0!</v>
      </c>
      <c r="G312" s="687" t="s">
        <v>1441</v>
      </c>
      <c r="H312" s="687">
        <v>30</v>
      </c>
      <c r="I312" s="696" t="s">
        <v>19</v>
      </c>
      <c r="J312" s="689" t="s">
        <v>15273</v>
      </c>
      <c r="K312" s="747"/>
      <c r="L312" s="687"/>
      <c r="M312" s="687"/>
      <c r="N312" s="692" t="s">
        <v>16127</v>
      </c>
      <c r="O312" s="687" t="s">
        <v>44</v>
      </c>
      <c r="P312" s="687" t="s">
        <v>6</v>
      </c>
      <c r="Q312" s="748"/>
      <c r="R312" s="749"/>
      <c r="S312" s="805" t="s">
        <v>736</v>
      </c>
    </row>
    <row r="313" spans="1:19" ht="12" customHeight="1">
      <c r="A313" s="1040" t="str">
        <f t="shared" si="111"/>
        <v>072</v>
      </c>
      <c r="B313" s="4" t="s">
        <v>1041</v>
      </c>
      <c r="C313" s="4"/>
      <c r="D313" s="1008"/>
      <c r="E313" s="1002" t="str">
        <f t="shared" ref="E313:E317" si="132">IF(D313="","",D313/SUM($D$312:$D$317))</f>
        <v/>
      </c>
      <c r="F313" s="1005" t="e">
        <f t="shared" ref="F313:F317" si="133">IF(J313="","$",IF(C313="当選","-",D313*100/MAX($D$312:$D$317)))</f>
        <v>#DIV/0!</v>
      </c>
      <c r="G313" s="1" t="s">
        <v>1044</v>
      </c>
      <c r="H313" s="1">
        <v>50</v>
      </c>
      <c r="I313" s="2" t="s">
        <v>5</v>
      </c>
      <c r="J313" s="1" t="s">
        <v>15273</v>
      </c>
      <c r="K313" s="3" t="s">
        <v>1045</v>
      </c>
      <c r="L313" s="1"/>
      <c r="M313" s="1"/>
      <c r="N313" s="4" t="s">
        <v>16120</v>
      </c>
      <c r="O313" s="1" t="s">
        <v>48</v>
      </c>
      <c r="P313" s="1" t="s">
        <v>25</v>
      </c>
      <c r="Q313" s="16">
        <v>4</v>
      </c>
      <c r="R313" s="17">
        <v>4</v>
      </c>
      <c r="S313" s="774" t="s">
        <v>5457</v>
      </c>
    </row>
    <row r="314" spans="1:19" ht="12" customHeight="1">
      <c r="A314" s="1040" t="str">
        <f t="shared" si="111"/>
        <v>072</v>
      </c>
      <c r="B314" s="4" t="s">
        <v>1042</v>
      </c>
      <c r="C314" s="4"/>
      <c r="D314" s="1008"/>
      <c r="E314" s="1002" t="str">
        <f t="shared" si="132"/>
        <v/>
      </c>
      <c r="F314" s="1005" t="e">
        <f t="shared" si="133"/>
        <v>#DIV/0!</v>
      </c>
      <c r="G314" s="1" t="s">
        <v>1048</v>
      </c>
      <c r="H314" s="1">
        <v>55</v>
      </c>
      <c r="I314" s="2" t="s">
        <v>5</v>
      </c>
      <c r="J314" s="1" t="s">
        <v>15273</v>
      </c>
      <c r="K314" s="3" t="s">
        <v>1049</v>
      </c>
      <c r="L314" s="1"/>
      <c r="M314" s="1"/>
      <c r="N314" s="4" t="s">
        <v>16125</v>
      </c>
      <c r="O314" s="1"/>
      <c r="P314" s="1" t="s">
        <v>25</v>
      </c>
      <c r="Q314" s="16">
        <v>2</v>
      </c>
      <c r="R314" s="17">
        <v>2</v>
      </c>
      <c r="S314" s="774" t="s">
        <v>5561</v>
      </c>
    </row>
    <row r="315" spans="1:19" ht="12" customHeight="1">
      <c r="A315" s="1040" t="str">
        <f t="shared" si="111"/>
        <v>072</v>
      </c>
      <c r="B315" s="4" t="s">
        <v>1043</v>
      </c>
      <c r="C315" s="4"/>
      <c r="D315" s="1008"/>
      <c r="E315" s="1002" t="str">
        <f t="shared" si="132"/>
        <v/>
      </c>
      <c r="F315" s="1005" t="e">
        <f t="shared" si="133"/>
        <v>#DIV/0!</v>
      </c>
      <c r="G315" s="1" t="s">
        <v>5622</v>
      </c>
      <c r="H315" s="1">
        <v>49</v>
      </c>
      <c r="I315" s="2" t="s">
        <v>5</v>
      </c>
      <c r="J315" s="1" t="s">
        <v>15273</v>
      </c>
      <c r="K315" s="3"/>
      <c r="L315" s="1"/>
      <c r="M315" s="1"/>
      <c r="N315" s="4" t="s">
        <v>16116</v>
      </c>
      <c r="O315" s="1" t="s">
        <v>18494</v>
      </c>
      <c r="P315" s="1" t="s">
        <v>6</v>
      </c>
      <c r="Q315" s="16"/>
      <c r="R315" s="17"/>
      <c r="S315" s="774" t="s">
        <v>6154</v>
      </c>
    </row>
    <row r="316" spans="1:19" ht="12" customHeight="1">
      <c r="A316" s="1040" t="str">
        <f t="shared" si="111"/>
        <v>072</v>
      </c>
      <c r="B316" s="4" t="s">
        <v>5621</v>
      </c>
      <c r="C316" s="4"/>
      <c r="D316" s="1008"/>
      <c r="E316" s="1002" t="str">
        <f t="shared" si="132"/>
        <v/>
      </c>
      <c r="F316" s="1005" t="str">
        <f t="shared" si="133"/>
        <v>$</v>
      </c>
      <c r="G316" s="1" t="s">
        <v>1054</v>
      </c>
      <c r="H316" s="1">
        <v>67</v>
      </c>
      <c r="I316" s="2" t="s">
        <v>5</v>
      </c>
      <c r="J316" s="1"/>
      <c r="K316" s="3"/>
      <c r="L316" s="1"/>
      <c r="M316" s="1"/>
      <c r="N316" s="4" t="s">
        <v>16117</v>
      </c>
      <c r="O316" s="1"/>
      <c r="P316" s="1" t="s">
        <v>6</v>
      </c>
      <c r="Q316" s="16"/>
      <c r="R316" s="17"/>
      <c r="S316" s="774"/>
    </row>
    <row r="317" spans="1:19" ht="12" customHeight="1" thickBot="1">
      <c r="A317" s="916" t="str">
        <f t="shared" si="111"/>
        <v>072</v>
      </c>
      <c r="B317" s="700" t="s">
        <v>5987</v>
      </c>
      <c r="C317" s="700"/>
      <c r="D317" s="1009"/>
      <c r="E317" s="1003" t="str">
        <f t="shared" si="132"/>
        <v/>
      </c>
      <c r="F317" s="1041" t="str">
        <f t="shared" si="133"/>
        <v>$</v>
      </c>
      <c r="G317" s="906" t="s">
        <v>5988</v>
      </c>
      <c r="H317" s="906">
        <v>62</v>
      </c>
      <c r="I317" s="702" t="s">
        <v>19</v>
      </c>
      <c r="J317" s="906"/>
      <c r="K317" s="703"/>
      <c r="L317" s="906"/>
      <c r="M317" s="906"/>
      <c r="N317" s="700" t="s">
        <v>16129</v>
      </c>
      <c r="O317" s="906"/>
      <c r="P317" s="906" t="s">
        <v>6</v>
      </c>
      <c r="Q317" s="705"/>
      <c r="R317" s="903"/>
      <c r="S317" s="793"/>
    </row>
    <row r="318" spans="1:19" ht="12" customHeight="1">
      <c r="A318" s="1038" t="str">
        <f t="shared" si="111"/>
        <v>073</v>
      </c>
      <c r="B318" s="688" t="s">
        <v>1057</v>
      </c>
      <c r="C318" s="688"/>
      <c r="D318" s="1007"/>
      <c r="E318" s="1001" t="str">
        <f>IF(D318="","",D318/SUM($D$318:$D$321))</f>
        <v/>
      </c>
      <c r="F318" s="1004" t="e">
        <f>IF(J318="","$",IF(C318="当選","-",D318*100/MAX($D$318:$D$321)))</f>
        <v>#DIV/0!</v>
      </c>
      <c r="G318" s="687" t="s">
        <v>1061</v>
      </c>
      <c r="H318" s="687">
        <v>55</v>
      </c>
      <c r="I318" s="696" t="s">
        <v>5</v>
      </c>
      <c r="J318" s="689" t="s">
        <v>15273</v>
      </c>
      <c r="K318" s="747" t="s">
        <v>1062</v>
      </c>
      <c r="L318" s="687"/>
      <c r="M318" s="687"/>
      <c r="N318" s="692" t="s">
        <v>16126</v>
      </c>
      <c r="O318" s="687" t="s">
        <v>604</v>
      </c>
      <c r="P318" s="687" t="s">
        <v>25</v>
      </c>
      <c r="Q318" s="748">
        <v>5</v>
      </c>
      <c r="R318" s="749">
        <v>5</v>
      </c>
      <c r="S318" s="805" t="s">
        <v>736</v>
      </c>
    </row>
    <row r="319" spans="1:19" ht="12" customHeight="1">
      <c r="A319" s="1040" t="str">
        <f t="shared" si="111"/>
        <v>073</v>
      </c>
      <c r="B319" s="4" t="s">
        <v>1058</v>
      </c>
      <c r="C319" s="4"/>
      <c r="D319" s="1008"/>
      <c r="E319" s="1002" t="str">
        <f t="shared" ref="E319:E321" si="134">IF(D319="","",D319/SUM($D$318:$D$321))</f>
        <v/>
      </c>
      <c r="F319" s="1005" t="e">
        <f t="shared" ref="F319:F321" si="135">IF(J319="","$",IF(C319="当選","-",D319*100/MAX($D$318:$D$321)))</f>
        <v>#DIV/0!</v>
      </c>
      <c r="G319" s="1" t="s">
        <v>1066</v>
      </c>
      <c r="H319" s="1">
        <v>44</v>
      </c>
      <c r="I319" s="2" t="s">
        <v>5</v>
      </c>
      <c r="J319" s="1" t="s">
        <v>15273</v>
      </c>
      <c r="K319" s="3"/>
      <c r="L319" s="1"/>
      <c r="M319" s="1"/>
      <c r="N319" s="4" t="s">
        <v>16120</v>
      </c>
      <c r="O319" s="1" t="s">
        <v>30</v>
      </c>
      <c r="P319" s="1" t="s">
        <v>14</v>
      </c>
      <c r="Q319" s="16">
        <v>1</v>
      </c>
      <c r="R319" s="17">
        <v>1</v>
      </c>
      <c r="S319" s="774"/>
    </row>
    <row r="320" spans="1:19" ht="12" customHeight="1">
      <c r="A320" s="1040" t="str">
        <f t="shared" si="111"/>
        <v>073</v>
      </c>
      <c r="B320" s="4" t="s">
        <v>1059</v>
      </c>
      <c r="C320" s="4"/>
      <c r="D320" s="1008"/>
      <c r="E320" s="1002" t="str">
        <f t="shared" si="134"/>
        <v/>
      </c>
      <c r="F320" s="1005" t="e">
        <f t="shared" si="135"/>
        <v>#DIV/0!</v>
      </c>
      <c r="G320" s="1" t="s">
        <v>879</v>
      </c>
      <c r="H320" s="1">
        <v>47</v>
      </c>
      <c r="I320" s="2" t="s">
        <v>19</v>
      </c>
      <c r="J320" s="1" t="s">
        <v>15273</v>
      </c>
      <c r="K320" s="12" t="s">
        <v>1299</v>
      </c>
      <c r="L320" s="19"/>
      <c r="M320" s="19"/>
      <c r="N320" s="4" t="s">
        <v>16125</v>
      </c>
      <c r="O320" s="6"/>
      <c r="P320" s="6" t="s">
        <v>25</v>
      </c>
      <c r="Q320" s="13">
        <v>1</v>
      </c>
      <c r="R320" s="14">
        <v>1</v>
      </c>
      <c r="S320" s="1044" t="s">
        <v>5561</v>
      </c>
    </row>
    <row r="321" spans="1:19" ht="12" customHeight="1" thickBot="1">
      <c r="A321" s="916" t="str">
        <f t="shared" si="111"/>
        <v>073</v>
      </c>
      <c r="B321" s="700" t="s">
        <v>1060</v>
      </c>
      <c r="C321" s="700"/>
      <c r="D321" s="1009"/>
      <c r="E321" s="1003" t="str">
        <f t="shared" si="134"/>
        <v/>
      </c>
      <c r="F321" s="1041" t="e">
        <f t="shared" si="135"/>
        <v>#DIV/0!</v>
      </c>
      <c r="G321" s="906" t="s">
        <v>1069</v>
      </c>
      <c r="H321" s="906">
        <v>38</v>
      </c>
      <c r="I321" s="702" t="s">
        <v>19</v>
      </c>
      <c r="J321" s="906" t="s">
        <v>15273</v>
      </c>
      <c r="K321" s="703"/>
      <c r="L321" s="906"/>
      <c r="M321" s="906"/>
      <c r="N321" s="700" t="s">
        <v>16117</v>
      </c>
      <c r="O321" s="906"/>
      <c r="P321" s="906" t="s">
        <v>6</v>
      </c>
      <c r="Q321" s="705"/>
      <c r="R321" s="903"/>
      <c r="S321" s="793"/>
    </row>
    <row r="322" spans="1:19" ht="12" customHeight="1">
      <c r="A322" s="1038" t="str">
        <f t="shared" si="111"/>
        <v>074</v>
      </c>
      <c r="B322" s="688" t="s">
        <v>1083</v>
      </c>
      <c r="C322" s="688"/>
      <c r="D322" s="1007"/>
      <c r="E322" s="1001" t="str">
        <f>IF(D322="","",D322/SUM($D$322:$D$328))</f>
        <v/>
      </c>
      <c r="F322" s="1004" t="e">
        <f>IF(J322="","$",IF(C322="当選","-",D322*100/MAX($D$322:$D$328)))</f>
        <v>#DIV/0!</v>
      </c>
      <c r="G322" s="687" t="s">
        <v>1087</v>
      </c>
      <c r="H322" s="687">
        <v>38</v>
      </c>
      <c r="I322" s="696" t="s">
        <v>5</v>
      </c>
      <c r="J322" s="689" t="s">
        <v>15273</v>
      </c>
      <c r="K322" s="747" t="s">
        <v>1088</v>
      </c>
      <c r="L322" s="687"/>
      <c r="M322" s="687"/>
      <c r="N322" s="692" t="s">
        <v>16127</v>
      </c>
      <c r="O322" s="687" t="s">
        <v>44</v>
      </c>
      <c r="P322" s="687" t="s">
        <v>25</v>
      </c>
      <c r="Q322" s="748">
        <v>2</v>
      </c>
      <c r="R322" s="749">
        <v>2</v>
      </c>
      <c r="S322" s="805" t="s">
        <v>736</v>
      </c>
    </row>
    <row r="323" spans="1:19" ht="12" customHeight="1">
      <c r="A323" s="1040" t="str">
        <f t="shared" ref="A323:A386" si="136">MIDB(B323,1,3)</f>
        <v>074</v>
      </c>
      <c r="B323" s="4" t="s">
        <v>1084</v>
      </c>
      <c r="C323" s="4"/>
      <c r="D323" s="1008"/>
      <c r="E323" s="1002" t="str">
        <f t="shared" ref="E323:E328" si="137">IF(D323="","",D323/SUM($D$322:$D$328))</f>
        <v/>
      </c>
      <c r="F323" s="1005" t="e">
        <f t="shared" ref="F323:F328" si="138">IF(J323="","$",IF(C323="当選","-",D323*100/MAX($D$322:$D$328)))</f>
        <v>#DIV/0!</v>
      </c>
      <c r="G323" s="1" t="s">
        <v>1093</v>
      </c>
      <c r="H323" s="1">
        <v>40</v>
      </c>
      <c r="I323" s="2" t="s">
        <v>5</v>
      </c>
      <c r="J323" s="1" t="s">
        <v>15273</v>
      </c>
      <c r="K323" s="3"/>
      <c r="L323" s="1"/>
      <c r="M323" s="1"/>
      <c r="N323" s="8" t="s">
        <v>16120</v>
      </c>
      <c r="O323" s="1" t="s">
        <v>445</v>
      </c>
      <c r="P323" s="1" t="s">
        <v>14</v>
      </c>
      <c r="Q323" s="16">
        <v>1</v>
      </c>
      <c r="R323" s="17">
        <v>1</v>
      </c>
      <c r="S323" s="774" t="s">
        <v>5457</v>
      </c>
    </row>
    <row r="324" spans="1:19" ht="12" customHeight="1">
      <c r="A324" s="1040" t="str">
        <f t="shared" si="136"/>
        <v>074</v>
      </c>
      <c r="B324" s="4" t="s">
        <v>1085</v>
      </c>
      <c r="C324" s="4"/>
      <c r="D324" s="1008"/>
      <c r="E324" s="1002" t="str">
        <f t="shared" si="137"/>
        <v/>
      </c>
      <c r="F324" s="1005" t="e">
        <f t="shared" si="138"/>
        <v>#DIV/0!</v>
      </c>
      <c r="G324" s="1" t="s">
        <v>5534</v>
      </c>
      <c r="H324" s="1">
        <v>38</v>
      </c>
      <c r="I324" s="2" t="s">
        <v>19</v>
      </c>
      <c r="J324" s="1" t="s">
        <v>15273</v>
      </c>
      <c r="K324" s="3" t="s">
        <v>5535</v>
      </c>
      <c r="L324" s="1"/>
      <c r="M324" s="1"/>
      <c r="N324" s="4" t="s">
        <v>16125</v>
      </c>
      <c r="O324" s="1"/>
      <c r="P324" s="1" t="s">
        <v>25</v>
      </c>
      <c r="Q324" s="16">
        <v>1</v>
      </c>
      <c r="R324" s="17">
        <v>1</v>
      </c>
      <c r="S324" s="774" t="s">
        <v>5561</v>
      </c>
    </row>
    <row r="325" spans="1:19" ht="12" customHeight="1">
      <c r="A325" s="1040" t="str">
        <f t="shared" si="136"/>
        <v>074</v>
      </c>
      <c r="B325" s="4" t="s">
        <v>1086</v>
      </c>
      <c r="C325" s="4"/>
      <c r="D325" s="1008"/>
      <c r="E325" s="1002" t="str">
        <f t="shared" si="137"/>
        <v/>
      </c>
      <c r="F325" s="1005" t="e">
        <f t="shared" si="138"/>
        <v>#DIV/0!</v>
      </c>
      <c r="G325" s="1" t="s">
        <v>1097</v>
      </c>
      <c r="H325" s="1">
        <v>48</v>
      </c>
      <c r="I325" s="2" t="s">
        <v>5</v>
      </c>
      <c r="J325" s="1" t="s">
        <v>15273</v>
      </c>
      <c r="K325" s="3"/>
      <c r="L325" s="1"/>
      <c r="M325" s="1"/>
      <c r="N325" s="4" t="s">
        <v>16116</v>
      </c>
      <c r="O325" s="1" t="s">
        <v>6154</v>
      </c>
      <c r="P325" s="1" t="s">
        <v>6</v>
      </c>
      <c r="Q325" s="16"/>
      <c r="R325" s="17"/>
      <c r="S325" s="774"/>
    </row>
    <row r="326" spans="1:19" ht="12" customHeight="1">
      <c r="A326" s="1040" t="str">
        <f t="shared" si="136"/>
        <v>074</v>
      </c>
      <c r="B326" s="4" t="s">
        <v>5533</v>
      </c>
      <c r="C326" s="4"/>
      <c r="D326" s="1008"/>
      <c r="E326" s="1002" t="str">
        <f t="shared" si="137"/>
        <v/>
      </c>
      <c r="F326" s="1005" t="e">
        <f t="shared" si="138"/>
        <v>#DIV/0!</v>
      </c>
      <c r="G326" s="1" t="s">
        <v>5760</v>
      </c>
      <c r="H326" s="1">
        <v>57</v>
      </c>
      <c r="I326" s="2" t="s">
        <v>5</v>
      </c>
      <c r="J326" s="1" t="s">
        <v>15273</v>
      </c>
      <c r="K326" s="3"/>
      <c r="L326" s="1"/>
      <c r="M326" s="1"/>
      <c r="N326" s="4" t="s">
        <v>18495</v>
      </c>
      <c r="O326" s="1"/>
      <c r="P326" s="1" t="s">
        <v>6</v>
      </c>
      <c r="Q326" s="16"/>
      <c r="R326" s="17"/>
      <c r="S326" s="774"/>
    </row>
    <row r="327" spans="1:19" ht="12" customHeight="1">
      <c r="A327" s="1040" t="str">
        <f t="shared" si="136"/>
        <v>074</v>
      </c>
      <c r="B327" s="4" t="s">
        <v>5758</v>
      </c>
      <c r="C327" s="4"/>
      <c r="D327" s="1008"/>
      <c r="E327" s="1002" t="str">
        <f t="shared" si="137"/>
        <v/>
      </c>
      <c r="F327" s="1005" t="str">
        <f t="shared" si="138"/>
        <v>$</v>
      </c>
      <c r="G327" s="1" t="s">
        <v>5182</v>
      </c>
      <c r="H327" s="1">
        <v>42</v>
      </c>
      <c r="I327" s="2" t="s">
        <v>19</v>
      </c>
      <c r="J327" s="1"/>
      <c r="K327" s="3"/>
      <c r="L327" s="1"/>
      <c r="M327" s="1"/>
      <c r="N327" s="4" t="s">
        <v>16117</v>
      </c>
      <c r="O327" s="1"/>
      <c r="P327" s="1" t="s">
        <v>6</v>
      </c>
      <c r="Q327" s="16"/>
      <c r="R327" s="17"/>
      <c r="S327" s="774"/>
    </row>
    <row r="328" spans="1:19" ht="12" customHeight="1" thickBot="1">
      <c r="A328" s="916" t="str">
        <f t="shared" si="136"/>
        <v>074</v>
      </c>
      <c r="B328" s="700" t="s">
        <v>5985</v>
      </c>
      <c r="C328" s="700"/>
      <c r="D328" s="1009"/>
      <c r="E328" s="1003" t="str">
        <f t="shared" si="137"/>
        <v/>
      </c>
      <c r="F328" s="1041" t="str">
        <f t="shared" si="138"/>
        <v>$</v>
      </c>
      <c r="G328" s="906" t="s">
        <v>5986</v>
      </c>
      <c r="H328" s="906">
        <v>54</v>
      </c>
      <c r="I328" s="702" t="s">
        <v>5</v>
      </c>
      <c r="J328" s="906"/>
      <c r="K328" s="703"/>
      <c r="L328" s="906"/>
      <c r="M328" s="906"/>
      <c r="N328" s="700" t="s">
        <v>16129</v>
      </c>
      <c r="O328" s="906"/>
      <c r="P328" s="906" t="s">
        <v>6</v>
      </c>
      <c r="Q328" s="705"/>
      <c r="R328" s="903"/>
      <c r="S328" s="793"/>
    </row>
    <row r="329" spans="1:19" ht="12" customHeight="1">
      <c r="A329" s="1038" t="str">
        <f t="shared" si="136"/>
        <v>075</v>
      </c>
      <c r="B329" s="688" t="s">
        <v>1100</v>
      </c>
      <c r="C329" s="688"/>
      <c r="D329" s="1007"/>
      <c r="E329" s="1001" t="str">
        <f>IF(D329="","",D329/SUM($D$329:$D$334))</f>
        <v/>
      </c>
      <c r="F329" s="1004" t="e">
        <f>IF(J329="","$",IF(C329="当選","-",D329*100/MAX($D$329:$D$334)))</f>
        <v>#DIV/0!</v>
      </c>
      <c r="G329" s="687" t="s">
        <v>1104</v>
      </c>
      <c r="H329" s="687">
        <v>65</v>
      </c>
      <c r="I329" s="696" t="s">
        <v>5</v>
      </c>
      <c r="J329" s="689" t="s">
        <v>15273</v>
      </c>
      <c r="K329" s="747" t="s">
        <v>1105</v>
      </c>
      <c r="L329" s="687"/>
      <c r="M329" s="687"/>
      <c r="N329" s="692" t="s">
        <v>16127</v>
      </c>
      <c r="O329" s="687" t="s">
        <v>24</v>
      </c>
      <c r="P329" s="687" t="s">
        <v>25</v>
      </c>
      <c r="Q329" s="748">
        <v>4</v>
      </c>
      <c r="R329" s="749">
        <v>4</v>
      </c>
      <c r="S329" s="805" t="s">
        <v>736</v>
      </c>
    </row>
    <row r="330" spans="1:19" ht="12" customHeight="1">
      <c r="A330" s="1040" t="str">
        <f t="shared" si="136"/>
        <v>075</v>
      </c>
      <c r="B330" s="4" t="s">
        <v>1101</v>
      </c>
      <c r="C330" s="4"/>
      <c r="D330" s="1008"/>
      <c r="E330" s="1002" t="str">
        <f t="shared" ref="E330:E334" si="139">IF(D330="","",D330/SUM($D$329:$D$334))</f>
        <v/>
      </c>
      <c r="F330" s="1005" t="e">
        <f t="shared" ref="F330:F334" si="140">IF(J330="","$",IF(C330="当選","-",D330*100/MAX($D$329:$D$334)))</f>
        <v>#DIV/0!</v>
      </c>
      <c r="G330" s="1" t="s">
        <v>1109</v>
      </c>
      <c r="H330" s="1">
        <v>62</v>
      </c>
      <c r="I330" s="2" t="s">
        <v>5</v>
      </c>
      <c r="J330" s="1" t="s">
        <v>15273</v>
      </c>
      <c r="K330" s="3"/>
      <c r="L330" s="1"/>
      <c r="M330" s="1"/>
      <c r="N330" s="4" t="s">
        <v>16120</v>
      </c>
      <c r="O330" s="1" t="s">
        <v>13</v>
      </c>
      <c r="P330" s="1" t="s">
        <v>14</v>
      </c>
      <c r="Q330" s="16">
        <v>4</v>
      </c>
      <c r="R330" s="17">
        <v>4</v>
      </c>
      <c r="S330" s="774" t="s">
        <v>5457</v>
      </c>
    </row>
    <row r="331" spans="1:19" ht="12" customHeight="1">
      <c r="A331" s="1040" t="str">
        <f t="shared" si="136"/>
        <v>075</v>
      </c>
      <c r="B331" s="4" t="s">
        <v>1102</v>
      </c>
      <c r="C331" s="4"/>
      <c r="D331" s="1008"/>
      <c r="E331" s="1002" t="str">
        <f t="shared" si="139"/>
        <v/>
      </c>
      <c r="F331" s="1005" t="e">
        <f t="shared" si="140"/>
        <v>#DIV/0!</v>
      </c>
      <c r="G331" s="1" t="s">
        <v>3397</v>
      </c>
      <c r="H331" s="1">
        <v>50</v>
      </c>
      <c r="I331" s="2" t="s">
        <v>19</v>
      </c>
      <c r="J331" s="1" t="s">
        <v>15273</v>
      </c>
      <c r="K331" s="3"/>
      <c r="L331" s="1"/>
      <c r="M331" s="1"/>
      <c r="N331" s="4" t="s">
        <v>16125</v>
      </c>
      <c r="O331" s="1"/>
      <c r="P331" s="1" t="s">
        <v>6</v>
      </c>
      <c r="Q331" s="16"/>
      <c r="R331" s="17"/>
      <c r="S331" s="774" t="s">
        <v>5561</v>
      </c>
    </row>
    <row r="332" spans="1:19" ht="12" customHeight="1">
      <c r="A332" s="1040" t="str">
        <f t="shared" si="136"/>
        <v>075</v>
      </c>
      <c r="B332" s="4" t="s">
        <v>1103</v>
      </c>
      <c r="C332" s="4"/>
      <c r="D332" s="1008"/>
      <c r="E332" s="1002" t="str">
        <f t="shared" si="139"/>
        <v/>
      </c>
      <c r="F332" s="1005" t="e">
        <f t="shared" si="140"/>
        <v>#DIV/0!</v>
      </c>
      <c r="G332" s="1" t="s">
        <v>5762</v>
      </c>
      <c r="H332" s="1">
        <v>49</v>
      </c>
      <c r="I332" s="2" t="s">
        <v>5</v>
      </c>
      <c r="J332" s="1" t="s">
        <v>15273</v>
      </c>
      <c r="K332" s="3"/>
      <c r="L332" s="1"/>
      <c r="M332" s="1"/>
      <c r="N332" s="4" t="s">
        <v>16116</v>
      </c>
      <c r="O332" s="1" t="s">
        <v>276</v>
      </c>
      <c r="P332" s="1" t="s">
        <v>14</v>
      </c>
      <c r="Q332" s="16">
        <v>1</v>
      </c>
      <c r="R332" s="17">
        <v>1</v>
      </c>
      <c r="S332" s="774"/>
    </row>
    <row r="333" spans="1:19" ht="12" customHeight="1">
      <c r="A333" s="1040" t="str">
        <f t="shared" si="136"/>
        <v>075</v>
      </c>
      <c r="B333" s="4" t="s">
        <v>5734</v>
      </c>
      <c r="C333" s="4"/>
      <c r="D333" s="1008"/>
      <c r="E333" s="1002" t="str">
        <f t="shared" si="139"/>
        <v/>
      </c>
      <c r="F333" s="1005" t="e">
        <f t="shared" si="140"/>
        <v>#DIV/0!</v>
      </c>
      <c r="G333" s="1" t="s">
        <v>1116</v>
      </c>
      <c r="H333" s="1">
        <v>43</v>
      </c>
      <c r="I333" s="2" t="s">
        <v>5</v>
      </c>
      <c r="J333" s="1" t="s">
        <v>15273</v>
      </c>
      <c r="K333" s="3"/>
      <c r="L333" s="1"/>
      <c r="M333" s="1"/>
      <c r="N333" s="8" t="s">
        <v>18495</v>
      </c>
      <c r="O333" s="1"/>
      <c r="P333" s="1" t="s">
        <v>6</v>
      </c>
      <c r="Q333" s="16"/>
      <c r="R333" s="17"/>
      <c r="S333" s="774"/>
    </row>
    <row r="334" spans="1:19" ht="12" customHeight="1" thickBot="1">
      <c r="A334" s="916" t="str">
        <f t="shared" si="136"/>
        <v>075</v>
      </c>
      <c r="B334" s="700" t="s">
        <v>5761</v>
      </c>
      <c r="C334" s="700"/>
      <c r="D334" s="1009"/>
      <c r="E334" s="1003" t="str">
        <f t="shared" si="139"/>
        <v/>
      </c>
      <c r="F334" s="1041" t="str">
        <f t="shared" si="140"/>
        <v>$</v>
      </c>
      <c r="G334" s="906" t="s">
        <v>1113</v>
      </c>
      <c r="H334" s="906">
        <v>57</v>
      </c>
      <c r="I334" s="702" t="s">
        <v>19</v>
      </c>
      <c r="J334" s="906"/>
      <c r="K334" s="703"/>
      <c r="L334" s="906"/>
      <c r="M334" s="906"/>
      <c r="N334" s="700" t="s">
        <v>16117</v>
      </c>
      <c r="O334" s="906"/>
      <c r="P334" s="906" t="s">
        <v>6</v>
      </c>
      <c r="Q334" s="705"/>
      <c r="R334" s="903"/>
      <c r="S334" s="793"/>
    </row>
    <row r="335" spans="1:19" ht="12" customHeight="1">
      <c r="A335" s="1038" t="str">
        <f t="shared" si="136"/>
        <v>076</v>
      </c>
      <c r="B335" s="688" t="s">
        <v>1119</v>
      </c>
      <c r="C335" s="688"/>
      <c r="D335" s="1007"/>
      <c r="E335" s="1001" t="str">
        <f>IF(D335="","",D335/SUM($D$335:$D$341))</f>
        <v/>
      </c>
      <c r="F335" s="1004" t="e">
        <f>IF(J335="","$",IF(C335="当選","-",D335*100/MAX($D$335:$D$341)))</f>
        <v>#DIV/0!</v>
      </c>
      <c r="G335" s="687" t="s">
        <v>5176</v>
      </c>
      <c r="H335" s="687">
        <v>57</v>
      </c>
      <c r="I335" s="696" t="s">
        <v>5</v>
      </c>
      <c r="J335" s="689" t="s">
        <v>15273</v>
      </c>
      <c r="K335" s="747"/>
      <c r="L335" s="687"/>
      <c r="M335" s="687"/>
      <c r="N335" s="692" t="s">
        <v>16126</v>
      </c>
      <c r="O335" s="687" t="s">
        <v>44</v>
      </c>
      <c r="P335" s="687" t="s">
        <v>6</v>
      </c>
      <c r="Q335" s="748"/>
      <c r="R335" s="749"/>
      <c r="S335" s="805"/>
    </row>
    <row r="336" spans="1:19" ht="12" customHeight="1">
      <c r="A336" s="1040" t="str">
        <f t="shared" si="136"/>
        <v>076</v>
      </c>
      <c r="B336" s="4" t="s">
        <v>1120</v>
      </c>
      <c r="C336" s="4"/>
      <c r="D336" s="1008"/>
      <c r="E336" s="1002" t="str">
        <f t="shared" ref="E336:E341" si="141">IF(D336="","",D336/SUM($D$335:$D$341))</f>
        <v/>
      </c>
      <c r="F336" s="1005" t="e">
        <f t="shared" ref="F336:F341" si="142">IF(J336="","$",IF(C336="当選","-",D336*100/MAX($D$335:$D$341)))</f>
        <v>#DIV/0!</v>
      </c>
      <c r="G336" s="1" t="s">
        <v>1124</v>
      </c>
      <c r="H336" s="1">
        <v>53</v>
      </c>
      <c r="I336" s="2" t="s">
        <v>5</v>
      </c>
      <c r="J336" s="1" t="s">
        <v>15273</v>
      </c>
      <c r="K336" s="3" t="s">
        <v>1125</v>
      </c>
      <c r="L336" s="1"/>
      <c r="M336" s="1"/>
      <c r="N336" s="4" t="s">
        <v>16120</v>
      </c>
      <c r="O336" s="1" t="s">
        <v>30</v>
      </c>
      <c r="P336" s="1" t="s">
        <v>25</v>
      </c>
      <c r="Q336" s="16">
        <v>1</v>
      </c>
      <c r="R336" s="17">
        <v>1</v>
      </c>
      <c r="S336" s="774" t="s">
        <v>5457</v>
      </c>
    </row>
    <row r="337" spans="1:19" ht="12" customHeight="1">
      <c r="A337" s="1040" t="str">
        <f t="shared" si="136"/>
        <v>076</v>
      </c>
      <c r="B337" s="4" t="s">
        <v>1121</v>
      </c>
      <c r="C337" s="4"/>
      <c r="D337" s="1008"/>
      <c r="E337" s="1002" t="str">
        <f t="shared" si="141"/>
        <v/>
      </c>
      <c r="F337" s="1005" t="e">
        <f t="shared" si="142"/>
        <v>#DIV/0!</v>
      </c>
      <c r="G337" s="1" t="s">
        <v>1130</v>
      </c>
      <c r="H337" s="1">
        <v>58</v>
      </c>
      <c r="I337" s="2" t="s">
        <v>5</v>
      </c>
      <c r="J337" s="1" t="s">
        <v>15273</v>
      </c>
      <c r="K337" s="3" t="s">
        <v>1131</v>
      </c>
      <c r="L337" s="1"/>
      <c r="M337" s="1"/>
      <c r="N337" s="4" t="s">
        <v>16125</v>
      </c>
      <c r="O337" s="1"/>
      <c r="P337" s="1" t="s">
        <v>25</v>
      </c>
      <c r="Q337" s="16">
        <v>3</v>
      </c>
      <c r="R337" s="17">
        <v>3</v>
      </c>
      <c r="S337" s="774" t="s">
        <v>5561</v>
      </c>
    </row>
    <row r="338" spans="1:19" ht="12" customHeight="1">
      <c r="A338" s="1040" t="str">
        <f t="shared" si="136"/>
        <v>076</v>
      </c>
      <c r="B338" s="4" t="s">
        <v>1122</v>
      </c>
      <c r="C338" s="4"/>
      <c r="D338" s="1008"/>
      <c r="E338" s="1002" t="str">
        <f t="shared" si="141"/>
        <v/>
      </c>
      <c r="F338" s="1005" t="e">
        <f t="shared" si="142"/>
        <v>#DIV/0!</v>
      </c>
      <c r="G338" s="1" t="s">
        <v>5981</v>
      </c>
      <c r="H338" s="1">
        <v>51</v>
      </c>
      <c r="I338" s="2" t="s">
        <v>5</v>
      </c>
      <c r="J338" s="1" t="s">
        <v>15273</v>
      </c>
      <c r="K338" s="3"/>
      <c r="L338" s="1"/>
      <c r="M338" s="1"/>
      <c r="N338" s="4" t="s">
        <v>16116</v>
      </c>
      <c r="O338" s="1" t="s">
        <v>18494</v>
      </c>
      <c r="P338" s="1" t="s">
        <v>6</v>
      </c>
      <c r="Q338" s="16"/>
      <c r="R338" s="17"/>
      <c r="S338" s="774"/>
    </row>
    <row r="339" spans="1:19" ht="12" customHeight="1">
      <c r="A339" s="1040" t="str">
        <f t="shared" si="136"/>
        <v>076</v>
      </c>
      <c r="B339" s="4" t="s">
        <v>1123</v>
      </c>
      <c r="C339" s="4"/>
      <c r="D339" s="1008"/>
      <c r="E339" s="1002" t="str">
        <f t="shared" si="141"/>
        <v/>
      </c>
      <c r="F339" s="1005" t="e">
        <f t="shared" si="142"/>
        <v>#DIV/0!</v>
      </c>
      <c r="G339" s="1" t="s">
        <v>1128</v>
      </c>
      <c r="H339" s="1">
        <v>45</v>
      </c>
      <c r="I339" s="2" t="s">
        <v>5</v>
      </c>
      <c r="J339" s="1" t="s">
        <v>15273</v>
      </c>
      <c r="K339" s="3"/>
      <c r="L339" s="1"/>
      <c r="M339" s="1"/>
      <c r="N339" s="4" t="s">
        <v>18495</v>
      </c>
      <c r="O339" s="1"/>
      <c r="P339" s="1" t="s">
        <v>6</v>
      </c>
      <c r="Q339" s="16"/>
      <c r="R339" s="17"/>
      <c r="S339" s="774"/>
    </row>
    <row r="340" spans="1:19" ht="12" customHeight="1">
      <c r="A340" s="1040" t="str">
        <f t="shared" si="136"/>
        <v>076</v>
      </c>
      <c r="B340" s="4" t="s">
        <v>5459</v>
      </c>
      <c r="C340" s="4"/>
      <c r="D340" s="1008"/>
      <c r="E340" s="1002" t="str">
        <f t="shared" si="141"/>
        <v/>
      </c>
      <c r="F340" s="1005" t="str">
        <f t="shared" si="142"/>
        <v>$</v>
      </c>
      <c r="G340" s="1" t="s">
        <v>5185</v>
      </c>
      <c r="H340" s="1">
        <v>69</v>
      </c>
      <c r="I340" s="2" t="s">
        <v>5</v>
      </c>
      <c r="J340" s="1"/>
      <c r="K340" s="3"/>
      <c r="L340" s="1"/>
      <c r="M340" s="1"/>
      <c r="N340" s="4" t="s">
        <v>16117</v>
      </c>
      <c r="O340" s="1"/>
      <c r="P340" s="1" t="s">
        <v>6</v>
      </c>
      <c r="Q340" s="16"/>
      <c r="R340" s="17"/>
      <c r="S340" s="774"/>
    </row>
    <row r="341" spans="1:19" ht="12" customHeight="1" thickBot="1">
      <c r="A341" s="916" t="str">
        <f t="shared" si="136"/>
        <v>076</v>
      </c>
      <c r="B341" s="700" t="s">
        <v>5980</v>
      </c>
      <c r="C341" s="700"/>
      <c r="D341" s="1009"/>
      <c r="E341" s="1003" t="str">
        <f t="shared" si="141"/>
        <v/>
      </c>
      <c r="F341" s="1041" t="e">
        <f t="shared" si="142"/>
        <v>#DIV/0!</v>
      </c>
      <c r="G341" s="906" t="s">
        <v>5460</v>
      </c>
      <c r="H341" s="906">
        <v>73</v>
      </c>
      <c r="I341" s="702" t="s">
        <v>19</v>
      </c>
      <c r="J341" s="906" t="s">
        <v>15273</v>
      </c>
      <c r="K341" s="703"/>
      <c r="L341" s="906"/>
      <c r="M341" s="906"/>
      <c r="N341" s="704" t="s">
        <v>16121</v>
      </c>
      <c r="O341" s="906"/>
      <c r="P341" s="906" t="s">
        <v>6</v>
      </c>
      <c r="Q341" s="705"/>
      <c r="R341" s="903"/>
      <c r="S341" s="793"/>
    </row>
    <row r="342" spans="1:19" ht="12" customHeight="1">
      <c r="A342" s="1038" t="str">
        <f t="shared" si="136"/>
        <v>077</v>
      </c>
      <c r="B342" s="688" t="s">
        <v>1134</v>
      </c>
      <c r="C342" s="688"/>
      <c r="D342" s="1007"/>
      <c r="E342" s="1001" t="str">
        <f>IF(D342="","",D342/SUM($D$342:$D$346))</f>
        <v/>
      </c>
      <c r="F342" s="1004" t="e">
        <f>IF(J342="","$",IF(C342="当選","-",D342*100/MAX($D$342:$D$346)))</f>
        <v>#DIV/0!</v>
      </c>
      <c r="G342" s="687" t="s">
        <v>1138</v>
      </c>
      <c r="H342" s="687">
        <v>69</v>
      </c>
      <c r="I342" s="696" t="s">
        <v>5</v>
      </c>
      <c r="J342" s="689" t="s">
        <v>15273</v>
      </c>
      <c r="K342" s="747" t="s">
        <v>1139</v>
      </c>
      <c r="L342" s="687"/>
      <c r="M342" s="687"/>
      <c r="N342" s="692" t="s">
        <v>16127</v>
      </c>
      <c r="O342" s="687" t="s">
        <v>604</v>
      </c>
      <c r="P342" s="687" t="s">
        <v>25</v>
      </c>
      <c r="Q342" s="748">
        <v>4</v>
      </c>
      <c r="R342" s="749">
        <v>4</v>
      </c>
      <c r="S342" s="805" t="s">
        <v>736</v>
      </c>
    </row>
    <row r="343" spans="1:19" ht="12" customHeight="1">
      <c r="A343" s="1040" t="str">
        <f t="shared" si="136"/>
        <v>077</v>
      </c>
      <c r="B343" s="4" t="s">
        <v>1135</v>
      </c>
      <c r="C343" s="4"/>
      <c r="D343" s="1008"/>
      <c r="E343" s="1002" t="str">
        <f t="shared" ref="E343:E346" si="143">IF(D343="","",D343/SUM($D$342:$D$346))</f>
        <v/>
      </c>
      <c r="F343" s="1005" t="e">
        <f t="shared" ref="F343:F346" si="144">IF(J343="","$",IF(C343="当選","-",D343*100/MAX($D$342:$D$346)))</f>
        <v>#DIV/0!</v>
      </c>
      <c r="G343" s="1" t="s">
        <v>1142</v>
      </c>
      <c r="H343" s="1">
        <v>62</v>
      </c>
      <c r="I343" s="2" t="s">
        <v>5</v>
      </c>
      <c r="J343" s="1" t="s">
        <v>15273</v>
      </c>
      <c r="K343" s="3"/>
      <c r="L343" s="1"/>
      <c r="M343" s="1"/>
      <c r="N343" s="8" t="s">
        <v>16120</v>
      </c>
      <c r="O343" s="1" t="s">
        <v>13</v>
      </c>
      <c r="P343" s="1" t="s">
        <v>14</v>
      </c>
      <c r="Q343" s="16">
        <v>4</v>
      </c>
      <c r="R343" s="17">
        <v>4</v>
      </c>
      <c r="S343" s="774" t="s">
        <v>5457</v>
      </c>
    </row>
    <row r="344" spans="1:19" ht="12" customHeight="1">
      <c r="A344" s="1040" t="str">
        <f t="shared" si="136"/>
        <v>077</v>
      </c>
      <c r="B344" s="4" t="s">
        <v>1136</v>
      </c>
      <c r="C344" s="4"/>
      <c r="D344" s="1008"/>
      <c r="E344" s="1002" t="str">
        <f t="shared" si="143"/>
        <v/>
      </c>
      <c r="F344" s="1005" t="e">
        <f t="shared" si="144"/>
        <v>#DIV/0!</v>
      </c>
      <c r="G344" s="1" t="s">
        <v>3993</v>
      </c>
      <c r="H344" s="1">
        <v>53</v>
      </c>
      <c r="I344" s="2" t="s">
        <v>19</v>
      </c>
      <c r="J344" s="1" t="s">
        <v>15273</v>
      </c>
      <c r="K344" s="3" t="s">
        <v>3994</v>
      </c>
      <c r="L344" s="1" t="s">
        <v>373</v>
      </c>
      <c r="M344" s="1"/>
      <c r="N344" s="4" t="s">
        <v>16125</v>
      </c>
      <c r="O344" s="1"/>
      <c r="P344" s="1" t="s">
        <v>6</v>
      </c>
      <c r="Q344" s="16"/>
      <c r="R344" s="17">
        <v>2</v>
      </c>
      <c r="S344" s="774" t="s">
        <v>5561</v>
      </c>
    </row>
    <row r="345" spans="1:19" ht="12" customHeight="1">
      <c r="A345" s="1040" t="str">
        <f t="shared" si="136"/>
        <v>077</v>
      </c>
      <c r="B345" s="4" t="s">
        <v>1137</v>
      </c>
      <c r="C345" s="4"/>
      <c r="D345" s="1008"/>
      <c r="E345" s="1002" t="str">
        <f t="shared" si="143"/>
        <v/>
      </c>
      <c r="F345" s="1005" t="e">
        <f t="shared" si="144"/>
        <v>#DIV/0!</v>
      </c>
      <c r="G345" s="1" t="s">
        <v>1149</v>
      </c>
      <c r="H345" s="1">
        <v>41</v>
      </c>
      <c r="I345" s="2" t="s">
        <v>5</v>
      </c>
      <c r="J345" s="1" t="s">
        <v>15273</v>
      </c>
      <c r="K345" s="3"/>
      <c r="L345" s="1"/>
      <c r="M345" s="1"/>
      <c r="N345" s="4" t="s">
        <v>18495</v>
      </c>
      <c r="O345" s="1"/>
      <c r="P345" s="1" t="s">
        <v>6</v>
      </c>
      <c r="Q345" s="16"/>
      <c r="R345" s="17"/>
      <c r="S345" s="774" t="s">
        <v>6031</v>
      </c>
    </row>
    <row r="346" spans="1:19" ht="12" customHeight="1" thickBot="1">
      <c r="A346" s="916" t="str">
        <f t="shared" si="136"/>
        <v>077</v>
      </c>
      <c r="B346" s="700" t="s">
        <v>5537</v>
      </c>
      <c r="C346" s="700"/>
      <c r="D346" s="1009"/>
      <c r="E346" s="1003" t="str">
        <f t="shared" si="143"/>
        <v/>
      </c>
      <c r="F346" s="1041" t="str">
        <f t="shared" si="144"/>
        <v>$</v>
      </c>
      <c r="G346" s="906" t="s">
        <v>1146</v>
      </c>
      <c r="H346" s="906">
        <v>62</v>
      </c>
      <c r="I346" s="702" t="s">
        <v>5</v>
      </c>
      <c r="J346" s="906"/>
      <c r="K346" s="703"/>
      <c r="L346" s="906"/>
      <c r="M346" s="906"/>
      <c r="N346" s="700" t="s">
        <v>16117</v>
      </c>
      <c r="O346" s="906"/>
      <c r="P346" s="906" t="s">
        <v>6</v>
      </c>
      <c r="Q346" s="705"/>
      <c r="R346" s="903"/>
      <c r="S346" s="793"/>
    </row>
    <row r="347" spans="1:19" ht="12" customHeight="1">
      <c r="A347" s="1038" t="str">
        <f t="shared" si="136"/>
        <v>078</v>
      </c>
      <c r="B347" s="688" t="s">
        <v>1153</v>
      </c>
      <c r="C347" s="688"/>
      <c r="D347" s="1007"/>
      <c r="E347" s="1001" t="str">
        <f>IF(D347="","",D347/SUM($D$347:$D$352))</f>
        <v/>
      </c>
      <c r="F347" s="1004" t="e">
        <f>IF(J347="","$",IF(C347="当選","-",D347*100/MAX($D$347:$D$352)))</f>
        <v>#DIV/0!</v>
      </c>
      <c r="G347" s="687" t="s">
        <v>1156</v>
      </c>
      <c r="H347" s="687">
        <v>48</v>
      </c>
      <c r="I347" s="696" t="s">
        <v>5</v>
      </c>
      <c r="J347" s="689" t="s">
        <v>15273</v>
      </c>
      <c r="K347" s="747" t="s">
        <v>1157</v>
      </c>
      <c r="L347" s="687"/>
      <c r="M347" s="687"/>
      <c r="N347" s="692" t="s">
        <v>16127</v>
      </c>
      <c r="O347" s="687" t="s">
        <v>44</v>
      </c>
      <c r="P347" s="687" t="s">
        <v>25</v>
      </c>
      <c r="Q347" s="748">
        <v>1</v>
      </c>
      <c r="R347" s="749">
        <v>1</v>
      </c>
      <c r="S347" s="805" t="s">
        <v>736</v>
      </c>
    </row>
    <row r="348" spans="1:19" ht="12" customHeight="1">
      <c r="A348" s="1040" t="str">
        <f t="shared" si="136"/>
        <v>078</v>
      </c>
      <c r="B348" s="4" t="s">
        <v>1154</v>
      </c>
      <c r="C348" s="4"/>
      <c r="D348" s="1008"/>
      <c r="E348" s="1002" t="str">
        <f t="shared" ref="E348:E352" si="145">IF(D348="","",D348/SUM($D$347:$D$352))</f>
        <v/>
      </c>
      <c r="F348" s="1005" t="e">
        <f t="shared" ref="F348:F352" si="146">IF(J348="","$",IF(C348="当選","-",D348*100/MAX($D$347:$D$352)))</f>
        <v>#DIV/0!</v>
      </c>
      <c r="G348" s="1" t="s">
        <v>1161</v>
      </c>
      <c r="H348" s="1">
        <v>37</v>
      </c>
      <c r="I348" s="2" t="s">
        <v>5</v>
      </c>
      <c r="J348" s="1" t="s">
        <v>15273</v>
      </c>
      <c r="K348" s="3"/>
      <c r="L348" s="1"/>
      <c r="M348" s="1"/>
      <c r="N348" s="4" t="s">
        <v>16120</v>
      </c>
      <c r="O348" s="1" t="s">
        <v>30</v>
      </c>
      <c r="P348" s="1" t="s">
        <v>6</v>
      </c>
      <c r="Q348" s="16"/>
      <c r="R348" s="17"/>
      <c r="S348" s="774" t="s">
        <v>5457</v>
      </c>
    </row>
    <row r="349" spans="1:19" ht="12" customHeight="1">
      <c r="A349" s="1040" t="str">
        <f t="shared" si="136"/>
        <v>078</v>
      </c>
      <c r="B349" s="4" t="s">
        <v>1155</v>
      </c>
      <c r="C349" s="4"/>
      <c r="D349" s="1008"/>
      <c r="E349" s="1002" t="str">
        <f t="shared" si="145"/>
        <v/>
      </c>
      <c r="F349" s="1005" t="e">
        <f t="shared" si="146"/>
        <v>#DIV/0!</v>
      </c>
      <c r="G349" s="1" t="s">
        <v>3194</v>
      </c>
      <c r="H349" s="1">
        <v>41</v>
      </c>
      <c r="I349" s="2" t="s">
        <v>19</v>
      </c>
      <c r="J349" s="1" t="s">
        <v>15273</v>
      </c>
      <c r="K349" s="3"/>
      <c r="L349" s="1"/>
      <c r="M349" s="1"/>
      <c r="N349" s="4" t="s">
        <v>16125</v>
      </c>
      <c r="O349" s="1"/>
      <c r="P349" s="1" t="s">
        <v>14</v>
      </c>
      <c r="Q349" s="16">
        <v>1</v>
      </c>
      <c r="R349" s="17">
        <v>1</v>
      </c>
      <c r="S349" s="774" t="s">
        <v>5561</v>
      </c>
    </row>
    <row r="350" spans="1:19" ht="12" customHeight="1">
      <c r="A350" s="1040" t="str">
        <f t="shared" si="136"/>
        <v>078</v>
      </c>
      <c r="B350" s="4" t="s">
        <v>1165</v>
      </c>
      <c r="C350" s="4"/>
      <c r="D350" s="1008"/>
      <c r="E350" s="1002" t="str">
        <f t="shared" si="145"/>
        <v/>
      </c>
      <c r="F350" s="1005" t="e">
        <f t="shared" si="146"/>
        <v>#DIV/0!</v>
      </c>
      <c r="G350" s="1" t="s">
        <v>5006</v>
      </c>
      <c r="H350" s="1">
        <v>37</v>
      </c>
      <c r="I350" s="2" t="s">
        <v>5</v>
      </c>
      <c r="J350" s="1" t="s">
        <v>15273</v>
      </c>
      <c r="K350" s="3"/>
      <c r="L350" s="1"/>
      <c r="M350" s="1"/>
      <c r="N350" s="4" t="s">
        <v>16116</v>
      </c>
      <c r="O350" s="1" t="s">
        <v>276</v>
      </c>
      <c r="P350" s="1" t="s">
        <v>6</v>
      </c>
      <c r="Q350" s="16"/>
      <c r="R350" s="17"/>
      <c r="S350" s="774"/>
    </row>
    <row r="351" spans="1:19" ht="12" customHeight="1">
      <c r="A351" s="1040" t="str">
        <f t="shared" si="136"/>
        <v>078</v>
      </c>
      <c r="B351" s="4" t="s">
        <v>5005</v>
      </c>
      <c r="C351" s="4"/>
      <c r="D351" s="1008"/>
      <c r="E351" s="1002" t="str">
        <f t="shared" si="145"/>
        <v/>
      </c>
      <c r="F351" s="1005" t="str">
        <f t="shared" si="146"/>
        <v>$</v>
      </c>
      <c r="G351" s="1" t="s">
        <v>1166</v>
      </c>
      <c r="H351" s="1">
        <v>44</v>
      </c>
      <c r="I351" s="2" t="s">
        <v>5</v>
      </c>
      <c r="J351" s="1"/>
      <c r="K351" s="3"/>
      <c r="L351" s="1"/>
      <c r="M351" s="1"/>
      <c r="N351" s="4" t="s">
        <v>16117</v>
      </c>
      <c r="O351" s="1"/>
      <c r="P351" s="1" t="s">
        <v>6</v>
      </c>
      <c r="Q351" s="16"/>
      <c r="R351" s="17"/>
      <c r="S351" s="774"/>
    </row>
    <row r="352" spans="1:19" ht="12" customHeight="1" thickBot="1">
      <c r="A352" s="916" t="str">
        <f t="shared" si="136"/>
        <v>078</v>
      </c>
      <c r="B352" s="700" t="s">
        <v>5077</v>
      </c>
      <c r="C352" s="700"/>
      <c r="D352" s="1009"/>
      <c r="E352" s="1003" t="str">
        <f t="shared" si="145"/>
        <v/>
      </c>
      <c r="F352" s="1041" t="str">
        <f t="shared" si="146"/>
        <v>$</v>
      </c>
      <c r="G352" s="702" t="s">
        <v>1170</v>
      </c>
      <c r="H352" s="906">
        <v>55</v>
      </c>
      <c r="I352" s="702" t="s">
        <v>5</v>
      </c>
      <c r="J352" s="906"/>
      <c r="K352" s="703"/>
      <c r="L352" s="906"/>
      <c r="M352" s="906"/>
      <c r="N352" s="700" t="s">
        <v>16129</v>
      </c>
      <c r="O352" s="906"/>
      <c r="P352" s="906" t="s">
        <v>14</v>
      </c>
      <c r="Q352" s="705">
        <v>2</v>
      </c>
      <c r="R352" s="903">
        <v>2</v>
      </c>
      <c r="S352" s="793"/>
    </row>
    <row r="353" spans="1:19" ht="12" customHeight="1">
      <c r="A353" s="1038" t="str">
        <f t="shared" si="136"/>
        <v>079</v>
      </c>
      <c r="B353" s="688" t="s">
        <v>1172</v>
      </c>
      <c r="C353" s="688"/>
      <c r="D353" s="1007"/>
      <c r="E353" s="1001" t="str">
        <f>IF(D353="","",D353/SUM($D$353:$D$356))</f>
        <v/>
      </c>
      <c r="F353" s="1004" t="e">
        <f>IF(J353="","$",IF(C353="当選","-",D353*100/MAX($D$353:$D$356)))</f>
        <v>#DIV/0!</v>
      </c>
      <c r="G353" s="687" t="s">
        <v>1175</v>
      </c>
      <c r="H353" s="687">
        <v>49</v>
      </c>
      <c r="I353" s="696" t="s">
        <v>5</v>
      </c>
      <c r="J353" s="689" t="s">
        <v>15273</v>
      </c>
      <c r="K353" s="747" t="s">
        <v>1176</v>
      </c>
      <c r="L353" s="687"/>
      <c r="M353" s="687"/>
      <c r="N353" s="692" t="s">
        <v>16126</v>
      </c>
      <c r="O353" s="687" t="s">
        <v>44</v>
      </c>
      <c r="P353" s="687" t="s">
        <v>25</v>
      </c>
      <c r="Q353" s="748">
        <v>1</v>
      </c>
      <c r="R353" s="749">
        <v>1</v>
      </c>
      <c r="S353" s="805"/>
    </row>
    <row r="354" spans="1:19" ht="12" customHeight="1">
      <c r="A354" s="1040" t="str">
        <f t="shared" si="136"/>
        <v>079</v>
      </c>
      <c r="B354" s="4" t="s">
        <v>1173</v>
      </c>
      <c r="C354" s="4"/>
      <c r="D354" s="1008"/>
      <c r="E354" s="1002" t="str">
        <f t="shared" ref="E354:E356" si="147">IF(D354="","",D354/SUM($D$353:$D$356))</f>
        <v/>
      </c>
      <c r="F354" s="1005" t="e">
        <f t="shared" ref="F354:F356" si="148">IF(J354="","$",IF(C354="当選","-",D354*100/MAX($D$353:$D$356)))</f>
        <v>#DIV/0!</v>
      </c>
      <c r="G354" s="1" t="s">
        <v>1181</v>
      </c>
      <c r="H354" s="1">
        <v>65</v>
      </c>
      <c r="I354" s="2" t="s">
        <v>5</v>
      </c>
      <c r="J354" s="1" t="s">
        <v>15273</v>
      </c>
      <c r="K354" s="3" t="s">
        <v>1183</v>
      </c>
      <c r="L354" s="1"/>
      <c r="M354" s="1"/>
      <c r="N354" s="4" t="s">
        <v>16120</v>
      </c>
      <c r="O354" s="1" t="s">
        <v>934</v>
      </c>
      <c r="P354" s="1" t="s">
        <v>25</v>
      </c>
      <c r="Q354" s="16">
        <v>6</v>
      </c>
      <c r="R354" s="17">
        <v>6</v>
      </c>
      <c r="S354" s="774" t="s">
        <v>5457</v>
      </c>
    </row>
    <row r="355" spans="1:19" ht="12" customHeight="1">
      <c r="A355" s="1040" t="str">
        <f t="shared" si="136"/>
        <v>079</v>
      </c>
      <c r="B355" s="4" t="s">
        <v>1174</v>
      </c>
      <c r="C355" s="4"/>
      <c r="D355" s="1008"/>
      <c r="E355" s="1002" t="str">
        <f t="shared" si="147"/>
        <v/>
      </c>
      <c r="F355" s="1005" t="str">
        <f t="shared" si="148"/>
        <v>$</v>
      </c>
      <c r="G355" s="1" t="s">
        <v>5186</v>
      </c>
      <c r="H355" s="1">
        <v>58</v>
      </c>
      <c r="I355" s="2" t="s">
        <v>5</v>
      </c>
      <c r="J355" s="1"/>
      <c r="K355" s="3"/>
      <c r="L355" s="1"/>
      <c r="M355" s="1"/>
      <c r="N355" s="4" t="s">
        <v>16117</v>
      </c>
      <c r="O355" s="1"/>
      <c r="P355" s="1" t="s">
        <v>6</v>
      </c>
      <c r="Q355" s="16"/>
      <c r="R355" s="17"/>
      <c r="S355" s="774"/>
    </row>
    <row r="356" spans="1:19" ht="12" customHeight="1" thickBot="1">
      <c r="A356" s="916" t="str">
        <f t="shared" si="136"/>
        <v>079</v>
      </c>
      <c r="B356" s="700" t="s">
        <v>5820</v>
      </c>
      <c r="C356" s="700"/>
      <c r="D356" s="1009"/>
      <c r="E356" s="1003" t="str">
        <f t="shared" si="147"/>
        <v/>
      </c>
      <c r="F356" s="1041" t="str">
        <f t="shared" si="148"/>
        <v>$</v>
      </c>
      <c r="G356" s="906" t="s">
        <v>5821</v>
      </c>
      <c r="H356" s="906">
        <v>59</v>
      </c>
      <c r="I356" s="702" t="s">
        <v>19</v>
      </c>
      <c r="J356" s="906"/>
      <c r="K356" s="703"/>
      <c r="L356" s="906"/>
      <c r="M356" s="906"/>
      <c r="N356" s="700" t="s">
        <v>16122</v>
      </c>
      <c r="O356" s="906" t="s">
        <v>15981</v>
      </c>
      <c r="P356" s="906" t="s">
        <v>6</v>
      </c>
      <c r="Q356" s="705"/>
      <c r="R356" s="903"/>
      <c r="S356" s="793"/>
    </row>
    <row r="357" spans="1:19" ht="12" customHeight="1">
      <c r="A357" s="1038" t="str">
        <f t="shared" si="136"/>
        <v>080</v>
      </c>
      <c r="B357" s="688" t="s">
        <v>1187</v>
      </c>
      <c r="C357" s="688"/>
      <c r="D357" s="1007"/>
      <c r="E357" s="1001" t="str">
        <f>IF(D357="","",D357/SUM($D$357:$D$359))</f>
        <v/>
      </c>
      <c r="F357" s="1004" t="e">
        <f>IF(J357="","$",IF(C357="当選","-",D357*100/MAX($D$357:$D$359)))</f>
        <v>#DIV/0!</v>
      </c>
      <c r="G357" s="687" t="s">
        <v>1190</v>
      </c>
      <c r="H357" s="687">
        <v>64</v>
      </c>
      <c r="I357" s="696" t="s">
        <v>5</v>
      </c>
      <c r="J357" s="687" t="s">
        <v>15273</v>
      </c>
      <c r="K357" s="747" t="s">
        <v>1191</v>
      </c>
      <c r="L357" s="687"/>
      <c r="M357" s="687"/>
      <c r="N357" s="692" t="s">
        <v>16120</v>
      </c>
      <c r="O357" s="687" t="s">
        <v>445</v>
      </c>
      <c r="P357" s="687" t="s">
        <v>25</v>
      </c>
      <c r="Q357" s="748">
        <v>7</v>
      </c>
      <c r="R357" s="749">
        <v>7</v>
      </c>
      <c r="S357" s="805" t="s">
        <v>5457</v>
      </c>
    </row>
    <row r="358" spans="1:19" ht="12" customHeight="1">
      <c r="A358" s="1040" t="str">
        <f t="shared" si="136"/>
        <v>080</v>
      </c>
      <c r="B358" s="4" t="s">
        <v>1188</v>
      </c>
      <c r="C358" s="4"/>
      <c r="D358" s="1008"/>
      <c r="E358" s="1002" t="str">
        <f t="shared" ref="E358:E359" si="149">IF(D358="","",D358/SUM($D$357:$D$359))</f>
        <v/>
      </c>
      <c r="F358" s="1005" t="e">
        <f t="shared" ref="F358:F359" si="150">IF(J358="","$",IF(C358="当選","-",D358*100/MAX($D$357:$D$359)))</f>
        <v>#DIV/0!</v>
      </c>
      <c r="G358" s="1" t="s">
        <v>1195</v>
      </c>
      <c r="H358" s="1">
        <v>55</v>
      </c>
      <c r="I358" s="2" t="s">
        <v>5</v>
      </c>
      <c r="J358" s="1" t="s">
        <v>15273</v>
      </c>
      <c r="K358" s="3" t="s">
        <v>1196</v>
      </c>
      <c r="L358" s="1"/>
      <c r="M358" s="1"/>
      <c r="N358" s="4" t="s">
        <v>16125</v>
      </c>
      <c r="O358" s="1"/>
      <c r="P358" s="1" t="s">
        <v>25</v>
      </c>
      <c r="Q358" s="16">
        <v>1</v>
      </c>
      <c r="R358" s="17">
        <v>1</v>
      </c>
      <c r="S358" s="774" t="s">
        <v>5561</v>
      </c>
    </row>
    <row r="359" spans="1:19" ht="12" customHeight="1" thickBot="1">
      <c r="A359" s="916" t="str">
        <f t="shared" si="136"/>
        <v>080</v>
      </c>
      <c r="B359" s="700" t="s">
        <v>1189</v>
      </c>
      <c r="C359" s="700"/>
      <c r="D359" s="1009"/>
      <c r="E359" s="1003" t="str">
        <f t="shared" si="149"/>
        <v/>
      </c>
      <c r="F359" s="1041" t="str">
        <f t="shared" si="150"/>
        <v>$</v>
      </c>
      <c r="G359" s="906" t="s">
        <v>1199</v>
      </c>
      <c r="H359" s="906">
        <v>55</v>
      </c>
      <c r="I359" s="702" t="s">
        <v>5</v>
      </c>
      <c r="J359" s="906"/>
      <c r="K359" s="703"/>
      <c r="L359" s="906"/>
      <c r="M359" s="906"/>
      <c r="N359" s="700" t="s">
        <v>16117</v>
      </c>
      <c r="O359" s="906"/>
      <c r="P359" s="906" t="s">
        <v>6</v>
      </c>
      <c r="Q359" s="705"/>
      <c r="R359" s="903"/>
      <c r="S359" s="793"/>
    </row>
    <row r="360" spans="1:19" ht="12" customHeight="1">
      <c r="A360" s="1038" t="str">
        <f t="shared" si="136"/>
        <v>081</v>
      </c>
      <c r="B360" s="688" t="s">
        <v>1202</v>
      </c>
      <c r="C360" s="688"/>
      <c r="D360" s="1007"/>
      <c r="E360" s="1001" t="str">
        <f>IF(D360="","",D360/SUM($D$360:$D$362))</f>
        <v/>
      </c>
      <c r="F360" s="1004" t="e">
        <f>IF(J360="","$",IF(C360="当選","-",D360*100/MAX($D$360:$D$362)))</f>
        <v>#DIV/0!</v>
      </c>
      <c r="G360" s="687" t="s">
        <v>1205</v>
      </c>
      <c r="H360" s="687">
        <v>57</v>
      </c>
      <c r="I360" s="696" t="s">
        <v>5</v>
      </c>
      <c r="J360" s="687" t="s">
        <v>15273</v>
      </c>
      <c r="K360" s="747" t="s">
        <v>1206</v>
      </c>
      <c r="L360" s="687"/>
      <c r="M360" s="687"/>
      <c r="N360" s="688" t="s">
        <v>16120</v>
      </c>
      <c r="O360" s="687" t="s">
        <v>30</v>
      </c>
      <c r="P360" s="687" t="s">
        <v>25</v>
      </c>
      <c r="Q360" s="748">
        <v>6</v>
      </c>
      <c r="R360" s="749">
        <v>6</v>
      </c>
      <c r="S360" s="805" t="s">
        <v>5457</v>
      </c>
    </row>
    <row r="361" spans="1:19" ht="12" customHeight="1">
      <c r="A361" s="1040" t="str">
        <f t="shared" si="136"/>
        <v>081</v>
      </c>
      <c r="B361" s="4" t="s">
        <v>1203</v>
      </c>
      <c r="C361" s="4"/>
      <c r="D361" s="1008"/>
      <c r="E361" s="1002" t="str">
        <f t="shared" ref="E361:E362" si="151">IF(D361="","",D361/SUM($D$360:$D$362))</f>
        <v/>
      </c>
      <c r="F361" s="1005" t="e">
        <f t="shared" ref="F361:F362" si="152">IF(J361="","$",IF(C361="当選","-",D361*100/MAX($D$360:$D$362)))</f>
        <v>#DIV/0!</v>
      </c>
      <c r="G361" s="1" t="s">
        <v>1210</v>
      </c>
      <c r="H361" s="1">
        <v>42</v>
      </c>
      <c r="I361" s="2" t="s">
        <v>5</v>
      </c>
      <c r="J361" s="1" t="s">
        <v>15273</v>
      </c>
      <c r="K361" s="3" t="s">
        <v>1211</v>
      </c>
      <c r="L361" s="1"/>
      <c r="M361" s="1"/>
      <c r="N361" s="4" t="s">
        <v>16125</v>
      </c>
      <c r="O361" s="1"/>
      <c r="P361" s="1" t="s">
        <v>25</v>
      </c>
      <c r="Q361" s="16">
        <v>1</v>
      </c>
      <c r="R361" s="17">
        <v>1</v>
      </c>
      <c r="S361" s="774" t="s">
        <v>5561</v>
      </c>
    </row>
    <row r="362" spans="1:19" ht="12" customHeight="1" thickBot="1">
      <c r="A362" s="916" t="str">
        <f t="shared" si="136"/>
        <v>081</v>
      </c>
      <c r="B362" s="700" t="s">
        <v>1204</v>
      </c>
      <c r="C362" s="700"/>
      <c r="D362" s="1009"/>
      <c r="E362" s="1003" t="str">
        <f t="shared" si="151"/>
        <v/>
      </c>
      <c r="F362" s="1041" t="str">
        <f t="shared" si="152"/>
        <v>$</v>
      </c>
      <c r="G362" s="906" t="s">
        <v>5188</v>
      </c>
      <c r="H362" s="906">
        <v>61</v>
      </c>
      <c r="I362" s="702" t="s">
        <v>5</v>
      </c>
      <c r="J362" s="906"/>
      <c r="K362" s="703"/>
      <c r="L362" s="906"/>
      <c r="M362" s="906"/>
      <c r="N362" s="700" t="s">
        <v>16117</v>
      </c>
      <c r="O362" s="906"/>
      <c r="P362" s="906" t="s">
        <v>6</v>
      </c>
      <c r="Q362" s="705"/>
      <c r="R362" s="903"/>
      <c r="S362" s="793"/>
    </row>
    <row r="363" spans="1:19" ht="12" customHeight="1">
      <c r="A363" s="1038" t="str">
        <f t="shared" si="136"/>
        <v>082</v>
      </c>
      <c r="B363" s="688" t="s">
        <v>1214</v>
      </c>
      <c r="C363" s="688"/>
      <c r="D363" s="1007"/>
      <c r="E363" s="1001" t="str">
        <f>IF(D363="","",D363/SUM($D$363:$D$367))</f>
        <v/>
      </c>
      <c r="F363" s="1004" t="e">
        <f>IF(J363="","$",IF(C363="当選","-",D363*100/MAX($D$363:$D$367)))</f>
        <v>#DIV/0!</v>
      </c>
      <c r="G363" s="687" t="s">
        <v>1218</v>
      </c>
      <c r="H363" s="687">
        <v>66</v>
      </c>
      <c r="I363" s="696" t="s">
        <v>5</v>
      </c>
      <c r="J363" s="689" t="s">
        <v>15273</v>
      </c>
      <c r="K363" s="747" t="s">
        <v>1219</v>
      </c>
      <c r="L363" s="687"/>
      <c r="M363" s="687"/>
      <c r="N363" s="692" t="s">
        <v>16127</v>
      </c>
      <c r="O363" s="687" t="s">
        <v>44</v>
      </c>
      <c r="P363" s="687" t="s">
        <v>25</v>
      </c>
      <c r="Q363" s="748">
        <v>2</v>
      </c>
      <c r="R363" s="749">
        <v>2</v>
      </c>
      <c r="S363" s="805" t="s">
        <v>736</v>
      </c>
    </row>
    <row r="364" spans="1:19" ht="12" customHeight="1">
      <c r="A364" s="1040" t="str">
        <f t="shared" si="136"/>
        <v>082</v>
      </c>
      <c r="B364" s="4" t="s">
        <v>1215</v>
      </c>
      <c r="C364" s="4"/>
      <c r="D364" s="1008"/>
      <c r="E364" s="1002" t="str">
        <f t="shared" ref="E364:E367" si="153">IF(D364="","",D364/SUM($D$363:$D$367))</f>
        <v/>
      </c>
      <c r="F364" s="1005" t="e">
        <f t="shared" ref="F364:F367" si="154">IF(J364="","$",IF(C364="当選","-",D364*100/MAX($D$363:$D$367)))</f>
        <v>#DIV/0!</v>
      </c>
      <c r="G364" s="1" t="s">
        <v>1222</v>
      </c>
      <c r="H364" s="1">
        <v>37</v>
      </c>
      <c r="I364" s="2" t="s">
        <v>5</v>
      </c>
      <c r="J364" s="1" t="s">
        <v>15273</v>
      </c>
      <c r="K364" s="3"/>
      <c r="L364" s="1"/>
      <c r="M364" s="1"/>
      <c r="N364" s="4" t="s">
        <v>16120</v>
      </c>
      <c r="O364" s="1" t="s">
        <v>30</v>
      </c>
      <c r="P364" s="1" t="s">
        <v>6</v>
      </c>
      <c r="Q364" s="16"/>
      <c r="R364" s="17"/>
      <c r="S364" s="774" t="s">
        <v>5457</v>
      </c>
    </row>
    <row r="365" spans="1:19" ht="12" customHeight="1">
      <c r="A365" s="1040" t="str">
        <f t="shared" si="136"/>
        <v>082</v>
      </c>
      <c r="B365" s="4" t="s">
        <v>1216</v>
      </c>
      <c r="C365" s="4"/>
      <c r="D365" s="1008"/>
      <c r="E365" s="1002" t="str">
        <f t="shared" si="153"/>
        <v/>
      </c>
      <c r="F365" s="1005" t="e">
        <f t="shared" si="154"/>
        <v>#DIV/0!</v>
      </c>
      <c r="G365" s="1" t="s">
        <v>5514</v>
      </c>
      <c r="H365" s="1">
        <v>46</v>
      </c>
      <c r="I365" s="2" t="s">
        <v>5</v>
      </c>
      <c r="J365" s="1" t="s">
        <v>15273</v>
      </c>
      <c r="K365" s="3"/>
      <c r="L365" s="1"/>
      <c r="M365" s="1"/>
      <c r="N365" s="4" t="s">
        <v>16116</v>
      </c>
      <c r="O365" s="1" t="s">
        <v>18494</v>
      </c>
      <c r="P365" s="1" t="s">
        <v>6</v>
      </c>
      <c r="Q365" s="16"/>
      <c r="R365" s="17"/>
      <c r="S365" s="774" t="s">
        <v>6154</v>
      </c>
    </row>
    <row r="366" spans="1:19" ht="12" customHeight="1">
      <c r="A366" s="1040" t="str">
        <f t="shared" si="136"/>
        <v>082</v>
      </c>
      <c r="B366" s="4" t="s">
        <v>1217</v>
      </c>
      <c r="C366" s="4"/>
      <c r="D366" s="1008"/>
      <c r="E366" s="1002" t="str">
        <f t="shared" si="153"/>
        <v/>
      </c>
      <c r="F366" s="1005" t="str">
        <f t="shared" si="154"/>
        <v>$</v>
      </c>
      <c r="G366" s="1" t="s">
        <v>5190</v>
      </c>
      <c r="H366" s="1">
        <v>67</v>
      </c>
      <c r="I366" s="2" t="s">
        <v>5</v>
      </c>
      <c r="J366" s="1"/>
      <c r="K366" s="3"/>
      <c r="L366" s="1"/>
      <c r="M366" s="1"/>
      <c r="N366" s="4" t="s">
        <v>16117</v>
      </c>
      <c r="O366" s="1"/>
      <c r="P366" s="1" t="s">
        <v>6</v>
      </c>
      <c r="Q366" s="16"/>
      <c r="R366" s="17"/>
      <c r="S366" s="774"/>
    </row>
    <row r="367" spans="1:19" ht="12" customHeight="1" thickBot="1">
      <c r="A367" s="916" t="str">
        <f t="shared" si="136"/>
        <v>082</v>
      </c>
      <c r="B367" s="700" t="s">
        <v>5513</v>
      </c>
      <c r="C367" s="700"/>
      <c r="D367" s="1009"/>
      <c r="E367" s="1003" t="str">
        <f t="shared" si="153"/>
        <v/>
      </c>
      <c r="F367" s="1041" t="str">
        <f t="shared" si="154"/>
        <v>$</v>
      </c>
      <c r="G367" s="906" t="s">
        <v>1225</v>
      </c>
      <c r="H367" s="906">
        <v>30</v>
      </c>
      <c r="I367" s="702" t="s">
        <v>5</v>
      </c>
      <c r="J367" s="906"/>
      <c r="K367" s="703"/>
      <c r="L367" s="906"/>
      <c r="M367" s="906"/>
      <c r="N367" s="700" t="s">
        <v>16122</v>
      </c>
      <c r="O367" s="906" t="s">
        <v>22</v>
      </c>
      <c r="P367" s="906" t="s">
        <v>6</v>
      </c>
      <c r="Q367" s="705"/>
      <c r="R367" s="903"/>
      <c r="S367" s="793"/>
    </row>
    <row r="368" spans="1:19" ht="12" customHeight="1">
      <c r="A368" s="1038" t="str">
        <f t="shared" si="136"/>
        <v>083</v>
      </c>
      <c r="B368" s="688" t="s">
        <v>1226</v>
      </c>
      <c r="C368" s="688"/>
      <c r="D368" s="1007"/>
      <c r="E368" s="1001" t="str">
        <f>IF(D368="","",D368/SUM($D$368:$D$372))</f>
        <v/>
      </c>
      <c r="F368" s="1004" t="e">
        <f>IF(J368="","$",IF(C368="当選","-",D368*100/MAX($D$368:$D$372)))</f>
        <v>#DIV/0!</v>
      </c>
      <c r="G368" s="687" t="s">
        <v>1230</v>
      </c>
      <c r="H368" s="687">
        <v>52</v>
      </c>
      <c r="I368" s="696" t="s">
        <v>19</v>
      </c>
      <c r="J368" s="689" t="s">
        <v>15273</v>
      </c>
      <c r="K368" s="747" t="s">
        <v>1231</v>
      </c>
      <c r="L368" s="687"/>
      <c r="M368" s="687"/>
      <c r="N368" s="692" t="s">
        <v>16127</v>
      </c>
      <c r="O368" s="687" t="s">
        <v>44</v>
      </c>
      <c r="P368" s="687" t="s">
        <v>25</v>
      </c>
      <c r="Q368" s="748">
        <v>1</v>
      </c>
      <c r="R368" s="749">
        <v>1</v>
      </c>
      <c r="S368" s="805" t="s">
        <v>736</v>
      </c>
    </row>
    <row r="369" spans="1:19" ht="12" customHeight="1">
      <c r="A369" s="1040" t="str">
        <f t="shared" si="136"/>
        <v>083</v>
      </c>
      <c r="B369" s="4" t="s">
        <v>1227</v>
      </c>
      <c r="C369" s="4"/>
      <c r="D369" s="1008"/>
      <c r="E369" s="1002" t="str">
        <f t="shared" ref="E369:E372" si="155">IF(D369="","",D369/SUM($D$368:$D$372))</f>
        <v/>
      </c>
      <c r="F369" s="1005" t="e">
        <f t="shared" ref="F369:F372" si="156">IF(J369="","$",IF(C369="当選","-",D369*100/MAX($D$368:$D$372)))</f>
        <v>#DIV/0!</v>
      </c>
      <c r="G369" s="1" t="s">
        <v>1233</v>
      </c>
      <c r="H369" s="1">
        <v>62</v>
      </c>
      <c r="I369" s="2" t="s">
        <v>5</v>
      </c>
      <c r="J369" s="1" t="s">
        <v>15273</v>
      </c>
      <c r="K369" s="3" t="s">
        <v>1234</v>
      </c>
      <c r="L369" s="1"/>
      <c r="M369" s="1"/>
      <c r="N369" s="8" t="s">
        <v>16120</v>
      </c>
      <c r="O369" s="1" t="s">
        <v>445</v>
      </c>
      <c r="P369" s="1" t="s">
        <v>25</v>
      </c>
      <c r="Q369" s="16">
        <v>4</v>
      </c>
      <c r="R369" s="17">
        <v>4</v>
      </c>
      <c r="S369" s="774" t="s">
        <v>5457</v>
      </c>
    </row>
    <row r="370" spans="1:19" ht="12" customHeight="1">
      <c r="A370" s="1040" t="str">
        <f t="shared" si="136"/>
        <v>083</v>
      </c>
      <c r="B370" s="4" t="s">
        <v>1228</v>
      </c>
      <c r="C370" s="4"/>
      <c r="D370" s="1008"/>
      <c r="E370" s="1002" t="str">
        <f t="shared" si="155"/>
        <v/>
      </c>
      <c r="F370" s="1005" t="e">
        <f t="shared" si="156"/>
        <v>#DIV/0!</v>
      </c>
      <c r="G370" s="1" t="s">
        <v>5364</v>
      </c>
      <c r="H370" s="1">
        <v>52</v>
      </c>
      <c r="I370" s="2" t="s">
        <v>5</v>
      </c>
      <c r="J370" s="1" t="s">
        <v>15273</v>
      </c>
      <c r="K370" s="3"/>
      <c r="L370" s="1"/>
      <c r="M370" s="1"/>
      <c r="N370" s="4" t="s">
        <v>16116</v>
      </c>
      <c r="O370" s="1" t="s">
        <v>18494</v>
      </c>
      <c r="P370" s="1" t="s">
        <v>6</v>
      </c>
      <c r="Q370" s="16"/>
      <c r="R370" s="17"/>
      <c r="S370" s="774"/>
    </row>
    <row r="371" spans="1:19" ht="12" customHeight="1">
      <c r="A371" s="1040" t="str">
        <f t="shared" si="136"/>
        <v>083</v>
      </c>
      <c r="B371" s="4" t="s">
        <v>1229</v>
      </c>
      <c r="C371" s="4"/>
      <c r="D371" s="1008"/>
      <c r="E371" s="1002" t="str">
        <f t="shared" si="155"/>
        <v/>
      </c>
      <c r="F371" s="1005" t="e">
        <f t="shared" si="156"/>
        <v>#DIV/0!</v>
      </c>
      <c r="G371" s="1" t="s">
        <v>1242</v>
      </c>
      <c r="H371" s="1">
        <v>39</v>
      </c>
      <c r="I371" s="2" t="s">
        <v>5</v>
      </c>
      <c r="J371" s="1" t="s">
        <v>15273</v>
      </c>
      <c r="K371" s="3"/>
      <c r="L371" s="1"/>
      <c r="M371" s="1"/>
      <c r="N371" s="4" t="s">
        <v>18495</v>
      </c>
      <c r="O371" s="1"/>
      <c r="P371" s="1" t="s">
        <v>6</v>
      </c>
      <c r="Q371" s="16"/>
      <c r="R371" s="17"/>
      <c r="S371" s="774"/>
    </row>
    <row r="372" spans="1:19" ht="12" customHeight="1" thickBot="1">
      <c r="A372" s="916" t="str">
        <f t="shared" si="136"/>
        <v>083</v>
      </c>
      <c r="B372" s="700" t="s">
        <v>5363</v>
      </c>
      <c r="C372" s="700"/>
      <c r="D372" s="1009"/>
      <c r="E372" s="1003" t="str">
        <f t="shared" si="155"/>
        <v/>
      </c>
      <c r="F372" s="1041" t="str">
        <f t="shared" si="156"/>
        <v>$</v>
      </c>
      <c r="G372" s="906" t="s">
        <v>1240</v>
      </c>
      <c r="H372" s="906">
        <v>53</v>
      </c>
      <c r="I372" s="702" t="s">
        <v>5</v>
      </c>
      <c r="J372" s="906"/>
      <c r="K372" s="703"/>
      <c r="L372" s="906"/>
      <c r="M372" s="906"/>
      <c r="N372" s="700" t="s">
        <v>16117</v>
      </c>
      <c r="O372" s="906"/>
      <c r="P372" s="906" t="s">
        <v>6</v>
      </c>
      <c r="Q372" s="705"/>
      <c r="R372" s="903"/>
      <c r="S372" s="793"/>
    </row>
    <row r="373" spans="1:19" ht="12" customHeight="1">
      <c r="A373" s="1038" t="str">
        <f t="shared" si="136"/>
        <v>084</v>
      </c>
      <c r="B373" s="688" t="s">
        <v>1244</v>
      </c>
      <c r="C373" s="688"/>
      <c r="D373" s="1007"/>
      <c r="E373" s="1001" t="str">
        <f>IF(D373="","",D373/SUM($D$373:$D$375))</f>
        <v/>
      </c>
      <c r="F373" s="1004" t="e">
        <f>IF(J373="","$",IF(C373="当選","-",D373*100/MAX($D$373:$D$375)))</f>
        <v>#DIV/0!</v>
      </c>
      <c r="G373" s="687" t="s">
        <v>1247</v>
      </c>
      <c r="H373" s="687">
        <v>37</v>
      </c>
      <c r="I373" s="696" t="s">
        <v>5</v>
      </c>
      <c r="J373" s="689" t="s">
        <v>15273</v>
      </c>
      <c r="K373" s="747" t="s">
        <v>1248</v>
      </c>
      <c r="L373" s="687"/>
      <c r="M373" s="687"/>
      <c r="N373" s="692" t="s">
        <v>16126</v>
      </c>
      <c r="O373" s="687" t="s">
        <v>44</v>
      </c>
      <c r="P373" s="687" t="s">
        <v>25</v>
      </c>
      <c r="Q373" s="748">
        <v>1</v>
      </c>
      <c r="R373" s="749">
        <v>1</v>
      </c>
      <c r="S373" s="805" t="s">
        <v>736</v>
      </c>
    </row>
    <row r="374" spans="1:19" ht="12" customHeight="1">
      <c r="A374" s="1040" t="str">
        <f t="shared" si="136"/>
        <v>084</v>
      </c>
      <c r="B374" s="4" t="s">
        <v>1245</v>
      </c>
      <c r="C374" s="4"/>
      <c r="D374" s="1008"/>
      <c r="E374" s="1002" t="str">
        <f t="shared" ref="E374:E375" si="157">IF(D374="","",D374/SUM($D$373:$D$375))</f>
        <v/>
      </c>
      <c r="F374" s="1005" t="e">
        <f t="shared" ref="F374:F375" si="158">IF(J374="","$",IF(C374="当選","-",D374*100/MAX($D$373:$D$375)))</f>
        <v>#DIV/0!</v>
      </c>
      <c r="G374" s="1" t="s">
        <v>1251</v>
      </c>
      <c r="H374" s="1">
        <v>64</v>
      </c>
      <c r="I374" s="2" t="s">
        <v>5</v>
      </c>
      <c r="J374" s="1" t="s">
        <v>15273</v>
      </c>
      <c r="K374" s="3" t="s">
        <v>1252</v>
      </c>
      <c r="L374" s="1"/>
      <c r="M374" s="1"/>
      <c r="N374" s="4" t="s">
        <v>16120</v>
      </c>
      <c r="O374" s="1" t="s">
        <v>30</v>
      </c>
      <c r="P374" s="1" t="s">
        <v>25</v>
      </c>
      <c r="Q374" s="16">
        <v>5</v>
      </c>
      <c r="R374" s="17">
        <v>5</v>
      </c>
      <c r="S374" s="774" t="s">
        <v>5457</v>
      </c>
    </row>
    <row r="375" spans="1:19" ht="12" customHeight="1" thickBot="1">
      <c r="A375" s="916" t="str">
        <f t="shared" si="136"/>
        <v>084</v>
      </c>
      <c r="B375" s="700" t="s">
        <v>1246</v>
      </c>
      <c r="C375" s="700"/>
      <c r="D375" s="1009"/>
      <c r="E375" s="1003" t="str">
        <f t="shared" si="157"/>
        <v/>
      </c>
      <c r="F375" s="1041" t="str">
        <f t="shared" si="158"/>
        <v>$</v>
      </c>
      <c r="G375" s="906" t="s">
        <v>1255</v>
      </c>
      <c r="H375" s="906">
        <v>50</v>
      </c>
      <c r="I375" s="702" t="s">
        <v>5</v>
      </c>
      <c r="J375" s="906"/>
      <c r="K375" s="703"/>
      <c r="L375" s="906"/>
      <c r="M375" s="906"/>
      <c r="N375" s="700" t="s">
        <v>16117</v>
      </c>
      <c r="O375" s="906"/>
      <c r="P375" s="906" t="s">
        <v>6</v>
      </c>
      <c r="Q375" s="705"/>
      <c r="R375" s="903"/>
      <c r="S375" s="793"/>
    </row>
    <row r="376" spans="1:19" ht="12" customHeight="1">
      <c r="A376" s="1038" t="str">
        <f t="shared" si="136"/>
        <v>085</v>
      </c>
      <c r="B376" s="688" t="s">
        <v>1259</v>
      </c>
      <c r="C376" s="688"/>
      <c r="D376" s="1007"/>
      <c r="E376" s="1001" t="str">
        <f>IF(D376="","",D376/SUM($D$376:$D$381))</f>
        <v/>
      </c>
      <c r="F376" s="1004" t="e">
        <f>IF(J376="","$",IF(C376="当選","-",D376*100/MAX($D$376:$D$381)))</f>
        <v>#DIV/0!</v>
      </c>
      <c r="G376" s="687" t="s">
        <v>1546</v>
      </c>
      <c r="H376" s="687">
        <v>50</v>
      </c>
      <c r="I376" s="696" t="s">
        <v>5</v>
      </c>
      <c r="J376" s="689" t="s">
        <v>15273</v>
      </c>
      <c r="K376" s="747" t="s">
        <v>4407</v>
      </c>
      <c r="L376" s="687"/>
      <c r="M376" s="687"/>
      <c r="N376" s="692" t="s">
        <v>16127</v>
      </c>
      <c r="O376" s="687" t="s">
        <v>24</v>
      </c>
      <c r="P376" s="687" t="s">
        <v>25</v>
      </c>
      <c r="Q376" s="748">
        <v>1</v>
      </c>
      <c r="R376" s="749">
        <v>1</v>
      </c>
      <c r="S376" s="805" t="s">
        <v>736</v>
      </c>
    </row>
    <row r="377" spans="1:19" ht="12" customHeight="1">
      <c r="A377" s="1040" t="str">
        <f t="shared" si="136"/>
        <v>085</v>
      </c>
      <c r="B377" s="4" t="s">
        <v>1260</v>
      </c>
      <c r="C377" s="4"/>
      <c r="D377" s="1008"/>
      <c r="E377" s="1002" t="str">
        <f t="shared" ref="E377:E381" si="159">IF(D377="","",D377/SUM($D$376:$D$381))</f>
        <v/>
      </c>
      <c r="F377" s="1005" t="e">
        <f t="shared" ref="F377:F381" si="160">IF(J377="","$",IF(C377="当選","-",D377*100/MAX($D$376:$D$381)))</f>
        <v>#DIV/0!</v>
      </c>
      <c r="G377" s="1" t="s">
        <v>1264</v>
      </c>
      <c r="H377" s="1">
        <v>47</v>
      </c>
      <c r="I377" s="2" t="s">
        <v>5</v>
      </c>
      <c r="J377" s="1" t="s">
        <v>15273</v>
      </c>
      <c r="K377" s="3"/>
      <c r="L377" s="1"/>
      <c r="M377" s="1"/>
      <c r="N377" s="4" t="s">
        <v>16120</v>
      </c>
      <c r="O377" s="1" t="s">
        <v>30</v>
      </c>
      <c r="P377" s="1" t="s">
        <v>14</v>
      </c>
      <c r="Q377" s="16">
        <v>5</v>
      </c>
      <c r="R377" s="17">
        <v>5</v>
      </c>
      <c r="S377" s="774" t="s">
        <v>5457</v>
      </c>
    </row>
    <row r="378" spans="1:19" ht="12" customHeight="1">
      <c r="A378" s="1040" t="str">
        <f t="shared" si="136"/>
        <v>085</v>
      </c>
      <c r="B378" s="4" t="s">
        <v>1261</v>
      </c>
      <c r="C378" s="4"/>
      <c r="D378" s="1008"/>
      <c r="E378" s="1002" t="str">
        <f t="shared" si="159"/>
        <v/>
      </c>
      <c r="F378" s="1005" t="e">
        <f t="shared" si="160"/>
        <v>#DIV/0!</v>
      </c>
      <c r="G378" s="1" t="s">
        <v>1268</v>
      </c>
      <c r="H378" s="1">
        <v>48</v>
      </c>
      <c r="I378" s="2" t="s">
        <v>19</v>
      </c>
      <c r="J378" s="1" t="s">
        <v>15273</v>
      </c>
      <c r="K378" s="3" t="s">
        <v>1269</v>
      </c>
      <c r="L378" s="1"/>
      <c r="M378" s="1"/>
      <c r="N378" s="4" t="s">
        <v>16125</v>
      </c>
      <c r="O378" s="1"/>
      <c r="P378" s="1" t="s">
        <v>25</v>
      </c>
      <c r="Q378" s="16">
        <v>1</v>
      </c>
      <c r="R378" s="17">
        <v>1</v>
      </c>
      <c r="S378" s="774" t="s">
        <v>16114</v>
      </c>
    </row>
    <row r="379" spans="1:19" ht="12" customHeight="1">
      <c r="A379" s="1040" t="str">
        <f t="shared" si="136"/>
        <v>085</v>
      </c>
      <c r="B379" s="4" t="s">
        <v>1262</v>
      </c>
      <c r="C379" s="4"/>
      <c r="D379" s="1008"/>
      <c r="E379" s="1002" t="str">
        <f t="shared" si="159"/>
        <v/>
      </c>
      <c r="F379" s="1005" t="e">
        <f t="shared" si="160"/>
        <v>#DIV/0!</v>
      </c>
      <c r="G379" s="1" t="s">
        <v>5366</v>
      </c>
      <c r="H379" s="1">
        <v>44</v>
      </c>
      <c r="I379" s="2" t="s">
        <v>19</v>
      </c>
      <c r="J379" s="1" t="s">
        <v>15273</v>
      </c>
      <c r="K379" s="3"/>
      <c r="L379" s="1"/>
      <c r="M379" s="1"/>
      <c r="N379" s="4" t="s">
        <v>16116</v>
      </c>
      <c r="O379" s="1" t="s">
        <v>18494</v>
      </c>
      <c r="P379" s="1" t="s">
        <v>6</v>
      </c>
      <c r="Q379" s="16"/>
      <c r="R379" s="17"/>
      <c r="S379" s="774"/>
    </row>
    <row r="380" spans="1:19" ht="12" customHeight="1">
      <c r="A380" s="1040" t="str">
        <f t="shared" si="136"/>
        <v>085</v>
      </c>
      <c r="B380" s="4" t="s">
        <v>1263</v>
      </c>
      <c r="C380" s="4"/>
      <c r="D380" s="1008"/>
      <c r="E380" s="1002" t="str">
        <f t="shared" si="159"/>
        <v/>
      </c>
      <c r="F380" s="1005" t="e">
        <f t="shared" si="160"/>
        <v>#DIV/0!</v>
      </c>
      <c r="G380" s="1" t="s">
        <v>1275</v>
      </c>
      <c r="H380" s="1">
        <v>44</v>
      </c>
      <c r="I380" s="2" t="s">
        <v>5</v>
      </c>
      <c r="J380" s="1" t="s">
        <v>15273</v>
      </c>
      <c r="K380" s="3"/>
      <c r="L380" s="1"/>
      <c r="M380" s="1"/>
      <c r="N380" s="4" t="s">
        <v>18495</v>
      </c>
      <c r="O380" s="1"/>
      <c r="P380" s="1" t="s">
        <v>6</v>
      </c>
      <c r="Q380" s="16"/>
      <c r="R380" s="17"/>
      <c r="S380" s="774"/>
    </row>
    <row r="381" spans="1:19" ht="12" customHeight="1" thickBot="1">
      <c r="A381" s="916" t="str">
        <f t="shared" si="136"/>
        <v>085</v>
      </c>
      <c r="B381" s="700" t="s">
        <v>5365</v>
      </c>
      <c r="C381" s="700"/>
      <c r="D381" s="1009"/>
      <c r="E381" s="1003" t="str">
        <f t="shared" si="159"/>
        <v/>
      </c>
      <c r="F381" s="1041" t="str">
        <f t="shared" si="160"/>
        <v>$</v>
      </c>
      <c r="G381" s="906" t="s">
        <v>1272</v>
      </c>
      <c r="H381" s="906">
        <v>39</v>
      </c>
      <c r="I381" s="702" t="s">
        <v>19</v>
      </c>
      <c r="J381" s="906"/>
      <c r="K381" s="703"/>
      <c r="L381" s="906"/>
      <c r="M381" s="906"/>
      <c r="N381" s="700" t="s">
        <v>16117</v>
      </c>
      <c r="O381" s="906"/>
      <c r="P381" s="906" t="s">
        <v>6</v>
      </c>
      <c r="Q381" s="705"/>
      <c r="R381" s="903"/>
      <c r="S381" s="793"/>
    </row>
    <row r="382" spans="1:19" ht="12" customHeight="1">
      <c r="A382" s="1038" t="str">
        <f t="shared" si="136"/>
        <v>086</v>
      </c>
      <c r="B382" s="688" t="s">
        <v>1277</v>
      </c>
      <c r="C382" s="688"/>
      <c r="D382" s="1007"/>
      <c r="E382" s="1001" t="str">
        <f>IF(D382="","",D382/SUM($D$382:$D$385))</f>
        <v/>
      </c>
      <c r="F382" s="1004" t="e">
        <f>IF(J382="","$",IF(C382="当選","-",D382*100/MAX($D$382:$D$385)))</f>
        <v>#DIV/0!</v>
      </c>
      <c r="G382" s="687" t="s">
        <v>5325</v>
      </c>
      <c r="H382" s="687">
        <v>42</v>
      </c>
      <c r="I382" s="696" t="s">
        <v>5</v>
      </c>
      <c r="J382" s="689" t="s">
        <v>15273</v>
      </c>
      <c r="K382" s="747"/>
      <c r="L382" s="687"/>
      <c r="M382" s="687"/>
      <c r="N382" s="692" t="s">
        <v>16127</v>
      </c>
      <c r="O382" s="687" t="s">
        <v>44</v>
      </c>
      <c r="P382" s="687" t="s">
        <v>6</v>
      </c>
      <c r="Q382" s="748"/>
      <c r="R382" s="749"/>
      <c r="S382" s="805" t="s">
        <v>736</v>
      </c>
    </row>
    <row r="383" spans="1:19" ht="12" customHeight="1">
      <c r="A383" s="1040" t="str">
        <f t="shared" si="136"/>
        <v>086</v>
      </c>
      <c r="B383" s="4" t="s">
        <v>1278</v>
      </c>
      <c r="C383" s="4"/>
      <c r="D383" s="1008"/>
      <c r="E383" s="1002" t="str">
        <f t="shared" ref="E383:E385" si="161">IF(D383="","",D383/SUM($D$382:$D$385))</f>
        <v/>
      </c>
      <c r="F383" s="1005" t="e">
        <f t="shared" ref="F383:F385" si="162">IF(J383="","$",IF(C383="当選","-",D383*100/MAX($D$382:$D$385)))</f>
        <v>#DIV/0!</v>
      </c>
      <c r="G383" s="1" t="s">
        <v>1281</v>
      </c>
      <c r="H383" s="1">
        <v>37</v>
      </c>
      <c r="I383" s="2" t="s">
        <v>5</v>
      </c>
      <c r="J383" s="1" t="s">
        <v>15273</v>
      </c>
      <c r="K383" s="3"/>
      <c r="L383" s="1"/>
      <c r="M383" s="1"/>
      <c r="N383" s="8" t="s">
        <v>16120</v>
      </c>
      <c r="O383" s="1" t="s">
        <v>30</v>
      </c>
      <c r="P383" s="1" t="s">
        <v>14</v>
      </c>
      <c r="Q383" s="16">
        <v>1</v>
      </c>
      <c r="R383" s="17">
        <v>1</v>
      </c>
      <c r="S383" s="774" t="s">
        <v>5457</v>
      </c>
    </row>
    <row r="384" spans="1:19" ht="12" customHeight="1">
      <c r="A384" s="1040" t="str">
        <f t="shared" si="136"/>
        <v>086</v>
      </c>
      <c r="B384" s="4" t="s">
        <v>1279</v>
      </c>
      <c r="C384" s="4"/>
      <c r="D384" s="1008"/>
      <c r="E384" s="1002" t="str">
        <f t="shared" si="161"/>
        <v/>
      </c>
      <c r="F384" s="1005" t="e">
        <f t="shared" si="162"/>
        <v>#DIV/0!</v>
      </c>
      <c r="G384" s="1" t="s">
        <v>1286</v>
      </c>
      <c r="H384" s="1">
        <v>48</v>
      </c>
      <c r="I384" s="2" t="s">
        <v>5</v>
      </c>
      <c r="J384" s="1" t="s">
        <v>15273</v>
      </c>
      <c r="K384" s="3" t="s">
        <v>1287</v>
      </c>
      <c r="L384" s="1"/>
      <c r="M384" s="1"/>
      <c r="N384" s="4" t="s">
        <v>18495</v>
      </c>
      <c r="O384" s="1"/>
      <c r="P384" s="1" t="s">
        <v>25</v>
      </c>
      <c r="Q384" s="16">
        <v>1</v>
      </c>
      <c r="R384" s="17">
        <v>5</v>
      </c>
      <c r="S384" s="774"/>
    </row>
    <row r="385" spans="1:19" ht="12" customHeight="1" thickBot="1">
      <c r="A385" s="916" t="str">
        <f t="shared" si="136"/>
        <v>086</v>
      </c>
      <c r="B385" s="700" t="s">
        <v>1280</v>
      </c>
      <c r="C385" s="700"/>
      <c r="D385" s="1009"/>
      <c r="E385" s="1003" t="str">
        <f t="shared" si="161"/>
        <v/>
      </c>
      <c r="F385" s="1041" t="str">
        <f t="shared" si="162"/>
        <v>$</v>
      </c>
      <c r="G385" s="906" t="s">
        <v>1283</v>
      </c>
      <c r="H385" s="906">
        <v>68</v>
      </c>
      <c r="I385" s="702" t="s">
        <v>5</v>
      </c>
      <c r="J385" s="906"/>
      <c r="K385" s="703"/>
      <c r="L385" s="906"/>
      <c r="M385" s="906"/>
      <c r="N385" s="700" t="s">
        <v>16117</v>
      </c>
      <c r="O385" s="906"/>
      <c r="P385" s="906" t="s">
        <v>6</v>
      </c>
      <c r="Q385" s="705"/>
      <c r="R385" s="903"/>
      <c r="S385" s="793"/>
    </row>
    <row r="386" spans="1:19" ht="12" customHeight="1">
      <c r="A386" s="1038" t="str">
        <f t="shared" si="136"/>
        <v>087</v>
      </c>
      <c r="B386" s="688" t="s">
        <v>1377</v>
      </c>
      <c r="C386" s="688"/>
      <c r="D386" s="1007"/>
      <c r="E386" s="1001" t="str">
        <f>IF(D386="","",D386/SUM($D$386:$D$391))</f>
        <v/>
      </c>
      <c r="F386" s="1004" t="e">
        <f>IF(J386="","$",IF(C386="当選","-",D386*100/MAX($D$386:$D$391)))</f>
        <v>#DIV/0!</v>
      </c>
      <c r="G386" s="687" t="s">
        <v>1380</v>
      </c>
      <c r="H386" s="687">
        <v>74</v>
      </c>
      <c r="I386" s="696" t="s">
        <v>5</v>
      </c>
      <c r="J386" s="689" t="s">
        <v>15273</v>
      </c>
      <c r="K386" s="747" t="s">
        <v>1381</v>
      </c>
      <c r="L386" s="687"/>
      <c r="M386" s="687"/>
      <c r="N386" s="692" t="s">
        <v>16126</v>
      </c>
      <c r="O386" s="687" t="s">
        <v>681</v>
      </c>
      <c r="P386" s="687" t="s">
        <v>25</v>
      </c>
      <c r="Q386" s="748">
        <v>6</v>
      </c>
      <c r="R386" s="749">
        <v>6</v>
      </c>
      <c r="S386" s="805" t="s">
        <v>736</v>
      </c>
    </row>
    <row r="387" spans="1:19" ht="12" customHeight="1">
      <c r="A387" s="1040" t="str">
        <f t="shared" ref="A387:A450" si="163">MIDB(B387,1,3)</f>
        <v>087</v>
      </c>
      <c r="B387" s="4" t="s">
        <v>1378</v>
      </c>
      <c r="C387" s="4"/>
      <c r="D387" s="1008"/>
      <c r="E387" s="1002" t="str">
        <f t="shared" ref="E387:E391" si="164">IF(D387="","",D387/SUM($D$386:$D$391))</f>
        <v/>
      </c>
      <c r="F387" s="1005" t="e">
        <f t="shared" ref="F387:F391" si="165">IF(J387="","$",IF(C387="当選","-",D387*100/MAX($D$386:$D$391)))</f>
        <v>#DIV/0!</v>
      </c>
      <c r="G387" s="1" t="s">
        <v>1386</v>
      </c>
      <c r="H387" s="1">
        <v>47</v>
      </c>
      <c r="I387" s="2" t="s">
        <v>5</v>
      </c>
      <c r="J387" s="1" t="s">
        <v>15273</v>
      </c>
      <c r="K387" s="3"/>
      <c r="L387" s="1"/>
      <c r="M387" s="1"/>
      <c r="N387" s="4" t="s">
        <v>16120</v>
      </c>
      <c r="O387" s="1" t="s">
        <v>30</v>
      </c>
      <c r="P387" s="1" t="s">
        <v>14</v>
      </c>
      <c r="Q387" s="16">
        <v>1</v>
      </c>
      <c r="R387" s="17">
        <v>1</v>
      </c>
      <c r="S387" s="774" t="s">
        <v>5457</v>
      </c>
    </row>
    <row r="388" spans="1:19" ht="12" customHeight="1">
      <c r="A388" s="1040" t="str">
        <f t="shared" si="163"/>
        <v>087</v>
      </c>
      <c r="B388" s="4" t="s">
        <v>1379</v>
      </c>
      <c r="C388" s="4"/>
      <c r="D388" s="1008"/>
      <c r="E388" s="1002" t="str">
        <f t="shared" si="164"/>
        <v/>
      </c>
      <c r="F388" s="1005" t="e">
        <f t="shared" si="165"/>
        <v>#DIV/0!</v>
      </c>
      <c r="G388" s="1" t="s">
        <v>5791</v>
      </c>
      <c r="H388" s="1">
        <v>56</v>
      </c>
      <c r="I388" s="2" t="s">
        <v>5</v>
      </c>
      <c r="J388" s="1" t="s">
        <v>15273</v>
      </c>
      <c r="K388" s="3"/>
      <c r="L388" s="1"/>
      <c r="M388" s="1"/>
      <c r="N388" s="4" t="s">
        <v>16125</v>
      </c>
      <c r="O388" s="1"/>
      <c r="P388" s="1" t="s">
        <v>6</v>
      </c>
      <c r="Q388" s="16"/>
      <c r="R388" s="17"/>
      <c r="S388" s="774" t="s">
        <v>5561</v>
      </c>
    </row>
    <row r="389" spans="1:19" ht="12" customHeight="1">
      <c r="A389" s="1040" t="str">
        <f t="shared" si="163"/>
        <v>087</v>
      </c>
      <c r="B389" s="4" t="s">
        <v>4594</v>
      </c>
      <c r="C389" s="4"/>
      <c r="D389" s="1008"/>
      <c r="E389" s="1002" t="str">
        <f t="shared" si="164"/>
        <v/>
      </c>
      <c r="F389" s="1005" t="e">
        <f t="shared" si="165"/>
        <v>#DIV/0!</v>
      </c>
      <c r="G389" s="1" t="s">
        <v>5371</v>
      </c>
      <c r="H389" s="1">
        <v>45</v>
      </c>
      <c r="I389" s="2" t="s">
        <v>5</v>
      </c>
      <c r="J389" s="1" t="s">
        <v>15273</v>
      </c>
      <c r="K389" s="3"/>
      <c r="L389" s="1"/>
      <c r="M389" s="1"/>
      <c r="N389" s="4" t="s">
        <v>16116</v>
      </c>
      <c r="O389" s="1" t="s">
        <v>6154</v>
      </c>
      <c r="P389" s="1" t="s">
        <v>6</v>
      </c>
      <c r="Q389" s="16"/>
      <c r="R389" s="17"/>
      <c r="S389" s="774"/>
    </row>
    <row r="390" spans="1:19" ht="12" customHeight="1">
      <c r="A390" s="1040" t="str">
        <f t="shared" si="163"/>
        <v>087</v>
      </c>
      <c r="B390" s="4" t="s">
        <v>5367</v>
      </c>
      <c r="C390" s="4"/>
      <c r="D390" s="1008"/>
      <c r="E390" s="1002" t="str">
        <f t="shared" si="164"/>
        <v/>
      </c>
      <c r="F390" s="1005" t="e">
        <f t="shared" si="165"/>
        <v>#DIV/0!</v>
      </c>
      <c r="G390" s="1" t="s">
        <v>4595</v>
      </c>
      <c r="H390" s="1">
        <v>51</v>
      </c>
      <c r="I390" s="2" t="s">
        <v>5</v>
      </c>
      <c r="J390" s="1" t="s">
        <v>15273</v>
      </c>
      <c r="K390" s="3"/>
      <c r="L390" s="1"/>
      <c r="M390" s="1"/>
      <c r="N390" s="8" t="s">
        <v>18495</v>
      </c>
      <c r="O390" s="1"/>
      <c r="P390" s="1" t="s">
        <v>6</v>
      </c>
      <c r="Q390" s="16"/>
      <c r="R390" s="17"/>
      <c r="S390" s="774"/>
    </row>
    <row r="391" spans="1:19" ht="12" customHeight="1" thickBot="1">
      <c r="A391" s="916" t="str">
        <f t="shared" si="163"/>
        <v>087</v>
      </c>
      <c r="B391" s="700" t="s">
        <v>5790</v>
      </c>
      <c r="C391" s="700"/>
      <c r="D391" s="1009"/>
      <c r="E391" s="1003" t="str">
        <f t="shared" si="164"/>
        <v/>
      </c>
      <c r="F391" s="1041" t="str">
        <f t="shared" si="165"/>
        <v>$</v>
      </c>
      <c r="G391" s="906" t="s">
        <v>1390</v>
      </c>
      <c r="H391" s="906">
        <v>41</v>
      </c>
      <c r="I391" s="702" t="s">
        <v>5</v>
      </c>
      <c r="J391" s="906"/>
      <c r="K391" s="703"/>
      <c r="L391" s="906"/>
      <c r="M391" s="906"/>
      <c r="N391" s="700" t="s">
        <v>16117</v>
      </c>
      <c r="O391" s="906"/>
      <c r="P391" s="906" t="s">
        <v>6</v>
      </c>
      <c r="Q391" s="705"/>
      <c r="R391" s="903"/>
      <c r="S391" s="793"/>
    </row>
    <row r="392" spans="1:19" ht="12" customHeight="1">
      <c r="A392" s="1038" t="str">
        <f t="shared" si="163"/>
        <v>088</v>
      </c>
      <c r="B392" s="688" t="s">
        <v>1393</v>
      </c>
      <c r="C392" s="688"/>
      <c r="D392" s="1007"/>
      <c r="E392" s="1001" t="str">
        <f>IF(D392="","",D392/SUM($D$392:$D$395))</f>
        <v/>
      </c>
      <c r="F392" s="1004" t="e">
        <f>IF(J392="","$",IF(C392="当選","-",D392*100/MAX($D$392:$D$395)))</f>
        <v>#DIV/0!</v>
      </c>
      <c r="G392" s="687" t="s">
        <v>1397</v>
      </c>
      <c r="H392" s="687">
        <v>71</v>
      </c>
      <c r="I392" s="696" t="s">
        <v>5</v>
      </c>
      <c r="J392" s="689" t="s">
        <v>15273</v>
      </c>
      <c r="K392" s="747" t="s">
        <v>1398</v>
      </c>
      <c r="L392" s="687"/>
      <c r="M392" s="687"/>
      <c r="N392" s="692" t="s">
        <v>16127</v>
      </c>
      <c r="O392" s="687" t="s">
        <v>45</v>
      </c>
      <c r="P392" s="687" t="s">
        <v>25</v>
      </c>
      <c r="Q392" s="748">
        <v>6</v>
      </c>
      <c r="R392" s="749">
        <v>6</v>
      </c>
      <c r="S392" s="805"/>
    </row>
    <row r="393" spans="1:19" ht="12" customHeight="1">
      <c r="A393" s="1040" t="str">
        <f t="shared" si="163"/>
        <v>088</v>
      </c>
      <c r="B393" s="4" t="s">
        <v>1394</v>
      </c>
      <c r="C393" s="4"/>
      <c r="D393" s="1008"/>
      <c r="E393" s="1002" t="str">
        <f t="shared" ref="E393:E395" si="166">IF(D393="","",D393/SUM($D$392:$D$395))</f>
        <v/>
      </c>
      <c r="F393" s="1005" t="str">
        <f t="shared" ref="F393:F395" si="167">IF(J393="","$",IF(C393="当選","-",D393*100/MAX($D$392:$D$395)))</f>
        <v>$</v>
      </c>
      <c r="G393" s="1" t="s">
        <v>1400</v>
      </c>
      <c r="H393" s="1">
        <v>54</v>
      </c>
      <c r="I393" s="2" t="s">
        <v>5</v>
      </c>
      <c r="J393" s="1"/>
      <c r="K393" s="3"/>
      <c r="L393" s="1"/>
      <c r="M393" s="1"/>
      <c r="N393" s="4" t="s">
        <v>16118</v>
      </c>
      <c r="O393" s="1"/>
      <c r="P393" s="1" t="s">
        <v>14</v>
      </c>
      <c r="Q393" s="16">
        <v>5</v>
      </c>
      <c r="R393" s="17">
        <v>5</v>
      </c>
      <c r="S393" s="774" t="s">
        <v>276</v>
      </c>
    </row>
    <row r="394" spans="1:19" ht="12" customHeight="1">
      <c r="A394" s="1040" t="str">
        <f t="shared" si="163"/>
        <v>088</v>
      </c>
      <c r="B394" s="4" t="s">
        <v>1395</v>
      </c>
      <c r="C394" s="4"/>
      <c r="D394" s="1008"/>
      <c r="E394" s="1002" t="str">
        <f t="shared" si="166"/>
        <v/>
      </c>
      <c r="F394" s="1005" t="e">
        <f t="shared" si="167"/>
        <v>#DIV/0!</v>
      </c>
      <c r="G394" s="1" t="s">
        <v>1404</v>
      </c>
      <c r="H394" s="1">
        <v>43</v>
      </c>
      <c r="I394" s="2" t="s">
        <v>5</v>
      </c>
      <c r="J394" s="1" t="s">
        <v>15273</v>
      </c>
      <c r="K394" s="3"/>
      <c r="L394" s="1"/>
      <c r="M394" s="1"/>
      <c r="N394" s="4" t="s">
        <v>18495</v>
      </c>
      <c r="O394" s="1"/>
      <c r="P394" s="1" t="s">
        <v>6</v>
      </c>
      <c r="Q394" s="16"/>
      <c r="R394" s="17"/>
      <c r="S394" s="774"/>
    </row>
    <row r="395" spans="1:19" ht="12" customHeight="1" thickBot="1">
      <c r="A395" s="916" t="str">
        <f t="shared" si="163"/>
        <v>088</v>
      </c>
      <c r="B395" s="700" t="s">
        <v>1396</v>
      </c>
      <c r="C395" s="700"/>
      <c r="D395" s="1009"/>
      <c r="E395" s="1003" t="str">
        <f t="shared" si="166"/>
        <v/>
      </c>
      <c r="F395" s="1041" t="str">
        <f t="shared" si="167"/>
        <v>$</v>
      </c>
      <c r="G395" s="906" t="s">
        <v>5880</v>
      </c>
      <c r="H395" s="906">
        <v>60</v>
      </c>
      <c r="I395" s="702" t="s">
        <v>5</v>
      </c>
      <c r="J395" s="906"/>
      <c r="K395" s="703"/>
      <c r="L395" s="906"/>
      <c r="M395" s="906"/>
      <c r="N395" s="700" t="s">
        <v>16117</v>
      </c>
      <c r="O395" s="906"/>
      <c r="P395" s="906" t="s">
        <v>6</v>
      </c>
      <c r="Q395" s="705"/>
      <c r="R395" s="903"/>
      <c r="S395" s="793"/>
    </row>
    <row r="396" spans="1:19" ht="12" customHeight="1">
      <c r="A396" s="1038" t="str">
        <f t="shared" si="163"/>
        <v>089</v>
      </c>
      <c r="B396" s="688" t="s">
        <v>1407</v>
      </c>
      <c r="C396" s="688"/>
      <c r="D396" s="1007"/>
      <c r="E396" s="1001" t="str">
        <f>IF(D396="","",D396/SUM($D$396:$D$400))</f>
        <v/>
      </c>
      <c r="F396" s="1004" t="e">
        <f>IF(J396="","$",IF(C396="当選","-",D396*100/MAX($D$396:$D$400)))</f>
        <v>#DIV/0!</v>
      </c>
      <c r="G396" s="687" t="s">
        <v>1411</v>
      </c>
      <c r="H396" s="687">
        <v>67</v>
      </c>
      <c r="I396" s="696" t="s">
        <v>5</v>
      </c>
      <c r="J396" s="689" t="s">
        <v>15273</v>
      </c>
      <c r="K396" s="747" t="s">
        <v>1412</v>
      </c>
      <c r="L396" s="687"/>
      <c r="M396" s="687"/>
      <c r="N396" s="692" t="s">
        <v>16127</v>
      </c>
      <c r="O396" s="687" t="s">
        <v>44</v>
      </c>
      <c r="P396" s="687" t="s">
        <v>25</v>
      </c>
      <c r="Q396" s="748">
        <v>3</v>
      </c>
      <c r="R396" s="749">
        <v>3</v>
      </c>
      <c r="S396" s="805" t="s">
        <v>736</v>
      </c>
    </row>
    <row r="397" spans="1:19" ht="12" customHeight="1">
      <c r="A397" s="1040" t="str">
        <f t="shared" si="163"/>
        <v>089</v>
      </c>
      <c r="B397" s="4" t="s">
        <v>1408</v>
      </c>
      <c r="C397" s="4"/>
      <c r="D397" s="1008"/>
      <c r="E397" s="1002" t="str">
        <f t="shared" ref="E397:E400" si="168">IF(D397="","",D397/SUM($D$396:$D$400))</f>
        <v/>
      </c>
      <c r="F397" s="1005" t="e">
        <f t="shared" ref="F397:F400" si="169">IF(J397="","$",IF(C397="当選","-",D397*100/MAX($D$396:$D$400)))</f>
        <v>#DIV/0!</v>
      </c>
      <c r="G397" s="1" t="s">
        <v>1414</v>
      </c>
      <c r="H397" s="1">
        <v>35</v>
      </c>
      <c r="I397" s="2" t="s">
        <v>5</v>
      </c>
      <c r="J397" s="1" t="s">
        <v>15273</v>
      </c>
      <c r="K397" s="3"/>
      <c r="L397" s="1"/>
      <c r="M397" s="1"/>
      <c r="N397" s="4" t="s">
        <v>16120</v>
      </c>
      <c r="O397" s="1" t="s">
        <v>445</v>
      </c>
      <c r="P397" s="1" t="s">
        <v>14</v>
      </c>
      <c r="Q397" s="16">
        <v>1</v>
      </c>
      <c r="R397" s="17">
        <v>1</v>
      </c>
      <c r="S397" s="774" t="s">
        <v>5457</v>
      </c>
    </row>
    <row r="398" spans="1:19" ht="12" customHeight="1">
      <c r="A398" s="1040" t="str">
        <f t="shared" si="163"/>
        <v>089</v>
      </c>
      <c r="B398" s="4" t="s">
        <v>1409</v>
      </c>
      <c r="C398" s="4"/>
      <c r="D398" s="1008"/>
      <c r="E398" s="1002" t="str">
        <f t="shared" si="168"/>
        <v/>
      </c>
      <c r="F398" s="1005" t="e">
        <f t="shared" si="169"/>
        <v>#DIV/0!</v>
      </c>
      <c r="G398" s="1" t="s">
        <v>5946</v>
      </c>
      <c r="H398" s="1">
        <v>50</v>
      </c>
      <c r="I398" s="2" t="s">
        <v>5</v>
      </c>
      <c r="J398" s="1" t="s">
        <v>15273</v>
      </c>
      <c r="K398" s="3" t="s">
        <v>5947</v>
      </c>
      <c r="L398" s="1"/>
      <c r="M398" s="1"/>
      <c r="N398" s="4" t="s">
        <v>16125</v>
      </c>
      <c r="O398" s="1"/>
      <c r="P398" s="1" t="s">
        <v>25</v>
      </c>
      <c r="Q398" s="16">
        <v>1</v>
      </c>
      <c r="R398" s="17">
        <v>1</v>
      </c>
      <c r="S398" s="774" t="s">
        <v>5561</v>
      </c>
    </row>
    <row r="399" spans="1:19" ht="12" customHeight="1">
      <c r="A399" s="1040" t="str">
        <f t="shared" si="163"/>
        <v>089</v>
      </c>
      <c r="B399" s="4" t="s">
        <v>1410</v>
      </c>
      <c r="C399" s="4"/>
      <c r="D399" s="1008"/>
      <c r="E399" s="1002" t="str">
        <f t="shared" si="168"/>
        <v/>
      </c>
      <c r="F399" s="1005" t="e">
        <f t="shared" si="169"/>
        <v>#DIV/0!</v>
      </c>
      <c r="G399" s="1" t="s">
        <v>1419</v>
      </c>
      <c r="H399" s="1">
        <v>53</v>
      </c>
      <c r="I399" s="2" t="s">
        <v>19</v>
      </c>
      <c r="J399" s="1" t="s">
        <v>15273</v>
      </c>
      <c r="K399" s="3"/>
      <c r="L399" s="1"/>
      <c r="M399" s="1"/>
      <c r="N399" s="4" t="s">
        <v>18495</v>
      </c>
      <c r="O399" s="1"/>
      <c r="P399" s="1" t="s">
        <v>6</v>
      </c>
      <c r="Q399" s="16"/>
      <c r="R399" s="17"/>
      <c r="S399" s="774" t="s">
        <v>6031</v>
      </c>
    </row>
    <row r="400" spans="1:19" ht="12" customHeight="1" thickBot="1">
      <c r="A400" s="916" t="str">
        <f t="shared" si="163"/>
        <v>089</v>
      </c>
      <c r="B400" s="700" t="s">
        <v>5945</v>
      </c>
      <c r="C400" s="700"/>
      <c r="D400" s="1009"/>
      <c r="E400" s="1003" t="str">
        <f t="shared" si="168"/>
        <v/>
      </c>
      <c r="F400" s="1041" t="str">
        <f t="shared" si="169"/>
        <v>$</v>
      </c>
      <c r="G400" s="906" t="s">
        <v>1416</v>
      </c>
      <c r="H400" s="906">
        <v>54</v>
      </c>
      <c r="I400" s="702" t="s">
        <v>5</v>
      </c>
      <c r="J400" s="906"/>
      <c r="K400" s="703"/>
      <c r="L400" s="906"/>
      <c r="M400" s="906"/>
      <c r="N400" s="700" t="s">
        <v>16117</v>
      </c>
      <c r="O400" s="906"/>
      <c r="P400" s="906" t="s">
        <v>6</v>
      </c>
      <c r="Q400" s="705"/>
      <c r="R400" s="903"/>
      <c r="S400" s="793"/>
    </row>
    <row r="401" spans="1:19" ht="12" customHeight="1">
      <c r="A401" s="1038" t="str">
        <f t="shared" si="163"/>
        <v>090</v>
      </c>
      <c r="B401" s="688" t="s">
        <v>1422</v>
      </c>
      <c r="C401" s="688"/>
      <c r="D401" s="1007"/>
      <c r="E401" s="1001" t="str">
        <f>IF(D401="","",D401/SUM($D$401:$D$404))</f>
        <v/>
      </c>
      <c r="F401" s="1004" t="e">
        <f>IF(J401="","$",IF(C401="当選","-",D401*100/MAX($D$401:$D$404)))</f>
        <v>#DIV/0!</v>
      </c>
      <c r="G401" s="687" t="s">
        <v>5219</v>
      </c>
      <c r="H401" s="687">
        <v>53</v>
      </c>
      <c r="I401" s="696" t="s">
        <v>19</v>
      </c>
      <c r="J401" s="689" t="s">
        <v>15273</v>
      </c>
      <c r="K401" s="747"/>
      <c r="L401" s="687"/>
      <c r="M401" s="687"/>
      <c r="N401" s="692" t="s">
        <v>16126</v>
      </c>
      <c r="O401" s="687" t="s">
        <v>44</v>
      </c>
      <c r="P401" s="687" t="s">
        <v>6</v>
      </c>
      <c r="Q401" s="748"/>
      <c r="R401" s="749"/>
      <c r="S401" s="805" t="s">
        <v>736</v>
      </c>
    </row>
    <row r="402" spans="1:19" ht="12" customHeight="1">
      <c r="A402" s="1040" t="str">
        <f t="shared" si="163"/>
        <v>090</v>
      </c>
      <c r="B402" s="4" t="s">
        <v>1423</v>
      </c>
      <c r="C402" s="4"/>
      <c r="D402" s="1008"/>
      <c r="E402" s="1002" t="str">
        <f t="shared" ref="E402:E404" si="170">IF(D402="","",D402/SUM($D$401:$D$404))</f>
        <v/>
      </c>
      <c r="F402" s="1005" t="e">
        <f t="shared" ref="F402:F404" si="171">IF(J402="","$",IF(C402="当選","-",D402*100/MAX($D$401:$D$404)))</f>
        <v>#DIV/0!</v>
      </c>
      <c r="G402" s="1" t="s">
        <v>1426</v>
      </c>
      <c r="H402" s="1">
        <v>48</v>
      </c>
      <c r="I402" s="2" t="s">
        <v>5</v>
      </c>
      <c r="J402" s="1" t="s">
        <v>15273</v>
      </c>
      <c r="K402" s="3"/>
      <c r="L402" s="1"/>
      <c r="M402" s="1"/>
      <c r="N402" s="8" t="s">
        <v>16120</v>
      </c>
      <c r="O402" s="1" t="s">
        <v>934</v>
      </c>
      <c r="P402" s="1" t="s">
        <v>14</v>
      </c>
      <c r="Q402" s="16">
        <v>1</v>
      </c>
      <c r="R402" s="17">
        <v>1</v>
      </c>
      <c r="S402" s="774" t="s">
        <v>5457</v>
      </c>
    </row>
    <row r="403" spans="1:19" ht="12" customHeight="1">
      <c r="A403" s="1040" t="str">
        <f t="shared" si="163"/>
        <v>090</v>
      </c>
      <c r="B403" s="4" t="s">
        <v>1424</v>
      </c>
      <c r="C403" s="4"/>
      <c r="D403" s="1008"/>
      <c r="E403" s="1002" t="str">
        <f t="shared" si="170"/>
        <v/>
      </c>
      <c r="F403" s="1005" t="e">
        <f t="shared" si="171"/>
        <v>#DIV/0!</v>
      </c>
      <c r="G403" s="1" t="s">
        <v>1430</v>
      </c>
      <c r="H403" s="1">
        <v>56</v>
      </c>
      <c r="I403" s="2" t="s">
        <v>5</v>
      </c>
      <c r="J403" s="1" t="s">
        <v>15273</v>
      </c>
      <c r="K403" s="3" t="s">
        <v>1431</v>
      </c>
      <c r="L403" s="1"/>
      <c r="M403" s="1"/>
      <c r="N403" s="4" t="s">
        <v>18495</v>
      </c>
      <c r="O403" s="1"/>
      <c r="P403" s="1" t="s">
        <v>25</v>
      </c>
      <c r="Q403" s="16">
        <v>3</v>
      </c>
      <c r="R403" s="17">
        <v>3</v>
      </c>
      <c r="S403" s="774"/>
    </row>
    <row r="404" spans="1:19" ht="12" customHeight="1" thickBot="1">
      <c r="A404" s="916" t="str">
        <f t="shared" si="163"/>
        <v>090</v>
      </c>
      <c r="B404" s="700" t="s">
        <v>1425</v>
      </c>
      <c r="C404" s="700"/>
      <c r="D404" s="1009"/>
      <c r="E404" s="1003" t="str">
        <f t="shared" si="170"/>
        <v/>
      </c>
      <c r="F404" s="1041" t="str">
        <f t="shared" si="171"/>
        <v>$</v>
      </c>
      <c r="G404" s="906" t="s">
        <v>1428</v>
      </c>
      <c r="H404" s="906">
        <v>39</v>
      </c>
      <c r="I404" s="702" t="s">
        <v>5</v>
      </c>
      <c r="J404" s="906"/>
      <c r="K404" s="703"/>
      <c r="L404" s="906"/>
      <c r="M404" s="906"/>
      <c r="N404" s="700" t="s">
        <v>16117</v>
      </c>
      <c r="O404" s="906"/>
      <c r="P404" s="906" t="s">
        <v>6</v>
      </c>
      <c r="Q404" s="705"/>
      <c r="R404" s="903"/>
      <c r="S404" s="793"/>
    </row>
    <row r="405" spans="1:19" ht="12" customHeight="1">
      <c r="A405" s="1038" t="str">
        <f t="shared" si="163"/>
        <v>091</v>
      </c>
      <c r="B405" s="688" t="s">
        <v>1442</v>
      </c>
      <c r="C405" s="688"/>
      <c r="D405" s="1007"/>
      <c r="E405" s="1001" t="str">
        <f>IF(D405="","",D405/SUM($D$405:$D$408))</f>
        <v/>
      </c>
      <c r="F405" s="1004" t="e">
        <f>IF(J405="","$",IF(C405="当選","-",D405*100/MAX($D$405:$D$408)))</f>
        <v>#DIV/0!</v>
      </c>
      <c r="G405" s="687" t="s">
        <v>1446</v>
      </c>
      <c r="H405" s="687">
        <v>47</v>
      </c>
      <c r="I405" s="696" t="s">
        <v>5</v>
      </c>
      <c r="J405" s="689" t="s">
        <v>15273</v>
      </c>
      <c r="K405" s="747" t="s">
        <v>1447</v>
      </c>
      <c r="L405" s="687"/>
      <c r="M405" s="687"/>
      <c r="N405" s="692" t="s">
        <v>16127</v>
      </c>
      <c r="O405" s="687" t="s">
        <v>44</v>
      </c>
      <c r="P405" s="687" t="s">
        <v>25</v>
      </c>
      <c r="Q405" s="748">
        <v>3</v>
      </c>
      <c r="R405" s="749">
        <v>3</v>
      </c>
      <c r="S405" s="805" t="s">
        <v>736</v>
      </c>
    </row>
    <row r="406" spans="1:19" ht="12" customHeight="1">
      <c r="A406" s="1040" t="str">
        <f t="shared" si="163"/>
        <v>091</v>
      </c>
      <c r="B406" s="4" t="s">
        <v>1443</v>
      </c>
      <c r="C406" s="4"/>
      <c r="D406" s="1008"/>
      <c r="E406" s="1002" t="str">
        <f t="shared" ref="E406:E408" si="172">IF(D406="","",D406/SUM($D$405:$D$408))</f>
        <v/>
      </c>
      <c r="F406" s="1005" t="e">
        <f t="shared" ref="F406:F408" si="173">IF(J406="","$",IF(C406="当選","-",D406*100/MAX($D$405:$D$408)))</f>
        <v>#DIV/0!</v>
      </c>
      <c r="G406" s="1" t="s">
        <v>1451</v>
      </c>
      <c r="H406" s="1">
        <v>44</v>
      </c>
      <c r="I406" s="2" t="s">
        <v>5</v>
      </c>
      <c r="J406" s="1" t="s">
        <v>15273</v>
      </c>
      <c r="K406" s="3"/>
      <c r="L406" s="1"/>
      <c r="M406" s="1"/>
      <c r="N406" s="4" t="s">
        <v>16120</v>
      </c>
      <c r="O406" s="1" t="s">
        <v>30</v>
      </c>
      <c r="P406" s="1" t="s">
        <v>6</v>
      </c>
      <c r="Q406" s="16"/>
      <c r="R406" s="17"/>
      <c r="S406" s="774" t="s">
        <v>5457</v>
      </c>
    </row>
    <row r="407" spans="1:19" ht="12" customHeight="1">
      <c r="A407" s="1040" t="str">
        <f t="shared" si="163"/>
        <v>091</v>
      </c>
      <c r="B407" s="4" t="s">
        <v>1444</v>
      </c>
      <c r="C407" s="4"/>
      <c r="D407" s="1008"/>
      <c r="E407" s="1002" t="str">
        <f t="shared" si="172"/>
        <v/>
      </c>
      <c r="F407" s="1005" t="e">
        <f t="shared" si="173"/>
        <v>#DIV/0!</v>
      </c>
      <c r="G407" s="1" t="s">
        <v>1454</v>
      </c>
      <c r="H407" s="1">
        <v>37</v>
      </c>
      <c r="I407" s="2" t="s">
        <v>5</v>
      </c>
      <c r="J407" s="1" t="s">
        <v>15273</v>
      </c>
      <c r="K407" s="3"/>
      <c r="L407" s="1"/>
      <c r="M407" s="1"/>
      <c r="N407" s="4" t="s">
        <v>18495</v>
      </c>
      <c r="O407" s="1"/>
      <c r="P407" s="1" t="s">
        <v>6</v>
      </c>
      <c r="Q407" s="16"/>
      <c r="R407" s="17"/>
      <c r="S407" s="774" t="s">
        <v>6031</v>
      </c>
    </row>
    <row r="408" spans="1:19" ht="12" customHeight="1" thickBot="1">
      <c r="A408" s="916" t="str">
        <f t="shared" si="163"/>
        <v>091</v>
      </c>
      <c r="B408" s="700" t="s">
        <v>1445</v>
      </c>
      <c r="C408" s="700"/>
      <c r="D408" s="1009"/>
      <c r="E408" s="1003" t="str">
        <f t="shared" si="172"/>
        <v/>
      </c>
      <c r="F408" s="1041" t="str">
        <f t="shared" si="173"/>
        <v>$</v>
      </c>
      <c r="G408" s="906" t="s">
        <v>1453</v>
      </c>
      <c r="H408" s="906">
        <v>36</v>
      </c>
      <c r="I408" s="702" t="s">
        <v>5</v>
      </c>
      <c r="J408" s="906"/>
      <c r="K408" s="703"/>
      <c r="L408" s="906"/>
      <c r="M408" s="906"/>
      <c r="N408" s="700" t="s">
        <v>16117</v>
      </c>
      <c r="O408" s="906"/>
      <c r="P408" s="906" t="s">
        <v>6</v>
      </c>
      <c r="Q408" s="705"/>
      <c r="R408" s="903"/>
      <c r="S408" s="793"/>
    </row>
    <row r="409" spans="1:19" ht="12" customHeight="1">
      <c r="A409" s="1038" t="str">
        <f t="shared" si="163"/>
        <v>092</v>
      </c>
      <c r="B409" s="688" t="s">
        <v>1459</v>
      </c>
      <c r="C409" s="688"/>
      <c r="D409" s="1007"/>
      <c r="E409" s="1001" t="str">
        <f>IF(D409="","",D409/SUM($D$409:$D$413))</f>
        <v/>
      </c>
      <c r="F409" s="1004" t="e">
        <f>IF(J409="","$",IF(C409="当選","-",D409*100/MAX($D$409:$D$413)))</f>
        <v>#DIV/0!</v>
      </c>
      <c r="G409" s="687" t="s">
        <v>1463</v>
      </c>
      <c r="H409" s="687">
        <v>65</v>
      </c>
      <c r="I409" s="696" t="s">
        <v>5</v>
      </c>
      <c r="J409" s="689" t="s">
        <v>15273</v>
      </c>
      <c r="K409" s="747" t="s">
        <v>1458</v>
      </c>
      <c r="L409" s="687"/>
      <c r="M409" s="687"/>
      <c r="N409" s="692" t="s">
        <v>16127</v>
      </c>
      <c r="O409" s="687" t="s">
        <v>681</v>
      </c>
      <c r="P409" s="687" t="s">
        <v>25</v>
      </c>
      <c r="Q409" s="748">
        <v>4</v>
      </c>
      <c r="R409" s="749">
        <v>4</v>
      </c>
      <c r="S409" s="805" t="s">
        <v>736</v>
      </c>
    </row>
    <row r="410" spans="1:19" ht="12" customHeight="1">
      <c r="A410" s="1040" t="str">
        <f t="shared" si="163"/>
        <v>092</v>
      </c>
      <c r="B410" s="4" t="s">
        <v>1460</v>
      </c>
      <c r="C410" s="4"/>
      <c r="D410" s="1008"/>
      <c r="E410" s="1002" t="str">
        <f t="shared" ref="E410:E413" si="174">IF(D410="","",D410/SUM($D$409:$D$413))</f>
        <v/>
      </c>
      <c r="F410" s="1005" t="e">
        <f t="shared" ref="F410:F413" si="175">IF(J410="","$",IF(C410="当選","-",D410*100/MAX($D$409:$D$413)))</f>
        <v>#DIV/0!</v>
      </c>
      <c r="G410" s="1" t="s">
        <v>1468</v>
      </c>
      <c r="H410" s="1">
        <v>63</v>
      </c>
      <c r="I410" s="2" t="s">
        <v>5</v>
      </c>
      <c r="J410" s="1" t="s">
        <v>15273</v>
      </c>
      <c r="K410" s="3" t="s">
        <v>1469</v>
      </c>
      <c r="L410" s="1"/>
      <c r="M410" s="1"/>
      <c r="N410" s="4" t="s">
        <v>16120</v>
      </c>
      <c r="O410" s="1" t="s">
        <v>934</v>
      </c>
      <c r="P410" s="1" t="s">
        <v>25</v>
      </c>
      <c r="Q410" s="16">
        <v>5</v>
      </c>
      <c r="R410" s="17">
        <v>5</v>
      </c>
      <c r="S410" s="774" t="s">
        <v>5457</v>
      </c>
    </row>
    <row r="411" spans="1:19" ht="12" customHeight="1">
      <c r="A411" s="1040" t="str">
        <f t="shared" si="163"/>
        <v>092</v>
      </c>
      <c r="B411" s="4" t="s">
        <v>1461</v>
      </c>
      <c r="C411" s="4"/>
      <c r="D411" s="1008"/>
      <c r="E411" s="1002" t="str">
        <f t="shared" si="174"/>
        <v/>
      </c>
      <c r="F411" s="1005" t="e">
        <f t="shared" si="175"/>
        <v>#DIV/0!</v>
      </c>
      <c r="G411" s="1" t="s">
        <v>5624</v>
      </c>
      <c r="H411" s="1">
        <v>62</v>
      </c>
      <c r="I411" s="2" t="s">
        <v>5</v>
      </c>
      <c r="J411" s="1" t="s">
        <v>15273</v>
      </c>
      <c r="K411" s="3"/>
      <c r="L411" s="1"/>
      <c r="M411" s="1"/>
      <c r="N411" s="4" t="s">
        <v>16116</v>
      </c>
      <c r="O411" s="1" t="s">
        <v>4422</v>
      </c>
      <c r="P411" s="1" t="s">
        <v>6</v>
      </c>
      <c r="Q411" s="16"/>
      <c r="R411" s="17"/>
      <c r="S411" s="774"/>
    </row>
    <row r="412" spans="1:19" ht="12" customHeight="1">
      <c r="A412" s="1040" t="str">
        <f t="shared" si="163"/>
        <v>092</v>
      </c>
      <c r="B412" s="4" t="s">
        <v>1462</v>
      </c>
      <c r="C412" s="4"/>
      <c r="D412" s="1008"/>
      <c r="E412" s="1002" t="str">
        <f t="shared" si="174"/>
        <v/>
      </c>
      <c r="F412" s="1005" t="e">
        <f t="shared" si="175"/>
        <v>#DIV/0!</v>
      </c>
      <c r="G412" s="1" t="s">
        <v>1474</v>
      </c>
      <c r="H412" s="1">
        <v>47</v>
      </c>
      <c r="I412" s="2" t="s">
        <v>5</v>
      </c>
      <c r="J412" s="1" t="s">
        <v>15273</v>
      </c>
      <c r="K412" s="3"/>
      <c r="L412" s="1"/>
      <c r="M412" s="1"/>
      <c r="N412" s="4" t="s">
        <v>18495</v>
      </c>
      <c r="O412" s="1"/>
      <c r="P412" s="1" t="s">
        <v>6</v>
      </c>
      <c r="Q412" s="16"/>
      <c r="R412" s="17"/>
      <c r="S412" s="774"/>
    </row>
    <row r="413" spans="1:19" ht="12" customHeight="1" thickBot="1">
      <c r="A413" s="916" t="str">
        <f t="shared" si="163"/>
        <v>092</v>
      </c>
      <c r="B413" s="700" t="s">
        <v>5623</v>
      </c>
      <c r="C413" s="700"/>
      <c r="D413" s="1009"/>
      <c r="E413" s="1003" t="str">
        <f t="shared" si="174"/>
        <v/>
      </c>
      <c r="F413" s="1041" t="str">
        <f t="shared" si="175"/>
        <v>$</v>
      </c>
      <c r="G413" s="906" t="s">
        <v>1472</v>
      </c>
      <c r="H413" s="906">
        <v>54</v>
      </c>
      <c r="I413" s="702" t="s">
        <v>5</v>
      </c>
      <c r="J413" s="906"/>
      <c r="K413" s="703"/>
      <c r="L413" s="906"/>
      <c r="M413" s="906"/>
      <c r="N413" s="700" t="s">
        <v>16117</v>
      </c>
      <c r="O413" s="906"/>
      <c r="P413" s="906" t="s">
        <v>6</v>
      </c>
      <c r="Q413" s="705"/>
      <c r="R413" s="903"/>
      <c r="S413" s="793"/>
    </row>
    <row r="414" spans="1:19" ht="12" customHeight="1">
      <c r="A414" s="1038" t="str">
        <f t="shared" si="163"/>
        <v>093</v>
      </c>
      <c r="B414" s="688" t="s">
        <v>1476</v>
      </c>
      <c r="C414" s="688"/>
      <c r="D414" s="1007"/>
      <c r="E414" s="1001" t="str">
        <f>IF(D414="","",D414/SUM($D$414:$D$418))</f>
        <v/>
      </c>
      <c r="F414" s="1004" t="e">
        <f>IF(J414="","$",IF(C414="当選","-",D414*100/MAX($D$414:$D$418)))</f>
        <v>#DIV/0!</v>
      </c>
      <c r="G414" s="687" t="s">
        <v>4411</v>
      </c>
      <c r="H414" s="687">
        <v>30</v>
      </c>
      <c r="I414" s="696" t="s">
        <v>5</v>
      </c>
      <c r="J414" s="689" t="s">
        <v>15273</v>
      </c>
      <c r="K414" s="747"/>
      <c r="L414" s="687"/>
      <c r="M414" s="687"/>
      <c r="N414" s="692" t="s">
        <v>16126</v>
      </c>
      <c r="O414" s="687" t="s">
        <v>44</v>
      </c>
      <c r="P414" s="687" t="s">
        <v>6</v>
      </c>
      <c r="Q414" s="748"/>
      <c r="R414" s="749"/>
      <c r="S414" s="805" t="s">
        <v>736</v>
      </c>
    </row>
    <row r="415" spans="1:19" ht="12" customHeight="1">
      <c r="A415" s="1040" t="str">
        <f t="shared" si="163"/>
        <v>093</v>
      </c>
      <c r="B415" s="4" t="s">
        <v>1477</v>
      </c>
      <c r="C415" s="4"/>
      <c r="D415" s="1008"/>
      <c r="E415" s="1002" t="str">
        <f t="shared" ref="E415:E418" si="176">IF(D415="","",D415/SUM($D$414:$D$418))</f>
        <v/>
      </c>
      <c r="F415" s="1005" t="str">
        <f t="shared" ref="F415:F418" si="177">IF(J415="","$",IF(C415="当選","-",D415*100/MAX($D$414:$D$418)))</f>
        <v>$</v>
      </c>
      <c r="G415" s="1" t="s">
        <v>1479</v>
      </c>
      <c r="H415" s="1">
        <v>31</v>
      </c>
      <c r="I415" s="2" t="s">
        <v>5</v>
      </c>
      <c r="J415" s="1"/>
      <c r="K415" s="3" t="s">
        <v>1480</v>
      </c>
      <c r="L415" s="1"/>
      <c r="M415" s="1"/>
      <c r="N415" s="8" t="s">
        <v>16120</v>
      </c>
      <c r="O415" s="1" t="s">
        <v>30</v>
      </c>
      <c r="P415" s="1" t="s">
        <v>25</v>
      </c>
      <c r="Q415" s="16">
        <v>1</v>
      </c>
      <c r="R415" s="17">
        <v>1</v>
      </c>
      <c r="S415" s="774"/>
    </row>
    <row r="416" spans="1:19" ht="12" customHeight="1">
      <c r="A416" s="1040" t="str">
        <f t="shared" si="163"/>
        <v>093</v>
      </c>
      <c r="B416" s="4" t="s">
        <v>1478</v>
      </c>
      <c r="C416" s="4"/>
      <c r="D416" s="1008"/>
      <c r="E416" s="1002" t="str">
        <f t="shared" si="176"/>
        <v/>
      </c>
      <c r="F416" s="1005" t="str">
        <f t="shared" si="177"/>
        <v>$</v>
      </c>
      <c r="G416" s="1" t="s">
        <v>1484</v>
      </c>
      <c r="H416" s="1">
        <v>64</v>
      </c>
      <c r="I416" s="2" t="s">
        <v>5</v>
      </c>
      <c r="J416" s="1"/>
      <c r="K416" s="3"/>
      <c r="L416" s="1"/>
      <c r="M416" s="1"/>
      <c r="N416" s="4" t="s">
        <v>16117</v>
      </c>
      <c r="O416" s="1"/>
      <c r="P416" s="1" t="s">
        <v>6</v>
      </c>
      <c r="Q416" s="16"/>
      <c r="R416" s="17"/>
      <c r="S416" s="774"/>
    </row>
    <row r="417" spans="1:19" ht="12" customHeight="1">
      <c r="A417" s="1040" t="str">
        <f t="shared" si="163"/>
        <v>093</v>
      </c>
      <c r="B417" s="4" t="s">
        <v>15984</v>
      </c>
      <c r="C417" s="4"/>
      <c r="D417" s="1008"/>
      <c r="E417" s="1002" t="str">
        <f t="shared" si="176"/>
        <v/>
      </c>
      <c r="F417" s="1005" t="str">
        <f t="shared" si="177"/>
        <v>$</v>
      </c>
      <c r="G417" s="1" t="s">
        <v>15986</v>
      </c>
      <c r="H417" s="1">
        <v>64</v>
      </c>
      <c r="I417" s="2" t="s">
        <v>5</v>
      </c>
      <c r="J417" s="1"/>
      <c r="K417" s="3"/>
      <c r="L417" s="1"/>
      <c r="M417" s="1"/>
      <c r="N417" s="4" t="s">
        <v>16129</v>
      </c>
      <c r="O417" s="1"/>
      <c r="P417" s="1" t="s">
        <v>6</v>
      </c>
      <c r="Q417" s="16"/>
      <c r="R417" s="17"/>
      <c r="S417" s="774"/>
    </row>
    <row r="418" spans="1:19" ht="12" customHeight="1" thickBot="1">
      <c r="A418" s="916" t="str">
        <f t="shared" si="163"/>
        <v>093</v>
      </c>
      <c r="B418" s="700" t="s">
        <v>15985</v>
      </c>
      <c r="C418" s="700"/>
      <c r="D418" s="1009"/>
      <c r="E418" s="1003" t="str">
        <f t="shared" si="176"/>
        <v/>
      </c>
      <c r="F418" s="1041" t="str">
        <f t="shared" si="177"/>
        <v>$</v>
      </c>
      <c r="G418" s="906" t="s">
        <v>15987</v>
      </c>
      <c r="H418" s="906">
        <v>54</v>
      </c>
      <c r="I418" s="702" t="s">
        <v>5</v>
      </c>
      <c r="J418" s="906"/>
      <c r="K418" s="703"/>
      <c r="L418" s="906"/>
      <c r="M418" s="906"/>
      <c r="N418" s="704" t="s">
        <v>16129</v>
      </c>
      <c r="O418" s="906"/>
      <c r="P418" s="906" t="s">
        <v>6</v>
      </c>
      <c r="Q418" s="705"/>
      <c r="R418" s="903"/>
      <c r="S418" s="793"/>
    </row>
    <row r="419" spans="1:19" ht="12" customHeight="1">
      <c r="A419" s="1038" t="str">
        <f t="shared" si="163"/>
        <v>094</v>
      </c>
      <c r="B419" s="688" t="s">
        <v>1486</v>
      </c>
      <c r="C419" s="688"/>
      <c r="D419" s="1007"/>
      <c r="E419" s="1001" t="str">
        <f>IF(D419="","",D419/SUM($D$419:$D$423))</f>
        <v/>
      </c>
      <c r="F419" s="1004" t="e">
        <f>IF(J419="","$",IF(C419="当選","-",D419*100/MAX($D$419:$D$423)))</f>
        <v>#DIV/0!</v>
      </c>
      <c r="G419" s="687" t="s">
        <v>1490</v>
      </c>
      <c r="H419" s="687">
        <v>47</v>
      </c>
      <c r="I419" s="696" t="s">
        <v>5</v>
      </c>
      <c r="J419" s="689" t="s">
        <v>15273</v>
      </c>
      <c r="K419" s="747" t="s">
        <v>1491</v>
      </c>
      <c r="L419" s="687"/>
      <c r="M419" s="687"/>
      <c r="N419" s="692" t="s">
        <v>16127</v>
      </c>
      <c r="O419" s="687" t="s">
        <v>737</v>
      </c>
      <c r="P419" s="687" t="s">
        <v>25</v>
      </c>
      <c r="Q419" s="748">
        <v>3</v>
      </c>
      <c r="R419" s="749">
        <v>3</v>
      </c>
      <c r="S419" s="805" t="s">
        <v>736</v>
      </c>
    </row>
    <row r="420" spans="1:19" ht="12" customHeight="1">
      <c r="A420" s="1040" t="str">
        <f t="shared" si="163"/>
        <v>094</v>
      </c>
      <c r="B420" s="4" t="s">
        <v>1487</v>
      </c>
      <c r="C420" s="4"/>
      <c r="D420" s="1008"/>
      <c r="E420" s="1002" t="str">
        <f t="shared" ref="E420:E423" si="178">IF(D420="","",D420/SUM($D$419:$D$423))</f>
        <v/>
      </c>
      <c r="F420" s="1005" t="e">
        <f t="shared" ref="F420:F423" si="179">IF(J420="","$",IF(C420="当選","-",D420*100/MAX($D$419:$D$423)))</f>
        <v>#DIV/0!</v>
      </c>
      <c r="G420" s="1" t="s">
        <v>1496</v>
      </c>
      <c r="H420" s="1">
        <v>49</v>
      </c>
      <c r="I420" s="2" t="s">
        <v>5</v>
      </c>
      <c r="J420" s="1" t="s">
        <v>15273</v>
      </c>
      <c r="K420" s="3"/>
      <c r="L420" s="1"/>
      <c r="M420" s="1"/>
      <c r="N420" s="4" t="s">
        <v>16120</v>
      </c>
      <c r="O420" s="1" t="s">
        <v>30</v>
      </c>
      <c r="P420" s="1" t="s">
        <v>6</v>
      </c>
      <c r="Q420" s="16"/>
      <c r="R420" s="17"/>
      <c r="S420" s="774" t="s">
        <v>5457</v>
      </c>
    </row>
    <row r="421" spans="1:19" ht="12" customHeight="1">
      <c r="A421" s="1040" t="str">
        <f t="shared" si="163"/>
        <v>094</v>
      </c>
      <c r="B421" s="4" t="s">
        <v>1488</v>
      </c>
      <c r="C421" s="4"/>
      <c r="D421" s="1008"/>
      <c r="E421" s="1002" t="str">
        <f t="shared" si="178"/>
        <v/>
      </c>
      <c r="F421" s="1005" t="e">
        <f t="shared" si="179"/>
        <v>#DIV/0!</v>
      </c>
      <c r="G421" s="1" t="s">
        <v>1500</v>
      </c>
      <c r="H421" s="1">
        <v>64</v>
      </c>
      <c r="I421" s="2" t="s">
        <v>19</v>
      </c>
      <c r="J421" s="1" t="s">
        <v>15273</v>
      </c>
      <c r="K421" s="3" t="s">
        <v>1501</v>
      </c>
      <c r="L421" s="1"/>
      <c r="M421" s="1"/>
      <c r="N421" s="4" t="s">
        <v>16125</v>
      </c>
      <c r="O421" s="1"/>
      <c r="P421" s="1" t="s">
        <v>25</v>
      </c>
      <c r="Q421" s="16">
        <v>4</v>
      </c>
      <c r="R421" s="17">
        <v>4</v>
      </c>
      <c r="S421" s="774" t="s">
        <v>16114</v>
      </c>
    </row>
    <row r="422" spans="1:19" ht="12" customHeight="1">
      <c r="A422" s="1040" t="str">
        <f t="shared" si="163"/>
        <v>094</v>
      </c>
      <c r="B422" s="4" t="s">
        <v>1489</v>
      </c>
      <c r="C422" s="4"/>
      <c r="D422" s="1008"/>
      <c r="E422" s="1002" t="str">
        <f t="shared" si="178"/>
        <v/>
      </c>
      <c r="F422" s="1005" t="e">
        <f t="shared" si="179"/>
        <v>#DIV/0!</v>
      </c>
      <c r="G422" s="1" t="s">
        <v>5373</v>
      </c>
      <c r="H422" s="1">
        <v>29</v>
      </c>
      <c r="I422" s="2" t="s">
        <v>5</v>
      </c>
      <c r="J422" s="1" t="s">
        <v>15273</v>
      </c>
      <c r="K422" s="3"/>
      <c r="L422" s="1"/>
      <c r="M422" s="1"/>
      <c r="N422" s="4" t="s">
        <v>16116</v>
      </c>
      <c r="O422" s="1" t="s">
        <v>4993</v>
      </c>
      <c r="P422" s="1" t="s">
        <v>6</v>
      </c>
      <c r="Q422" s="16"/>
      <c r="R422" s="17"/>
      <c r="S422" s="774"/>
    </row>
    <row r="423" spans="1:19" ht="12" customHeight="1" thickBot="1">
      <c r="A423" s="916" t="str">
        <f t="shared" si="163"/>
        <v>094</v>
      </c>
      <c r="B423" s="700" t="s">
        <v>5372</v>
      </c>
      <c r="C423" s="700"/>
      <c r="D423" s="1009"/>
      <c r="E423" s="1003" t="str">
        <f t="shared" si="178"/>
        <v/>
      </c>
      <c r="F423" s="1041" t="str">
        <f t="shared" si="179"/>
        <v>$</v>
      </c>
      <c r="G423" s="906" t="s">
        <v>4582</v>
      </c>
      <c r="H423" s="906">
        <v>54</v>
      </c>
      <c r="I423" s="702" t="s">
        <v>5</v>
      </c>
      <c r="J423" s="906"/>
      <c r="K423" s="703"/>
      <c r="L423" s="906"/>
      <c r="M423" s="906"/>
      <c r="N423" s="700" t="s">
        <v>16117</v>
      </c>
      <c r="O423" s="906"/>
      <c r="P423" s="906" t="s">
        <v>6</v>
      </c>
      <c r="Q423" s="705"/>
      <c r="R423" s="903"/>
      <c r="S423" s="793"/>
    </row>
    <row r="424" spans="1:19" ht="12" customHeight="1">
      <c r="A424" s="1038" t="str">
        <f t="shared" si="163"/>
        <v>095</v>
      </c>
      <c r="B424" s="688" t="s">
        <v>1504</v>
      </c>
      <c r="C424" s="688"/>
      <c r="D424" s="1007"/>
      <c r="E424" s="1001" t="str">
        <f>IF(D424="","",D424/SUM($D$424:$D$428))</f>
        <v/>
      </c>
      <c r="F424" s="1004" t="e">
        <f>IF(J424="","$",IF(C424="当選","-",D424*100/MAX($D$424:$D$428)))</f>
        <v>#DIV/0!</v>
      </c>
      <c r="G424" s="687" t="s">
        <v>1508</v>
      </c>
      <c r="H424" s="687">
        <v>43</v>
      </c>
      <c r="I424" s="696" t="s">
        <v>5</v>
      </c>
      <c r="J424" s="689" t="s">
        <v>15273</v>
      </c>
      <c r="K424" s="747" t="s">
        <v>1509</v>
      </c>
      <c r="L424" s="687"/>
      <c r="M424" s="687"/>
      <c r="N424" s="692" t="s">
        <v>16127</v>
      </c>
      <c r="O424" s="687" t="s">
        <v>44</v>
      </c>
      <c r="P424" s="687" t="s">
        <v>25</v>
      </c>
      <c r="Q424" s="748">
        <v>1</v>
      </c>
      <c r="R424" s="749">
        <v>1</v>
      </c>
      <c r="S424" s="805"/>
    </row>
    <row r="425" spans="1:19" ht="12" customHeight="1">
      <c r="A425" s="1040" t="str">
        <f t="shared" si="163"/>
        <v>095</v>
      </c>
      <c r="B425" s="4" t="s">
        <v>1505</v>
      </c>
      <c r="C425" s="4"/>
      <c r="D425" s="1008"/>
      <c r="E425" s="1002" t="str">
        <f t="shared" ref="E425:E428" si="180">IF(D425="","",D425/SUM($D$424:$D$428))</f>
        <v/>
      </c>
      <c r="F425" s="1005" t="e">
        <f t="shared" ref="F425:F428" si="181">IF(J425="","$",IF(C425="当選","-",D425*100/MAX($D$424:$D$428)))</f>
        <v>#DIV/0!</v>
      </c>
      <c r="G425" s="1" t="s">
        <v>1513</v>
      </c>
      <c r="H425" s="1">
        <v>63</v>
      </c>
      <c r="I425" s="2" t="s">
        <v>5</v>
      </c>
      <c r="J425" s="1" t="s">
        <v>15273</v>
      </c>
      <c r="K425" s="3" t="s">
        <v>1514</v>
      </c>
      <c r="L425" s="1"/>
      <c r="M425" s="1"/>
      <c r="N425" s="4" t="s">
        <v>16120</v>
      </c>
      <c r="O425" s="1" t="s">
        <v>934</v>
      </c>
      <c r="P425" s="1" t="s">
        <v>25</v>
      </c>
      <c r="Q425" s="16">
        <v>9</v>
      </c>
      <c r="R425" s="17">
        <v>9</v>
      </c>
      <c r="S425" s="774" t="s">
        <v>5457</v>
      </c>
    </row>
    <row r="426" spans="1:19" ht="12" customHeight="1">
      <c r="A426" s="1040" t="str">
        <f t="shared" si="163"/>
        <v>095</v>
      </c>
      <c r="B426" s="4" t="s">
        <v>1506</v>
      </c>
      <c r="C426" s="4"/>
      <c r="D426" s="1008"/>
      <c r="E426" s="1002" t="str">
        <f t="shared" si="180"/>
        <v/>
      </c>
      <c r="F426" s="1005" t="e">
        <f t="shared" si="181"/>
        <v>#DIV/0!</v>
      </c>
      <c r="G426" s="1" t="s">
        <v>5375</v>
      </c>
      <c r="H426" s="1">
        <v>38</v>
      </c>
      <c r="I426" s="2" t="s">
        <v>5</v>
      </c>
      <c r="J426" s="1" t="s">
        <v>15273</v>
      </c>
      <c r="K426" s="3"/>
      <c r="L426" s="1"/>
      <c r="M426" s="1"/>
      <c r="N426" s="4" t="s">
        <v>16116</v>
      </c>
      <c r="O426" s="1" t="s">
        <v>6154</v>
      </c>
      <c r="P426" s="1" t="s">
        <v>6</v>
      </c>
      <c r="Q426" s="16"/>
      <c r="R426" s="17"/>
      <c r="S426" s="774"/>
    </row>
    <row r="427" spans="1:19" ht="12" customHeight="1">
      <c r="A427" s="1040" t="str">
        <f t="shared" si="163"/>
        <v>095</v>
      </c>
      <c r="B427" s="4" t="s">
        <v>1507</v>
      </c>
      <c r="C427" s="4"/>
      <c r="D427" s="1008"/>
      <c r="E427" s="1002" t="str">
        <f t="shared" si="180"/>
        <v/>
      </c>
      <c r="F427" s="1005" t="e">
        <f t="shared" si="181"/>
        <v>#DIV/0!</v>
      </c>
      <c r="G427" s="1" t="s">
        <v>1520</v>
      </c>
      <c r="H427" s="1">
        <v>34</v>
      </c>
      <c r="I427" s="2" t="s">
        <v>5</v>
      </c>
      <c r="J427" s="1" t="s">
        <v>15273</v>
      </c>
      <c r="K427" s="3"/>
      <c r="L427" s="1"/>
      <c r="M427" s="1"/>
      <c r="N427" s="8" t="s">
        <v>18495</v>
      </c>
      <c r="O427" s="1"/>
      <c r="P427" s="1" t="s">
        <v>6</v>
      </c>
      <c r="Q427" s="16"/>
      <c r="R427" s="17"/>
      <c r="S427" s="774"/>
    </row>
    <row r="428" spans="1:19" ht="12" customHeight="1" thickBot="1">
      <c r="A428" s="916" t="str">
        <f t="shared" si="163"/>
        <v>095</v>
      </c>
      <c r="B428" s="700" t="s">
        <v>5374</v>
      </c>
      <c r="C428" s="700"/>
      <c r="D428" s="1009"/>
      <c r="E428" s="1003" t="str">
        <f t="shared" si="180"/>
        <v/>
      </c>
      <c r="F428" s="1041" t="str">
        <f t="shared" si="181"/>
        <v>$</v>
      </c>
      <c r="G428" s="906" t="s">
        <v>1517</v>
      </c>
      <c r="H428" s="906">
        <v>69</v>
      </c>
      <c r="I428" s="702" t="s">
        <v>5</v>
      </c>
      <c r="J428" s="906"/>
      <c r="K428" s="703"/>
      <c r="L428" s="906"/>
      <c r="M428" s="906"/>
      <c r="N428" s="700" t="s">
        <v>16117</v>
      </c>
      <c r="O428" s="906"/>
      <c r="P428" s="906" t="s">
        <v>6</v>
      </c>
      <c r="Q428" s="705"/>
      <c r="R428" s="903"/>
      <c r="S428" s="793"/>
    </row>
    <row r="429" spans="1:19" ht="12" customHeight="1">
      <c r="A429" s="1038" t="str">
        <f t="shared" si="163"/>
        <v>096</v>
      </c>
      <c r="B429" s="688" t="s">
        <v>1523</v>
      </c>
      <c r="C429" s="688"/>
      <c r="D429" s="1007"/>
      <c r="E429" s="1001" t="str">
        <f>IF(D429="","",D429/SUM($D$429:$D$434))</f>
        <v/>
      </c>
      <c r="F429" s="1004" t="e">
        <f>IF(J429="","$",IF(C429="当選","-",D429*100/MAX($D$429:$D$434)))</f>
        <v>#DIV/0!</v>
      </c>
      <c r="G429" s="687" t="s">
        <v>1529</v>
      </c>
      <c r="H429" s="687">
        <v>42</v>
      </c>
      <c r="I429" s="696" t="s">
        <v>5</v>
      </c>
      <c r="J429" s="689" t="s">
        <v>15273</v>
      </c>
      <c r="K429" s="747" t="s">
        <v>1530</v>
      </c>
      <c r="L429" s="687"/>
      <c r="M429" s="687"/>
      <c r="N429" s="692" t="s">
        <v>16126</v>
      </c>
      <c r="O429" s="687" t="s">
        <v>737</v>
      </c>
      <c r="P429" s="687" t="s">
        <v>25</v>
      </c>
      <c r="Q429" s="748">
        <v>1</v>
      </c>
      <c r="R429" s="749">
        <v>1</v>
      </c>
      <c r="S429" s="805" t="s">
        <v>736</v>
      </c>
    </row>
    <row r="430" spans="1:19" ht="12" customHeight="1">
      <c r="A430" s="1040" t="str">
        <f t="shared" si="163"/>
        <v>096</v>
      </c>
      <c r="B430" s="4" t="s">
        <v>1524</v>
      </c>
      <c r="C430" s="4"/>
      <c r="D430" s="1008"/>
      <c r="E430" s="1002" t="str">
        <f t="shared" ref="E430:E434" si="182">IF(D430="","",D430/SUM($D$429:$D$434))</f>
        <v/>
      </c>
      <c r="F430" s="1005" t="e">
        <f t="shared" ref="F430:F434" si="183">IF(J430="","$",IF(C430="当選","-",D430*100/MAX($D$429:$D$434)))</f>
        <v>#DIV/0!</v>
      </c>
      <c r="G430" s="1" t="s">
        <v>1533</v>
      </c>
      <c r="H430" s="1">
        <v>44</v>
      </c>
      <c r="I430" s="2" t="s">
        <v>5</v>
      </c>
      <c r="J430" s="1" t="s">
        <v>15273</v>
      </c>
      <c r="K430" s="3"/>
      <c r="L430" s="1"/>
      <c r="M430" s="1"/>
      <c r="N430" s="8" t="s">
        <v>16120</v>
      </c>
      <c r="O430" s="1" t="s">
        <v>445</v>
      </c>
      <c r="P430" s="1" t="s">
        <v>14</v>
      </c>
      <c r="Q430" s="16">
        <v>1</v>
      </c>
      <c r="R430" s="17">
        <v>1</v>
      </c>
      <c r="S430" s="774" t="s">
        <v>5457</v>
      </c>
    </row>
    <row r="431" spans="1:19" ht="12" customHeight="1">
      <c r="A431" s="1040" t="str">
        <f t="shared" si="163"/>
        <v>096</v>
      </c>
      <c r="B431" s="4" t="s">
        <v>1525</v>
      </c>
      <c r="C431" s="4"/>
      <c r="D431" s="1008"/>
      <c r="E431" s="1002" t="str">
        <f t="shared" si="182"/>
        <v/>
      </c>
      <c r="F431" s="1005" t="e">
        <f t="shared" si="183"/>
        <v>#DIV/0!</v>
      </c>
      <c r="G431" s="1" t="s">
        <v>1543</v>
      </c>
      <c r="H431" s="1">
        <v>47</v>
      </c>
      <c r="I431" s="2" t="s">
        <v>5</v>
      </c>
      <c r="J431" s="1" t="s">
        <v>15273</v>
      </c>
      <c r="K431" s="3"/>
      <c r="L431" s="1"/>
      <c r="M431" s="1"/>
      <c r="N431" s="4" t="s">
        <v>16116</v>
      </c>
      <c r="O431" s="1" t="s">
        <v>4993</v>
      </c>
      <c r="P431" s="1" t="s">
        <v>14</v>
      </c>
      <c r="Q431" s="16">
        <v>1</v>
      </c>
      <c r="R431" s="17">
        <v>1</v>
      </c>
      <c r="S431" s="774"/>
    </row>
    <row r="432" spans="1:19" ht="12" customHeight="1">
      <c r="A432" s="1040" t="str">
        <f t="shared" si="163"/>
        <v>096</v>
      </c>
      <c r="B432" s="4" t="s">
        <v>1526</v>
      </c>
      <c r="C432" s="4"/>
      <c r="D432" s="1008"/>
      <c r="E432" s="1002" t="str">
        <f t="shared" si="182"/>
        <v/>
      </c>
      <c r="F432" s="1005" t="e">
        <f t="shared" si="183"/>
        <v>#DIV/0!</v>
      </c>
      <c r="G432" s="1" t="s">
        <v>15988</v>
      </c>
      <c r="H432" s="1">
        <v>41</v>
      </c>
      <c r="I432" s="2" t="s">
        <v>5</v>
      </c>
      <c r="J432" s="1" t="s">
        <v>15273</v>
      </c>
      <c r="K432" s="3"/>
      <c r="L432" s="1"/>
      <c r="M432" s="1"/>
      <c r="N432" s="4" t="s">
        <v>18495</v>
      </c>
      <c r="O432" s="1"/>
      <c r="P432" s="1" t="s">
        <v>6</v>
      </c>
      <c r="Q432" s="16"/>
      <c r="R432" s="17"/>
      <c r="S432" s="774"/>
    </row>
    <row r="433" spans="1:19" ht="12" customHeight="1">
      <c r="A433" s="1040" t="str">
        <f t="shared" si="163"/>
        <v>096</v>
      </c>
      <c r="B433" s="4" t="s">
        <v>1527</v>
      </c>
      <c r="C433" s="4"/>
      <c r="D433" s="1008"/>
      <c r="E433" s="1002" t="str">
        <f t="shared" si="182"/>
        <v/>
      </c>
      <c r="F433" s="1005" t="str">
        <f t="shared" si="183"/>
        <v>$</v>
      </c>
      <c r="G433" s="1" t="s">
        <v>1535</v>
      </c>
      <c r="H433" s="1">
        <v>28</v>
      </c>
      <c r="I433" s="2" t="s">
        <v>19</v>
      </c>
      <c r="J433" s="1"/>
      <c r="K433" s="3"/>
      <c r="L433" s="1"/>
      <c r="M433" s="1"/>
      <c r="N433" s="4" t="s">
        <v>16117</v>
      </c>
      <c r="O433" s="1"/>
      <c r="P433" s="1" t="s">
        <v>6</v>
      </c>
      <c r="Q433" s="16"/>
      <c r="R433" s="17"/>
      <c r="S433" s="774"/>
    </row>
    <row r="434" spans="1:19" ht="12" customHeight="1" thickBot="1">
      <c r="A434" s="916" t="str">
        <f t="shared" si="163"/>
        <v>096</v>
      </c>
      <c r="B434" s="700" t="s">
        <v>1528</v>
      </c>
      <c r="C434" s="700"/>
      <c r="D434" s="1009"/>
      <c r="E434" s="1003" t="str">
        <f t="shared" si="182"/>
        <v/>
      </c>
      <c r="F434" s="1041" t="e">
        <f t="shared" si="183"/>
        <v>#DIV/0!</v>
      </c>
      <c r="G434" s="906" t="s">
        <v>1540</v>
      </c>
      <c r="H434" s="906">
        <v>25</v>
      </c>
      <c r="I434" s="702" t="s">
        <v>5</v>
      </c>
      <c r="J434" s="906" t="s">
        <v>15273</v>
      </c>
      <c r="K434" s="703"/>
      <c r="L434" s="906"/>
      <c r="M434" s="906"/>
      <c r="N434" s="700" t="s">
        <v>16121</v>
      </c>
      <c r="O434" s="906"/>
      <c r="P434" s="906" t="s">
        <v>6</v>
      </c>
      <c r="Q434" s="705"/>
      <c r="R434" s="903"/>
      <c r="S434" s="793"/>
    </row>
    <row r="435" spans="1:19" ht="12" customHeight="1">
      <c r="A435" s="1038" t="str">
        <f t="shared" si="163"/>
        <v>097</v>
      </c>
      <c r="B435" s="688" t="s">
        <v>1544</v>
      </c>
      <c r="C435" s="688"/>
      <c r="D435" s="1007"/>
      <c r="E435" s="1001" t="str">
        <f>IF(D435="","",D435/SUM($D$435:$D$436))</f>
        <v/>
      </c>
      <c r="F435" s="1004" t="e">
        <f>IF(J435="","$",IF(C435="当選","-",D435*100/MAX($D$435:$D$436)))</f>
        <v>#DIV/0!</v>
      </c>
      <c r="G435" s="687" t="s">
        <v>1549</v>
      </c>
      <c r="H435" s="687">
        <v>49</v>
      </c>
      <c r="I435" s="696" t="s">
        <v>5</v>
      </c>
      <c r="J435" s="687" t="s">
        <v>15273</v>
      </c>
      <c r="K435" s="747" t="s">
        <v>1550</v>
      </c>
      <c r="L435" s="687"/>
      <c r="M435" s="687"/>
      <c r="N435" s="688" t="s">
        <v>16120</v>
      </c>
      <c r="O435" s="687" t="s">
        <v>445</v>
      </c>
      <c r="P435" s="687" t="s">
        <v>25</v>
      </c>
      <c r="Q435" s="748">
        <v>5</v>
      </c>
      <c r="R435" s="749">
        <v>5</v>
      </c>
      <c r="S435" s="805" t="s">
        <v>5457</v>
      </c>
    </row>
    <row r="436" spans="1:19" ht="12" customHeight="1" thickBot="1">
      <c r="A436" s="916" t="str">
        <f t="shared" si="163"/>
        <v>097</v>
      </c>
      <c r="B436" s="700" t="s">
        <v>1545</v>
      </c>
      <c r="C436" s="700"/>
      <c r="D436" s="1009"/>
      <c r="E436" s="1003" t="str">
        <f>IF(D436="","",D436/SUM($D$435:$D$436))</f>
        <v/>
      </c>
      <c r="F436" s="1041" t="str">
        <f>IF(J436="","$",IF(C436="当選","-",D436*100/MAX($D$435:$D$436)))</f>
        <v>$</v>
      </c>
      <c r="G436" s="906" t="s">
        <v>1554</v>
      </c>
      <c r="H436" s="906">
        <v>32</v>
      </c>
      <c r="I436" s="702" t="s">
        <v>19</v>
      </c>
      <c r="J436" s="906"/>
      <c r="K436" s="703"/>
      <c r="L436" s="906"/>
      <c r="M436" s="906"/>
      <c r="N436" s="700" t="s">
        <v>16117</v>
      </c>
      <c r="O436" s="906"/>
      <c r="P436" s="906" t="s">
        <v>6</v>
      </c>
      <c r="Q436" s="705"/>
      <c r="R436" s="903"/>
      <c r="S436" s="793"/>
    </row>
    <row r="437" spans="1:19" ht="12" customHeight="1">
      <c r="A437" s="1038" t="str">
        <f t="shared" si="163"/>
        <v>098</v>
      </c>
      <c r="B437" s="688" t="s">
        <v>1557</v>
      </c>
      <c r="C437" s="688"/>
      <c r="D437" s="1007"/>
      <c r="E437" s="1001" t="str">
        <f>IF(D437="","",D437/SUM($D$437:$D$440))</f>
        <v/>
      </c>
      <c r="F437" s="1004" t="e">
        <f>IF(J437="","$",IF(C437="当選","-",D437*100/MAX($D$437:$D$440)))</f>
        <v>#DIV/0!</v>
      </c>
      <c r="G437" s="687" t="s">
        <v>1560</v>
      </c>
      <c r="H437" s="687">
        <v>43</v>
      </c>
      <c r="I437" s="696" t="s">
        <v>5</v>
      </c>
      <c r="J437" s="689" t="s">
        <v>15273</v>
      </c>
      <c r="K437" s="747" t="s">
        <v>1561</v>
      </c>
      <c r="L437" s="687"/>
      <c r="M437" s="687"/>
      <c r="N437" s="692" t="s">
        <v>16127</v>
      </c>
      <c r="O437" s="687" t="s">
        <v>44</v>
      </c>
      <c r="P437" s="687" t="s">
        <v>25</v>
      </c>
      <c r="Q437" s="748">
        <v>1</v>
      </c>
      <c r="R437" s="749">
        <v>1</v>
      </c>
      <c r="S437" s="805" t="s">
        <v>736</v>
      </c>
    </row>
    <row r="438" spans="1:19" ht="12" customHeight="1">
      <c r="A438" s="1040" t="str">
        <f t="shared" si="163"/>
        <v>098</v>
      </c>
      <c r="B438" s="4" t="s">
        <v>1558</v>
      </c>
      <c r="C438" s="4"/>
      <c r="D438" s="1008"/>
      <c r="E438" s="1002" t="str">
        <f t="shared" ref="E438:E440" si="184">IF(D438="","",D438/SUM($D$437:$D$440))</f>
        <v/>
      </c>
      <c r="F438" s="1005" t="e">
        <f t="shared" ref="F438:F440" si="185">IF(J438="","$",IF(C438="当選","-",D438*100/MAX($D$437:$D$440)))</f>
        <v>#DIV/0!</v>
      </c>
      <c r="G438" s="1" t="s">
        <v>1564</v>
      </c>
      <c r="H438" s="1">
        <v>41</v>
      </c>
      <c r="I438" s="2" t="s">
        <v>5</v>
      </c>
      <c r="J438" s="1" t="s">
        <v>15273</v>
      </c>
      <c r="K438" s="3" t="s">
        <v>1565</v>
      </c>
      <c r="L438" s="1" t="s">
        <v>373</v>
      </c>
      <c r="M438" s="1"/>
      <c r="N438" s="4" t="s">
        <v>16120</v>
      </c>
      <c r="O438" s="1" t="s">
        <v>48</v>
      </c>
      <c r="P438" s="1" t="s">
        <v>6</v>
      </c>
      <c r="Q438" s="16"/>
      <c r="R438" s="17">
        <v>2</v>
      </c>
      <c r="S438" s="774" t="s">
        <v>5457</v>
      </c>
    </row>
    <row r="439" spans="1:19" ht="12" customHeight="1">
      <c r="A439" s="1040" t="str">
        <f t="shared" si="163"/>
        <v>098</v>
      </c>
      <c r="B439" s="4" t="s">
        <v>1559</v>
      </c>
      <c r="C439" s="4"/>
      <c r="D439" s="1008"/>
      <c r="E439" s="1002" t="str">
        <f t="shared" si="184"/>
        <v/>
      </c>
      <c r="F439" s="1005" t="e">
        <f t="shared" si="185"/>
        <v>#DIV/0!</v>
      </c>
      <c r="G439" s="1" t="s">
        <v>5519</v>
      </c>
      <c r="H439" s="1">
        <v>41</v>
      </c>
      <c r="I439" s="2" t="s">
        <v>5</v>
      </c>
      <c r="J439" s="1" t="s">
        <v>15273</v>
      </c>
      <c r="K439" s="3"/>
      <c r="L439" s="1"/>
      <c r="M439" s="1"/>
      <c r="N439" s="4" t="s">
        <v>16116</v>
      </c>
      <c r="O439" s="1" t="s">
        <v>18494</v>
      </c>
      <c r="P439" s="1" t="s">
        <v>6</v>
      </c>
      <c r="Q439" s="16"/>
      <c r="R439" s="17"/>
      <c r="S439" s="774" t="s">
        <v>6154</v>
      </c>
    </row>
    <row r="440" spans="1:19" ht="12" customHeight="1" thickBot="1">
      <c r="A440" s="916" t="str">
        <f t="shared" si="163"/>
        <v>098</v>
      </c>
      <c r="B440" s="700" t="s">
        <v>5518</v>
      </c>
      <c r="C440" s="700"/>
      <c r="D440" s="1009"/>
      <c r="E440" s="1003" t="str">
        <f t="shared" si="184"/>
        <v/>
      </c>
      <c r="F440" s="1041" t="str">
        <f t="shared" si="185"/>
        <v>$</v>
      </c>
      <c r="G440" s="906" t="s">
        <v>1568</v>
      </c>
      <c r="H440" s="906">
        <v>50</v>
      </c>
      <c r="I440" s="702" t="s">
        <v>5</v>
      </c>
      <c r="J440" s="906"/>
      <c r="K440" s="703"/>
      <c r="L440" s="906"/>
      <c r="M440" s="906"/>
      <c r="N440" s="700" t="s">
        <v>16117</v>
      </c>
      <c r="O440" s="906"/>
      <c r="P440" s="906" t="s">
        <v>6</v>
      </c>
      <c r="Q440" s="705"/>
      <c r="R440" s="903"/>
      <c r="S440" s="793"/>
    </row>
    <row r="441" spans="1:19" ht="12" customHeight="1">
      <c r="A441" s="1038" t="str">
        <f t="shared" si="163"/>
        <v>099</v>
      </c>
      <c r="B441" s="688" t="s">
        <v>1572</v>
      </c>
      <c r="C441" s="688"/>
      <c r="D441" s="1007"/>
      <c r="E441" s="1001" t="str">
        <f>IF(D441="","",D441/SUM($D$441:$D$445))</f>
        <v/>
      </c>
      <c r="F441" s="1004" t="e">
        <f>IF(J441="","$",IF(C441="当選","-",D441*100/MAX($D$441:$D$445)))</f>
        <v>#DIV/0!</v>
      </c>
      <c r="G441" s="687" t="s">
        <v>1577</v>
      </c>
      <c r="H441" s="687">
        <v>37</v>
      </c>
      <c r="I441" s="696" t="s">
        <v>5</v>
      </c>
      <c r="J441" s="689" t="s">
        <v>15273</v>
      </c>
      <c r="K441" s="747" t="s">
        <v>1578</v>
      </c>
      <c r="L441" s="687"/>
      <c r="M441" s="687"/>
      <c r="N441" s="692" t="s">
        <v>16127</v>
      </c>
      <c r="O441" s="687" t="s">
        <v>44</v>
      </c>
      <c r="P441" s="687" t="s">
        <v>25</v>
      </c>
      <c r="Q441" s="748">
        <v>1</v>
      </c>
      <c r="R441" s="749">
        <v>1</v>
      </c>
      <c r="S441" s="805" t="s">
        <v>736</v>
      </c>
    </row>
    <row r="442" spans="1:19" ht="12" customHeight="1">
      <c r="A442" s="1040" t="str">
        <f t="shared" si="163"/>
        <v>099</v>
      </c>
      <c r="B442" s="4" t="s">
        <v>1573</v>
      </c>
      <c r="C442" s="4"/>
      <c r="D442" s="1008"/>
      <c r="E442" s="1002" t="str">
        <f t="shared" ref="E442:E445" si="186">IF(D442="","",D442/SUM($D$441:$D$445))</f>
        <v/>
      </c>
      <c r="F442" s="1005" t="e">
        <f t="shared" ref="F442:F445" si="187">IF(J442="","$",IF(C442="当選","-",D442*100/MAX($D$441:$D$445)))</f>
        <v>#DIV/0!</v>
      </c>
      <c r="G442" s="1" t="s">
        <v>1579</v>
      </c>
      <c r="H442" s="1">
        <v>36</v>
      </c>
      <c r="I442" s="2" t="s">
        <v>19</v>
      </c>
      <c r="J442" s="1" t="s">
        <v>15273</v>
      </c>
      <c r="K442" s="3"/>
      <c r="L442" s="1"/>
      <c r="M442" s="1"/>
      <c r="N442" s="8" t="s">
        <v>16120</v>
      </c>
      <c r="O442" s="1" t="s">
        <v>30</v>
      </c>
      <c r="P442" s="1" t="s">
        <v>6</v>
      </c>
      <c r="Q442" s="16"/>
      <c r="R442" s="17"/>
      <c r="S442" s="774" t="s">
        <v>5457</v>
      </c>
    </row>
    <row r="443" spans="1:19" ht="12" customHeight="1">
      <c r="A443" s="1040" t="str">
        <f t="shared" si="163"/>
        <v>099</v>
      </c>
      <c r="B443" s="4" t="s">
        <v>1574</v>
      </c>
      <c r="C443" s="4"/>
      <c r="D443" s="1008"/>
      <c r="E443" s="1002" t="str">
        <f t="shared" si="186"/>
        <v/>
      </c>
      <c r="F443" s="1005" t="e">
        <f t="shared" si="187"/>
        <v>#DIV/0!</v>
      </c>
      <c r="G443" s="1" t="s">
        <v>1587</v>
      </c>
      <c r="H443" s="1">
        <v>57</v>
      </c>
      <c r="I443" s="2" t="s">
        <v>5</v>
      </c>
      <c r="J443" s="1" t="s">
        <v>15273</v>
      </c>
      <c r="K443" s="3"/>
      <c r="L443" s="1"/>
      <c r="M443" s="1"/>
      <c r="N443" s="4" t="s">
        <v>16125</v>
      </c>
      <c r="O443" s="1"/>
      <c r="P443" s="1" t="s">
        <v>6</v>
      </c>
      <c r="Q443" s="16"/>
      <c r="R443" s="17"/>
      <c r="S443" s="774" t="s">
        <v>5561</v>
      </c>
    </row>
    <row r="444" spans="1:19" ht="12" customHeight="1">
      <c r="A444" s="1040" t="str">
        <f t="shared" si="163"/>
        <v>099</v>
      </c>
      <c r="B444" s="4" t="s">
        <v>1575</v>
      </c>
      <c r="C444" s="4"/>
      <c r="D444" s="1008"/>
      <c r="E444" s="1002" t="str">
        <f t="shared" si="186"/>
        <v/>
      </c>
      <c r="F444" s="1005" t="e">
        <f t="shared" si="187"/>
        <v>#DIV/0!</v>
      </c>
      <c r="G444" s="1" t="s">
        <v>1585</v>
      </c>
      <c r="H444" s="1">
        <v>49</v>
      </c>
      <c r="I444" s="2" t="s">
        <v>5</v>
      </c>
      <c r="J444" s="1" t="s">
        <v>15273</v>
      </c>
      <c r="K444" s="3"/>
      <c r="L444" s="1"/>
      <c r="M444" s="1"/>
      <c r="N444" s="4" t="s">
        <v>18495</v>
      </c>
      <c r="O444" s="1"/>
      <c r="P444" s="1" t="s">
        <v>6</v>
      </c>
      <c r="Q444" s="16"/>
      <c r="R444" s="17"/>
      <c r="S444" s="774" t="s">
        <v>6031</v>
      </c>
    </row>
    <row r="445" spans="1:19" ht="12" customHeight="1" thickBot="1">
      <c r="A445" s="916" t="str">
        <f t="shared" si="163"/>
        <v>099</v>
      </c>
      <c r="B445" s="700" t="s">
        <v>1576</v>
      </c>
      <c r="C445" s="700"/>
      <c r="D445" s="1009"/>
      <c r="E445" s="1003" t="str">
        <f t="shared" si="186"/>
        <v/>
      </c>
      <c r="F445" s="1041" t="str">
        <f t="shared" si="187"/>
        <v>$</v>
      </c>
      <c r="G445" s="906" t="s">
        <v>1582</v>
      </c>
      <c r="H445" s="906">
        <v>55</v>
      </c>
      <c r="I445" s="702" t="s">
        <v>5</v>
      </c>
      <c r="J445" s="906"/>
      <c r="K445" s="703"/>
      <c r="L445" s="906"/>
      <c r="M445" s="906"/>
      <c r="N445" s="700" t="s">
        <v>16117</v>
      </c>
      <c r="O445" s="906"/>
      <c r="P445" s="906" t="s">
        <v>6</v>
      </c>
      <c r="Q445" s="705"/>
      <c r="R445" s="903"/>
      <c r="S445" s="793"/>
    </row>
    <row r="446" spans="1:19" ht="12" customHeight="1">
      <c r="A446" s="1038" t="str">
        <f t="shared" si="163"/>
        <v>100</v>
      </c>
      <c r="B446" s="688" t="s">
        <v>1591</v>
      </c>
      <c r="C446" s="688"/>
      <c r="D446" s="1007"/>
      <c r="E446" s="1001" t="str">
        <f>IF(D446="","",D446/SUM($D$446:$D$450))</f>
        <v/>
      </c>
      <c r="F446" s="1004" t="e">
        <f>IF(J446="","$",IF(C446="当選","-",D446*100/MAX($D$446:$D$450)))</f>
        <v>#DIV/0!</v>
      </c>
      <c r="G446" s="687" t="s">
        <v>4880</v>
      </c>
      <c r="H446" s="687">
        <v>55</v>
      </c>
      <c r="I446" s="696" t="s">
        <v>5</v>
      </c>
      <c r="J446" s="689" t="s">
        <v>15273</v>
      </c>
      <c r="K446" s="747" t="s">
        <v>4881</v>
      </c>
      <c r="L446" s="687"/>
      <c r="M446" s="687"/>
      <c r="N446" s="692" t="s">
        <v>16126</v>
      </c>
      <c r="O446" s="687" t="s">
        <v>44</v>
      </c>
      <c r="P446" s="687" t="s">
        <v>25</v>
      </c>
      <c r="Q446" s="748">
        <v>1</v>
      </c>
      <c r="R446" s="749">
        <v>1</v>
      </c>
      <c r="S446" s="805" t="s">
        <v>736</v>
      </c>
    </row>
    <row r="447" spans="1:19" ht="12" customHeight="1">
      <c r="A447" s="1040" t="str">
        <f t="shared" si="163"/>
        <v>100</v>
      </c>
      <c r="B447" s="4" t="s">
        <v>1592</v>
      </c>
      <c r="C447" s="4"/>
      <c r="D447" s="1008"/>
      <c r="E447" s="1002" t="str">
        <f t="shared" ref="E447:E450" si="188">IF(D447="","",D447/SUM($D$446:$D$450))</f>
        <v/>
      </c>
      <c r="F447" s="1005" t="e">
        <f t="shared" ref="F447:F450" si="189">IF(J447="","$",IF(C447="当選","-",D447*100/MAX($D$446:$D$450)))</f>
        <v>#DIV/0!</v>
      </c>
      <c r="G447" s="1" t="s">
        <v>1596</v>
      </c>
      <c r="H447" s="1">
        <v>44</v>
      </c>
      <c r="I447" s="2" t="s">
        <v>5</v>
      </c>
      <c r="J447" s="1" t="s">
        <v>15273</v>
      </c>
      <c r="K447" s="3"/>
      <c r="L447" s="1"/>
      <c r="M447" s="1"/>
      <c r="N447" s="4" t="s">
        <v>16120</v>
      </c>
      <c r="O447" s="1" t="s">
        <v>934</v>
      </c>
      <c r="P447" s="1" t="s">
        <v>14</v>
      </c>
      <c r="Q447" s="16">
        <v>2</v>
      </c>
      <c r="R447" s="17">
        <v>2</v>
      </c>
      <c r="S447" s="774" t="s">
        <v>5457</v>
      </c>
    </row>
    <row r="448" spans="1:19" ht="12" customHeight="1">
      <c r="A448" s="1040" t="str">
        <f t="shared" si="163"/>
        <v>100</v>
      </c>
      <c r="B448" s="4" t="s">
        <v>1593</v>
      </c>
      <c r="C448" s="4"/>
      <c r="D448" s="1008"/>
      <c r="E448" s="1002" t="str">
        <f t="shared" si="188"/>
        <v/>
      </c>
      <c r="F448" s="1005" t="e">
        <f t="shared" si="189"/>
        <v>#DIV/0!</v>
      </c>
      <c r="G448" s="1" t="s">
        <v>1599</v>
      </c>
      <c r="H448" s="1">
        <v>47</v>
      </c>
      <c r="I448" s="2" t="s">
        <v>5</v>
      </c>
      <c r="J448" s="1" t="s">
        <v>15273</v>
      </c>
      <c r="K448" s="3" t="s">
        <v>1600</v>
      </c>
      <c r="L448" s="1"/>
      <c r="M448" s="1"/>
      <c r="N448" s="4" t="s">
        <v>16125</v>
      </c>
      <c r="O448" s="1"/>
      <c r="P448" s="1" t="s">
        <v>25</v>
      </c>
      <c r="Q448" s="16">
        <v>3</v>
      </c>
      <c r="R448" s="17">
        <v>3</v>
      </c>
      <c r="S448" s="774" t="s">
        <v>16114</v>
      </c>
    </row>
    <row r="449" spans="1:19" ht="12" customHeight="1">
      <c r="A449" s="1040" t="str">
        <f t="shared" si="163"/>
        <v>100</v>
      </c>
      <c r="B449" s="4" t="s">
        <v>1594</v>
      </c>
      <c r="C449" s="4"/>
      <c r="D449" s="1008"/>
      <c r="E449" s="1002" t="str">
        <f t="shared" si="188"/>
        <v/>
      </c>
      <c r="F449" s="1005" t="e">
        <f t="shared" si="189"/>
        <v>#DIV/0!</v>
      </c>
      <c r="G449" s="1" t="s">
        <v>1605</v>
      </c>
      <c r="H449" s="1">
        <v>45</v>
      </c>
      <c r="I449" s="2" t="s">
        <v>5</v>
      </c>
      <c r="J449" s="1" t="s">
        <v>15273</v>
      </c>
      <c r="K449" s="3"/>
      <c r="L449" s="1"/>
      <c r="M449" s="1"/>
      <c r="N449" s="4" t="s">
        <v>18495</v>
      </c>
      <c r="O449" s="1"/>
      <c r="P449" s="1" t="s">
        <v>6</v>
      </c>
      <c r="Q449" s="16"/>
      <c r="R449" s="17"/>
      <c r="S449" s="774" t="s">
        <v>6031</v>
      </c>
    </row>
    <row r="450" spans="1:19" ht="12" customHeight="1" thickBot="1">
      <c r="A450" s="916" t="str">
        <f t="shared" si="163"/>
        <v>100</v>
      </c>
      <c r="B450" s="700" t="s">
        <v>1595</v>
      </c>
      <c r="C450" s="700"/>
      <c r="D450" s="1009"/>
      <c r="E450" s="1003" t="str">
        <f t="shared" si="188"/>
        <v/>
      </c>
      <c r="F450" s="1041" t="str">
        <f t="shared" si="189"/>
        <v>$</v>
      </c>
      <c r="G450" s="906" t="s">
        <v>1602</v>
      </c>
      <c r="H450" s="906">
        <v>59</v>
      </c>
      <c r="I450" s="702" t="s">
        <v>19</v>
      </c>
      <c r="J450" s="906"/>
      <c r="K450" s="703"/>
      <c r="L450" s="906"/>
      <c r="M450" s="906"/>
      <c r="N450" s="700" t="s">
        <v>16117</v>
      </c>
      <c r="O450" s="906"/>
      <c r="P450" s="906" t="s">
        <v>6</v>
      </c>
      <c r="Q450" s="705"/>
      <c r="R450" s="903"/>
      <c r="S450" s="793"/>
    </row>
    <row r="451" spans="1:19" ht="12" customHeight="1">
      <c r="A451" s="1038" t="str">
        <f t="shared" ref="A451:A514" si="190">MIDB(B451,1,3)</f>
        <v>101</v>
      </c>
      <c r="B451" s="688" t="s">
        <v>1607</v>
      </c>
      <c r="C451" s="688"/>
      <c r="D451" s="1007"/>
      <c r="E451" s="1001" t="str">
        <f>IF(D451="","",D451/SUM($D$451:$D$454))</f>
        <v/>
      </c>
      <c r="F451" s="1004" t="e">
        <f>IF(J451="","$",IF(C451="当選","-",D451*100/MAX($D$451:$D$454)))</f>
        <v>#DIV/0!</v>
      </c>
      <c r="G451" s="687" t="s">
        <v>2136</v>
      </c>
      <c r="H451" s="687">
        <v>67</v>
      </c>
      <c r="I451" s="696" t="s">
        <v>5</v>
      </c>
      <c r="J451" s="689" t="s">
        <v>15273</v>
      </c>
      <c r="K451" s="747" t="s">
        <v>5570</v>
      </c>
      <c r="L451" s="687"/>
      <c r="M451" s="687"/>
      <c r="N451" s="692" t="s">
        <v>16127</v>
      </c>
      <c r="O451" s="687" t="s">
        <v>45</v>
      </c>
      <c r="P451" s="687" t="s">
        <v>25</v>
      </c>
      <c r="Q451" s="748">
        <v>1</v>
      </c>
      <c r="R451" s="749">
        <v>5</v>
      </c>
      <c r="S451" s="805" t="s">
        <v>736</v>
      </c>
    </row>
    <row r="452" spans="1:19" ht="12" customHeight="1">
      <c r="A452" s="1040" t="str">
        <f t="shared" si="190"/>
        <v>101</v>
      </c>
      <c r="B452" s="4" t="s">
        <v>1608</v>
      </c>
      <c r="C452" s="4"/>
      <c r="D452" s="1008"/>
      <c r="E452" s="1002" t="str">
        <f t="shared" ref="E452:E454" si="191">IF(D452="","",D452/SUM($D$451:$D$454))</f>
        <v/>
      </c>
      <c r="F452" s="1005" t="e">
        <f t="shared" ref="F452:F454" si="192">IF(J452="","$",IF(C452="当選","-",D452*100/MAX($D$451:$D$454)))</f>
        <v>#DIV/0!</v>
      </c>
      <c r="G452" s="1" t="s">
        <v>1615</v>
      </c>
      <c r="H452" s="1">
        <v>33</v>
      </c>
      <c r="I452" s="2" t="s">
        <v>19</v>
      </c>
      <c r="J452" s="1" t="s">
        <v>15273</v>
      </c>
      <c r="K452" s="3"/>
      <c r="L452" s="1"/>
      <c r="M452" s="1"/>
      <c r="N452" s="4" t="s">
        <v>16120</v>
      </c>
      <c r="O452" s="1" t="s">
        <v>30</v>
      </c>
      <c r="P452" s="1" t="s">
        <v>6</v>
      </c>
      <c r="Q452" s="16"/>
      <c r="R452" s="17"/>
      <c r="S452" s="774"/>
    </row>
    <row r="453" spans="1:19" ht="12" customHeight="1">
      <c r="A453" s="1040" t="str">
        <f t="shared" si="190"/>
        <v>101</v>
      </c>
      <c r="B453" s="4" t="s">
        <v>1609</v>
      </c>
      <c r="C453" s="4"/>
      <c r="D453" s="1008"/>
      <c r="E453" s="1002" t="str">
        <f t="shared" si="191"/>
        <v/>
      </c>
      <c r="F453" s="1005" t="e">
        <f t="shared" si="192"/>
        <v>#DIV/0!</v>
      </c>
      <c r="G453" s="1" t="s">
        <v>1610</v>
      </c>
      <c r="H453" s="1">
        <v>58</v>
      </c>
      <c r="I453" s="2" t="s">
        <v>5</v>
      </c>
      <c r="J453" s="1" t="s">
        <v>15273</v>
      </c>
      <c r="K453" s="3" t="s">
        <v>1611</v>
      </c>
      <c r="L453" s="1"/>
      <c r="M453" s="1"/>
      <c r="N453" s="4" t="s">
        <v>16116</v>
      </c>
      <c r="O453" s="1" t="s">
        <v>4422</v>
      </c>
      <c r="P453" s="1" t="s">
        <v>25</v>
      </c>
      <c r="Q453" s="16">
        <v>6</v>
      </c>
      <c r="R453" s="17">
        <v>6</v>
      </c>
      <c r="S453" s="774" t="s">
        <v>6154</v>
      </c>
    </row>
    <row r="454" spans="1:19" ht="12" customHeight="1" thickBot="1">
      <c r="A454" s="916" t="str">
        <f t="shared" si="190"/>
        <v>101</v>
      </c>
      <c r="B454" s="700" t="s">
        <v>4434</v>
      </c>
      <c r="C454" s="700"/>
      <c r="D454" s="1009"/>
      <c r="E454" s="1003" t="str">
        <f t="shared" si="191"/>
        <v/>
      </c>
      <c r="F454" s="1041" t="str">
        <f t="shared" si="192"/>
        <v>$</v>
      </c>
      <c r="G454" s="906" t="s">
        <v>1616</v>
      </c>
      <c r="H454" s="906">
        <v>39</v>
      </c>
      <c r="I454" s="702" t="s">
        <v>5</v>
      </c>
      <c r="J454" s="906"/>
      <c r="K454" s="703"/>
      <c r="L454" s="906"/>
      <c r="M454" s="906"/>
      <c r="N454" s="700" t="s">
        <v>16117</v>
      </c>
      <c r="O454" s="906"/>
      <c r="P454" s="906" t="s">
        <v>6</v>
      </c>
      <c r="Q454" s="705"/>
      <c r="R454" s="903"/>
      <c r="S454" s="793"/>
    </row>
    <row r="455" spans="1:19" ht="12" customHeight="1">
      <c r="A455" s="1038" t="str">
        <f t="shared" si="190"/>
        <v>102</v>
      </c>
      <c r="B455" s="688" t="s">
        <v>1619</v>
      </c>
      <c r="C455" s="688"/>
      <c r="D455" s="1007"/>
      <c r="E455" s="1001" t="str">
        <f>IF(D455="","",D455/SUM($D$455:$D$458))</f>
        <v/>
      </c>
      <c r="F455" s="1004" t="e">
        <f>IF(J455="","$",IF(C455="当選","-",D455*100/MAX($D$455:$D$458)))</f>
        <v>#DIV/0!</v>
      </c>
      <c r="G455" s="687" t="s">
        <v>1623</v>
      </c>
      <c r="H455" s="687">
        <v>41</v>
      </c>
      <c r="I455" s="696" t="s">
        <v>5</v>
      </c>
      <c r="J455" s="689" t="s">
        <v>15273</v>
      </c>
      <c r="K455" s="747" t="s">
        <v>1625</v>
      </c>
      <c r="L455" s="687"/>
      <c r="M455" s="687"/>
      <c r="N455" s="692" t="s">
        <v>16127</v>
      </c>
      <c r="O455" s="687" t="s">
        <v>44</v>
      </c>
      <c r="P455" s="687" t="s">
        <v>25</v>
      </c>
      <c r="Q455" s="748">
        <v>1</v>
      </c>
      <c r="R455" s="749">
        <v>1</v>
      </c>
      <c r="S455" s="805" t="s">
        <v>736</v>
      </c>
    </row>
    <row r="456" spans="1:19" ht="12" customHeight="1">
      <c r="A456" s="1040" t="str">
        <f t="shared" si="190"/>
        <v>102</v>
      </c>
      <c r="B456" s="4" t="s">
        <v>1620</v>
      </c>
      <c r="C456" s="4"/>
      <c r="D456" s="1008"/>
      <c r="E456" s="1002" t="str">
        <f t="shared" ref="E456:E458" si="193">IF(D456="","",D456/SUM($D$455:$D$458))</f>
        <v/>
      </c>
      <c r="F456" s="1005" t="e">
        <f t="shared" ref="F456:F458" si="194">IF(J456="","$",IF(C456="当選","-",D456*100/MAX($D$455:$D$458)))</f>
        <v>#DIV/0!</v>
      </c>
      <c r="G456" s="1" t="s">
        <v>2062</v>
      </c>
      <c r="H456" s="1">
        <v>47</v>
      </c>
      <c r="I456" s="2" t="s">
        <v>19</v>
      </c>
      <c r="J456" s="1" t="s">
        <v>15273</v>
      </c>
      <c r="K456" s="3"/>
      <c r="L456" s="1"/>
      <c r="M456" s="1"/>
      <c r="N456" s="8" t="s">
        <v>16120</v>
      </c>
      <c r="O456" s="1" t="s">
        <v>476</v>
      </c>
      <c r="P456" s="1" t="s">
        <v>6</v>
      </c>
      <c r="Q456" s="16"/>
      <c r="R456" s="17"/>
      <c r="S456" s="774"/>
    </row>
    <row r="457" spans="1:19" ht="12" customHeight="1">
      <c r="A457" s="1040" t="str">
        <f t="shared" si="190"/>
        <v>102</v>
      </c>
      <c r="B457" s="4" t="s">
        <v>1621</v>
      </c>
      <c r="C457" s="4"/>
      <c r="D457" s="1008"/>
      <c r="E457" s="1002" t="str">
        <f t="shared" si="193"/>
        <v/>
      </c>
      <c r="F457" s="1005" t="str">
        <f t="shared" si="194"/>
        <v>$</v>
      </c>
      <c r="G457" s="1" t="s">
        <v>1626</v>
      </c>
      <c r="H457" s="1">
        <v>54</v>
      </c>
      <c r="I457" s="2" t="s">
        <v>5</v>
      </c>
      <c r="J457" s="1"/>
      <c r="K457" s="3"/>
      <c r="L457" s="1"/>
      <c r="M457" s="1"/>
      <c r="N457" s="4" t="s">
        <v>16117</v>
      </c>
      <c r="O457" s="1"/>
      <c r="P457" s="1" t="s">
        <v>6</v>
      </c>
      <c r="Q457" s="16"/>
      <c r="R457" s="17"/>
      <c r="S457" s="774"/>
    </row>
    <row r="458" spans="1:19" ht="12" customHeight="1" thickBot="1">
      <c r="A458" s="916" t="str">
        <f t="shared" si="190"/>
        <v>102</v>
      </c>
      <c r="B458" s="700" t="s">
        <v>1622</v>
      </c>
      <c r="C458" s="700"/>
      <c r="D458" s="1009"/>
      <c r="E458" s="1003" t="str">
        <f t="shared" si="193"/>
        <v/>
      </c>
      <c r="F458" s="1041" t="str">
        <f t="shared" si="194"/>
        <v>$</v>
      </c>
      <c r="G458" s="906" t="s">
        <v>1628</v>
      </c>
      <c r="H458" s="906">
        <v>44</v>
      </c>
      <c r="I458" s="702" t="s">
        <v>5</v>
      </c>
      <c r="J458" s="906"/>
      <c r="K458" s="703"/>
      <c r="L458" s="906"/>
      <c r="M458" s="906"/>
      <c r="N458" s="700" t="s">
        <v>16129</v>
      </c>
      <c r="O458" s="906"/>
      <c r="P458" s="906" t="s">
        <v>14</v>
      </c>
      <c r="Q458" s="705">
        <v>1</v>
      </c>
      <c r="R458" s="903">
        <v>1</v>
      </c>
      <c r="S458" s="793"/>
    </row>
    <row r="459" spans="1:19" ht="12" customHeight="1">
      <c r="A459" s="1038" t="str">
        <f t="shared" si="190"/>
        <v>103</v>
      </c>
      <c r="B459" s="688" t="s">
        <v>1631</v>
      </c>
      <c r="C459" s="688"/>
      <c r="D459" s="1007"/>
      <c r="E459" s="1001" t="str">
        <f>IF(D459="","",D459/SUM($D$459:$D$462))</f>
        <v/>
      </c>
      <c r="F459" s="1004" t="e">
        <f>IF(J459="","$",IF(C459="当選","-",D459*100/MAX($D$459:$D$462)))</f>
        <v>#DIV/0!</v>
      </c>
      <c r="G459" s="687" t="s">
        <v>1632</v>
      </c>
      <c r="H459" s="687">
        <v>55</v>
      </c>
      <c r="I459" s="696" t="s">
        <v>5</v>
      </c>
      <c r="J459" s="689" t="s">
        <v>15273</v>
      </c>
      <c r="K459" s="747" t="s">
        <v>1636</v>
      </c>
      <c r="L459" s="687"/>
      <c r="M459" s="687"/>
      <c r="N459" s="692" t="s">
        <v>16126</v>
      </c>
      <c r="O459" s="687" t="s">
        <v>604</v>
      </c>
      <c r="P459" s="687" t="s">
        <v>25</v>
      </c>
      <c r="Q459" s="748">
        <v>3</v>
      </c>
      <c r="R459" s="749">
        <v>3</v>
      </c>
      <c r="S459" s="805" t="s">
        <v>736</v>
      </c>
    </row>
    <row r="460" spans="1:19" ht="12" customHeight="1">
      <c r="A460" s="1040" t="str">
        <f t="shared" si="190"/>
        <v>103</v>
      </c>
      <c r="B460" s="4" t="s">
        <v>1633</v>
      </c>
      <c r="C460" s="4"/>
      <c r="D460" s="1008"/>
      <c r="E460" s="1002" t="str">
        <f t="shared" ref="E460:E462" si="195">IF(D460="","",D460/SUM($D$459:$D$462))</f>
        <v/>
      </c>
      <c r="F460" s="1005" t="e">
        <f t="shared" ref="F460:F462" si="196">IF(J460="","$",IF(C460="当選","-",D460*100/MAX($D$459:$D$462)))</f>
        <v>#DIV/0!</v>
      </c>
      <c r="G460" s="1" t="s">
        <v>1642</v>
      </c>
      <c r="H460" s="1">
        <v>36</v>
      </c>
      <c r="I460" s="2" t="s">
        <v>5</v>
      </c>
      <c r="J460" s="1" t="s">
        <v>15273</v>
      </c>
      <c r="K460" s="3"/>
      <c r="L460" s="1"/>
      <c r="M460" s="1"/>
      <c r="N460" s="4" t="s">
        <v>16120</v>
      </c>
      <c r="O460" s="1" t="s">
        <v>30</v>
      </c>
      <c r="P460" s="1" t="s">
        <v>6</v>
      </c>
      <c r="Q460" s="16"/>
      <c r="R460" s="17"/>
      <c r="S460" s="774"/>
    </row>
    <row r="461" spans="1:19" ht="12" customHeight="1">
      <c r="A461" s="1040" t="str">
        <f t="shared" si="190"/>
        <v>103</v>
      </c>
      <c r="B461" s="4" t="s">
        <v>1634</v>
      </c>
      <c r="C461" s="4"/>
      <c r="D461" s="1008"/>
      <c r="E461" s="1002" t="str">
        <f t="shared" si="195"/>
        <v/>
      </c>
      <c r="F461" s="1005" t="e">
        <f t="shared" si="196"/>
        <v>#DIV/0!</v>
      </c>
      <c r="G461" s="1" t="s">
        <v>1646</v>
      </c>
      <c r="H461" s="1">
        <v>45</v>
      </c>
      <c r="I461" s="2" t="s">
        <v>5</v>
      </c>
      <c r="J461" s="1" t="s">
        <v>15273</v>
      </c>
      <c r="K461" s="3"/>
      <c r="L461" s="1"/>
      <c r="M461" s="1"/>
      <c r="N461" s="4" t="s">
        <v>18495</v>
      </c>
      <c r="O461" s="1"/>
      <c r="P461" s="1" t="s">
        <v>6</v>
      </c>
      <c r="Q461" s="16"/>
      <c r="R461" s="17"/>
      <c r="S461" s="774" t="s">
        <v>6031</v>
      </c>
    </row>
    <row r="462" spans="1:19" ht="12" customHeight="1" thickBot="1">
      <c r="A462" s="916" t="str">
        <f t="shared" si="190"/>
        <v>103</v>
      </c>
      <c r="B462" s="700" t="s">
        <v>1635</v>
      </c>
      <c r="C462" s="700"/>
      <c r="D462" s="1009"/>
      <c r="E462" s="1003" t="str">
        <f t="shared" si="195"/>
        <v/>
      </c>
      <c r="F462" s="1041" t="str">
        <f t="shared" si="196"/>
        <v>$</v>
      </c>
      <c r="G462" s="906" t="s">
        <v>1644</v>
      </c>
      <c r="H462" s="906">
        <v>51</v>
      </c>
      <c r="I462" s="702" t="s">
        <v>5</v>
      </c>
      <c r="J462" s="906"/>
      <c r="K462" s="703"/>
      <c r="L462" s="906"/>
      <c r="M462" s="906"/>
      <c r="N462" s="700" t="s">
        <v>16117</v>
      </c>
      <c r="O462" s="906"/>
      <c r="P462" s="906" t="s">
        <v>6</v>
      </c>
      <c r="Q462" s="705"/>
      <c r="R462" s="903"/>
      <c r="S462" s="793"/>
    </row>
    <row r="463" spans="1:19" ht="12" customHeight="1">
      <c r="A463" s="1038" t="str">
        <f t="shared" si="190"/>
        <v>104</v>
      </c>
      <c r="B463" s="688" t="s">
        <v>1648</v>
      </c>
      <c r="C463" s="688"/>
      <c r="D463" s="1007"/>
      <c r="E463" s="1001" t="str">
        <f>IF(D463="","",D463/SUM($D$463:$D$471))</f>
        <v/>
      </c>
      <c r="F463" s="1004" t="e">
        <f>IF(J463="","$",IF(C463="当選","-",D463*100/MAX($D$463:$D$471)))</f>
        <v>#DIV/0!</v>
      </c>
      <c r="G463" s="687" t="s">
        <v>1654</v>
      </c>
      <c r="H463" s="687">
        <v>63</v>
      </c>
      <c r="I463" s="696" t="s">
        <v>5</v>
      </c>
      <c r="J463" s="689" t="s">
        <v>15273</v>
      </c>
      <c r="K463" s="747" t="s">
        <v>1655</v>
      </c>
      <c r="L463" s="687"/>
      <c r="M463" s="687"/>
      <c r="N463" s="692" t="s">
        <v>16127</v>
      </c>
      <c r="O463" s="687" t="s">
        <v>1656</v>
      </c>
      <c r="P463" s="687" t="s">
        <v>25</v>
      </c>
      <c r="Q463" s="748">
        <v>5</v>
      </c>
      <c r="R463" s="749">
        <v>5</v>
      </c>
      <c r="S463" s="805" t="s">
        <v>736</v>
      </c>
    </row>
    <row r="464" spans="1:19" ht="12" customHeight="1">
      <c r="A464" s="1040" t="str">
        <f t="shared" si="190"/>
        <v>104</v>
      </c>
      <c r="B464" s="4" t="s">
        <v>1649</v>
      </c>
      <c r="C464" s="4"/>
      <c r="D464" s="1008"/>
      <c r="E464" s="1002" t="str">
        <f t="shared" ref="E464:E471" si="197">IF(D464="","",D464/SUM($D$463:$D$471))</f>
        <v/>
      </c>
      <c r="F464" s="1005" t="e">
        <f t="shared" ref="F464:F471" si="198">IF(J464="","$",IF(C464="当選","-",D464*100/MAX($D$463:$D$471)))</f>
        <v>#DIV/0!</v>
      </c>
      <c r="G464" s="1" t="s">
        <v>1659</v>
      </c>
      <c r="H464" s="1">
        <v>38</v>
      </c>
      <c r="I464" s="2" t="s">
        <v>19</v>
      </c>
      <c r="J464" s="1" t="s">
        <v>15273</v>
      </c>
      <c r="K464" s="3"/>
      <c r="L464" s="1"/>
      <c r="M464" s="1"/>
      <c r="N464" s="4" t="s">
        <v>16120</v>
      </c>
      <c r="O464" s="1" t="s">
        <v>48</v>
      </c>
      <c r="P464" s="1" t="s">
        <v>6</v>
      </c>
      <c r="Q464" s="16"/>
      <c r="R464" s="17"/>
      <c r="S464" s="774" t="s">
        <v>5457</v>
      </c>
    </row>
    <row r="465" spans="1:19" ht="12" customHeight="1">
      <c r="A465" s="1040" t="str">
        <f t="shared" si="190"/>
        <v>104</v>
      </c>
      <c r="B465" s="4" t="s">
        <v>1650</v>
      </c>
      <c r="C465" s="4"/>
      <c r="D465" s="1008"/>
      <c r="E465" s="1002" t="str">
        <f t="shared" si="197"/>
        <v/>
      </c>
      <c r="F465" s="1005" t="e">
        <f t="shared" si="198"/>
        <v>#DIV/0!</v>
      </c>
      <c r="G465" s="1" t="s">
        <v>6173</v>
      </c>
      <c r="H465" s="1">
        <v>46</v>
      </c>
      <c r="I465" s="2" t="s">
        <v>5</v>
      </c>
      <c r="J465" s="1" t="s">
        <v>15273</v>
      </c>
      <c r="K465" s="3"/>
      <c r="L465" s="1"/>
      <c r="M465" s="1"/>
      <c r="N465" s="4" t="s">
        <v>16125</v>
      </c>
      <c r="O465" s="1"/>
      <c r="P465" s="1" t="s">
        <v>6</v>
      </c>
      <c r="Q465" s="16"/>
      <c r="R465" s="17"/>
      <c r="S465" s="774" t="s">
        <v>5561</v>
      </c>
    </row>
    <row r="466" spans="1:19" ht="12" customHeight="1">
      <c r="A466" s="1040" t="str">
        <f t="shared" si="190"/>
        <v>104</v>
      </c>
      <c r="B466" s="4" t="s">
        <v>1651</v>
      </c>
      <c r="C466" s="4"/>
      <c r="D466" s="1008"/>
      <c r="E466" s="1002" t="str">
        <f t="shared" si="197"/>
        <v/>
      </c>
      <c r="F466" s="1005" t="e">
        <f t="shared" si="198"/>
        <v>#DIV/0!</v>
      </c>
      <c r="G466" s="1" t="s">
        <v>5517</v>
      </c>
      <c r="H466" s="1">
        <v>38</v>
      </c>
      <c r="I466" s="2" t="s">
        <v>5</v>
      </c>
      <c r="J466" s="1" t="s">
        <v>15273</v>
      </c>
      <c r="K466" s="3"/>
      <c r="L466" s="1"/>
      <c r="M466" s="1"/>
      <c r="N466" s="4" t="s">
        <v>16116</v>
      </c>
      <c r="O466" s="1" t="s">
        <v>18494</v>
      </c>
      <c r="P466" s="1" t="s">
        <v>6</v>
      </c>
      <c r="Q466" s="16"/>
      <c r="R466" s="17"/>
      <c r="S466" s="774"/>
    </row>
    <row r="467" spans="1:19" ht="12" customHeight="1">
      <c r="A467" s="1040" t="str">
        <f t="shared" si="190"/>
        <v>104</v>
      </c>
      <c r="B467" s="4" t="s">
        <v>1652</v>
      </c>
      <c r="C467" s="4"/>
      <c r="D467" s="1008"/>
      <c r="E467" s="1002" t="str">
        <f t="shared" si="197"/>
        <v/>
      </c>
      <c r="F467" s="1005" t="e">
        <f t="shared" si="198"/>
        <v>#DIV/0!</v>
      </c>
      <c r="G467" s="1" t="s">
        <v>1664</v>
      </c>
      <c r="H467" s="1">
        <v>42</v>
      </c>
      <c r="I467" s="2" t="s">
        <v>5</v>
      </c>
      <c r="J467" s="1" t="s">
        <v>15273</v>
      </c>
      <c r="K467" s="3"/>
      <c r="L467" s="1"/>
      <c r="M467" s="1"/>
      <c r="N467" s="4" t="s">
        <v>18495</v>
      </c>
      <c r="O467" s="1"/>
      <c r="P467" s="1" t="s">
        <v>6</v>
      </c>
      <c r="Q467" s="16"/>
      <c r="R467" s="17"/>
      <c r="S467" s="774"/>
    </row>
    <row r="468" spans="1:19" ht="12" customHeight="1">
      <c r="A468" s="1040" t="str">
        <f t="shared" si="190"/>
        <v>104</v>
      </c>
      <c r="B468" s="4" t="s">
        <v>1653</v>
      </c>
      <c r="C468" s="4"/>
      <c r="D468" s="1008"/>
      <c r="E468" s="1002" t="str">
        <f t="shared" si="197"/>
        <v/>
      </c>
      <c r="F468" s="1005" t="str">
        <f t="shared" si="198"/>
        <v>$</v>
      </c>
      <c r="G468" s="1" t="s">
        <v>1662</v>
      </c>
      <c r="H468" s="1">
        <v>36</v>
      </c>
      <c r="I468" s="2" t="s">
        <v>5</v>
      </c>
      <c r="J468" s="1"/>
      <c r="K468" s="3"/>
      <c r="L468" s="1"/>
      <c r="M468" s="1"/>
      <c r="N468" s="4" t="s">
        <v>16117</v>
      </c>
      <c r="O468" s="1"/>
      <c r="P468" s="1" t="s">
        <v>6</v>
      </c>
      <c r="Q468" s="16"/>
      <c r="R468" s="17"/>
      <c r="S468" s="774"/>
    </row>
    <row r="469" spans="1:19" ht="12" customHeight="1">
      <c r="A469" s="1040" t="str">
        <f t="shared" si="190"/>
        <v>104</v>
      </c>
      <c r="B469" s="4" t="s">
        <v>5516</v>
      </c>
      <c r="C469" s="4"/>
      <c r="D469" s="1008"/>
      <c r="E469" s="1002" t="str">
        <f t="shared" si="197"/>
        <v/>
      </c>
      <c r="F469" s="1005" t="str">
        <f t="shared" si="198"/>
        <v>$</v>
      </c>
      <c r="G469" s="1" t="s">
        <v>1667</v>
      </c>
      <c r="H469" s="1">
        <v>68</v>
      </c>
      <c r="I469" s="2" t="s">
        <v>5</v>
      </c>
      <c r="J469" s="1"/>
      <c r="K469" s="3"/>
      <c r="L469" s="1"/>
      <c r="M469" s="1"/>
      <c r="N469" s="4" t="s">
        <v>16122</v>
      </c>
      <c r="O469" s="1" t="s">
        <v>1668</v>
      </c>
      <c r="P469" s="1" t="s">
        <v>6</v>
      </c>
      <c r="Q469" s="16"/>
      <c r="R469" s="17"/>
      <c r="S469" s="774"/>
    </row>
    <row r="470" spans="1:19" ht="12" customHeight="1">
      <c r="A470" s="1040" t="str">
        <f t="shared" si="190"/>
        <v>104</v>
      </c>
      <c r="B470" s="4" t="s">
        <v>6171</v>
      </c>
      <c r="C470" s="4"/>
      <c r="D470" s="1008"/>
      <c r="E470" s="1002" t="str">
        <f t="shared" si="197"/>
        <v/>
      </c>
      <c r="F470" s="1005" t="str">
        <f t="shared" si="198"/>
        <v>$</v>
      </c>
      <c r="G470" s="1" t="s">
        <v>1670</v>
      </c>
      <c r="H470" s="1">
        <v>28</v>
      </c>
      <c r="I470" s="2" t="s">
        <v>19</v>
      </c>
      <c r="J470" s="1"/>
      <c r="K470" s="3"/>
      <c r="L470" s="1"/>
      <c r="M470" s="1"/>
      <c r="N470" s="4" t="s">
        <v>16122</v>
      </c>
      <c r="O470" s="1" t="s">
        <v>22</v>
      </c>
      <c r="P470" s="1" t="s">
        <v>6</v>
      </c>
      <c r="Q470" s="16"/>
      <c r="R470" s="17"/>
      <c r="S470" s="774"/>
    </row>
    <row r="471" spans="1:19" ht="12" customHeight="1" thickBot="1">
      <c r="A471" s="916" t="str">
        <f t="shared" si="190"/>
        <v>104</v>
      </c>
      <c r="B471" s="700" t="s">
        <v>15989</v>
      </c>
      <c r="C471" s="700"/>
      <c r="D471" s="1009"/>
      <c r="E471" s="1003" t="str">
        <f t="shared" si="197"/>
        <v/>
      </c>
      <c r="F471" s="1041" t="str">
        <f t="shared" si="198"/>
        <v>$</v>
      </c>
      <c r="G471" s="906" t="s">
        <v>15990</v>
      </c>
      <c r="H471" s="906">
        <v>49</v>
      </c>
      <c r="I471" s="702" t="s">
        <v>5</v>
      </c>
      <c r="J471" s="906"/>
      <c r="K471" s="703"/>
      <c r="L471" s="906"/>
      <c r="M471" s="906"/>
      <c r="N471" s="700" t="s">
        <v>16129</v>
      </c>
      <c r="O471" s="906"/>
      <c r="P471" s="906" t="s">
        <v>6</v>
      </c>
      <c r="Q471" s="705"/>
      <c r="R471" s="903"/>
      <c r="S471" s="793"/>
    </row>
    <row r="472" spans="1:19" ht="12" customHeight="1">
      <c r="A472" s="1038" t="str">
        <f t="shared" si="190"/>
        <v>105</v>
      </c>
      <c r="B472" s="688" t="s">
        <v>1672</v>
      </c>
      <c r="C472" s="688"/>
      <c r="D472" s="1007"/>
      <c r="E472" s="1001" t="str">
        <f>IF(D472="","",D472/SUM($D$472:$D$477))</f>
        <v/>
      </c>
      <c r="F472" s="1004" t="e">
        <f>IF(J472="","$",IF(C472="当選","-",D472*100/MAX($D$472:$D$477)))</f>
        <v>#DIV/0!</v>
      </c>
      <c r="G472" s="687" t="s">
        <v>1676</v>
      </c>
      <c r="H472" s="687">
        <v>67</v>
      </c>
      <c r="I472" s="696" t="s">
        <v>5</v>
      </c>
      <c r="J472" s="689" t="s">
        <v>15273</v>
      </c>
      <c r="K472" s="747" t="s">
        <v>1677</v>
      </c>
      <c r="L472" s="687"/>
      <c r="M472" s="687"/>
      <c r="N472" s="692" t="s">
        <v>16127</v>
      </c>
      <c r="O472" s="687" t="s">
        <v>604</v>
      </c>
      <c r="P472" s="687" t="s">
        <v>25</v>
      </c>
      <c r="Q472" s="748">
        <v>4</v>
      </c>
      <c r="R472" s="749">
        <v>4</v>
      </c>
      <c r="S472" s="805" t="s">
        <v>736</v>
      </c>
    </row>
    <row r="473" spans="1:19" ht="12" customHeight="1">
      <c r="A473" s="1040" t="str">
        <f t="shared" si="190"/>
        <v>105</v>
      </c>
      <c r="B473" s="4" t="s">
        <v>1673</v>
      </c>
      <c r="C473" s="4"/>
      <c r="D473" s="1008"/>
      <c r="E473" s="1002" t="str">
        <f t="shared" ref="E473:E477" si="199">IF(D473="","",D473/SUM($D$472:$D$477))</f>
        <v/>
      </c>
      <c r="F473" s="1005" t="e">
        <f t="shared" ref="F473:F477" si="200">IF(J473="","$",IF(C473="当選","-",D473*100/MAX($D$472:$D$477)))</f>
        <v>#DIV/0!</v>
      </c>
      <c r="G473" s="1" t="s">
        <v>1680</v>
      </c>
      <c r="H473" s="1">
        <v>33</v>
      </c>
      <c r="I473" s="2" t="s">
        <v>5</v>
      </c>
      <c r="J473" s="1" t="s">
        <v>15273</v>
      </c>
      <c r="K473" s="3"/>
      <c r="L473" s="1"/>
      <c r="M473" s="1"/>
      <c r="N473" s="8" t="s">
        <v>16120</v>
      </c>
      <c r="O473" s="1" t="s">
        <v>30</v>
      </c>
      <c r="P473" s="1" t="s">
        <v>6</v>
      </c>
      <c r="Q473" s="16"/>
      <c r="R473" s="17"/>
      <c r="S473" s="774"/>
    </row>
    <row r="474" spans="1:19" ht="12" customHeight="1">
      <c r="A474" s="1040" t="str">
        <f t="shared" si="190"/>
        <v>105</v>
      </c>
      <c r="B474" s="4" t="s">
        <v>1674</v>
      </c>
      <c r="C474" s="4"/>
      <c r="D474" s="1008"/>
      <c r="E474" s="1002" t="str">
        <f t="shared" si="199"/>
        <v/>
      </c>
      <c r="F474" s="1005" t="e">
        <f t="shared" si="200"/>
        <v>#DIV/0!</v>
      </c>
      <c r="G474" s="1" t="s">
        <v>5768</v>
      </c>
      <c r="H474" s="1">
        <v>47</v>
      </c>
      <c r="I474" s="2" t="s">
        <v>5</v>
      </c>
      <c r="J474" s="1" t="s">
        <v>15273</v>
      </c>
      <c r="K474" s="3"/>
      <c r="L474" s="1"/>
      <c r="M474" s="1"/>
      <c r="N474" s="4" t="s">
        <v>16116</v>
      </c>
      <c r="O474" s="1" t="s">
        <v>276</v>
      </c>
      <c r="P474" s="1" t="s">
        <v>14</v>
      </c>
      <c r="Q474" s="16">
        <v>1</v>
      </c>
      <c r="R474" s="17">
        <v>1</v>
      </c>
      <c r="S474" s="774"/>
    </row>
    <row r="475" spans="1:19" ht="12" customHeight="1">
      <c r="A475" s="1040" t="str">
        <f t="shared" si="190"/>
        <v>105</v>
      </c>
      <c r="B475" s="4" t="s">
        <v>1675</v>
      </c>
      <c r="C475" s="4"/>
      <c r="D475" s="1008"/>
      <c r="E475" s="1002" t="str">
        <f t="shared" si="199"/>
        <v/>
      </c>
      <c r="F475" s="1005" t="e">
        <f t="shared" si="200"/>
        <v>#DIV/0!</v>
      </c>
      <c r="G475" s="1" t="s">
        <v>1684</v>
      </c>
      <c r="H475" s="1">
        <v>49</v>
      </c>
      <c r="I475" s="2" t="s">
        <v>5</v>
      </c>
      <c r="J475" s="1" t="s">
        <v>15273</v>
      </c>
      <c r="K475" s="3"/>
      <c r="L475" s="1"/>
      <c r="M475" s="1"/>
      <c r="N475" s="8" t="s">
        <v>18495</v>
      </c>
      <c r="O475" s="1"/>
      <c r="P475" s="1" t="s">
        <v>6</v>
      </c>
      <c r="Q475" s="16"/>
      <c r="R475" s="17"/>
      <c r="S475" s="774"/>
    </row>
    <row r="476" spans="1:19" ht="12" customHeight="1">
      <c r="A476" s="1040" t="str">
        <f t="shared" si="190"/>
        <v>105</v>
      </c>
      <c r="B476" s="4" t="s">
        <v>5767</v>
      </c>
      <c r="C476" s="4"/>
      <c r="D476" s="1008"/>
      <c r="E476" s="1002" t="str">
        <f t="shared" si="199"/>
        <v/>
      </c>
      <c r="F476" s="1005" t="str">
        <f t="shared" si="200"/>
        <v>$</v>
      </c>
      <c r="G476" s="1" t="s">
        <v>1682</v>
      </c>
      <c r="H476" s="1">
        <v>42</v>
      </c>
      <c r="I476" s="2" t="s">
        <v>5</v>
      </c>
      <c r="J476" s="1"/>
      <c r="K476" s="3"/>
      <c r="L476" s="1"/>
      <c r="M476" s="1"/>
      <c r="N476" s="4" t="s">
        <v>16117</v>
      </c>
      <c r="O476" s="1"/>
      <c r="P476" s="1" t="s">
        <v>6</v>
      </c>
      <c r="Q476" s="16"/>
      <c r="R476" s="17"/>
      <c r="S476" s="774"/>
    </row>
    <row r="477" spans="1:19" ht="12" customHeight="1" thickBot="1">
      <c r="A477" s="916" t="str">
        <f t="shared" si="190"/>
        <v>105</v>
      </c>
      <c r="B477" s="700" t="s">
        <v>15992</v>
      </c>
      <c r="C477" s="700"/>
      <c r="D477" s="1009"/>
      <c r="E477" s="1003" t="str">
        <f t="shared" si="199"/>
        <v/>
      </c>
      <c r="F477" s="1041" t="str">
        <f t="shared" si="200"/>
        <v>$</v>
      </c>
      <c r="G477" s="906" t="s">
        <v>15993</v>
      </c>
      <c r="H477" s="906">
        <v>57</v>
      </c>
      <c r="I477" s="702" t="s">
        <v>5</v>
      </c>
      <c r="J477" s="906"/>
      <c r="K477" s="703"/>
      <c r="L477" s="906"/>
      <c r="M477" s="906"/>
      <c r="N477" s="700" t="s">
        <v>16129</v>
      </c>
      <c r="O477" s="906"/>
      <c r="P477" s="906" t="s">
        <v>6</v>
      </c>
      <c r="Q477" s="705"/>
      <c r="R477" s="903"/>
      <c r="S477" s="793"/>
    </row>
    <row r="478" spans="1:19" ht="12" customHeight="1">
      <c r="A478" s="1038" t="str">
        <f t="shared" si="190"/>
        <v>106</v>
      </c>
      <c r="B478" s="688" t="s">
        <v>1686</v>
      </c>
      <c r="C478" s="688"/>
      <c r="D478" s="1007"/>
      <c r="E478" s="1001" t="str">
        <f>IF(D478="","",D478/SUM($D$478:$D$481))</f>
        <v/>
      </c>
      <c r="F478" s="1004" t="e">
        <f>IF(J478="","$",IF(C478="当選","-",D478*100/MAX($D$478:$D$481)))</f>
        <v>#DIV/0!</v>
      </c>
      <c r="G478" s="687" t="s">
        <v>1689</v>
      </c>
      <c r="H478" s="687">
        <v>56</v>
      </c>
      <c r="I478" s="696" t="s">
        <v>5</v>
      </c>
      <c r="J478" s="689" t="s">
        <v>15273</v>
      </c>
      <c r="K478" s="747" t="s">
        <v>1690</v>
      </c>
      <c r="L478" s="687"/>
      <c r="M478" s="687"/>
      <c r="N478" s="692" t="s">
        <v>16126</v>
      </c>
      <c r="O478" s="687" t="s">
        <v>604</v>
      </c>
      <c r="P478" s="687" t="s">
        <v>25</v>
      </c>
      <c r="Q478" s="748">
        <v>4</v>
      </c>
      <c r="R478" s="749">
        <v>4</v>
      </c>
      <c r="S478" s="805" t="s">
        <v>736</v>
      </c>
    </row>
    <row r="479" spans="1:19" ht="12" customHeight="1">
      <c r="A479" s="1040" t="str">
        <f t="shared" si="190"/>
        <v>106</v>
      </c>
      <c r="B479" s="4" t="s">
        <v>1687</v>
      </c>
      <c r="C479" s="4"/>
      <c r="D479" s="1008"/>
      <c r="E479" s="1002" t="str">
        <f t="shared" ref="E479:E481" si="201">IF(D479="","",D479/SUM($D$478:$D$481))</f>
        <v/>
      </c>
      <c r="F479" s="1005" t="e">
        <f t="shared" ref="F479:F481" si="202">IF(J479="","$",IF(C479="当選","-",D479*100/MAX($D$478:$D$481)))</f>
        <v>#DIV/0!</v>
      </c>
      <c r="G479" s="1" t="s">
        <v>1694</v>
      </c>
      <c r="H479" s="1">
        <v>48</v>
      </c>
      <c r="I479" s="2" t="s">
        <v>5</v>
      </c>
      <c r="J479" s="1" t="s">
        <v>15273</v>
      </c>
      <c r="K479" s="3"/>
      <c r="L479" s="1"/>
      <c r="M479" s="1"/>
      <c r="N479" s="4" t="s">
        <v>16120</v>
      </c>
      <c r="O479" s="1" t="s">
        <v>30</v>
      </c>
      <c r="P479" s="1" t="s">
        <v>14</v>
      </c>
      <c r="Q479" s="16">
        <v>1</v>
      </c>
      <c r="R479" s="17">
        <v>1</v>
      </c>
      <c r="S479" s="774" t="s">
        <v>5457</v>
      </c>
    </row>
    <row r="480" spans="1:19" ht="12" customHeight="1">
      <c r="A480" s="1040" t="str">
        <f t="shared" si="190"/>
        <v>106</v>
      </c>
      <c r="B480" s="4" t="s">
        <v>1688</v>
      </c>
      <c r="C480" s="4"/>
      <c r="D480" s="1008"/>
      <c r="E480" s="1002" t="str">
        <f t="shared" si="201"/>
        <v/>
      </c>
      <c r="F480" s="1005" t="e">
        <f t="shared" si="202"/>
        <v>#DIV/0!</v>
      </c>
      <c r="G480" s="1" t="s">
        <v>5736</v>
      </c>
      <c r="H480" s="1">
        <v>47</v>
      </c>
      <c r="I480" s="2" t="s">
        <v>5</v>
      </c>
      <c r="J480" s="1" t="s">
        <v>15273</v>
      </c>
      <c r="K480" s="3"/>
      <c r="L480" s="1"/>
      <c r="M480" s="1"/>
      <c r="N480" s="4" t="s">
        <v>16125</v>
      </c>
      <c r="O480" s="1"/>
      <c r="P480" s="1" t="s">
        <v>6</v>
      </c>
      <c r="Q480" s="16"/>
      <c r="R480" s="17"/>
      <c r="S480" s="774" t="s">
        <v>5561</v>
      </c>
    </row>
    <row r="481" spans="1:19" ht="12" customHeight="1" thickBot="1">
      <c r="A481" s="916" t="str">
        <f t="shared" si="190"/>
        <v>106</v>
      </c>
      <c r="B481" s="700" t="s">
        <v>5735</v>
      </c>
      <c r="C481" s="700"/>
      <c r="D481" s="1009"/>
      <c r="E481" s="1003" t="str">
        <f t="shared" si="201"/>
        <v/>
      </c>
      <c r="F481" s="1041" t="str">
        <f t="shared" si="202"/>
        <v>$</v>
      </c>
      <c r="G481" s="906" t="s">
        <v>1697</v>
      </c>
      <c r="H481" s="906">
        <v>36</v>
      </c>
      <c r="I481" s="702" t="s">
        <v>5</v>
      </c>
      <c r="J481" s="906"/>
      <c r="K481" s="703"/>
      <c r="L481" s="906"/>
      <c r="M481" s="906"/>
      <c r="N481" s="700" t="s">
        <v>16117</v>
      </c>
      <c r="O481" s="906"/>
      <c r="P481" s="906" t="s">
        <v>6</v>
      </c>
      <c r="Q481" s="705"/>
      <c r="R481" s="903"/>
      <c r="S481" s="793"/>
    </row>
    <row r="482" spans="1:19" ht="12" customHeight="1">
      <c r="A482" s="1038" t="str">
        <f t="shared" si="190"/>
        <v>107</v>
      </c>
      <c r="B482" s="688" t="s">
        <v>1700</v>
      </c>
      <c r="C482" s="688"/>
      <c r="D482" s="1007"/>
      <c r="E482" s="1001" t="str">
        <f>IF(D482="","",D482/SUM($D$482:$D$487))</f>
        <v/>
      </c>
      <c r="F482" s="1004" t="e">
        <f>IF(J482="","$",IF(C482="当選","-",D482*100/MAX($D$482:$D$487)))</f>
        <v>#DIV/0!</v>
      </c>
      <c r="G482" s="687" t="s">
        <v>1705</v>
      </c>
      <c r="H482" s="687">
        <v>39</v>
      </c>
      <c r="I482" s="696" t="s">
        <v>5</v>
      </c>
      <c r="J482" s="689" t="s">
        <v>15273</v>
      </c>
      <c r="K482" s="747" t="s">
        <v>1706</v>
      </c>
      <c r="L482" s="687"/>
      <c r="M482" s="687"/>
      <c r="N482" s="692" t="s">
        <v>16127</v>
      </c>
      <c r="O482" s="687" t="s">
        <v>44</v>
      </c>
      <c r="P482" s="687" t="s">
        <v>25</v>
      </c>
      <c r="Q482" s="748">
        <v>1</v>
      </c>
      <c r="R482" s="749">
        <v>1</v>
      </c>
      <c r="S482" s="805" t="s">
        <v>736</v>
      </c>
    </row>
    <row r="483" spans="1:19" ht="12" customHeight="1">
      <c r="A483" s="1040" t="str">
        <f t="shared" si="190"/>
        <v>107</v>
      </c>
      <c r="B483" s="4" t="s">
        <v>1701</v>
      </c>
      <c r="C483" s="4"/>
      <c r="D483" s="1008"/>
      <c r="E483" s="1002" t="str">
        <f t="shared" ref="E483:E487" si="203">IF(D483="","",D483/SUM($D$482:$D$487))</f>
        <v/>
      </c>
      <c r="F483" s="1005" t="e">
        <f t="shared" ref="F483:F487" si="204">IF(J483="","$",IF(C483="当選","-",D483*100/MAX($D$482:$D$487)))</f>
        <v>#DIV/0!</v>
      </c>
      <c r="G483" s="1" t="s">
        <v>1708</v>
      </c>
      <c r="H483" s="1">
        <v>45</v>
      </c>
      <c r="I483" s="2" t="s">
        <v>5</v>
      </c>
      <c r="J483" s="1" t="s">
        <v>15273</v>
      </c>
      <c r="K483" s="3" t="s">
        <v>1709</v>
      </c>
      <c r="L483" s="1"/>
      <c r="M483" s="1"/>
      <c r="N483" s="4" t="s">
        <v>16120</v>
      </c>
      <c r="O483" s="1" t="s">
        <v>30</v>
      </c>
      <c r="P483" s="1" t="s">
        <v>25</v>
      </c>
      <c r="Q483" s="16">
        <v>2</v>
      </c>
      <c r="R483" s="17">
        <v>2</v>
      </c>
      <c r="S483" s="774" t="s">
        <v>5457</v>
      </c>
    </row>
    <row r="484" spans="1:19" ht="12" customHeight="1">
      <c r="A484" s="1040" t="str">
        <f t="shared" si="190"/>
        <v>107</v>
      </c>
      <c r="B484" s="4" t="s">
        <v>1702</v>
      </c>
      <c r="C484" s="4"/>
      <c r="D484" s="1008"/>
      <c r="E484" s="1002" t="str">
        <f t="shared" si="203"/>
        <v/>
      </c>
      <c r="F484" s="1005" t="e">
        <f t="shared" si="204"/>
        <v>#DIV/0!</v>
      </c>
      <c r="G484" s="1" t="s">
        <v>5379</v>
      </c>
      <c r="H484" s="1">
        <v>56</v>
      </c>
      <c r="I484" s="2" t="s">
        <v>5</v>
      </c>
      <c r="J484" s="1" t="s">
        <v>15273</v>
      </c>
      <c r="K484" s="3"/>
      <c r="L484" s="1"/>
      <c r="M484" s="1"/>
      <c r="N484" s="4" t="s">
        <v>16116</v>
      </c>
      <c r="O484" s="1" t="s">
        <v>4993</v>
      </c>
      <c r="P484" s="1" t="s">
        <v>6</v>
      </c>
      <c r="Q484" s="16"/>
      <c r="R484" s="17"/>
      <c r="S484" s="774"/>
    </row>
    <row r="485" spans="1:19" ht="12" customHeight="1">
      <c r="A485" s="1040" t="str">
        <f t="shared" si="190"/>
        <v>107</v>
      </c>
      <c r="B485" s="4" t="s">
        <v>1703</v>
      </c>
      <c r="C485" s="4"/>
      <c r="D485" s="1008"/>
      <c r="E485" s="1002" t="str">
        <f t="shared" si="203"/>
        <v/>
      </c>
      <c r="F485" s="1005" t="e">
        <f t="shared" si="204"/>
        <v>#DIV/0!</v>
      </c>
      <c r="G485" s="1" t="s">
        <v>1713</v>
      </c>
      <c r="H485" s="1">
        <v>55</v>
      </c>
      <c r="I485" s="2" t="s">
        <v>5</v>
      </c>
      <c r="J485" s="1" t="s">
        <v>15273</v>
      </c>
      <c r="K485" s="3"/>
      <c r="L485" s="1"/>
      <c r="M485" s="1"/>
      <c r="N485" s="4" t="s">
        <v>18495</v>
      </c>
      <c r="O485" s="1"/>
      <c r="P485" s="1" t="s">
        <v>6</v>
      </c>
      <c r="Q485" s="16"/>
      <c r="R485" s="17"/>
      <c r="S485" s="774"/>
    </row>
    <row r="486" spans="1:19" ht="12" customHeight="1">
      <c r="A486" s="1040" t="str">
        <f t="shared" si="190"/>
        <v>107</v>
      </c>
      <c r="B486" s="4" t="s">
        <v>1704</v>
      </c>
      <c r="C486" s="4"/>
      <c r="D486" s="1008"/>
      <c r="E486" s="1002" t="str">
        <f t="shared" si="203"/>
        <v/>
      </c>
      <c r="F486" s="1005" t="str">
        <f t="shared" si="204"/>
        <v>$</v>
      </c>
      <c r="G486" s="1" t="s">
        <v>1711</v>
      </c>
      <c r="H486" s="1">
        <v>38</v>
      </c>
      <c r="I486" s="2" t="s">
        <v>5</v>
      </c>
      <c r="J486" s="1"/>
      <c r="K486" s="3"/>
      <c r="L486" s="1"/>
      <c r="M486" s="1"/>
      <c r="N486" s="4" t="s">
        <v>16117</v>
      </c>
      <c r="O486" s="1"/>
      <c r="P486" s="1" t="s">
        <v>6</v>
      </c>
      <c r="Q486" s="16"/>
      <c r="R486" s="17"/>
      <c r="S486" s="774"/>
    </row>
    <row r="487" spans="1:19" ht="12" customHeight="1" thickBot="1">
      <c r="A487" s="916" t="str">
        <f t="shared" si="190"/>
        <v>107</v>
      </c>
      <c r="B487" s="700" t="s">
        <v>5378</v>
      </c>
      <c r="C487" s="700"/>
      <c r="D487" s="1009"/>
      <c r="E487" s="1003" t="str">
        <f t="shared" si="203"/>
        <v/>
      </c>
      <c r="F487" s="1041" t="str">
        <f t="shared" si="204"/>
        <v>$</v>
      </c>
      <c r="G487" s="906" t="s">
        <v>1715</v>
      </c>
      <c r="H487" s="906">
        <v>42</v>
      </c>
      <c r="I487" s="702" t="s">
        <v>5</v>
      </c>
      <c r="J487" s="906"/>
      <c r="K487" s="703"/>
      <c r="L487" s="906"/>
      <c r="M487" s="906"/>
      <c r="N487" s="700" t="s">
        <v>16122</v>
      </c>
      <c r="O487" s="906" t="s">
        <v>5723</v>
      </c>
      <c r="P487" s="906" t="s">
        <v>6</v>
      </c>
      <c r="Q487" s="705"/>
      <c r="R487" s="903"/>
      <c r="S487" s="793"/>
    </row>
    <row r="488" spans="1:19" ht="12" customHeight="1">
      <c r="A488" s="1038" t="str">
        <f t="shared" si="190"/>
        <v>108</v>
      </c>
      <c r="B488" s="688" t="s">
        <v>1717</v>
      </c>
      <c r="C488" s="688"/>
      <c r="D488" s="1007"/>
      <c r="E488" s="1001" t="str">
        <f>IF(D488="","",D488/SUM($D$488:$D$494))</f>
        <v/>
      </c>
      <c r="F488" s="1004" t="e">
        <f>IF(J488="","$",IF(C488="当選","-",D488*100/MAX($D$488:$D$494)))</f>
        <v>#DIV/0!</v>
      </c>
      <c r="G488" s="687" t="s">
        <v>1722</v>
      </c>
      <c r="H488" s="687">
        <v>46</v>
      </c>
      <c r="I488" s="696" t="s">
        <v>5</v>
      </c>
      <c r="J488" s="689" t="s">
        <v>15273</v>
      </c>
      <c r="K488" s="747" t="s">
        <v>1723</v>
      </c>
      <c r="L488" s="687"/>
      <c r="M488" s="687"/>
      <c r="N488" s="692" t="s">
        <v>16127</v>
      </c>
      <c r="O488" s="687" t="s">
        <v>44</v>
      </c>
      <c r="P488" s="687" t="s">
        <v>25</v>
      </c>
      <c r="Q488" s="748">
        <v>3</v>
      </c>
      <c r="R488" s="749">
        <v>3</v>
      </c>
      <c r="S488" s="805" t="s">
        <v>736</v>
      </c>
    </row>
    <row r="489" spans="1:19" ht="12" customHeight="1">
      <c r="A489" s="1040" t="str">
        <f t="shared" si="190"/>
        <v>108</v>
      </c>
      <c r="B489" s="4" t="s">
        <v>1718</v>
      </c>
      <c r="C489" s="4"/>
      <c r="D489" s="1008"/>
      <c r="E489" s="1002" t="str">
        <f t="shared" ref="E489:E494" si="205">IF(D489="","",D489/SUM($D$488:$D$494))</f>
        <v/>
      </c>
      <c r="F489" s="1005" t="e">
        <f t="shared" ref="F489:F494" si="206">IF(J489="","$",IF(C489="当選","-",D489*100/MAX($D$488:$D$494)))</f>
        <v>#DIV/0!</v>
      </c>
      <c r="G489" s="1" t="s">
        <v>1726</v>
      </c>
      <c r="H489" s="1">
        <v>51</v>
      </c>
      <c r="I489" s="2" t="s">
        <v>5</v>
      </c>
      <c r="J489" s="1" t="s">
        <v>15273</v>
      </c>
      <c r="K489" s="3"/>
      <c r="L489" s="1"/>
      <c r="M489" s="1"/>
      <c r="N489" s="8" t="s">
        <v>16120</v>
      </c>
      <c r="O489" s="1" t="s">
        <v>13</v>
      </c>
      <c r="P489" s="1" t="s">
        <v>14</v>
      </c>
      <c r="Q489" s="16">
        <v>1</v>
      </c>
      <c r="R489" s="17">
        <v>1</v>
      </c>
      <c r="S489" s="774"/>
    </row>
    <row r="490" spans="1:19" ht="12" customHeight="1">
      <c r="A490" s="1040" t="str">
        <f t="shared" si="190"/>
        <v>108</v>
      </c>
      <c r="B490" s="4" t="s">
        <v>1719</v>
      </c>
      <c r="C490" s="4"/>
      <c r="D490" s="1008"/>
      <c r="E490" s="1002" t="str">
        <f t="shared" si="205"/>
        <v/>
      </c>
      <c r="F490" s="1005" t="e">
        <f t="shared" si="206"/>
        <v>#DIV/0!</v>
      </c>
      <c r="G490" s="1" t="s">
        <v>6175</v>
      </c>
      <c r="H490" s="1">
        <v>44</v>
      </c>
      <c r="I490" s="2" t="s">
        <v>19</v>
      </c>
      <c r="J490" s="1" t="s">
        <v>15273</v>
      </c>
      <c r="K490" s="3"/>
      <c r="L490" s="1"/>
      <c r="M490" s="1"/>
      <c r="N490" s="4" t="s">
        <v>16125</v>
      </c>
      <c r="O490" s="1"/>
      <c r="P490" s="1" t="s">
        <v>6</v>
      </c>
      <c r="Q490" s="16"/>
      <c r="R490" s="17"/>
      <c r="S490" s="774" t="s">
        <v>5561</v>
      </c>
    </row>
    <row r="491" spans="1:19" ht="12" customHeight="1">
      <c r="A491" s="1040" t="str">
        <f t="shared" si="190"/>
        <v>108</v>
      </c>
      <c r="B491" s="4" t="s">
        <v>1720</v>
      </c>
      <c r="C491" s="4"/>
      <c r="D491" s="1008"/>
      <c r="E491" s="1002" t="str">
        <f t="shared" si="205"/>
        <v/>
      </c>
      <c r="F491" s="1005" t="e">
        <f t="shared" si="206"/>
        <v>#DIV/0!</v>
      </c>
      <c r="G491" s="1" t="s">
        <v>5383</v>
      </c>
      <c r="H491" s="1">
        <v>34</v>
      </c>
      <c r="I491" s="2" t="s">
        <v>5</v>
      </c>
      <c r="J491" s="1" t="s">
        <v>15273</v>
      </c>
      <c r="K491" s="3"/>
      <c r="L491" s="1"/>
      <c r="M491" s="1"/>
      <c r="N491" s="4" t="s">
        <v>16116</v>
      </c>
      <c r="O491" s="1" t="s">
        <v>18494</v>
      </c>
      <c r="P491" s="1" t="s">
        <v>6</v>
      </c>
      <c r="Q491" s="16"/>
      <c r="R491" s="17"/>
      <c r="S491" s="774"/>
    </row>
    <row r="492" spans="1:19" ht="12" customHeight="1">
      <c r="A492" s="1040" t="str">
        <f t="shared" si="190"/>
        <v>108</v>
      </c>
      <c r="B492" s="4" t="s">
        <v>1721</v>
      </c>
      <c r="C492" s="4"/>
      <c r="D492" s="1008"/>
      <c r="E492" s="1002" t="str">
        <f t="shared" si="205"/>
        <v/>
      </c>
      <c r="F492" s="1005" t="e">
        <f t="shared" si="206"/>
        <v>#DIV/0!</v>
      </c>
      <c r="G492" s="1" t="s">
        <v>1730</v>
      </c>
      <c r="H492" s="1">
        <v>36</v>
      </c>
      <c r="I492" s="2" t="s">
        <v>5</v>
      </c>
      <c r="J492" s="1" t="s">
        <v>15273</v>
      </c>
      <c r="K492" s="3"/>
      <c r="L492" s="1"/>
      <c r="M492" s="1"/>
      <c r="N492" s="4" t="s">
        <v>18495</v>
      </c>
      <c r="O492" s="1"/>
      <c r="P492" s="1" t="s">
        <v>6</v>
      </c>
      <c r="Q492" s="16"/>
      <c r="R492" s="17"/>
      <c r="S492" s="774"/>
    </row>
    <row r="493" spans="1:19" ht="12" customHeight="1">
      <c r="A493" s="1040" t="str">
        <f t="shared" si="190"/>
        <v>108</v>
      </c>
      <c r="B493" s="4" t="s">
        <v>5382</v>
      </c>
      <c r="C493" s="4"/>
      <c r="D493" s="1008"/>
      <c r="E493" s="1002" t="str">
        <f t="shared" si="205"/>
        <v/>
      </c>
      <c r="F493" s="1005" t="str">
        <f t="shared" si="206"/>
        <v>$</v>
      </c>
      <c r="G493" s="1" t="s">
        <v>1728</v>
      </c>
      <c r="H493" s="1">
        <v>63</v>
      </c>
      <c r="I493" s="2" t="s">
        <v>5</v>
      </c>
      <c r="J493" s="1"/>
      <c r="K493" s="3"/>
      <c r="L493" s="1"/>
      <c r="M493" s="1"/>
      <c r="N493" s="4" t="s">
        <v>16117</v>
      </c>
      <c r="O493" s="1"/>
      <c r="P493" s="1" t="s">
        <v>6</v>
      </c>
      <c r="Q493" s="16"/>
      <c r="R493" s="17"/>
      <c r="S493" s="774"/>
    </row>
    <row r="494" spans="1:19" ht="12" customHeight="1" thickBot="1">
      <c r="A494" s="916" t="str">
        <f t="shared" si="190"/>
        <v>108</v>
      </c>
      <c r="B494" s="700" t="s">
        <v>6174</v>
      </c>
      <c r="C494" s="700"/>
      <c r="D494" s="1009"/>
      <c r="E494" s="1003" t="str">
        <f t="shared" si="205"/>
        <v/>
      </c>
      <c r="F494" s="1041" t="str">
        <f t="shared" si="206"/>
        <v>$</v>
      </c>
      <c r="G494" s="906" t="s">
        <v>1733</v>
      </c>
      <c r="H494" s="906">
        <v>33</v>
      </c>
      <c r="I494" s="702" t="s">
        <v>5</v>
      </c>
      <c r="J494" s="906"/>
      <c r="K494" s="703"/>
      <c r="L494" s="906"/>
      <c r="M494" s="906"/>
      <c r="N494" s="700" t="s">
        <v>16122</v>
      </c>
      <c r="O494" s="906" t="s">
        <v>22</v>
      </c>
      <c r="P494" s="906" t="s">
        <v>6</v>
      </c>
      <c r="Q494" s="705"/>
      <c r="R494" s="903"/>
      <c r="S494" s="793"/>
    </row>
    <row r="495" spans="1:19" ht="12" customHeight="1">
      <c r="A495" s="1038" t="str">
        <f t="shared" si="190"/>
        <v>109</v>
      </c>
      <c r="B495" s="688" t="s">
        <v>1736</v>
      </c>
      <c r="C495" s="688"/>
      <c r="D495" s="1007"/>
      <c r="E495" s="1001" t="str">
        <f>IF(D495="","",D495/SUM($D$495:$D$499))</f>
        <v/>
      </c>
      <c r="F495" s="1004" t="e">
        <f>IF(J495="","$",IF(C495="当選","-",D495*100/MAX($D$495:$D$499)))</f>
        <v>#DIV/0!</v>
      </c>
      <c r="G495" s="687" t="s">
        <v>1740</v>
      </c>
      <c r="H495" s="687">
        <v>64</v>
      </c>
      <c r="I495" s="696" t="s">
        <v>19</v>
      </c>
      <c r="J495" s="689" t="s">
        <v>15273</v>
      </c>
      <c r="K495" s="747" t="s">
        <v>1741</v>
      </c>
      <c r="L495" s="687"/>
      <c r="M495" s="687"/>
      <c r="N495" s="692" t="s">
        <v>16126</v>
      </c>
      <c r="O495" s="687" t="s">
        <v>44</v>
      </c>
      <c r="P495" s="687" t="s">
        <v>25</v>
      </c>
      <c r="Q495" s="748">
        <v>4</v>
      </c>
      <c r="R495" s="749">
        <v>5</v>
      </c>
      <c r="S495" s="805" t="s">
        <v>736</v>
      </c>
    </row>
    <row r="496" spans="1:19" ht="12" customHeight="1">
      <c r="A496" s="1040" t="str">
        <f t="shared" si="190"/>
        <v>109</v>
      </c>
      <c r="B496" s="4" t="s">
        <v>1737</v>
      </c>
      <c r="C496" s="4"/>
      <c r="D496" s="1008"/>
      <c r="E496" s="1002" t="str">
        <f t="shared" ref="E496:E499" si="207">IF(D496="","",D496/SUM($D$495:$D$499))</f>
        <v/>
      </c>
      <c r="F496" s="1005" t="e">
        <f t="shared" ref="F496:F499" si="208">IF(J496="","$",IF(C496="当選","-",D496*100/MAX($D$495:$D$499)))</f>
        <v>#DIV/0!</v>
      </c>
      <c r="G496" s="1" t="s">
        <v>1747</v>
      </c>
      <c r="H496" s="1">
        <v>48</v>
      </c>
      <c r="I496" s="2" t="s">
        <v>5</v>
      </c>
      <c r="J496" s="1" t="s">
        <v>15273</v>
      </c>
      <c r="K496" s="3"/>
      <c r="L496" s="1"/>
      <c r="M496" s="1"/>
      <c r="N496" s="4" t="s">
        <v>16120</v>
      </c>
      <c r="O496" s="1" t="s">
        <v>48</v>
      </c>
      <c r="P496" s="1" t="s">
        <v>14</v>
      </c>
      <c r="Q496" s="16">
        <v>1</v>
      </c>
      <c r="R496" s="17">
        <v>1</v>
      </c>
      <c r="S496" s="774" t="s">
        <v>5457</v>
      </c>
    </row>
    <row r="497" spans="1:19" ht="12" customHeight="1">
      <c r="A497" s="1040" t="str">
        <f t="shared" si="190"/>
        <v>109</v>
      </c>
      <c r="B497" s="4" t="s">
        <v>1738</v>
      </c>
      <c r="C497" s="4"/>
      <c r="D497" s="1008"/>
      <c r="E497" s="1002" t="str">
        <f t="shared" si="207"/>
        <v/>
      </c>
      <c r="F497" s="1005" t="e">
        <f t="shared" si="208"/>
        <v>#DIV/0!</v>
      </c>
      <c r="G497" s="1" t="s">
        <v>5385</v>
      </c>
      <c r="H497" s="1">
        <v>46</v>
      </c>
      <c r="I497" s="2" t="s">
        <v>5</v>
      </c>
      <c r="J497" s="1" t="s">
        <v>15273</v>
      </c>
      <c r="K497" s="3"/>
      <c r="L497" s="1"/>
      <c r="M497" s="1"/>
      <c r="N497" s="4" t="s">
        <v>16116</v>
      </c>
      <c r="O497" s="1" t="s">
        <v>4422</v>
      </c>
      <c r="P497" s="1" t="s">
        <v>6</v>
      </c>
      <c r="Q497" s="16"/>
      <c r="R497" s="17"/>
      <c r="S497" s="774"/>
    </row>
    <row r="498" spans="1:19" ht="12" customHeight="1">
      <c r="A498" s="1040" t="str">
        <f t="shared" si="190"/>
        <v>109</v>
      </c>
      <c r="B498" s="4" t="s">
        <v>1739</v>
      </c>
      <c r="C498" s="4"/>
      <c r="D498" s="1008"/>
      <c r="E498" s="1002" t="str">
        <f t="shared" si="207"/>
        <v/>
      </c>
      <c r="F498" s="1005" t="e">
        <f t="shared" si="208"/>
        <v>#DIV/0!</v>
      </c>
      <c r="G498" s="1" t="s">
        <v>1753</v>
      </c>
      <c r="H498" s="1">
        <v>33</v>
      </c>
      <c r="I498" s="2" t="s">
        <v>5</v>
      </c>
      <c r="J498" s="1" t="s">
        <v>15273</v>
      </c>
      <c r="K498" s="3"/>
      <c r="L498" s="1"/>
      <c r="M498" s="1"/>
      <c r="N498" s="4" t="s">
        <v>18495</v>
      </c>
      <c r="O498" s="1"/>
      <c r="P498" s="1" t="s">
        <v>6</v>
      </c>
      <c r="Q498" s="16"/>
      <c r="R498" s="17"/>
      <c r="S498" s="774"/>
    </row>
    <row r="499" spans="1:19" ht="12" customHeight="1" thickBot="1">
      <c r="A499" s="916" t="str">
        <f t="shared" si="190"/>
        <v>109</v>
      </c>
      <c r="B499" s="700" t="s">
        <v>5384</v>
      </c>
      <c r="C499" s="700"/>
      <c r="D499" s="1009"/>
      <c r="E499" s="1003" t="str">
        <f t="shared" si="207"/>
        <v/>
      </c>
      <c r="F499" s="1041" t="str">
        <f t="shared" si="208"/>
        <v>$</v>
      </c>
      <c r="G499" s="906" t="s">
        <v>1750</v>
      </c>
      <c r="H499" s="906">
        <v>33</v>
      </c>
      <c r="I499" s="702" t="s">
        <v>5</v>
      </c>
      <c r="J499" s="906"/>
      <c r="K499" s="703"/>
      <c r="L499" s="906"/>
      <c r="M499" s="906"/>
      <c r="N499" s="700" t="s">
        <v>16117</v>
      </c>
      <c r="O499" s="906"/>
      <c r="P499" s="906" t="s">
        <v>6</v>
      </c>
      <c r="Q499" s="705"/>
      <c r="R499" s="903"/>
      <c r="S499" s="793"/>
    </row>
    <row r="500" spans="1:19" ht="12" customHeight="1">
      <c r="A500" s="1038" t="str">
        <f t="shared" si="190"/>
        <v>110</v>
      </c>
      <c r="B500" s="688" t="s">
        <v>1755</v>
      </c>
      <c r="C500" s="688"/>
      <c r="D500" s="1007"/>
      <c r="E500" s="1001" t="str">
        <f>IF(D500="","",D500/SUM($D$500:$D$505))</f>
        <v/>
      </c>
      <c r="F500" s="1004" t="e">
        <f>IF(J500="","$",IF(C500="当選","-",D500*100/MAX($D$500:$D$505)))</f>
        <v>#DIV/0!</v>
      </c>
      <c r="G500" s="687" t="s">
        <v>1758</v>
      </c>
      <c r="H500" s="687">
        <v>52</v>
      </c>
      <c r="I500" s="696" t="s">
        <v>5</v>
      </c>
      <c r="J500" s="689" t="s">
        <v>15273</v>
      </c>
      <c r="K500" s="747" t="s">
        <v>1759</v>
      </c>
      <c r="L500" s="687"/>
      <c r="M500" s="687"/>
      <c r="N500" s="692" t="s">
        <v>16127</v>
      </c>
      <c r="O500" s="687" t="s">
        <v>24</v>
      </c>
      <c r="P500" s="687" t="s">
        <v>25</v>
      </c>
      <c r="Q500" s="748">
        <v>4</v>
      </c>
      <c r="R500" s="749">
        <v>4</v>
      </c>
      <c r="S500" s="805" t="s">
        <v>736</v>
      </c>
    </row>
    <row r="501" spans="1:19" ht="12" customHeight="1">
      <c r="A501" s="1040" t="str">
        <f t="shared" si="190"/>
        <v>110</v>
      </c>
      <c r="B501" s="4" t="s">
        <v>1756</v>
      </c>
      <c r="C501" s="4"/>
      <c r="D501" s="1008"/>
      <c r="E501" s="1002" t="str">
        <f t="shared" ref="E501:E505" si="209">IF(D501="","",D501/SUM($D$500:$D$505))</f>
        <v/>
      </c>
      <c r="F501" s="1005" t="e">
        <f t="shared" ref="F501:F505" si="210">IF(J501="","$",IF(C501="当選","-",D501*100/MAX($D$500:$D$505)))</f>
        <v>#DIV/0!</v>
      </c>
      <c r="G501" s="1" t="s">
        <v>1762</v>
      </c>
      <c r="H501" s="1">
        <v>63</v>
      </c>
      <c r="I501" s="2" t="s">
        <v>5</v>
      </c>
      <c r="J501" s="1" t="s">
        <v>15273</v>
      </c>
      <c r="K501" s="3"/>
      <c r="L501" s="1"/>
      <c r="M501" s="1"/>
      <c r="N501" s="4" t="s">
        <v>16120</v>
      </c>
      <c r="O501" s="1" t="s">
        <v>48</v>
      </c>
      <c r="P501" s="1" t="s">
        <v>14</v>
      </c>
      <c r="Q501" s="16">
        <v>1</v>
      </c>
      <c r="R501" s="17">
        <v>1</v>
      </c>
      <c r="S501" s="774"/>
    </row>
    <row r="502" spans="1:19" ht="12" customHeight="1">
      <c r="A502" s="1040" t="str">
        <f t="shared" si="190"/>
        <v>110</v>
      </c>
      <c r="B502" s="4" t="s">
        <v>1757</v>
      </c>
      <c r="C502" s="4"/>
      <c r="D502" s="1008"/>
      <c r="E502" s="1002" t="str">
        <f t="shared" si="209"/>
        <v/>
      </c>
      <c r="F502" s="1005" t="e">
        <f t="shared" si="210"/>
        <v>#DIV/0!</v>
      </c>
      <c r="G502" s="1" t="s">
        <v>5739</v>
      </c>
      <c r="H502" s="1">
        <v>52</v>
      </c>
      <c r="I502" s="2" t="s">
        <v>5</v>
      </c>
      <c r="J502" s="1" t="s">
        <v>15273</v>
      </c>
      <c r="K502" s="3"/>
      <c r="L502" s="1"/>
      <c r="M502" s="1"/>
      <c r="N502" s="4" t="s">
        <v>16125</v>
      </c>
      <c r="O502" s="1"/>
      <c r="P502" s="1" t="s">
        <v>6</v>
      </c>
      <c r="Q502" s="16"/>
      <c r="R502" s="17"/>
      <c r="S502" s="774" t="s">
        <v>5561</v>
      </c>
    </row>
    <row r="503" spans="1:19" ht="12" customHeight="1">
      <c r="A503" s="1040" t="str">
        <f t="shared" si="190"/>
        <v>110</v>
      </c>
      <c r="B503" s="4" t="s">
        <v>5093</v>
      </c>
      <c r="C503" s="4"/>
      <c r="D503" s="1008"/>
      <c r="E503" s="1002" t="str">
        <f t="shared" si="209"/>
        <v/>
      </c>
      <c r="F503" s="1005" t="e">
        <f t="shared" si="210"/>
        <v>#DIV/0!</v>
      </c>
      <c r="G503" s="1" t="s">
        <v>5094</v>
      </c>
      <c r="H503" s="1">
        <v>45</v>
      </c>
      <c r="I503" s="2" t="s">
        <v>5</v>
      </c>
      <c r="J503" s="1" t="s">
        <v>15273</v>
      </c>
      <c r="K503" s="3"/>
      <c r="L503" s="1"/>
      <c r="M503" s="1"/>
      <c r="N503" s="4" t="s">
        <v>16116</v>
      </c>
      <c r="O503" s="1" t="s">
        <v>4422</v>
      </c>
      <c r="P503" s="1" t="s">
        <v>6</v>
      </c>
      <c r="Q503" s="16"/>
      <c r="R503" s="17"/>
      <c r="S503" s="774"/>
    </row>
    <row r="504" spans="1:19" ht="12" customHeight="1">
      <c r="A504" s="1040" t="str">
        <f t="shared" si="190"/>
        <v>110</v>
      </c>
      <c r="B504" s="4" t="s">
        <v>5738</v>
      </c>
      <c r="C504" s="4"/>
      <c r="D504" s="1008"/>
      <c r="E504" s="1002" t="str">
        <f t="shared" si="209"/>
        <v/>
      </c>
      <c r="F504" s="1005" t="str">
        <f t="shared" si="210"/>
        <v>$</v>
      </c>
      <c r="G504" s="1" t="s">
        <v>1764</v>
      </c>
      <c r="H504" s="1">
        <v>36</v>
      </c>
      <c r="I504" s="2" t="s">
        <v>5</v>
      </c>
      <c r="J504" s="1"/>
      <c r="K504" s="3"/>
      <c r="L504" s="1"/>
      <c r="M504" s="1"/>
      <c r="N504" s="4" t="s">
        <v>16117</v>
      </c>
      <c r="O504" s="1"/>
      <c r="P504" s="1" t="s">
        <v>6</v>
      </c>
      <c r="Q504" s="16"/>
      <c r="R504" s="17"/>
      <c r="S504" s="774"/>
    </row>
    <row r="505" spans="1:19" ht="12" customHeight="1" thickBot="1">
      <c r="A505" s="916" t="str">
        <f t="shared" si="190"/>
        <v>110</v>
      </c>
      <c r="B505" s="700" t="s">
        <v>15996</v>
      </c>
      <c r="C505" s="700"/>
      <c r="D505" s="1009"/>
      <c r="E505" s="1003" t="str">
        <f t="shared" si="209"/>
        <v/>
      </c>
      <c r="F505" s="1041" t="str">
        <f t="shared" si="210"/>
        <v>$</v>
      </c>
      <c r="G505" s="906" t="s">
        <v>15997</v>
      </c>
      <c r="H505" s="906">
        <v>76</v>
      </c>
      <c r="I505" s="702" t="s">
        <v>5</v>
      </c>
      <c r="J505" s="906"/>
      <c r="K505" s="703"/>
      <c r="L505" s="906"/>
      <c r="M505" s="906"/>
      <c r="N505" s="700" t="s">
        <v>16129</v>
      </c>
      <c r="O505" s="906"/>
      <c r="P505" s="906" t="s">
        <v>6</v>
      </c>
      <c r="Q505" s="705"/>
      <c r="R505" s="903"/>
      <c r="S505" s="793"/>
    </row>
    <row r="506" spans="1:19" ht="12" customHeight="1">
      <c r="A506" s="1038" t="str">
        <f t="shared" si="190"/>
        <v>111</v>
      </c>
      <c r="B506" s="688" t="s">
        <v>1767</v>
      </c>
      <c r="C506" s="688"/>
      <c r="D506" s="1007"/>
      <c r="E506" s="1001" t="str">
        <f>IF(D506="","",D506/SUM($D$506:$D$509))</f>
        <v/>
      </c>
      <c r="F506" s="1004" t="e">
        <f>IF(J506="","$",IF(C506="当選","-",D506*100/MAX($D$506:$D$509)))</f>
        <v>#DIV/0!</v>
      </c>
      <c r="G506" s="687" t="s">
        <v>5827</v>
      </c>
      <c r="H506" s="687">
        <v>65</v>
      </c>
      <c r="I506" s="696" t="s">
        <v>19</v>
      </c>
      <c r="J506" s="689" t="s">
        <v>15273</v>
      </c>
      <c r="K506" s="747"/>
      <c r="L506" s="687"/>
      <c r="M506" s="687"/>
      <c r="N506" s="692" t="s">
        <v>16127</v>
      </c>
      <c r="O506" s="687" t="s">
        <v>604</v>
      </c>
      <c r="P506" s="687" t="s">
        <v>6</v>
      </c>
      <c r="Q506" s="748"/>
      <c r="R506" s="749">
        <v>6</v>
      </c>
      <c r="S506" s="805"/>
    </row>
    <row r="507" spans="1:19" ht="12" customHeight="1">
      <c r="A507" s="1040" t="str">
        <f t="shared" si="190"/>
        <v>111</v>
      </c>
      <c r="B507" s="4" t="s">
        <v>1768</v>
      </c>
      <c r="C507" s="4"/>
      <c r="D507" s="1008"/>
      <c r="E507" s="1002" t="str">
        <f t="shared" ref="E507:E509" si="211">IF(D507="","",D507/SUM($D$506:$D$509))</f>
        <v/>
      </c>
      <c r="F507" s="1005" t="e">
        <f t="shared" ref="F507:F509" si="212">IF(J507="","$",IF(C507="当選","-",D507*100/MAX($D$506:$D$509)))</f>
        <v>#DIV/0!</v>
      </c>
      <c r="G507" s="1" t="s">
        <v>1770</v>
      </c>
      <c r="H507" s="1">
        <v>55</v>
      </c>
      <c r="I507" s="2" t="s">
        <v>5</v>
      </c>
      <c r="J507" s="1" t="s">
        <v>15273</v>
      </c>
      <c r="K507" s="3" t="s">
        <v>1771</v>
      </c>
      <c r="L507" s="1"/>
      <c r="M507" s="1"/>
      <c r="N507" s="8" t="s">
        <v>16120</v>
      </c>
      <c r="O507" s="1" t="s">
        <v>934</v>
      </c>
      <c r="P507" s="1" t="s">
        <v>25</v>
      </c>
      <c r="Q507" s="16">
        <v>7</v>
      </c>
      <c r="R507" s="17">
        <v>7</v>
      </c>
      <c r="S507" s="774" t="s">
        <v>5457</v>
      </c>
    </row>
    <row r="508" spans="1:19" ht="12" customHeight="1">
      <c r="A508" s="1040" t="str">
        <f t="shared" si="190"/>
        <v>111</v>
      </c>
      <c r="B508" s="4" t="s">
        <v>1769</v>
      </c>
      <c r="C508" s="4"/>
      <c r="D508" s="1008"/>
      <c r="E508" s="1002" t="str">
        <f t="shared" si="211"/>
        <v/>
      </c>
      <c r="F508" s="1005" t="str">
        <f t="shared" si="212"/>
        <v>$</v>
      </c>
      <c r="G508" s="1" t="s">
        <v>1775</v>
      </c>
      <c r="H508" s="1">
        <v>28</v>
      </c>
      <c r="I508" s="2" t="s">
        <v>5</v>
      </c>
      <c r="J508" s="1"/>
      <c r="K508" s="3"/>
      <c r="L508" s="1"/>
      <c r="M508" s="1"/>
      <c r="N508" s="4" t="s">
        <v>16117</v>
      </c>
      <c r="O508" s="1"/>
      <c r="P508" s="1" t="s">
        <v>6</v>
      </c>
      <c r="Q508" s="16"/>
      <c r="R508" s="17"/>
      <c r="S508" s="774"/>
    </row>
    <row r="509" spans="1:19" ht="12" customHeight="1" thickBot="1">
      <c r="A509" s="916" t="str">
        <f t="shared" si="190"/>
        <v>111</v>
      </c>
      <c r="B509" s="700" t="s">
        <v>15623</v>
      </c>
      <c r="C509" s="700"/>
      <c r="D509" s="1009"/>
      <c r="E509" s="1003" t="str">
        <f t="shared" si="211"/>
        <v/>
      </c>
      <c r="F509" s="1041" t="str">
        <f t="shared" si="212"/>
        <v>$</v>
      </c>
      <c r="G509" s="906" t="s">
        <v>15624</v>
      </c>
      <c r="H509" s="906">
        <v>38</v>
      </c>
      <c r="I509" s="702" t="s">
        <v>5</v>
      </c>
      <c r="J509" s="906"/>
      <c r="K509" s="703"/>
      <c r="L509" s="906"/>
      <c r="M509" s="906"/>
      <c r="N509" s="704" t="s">
        <v>16129</v>
      </c>
      <c r="O509" s="906"/>
      <c r="P509" s="906" t="s">
        <v>6</v>
      </c>
      <c r="Q509" s="705"/>
      <c r="R509" s="903"/>
      <c r="S509" s="793" t="s">
        <v>45</v>
      </c>
    </row>
    <row r="510" spans="1:19" ht="12" customHeight="1">
      <c r="A510" s="1038" t="str">
        <f t="shared" si="190"/>
        <v>112</v>
      </c>
      <c r="B510" s="688" t="s">
        <v>1777</v>
      </c>
      <c r="C510" s="688"/>
      <c r="D510" s="1007"/>
      <c r="E510" s="1001" t="str">
        <f>IF(D510="","",D510/SUM($D$510:$D$513))</f>
        <v/>
      </c>
      <c r="F510" s="1004" t="e">
        <f>IF(J510="","$",IF(C510="当選","-",D510*100/MAX($D$510:$D$513)))</f>
        <v>#DIV/0!</v>
      </c>
      <c r="G510" s="687" t="s">
        <v>4412</v>
      </c>
      <c r="H510" s="687">
        <v>49</v>
      </c>
      <c r="I510" s="696" t="s">
        <v>5</v>
      </c>
      <c r="J510" s="689" t="s">
        <v>15273</v>
      </c>
      <c r="K510" s="747"/>
      <c r="L510" s="687"/>
      <c r="M510" s="687"/>
      <c r="N510" s="692" t="s">
        <v>16126</v>
      </c>
      <c r="O510" s="687" t="s">
        <v>44</v>
      </c>
      <c r="P510" s="687" t="s">
        <v>6</v>
      </c>
      <c r="Q510" s="748"/>
      <c r="R510" s="749"/>
      <c r="S510" s="805" t="s">
        <v>736</v>
      </c>
    </row>
    <row r="511" spans="1:19" ht="12" customHeight="1">
      <c r="A511" s="1040" t="str">
        <f t="shared" si="190"/>
        <v>112</v>
      </c>
      <c r="B511" s="4" t="s">
        <v>1778</v>
      </c>
      <c r="C511" s="4"/>
      <c r="D511" s="1008"/>
      <c r="E511" s="1002" t="str">
        <f t="shared" ref="E511:E513" si="213">IF(D511="","",D511/SUM($D$510:$D$513))</f>
        <v/>
      </c>
      <c r="F511" s="1005" t="e">
        <f t="shared" ref="F511:F513" si="214">IF(J511="","$",IF(C511="当選","-",D511*100/MAX($D$510:$D$513)))</f>
        <v>#DIV/0!</v>
      </c>
      <c r="G511" s="1" t="s">
        <v>1781</v>
      </c>
      <c r="H511" s="1">
        <v>50</v>
      </c>
      <c r="I511" s="2" t="s">
        <v>5</v>
      </c>
      <c r="J511" s="1" t="s">
        <v>15273</v>
      </c>
      <c r="K511" s="3" t="s">
        <v>1782</v>
      </c>
      <c r="L511" s="1"/>
      <c r="M511" s="1"/>
      <c r="N511" s="4" t="s">
        <v>16120</v>
      </c>
      <c r="O511" s="1" t="s">
        <v>30</v>
      </c>
      <c r="P511" s="1" t="s">
        <v>25</v>
      </c>
      <c r="Q511" s="16">
        <v>3</v>
      </c>
      <c r="R511" s="17">
        <v>3</v>
      </c>
      <c r="S511" s="774" t="s">
        <v>5457</v>
      </c>
    </row>
    <row r="512" spans="1:19" ht="12" customHeight="1">
      <c r="A512" s="1040" t="str">
        <f t="shared" si="190"/>
        <v>112</v>
      </c>
      <c r="B512" s="4" t="s">
        <v>1779</v>
      </c>
      <c r="C512" s="4"/>
      <c r="D512" s="1008"/>
      <c r="E512" s="1002" t="str">
        <f t="shared" si="213"/>
        <v/>
      </c>
      <c r="F512" s="1005" t="e">
        <f t="shared" si="214"/>
        <v>#DIV/0!</v>
      </c>
      <c r="G512" s="1" t="s">
        <v>1788</v>
      </c>
      <c r="H512" s="1">
        <v>46</v>
      </c>
      <c r="I512" s="2" t="s">
        <v>5</v>
      </c>
      <c r="J512" s="1" t="s">
        <v>15273</v>
      </c>
      <c r="K512" s="3" t="s">
        <v>1789</v>
      </c>
      <c r="L512" s="1"/>
      <c r="M512" s="1"/>
      <c r="N512" s="4" t="s">
        <v>16125</v>
      </c>
      <c r="O512" s="1"/>
      <c r="P512" s="1" t="s">
        <v>25</v>
      </c>
      <c r="Q512" s="16">
        <v>1</v>
      </c>
      <c r="R512" s="17">
        <v>1</v>
      </c>
      <c r="S512" s="774" t="s">
        <v>5561</v>
      </c>
    </row>
    <row r="513" spans="1:19" ht="12" customHeight="1" thickBot="1">
      <c r="A513" s="916" t="str">
        <f t="shared" si="190"/>
        <v>112</v>
      </c>
      <c r="B513" s="700" t="s">
        <v>1780</v>
      </c>
      <c r="C513" s="700"/>
      <c r="D513" s="1009"/>
      <c r="E513" s="1003" t="str">
        <f t="shared" si="213"/>
        <v/>
      </c>
      <c r="F513" s="1041" t="str">
        <f t="shared" si="214"/>
        <v>$</v>
      </c>
      <c r="G513" s="906" t="s">
        <v>1785</v>
      </c>
      <c r="H513" s="906">
        <v>41</v>
      </c>
      <c r="I513" s="702" t="s">
        <v>5</v>
      </c>
      <c r="J513" s="906"/>
      <c r="K513" s="703"/>
      <c r="L513" s="906"/>
      <c r="M513" s="906"/>
      <c r="N513" s="700" t="s">
        <v>16117</v>
      </c>
      <c r="O513" s="906"/>
      <c r="P513" s="906" t="s">
        <v>6</v>
      </c>
      <c r="Q513" s="705"/>
      <c r="R513" s="903"/>
      <c r="S513" s="793"/>
    </row>
    <row r="514" spans="1:19" ht="12" customHeight="1">
      <c r="A514" s="1038" t="str">
        <f t="shared" si="190"/>
        <v>113</v>
      </c>
      <c r="B514" s="688" t="s">
        <v>1791</v>
      </c>
      <c r="C514" s="688"/>
      <c r="D514" s="1007"/>
      <c r="E514" s="1001" t="str">
        <f>IF(D514="","",D514/SUM($D$514:$D$517))</f>
        <v/>
      </c>
      <c r="F514" s="1004" t="e">
        <f>IF(J514="","$",IF(C514="当選","-",D514*100/MAX($D$514:$D$517)))</f>
        <v>#DIV/0!</v>
      </c>
      <c r="G514" s="687" t="s">
        <v>1795</v>
      </c>
      <c r="H514" s="687">
        <v>52</v>
      </c>
      <c r="I514" s="696" t="s">
        <v>19</v>
      </c>
      <c r="J514" s="689" t="s">
        <v>15273</v>
      </c>
      <c r="K514" s="747" t="s">
        <v>1796</v>
      </c>
      <c r="L514" s="687"/>
      <c r="M514" s="687"/>
      <c r="N514" s="692" t="s">
        <v>16127</v>
      </c>
      <c r="O514" s="687" t="s">
        <v>44</v>
      </c>
      <c r="P514" s="687" t="s">
        <v>25</v>
      </c>
      <c r="Q514" s="748">
        <v>1</v>
      </c>
      <c r="R514" s="749">
        <v>1</v>
      </c>
      <c r="S514" s="805" t="s">
        <v>736</v>
      </c>
    </row>
    <row r="515" spans="1:19" ht="12" customHeight="1">
      <c r="A515" s="1040" t="str">
        <f t="shared" ref="A515:A578" si="215">MIDB(B515,1,3)</f>
        <v>113</v>
      </c>
      <c r="B515" s="4" t="s">
        <v>1792</v>
      </c>
      <c r="C515" s="4"/>
      <c r="D515" s="1008"/>
      <c r="E515" s="1002" t="str">
        <f t="shared" ref="E515:E517" si="216">IF(D515="","",D515/SUM($D$514:$D$517))</f>
        <v/>
      </c>
      <c r="F515" s="1005" t="e">
        <f t="shared" ref="F515:F517" si="217">IF(J515="","$",IF(C515="当選","-",D515*100/MAX($D$514:$D$517)))</f>
        <v>#DIV/0!</v>
      </c>
      <c r="G515" s="1" t="s">
        <v>1798</v>
      </c>
      <c r="H515" s="1">
        <v>60</v>
      </c>
      <c r="I515" s="2" t="s">
        <v>19</v>
      </c>
      <c r="J515" s="1" t="s">
        <v>15273</v>
      </c>
      <c r="K515" s="3" t="s">
        <v>1799</v>
      </c>
      <c r="L515" s="1"/>
      <c r="M515" s="1"/>
      <c r="N515" s="4" t="s">
        <v>16120</v>
      </c>
      <c r="O515" s="1" t="s">
        <v>30</v>
      </c>
      <c r="P515" s="1" t="s">
        <v>25</v>
      </c>
      <c r="Q515" s="16">
        <v>6</v>
      </c>
      <c r="R515" s="17">
        <v>7</v>
      </c>
      <c r="S515" s="774" t="s">
        <v>5457</v>
      </c>
    </row>
    <row r="516" spans="1:19" ht="12" customHeight="1">
      <c r="A516" s="1040" t="str">
        <f t="shared" si="215"/>
        <v>113</v>
      </c>
      <c r="B516" s="4" t="s">
        <v>1793</v>
      </c>
      <c r="C516" s="4"/>
      <c r="D516" s="1008"/>
      <c r="E516" s="1002" t="str">
        <f t="shared" si="216"/>
        <v/>
      </c>
      <c r="F516" s="1005" t="e">
        <f t="shared" si="217"/>
        <v>#DIV/0!</v>
      </c>
      <c r="G516" s="1" t="s">
        <v>5740</v>
      </c>
      <c r="H516" s="1">
        <v>44</v>
      </c>
      <c r="I516" s="2" t="s">
        <v>5</v>
      </c>
      <c r="J516" s="1" t="s">
        <v>15273</v>
      </c>
      <c r="K516" s="3"/>
      <c r="L516" s="1"/>
      <c r="M516" s="1"/>
      <c r="N516" s="4" t="s">
        <v>16125</v>
      </c>
      <c r="O516" s="1"/>
      <c r="P516" s="1" t="s">
        <v>6</v>
      </c>
      <c r="Q516" s="16"/>
      <c r="R516" s="17"/>
      <c r="S516" s="774" t="s">
        <v>5561</v>
      </c>
    </row>
    <row r="517" spans="1:19" ht="12" customHeight="1" thickBot="1">
      <c r="A517" s="916" t="str">
        <f t="shared" si="215"/>
        <v>113</v>
      </c>
      <c r="B517" s="700" t="s">
        <v>1794</v>
      </c>
      <c r="C517" s="700"/>
      <c r="D517" s="1009"/>
      <c r="E517" s="1003" t="str">
        <f t="shared" si="216"/>
        <v/>
      </c>
      <c r="F517" s="1041" t="str">
        <f t="shared" si="217"/>
        <v>$</v>
      </c>
      <c r="G517" s="906" t="s">
        <v>1804</v>
      </c>
      <c r="H517" s="906">
        <v>64</v>
      </c>
      <c r="I517" s="702" t="s">
        <v>19</v>
      </c>
      <c r="J517" s="906"/>
      <c r="K517" s="703"/>
      <c r="L517" s="906"/>
      <c r="M517" s="906"/>
      <c r="N517" s="700" t="s">
        <v>16117</v>
      </c>
      <c r="O517" s="906"/>
      <c r="P517" s="906" t="s">
        <v>6</v>
      </c>
      <c r="Q517" s="705"/>
      <c r="R517" s="903"/>
      <c r="S517" s="793"/>
    </row>
    <row r="518" spans="1:19" ht="12" customHeight="1">
      <c r="A518" s="1038" t="str">
        <f t="shared" si="215"/>
        <v>114</v>
      </c>
      <c r="B518" s="688" t="s">
        <v>1813</v>
      </c>
      <c r="C518" s="688"/>
      <c r="D518" s="1007"/>
      <c r="E518" s="1001" t="str">
        <f>IF(D518="","",D518/SUM($D$518:$D$522))</f>
        <v/>
      </c>
      <c r="F518" s="1004" t="e">
        <f>IF(J518="","$",IF(C518="当選","-",D518*100/MAX($D$518:$D$522)))</f>
        <v>#DIV/0!</v>
      </c>
      <c r="G518" s="687" t="s">
        <v>5449</v>
      </c>
      <c r="H518" s="687">
        <v>45</v>
      </c>
      <c r="I518" s="696" t="s">
        <v>19</v>
      </c>
      <c r="J518" s="689" t="s">
        <v>15273</v>
      </c>
      <c r="K518" s="747"/>
      <c r="L518" s="687"/>
      <c r="M518" s="687"/>
      <c r="N518" s="692" t="s">
        <v>16127</v>
      </c>
      <c r="O518" s="687" t="s">
        <v>44</v>
      </c>
      <c r="P518" s="687" t="s">
        <v>6</v>
      </c>
      <c r="Q518" s="748"/>
      <c r="R518" s="749"/>
      <c r="S518" s="805" t="s">
        <v>736</v>
      </c>
    </row>
    <row r="519" spans="1:19" ht="12" customHeight="1">
      <c r="A519" s="1040" t="str">
        <f t="shared" si="215"/>
        <v>114</v>
      </c>
      <c r="B519" s="4" t="s">
        <v>1814</v>
      </c>
      <c r="C519" s="4"/>
      <c r="D519" s="1008"/>
      <c r="E519" s="1002" t="str">
        <f t="shared" ref="E519:E522" si="218">IF(D519="","",D519/SUM($D$518:$D$522))</f>
        <v/>
      </c>
      <c r="F519" s="1005" t="e">
        <f t="shared" ref="F519:F522" si="219">IF(J519="","$",IF(C519="当選","-",D519*100/MAX($D$518:$D$522)))</f>
        <v>#DIV/0!</v>
      </c>
      <c r="G519" s="1" t="s">
        <v>1817</v>
      </c>
      <c r="H519" s="1">
        <v>58</v>
      </c>
      <c r="I519" s="2" t="s">
        <v>5</v>
      </c>
      <c r="J519" s="1" t="s">
        <v>15273</v>
      </c>
      <c r="K519" s="3" t="s">
        <v>1818</v>
      </c>
      <c r="L519" s="1"/>
      <c r="M519" s="1"/>
      <c r="N519" s="8" t="s">
        <v>16120</v>
      </c>
      <c r="O519" s="1" t="s">
        <v>48</v>
      </c>
      <c r="P519" s="1" t="s">
        <v>25</v>
      </c>
      <c r="Q519" s="16">
        <v>5</v>
      </c>
      <c r="R519" s="17">
        <v>5</v>
      </c>
      <c r="S519" s="774" t="s">
        <v>5457</v>
      </c>
    </row>
    <row r="520" spans="1:19" ht="12" customHeight="1">
      <c r="A520" s="1040" t="str">
        <f t="shared" si="215"/>
        <v>114</v>
      </c>
      <c r="B520" s="4" t="s">
        <v>1815</v>
      </c>
      <c r="C520" s="4"/>
      <c r="D520" s="1008"/>
      <c r="E520" s="1002" t="str">
        <f t="shared" si="218"/>
        <v/>
      </c>
      <c r="F520" s="1005" t="e">
        <f t="shared" si="219"/>
        <v>#DIV/0!</v>
      </c>
      <c r="G520" s="1" t="s">
        <v>5742</v>
      </c>
      <c r="H520" s="1">
        <v>43</v>
      </c>
      <c r="I520" s="2" t="s">
        <v>19</v>
      </c>
      <c r="J520" s="1" t="s">
        <v>15273</v>
      </c>
      <c r="K520" s="3"/>
      <c r="L520" s="1"/>
      <c r="M520" s="1"/>
      <c r="N520" s="4" t="s">
        <v>16125</v>
      </c>
      <c r="O520" s="1"/>
      <c r="P520" s="1" t="s">
        <v>6</v>
      </c>
      <c r="Q520" s="16"/>
      <c r="R520" s="17"/>
      <c r="S520" s="774" t="s">
        <v>5561</v>
      </c>
    </row>
    <row r="521" spans="1:19" ht="12" customHeight="1">
      <c r="A521" s="1040" t="str">
        <f t="shared" si="215"/>
        <v>114</v>
      </c>
      <c r="B521" s="4" t="s">
        <v>1816</v>
      </c>
      <c r="C521" s="4"/>
      <c r="D521" s="1008"/>
      <c r="E521" s="1002" t="str">
        <f t="shared" si="218"/>
        <v/>
      </c>
      <c r="F521" s="1005" t="e">
        <f t="shared" si="219"/>
        <v>#DIV/0!</v>
      </c>
      <c r="G521" s="1" t="s">
        <v>5979</v>
      </c>
      <c r="H521" s="1">
        <v>47</v>
      </c>
      <c r="I521" s="2" t="s">
        <v>5</v>
      </c>
      <c r="J521" s="1" t="s">
        <v>15273</v>
      </c>
      <c r="K521" s="3"/>
      <c r="L521" s="1"/>
      <c r="M521" s="1"/>
      <c r="N521" s="4" t="s">
        <v>16116</v>
      </c>
      <c r="O521" s="1" t="s">
        <v>18494</v>
      </c>
      <c r="P521" s="1" t="s">
        <v>6</v>
      </c>
      <c r="Q521" s="16"/>
      <c r="R521" s="17"/>
      <c r="S521" s="774" t="s">
        <v>6154</v>
      </c>
    </row>
    <row r="522" spans="1:19" ht="12" customHeight="1" thickBot="1">
      <c r="A522" s="916" t="str">
        <f t="shared" si="215"/>
        <v>114</v>
      </c>
      <c r="B522" s="700" t="s">
        <v>5978</v>
      </c>
      <c r="C522" s="700"/>
      <c r="D522" s="1009"/>
      <c r="E522" s="1003" t="str">
        <f t="shared" si="218"/>
        <v/>
      </c>
      <c r="F522" s="1041" t="str">
        <f t="shared" si="219"/>
        <v>$</v>
      </c>
      <c r="G522" s="906" t="s">
        <v>1822</v>
      </c>
      <c r="H522" s="906">
        <v>58</v>
      </c>
      <c r="I522" s="702" t="s">
        <v>5</v>
      </c>
      <c r="J522" s="906"/>
      <c r="K522" s="703"/>
      <c r="L522" s="906"/>
      <c r="M522" s="906"/>
      <c r="N522" s="700" t="s">
        <v>16117</v>
      </c>
      <c r="O522" s="906"/>
      <c r="P522" s="906" t="s">
        <v>6</v>
      </c>
      <c r="Q522" s="705"/>
      <c r="R522" s="903"/>
      <c r="S522" s="793"/>
    </row>
    <row r="523" spans="1:19" ht="12" customHeight="1">
      <c r="A523" s="1038" t="str">
        <f t="shared" si="215"/>
        <v>115</v>
      </c>
      <c r="B523" s="688" t="s">
        <v>1827</v>
      </c>
      <c r="C523" s="688"/>
      <c r="D523" s="1007"/>
      <c r="E523" s="1001" t="str">
        <f>IF(D523="","",D523/SUM($D$523:$D$526))</f>
        <v/>
      </c>
      <c r="F523" s="1004" t="e">
        <f>IF(J523="","$",IF(C523="当選","-",D523*100/MAX($D$523:$D$526)))</f>
        <v>#DIV/0!</v>
      </c>
      <c r="G523" s="687" t="s">
        <v>1831</v>
      </c>
      <c r="H523" s="687">
        <v>47</v>
      </c>
      <c r="I523" s="696" t="s">
        <v>19</v>
      </c>
      <c r="J523" s="687" t="s">
        <v>15273</v>
      </c>
      <c r="K523" s="747" t="s">
        <v>1832</v>
      </c>
      <c r="L523" s="687"/>
      <c r="M523" s="687"/>
      <c r="N523" s="688" t="s">
        <v>16125</v>
      </c>
      <c r="O523" s="687"/>
      <c r="P523" s="687" t="s">
        <v>25</v>
      </c>
      <c r="Q523" s="748">
        <v>2</v>
      </c>
      <c r="R523" s="749">
        <v>3</v>
      </c>
      <c r="S523" s="805" t="s">
        <v>5561</v>
      </c>
    </row>
    <row r="524" spans="1:19" ht="12" customHeight="1">
      <c r="A524" s="1040" t="str">
        <f t="shared" si="215"/>
        <v>115</v>
      </c>
      <c r="B524" s="4" t="s">
        <v>1828</v>
      </c>
      <c r="C524" s="4"/>
      <c r="D524" s="1008"/>
      <c r="E524" s="1002" t="str">
        <f t="shared" ref="E524:E526" si="220">IF(D524="","",D524/SUM($D$523:$D$526))</f>
        <v/>
      </c>
      <c r="F524" s="1005" t="str">
        <f t="shared" ref="F524:F526" si="221">IF(J524="","$",IF(C524="当選","-",D524*100/MAX($D$523:$D$526)))</f>
        <v>$</v>
      </c>
      <c r="G524" s="1" t="s">
        <v>1839</v>
      </c>
      <c r="H524" s="1">
        <v>67</v>
      </c>
      <c r="I524" s="2" t="s">
        <v>5</v>
      </c>
      <c r="J524" s="1"/>
      <c r="K524" s="3"/>
      <c r="L524" s="1"/>
      <c r="M524" s="1"/>
      <c r="N524" s="4" t="s">
        <v>16118</v>
      </c>
      <c r="O524" s="1"/>
      <c r="P524" s="1" t="s">
        <v>14</v>
      </c>
      <c r="Q524" s="16">
        <v>5</v>
      </c>
      <c r="R524" s="17">
        <v>5</v>
      </c>
      <c r="S524" s="774" t="s">
        <v>276</v>
      </c>
    </row>
    <row r="525" spans="1:19" ht="12" customHeight="1">
      <c r="A525" s="1040" t="str">
        <f t="shared" si="215"/>
        <v>115</v>
      </c>
      <c r="B525" s="4" t="s">
        <v>1829</v>
      </c>
      <c r="C525" s="4"/>
      <c r="D525" s="1008"/>
      <c r="E525" s="1002" t="str">
        <f t="shared" si="220"/>
        <v/>
      </c>
      <c r="F525" s="1005" t="e">
        <f t="shared" si="221"/>
        <v>#DIV/0!</v>
      </c>
      <c r="G525" s="1" t="s">
        <v>1842</v>
      </c>
      <c r="H525" s="1">
        <v>30</v>
      </c>
      <c r="I525" s="2" t="s">
        <v>19</v>
      </c>
      <c r="J525" s="1" t="s">
        <v>15273</v>
      </c>
      <c r="K525" s="3"/>
      <c r="L525" s="1"/>
      <c r="M525" s="1"/>
      <c r="N525" s="4" t="s">
        <v>16117</v>
      </c>
      <c r="O525" s="1"/>
      <c r="P525" s="1" t="s">
        <v>6</v>
      </c>
      <c r="Q525" s="16"/>
      <c r="R525" s="17"/>
      <c r="S525" s="774"/>
    </row>
    <row r="526" spans="1:19" ht="12" customHeight="1" thickBot="1">
      <c r="A526" s="916" t="str">
        <f t="shared" si="215"/>
        <v>115</v>
      </c>
      <c r="B526" s="700" t="s">
        <v>1830</v>
      </c>
      <c r="C526" s="700"/>
      <c r="D526" s="1009"/>
      <c r="E526" s="1003" t="str">
        <f t="shared" si="220"/>
        <v/>
      </c>
      <c r="F526" s="1041" t="str">
        <f t="shared" si="221"/>
        <v>$</v>
      </c>
      <c r="G526" s="906" t="s">
        <v>1844</v>
      </c>
      <c r="H526" s="906">
        <v>34</v>
      </c>
      <c r="I526" s="702" t="s">
        <v>19</v>
      </c>
      <c r="J526" s="906"/>
      <c r="K526" s="703"/>
      <c r="L526" s="906"/>
      <c r="M526" s="906"/>
      <c r="N526" s="700" t="s">
        <v>16122</v>
      </c>
      <c r="O526" s="906" t="s">
        <v>22</v>
      </c>
      <c r="P526" s="906" t="s">
        <v>6</v>
      </c>
      <c r="Q526" s="705"/>
      <c r="R526" s="903"/>
      <c r="S526" s="793"/>
    </row>
    <row r="527" spans="1:19" ht="12" customHeight="1">
      <c r="A527" s="1038" t="str">
        <f t="shared" si="215"/>
        <v>116</v>
      </c>
      <c r="B527" s="688" t="s">
        <v>1847</v>
      </c>
      <c r="C527" s="688"/>
      <c r="D527" s="1007"/>
      <c r="E527" s="1001" t="str">
        <f>IF(D527="","",D527/SUM($D$527:$D$531))</f>
        <v/>
      </c>
      <c r="F527" s="1004" t="e">
        <f>IF(J527="","$",IF(C527="当選","-",D527*100/MAX($D$527:$D$531)))</f>
        <v>#DIV/0!</v>
      </c>
      <c r="G527" s="687" t="s">
        <v>5450</v>
      </c>
      <c r="H527" s="687">
        <v>33</v>
      </c>
      <c r="I527" s="696" t="s">
        <v>5</v>
      </c>
      <c r="J527" s="689" t="s">
        <v>15273</v>
      </c>
      <c r="K527" s="747"/>
      <c r="L527" s="687"/>
      <c r="M527" s="687"/>
      <c r="N527" s="692" t="s">
        <v>16126</v>
      </c>
      <c r="O527" s="687" t="s">
        <v>44</v>
      </c>
      <c r="P527" s="687" t="s">
        <v>6</v>
      </c>
      <c r="Q527" s="748"/>
      <c r="R527" s="749"/>
      <c r="S527" s="805"/>
    </row>
    <row r="528" spans="1:19" ht="12" customHeight="1">
      <c r="A528" s="1040" t="str">
        <f t="shared" si="215"/>
        <v>116</v>
      </c>
      <c r="B528" s="4" t="s">
        <v>1848</v>
      </c>
      <c r="C528" s="4"/>
      <c r="D528" s="1008"/>
      <c r="E528" s="1002" t="str">
        <f t="shared" ref="E528:E531" si="222">IF(D528="","",D528/SUM($D$527:$D$531))</f>
        <v/>
      </c>
      <c r="F528" s="1005" t="e">
        <f t="shared" ref="F528:F531" si="223">IF(J528="","$",IF(C528="当選","-",D528*100/MAX($D$527:$D$531)))</f>
        <v>#DIV/0!</v>
      </c>
      <c r="G528" s="1" t="s">
        <v>1851</v>
      </c>
      <c r="H528" s="1">
        <v>63</v>
      </c>
      <c r="I528" s="2" t="s">
        <v>5</v>
      </c>
      <c r="J528" s="1" t="s">
        <v>15273</v>
      </c>
      <c r="K528" s="3" t="s">
        <v>1852</v>
      </c>
      <c r="L528" s="1"/>
      <c r="M528" s="1"/>
      <c r="N528" s="4" t="s">
        <v>16120</v>
      </c>
      <c r="O528" s="1" t="s">
        <v>30</v>
      </c>
      <c r="P528" s="1" t="s">
        <v>25</v>
      </c>
      <c r="Q528" s="16">
        <v>6</v>
      </c>
      <c r="R528" s="17">
        <v>6</v>
      </c>
      <c r="S528" s="774" t="s">
        <v>5457</v>
      </c>
    </row>
    <row r="529" spans="1:19" ht="12" customHeight="1">
      <c r="A529" s="1040" t="str">
        <f t="shared" si="215"/>
        <v>116</v>
      </c>
      <c r="B529" s="4" t="s">
        <v>1849</v>
      </c>
      <c r="C529" s="4"/>
      <c r="D529" s="1008"/>
      <c r="E529" s="1002" t="str">
        <f t="shared" si="222"/>
        <v/>
      </c>
      <c r="F529" s="1005" t="e">
        <f t="shared" si="223"/>
        <v>#DIV/0!</v>
      </c>
      <c r="G529" s="1" t="s">
        <v>6179</v>
      </c>
      <c r="H529" s="1">
        <v>40</v>
      </c>
      <c r="I529" s="2" t="s">
        <v>5</v>
      </c>
      <c r="J529" s="1" t="s">
        <v>15273</v>
      </c>
      <c r="K529" s="3"/>
      <c r="L529" s="1"/>
      <c r="M529" s="1"/>
      <c r="N529" s="4" t="s">
        <v>16125</v>
      </c>
      <c r="O529" s="1"/>
      <c r="P529" s="1" t="s">
        <v>6</v>
      </c>
      <c r="Q529" s="16"/>
      <c r="R529" s="17"/>
      <c r="S529" s="774" t="s">
        <v>5561</v>
      </c>
    </row>
    <row r="530" spans="1:19" ht="12" customHeight="1">
      <c r="A530" s="1040" t="str">
        <f t="shared" si="215"/>
        <v>116</v>
      </c>
      <c r="B530" s="4" t="s">
        <v>1850</v>
      </c>
      <c r="C530" s="4"/>
      <c r="D530" s="1008"/>
      <c r="E530" s="1002" t="str">
        <f t="shared" si="222"/>
        <v/>
      </c>
      <c r="F530" s="1005" t="e">
        <f t="shared" si="223"/>
        <v>#DIV/0!</v>
      </c>
      <c r="G530" s="1" t="s">
        <v>5387</v>
      </c>
      <c r="H530" s="1">
        <v>57</v>
      </c>
      <c r="I530" s="2" t="s">
        <v>5</v>
      </c>
      <c r="J530" s="1" t="s">
        <v>15273</v>
      </c>
      <c r="K530" s="3"/>
      <c r="L530" s="1"/>
      <c r="M530" s="1"/>
      <c r="N530" s="4" t="s">
        <v>16116</v>
      </c>
      <c r="O530" s="1" t="s">
        <v>4422</v>
      </c>
      <c r="P530" s="1" t="s">
        <v>25</v>
      </c>
      <c r="Q530" s="16">
        <v>1</v>
      </c>
      <c r="R530" s="17">
        <v>1</v>
      </c>
      <c r="S530" s="774"/>
    </row>
    <row r="531" spans="1:19" ht="12" customHeight="1" thickBot="1">
      <c r="A531" s="916" t="str">
        <f t="shared" si="215"/>
        <v>116</v>
      </c>
      <c r="B531" s="700" t="s">
        <v>6178</v>
      </c>
      <c r="C531" s="700"/>
      <c r="D531" s="1009"/>
      <c r="E531" s="1003" t="str">
        <f t="shared" si="222"/>
        <v/>
      </c>
      <c r="F531" s="1041" t="str">
        <f t="shared" si="223"/>
        <v>$</v>
      </c>
      <c r="G531" s="906" t="s">
        <v>1856</v>
      </c>
      <c r="H531" s="906">
        <v>37</v>
      </c>
      <c r="I531" s="702" t="s">
        <v>5</v>
      </c>
      <c r="J531" s="906"/>
      <c r="K531" s="703"/>
      <c r="L531" s="906"/>
      <c r="M531" s="906"/>
      <c r="N531" s="700" t="s">
        <v>16117</v>
      </c>
      <c r="O531" s="906"/>
      <c r="P531" s="906" t="s">
        <v>6</v>
      </c>
      <c r="Q531" s="705"/>
      <c r="R531" s="903"/>
      <c r="S531" s="793"/>
    </row>
    <row r="532" spans="1:19" ht="12" customHeight="1">
      <c r="A532" s="1038" t="str">
        <f t="shared" si="215"/>
        <v>117</v>
      </c>
      <c r="B532" s="688" t="s">
        <v>1859</v>
      </c>
      <c r="C532" s="688"/>
      <c r="D532" s="1007"/>
      <c r="E532" s="1001" t="str">
        <f>IF(D532="","",D532/SUM($D$532:$D$538))</f>
        <v/>
      </c>
      <c r="F532" s="1004" t="e">
        <f>IF(J532="","$",IF(C532="当選","-",D532*100/MAX($D$532:$D$538)))</f>
        <v>#DIV/0!</v>
      </c>
      <c r="G532" s="687" t="s">
        <v>5284</v>
      </c>
      <c r="H532" s="687">
        <v>58</v>
      </c>
      <c r="I532" s="696" t="s">
        <v>5</v>
      </c>
      <c r="J532" s="689" t="s">
        <v>15273</v>
      </c>
      <c r="K532" s="747"/>
      <c r="L532" s="687"/>
      <c r="M532" s="687"/>
      <c r="N532" s="692" t="s">
        <v>16127</v>
      </c>
      <c r="O532" s="687" t="s">
        <v>44</v>
      </c>
      <c r="P532" s="687" t="s">
        <v>6</v>
      </c>
      <c r="Q532" s="748"/>
      <c r="R532" s="749">
        <v>2</v>
      </c>
      <c r="S532" s="805" t="s">
        <v>736</v>
      </c>
    </row>
    <row r="533" spans="1:19" ht="12" customHeight="1">
      <c r="A533" s="1040" t="str">
        <f t="shared" si="215"/>
        <v>117</v>
      </c>
      <c r="B533" s="4" t="s">
        <v>1860</v>
      </c>
      <c r="C533" s="4"/>
      <c r="D533" s="1008"/>
      <c r="E533" s="1002" t="str">
        <f t="shared" ref="E533:E538" si="224">IF(D533="","",D533/SUM($D$532:$D$538))</f>
        <v/>
      </c>
      <c r="F533" s="1005" t="e">
        <f t="shared" ref="F533:F538" si="225">IF(J533="","$",IF(C533="当選","-",D533*100/MAX($D$532:$D$538)))</f>
        <v>#DIV/0!</v>
      </c>
      <c r="G533" s="1" t="s">
        <v>1864</v>
      </c>
      <c r="H533" s="1">
        <v>56</v>
      </c>
      <c r="I533" s="2" t="s">
        <v>19</v>
      </c>
      <c r="J533" s="1" t="s">
        <v>15273</v>
      </c>
      <c r="K533" s="3"/>
      <c r="L533" s="1"/>
      <c r="M533" s="1"/>
      <c r="N533" s="4" t="s">
        <v>16120</v>
      </c>
      <c r="O533" s="1" t="s">
        <v>48</v>
      </c>
      <c r="P533" s="1" t="s">
        <v>14</v>
      </c>
      <c r="Q533" s="16">
        <v>3</v>
      </c>
      <c r="R533" s="17">
        <v>3</v>
      </c>
      <c r="S533" s="774" t="s">
        <v>5457</v>
      </c>
    </row>
    <row r="534" spans="1:19" ht="12" customHeight="1">
      <c r="A534" s="1040" t="str">
        <f t="shared" si="215"/>
        <v>117</v>
      </c>
      <c r="B534" s="4" t="s">
        <v>1861</v>
      </c>
      <c r="C534" s="4"/>
      <c r="D534" s="1008"/>
      <c r="E534" s="1002" t="str">
        <f t="shared" si="224"/>
        <v/>
      </c>
      <c r="F534" s="1005" t="e">
        <f t="shared" si="225"/>
        <v>#DIV/0!</v>
      </c>
      <c r="G534" s="1" t="s">
        <v>1869</v>
      </c>
      <c r="H534" s="1">
        <v>41</v>
      </c>
      <c r="I534" s="2" t="s">
        <v>5</v>
      </c>
      <c r="J534" s="1" t="s">
        <v>15273</v>
      </c>
      <c r="K534" s="3" t="s">
        <v>1870</v>
      </c>
      <c r="L534" s="1"/>
      <c r="M534" s="1"/>
      <c r="N534" s="4" t="s">
        <v>16125</v>
      </c>
      <c r="O534" s="1"/>
      <c r="P534" s="1" t="s">
        <v>25</v>
      </c>
      <c r="Q534" s="16">
        <v>1</v>
      </c>
      <c r="R534" s="17">
        <v>1</v>
      </c>
      <c r="S534" s="774" t="s">
        <v>5561</v>
      </c>
    </row>
    <row r="535" spans="1:19" ht="12" customHeight="1">
      <c r="A535" s="1040" t="str">
        <f t="shared" si="215"/>
        <v>117</v>
      </c>
      <c r="B535" s="4" t="s">
        <v>1862</v>
      </c>
      <c r="C535" s="4"/>
      <c r="D535" s="1008"/>
      <c r="E535" s="1002" t="str">
        <f t="shared" si="224"/>
        <v/>
      </c>
      <c r="F535" s="1005" t="e">
        <f t="shared" si="225"/>
        <v>#DIV/0!</v>
      </c>
      <c r="G535" s="1" t="s">
        <v>5941</v>
      </c>
      <c r="H535" s="1">
        <v>50</v>
      </c>
      <c r="I535" s="2" t="s">
        <v>5</v>
      </c>
      <c r="J535" s="1" t="s">
        <v>15273</v>
      </c>
      <c r="K535" s="3"/>
      <c r="L535" s="1"/>
      <c r="M535" s="1"/>
      <c r="N535" s="4" t="s">
        <v>16116</v>
      </c>
      <c r="O535" s="1" t="s">
        <v>18494</v>
      </c>
      <c r="P535" s="1" t="s">
        <v>6</v>
      </c>
      <c r="Q535" s="16"/>
      <c r="R535" s="17"/>
      <c r="S535" s="774" t="s">
        <v>6154</v>
      </c>
    </row>
    <row r="536" spans="1:19" ht="12" customHeight="1">
      <c r="A536" s="1040" t="str">
        <f t="shared" si="215"/>
        <v>117</v>
      </c>
      <c r="B536" s="4" t="s">
        <v>1863</v>
      </c>
      <c r="C536" s="4"/>
      <c r="D536" s="1008"/>
      <c r="E536" s="1002" t="str">
        <f t="shared" si="224"/>
        <v/>
      </c>
      <c r="F536" s="1005" t="str">
        <f t="shared" si="225"/>
        <v>$</v>
      </c>
      <c r="G536" s="1" t="s">
        <v>1872</v>
      </c>
      <c r="H536" s="1">
        <v>41</v>
      </c>
      <c r="I536" s="2" t="s">
        <v>5</v>
      </c>
      <c r="J536" s="1"/>
      <c r="K536" s="3"/>
      <c r="L536" s="1"/>
      <c r="M536" s="1"/>
      <c r="N536" s="4" t="s">
        <v>16117</v>
      </c>
      <c r="O536" s="1"/>
      <c r="P536" s="1" t="s">
        <v>6</v>
      </c>
      <c r="Q536" s="16"/>
      <c r="R536" s="17"/>
      <c r="S536" s="774"/>
    </row>
    <row r="537" spans="1:19" ht="12" customHeight="1">
      <c r="A537" s="1040" t="str">
        <f t="shared" si="215"/>
        <v>117</v>
      </c>
      <c r="B537" s="4" t="s">
        <v>16003</v>
      </c>
      <c r="C537" s="4"/>
      <c r="D537" s="1008"/>
      <c r="E537" s="1002" t="str">
        <f t="shared" si="224"/>
        <v/>
      </c>
      <c r="F537" s="1005" t="str">
        <f t="shared" si="225"/>
        <v>$</v>
      </c>
      <c r="G537" s="1" t="s">
        <v>16005</v>
      </c>
      <c r="H537" s="1">
        <v>65</v>
      </c>
      <c r="I537" s="2" t="s">
        <v>5</v>
      </c>
      <c r="J537" s="1"/>
      <c r="K537" s="3"/>
      <c r="L537" s="1"/>
      <c r="M537" s="1"/>
      <c r="N537" s="4" t="s">
        <v>16129</v>
      </c>
      <c r="O537" s="1"/>
      <c r="P537" s="1" t="s">
        <v>6</v>
      </c>
      <c r="Q537" s="16"/>
      <c r="R537" s="17"/>
      <c r="S537" s="774"/>
    </row>
    <row r="538" spans="1:19" ht="12" customHeight="1" thickBot="1">
      <c r="A538" s="916" t="str">
        <f t="shared" si="215"/>
        <v>117</v>
      </c>
      <c r="B538" s="700" t="s">
        <v>16004</v>
      </c>
      <c r="C538" s="700"/>
      <c r="D538" s="1009"/>
      <c r="E538" s="1003" t="str">
        <f t="shared" si="224"/>
        <v/>
      </c>
      <c r="F538" s="1041" t="str">
        <f t="shared" si="225"/>
        <v>$</v>
      </c>
      <c r="G538" s="906" t="s">
        <v>16006</v>
      </c>
      <c r="H538" s="906">
        <v>50</v>
      </c>
      <c r="I538" s="702" t="s">
        <v>5</v>
      </c>
      <c r="J538" s="906"/>
      <c r="K538" s="703"/>
      <c r="L538" s="906"/>
      <c r="M538" s="906"/>
      <c r="N538" s="700" t="s">
        <v>16129</v>
      </c>
      <c r="O538" s="906"/>
      <c r="P538" s="906" t="s">
        <v>6</v>
      </c>
      <c r="Q538" s="705"/>
      <c r="R538" s="903"/>
      <c r="S538" s="793"/>
    </row>
    <row r="539" spans="1:19" ht="12" customHeight="1">
      <c r="A539" s="1038" t="str">
        <f t="shared" si="215"/>
        <v>118</v>
      </c>
      <c r="B539" s="688" t="s">
        <v>1873</v>
      </c>
      <c r="C539" s="688"/>
      <c r="D539" s="1007"/>
      <c r="E539" s="1001" t="str">
        <f>IF(D539="","",D539/SUM($D$539:$D$543))</f>
        <v/>
      </c>
      <c r="F539" s="1004" t="e">
        <f>IF(J539="","$",IF(C539="当選","-",D539*100/MAX($D$539:$D$543)))</f>
        <v>#DIV/0!</v>
      </c>
      <c r="G539" s="687" t="s">
        <v>2356</v>
      </c>
      <c r="H539" s="687">
        <v>37</v>
      </c>
      <c r="I539" s="696" t="s">
        <v>19</v>
      </c>
      <c r="J539" s="689" t="s">
        <v>15273</v>
      </c>
      <c r="K539" s="747" t="s">
        <v>4406</v>
      </c>
      <c r="L539" s="687"/>
      <c r="M539" s="687"/>
      <c r="N539" s="692" t="s">
        <v>16127</v>
      </c>
      <c r="O539" s="687" t="s">
        <v>44</v>
      </c>
      <c r="P539" s="687" t="s">
        <v>25</v>
      </c>
      <c r="Q539" s="748">
        <v>1</v>
      </c>
      <c r="R539" s="749">
        <v>1</v>
      </c>
      <c r="S539" s="805"/>
    </row>
    <row r="540" spans="1:19" ht="12" customHeight="1">
      <c r="A540" s="1040" t="str">
        <f t="shared" si="215"/>
        <v>118</v>
      </c>
      <c r="B540" s="4" t="s">
        <v>1874</v>
      </c>
      <c r="C540" s="4"/>
      <c r="D540" s="1008"/>
      <c r="E540" s="1002" t="str">
        <f t="shared" ref="E540:E543" si="226">IF(D540="","",D540/SUM($D$539:$D$543))</f>
        <v/>
      </c>
      <c r="F540" s="1005" t="e">
        <f t="shared" ref="F540:F543" si="227">IF(J540="","$",IF(C540="当選","-",D540*100/MAX($D$539:$D$543)))</f>
        <v>#DIV/0!</v>
      </c>
      <c r="G540" s="1" t="s">
        <v>1878</v>
      </c>
      <c r="H540" s="1">
        <v>41</v>
      </c>
      <c r="I540" s="2" t="s">
        <v>5</v>
      </c>
      <c r="J540" s="1" t="s">
        <v>15273</v>
      </c>
      <c r="K540" s="3"/>
      <c r="L540" s="1"/>
      <c r="M540" s="1"/>
      <c r="N540" s="8" t="s">
        <v>16120</v>
      </c>
      <c r="O540" s="1" t="s">
        <v>65</v>
      </c>
      <c r="P540" s="1" t="s">
        <v>6</v>
      </c>
      <c r="Q540" s="16"/>
      <c r="R540" s="17">
        <v>2</v>
      </c>
      <c r="S540" s="774" t="s">
        <v>5457</v>
      </c>
    </row>
    <row r="541" spans="1:19" ht="12" customHeight="1">
      <c r="A541" s="1040" t="str">
        <f t="shared" si="215"/>
        <v>118</v>
      </c>
      <c r="B541" s="4" t="s">
        <v>1875</v>
      </c>
      <c r="C541" s="4"/>
      <c r="D541" s="1008"/>
      <c r="E541" s="1002" t="str">
        <f t="shared" si="226"/>
        <v/>
      </c>
      <c r="F541" s="1005" t="e">
        <f t="shared" si="227"/>
        <v>#DIV/0!</v>
      </c>
      <c r="G541" s="1" t="s">
        <v>1882</v>
      </c>
      <c r="H541" s="1">
        <v>61</v>
      </c>
      <c r="I541" s="2" t="s">
        <v>5</v>
      </c>
      <c r="J541" s="1" t="s">
        <v>15273</v>
      </c>
      <c r="K541" s="3" t="s">
        <v>1883</v>
      </c>
      <c r="L541" s="1"/>
      <c r="M541" s="1"/>
      <c r="N541" s="4" t="s">
        <v>16125</v>
      </c>
      <c r="O541" s="1"/>
      <c r="P541" s="1" t="s">
        <v>25</v>
      </c>
      <c r="Q541" s="16">
        <v>5</v>
      </c>
      <c r="R541" s="17">
        <v>5</v>
      </c>
      <c r="S541" s="774" t="s">
        <v>5561</v>
      </c>
    </row>
    <row r="542" spans="1:19" ht="12" customHeight="1">
      <c r="A542" s="1040" t="str">
        <f t="shared" si="215"/>
        <v>118</v>
      </c>
      <c r="B542" s="4" t="s">
        <v>1876</v>
      </c>
      <c r="C542" s="4"/>
      <c r="D542" s="1008"/>
      <c r="E542" s="1002" t="str">
        <f t="shared" si="226"/>
        <v/>
      </c>
      <c r="F542" s="1005" t="e">
        <f t="shared" si="227"/>
        <v>#DIV/0!</v>
      </c>
      <c r="G542" s="1" t="s">
        <v>1889</v>
      </c>
      <c r="H542" s="1">
        <v>41</v>
      </c>
      <c r="I542" s="2" t="s">
        <v>5</v>
      </c>
      <c r="J542" s="1" t="s">
        <v>15273</v>
      </c>
      <c r="K542" s="3" t="s">
        <v>1890</v>
      </c>
      <c r="L542" s="1"/>
      <c r="M542" s="1"/>
      <c r="N542" s="4" t="s">
        <v>18495</v>
      </c>
      <c r="O542" s="1"/>
      <c r="P542" s="1" t="s">
        <v>25</v>
      </c>
      <c r="Q542" s="16">
        <v>1</v>
      </c>
      <c r="R542" s="17">
        <v>1</v>
      </c>
      <c r="S542" s="774" t="s">
        <v>6031</v>
      </c>
    </row>
    <row r="543" spans="1:19" ht="12" customHeight="1" thickBot="1">
      <c r="A543" s="916" t="str">
        <f t="shared" si="215"/>
        <v>118</v>
      </c>
      <c r="B543" s="700" t="s">
        <v>1877</v>
      </c>
      <c r="C543" s="700"/>
      <c r="D543" s="1009"/>
      <c r="E543" s="1003" t="str">
        <f t="shared" si="226"/>
        <v/>
      </c>
      <c r="F543" s="1041" t="str">
        <f t="shared" si="227"/>
        <v>$</v>
      </c>
      <c r="G543" s="906" t="s">
        <v>1886</v>
      </c>
      <c r="H543" s="906">
        <v>64</v>
      </c>
      <c r="I543" s="702" t="s">
        <v>5</v>
      </c>
      <c r="J543" s="906"/>
      <c r="K543" s="703"/>
      <c r="L543" s="906"/>
      <c r="M543" s="906"/>
      <c r="N543" s="700" t="s">
        <v>16117</v>
      </c>
      <c r="O543" s="906"/>
      <c r="P543" s="906" t="s">
        <v>6</v>
      </c>
      <c r="Q543" s="705"/>
      <c r="R543" s="903"/>
      <c r="S543" s="793"/>
    </row>
    <row r="544" spans="1:19" ht="12" customHeight="1">
      <c r="A544" s="1038" t="str">
        <f t="shared" si="215"/>
        <v>119</v>
      </c>
      <c r="B544" s="688" t="s">
        <v>1894</v>
      </c>
      <c r="C544" s="688"/>
      <c r="D544" s="1007"/>
      <c r="E544" s="1001" t="str">
        <f>IF(D544="","",D544/SUM($D$544:$D$549))</f>
        <v/>
      </c>
      <c r="F544" s="1004" t="e">
        <f>IF(J544="","$",IF(C544="当選","-",D544*100/MAX($D$544:$D$549)))</f>
        <v>#DIV/0!</v>
      </c>
      <c r="G544" s="687" t="s">
        <v>5872</v>
      </c>
      <c r="H544" s="687">
        <v>40</v>
      </c>
      <c r="I544" s="696" t="s">
        <v>5</v>
      </c>
      <c r="J544" s="689" t="s">
        <v>15273</v>
      </c>
      <c r="K544" s="747"/>
      <c r="L544" s="687"/>
      <c r="M544" s="687"/>
      <c r="N544" s="692" t="s">
        <v>16126</v>
      </c>
      <c r="O544" s="687" t="s">
        <v>44</v>
      </c>
      <c r="P544" s="687" t="s">
        <v>6</v>
      </c>
      <c r="Q544" s="748"/>
      <c r="R544" s="749"/>
      <c r="S544" s="805" t="s">
        <v>736</v>
      </c>
    </row>
    <row r="545" spans="1:19" ht="12" customHeight="1">
      <c r="A545" s="1040" t="str">
        <f t="shared" si="215"/>
        <v>119</v>
      </c>
      <c r="B545" s="4" t="s">
        <v>1895</v>
      </c>
      <c r="C545" s="4"/>
      <c r="D545" s="1008"/>
      <c r="E545" s="1002" t="str">
        <f t="shared" ref="E545:E549" si="228">IF(D545="","",D545/SUM($D$544:$D$549))</f>
        <v/>
      </c>
      <c r="F545" s="1005" t="e">
        <f t="shared" ref="F545:F549" si="229">IF(J545="","$",IF(C545="当選","-",D545*100/MAX($D$544:$D$549)))</f>
        <v>#DIV/0!</v>
      </c>
      <c r="G545" s="1" t="s">
        <v>1902</v>
      </c>
      <c r="H545" s="1">
        <v>66</v>
      </c>
      <c r="I545" s="2" t="s">
        <v>5</v>
      </c>
      <c r="J545" s="1" t="s">
        <v>15273</v>
      </c>
      <c r="K545" s="3"/>
      <c r="L545" s="1"/>
      <c r="M545" s="1"/>
      <c r="N545" s="4" t="s">
        <v>16120</v>
      </c>
      <c r="O545" s="1" t="s">
        <v>48</v>
      </c>
      <c r="P545" s="1" t="s">
        <v>6</v>
      </c>
      <c r="Q545" s="16"/>
      <c r="R545" s="17"/>
      <c r="S545" s="774" t="s">
        <v>5457</v>
      </c>
    </row>
    <row r="546" spans="1:19" ht="12" customHeight="1">
      <c r="A546" s="1040" t="str">
        <f t="shared" si="215"/>
        <v>119</v>
      </c>
      <c r="B546" s="4" t="s">
        <v>1896</v>
      </c>
      <c r="C546" s="4"/>
      <c r="D546" s="1008"/>
      <c r="E546" s="1002" t="str">
        <f t="shared" si="228"/>
        <v/>
      </c>
      <c r="F546" s="1005" t="e">
        <f t="shared" si="229"/>
        <v>#DIV/0!</v>
      </c>
      <c r="G546" s="1" t="s">
        <v>1899</v>
      </c>
      <c r="H546" s="1">
        <v>43</v>
      </c>
      <c r="I546" s="2" t="s">
        <v>5</v>
      </c>
      <c r="J546" s="1" t="s">
        <v>15273</v>
      </c>
      <c r="K546" s="3" t="s">
        <v>1900</v>
      </c>
      <c r="L546" s="1"/>
      <c r="M546" s="1"/>
      <c r="N546" s="4" t="s">
        <v>16125</v>
      </c>
      <c r="O546" s="1"/>
      <c r="P546" s="1" t="s">
        <v>25</v>
      </c>
      <c r="Q546" s="16">
        <v>1</v>
      </c>
      <c r="R546" s="17">
        <v>1</v>
      </c>
      <c r="S546" s="774" t="s">
        <v>5561</v>
      </c>
    </row>
    <row r="547" spans="1:19" ht="12" customHeight="1">
      <c r="A547" s="1040" t="str">
        <f t="shared" si="215"/>
        <v>119</v>
      </c>
      <c r="B547" s="4" t="s">
        <v>1897</v>
      </c>
      <c r="C547" s="4"/>
      <c r="D547" s="1008"/>
      <c r="E547" s="1002" t="str">
        <f t="shared" si="228"/>
        <v/>
      </c>
      <c r="F547" s="1005" t="e">
        <f t="shared" si="229"/>
        <v>#DIV/0!</v>
      </c>
      <c r="G547" s="1" t="s">
        <v>1909</v>
      </c>
      <c r="H547" s="1">
        <v>63</v>
      </c>
      <c r="I547" s="2" t="s">
        <v>5</v>
      </c>
      <c r="J547" s="1" t="s">
        <v>15273</v>
      </c>
      <c r="K547" s="3" t="s">
        <v>1910</v>
      </c>
      <c r="L547" s="1"/>
      <c r="M547" s="1"/>
      <c r="N547" s="4" t="s">
        <v>16116</v>
      </c>
      <c r="O547" s="1" t="s">
        <v>4993</v>
      </c>
      <c r="P547" s="1" t="s">
        <v>25</v>
      </c>
      <c r="Q547" s="16">
        <v>3</v>
      </c>
      <c r="R547" s="17">
        <v>3</v>
      </c>
      <c r="S547" s="774"/>
    </row>
    <row r="548" spans="1:19" ht="12" customHeight="1">
      <c r="A548" s="1040" t="str">
        <f t="shared" si="215"/>
        <v>119</v>
      </c>
      <c r="B548" s="4" t="s">
        <v>1898</v>
      </c>
      <c r="C548" s="4"/>
      <c r="D548" s="1008"/>
      <c r="E548" s="1002" t="str">
        <f t="shared" si="228"/>
        <v/>
      </c>
      <c r="F548" s="1005" t="e">
        <f t="shared" si="229"/>
        <v>#DIV/0!</v>
      </c>
      <c r="G548" s="1" t="s">
        <v>1906</v>
      </c>
      <c r="H548" s="1">
        <v>47</v>
      </c>
      <c r="I548" s="2" t="s">
        <v>19</v>
      </c>
      <c r="J548" s="1" t="s">
        <v>15273</v>
      </c>
      <c r="K548" s="3"/>
      <c r="L548" s="1"/>
      <c r="M548" s="1"/>
      <c r="N548" s="4" t="s">
        <v>18495</v>
      </c>
      <c r="O548" s="1"/>
      <c r="P548" s="1" t="s">
        <v>6</v>
      </c>
      <c r="Q548" s="16"/>
      <c r="R548" s="17"/>
      <c r="S548" s="774"/>
    </row>
    <row r="549" spans="1:19" ht="12" customHeight="1" thickBot="1">
      <c r="A549" s="916" t="str">
        <f t="shared" si="215"/>
        <v>119</v>
      </c>
      <c r="B549" s="700" t="s">
        <v>4566</v>
      </c>
      <c r="C549" s="700"/>
      <c r="D549" s="1009"/>
      <c r="E549" s="1003" t="str">
        <f t="shared" si="228"/>
        <v/>
      </c>
      <c r="F549" s="1041" t="str">
        <f t="shared" si="229"/>
        <v>$</v>
      </c>
      <c r="G549" s="906" t="s">
        <v>1905</v>
      </c>
      <c r="H549" s="906">
        <v>63</v>
      </c>
      <c r="I549" s="702" t="s">
        <v>19</v>
      </c>
      <c r="J549" s="906"/>
      <c r="K549" s="703"/>
      <c r="L549" s="906"/>
      <c r="M549" s="906"/>
      <c r="N549" s="700" t="s">
        <v>16117</v>
      </c>
      <c r="O549" s="906"/>
      <c r="P549" s="906" t="s">
        <v>6</v>
      </c>
      <c r="Q549" s="705"/>
      <c r="R549" s="903"/>
      <c r="S549" s="793"/>
    </row>
    <row r="550" spans="1:19" ht="12" customHeight="1">
      <c r="A550" s="1038" t="str">
        <f t="shared" si="215"/>
        <v>120</v>
      </c>
      <c r="B550" s="688" t="s">
        <v>1913</v>
      </c>
      <c r="C550" s="688"/>
      <c r="D550" s="1007"/>
      <c r="E550" s="1001" t="str">
        <f>IF(D550="","",D550/SUM($D$550:$D$553))</f>
        <v/>
      </c>
      <c r="F550" s="1004" t="e">
        <f>IF(J550="","$",IF(C550="当選","-",D550*100/MAX($D$550:$D$553)))</f>
        <v>#DIV/0!</v>
      </c>
      <c r="G550" s="687" t="s">
        <v>1916</v>
      </c>
      <c r="H550" s="687">
        <v>41</v>
      </c>
      <c r="I550" s="696" t="s">
        <v>19</v>
      </c>
      <c r="J550" s="689" t="s">
        <v>15273</v>
      </c>
      <c r="K550" s="747" t="s">
        <v>1917</v>
      </c>
      <c r="L550" s="687"/>
      <c r="M550" s="687"/>
      <c r="N550" s="692" t="s">
        <v>16127</v>
      </c>
      <c r="O550" s="687" t="s">
        <v>44</v>
      </c>
      <c r="P550" s="687" t="s">
        <v>25</v>
      </c>
      <c r="Q550" s="748">
        <v>1</v>
      </c>
      <c r="R550" s="749">
        <v>1</v>
      </c>
      <c r="S550" s="805" t="s">
        <v>736</v>
      </c>
    </row>
    <row r="551" spans="1:19" ht="12" customHeight="1">
      <c r="A551" s="1040" t="str">
        <f t="shared" si="215"/>
        <v>120</v>
      </c>
      <c r="B551" s="4" t="s">
        <v>1914</v>
      </c>
      <c r="C551" s="4"/>
      <c r="D551" s="1008"/>
      <c r="E551" s="1002" t="str">
        <f t="shared" ref="E551:E553" si="230">IF(D551="","",D551/SUM($D$550:$D$553))</f>
        <v/>
      </c>
      <c r="F551" s="1005" t="e">
        <f t="shared" ref="F551:F553" si="231">IF(J551="","$",IF(C551="当選","-",D551*100/MAX($D$550:$D$553)))</f>
        <v>#DIV/0!</v>
      </c>
      <c r="G551" s="1" t="s">
        <v>1920</v>
      </c>
      <c r="H551" s="1">
        <v>67</v>
      </c>
      <c r="I551" s="2" t="s">
        <v>5</v>
      </c>
      <c r="J551" s="1" t="s">
        <v>15273</v>
      </c>
      <c r="K551" s="3" t="s">
        <v>1921</v>
      </c>
      <c r="L551" s="1"/>
      <c r="M551" s="1"/>
      <c r="N551" s="4" t="s">
        <v>16120</v>
      </c>
      <c r="O551" s="1" t="s">
        <v>934</v>
      </c>
      <c r="P551" s="1" t="s">
        <v>25</v>
      </c>
      <c r="Q551" s="16">
        <v>5</v>
      </c>
      <c r="R551" s="17">
        <v>5</v>
      </c>
      <c r="S551" s="774"/>
    </row>
    <row r="552" spans="1:19" ht="12" customHeight="1">
      <c r="A552" s="1040" t="str">
        <f t="shared" si="215"/>
        <v>120</v>
      </c>
      <c r="B552" s="4" t="s">
        <v>1915</v>
      </c>
      <c r="C552" s="4"/>
      <c r="D552" s="1008"/>
      <c r="E552" s="1002" t="str">
        <f t="shared" si="230"/>
        <v/>
      </c>
      <c r="F552" s="1005" t="e">
        <f t="shared" si="231"/>
        <v>#DIV/0!</v>
      </c>
      <c r="G552" s="1" t="s">
        <v>5010</v>
      </c>
      <c r="H552" s="1">
        <v>39</v>
      </c>
      <c r="I552" s="2" t="s">
        <v>5</v>
      </c>
      <c r="J552" s="1" t="s">
        <v>15273</v>
      </c>
      <c r="K552" s="3"/>
      <c r="L552" s="1"/>
      <c r="M552" s="1"/>
      <c r="N552" s="4" t="s">
        <v>16116</v>
      </c>
      <c r="O552" s="1" t="s">
        <v>4422</v>
      </c>
      <c r="P552" s="1" t="s">
        <v>6</v>
      </c>
      <c r="Q552" s="16"/>
      <c r="R552" s="17"/>
      <c r="S552" s="774" t="s">
        <v>6154</v>
      </c>
    </row>
    <row r="553" spans="1:19" ht="12" customHeight="1" thickBot="1">
      <c r="A553" s="916" t="str">
        <f t="shared" si="215"/>
        <v>120</v>
      </c>
      <c r="B553" s="700" t="s">
        <v>5009</v>
      </c>
      <c r="C553" s="700"/>
      <c r="D553" s="1009"/>
      <c r="E553" s="1003" t="str">
        <f t="shared" si="230"/>
        <v/>
      </c>
      <c r="F553" s="1041" t="str">
        <f t="shared" si="231"/>
        <v>$</v>
      </c>
      <c r="G553" s="906" t="s">
        <v>1926</v>
      </c>
      <c r="H553" s="906">
        <v>53</v>
      </c>
      <c r="I553" s="702" t="s">
        <v>5</v>
      </c>
      <c r="J553" s="906"/>
      <c r="K553" s="703"/>
      <c r="L553" s="906"/>
      <c r="M553" s="906"/>
      <c r="N553" s="700" t="s">
        <v>16117</v>
      </c>
      <c r="O553" s="906"/>
      <c r="P553" s="906" t="s">
        <v>6</v>
      </c>
      <c r="Q553" s="705"/>
      <c r="R553" s="903"/>
      <c r="S553" s="793"/>
    </row>
    <row r="554" spans="1:19" ht="12" customHeight="1">
      <c r="A554" s="1038" t="str">
        <f t="shared" si="215"/>
        <v>121</v>
      </c>
      <c r="B554" s="688" t="s">
        <v>1930</v>
      </c>
      <c r="C554" s="688"/>
      <c r="D554" s="1007"/>
      <c r="E554" s="1001" t="str">
        <f>IF(D554="","",D554/SUM($D$554:$D$559))</f>
        <v/>
      </c>
      <c r="F554" s="1004" t="e">
        <f>IF(J554="","$",IF(C554="当選","-",D554*100/MAX($D$554:$D$559)))</f>
        <v>#DIV/0!</v>
      </c>
      <c r="G554" s="687" t="s">
        <v>1934</v>
      </c>
      <c r="H554" s="687">
        <v>66</v>
      </c>
      <c r="I554" s="696" t="s">
        <v>5</v>
      </c>
      <c r="J554" s="689" t="s">
        <v>15273</v>
      </c>
      <c r="K554" s="747" t="s">
        <v>1935</v>
      </c>
      <c r="L554" s="687"/>
      <c r="M554" s="687"/>
      <c r="N554" s="692" t="s">
        <v>16127</v>
      </c>
      <c r="O554" s="687" t="s">
        <v>24</v>
      </c>
      <c r="P554" s="687" t="s">
        <v>25</v>
      </c>
      <c r="Q554" s="748">
        <v>10</v>
      </c>
      <c r="R554" s="749">
        <v>10</v>
      </c>
      <c r="S554" s="805" t="s">
        <v>736</v>
      </c>
    </row>
    <row r="555" spans="1:19" ht="12" customHeight="1">
      <c r="A555" s="1040" t="str">
        <f t="shared" si="215"/>
        <v>121</v>
      </c>
      <c r="B555" s="4" t="s">
        <v>1931</v>
      </c>
      <c r="C555" s="4"/>
      <c r="D555" s="1008"/>
      <c r="E555" s="1002" t="str">
        <f t="shared" ref="E555:E559" si="232">IF(D555="","",D555/SUM($D$554:$D$559))</f>
        <v/>
      </c>
      <c r="F555" s="1005" t="e">
        <f t="shared" ref="F555:F559" si="233">IF(J555="","$",IF(C555="当選","-",D555*100/MAX($D$554:$D$559)))</f>
        <v>#DIV/0!</v>
      </c>
      <c r="G555" s="1" t="s">
        <v>1939</v>
      </c>
      <c r="H555" s="1">
        <v>70</v>
      </c>
      <c r="I555" s="2" t="s">
        <v>5</v>
      </c>
      <c r="J555" s="1" t="s">
        <v>15273</v>
      </c>
      <c r="K555" s="3"/>
      <c r="L555" s="1"/>
      <c r="M555" s="1"/>
      <c r="N555" s="8" t="s">
        <v>16120</v>
      </c>
      <c r="O555" s="1" t="s">
        <v>30</v>
      </c>
      <c r="P555" s="1" t="s">
        <v>14</v>
      </c>
      <c r="Q555" s="16">
        <v>1</v>
      </c>
      <c r="R555" s="17">
        <v>1</v>
      </c>
      <c r="S555" s="774" t="s">
        <v>5457</v>
      </c>
    </row>
    <row r="556" spans="1:19" ht="12" customHeight="1">
      <c r="A556" s="1040" t="str">
        <f t="shared" si="215"/>
        <v>121</v>
      </c>
      <c r="B556" s="4" t="s">
        <v>1932</v>
      </c>
      <c r="C556" s="4"/>
      <c r="D556" s="1008"/>
      <c r="E556" s="1002" t="str">
        <f t="shared" si="232"/>
        <v/>
      </c>
      <c r="F556" s="1005" t="e">
        <f t="shared" si="233"/>
        <v>#DIV/0!</v>
      </c>
      <c r="G556" s="1" t="s">
        <v>5746</v>
      </c>
      <c r="H556" s="1">
        <v>43</v>
      </c>
      <c r="I556" s="2" t="s">
        <v>5</v>
      </c>
      <c r="J556" s="1" t="s">
        <v>15273</v>
      </c>
      <c r="K556" s="3"/>
      <c r="L556" s="1"/>
      <c r="M556" s="1"/>
      <c r="N556" s="4" t="s">
        <v>16125</v>
      </c>
      <c r="O556" s="1"/>
      <c r="P556" s="1" t="s">
        <v>6</v>
      </c>
      <c r="Q556" s="16"/>
      <c r="R556" s="17"/>
      <c r="S556" s="774" t="s">
        <v>5561</v>
      </c>
    </row>
    <row r="557" spans="1:19" ht="12" customHeight="1">
      <c r="A557" s="1040" t="str">
        <f t="shared" si="215"/>
        <v>121</v>
      </c>
      <c r="B557" s="4" t="s">
        <v>1933</v>
      </c>
      <c r="C557" s="4"/>
      <c r="D557" s="1008"/>
      <c r="E557" s="1002" t="str">
        <f t="shared" si="232"/>
        <v/>
      </c>
      <c r="F557" s="1005" t="e">
        <f t="shared" si="233"/>
        <v>#DIV/0!</v>
      </c>
      <c r="G557" s="1" t="s">
        <v>5391</v>
      </c>
      <c r="H557" s="1">
        <v>45</v>
      </c>
      <c r="I557" s="2" t="s">
        <v>5</v>
      </c>
      <c r="J557" s="1" t="s">
        <v>15273</v>
      </c>
      <c r="K557" s="3"/>
      <c r="L557" s="1"/>
      <c r="M557" s="1"/>
      <c r="N557" s="4" t="s">
        <v>16116</v>
      </c>
      <c r="O557" s="1" t="s">
        <v>4993</v>
      </c>
      <c r="P557" s="1" t="s">
        <v>6</v>
      </c>
      <c r="Q557" s="16"/>
      <c r="R557" s="17"/>
      <c r="S557" s="774"/>
    </row>
    <row r="558" spans="1:19" ht="12" customHeight="1">
      <c r="A558" s="1040" t="str">
        <f t="shared" si="215"/>
        <v>121</v>
      </c>
      <c r="B558" s="4" t="s">
        <v>5390</v>
      </c>
      <c r="C558" s="4"/>
      <c r="D558" s="1008"/>
      <c r="E558" s="1002" t="str">
        <f t="shared" si="232"/>
        <v/>
      </c>
      <c r="F558" s="1005" t="str">
        <f t="shared" si="233"/>
        <v>$</v>
      </c>
      <c r="G558" s="1" t="s">
        <v>1944</v>
      </c>
      <c r="H558" s="1">
        <v>51</v>
      </c>
      <c r="I558" s="2" t="s">
        <v>5</v>
      </c>
      <c r="J558" s="1"/>
      <c r="K558" s="3"/>
      <c r="L558" s="1"/>
      <c r="M558" s="1"/>
      <c r="N558" s="4" t="s">
        <v>16117</v>
      </c>
      <c r="O558" s="1"/>
      <c r="P558" s="1" t="s">
        <v>6</v>
      </c>
      <c r="Q558" s="16"/>
      <c r="R558" s="17"/>
      <c r="S558" s="774"/>
    </row>
    <row r="559" spans="1:19" ht="12" customHeight="1" thickBot="1">
      <c r="A559" s="916" t="str">
        <f t="shared" si="215"/>
        <v>121</v>
      </c>
      <c r="B559" s="700" t="s">
        <v>5745</v>
      </c>
      <c r="C559" s="700"/>
      <c r="D559" s="1009"/>
      <c r="E559" s="1003" t="str">
        <f t="shared" si="232"/>
        <v/>
      </c>
      <c r="F559" s="1041" t="str">
        <f t="shared" si="233"/>
        <v>$</v>
      </c>
      <c r="G559" s="906" t="s">
        <v>1948</v>
      </c>
      <c r="H559" s="906">
        <v>31</v>
      </c>
      <c r="I559" s="702" t="s">
        <v>5</v>
      </c>
      <c r="J559" s="906"/>
      <c r="K559" s="703" t="s">
        <v>1949</v>
      </c>
      <c r="L559" s="906"/>
      <c r="M559" s="906"/>
      <c r="N559" s="700" t="s">
        <v>16129</v>
      </c>
      <c r="O559" s="906"/>
      <c r="P559" s="906" t="s">
        <v>25</v>
      </c>
      <c r="Q559" s="705">
        <v>1</v>
      </c>
      <c r="R559" s="903">
        <v>1</v>
      </c>
      <c r="S559" s="793"/>
    </row>
    <row r="560" spans="1:19" ht="12" customHeight="1">
      <c r="A560" s="1038" t="str">
        <f t="shared" si="215"/>
        <v>122</v>
      </c>
      <c r="B560" s="688" t="s">
        <v>1953</v>
      </c>
      <c r="C560" s="688"/>
      <c r="D560" s="1007"/>
      <c r="E560" s="1001" t="str">
        <f>IF(D560="","",D560/SUM($D$560:$D$564))</f>
        <v/>
      </c>
      <c r="F560" s="1004" t="e">
        <f>IF(J560="","$",IF(C560="当選","-",D560*100/MAX($D$560:$D$564)))</f>
        <v>#DIV/0!</v>
      </c>
      <c r="G560" s="687" t="s">
        <v>1956</v>
      </c>
      <c r="H560" s="687">
        <v>56</v>
      </c>
      <c r="I560" s="696" t="s">
        <v>5</v>
      </c>
      <c r="J560" s="689" t="s">
        <v>15273</v>
      </c>
      <c r="K560" s="747" t="s">
        <v>1957</v>
      </c>
      <c r="L560" s="687"/>
      <c r="M560" s="687"/>
      <c r="N560" s="692" t="s">
        <v>16126</v>
      </c>
      <c r="O560" s="687" t="s">
        <v>24</v>
      </c>
      <c r="P560" s="687" t="s">
        <v>25</v>
      </c>
      <c r="Q560" s="748">
        <v>5</v>
      </c>
      <c r="R560" s="749">
        <v>5</v>
      </c>
      <c r="S560" s="805" t="s">
        <v>736</v>
      </c>
    </row>
    <row r="561" spans="1:19" ht="12" customHeight="1">
      <c r="A561" s="1040" t="str">
        <f t="shared" si="215"/>
        <v>122</v>
      </c>
      <c r="B561" s="4" t="s">
        <v>1954</v>
      </c>
      <c r="C561" s="4"/>
      <c r="D561" s="1008"/>
      <c r="E561" s="1002" t="str">
        <f t="shared" ref="E561:E564" si="234">IF(D561="","",D561/SUM($D$560:$D$564))</f>
        <v/>
      </c>
      <c r="F561" s="1005" t="e">
        <f t="shared" ref="F561:F564" si="235">IF(J561="","$",IF(C561="当選","-",D561*100/MAX($D$560:$D$564)))</f>
        <v>#DIV/0!</v>
      </c>
      <c r="G561" s="1" t="s">
        <v>1961</v>
      </c>
      <c r="H561" s="1">
        <v>39</v>
      </c>
      <c r="I561" s="2" t="s">
        <v>5</v>
      </c>
      <c r="J561" s="1" t="s">
        <v>15273</v>
      </c>
      <c r="K561" s="3"/>
      <c r="L561" s="1"/>
      <c r="M561" s="1"/>
      <c r="N561" s="4" t="s">
        <v>16120</v>
      </c>
      <c r="O561" s="1" t="s">
        <v>65</v>
      </c>
      <c r="P561" s="1" t="s">
        <v>14</v>
      </c>
      <c r="Q561" s="16">
        <v>1</v>
      </c>
      <c r="R561" s="17">
        <v>1</v>
      </c>
      <c r="S561" s="774"/>
    </row>
    <row r="562" spans="1:19" ht="12" customHeight="1">
      <c r="A562" s="1040" t="str">
        <f t="shared" si="215"/>
        <v>122</v>
      </c>
      <c r="B562" s="4" t="s">
        <v>1955</v>
      </c>
      <c r="C562" s="4"/>
      <c r="D562" s="1008"/>
      <c r="E562" s="1002" t="str">
        <f t="shared" si="234"/>
        <v/>
      </c>
      <c r="F562" s="1005" t="e">
        <f t="shared" si="235"/>
        <v>#DIV/0!</v>
      </c>
      <c r="G562" s="1" t="s">
        <v>1824</v>
      </c>
      <c r="H562" s="1">
        <v>68</v>
      </c>
      <c r="I562" s="2" t="s">
        <v>5</v>
      </c>
      <c r="J562" s="1" t="s">
        <v>15273</v>
      </c>
      <c r="K562" s="3" t="s">
        <v>1825</v>
      </c>
      <c r="L562" s="1"/>
      <c r="M562" s="1"/>
      <c r="N562" s="4" t="s">
        <v>16125</v>
      </c>
      <c r="O562" s="1"/>
      <c r="P562" s="1" t="s">
        <v>25</v>
      </c>
      <c r="Q562" s="16">
        <v>2</v>
      </c>
      <c r="R562" s="17">
        <v>2</v>
      </c>
      <c r="S562" s="774" t="s">
        <v>5561</v>
      </c>
    </row>
    <row r="563" spans="1:19" ht="12" customHeight="1">
      <c r="A563" s="1040" t="str">
        <f t="shared" si="215"/>
        <v>122</v>
      </c>
      <c r="B563" s="4" t="s">
        <v>4980</v>
      </c>
      <c r="C563" s="4"/>
      <c r="D563" s="1008"/>
      <c r="E563" s="1002" t="str">
        <f t="shared" si="234"/>
        <v/>
      </c>
      <c r="F563" s="1005" t="e">
        <f t="shared" si="235"/>
        <v>#DIV/0!</v>
      </c>
      <c r="G563" s="1" t="s">
        <v>4981</v>
      </c>
      <c r="H563" s="1">
        <v>54</v>
      </c>
      <c r="I563" s="2" t="s">
        <v>5</v>
      </c>
      <c r="J563" s="1" t="s">
        <v>15273</v>
      </c>
      <c r="K563" s="3"/>
      <c r="L563" s="1"/>
      <c r="M563" s="1"/>
      <c r="N563" s="4" t="s">
        <v>16116</v>
      </c>
      <c r="O563" s="1" t="s">
        <v>4982</v>
      </c>
      <c r="P563" s="1" t="s">
        <v>14</v>
      </c>
      <c r="Q563" s="16">
        <v>1</v>
      </c>
      <c r="R563" s="17">
        <v>1</v>
      </c>
      <c r="S563" s="774" t="s">
        <v>18568</v>
      </c>
    </row>
    <row r="564" spans="1:19" ht="12" customHeight="1" thickBot="1">
      <c r="A564" s="916" t="str">
        <f t="shared" si="215"/>
        <v>122</v>
      </c>
      <c r="B564" s="700" t="s">
        <v>5078</v>
      </c>
      <c r="C564" s="700"/>
      <c r="D564" s="1009"/>
      <c r="E564" s="1003" t="str">
        <f t="shared" si="234"/>
        <v/>
      </c>
      <c r="F564" s="1041" t="str">
        <f t="shared" si="235"/>
        <v>$</v>
      </c>
      <c r="G564" s="906" t="s">
        <v>1963</v>
      </c>
      <c r="H564" s="906">
        <v>48</v>
      </c>
      <c r="I564" s="702" t="s">
        <v>19</v>
      </c>
      <c r="J564" s="906"/>
      <c r="K564" s="703"/>
      <c r="L564" s="906"/>
      <c r="M564" s="906"/>
      <c r="N564" s="700" t="s">
        <v>16117</v>
      </c>
      <c r="O564" s="906"/>
      <c r="P564" s="906" t="s">
        <v>6</v>
      </c>
      <c r="Q564" s="705"/>
      <c r="R564" s="903"/>
      <c r="S564" s="793"/>
    </row>
    <row r="565" spans="1:19" ht="12" customHeight="1">
      <c r="A565" s="1038" t="str">
        <f t="shared" si="215"/>
        <v>123</v>
      </c>
      <c r="B565" s="688" t="s">
        <v>1965</v>
      </c>
      <c r="C565" s="688"/>
      <c r="D565" s="1007"/>
      <c r="E565" s="1001" t="str">
        <f>IF(D565="","",D565/SUM($D$565:$D$568))</f>
        <v/>
      </c>
      <c r="F565" s="1004" t="e">
        <f>IF(J565="","$",IF(C565="当選","-",D565*100/MAX($D$565:$D$568)))</f>
        <v>#DIV/0!</v>
      </c>
      <c r="G565" s="687" t="s">
        <v>1968</v>
      </c>
      <c r="H565" s="687">
        <v>48</v>
      </c>
      <c r="I565" s="696" t="s">
        <v>5</v>
      </c>
      <c r="J565" s="689" t="s">
        <v>15273</v>
      </c>
      <c r="K565" s="747" t="s">
        <v>1969</v>
      </c>
      <c r="L565" s="687"/>
      <c r="M565" s="687"/>
      <c r="N565" s="692" t="s">
        <v>16127</v>
      </c>
      <c r="O565" s="687" t="s">
        <v>44</v>
      </c>
      <c r="P565" s="687" t="s">
        <v>25</v>
      </c>
      <c r="Q565" s="748">
        <v>4</v>
      </c>
      <c r="R565" s="749">
        <v>4</v>
      </c>
      <c r="S565" s="805" t="s">
        <v>736</v>
      </c>
    </row>
    <row r="566" spans="1:19" ht="12" customHeight="1">
      <c r="A566" s="1040" t="str">
        <f t="shared" si="215"/>
        <v>123</v>
      </c>
      <c r="B566" s="4" t="s">
        <v>1966</v>
      </c>
      <c r="C566" s="4"/>
      <c r="D566" s="1008"/>
      <c r="E566" s="1002" t="str">
        <f t="shared" ref="E566:E568" si="236">IF(D566="","",D566/SUM($D$565:$D$568))</f>
        <v/>
      </c>
      <c r="F566" s="1005" t="e">
        <f t="shared" ref="F566:F568" si="237">IF(J566="","$",IF(C566="当選","-",D566*100/MAX($D$565:$D$568)))</f>
        <v>#DIV/0!</v>
      </c>
      <c r="G566" s="1" t="s">
        <v>1972</v>
      </c>
      <c r="H566" s="1">
        <v>42</v>
      </c>
      <c r="I566" s="2" t="s">
        <v>5</v>
      </c>
      <c r="J566" s="1" t="s">
        <v>15273</v>
      </c>
      <c r="K566" s="3"/>
      <c r="L566" s="1"/>
      <c r="M566" s="1"/>
      <c r="N566" s="4" t="s">
        <v>16120</v>
      </c>
      <c r="O566" s="1" t="s">
        <v>476</v>
      </c>
      <c r="P566" s="1" t="s">
        <v>14</v>
      </c>
      <c r="Q566" s="16">
        <v>1</v>
      </c>
      <c r="R566" s="17">
        <v>1</v>
      </c>
      <c r="S566" s="774" t="s">
        <v>5457</v>
      </c>
    </row>
    <row r="567" spans="1:19" ht="12" customHeight="1">
      <c r="A567" s="1040" t="str">
        <f t="shared" si="215"/>
        <v>123</v>
      </c>
      <c r="B567" s="4" t="s">
        <v>1967</v>
      </c>
      <c r="C567" s="4"/>
      <c r="D567" s="1008"/>
      <c r="E567" s="1002" t="str">
        <f t="shared" si="236"/>
        <v/>
      </c>
      <c r="F567" s="1005" t="e">
        <f t="shared" si="237"/>
        <v>#DIV/0!</v>
      </c>
      <c r="G567" s="1" t="s">
        <v>5393</v>
      </c>
      <c r="H567" s="1">
        <v>39</v>
      </c>
      <c r="I567" s="2" t="s">
        <v>5</v>
      </c>
      <c r="J567" s="1" t="s">
        <v>15273</v>
      </c>
      <c r="K567" s="3"/>
      <c r="L567" s="1"/>
      <c r="M567" s="1"/>
      <c r="N567" s="4" t="s">
        <v>16116</v>
      </c>
      <c r="O567" s="1" t="s">
        <v>276</v>
      </c>
      <c r="P567" s="1" t="s">
        <v>6</v>
      </c>
      <c r="Q567" s="16"/>
      <c r="R567" s="17"/>
      <c r="S567" s="774"/>
    </row>
    <row r="568" spans="1:19" ht="12" customHeight="1" thickBot="1">
      <c r="A568" s="916" t="str">
        <f t="shared" si="215"/>
        <v>123</v>
      </c>
      <c r="B568" s="700" t="s">
        <v>5392</v>
      </c>
      <c r="C568" s="700"/>
      <c r="D568" s="1009"/>
      <c r="E568" s="1003" t="str">
        <f t="shared" si="236"/>
        <v/>
      </c>
      <c r="F568" s="1041" t="str">
        <f t="shared" si="237"/>
        <v>$</v>
      </c>
      <c r="G568" s="906" t="s">
        <v>1976</v>
      </c>
      <c r="H568" s="906">
        <v>58</v>
      </c>
      <c r="I568" s="702" t="s">
        <v>19</v>
      </c>
      <c r="J568" s="906"/>
      <c r="K568" s="703"/>
      <c r="L568" s="906"/>
      <c r="M568" s="906"/>
      <c r="N568" s="700" t="s">
        <v>16117</v>
      </c>
      <c r="O568" s="906"/>
      <c r="P568" s="906" t="s">
        <v>6</v>
      </c>
      <c r="Q568" s="705"/>
      <c r="R568" s="903"/>
      <c r="S568" s="793"/>
    </row>
    <row r="569" spans="1:19" ht="12" customHeight="1">
      <c r="A569" s="1038" t="str">
        <f t="shared" si="215"/>
        <v>124</v>
      </c>
      <c r="B569" s="688" t="s">
        <v>1978</v>
      </c>
      <c r="C569" s="688"/>
      <c r="D569" s="1007"/>
      <c r="E569" s="1001" t="str">
        <f>IF(D569="","",D569/SUM($D$569:$D$574))</f>
        <v/>
      </c>
      <c r="F569" s="1004" t="e">
        <f>IF(J569="","$",IF(C569="当選","-",D569*100/MAX($D$569:$D$574)))</f>
        <v>#DIV/0!</v>
      </c>
      <c r="G569" s="687" t="s">
        <v>1981</v>
      </c>
      <c r="H569" s="687">
        <v>50</v>
      </c>
      <c r="I569" s="696" t="s">
        <v>5</v>
      </c>
      <c r="J569" s="689" t="s">
        <v>15273</v>
      </c>
      <c r="K569" s="747" t="s">
        <v>1982</v>
      </c>
      <c r="L569" s="687"/>
      <c r="M569" s="687"/>
      <c r="N569" s="692" t="s">
        <v>16127</v>
      </c>
      <c r="O569" s="687" t="s">
        <v>44</v>
      </c>
      <c r="P569" s="687" t="s">
        <v>25</v>
      </c>
      <c r="Q569" s="748">
        <v>3</v>
      </c>
      <c r="R569" s="749">
        <v>3</v>
      </c>
      <c r="S569" s="805" t="s">
        <v>736</v>
      </c>
    </row>
    <row r="570" spans="1:19" ht="12" customHeight="1">
      <c r="A570" s="1040" t="str">
        <f t="shared" si="215"/>
        <v>124</v>
      </c>
      <c r="B570" s="4" t="s">
        <v>1979</v>
      </c>
      <c r="C570" s="4"/>
      <c r="D570" s="1008"/>
      <c r="E570" s="1002" t="str">
        <f t="shared" ref="E570:E574" si="238">IF(D570="","",D570/SUM($D$569:$D$574))</f>
        <v/>
      </c>
      <c r="F570" s="1005" t="e">
        <f t="shared" ref="F570:F574" si="239">IF(J570="","$",IF(C570="当選","-",D570*100/MAX($D$569:$D$574)))</f>
        <v>#DIV/0!</v>
      </c>
      <c r="G570" s="1" t="s">
        <v>1986</v>
      </c>
      <c r="H570" s="1">
        <v>48</v>
      </c>
      <c r="I570" s="2" t="s">
        <v>5</v>
      </c>
      <c r="J570" s="1" t="s">
        <v>15273</v>
      </c>
      <c r="K570" s="3"/>
      <c r="L570" s="1"/>
      <c r="M570" s="1"/>
      <c r="N570" s="8" t="s">
        <v>16120</v>
      </c>
      <c r="O570" s="1" t="s">
        <v>30</v>
      </c>
      <c r="P570" s="1" t="s">
        <v>6</v>
      </c>
      <c r="Q570" s="16"/>
      <c r="R570" s="17"/>
      <c r="S570" s="774" t="s">
        <v>5457</v>
      </c>
    </row>
    <row r="571" spans="1:19" ht="12" customHeight="1">
      <c r="A571" s="1040" t="str">
        <f t="shared" si="215"/>
        <v>124</v>
      </c>
      <c r="B571" s="4" t="s">
        <v>1980</v>
      </c>
      <c r="C571" s="4"/>
      <c r="D571" s="1008"/>
      <c r="E571" s="1002" t="str">
        <f t="shared" si="238"/>
        <v/>
      </c>
      <c r="F571" s="1005" t="e">
        <f t="shared" si="239"/>
        <v>#DIV/0!</v>
      </c>
      <c r="G571" s="1" t="s">
        <v>6181</v>
      </c>
      <c r="H571" s="1">
        <v>60</v>
      </c>
      <c r="I571" s="2" t="s">
        <v>5</v>
      </c>
      <c r="J571" s="1" t="s">
        <v>15273</v>
      </c>
      <c r="K571" s="3"/>
      <c r="L571" s="1"/>
      <c r="M571" s="1"/>
      <c r="N571" s="4" t="s">
        <v>16125</v>
      </c>
      <c r="O571" s="1"/>
      <c r="P571" s="1" t="s">
        <v>6</v>
      </c>
      <c r="Q571" s="16"/>
      <c r="R571" s="17"/>
      <c r="S571" s="774" t="s">
        <v>5561</v>
      </c>
    </row>
    <row r="572" spans="1:19" ht="12" customHeight="1">
      <c r="A572" s="1040" t="str">
        <f t="shared" si="215"/>
        <v>124</v>
      </c>
      <c r="B572" s="4" t="s">
        <v>5395</v>
      </c>
      <c r="C572" s="4"/>
      <c r="D572" s="1008"/>
      <c r="E572" s="1002" t="str">
        <f t="shared" si="238"/>
        <v/>
      </c>
      <c r="F572" s="1005" t="e">
        <f t="shared" si="239"/>
        <v>#DIV/0!</v>
      </c>
      <c r="G572" s="1" t="s">
        <v>5396</v>
      </c>
      <c r="H572" s="1">
        <v>30</v>
      </c>
      <c r="I572" s="2" t="s">
        <v>19</v>
      </c>
      <c r="J572" s="1" t="s">
        <v>15273</v>
      </c>
      <c r="K572" s="3"/>
      <c r="L572" s="1"/>
      <c r="M572" s="1"/>
      <c r="N572" s="4" t="s">
        <v>16116</v>
      </c>
      <c r="O572" s="1" t="s">
        <v>18494</v>
      </c>
      <c r="P572" s="1" t="s">
        <v>6</v>
      </c>
      <c r="Q572" s="16"/>
      <c r="R572" s="17"/>
      <c r="S572" s="774"/>
    </row>
    <row r="573" spans="1:19" ht="12" customHeight="1">
      <c r="A573" s="1040" t="str">
        <f t="shared" si="215"/>
        <v>124</v>
      </c>
      <c r="B573" s="4" t="s">
        <v>6180</v>
      </c>
      <c r="C573" s="4"/>
      <c r="D573" s="1008"/>
      <c r="E573" s="1002" t="str">
        <f t="shared" si="238"/>
        <v/>
      </c>
      <c r="F573" s="1005" t="str">
        <f t="shared" si="239"/>
        <v>$</v>
      </c>
      <c r="G573" s="1" t="s">
        <v>1987</v>
      </c>
      <c r="H573" s="1">
        <v>38</v>
      </c>
      <c r="I573" s="2" t="s">
        <v>5</v>
      </c>
      <c r="J573" s="1"/>
      <c r="K573" s="3"/>
      <c r="L573" s="1"/>
      <c r="M573" s="1"/>
      <c r="N573" s="4" t="s">
        <v>16117</v>
      </c>
      <c r="O573" s="1"/>
      <c r="P573" s="1" t="s">
        <v>6</v>
      </c>
      <c r="Q573" s="16"/>
      <c r="R573" s="17"/>
      <c r="S573" s="774"/>
    </row>
    <row r="574" spans="1:19" ht="12" customHeight="1" thickBot="1">
      <c r="A574" s="916" t="str">
        <f t="shared" si="215"/>
        <v>124</v>
      </c>
      <c r="B574" s="700" t="s">
        <v>16008</v>
      </c>
      <c r="C574" s="700"/>
      <c r="D574" s="1009"/>
      <c r="E574" s="1003" t="str">
        <f t="shared" si="238"/>
        <v/>
      </c>
      <c r="F574" s="1041" t="str">
        <f t="shared" si="239"/>
        <v>$</v>
      </c>
      <c r="G574" s="906" t="s">
        <v>16009</v>
      </c>
      <c r="H574" s="906">
        <v>42</v>
      </c>
      <c r="I574" s="702" t="s">
        <v>5</v>
      </c>
      <c r="J574" s="906"/>
      <c r="K574" s="703"/>
      <c r="L574" s="906"/>
      <c r="M574" s="906"/>
      <c r="N574" s="700" t="s">
        <v>16129</v>
      </c>
      <c r="O574" s="906"/>
      <c r="P574" s="906" t="s">
        <v>6</v>
      </c>
      <c r="Q574" s="705"/>
      <c r="R574" s="903"/>
      <c r="S574" s="793"/>
    </row>
    <row r="575" spans="1:19" ht="12" customHeight="1">
      <c r="A575" s="1038" t="str">
        <f t="shared" si="215"/>
        <v>125</v>
      </c>
      <c r="B575" s="688" t="s">
        <v>1989</v>
      </c>
      <c r="C575" s="688"/>
      <c r="D575" s="1007"/>
      <c r="E575" s="1001" t="str">
        <f>IF(D575="","",D575/SUM($D$575:$D$580))</f>
        <v/>
      </c>
      <c r="F575" s="1004" t="e">
        <f>IF(J575="","$",IF(C575="当選","-",D575*100/MAX($D$575:$D$580)))</f>
        <v>#DIV/0!</v>
      </c>
      <c r="G575" s="687" t="s">
        <v>1994</v>
      </c>
      <c r="H575" s="687">
        <v>45</v>
      </c>
      <c r="I575" s="696" t="s">
        <v>5</v>
      </c>
      <c r="J575" s="689" t="s">
        <v>15273</v>
      </c>
      <c r="K575" s="747" t="s">
        <v>1995</v>
      </c>
      <c r="L575" s="687"/>
      <c r="M575" s="687"/>
      <c r="N575" s="692" t="s">
        <v>16126</v>
      </c>
      <c r="O575" s="687" t="s">
        <v>1656</v>
      </c>
      <c r="P575" s="687" t="s">
        <v>25</v>
      </c>
      <c r="Q575" s="748">
        <v>3</v>
      </c>
      <c r="R575" s="749">
        <v>3</v>
      </c>
      <c r="S575" s="805" t="s">
        <v>736</v>
      </c>
    </row>
    <row r="576" spans="1:19" ht="12" customHeight="1">
      <c r="A576" s="1040" t="str">
        <f t="shared" si="215"/>
        <v>125</v>
      </c>
      <c r="B576" s="4" t="s">
        <v>1990</v>
      </c>
      <c r="C576" s="4"/>
      <c r="D576" s="1008"/>
      <c r="E576" s="1002" t="str">
        <f t="shared" ref="E576:E580" si="240">IF(D576="","",D576/SUM($D$575:$D$580))</f>
        <v/>
      </c>
      <c r="F576" s="1005" t="e">
        <f t="shared" ref="F576:F580" si="241">IF(J576="","$",IF(C576="当選","-",D576*100/MAX($D$575:$D$580)))</f>
        <v>#DIV/0!</v>
      </c>
      <c r="G576" s="1" t="s">
        <v>2000</v>
      </c>
      <c r="H576" s="1">
        <v>51</v>
      </c>
      <c r="I576" s="2" t="s">
        <v>5</v>
      </c>
      <c r="J576" s="1" t="s">
        <v>15273</v>
      </c>
      <c r="K576" s="3"/>
      <c r="L576" s="1"/>
      <c r="M576" s="1"/>
      <c r="N576" s="4" t="s">
        <v>16120</v>
      </c>
      <c r="O576" s="1" t="s">
        <v>30</v>
      </c>
      <c r="P576" s="1" t="s">
        <v>14</v>
      </c>
      <c r="Q576" s="16">
        <v>5</v>
      </c>
      <c r="R576" s="17">
        <v>5</v>
      </c>
      <c r="S576" s="774"/>
    </row>
    <row r="577" spans="1:19" ht="12" customHeight="1">
      <c r="A577" s="1040" t="str">
        <f t="shared" si="215"/>
        <v>125</v>
      </c>
      <c r="B577" s="4" t="s">
        <v>1991</v>
      </c>
      <c r="C577" s="4"/>
      <c r="D577" s="1008"/>
      <c r="E577" s="1002" t="str">
        <f t="shared" si="240"/>
        <v/>
      </c>
      <c r="F577" s="1005" t="e">
        <f t="shared" si="241"/>
        <v>#DIV/0!</v>
      </c>
      <c r="G577" s="1" t="s">
        <v>5400</v>
      </c>
      <c r="H577" s="1">
        <v>39</v>
      </c>
      <c r="I577" s="2" t="s">
        <v>5</v>
      </c>
      <c r="J577" s="1" t="s">
        <v>15273</v>
      </c>
      <c r="K577" s="3"/>
      <c r="L577" s="1"/>
      <c r="M577" s="1"/>
      <c r="N577" s="4" t="s">
        <v>16116</v>
      </c>
      <c r="O577" s="1" t="s">
        <v>4993</v>
      </c>
      <c r="P577" s="1" t="s">
        <v>6</v>
      </c>
      <c r="Q577" s="16"/>
      <c r="R577" s="17"/>
      <c r="S577" s="774"/>
    </row>
    <row r="578" spans="1:19" ht="12" customHeight="1">
      <c r="A578" s="1040" t="str">
        <f t="shared" si="215"/>
        <v>125</v>
      </c>
      <c r="B578" s="4" t="s">
        <v>1992</v>
      </c>
      <c r="C578" s="4"/>
      <c r="D578" s="1008"/>
      <c r="E578" s="1002" t="str">
        <f t="shared" si="240"/>
        <v/>
      </c>
      <c r="F578" s="1005" t="e">
        <f t="shared" si="241"/>
        <v>#DIV/0!</v>
      </c>
      <c r="G578" s="1" t="s">
        <v>2007</v>
      </c>
      <c r="H578" s="1">
        <v>39</v>
      </c>
      <c r="I578" s="2" t="s">
        <v>5</v>
      </c>
      <c r="J578" s="1" t="s">
        <v>15273</v>
      </c>
      <c r="K578" s="3"/>
      <c r="L578" s="1"/>
      <c r="M578" s="1"/>
      <c r="N578" s="8" t="s">
        <v>18495</v>
      </c>
      <c r="O578" s="1"/>
      <c r="P578" s="1" t="s">
        <v>6</v>
      </c>
      <c r="Q578" s="16"/>
      <c r="R578" s="17"/>
      <c r="S578" s="774"/>
    </row>
    <row r="579" spans="1:19" ht="12" customHeight="1">
      <c r="A579" s="1040" t="str">
        <f t="shared" ref="A579:A642" si="242">MIDB(B579,1,3)</f>
        <v>125</v>
      </c>
      <c r="B579" s="4" t="s">
        <v>1993</v>
      </c>
      <c r="C579" s="4"/>
      <c r="D579" s="1008"/>
      <c r="E579" s="1002" t="str">
        <f t="shared" si="240"/>
        <v/>
      </c>
      <c r="F579" s="1005" t="str">
        <f t="shared" si="241"/>
        <v>$</v>
      </c>
      <c r="G579" s="1" t="s">
        <v>2004</v>
      </c>
      <c r="H579" s="1">
        <v>51</v>
      </c>
      <c r="I579" s="2" t="s">
        <v>5</v>
      </c>
      <c r="J579" s="1"/>
      <c r="K579" s="3"/>
      <c r="L579" s="1"/>
      <c r="M579" s="1"/>
      <c r="N579" s="4" t="s">
        <v>16117</v>
      </c>
      <c r="O579" s="1"/>
      <c r="P579" s="1" t="s">
        <v>6</v>
      </c>
      <c r="Q579" s="16"/>
      <c r="R579" s="17"/>
      <c r="S579" s="774"/>
    </row>
    <row r="580" spans="1:19" ht="12" customHeight="1" thickBot="1">
      <c r="A580" s="916" t="str">
        <f t="shared" si="242"/>
        <v>125</v>
      </c>
      <c r="B580" s="700" t="s">
        <v>5399</v>
      </c>
      <c r="C580" s="700"/>
      <c r="D580" s="1009"/>
      <c r="E580" s="1003" t="str">
        <f t="shared" si="240"/>
        <v/>
      </c>
      <c r="F580" s="1041" t="str">
        <f t="shared" si="241"/>
        <v>$</v>
      </c>
      <c r="G580" s="906" t="s">
        <v>2010</v>
      </c>
      <c r="H580" s="906">
        <v>57</v>
      </c>
      <c r="I580" s="702" t="s">
        <v>5</v>
      </c>
      <c r="J580" s="906"/>
      <c r="K580" s="703"/>
      <c r="L580" s="906"/>
      <c r="M580" s="906"/>
      <c r="N580" s="700" t="s">
        <v>16122</v>
      </c>
      <c r="O580" s="906" t="s">
        <v>22</v>
      </c>
      <c r="P580" s="906" t="s">
        <v>6</v>
      </c>
      <c r="Q580" s="705"/>
      <c r="R580" s="903"/>
      <c r="S580" s="793"/>
    </row>
    <row r="581" spans="1:19" ht="12" customHeight="1">
      <c r="A581" s="1038" t="str">
        <f t="shared" si="242"/>
        <v>126</v>
      </c>
      <c r="B581" s="688" t="s">
        <v>2012</v>
      </c>
      <c r="C581" s="688"/>
      <c r="D581" s="1007"/>
      <c r="E581" s="1001" t="str">
        <f>IF(D581="","",D581/SUM($D$581:$D$586))</f>
        <v/>
      </c>
      <c r="F581" s="1004" t="e">
        <f>IF(J581="","$",IF(C581="当選","-",D581*100/MAX($D$581:$D$586)))</f>
        <v>#DIV/0!</v>
      </c>
      <c r="G581" s="687" t="s">
        <v>2018</v>
      </c>
      <c r="H581" s="687">
        <v>45</v>
      </c>
      <c r="I581" s="696" t="s">
        <v>19</v>
      </c>
      <c r="J581" s="689" t="s">
        <v>15273</v>
      </c>
      <c r="K581" s="747" t="s">
        <v>2019</v>
      </c>
      <c r="L581" s="687"/>
      <c r="M581" s="687"/>
      <c r="N581" s="692" t="s">
        <v>16127</v>
      </c>
      <c r="O581" s="687" t="s">
        <v>44</v>
      </c>
      <c r="P581" s="687" t="s">
        <v>25</v>
      </c>
      <c r="Q581" s="748">
        <v>1</v>
      </c>
      <c r="R581" s="749">
        <v>1</v>
      </c>
      <c r="S581" s="805" t="s">
        <v>736</v>
      </c>
    </row>
    <row r="582" spans="1:19" ht="12" customHeight="1">
      <c r="A582" s="1040" t="str">
        <f t="shared" si="242"/>
        <v>126</v>
      </c>
      <c r="B582" s="4" t="s">
        <v>2013</v>
      </c>
      <c r="C582" s="4"/>
      <c r="D582" s="1008"/>
      <c r="E582" s="1002" t="str">
        <f t="shared" ref="E582:E586" si="243">IF(D582="","",D582/SUM($D$581:$D$586))</f>
        <v/>
      </c>
      <c r="F582" s="1005" t="e">
        <f t="shared" ref="F582:F586" si="244">IF(J582="","$",IF(C582="当選","-",D582*100/MAX($D$581:$D$586)))</f>
        <v>#DIV/0!</v>
      </c>
      <c r="G582" s="1" t="s">
        <v>2021</v>
      </c>
      <c r="H582" s="1">
        <v>31</v>
      </c>
      <c r="I582" s="2" t="s">
        <v>5</v>
      </c>
      <c r="J582" s="1" t="s">
        <v>15273</v>
      </c>
      <c r="K582" s="3"/>
      <c r="L582" s="1"/>
      <c r="M582" s="1"/>
      <c r="N582" s="4" t="s">
        <v>16120</v>
      </c>
      <c r="O582" s="1" t="s">
        <v>30</v>
      </c>
      <c r="P582" s="1" t="s">
        <v>6</v>
      </c>
      <c r="Q582" s="16"/>
      <c r="R582" s="17"/>
      <c r="S582" s="774" t="s">
        <v>5457</v>
      </c>
    </row>
    <row r="583" spans="1:19" ht="12" customHeight="1">
      <c r="A583" s="1040" t="str">
        <f t="shared" si="242"/>
        <v>126</v>
      </c>
      <c r="B583" s="4" t="s">
        <v>2014</v>
      </c>
      <c r="C583" s="4"/>
      <c r="D583" s="1008"/>
      <c r="E583" s="1002" t="str">
        <f t="shared" si="243"/>
        <v/>
      </c>
      <c r="F583" s="1005" t="e">
        <f t="shared" si="244"/>
        <v>#DIV/0!</v>
      </c>
      <c r="G583" s="1" t="s">
        <v>6182</v>
      </c>
      <c r="H583" s="1">
        <v>39</v>
      </c>
      <c r="I583" s="2" t="s">
        <v>5</v>
      </c>
      <c r="J583" s="1" t="s">
        <v>15273</v>
      </c>
      <c r="K583" s="3"/>
      <c r="L583" s="1"/>
      <c r="M583" s="1"/>
      <c r="N583" s="4" t="s">
        <v>16125</v>
      </c>
      <c r="O583" s="1"/>
      <c r="P583" s="1" t="s">
        <v>6</v>
      </c>
      <c r="Q583" s="16"/>
      <c r="R583" s="17"/>
      <c r="S583" s="774" t="s">
        <v>5561</v>
      </c>
    </row>
    <row r="584" spans="1:19" ht="12" customHeight="1">
      <c r="A584" s="1040" t="str">
        <f t="shared" si="242"/>
        <v>126</v>
      </c>
      <c r="B584" s="4" t="s">
        <v>2015</v>
      </c>
      <c r="C584" s="4"/>
      <c r="D584" s="1008"/>
      <c r="E584" s="1002" t="str">
        <f t="shared" si="243"/>
        <v/>
      </c>
      <c r="F584" s="1005" t="e">
        <f t="shared" si="244"/>
        <v>#DIV/0!</v>
      </c>
      <c r="G584" s="1" t="s">
        <v>5012</v>
      </c>
      <c r="H584" s="1">
        <v>33</v>
      </c>
      <c r="I584" s="2" t="s">
        <v>5</v>
      </c>
      <c r="J584" s="1" t="s">
        <v>15273</v>
      </c>
      <c r="K584" s="3"/>
      <c r="L584" s="1"/>
      <c r="M584" s="1"/>
      <c r="N584" s="4" t="s">
        <v>16116</v>
      </c>
      <c r="O584" s="1" t="s">
        <v>18494</v>
      </c>
      <c r="P584" s="1" t="s">
        <v>6</v>
      </c>
      <c r="Q584" s="16"/>
      <c r="R584" s="17"/>
      <c r="S584" s="774"/>
    </row>
    <row r="585" spans="1:19" ht="12" customHeight="1">
      <c r="A585" s="1040" t="str">
        <f t="shared" si="242"/>
        <v>126</v>
      </c>
      <c r="B585" s="4" t="s">
        <v>2016</v>
      </c>
      <c r="C585" s="4"/>
      <c r="D585" s="1008"/>
      <c r="E585" s="1002" t="str">
        <f t="shared" si="243"/>
        <v/>
      </c>
      <c r="F585" s="1005" t="e">
        <f t="shared" si="244"/>
        <v>#DIV/0!</v>
      </c>
      <c r="G585" s="1" t="s">
        <v>2027</v>
      </c>
      <c r="H585" s="1">
        <v>31</v>
      </c>
      <c r="I585" s="2" t="s">
        <v>5</v>
      </c>
      <c r="J585" s="1" t="s">
        <v>15273</v>
      </c>
      <c r="K585" s="3"/>
      <c r="L585" s="1"/>
      <c r="M585" s="1"/>
      <c r="N585" s="4" t="s">
        <v>18495</v>
      </c>
      <c r="O585" s="1"/>
      <c r="P585" s="1" t="s">
        <v>6</v>
      </c>
      <c r="Q585" s="16"/>
      <c r="R585" s="17"/>
      <c r="S585" s="774"/>
    </row>
    <row r="586" spans="1:19" ht="12" customHeight="1" thickBot="1">
      <c r="A586" s="916" t="str">
        <f t="shared" si="242"/>
        <v>126</v>
      </c>
      <c r="B586" s="700" t="s">
        <v>2017</v>
      </c>
      <c r="C586" s="700"/>
      <c r="D586" s="1009"/>
      <c r="E586" s="1003" t="str">
        <f t="shared" si="243"/>
        <v/>
      </c>
      <c r="F586" s="1041" t="str">
        <f t="shared" si="244"/>
        <v>$</v>
      </c>
      <c r="G586" s="906" t="s">
        <v>2024</v>
      </c>
      <c r="H586" s="906">
        <v>32</v>
      </c>
      <c r="I586" s="702" t="s">
        <v>5</v>
      </c>
      <c r="J586" s="906"/>
      <c r="K586" s="703"/>
      <c r="L586" s="906"/>
      <c r="M586" s="906"/>
      <c r="N586" s="700" t="s">
        <v>16117</v>
      </c>
      <c r="O586" s="906"/>
      <c r="P586" s="906" t="s">
        <v>6</v>
      </c>
      <c r="Q586" s="705"/>
      <c r="R586" s="903"/>
      <c r="S586" s="793"/>
    </row>
    <row r="587" spans="1:19" ht="12" customHeight="1">
      <c r="A587" s="1038" t="str">
        <f t="shared" si="242"/>
        <v>127</v>
      </c>
      <c r="B587" s="688" t="s">
        <v>2030</v>
      </c>
      <c r="C587" s="688"/>
      <c r="D587" s="1007"/>
      <c r="E587" s="1001" t="str">
        <f>IF(D587="","",D587/SUM($D$587:$D$591))</f>
        <v/>
      </c>
      <c r="F587" s="1004" t="e">
        <f>IF(J587="","$",IF(C587="当選","-",D587*100/MAX($D$587:$D$591)))</f>
        <v>#DIV/0!</v>
      </c>
      <c r="G587" s="687" t="s">
        <v>2034</v>
      </c>
      <c r="H587" s="687">
        <v>56</v>
      </c>
      <c r="I587" s="696" t="s">
        <v>5</v>
      </c>
      <c r="J587" s="689" t="s">
        <v>15273</v>
      </c>
      <c r="K587" s="747" t="s">
        <v>2035</v>
      </c>
      <c r="L587" s="687"/>
      <c r="M587" s="687"/>
      <c r="N587" s="692" t="s">
        <v>16127</v>
      </c>
      <c r="O587" s="687" t="s">
        <v>24</v>
      </c>
      <c r="P587" s="687" t="s">
        <v>25</v>
      </c>
      <c r="Q587" s="748">
        <v>3</v>
      </c>
      <c r="R587" s="749">
        <v>3</v>
      </c>
      <c r="S587" s="805" t="s">
        <v>736</v>
      </c>
    </row>
    <row r="588" spans="1:19" ht="12" customHeight="1">
      <c r="A588" s="1040" t="str">
        <f t="shared" si="242"/>
        <v>127</v>
      </c>
      <c r="B588" s="4" t="s">
        <v>2031</v>
      </c>
      <c r="C588" s="4"/>
      <c r="D588" s="1008"/>
      <c r="E588" s="1002" t="str">
        <f t="shared" ref="E588:E591" si="245">IF(D588="","",D588/SUM($D$587:$D$591))</f>
        <v/>
      </c>
      <c r="F588" s="1005" t="e">
        <f t="shared" ref="F588:F591" si="246">IF(J588="","$",IF(C588="当選","-",D588*100/MAX($D$587:$D$591)))</f>
        <v>#DIV/0!</v>
      </c>
      <c r="G588" s="1" t="s">
        <v>2040</v>
      </c>
      <c r="H588" s="1">
        <v>49</v>
      </c>
      <c r="I588" s="2" t="s">
        <v>5</v>
      </c>
      <c r="J588" s="1" t="s">
        <v>15273</v>
      </c>
      <c r="K588" s="3"/>
      <c r="L588" s="1"/>
      <c r="M588" s="1"/>
      <c r="N588" s="8" t="s">
        <v>16120</v>
      </c>
      <c r="O588" s="1" t="s">
        <v>48</v>
      </c>
      <c r="P588" s="1" t="s">
        <v>14</v>
      </c>
      <c r="Q588" s="16">
        <v>2</v>
      </c>
      <c r="R588" s="17">
        <v>2</v>
      </c>
      <c r="S588" s="774" t="s">
        <v>5457</v>
      </c>
    </row>
    <row r="589" spans="1:19" ht="12" customHeight="1">
      <c r="A589" s="1040" t="str">
        <f t="shared" si="242"/>
        <v>127</v>
      </c>
      <c r="B589" s="4" t="s">
        <v>2032</v>
      </c>
      <c r="C589" s="4"/>
      <c r="D589" s="1008"/>
      <c r="E589" s="1002" t="str">
        <f t="shared" si="245"/>
        <v/>
      </c>
      <c r="F589" s="1005" t="e">
        <f t="shared" si="246"/>
        <v>#DIV/0!</v>
      </c>
      <c r="G589" s="1" t="s">
        <v>5775</v>
      </c>
      <c r="H589" s="1">
        <v>37</v>
      </c>
      <c r="I589" s="2" t="s">
        <v>5</v>
      </c>
      <c r="J589" s="1" t="s">
        <v>15273</v>
      </c>
      <c r="K589" s="3"/>
      <c r="L589" s="1"/>
      <c r="M589" s="1"/>
      <c r="N589" s="4" t="s">
        <v>16116</v>
      </c>
      <c r="O589" s="1" t="s">
        <v>4993</v>
      </c>
      <c r="P589" s="1" t="s">
        <v>6</v>
      </c>
      <c r="Q589" s="16"/>
      <c r="R589" s="17"/>
      <c r="S589" s="774"/>
    </row>
    <row r="590" spans="1:19" ht="12" customHeight="1">
      <c r="A590" s="1040" t="str">
        <f t="shared" si="242"/>
        <v>127</v>
      </c>
      <c r="B590" s="4" t="s">
        <v>2033</v>
      </c>
      <c r="C590" s="4"/>
      <c r="D590" s="1008"/>
      <c r="E590" s="1002" t="str">
        <f t="shared" si="245"/>
        <v/>
      </c>
      <c r="F590" s="1005" t="e">
        <f t="shared" si="246"/>
        <v>#DIV/0!</v>
      </c>
      <c r="G590" s="1" t="s">
        <v>2048</v>
      </c>
      <c r="H590" s="1">
        <v>40</v>
      </c>
      <c r="I590" s="2" t="s">
        <v>5</v>
      </c>
      <c r="J590" s="1" t="s">
        <v>15273</v>
      </c>
      <c r="K590" s="3"/>
      <c r="L590" s="1"/>
      <c r="M590" s="1"/>
      <c r="N590" s="4" t="s">
        <v>18495</v>
      </c>
      <c r="O590" s="1"/>
      <c r="P590" s="1" t="s">
        <v>6</v>
      </c>
      <c r="Q590" s="16"/>
      <c r="R590" s="17"/>
      <c r="S590" s="774"/>
    </row>
    <row r="591" spans="1:19" ht="12" customHeight="1" thickBot="1">
      <c r="A591" s="916" t="str">
        <f t="shared" si="242"/>
        <v>127</v>
      </c>
      <c r="B591" s="700" t="s">
        <v>5774</v>
      </c>
      <c r="C591" s="700"/>
      <c r="D591" s="1009"/>
      <c r="E591" s="1003" t="str">
        <f t="shared" si="245"/>
        <v/>
      </c>
      <c r="F591" s="1041" t="str">
        <f t="shared" si="246"/>
        <v>$</v>
      </c>
      <c r="G591" s="906" t="s">
        <v>2044</v>
      </c>
      <c r="H591" s="906">
        <v>64</v>
      </c>
      <c r="I591" s="702" t="s">
        <v>5</v>
      </c>
      <c r="J591" s="906"/>
      <c r="K591" s="703"/>
      <c r="L591" s="906"/>
      <c r="M591" s="906"/>
      <c r="N591" s="700" t="s">
        <v>16117</v>
      </c>
      <c r="O591" s="906"/>
      <c r="P591" s="906" t="s">
        <v>6</v>
      </c>
      <c r="Q591" s="705"/>
      <c r="R591" s="903"/>
      <c r="S591" s="793"/>
    </row>
    <row r="592" spans="1:19" ht="12" customHeight="1">
      <c r="A592" s="1038" t="str">
        <f t="shared" si="242"/>
        <v>128</v>
      </c>
      <c r="B592" s="688" t="s">
        <v>2050</v>
      </c>
      <c r="C592" s="688"/>
      <c r="D592" s="1007"/>
      <c r="E592" s="1001" t="str">
        <f>IF(D592="","",D592/SUM($D$592:$D$596))</f>
        <v/>
      </c>
      <c r="F592" s="1004" t="e">
        <f>IF(J592="","$",IF(C592="当選","-",D592*100/MAX($D$592:$D$596)))</f>
        <v>#DIV/0!</v>
      </c>
      <c r="G592" s="687" t="s">
        <v>2053</v>
      </c>
      <c r="H592" s="687">
        <v>57</v>
      </c>
      <c r="I592" s="696" t="s">
        <v>5</v>
      </c>
      <c r="J592" s="689" t="s">
        <v>15273</v>
      </c>
      <c r="K592" s="747" t="s">
        <v>2054</v>
      </c>
      <c r="L592" s="687"/>
      <c r="M592" s="687"/>
      <c r="N592" s="692" t="s">
        <v>16126</v>
      </c>
      <c r="O592" s="687" t="s">
        <v>44</v>
      </c>
      <c r="P592" s="687" t="s">
        <v>25</v>
      </c>
      <c r="Q592" s="748">
        <v>1</v>
      </c>
      <c r="R592" s="749">
        <v>1</v>
      </c>
      <c r="S592" s="805" t="s">
        <v>736</v>
      </c>
    </row>
    <row r="593" spans="1:19" ht="12" customHeight="1">
      <c r="A593" s="1040" t="str">
        <f t="shared" si="242"/>
        <v>128</v>
      </c>
      <c r="B593" s="4" t="s">
        <v>2051</v>
      </c>
      <c r="C593" s="4"/>
      <c r="D593" s="1008"/>
      <c r="E593" s="1002" t="str">
        <f t="shared" ref="E593:E596" si="247">IF(D593="","",D593/SUM($D$592:$D$596))</f>
        <v/>
      </c>
      <c r="F593" s="1005" t="e">
        <f t="shared" ref="F593:F596" si="248">IF(J593="","$",IF(C593="当選","-",D593*100/MAX($D$592:$D$596)))</f>
        <v>#DIV/0!</v>
      </c>
      <c r="G593" s="1" t="s">
        <v>2056</v>
      </c>
      <c r="H593" s="1">
        <v>43</v>
      </c>
      <c r="I593" s="2" t="s">
        <v>5</v>
      </c>
      <c r="J593" s="1" t="s">
        <v>15273</v>
      </c>
      <c r="K593" s="3" t="s">
        <v>2057</v>
      </c>
      <c r="L593" s="1"/>
      <c r="M593" s="1"/>
      <c r="N593" s="4" t="s">
        <v>16120</v>
      </c>
      <c r="O593" s="1" t="s">
        <v>445</v>
      </c>
      <c r="P593" s="1" t="s">
        <v>25</v>
      </c>
      <c r="Q593" s="16">
        <v>3</v>
      </c>
      <c r="R593" s="17">
        <v>3</v>
      </c>
      <c r="S593" s="774" t="s">
        <v>6051</v>
      </c>
    </row>
    <row r="594" spans="1:19" ht="12" customHeight="1">
      <c r="A594" s="1040" t="str">
        <f t="shared" si="242"/>
        <v>128</v>
      </c>
      <c r="B594" s="4" t="s">
        <v>2052</v>
      </c>
      <c r="C594" s="4"/>
      <c r="D594" s="1008"/>
      <c r="E594" s="1002" t="str">
        <f t="shared" si="247"/>
        <v/>
      </c>
      <c r="F594" s="1005" t="e">
        <f t="shared" si="248"/>
        <v>#DIV/0!</v>
      </c>
      <c r="G594" s="1" t="s">
        <v>6186</v>
      </c>
      <c r="H594" s="1">
        <v>56</v>
      </c>
      <c r="I594" s="2" t="s">
        <v>5</v>
      </c>
      <c r="J594" s="1" t="s">
        <v>15273</v>
      </c>
      <c r="K594" s="3"/>
      <c r="L594" s="1"/>
      <c r="M594" s="1"/>
      <c r="N594" s="4" t="s">
        <v>16125</v>
      </c>
      <c r="O594" s="1"/>
      <c r="P594" s="1" t="s">
        <v>6</v>
      </c>
      <c r="Q594" s="16"/>
      <c r="R594" s="17"/>
      <c r="S594" s="774" t="s">
        <v>5561</v>
      </c>
    </row>
    <row r="595" spans="1:19" ht="12" customHeight="1">
      <c r="A595" s="1040" t="str">
        <f t="shared" si="242"/>
        <v>128</v>
      </c>
      <c r="B595" s="4" t="s">
        <v>5777</v>
      </c>
      <c r="C595" s="4"/>
      <c r="D595" s="1008"/>
      <c r="E595" s="1002" t="str">
        <f t="shared" si="247"/>
        <v/>
      </c>
      <c r="F595" s="1005" t="e">
        <f t="shared" si="248"/>
        <v>#DIV/0!</v>
      </c>
      <c r="G595" s="1" t="s">
        <v>5778</v>
      </c>
      <c r="H595" s="1">
        <v>34</v>
      </c>
      <c r="I595" s="2" t="s">
        <v>5</v>
      </c>
      <c r="J595" s="1" t="s">
        <v>15273</v>
      </c>
      <c r="K595" s="3"/>
      <c r="L595" s="1"/>
      <c r="M595" s="1"/>
      <c r="N595" s="4" t="s">
        <v>16116</v>
      </c>
      <c r="O595" s="1" t="s">
        <v>18494</v>
      </c>
      <c r="P595" s="1" t="s">
        <v>6</v>
      </c>
      <c r="Q595" s="16"/>
      <c r="R595" s="17"/>
      <c r="S595" s="774"/>
    </row>
    <row r="596" spans="1:19" ht="12" customHeight="1" thickBot="1">
      <c r="A596" s="916" t="str">
        <f t="shared" si="242"/>
        <v>128</v>
      </c>
      <c r="B596" s="700" t="s">
        <v>6184</v>
      </c>
      <c r="C596" s="700"/>
      <c r="D596" s="1009"/>
      <c r="E596" s="1003" t="str">
        <f t="shared" si="247"/>
        <v/>
      </c>
      <c r="F596" s="1041" t="str">
        <f t="shared" si="248"/>
        <v>$</v>
      </c>
      <c r="G596" s="906" t="s">
        <v>2060</v>
      </c>
      <c r="H596" s="906">
        <v>38</v>
      </c>
      <c r="I596" s="702" t="s">
        <v>5</v>
      </c>
      <c r="J596" s="906"/>
      <c r="K596" s="703"/>
      <c r="L596" s="906"/>
      <c r="M596" s="906"/>
      <c r="N596" s="700" t="s">
        <v>16117</v>
      </c>
      <c r="O596" s="906"/>
      <c r="P596" s="906" t="s">
        <v>6</v>
      </c>
      <c r="Q596" s="705"/>
      <c r="R596" s="903"/>
      <c r="S596" s="793"/>
    </row>
    <row r="597" spans="1:19" ht="12" customHeight="1">
      <c r="A597" s="1038" t="str">
        <f t="shared" si="242"/>
        <v>129</v>
      </c>
      <c r="B597" s="688" t="s">
        <v>2186</v>
      </c>
      <c r="C597" s="688"/>
      <c r="D597" s="1007"/>
      <c r="E597" s="1001" t="str">
        <f>IF(D597="","",D597/SUM($D$597:$D$600))</f>
        <v/>
      </c>
      <c r="F597" s="1004" t="e">
        <f>IF(J597="","$",IF(C597="当選","-",D597*100/MAX($D$597:$D$600)))</f>
        <v>#DIV/0!</v>
      </c>
      <c r="G597" s="687" t="s">
        <v>2189</v>
      </c>
      <c r="H597" s="687">
        <v>45</v>
      </c>
      <c r="I597" s="696" t="s">
        <v>19</v>
      </c>
      <c r="J597" s="689" t="s">
        <v>15273</v>
      </c>
      <c r="K597" s="747" t="s">
        <v>2190</v>
      </c>
      <c r="L597" s="687"/>
      <c r="M597" s="687"/>
      <c r="N597" s="692" t="s">
        <v>16127</v>
      </c>
      <c r="O597" s="687" t="s">
        <v>44</v>
      </c>
      <c r="P597" s="687" t="s">
        <v>25</v>
      </c>
      <c r="Q597" s="748">
        <v>3</v>
      </c>
      <c r="R597" s="749">
        <v>3</v>
      </c>
      <c r="S597" s="805" t="s">
        <v>736</v>
      </c>
    </row>
    <row r="598" spans="1:19" ht="12" customHeight="1">
      <c r="A598" s="1040" t="str">
        <f t="shared" si="242"/>
        <v>129</v>
      </c>
      <c r="B598" s="4" t="s">
        <v>2187</v>
      </c>
      <c r="C598" s="4"/>
      <c r="D598" s="1008"/>
      <c r="E598" s="1002" t="str">
        <f t="shared" ref="E598:E600" si="249">IF(D598="","",D598/SUM($D$597:$D$600))</f>
        <v/>
      </c>
      <c r="F598" s="1005" t="e">
        <f t="shared" ref="F598:F600" si="250">IF(J598="","$",IF(C598="当選","-",D598*100/MAX($D$597:$D$600)))</f>
        <v>#DIV/0!</v>
      </c>
      <c r="G598" s="1" t="s">
        <v>2195</v>
      </c>
      <c r="H598" s="1">
        <v>28</v>
      </c>
      <c r="I598" s="2" t="s">
        <v>5</v>
      </c>
      <c r="J598" s="1" t="s">
        <v>15273</v>
      </c>
      <c r="K598" s="3"/>
      <c r="L598" s="1"/>
      <c r="M598" s="1"/>
      <c r="N598" s="4" t="s">
        <v>16120</v>
      </c>
      <c r="O598" s="1" t="s">
        <v>30</v>
      </c>
      <c r="P598" s="1" t="s">
        <v>6</v>
      </c>
      <c r="Q598" s="16"/>
      <c r="R598" s="17"/>
      <c r="S598" s="774" t="s">
        <v>5457</v>
      </c>
    </row>
    <row r="599" spans="1:19" ht="12" customHeight="1">
      <c r="A599" s="1040" t="str">
        <f t="shared" si="242"/>
        <v>129</v>
      </c>
      <c r="B599" s="4" t="s">
        <v>2188</v>
      </c>
      <c r="C599" s="4"/>
      <c r="D599" s="1008"/>
      <c r="E599" s="1002" t="str">
        <f t="shared" si="249"/>
        <v/>
      </c>
      <c r="F599" s="1005" t="e">
        <f t="shared" si="250"/>
        <v>#DIV/0!</v>
      </c>
      <c r="G599" s="1" t="s">
        <v>2538</v>
      </c>
      <c r="H599" s="1">
        <v>31</v>
      </c>
      <c r="I599" s="2" t="s">
        <v>5</v>
      </c>
      <c r="J599" s="1" t="s">
        <v>15273</v>
      </c>
      <c r="K599" s="3"/>
      <c r="L599" s="1"/>
      <c r="M599" s="1"/>
      <c r="N599" s="4" t="s">
        <v>16125</v>
      </c>
      <c r="O599" s="1"/>
      <c r="P599" s="1" t="s">
        <v>6</v>
      </c>
      <c r="Q599" s="16"/>
      <c r="R599" s="17"/>
      <c r="S599" s="774" t="s">
        <v>5561</v>
      </c>
    </row>
    <row r="600" spans="1:19" ht="12" customHeight="1" thickBot="1">
      <c r="A600" s="916" t="str">
        <f t="shared" si="242"/>
        <v>129</v>
      </c>
      <c r="B600" s="700" t="s">
        <v>2537</v>
      </c>
      <c r="C600" s="700"/>
      <c r="D600" s="1009"/>
      <c r="E600" s="1003" t="str">
        <f t="shared" si="249"/>
        <v/>
      </c>
      <c r="F600" s="1041" t="str">
        <f t="shared" si="250"/>
        <v>$</v>
      </c>
      <c r="G600" s="906" t="s">
        <v>2198</v>
      </c>
      <c r="H600" s="906">
        <v>48</v>
      </c>
      <c r="I600" s="702" t="s">
        <v>5</v>
      </c>
      <c r="J600" s="906"/>
      <c r="K600" s="703"/>
      <c r="L600" s="906"/>
      <c r="M600" s="906"/>
      <c r="N600" s="700" t="s">
        <v>16117</v>
      </c>
      <c r="O600" s="906"/>
      <c r="P600" s="906" t="s">
        <v>6</v>
      </c>
      <c r="Q600" s="705"/>
      <c r="R600" s="903"/>
      <c r="S600" s="793"/>
    </row>
    <row r="601" spans="1:19" ht="12" customHeight="1">
      <c r="A601" s="1038" t="str">
        <f t="shared" si="242"/>
        <v>130</v>
      </c>
      <c r="B601" s="688" t="s">
        <v>2200</v>
      </c>
      <c r="C601" s="688"/>
      <c r="D601" s="1007"/>
      <c r="E601" s="1001" t="str">
        <f>IF(D601="","",D601/SUM($D$601:$D$604))</f>
        <v/>
      </c>
      <c r="F601" s="1004" t="e">
        <f>IF(J601="","$",IF(C601="当選","-",D601*100/MAX($D$601:$D$604)))</f>
        <v>#DIV/0!</v>
      </c>
      <c r="G601" s="687" t="s">
        <v>2204</v>
      </c>
      <c r="H601" s="687">
        <v>35</v>
      </c>
      <c r="I601" s="696" t="s">
        <v>5</v>
      </c>
      <c r="J601" s="689" t="s">
        <v>15273</v>
      </c>
      <c r="K601" s="747" t="s">
        <v>2205</v>
      </c>
      <c r="L601" s="687"/>
      <c r="M601" s="687"/>
      <c r="N601" s="692" t="s">
        <v>16127</v>
      </c>
      <c r="O601" s="687" t="s">
        <v>44</v>
      </c>
      <c r="P601" s="687" t="s">
        <v>25</v>
      </c>
      <c r="Q601" s="748">
        <v>2</v>
      </c>
      <c r="R601" s="749">
        <v>2</v>
      </c>
      <c r="S601" s="805" t="s">
        <v>736</v>
      </c>
    </row>
    <row r="602" spans="1:19" ht="12" customHeight="1">
      <c r="A602" s="1040" t="str">
        <f t="shared" si="242"/>
        <v>130</v>
      </c>
      <c r="B602" s="4" t="s">
        <v>2201</v>
      </c>
      <c r="C602" s="4"/>
      <c r="D602" s="1008"/>
      <c r="E602" s="1002" t="str">
        <f t="shared" ref="E602:E604" si="251">IF(D602="","",D602/SUM($D$601:$D$604))</f>
        <v/>
      </c>
      <c r="F602" s="1005" t="e">
        <f t="shared" ref="F602:F604" si="252">IF(J602="","$",IF(C602="当選","-",D602*100/MAX($D$601:$D$604)))</f>
        <v>#DIV/0!</v>
      </c>
      <c r="G602" s="1" t="s">
        <v>2209</v>
      </c>
      <c r="H602" s="1">
        <v>48</v>
      </c>
      <c r="I602" s="2" t="s">
        <v>5</v>
      </c>
      <c r="J602" s="1" t="s">
        <v>15273</v>
      </c>
      <c r="K602" s="3"/>
      <c r="L602" s="1"/>
      <c r="M602" s="1"/>
      <c r="N602" s="8" t="s">
        <v>16120</v>
      </c>
      <c r="O602" s="1" t="s">
        <v>30</v>
      </c>
      <c r="P602" s="1" t="s">
        <v>6</v>
      </c>
      <c r="Q602" s="16"/>
      <c r="R602" s="17"/>
      <c r="S602" s="774"/>
    </row>
    <row r="603" spans="1:19" ht="12" customHeight="1">
      <c r="A603" s="1040" t="str">
        <f t="shared" si="242"/>
        <v>130</v>
      </c>
      <c r="B603" s="4" t="s">
        <v>2202</v>
      </c>
      <c r="C603" s="4"/>
      <c r="D603" s="1008"/>
      <c r="E603" s="1002" t="str">
        <f t="shared" si="251"/>
        <v/>
      </c>
      <c r="F603" s="1005" t="str">
        <f t="shared" si="252"/>
        <v>$</v>
      </c>
      <c r="G603" s="1" t="s">
        <v>2211</v>
      </c>
      <c r="H603" s="1">
        <v>54</v>
      </c>
      <c r="I603" s="2" t="s">
        <v>5</v>
      </c>
      <c r="J603" s="1"/>
      <c r="K603" s="3"/>
      <c r="L603" s="1"/>
      <c r="M603" s="1"/>
      <c r="N603" s="4" t="s">
        <v>16117</v>
      </c>
      <c r="O603" s="1"/>
      <c r="P603" s="1" t="s">
        <v>6</v>
      </c>
      <c r="Q603" s="16"/>
      <c r="R603" s="17"/>
      <c r="S603" s="774"/>
    </row>
    <row r="604" spans="1:19" ht="12" customHeight="1" thickBot="1">
      <c r="A604" s="916" t="str">
        <f t="shared" si="242"/>
        <v>130</v>
      </c>
      <c r="B604" s="700" t="s">
        <v>2203</v>
      </c>
      <c r="C604" s="700"/>
      <c r="D604" s="1009"/>
      <c r="E604" s="1003" t="str">
        <f t="shared" si="251"/>
        <v/>
      </c>
      <c r="F604" s="1041" t="e">
        <f t="shared" si="252"/>
        <v>#DIV/0!</v>
      </c>
      <c r="G604" s="906" t="s">
        <v>2217</v>
      </c>
      <c r="H604" s="906">
        <v>62</v>
      </c>
      <c r="I604" s="702" t="s">
        <v>5</v>
      </c>
      <c r="J604" s="906" t="s">
        <v>15273</v>
      </c>
      <c r="K604" s="703"/>
      <c r="L604" s="906"/>
      <c r="M604" s="906"/>
      <c r="N604" s="700" t="s">
        <v>16121</v>
      </c>
      <c r="O604" s="906"/>
      <c r="P604" s="906" t="s">
        <v>6</v>
      </c>
      <c r="Q604" s="705"/>
      <c r="R604" s="903"/>
      <c r="S604" s="793"/>
    </row>
    <row r="605" spans="1:19" ht="12" customHeight="1">
      <c r="A605" s="1038" t="str">
        <f t="shared" si="242"/>
        <v>131</v>
      </c>
      <c r="B605" s="688" t="s">
        <v>2218</v>
      </c>
      <c r="C605" s="688"/>
      <c r="D605" s="1007"/>
      <c r="E605" s="1001" t="str">
        <f>IF(D605="","",D605/SUM($D$605:$D$608))</f>
        <v/>
      </c>
      <c r="F605" s="1004" t="e">
        <f>IF(J605="","$",IF(C605="当選","-",D605*100/MAX($D$605:$D$608)))</f>
        <v>#DIV/0!</v>
      </c>
      <c r="G605" s="687" t="s">
        <v>2221</v>
      </c>
      <c r="H605" s="687">
        <v>46</v>
      </c>
      <c r="I605" s="696" t="s">
        <v>5</v>
      </c>
      <c r="J605" s="689" t="s">
        <v>15273</v>
      </c>
      <c r="K605" s="747" t="s">
        <v>2222</v>
      </c>
      <c r="L605" s="687"/>
      <c r="M605" s="687"/>
      <c r="N605" s="692" t="s">
        <v>16126</v>
      </c>
      <c r="O605" s="687" t="s">
        <v>44</v>
      </c>
      <c r="P605" s="687" t="s">
        <v>25</v>
      </c>
      <c r="Q605" s="748">
        <v>1</v>
      </c>
      <c r="R605" s="749">
        <v>3</v>
      </c>
      <c r="S605" s="805" t="s">
        <v>736</v>
      </c>
    </row>
    <row r="606" spans="1:19" ht="12" customHeight="1">
      <c r="A606" s="1040" t="str">
        <f t="shared" si="242"/>
        <v>131</v>
      </c>
      <c r="B606" s="4" t="s">
        <v>2219</v>
      </c>
      <c r="C606" s="4"/>
      <c r="D606" s="1008"/>
      <c r="E606" s="1002" t="str">
        <f t="shared" ref="E606:E608" si="253">IF(D606="","",D606/SUM($D$605:$D$608))</f>
        <v/>
      </c>
      <c r="F606" s="1005" t="e">
        <f t="shared" ref="F606:F608" si="254">IF(J606="","$",IF(C606="当選","-",D606*100/MAX($D$605:$D$608)))</f>
        <v>#DIV/0!</v>
      </c>
      <c r="G606" s="1" t="s">
        <v>2229</v>
      </c>
      <c r="H606" s="1">
        <v>36</v>
      </c>
      <c r="I606" s="2" t="s">
        <v>5</v>
      </c>
      <c r="J606" s="1" t="s">
        <v>15273</v>
      </c>
      <c r="K606" s="3"/>
      <c r="L606" s="1"/>
      <c r="M606" s="1"/>
      <c r="N606" s="4" t="s">
        <v>16120</v>
      </c>
      <c r="O606" s="1" t="s">
        <v>445</v>
      </c>
      <c r="P606" s="1" t="s">
        <v>6</v>
      </c>
      <c r="Q606" s="16"/>
      <c r="R606" s="17"/>
      <c r="S606" s="774" t="s">
        <v>5457</v>
      </c>
    </row>
    <row r="607" spans="1:19" ht="12" customHeight="1">
      <c r="A607" s="1040" t="str">
        <f t="shared" si="242"/>
        <v>131</v>
      </c>
      <c r="B607" s="4" t="s">
        <v>2220</v>
      </c>
      <c r="C607" s="4"/>
      <c r="D607" s="1008"/>
      <c r="E607" s="1002" t="str">
        <f t="shared" si="253"/>
        <v/>
      </c>
      <c r="F607" s="1005" t="str">
        <f t="shared" si="254"/>
        <v>$</v>
      </c>
      <c r="G607" s="1" t="s">
        <v>2232</v>
      </c>
      <c r="H607" s="1">
        <v>50</v>
      </c>
      <c r="I607" s="2" t="s">
        <v>5</v>
      </c>
      <c r="J607" s="1"/>
      <c r="K607" s="3"/>
      <c r="L607" s="1"/>
      <c r="M607" s="1"/>
      <c r="N607" s="4" t="s">
        <v>16117</v>
      </c>
      <c r="O607" s="1"/>
      <c r="P607" s="1" t="s">
        <v>6</v>
      </c>
      <c r="Q607" s="16"/>
      <c r="R607" s="17"/>
      <c r="S607" s="774"/>
    </row>
    <row r="608" spans="1:19" ht="12" customHeight="1" thickBot="1">
      <c r="A608" s="916" t="str">
        <f t="shared" si="242"/>
        <v>131</v>
      </c>
      <c r="B608" s="700" t="s">
        <v>5652</v>
      </c>
      <c r="C608" s="700"/>
      <c r="D608" s="1009"/>
      <c r="E608" s="1003" t="str">
        <f t="shared" si="253"/>
        <v/>
      </c>
      <c r="F608" s="1041" t="str">
        <f t="shared" si="254"/>
        <v>$</v>
      </c>
      <c r="G608" s="906" t="s">
        <v>5653</v>
      </c>
      <c r="H608" s="906">
        <v>66</v>
      </c>
      <c r="I608" s="702" t="s">
        <v>5</v>
      </c>
      <c r="J608" s="906"/>
      <c r="K608" s="703"/>
      <c r="L608" s="906"/>
      <c r="M608" s="906"/>
      <c r="N608" s="704" t="s">
        <v>16129</v>
      </c>
      <c r="O608" s="906"/>
      <c r="P608" s="906" t="s">
        <v>6</v>
      </c>
      <c r="Q608" s="705"/>
      <c r="R608" s="903"/>
      <c r="S608" s="793"/>
    </row>
    <row r="609" spans="1:19" ht="12" customHeight="1">
      <c r="A609" s="1038" t="str">
        <f t="shared" si="242"/>
        <v>132</v>
      </c>
      <c r="B609" s="688" t="s">
        <v>2235</v>
      </c>
      <c r="C609" s="688"/>
      <c r="D609" s="1007"/>
      <c r="E609" s="1001" t="str">
        <f>IF(D609="","",D609/SUM($D$609:$D$612))</f>
        <v/>
      </c>
      <c r="F609" s="1004" t="e">
        <f>IF(J609="","$",IF(C609="当選","-",D609*100/MAX($D$609:$D$612)))</f>
        <v>#DIV/0!</v>
      </c>
      <c r="G609" s="687" t="s">
        <v>2239</v>
      </c>
      <c r="H609" s="687">
        <v>43</v>
      </c>
      <c r="I609" s="696" t="s">
        <v>19</v>
      </c>
      <c r="J609" s="689" t="s">
        <v>15273</v>
      </c>
      <c r="K609" s="747" t="s">
        <v>2240</v>
      </c>
      <c r="L609" s="687"/>
      <c r="M609" s="687"/>
      <c r="N609" s="692" t="s">
        <v>16127</v>
      </c>
      <c r="O609" s="687" t="s">
        <v>737</v>
      </c>
      <c r="P609" s="687" t="s">
        <v>25</v>
      </c>
      <c r="Q609" s="748">
        <v>3</v>
      </c>
      <c r="R609" s="749">
        <v>3</v>
      </c>
      <c r="S609" s="805" t="s">
        <v>736</v>
      </c>
    </row>
    <row r="610" spans="1:19" ht="12" customHeight="1">
      <c r="A610" s="1040" t="str">
        <f t="shared" si="242"/>
        <v>132</v>
      </c>
      <c r="B610" s="4" t="s">
        <v>2236</v>
      </c>
      <c r="C610" s="4"/>
      <c r="D610" s="1008"/>
      <c r="E610" s="1002" t="str">
        <f t="shared" ref="E610:E612" si="255">IF(D610="","",D610/SUM($D$609:$D$612))</f>
        <v/>
      </c>
      <c r="F610" s="1005" t="e">
        <f t="shared" ref="F610:F612" si="256">IF(J610="","$",IF(C610="当選","-",D610*100/MAX($D$609:$D$612)))</f>
        <v>#DIV/0!</v>
      </c>
      <c r="G610" s="1" t="s">
        <v>2245</v>
      </c>
      <c r="H610" s="1">
        <v>34</v>
      </c>
      <c r="I610" s="2" t="s">
        <v>19</v>
      </c>
      <c r="J610" s="1" t="s">
        <v>15273</v>
      </c>
      <c r="K610" s="3"/>
      <c r="L610" s="1"/>
      <c r="M610" s="1"/>
      <c r="N610" s="4" t="s">
        <v>16120</v>
      </c>
      <c r="O610" s="1" t="s">
        <v>30</v>
      </c>
      <c r="P610" s="1" t="s">
        <v>6</v>
      </c>
      <c r="Q610" s="16"/>
      <c r="R610" s="17"/>
      <c r="S610" s="774"/>
    </row>
    <row r="611" spans="1:19" ht="12" customHeight="1">
      <c r="A611" s="1040" t="str">
        <f t="shared" si="242"/>
        <v>132</v>
      </c>
      <c r="B611" s="4" t="s">
        <v>2237</v>
      </c>
      <c r="C611" s="4"/>
      <c r="D611" s="1008"/>
      <c r="E611" s="1002" t="str">
        <f t="shared" si="255"/>
        <v/>
      </c>
      <c r="F611" s="1005" t="e">
        <f t="shared" si="256"/>
        <v>#DIV/0!</v>
      </c>
      <c r="G611" s="1" t="s">
        <v>2252</v>
      </c>
      <c r="H611" s="1">
        <v>64</v>
      </c>
      <c r="I611" s="2" t="s">
        <v>5</v>
      </c>
      <c r="J611" s="1" t="s">
        <v>15273</v>
      </c>
      <c r="K611" s="3"/>
      <c r="L611" s="1"/>
      <c r="M611" s="1"/>
      <c r="N611" s="4" t="s">
        <v>16116</v>
      </c>
      <c r="O611" s="1" t="s">
        <v>276</v>
      </c>
      <c r="P611" s="1" t="s">
        <v>14</v>
      </c>
      <c r="Q611" s="16">
        <v>3</v>
      </c>
      <c r="R611" s="17">
        <v>3</v>
      </c>
      <c r="S611" s="774"/>
    </row>
    <row r="612" spans="1:19" ht="12" customHeight="1" thickBot="1">
      <c r="A612" s="916" t="str">
        <f t="shared" si="242"/>
        <v>132</v>
      </c>
      <c r="B612" s="700" t="s">
        <v>2238</v>
      </c>
      <c r="C612" s="700"/>
      <c r="D612" s="1009"/>
      <c r="E612" s="1003" t="str">
        <f t="shared" si="255"/>
        <v/>
      </c>
      <c r="F612" s="1041" t="str">
        <f t="shared" si="256"/>
        <v>$</v>
      </c>
      <c r="G612" s="906" t="s">
        <v>2249</v>
      </c>
      <c r="H612" s="906">
        <v>32</v>
      </c>
      <c r="I612" s="702" t="s">
        <v>5</v>
      </c>
      <c r="J612" s="906"/>
      <c r="K612" s="703"/>
      <c r="L612" s="906"/>
      <c r="M612" s="906"/>
      <c r="N612" s="700" t="s">
        <v>16117</v>
      </c>
      <c r="O612" s="906"/>
      <c r="P612" s="906" t="s">
        <v>6</v>
      </c>
      <c r="Q612" s="705"/>
      <c r="R612" s="903"/>
      <c r="S612" s="793"/>
    </row>
    <row r="613" spans="1:19" ht="12" customHeight="1">
      <c r="A613" s="1038" t="str">
        <f t="shared" si="242"/>
        <v>133</v>
      </c>
      <c r="B613" s="688" t="s">
        <v>2256</v>
      </c>
      <c r="C613" s="688"/>
      <c r="D613" s="1007"/>
      <c r="E613" s="1001" t="str">
        <f>IF(D613="","",D613/SUM($D$613:$D$616))</f>
        <v/>
      </c>
      <c r="F613" s="1004" t="e">
        <f>IF(J613="","$",IF(C613="当選","-",D613*100/MAX($D$613:$D$616)))</f>
        <v>#DIV/0!</v>
      </c>
      <c r="G613" s="687" t="s">
        <v>2259</v>
      </c>
      <c r="H613" s="687">
        <v>68</v>
      </c>
      <c r="I613" s="696" t="s">
        <v>19</v>
      </c>
      <c r="J613" s="689" t="s">
        <v>15273</v>
      </c>
      <c r="K613" s="747" t="s">
        <v>2260</v>
      </c>
      <c r="L613" s="687"/>
      <c r="M613" s="687"/>
      <c r="N613" s="692" t="s">
        <v>16127</v>
      </c>
      <c r="O613" s="687" t="s">
        <v>44</v>
      </c>
      <c r="P613" s="687" t="s">
        <v>25</v>
      </c>
      <c r="Q613" s="748">
        <v>6</v>
      </c>
      <c r="R613" s="749">
        <v>6</v>
      </c>
      <c r="S613" s="805" t="s">
        <v>736</v>
      </c>
    </row>
    <row r="614" spans="1:19" ht="12" customHeight="1">
      <c r="A614" s="1040" t="str">
        <f t="shared" si="242"/>
        <v>133</v>
      </c>
      <c r="B614" s="4" t="s">
        <v>2257</v>
      </c>
      <c r="C614" s="4"/>
      <c r="D614" s="1008"/>
      <c r="E614" s="1002" t="str">
        <f t="shared" ref="E614:E616" si="257">IF(D614="","",D614/SUM($D$613:$D$616))</f>
        <v/>
      </c>
      <c r="F614" s="1005" t="e">
        <f t="shared" ref="F614:F616" si="258">IF(J614="","$",IF(C614="当選","-",D614*100/MAX($D$613:$D$616)))</f>
        <v>#DIV/0!</v>
      </c>
      <c r="G614" s="1" t="s">
        <v>2264</v>
      </c>
      <c r="H614" s="1">
        <v>61</v>
      </c>
      <c r="I614" s="2" t="s">
        <v>5</v>
      </c>
      <c r="J614" s="1" t="s">
        <v>15273</v>
      </c>
      <c r="K614" s="3" t="s">
        <v>2265</v>
      </c>
      <c r="L614" s="1"/>
      <c r="M614" s="1"/>
      <c r="N614" s="8" t="s">
        <v>16120</v>
      </c>
      <c r="O614" s="1" t="s">
        <v>65</v>
      </c>
      <c r="P614" s="1" t="s">
        <v>25</v>
      </c>
      <c r="Q614" s="16">
        <v>2</v>
      </c>
      <c r="R614" s="17">
        <v>2</v>
      </c>
      <c r="S614" s="774" t="s">
        <v>5457</v>
      </c>
    </row>
    <row r="615" spans="1:19" ht="12" customHeight="1">
      <c r="A615" s="1040" t="str">
        <f t="shared" si="242"/>
        <v>133</v>
      </c>
      <c r="B615" s="4" t="s">
        <v>2258</v>
      </c>
      <c r="C615" s="4"/>
      <c r="D615" s="1008"/>
      <c r="E615" s="1002" t="str">
        <f t="shared" si="257"/>
        <v/>
      </c>
      <c r="F615" s="1005" t="e">
        <f t="shared" si="258"/>
        <v>#DIV/0!</v>
      </c>
      <c r="G615" s="1" t="s">
        <v>5404</v>
      </c>
      <c r="H615" s="1">
        <v>45</v>
      </c>
      <c r="I615" s="2" t="s">
        <v>5</v>
      </c>
      <c r="J615" s="1" t="s">
        <v>15273</v>
      </c>
      <c r="K615" s="3"/>
      <c r="L615" s="1"/>
      <c r="M615" s="1"/>
      <c r="N615" s="4" t="s">
        <v>16116</v>
      </c>
      <c r="O615" s="1" t="s">
        <v>276</v>
      </c>
      <c r="P615" s="1" t="s">
        <v>6</v>
      </c>
      <c r="Q615" s="16"/>
      <c r="R615" s="17"/>
      <c r="S615" s="774" t="s">
        <v>6154</v>
      </c>
    </row>
    <row r="616" spans="1:19" ht="12" customHeight="1" thickBot="1">
      <c r="A616" s="916" t="str">
        <f t="shared" si="242"/>
        <v>133</v>
      </c>
      <c r="B616" s="700" t="s">
        <v>5402</v>
      </c>
      <c r="C616" s="700"/>
      <c r="D616" s="1009"/>
      <c r="E616" s="1003" t="str">
        <f t="shared" si="257"/>
        <v/>
      </c>
      <c r="F616" s="1041" t="str">
        <f t="shared" si="258"/>
        <v>$</v>
      </c>
      <c r="G616" s="906" t="s">
        <v>2269</v>
      </c>
      <c r="H616" s="906">
        <v>43</v>
      </c>
      <c r="I616" s="702" t="s">
        <v>5</v>
      </c>
      <c r="J616" s="906"/>
      <c r="K616" s="703"/>
      <c r="L616" s="906"/>
      <c r="M616" s="906"/>
      <c r="N616" s="700" t="s">
        <v>16117</v>
      </c>
      <c r="O616" s="906"/>
      <c r="P616" s="906" t="s">
        <v>6</v>
      </c>
      <c r="Q616" s="705"/>
      <c r="R616" s="903"/>
      <c r="S616" s="793"/>
    </row>
    <row r="617" spans="1:19" ht="12" customHeight="1">
      <c r="A617" s="1038" t="str">
        <f t="shared" si="242"/>
        <v>134</v>
      </c>
      <c r="B617" s="688" t="s">
        <v>2272</v>
      </c>
      <c r="C617" s="688"/>
      <c r="D617" s="1007"/>
      <c r="E617" s="1001" t="str">
        <f>IF(D617="","",D617/SUM($D$617:$D$619))</f>
        <v/>
      </c>
      <c r="F617" s="1004" t="e">
        <f>IF(J617="","$",IF(C617="当選","-",D617*100/MAX($D$617:$D$619)))</f>
        <v>#DIV/0!</v>
      </c>
      <c r="G617" s="687" t="s">
        <v>2275</v>
      </c>
      <c r="H617" s="687">
        <v>68</v>
      </c>
      <c r="I617" s="696" t="s">
        <v>5</v>
      </c>
      <c r="J617" s="689" t="s">
        <v>15273</v>
      </c>
      <c r="K617" s="747" t="s">
        <v>2276</v>
      </c>
      <c r="L617" s="687"/>
      <c r="M617" s="687"/>
      <c r="N617" s="692" t="s">
        <v>16126</v>
      </c>
      <c r="O617" s="687" t="s">
        <v>45</v>
      </c>
      <c r="P617" s="687" t="s">
        <v>25</v>
      </c>
      <c r="Q617" s="748">
        <v>5</v>
      </c>
      <c r="R617" s="749">
        <v>5</v>
      </c>
      <c r="S617" s="805" t="s">
        <v>736</v>
      </c>
    </row>
    <row r="618" spans="1:19" ht="12" customHeight="1">
      <c r="A618" s="1040" t="str">
        <f t="shared" si="242"/>
        <v>134</v>
      </c>
      <c r="B618" s="4" t="s">
        <v>2273</v>
      </c>
      <c r="C618" s="4"/>
      <c r="D618" s="1008"/>
      <c r="E618" s="1002" t="str">
        <f t="shared" ref="E618:E619" si="259">IF(D618="","",D618/SUM($D$617:$D$619))</f>
        <v/>
      </c>
      <c r="F618" s="1005" t="e">
        <f t="shared" ref="F618:F619" si="260">IF(J618="","$",IF(C618="当選","-",D618*100/MAX($D$617:$D$619)))</f>
        <v>#DIV/0!</v>
      </c>
      <c r="G618" s="1" t="s">
        <v>2280</v>
      </c>
      <c r="H618" s="1">
        <v>52</v>
      </c>
      <c r="I618" s="2" t="s">
        <v>5</v>
      </c>
      <c r="J618" s="1" t="s">
        <v>15273</v>
      </c>
      <c r="K618" s="3"/>
      <c r="L618" s="1"/>
      <c r="M618" s="1"/>
      <c r="N618" s="4" t="s">
        <v>16120</v>
      </c>
      <c r="O618" s="1" t="s">
        <v>48</v>
      </c>
      <c r="P618" s="1" t="s">
        <v>14</v>
      </c>
      <c r="Q618" s="16">
        <v>1</v>
      </c>
      <c r="R618" s="17">
        <v>1</v>
      </c>
      <c r="S618" s="774" t="s">
        <v>5457</v>
      </c>
    </row>
    <row r="619" spans="1:19" ht="12" customHeight="1" thickBot="1">
      <c r="A619" s="916" t="str">
        <f t="shared" si="242"/>
        <v>134</v>
      </c>
      <c r="B619" s="700" t="s">
        <v>2274</v>
      </c>
      <c r="C619" s="700"/>
      <c r="D619" s="1009"/>
      <c r="E619" s="1003" t="str">
        <f t="shared" si="259"/>
        <v/>
      </c>
      <c r="F619" s="1041" t="str">
        <f t="shared" si="260"/>
        <v>$</v>
      </c>
      <c r="G619" s="906" t="s">
        <v>2282</v>
      </c>
      <c r="H619" s="906">
        <v>53</v>
      </c>
      <c r="I619" s="702" t="s">
        <v>19</v>
      </c>
      <c r="J619" s="906"/>
      <c r="K619" s="703"/>
      <c r="L619" s="906"/>
      <c r="M619" s="906"/>
      <c r="N619" s="700" t="s">
        <v>16117</v>
      </c>
      <c r="O619" s="906"/>
      <c r="P619" s="906" t="s">
        <v>6</v>
      </c>
      <c r="Q619" s="705"/>
      <c r="R619" s="903"/>
      <c r="S619" s="793"/>
    </row>
    <row r="620" spans="1:19" ht="12" customHeight="1">
      <c r="A620" s="1038" t="str">
        <f t="shared" si="242"/>
        <v>135</v>
      </c>
      <c r="B620" s="688" t="s">
        <v>2285</v>
      </c>
      <c r="C620" s="688"/>
      <c r="D620" s="1007"/>
      <c r="E620" s="1001" t="str">
        <f>IF(D620="","",D620/SUM($D$620:$D$623))</f>
        <v/>
      </c>
      <c r="F620" s="1004" t="e">
        <f>IF(J620="","$",IF(C620="当選","-",D620*100/MAX($D$620:$D$623)))</f>
        <v>#DIV/0!</v>
      </c>
      <c r="G620" s="687" t="s">
        <v>2289</v>
      </c>
      <c r="H620" s="687">
        <v>39</v>
      </c>
      <c r="I620" s="696" t="s">
        <v>5</v>
      </c>
      <c r="J620" s="689" t="s">
        <v>15273</v>
      </c>
      <c r="K620" s="747" t="s">
        <v>2290</v>
      </c>
      <c r="L620" s="687"/>
      <c r="M620" s="687"/>
      <c r="N620" s="692" t="s">
        <v>16127</v>
      </c>
      <c r="O620" s="687" t="s">
        <v>44</v>
      </c>
      <c r="P620" s="687" t="s">
        <v>25</v>
      </c>
      <c r="Q620" s="748">
        <v>3</v>
      </c>
      <c r="R620" s="749">
        <v>3</v>
      </c>
      <c r="S620" s="805"/>
    </row>
    <row r="621" spans="1:19" ht="12" customHeight="1">
      <c r="A621" s="1040" t="str">
        <f t="shared" si="242"/>
        <v>135</v>
      </c>
      <c r="B621" s="4" t="s">
        <v>2286</v>
      </c>
      <c r="C621" s="4"/>
      <c r="D621" s="1008"/>
      <c r="E621" s="1002" t="str">
        <f t="shared" ref="E621:E623" si="261">IF(D621="","",D621/SUM($D$620:$D$623))</f>
        <v/>
      </c>
      <c r="F621" s="1005" t="e">
        <f t="shared" ref="F621:F623" si="262">IF(J621="","$",IF(C621="当選","-",D621*100/MAX($D$620:$D$623)))</f>
        <v>#DIV/0!</v>
      </c>
      <c r="G621" s="1" t="s">
        <v>2294</v>
      </c>
      <c r="H621" s="1">
        <v>39</v>
      </c>
      <c r="I621" s="2" t="s">
        <v>5</v>
      </c>
      <c r="J621" s="1" t="s">
        <v>15273</v>
      </c>
      <c r="K621" s="3"/>
      <c r="L621" s="1"/>
      <c r="M621" s="1"/>
      <c r="N621" s="4" t="s">
        <v>16120</v>
      </c>
      <c r="O621" s="1" t="s">
        <v>30</v>
      </c>
      <c r="P621" s="1" t="s">
        <v>6</v>
      </c>
      <c r="Q621" s="16"/>
      <c r="R621" s="17"/>
      <c r="S621" s="774" t="s">
        <v>5457</v>
      </c>
    </row>
    <row r="622" spans="1:19" ht="12" customHeight="1">
      <c r="A622" s="1040" t="str">
        <f t="shared" si="242"/>
        <v>135</v>
      </c>
      <c r="B622" s="4" t="s">
        <v>2287</v>
      </c>
      <c r="C622" s="4"/>
      <c r="D622" s="1008"/>
      <c r="E622" s="1002" t="str">
        <f t="shared" si="261"/>
        <v/>
      </c>
      <c r="F622" s="1005" t="str">
        <f t="shared" si="262"/>
        <v>$</v>
      </c>
      <c r="G622" s="1" t="s">
        <v>2296</v>
      </c>
      <c r="H622" s="1">
        <v>65</v>
      </c>
      <c r="I622" s="2" t="s">
        <v>5</v>
      </c>
      <c r="J622" s="1"/>
      <c r="K622" s="3"/>
      <c r="L622" s="1"/>
      <c r="M622" s="1"/>
      <c r="N622" s="4" t="s">
        <v>16117</v>
      </c>
      <c r="O622" s="1"/>
      <c r="P622" s="1" t="s">
        <v>6</v>
      </c>
      <c r="Q622" s="16"/>
      <c r="R622" s="17"/>
      <c r="S622" s="774"/>
    </row>
    <row r="623" spans="1:19" ht="12" customHeight="1" thickBot="1">
      <c r="A623" s="916" t="str">
        <f t="shared" si="242"/>
        <v>135</v>
      </c>
      <c r="B623" s="700" t="s">
        <v>2288</v>
      </c>
      <c r="C623" s="700"/>
      <c r="D623" s="1009"/>
      <c r="E623" s="1003" t="str">
        <f t="shared" si="261"/>
        <v/>
      </c>
      <c r="F623" s="1041" t="str">
        <f t="shared" si="262"/>
        <v>$</v>
      </c>
      <c r="G623" s="906" t="s">
        <v>2299</v>
      </c>
      <c r="H623" s="906">
        <v>42</v>
      </c>
      <c r="I623" s="702" t="s">
        <v>5</v>
      </c>
      <c r="J623" s="906"/>
      <c r="K623" s="703"/>
      <c r="L623" s="906"/>
      <c r="M623" s="906"/>
      <c r="N623" s="700" t="s">
        <v>16129</v>
      </c>
      <c r="O623" s="906" t="s">
        <v>97</v>
      </c>
      <c r="P623" s="906" t="s">
        <v>6</v>
      </c>
      <c r="Q623" s="705"/>
      <c r="R623" s="903"/>
      <c r="S623" s="793" t="s">
        <v>5997</v>
      </c>
    </row>
    <row r="624" spans="1:19" ht="12" customHeight="1">
      <c r="A624" s="1038" t="str">
        <f t="shared" si="242"/>
        <v>136</v>
      </c>
      <c r="B624" s="688" t="s">
        <v>2301</v>
      </c>
      <c r="C624" s="688"/>
      <c r="D624" s="1007"/>
      <c r="E624" s="1001" t="str">
        <f>IF(D624="","",D624/SUM($D$624:$D$626))</f>
        <v/>
      </c>
      <c r="F624" s="1004" t="e">
        <f>IF(J624="","$",IF(C624="当選","-",D624*100/MAX($D$624:$D$626)))</f>
        <v>#DIV/0!</v>
      </c>
      <c r="G624" s="687" t="s">
        <v>2304</v>
      </c>
      <c r="H624" s="687">
        <v>61</v>
      </c>
      <c r="I624" s="696" t="s">
        <v>5</v>
      </c>
      <c r="J624" s="687" t="s">
        <v>15273</v>
      </c>
      <c r="K624" s="747" t="s">
        <v>2305</v>
      </c>
      <c r="L624" s="687"/>
      <c r="M624" s="687"/>
      <c r="N624" s="692" t="s">
        <v>16120</v>
      </c>
      <c r="O624" s="687" t="s">
        <v>476</v>
      </c>
      <c r="P624" s="687" t="s">
        <v>25</v>
      </c>
      <c r="Q624" s="748">
        <v>5</v>
      </c>
      <c r="R624" s="749">
        <v>5</v>
      </c>
      <c r="S624" s="805" t="s">
        <v>5457</v>
      </c>
    </row>
    <row r="625" spans="1:19" ht="12" customHeight="1">
      <c r="A625" s="1040" t="str">
        <f t="shared" si="242"/>
        <v>136</v>
      </c>
      <c r="B625" s="4" t="s">
        <v>2302</v>
      </c>
      <c r="C625" s="4"/>
      <c r="D625" s="1008"/>
      <c r="E625" s="1002" t="str">
        <f t="shared" ref="E625:E626" si="263">IF(D625="","",D625/SUM($D$624:$D$626))</f>
        <v/>
      </c>
      <c r="F625" s="1005" t="str">
        <f t="shared" ref="F625:F626" si="264">IF(J625="","$",IF(C625="当選","-",D625*100/MAX($D$624:$D$626)))</f>
        <v>$</v>
      </c>
      <c r="G625" s="1" t="s">
        <v>5702</v>
      </c>
      <c r="H625" s="1">
        <v>49</v>
      </c>
      <c r="I625" s="2" t="s">
        <v>5</v>
      </c>
      <c r="J625" s="1"/>
      <c r="K625" s="3"/>
      <c r="L625" s="1"/>
      <c r="M625" s="1"/>
      <c r="N625" s="4" t="s">
        <v>16117</v>
      </c>
      <c r="O625" s="1"/>
      <c r="P625" s="1" t="s">
        <v>6</v>
      </c>
      <c r="Q625" s="16"/>
      <c r="R625" s="17"/>
      <c r="S625" s="774"/>
    </row>
    <row r="626" spans="1:19" ht="12" customHeight="1" thickBot="1">
      <c r="A626" s="916" t="str">
        <f t="shared" si="242"/>
        <v>136</v>
      </c>
      <c r="B626" s="700" t="s">
        <v>2303</v>
      </c>
      <c r="C626" s="700"/>
      <c r="D626" s="1009"/>
      <c r="E626" s="1003" t="str">
        <f t="shared" si="263"/>
        <v/>
      </c>
      <c r="F626" s="1041" t="e">
        <f t="shared" si="264"/>
        <v>#DIV/0!</v>
      </c>
      <c r="G626" s="906" t="s">
        <v>2310</v>
      </c>
      <c r="H626" s="906">
        <v>52</v>
      </c>
      <c r="I626" s="702" t="s">
        <v>5</v>
      </c>
      <c r="J626" s="906" t="s">
        <v>15273</v>
      </c>
      <c r="K626" s="703"/>
      <c r="L626" s="906"/>
      <c r="M626" s="906"/>
      <c r="N626" s="700" t="s">
        <v>16121</v>
      </c>
      <c r="O626" s="906"/>
      <c r="P626" s="906" t="s">
        <v>6</v>
      </c>
      <c r="Q626" s="705"/>
      <c r="R626" s="903"/>
      <c r="S626" s="793"/>
    </row>
    <row r="627" spans="1:19" ht="12" customHeight="1">
      <c r="A627" s="1038" t="str">
        <f t="shared" si="242"/>
        <v>137</v>
      </c>
      <c r="B627" s="688" t="s">
        <v>2318</v>
      </c>
      <c r="C627" s="688"/>
      <c r="D627" s="1007"/>
      <c r="E627" s="1001" t="str">
        <f>IF(D627="","",D627/SUM($D$627:$D$629))</f>
        <v/>
      </c>
      <c r="F627" s="1004" t="e">
        <f>IF(J627="","$",IF(C627="当選","-",D627*100/MAX($D$627:$D$629)))</f>
        <v>#DIV/0!</v>
      </c>
      <c r="G627" s="687" t="s">
        <v>5446</v>
      </c>
      <c r="H627" s="687">
        <v>37</v>
      </c>
      <c r="I627" s="696" t="s">
        <v>5</v>
      </c>
      <c r="J627" s="689" t="s">
        <v>15273</v>
      </c>
      <c r="K627" s="747"/>
      <c r="L627" s="687"/>
      <c r="M627" s="687"/>
      <c r="N627" s="692" t="s">
        <v>16127</v>
      </c>
      <c r="O627" s="687" t="s">
        <v>44</v>
      </c>
      <c r="P627" s="687" t="s">
        <v>6</v>
      </c>
      <c r="Q627" s="748"/>
      <c r="R627" s="749"/>
      <c r="S627" s="805"/>
    </row>
    <row r="628" spans="1:19" ht="12" customHeight="1">
      <c r="A628" s="1040" t="str">
        <f t="shared" si="242"/>
        <v>137</v>
      </c>
      <c r="B628" s="4" t="s">
        <v>2319</v>
      </c>
      <c r="C628" s="4"/>
      <c r="D628" s="1008"/>
      <c r="E628" s="1002" t="str">
        <f t="shared" ref="E628:E629" si="265">IF(D628="","",D628/SUM($D$627:$D$629))</f>
        <v/>
      </c>
      <c r="F628" s="1005" t="e">
        <f t="shared" ref="F628:F629" si="266">IF(J628="","$",IF(C628="当選","-",D628*100/MAX($D$627:$D$629)))</f>
        <v>#DIV/0!</v>
      </c>
      <c r="G628" s="1" t="s">
        <v>2321</v>
      </c>
      <c r="H628" s="1">
        <v>51</v>
      </c>
      <c r="I628" s="2" t="s">
        <v>5</v>
      </c>
      <c r="J628" s="1" t="s">
        <v>15273</v>
      </c>
      <c r="K628" s="3" t="s">
        <v>2322</v>
      </c>
      <c r="L628" s="1"/>
      <c r="M628" s="1"/>
      <c r="N628" s="4" t="s">
        <v>16120</v>
      </c>
      <c r="O628" s="1" t="s">
        <v>30</v>
      </c>
      <c r="P628" s="1" t="s">
        <v>25</v>
      </c>
      <c r="Q628" s="16">
        <v>1</v>
      </c>
      <c r="R628" s="17">
        <v>1</v>
      </c>
      <c r="S628" s="774" t="s">
        <v>6051</v>
      </c>
    </row>
    <row r="629" spans="1:19" ht="12" customHeight="1" thickBot="1">
      <c r="A629" s="916" t="str">
        <f t="shared" si="242"/>
        <v>137</v>
      </c>
      <c r="B629" s="700" t="s">
        <v>2320</v>
      </c>
      <c r="C629" s="700"/>
      <c r="D629" s="1009"/>
      <c r="E629" s="1003" t="str">
        <f t="shared" si="265"/>
        <v/>
      </c>
      <c r="F629" s="1041" t="str">
        <f t="shared" si="266"/>
        <v>$</v>
      </c>
      <c r="G629" s="906" t="s">
        <v>2329</v>
      </c>
      <c r="H629" s="906">
        <v>55</v>
      </c>
      <c r="I629" s="702" t="s">
        <v>5</v>
      </c>
      <c r="J629" s="906"/>
      <c r="K629" s="703"/>
      <c r="L629" s="906"/>
      <c r="M629" s="906"/>
      <c r="N629" s="700" t="s">
        <v>16117</v>
      </c>
      <c r="O629" s="906"/>
      <c r="P629" s="906" t="s">
        <v>6</v>
      </c>
      <c r="Q629" s="705"/>
      <c r="R629" s="903"/>
      <c r="S629" s="793"/>
    </row>
    <row r="630" spans="1:19" ht="12" customHeight="1">
      <c r="A630" s="1038" t="str">
        <f t="shared" si="242"/>
        <v>138</v>
      </c>
      <c r="B630" s="688" t="s">
        <v>2332</v>
      </c>
      <c r="C630" s="688"/>
      <c r="D630" s="1007"/>
      <c r="E630" s="1001" t="str">
        <f>IF(D630="","",D630/SUM($D$630:$D$634))</f>
        <v/>
      </c>
      <c r="F630" s="1004" t="e">
        <f>IF(J630="","$",IF(C630="当選","-",D630*100/MAX($D$630:$D$634)))</f>
        <v>#DIV/0!</v>
      </c>
      <c r="G630" s="687" t="s">
        <v>2335</v>
      </c>
      <c r="H630" s="687">
        <v>53</v>
      </c>
      <c r="I630" s="696" t="s">
        <v>5</v>
      </c>
      <c r="J630" s="689" t="s">
        <v>15273</v>
      </c>
      <c r="K630" s="747" t="s">
        <v>2336</v>
      </c>
      <c r="L630" s="687"/>
      <c r="M630" s="687"/>
      <c r="N630" s="692" t="s">
        <v>16126</v>
      </c>
      <c r="O630" s="687" t="s">
        <v>44</v>
      </c>
      <c r="P630" s="687" t="s">
        <v>25</v>
      </c>
      <c r="Q630" s="748">
        <v>4</v>
      </c>
      <c r="R630" s="749">
        <v>4</v>
      </c>
      <c r="S630" s="805" t="s">
        <v>736</v>
      </c>
    </row>
    <row r="631" spans="1:19" ht="12" customHeight="1">
      <c r="A631" s="1040" t="str">
        <f t="shared" si="242"/>
        <v>138</v>
      </c>
      <c r="B631" s="4" t="s">
        <v>2333</v>
      </c>
      <c r="C631" s="4"/>
      <c r="D631" s="1008"/>
      <c r="E631" s="1002" t="str">
        <f t="shared" ref="E631:E634" si="267">IF(D631="","",D631/SUM($D$630:$D$634))</f>
        <v/>
      </c>
      <c r="F631" s="1005" t="e">
        <f t="shared" ref="F631:F634" si="268">IF(J631="","$",IF(C631="当選","-",D631*100/MAX($D$630:$D$634)))</f>
        <v>#DIV/0!</v>
      </c>
      <c r="G631" s="1" t="s">
        <v>2341</v>
      </c>
      <c r="H631" s="1">
        <v>51</v>
      </c>
      <c r="I631" s="2" t="s">
        <v>5</v>
      </c>
      <c r="J631" s="1" t="s">
        <v>15273</v>
      </c>
      <c r="K631" s="3" t="s">
        <v>2342</v>
      </c>
      <c r="L631" s="1"/>
      <c r="M631" s="1"/>
      <c r="N631" s="4" t="s">
        <v>16120</v>
      </c>
      <c r="O631" s="1" t="s">
        <v>48</v>
      </c>
      <c r="P631" s="1" t="s">
        <v>25</v>
      </c>
      <c r="Q631" s="16">
        <v>4</v>
      </c>
      <c r="R631" s="17">
        <v>5</v>
      </c>
      <c r="S631" s="774" t="s">
        <v>6051</v>
      </c>
    </row>
    <row r="632" spans="1:19" ht="12" customHeight="1">
      <c r="A632" s="1040" t="str">
        <f t="shared" si="242"/>
        <v>138</v>
      </c>
      <c r="B632" s="4" t="s">
        <v>2334</v>
      </c>
      <c r="C632" s="4"/>
      <c r="D632" s="1008"/>
      <c r="E632" s="1002" t="str">
        <f t="shared" si="267"/>
        <v/>
      </c>
      <c r="F632" s="1005" t="str">
        <f t="shared" si="268"/>
        <v>$</v>
      </c>
      <c r="G632" s="1" t="s">
        <v>6189</v>
      </c>
      <c r="H632" s="1">
        <v>42</v>
      </c>
      <c r="I632" s="2" t="s">
        <v>5</v>
      </c>
      <c r="J632" s="1"/>
      <c r="K632" s="3"/>
      <c r="L632" s="1"/>
      <c r="M632" s="1"/>
      <c r="N632" s="4" t="s">
        <v>16125</v>
      </c>
      <c r="O632" s="1"/>
      <c r="P632" s="1" t="s">
        <v>6</v>
      </c>
      <c r="Q632" s="16"/>
      <c r="R632" s="17"/>
      <c r="S632" s="774" t="s">
        <v>5561</v>
      </c>
    </row>
    <row r="633" spans="1:19" ht="12" customHeight="1">
      <c r="A633" s="1040" t="str">
        <f t="shared" si="242"/>
        <v>138</v>
      </c>
      <c r="B633" s="4" t="s">
        <v>5210</v>
      </c>
      <c r="C633" s="4"/>
      <c r="D633" s="1008"/>
      <c r="E633" s="1002" t="str">
        <f t="shared" si="267"/>
        <v/>
      </c>
      <c r="F633" s="1005" t="e">
        <f t="shared" si="268"/>
        <v>#DIV/0!</v>
      </c>
      <c r="G633" s="1" t="s">
        <v>5211</v>
      </c>
      <c r="H633" s="1">
        <v>31</v>
      </c>
      <c r="I633" s="2" t="s">
        <v>5</v>
      </c>
      <c r="J633" s="1" t="s">
        <v>15273</v>
      </c>
      <c r="K633" s="3"/>
      <c r="L633" s="1"/>
      <c r="M633" s="1"/>
      <c r="N633" s="4" t="s">
        <v>16116</v>
      </c>
      <c r="O633" s="1" t="s">
        <v>18494</v>
      </c>
      <c r="P633" s="1" t="s">
        <v>6</v>
      </c>
      <c r="Q633" s="16"/>
      <c r="R633" s="17"/>
      <c r="S633" s="774" t="s">
        <v>6154</v>
      </c>
    </row>
    <row r="634" spans="1:19" ht="12" customHeight="1" thickBot="1">
      <c r="A634" s="916" t="str">
        <f t="shared" si="242"/>
        <v>138</v>
      </c>
      <c r="B634" s="700" t="s">
        <v>6188</v>
      </c>
      <c r="C634" s="700"/>
      <c r="D634" s="1009"/>
      <c r="E634" s="1003" t="str">
        <f t="shared" si="267"/>
        <v/>
      </c>
      <c r="F634" s="1041" t="str">
        <f t="shared" si="268"/>
        <v>$</v>
      </c>
      <c r="G634" s="906" t="s">
        <v>2349</v>
      </c>
      <c r="H634" s="906">
        <v>64</v>
      </c>
      <c r="I634" s="702" t="s">
        <v>5</v>
      </c>
      <c r="J634" s="906"/>
      <c r="K634" s="703"/>
      <c r="L634" s="906"/>
      <c r="M634" s="906"/>
      <c r="N634" s="700" t="s">
        <v>16117</v>
      </c>
      <c r="O634" s="906"/>
      <c r="P634" s="906" t="s">
        <v>6</v>
      </c>
      <c r="Q634" s="705"/>
      <c r="R634" s="903"/>
      <c r="S634" s="793"/>
    </row>
    <row r="635" spans="1:19" ht="12" customHeight="1">
      <c r="A635" s="1038" t="str">
        <f t="shared" si="242"/>
        <v>139</v>
      </c>
      <c r="B635" s="688" t="s">
        <v>2352</v>
      </c>
      <c r="C635" s="688"/>
      <c r="D635" s="1007"/>
      <c r="E635" s="1001" t="str">
        <f>IF(D635="","",D635/SUM($D$635:$D$638))</f>
        <v/>
      </c>
      <c r="F635" s="1004" t="e">
        <f>IF(J635="","$",IF(C635="当選","-",D635*100/MAX($D$635:$D$638)))</f>
        <v>#DIV/0!</v>
      </c>
      <c r="G635" s="687" t="s">
        <v>5309</v>
      </c>
      <c r="H635" s="687">
        <v>65</v>
      </c>
      <c r="I635" s="696" t="s">
        <v>19</v>
      </c>
      <c r="J635" s="689" t="s">
        <v>15273</v>
      </c>
      <c r="K635" s="747"/>
      <c r="L635" s="687"/>
      <c r="M635" s="687"/>
      <c r="N635" s="692" t="s">
        <v>16127</v>
      </c>
      <c r="O635" s="687" t="s">
        <v>44</v>
      </c>
      <c r="P635" s="687" t="s">
        <v>6</v>
      </c>
      <c r="Q635" s="748"/>
      <c r="R635" s="749"/>
      <c r="S635" s="805" t="s">
        <v>736</v>
      </c>
    </row>
    <row r="636" spans="1:19" ht="12" customHeight="1">
      <c r="A636" s="1040" t="str">
        <f t="shared" si="242"/>
        <v>139</v>
      </c>
      <c r="B636" s="4" t="s">
        <v>2353</v>
      </c>
      <c r="C636" s="4"/>
      <c r="D636" s="1008"/>
      <c r="E636" s="1002" t="str">
        <f t="shared" ref="E636:E638" si="269">IF(D636="","",D636/SUM($D$635:$D$638))</f>
        <v/>
      </c>
      <c r="F636" s="1005" t="e">
        <f t="shared" ref="F636:F638" si="270">IF(J636="","$",IF(C636="当選","-",D636*100/MAX($D$635:$D$638)))</f>
        <v>#DIV/0!</v>
      </c>
      <c r="G636" s="1" t="s">
        <v>2358</v>
      </c>
      <c r="H636" s="1">
        <v>38</v>
      </c>
      <c r="I636" s="2" t="s">
        <v>5</v>
      </c>
      <c r="J636" s="1" t="s">
        <v>15273</v>
      </c>
      <c r="K636" s="3"/>
      <c r="L636" s="1"/>
      <c r="M636" s="1"/>
      <c r="N636" s="8" t="s">
        <v>16120</v>
      </c>
      <c r="O636" s="1" t="s">
        <v>48</v>
      </c>
      <c r="P636" s="1" t="s">
        <v>6</v>
      </c>
      <c r="Q636" s="16"/>
      <c r="R636" s="17"/>
      <c r="S636" s="774" t="s">
        <v>6051</v>
      </c>
    </row>
    <row r="637" spans="1:19" ht="12" customHeight="1">
      <c r="A637" s="1040" t="str">
        <f t="shared" si="242"/>
        <v>139</v>
      </c>
      <c r="B637" s="4" t="s">
        <v>2354</v>
      </c>
      <c r="C637" s="4"/>
      <c r="D637" s="1008"/>
      <c r="E637" s="1002" t="str">
        <f t="shared" si="269"/>
        <v/>
      </c>
      <c r="F637" s="1005" t="str">
        <f t="shared" si="270"/>
        <v>$</v>
      </c>
      <c r="G637" s="1" t="s">
        <v>2360</v>
      </c>
      <c r="H637" s="1">
        <v>58</v>
      </c>
      <c r="I637" s="2" t="s">
        <v>5</v>
      </c>
      <c r="J637" s="1"/>
      <c r="K637" s="3"/>
      <c r="L637" s="1"/>
      <c r="M637" s="1"/>
      <c r="N637" s="4" t="s">
        <v>16117</v>
      </c>
      <c r="O637" s="1"/>
      <c r="P637" s="1" t="s">
        <v>6</v>
      </c>
      <c r="Q637" s="16"/>
      <c r="R637" s="17"/>
      <c r="S637" s="774"/>
    </row>
    <row r="638" spans="1:19" ht="12" customHeight="1" thickBot="1">
      <c r="A638" s="916" t="str">
        <f t="shared" si="242"/>
        <v>139</v>
      </c>
      <c r="B638" s="700" t="s">
        <v>2355</v>
      </c>
      <c r="C638" s="700"/>
      <c r="D638" s="1009"/>
      <c r="E638" s="1003" t="str">
        <f t="shared" si="269"/>
        <v/>
      </c>
      <c r="F638" s="1041" t="e">
        <f t="shared" si="270"/>
        <v>#DIV/0!</v>
      </c>
      <c r="G638" s="906" t="s">
        <v>2363</v>
      </c>
      <c r="H638" s="906">
        <v>59</v>
      </c>
      <c r="I638" s="702" t="s">
        <v>5</v>
      </c>
      <c r="J638" s="906" t="s">
        <v>15273</v>
      </c>
      <c r="K638" s="703"/>
      <c r="L638" s="906"/>
      <c r="M638" s="906"/>
      <c r="N638" s="704" t="s">
        <v>16121</v>
      </c>
      <c r="O638" s="906"/>
      <c r="P638" s="906" t="s">
        <v>6</v>
      </c>
      <c r="Q638" s="705"/>
      <c r="R638" s="903"/>
      <c r="S638" s="793"/>
    </row>
    <row r="639" spans="1:19" ht="12" customHeight="1">
      <c r="A639" s="1038" t="str">
        <f t="shared" si="242"/>
        <v>140</v>
      </c>
      <c r="B639" s="688" t="s">
        <v>2366</v>
      </c>
      <c r="C639" s="688"/>
      <c r="D639" s="1007"/>
      <c r="E639" s="1001" t="str">
        <f>IF(D639="","",D639/SUM($D$639:$D$641))</f>
        <v/>
      </c>
      <c r="F639" s="1004" t="e">
        <f>IF(J639="","$",IF(C639="当選","-",D639*100/MAX($D$639:$D$641)))</f>
        <v>#DIV/0!</v>
      </c>
      <c r="G639" s="687" t="s">
        <v>2369</v>
      </c>
      <c r="H639" s="687">
        <v>39</v>
      </c>
      <c r="I639" s="696" t="s">
        <v>5</v>
      </c>
      <c r="J639" s="689" t="s">
        <v>15273</v>
      </c>
      <c r="K639" s="747" t="s">
        <v>2370</v>
      </c>
      <c r="L639" s="687"/>
      <c r="M639" s="687"/>
      <c r="N639" s="692" t="s">
        <v>16127</v>
      </c>
      <c r="O639" s="687" t="s">
        <v>44</v>
      </c>
      <c r="P639" s="687" t="s">
        <v>25</v>
      </c>
      <c r="Q639" s="748">
        <v>1</v>
      </c>
      <c r="R639" s="749">
        <v>1</v>
      </c>
      <c r="S639" s="805" t="s">
        <v>736</v>
      </c>
    </row>
    <row r="640" spans="1:19" ht="12" customHeight="1">
      <c r="A640" s="1040" t="str">
        <f t="shared" si="242"/>
        <v>140</v>
      </c>
      <c r="B640" s="4" t="s">
        <v>2367</v>
      </c>
      <c r="C640" s="4"/>
      <c r="D640" s="1008"/>
      <c r="E640" s="1002" t="str">
        <f t="shared" ref="E640:E641" si="271">IF(D640="","",D640/SUM($D$639:$D$641))</f>
        <v/>
      </c>
      <c r="F640" s="1005" t="e">
        <f t="shared" ref="F640:F641" si="272">IF(J640="","$",IF(C640="当選","-",D640*100/MAX($D$639:$D$641)))</f>
        <v>#DIV/0!</v>
      </c>
      <c r="G640" s="1" t="s">
        <v>2374</v>
      </c>
      <c r="H640" s="1">
        <v>67</v>
      </c>
      <c r="I640" s="2" t="s">
        <v>5</v>
      </c>
      <c r="J640" s="1" t="s">
        <v>15273</v>
      </c>
      <c r="K640" s="3" t="s">
        <v>2375</v>
      </c>
      <c r="L640" s="1"/>
      <c r="M640" s="1"/>
      <c r="N640" s="4" t="s">
        <v>16120</v>
      </c>
      <c r="O640" s="1" t="s">
        <v>48</v>
      </c>
      <c r="P640" s="1" t="s">
        <v>25</v>
      </c>
      <c r="Q640" s="16">
        <v>2</v>
      </c>
      <c r="R640" s="17">
        <v>2</v>
      </c>
      <c r="S640" s="774" t="s">
        <v>5457</v>
      </c>
    </row>
    <row r="641" spans="1:19" ht="12" customHeight="1" thickBot="1">
      <c r="A641" s="916" t="str">
        <f t="shared" si="242"/>
        <v>140</v>
      </c>
      <c r="B641" s="700" t="s">
        <v>2368</v>
      </c>
      <c r="C641" s="700"/>
      <c r="D641" s="1009"/>
      <c r="E641" s="1003" t="str">
        <f t="shared" si="271"/>
        <v/>
      </c>
      <c r="F641" s="1041" t="str">
        <f t="shared" si="272"/>
        <v>$</v>
      </c>
      <c r="G641" s="906" t="s">
        <v>2378</v>
      </c>
      <c r="H641" s="906">
        <v>27</v>
      </c>
      <c r="I641" s="702" t="s">
        <v>19</v>
      </c>
      <c r="J641" s="906"/>
      <c r="K641" s="703"/>
      <c r="L641" s="906"/>
      <c r="M641" s="906"/>
      <c r="N641" s="700" t="s">
        <v>16117</v>
      </c>
      <c r="O641" s="906"/>
      <c r="P641" s="906" t="s">
        <v>6</v>
      </c>
      <c r="Q641" s="705"/>
      <c r="R641" s="903"/>
      <c r="S641" s="793"/>
    </row>
    <row r="642" spans="1:19" ht="12" customHeight="1">
      <c r="A642" s="1038" t="str">
        <f t="shared" si="242"/>
        <v>141</v>
      </c>
      <c r="B642" s="688" t="s">
        <v>2381</v>
      </c>
      <c r="C642" s="688"/>
      <c r="D642" s="1007"/>
      <c r="E642" s="1001" t="str">
        <f>IF(D642="","",D642/SUM($D$642:$D$646))</f>
        <v/>
      </c>
      <c r="F642" s="1004" t="e">
        <f>IF(J642="","$",IF(C642="当選","-",D642*100/MAX($D$642:$D$646)))</f>
        <v>#DIV/0!</v>
      </c>
      <c r="G642" s="687" t="s">
        <v>2385</v>
      </c>
      <c r="H642" s="687">
        <v>56</v>
      </c>
      <c r="I642" s="696" t="s">
        <v>5</v>
      </c>
      <c r="J642" s="689" t="s">
        <v>15273</v>
      </c>
      <c r="K642" s="747" t="s">
        <v>2386</v>
      </c>
      <c r="L642" s="687"/>
      <c r="M642" s="687"/>
      <c r="N642" s="692" t="s">
        <v>16126</v>
      </c>
      <c r="O642" s="687" t="s">
        <v>604</v>
      </c>
      <c r="P642" s="687" t="s">
        <v>25</v>
      </c>
      <c r="Q642" s="748">
        <v>4</v>
      </c>
      <c r="R642" s="749">
        <v>4</v>
      </c>
      <c r="S642" s="805"/>
    </row>
    <row r="643" spans="1:19" ht="12" customHeight="1">
      <c r="A643" s="1040" t="str">
        <f t="shared" ref="A643:A706" si="273">MIDB(B643,1,3)</f>
        <v>141</v>
      </c>
      <c r="B643" s="4" t="s">
        <v>2382</v>
      </c>
      <c r="C643" s="4"/>
      <c r="D643" s="1008"/>
      <c r="E643" s="1002" t="str">
        <f t="shared" ref="E643:E646" si="274">IF(D643="","",D643/SUM($D$642:$D$646))</f>
        <v/>
      </c>
      <c r="F643" s="1005" t="e">
        <f t="shared" ref="F643:F646" si="275">IF(J643="","$",IF(C643="当選","-",D643*100/MAX($D$642:$D$646)))</f>
        <v>#DIV/0!</v>
      </c>
      <c r="G643" s="1" t="s">
        <v>2389</v>
      </c>
      <c r="H643" s="1">
        <v>53</v>
      </c>
      <c r="I643" s="2" t="s">
        <v>19</v>
      </c>
      <c r="J643" s="1" t="s">
        <v>15273</v>
      </c>
      <c r="K643" s="3" t="s">
        <v>2390</v>
      </c>
      <c r="L643" s="1"/>
      <c r="M643" s="1"/>
      <c r="N643" s="4" t="s">
        <v>16120</v>
      </c>
      <c r="O643" s="1" t="s">
        <v>48</v>
      </c>
      <c r="P643" s="1" t="s">
        <v>25</v>
      </c>
      <c r="Q643" s="16">
        <v>2</v>
      </c>
      <c r="R643" s="17">
        <v>2</v>
      </c>
      <c r="S643" s="774" t="s">
        <v>5457</v>
      </c>
    </row>
    <row r="644" spans="1:19" ht="12" customHeight="1">
      <c r="A644" s="1040" t="str">
        <f t="shared" si="273"/>
        <v>141</v>
      </c>
      <c r="B644" s="4" t="s">
        <v>2383</v>
      </c>
      <c r="C644" s="4"/>
      <c r="D644" s="1008"/>
      <c r="E644" s="1002" t="str">
        <f t="shared" si="274"/>
        <v/>
      </c>
      <c r="F644" s="1005" t="e">
        <f t="shared" si="275"/>
        <v>#DIV/0!</v>
      </c>
      <c r="G644" s="1" t="s">
        <v>5328</v>
      </c>
      <c r="H644" s="1">
        <v>39</v>
      </c>
      <c r="I644" s="2" t="s">
        <v>5</v>
      </c>
      <c r="J644" s="1" t="s">
        <v>15273</v>
      </c>
      <c r="K644" s="3"/>
      <c r="L644" s="1"/>
      <c r="M644" s="1"/>
      <c r="N644" s="4" t="s">
        <v>16116</v>
      </c>
      <c r="O644" s="1" t="s">
        <v>4422</v>
      </c>
      <c r="P644" s="1" t="s">
        <v>6</v>
      </c>
      <c r="Q644" s="16"/>
      <c r="R644" s="17"/>
      <c r="S644" s="774" t="s">
        <v>6154</v>
      </c>
    </row>
    <row r="645" spans="1:19" ht="12" customHeight="1">
      <c r="A645" s="1040" t="str">
        <f t="shared" si="273"/>
        <v>141</v>
      </c>
      <c r="B645" s="4" t="s">
        <v>2384</v>
      </c>
      <c r="C645" s="4"/>
      <c r="D645" s="1008"/>
      <c r="E645" s="1002" t="str">
        <f t="shared" si="274"/>
        <v/>
      </c>
      <c r="F645" s="1005" t="str">
        <f t="shared" si="275"/>
        <v>$</v>
      </c>
      <c r="G645" s="1" t="s">
        <v>2393</v>
      </c>
      <c r="H645" s="1">
        <v>54</v>
      </c>
      <c r="I645" s="2" t="s">
        <v>19</v>
      </c>
      <c r="J645" s="1"/>
      <c r="K645" s="3"/>
      <c r="L645" s="1"/>
      <c r="M645" s="1"/>
      <c r="N645" s="4" t="s">
        <v>16117</v>
      </c>
      <c r="O645" s="1"/>
      <c r="P645" s="1" t="s">
        <v>6</v>
      </c>
      <c r="Q645" s="16"/>
      <c r="R645" s="17"/>
      <c r="S645" s="774"/>
    </row>
    <row r="646" spans="1:19" ht="12" customHeight="1" thickBot="1">
      <c r="A646" s="916" t="str">
        <f t="shared" si="273"/>
        <v>141</v>
      </c>
      <c r="B646" s="700" t="s">
        <v>5327</v>
      </c>
      <c r="C646" s="700"/>
      <c r="D646" s="1009"/>
      <c r="E646" s="1003" t="str">
        <f t="shared" si="274"/>
        <v/>
      </c>
      <c r="F646" s="1041" t="e">
        <f t="shared" si="275"/>
        <v>#DIV/0!</v>
      </c>
      <c r="G646" s="906" t="s">
        <v>2396</v>
      </c>
      <c r="H646" s="906">
        <v>63</v>
      </c>
      <c r="I646" s="702" t="s">
        <v>5</v>
      </c>
      <c r="J646" s="906" t="s">
        <v>15273</v>
      </c>
      <c r="K646" s="703"/>
      <c r="L646" s="906"/>
      <c r="M646" s="906"/>
      <c r="N646" s="700" t="s">
        <v>16121</v>
      </c>
      <c r="O646" s="906"/>
      <c r="P646" s="906" t="s">
        <v>6</v>
      </c>
      <c r="Q646" s="705"/>
      <c r="R646" s="903"/>
      <c r="S646" s="793"/>
    </row>
    <row r="647" spans="1:19" ht="12" customHeight="1">
      <c r="A647" s="1038" t="str">
        <f t="shared" si="273"/>
        <v>142</v>
      </c>
      <c r="B647" s="688" t="s">
        <v>2399</v>
      </c>
      <c r="C647" s="688"/>
      <c r="D647" s="1007"/>
      <c r="E647" s="1001" t="str">
        <f>IF(D647="","",D647/SUM($D$647:$D$650))</f>
        <v/>
      </c>
      <c r="F647" s="1004" t="e">
        <f>IF(J647="","$",IF(C647="当選","-",D647*100/MAX($D$647:$D$650)))</f>
        <v>#DIV/0!</v>
      </c>
      <c r="G647" s="687" t="s">
        <v>2402</v>
      </c>
      <c r="H647" s="687">
        <v>37</v>
      </c>
      <c r="I647" s="696" t="s">
        <v>5</v>
      </c>
      <c r="J647" s="689" t="s">
        <v>15273</v>
      </c>
      <c r="K647" s="747" t="s">
        <v>2403</v>
      </c>
      <c r="L647" s="687"/>
      <c r="M647" s="687"/>
      <c r="N647" s="692" t="s">
        <v>16127</v>
      </c>
      <c r="O647" s="687" t="s">
        <v>736</v>
      </c>
      <c r="P647" s="687" t="s">
        <v>25</v>
      </c>
      <c r="Q647" s="748">
        <v>2</v>
      </c>
      <c r="R647" s="749">
        <v>2</v>
      </c>
      <c r="S647" s="805" t="s">
        <v>736</v>
      </c>
    </row>
    <row r="648" spans="1:19" ht="12" customHeight="1">
      <c r="A648" s="1040" t="str">
        <f t="shared" si="273"/>
        <v>142</v>
      </c>
      <c r="B648" s="4" t="s">
        <v>2400</v>
      </c>
      <c r="C648" s="4"/>
      <c r="D648" s="1008"/>
      <c r="E648" s="1002" t="str">
        <f t="shared" ref="E648:E650" si="276">IF(D648="","",D648/SUM($D$647:$D$650))</f>
        <v/>
      </c>
      <c r="F648" s="1005" t="e">
        <f t="shared" ref="F648:F650" si="277">IF(J648="","$",IF(C648="当選","-",D648*100/MAX($D$647:$D$650)))</f>
        <v>#DIV/0!</v>
      </c>
      <c r="G648" s="1" t="s">
        <v>2407</v>
      </c>
      <c r="H648" s="1">
        <v>60</v>
      </c>
      <c r="I648" s="2" t="s">
        <v>5</v>
      </c>
      <c r="J648" s="1" t="s">
        <v>15273</v>
      </c>
      <c r="K648" s="3" t="s">
        <v>2408</v>
      </c>
      <c r="L648" s="1"/>
      <c r="M648" s="1"/>
      <c r="N648" s="8" t="s">
        <v>16120</v>
      </c>
      <c r="O648" s="1" t="s">
        <v>30</v>
      </c>
      <c r="P648" s="1" t="s">
        <v>25</v>
      </c>
      <c r="Q648" s="16">
        <v>5</v>
      </c>
      <c r="R648" s="17">
        <v>5</v>
      </c>
      <c r="S648" s="774" t="s">
        <v>5457</v>
      </c>
    </row>
    <row r="649" spans="1:19" ht="12" customHeight="1">
      <c r="A649" s="1040" t="str">
        <f t="shared" si="273"/>
        <v>142</v>
      </c>
      <c r="B649" s="4" t="s">
        <v>2401</v>
      </c>
      <c r="C649" s="4"/>
      <c r="D649" s="1008"/>
      <c r="E649" s="1002" t="str">
        <f t="shared" si="276"/>
        <v/>
      </c>
      <c r="F649" s="1005" t="e">
        <f t="shared" si="277"/>
        <v>#DIV/0!</v>
      </c>
      <c r="G649" s="1" t="s">
        <v>2414</v>
      </c>
      <c r="H649" s="1">
        <v>42</v>
      </c>
      <c r="I649" s="2" t="s">
        <v>5</v>
      </c>
      <c r="J649" s="1" t="s">
        <v>15273</v>
      </c>
      <c r="K649" s="3"/>
      <c r="L649" s="1"/>
      <c r="M649" s="1"/>
      <c r="N649" s="4" t="s">
        <v>18495</v>
      </c>
      <c r="O649" s="1"/>
      <c r="P649" s="1" t="s">
        <v>6</v>
      </c>
      <c r="Q649" s="16"/>
      <c r="R649" s="17"/>
      <c r="S649" s="774" t="s">
        <v>6031</v>
      </c>
    </row>
    <row r="650" spans="1:19" ht="12" customHeight="1" thickBot="1">
      <c r="A650" s="916" t="str">
        <f t="shared" si="273"/>
        <v>142</v>
      </c>
      <c r="B650" s="700" t="s">
        <v>2413</v>
      </c>
      <c r="C650" s="700"/>
      <c r="D650" s="1009"/>
      <c r="E650" s="1003" t="str">
        <f t="shared" si="276"/>
        <v/>
      </c>
      <c r="F650" s="1041" t="str">
        <f t="shared" si="277"/>
        <v>$</v>
      </c>
      <c r="G650" s="906" t="s">
        <v>2410</v>
      </c>
      <c r="H650" s="906">
        <v>61</v>
      </c>
      <c r="I650" s="702" t="s">
        <v>5</v>
      </c>
      <c r="J650" s="906"/>
      <c r="K650" s="703"/>
      <c r="L650" s="906"/>
      <c r="M650" s="906"/>
      <c r="N650" s="700" t="s">
        <v>16117</v>
      </c>
      <c r="O650" s="906"/>
      <c r="P650" s="906" t="s">
        <v>6</v>
      </c>
      <c r="Q650" s="705"/>
      <c r="R650" s="903"/>
      <c r="S650" s="793"/>
    </row>
    <row r="651" spans="1:19" ht="12" customHeight="1">
      <c r="A651" s="1038" t="str">
        <f t="shared" si="273"/>
        <v>143</v>
      </c>
      <c r="B651" s="688" t="s">
        <v>2416</v>
      </c>
      <c r="C651" s="688"/>
      <c r="D651" s="1007"/>
      <c r="E651" s="1001" t="str">
        <f>IF(D651="","",D651/SUM($D$651:$D$654))</f>
        <v/>
      </c>
      <c r="F651" s="1004" t="e">
        <f>IF(J651="","$",IF(C651="当選","-",D651*100/MAX($D$651:$D$654)))</f>
        <v>#DIV/0!</v>
      </c>
      <c r="G651" s="687" t="s">
        <v>2419</v>
      </c>
      <c r="H651" s="687">
        <v>68</v>
      </c>
      <c r="I651" s="696" t="s">
        <v>5</v>
      </c>
      <c r="J651" s="689" t="s">
        <v>15273</v>
      </c>
      <c r="K651" s="747" t="s">
        <v>2420</v>
      </c>
      <c r="L651" s="687"/>
      <c r="M651" s="687"/>
      <c r="N651" s="692" t="s">
        <v>16127</v>
      </c>
      <c r="O651" s="687" t="s">
        <v>276</v>
      </c>
      <c r="P651" s="687" t="s">
        <v>25</v>
      </c>
      <c r="Q651" s="748">
        <v>3</v>
      </c>
      <c r="R651" s="749">
        <v>3</v>
      </c>
      <c r="S651" s="805" t="s">
        <v>736</v>
      </c>
    </row>
    <row r="652" spans="1:19" ht="12" customHeight="1">
      <c r="A652" s="1040" t="str">
        <f t="shared" si="273"/>
        <v>143</v>
      </c>
      <c r="B652" s="4" t="s">
        <v>2417</v>
      </c>
      <c r="C652" s="4"/>
      <c r="D652" s="1008"/>
      <c r="E652" s="1002" t="str">
        <f t="shared" ref="E652:E654" si="278">IF(D652="","",D652/SUM($D$651:$D$654))</f>
        <v/>
      </c>
      <c r="F652" s="1005" t="e">
        <f t="shared" ref="F652:F654" si="279">IF(J652="","$",IF(C652="当選","-",D652*100/MAX($D$651:$D$654)))</f>
        <v>#DIV/0!</v>
      </c>
      <c r="G652" s="1" t="s">
        <v>2425</v>
      </c>
      <c r="H652" s="1">
        <v>56</v>
      </c>
      <c r="I652" s="2" t="s">
        <v>5</v>
      </c>
      <c r="J652" s="1" t="s">
        <v>15273</v>
      </c>
      <c r="K652" s="3" t="s">
        <v>2426</v>
      </c>
      <c r="L652" s="1"/>
      <c r="M652" s="1"/>
      <c r="N652" s="4" t="s">
        <v>16120</v>
      </c>
      <c r="O652" s="1" t="s">
        <v>48</v>
      </c>
      <c r="P652" s="1" t="s">
        <v>25</v>
      </c>
      <c r="Q652" s="16">
        <v>4</v>
      </c>
      <c r="R652" s="17">
        <v>4</v>
      </c>
      <c r="S652" s="774" t="s">
        <v>5457</v>
      </c>
    </row>
    <row r="653" spans="1:19" ht="12" customHeight="1">
      <c r="A653" s="1040" t="str">
        <f t="shared" si="273"/>
        <v>143</v>
      </c>
      <c r="B653" s="4" t="s">
        <v>2418</v>
      </c>
      <c r="C653" s="4"/>
      <c r="D653" s="1008"/>
      <c r="E653" s="1002" t="str">
        <f t="shared" si="278"/>
        <v/>
      </c>
      <c r="F653" s="1005" t="e">
        <f t="shared" si="279"/>
        <v>#DIV/0!</v>
      </c>
      <c r="G653" s="1" t="s">
        <v>5408</v>
      </c>
      <c r="H653" s="1">
        <v>38</v>
      </c>
      <c r="I653" s="2" t="s">
        <v>5</v>
      </c>
      <c r="J653" s="1" t="s">
        <v>15273</v>
      </c>
      <c r="K653" s="3"/>
      <c r="L653" s="1"/>
      <c r="M653" s="1"/>
      <c r="N653" s="4" t="s">
        <v>16116</v>
      </c>
      <c r="O653" s="1" t="s">
        <v>18494</v>
      </c>
      <c r="P653" s="1" t="s">
        <v>6</v>
      </c>
      <c r="Q653" s="16"/>
      <c r="R653" s="17"/>
      <c r="S653" s="774" t="s">
        <v>6154</v>
      </c>
    </row>
    <row r="654" spans="1:19" ht="12" customHeight="1" thickBot="1">
      <c r="A654" s="916" t="str">
        <f t="shared" si="273"/>
        <v>143</v>
      </c>
      <c r="B654" s="700" t="s">
        <v>5407</v>
      </c>
      <c r="C654" s="700"/>
      <c r="D654" s="1009"/>
      <c r="E654" s="1003" t="str">
        <f t="shared" si="278"/>
        <v/>
      </c>
      <c r="F654" s="1041" t="str">
        <f t="shared" si="279"/>
        <v>$</v>
      </c>
      <c r="G654" s="906" t="s">
        <v>2429</v>
      </c>
      <c r="H654" s="906">
        <v>55</v>
      </c>
      <c r="I654" s="702" t="s">
        <v>5</v>
      </c>
      <c r="J654" s="906"/>
      <c r="K654" s="703"/>
      <c r="L654" s="906"/>
      <c r="M654" s="906"/>
      <c r="N654" s="700" t="s">
        <v>16117</v>
      </c>
      <c r="O654" s="906"/>
      <c r="P654" s="906" t="s">
        <v>6</v>
      </c>
      <c r="Q654" s="705"/>
      <c r="R654" s="903"/>
      <c r="S654" s="793"/>
    </row>
    <row r="655" spans="1:19" ht="12" customHeight="1">
      <c r="A655" s="1038" t="str">
        <f t="shared" si="273"/>
        <v>144</v>
      </c>
      <c r="B655" s="688" t="s">
        <v>2432</v>
      </c>
      <c r="C655" s="688"/>
      <c r="D655" s="1007"/>
      <c r="E655" s="1001" t="str">
        <f>IF(D655="","",D655/SUM($D$655:$D$658))</f>
        <v/>
      </c>
      <c r="F655" s="1004" t="e">
        <f>IF(J655="","$",IF(C655="当選","-",D655*100/MAX($D$655:$D$658)))</f>
        <v>#DIV/0!</v>
      </c>
      <c r="G655" s="687" t="s">
        <v>2435</v>
      </c>
      <c r="H655" s="687">
        <v>64</v>
      </c>
      <c r="I655" s="696" t="s">
        <v>5</v>
      </c>
      <c r="J655" s="689" t="s">
        <v>15273</v>
      </c>
      <c r="K655" s="747" t="s">
        <v>2436</v>
      </c>
      <c r="L655" s="687"/>
      <c r="M655" s="687"/>
      <c r="N655" s="692" t="s">
        <v>16126</v>
      </c>
      <c r="O655" s="687" t="s">
        <v>44</v>
      </c>
      <c r="P655" s="687" t="s">
        <v>25</v>
      </c>
      <c r="Q655" s="748">
        <v>3</v>
      </c>
      <c r="R655" s="749">
        <v>3</v>
      </c>
      <c r="S655" s="805" t="s">
        <v>736</v>
      </c>
    </row>
    <row r="656" spans="1:19" ht="12" customHeight="1">
      <c r="A656" s="1040" t="str">
        <f t="shared" si="273"/>
        <v>144</v>
      </c>
      <c r="B656" s="4" t="s">
        <v>2433</v>
      </c>
      <c r="C656" s="4"/>
      <c r="D656" s="1008"/>
      <c r="E656" s="1002" t="str">
        <f t="shared" ref="E656:E658" si="280">IF(D656="","",D656/SUM($D$655:$D$658))</f>
        <v/>
      </c>
      <c r="F656" s="1005" t="e">
        <f t="shared" ref="F656:F658" si="281">IF(J656="","$",IF(C656="当選","-",D656*100/MAX($D$655:$D$658)))</f>
        <v>#DIV/0!</v>
      </c>
      <c r="G656" s="1" t="s">
        <v>2439</v>
      </c>
      <c r="H656" s="1">
        <v>51</v>
      </c>
      <c r="I656" s="2" t="s">
        <v>5</v>
      </c>
      <c r="J656" s="1" t="s">
        <v>15273</v>
      </c>
      <c r="K656" s="3"/>
      <c r="L656" s="1"/>
      <c r="M656" s="1"/>
      <c r="N656" s="4" t="s">
        <v>16120</v>
      </c>
      <c r="O656" s="1" t="s">
        <v>30</v>
      </c>
      <c r="P656" s="1" t="s">
        <v>6</v>
      </c>
      <c r="Q656" s="16"/>
      <c r="R656" s="17"/>
      <c r="S656" s="774" t="s">
        <v>16466</v>
      </c>
    </row>
    <row r="657" spans="1:19" ht="12" customHeight="1">
      <c r="A657" s="1040" t="str">
        <f t="shared" si="273"/>
        <v>144</v>
      </c>
      <c r="B657" s="4" t="s">
        <v>2434</v>
      </c>
      <c r="C657" s="4"/>
      <c r="D657" s="1008"/>
      <c r="E657" s="1002" t="str">
        <f t="shared" si="280"/>
        <v/>
      </c>
      <c r="F657" s="1005" t="e">
        <f t="shared" si="281"/>
        <v>#DIV/0!</v>
      </c>
      <c r="G657" s="1" t="s">
        <v>5611</v>
      </c>
      <c r="H657" s="1">
        <v>57</v>
      </c>
      <c r="I657" s="2" t="s">
        <v>5</v>
      </c>
      <c r="J657" s="1" t="s">
        <v>15273</v>
      </c>
      <c r="K657" s="3"/>
      <c r="L657" s="1"/>
      <c r="M657" s="1"/>
      <c r="N657" s="4" t="s">
        <v>16116</v>
      </c>
      <c r="O657" s="1" t="s">
        <v>18494</v>
      </c>
      <c r="P657" s="1" t="s">
        <v>6</v>
      </c>
      <c r="Q657" s="16"/>
      <c r="R657" s="17"/>
      <c r="S657" s="774" t="s">
        <v>6154</v>
      </c>
    </row>
    <row r="658" spans="1:19" ht="12" customHeight="1" thickBot="1">
      <c r="A658" s="916" t="str">
        <f t="shared" si="273"/>
        <v>144</v>
      </c>
      <c r="B658" s="700" t="s">
        <v>5610</v>
      </c>
      <c r="C658" s="700"/>
      <c r="D658" s="1009"/>
      <c r="E658" s="1003" t="str">
        <f t="shared" si="280"/>
        <v/>
      </c>
      <c r="F658" s="1041" t="str">
        <f t="shared" si="281"/>
        <v>$</v>
      </c>
      <c r="G658" s="906" t="s">
        <v>2441</v>
      </c>
      <c r="H658" s="906">
        <v>33</v>
      </c>
      <c r="I658" s="702" t="s">
        <v>5</v>
      </c>
      <c r="J658" s="906"/>
      <c r="K658" s="703"/>
      <c r="L658" s="906"/>
      <c r="M658" s="906"/>
      <c r="N658" s="700" t="s">
        <v>16117</v>
      </c>
      <c r="O658" s="906"/>
      <c r="P658" s="906" t="s">
        <v>6</v>
      </c>
      <c r="Q658" s="705"/>
      <c r="R658" s="903"/>
      <c r="S658" s="793"/>
    </row>
    <row r="659" spans="1:19" ht="12" customHeight="1">
      <c r="A659" s="1038" t="str">
        <f t="shared" si="273"/>
        <v>145</v>
      </c>
      <c r="B659" s="688" t="s">
        <v>2443</v>
      </c>
      <c r="C659" s="688"/>
      <c r="D659" s="1007"/>
      <c r="E659" s="1001" t="str">
        <f>IF(D659="","",D659/SUM($D$659:$D$663))</f>
        <v/>
      </c>
      <c r="F659" s="1004" t="e">
        <f>IF(J659="","$",IF(C659="当選","-",D659*100/MAX($D$659:$D$663)))</f>
        <v>#DIV/0!</v>
      </c>
      <c r="G659" s="687" t="s">
        <v>2447</v>
      </c>
      <c r="H659" s="687">
        <v>56</v>
      </c>
      <c r="I659" s="696" t="s">
        <v>5</v>
      </c>
      <c r="J659" s="689" t="s">
        <v>15273</v>
      </c>
      <c r="K659" s="747" t="s">
        <v>2448</v>
      </c>
      <c r="L659" s="687"/>
      <c r="M659" s="687"/>
      <c r="N659" s="692" t="s">
        <v>16127</v>
      </c>
      <c r="O659" s="687" t="s">
        <v>604</v>
      </c>
      <c r="P659" s="687" t="s">
        <v>25</v>
      </c>
      <c r="Q659" s="748">
        <v>3</v>
      </c>
      <c r="R659" s="749">
        <v>3</v>
      </c>
      <c r="S659" s="805" t="s">
        <v>736</v>
      </c>
    </row>
    <row r="660" spans="1:19" ht="12" customHeight="1">
      <c r="A660" s="1040" t="str">
        <f t="shared" si="273"/>
        <v>145</v>
      </c>
      <c r="B660" s="4" t="s">
        <v>2444</v>
      </c>
      <c r="C660" s="4"/>
      <c r="D660" s="1008"/>
      <c r="E660" s="1002" t="str">
        <f t="shared" ref="E660:E663" si="282">IF(D660="","",D660/SUM($D$659:$D$663))</f>
        <v/>
      </c>
      <c r="F660" s="1005" t="e">
        <f t="shared" ref="F660:F663" si="283">IF(J660="","$",IF(C660="当選","-",D660*100/MAX($D$659:$D$663)))</f>
        <v>#DIV/0!</v>
      </c>
      <c r="G660" s="1" t="s">
        <v>2450</v>
      </c>
      <c r="H660" s="1">
        <v>56</v>
      </c>
      <c r="I660" s="2" t="s">
        <v>5</v>
      </c>
      <c r="J660" s="1" t="s">
        <v>15273</v>
      </c>
      <c r="K660" s="3"/>
      <c r="L660" s="1"/>
      <c r="M660" s="1"/>
      <c r="N660" s="8" t="s">
        <v>16120</v>
      </c>
      <c r="O660" s="1" t="s">
        <v>30</v>
      </c>
      <c r="P660" s="1" t="s">
        <v>6</v>
      </c>
      <c r="Q660" s="16"/>
      <c r="R660" s="17"/>
      <c r="S660" s="774" t="s">
        <v>5457</v>
      </c>
    </row>
    <row r="661" spans="1:19" ht="12" customHeight="1">
      <c r="A661" s="1040" t="str">
        <f t="shared" si="273"/>
        <v>145</v>
      </c>
      <c r="B661" s="4" t="s">
        <v>2445</v>
      </c>
      <c r="C661" s="4"/>
      <c r="D661" s="1008"/>
      <c r="E661" s="1002" t="str">
        <f t="shared" si="282"/>
        <v/>
      </c>
      <c r="F661" s="1005" t="e">
        <f t="shared" si="283"/>
        <v>#DIV/0!</v>
      </c>
      <c r="G661" s="1" t="s">
        <v>5297</v>
      </c>
      <c r="H661" s="1">
        <v>29</v>
      </c>
      <c r="I661" s="2" t="s">
        <v>5</v>
      </c>
      <c r="J661" s="1" t="s">
        <v>15273</v>
      </c>
      <c r="K661" s="3"/>
      <c r="L661" s="1"/>
      <c r="M661" s="1"/>
      <c r="N661" s="4" t="s">
        <v>16116</v>
      </c>
      <c r="O661" s="1" t="s">
        <v>18494</v>
      </c>
      <c r="P661" s="1" t="s">
        <v>6</v>
      </c>
      <c r="Q661" s="16"/>
      <c r="R661" s="17"/>
      <c r="S661" s="774" t="s">
        <v>6154</v>
      </c>
    </row>
    <row r="662" spans="1:19" ht="12" customHeight="1">
      <c r="A662" s="1040" t="str">
        <f t="shared" si="273"/>
        <v>145</v>
      </c>
      <c r="B662" s="4" t="s">
        <v>2446</v>
      </c>
      <c r="C662" s="4"/>
      <c r="D662" s="1008"/>
      <c r="E662" s="1002" t="str">
        <f t="shared" si="282"/>
        <v/>
      </c>
      <c r="F662" s="1005" t="str">
        <f t="shared" si="283"/>
        <v>$</v>
      </c>
      <c r="G662" s="1" t="s">
        <v>2452</v>
      </c>
      <c r="H662" s="1">
        <v>50</v>
      </c>
      <c r="I662" s="2" t="s">
        <v>5</v>
      </c>
      <c r="J662" s="1"/>
      <c r="K662" s="3"/>
      <c r="L662" s="1"/>
      <c r="M662" s="1"/>
      <c r="N662" s="4" t="s">
        <v>16117</v>
      </c>
      <c r="O662" s="1"/>
      <c r="P662" s="1" t="s">
        <v>6</v>
      </c>
      <c r="Q662" s="16"/>
      <c r="R662" s="17"/>
      <c r="S662" s="774"/>
    </row>
    <row r="663" spans="1:19" ht="12" customHeight="1" thickBot="1">
      <c r="A663" s="916" t="str">
        <f t="shared" si="273"/>
        <v>145</v>
      </c>
      <c r="B663" s="700" t="s">
        <v>5296</v>
      </c>
      <c r="C663" s="700"/>
      <c r="D663" s="1009"/>
      <c r="E663" s="1003" t="str">
        <f t="shared" si="282"/>
        <v/>
      </c>
      <c r="F663" s="1041" t="str">
        <f t="shared" si="283"/>
        <v>$</v>
      </c>
      <c r="G663" s="906" t="s">
        <v>2453</v>
      </c>
      <c r="H663" s="906">
        <v>53</v>
      </c>
      <c r="I663" s="702" t="s">
        <v>5</v>
      </c>
      <c r="J663" s="906"/>
      <c r="K663" s="703"/>
      <c r="L663" s="906"/>
      <c r="M663" s="906"/>
      <c r="N663" s="700" t="s">
        <v>16122</v>
      </c>
      <c r="O663" s="906" t="s">
        <v>22</v>
      </c>
      <c r="P663" s="906" t="s">
        <v>6</v>
      </c>
      <c r="Q663" s="705"/>
      <c r="R663" s="903"/>
      <c r="S663" s="793"/>
    </row>
    <row r="664" spans="1:19" ht="12" customHeight="1">
      <c r="A664" s="1038" t="str">
        <f t="shared" si="273"/>
        <v>146</v>
      </c>
      <c r="B664" s="688" t="s">
        <v>2455</v>
      </c>
      <c r="C664" s="688"/>
      <c r="D664" s="1007"/>
      <c r="E664" s="1001" t="str">
        <f>IF(D664="","",D664/SUM($D$664:$D$668))</f>
        <v/>
      </c>
      <c r="F664" s="1004" t="e">
        <f>IF(J664="","$",IF(C664="当選","-",D664*100/MAX($D$664:$D$668)))</f>
        <v>#DIV/0!</v>
      </c>
      <c r="G664" s="687" t="s">
        <v>5338</v>
      </c>
      <c r="H664" s="687">
        <v>59</v>
      </c>
      <c r="I664" s="696" t="s">
        <v>5</v>
      </c>
      <c r="J664" s="689" t="s">
        <v>15273</v>
      </c>
      <c r="K664" s="747"/>
      <c r="L664" s="687"/>
      <c r="M664" s="687"/>
      <c r="N664" s="692" t="s">
        <v>16127</v>
      </c>
      <c r="O664" s="687" t="s">
        <v>44</v>
      </c>
      <c r="P664" s="687" t="s">
        <v>6</v>
      </c>
      <c r="Q664" s="748"/>
      <c r="R664" s="749"/>
      <c r="S664" s="805" t="s">
        <v>736</v>
      </c>
    </row>
    <row r="665" spans="1:19" ht="12" customHeight="1">
      <c r="A665" s="1040" t="str">
        <f t="shared" si="273"/>
        <v>146</v>
      </c>
      <c r="B665" s="4" t="s">
        <v>2456</v>
      </c>
      <c r="C665" s="4"/>
      <c r="D665" s="1008"/>
      <c r="E665" s="1002" t="str">
        <f t="shared" ref="E665:E668" si="284">IF(D665="","",D665/SUM($D$664:$D$668))</f>
        <v/>
      </c>
      <c r="F665" s="1005" t="e">
        <f t="shared" ref="F665:F668" si="285">IF(J665="","$",IF(C665="当選","-",D665*100/MAX($D$664:$D$668)))</f>
        <v>#DIV/0!</v>
      </c>
      <c r="G665" s="1" t="s">
        <v>2459</v>
      </c>
      <c r="H665" s="1">
        <v>48</v>
      </c>
      <c r="I665" s="2" t="s">
        <v>5</v>
      </c>
      <c r="J665" s="1" t="s">
        <v>15273</v>
      </c>
      <c r="K665" s="3"/>
      <c r="L665" s="1"/>
      <c r="M665" s="1"/>
      <c r="N665" s="4" t="s">
        <v>16120</v>
      </c>
      <c r="O665" s="1" t="s">
        <v>30</v>
      </c>
      <c r="P665" s="1" t="s">
        <v>6</v>
      </c>
      <c r="Q665" s="16"/>
      <c r="R665" s="17"/>
      <c r="S665" s="774"/>
    </row>
    <row r="666" spans="1:19" ht="12" customHeight="1">
      <c r="A666" s="1040" t="str">
        <f t="shared" si="273"/>
        <v>146</v>
      </c>
      <c r="B666" s="4" t="s">
        <v>2457</v>
      </c>
      <c r="C666" s="4"/>
      <c r="D666" s="1008"/>
      <c r="E666" s="1002" t="str">
        <f t="shared" si="284"/>
        <v/>
      </c>
      <c r="F666" s="1005" t="e">
        <f t="shared" si="285"/>
        <v>#DIV/0!</v>
      </c>
      <c r="G666" s="1" t="s">
        <v>5301</v>
      </c>
      <c r="H666" s="1">
        <v>44</v>
      </c>
      <c r="I666" s="2" t="s">
        <v>5</v>
      </c>
      <c r="J666" s="1" t="s">
        <v>15273</v>
      </c>
      <c r="K666" s="3"/>
      <c r="L666" s="1"/>
      <c r="M666" s="1"/>
      <c r="N666" s="4" t="s">
        <v>16116</v>
      </c>
      <c r="O666" s="1" t="s">
        <v>18494</v>
      </c>
      <c r="P666" s="1" t="s">
        <v>6</v>
      </c>
      <c r="Q666" s="16"/>
      <c r="R666" s="17"/>
      <c r="S666" s="774"/>
    </row>
    <row r="667" spans="1:19" ht="12" customHeight="1">
      <c r="A667" s="1040" t="str">
        <f t="shared" si="273"/>
        <v>146</v>
      </c>
      <c r="B667" s="4" t="s">
        <v>2458</v>
      </c>
      <c r="C667" s="4"/>
      <c r="D667" s="1008"/>
      <c r="E667" s="1002" t="str">
        <f t="shared" si="284"/>
        <v/>
      </c>
      <c r="F667" s="1005" t="e">
        <f t="shared" si="285"/>
        <v>#DIV/0!</v>
      </c>
      <c r="G667" s="1" t="s">
        <v>2464</v>
      </c>
      <c r="H667" s="1">
        <v>35</v>
      </c>
      <c r="I667" s="2" t="s">
        <v>5</v>
      </c>
      <c r="J667" s="1" t="s">
        <v>15273</v>
      </c>
      <c r="K667" s="3"/>
      <c r="L667" s="1"/>
      <c r="M667" s="1"/>
      <c r="N667" s="4" t="s">
        <v>18495</v>
      </c>
      <c r="O667" s="1"/>
      <c r="P667" s="1" t="s">
        <v>6</v>
      </c>
      <c r="Q667" s="16"/>
      <c r="R667" s="17"/>
      <c r="S667" s="774"/>
    </row>
    <row r="668" spans="1:19" ht="12" customHeight="1" thickBot="1">
      <c r="A668" s="916" t="str">
        <f t="shared" si="273"/>
        <v>146</v>
      </c>
      <c r="B668" s="700" t="s">
        <v>5300</v>
      </c>
      <c r="C668" s="700"/>
      <c r="D668" s="1009"/>
      <c r="E668" s="1003" t="str">
        <f t="shared" si="284"/>
        <v/>
      </c>
      <c r="F668" s="1041" t="str">
        <f t="shared" si="285"/>
        <v>$</v>
      </c>
      <c r="G668" s="906" t="s">
        <v>2462</v>
      </c>
      <c r="H668" s="906">
        <v>59</v>
      </c>
      <c r="I668" s="702" t="s">
        <v>5</v>
      </c>
      <c r="J668" s="906"/>
      <c r="K668" s="703"/>
      <c r="L668" s="906"/>
      <c r="M668" s="906"/>
      <c r="N668" s="700" t="s">
        <v>16117</v>
      </c>
      <c r="O668" s="906"/>
      <c r="P668" s="906" t="s">
        <v>6</v>
      </c>
      <c r="Q668" s="705"/>
      <c r="R668" s="903"/>
      <c r="S668" s="793"/>
    </row>
    <row r="669" spans="1:19" ht="12" customHeight="1">
      <c r="A669" s="1038" t="str">
        <f t="shared" si="273"/>
        <v>147</v>
      </c>
      <c r="B669" s="688" t="s">
        <v>2468</v>
      </c>
      <c r="C669" s="688"/>
      <c r="D669" s="1007"/>
      <c r="E669" s="1001" t="str">
        <f>IF(D669="","",D669/SUM($D$669:$D$672))</f>
        <v/>
      </c>
      <c r="F669" s="1004" t="e">
        <f>IF(J669="","$",IF(C669="当選","-",D669*100/MAX($D$669:$D$672)))</f>
        <v>#DIV/0!</v>
      </c>
      <c r="G669" s="687" t="s">
        <v>2472</v>
      </c>
      <c r="H669" s="687">
        <v>53</v>
      </c>
      <c r="I669" s="696" t="s">
        <v>5</v>
      </c>
      <c r="J669" s="689" t="s">
        <v>15273</v>
      </c>
      <c r="K669" s="747" t="s">
        <v>2473</v>
      </c>
      <c r="L669" s="687"/>
      <c r="M669" s="687"/>
      <c r="N669" s="692" t="s">
        <v>16126</v>
      </c>
      <c r="O669" s="687" t="s">
        <v>44</v>
      </c>
      <c r="P669" s="687" t="s">
        <v>25</v>
      </c>
      <c r="Q669" s="748">
        <v>1</v>
      </c>
      <c r="R669" s="749">
        <v>1</v>
      </c>
      <c r="S669" s="805" t="s">
        <v>736</v>
      </c>
    </row>
    <row r="670" spans="1:19" ht="12" customHeight="1">
      <c r="A670" s="1040" t="str">
        <f t="shared" si="273"/>
        <v>147</v>
      </c>
      <c r="B670" s="4" t="s">
        <v>2469</v>
      </c>
      <c r="C670" s="4"/>
      <c r="D670" s="1008"/>
      <c r="E670" s="1002" t="str">
        <f t="shared" ref="E670:E672" si="286">IF(D670="","",D670/SUM($D$669:$D$672))</f>
        <v/>
      </c>
      <c r="F670" s="1005" t="e">
        <f t="shared" ref="F670:F672" si="287">IF(J670="","$",IF(C670="当選","-",D670*100/MAX($D$669:$D$672)))</f>
        <v>#DIV/0!</v>
      </c>
      <c r="G670" s="1" t="s">
        <v>2475</v>
      </c>
      <c r="H670" s="1">
        <v>57</v>
      </c>
      <c r="I670" s="2" t="s">
        <v>5</v>
      </c>
      <c r="J670" s="1" t="s">
        <v>15273</v>
      </c>
      <c r="K670" s="3"/>
      <c r="L670" s="1"/>
      <c r="M670" s="1"/>
      <c r="N670" s="4" t="s">
        <v>16120</v>
      </c>
      <c r="O670" s="1" t="s">
        <v>30</v>
      </c>
      <c r="P670" s="1" t="s">
        <v>14</v>
      </c>
      <c r="Q670" s="16">
        <v>3</v>
      </c>
      <c r="R670" s="17">
        <v>3</v>
      </c>
      <c r="S670" s="774" t="s">
        <v>5457</v>
      </c>
    </row>
    <row r="671" spans="1:19" ht="12" customHeight="1">
      <c r="A671" s="1040" t="str">
        <f t="shared" si="273"/>
        <v>147</v>
      </c>
      <c r="B671" s="4" t="s">
        <v>2470</v>
      </c>
      <c r="C671" s="4"/>
      <c r="D671" s="1008"/>
      <c r="E671" s="1002" t="str">
        <f t="shared" si="286"/>
        <v/>
      </c>
      <c r="F671" s="1005" t="e">
        <f t="shared" si="287"/>
        <v>#DIV/0!</v>
      </c>
      <c r="G671" s="1" t="s">
        <v>2478</v>
      </c>
      <c r="H671" s="1">
        <v>43</v>
      </c>
      <c r="I671" s="2" t="s">
        <v>5</v>
      </c>
      <c r="J671" s="1" t="s">
        <v>15273</v>
      </c>
      <c r="K671" s="3"/>
      <c r="L671" s="1"/>
      <c r="M671" s="1"/>
      <c r="N671" s="4" t="s">
        <v>16125</v>
      </c>
      <c r="O671" s="1"/>
      <c r="P671" s="1" t="s">
        <v>6</v>
      </c>
      <c r="Q671" s="16"/>
      <c r="R671" s="17"/>
      <c r="S671" s="774" t="s">
        <v>5561</v>
      </c>
    </row>
    <row r="672" spans="1:19" ht="12" customHeight="1" thickBot="1">
      <c r="A672" s="916" t="str">
        <f t="shared" si="273"/>
        <v>147</v>
      </c>
      <c r="B672" s="700" t="s">
        <v>2471</v>
      </c>
      <c r="C672" s="700"/>
      <c r="D672" s="1009"/>
      <c r="E672" s="1003" t="str">
        <f t="shared" si="286"/>
        <v/>
      </c>
      <c r="F672" s="1041" t="str">
        <f t="shared" si="287"/>
        <v>$</v>
      </c>
      <c r="G672" s="906" t="s">
        <v>2481</v>
      </c>
      <c r="H672" s="906">
        <v>58</v>
      </c>
      <c r="I672" s="702" t="s">
        <v>5</v>
      </c>
      <c r="J672" s="906"/>
      <c r="K672" s="703"/>
      <c r="L672" s="906"/>
      <c r="M672" s="906"/>
      <c r="N672" s="700" t="s">
        <v>16117</v>
      </c>
      <c r="O672" s="906"/>
      <c r="P672" s="906" t="s">
        <v>6</v>
      </c>
      <c r="Q672" s="705"/>
      <c r="R672" s="903"/>
      <c r="S672" s="793"/>
    </row>
    <row r="673" spans="1:19" ht="12" customHeight="1">
      <c r="A673" s="1038" t="str">
        <f t="shared" si="273"/>
        <v>148</v>
      </c>
      <c r="B673" s="688" t="s">
        <v>2484</v>
      </c>
      <c r="C673" s="688"/>
      <c r="D673" s="1007"/>
      <c r="E673" s="1001" t="str">
        <f>IF(D673="","",D673/SUM($D$673:$D$677))</f>
        <v/>
      </c>
      <c r="F673" s="1004" t="e">
        <f>IF(J673="","$",IF(C673="当選","-",D673*100/MAX($D$673:$D$677)))</f>
        <v>#DIV/0!</v>
      </c>
      <c r="G673" s="687" t="s">
        <v>5696</v>
      </c>
      <c r="H673" s="687">
        <v>33</v>
      </c>
      <c r="I673" s="696" t="s">
        <v>5</v>
      </c>
      <c r="J673" s="689" t="s">
        <v>15273</v>
      </c>
      <c r="K673" s="747"/>
      <c r="L673" s="687"/>
      <c r="M673" s="687"/>
      <c r="N673" s="692" t="s">
        <v>16127</v>
      </c>
      <c r="O673" s="687" t="s">
        <v>44</v>
      </c>
      <c r="P673" s="687" t="s">
        <v>6</v>
      </c>
      <c r="Q673" s="748"/>
      <c r="R673" s="749"/>
      <c r="S673" s="805"/>
    </row>
    <row r="674" spans="1:19" ht="12" customHeight="1">
      <c r="A674" s="1040" t="str">
        <f t="shared" si="273"/>
        <v>148</v>
      </c>
      <c r="B674" s="4" t="s">
        <v>2485</v>
      </c>
      <c r="C674" s="4"/>
      <c r="D674" s="1008"/>
      <c r="E674" s="1002" t="str">
        <f t="shared" ref="E674:E677" si="288">IF(D674="","",D674/SUM($D$673:$D$677))</f>
        <v/>
      </c>
      <c r="F674" s="1005" t="e">
        <f t="shared" ref="F674:F677" si="289">IF(J674="","$",IF(C674="当選","-",D674*100/MAX($D$673:$D$677)))</f>
        <v>#DIV/0!</v>
      </c>
      <c r="G674" s="1" t="s">
        <v>2488</v>
      </c>
      <c r="H674" s="1">
        <v>54</v>
      </c>
      <c r="I674" s="2" t="s">
        <v>5</v>
      </c>
      <c r="J674" s="1" t="s">
        <v>15273</v>
      </c>
      <c r="K674" s="3"/>
      <c r="L674" s="1"/>
      <c r="M674" s="1"/>
      <c r="N674" s="8" t="s">
        <v>16120</v>
      </c>
      <c r="O674" s="1" t="s">
        <v>48</v>
      </c>
      <c r="P674" s="1" t="s">
        <v>14</v>
      </c>
      <c r="Q674" s="16">
        <v>2</v>
      </c>
      <c r="R674" s="17">
        <v>2</v>
      </c>
      <c r="S674" s="774"/>
    </row>
    <row r="675" spans="1:19" ht="12" customHeight="1">
      <c r="A675" s="1040" t="str">
        <f t="shared" si="273"/>
        <v>148</v>
      </c>
      <c r="B675" s="4" t="s">
        <v>2486</v>
      </c>
      <c r="C675" s="4"/>
      <c r="D675" s="1008"/>
      <c r="E675" s="1002" t="str">
        <f t="shared" si="288"/>
        <v/>
      </c>
      <c r="F675" s="1005" t="e">
        <f t="shared" si="289"/>
        <v>#DIV/0!</v>
      </c>
      <c r="G675" s="1" t="s">
        <v>2491</v>
      </c>
      <c r="H675" s="1">
        <v>43</v>
      </c>
      <c r="I675" s="2" t="s">
        <v>5</v>
      </c>
      <c r="J675" s="1" t="s">
        <v>15273</v>
      </c>
      <c r="K675" s="3" t="s">
        <v>2492</v>
      </c>
      <c r="L675" s="1"/>
      <c r="M675" s="1"/>
      <c r="N675" s="4" t="s">
        <v>16125</v>
      </c>
      <c r="O675" s="1"/>
      <c r="P675" s="1" t="s">
        <v>25</v>
      </c>
      <c r="Q675" s="16">
        <v>1</v>
      </c>
      <c r="R675" s="17">
        <v>1</v>
      </c>
      <c r="S675" s="774" t="s">
        <v>5561</v>
      </c>
    </row>
    <row r="676" spans="1:19" ht="12" customHeight="1">
      <c r="A676" s="1040" t="str">
        <f t="shared" si="273"/>
        <v>148</v>
      </c>
      <c r="B676" s="4" t="s">
        <v>2487</v>
      </c>
      <c r="C676" s="4"/>
      <c r="D676" s="1008"/>
      <c r="E676" s="1002" t="str">
        <f t="shared" si="288"/>
        <v/>
      </c>
      <c r="F676" s="1005" t="str">
        <f t="shared" si="289"/>
        <v>$</v>
      </c>
      <c r="G676" s="1" t="s">
        <v>2494</v>
      </c>
      <c r="H676" s="1">
        <v>68</v>
      </c>
      <c r="I676" s="2" t="s">
        <v>5</v>
      </c>
      <c r="J676" s="1"/>
      <c r="K676" s="3"/>
      <c r="L676" s="1"/>
      <c r="M676" s="1"/>
      <c r="N676" s="4" t="s">
        <v>16117</v>
      </c>
      <c r="O676" s="1"/>
      <c r="P676" s="1" t="s">
        <v>6</v>
      </c>
      <c r="Q676" s="16"/>
      <c r="R676" s="17"/>
      <c r="S676" s="774"/>
    </row>
    <row r="677" spans="1:19" ht="12" customHeight="1" thickBot="1">
      <c r="A677" s="916" t="str">
        <f t="shared" si="273"/>
        <v>148</v>
      </c>
      <c r="B677" s="700" t="s">
        <v>4340</v>
      </c>
      <c r="C677" s="700"/>
      <c r="D677" s="1009"/>
      <c r="E677" s="1003" t="str">
        <f t="shared" si="288"/>
        <v/>
      </c>
      <c r="F677" s="1041" t="e">
        <f t="shared" si="289"/>
        <v>#DIV/0!</v>
      </c>
      <c r="G677" s="906" t="s">
        <v>4341</v>
      </c>
      <c r="H677" s="906">
        <v>40</v>
      </c>
      <c r="I677" s="702" t="s">
        <v>19</v>
      </c>
      <c r="J677" s="906" t="s">
        <v>15273</v>
      </c>
      <c r="K677" s="703"/>
      <c r="L677" s="906"/>
      <c r="M677" s="906"/>
      <c r="N677" s="700" t="s">
        <v>16121</v>
      </c>
      <c r="O677" s="906"/>
      <c r="P677" s="906" t="s">
        <v>6</v>
      </c>
      <c r="Q677" s="705"/>
      <c r="R677" s="903"/>
      <c r="S677" s="793"/>
    </row>
    <row r="678" spans="1:19" ht="12" customHeight="1">
      <c r="A678" s="1038" t="str">
        <f t="shared" si="273"/>
        <v>149</v>
      </c>
      <c r="B678" s="688" t="s">
        <v>2544</v>
      </c>
      <c r="C678" s="688"/>
      <c r="D678" s="1007"/>
      <c r="E678" s="1001" t="str">
        <f>IF(D678="","",D678/SUM($D$678:$D$682))</f>
        <v/>
      </c>
      <c r="F678" s="1004" t="e">
        <f>IF(J678="","$",IF(C678="当選","-",D678*100/MAX($D$678:$D$682)))</f>
        <v>#DIV/0!</v>
      </c>
      <c r="G678" s="687" t="s">
        <v>2549</v>
      </c>
      <c r="H678" s="687">
        <v>33</v>
      </c>
      <c r="I678" s="696" t="s">
        <v>5</v>
      </c>
      <c r="J678" s="689" t="s">
        <v>15273</v>
      </c>
      <c r="K678" s="747" t="s">
        <v>2550</v>
      </c>
      <c r="L678" s="687"/>
      <c r="M678" s="687"/>
      <c r="N678" s="692" t="s">
        <v>16127</v>
      </c>
      <c r="O678" s="687" t="s">
        <v>44</v>
      </c>
      <c r="P678" s="687" t="s">
        <v>25</v>
      </c>
      <c r="Q678" s="748">
        <v>1</v>
      </c>
      <c r="R678" s="749">
        <v>1</v>
      </c>
      <c r="S678" s="805"/>
    </row>
    <row r="679" spans="1:19" ht="12" customHeight="1">
      <c r="A679" s="1040" t="str">
        <f t="shared" si="273"/>
        <v>149</v>
      </c>
      <c r="B679" s="4" t="s">
        <v>2545</v>
      </c>
      <c r="C679" s="4"/>
      <c r="D679" s="1008"/>
      <c r="E679" s="1002" t="str">
        <f t="shared" ref="E679:E682" si="290">IF(D679="","",D679/SUM($D$678:$D$682))</f>
        <v/>
      </c>
      <c r="F679" s="1005" t="e">
        <f t="shared" ref="F679:F682" si="291">IF(J679="","$",IF(C679="当選","-",D679*100/MAX($D$678:$D$682)))</f>
        <v>#DIV/0!</v>
      </c>
      <c r="G679" s="1" t="s">
        <v>2552</v>
      </c>
      <c r="H679" s="1">
        <v>52</v>
      </c>
      <c r="I679" s="2" t="s">
        <v>19</v>
      </c>
      <c r="J679" s="1" t="s">
        <v>15273</v>
      </c>
      <c r="K679" s="3" t="s">
        <v>2553</v>
      </c>
      <c r="L679" s="1"/>
      <c r="M679" s="1"/>
      <c r="N679" s="4" t="s">
        <v>16120</v>
      </c>
      <c r="O679" s="1" t="s">
        <v>30</v>
      </c>
      <c r="P679" s="1" t="s">
        <v>25</v>
      </c>
      <c r="Q679" s="16">
        <v>6</v>
      </c>
      <c r="R679" s="17">
        <v>6</v>
      </c>
      <c r="S679" s="774" t="s">
        <v>5457</v>
      </c>
    </row>
    <row r="680" spans="1:19" ht="12" customHeight="1">
      <c r="A680" s="1040" t="str">
        <f t="shared" si="273"/>
        <v>149</v>
      </c>
      <c r="B680" s="4" t="s">
        <v>2546</v>
      </c>
      <c r="C680" s="4"/>
      <c r="D680" s="1008"/>
      <c r="E680" s="1002" t="str">
        <f t="shared" si="290"/>
        <v/>
      </c>
      <c r="F680" s="1005" t="e">
        <f t="shared" si="291"/>
        <v>#DIV/0!</v>
      </c>
      <c r="G680" s="1" t="s">
        <v>2557</v>
      </c>
      <c r="H680" s="1">
        <v>47</v>
      </c>
      <c r="I680" s="2" t="s">
        <v>19</v>
      </c>
      <c r="J680" s="1" t="s">
        <v>15273</v>
      </c>
      <c r="K680" s="3" t="s">
        <v>2558</v>
      </c>
      <c r="L680" s="1"/>
      <c r="M680" s="1"/>
      <c r="N680" s="4" t="s">
        <v>16125</v>
      </c>
      <c r="O680" s="1"/>
      <c r="P680" s="1" t="s">
        <v>25</v>
      </c>
      <c r="Q680" s="16">
        <v>1</v>
      </c>
      <c r="R680" s="17">
        <v>1</v>
      </c>
      <c r="S680" s="774" t="s">
        <v>5561</v>
      </c>
    </row>
    <row r="681" spans="1:19" ht="12" customHeight="1">
      <c r="A681" s="1040" t="str">
        <f t="shared" si="273"/>
        <v>149</v>
      </c>
      <c r="B681" s="4" t="s">
        <v>2547</v>
      </c>
      <c r="C681" s="4"/>
      <c r="D681" s="1008"/>
      <c r="E681" s="1002" t="str">
        <f t="shared" si="290"/>
        <v/>
      </c>
      <c r="F681" s="1005" t="str">
        <f t="shared" si="291"/>
        <v>$</v>
      </c>
      <c r="G681" s="1" t="s">
        <v>2562</v>
      </c>
      <c r="H681" s="1">
        <v>49</v>
      </c>
      <c r="I681" s="2" t="s">
        <v>5</v>
      </c>
      <c r="J681" s="1"/>
      <c r="K681" s="3"/>
      <c r="L681" s="1"/>
      <c r="M681" s="1"/>
      <c r="N681" s="4" t="s">
        <v>16117</v>
      </c>
      <c r="O681" s="1"/>
      <c r="P681" s="1" t="s">
        <v>6</v>
      </c>
      <c r="Q681" s="16"/>
      <c r="R681" s="17"/>
      <c r="S681" s="774"/>
    </row>
    <row r="682" spans="1:19" ht="12" customHeight="1" thickBot="1">
      <c r="A682" s="916" t="str">
        <f t="shared" si="273"/>
        <v>149</v>
      </c>
      <c r="B682" s="700" t="s">
        <v>2548</v>
      </c>
      <c r="C682" s="700"/>
      <c r="D682" s="1009"/>
      <c r="E682" s="1003" t="str">
        <f t="shared" si="290"/>
        <v/>
      </c>
      <c r="F682" s="1041" t="str">
        <f t="shared" si="291"/>
        <v>$</v>
      </c>
      <c r="G682" s="906" t="s">
        <v>2566</v>
      </c>
      <c r="H682" s="906">
        <v>56</v>
      </c>
      <c r="I682" s="702" t="s">
        <v>19</v>
      </c>
      <c r="J682" s="906"/>
      <c r="K682" s="703"/>
      <c r="L682" s="906"/>
      <c r="M682" s="906"/>
      <c r="N682" s="700" t="s">
        <v>16122</v>
      </c>
      <c r="O682" s="906" t="s">
        <v>22</v>
      </c>
      <c r="P682" s="906" t="s">
        <v>6</v>
      </c>
      <c r="Q682" s="705"/>
      <c r="R682" s="903"/>
      <c r="S682" s="793"/>
    </row>
    <row r="683" spans="1:19" ht="12" customHeight="1">
      <c r="A683" s="1038" t="str">
        <f t="shared" si="273"/>
        <v>150</v>
      </c>
      <c r="B683" s="688" t="s">
        <v>2570</v>
      </c>
      <c r="C683" s="688"/>
      <c r="D683" s="1007"/>
      <c r="E683" s="1001" t="str">
        <f>IF(D683="","",D683/SUM($D$683:$D$686))</f>
        <v/>
      </c>
      <c r="F683" s="1004" t="e">
        <f>IF(J683="","$",IF(C683="当選","-",D683*100/MAX($D$683:$D$686)))</f>
        <v>#DIV/0!</v>
      </c>
      <c r="G683" s="687" t="s">
        <v>5451</v>
      </c>
      <c r="H683" s="687">
        <v>39</v>
      </c>
      <c r="I683" s="696" t="s">
        <v>5</v>
      </c>
      <c r="J683" s="689" t="s">
        <v>15273</v>
      </c>
      <c r="K683" s="747"/>
      <c r="L683" s="687"/>
      <c r="M683" s="687"/>
      <c r="N683" s="692" t="s">
        <v>16126</v>
      </c>
      <c r="O683" s="687" t="s">
        <v>44</v>
      </c>
      <c r="P683" s="687" t="s">
        <v>6</v>
      </c>
      <c r="Q683" s="748"/>
      <c r="R683" s="749"/>
      <c r="S683" s="805" t="s">
        <v>736</v>
      </c>
    </row>
    <row r="684" spans="1:19" ht="12" customHeight="1">
      <c r="A684" s="1040" t="str">
        <f t="shared" si="273"/>
        <v>150</v>
      </c>
      <c r="B684" s="4" t="s">
        <v>2571</v>
      </c>
      <c r="C684" s="4"/>
      <c r="D684" s="1008"/>
      <c r="E684" s="1002" t="str">
        <f t="shared" ref="E684:E686" si="292">IF(D684="","",D684/SUM($D$683:$D$686))</f>
        <v/>
      </c>
      <c r="F684" s="1005" t="e">
        <f t="shared" ref="F684:F686" si="293">IF(J684="","$",IF(C684="当選","-",D684*100/MAX($D$683:$D$686)))</f>
        <v>#DIV/0!</v>
      </c>
      <c r="G684" s="1" t="s">
        <v>2576</v>
      </c>
      <c r="H684" s="1">
        <v>49</v>
      </c>
      <c r="I684" s="2" t="s">
        <v>5</v>
      </c>
      <c r="J684" s="1" t="s">
        <v>15273</v>
      </c>
      <c r="K684" s="3" t="s">
        <v>2577</v>
      </c>
      <c r="L684" s="1"/>
      <c r="M684" s="1"/>
      <c r="N684" s="4" t="s">
        <v>16120</v>
      </c>
      <c r="O684" s="1" t="s">
        <v>30</v>
      </c>
      <c r="P684" s="1" t="s">
        <v>25</v>
      </c>
      <c r="Q684" s="16">
        <v>5</v>
      </c>
      <c r="R684" s="17">
        <v>5</v>
      </c>
      <c r="S684" s="774" t="s">
        <v>5457</v>
      </c>
    </row>
    <row r="685" spans="1:19" ht="12" customHeight="1">
      <c r="A685" s="1040" t="str">
        <f t="shared" si="273"/>
        <v>150</v>
      </c>
      <c r="B685" s="4" t="s">
        <v>2572</v>
      </c>
      <c r="C685" s="4"/>
      <c r="D685" s="1008"/>
      <c r="E685" s="1002" t="str">
        <f t="shared" si="292"/>
        <v/>
      </c>
      <c r="F685" s="1005" t="e">
        <f t="shared" si="293"/>
        <v>#DIV/0!</v>
      </c>
      <c r="G685" s="1" t="s">
        <v>2573</v>
      </c>
      <c r="H685" s="1">
        <v>59</v>
      </c>
      <c r="I685" s="2" t="s">
        <v>5</v>
      </c>
      <c r="J685" s="1" t="s">
        <v>15273</v>
      </c>
      <c r="K685" s="3" t="s">
        <v>2574</v>
      </c>
      <c r="L685" s="1"/>
      <c r="M685" s="1"/>
      <c r="N685" s="4" t="s">
        <v>16125</v>
      </c>
      <c r="O685" s="1"/>
      <c r="P685" s="1" t="s">
        <v>25</v>
      </c>
      <c r="Q685" s="16">
        <v>1</v>
      </c>
      <c r="R685" s="17">
        <v>1</v>
      </c>
      <c r="S685" s="774" t="s">
        <v>5561</v>
      </c>
    </row>
    <row r="686" spans="1:19" ht="12" customHeight="1" thickBot="1">
      <c r="A686" s="916" t="str">
        <f t="shared" si="273"/>
        <v>150</v>
      </c>
      <c r="B686" s="700" t="s">
        <v>4575</v>
      </c>
      <c r="C686" s="700"/>
      <c r="D686" s="1009"/>
      <c r="E686" s="1003" t="str">
        <f t="shared" si="292"/>
        <v/>
      </c>
      <c r="F686" s="1041" t="str">
        <f t="shared" si="293"/>
        <v>$</v>
      </c>
      <c r="G686" s="906" t="s">
        <v>2583</v>
      </c>
      <c r="H686" s="906">
        <v>53</v>
      </c>
      <c r="I686" s="702" t="s">
        <v>5</v>
      </c>
      <c r="J686" s="906"/>
      <c r="K686" s="703"/>
      <c r="L686" s="906"/>
      <c r="M686" s="906"/>
      <c r="N686" s="700" t="s">
        <v>16117</v>
      </c>
      <c r="O686" s="906"/>
      <c r="P686" s="906" t="s">
        <v>6</v>
      </c>
      <c r="Q686" s="705"/>
      <c r="R686" s="903"/>
      <c r="S686" s="793"/>
    </row>
    <row r="687" spans="1:19" ht="12" customHeight="1">
      <c r="A687" s="1038" t="str">
        <f t="shared" si="273"/>
        <v>151</v>
      </c>
      <c r="B687" s="688" t="s">
        <v>2586</v>
      </c>
      <c r="C687" s="688"/>
      <c r="D687" s="1007"/>
      <c r="E687" s="1001" t="str">
        <f>IF(D687="","",D687/SUM($D$687:$D$690))</f>
        <v/>
      </c>
      <c r="F687" s="1004" t="e">
        <f>IF(J687="","$",IF(C687="当選","-",D687*100/MAX($D$687:$D$690)))</f>
        <v>#DIV/0!</v>
      </c>
      <c r="G687" s="687" t="s">
        <v>2589</v>
      </c>
      <c r="H687" s="687">
        <v>45</v>
      </c>
      <c r="I687" s="696" t="s">
        <v>5</v>
      </c>
      <c r="J687" s="689" t="s">
        <v>15273</v>
      </c>
      <c r="K687" s="747" t="s">
        <v>2590</v>
      </c>
      <c r="L687" s="687"/>
      <c r="M687" s="687"/>
      <c r="N687" s="692" t="s">
        <v>16127</v>
      </c>
      <c r="O687" s="687" t="s">
        <v>44</v>
      </c>
      <c r="P687" s="687" t="s">
        <v>25</v>
      </c>
      <c r="Q687" s="748">
        <v>3</v>
      </c>
      <c r="R687" s="749">
        <v>3</v>
      </c>
      <c r="S687" s="805" t="s">
        <v>736</v>
      </c>
    </row>
    <row r="688" spans="1:19" ht="12" customHeight="1">
      <c r="A688" s="1040" t="str">
        <f t="shared" si="273"/>
        <v>151</v>
      </c>
      <c r="B688" s="4" t="s">
        <v>2587</v>
      </c>
      <c r="C688" s="4"/>
      <c r="D688" s="1008"/>
      <c r="E688" s="1002" t="str">
        <f t="shared" ref="E688:E690" si="294">IF(D688="","",D688/SUM($D$687:$D$690))</f>
        <v/>
      </c>
      <c r="F688" s="1005" t="e">
        <f t="shared" ref="F688:F690" si="295">IF(J688="","$",IF(C688="当選","-",D688*100/MAX($D$687:$D$690)))</f>
        <v>#DIV/0!</v>
      </c>
      <c r="G688" s="1" t="s">
        <v>2593</v>
      </c>
      <c r="H688" s="1">
        <v>57</v>
      </c>
      <c r="I688" s="2" t="s">
        <v>5</v>
      </c>
      <c r="J688" s="1" t="s">
        <v>15273</v>
      </c>
      <c r="K688" s="3"/>
      <c r="L688" s="1"/>
      <c r="M688" s="1"/>
      <c r="N688" s="8" t="s">
        <v>16120</v>
      </c>
      <c r="O688" s="1" t="s">
        <v>445</v>
      </c>
      <c r="P688" s="1" t="s">
        <v>14</v>
      </c>
      <c r="Q688" s="16">
        <v>1</v>
      </c>
      <c r="R688" s="17">
        <v>1</v>
      </c>
      <c r="S688" s="774" t="s">
        <v>5457</v>
      </c>
    </row>
    <row r="689" spans="1:19" ht="12" customHeight="1">
      <c r="A689" s="1040" t="str">
        <f t="shared" si="273"/>
        <v>151</v>
      </c>
      <c r="B689" s="4" t="s">
        <v>2588</v>
      </c>
      <c r="C689" s="4"/>
      <c r="D689" s="1008"/>
      <c r="E689" s="1002" t="str">
        <f t="shared" si="294"/>
        <v/>
      </c>
      <c r="F689" s="1005" t="e">
        <f t="shared" si="295"/>
        <v>#DIV/0!</v>
      </c>
      <c r="G689" s="1" t="s">
        <v>15633</v>
      </c>
      <c r="H689" s="1">
        <v>55</v>
      </c>
      <c r="I689" s="2" t="s">
        <v>5</v>
      </c>
      <c r="J689" s="1" t="s">
        <v>15273</v>
      </c>
      <c r="K689" s="3"/>
      <c r="L689" s="1"/>
      <c r="M689" s="1"/>
      <c r="N689" s="4" t="s">
        <v>16125</v>
      </c>
      <c r="O689" s="1"/>
      <c r="P689" s="1" t="s">
        <v>6</v>
      </c>
      <c r="Q689" s="16"/>
      <c r="R689" s="17"/>
      <c r="S689" s="774" t="s">
        <v>5561</v>
      </c>
    </row>
    <row r="690" spans="1:19" ht="12" customHeight="1" thickBot="1">
      <c r="A690" s="916" t="str">
        <f t="shared" si="273"/>
        <v>151</v>
      </c>
      <c r="B690" s="700" t="s">
        <v>15632</v>
      </c>
      <c r="C690" s="700"/>
      <c r="D690" s="1009"/>
      <c r="E690" s="1003" t="str">
        <f t="shared" si="294"/>
        <v/>
      </c>
      <c r="F690" s="1041" t="str">
        <f t="shared" si="295"/>
        <v>$</v>
      </c>
      <c r="G690" s="906" t="s">
        <v>4026</v>
      </c>
      <c r="H690" s="906">
        <v>54</v>
      </c>
      <c r="I690" s="702" t="s">
        <v>5</v>
      </c>
      <c r="J690" s="906"/>
      <c r="K690" s="703"/>
      <c r="L690" s="906"/>
      <c r="M690" s="906"/>
      <c r="N690" s="700" t="s">
        <v>16117</v>
      </c>
      <c r="O690" s="906"/>
      <c r="P690" s="906" t="s">
        <v>6</v>
      </c>
      <c r="Q690" s="705"/>
      <c r="R690" s="903"/>
      <c r="S690" s="793"/>
    </row>
    <row r="691" spans="1:19" ht="12" customHeight="1">
      <c r="A691" s="1038" t="str">
        <f t="shared" si="273"/>
        <v>152</v>
      </c>
      <c r="B691" s="688" t="s">
        <v>2595</v>
      </c>
      <c r="C691" s="688"/>
      <c r="D691" s="1007"/>
      <c r="E691" s="1001" t="str">
        <f>IF(D691="","",D691/SUM($D$691:$D$694))</f>
        <v/>
      </c>
      <c r="F691" s="1004" t="e">
        <f>IF(J691="","$",IF(C691="当選","-",D691*100/MAX($D$691:$D$694)))</f>
        <v>#DIV/0!</v>
      </c>
      <c r="G691" s="687" t="s">
        <v>4027</v>
      </c>
      <c r="H691" s="687">
        <v>25</v>
      </c>
      <c r="I691" s="696" t="s">
        <v>5</v>
      </c>
      <c r="J691" s="689" t="s">
        <v>15273</v>
      </c>
      <c r="K691" s="747"/>
      <c r="L691" s="687"/>
      <c r="M691" s="687"/>
      <c r="N691" s="692" t="s">
        <v>16127</v>
      </c>
      <c r="O691" s="687" t="s">
        <v>44</v>
      </c>
      <c r="P691" s="687" t="s">
        <v>6</v>
      </c>
      <c r="Q691" s="748"/>
      <c r="R691" s="749"/>
      <c r="S691" s="805" t="s">
        <v>736</v>
      </c>
    </row>
    <row r="692" spans="1:19" ht="12" customHeight="1">
      <c r="A692" s="1040" t="str">
        <f t="shared" si="273"/>
        <v>152</v>
      </c>
      <c r="B692" s="4" t="s">
        <v>2596</v>
      </c>
      <c r="C692" s="4"/>
      <c r="D692" s="1008"/>
      <c r="E692" s="1002" t="str">
        <f t="shared" ref="E692:E694" si="296">IF(D692="","",D692/SUM($D$691:$D$694))</f>
        <v/>
      </c>
      <c r="F692" s="1005" t="e">
        <f t="shared" ref="F692:F694" si="297">IF(J692="","$",IF(C692="当選","-",D692*100/MAX($D$691:$D$694)))</f>
        <v>#DIV/0!</v>
      </c>
      <c r="G692" s="1" t="s">
        <v>2598</v>
      </c>
      <c r="H692" s="1">
        <v>69</v>
      </c>
      <c r="I692" s="2" t="s">
        <v>5</v>
      </c>
      <c r="J692" s="1" t="s">
        <v>15273</v>
      </c>
      <c r="K692" s="3" t="s">
        <v>2599</v>
      </c>
      <c r="L692" s="1"/>
      <c r="M692" s="1"/>
      <c r="N692" s="4" t="s">
        <v>16120</v>
      </c>
      <c r="O692" s="1" t="s">
        <v>476</v>
      </c>
      <c r="P692" s="1" t="s">
        <v>25</v>
      </c>
      <c r="Q692" s="16">
        <v>8</v>
      </c>
      <c r="R692" s="17">
        <v>8</v>
      </c>
      <c r="S692" s="774" t="s">
        <v>5457</v>
      </c>
    </row>
    <row r="693" spans="1:19" ht="12" customHeight="1">
      <c r="A693" s="1040" t="str">
        <f t="shared" si="273"/>
        <v>152</v>
      </c>
      <c r="B693" s="4" t="s">
        <v>2597</v>
      </c>
      <c r="C693" s="4"/>
      <c r="D693" s="1008"/>
      <c r="E693" s="1002" t="str">
        <f t="shared" si="296"/>
        <v/>
      </c>
      <c r="F693" s="1005" t="e">
        <f t="shared" si="297"/>
        <v>#DIV/0!</v>
      </c>
      <c r="G693" s="1" t="s">
        <v>4420</v>
      </c>
      <c r="H693" s="1">
        <v>50</v>
      </c>
      <c r="I693" s="2" t="s">
        <v>5</v>
      </c>
      <c r="J693" s="1" t="s">
        <v>15273</v>
      </c>
      <c r="K693" s="3" t="s">
        <v>4421</v>
      </c>
      <c r="L693" s="1"/>
      <c r="M693" s="1"/>
      <c r="N693" s="4" t="s">
        <v>16116</v>
      </c>
      <c r="O693" s="1" t="s">
        <v>4422</v>
      </c>
      <c r="P693" s="1" t="s">
        <v>25</v>
      </c>
      <c r="Q693" s="16">
        <v>1</v>
      </c>
      <c r="R693" s="17">
        <v>1</v>
      </c>
      <c r="S693" s="774" t="s">
        <v>18568</v>
      </c>
    </row>
    <row r="694" spans="1:19" ht="12" customHeight="1" thickBot="1">
      <c r="A694" s="916" t="str">
        <f t="shared" si="273"/>
        <v>152</v>
      </c>
      <c r="B694" s="700" t="s">
        <v>4698</v>
      </c>
      <c r="C694" s="700"/>
      <c r="D694" s="1009"/>
      <c r="E694" s="1003" t="str">
        <f t="shared" si="296"/>
        <v/>
      </c>
      <c r="F694" s="1041" t="str">
        <f t="shared" si="297"/>
        <v>$</v>
      </c>
      <c r="G694" s="906" t="s">
        <v>2602</v>
      </c>
      <c r="H694" s="906">
        <v>64</v>
      </c>
      <c r="I694" s="702" t="s">
        <v>5</v>
      </c>
      <c r="J694" s="906"/>
      <c r="K694" s="703"/>
      <c r="L694" s="906"/>
      <c r="M694" s="906"/>
      <c r="N694" s="700" t="s">
        <v>16117</v>
      </c>
      <c r="O694" s="906"/>
      <c r="P694" s="906" t="s">
        <v>6</v>
      </c>
      <c r="Q694" s="705"/>
      <c r="R694" s="903"/>
      <c r="S694" s="793"/>
    </row>
    <row r="695" spans="1:19" ht="12" customHeight="1">
      <c r="A695" s="1038" t="str">
        <f t="shared" si="273"/>
        <v>153</v>
      </c>
      <c r="B695" s="688" t="s">
        <v>2606</v>
      </c>
      <c r="C695" s="688"/>
      <c r="D695" s="1007"/>
      <c r="E695" s="1001" t="str">
        <f>IF(D695="","",D695/SUM($D$695:$D$698))</f>
        <v/>
      </c>
      <c r="F695" s="1004" t="e">
        <f>IF(J695="","$",IF(C695="当選","-",D695*100/MAX($D$695:$D$698)))</f>
        <v>#DIV/0!</v>
      </c>
      <c r="G695" s="687" t="s">
        <v>2610</v>
      </c>
      <c r="H695" s="687">
        <v>49</v>
      </c>
      <c r="I695" s="696" t="s">
        <v>5</v>
      </c>
      <c r="J695" s="689" t="s">
        <v>15273</v>
      </c>
      <c r="K695" s="747" t="s">
        <v>2611</v>
      </c>
      <c r="L695" s="687"/>
      <c r="M695" s="687"/>
      <c r="N695" s="692" t="s">
        <v>16126</v>
      </c>
      <c r="O695" s="687" t="s">
        <v>44</v>
      </c>
      <c r="P695" s="687" t="s">
        <v>25</v>
      </c>
      <c r="Q695" s="748">
        <v>1</v>
      </c>
      <c r="R695" s="749">
        <v>1</v>
      </c>
      <c r="S695" s="805"/>
    </row>
    <row r="696" spans="1:19" ht="12" customHeight="1">
      <c r="A696" s="1040" t="str">
        <f t="shared" si="273"/>
        <v>153</v>
      </c>
      <c r="B696" s="4" t="s">
        <v>2607</v>
      </c>
      <c r="C696" s="4"/>
      <c r="D696" s="1008"/>
      <c r="E696" s="1002" t="str">
        <f t="shared" ref="E696:E698" si="298">IF(D696="","",D696/SUM($D$695:$D$698))</f>
        <v/>
      </c>
      <c r="F696" s="1005" t="e">
        <f t="shared" ref="F696:F698" si="299">IF(J696="","$",IF(C696="当選","-",D696*100/MAX($D$695:$D$698)))</f>
        <v>#DIV/0!</v>
      </c>
      <c r="G696" s="1" t="s">
        <v>2614</v>
      </c>
      <c r="H696" s="1">
        <v>60</v>
      </c>
      <c r="I696" s="2" t="s">
        <v>5</v>
      </c>
      <c r="J696" s="1" t="s">
        <v>15273</v>
      </c>
      <c r="K696" s="3" t="s">
        <v>2615</v>
      </c>
      <c r="L696" s="1"/>
      <c r="M696" s="1"/>
      <c r="N696" s="4" t="s">
        <v>16120</v>
      </c>
      <c r="O696" s="1" t="s">
        <v>30</v>
      </c>
      <c r="P696" s="1" t="s">
        <v>25</v>
      </c>
      <c r="Q696" s="16">
        <v>7</v>
      </c>
      <c r="R696" s="17">
        <v>7</v>
      </c>
      <c r="S696" s="774" t="s">
        <v>5457</v>
      </c>
    </row>
    <row r="697" spans="1:19" ht="12" customHeight="1">
      <c r="A697" s="1040" t="str">
        <f t="shared" si="273"/>
        <v>153</v>
      </c>
      <c r="B697" s="4" t="s">
        <v>2608</v>
      </c>
      <c r="C697" s="4"/>
      <c r="D697" s="1008"/>
      <c r="E697" s="1002" t="str">
        <f t="shared" si="298"/>
        <v/>
      </c>
      <c r="F697" s="1005" t="str">
        <f t="shared" si="299"/>
        <v>$</v>
      </c>
      <c r="G697" s="1" t="s">
        <v>2618</v>
      </c>
      <c r="H697" s="1">
        <v>45</v>
      </c>
      <c r="I697" s="2" t="s">
        <v>5</v>
      </c>
      <c r="J697" s="1"/>
      <c r="K697" s="3"/>
      <c r="L697" s="1"/>
      <c r="M697" s="1"/>
      <c r="N697" s="4" t="s">
        <v>16117</v>
      </c>
      <c r="O697" s="1"/>
      <c r="P697" s="1" t="s">
        <v>6</v>
      </c>
      <c r="Q697" s="16"/>
      <c r="R697" s="17"/>
      <c r="S697" s="774"/>
    </row>
    <row r="698" spans="1:19" ht="12" customHeight="1" thickBot="1">
      <c r="A698" s="916" t="str">
        <f t="shared" si="273"/>
        <v>153</v>
      </c>
      <c r="B698" s="700" t="s">
        <v>2609</v>
      </c>
      <c r="C698" s="700"/>
      <c r="D698" s="1009"/>
      <c r="E698" s="1003" t="str">
        <f t="shared" si="298"/>
        <v/>
      </c>
      <c r="F698" s="1041" t="str">
        <f t="shared" si="299"/>
        <v>$</v>
      </c>
      <c r="G698" s="906" t="s">
        <v>2621</v>
      </c>
      <c r="H698" s="906">
        <v>52</v>
      </c>
      <c r="I698" s="702" t="s">
        <v>5</v>
      </c>
      <c r="J698" s="906"/>
      <c r="K698" s="703"/>
      <c r="L698" s="906"/>
      <c r="M698" s="906"/>
      <c r="N698" s="700" t="s">
        <v>16122</v>
      </c>
      <c r="O698" s="906" t="s">
        <v>22</v>
      </c>
      <c r="P698" s="906" t="s">
        <v>6</v>
      </c>
      <c r="Q698" s="705"/>
      <c r="R698" s="903"/>
      <c r="S698" s="793"/>
    </row>
    <row r="699" spans="1:19" ht="12" customHeight="1">
      <c r="A699" s="1038" t="str">
        <f t="shared" si="273"/>
        <v>154</v>
      </c>
      <c r="B699" s="688" t="s">
        <v>2624</v>
      </c>
      <c r="C699" s="688"/>
      <c r="D699" s="1007"/>
      <c r="E699" s="1001" t="str">
        <f>IF(D699="","",D699/SUM($D$699:$D$703))</f>
        <v/>
      </c>
      <c r="F699" s="1004" t="e">
        <f>IF(J699="","$",IF(C699="当選","-",D699*100/MAX($D$699:$D$703)))</f>
        <v>#DIV/0!</v>
      </c>
      <c r="G699" s="687" t="s">
        <v>2628</v>
      </c>
      <c r="H699" s="687">
        <v>67</v>
      </c>
      <c r="I699" s="696" t="s">
        <v>5</v>
      </c>
      <c r="J699" s="689" t="s">
        <v>15273</v>
      </c>
      <c r="K699" s="747" t="s">
        <v>2629</v>
      </c>
      <c r="L699" s="687"/>
      <c r="M699" s="687"/>
      <c r="N699" s="692" t="s">
        <v>16127</v>
      </c>
      <c r="O699" s="687" t="s">
        <v>1656</v>
      </c>
      <c r="P699" s="687" t="s">
        <v>25</v>
      </c>
      <c r="Q699" s="748">
        <v>4</v>
      </c>
      <c r="R699" s="749">
        <v>4</v>
      </c>
      <c r="S699" s="805" t="s">
        <v>736</v>
      </c>
    </row>
    <row r="700" spans="1:19" ht="12" customHeight="1">
      <c r="A700" s="1040" t="str">
        <f t="shared" si="273"/>
        <v>154</v>
      </c>
      <c r="B700" s="4" t="s">
        <v>2625</v>
      </c>
      <c r="C700" s="4"/>
      <c r="D700" s="1008"/>
      <c r="E700" s="1002" t="str">
        <f t="shared" ref="E700:E703" si="300">IF(D700="","",D700/SUM($D$699:$D$703))</f>
        <v/>
      </c>
      <c r="F700" s="1005" t="e">
        <f t="shared" ref="F700:F703" si="301">IF(J700="","$",IF(C700="当選","-",D700*100/MAX($D$699:$D$703)))</f>
        <v>#DIV/0!</v>
      </c>
      <c r="G700" s="1" t="s">
        <v>2632</v>
      </c>
      <c r="H700" s="1">
        <v>59</v>
      </c>
      <c r="I700" s="2" t="s">
        <v>19</v>
      </c>
      <c r="J700" s="1" t="s">
        <v>15273</v>
      </c>
      <c r="K700" s="3"/>
      <c r="L700" s="1"/>
      <c r="M700" s="1"/>
      <c r="N700" s="8" t="s">
        <v>16120</v>
      </c>
      <c r="O700" s="1" t="s">
        <v>476</v>
      </c>
      <c r="P700" s="1" t="s">
        <v>14</v>
      </c>
      <c r="Q700" s="16">
        <v>3</v>
      </c>
      <c r="R700" s="17">
        <v>3</v>
      </c>
      <c r="S700" s="774" t="s">
        <v>5457</v>
      </c>
    </row>
    <row r="701" spans="1:19" ht="12" customHeight="1">
      <c r="A701" s="1040" t="str">
        <f t="shared" si="273"/>
        <v>154</v>
      </c>
      <c r="B701" s="4" t="s">
        <v>2626</v>
      </c>
      <c r="C701" s="4"/>
      <c r="D701" s="1008"/>
      <c r="E701" s="1002" t="str">
        <f t="shared" si="300"/>
        <v/>
      </c>
      <c r="F701" s="1005" t="e">
        <f t="shared" si="301"/>
        <v>#DIV/0!</v>
      </c>
      <c r="G701" s="1" t="s">
        <v>5781</v>
      </c>
      <c r="H701" s="1">
        <v>36</v>
      </c>
      <c r="I701" s="2" t="s">
        <v>5</v>
      </c>
      <c r="J701" s="1" t="s">
        <v>15273</v>
      </c>
      <c r="K701" s="3"/>
      <c r="L701" s="1"/>
      <c r="M701" s="1"/>
      <c r="N701" s="4" t="s">
        <v>16116</v>
      </c>
      <c r="O701" s="1" t="s">
        <v>18494</v>
      </c>
      <c r="P701" s="1" t="s">
        <v>6</v>
      </c>
      <c r="Q701" s="16"/>
      <c r="R701" s="17"/>
      <c r="S701" s="774"/>
    </row>
    <row r="702" spans="1:19" ht="12" customHeight="1">
      <c r="A702" s="1040" t="str">
        <f t="shared" si="273"/>
        <v>154</v>
      </c>
      <c r="B702" s="4" t="s">
        <v>2627</v>
      </c>
      <c r="C702" s="4"/>
      <c r="D702" s="1008"/>
      <c r="E702" s="1002" t="str">
        <f t="shared" si="300"/>
        <v/>
      </c>
      <c r="F702" s="1005" t="e">
        <f t="shared" si="301"/>
        <v>#DIV/0!</v>
      </c>
      <c r="G702" s="1" t="s">
        <v>2637</v>
      </c>
      <c r="H702" s="1">
        <v>38</v>
      </c>
      <c r="I702" s="2" t="s">
        <v>5</v>
      </c>
      <c r="J702" s="1" t="s">
        <v>15273</v>
      </c>
      <c r="K702" s="3"/>
      <c r="L702" s="1"/>
      <c r="M702" s="1"/>
      <c r="N702" s="4" t="s">
        <v>18495</v>
      </c>
      <c r="O702" s="1"/>
      <c r="P702" s="1" t="s">
        <v>6</v>
      </c>
      <c r="Q702" s="16"/>
      <c r="R702" s="17"/>
      <c r="S702" s="774"/>
    </row>
    <row r="703" spans="1:19" ht="12" customHeight="1" thickBot="1">
      <c r="A703" s="916" t="str">
        <f t="shared" si="273"/>
        <v>154</v>
      </c>
      <c r="B703" s="700" t="s">
        <v>5780</v>
      </c>
      <c r="C703" s="700"/>
      <c r="D703" s="1009"/>
      <c r="E703" s="1003" t="str">
        <f t="shared" si="300"/>
        <v/>
      </c>
      <c r="F703" s="1041" t="str">
        <f t="shared" si="301"/>
        <v>$</v>
      </c>
      <c r="G703" s="906" t="s">
        <v>2635</v>
      </c>
      <c r="H703" s="906">
        <v>61</v>
      </c>
      <c r="I703" s="702" t="s">
        <v>19</v>
      </c>
      <c r="J703" s="906"/>
      <c r="K703" s="703"/>
      <c r="L703" s="906"/>
      <c r="M703" s="906"/>
      <c r="N703" s="700" t="s">
        <v>16117</v>
      </c>
      <c r="O703" s="906"/>
      <c r="P703" s="906" t="s">
        <v>6</v>
      </c>
      <c r="Q703" s="705"/>
      <c r="R703" s="903"/>
      <c r="S703" s="793"/>
    </row>
    <row r="704" spans="1:19" ht="12" customHeight="1">
      <c r="A704" s="1038" t="str">
        <f t="shared" si="273"/>
        <v>155</v>
      </c>
      <c r="B704" s="688" t="s">
        <v>2641</v>
      </c>
      <c r="C704" s="688"/>
      <c r="D704" s="1007"/>
      <c r="E704" s="1001" t="str">
        <f>IF(D704="","",D704/SUM($D$704:$D$707))</f>
        <v/>
      </c>
      <c r="F704" s="1004" t="e">
        <f>IF(J704="","$",IF(C704="当選","-",D704*100/MAX($D$704:$D$707)))</f>
        <v>#DIV/0!</v>
      </c>
      <c r="G704" s="687" t="s">
        <v>2644</v>
      </c>
      <c r="H704" s="687">
        <v>40</v>
      </c>
      <c r="I704" s="696" t="s">
        <v>5</v>
      </c>
      <c r="J704" s="689" t="s">
        <v>15273</v>
      </c>
      <c r="K704" s="747" t="s">
        <v>2645</v>
      </c>
      <c r="L704" s="687"/>
      <c r="M704" s="687"/>
      <c r="N704" s="692" t="s">
        <v>16127</v>
      </c>
      <c r="O704" s="687" t="s">
        <v>44</v>
      </c>
      <c r="P704" s="687" t="s">
        <v>25</v>
      </c>
      <c r="Q704" s="748">
        <v>3</v>
      </c>
      <c r="R704" s="749">
        <v>3</v>
      </c>
      <c r="S704" s="805" t="s">
        <v>736</v>
      </c>
    </row>
    <row r="705" spans="1:19" ht="12" customHeight="1">
      <c r="A705" s="1040" t="str">
        <f t="shared" si="273"/>
        <v>155</v>
      </c>
      <c r="B705" s="4" t="s">
        <v>2642</v>
      </c>
      <c r="C705" s="4"/>
      <c r="D705" s="1008"/>
      <c r="E705" s="1002" t="str">
        <f t="shared" ref="E705:E707" si="302">IF(D705="","",D705/SUM($D$704:$D$707))</f>
        <v/>
      </c>
      <c r="F705" s="1005" t="e">
        <f t="shared" ref="F705:F707" si="303">IF(J705="","$",IF(C705="当選","-",D705*100/MAX($D$704:$D$707)))</f>
        <v>#DIV/0!</v>
      </c>
      <c r="G705" s="1" t="s">
        <v>2649</v>
      </c>
      <c r="H705" s="1">
        <v>36</v>
      </c>
      <c r="I705" s="2" t="s">
        <v>5</v>
      </c>
      <c r="J705" s="1" t="s">
        <v>15273</v>
      </c>
      <c r="K705" s="3"/>
      <c r="L705" s="1"/>
      <c r="M705" s="1"/>
      <c r="N705" s="4" t="s">
        <v>16120</v>
      </c>
      <c r="O705" s="1" t="s">
        <v>30</v>
      </c>
      <c r="P705" s="1" t="s">
        <v>6</v>
      </c>
      <c r="Q705" s="16"/>
      <c r="R705" s="17"/>
      <c r="S705" s="774"/>
    </row>
    <row r="706" spans="1:19" ht="12" customHeight="1">
      <c r="A706" s="1040" t="str">
        <f t="shared" si="273"/>
        <v>155</v>
      </c>
      <c r="B706" s="4" t="s">
        <v>2643</v>
      </c>
      <c r="C706" s="4"/>
      <c r="D706" s="1008"/>
      <c r="E706" s="1002" t="str">
        <f t="shared" si="302"/>
        <v/>
      </c>
      <c r="F706" s="1005" t="e">
        <f t="shared" si="303"/>
        <v>#DIV/0!</v>
      </c>
      <c r="G706" s="1" t="s">
        <v>5221</v>
      </c>
      <c r="H706" s="1">
        <v>46</v>
      </c>
      <c r="I706" s="2" t="s">
        <v>5</v>
      </c>
      <c r="J706" s="1" t="s">
        <v>15273</v>
      </c>
      <c r="K706" s="3"/>
      <c r="L706" s="1"/>
      <c r="M706" s="1"/>
      <c r="N706" s="4" t="s">
        <v>16116</v>
      </c>
      <c r="O706" s="1" t="s">
        <v>18494</v>
      </c>
      <c r="P706" s="1" t="s">
        <v>6</v>
      </c>
      <c r="Q706" s="16"/>
      <c r="R706" s="17"/>
      <c r="S706" s="774" t="s">
        <v>6154</v>
      </c>
    </row>
    <row r="707" spans="1:19" ht="12" customHeight="1" thickBot="1">
      <c r="A707" s="916" t="str">
        <f t="shared" ref="A707:A770" si="304">MIDB(B707,1,3)</f>
        <v>155</v>
      </c>
      <c r="B707" s="700" t="s">
        <v>5220</v>
      </c>
      <c r="C707" s="700"/>
      <c r="D707" s="1009"/>
      <c r="E707" s="1003" t="str">
        <f t="shared" si="302"/>
        <v/>
      </c>
      <c r="F707" s="1041" t="str">
        <f t="shared" si="303"/>
        <v>$</v>
      </c>
      <c r="G707" s="906" t="s">
        <v>2652</v>
      </c>
      <c r="H707" s="906">
        <v>60</v>
      </c>
      <c r="I707" s="702" t="s">
        <v>19</v>
      </c>
      <c r="J707" s="906"/>
      <c r="K707" s="703"/>
      <c r="L707" s="906"/>
      <c r="M707" s="906"/>
      <c r="N707" s="700" t="s">
        <v>16117</v>
      </c>
      <c r="O707" s="906"/>
      <c r="P707" s="906" t="s">
        <v>6</v>
      </c>
      <c r="Q707" s="705"/>
      <c r="R707" s="903"/>
      <c r="S707" s="793"/>
    </row>
    <row r="708" spans="1:19" ht="12" customHeight="1">
      <c r="A708" s="1038" t="str">
        <f t="shared" si="304"/>
        <v>156</v>
      </c>
      <c r="B708" s="688" t="s">
        <v>2655</v>
      </c>
      <c r="C708" s="688"/>
      <c r="D708" s="1007"/>
      <c r="E708" s="1001" t="str">
        <f>IF(D708="","",D708/SUM($D$708:$D$711))</f>
        <v/>
      </c>
      <c r="F708" s="1004" t="e">
        <f>IF(J708="","$",IF(C708="当選","-",D708*100/MAX($D$708:$D$711)))</f>
        <v>#DIV/0!</v>
      </c>
      <c r="G708" s="687" t="s">
        <v>2658</v>
      </c>
      <c r="H708" s="687">
        <v>36</v>
      </c>
      <c r="I708" s="696" t="s">
        <v>5</v>
      </c>
      <c r="J708" s="689" t="s">
        <v>15273</v>
      </c>
      <c r="K708" s="747" t="s">
        <v>2659</v>
      </c>
      <c r="L708" s="687"/>
      <c r="M708" s="687"/>
      <c r="N708" s="692" t="s">
        <v>16126</v>
      </c>
      <c r="O708" s="687" t="s">
        <v>44</v>
      </c>
      <c r="P708" s="687" t="s">
        <v>25</v>
      </c>
      <c r="Q708" s="748">
        <v>1</v>
      </c>
      <c r="R708" s="749">
        <v>1</v>
      </c>
      <c r="S708" s="805" t="s">
        <v>736</v>
      </c>
    </row>
    <row r="709" spans="1:19" ht="12" customHeight="1">
      <c r="A709" s="1040" t="str">
        <f t="shared" si="304"/>
        <v>156</v>
      </c>
      <c r="B709" s="4" t="s">
        <v>2656</v>
      </c>
      <c r="C709" s="4"/>
      <c r="D709" s="1008"/>
      <c r="E709" s="1002" t="str">
        <f t="shared" ref="E709:E711" si="305">IF(D709="","",D709/SUM($D$708:$D$711))</f>
        <v/>
      </c>
      <c r="F709" s="1005" t="e">
        <f t="shared" ref="F709:F711" si="306">IF(J709="","$",IF(C709="当選","-",D709*100/MAX($D$708:$D$711)))</f>
        <v>#DIV/0!</v>
      </c>
      <c r="G709" s="1" t="s">
        <v>2662</v>
      </c>
      <c r="H709" s="1">
        <v>37</v>
      </c>
      <c r="I709" s="2" t="s">
        <v>5</v>
      </c>
      <c r="J709" s="1" t="s">
        <v>15273</v>
      </c>
      <c r="K709" s="3"/>
      <c r="L709" s="1"/>
      <c r="M709" s="1"/>
      <c r="N709" s="4" t="s">
        <v>16120</v>
      </c>
      <c r="O709" s="1" t="s">
        <v>30</v>
      </c>
      <c r="P709" s="1" t="s">
        <v>6</v>
      </c>
      <c r="Q709" s="16"/>
      <c r="R709" s="17"/>
      <c r="S709" s="774" t="s">
        <v>5457</v>
      </c>
    </row>
    <row r="710" spans="1:19" ht="12" customHeight="1">
      <c r="A710" s="1040" t="str">
        <f t="shared" si="304"/>
        <v>156</v>
      </c>
      <c r="B710" s="4" t="s">
        <v>2657</v>
      </c>
      <c r="C710" s="4"/>
      <c r="D710" s="1008"/>
      <c r="E710" s="1002" t="str">
        <f t="shared" si="305"/>
        <v/>
      </c>
      <c r="F710" s="1005" t="e">
        <f t="shared" si="306"/>
        <v>#DIV/0!</v>
      </c>
      <c r="G710" s="1" t="s">
        <v>5193</v>
      </c>
      <c r="H710" s="1">
        <v>63</v>
      </c>
      <c r="I710" s="2" t="s">
        <v>5</v>
      </c>
      <c r="J710" s="1" t="s">
        <v>15273</v>
      </c>
      <c r="K710" s="3"/>
      <c r="L710" s="1"/>
      <c r="M710" s="1"/>
      <c r="N710" s="4" t="s">
        <v>16116</v>
      </c>
      <c r="O710" s="1" t="s">
        <v>18494</v>
      </c>
      <c r="P710" s="1" t="s">
        <v>6</v>
      </c>
      <c r="Q710" s="16"/>
      <c r="R710" s="17"/>
      <c r="S710" s="774" t="s">
        <v>6154</v>
      </c>
    </row>
    <row r="711" spans="1:19" ht="12" customHeight="1" thickBot="1">
      <c r="A711" s="916" t="str">
        <f t="shared" si="304"/>
        <v>156</v>
      </c>
      <c r="B711" s="700" t="s">
        <v>4576</v>
      </c>
      <c r="C711" s="700"/>
      <c r="D711" s="1009"/>
      <c r="E711" s="1003" t="str">
        <f t="shared" si="305"/>
        <v/>
      </c>
      <c r="F711" s="1041" t="str">
        <f t="shared" si="306"/>
        <v>$</v>
      </c>
      <c r="G711" s="906" t="s">
        <v>2666</v>
      </c>
      <c r="H711" s="906">
        <v>62</v>
      </c>
      <c r="I711" s="702" t="s">
        <v>5</v>
      </c>
      <c r="J711" s="906"/>
      <c r="K711" s="703"/>
      <c r="L711" s="906"/>
      <c r="M711" s="906"/>
      <c r="N711" s="700" t="s">
        <v>16117</v>
      </c>
      <c r="O711" s="906"/>
      <c r="P711" s="906" t="s">
        <v>6</v>
      </c>
      <c r="Q711" s="705"/>
      <c r="R711" s="903"/>
      <c r="S711" s="793"/>
    </row>
    <row r="712" spans="1:19" ht="12" customHeight="1">
      <c r="A712" s="1038" t="str">
        <f t="shared" si="304"/>
        <v>157</v>
      </c>
      <c r="B712" s="688" t="s">
        <v>2668</v>
      </c>
      <c r="C712" s="688"/>
      <c r="D712" s="1007"/>
      <c r="E712" s="1001" t="str">
        <f>IF(D712="","",D712/SUM($D$712:$D$715))</f>
        <v/>
      </c>
      <c r="F712" s="1004" t="e">
        <f>IF(J712="","$",IF(C712="当選","-",D712*100/MAX($D$712:$D$715)))</f>
        <v>#DIV/0!</v>
      </c>
      <c r="G712" s="687" t="s">
        <v>2672</v>
      </c>
      <c r="H712" s="687">
        <v>44</v>
      </c>
      <c r="I712" s="696" t="s">
        <v>5</v>
      </c>
      <c r="J712" s="689" t="s">
        <v>15273</v>
      </c>
      <c r="K712" s="747" t="s">
        <v>2673</v>
      </c>
      <c r="L712" s="687"/>
      <c r="M712" s="687"/>
      <c r="N712" s="692" t="s">
        <v>16127</v>
      </c>
      <c r="O712" s="687" t="s">
        <v>44</v>
      </c>
      <c r="P712" s="687" t="s">
        <v>25</v>
      </c>
      <c r="Q712" s="748">
        <v>3</v>
      </c>
      <c r="R712" s="749">
        <v>3</v>
      </c>
      <c r="S712" s="805" t="s">
        <v>736</v>
      </c>
    </row>
    <row r="713" spans="1:19" ht="12" customHeight="1">
      <c r="A713" s="1040" t="str">
        <f t="shared" si="304"/>
        <v>157</v>
      </c>
      <c r="B713" s="4" t="s">
        <v>2669</v>
      </c>
      <c r="C713" s="4"/>
      <c r="D713" s="1008"/>
      <c r="E713" s="1002" t="str">
        <f t="shared" ref="E713:E715" si="307">IF(D713="","",D713/SUM($D$712:$D$715))</f>
        <v/>
      </c>
      <c r="F713" s="1005" t="e">
        <f t="shared" ref="F713:F715" si="308">IF(J713="","$",IF(C713="当選","-",D713*100/MAX($D$712:$D$715)))</f>
        <v>#DIV/0!</v>
      </c>
      <c r="G713" s="1" t="s">
        <v>2676</v>
      </c>
      <c r="H713" s="1">
        <v>65</v>
      </c>
      <c r="I713" s="2" t="s">
        <v>5</v>
      </c>
      <c r="J713" s="1" t="s">
        <v>15273</v>
      </c>
      <c r="K713" s="3" t="s">
        <v>2677</v>
      </c>
      <c r="L713" s="1"/>
      <c r="M713" s="1"/>
      <c r="N713" s="8" t="s">
        <v>16120</v>
      </c>
      <c r="O713" s="1" t="s">
        <v>476</v>
      </c>
      <c r="P713" s="1" t="s">
        <v>25</v>
      </c>
      <c r="Q713" s="16">
        <v>5</v>
      </c>
      <c r="R713" s="17">
        <v>5</v>
      </c>
      <c r="S713" s="774" t="s">
        <v>5457</v>
      </c>
    </row>
    <row r="714" spans="1:19" ht="12" customHeight="1">
      <c r="A714" s="1040" t="str">
        <f t="shared" si="304"/>
        <v>157</v>
      </c>
      <c r="B714" s="4" t="s">
        <v>2670</v>
      </c>
      <c r="C714" s="4"/>
      <c r="D714" s="1008"/>
      <c r="E714" s="1002" t="str">
        <f t="shared" si="307"/>
        <v/>
      </c>
      <c r="F714" s="1005" t="e">
        <f t="shared" si="308"/>
        <v>#DIV/0!</v>
      </c>
      <c r="G714" s="1" t="s">
        <v>2683</v>
      </c>
      <c r="H714" s="1">
        <v>41</v>
      </c>
      <c r="I714" s="2" t="s">
        <v>19</v>
      </c>
      <c r="J714" s="1" t="s">
        <v>15273</v>
      </c>
      <c r="K714" s="3" t="s">
        <v>2684</v>
      </c>
      <c r="L714" s="1"/>
      <c r="M714" s="1"/>
      <c r="N714" s="4" t="s">
        <v>16125</v>
      </c>
      <c r="O714" s="1"/>
      <c r="P714" s="1" t="s">
        <v>25</v>
      </c>
      <c r="Q714" s="16">
        <v>1</v>
      </c>
      <c r="R714" s="17">
        <v>1</v>
      </c>
      <c r="S714" s="774" t="s">
        <v>5561</v>
      </c>
    </row>
    <row r="715" spans="1:19" ht="12" customHeight="1" thickBot="1">
      <c r="A715" s="916" t="str">
        <f t="shared" si="304"/>
        <v>157</v>
      </c>
      <c r="B715" s="700" t="s">
        <v>2671</v>
      </c>
      <c r="C715" s="700"/>
      <c r="D715" s="1009"/>
      <c r="E715" s="1003" t="str">
        <f t="shared" si="307"/>
        <v/>
      </c>
      <c r="F715" s="1041" t="str">
        <f t="shared" si="308"/>
        <v>$</v>
      </c>
      <c r="G715" s="906" t="s">
        <v>2680</v>
      </c>
      <c r="H715" s="906">
        <v>65</v>
      </c>
      <c r="I715" s="702" t="s">
        <v>5</v>
      </c>
      <c r="J715" s="906"/>
      <c r="K715" s="703"/>
      <c r="L715" s="906"/>
      <c r="M715" s="906"/>
      <c r="N715" s="700" t="s">
        <v>16117</v>
      </c>
      <c r="O715" s="906"/>
      <c r="P715" s="906" t="s">
        <v>6</v>
      </c>
      <c r="Q715" s="705"/>
      <c r="R715" s="903"/>
      <c r="S715" s="793"/>
    </row>
    <row r="716" spans="1:19" ht="12" customHeight="1">
      <c r="A716" s="1038" t="str">
        <f t="shared" si="304"/>
        <v>158</v>
      </c>
      <c r="B716" s="688" t="s">
        <v>2686</v>
      </c>
      <c r="C716" s="688"/>
      <c r="D716" s="1007"/>
      <c r="E716" s="1001" t="str">
        <f>IF(D716="","",D716/SUM($D$716:$D$719))</f>
        <v/>
      </c>
      <c r="F716" s="1004" t="e">
        <f>IF(J716="","$",IF(C716="当選","-",D716*100/MAX($D$716:$D$719)))</f>
        <v>#DIV/0!</v>
      </c>
      <c r="G716" s="687" t="s">
        <v>2689</v>
      </c>
      <c r="H716" s="687">
        <v>41</v>
      </c>
      <c r="I716" s="696" t="s">
        <v>5</v>
      </c>
      <c r="J716" s="689" t="s">
        <v>15273</v>
      </c>
      <c r="K716" s="747" t="s">
        <v>2690</v>
      </c>
      <c r="L716" s="687"/>
      <c r="M716" s="687"/>
      <c r="N716" s="692" t="s">
        <v>16127</v>
      </c>
      <c r="O716" s="687" t="s">
        <v>44</v>
      </c>
      <c r="P716" s="687" t="s">
        <v>25</v>
      </c>
      <c r="Q716" s="748">
        <v>4</v>
      </c>
      <c r="R716" s="749">
        <v>4</v>
      </c>
      <c r="S716" s="805" t="s">
        <v>736</v>
      </c>
    </row>
    <row r="717" spans="1:19" ht="12" customHeight="1">
      <c r="A717" s="1040" t="str">
        <f t="shared" si="304"/>
        <v>158</v>
      </c>
      <c r="B717" s="4" t="s">
        <v>2687</v>
      </c>
      <c r="C717" s="4"/>
      <c r="D717" s="1008"/>
      <c r="E717" s="1002" t="str">
        <f t="shared" ref="E717:E719" si="309">IF(D717="","",D717/SUM($D$716:$D$719))</f>
        <v/>
      </c>
      <c r="F717" s="1005" t="e">
        <f t="shared" ref="F717:F719" si="310">IF(J717="","$",IF(C717="当選","-",D717*100/MAX($D$716:$D$719)))</f>
        <v>#DIV/0!</v>
      </c>
      <c r="G717" s="1" t="s">
        <v>2694</v>
      </c>
      <c r="H717" s="1">
        <v>30</v>
      </c>
      <c r="I717" s="2" t="s">
        <v>5</v>
      </c>
      <c r="J717" s="1" t="s">
        <v>15273</v>
      </c>
      <c r="K717" s="3"/>
      <c r="L717" s="1"/>
      <c r="M717" s="1"/>
      <c r="N717" s="4" t="s">
        <v>16120</v>
      </c>
      <c r="O717" s="1" t="s">
        <v>30</v>
      </c>
      <c r="P717" s="1" t="s">
        <v>6</v>
      </c>
      <c r="Q717" s="16"/>
      <c r="R717" s="17"/>
      <c r="S717" s="774"/>
    </row>
    <row r="718" spans="1:19" ht="12" customHeight="1">
      <c r="A718" s="1040" t="str">
        <f t="shared" si="304"/>
        <v>158</v>
      </c>
      <c r="B718" s="4" t="s">
        <v>2688</v>
      </c>
      <c r="C718" s="4"/>
      <c r="D718" s="1008"/>
      <c r="E718" s="1002" t="str">
        <f t="shared" si="309"/>
        <v/>
      </c>
      <c r="F718" s="1005" t="str">
        <f t="shared" si="310"/>
        <v>$</v>
      </c>
      <c r="G718" s="1" t="s">
        <v>2696</v>
      </c>
      <c r="H718" s="1">
        <v>56</v>
      </c>
      <c r="I718" s="2" t="s">
        <v>19</v>
      </c>
      <c r="J718" s="1"/>
      <c r="K718" s="3"/>
      <c r="L718" s="1"/>
      <c r="M718" s="1"/>
      <c r="N718" s="4" t="s">
        <v>16117</v>
      </c>
      <c r="O718" s="1"/>
      <c r="P718" s="1" t="s">
        <v>6</v>
      </c>
      <c r="Q718" s="16"/>
      <c r="R718" s="17"/>
      <c r="S718" s="774"/>
    </row>
    <row r="719" spans="1:19" ht="12" customHeight="1" thickBot="1">
      <c r="A719" s="916" t="str">
        <f t="shared" si="304"/>
        <v>158</v>
      </c>
      <c r="B719" s="700" t="s">
        <v>5803</v>
      </c>
      <c r="C719" s="700"/>
      <c r="D719" s="1009"/>
      <c r="E719" s="1003" t="str">
        <f t="shared" si="309"/>
        <v/>
      </c>
      <c r="F719" s="1041" t="str">
        <f t="shared" si="310"/>
        <v>$</v>
      </c>
      <c r="G719" s="906" t="s">
        <v>5804</v>
      </c>
      <c r="H719" s="906">
        <v>58</v>
      </c>
      <c r="I719" s="702" t="s">
        <v>5</v>
      </c>
      <c r="J719" s="906"/>
      <c r="K719" s="703"/>
      <c r="L719" s="906"/>
      <c r="M719" s="906"/>
      <c r="N719" s="700" t="s">
        <v>16129</v>
      </c>
      <c r="O719" s="906"/>
      <c r="P719" s="906" t="s">
        <v>6</v>
      </c>
      <c r="Q719" s="705"/>
      <c r="R719" s="903"/>
      <c r="S719" s="793"/>
    </row>
    <row r="720" spans="1:19" ht="12" customHeight="1">
      <c r="A720" s="1038" t="str">
        <f t="shared" si="304"/>
        <v>159</v>
      </c>
      <c r="B720" s="688" t="s">
        <v>2698</v>
      </c>
      <c r="C720" s="688"/>
      <c r="D720" s="1007"/>
      <c r="E720" s="1001" t="str">
        <f>IF(D720="","",D720/SUM($D$720:$D$723))</f>
        <v/>
      </c>
      <c r="F720" s="1004" t="e">
        <f>IF(J720="","$",IF(C720="当選","-",D720*100/MAX($D$720:$D$723)))</f>
        <v>#DIV/0!</v>
      </c>
      <c r="G720" s="687" t="s">
        <v>2701</v>
      </c>
      <c r="H720" s="687">
        <v>51</v>
      </c>
      <c r="I720" s="696" t="s">
        <v>5</v>
      </c>
      <c r="J720" s="689" t="s">
        <v>15273</v>
      </c>
      <c r="K720" s="747" t="s">
        <v>2702</v>
      </c>
      <c r="L720" s="687"/>
      <c r="M720" s="687"/>
      <c r="N720" s="692" t="s">
        <v>16126</v>
      </c>
      <c r="O720" s="687" t="s">
        <v>681</v>
      </c>
      <c r="P720" s="687" t="s">
        <v>25</v>
      </c>
      <c r="Q720" s="748">
        <v>5</v>
      </c>
      <c r="R720" s="749">
        <v>5</v>
      </c>
      <c r="S720" s="805" t="s">
        <v>736</v>
      </c>
    </row>
    <row r="721" spans="1:19" ht="12" customHeight="1">
      <c r="A721" s="1040" t="str">
        <f t="shared" si="304"/>
        <v>159</v>
      </c>
      <c r="B721" s="4" t="s">
        <v>2699</v>
      </c>
      <c r="C721" s="4"/>
      <c r="D721" s="1008"/>
      <c r="E721" s="1002" t="str">
        <f t="shared" ref="E721:E723" si="311">IF(D721="","",D721/SUM($D$720:$D$723))</f>
        <v/>
      </c>
      <c r="F721" s="1005" t="e">
        <f t="shared" ref="F721:F723" si="312">IF(J721="","$",IF(C721="当選","-",D721*100/MAX($D$720:$D$723)))</f>
        <v>#DIV/0!</v>
      </c>
      <c r="G721" s="1" t="s">
        <v>2708</v>
      </c>
      <c r="H721" s="1">
        <v>36</v>
      </c>
      <c r="I721" s="2" t="s">
        <v>5</v>
      </c>
      <c r="J721" s="1" t="s">
        <v>15273</v>
      </c>
      <c r="K721" s="3"/>
      <c r="L721" s="1"/>
      <c r="M721" s="1"/>
      <c r="N721" s="4" t="s">
        <v>16120</v>
      </c>
      <c r="O721" s="1" t="s">
        <v>30</v>
      </c>
      <c r="P721" s="1" t="s">
        <v>6</v>
      </c>
      <c r="Q721" s="16"/>
      <c r="R721" s="17"/>
      <c r="S721" s="774"/>
    </row>
    <row r="722" spans="1:19" ht="12" customHeight="1">
      <c r="A722" s="1040" t="str">
        <f t="shared" si="304"/>
        <v>159</v>
      </c>
      <c r="B722" s="4" t="s">
        <v>2700</v>
      </c>
      <c r="C722" s="4"/>
      <c r="D722" s="1008"/>
      <c r="E722" s="1002" t="str">
        <f t="shared" si="311"/>
        <v/>
      </c>
      <c r="F722" s="1005" t="e">
        <f t="shared" si="312"/>
        <v>#DIV/0!</v>
      </c>
      <c r="G722" s="1" t="s">
        <v>5080</v>
      </c>
      <c r="H722" s="1">
        <v>44</v>
      </c>
      <c r="I722" s="2" t="s">
        <v>5</v>
      </c>
      <c r="J722" s="1" t="s">
        <v>15273</v>
      </c>
      <c r="K722" s="3"/>
      <c r="L722" s="1"/>
      <c r="M722" s="1"/>
      <c r="N722" s="4" t="s">
        <v>16125</v>
      </c>
      <c r="O722" s="1"/>
      <c r="P722" s="1" t="s">
        <v>6</v>
      </c>
      <c r="Q722" s="16"/>
      <c r="R722" s="17"/>
      <c r="S722" s="774" t="s">
        <v>5561</v>
      </c>
    </row>
    <row r="723" spans="1:19" ht="12" customHeight="1" thickBot="1">
      <c r="A723" s="916" t="str">
        <f t="shared" si="304"/>
        <v>159</v>
      </c>
      <c r="B723" s="700" t="s">
        <v>5079</v>
      </c>
      <c r="C723" s="700"/>
      <c r="D723" s="1009"/>
      <c r="E723" s="1003" t="str">
        <f t="shared" si="311"/>
        <v/>
      </c>
      <c r="F723" s="1041" t="str">
        <f t="shared" si="312"/>
        <v>$</v>
      </c>
      <c r="G723" s="906" t="s">
        <v>2710</v>
      </c>
      <c r="H723" s="906">
        <v>58</v>
      </c>
      <c r="I723" s="702" t="s">
        <v>5</v>
      </c>
      <c r="J723" s="906"/>
      <c r="K723" s="703"/>
      <c r="L723" s="906"/>
      <c r="M723" s="906"/>
      <c r="N723" s="700" t="s">
        <v>16117</v>
      </c>
      <c r="O723" s="906"/>
      <c r="P723" s="906" t="s">
        <v>6</v>
      </c>
      <c r="Q723" s="705"/>
      <c r="R723" s="903"/>
      <c r="S723" s="793"/>
    </row>
    <row r="724" spans="1:19" ht="12" customHeight="1">
      <c r="A724" s="1038" t="str">
        <f t="shared" si="304"/>
        <v>160</v>
      </c>
      <c r="B724" s="688" t="s">
        <v>2713</v>
      </c>
      <c r="C724" s="688"/>
      <c r="D724" s="1007"/>
      <c r="E724" s="1001" t="str">
        <f>IF(D724="","",D724/SUM($D$724:$D$728))</f>
        <v/>
      </c>
      <c r="F724" s="1004" t="e">
        <f>IF(J724="","$",IF(C724="当選","-",D724*100/MAX($D$724:$D$728)))</f>
        <v>#DIV/0!</v>
      </c>
      <c r="G724" s="687" t="s">
        <v>2716</v>
      </c>
      <c r="H724" s="687">
        <v>38</v>
      </c>
      <c r="I724" s="696" t="s">
        <v>5</v>
      </c>
      <c r="J724" s="689" t="s">
        <v>15273</v>
      </c>
      <c r="K724" s="747" t="s">
        <v>2717</v>
      </c>
      <c r="L724" s="687"/>
      <c r="M724" s="687"/>
      <c r="N724" s="692" t="s">
        <v>16127</v>
      </c>
      <c r="O724" s="687" t="s">
        <v>44</v>
      </c>
      <c r="P724" s="687" t="s">
        <v>25</v>
      </c>
      <c r="Q724" s="748">
        <v>1</v>
      </c>
      <c r="R724" s="749">
        <v>1</v>
      </c>
      <c r="S724" s="805"/>
    </row>
    <row r="725" spans="1:19" ht="12" customHeight="1">
      <c r="A725" s="1040" t="str">
        <f t="shared" si="304"/>
        <v>160</v>
      </c>
      <c r="B725" s="4" t="s">
        <v>2714</v>
      </c>
      <c r="C725" s="4"/>
      <c r="D725" s="1008"/>
      <c r="E725" s="1002" t="str">
        <f t="shared" ref="E725:E728" si="313">IF(D725="","",D725/SUM($D$724:$D$728))</f>
        <v/>
      </c>
      <c r="F725" s="1005" t="e">
        <f t="shared" ref="F725:F728" si="314">IF(J725="","$",IF(C725="当選","-",D725*100/MAX($D$724:$D$728)))</f>
        <v>#DIV/0!</v>
      </c>
      <c r="G725" s="1" t="s">
        <v>2719</v>
      </c>
      <c r="H725" s="1">
        <v>47</v>
      </c>
      <c r="I725" s="2" t="s">
        <v>5</v>
      </c>
      <c r="J725" s="1" t="s">
        <v>15273</v>
      </c>
      <c r="K725" s="3" t="s">
        <v>2720</v>
      </c>
      <c r="L725" s="1"/>
      <c r="M725" s="1"/>
      <c r="N725" s="8" t="s">
        <v>16120</v>
      </c>
      <c r="O725" s="1" t="s">
        <v>30</v>
      </c>
      <c r="P725" s="1" t="s">
        <v>25</v>
      </c>
      <c r="Q725" s="16">
        <v>2</v>
      </c>
      <c r="R725" s="17">
        <v>2</v>
      </c>
      <c r="S725" s="774" t="s">
        <v>5457</v>
      </c>
    </row>
    <row r="726" spans="1:19" ht="12" customHeight="1">
      <c r="A726" s="1040" t="str">
        <f t="shared" si="304"/>
        <v>160</v>
      </c>
      <c r="B726" s="4" t="s">
        <v>2715</v>
      </c>
      <c r="C726" s="4"/>
      <c r="D726" s="1008"/>
      <c r="E726" s="1002" t="str">
        <f t="shared" si="313"/>
        <v/>
      </c>
      <c r="F726" s="1005" t="e">
        <f t="shared" si="314"/>
        <v>#DIV/0!</v>
      </c>
      <c r="G726" s="1" t="s">
        <v>6192</v>
      </c>
      <c r="H726" s="1">
        <v>57</v>
      </c>
      <c r="I726" s="2" t="s">
        <v>5</v>
      </c>
      <c r="J726" s="1" t="s">
        <v>15273</v>
      </c>
      <c r="K726" s="3"/>
      <c r="L726" s="1"/>
      <c r="M726" s="1"/>
      <c r="N726" s="4" t="s">
        <v>16125</v>
      </c>
      <c r="O726" s="1"/>
      <c r="P726" s="1" t="s">
        <v>6</v>
      </c>
      <c r="Q726" s="16"/>
      <c r="R726" s="17"/>
      <c r="S726" s="774" t="s">
        <v>5561</v>
      </c>
    </row>
    <row r="727" spans="1:19" ht="12" customHeight="1">
      <c r="A727" s="1040" t="str">
        <f t="shared" si="304"/>
        <v>160</v>
      </c>
      <c r="B727" s="4" t="s">
        <v>5607</v>
      </c>
      <c r="C727" s="4"/>
      <c r="D727" s="1008"/>
      <c r="E727" s="1002" t="str">
        <f t="shared" si="313"/>
        <v/>
      </c>
      <c r="F727" s="1005" t="e">
        <f t="shared" si="314"/>
        <v>#DIV/0!</v>
      </c>
      <c r="G727" s="1" t="s">
        <v>5608</v>
      </c>
      <c r="H727" s="1">
        <v>37</v>
      </c>
      <c r="I727" s="2" t="s">
        <v>5</v>
      </c>
      <c r="J727" s="1" t="s">
        <v>15273</v>
      </c>
      <c r="K727" s="3"/>
      <c r="L727" s="1"/>
      <c r="M727" s="1"/>
      <c r="N727" s="8" t="s">
        <v>18495</v>
      </c>
      <c r="O727" s="1"/>
      <c r="P727" s="1" t="s">
        <v>6</v>
      </c>
      <c r="Q727" s="16"/>
      <c r="R727" s="17"/>
      <c r="S727" s="774" t="s">
        <v>6031</v>
      </c>
    </row>
    <row r="728" spans="1:19" ht="12" customHeight="1" thickBot="1">
      <c r="A728" s="916" t="str">
        <f t="shared" si="304"/>
        <v>160</v>
      </c>
      <c r="B728" s="700" t="s">
        <v>6191</v>
      </c>
      <c r="C728" s="700"/>
      <c r="D728" s="1009"/>
      <c r="E728" s="1003" t="str">
        <f t="shared" si="313"/>
        <v/>
      </c>
      <c r="F728" s="1041" t="str">
        <f t="shared" si="314"/>
        <v>$</v>
      </c>
      <c r="G728" s="906" t="s">
        <v>5755</v>
      </c>
      <c r="H728" s="906">
        <v>68</v>
      </c>
      <c r="I728" s="702" t="s">
        <v>5</v>
      </c>
      <c r="J728" s="906"/>
      <c r="K728" s="703"/>
      <c r="L728" s="906"/>
      <c r="M728" s="906"/>
      <c r="N728" s="700" t="s">
        <v>16117</v>
      </c>
      <c r="O728" s="906"/>
      <c r="P728" s="906" t="s">
        <v>6</v>
      </c>
      <c r="Q728" s="705"/>
      <c r="R728" s="903"/>
      <c r="S728" s="793"/>
    </row>
    <row r="729" spans="1:19" ht="12" customHeight="1">
      <c r="A729" s="1038" t="str">
        <f t="shared" si="304"/>
        <v>161</v>
      </c>
      <c r="B729" s="688" t="s">
        <v>2722</v>
      </c>
      <c r="C729" s="688"/>
      <c r="D729" s="1007"/>
      <c r="E729" s="1001" t="str">
        <f>IF(D729="","",D729/SUM($D$729:$D$733))</f>
        <v/>
      </c>
      <c r="F729" s="1004" t="e">
        <f>IF(J729="","$",IF(C729="当選","-",D729*100/MAX($D$729:$D$733)))</f>
        <v>#DIV/0!</v>
      </c>
      <c r="G729" s="687" t="s">
        <v>2725</v>
      </c>
      <c r="H729" s="687">
        <v>42</v>
      </c>
      <c r="I729" s="696" t="s">
        <v>5</v>
      </c>
      <c r="J729" s="689" t="s">
        <v>15273</v>
      </c>
      <c r="K729" s="747" t="s">
        <v>2726</v>
      </c>
      <c r="L729" s="687"/>
      <c r="M729" s="687"/>
      <c r="N729" s="692" t="s">
        <v>16127</v>
      </c>
      <c r="O729" s="687" t="s">
        <v>44</v>
      </c>
      <c r="P729" s="687" t="s">
        <v>25</v>
      </c>
      <c r="Q729" s="748">
        <v>1</v>
      </c>
      <c r="R729" s="749">
        <v>1</v>
      </c>
      <c r="S729" s="805" t="s">
        <v>736</v>
      </c>
    </row>
    <row r="730" spans="1:19" ht="12" customHeight="1">
      <c r="A730" s="1040" t="str">
        <f t="shared" si="304"/>
        <v>161</v>
      </c>
      <c r="B730" s="4" t="s">
        <v>2723</v>
      </c>
      <c r="C730" s="4"/>
      <c r="D730" s="1008"/>
      <c r="E730" s="1002" t="str">
        <f t="shared" ref="E730:E733" si="315">IF(D730="","",D730/SUM($D$729:$D$733))</f>
        <v/>
      </c>
      <c r="F730" s="1005" t="e">
        <f t="shared" ref="F730:F733" si="316">IF(J730="","$",IF(C730="当選","-",D730*100/MAX($D$729:$D$733)))</f>
        <v>#DIV/0!</v>
      </c>
      <c r="G730" s="1" t="s">
        <v>2728</v>
      </c>
      <c r="H730" s="1">
        <v>62</v>
      </c>
      <c r="I730" s="2" t="s">
        <v>5</v>
      </c>
      <c r="J730" s="1" t="s">
        <v>15273</v>
      </c>
      <c r="K730" s="3" t="s">
        <v>2729</v>
      </c>
      <c r="L730" s="1"/>
      <c r="M730" s="1"/>
      <c r="N730" s="4" t="s">
        <v>16120</v>
      </c>
      <c r="O730" s="1" t="s">
        <v>48</v>
      </c>
      <c r="P730" s="1" t="s">
        <v>25</v>
      </c>
      <c r="Q730" s="16">
        <v>6</v>
      </c>
      <c r="R730" s="17">
        <v>6</v>
      </c>
      <c r="S730" s="774" t="s">
        <v>5457</v>
      </c>
    </row>
    <row r="731" spans="1:19" ht="12" customHeight="1">
      <c r="A731" s="1040" t="str">
        <f t="shared" si="304"/>
        <v>161</v>
      </c>
      <c r="B731" s="4" t="s">
        <v>2724</v>
      </c>
      <c r="C731" s="4"/>
      <c r="D731" s="1008"/>
      <c r="E731" s="1002" t="str">
        <f t="shared" si="315"/>
        <v/>
      </c>
      <c r="F731" s="1005" t="e">
        <f t="shared" si="316"/>
        <v>#DIV/0!</v>
      </c>
      <c r="G731" s="1" t="s">
        <v>5083</v>
      </c>
      <c r="H731" s="1">
        <v>26</v>
      </c>
      <c r="I731" s="2" t="s">
        <v>5</v>
      </c>
      <c r="J731" s="1" t="s">
        <v>15273</v>
      </c>
      <c r="K731" s="3"/>
      <c r="L731" s="1"/>
      <c r="M731" s="1"/>
      <c r="N731" s="4" t="s">
        <v>16125</v>
      </c>
      <c r="O731" s="1"/>
      <c r="P731" s="1" t="s">
        <v>6</v>
      </c>
      <c r="Q731" s="16"/>
      <c r="R731" s="17"/>
      <c r="S731" s="774" t="s">
        <v>5561</v>
      </c>
    </row>
    <row r="732" spans="1:19" ht="12" customHeight="1">
      <c r="A732" s="1040" t="str">
        <f t="shared" si="304"/>
        <v>161</v>
      </c>
      <c r="B732" s="4" t="s">
        <v>5015</v>
      </c>
      <c r="C732" s="4"/>
      <c r="D732" s="1008"/>
      <c r="E732" s="1002" t="str">
        <f t="shared" si="315"/>
        <v/>
      </c>
      <c r="F732" s="1005" t="e">
        <f t="shared" si="316"/>
        <v>#DIV/0!</v>
      </c>
      <c r="G732" s="1" t="s">
        <v>5016</v>
      </c>
      <c r="H732" s="1">
        <v>39</v>
      </c>
      <c r="I732" s="2" t="s">
        <v>5</v>
      </c>
      <c r="J732" s="1" t="s">
        <v>15273</v>
      </c>
      <c r="K732" s="3"/>
      <c r="L732" s="1"/>
      <c r="M732" s="1"/>
      <c r="N732" s="4" t="s">
        <v>16116</v>
      </c>
      <c r="O732" s="1" t="s">
        <v>4422</v>
      </c>
      <c r="P732" s="1" t="s">
        <v>6</v>
      </c>
      <c r="Q732" s="16"/>
      <c r="R732" s="17"/>
      <c r="S732" s="774" t="s">
        <v>6154</v>
      </c>
    </row>
    <row r="733" spans="1:19" ht="12" customHeight="1" thickBot="1">
      <c r="A733" s="916" t="str">
        <f t="shared" si="304"/>
        <v>161</v>
      </c>
      <c r="B733" s="700" t="s">
        <v>5082</v>
      </c>
      <c r="C733" s="700"/>
      <c r="D733" s="1009"/>
      <c r="E733" s="1003" t="str">
        <f t="shared" si="315"/>
        <v/>
      </c>
      <c r="F733" s="1041" t="str">
        <f t="shared" si="316"/>
        <v>$</v>
      </c>
      <c r="G733" s="906" t="s">
        <v>2733</v>
      </c>
      <c r="H733" s="906">
        <v>58</v>
      </c>
      <c r="I733" s="702" t="s">
        <v>5</v>
      </c>
      <c r="J733" s="906"/>
      <c r="K733" s="703"/>
      <c r="L733" s="906"/>
      <c r="M733" s="906"/>
      <c r="N733" s="700" t="s">
        <v>16117</v>
      </c>
      <c r="O733" s="906"/>
      <c r="P733" s="906" t="s">
        <v>14</v>
      </c>
      <c r="Q733" s="705">
        <v>1</v>
      </c>
      <c r="R733" s="903">
        <v>1</v>
      </c>
      <c r="S733" s="793"/>
    </row>
    <row r="734" spans="1:19" ht="12" customHeight="1">
      <c r="A734" s="1038" t="str">
        <f t="shared" si="304"/>
        <v>162</v>
      </c>
      <c r="B734" s="688" t="s">
        <v>2737</v>
      </c>
      <c r="C734" s="688"/>
      <c r="D734" s="1007"/>
      <c r="E734" s="1001" t="str">
        <f>IF(D734="","",D734/SUM($D$734:$D$737))</f>
        <v/>
      </c>
      <c r="F734" s="1004" t="e">
        <f>IF(J734="","$",IF(C734="当選","-",D734*100/MAX($D$734:$D$737)))</f>
        <v>#DIV/0!</v>
      </c>
      <c r="G734" s="687" t="s">
        <v>2743</v>
      </c>
      <c r="H734" s="687">
        <v>38</v>
      </c>
      <c r="I734" s="696" t="s">
        <v>5</v>
      </c>
      <c r="J734" s="689" t="s">
        <v>15273</v>
      </c>
      <c r="K734" s="747" t="s">
        <v>2744</v>
      </c>
      <c r="L734" s="687"/>
      <c r="M734" s="687"/>
      <c r="N734" s="692" t="s">
        <v>16126</v>
      </c>
      <c r="O734" s="687" t="s">
        <v>44</v>
      </c>
      <c r="P734" s="687" t="s">
        <v>25</v>
      </c>
      <c r="Q734" s="748">
        <v>1</v>
      </c>
      <c r="R734" s="749">
        <v>1</v>
      </c>
      <c r="S734" s="805" t="s">
        <v>736</v>
      </c>
    </row>
    <row r="735" spans="1:19" ht="12" customHeight="1">
      <c r="A735" s="1040" t="str">
        <f t="shared" si="304"/>
        <v>162</v>
      </c>
      <c r="B735" s="4" t="s">
        <v>2738</v>
      </c>
      <c r="C735" s="4"/>
      <c r="D735" s="1008"/>
      <c r="E735" s="1002" t="str">
        <f t="shared" ref="E735:E737" si="317">IF(D735="","",D735/SUM($D$734:$D$737))</f>
        <v/>
      </c>
      <c r="F735" s="1005" t="e">
        <f t="shared" ref="F735:F737" si="318">IF(J735="","$",IF(C735="当選","-",D735*100/MAX($D$734:$D$737)))</f>
        <v>#DIV/0!</v>
      </c>
      <c r="G735" s="1" t="s">
        <v>2747</v>
      </c>
      <c r="H735" s="1">
        <v>48</v>
      </c>
      <c r="I735" s="2" t="s">
        <v>5</v>
      </c>
      <c r="J735" s="1" t="s">
        <v>15273</v>
      </c>
      <c r="K735" s="3"/>
      <c r="L735" s="1"/>
      <c r="M735" s="1"/>
      <c r="N735" s="4" t="s">
        <v>16120</v>
      </c>
      <c r="O735" s="1" t="s">
        <v>30</v>
      </c>
      <c r="P735" s="1" t="s">
        <v>6</v>
      </c>
      <c r="Q735" s="16"/>
      <c r="R735" s="17"/>
      <c r="S735" s="774" t="s">
        <v>5457</v>
      </c>
    </row>
    <row r="736" spans="1:19" ht="12" customHeight="1">
      <c r="A736" s="1040" t="str">
        <f t="shared" si="304"/>
        <v>162</v>
      </c>
      <c r="B736" s="4" t="s">
        <v>2739</v>
      </c>
      <c r="C736" s="4"/>
      <c r="D736" s="1008"/>
      <c r="E736" s="1002" t="str">
        <f t="shared" si="317"/>
        <v/>
      </c>
      <c r="F736" s="1005" t="e">
        <f t="shared" si="318"/>
        <v>#DIV/0!</v>
      </c>
      <c r="G736" s="1" t="s">
        <v>2753</v>
      </c>
      <c r="H736" s="1">
        <v>49</v>
      </c>
      <c r="I736" s="2" t="s">
        <v>19</v>
      </c>
      <c r="J736" s="1" t="s">
        <v>15273</v>
      </c>
      <c r="K736" s="3" t="s">
        <v>2754</v>
      </c>
      <c r="L736" s="1"/>
      <c r="M736" s="1"/>
      <c r="N736" s="4" t="s">
        <v>16125</v>
      </c>
      <c r="O736" s="1"/>
      <c r="P736" s="1" t="s">
        <v>25</v>
      </c>
      <c r="Q736" s="16">
        <v>1</v>
      </c>
      <c r="R736" s="17">
        <v>1</v>
      </c>
      <c r="S736" s="774" t="s">
        <v>5561</v>
      </c>
    </row>
    <row r="737" spans="1:19" ht="12" customHeight="1" thickBot="1">
      <c r="A737" s="916" t="str">
        <f t="shared" si="304"/>
        <v>162</v>
      </c>
      <c r="B737" s="700" t="s">
        <v>2740</v>
      </c>
      <c r="C737" s="700"/>
      <c r="D737" s="1009"/>
      <c r="E737" s="1003" t="str">
        <f t="shared" si="317"/>
        <v/>
      </c>
      <c r="F737" s="1041" t="str">
        <f t="shared" si="318"/>
        <v>$</v>
      </c>
      <c r="G737" s="906" t="s">
        <v>2750</v>
      </c>
      <c r="H737" s="906">
        <v>49</v>
      </c>
      <c r="I737" s="702" t="s">
        <v>5</v>
      </c>
      <c r="J737" s="906"/>
      <c r="K737" s="703"/>
      <c r="L737" s="906"/>
      <c r="M737" s="906"/>
      <c r="N737" s="700" t="s">
        <v>16117</v>
      </c>
      <c r="O737" s="906"/>
      <c r="P737" s="906" t="s">
        <v>6</v>
      </c>
      <c r="Q737" s="705"/>
      <c r="R737" s="903"/>
      <c r="S737" s="793"/>
    </row>
    <row r="738" spans="1:19" ht="12" customHeight="1">
      <c r="A738" s="1038" t="str">
        <f t="shared" si="304"/>
        <v>163</v>
      </c>
      <c r="B738" s="688" t="s">
        <v>2757</v>
      </c>
      <c r="C738" s="688"/>
      <c r="D738" s="1007"/>
      <c r="E738" s="1001" t="str">
        <f>IF(D738="","",D738/SUM($D$738:$D$741))</f>
        <v/>
      </c>
      <c r="F738" s="1004" t="e">
        <f>IF(J738="","$",IF(C738="当選","-",D738*100/MAX($D$738:$D$741)))</f>
        <v>#DIV/0!</v>
      </c>
      <c r="G738" s="687" t="s">
        <v>2761</v>
      </c>
      <c r="H738" s="687">
        <v>47</v>
      </c>
      <c r="I738" s="696" t="s">
        <v>5</v>
      </c>
      <c r="J738" s="689" t="s">
        <v>15273</v>
      </c>
      <c r="K738" s="747" t="s">
        <v>2762</v>
      </c>
      <c r="L738" s="687"/>
      <c r="M738" s="687"/>
      <c r="N738" s="692" t="s">
        <v>16127</v>
      </c>
      <c r="O738" s="687" t="s">
        <v>44</v>
      </c>
      <c r="P738" s="687" t="s">
        <v>25</v>
      </c>
      <c r="Q738" s="748">
        <v>5</v>
      </c>
      <c r="R738" s="749">
        <v>5</v>
      </c>
      <c r="S738" s="805" t="s">
        <v>736</v>
      </c>
    </row>
    <row r="739" spans="1:19" ht="12" customHeight="1">
      <c r="A739" s="1040" t="str">
        <f t="shared" si="304"/>
        <v>163</v>
      </c>
      <c r="B739" s="4" t="s">
        <v>2758</v>
      </c>
      <c r="C739" s="4"/>
      <c r="D739" s="1008"/>
      <c r="E739" s="1002" t="str">
        <f t="shared" ref="E739:E741" si="319">IF(D739="","",D739/SUM($D$738:$D$741))</f>
        <v/>
      </c>
      <c r="F739" s="1005" t="e">
        <f t="shared" ref="F739:F741" si="320">IF(J739="","$",IF(C739="当選","-",D739*100/MAX($D$738:$D$741)))</f>
        <v>#DIV/0!</v>
      </c>
      <c r="G739" s="1" t="s">
        <v>5691</v>
      </c>
      <c r="H739" s="1">
        <v>41</v>
      </c>
      <c r="I739" s="2" t="s">
        <v>5</v>
      </c>
      <c r="J739" s="1" t="s">
        <v>15273</v>
      </c>
      <c r="K739" s="3"/>
      <c r="L739" s="1"/>
      <c r="M739" s="1"/>
      <c r="N739" s="8" t="s">
        <v>16120</v>
      </c>
      <c r="O739" s="1" t="s">
        <v>30</v>
      </c>
      <c r="P739" s="1" t="s">
        <v>6</v>
      </c>
      <c r="Q739" s="16"/>
      <c r="R739" s="17"/>
      <c r="S739" s="774"/>
    </row>
    <row r="740" spans="1:19" ht="12" customHeight="1">
      <c r="A740" s="1040" t="str">
        <f t="shared" si="304"/>
        <v>163</v>
      </c>
      <c r="B740" s="4" t="s">
        <v>2759</v>
      </c>
      <c r="C740" s="4"/>
      <c r="D740" s="1008"/>
      <c r="E740" s="1002" t="str">
        <f t="shared" si="319"/>
        <v/>
      </c>
      <c r="F740" s="1005" t="e">
        <f t="shared" si="320"/>
        <v>#DIV/0!</v>
      </c>
      <c r="G740" s="1" t="s">
        <v>6033</v>
      </c>
      <c r="H740" s="1">
        <v>51</v>
      </c>
      <c r="I740" s="2" t="s">
        <v>5</v>
      </c>
      <c r="J740" s="1" t="s">
        <v>15273</v>
      </c>
      <c r="K740" s="3"/>
      <c r="L740" s="1"/>
      <c r="M740" s="1"/>
      <c r="N740" s="4" t="s">
        <v>16125</v>
      </c>
      <c r="O740" s="1"/>
      <c r="P740" s="1" t="s">
        <v>6</v>
      </c>
      <c r="Q740" s="16"/>
      <c r="R740" s="17"/>
      <c r="S740" s="774" t="s">
        <v>5561</v>
      </c>
    </row>
    <row r="741" spans="1:19" ht="12" customHeight="1" thickBot="1">
      <c r="A741" s="916" t="str">
        <f t="shared" si="304"/>
        <v>163</v>
      </c>
      <c r="B741" s="700" t="s">
        <v>2760</v>
      </c>
      <c r="C741" s="700"/>
      <c r="D741" s="1009"/>
      <c r="E741" s="1003" t="str">
        <f t="shared" si="319"/>
        <v/>
      </c>
      <c r="F741" s="1041" t="str">
        <f t="shared" si="320"/>
        <v>$</v>
      </c>
      <c r="G741" s="906" t="s">
        <v>2765</v>
      </c>
      <c r="H741" s="906">
        <v>64</v>
      </c>
      <c r="I741" s="702" t="s">
        <v>5</v>
      </c>
      <c r="J741" s="906"/>
      <c r="K741" s="703"/>
      <c r="L741" s="906"/>
      <c r="M741" s="906"/>
      <c r="N741" s="700" t="s">
        <v>16117</v>
      </c>
      <c r="O741" s="906"/>
      <c r="P741" s="906" t="s">
        <v>6</v>
      </c>
      <c r="Q741" s="705"/>
      <c r="R741" s="903"/>
      <c r="S741" s="793"/>
    </row>
    <row r="742" spans="1:19" ht="12" customHeight="1">
      <c r="A742" s="1038" t="str">
        <f t="shared" si="304"/>
        <v>164</v>
      </c>
      <c r="B742" s="688" t="s">
        <v>2769</v>
      </c>
      <c r="C742" s="688"/>
      <c r="D742" s="1007"/>
      <c r="E742" s="1001" t="str">
        <f>IF(D742="","",D742/SUM($D$742:$D$745))</f>
        <v/>
      </c>
      <c r="F742" s="1004" t="e">
        <f>IF(J742="","$",IF(C742="当選","-",D742*100/MAX($D$742:$D$745)))</f>
        <v>#DIV/0!</v>
      </c>
      <c r="G742" s="687" t="s">
        <v>2773</v>
      </c>
      <c r="H742" s="687">
        <v>54</v>
      </c>
      <c r="I742" s="696" t="s">
        <v>5</v>
      </c>
      <c r="J742" s="689" t="s">
        <v>15273</v>
      </c>
      <c r="K742" s="747" t="s">
        <v>2774</v>
      </c>
      <c r="L742" s="687"/>
      <c r="M742" s="687"/>
      <c r="N742" s="692" t="s">
        <v>16127</v>
      </c>
      <c r="O742" s="687" t="s">
        <v>24</v>
      </c>
      <c r="P742" s="687" t="s">
        <v>25</v>
      </c>
      <c r="Q742" s="748">
        <v>5</v>
      </c>
      <c r="R742" s="749">
        <v>5</v>
      </c>
      <c r="S742" s="805" t="s">
        <v>736</v>
      </c>
    </row>
    <row r="743" spans="1:19" ht="12" customHeight="1">
      <c r="A743" s="1040" t="str">
        <f t="shared" si="304"/>
        <v>164</v>
      </c>
      <c r="B743" s="4" t="s">
        <v>2770</v>
      </c>
      <c r="C743" s="4"/>
      <c r="D743" s="1008"/>
      <c r="E743" s="1002" t="str">
        <f t="shared" ref="E743:E745" si="321">IF(D743="","",D743/SUM($D$742:$D$745))</f>
        <v/>
      </c>
      <c r="F743" s="1005" t="e">
        <f t="shared" ref="F743:F745" si="322">IF(J743="","$",IF(C743="当選","-",D743*100/MAX($D$742:$D$745)))</f>
        <v>#DIV/0!</v>
      </c>
      <c r="G743" s="1" t="s">
        <v>2778</v>
      </c>
      <c r="H743" s="1">
        <v>46</v>
      </c>
      <c r="I743" s="2" t="s">
        <v>5</v>
      </c>
      <c r="J743" s="1" t="s">
        <v>15273</v>
      </c>
      <c r="K743" s="3"/>
      <c r="L743" s="1"/>
      <c r="M743" s="1"/>
      <c r="N743" s="4" t="s">
        <v>16120</v>
      </c>
      <c r="O743" s="1" t="s">
        <v>48</v>
      </c>
      <c r="P743" s="1" t="s">
        <v>6</v>
      </c>
      <c r="Q743" s="16"/>
      <c r="R743" s="17"/>
      <c r="S743" s="774"/>
    </row>
    <row r="744" spans="1:19" ht="12" customHeight="1">
      <c r="A744" s="1040" t="str">
        <f t="shared" si="304"/>
        <v>164</v>
      </c>
      <c r="B744" s="4" t="s">
        <v>2771</v>
      </c>
      <c r="C744" s="4"/>
      <c r="D744" s="1008"/>
      <c r="E744" s="1002" t="str">
        <f t="shared" si="321"/>
        <v/>
      </c>
      <c r="F744" s="1005" t="e">
        <f t="shared" si="322"/>
        <v>#DIV/0!</v>
      </c>
      <c r="G744" s="1" t="s">
        <v>5793</v>
      </c>
      <c r="H744" s="1">
        <v>38</v>
      </c>
      <c r="I744" s="2" t="s">
        <v>5</v>
      </c>
      <c r="J744" s="1" t="s">
        <v>15273</v>
      </c>
      <c r="K744" s="3"/>
      <c r="L744" s="1"/>
      <c r="M744" s="1"/>
      <c r="N744" s="4" t="s">
        <v>16125</v>
      </c>
      <c r="O744" s="1"/>
      <c r="P744" s="1" t="s">
        <v>6</v>
      </c>
      <c r="Q744" s="16"/>
      <c r="R744" s="17"/>
      <c r="S744" s="774" t="s">
        <v>5561</v>
      </c>
    </row>
    <row r="745" spans="1:19" ht="12" customHeight="1" thickBot="1">
      <c r="A745" s="916" t="str">
        <f t="shared" si="304"/>
        <v>164</v>
      </c>
      <c r="B745" s="700" t="s">
        <v>2772</v>
      </c>
      <c r="C745" s="700"/>
      <c r="D745" s="1009"/>
      <c r="E745" s="1003" t="str">
        <f t="shared" si="321"/>
        <v/>
      </c>
      <c r="F745" s="1041" t="str">
        <f t="shared" si="322"/>
        <v>$</v>
      </c>
      <c r="G745" s="906" t="s">
        <v>2780</v>
      </c>
      <c r="H745" s="906">
        <v>47</v>
      </c>
      <c r="I745" s="702" t="s">
        <v>5</v>
      </c>
      <c r="J745" s="906"/>
      <c r="K745" s="703"/>
      <c r="L745" s="906"/>
      <c r="M745" s="906"/>
      <c r="N745" s="700" t="s">
        <v>16117</v>
      </c>
      <c r="O745" s="906"/>
      <c r="P745" s="906" t="s">
        <v>6</v>
      </c>
      <c r="Q745" s="705"/>
      <c r="R745" s="903"/>
      <c r="S745" s="793"/>
    </row>
    <row r="746" spans="1:19" ht="12" customHeight="1">
      <c r="A746" s="1038" t="str">
        <f t="shared" si="304"/>
        <v>165</v>
      </c>
      <c r="B746" s="688" t="s">
        <v>2783</v>
      </c>
      <c r="C746" s="688"/>
      <c r="D746" s="1007"/>
      <c r="E746" s="1001" t="str">
        <f>IF(D746="","",D746/SUM($D$746:$D$750))</f>
        <v/>
      </c>
      <c r="F746" s="1004" t="e">
        <f>IF(J746="","$",IF(C746="当選","-",D746*100/MAX($D$746:$D$750)))</f>
        <v>#DIV/0!</v>
      </c>
      <c r="G746" s="687" t="s">
        <v>4746</v>
      </c>
      <c r="H746" s="687">
        <v>42</v>
      </c>
      <c r="I746" s="696" t="s">
        <v>5</v>
      </c>
      <c r="J746" s="689" t="s">
        <v>15273</v>
      </c>
      <c r="K746" s="747"/>
      <c r="L746" s="687"/>
      <c r="M746" s="687"/>
      <c r="N746" s="692" t="s">
        <v>16126</v>
      </c>
      <c r="O746" s="687" t="s">
        <v>44</v>
      </c>
      <c r="P746" s="687" t="s">
        <v>6</v>
      </c>
      <c r="Q746" s="748"/>
      <c r="R746" s="749"/>
      <c r="S746" s="805"/>
    </row>
    <row r="747" spans="1:19" ht="12" customHeight="1">
      <c r="A747" s="1040" t="str">
        <f t="shared" si="304"/>
        <v>165</v>
      </c>
      <c r="B747" s="4" t="s">
        <v>2784</v>
      </c>
      <c r="C747" s="4"/>
      <c r="D747" s="1008"/>
      <c r="E747" s="1002" t="str">
        <f t="shared" ref="E747:E750" si="323">IF(D747="","",D747/SUM($D$746:$D$750))</f>
        <v/>
      </c>
      <c r="F747" s="1005" t="e">
        <f t="shared" ref="F747:F750" si="324">IF(J747="","$",IF(C747="当選","-",D747*100/MAX($D$746:$D$750)))</f>
        <v>#DIV/0!</v>
      </c>
      <c r="G747" s="1" t="s">
        <v>2788</v>
      </c>
      <c r="H747" s="1">
        <v>48</v>
      </c>
      <c r="I747" s="2" t="s">
        <v>5</v>
      </c>
      <c r="J747" s="1" t="s">
        <v>15273</v>
      </c>
      <c r="K747" s="3"/>
      <c r="L747" s="1"/>
      <c r="M747" s="1"/>
      <c r="N747" s="4" t="s">
        <v>16120</v>
      </c>
      <c r="O747" s="1" t="s">
        <v>65</v>
      </c>
      <c r="P747" s="1" t="s">
        <v>6</v>
      </c>
      <c r="Q747" s="16"/>
      <c r="R747" s="17"/>
      <c r="S747" s="774"/>
    </row>
    <row r="748" spans="1:19" ht="12" customHeight="1">
      <c r="A748" s="1040" t="str">
        <f t="shared" si="304"/>
        <v>165</v>
      </c>
      <c r="B748" s="4" t="s">
        <v>2785</v>
      </c>
      <c r="C748" s="4"/>
      <c r="D748" s="1008"/>
      <c r="E748" s="1002" t="str">
        <f t="shared" si="323"/>
        <v/>
      </c>
      <c r="F748" s="1005" t="e">
        <f t="shared" si="324"/>
        <v>#DIV/0!</v>
      </c>
      <c r="G748" s="1" t="s">
        <v>2790</v>
      </c>
      <c r="H748" s="1">
        <v>54</v>
      </c>
      <c r="I748" s="2" t="s">
        <v>5</v>
      </c>
      <c r="J748" s="1" t="s">
        <v>15273</v>
      </c>
      <c r="K748" s="3" t="s">
        <v>2791</v>
      </c>
      <c r="L748" s="1"/>
      <c r="M748" s="1"/>
      <c r="N748" s="4" t="s">
        <v>16125</v>
      </c>
      <c r="O748" s="1"/>
      <c r="P748" s="1" t="s">
        <v>25</v>
      </c>
      <c r="Q748" s="16">
        <v>4</v>
      </c>
      <c r="R748" s="17">
        <v>4</v>
      </c>
      <c r="S748" s="774" t="s">
        <v>5561</v>
      </c>
    </row>
    <row r="749" spans="1:19" ht="12" customHeight="1">
      <c r="A749" s="1040" t="str">
        <f t="shared" si="304"/>
        <v>165</v>
      </c>
      <c r="B749" s="4" t="s">
        <v>2786</v>
      </c>
      <c r="C749" s="4"/>
      <c r="D749" s="1008"/>
      <c r="E749" s="1002" t="str">
        <f t="shared" si="323"/>
        <v/>
      </c>
      <c r="F749" s="1005" t="e">
        <f t="shared" si="324"/>
        <v>#DIV/0!</v>
      </c>
      <c r="G749" s="1" t="s">
        <v>5021</v>
      </c>
      <c r="H749" s="1">
        <v>34</v>
      </c>
      <c r="I749" s="2" t="s">
        <v>5</v>
      </c>
      <c r="J749" s="1" t="s">
        <v>15273</v>
      </c>
      <c r="K749" s="3"/>
      <c r="L749" s="1"/>
      <c r="M749" s="1"/>
      <c r="N749" s="4" t="s">
        <v>16116</v>
      </c>
      <c r="O749" s="1" t="s">
        <v>18494</v>
      </c>
      <c r="P749" s="1" t="s">
        <v>6</v>
      </c>
      <c r="Q749" s="16"/>
      <c r="R749" s="17"/>
      <c r="S749" s="774" t="s">
        <v>6154</v>
      </c>
    </row>
    <row r="750" spans="1:19" ht="12" customHeight="1" thickBot="1">
      <c r="A750" s="916" t="str">
        <f t="shared" si="304"/>
        <v>165</v>
      </c>
      <c r="B750" s="700" t="s">
        <v>2787</v>
      </c>
      <c r="C750" s="700"/>
      <c r="D750" s="1009"/>
      <c r="E750" s="1003" t="str">
        <f t="shared" si="323"/>
        <v/>
      </c>
      <c r="F750" s="1041" t="str">
        <f t="shared" si="324"/>
        <v>$</v>
      </c>
      <c r="G750" s="906" t="s">
        <v>2794</v>
      </c>
      <c r="H750" s="906">
        <v>58</v>
      </c>
      <c r="I750" s="702" t="s">
        <v>19</v>
      </c>
      <c r="J750" s="906"/>
      <c r="K750" s="703"/>
      <c r="L750" s="906"/>
      <c r="M750" s="906"/>
      <c r="N750" s="700" t="s">
        <v>16117</v>
      </c>
      <c r="O750" s="906"/>
      <c r="P750" s="906" t="s">
        <v>6</v>
      </c>
      <c r="Q750" s="705"/>
      <c r="R750" s="903"/>
      <c r="S750" s="793"/>
    </row>
    <row r="751" spans="1:19" ht="12" customHeight="1">
      <c r="A751" s="1038" t="str">
        <f t="shared" si="304"/>
        <v>166</v>
      </c>
      <c r="B751" s="688" t="s">
        <v>2797</v>
      </c>
      <c r="C751" s="688"/>
      <c r="D751" s="1007"/>
      <c r="E751" s="1001" t="str">
        <f>IF(D751="","",D751/SUM($D$751:$D$755))</f>
        <v/>
      </c>
      <c r="F751" s="1004" t="e">
        <f>IF(J751="","$",IF(C751="当選","-",D751*100/MAX($D$751:$D$755)))</f>
        <v>#DIV/0!</v>
      </c>
      <c r="G751" s="687" t="s">
        <v>2801</v>
      </c>
      <c r="H751" s="687">
        <v>64</v>
      </c>
      <c r="I751" s="696" t="s">
        <v>5</v>
      </c>
      <c r="J751" s="689" t="s">
        <v>15273</v>
      </c>
      <c r="K751" s="747" t="s">
        <v>2802</v>
      </c>
      <c r="L751" s="687"/>
      <c r="M751" s="687"/>
      <c r="N751" s="692" t="s">
        <v>16127</v>
      </c>
      <c r="O751" s="687" t="s">
        <v>45</v>
      </c>
      <c r="P751" s="687" t="s">
        <v>25</v>
      </c>
      <c r="Q751" s="748">
        <v>7</v>
      </c>
      <c r="R751" s="749">
        <v>7</v>
      </c>
      <c r="S751" s="805" t="s">
        <v>736</v>
      </c>
    </row>
    <row r="752" spans="1:19" ht="12" customHeight="1">
      <c r="A752" s="1040" t="str">
        <f t="shared" si="304"/>
        <v>166</v>
      </c>
      <c r="B752" s="4" t="s">
        <v>2798</v>
      </c>
      <c r="C752" s="4"/>
      <c r="D752" s="1008"/>
      <c r="E752" s="1002" t="str">
        <f t="shared" ref="E752:E755" si="325">IF(D752="","",D752/SUM($D$751:$D$755))</f>
        <v/>
      </c>
      <c r="F752" s="1005" t="e">
        <f t="shared" ref="F752:F755" si="326">IF(J752="","$",IF(C752="当選","-",D752*100/MAX($D$751:$D$755)))</f>
        <v>#DIV/0!</v>
      </c>
      <c r="G752" s="1" t="s">
        <v>5751</v>
      </c>
      <c r="H752" s="1">
        <v>49</v>
      </c>
      <c r="I752" s="2" t="s">
        <v>5</v>
      </c>
      <c r="J752" s="1" t="s">
        <v>15273</v>
      </c>
      <c r="K752" s="3"/>
      <c r="L752" s="1"/>
      <c r="M752" s="1"/>
      <c r="N752" s="8" t="s">
        <v>16120</v>
      </c>
      <c r="O752" s="1" t="s">
        <v>30</v>
      </c>
      <c r="P752" s="1" t="s">
        <v>6</v>
      </c>
      <c r="Q752" s="16"/>
      <c r="R752" s="17"/>
      <c r="S752" s="774"/>
    </row>
    <row r="753" spans="1:19" ht="12" customHeight="1">
      <c r="A753" s="1040" t="str">
        <f t="shared" si="304"/>
        <v>166</v>
      </c>
      <c r="B753" s="4" t="s">
        <v>2799</v>
      </c>
      <c r="C753" s="4"/>
      <c r="D753" s="1008"/>
      <c r="E753" s="1002" t="str">
        <f t="shared" si="325"/>
        <v/>
      </c>
      <c r="F753" s="1005" t="e">
        <f t="shared" si="326"/>
        <v>#DIV/0!</v>
      </c>
      <c r="G753" s="1" t="s">
        <v>5239</v>
      </c>
      <c r="H753" s="1">
        <v>52</v>
      </c>
      <c r="I753" s="2" t="s">
        <v>5</v>
      </c>
      <c r="J753" s="1" t="s">
        <v>15273</v>
      </c>
      <c r="K753" s="3"/>
      <c r="L753" s="1"/>
      <c r="M753" s="1"/>
      <c r="N753" s="4" t="s">
        <v>16125</v>
      </c>
      <c r="O753" s="1"/>
      <c r="P753" s="1" t="s">
        <v>14</v>
      </c>
      <c r="Q753" s="16">
        <v>3</v>
      </c>
      <c r="R753" s="17">
        <v>3</v>
      </c>
      <c r="S753" s="774" t="s">
        <v>5561</v>
      </c>
    </row>
    <row r="754" spans="1:19" ht="12" customHeight="1">
      <c r="A754" s="1040" t="str">
        <f t="shared" si="304"/>
        <v>166</v>
      </c>
      <c r="B754" s="4" t="s">
        <v>2800</v>
      </c>
      <c r="C754" s="4"/>
      <c r="D754" s="1008"/>
      <c r="E754" s="1002" t="str">
        <f t="shared" si="325"/>
        <v/>
      </c>
      <c r="F754" s="1005" t="e">
        <f t="shared" si="326"/>
        <v>#DIV/0!</v>
      </c>
      <c r="G754" s="1" t="s">
        <v>5410</v>
      </c>
      <c r="H754" s="1">
        <v>52</v>
      </c>
      <c r="I754" s="2" t="s">
        <v>5</v>
      </c>
      <c r="J754" s="1" t="s">
        <v>15273</v>
      </c>
      <c r="K754" s="3"/>
      <c r="L754" s="1"/>
      <c r="M754" s="1"/>
      <c r="N754" s="4" t="s">
        <v>16116</v>
      </c>
      <c r="O754" s="1" t="s">
        <v>18494</v>
      </c>
      <c r="P754" s="1" t="s">
        <v>6</v>
      </c>
      <c r="Q754" s="16"/>
      <c r="R754" s="17"/>
      <c r="S754" s="774" t="s">
        <v>6154</v>
      </c>
    </row>
    <row r="755" spans="1:19" ht="12" customHeight="1" thickBot="1">
      <c r="A755" s="916" t="str">
        <f t="shared" si="304"/>
        <v>166</v>
      </c>
      <c r="B755" s="700" t="s">
        <v>5409</v>
      </c>
      <c r="C755" s="700"/>
      <c r="D755" s="1009"/>
      <c r="E755" s="1003" t="str">
        <f t="shared" si="325"/>
        <v/>
      </c>
      <c r="F755" s="1041" t="str">
        <f t="shared" si="326"/>
        <v>$</v>
      </c>
      <c r="G755" s="906" t="s">
        <v>2806</v>
      </c>
      <c r="H755" s="906">
        <v>35</v>
      </c>
      <c r="I755" s="702" t="s">
        <v>5</v>
      </c>
      <c r="J755" s="906"/>
      <c r="K755" s="703"/>
      <c r="L755" s="906"/>
      <c r="M755" s="906"/>
      <c r="N755" s="700" t="s">
        <v>16117</v>
      </c>
      <c r="O755" s="906"/>
      <c r="P755" s="906" t="s">
        <v>6</v>
      </c>
      <c r="Q755" s="705"/>
      <c r="R755" s="903"/>
      <c r="S755" s="793"/>
    </row>
    <row r="756" spans="1:19" ht="12" customHeight="1">
      <c r="A756" s="1038" t="str">
        <f t="shared" si="304"/>
        <v>167</v>
      </c>
      <c r="B756" s="688" t="s">
        <v>2808</v>
      </c>
      <c r="C756" s="688"/>
      <c r="D756" s="1007"/>
      <c r="E756" s="1001" t="str">
        <f>IF(D756="","",D756/SUM($D$756:$D$759))</f>
        <v/>
      </c>
      <c r="F756" s="1004" t="e">
        <f>IF(J756="","$",IF(C756="当選","-",D756*100/MAX($D$756:$D$759)))</f>
        <v>#DIV/0!</v>
      </c>
      <c r="G756" s="687" t="s">
        <v>2812</v>
      </c>
      <c r="H756" s="687">
        <v>42</v>
      </c>
      <c r="I756" s="696" t="s">
        <v>5</v>
      </c>
      <c r="J756" s="689" t="s">
        <v>15273</v>
      </c>
      <c r="K756" s="747"/>
      <c r="L756" s="687"/>
      <c r="M756" s="687"/>
      <c r="N756" s="692" t="s">
        <v>16127</v>
      </c>
      <c r="O756" s="687" t="s">
        <v>737</v>
      </c>
      <c r="P756" s="687" t="s">
        <v>6</v>
      </c>
      <c r="Q756" s="748"/>
      <c r="R756" s="749"/>
      <c r="S756" s="805" t="s">
        <v>736</v>
      </c>
    </row>
    <row r="757" spans="1:19" ht="12" customHeight="1">
      <c r="A757" s="1040" t="str">
        <f t="shared" si="304"/>
        <v>167</v>
      </c>
      <c r="B757" s="4" t="s">
        <v>2809</v>
      </c>
      <c r="C757" s="4"/>
      <c r="D757" s="1008"/>
      <c r="E757" s="1002" t="str">
        <f t="shared" ref="E757:E759" si="327">IF(D757="","",D757/SUM($D$756:$D$759))</f>
        <v/>
      </c>
      <c r="F757" s="1005" t="e">
        <f t="shared" ref="F757:F759" si="328">IF(J757="","$",IF(C757="当選","-",D757*100/MAX($D$756:$D$759)))</f>
        <v>#DIV/0!</v>
      </c>
      <c r="G757" s="1" t="s">
        <v>2815</v>
      </c>
      <c r="H757" s="1">
        <v>39</v>
      </c>
      <c r="I757" s="2" t="s">
        <v>5</v>
      </c>
      <c r="J757" s="1" t="s">
        <v>15273</v>
      </c>
      <c r="K757" s="3" t="s">
        <v>2816</v>
      </c>
      <c r="L757" s="1"/>
      <c r="M757" s="1"/>
      <c r="N757" s="4" t="s">
        <v>16120</v>
      </c>
      <c r="O757" s="1" t="s">
        <v>475</v>
      </c>
      <c r="P757" s="1" t="s">
        <v>25</v>
      </c>
      <c r="Q757" s="16">
        <v>2</v>
      </c>
      <c r="R757" s="17">
        <v>2</v>
      </c>
      <c r="S757" s="774" t="s">
        <v>5457</v>
      </c>
    </row>
    <row r="758" spans="1:19" ht="12" customHeight="1">
      <c r="A758" s="1040" t="str">
        <f t="shared" si="304"/>
        <v>167</v>
      </c>
      <c r="B758" s="4" t="s">
        <v>2810</v>
      </c>
      <c r="C758" s="4"/>
      <c r="D758" s="1008"/>
      <c r="E758" s="1002" t="str">
        <f t="shared" si="327"/>
        <v/>
      </c>
      <c r="F758" s="1005" t="e">
        <f t="shared" si="328"/>
        <v>#DIV/0!</v>
      </c>
      <c r="G758" s="1" t="s">
        <v>6022</v>
      </c>
      <c r="H758" s="1">
        <v>56</v>
      </c>
      <c r="I758" s="2" t="s">
        <v>5</v>
      </c>
      <c r="J758" s="1" t="s">
        <v>15273</v>
      </c>
      <c r="K758" s="3" t="s">
        <v>6024</v>
      </c>
      <c r="L758" s="1"/>
      <c r="M758" s="1"/>
      <c r="N758" s="4" t="s">
        <v>16125</v>
      </c>
      <c r="O758" s="1"/>
      <c r="P758" s="1" t="s">
        <v>25</v>
      </c>
      <c r="Q758" s="16">
        <v>1</v>
      </c>
      <c r="R758" s="17">
        <v>1</v>
      </c>
      <c r="S758" s="774" t="s">
        <v>5561</v>
      </c>
    </row>
    <row r="759" spans="1:19" ht="12" customHeight="1" thickBot="1">
      <c r="A759" s="916" t="str">
        <f t="shared" si="304"/>
        <v>167</v>
      </c>
      <c r="B759" s="700" t="s">
        <v>2811</v>
      </c>
      <c r="C759" s="700"/>
      <c r="D759" s="1009"/>
      <c r="E759" s="1003" t="str">
        <f t="shared" si="327"/>
        <v/>
      </c>
      <c r="F759" s="1041" t="str">
        <f t="shared" si="328"/>
        <v>$</v>
      </c>
      <c r="G759" s="906" t="s">
        <v>2819</v>
      </c>
      <c r="H759" s="906">
        <v>62</v>
      </c>
      <c r="I759" s="702" t="s">
        <v>19</v>
      </c>
      <c r="J759" s="906"/>
      <c r="K759" s="703"/>
      <c r="L759" s="906"/>
      <c r="M759" s="906"/>
      <c r="N759" s="700" t="s">
        <v>16117</v>
      </c>
      <c r="O759" s="906"/>
      <c r="P759" s="906" t="s">
        <v>6</v>
      </c>
      <c r="Q759" s="705"/>
      <c r="R759" s="903"/>
      <c r="S759" s="793"/>
    </row>
    <row r="760" spans="1:19" ht="12" customHeight="1">
      <c r="A760" s="1038" t="str">
        <f t="shared" si="304"/>
        <v>168</v>
      </c>
      <c r="B760" s="688" t="s">
        <v>2822</v>
      </c>
      <c r="C760" s="688"/>
      <c r="D760" s="1007"/>
      <c r="E760" s="1001" t="str">
        <f>IF(D760="","",D760/SUM($D$760:$D$763))</f>
        <v/>
      </c>
      <c r="F760" s="1004" t="e">
        <f>IF(J760="","$",IF(C760="当選","-",D760*100/MAX($D$760:$D$763)))</f>
        <v>#DIV/0!</v>
      </c>
      <c r="G760" s="687" t="s">
        <v>2825</v>
      </c>
      <c r="H760" s="687">
        <v>38</v>
      </c>
      <c r="I760" s="696" t="s">
        <v>19</v>
      </c>
      <c r="J760" s="689" t="s">
        <v>15273</v>
      </c>
      <c r="K760" s="747" t="s">
        <v>2826</v>
      </c>
      <c r="L760" s="687"/>
      <c r="M760" s="687"/>
      <c r="N760" s="692" t="s">
        <v>16126</v>
      </c>
      <c r="O760" s="687" t="s">
        <v>44</v>
      </c>
      <c r="P760" s="687" t="s">
        <v>25</v>
      </c>
      <c r="Q760" s="748">
        <v>1</v>
      </c>
      <c r="R760" s="749">
        <v>1</v>
      </c>
      <c r="S760" s="805" t="s">
        <v>736</v>
      </c>
    </row>
    <row r="761" spans="1:19" ht="12" customHeight="1">
      <c r="A761" s="1040" t="str">
        <f t="shared" si="304"/>
        <v>168</v>
      </c>
      <c r="B761" s="4" t="s">
        <v>2823</v>
      </c>
      <c r="C761" s="4"/>
      <c r="D761" s="1008"/>
      <c r="E761" s="1002" t="str">
        <f t="shared" ref="E761:E763" si="329">IF(D761="","",D761/SUM($D$760:$D$763))</f>
        <v/>
      </c>
      <c r="F761" s="1005" t="e">
        <f t="shared" ref="F761:F763" si="330">IF(J761="","$",IF(C761="当選","-",D761*100/MAX($D$760:$D$763)))</f>
        <v>#DIV/0!</v>
      </c>
      <c r="G761" s="1" t="s">
        <v>2828</v>
      </c>
      <c r="H761" s="1">
        <v>54</v>
      </c>
      <c r="I761" s="2" t="s">
        <v>5</v>
      </c>
      <c r="J761" s="1" t="s">
        <v>15273</v>
      </c>
      <c r="K761" s="3"/>
      <c r="L761" s="1"/>
      <c r="M761" s="1"/>
      <c r="N761" s="4" t="s">
        <v>16120</v>
      </c>
      <c r="O761" s="1" t="s">
        <v>48</v>
      </c>
      <c r="P761" s="1" t="s">
        <v>14</v>
      </c>
      <c r="Q761" s="16">
        <v>2</v>
      </c>
      <c r="R761" s="17">
        <v>2</v>
      </c>
      <c r="S761" s="774" t="s">
        <v>5457</v>
      </c>
    </row>
    <row r="762" spans="1:19" ht="12" customHeight="1">
      <c r="A762" s="1040" t="str">
        <f t="shared" si="304"/>
        <v>168</v>
      </c>
      <c r="B762" s="4" t="s">
        <v>2824</v>
      </c>
      <c r="C762" s="4"/>
      <c r="D762" s="1008"/>
      <c r="E762" s="1002" t="str">
        <f t="shared" si="329"/>
        <v/>
      </c>
      <c r="F762" s="1005" t="e">
        <f t="shared" si="330"/>
        <v>#DIV/0!</v>
      </c>
      <c r="G762" s="1" t="s">
        <v>6194</v>
      </c>
      <c r="H762" s="1">
        <v>31</v>
      </c>
      <c r="I762" s="2" t="s">
        <v>19</v>
      </c>
      <c r="J762" s="1" t="s">
        <v>15273</v>
      </c>
      <c r="K762" s="3"/>
      <c r="L762" s="1"/>
      <c r="M762" s="1"/>
      <c r="N762" s="4" t="s">
        <v>16125</v>
      </c>
      <c r="O762" s="1"/>
      <c r="P762" s="1" t="s">
        <v>6</v>
      </c>
      <c r="Q762" s="16"/>
      <c r="R762" s="17"/>
      <c r="S762" s="774" t="s">
        <v>5561</v>
      </c>
    </row>
    <row r="763" spans="1:19" ht="12" customHeight="1" thickBot="1">
      <c r="A763" s="916" t="str">
        <f t="shared" si="304"/>
        <v>168</v>
      </c>
      <c r="B763" s="700" t="s">
        <v>6193</v>
      </c>
      <c r="C763" s="700"/>
      <c r="D763" s="1009"/>
      <c r="E763" s="1003" t="str">
        <f t="shared" si="329"/>
        <v/>
      </c>
      <c r="F763" s="1041" t="str">
        <f t="shared" si="330"/>
        <v>$</v>
      </c>
      <c r="G763" s="906" t="s">
        <v>2831</v>
      </c>
      <c r="H763" s="906">
        <v>34</v>
      </c>
      <c r="I763" s="702" t="s">
        <v>5</v>
      </c>
      <c r="J763" s="906"/>
      <c r="K763" s="703"/>
      <c r="L763" s="906"/>
      <c r="M763" s="906"/>
      <c r="N763" s="700" t="s">
        <v>16117</v>
      </c>
      <c r="O763" s="906"/>
      <c r="P763" s="906" t="s">
        <v>6</v>
      </c>
      <c r="Q763" s="705"/>
      <c r="R763" s="903"/>
      <c r="S763" s="793"/>
    </row>
    <row r="764" spans="1:19" ht="12" customHeight="1">
      <c r="A764" s="1038" t="str">
        <f t="shared" si="304"/>
        <v>169</v>
      </c>
      <c r="B764" s="688" t="s">
        <v>2833</v>
      </c>
      <c r="C764" s="688"/>
      <c r="D764" s="1007"/>
      <c r="E764" s="1001" t="str">
        <f>IF(D764="","",D764/SUM($D$764:$D$767))</f>
        <v/>
      </c>
      <c r="F764" s="1004" t="e">
        <f>IF(J764="","$",IF(C764="当選","-",D764*100/MAX($D$764:$D$767)))</f>
        <v>#DIV/0!</v>
      </c>
      <c r="G764" s="687" t="s">
        <v>2836</v>
      </c>
      <c r="H764" s="687">
        <v>51</v>
      </c>
      <c r="I764" s="696" t="s">
        <v>5</v>
      </c>
      <c r="J764" s="689" t="s">
        <v>15273</v>
      </c>
      <c r="K764" s="747" t="s">
        <v>2837</v>
      </c>
      <c r="L764" s="687"/>
      <c r="M764" s="687"/>
      <c r="N764" s="692" t="s">
        <v>16127</v>
      </c>
      <c r="O764" s="687" t="s">
        <v>604</v>
      </c>
      <c r="P764" s="687" t="s">
        <v>25</v>
      </c>
      <c r="Q764" s="748">
        <v>4</v>
      </c>
      <c r="R764" s="749">
        <v>4</v>
      </c>
      <c r="S764" s="805" t="s">
        <v>736</v>
      </c>
    </row>
    <row r="765" spans="1:19" ht="12" customHeight="1">
      <c r="A765" s="1040" t="str">
        <f t="shared" si="304"/>
        <v>169</v>
      </c>
      <c r="B765" s="4" t="s">
        <v>2834</v>
      </c>
      <c r="C765" s="4"/>
      <c r="D765" s="1008"/>
      <c r="E765" s="1002" t="str">
        <f t="shared" ref="E765:E767" si="331">IF(D765="","",D765/SUM($D$764:$D$767))</f>
        <v/>
      </c>
      <c r="F765" s="1005" t="e">
        <f t="shared" ref="F765:F767" si="332">IF(J765="","$",IF(C765="当選","-",D765*100/MAX($D$764:$D$767)))</f>
        <v>#DIV/0!</v>
      </c>
      <c r="G765" s="1" t="s">
        <v>2841</v>
      </c>
      <c r="H765" s="1">
        <v>48</v>
      </c>
      <c r="I765" s="2" t="s">
        <v>5</v>
      </c>
      <c r="J765" s="1" t="s">
        <v>15273</v>
      </c>
      <c r="K765" s="3"/>
      <c r="L765" s="1"/>
      <c r="M765" s="1"/>
      <c r="N765" s="8" t="s">
        <v>16120</v>
      </c>
      <c r="O765" s="1" t="s">
        <v>65</v>
      </c>
      <c r="P765" s="1" t="s">
        <v>14</v>
      </c>
      <c r="Q765" s="16">
        <v>1</v>
      </c>
      <c r="R765" s="17">
        <v>1</v>
      </c>
      <c r="S765" s="774" t="s">
        <v>5457</v>
      </c>
    </row>
    <row r="766" spans="1:19" ht="12" customHeight="1">
      <c r="A766" s="1040" t="str">
        <f t="shared" si="304"/>
        <v>169</v>
      </c>
      <c r="B766" s="4" t="s">
        <v>2835</v>
      </c>
      <c r="C766" s="4"/>
      <c r="D766" s="1008"/>
      <c r="E766" s="1002" t="str">
        <f t="shared" si="331"/>
        <v/>
      </c>
      <c r="F766" s="1005" t="e">
        <f t="shared" si="332"/>
        <v>#DIV/0!</v>
      </c>
      <c r="G766" s="1" t="s">
        <v>16018</v>
      </c>
      <c r="H766" s="1">
        <v>39</v>
      </c>
      <c r="I766" s="2" t="s">
        <v>19</v>
      </c>
      <c r="J766" s="1" t="s">
        <v>15273</v>
      </c>
      <c r="K766" s="3"/>
      <c r="L766" s="1"/>
      <c r="M766" s="1"/>
      <c r="N766" s="4" t="s">
        <v>16125</v>
      </c>
      <c r="O766" s="1"/>
      <c r="P766" s="1" t="s">
        <v>6</v>
      </c>
      <c r="Q766" s="16"/>
      <c r="R766" s="17"/>
      <c r="S766" s="774" t="s">
        <v>5561</v>
      </c>
    </row>
    <row r="767" spans="1:19" ht="12" customHeight="1" thickBot="1">
      <c r="A767" s="916" t="str">
        <f t="shared" si="304"/>
        <v>169</v>
      </c>
      <c r="B767" s="700" t="s">
        <v>5794</v>
      </c>
      <c r="C767" s="700"/>
      <c r="D767" s="1009"/>
      <c r="E767" s="1003" t="str">
        <f t="shared" si="331"/>
        <v/>
      </c>
      <c r="F767" s="1041" t="str">
        <f t="shared" si="332"/>
        <v>$</v>
      </c>
      <c r="G767" s="906" t="s">
        <v>2843</v>
      </c>
      <c r="H767" s="906">
        <v>53</v>
      </c>
      <c r="I767" s="702" t="s">
        <v>5</v>
      </c>
      <c r="J767" s="906"/>
      <c r="K767" s="703"/>
      <c r="L767" s="906"/>
      <c r="M767" s="906"/>
      <c r="N767" s="700" t="s">
        <v>16117</v>
      </c>
      <c r="O767" s="906"/>
      <c r="P767" s="906" t="s">
        <v>6</v>
      </c>
      <c r="Q767" s="705"/>
      <c r="R767" s="903"/>
      <c r="S767" s="793"/>
    </row>
    <row r="768" spans="1:19" ht="12" customHeight="1">
      <c r="A768" s="1038" t="str">
        <f t="shared" si="304"/>
        <v>170</v>
      </c>
      <c r="B768" s="688" t="s">
        <v>2845</v>
      </c>
      <c r="C768" s="688"/>
      <c r="D768" s="1007"/>
      <c r="E768" s="1001" t="str">
        <f>IF(D768="","",D768/SUM($D$768:$D$772))</f>
        <v/>
      </c>
      <c r="F768" s="1004" t="e">
        <f>IF(J768="","$",IF(C768="当選","-",D768*100/MAX($D$768:$D$772)))</f>
        <v>#DIV/0!</v>
      </c>
      <c r="G768" s="687" t="s">
        <v>2848</v>
      </c>
      <c r="H768" s="687">
        <v>41</v>
      </c>
      <c r="I768" s="696" t="s">
        <v>5</v>
      </c>
      <c r="J768" s="689" t="s">
        <v>15273</v>
      </c>
      <c r="K768" s="747" t="s">
        <v>2849</v>
      </c>
      <c r="L768" s="687"/>
      <c r="M768" s="687"/>
      <c r="N768" s="692" t="s">
        <v>16127</v>
      </c>
      <c r="O768" s="687" t="s">
        <v>44</v>
      </c>
      <c r="P768" s="687" t="s">
        <v>25</v>
      </c>
      <c r="Q768" s="748">
        <v>3</v>
      </c>
      <c r="R768" s="749">
        <v>3</v>
      </c>
      <c r="S768" s="805" t="s">
        <v>736</v>
      </c>
    </row>
    <row r="769" spans="1:19" ht="12" customHeight="1">
      <c r="A769" s="1040" t="str">
        <f t="shared" si="304"/>
        <v>170</v>
      </c>
      <c r="B769" s="4" t="s">
        <v>2846</v>
      </c>
      <c r="C769" s="4"/>
      <c r="D769" s="1008"/>
      <c r="E769" s="1002" t="str">
        <f t="shared" ref="E769:E772" si="333">IF(D769="","",D769/SUM($D$768:$D$772))</f>
        <v/>
      </c>
      <c r="F769" s="1005" t="e">
        <f t="shared" ref="F769:F772" si="334">IF(J769="","$",IF(C769="当選","-",D769*100/MAX($D$768:$D$772)))</f>
        <v>#DIV/0!</v>
      </c>
      <c r="G769" s="1" t="s">
        <v>2851</v>
      </c>
      <c r="H769" s="1">
        <v>55</v>
      </c>
      <c r="I769" s="2" t="s">
        <v>5</v>
      </c>
      <c r="J769" s="1" t="s">
        <v>15273</v>
      </c>
      <c r="K769" s="3"/>
      <c r="L769" s="1"/>
      <c r="M769" s="1"/>
      <c r="N769" s="4" t="s">
        <v>16120</v>
      </c>
      <c r="O769" s="1" t="s">
        <v>30</v>
      </c>
      <c r="P769" s="1" t="s">
        <v>6</v>
      </c>
      <c r="Q769" s="16"/>
      <c r="R769" s="17"/>
      <c r="S769" s="774" t="s">
        <v>5457</v>
      </c>
    </row>
    <row r="770" spans="1:19" ht="12" customHeight="1">
      <c r="A770" s="1040" t="str">
        <f t="shared" si="304"/>
        <v>170</v>
      </c>
      <c r="B770" s="4" t="s">
        <v>2847</v>
      </c>
      <c r="C770" s="4"/>
      <c r="D770" s="1008"/>
      <c r="E770" s="1002" t="str">
        <f t="shared" si="333"/>
        <v/>
      </c>
      <c r="F770" s="1005" t="e">
        <f t="shared" si="334"/>
        <v>#DIV/0!</v>
      </c>
      <c r="G770" s="1" t="s">
        <v>4428</v>
      </c>
      <c r="H770" s="1">
        <v>43</v>
      </c>
      <c r="I770" s="2" t="s">
        <v>5</v>
      </c>
      <c r="J770" s="1" t="s">
        <v>15273</v>
      </c>
      <c r="K770" s="3"/>
      <c r="L770" s="1"/>
      <c r="M770" s="1"/>
      <c r="N770" s="4" t="s">
        <v>16125</v>
      </c>
      <c r="O770" s="1"/>
      <c r="P770" s="1" t="s">
        <v>6</v>
      </c>
      <c r="Q770" s="16"/>
      <c r="R770" s="17"/>
      <c r="S770" s="774" t="s">
        <v>5561</v>
      </c>
    </row>
    <row r="771" spans="1:19" ht="12" customHeight="1">
      <c r="A771" s="1040" t="str">
        <f t="shared" ref="A771:A834" si="335">MIDB(B771,1,3)</f>
        <v>170</v>
      </c>
      <c r="B771" s="4" t="s">
        <v>4427</v>
      </c>
      <c r="C771" s="4"/>
      <c r="D771" s="1008"/>
      <c r="E771" s="1002" t="str">
        <f t="shared" si="333"/>
        <v/>
      </c>
      <c r="F771" s="1005" t="e">
        <f t="shared" si="334"/>
        <v>#DIV/0!</v>
      </c>
      <c r="G771" s="1" t="s">
        <v>5024</v>
      </c>
      <c r="H771" s="1">
        <v>45</v>
      </c>
      <c r="I771" s="2" t="s">
        <v>5</v>
      </c>
      <c r="J771" s="1" t="s">
        <v>15273</v>
      </c>
      <c r="K771" s="3"/>
      <c r="L771" s="1"/>
      <c r="M771" s="1"/>
      <c r="N771" s="4" t="s">
        <v>16116</v>
      </c>
      <c r="O771" s="1" t="s">
        <v>18494</v>
      </c>
      <c r="P771" s="1" t="s">
        <v>6</v>
      </c>
      <c r="Q771" s="16"/>
      <c r="R771" s="17"/>
      <c r="S771" s="774" t="s">
        <v>6154</v>
      </c>
    </row>
    <row r="772" spans="1:19" ht="12" customHeight="1" thickBot="1">
      <c r="A772" s="916" t="str">
        <f t="shared" si="335"/>
        <v>170</v>
      </c>
      <c r="B772" s="700" t="s">
        <v>5023</v>
      </c>
      <c r="C772" s="700"/>
      <c r="D772" s="1009"/>
      <c r="E772" s="1003" t="str">
        <f t="shared" si="333"/>
        <v/>
      </c>
      <c r="F772" s="1041" t="str">
        <f t="shared" si="334"/>
        <v>$</v>
      </c>
      <c r="G772" s="906" t="s">
        <v>2853</v>
      </c>
      <c r="H772" s="906">
        <v>66</v>
      </c>
      <c r="I772" s="702" t="s">
        <v>5</v>
      </c>
      <c r="J772" s="906"/>
      <c r="K772" s="703"/>
      <c r="L772" s="906"/>
      <c r="M772" s="906"/>
      <c r="N772" s="700" t="s">
        <v>16117</v>
      </c>
      <c r="O772" s="906"/>
      <c r="P772" s="906" t="s">
        <v>6</v>
      </c>
      <c r="Q772" s="705"/>
      <c r="R772" s="903"/>
      <c r="S772" s="793"/>
    </row>
    <row r="773" spans="1:19" ht="12" customHeight="1">
      <c r="A773" s="1038" t="str">
        <f t="shared" si="335"/>
        <v>171</v>
      </c>
      <c r="B773" s="688" t="s">
        <v>2856</v>
      </c>
      <c r="C773" s="688"/>
      <c r="D773" s="1007"/>
      <c r="E773" s="1001" t="str">
        <f>IF(D773="","",D773/SUM($D$773:$D$777))</f>
        <v/>
      </c>
      <c r="F773" s="1004" t="e">
        <f>IF(J773="","$",IF(C773="当選","-",D773*100/MAX($D$773:$D$777)))</f>
        <v>#DIV/0!</v>
      </c>
      <c r="G773" s="687" t="s">
        <v>5060</v>
      </c>
      <c r="H773" s="687">
        <v>39</v>
      </c>
      <c r="I773" s="696" t="s">
        <v>5</v>
      </c>
      <c r="J773" s="689" t="s">
        <v>15273</v>
      </c>
      <c r="K773" s="747"/>
      <c r="L773" s="687"/>
      <c r="M773" s="687"/>
      <c r="N773" s="692" t="s">
        <v>16126</v>
      </c>
      <c r="O773" s="687" t="s">
        <v>44</v>
      </c>
      <c r="P773" s="687" t="s">
        <v>6</v>
      </c>
      <c r="Q773" s="748"/>
      <c r="R773" s="749"/>
      <c r="S773" s="805" t="s">
        <v>736</v>
      </c>
    </row>
    <row r="774" spans="1:19" ht="12" customHeight="1">
      <c r="A774" s="1040" t="str">
        <f t="shared" si="335"/>
        <v>171</v>
      </c>
      <c r="B774" s="4" t="s">
        <v>2857</v>
      </c>
      <c r="C774" s="4"/>
      <c r="D774" s="1008"/>
      <c r="E774" s="1002" t="str">
        <f t="shared" ref="E774:E777" si="336">IF(D774="","",D774/SUM($D$773:$D$777))</f>
        <v/>
      </c>
      <c r="F774" s="1005" t="e">
        <f t="shared" ref="F774:F777" si="337">IF(J774="","$",IF(C774="当選","-",D774*100/MAX($D$773:$D$777)))</f>
        <v>#DIV/0!</v>
      </c>
      <c r="G774" s="1" t="s">
        <v>2860</v>
      </c>
      <c r="H774" s="1">
        <v>69</v>
      </c>
      <c r="I774" s="2" t="s">
        <v>5</v>
      </c>
      <c r="J774" s="1" t="s">
        <v>15273</v>
      </c>
      <c r="K774" s="3"/>
      <c r="L774" s="1"/>
      <c r="M774" s="1"/>
      <c r="N774" s="4" t="s">
        <v>16120</v>
      </c>
      <c r="O774" s="1" t="s">
        <v>65</v>
      </c>
      <c r="P774" s="1" t="s">
        <v>14</v>
      </c>
      <c r="Q774" s="16">
        <v>4</v>
      </c>
      <c r="R774" s="17">
        <v>4</v>
      </c>
      <c r="S774" s="774" t="s">
        <v>5457</v>
      </c>
    </row>
    <row r="775" spans="1:19" ht="12" customHeight="1">
      <c r="A775" s="1040" t="str">
        <f t="shared" si="335"/>
        <v>171</v>
      </c>
      <c r="B775" s="4" t="s">
        <v>2858</v>
      </c>
      <c r="C775" s="4"/>
      <c r="D775" s="1008"/>
      <c r="E775" s="1002" t="str">
        <f t="shared" si="336"/>
        <v/>
      </c>
      <c r="F775" s="1005" t="e">
        <f t="shared" si="337"/>
        <v>#DIV/0!</v>
      </c>
      <c r="G775" s="1" t="s">
        <v>5995</v>
      </c>
      <c r="H775" s="1">
        <v>52</v>
      </c>
      <c r="I775" s="2" t="s">
        <v>5</v>
      </c>
      <c r="J775" s="1" t="s">
        <v>15273</v>
      </c>
      <c r="K775" s="3"/>
      <c r="L775" s="1"/>
      <c r="M775" s="1"/>
      <c r="N775" s="4" t="s">
        <v>16125</v>
      </c>
      <c r="O775" s="1"/>
      <c r="P775" s="1" t="s">
        <v>6</v>
      </c>
      <c r="Q775" s="16"/>
      <c r="R775" s="17"/>
      <c r="S775" s="774" t="s">
        <v>5561</v>
      </c>
    </row>
    <row r="776" spans="1:19" ht="12" customHeight="1">
      <c r="A776" s="1040" t="str">
        <f t="shared" si="335"/>
        <v>171</v>
      </c>
      <c r="B776" s="4" t="s">
        <v>2859</v>
      </c>
      <c r="C776" s="4"/>
      <c r="D776" s="1008"/>
      <c r="E776" s="1002" t="str">
        <f t="shared" si="336"/>
        <v/>
      </c>
      <c r="F776" s="1005" t="e">
        <f t="shared" si="337"/>
        <v>#DIV/0!</v>
      </c>
      <c r="G776" s="1" t="s">
        <v>2865</v>
      </c>
      <c r="H776" s="1">
        <v>52</v>
      </c>
      <c r="I776" s="2" t="s">
        <v>5</v>
      </c>
      <c r="J776" s="1" t="s">
        <v>15273</v>
      </c>
      <c r="K776" s="3" t="s">
        <v>2866</v>
      </c>
      <c r="L776" s="1"/>
      <c r="M776" s="1"/>
      <c r="N776" s="4" t="s">
        <v>18495</v>
      </c>
      <c r="O776" s="1"/>
      <c r="P776" s="1" t="s">
        <v>25</v>
      </c>
      <c r="Q776" s="16">
        <v>1</v>
      </c>
      <c r="R776" s="17">
        <v>1</v>
      </c>
      <c r="S776" s="774" t="s">
        <v>16096</v>
      </c>
    </row>
    <row r="777" spans="1:19" ht="12" customHeight="1" thickBot="1">
      <c r="A777" s="916" t="str">
        <f t="shared" si="335"/>
        <v>171</v>
      </c>
      <c r="B777" s="700" t="s">
        <v>5994</v>
      </c>
      <c r="C777" s="700"/>
      <c r="D777" s="1009"/>
      <c r="E777" s="1003" t="str">
        <f t="shared" si="336"/>
        <v/>
      </c>
      <c r="F777" s="1041" t="str">
        <f t="shared" si="337"/>
        <v>$</v>
      </c>
      <c r="G777" s="906" t="s">
        <v>2863</v>
      </c>
      <c r="H777" s="906">
        <v>54</v>
      </c>
      <c r="I777" s="702" t="s">
        <v>5</v>
      </c>
      <c r="J777" s="906"/>
      <c r="K777" s="703"/>
      <c r="L777" s="906"/>
      <c r="M777" s="906"/>
      <c r="N777" s="700" t="s">
        <v>16117</v>
      </c>
      <c r="O777" s="906"/>
      <c r="P777" s="906" t="s">
        <v>6</v>
      </c>
      <c r="Q777" s="705"/>
      <c r="R777" s="903"/>
      <c r="S777" s="793"/>
    </row>
    <row r="778" spans="1:19" ht="12" customHeight="1">
      <c r="A778" s="1038" t="str">
        <f t="shared" si="335"/>
        <v>172</v>
      </c>
      <c r="B778" s="688" t="s">
        <v>2869</v>
      </c>
      <c r="C778" s="688"/>
      <c r="D778" s="1007"/>
      <c r="E778" s="1001" t="str">
        <f>IF(D778="","",D778/SUM($D$778:$D$781))</f>
        <v/>
      </c>
      <c r="F778" s="1004" t="e">
        <f>IF(J778="","$",IF(C778="当選","-",D778*100/MAX($D$778:$D$781)))</f>
        <v>#DIV/0!</v>
      </c>
      <c r="G778" s="687" t="s">
        <v>2872</v>
      </c>
      <c r="H778" s="687">
        <v>47</v>
      </c>
      <c r="I778" s="696" t="s">
        <v>5</v>
      </c>
      <c r="J778" s="689" t="s">
        <v>15273</v>
      </c>
      <c r="K778" s="747" t="s">
        <v>2873</v>
      </c>
      <c r="L778" s="687"/>
      <c r="M778" s="687"/>
      <c r="N778" s="692" t="s">
        <v>16127</v>
      </c>
      <c r="O778" s="687" t="s">
        <v>681</v>
      </c>
      <c r="P778" s="687" t="s">
        <v>25</v>
      </c>
      <c r="Q778" s="748">
        <v>3</v>
      </c>
      <c r="R778" s="749">
        <v>3</v>
      </c>
      <c r="S778" s="805" t="s">
        <v>736</v>
      </c>
    </row>
    <row r="779" spans="1:19" ht="12" customHeight="1">
      <c r="A779" s="1040" t="str">
        <f t="shared" si="335"/>
        <v>172</v>
      </c>
      <c r="B779" s="4" t="s">
        <v>2870</v>
      </c>
      <c r="C779" s="4"/>
      <c r="D779" s="1008"/>
      <c r="E779" s="1002" t="str">
        <f t="shared" ref="E779:E781" si="338">IF(D779="","",D779/SUM($D$778:$D$781))</f>
        <v/>
      </c>
      <c r="F779" s="1005" t="e">
        <f t="shared" ref="F779:F781" si="339">IF(J779="","$",IF(C779="当選","-",D779*100/MAX($D$778:$D$781)))</f>
        <v>#DIV/0!</v>
      </c>
      <c r="G779" s="1" t="s">
        <v>5843</v>
      </c>
      <c r="H779" s="1">
        <v>65</v>
      </c>
      <c r="I779" s="2" t="s">
        <v>5</v>
      </c>
      <c r="J779" s="1" t="s">
        <v>15273</v>
      </c>
      <c r="K779" s="3"/>
      <c r="L779" s="1"/>
      <c r="M779" s="1"/>
      <c r="N779" s="8" t="s">
        <v>16120</v>
      </c>
      <c r="O779" s="1" t="s">
        <v>44</v>
      </c>
      <c r="P779" s="1" t="s">
        <v>6</v>
      </c>
      <c r="Q779" s="16"/>
      <c r="R779" s="17"/>
      <c r="S779" s="774"/>
    </row>
    <row r="780" spans="1:19" ht="12" customHeight="1">
      <c r="A780" s="1040" t="str">
        <f t="shared" si="335"/>
        <v>172</v>
      </c>
      <c r="B780" s="4" t="s">
        <v>2871</v>
      </c>
      <c r="C780" s="4"/>
      <c r="D780" s="1008"/>
      <c r="E780" s="1002" t="str">
        <f t="shared" si="338"/>
        <v/>
      </c>
      <c r="F780" s="1005" t="str">
        <f t="shared" si="339"/>
        <v>$</v>
      </c>
      <c r="G780" s="1" t="s">
        <v>5883</v>
      </c>
      <c r="H780" s="1">
        <v>32</v>
      </c>
      <c r="I780" s="2" t="s">
        <v>5</v>
      </c>
      <c r="J780" s="1"/>
      <c r="K780" s="3"/>
      <c r="L780" s="1"/>
      <c r="M780" s="1"/>
      <c r="N780" s="4" t="s">
        <v>16117</v>
      </c>
      <c r="O780" s="1"/>
      <c r="P780" s="1" t="s">
        <v>6</v>
      </c>
      <c r="Q780" s="16"/>
      <c r="R780" s="17"/>
      <c r="S780" s="774"/>
    </row>
    <row r="781" spans="1:19" ht="12" customHeight="1" thickBot="1">
      <c r="A781" s="916" t="str">
        <f t="shared" si="335"/>
        <v>172</v>
      </c>
      <c r="B781" s="700" t="s">
        <v>5164</v>
      </c>
      <c r="C781" s="700"/>
      <c r="D781" s="1009"/>
      <c r="E781" s="1003" t="str">
        <f t="shared" si="338"/>
        <v/>
      </c>
      <c r="F781" s="1041" t="str">
        <f t="shared" si="339"/>
        <v>$</v>
      </c>
      <c r="G781" s="906" t="s">
        <v>5165</v>
      </c>
      <c r="H781" s="906">
        <v>38</v>
      </c>
      <c r="I781" s="702" t="s">
        <v>19</v>
      </c>
      <c r="J781" s="906"/>
      <c r="K781" s="703"/>
      <c r="L781" s="906"/>
      <c r="M781" s="906"/>
      <c r="N781" s="700" t="s">
        <v>16122</v>
      </c>
      <c r="O781" s="906" t="s">
        <v>22</v>
      </c>
      <c r="P781" s="906" t="s">
        <v>6</v>
      </c>
      <c r="Q781" s="705"/>
      <c r="R781" s="903"/>
      <c r="S781" s="793"/>
    </row>
    <row r="782" spans="1:19" ht="12" customHeight="1">
      <c r="A782" s="1038" t="str">
        <f t="shared" si="335"/>
        <v>173</v>
      </c>
      <c r="B782" s="688" t="s">
        <v>2875</v>
      </c>
      <c r="C782" s="688"/>
      <c r="D782" s="1007"/>
      <c r="E782" s="1001" t="str">
        <f>IF(D782="","",D782/SUM($D$782:$D$786))</f>
        <v/>
      </c>
      <c r="F782" s="1004" t="e">
        <f>IF(J782="","$",IF(C782="当選","-",D782*100/MAX($D$782:$D$786)))</f>
        <v>#DIV/0!</v>
      </c>
      <c r="G782" s="687" t="s">
        <v>2879</v>
      </c>
      <c r="H782" s="687">
        <v>50</v>
      </c>
      <c r="I782" s="696" t="s">
        <v>5</v>
      </c>
      <c r="J782" s="689" t="s">
        <v>15273</v>
      </c>
      <c r="K782" s="747" t="s">
        <v>2880</v>
      </c>
      <c r="L782" s="687"/>
      <c r="M782" s="687"/>
      <c r="N782" s="692" t="s">
        <v>16127</v>
      </c>
      <c r="O782" s="687" t="s">
        <v>44</v>
      </c>
      <c r="P782" s="687" t="s">
        <v>25</v>
      </c>
      <c r="Q782" s="748">
        <v>2</v>
      </c>
      <c r="R782" s="749">
        <v>2</v>
      </c>
      <c r="S782" s="805" t="s">
        <v>736</v>
      </c>
    </row>
    <row r="783" spans="1:19" ht="12" customHeight="1">
      <c r="A783" s="1040" t="str">
        <f t="shared" si="335"/>
        <v>173</v>
      </c>
      <c r="B783" s="4" t="s">
        <v>2876</v>
      </c>
      <c r="C783" s="4"/>
      <c r="D783" s="1008"/>
      <c r="E783" s="1002" t="str">
        <f t="shared" ref="E783:E786" si="340">IF(D783="","",D783/SUM($D$782:$D$786))</f>
        <v/>
      </c>
      <c r="F783" s="1005" t="e">
        <f t="shared" ref="F783:F786" si="341">IF(J783="","$",IF(C783="当選","-",D783*100/MAX($D$782:$D$786)))</f>
        <v>#DIV/0!</v>
      </c>
      <c r="G783" s="1" t="s">
        <v>2883</v>
      </c>
      <c r="H783" s="1">
        <v>35</v>
      </c>
      <c r="I783" s="2" t="s">
        <v>5</v>
      </c>
      <c r="J783" s="1" t="s">
        <v>15273</v>
      </c>
      <c r="K783" s="3"/>
      <c r="L783" s="1"/>
      <c r="M783" s="1"/>
      <c r="N783" s="4" t="s">
        <v>16120</v>
      </c>
      <c r="O783" s="1" t="s">
        <v>48</v>
      </c>
      <c r="P783" s="1" t="s">
        <v>6</v>
      </c>
      <c r="Q783" s="16"/>
      <c r="R783" s="17"/>
      <c r="S783" s="774"/>
    </row>
    <row r="784" spans="1:19" ht="12" customHeight="1">
      <c r="A784" s="1040" t="str">
        <f t="shared" si="335"/>
        <v>173</v>
      </c>
      <c r="B784" s="4" t="s">
        <v>2877</v>
      </c>
      <c r="C784" s="4"/>
      <c r="D784" s="1008"/>
      <c r="E784" s="1002" t="str">
        <f t="shared" si="340"/>
        <v/>
      </c>
      <c r="F784" s="1005" t="e">
        <f t="shared" si="341"/>
        <v>#DIV/0!</v>
      </c>
      <c r="G784" s="1" t="s">
        <v>2885</v>
      </c>
      <c r="H784" s="1">
        <v>62</v>
      </c>
      <c r="I784" s="2" t="s">
        <v>5</v>
      </c>
      <c r="J784" s="1" t="s">
        <v>15273</v>
      </c>
      <c r="K784" s="3"/>
      <c r="L784" s="1"/>
      <c r="M784" s="1"/>
      <c r="N784" s="4" t="s">
        <v>16125</v>
      </c>
      <c r="O784" s="1"/>
      <c r="P784" s="1" t="s">
        <v>14</v>
      </c>
      <c r="Q784" s="16">
        <v>2</v>
      </c>
      <c r="R784" s="17">
        <v>3</v>
      </c>
      <c r="S784" s="774" t="s">
        <v>5561</v>
      </c>
    </row>
    <row r="785" spans="1:19" ht="12" customHeight="1">
      <c r="A785" s="1040" t="str">
        <f t="shared" si="335"/>
        <v>173</v>
      </c>
      <c r="B785" s="4" t="s">
        <v>2878</v>
      </c>
      <c r="C785" s="4"/>
      <c r="D785" s="1008"/>
      <c r="E785" s="1002" t="str">
        <f t="shared" si="340"/>
        <v/>
      </c>
      <c r="F785" s="1005" t="e">
        <f t="shared" si="341"/>
        <v>#DIV/0!</v>
      </c>
      <c r="G785" s="1" t="s">
        <v>2890</v>
      </c>
      <c r="H785" s="1">
        <v>41</v>
      </c>
      <c r="I785" s="2" t="s">
        <v>5</v>
      </c>
      <c r="J785" s="1" t="s">
        <v>15273</v>
      </c>
      <c r="K785" s="3"/>
      <c r="L785" s="1"/>
      <c r="M785" s="1"/>
      <c r="N785" s="4" t="s">
        <v>16116</v>
      </c>
      <c r="O785" s="1" t="s">
        <v>18494</v>
      </c>
      <c r="P785" s="1" t="s">
        <v>6</v>
      </c>
      <c r="Q785" s="16"/>
      <c r="R785" s="17"/>
      <c r="S785" s="774" t="s">
        <v>6154</v>
      </c>
    </row>
    <row r="786" spans="1:19" ht="12" customHeight="1" thickBot="1">
      <c r="A786" s="916" t="str">
        <f t="shared" si="335"/>
        <v>173</v>
      </c>
      <c r="B786" s="700" t="s">
        <v>2882</v>
      </c>
      <c r="C786" s="700"/>
      <c r="D786" s="1009"/>
      <c r="E786" s="1003" t="str">
        <f t="shared" si="340"/>
        <v/>
      </c>
      <c r="F786" s="1041" t="str">
        <f t="shared" si="341"/>
        <v>$</v>
      </c>
      <c r="G786" s="906" t="s">
        <v>5885</v>
      </c>
      <c r="H786" s="906">
        <v>64</v>
      </c>
      <c r="I786" s="702" t="s">
        <v>5</v>
      </c>
      <c r="J786" s="906"/>
      <c r="K786" s="703"/>
      <c r="L786" s="906"/>
      <c r="M786" s="906"/>
      <c r="N786" s="700" t="s">
        <v>16117</v>
      </c>
      <c r="O786" s="906"/>
      <c r="P786" s="906" t="s">
        <v>6</v>
      </c>
      <c r="Q786" s="705"/>
      <c r="R786" s="903"/>
      <c r="S786" s="793"/>
    </row>
    <row r="787" spans="1:19" ht="12" customHeight="1">
      <c r="A787" s="1038" t="str">
        <f t="shared" si="335"/>
        <v>174</v>
      </c>
      <c r="B787" s="688" t="s">
        <v>2892</v>
      </c>
      <c r="C787" s="688"/>
      <c r="D787" s="1007"/>
      <c r="E787" s="1001" t="str">
        <f>IF(D787="","",D787/SUM($D$787:$D$790))</f>
        <v/>
      </c>
      <c r="F787" s="1004" t="e">
        <f>IF(J787="","$",IF(C787="当選","-",D787*100/MAX($D$787:$D$790)))</f>
        <v>#DIV/0!</v>
      </c>
      <c r="G787" s="687" t="s">
        <v>2895</v>
      </c>
      <c r="H787" s="687">
        <v>41</v>
      </c>
      <c r="I787" s="696" t="s">
        <v>5</v>
      </c>
      <c r="J787" s="689" t="s">
        <v>15273</v>
      </c>
      <c r="K787" s="747" t="s">
        <v>2896</v>
      </c>
      <c r="L787" s="687"/>
      <c r="M787" s="687"/>
      <c r="N787" s="692" t="s">
        <v>16126</v>
      </c>
      <c r="O787" s="687" t="s">
        <v>44</v>
      </c>
      <c r="P787" s="687" t="s">
        <v>25</v>
      </c>
      <c r="Q787" s="748">
        <v>1</v>
      </c>
      <c r="R787" s="749">
        <v>1</v>
      </c>
      <c r="S787" s="805" t="s">
        <v>736</v>
      </c>
    </row>
    <row r="788" spans="1:19" ht="12" customHeight="1">
      <c r="A788" s="1040" t="str">
        <f t="shared" si="335"/>
        <v>174</v>
      </c>
      <c r="B788" s="4" t="s">
        <v>2893</v>
      </c>
      <c r="C788" s="4"/>
      <c r="D788" s="1008"/>
      <c r="E788" s="1002" t="str">
        <f t="shared" ref="E788:E790" si="342">IF(D788="","",D788/SUM($D$787:$D$790))</f>
        <v/>
      </c>
      <c r="F788" s="1005" t="e">
        <f t="shared" ref="F788:F790" si="343">IF(J788="","$",IF(C788="当選","-",D788*100/MAX($D$787:$D$790)))</f>
        <v>#DIV/0!</v>
      </c>
      <c r="G788" s="1" t="s">
        <v>2898</v>
      </c>
      <c r="H788" s="1">
        <v>54</v>
      </c>
      <c r="I788" s="2" t="s">
        <v>5</v>
      </c>
      <c r="J788" s="1" t="s">
        <v>15273</v>
      </c>
      <c r="K788" s="3"/>
      <c r="L788" s="1"/>
      <c r="M788" s="1"/>
      <c r="N788" s="4" t="s">
        <v>16120</v>
      </c>
      <c r="O788" s="1" t="s">
        <v>30</v>
      </c>
      <c r="P788" s="1" t="s">
        <v>6</v>
      </c>
      <c r="Q788" s="16"/>
      <c r="R788" s="17"/>
      <c r="S788" s="774"/>
    </row>
    <row r="789" spans="1:19" ht="12" customHeight="1">
      <c r="A789" s="1040" t="str">
        <f t="shared" si="335"/>
        <v>174</v>
      </c>
      <c r="B789" s="4" t="s">
        <v>2894</v>
      </c>
      <c r="C789" s="4"/>
      <c r="D789" s="1008"/>
      <c r="E789" s="1002" t="str">
        <f t="shared" si="342"/>
        <v/>
      </c>
      <c r="F789" s="1005" t="e">
        <f t="shared" si="343"/>
        <v>#DIV/0!</v>
      </c>
      <c r="G789" s="1" t="s">
        <v>1807</v>
      </c>
      <c r="H789" s="1">
        <v>68</v>
      </c>
      <c r="I789" s="2" t="s">
        <v>5</v>
      </c>
      <c r="J789" s="1" t="s">
        <v>15273</v>
      </c>
      <c r="K789" s="3" t="s">
        <v>1808</v>
      </c>
      <c r="L789" s="1"/>
      <c r="M789" s="1"/>
      <c r="N789" s="4" t="s">
        <v>16125</v>
      </c>
      <c r="O789" s="1"/>
      <c r="P789" s="1" t="s">
        <v>25</v>
      </c>
      <c r="Q789" s="16">
        <v>5</v>
      </c>
      <c r="R789" s="17">
        <v>5</v>
      </c>
      <c r="S789" s="774" t="s">
        <v>5561</v>
      </c>
    </row>
    <row r="790" spans="1:19" ht="12" customHeight="1" thickBot="1">
      <c r="A790" s="916" t="str">
        <f t="shared" si="335"/>
        <v>174</v>
      </c>
      <c r="B790" s="700" t="s">
        <v>5787</v>
      </c>
      <c r="C790" s="700"/>
      <c r="D790" s="1009"/>
      <c r="E790" s="1003" t="str">
        <f t="shared" si="342"/>
        <v/>
      </c>
      <c r="F790" s="1041" t="str">
        <f t="shared" si="343"/>
        <v>$</v>
      </c>
      <c r="G790" s="906" t="s">
        <v>5888</v>
      </c>
      <c r="H790" s="906">
        <v>58</v>
      </c>
      <c r="I790" s="702" t="s">
        <v>5</v>
      </c>
      <c r="J790" s="906"/>
      <c r="K790" s="703"/>
      <c r="L790" s="906"/>
      <c r="M790" s="906"/>
      <c r="N790" s="700" t="s">
        <v>16117</v>
      </c>
      <c r="O790" s="906"/>
      <c r="P790" s="906" t="s">
        <v>6</v>
      </c>
      <c r="Q790" s="705"/>
      <c r="R790" s="903"/>
      <c r="S790" s="793"/>
    </row>
    <row r="791" spans="1:19" ht="12" customHeight="1">
      <c r="A791" s="1038" t="str">
        <f t="shared" si="335"/>
        <v>175</v>
      </c>
      <c r="B791" s="688" t="s">
        <v>2901</v>
      </c>
      <c r="C791" s="688"/>
      <c r="D791" s="1007"/>
      <c r="E791" s="1001" t="str">
        <f>IF(D791="","",D791/SUM($D$791:$D$794))</f>
        <v/>
      </c>
      <c r="F791" s="1004" t="e">
        <f>IF(J791="","$",IF(C791="当選","-",D791*100/MAX($D$791:$D$794)))</f>
        <v>#DIV/0!</v>
      </c>
      <c r="G791" s="687" t="s">
        <v>2995</v>
      </c>
      <c r="H791" s="687">
        <v>47</v>
      </c>
      <c r="I791" s="696" t="s">
        <v>19</v>
      </c>
      <c r="J791" s="689" t="s">
        <v>15273</v>
      </c>
      <c r="K791" s="747" t="s">
        <v>5062</v>
      </c>
      <c r="L791" s="687"/>
      <c r="M791" s="687"/>
      <c r="N791" s="692" t="s">
        <v>16127</v>
      </c>
      <c r="O791" s="687" t="s">
        <v>44</v>
      </c>
      <c r="P791" s="687" t="s">
        <v>25</v>
      </c>
      <c r="Q791" s="748">
        <v>1</v>
      </c>
      <c r="R791" s="749">
        <v>1</v>
      </c>
      <c r="S791" s="805"/>
    </row>
    <row r="792" spans="1:19" ht="12" customHeight="1">
      <c r="A792" s="1040" t="str">
        <f t="shared" si="335"/>
        <v>175</v>
      </c>
      <c r="B792" s="4" t="s">
        <v>2902</v>
      </c>
      <c r="C792" s="4"/>
      <c r="D792" s="1008"/>
      <c r="E792" s="1002" t="str">
        <f t="shared" ref="E792:E794" si="344">IF(D792="","",D792/SUM($D$791:$D$794))</f>
        <v/>
      </c>
      <c r="F792" s="1005" t="e">
        <f t="shared" ref="F792:F794" si="345">IF(J792="","$",IF(C792="当選","-",D792*100/MAX($D$791:$D$794)))</f>
        <v>#DIV/0!</v>
      </c>
      <c r="G792" s="1" t="s">
        <v>2905</v>
      </c>
      <c r="H792" s="1">
        <v>28</v>
      </c>
      <c r="I792" s="2" t="s">
        <v>5</v>
      </c>
      <c r="J792" s="1" t="s">
        <v>15273</v>
      </c>
      <c r="K792" s="3"/>
      <c r="L792" s="1"/>
      <c r="M792" s="1"/>
      <c r="N792" s="8" t="s">
        <v>16120</v>
      </c>
      <c r="O792" s="1" t="s">
        <v>30</v>
      </c>
      <c r="P792" s="1" t="s">
        <v>6</v>
      </c>
      <c r="Q792" s="16"/>
      <c r="R792" s="17"/>
      <c r="S792" s="774"/>
    </row>
    <row r="793" spans="1:19" ht="12" customHeight="1">
      <c r="A793" s="1040" t="str">
        <f t="shared" si="335"/>
        <v>175</v>
      </c>
      <c r="B793" s="4" t="s">
        <v>2903</v>
      </c>
      <c r="C793" s="4"/>
      <c r="D793" s="1008"/>
      <c r="E793" s="1002" t="str">
        <f t="shared" si="344"/>
        <v/>
      </c>
      <c r="F793" s="1005" t="e">
        <f t="shared" si="345"/>
        <v>#DIV/0!</v>
      </c>
      <c r="G793" s="1" t="s">
        <v>2908</v>
      </c>
      <c r="H793" s="1">
        <v>69</v>
      </c>
      <c r="I793" s="2" t="s">
        <v>5</v>
      </c>
      <c r="J793" s="1" t="s">
        <v>15273</v>
      </c>
      <c r="K793" s="3" t="s">
        <v>2909</v>
      </c>
      <c r="L793" s="1"/>
      <c r="M793" s="1"/>
      <c r="N793" s="4" t="s">
        <v>16125</v>
      </c>
      <c r="O793" s="1"/>
      <c r="P793" s="1" t="s">
        <v>25</v>
      </c>
      <c r="Q793" s="16">
        <v>3</v>
      </c>
      <c r="R793" s="17">
        <v>3</v>
      </c>
      <c r="S793" s="774" t="s">
        <v>5561</v>
      </c>
    </row>
    <row r="794" spans="1:19" ht="12" customHeight="1" thickBot="1">
      <c r="A794" s="916" t="str">
        <f t="shared" si="335"/>
        <v>175</v>
      </c>
      <c r="B794" s="700" t="s">
        <v>2904</v>
      </c>
      <c r="C794" s="700"/>
      <c r="D794" s="1009"/>
      <c r="E794" s="1003" t="str">
        <f t="shared" si="344"/>
        <v/>
      </c>
      <c r="F794" s="1041" t="str">
        <f t="shared" si="345"/>
        <v>$</v>
      </c>
      <c r="G794" s="906" t="s">
        <v>4025</v>
      </c>
      <c r="H794" s="906">
        <v>54</v>
      </c>
      <c r="I794" s="702" t="s">
        <v>5</v>
      </c>
      <c r="J794" s="906"/>
      <c r="K794" s="703"/>
      <c r="L794" s="906"/>
      <c r="M794" s="906"/>
      <c r="N794" s="700" t="s">
        <v>16117</v>
      </c>
      <c r="O794" s="906"/>
      <c r="P794" s="906" t="s">
        <v>6</v>
      </c>
      <c r="Q794" s="705"/>
      <c r="R794" s="903"/>
      <c r="S794" s="793"/>
    </row>
    <row r="795" spans="1:19" ht="12" customHeight="1">
      <c r="A795" s="1038" t="str">
        <f t="shared" si="335"/>
        <v>176</v>
      </c>
      <c r="B795" s="688" t="s">
        <v>2913</v>
      </c>
      <c r="C795" s="688"/>
      <c r="D795" s="1007"/>
      <c r="E795" s="1001" t="str">
        <f>IF(D795="","",D795/SUM($D$795:$D$800))</f>
        <v/>
      </c>
      <c r="F795" s="1004" t="e">
        <f>IF(J795="","$",IF(C795="当選","-",D795*100/MAX($D$795:$D$800)))</f>
        <v>#DIV/0!</v>
      </c>
      <c r="G795" s="687" t="s">
        <v>2917</v>
      </c>
      <c r="H795" s="687">
        <v>46</v>
      </c>
      <c r="I795" s="696" t="s">
        <v>5</v>
      </c>
      <c r="J795" s="689" t="s">
        <v>15273</v>
      </c>
      <c r="K795" s="747" t="s">
        <v>2918</v>
      </c>
      <c r="L795" s="687"/>
      <c r="M795" s="687"/>
      <c r="N795" s="692" t="s">
        <v>16127</v>
      </c>
      <c r="O795" s="687" t="s">
        <v>44</v>
      </c>
      <c r="P795" s="687" t="s">
        <v>25</v>
      </c>
      <c r="Q795" s="748">
        <v>1</v>
      </c>
      <c r="R795" s="749">
        <v>1</v>
      </c>
      <c r="S795" s="805" t="s">
        <v>736</v>
      </c>
    </row>
    <row r="796" spans="1:19" ht="12" customHeight="1">
      <c r="A796" s="1040" t="str">
        <f t="shared" si="335"/>
        <v>176</v>
      </c>
      <c r="B796" s="4" t="s">
        <v>2914</v>
      </c>
      <c r="C796" s="4"/>
      <c r="D796" s="1008"/>
      <c r="E796" s="1002" t="str">
        <f t="shared" ref="E796:E800" si="346">IF(D796="","",D796/SUM($D$795:$D$800))</f>
        <v/>
      </c>
      <c r="F796" s="1005" t="e">
        <f t="shared" ref="F796:F800" si="347">IF(J796="","$",IF(C796="当選","-",D796*100/MAX($D$795:$D$800)))</f>
        <v>#DIV/0!</v>
      </c>
      <c r="G796" s="1" t="s">
        <v>2920</v>
      </c>
      <c r="H796" s="1">
        <v>47</v>
      </c>
      <c r="I796" s="2" t="s">
        <v>5</v>
      </c>
      <c r="J796" s="1" t="s">
        <v>15273</v>
      </c>
      <c r="K796" s="3"/>
      <c r="L796" s="1"/>
      <c r="M796" s="1"/>
      <c r="N796" s="4" t="s">
        <v>16120</v>
      </c>
      <c r="O796" s="1" t="s">
        <v>48</v>
      </c>
      <c r="P796" s="1" t="s">
        <v>6</v>
      </c>
      <c r="Q796" s="16"/>
      <c r="R796" s="17"/>
      <c r="S796" s="774"/>
    </row>
    <row r="797" spans="1:19" ht="12" customHeight="1">
      <c r="A797" s="1040" t="str">
        <f t="shared" si="335"/>
        <v>176</v>
      </c>
      <c r="B797" s="4" t="s">
        <v>2915</v>
      </c>
      <c r="C797" s="4"/>
      <c r="D797" s="1008"/>
      <c r="E797" s="1002" t="str">
        <f t="shared" si="346"/>
        <v/>
      </c>
      <c r="F797" s="1005" t="e">
        <f t="shared" si="347"/>
        <v>#DIV/0!</v>
      </c>
      <c r="G797" s="1" t="s">
        <v>5414</v>
      </c>
      <c r="H797" s="1">
        <v>47</v>
      </c>
      <c r="I797" s="2" t="s">
        <v>5</v>
      </c>
      <c r="J797" s="1" t="s">
        <v>15273</v>
      </c>
      <c r="K797" s="3"/>
      <c r="L797" s="1"/>
      <c r="M797" s="1"/>
      <c r="N797" s="4" t="s">
        <v>16116</v>
      </c>
      <c r="O797" s="1" t="s">
        <v>4422</v>
      </c>
      <c r="P797" s="1" t="s">
        <v>6</v>
      </c>
      <c r="Q797" s="16"/>
      <c r="R797" s="17"/>
      <c r="S797" s="774" t="s">
        <v>6154</v>
      </c>
    </row>
    <row r="798" spans="1:19" ht="12" customHeight="1">
      <c r="A798" s="1040" t="str">
        <f t="shared" si="335"/>
        <v>176</v>
      </c>
      <c r="B798" s="4" t="s">
        <v>2916</v>
      </c>
      <c r="C798" s="4"/>
      <c r="D798" s="1008"/>
      <c r="E798" s="1002" t="str">
        <f t="shared" si="346"/>
        <v/>
      </c>
      <c r="F798" s="1005" t="str">
        <f t="shared" si="347"/>
        <v>$</v>
      </c>
      <c r="G798" s="1" t="s">
        <v>2923</v>
      </c>
      <c r="H798" s="1">
        <v>36</v>
      </c>
      <c r="I798" s="2" t="s">
        <v>5</v>
      </c>
      <c r="J798" s="1"/>
      <c r="K798" s="3"/>
      <c r="L798" s="1"/>
      <c r="M798" s="1"/>
      <c r="N798" s="4" t="s">
        <v>16117</v>
      </c>
      <c r="O798" s="1"/>
      <c r="P798" s="1" t="s">
        <v>6</v>
      </c>
      <c r="Q798" s="16"/>
      <c r="R798" s="17"/>
      <c r="S798" s="774"/>
    </row>
    <row r="799" spans="1:19" ht="12" customHeight="1">
      <c r="A799" s="1040" t="str">
        <f t="shared" si="335"/>
        <v>176</v>
      </c>
      <c r="B799" s="4" t="s">
        <v>5413</v>
      </c>
      <c r="C799" s="4"/>
      <c r="D799" s="1008"/>
      <c r="E799" s="1002" t="str">
        <f t="shared" si="346"/>
        <v/>
      </c>
      <c r="F799" s="1005" t="e">
        <f t="shared" si="347"/>
        <v>#DIV/0!</v>
      </c>
      <c r="G799" s="1" t="s">
        <v>2927</v>
      </c>
      <c r="H799" s="1">
        <v>63</v>
      </c>
      <c r="I799" s="2" t="s">
        <v>19</v>
      </c>
      <c r="J799" s="1" t="s">
        <v>15273</v>
      </c>
      <c r="K799" s="3"/>
      <c r="L799" s="1"/>
      <c r="M799" s="1"/>
      <c r="N799" s="4" t="s">
        <v>16121</v>
      </c>
      <c r="O799" s="1"/>
      <c r="P799" s="1" t="s">
        <v>6</v>
      </c>
      <c r="Q799" s="16"/>
      <c r="R799" s="17"/>
      <c r="S799" s="774"/>
    </row>
    <row r="800" spans="1:19" ht="12" customHeight="1" thickBot="1">
      <c r="A800" s="916" t="str">
        <f t="shared" si="335"/>
        <v>176</v>
      </c>
      <c r="B800" s="700" t="s">
        <v>5812</v>
      </c>
      <c r="C800" s="700"/>
      <c r="D800" s="1009"/>
      <c r="E800" s="1003" t="str">
        <f t="shared" si="346"/>
        <v/>
      </c>
      <c r="F800" s="1041" t="str">
        <f t="shared" si="347"/>
        <v>$</v>
      </c>
      <c r="G800" s="906" t="s">
        <v>5813</v>
      </c>
      <c r="H800" s="906">
        <v>61</v>
      </c>
      <c r="I800" s="702" t="s">
        <v>5</v>
      </c>
      <c r="J800" s="906"/>
      <c r="K800" s="703"/>
      <c r="L800" s="906"/>
      <c r="M800" s="906"/>
      <c r="N800" s="700" t="s">
        <v>16129</v>
      </c>
      <c r="O800" s="906"/>
      <c r="P800" s="906" t="s">
        <v>14</v>
      </c>
      <c r="Q800" s="705">
        <v>1</v>
      </c>
      <c r="R800" s="903">
        <v>1</v>
      </c>
      <c r="S800" s="793"/>
    </row>
    <row r="801" spans="1:19" ht="12" customHeight="1">
      <c r="A801" s="1038" t="str">
        <f t="shared" si="335"/>
        <v>177</v>
      </c>
      <c r="B801" s="688" t="s">
        <v>2929</v>
      </c>
      <c r="C801" s="688"/>
      <c r="D801" s="1007"/>
      <c r="E801" s="1001" t="str">
        <f>IF(D801="","",D801/SUM($D$801:$D$804))</f>
        <v/>
      </c>
      <c r="F801" s="1004" t="e">
        <f>IF(J801="","$",IF(C801="当選","-",D801*100/MAX($D$801:$D$804)))</f>
        <v>#DIV/0!</v>
      </c>
      <c r="G801" s="687" t="s">
        <v>5752</v>
      </c>
      <c r="H801" s="687">
        <v>44</v>
      </c>
      <c r="I801" s="696" t="s">
        <v>19</v>
      </c>
      <c r="J801" s="689" t="s">
        <v>15273</v>
      </c>
      <c r="K801" s="747"/>
      <c r="L801" s="687"/>
      <c r="M801" s="687"/>
      <c r="N801" s="692" t="s">
        <v>16126</v>
      </c>
      <c r="O801" s="687" t="s">
        <v>44</v>
      </c>
      <c r="P801" s="687" t="s">
        <v>6</v>
      </c>
      <c r="Q801" s="748"/>
      <c r="R801" s="749"/>
      <c r="S801" s="805"/>
    </row>
    <row r="802" spans="1:19" ht="12" customHeight="1">
      <c r="A802" s="1040" t="str">
        <f t="shared" si="335"/>
        <v>177</v>
      </c>
      <c r="B802" s="4" t="s">
        <v>2930</v>
      </c>
      <c r="C802" s="4"/>
      <c r="D802" s="1008"/>
      <c r="E802" s="1002" t="str">
        <f t="shared" ref="E802:E804" si="348">IF(D802="","",D802/SUM($D$801:$D$804))</f>
        <v/>
      </c>
      <c r="F802" s="1005" t="e">
        <f t="shared" ref="F802:F804" si="349">IF(J802="","$",IF(C802="当選","-",D802*100/MAX($D$801:$D$804)))</f>
        <v>#DIV/0!</v>
      </c>
      <c r="G802" s="1" t="s">
        <v>2934</v>
      </c>
      <c r="H802" s="1">
        <v>65</v>
      </c>
      <c r="I802" s="2" t="s">
        <v>5</v>
      </c>
      <c r="J802" s="1" t="s">
        <v>15273</v>
      </c>
      <c r="K802" s="3" t="s">
        <v>2935</v>
      </c>
      <c r="L802" s="1"/>
      <c r="M802" s="1"/>
      <c r="N802" s="4" t="s">
        <v>16120</v>
      </c>
      <c r="O802" s="1" t="s">
        <v>30</v>
      </c>
      <c r="P802" s="1" t="s">
        <v>25</v>
      </c>
      <c r="Q802" s="16">
        <v>9</v>
      </c>
      <c r="R802" s="17">
        <v>9</v>
      </c>
      <c r="S802" s="774" t="s">
        <v>5457</v>
      </c>
    </row>
    <row r="803" spans="1:19" ht="12" customHeight="1">
      <c r="A803" s="1040" t="str">
        <f t="shared" si="335"/>
        <v>177</v>
      </c>
      <c r="B803" s="4" t="s">
        <v>2931</v>
      </c>
      <c r="C803" s="4"/>
      <c r="D803" s="1008"/>
      <c r="E803" s="1002" t="str">
        <f t="shared" si="348"/>
        <v/>
      </c>
      <c r="F803" s="1005" t="e">
        <f t="shared" si="349"/>
        <v>#DIV/0!</v>
      </c>
      <c r="G803" s="1" t="s">
        <v>5214</v>
      </c>
      <c r="H803" s="1">
        <v>58</v>
      </c>
      <c r="I803" s="2" t="s">
        <v>5</v>
      </c>
      <c r="J803" s="1" t="s">
        <v>15273</v>
      </c>
      <c r="K803" s="3"/>
      <c r="L803" s="1"/>
      <c r="M803" s="1"/>
      <c r="N803" s="4" t="s">
        <v>16116</v>
      </c>
      <c r="O803" s="1" t="s">
        <v>4422</v>
      </c>
      <c r="P803" s="1" t="s">
        <v>6</v>
      </c>
      <c r="Q803" s="16"/>
      <c r="R803" s="17"/>
      <c r="S803" s="774"/>
    </row>
    <row r="804" spans="1:19" ht="12" customHeight="1" thickBot="1">
      <c r="A804" s="916" t="str">
        <f t="shared" si="335"/>
        <v>177</v>
      </c>
      <c r="B804" s="700" t="s">
        <v>2932</v>
      </c>
      <c r="C804" s="700"/>
      <c r="D804" s="1009"/>
      <c r="E804" s="1003" t="str">
        <f t="shared" si="348"/>
        <v/>
      </c>
      <c r="F804" s="1041" t="str">
        <f t="shared" si="349"/>
        <v>$</v>
      </c>
      <c r="G804" s="906" t="s">
        <v>2939</v>
      </c>
      <c r="H804" s="906">
        <v>60</v>
      </c>
      <c r="I804" s="702" t="s">
        <v>19</v>
      </c>
      <c r="J804" s="906"/>
      <c r="K804" s="703"/>
      <c r="L804" s="906"/>
      <c r="M804" s="906"/>
      <c r="N804" s="700" t="s">
        <v>16117</v>
      </c>
      <c r="O804" s="906"/>
      <c r="P804" s="906" t="s">
        <v>6</v>
      </c>
      <c r="Q804" s="705"/>
      <c r="R804" s="903"/>
      <c r="S804" s="793"/>
    </row>
    <row r="805" spans="1:19" ht="12" customHeight="1">
      <c r="A805" s="1038" t="str">
        <f t="shared" si="335"/>
        <v>178</v>
      </c>
      <c r="B805" s="688" t="s">
        <v>2943</v>
      </c>
      <c r="C805" s="688"/>
      <c r="D805" s="1007"/>
      <c r="E805" s="1001" t="str">
        <f>IF(D805="","",D805/SUM($D$805:$D$809))</f>
        <v/>
      </c>
      <c r="F805" s="1004" t="e">
        <f>IF(J805="","$",IF(C805="当選","-",D805*100/MAX($D$805:$D$809)))</f>
        <v>#DIV/0!</v>
      </c>
      <c r="G805" s="687" t="s">
        <v>2946</v>
      </c>
      <c r="H805" s="687">
        <v>62</v>
      </c>
      <c r="I805" s="696" t="s">
        <v>5</v>
      </c>
      <c r="J805" s="689" t="s">
        <v>15273</v>
      </c>
      <c r="K805" s="747" t="s">
        <v>2947</v>
      </c>
      <c r="L805" s="687"/>
      <c r="M805" s="687"/>
      <c r="N805" s="692" t="s">
        <v>16127</v>
      </c>
      <c r="O805" s="687" t="s">
        <v>604</v>
      </c>
      <c r="P805" s="687" t="s">
        <v>25</v>
      </c>
      <c r="Q805" s="748">
        <v>5</v>
      </c>
      <c r="R805" s="749">
        <v>5</v>
      </c>
      <c r="S805" s="805" t="s">
        <v>736</v>
      </c>
    </row>
    <row r="806" spans="1:19" ht="12" customHeight="1">
      <c r="A806" s="1040" t="str">
        <f t="shared" si="335"/>
        <v>178</v>
      </c>
      <c r="B806" s="4" t="s">
        <v>2944</v>
      </c>
      <c r="C806" s="4"/>
      <c r="D806" s="1008"/>
      <c r="E806" s="1002" t="str">
        <f t="shared" ref="E806:E809" si="350">IF(D806="","",D806/SUM($D$805:$D$809))</f>
        <v/>
      </c>
      <c r="F806" s="1005" t="e">
        <f t="shared" ref="F806:F809" si="351">IF(J806="","$",IF(C806="当選","-",D806*100/MAX($D$805:$D$809)))</f>
        <v>#DIV/0!</v>
      </c>
      <c r="G806" s="1" t="s">
        <v>2950</v>
      </c>
      <c r="H806" s="1">
        <v>42</v>
      </c>
      <c r="I806" s="2" t="s">
        <v>5</v>
      </c>
      <c r="J806" s="1" t="s">
        <v>15273</v>
      </c>
      <c r="K806" s="3"/>
      <c r="L806" s="1"/>
      <c r="M806" s="1"/>
      <c r="N806" s="8" t="s">
        <v>16120</v>
      </c>
      <c r="O806" s="1" t="s">
        <v>30</v>
      </c>
      <c r="P806" s="1" t="s">
        <v>6</v>
      </c>
      <c r="Q806" s="16"/>
      <c r="R806" s="17"/>
      <c r="S806" s="774"/>
    </row>
    <row r="807" spans="1:19" ht="12" customHeight="1">
      <c r="A807" s="1040" t="str">
        <f t="shared" si="335"/>
        <v>178</v>
      </c>
      <c r="B807" s="4" t="s">
        <v>2945</v>
      </c>
      <c r="C807" s="4"/>
      <c r="D807" s="1008"/>
      <c r="E807" s="1002" t="str">
        <f t="shared" si="350"/>
        <v/>
      </c>
      <c r="F807" s="1005" t="e">
        <f t="shared" si="351"/>
        <v>#DIV/0!</v>
      </c>
      <c r="G807" s="1" t="s">
        <v>5416</v>
      </c>
      <c r="H807" s="1">
        <v>45</v>
      </c>
      <c r="I807" s="2" t="s">
        <v>5</v>
      </c>
      <c r="J807" s="1" t="s">
        <v>15273</v>
      </c>
      <c r="K807" s="3"/>
      <c r="L807" s="1"/>
      <c r="M807" s="1"/>
      <c r="N807" s="4" t="s">
        <v>16116</v>
      </c>
      <c r="O807" s="1" t="s">
        <v>18494</v>
      </c>
      <c r="P807" s="1" t="s">
        <v>6</v>
      </c>
      <c r="Q807" s="16"/>
      <c r="R807" s="17"/>
      <c r="S807" s="774" t="s">
        <v>6154</v>
      </c>
    </row>
    <row r="808" spans="1:19" ht="12" customHeight="1">
      <c r="A808" s="1040" t="str">
        <f t="shared" si="335"/>
        <v>178</v>
      </c>
      <c r="B808" s="4" t="s">
        <v>5415</v>
      </c>
      <c r="C808" s="4"/>
      <c r="D808" s="1008"/>
      <c r="E808" s="1002" t="str">
        <f t="shared" si="350"/>
        <v/>
      </c>
      <c r="F808" s="1005" t="str">
        <f t="shared" si="351"/>
        <v>$</v>
      </c>
      <c r="G808" s="1" t="s">
        <v>2952</v>
      </c>
      <c r="H808" s="1">
        <v>38</v>
      </c>
      <c r="I808" s="2" t="s">
        <v>5</v>
      </c>
      <c r="J808" s="1"/>
      <c r="K808" s="3"/>
      <c r="L808" s="1"/>
      <c r="M808" s="1"/>
      <c r="N808" s="4" t="s">
        <v>16117</v>
      </c>
      <c r="O808" s="1"/>
      <c r="P808" s="1" t="s">
        <v>6</v>
      </c>
      <c r="Q808" s="16"/>
      <c r="R808" s="17"/>
      <c r="S808" s="774"/>
    </row>
    <row r="809" spans="1:19" ht="12" customHeight="1" thickBot="1">
      <c r="A809" s="916" t="str">
        <f t="shared" si="335"/>
        <v>178</v>
      </c>
      <c r="B809" s="700" t="s">
        <v>16023</v>
      </c>
      <c r="C809" s="700"/>
      <c r="D809" s="1009"/>
      <c r="E809" s="1003" t="str">
        <f t="shared" si="350"/>
        <v/>
      </c>
      <c r="F809" s="1041" t="str">
        <f t="shared" si="351"/>
        <v>$</v>
      </c>
      <c r="G809" s="906" t="s">
        <v>16024</v>
      </c>
      <c r="H809" s="906">
        <v>65</v>
      </c>
      <c r="I809" s="702" t="s">
        <v>5</v>
      </c>
      <c r="J809" s="906"/>
      <c r="K809" s="703"/>
      <c r="L809" s="906"/>
      <c r="M809" s="906"/>
      <c r="N809" s="700" t="s">
        <v>16129</v>
      </c>
      <c r="O809" s="906"/>
      <c r="P809" s="906" t="s">
        <v>6</v>
      </c>
      <c r="Q809" s="705"/>
      <c r="R809" s="903"/>
      <c r="S809" s="793"/>
    </row>
    <row r="810" spans="1:19" ht="12" customHeight="1">
      <c r="A810" s="1038" t="str">
        <f t="shared" si="335"/>
        <v>179</v>
      </c>
      <c r="B810" s="688" t="s">
        <v>2956</v>
      </c>
      <c r="C810" s="688"/>
      <c r="D810" s="1007"/>
      <c r="E810" s="1001" t="str">
        <f>IF(D810="","",D810/SUM($D$810:$D$812))</f>
        <v/>
      </c>
      <c r="F810" s="1004" t="e">
        <f>IF(J810="","$",IF(C810="当選","-",D810*100/MAX($D$810:$D$812)))</f>
        <v>#DIV/0!</v>
      </c>
      <c r="G810" s="687" t="s">
        <v>2959</v>
      </c>
      <c r="H810" s="687">
        <v>59</v>
      </c>
      <c r="I810" s="696" t="s">
        <v>5</v>
      </c>
      <c r="J810" s="689" t="s">
        <v>15273</v>
      </c>
      <c r="K810" s="747" t="s">
        <v>2960</v>
      </c>
      <c r="L810" s="687"/>
      <c r="M810" s="687"/>
      <c r="N810" s="692" t="s">
        <v>16127</v>
      </c>
      <c r="O810" s="687" t="s">
        <v>604</v>
      </c>
      <c r="P810" s="687" t="s">
        <v>25</v>
      </c>
      <c r="Q810" s="748">
        <v>7</v>
      </c>
      <c r="R810" s="749">
        <v>7</v>
      </c>
      <c r="S810" s="805"/>
    </row>
    <row r="811" spans="1:19" ht="12" customHeight="1">
      <c r="A811" s="1040" t="str">
        <f t="shared" si="335"/>
        <v>179</v>
      </c>
      <c r="B811" s="4" t="s">
        <v>2957</v>
      </c>
      <c r="C811" s="4"/>
      <c r="D811" s="1008"/>
      <c r="E811" s="1002" t="str">
        <f t="shared" ref="E811:E812" si="352">IF(D811="","",D811/SUM($D$810:$D$812))</f>
        <v/>
      </c>
      <c r="F811" s="1005" t="e">
        <f t="shared" ref="F811:F812" si="353">IF(J811="","$",IF(C811="当選","-",D811*100/MAX($D$810:$D$812)))</f>
        <v>#DIV/0!</v>
      </c>
      <c r="G811" s="1" t="s">
        <v>2965</v>
      </c>
      <c r="H811" s="1">
        <v>56</v>
      </c>
      <c r="I811" s="2" t="s">
        <v>5</v>
      </c>
      <c r="J811" s="1" t="s">
        <v>15273</v>
      </c>
      <c r="K811" s="3"/>
      <c r="L811" s="1"/>
      <c r="M811" s="1"/>
      <c r="N811" s="4" t="s">
        <v>16120</v>
      </c>
      <c r="O811" s="1" t="s">
        <v>30</v>
      </c>
      <c r="P811" s="1" t="s">
        <v>6</v>
      </c>
      <c r="Q811" s="16"/>
      <c r="R811" s="17"/>
      <c r="S811" s="774"/>
    </row>
    <row r="812" spans="1:19" ht="12" customHeight="1" thickBot="1">
      <c r="A812" s="916" t="str">
        <f t="shared" si="335"/>
        <v>179</v>
      </c>
      <c r="B812" s="700" t="s">
        <v>2958</v>
      </c>
      <c r="C812" s="700"/>
      <c r="D812" s="1009"/>
      <c r="E812" s="1003" t="str">
        <f t="shared" si="352"/>
        <v/>
      </c>
      <c r="F812" s="1041" t="str">
        <f t="shared" si="353"/>
        <v>$</v>
      </c>
      <c r="G812" s="906" t="s">
        <v>5068</v>
      </c>
      <c r="H812" s="906">
        <v>30</v>
      </c>
      <c r="I812" s="702" t="s">
        <v>5</v>
      </c>
      <c r="J812" s="906"/>
      <c r="K812" s="703"/>
      <c r="L812" s="906"/>
      <c r="M812" s="906"/>
      <c r="N812" s="700" t="s">
        <v>16117</v>
      </c>
      <c r="O812" s="906"/>
      <c r="P812" s="906" t="s">
        <v>6</v>
      </c>
      <c r="Q812" s="705"/>
      <c r="R812" s="903"/>
      <c r="S812" s="793"/>
    </row>
    <row r="813" spans="1:19" ht="12" customHeight="1">
      <c r="A813" s="1038" t="str">
        <f t="shared" si="335"/>
        <v>180</v>
      </c>
      <c r="B813" s="688" t="s">
        <v>2967</v>
      </c>
      <c r="C813" s="688"/>
      <c r="D813" s="1007"/>
      <c r="E813" s="1001" t="str">
        <f>IF(D813="","",D813/SUM($D$813:$D$815))</f>
        <v/>
      </c>
      <c r="F813" s="1004" t="e">
        <f>IF(J813="","$",IF(C813="当選","-",D813*100/MAX($D$813:$D$815)))</f>
        <v>#DIV/0!</v>
      </c>
      <c r="G813" s="687" t="s">
        <v>2970</v>
      </c>
      <c r="H813" s="687">
        <v>63</v>
      </c>
      <c r="I813" s="696" t="s">
        <v>5</v>
      </c>
      <c r="J813" s="689" t="s">
        <v>15273</v>
      </c>
      <c r="K813" s="747" t="s">
        <v>2971</v>
      </c>
      <c r="L813" s="687"/>
      <c r="M813" s="687"/>
      <c r="N813" s="692" t="s">
        <v>16126</v>
      </c>
      <c r="O813" s="687" t="s">
        <v>44</v>
      </c>
      <c r="P813" s="687" t="s">
        <v>25</v>
      </c>
      <c r="Q813" s="748">
        <v>2</v>
      </c>
      <c r="R813" s="749">
        <v>2</v>
      </c>
      <c r="S813" s="805" t="s">
        <v>736</v>
      </c>
    </row>
    <row r="814" spans="1:19" ht="12" customHeight="1">
      <c r="A814" s="1040" t="str">
        <f t="shared" si="335"/>
        <v>180</v>
      </c>
      <c r="B814" s="4" t="s">
        <v>2968</v>
      </c>
      <c r="C814" s="4"/>
      <c r="D814" s="1008"/>
      <c r="E814" s="1002" t="str">
        <f t="shared" ref="E814:E815" si="354">IF(D814="","",D814/SUM($D$813:$D$815))</f>
        <v/>
      </c>
      <c r="F814" s="1005" t="e">
        <f t="shared" ref="F814:F815" si="355">IF(J814="","$",IF(C814="当選","-",D814*100/MAX($D$813:$D$815)))</f>
        <v>#DIV/0!</v>
      </c>
      <c r="G814" s="1" t="s">
        <v>2975</v>
      </c>
      <c r="H814" s="1">
        <v>48</v>
      </c>
      <c r="I814" s="2" t="s">
        <v>5</v>
      </c>
      <c r="J814" s="1" t="s">
        <v>15273</v>
      </c>
      <c r="K814" s="3" t="s">
        <v>2974</v>
      </c>
      <c r="L814" s="1"/>
      <c r="M814" s="1"/>
      <c r="N814" s="4" t="s">
        <v>16120</v>
      </c>
      <c r="O814" s="1" t="s">
        <v>13</v>
      </c>
      <c r="P814" s="1" t="s">
        <v>25</v>
      </c>
      <c r="Q814" s="16">
        <v>5</v>
      </c>
      <c r="R814" s="17">
        <v>5</v>
      </c>
      <c r="S814" s="774" t="s">
        <v>5457</v>
      </c>
    </row>
    <row r="815" spans="1:19" ht="12" customHeight="1" thickBot="1">
      <c r="A815" s="916" t="str">
        <f t="shared" si="335"/>
        <v>180</v>
      </c>
      <c r="B815" s="700" t="s">
        <v>2969</v>
      </c>
      <c r="C815" s="700"/>
      <c r="D815" s="1009"/>
      <c r="E815" s="1003" t="str">
        <f t="shared" si="354"/>
        <v/>
      </c>
      <c r="F815" s="1041" t="str">
        <f t="shared" si="355"/>
        <v>$</v>
      </c>
      <c r="G815" s="906" t="s">
        <v>2979</v>
      </c>
      <c r="H815" s="906">
        <v>45</v>
      </c>
      <c r="I815" s="702" t="s">
        <v>5</v>
      </c>
      <c r="J815" s="906"/>
      <c r="K815" s="703"/>
      <c r="L815" s="906"/>
      <c r="M815" s="906"/>
      <c r="N815" s="700" t="s">
        <v>16117</v>
      </c>
      <c r="O815" s="906"/>
      <c r="P815" s="906" t="s">
        <v>6</v>
      </c>
      <c r="Q815" s="705"/>
      <c r="R815" s="903"/>
      <c r="S815" s="793"/>
    </row>
    <row r="816" spans="1:19" ht="12" customHeight="1">
      <c r="A816" s="1038" t="str">
        <f t="shared" si="335"/>
        <v>181</v>
      </c>
      <c r="B816" s="688" t="s">
        <v>2982</v>
      </c>
      <c r="C816" s="688"/>
      <c r="D816" s="1007"/>
      <c r="E816" s="1001" t="str">
        <f>IF(D816="","",D816/SUM($D$816:$D$818))</f>
        <v/>
      </c>
      <c r="F816" s="1004" t="e">
        <f>IF(J816="","$",IF(C816="当選","-",D816*100/MAX($D$816:$D$818)))</f>
        <v>#DIV/0!</v>
      </c>
      <c r="G816" s="687" t="s">
        <v>2985</v>
      </c>
      <c r="H816" s="687">
        <v>36</v>
      </c>
      <c r="I816" s="696" t="s">
        <v>5</v>
      </c>
      <c r="J816" s="689" t="s">
        <v>15273</v>
      </c>
      <c r="K816" s="747" t="s">
        <v>2986</v>
      </c>
      <c r="L816" s="687"/>
      <c r="M816" s="687"/>
      <c r="N816" s="692" t="s">
        <v>16127</v>
      </c>
      <c r="O816" s="687" t="s">
        <v>44</v>
      </c>
      <c r="P816" s="687" t="s">
        <v>25</v>
      </c>
      <c r="Q816" s="748">
        <v>1</v>
      </c>
      <c r="R816" s="749">
        <v>1</v>
      </c>
      <c r="S816" s="805" t="s">
        <v>736</v>
      </c>
    </row>
    <row r="817" spans="1:19" ht="12" customHeight="1">
      <c r="A817" s="1040" t="str">
        <f t="shared" si="335"/>
        <v>181</v>
      </c>
      <c r="B817" s="4" t="s">
        <v>2983</v>
      </c>
      <c r="C817" s="4"/>
      <c r="D817" s="1008"/>
      <c r="E817" s="1002" t="str">
        <f t="shared" ref="E817:E818" si="356">IF(D817="","",D817/SUM($D$816:$D$818))</f>
        <v/>
      </c>
      <c r="F817" s="1005" t="str">
        <f t="shared" ref="F817:F818" si="357">IF(J817="","$",IF(C817="当選","-",D817*100/MAX($D$816:$D$818)))</f>
        <v>$</v>
      </c>
      <c r="G817" s="1" t="s">
        <v>2988</v>
      </c>
      <c r="H817" s="1">
        <v>62</v>
      </c>
      <c r="I817" s="2" t="s">
        <v>5</v>
      </c>
      <c r="J817" s="1"/>
      <c r="K817" s="3" t="s">
        <v>2989</v>
      </c>
      <c r="L817" s="1"/>
      <c r="M817" s="1"/>
      <c r="N817" s="8" t="s">
        <v>16120</v>
      </c>
      <c r="O817" s="1" t="s">
        <v>476</v>
      </c>
      <c r="P817" s="1" t="s">
        <v>25</v>
      </c>
      <c r="Q817" s="16">
        <v>3</v>
      </c>
      <c r="R817" s="17">
        <v>3</v>
      </c>
      <c r="S817" s="774" t="s">
        <v>5457</v>
      </c>
    </row>
    <row r="818" spans="1:19" ht="12" customHeight="1" thickBot="1">
      <c r="A818" s="916" t="str">
        <f t="shared" si="335"/>
        <v>181</v>
      </c>
      <c r="B818" s="700" t="s">
        <v>2984</v>
      </c>
      <c r="C818" s="700"/>
      <c r="D818" s="1009"/>
      <c r="E818" s="1003" t="str">
        <f t="shared" si="356"/>
        <v/>
      </c>
      <c r="F818" s="1041" t="str">
        <f t="shared" si="357"/>
        <v>$</v>
      </c>
      <c r="G818" s="906" t="s">
        <v>2992</v>
      </c>
      <c r="H818" s="906">
        <v>48</v>
      </c>
      <c r="I818" s="702" t="s">
        <v>5</v>
      </c>
      <c r="J818" s="906"/>
      <c r="K818" s="703"/>
      <c r="L818" s="906"/>
      <c r="M818" s="906"/>
      <c r="N818" s="700" t="s">
        <v>16117</v>
      </c>
      <c r="O818" s="906"/>
      <c r="P818" s="906" t="s">
        <v>6</v>
      </c>
      <c r="Q818" s="705"/>
      <c r="R818" s="903"/>
      <c r="S818" s="793"/>
    </row>
    <row r="819" spans="1:19" ht="12" customHeight="1">
      <c r="A819" s="1038" t="str">
        <f t="shared" si="335"/>
        <v>182</v>
      </c>
      <c r="B819" s="688" t="s">
        <v>3025</v>
      </c>
      <c r="C819" s="688"/>
      <c r="D819" s="1007"/>
      <c r="E819" s="1001" t="str">
        <f>IF(D819="","",D819/SUM($D$819:$D$823))</f>
        <v/>
      </c>
      <c r="F819" s="1004" t="e">
        <f>IF(J819="","$",IF(C819="当選","-",D819*100/MAX($D$819:$D$823)))</f>
        <v>#DIV/0!</v>
      </c>
      <c r="G819" s="687" t="s">
        <v>3028</v>
      </c>
      <c r="H819" s="687">
        <v>67</v>
      </c>
      <c r="I819" s="696" t="s">
        <v>5</v>
      </c>
      <c r="J819" s="689" t="s">
        <v>15273</v>
      </c>
      <c r="K819" s="747" t="s">
        <v>3029</v>
      </c>
      <c r="L819" s="687"/>
      <c r="M819" s="687"/>
      <c r="N819" s="692" t="s">
        <v>16127</v>
      </c>
      <c r="O819" s="687" t="s">
        <v>681</v>
      </c>
      <c r="P819" s="687" t="s">
        <v>25</v>
      </c>
      <c r="Q819" s="748">
        <v>8</v>
      </c>
      <c r="R819" s="749">
        <v>8</v>
      </c>
      <c r="S819" s="805" t="s">
        <v>736</v>
      </c>
    </row>
    <row r="820" spans="1:19" ht="12" customHeight="1">
      <c r="A820" s="1040" t="str">
        <f t="shared" si="335"/>
        <v>182</v>
      </c>
      <c r="B820" s="4" t="s">
        <v>3026</v>
      </c>
      <c r="C820" s="4"/>
      <c r="D820" s="1008"/>
      <c r="E820" s="1002" t="str">
        <f t="shared" ref="E820:E823" si="358">IF(D820="","",D820/SUM($D$819:$D$823))</f>
        <v/>
      </c>
      <c r="F820" s="1005" t="e">
        <f t="shared" ref="F820:F823" si="359">IF(J820="","$",IF(C820="当選","-",D820*100/MAX($D$819:$D$823)))</f>
        <v>#DIV/0!</v>
      </c>
      <c r="G820" s="1" t="s">
        <v>3034</v>
      </c>
      <c r="H820" s="1">
        <v>40</v>
      </c>
      <c r="I820" s="2" t="s">
        <v>5</v>
      </c>
      <c r="J820" s="1" t="s">
        <v>15273</v>
      </c>
      <c r="K820" s="3"/>
      <c r="L820" s="1"/>
      <c r="M820" s="1"/>
      <c r="N820" s="4" t="s">
        <v>16120</v>
      </c>
      <c r="O820" s="1" t="s">
        <v>30</v>
      </c>
      <c r="P820" s="1" t="s">
        <v>6</v>
      </c>
      <c r="Q820" s="16"/>
      <c r="R820" s="17"/>
      <c r="S820" s="774" t="s">
        <v>5457</v>
      </c>
    </row>
    <row r="821" spans="1:19" ht="12" customHeight="1">
      <c r="A821" s="1040" t="str">
        <f t="shared" si="335"/>
        <v>182</v>
      </c>
      <c r="B821" s="4" t="s">
        <v>3027</v>
      </c>
      <c r="C821" s="4"/>
      <c r="D821" s="1008"/>
      <c r="E821" s="1002" t="str">
        <f t="shared" si="358"/>
        <v/>
      </c>
      <c r="F821" s="1005" t="e">
        <f t="shared" si="359"/>
        <v>#DIV/0!</v>
      </c>
      <c r="G821" s="1" t="s">
        <v>5027</v>
      </c>
      <c r="H821" s="1">
        <v>49</v>
      </c>
      <c r="I821" s="2" t="s">
        <v>5</v>
      </c>
      <c r="J821" s="1" t="s">
        <v>15273</v>
      </c>
      <c r="K821" s="3"/>
      <c r="L821" s="1"/>
      <c r="M821" s="1"/>
      <c r="N821" s="4" t="s">
        <v>16116</v>
      </c>
      <c r="O821" s="1" t="s">
        <v>18494</v>
      </c>
      <c r="P821" s="1" t="s">
        <v>6</v>
      </c>
      <c r="Q821" s="16"/>
      <c r="R821" s="17"/>
      <c r="S821" s="774" t="s">
        <v>6154</v>
      </c>
    </row>
    <row r="822" spans="1:19" ht="12" customHeight="1">
      <c r="A822" s="1040" t="str">
        <f t="shared" si="335"/>
        <v>182</v>
      </c>
      <c r="B822" s="4" t="s">
        <v>5026</v>
      </c>
      <c r="C822" s="4"/>
      <c r="D822" s="1008"/>
      <c r="E822" s="1002" t="str">
        <f t="shared" si="358"/>
        <v/>
      </c>
      <c r="F822" s="1005" t="e">
        <f t="shared" si="359"/>
        <v>#DIV/0!</v>
      </c>
      <c r="G822" s="1" t="s">
        <v>3037</v>
      </c>
      <c r="H822" s="1">
        <v>54</v>
      </c>
      <c r="I822" s="2" t="s">
        <v>19</v>
      </c>
      <c r="J822" s="1" t="s">
        <v>15273</v>
      </c>
      <c r="K822" s="3"/>
      <c r="L822" s="1"/>
      <c r="M822" s="1"/>
      <c r="N822" s="4" t="s">
        <v>16117</v>
      </c>
      <c r="O822" s="1"/>
      <c r="P822" s="1" t="s">
        <v>6</v>
      </c>
      <c r="Q822" s="16"/>
      <c r="R822" s="17"/>
      <c r="S822" s="774"/>
    </row>
    <row r="823" spans="1:19" ht="12" customHeight="1" thickBot="1">
      <c r="A823" s="916" t="str">
        <f t="shared" si="335"/>
        <v>182</v>
      </c>
      <c r="B823" s="700" t="s">
        <v>16027</v>
      </c>
      <c r="C823" s="700"/>
      <c r="D823" s="1009"/>
      <c r="E823" s="1003" t="str">
        <f t="shared" si="358"/>
        <v/>
      </c>
      <c r="F823" s="1041" t="str">
        <f t="shared" si="359"/>
        <v>$</v>
      </c>
      <c r="G823" s="906" t="s">
        <v>16028</v>
      </c>
      <c r="H823" s="906">
        <v>55</v>
      </c>
      <c r="I823" s="702" t="s">
        <v>5</v>
      </c>
      <c r="J823" s="906"/>
      <c r="K823" s="703"/>
      <c r="L823" s="906"/>
      <c r="M823" s="906"/>
      <c r="N823" s="704" t="s">
        <v>16129</v>
      </c>
      <c r="O823" s="906"/>
      <c r="P823" s="906" t="s">
        <v>6</v>
      </c>
      <c r="Q823" s="705"/>
      <c r="R823" s="903"/>
      <c r="S823" s="793"/>
    </row>
    <row r="824" spans="1:19" ht="12" customHeight="1">
      <c r="A824" s="1038" t="str">
        <f t="shared" si="335"/>
        <v>183</v>
      </c>
      <c r="B824" s="688" t="s">
        <v>3040</v>
      </c>
      <c r="C824" s="688"/>
      <c r="D824" s="1007"/>
      <c r="E824" s="1001" t="str">
        <f>IF(D824="","",D824/SUM($D$824:$D$827))</f>
        <v/>
      </c>
      <c r="F824" s="1004" t="e">
        <f>IF(J824="","$",IF(C824="当選","-",D824*100/MAX($D$824:$D$827)))</f>
        <v>#DIV/0!</v>
      </c>
      <c r="G824" s="687" t="s">
        <v>3044</v>
      </c>
      <c r="H824" s="687">
        <v>50</v>
      </c>
      <c r="I824" s="696" t="s">
        <v>5</v>
      </c>
      <c r="J824" s="689" t="s">
        <v>15273</v>
      </c>
      <c r="K824" s="747" t="s">
        <v>3045</v>
      </c>
      <c r="L824" s="687"/>
      <c r="M824" s="687"/>
      <c r="N824" s="692" t="s">
        <v>16126</v>
      </c>
      <c r="O824" s="687" t="s">
        <v>24</v>
      </c>
      <c r="P824" s="687" t="s">
        <v>25</v>
      </c>
      <c r="Q824" s="748">
        <v>3</v>
      </c>
      <c r="R824" s="749">
        <v>3</v>
      </c>
      <c r="S824" s="805" t="s">
        <v>736</v>
      </c>
    </row>
    <row r="825" spans="1:19" ht="12" customHeight="1">
      <c r="A825" s="1040" t="str">
        <f t="shared" si="335"/>
        <v>183</v>
      </c>
      <c r="B825" s="4" t="s">
        <v>3041</v>
      </c>
      <c r="C825" s="4"/>
      <c r="D825" s="1008"/>
      <c r="E825" s="1002" t="str">
        <f t="shared" ref="E825:E827" si="360">IF(D825="","",D825/SUM($D$824:$D$827))</f>
        <v/>
      </c>
      <c r="F825" s="1005" t="e">
        <f t="shared" ref="F825:F827" si="361">IF(J825="","$",IF(C825="当選","-",D825*100/MAX($D$824:$D$827)))</f>
        <v>#DIV/0!</v>
      </c>
      <c r="G825" s="1" t="s">
        <v>3050</v>
      </c>
      <c r="H825" s="1">
        <v>47</v>
      </c>
      <c r="I825" s="2" t="s">
        <v>5</v>
      </c>
      <c r="J825" s="1" t="s">
        <v>15273</v>
      </c>
      <c r="K825" s="3"/>
      <c r="L825" s="1"/>
      <c r="M825" s="1"/>
      <c r="N825" s="4" t="s">
        <v>16120</v>
      </c>
      <c r="O825" s="1" t="s">
        <v>934</v>
      </c>
      <c r="P825" s="1" t="s">
        <v>14</v>
      </c>
      <c r="Q825" s="16">
        <v>1</v>
      </c>
      <c r="R825" s="17">
        <v>1</v>
      </c>
      <c r="S825" s="774" t="s">
        <v>5457</v>
      </c>
    </row>
    <row r="826" spans="1:19" ht="12" customHeight="1">
      <c r="A826" s="1040" t="str">
        <f t="shared" si="335"/>
        <v>183</v>
      </c>
      <c r="B826" s="4" t="s">
        <v>3042</v>
      </c>
      <c r="C826" s="4"/>
      <c r="D826" s="1008"/>
      <c r="E826" s="1002" t="str">
        <f t="shared" si="360"/>
        <v/>
      </c>
      <c r="F826" s="1005" t="e">
        <f t="shared" si="361"/>
        <v>#DIV/0!</v>
      </c>
      <c r="G826" s="1" t="s">
        <v>3057</v>
      </c>
      <c r="H826" s="1">
        <v>52</v>
      </c>
      <c r="I826" s="2" t="s">
        <v>5</v>
      </c>
      <c r="J826" s="1" t="s">
        <v>15273</v>
      </c>
      <c r="K826" s="3"/>
      <c r="L826" s="1"/>
      <c r="M826" s="1"/>
      <c r="N826" s="4" t="s">
        <v>18495</v>
      </c>
      <c r="O826" s="1"/>
      <c r="P826" s="1" t="s">
        <v>6</v>
      </c>
      <c r="Q826" s="16"/>
      <c r="R826" s="17"/>
      <c r="S826" s="774" t="s">
        <v>6031</v>
      </c>
    </row>
    <row r="827" spans="1:19" ht="12" customHeight="1" thickBot="1">
      <c r="A827" s="916" t="str">
        <f t="shared" si="335"/>
        <v>183</v>
      </c>
      <c r="B827" s="700" t="s">
        <v>3043</v>
      </c>
      <c r="C827" s="700"/>
      <c r="D827" s="1009"/>
      <c r="E827" s="1003" t="str">
        <f t="shared" si="360"/>
        <v/>
      </c>
      <c r="F827" s="1041" t="str">
        <f t="shared" si="361"/>
        <v>$</v>
      </c>
      <c r="G827" s="906" t="s">
        <v>3054</v>
      </c>
      <c r="H827" s="906">
        <v>54</v>
      </c>
      <c r="I827" s="702" t="s">
        <v>19</v>
      </c>
      <c r="J827" s="906"/>
      <c r="K827" s="703"/>
      <c r="L827" s="906"/>
      <c r="M827" s="906"/>
      <c r="N827" s="700" t="s">
        <v>16117</v>
      </c>
      <c r="O827" s="906"/>
      <c r="P827" s="906" t="s">
        <v>6</v>
      </c>
      <c r="Q827" s="705"/>
      <c r="R827" s="903"/>
      <c r="S827" s="793"/>
    </row>
    <row r="828" spans="1:19" ht="12" customHeight="1">
      <c r="A828" s="1038" t="str">
        <f t="shared" si="335"/>
        <v>184</v>
      </c>
      <c r="B828" s="688" t="s">
        <v>3059</v>
      </c>
      <c r="C828" s="688"/>
      <c r="D828" s="1007"/>
      <c r="E828" s="1001" t="str">
        <f>IF(D828="","",D828/SUM($D$828:$D$831))</f>
        <v/>
      </c>
      <c r="F828" s="1004" t="e">
        <f>IF(J828="","$",IF(C828="当選","-",D828*100/MAX($D$828:$D$831)))</f>
        <v>#DIV/0!</v>
      </c>
      <c r="G828" s="687" t="s">
        <v>3062</v>
      </c>
      <c r="H828" s="687">
        <v>41</v>
      </c>
      <c r="I828" s="696" t="s">
        <v>5</v>
      </c>
      <c r="J828" s="689" t="s">
        <v>15273</v>
      </c>
      <c r="K828" s="747" t="s">
        <v>3063</v>
      </c>
      <c r="L828" s="687"/>
      <c r="M828" s="687"/>
      <c r="N828" s="692" t="s">
        <v>16127</v>
      </c>
      <c r="O828" s="687" t="s">
        <v>681</v>
      </c>
      <c r="P828" s="687" t="s">
        <v>25</v>
      </c>
      <c r="Q828" s="748">
        <v>3</v>
      </c>
      <c r="R828" s="749">
        <v>3</v>
      </c>
      <c r="S828" s="805" t="s">
        <v>736</v>
      </c>
    </row>
    <row r="829" spans="1:19" ht="12" customHeight="1">
      <c r="A829" s="1040" t="str">
        <f t="shared" si="335"/>
        <v>184</v>
      </c>
      <c r="B829" s="4" t="s">
        <v>3060</v>
      </c>
      <c r="C829" s="4"/>
      <c r="D829" s="1008"/>
      <c r="E829" s="1002" t="str">
        <f t="shared" ref="E829:E831" si="362">IF(D829="","",D829/SUM($D$828:$D$831))</f>
        <v/>
      </c>
      <c r="F829" s="1005" t="e">
        <f t="shared" ref="F829:F831" si="363">IF(J829="","$",IF(C829="当選","-",D829*100/MAX($D$828:$D$831)))</f>
        <v>#DIV/0!</v>
      </c>
      <c r="G829" s="1" t="s">
        <v>3067</v>
      </c>
      <c r="H829" s="1">
        <v>40</v>
      </c>
      <c r="I829" s="2" t="s">
        <v>5</v>
      </c>
      <c r="J829" s="1" t="s">
        <v>15273</v>
      </c>
      <c r="K829" s="3"/>
      <c r="L829" s="1"/>
      <c r="M829" s="1"/>
      <c r="N829" s="8" t="s">
        <v>16120</v>
      </c>
      <c r="O829" s="1" t="s">
        <v>30</v>
      </c>
      <c r="P829" s="1" t="s">
        <v>6</v>
      </c>
      <c r="Q829" s="16"/>
      <c r="R829" s="17"/>
      <c r="S829" s="774" t="s">
        <v>5457</v>
      </c>
    </row>
    <row r="830" spans="1:19" ht="12" customHeight="1">
      <c r="A830" s="1040" t="str">
        <f t="shared" si="335"/>
        <v>184</v>
      </c>
      <c r="B830" s="4" t="s">
        <v>3061</v>
      </c>
      <c r="C830" s="4"/>
      <c r="D830" s="1008"/>
      <c r="E830" s="1002" t="str">
        <f t="shared" si="362"/>
        <v/>
      </c>
      <c r="F830" s="1005" t="e">
        <f t="shared" si="363"/>
        <v>#DIV/0!</v>
      </c>
      <c r="G830" s="1" t="s">
        <v>5419</v>
      </c>
      <c r="H830" s="1">
        <v>44</v>
      </c>
      <c r="I830" s="2" t="s">
        <v>5</v>
      </c>
      <c r="J830" s="1" t="s">
        <v>15273</v>
      </c>
      <c r="K830" s="3"/>
      <c r="L830" s="1"/>
      <c r="M830" s="1"/>
      <c r="N830" s="4" t="s">
        <v>16116</v>
      </c>
      <c r="O830" s="1" t="s">
        <v>18494</v>
      </c>
      <c r="P830" s="1" t="s">
        <v>6</v>
      </c>
      <c r="Q830" s="16"/>
      <c r="R830" s="17"/>
      <c r="S830" s="774" t="s">
        <v>6154</v>
      </c>
    </row>
    <row r="831" spans="1:19" ht="12" customHeight="1" thickBot="1">
      <c r="A831" s="916" t="str">
        <f t="shared" si="335"/>
        <v>184</v>
      </c>
      <c r="B831" s="700" t="s">
        <v>5418</v>
      </c>
      <c r="C831" s="700"/>
      <c r="D831" s="1009"/>
      <c r="E831" s="1003" t="str">
        <f t="shared" si="362"/>
        <v/>
      </c>
      <c r="F831" s="1041" t="str">
        <f t="shared" si="363"/>
        <v>$</v>
      </c>
      <c r="G831" s="906" t="s">
        <v>3069</v>
      </c>
      <c r="H831" s="906">
        <v>65</v>
      </c>
      <c r="I831" s="702" t="s">
        <v>5</v>
      </c>
      <c r="J831" s="906"/>
      <c r="K831" s="703"/>
      <c r="L831" s="906"/>
      <c r="M831" s="906"/>
      <c r="N831" s="700" t="s">
        <v>16117</v>
      </c>
      <c r="O831" s="906"/>
      <c r="P831" s="906" t="s">
        <v>6</v>
      </c>
      <c r="Q831" s="705"/>
      <c r="R831" s="903"/>
      <c r="S831" s="793"/>
    </row>
    <row r="832" spans="1:19" ht="12" customHeight="1">
      <c r="A832" s="1038" t="str">
        <f t="shared" si="335"/>
        <v>185</v>
      </c>
      <c r="B832" s="688" t="s">
        <v>3073</v>
      </c>
      <c r="C832" s="688"/>
      <c r="D832" s="1007"/>
      <c r="E832" s="1001" t="str">
        <f>IF(D832="","",D832/SUM($D$832:$D$836))</f>
        <v/>
      </c>
      <c r="F832" s="1004" t="e">
        <f>IF(J832="","$",IF(C832="当選","-",D832*100/MAX($D$832:$D$836)))</f>
        <v>#DIV/0!</v>
      </c>
      <c r="G832" s="687" t="s">
        <v>3077</v>
      </c>
      <c r="H832" s="687">
        <v>68</v>
      </c>
      <c r="I832" s="696" t="s">
        <v>5</v>
      </c>
      <c r="J832" s="689" t="s">
        <v>15273</v>
      </c>
      <c r="K832" s="747" t="s">
        <v>3078</v>
      </c>
      <c r="L832" s="687"/>
      <c r="M832" s="687"/>
      <c r="N832" s="692" t="s">
        <v>16127</v>
      </c>
      <c r="O832" s="687" t="s">
        <v>24</v>
      </c>
      <c r="P832" s="687" t="s">
        <v>25</v>
      </c>
      <c r="Q832" s="748">
        <v>3</v>
      </c>
      <c r="R832" s="749">
        <v>5</v>
      </c>
      <c r="S832" s="805" t="s">
        <v>736</v>
      </c>
    </row>
    <row r="833" spans="1:19" ht="12" customHeight="1">
      <c r="A833" s="1040" t="str">
        <f t="shared" si="335"/>
        <v>185</v>
      </c>
      <c r="B833" s="4" t="s">
        <v>3074</v>
      </c>
      <c r="C833" s="4"/>
      <c r="D833" s="1008"/>
      <c r="E833" s="1002" t="str">
        <f t="shared" ref="E833:E836" si="364">IF(D833="","",D833/SUM($D$832:$D$836))</f>
        <v/>
      </c>
      <c r="F833" s="1005" t="e">
        <f t="shared" ref="F833:F836" si="365">IF(J833="","$",IF(C833="当選","-",D833*100/MAX($D$832:$D$836)))</f>
        <v>#DIV/0!</v>
      </c>
      <c r="G833" s="1" t="s">
        <v>3083</v>
      </c>
      <c r="H833" s="1">
        <v>33</v>
      </c>
      <c r="I833" s="2" t="s">
        <v>5</v>
      </c>
      <c r="J833" s="1" t="s">
        <v>15273</v>
      </c>
      <c r="K833" s="3"/>
      <c r="L833" s="1"/>
      <c r="M833" s="1"/>
      <c r="N833" s="4" t="s">
        <v>16120</v>
      </c>
      <c r="O833" s="1" t="s">
        <v>30</v>
      </c>
      <c r="P833" s="1" t="s">
        <v>6</v>
      </c>
      <c r="Q833" s="16"/>
      <c r="R833" s="17"/>
      <c r="S833" s="774" t="s">
        <v>5457</v>
      </c>
    </row>
    <row r="834" spans="1:19" ht="12" customHeight="1">
      <c r="A834" s="1040" t="str">
        <f t="shared" si="335"/>
        <v>185</v>
      </c>
      <c r="B834" s="4" t="s">
        <v>3075</v>
      </c>
      <c r="C834" s="4"/>
      <c r="D834" s="1008"/>
      <c r="E834" s="1002" t="str">
        <f t="shared" si="364"/>
        <v/>
      </c>
      <c r="F834" s="1005" t="e">
        <f t="shared" si="365"/>
        <v>#DIV/0!</v>
      </c>
      <c r="G834" s="1" t="s">
        <v>5030</v>
      </c>
      <c r="H834" s="1">
        <v>39</v>
      </c>
      <c r="I834" s="2" t="s">
        <v>5</v>
      </c>
      <c r="J834" s="1" t="s">
        <v>15273</v>
      </c>
      <c r="K834" s="3"/>
      <c r="L834" s="1"/>
      <c r="M834" s="1"/>
      <c r="N834" s="4" t="s">
        <v>16116</v>
      </c>
      <c r="O834" s="1" t="s">
        <v>276</v>
      </c>
      <c r="P834" s="1" t="s">
        <v>6</v>
      </c>
      <c r="Q834" s="16"/>
      <c r="R834" s="17"/>
      <c r="S834" s="774" t="s">
        <v>6154</v>
      </c>
    </row>
    <row r="835" spans="1:19" ht="12" customHeight="1">
      <c r="A835" s="1040" t="str">
        <f t="shared" ref="A835:A898" si="366">MIDB(B835,1,3)</f>
        <v>185</v>
      </c>
      <c r="B835" s="4" t="s">
        <v>3076</v>
      </c>
      <c r="C835" s="4"/>
      <c r="D835" s="1008"/>
      <c r="E835" s="1002" t="str">
        <f t="shared" si="364"/>
        <v/>
      </c>
      <c r="F835" s="1005" t="str">
        <f t="shared" si="365"/>
        <v>$</v>
      </c>
      <c r="G835" s="1" t="s">
        <v>3086</v>
      </c>
      <c r="H835" s="1">
        <v>34</v>
      </c>
      <c r="I835" s="2" t="s">
        <v>5</v>
      </c>
      <c r="J835" s="1"/>
      <c r="K835" s="3"/>
      <c r="L835" s="1"/>
      <c r="M835" s="1"/>
      <c r="N835" s="4" t="s">
        <v>16117</v>
      </c>
      <c r="O835" s="1"/>
      <c r="P835" s="1" t="s">
        <v>6</v>
      </c>
      <c r="Q835" s="16"/>
      <c r="R835" s="17"/>
      <c r="S835" s="774"/>
    </row>
    <row r="836" spans="1:19" ht="12" customHeight="1" thickBot="1">
      <c r="A836" s="916" t="str">
        <f t="shared" si="366"/>
        <v>185</v>
      </c>
      <c r="B836" s="700" t="s">
        <v>5029</v>
      </c>
      <c r="C836" s="700"/>
      <c r="D836" s="1009"/>
      <c r="E836" s="1003" t="str">
        <f t="shared" si="364"/>
        <v/>
      </c>
      <c r="F836" s="1041" t="str">
        <f t="shared" si="365"/>
        <v>$</v>
      </c>
      <c r="G836" s="906" t="s">
        <v>3089</v>
      </c>
      <c r="H836" s="906">
        <v>54</v>
      </c>
      <c r="I836" s="702" t="s">
        <v>5</v>
      </c>
      <c r="J836" s="906"/>
      <c r="K836" s="703"/>
      <c r="L836" s="906"/>
      <c r="M836" s="906"/>
      <c r="N836" s="700" t="s">
        <v>16129</v>
      </c>
      <c r="O836" s="906"/>
      <c r="P836" s="906" t="s">
        <v>14</v>
      </c>
      <c r="Q836" s="705">
        <v>2</v>
      </c>
      <c r="R836" s="903">
        <v>2</v>
      </c>
      <c r="S836" s="793"/>
    </row>
    <row r="837" spans="1:19" ht="12" customHeight="1">
      <c r="A837" s="1038" t="str">
        <f t="shared" si="366"/>
        <v>186</v>
      </c>
      <c r="B837" s="688" t="s">
        <v>3094</v>
      </c>
      <c r="C837" s="688"/>
      <c r="D837" s="1007"/>
      <c r="E837" s="1001" t="str">
        <f>IF(D837="","",D837/SUM($D$837:$D$842))</f>
        <v/>
      </c>
      <c r="F837" s="1004" t="e">
        <f>IF(J837="","$",IF(C837="当選","-",D837*100/MAX($D$837:$D$842)))</f>
        <v>#DIV/0!</v>
      </c>
      <c r="G837" s="687" t="s">
        <v>3099</v>
      </c>
      <c r="H837" s="687">
        <v>33</v>
      </c>
      <c r="I837" s="696" t="s">
        <v>19</v>
      </c>
      <c r="J837" s="689" t="s">
        <v>15273</v>
      </c>
      <c r="K837" s="747"/>
      <c r="L837" s="687"/>
      <c r="M837" s="687"/>
      <c r="N837" s="692" t="s">
        <v>16126</v>
      </c>
      <c r="O837" s="687" t="s">
        <v>44</v>
      </c>
      <c r="P837" s="687" t="s">
        <v>6</v>
      </c>
      <c r="Q837" s="748"/>
      <c r="R837" s="749"/>
      <c r="S837" s="805"/>
    </row>
    <row r="838" spans="1:19" ht="12" customHeight="1">
      <c r="A838" s="1040" t="str">
        <f t="shared" si="366"/>
        <v>186</v>
      </c>
      <c r="B838" s="4" t="s">
        <v>3095</v>
      </c>
      <c r="C838" s="4"/>
      <c r="D838" s="1008"/>
      <c r="E838" s="1002" t="str">
        <f t="shared" ref="E838:E842" si="367">IF(D838="","",D838/SUM($D$837:$D$842))</f>
        <v/>
      </c>
      <c r="F838" s="1005" t="str">
        <f t="shared" ref="F838:F842" si="368">IF(J838="","$",IF(C838="当選","-",D838*100/MAX($D$837:$D$842)))</f>
        <v>$</v>
      </c>
      <c r="G838" s="1" t="s">
        <v>3102</v>
      </c>
      <c r="H838" s="1">
        <v>74</v>
      </c>
      <c r="I838" s="2" t="s">
        <v>5</v>
      </c>
      <c r="J838" s="1"/>
      <c r="K838" s="3" t="s">
        <v>3103</v>
      </c>
      <c r="L838" s="1"/>
      <c r="M838" s="1"/>
      <c r="N838" s="4" t="s">
        <v>16120</v>
      </c>
      <c r="O838" s="1" t="s">
        <v>65</v>
      </c>
      <c r="P838" s="1" t="s">
        <v>25</v>
      </c>
      <c r="Q838" s="16">
        <v>9</v>
      </c>
      <c r="R838" s="17">
        <v>9</v>
      </c>
      <c r="S838" s="774" t="s">
        <v>5457</v>
      </c>
    </row>
    <row r="839" spans="1:19" ht="12" customHeight="1">
      <c r="A839" s="1040" t="str">
        <f t="shared" si="366"/>
        <v>186</v>
      </c>
      <c r="B839" s="4" t="s">
        <v>3096</v>
      </c>
      <c r="C839" s="4"/>
      <c r="D839" s="1008"/>
      <c r="E839" s="1002" t="str">
        <f t="shared" si="367"/>
        <v/>
      </c>
      <c r="F839" s="1005" t="e">
        <f t="shared" si="368"/>
        <v>#DIV/0!</v>
      </c>
      <c r="G839" s="1" t="s">
        <v>5627</v>
      </c>
      <c r="H839" s="1">
        <v>60</v>
      </c>
      <c r="I839" s="2" t="s">
        <v>5</v>
      </c>
      <c r="J839" s="1" t="s">
        <v>15273</v>
      </c>
      <c r="K839" s="3"/>
      <c r="L839" s="1"/>
      <c r="M839" s="1"/>
      <c r="N839" s="4" t="s">
        <v>16116</v>
      </c>
      <c r="O839" s="1" t="s">
        <v>276</v>
      </c>
      <c r="P839" s="1" t="s">
        <v>6</v>
      </c>
      <c r="Q839" s="16"/>
      <c r="R839" s="17"/>
      <c r="S839" s="774"/>
    </row>
    <row r="840" spans="1:19" ht="12" customHeight="1">
      <c r="A840" s="1040" t="str">
        <f t="shared" si="366"/>
        <v>186</v>
      </c>
      <c r="B840" s="4" t="s">
        <v>3097</v>
      </c>
      <c r="C840" s="4"/>
      <c r="D840" s="1008"/>
      <c r="E840" s="1002" t="str">
        <f t="shared" si="367"/>
        <v/>
      </c>
      <c r="F840" s="1005" t="e">
        <f t="shared" si="368"/>
        <v>#DIV/0!</v>
      </c>
      <c r="G840" s="1" t="s">
        <v>3112</v>
      </c>
      <c r="H840" s="1">
        <v>53</v>
      </c>
      <c r="I840" s="2" t="s">
        <v>5</v>
      </c>
      <c r="J840" s="1" t="s">
        <v>15273</v>
      </c>
      <c r="K840" s="3" t="s">
        <v>3113</v>
      </c>
      <c r="L840" s="1"/>
      <c r="M840" s="1"/>
      <c r="N840" s="4" t="s">
        <v>18495</v>
      </c>
      <c r="O840" s="1"/>
      <c r="P840" s="1" t="s">
        <v>25</v>
      </c>
      <c r="Q840" s="16">
        <v>1</v>
      </c>
      <c r="R840" s="17">
        <v>1</v>
      </c>
      <c r="S840" s="774"/>
    </row>
    <row r="841" spans="1:19" ht="12" customHeight="1">
      <c r="A841" s="1040" t="str">
        <f t="shared" si="366"/>
        <v>186</v>
      </c>
      <c r="B841" s="4" t="s">
        <v>3098</v>
      </c>
      <c r="C841" s="4"/>
      <c r="D841" s="1008"/>
      <c r="E841" s="1002" t="str">
        <f t="shared" si="367"/>
        <v/>
      </c>
      <c r="F841" s="1005" t="e">
        <f t="shared" si="368"/>
        <v>#DIV/0!</v>
      </c>
      <c r="G841" s="1" t="s">
        <v>3106</v>
      </c>
      <c r="H841" s="1">
        <v>65</v>
      </c>
      <c r="I841" s="2" t="s">
        <v>5</v>
      </c>
      <c r="J841" s="1" t="s">
        <v>15273</v>
      </c>
      <c r="K841" s="3" t="s">
        <v>3107</v>
      </c>
      <c r="L841" s="1"/>
      <c r="M841" s="1"/>
      <c r="N841" s="4" t="s">
        <v>16117</v>
      </c>
      <c r="O841" s="1"/>
      <c r="P841" s="1" t="s">
        <v>25</v>
      </c>
      <c r="Q841" s="16">
        <v>6</v>
      </c>
      <c r="R841" s="17">
        <v>6</v>
      </c>
      <c r="S841" s="774"/>
    </row>
    <row r="842" spans="1:19" ht="12" customHeight="1" thickBot="1">
      <c r="A842" s="916" t="str">
        <f t="shared" si="366"/>
        <v>186</v>
      </c>
      <c r="B842" s="700" t="s">
        <v>5421</v>
      </c>
      <c r="C842" s="700"/>
      <c r="D842" s="1009"/>
      <c r="E842" s="1003" t="str">
        <f t="shared" si="367"/>
        <v/>
      </c>
      <c r="F842" s="1041" t="str">
        <f t="shared" si="368"/>
        <v>$</v>
      </c>
      <c r="G842" s="906" t="s">
        <v>3110</v>
      </c>
      <c r="H842" s="906">
        <v>36</v>
      </c>
      <c r="I842" s="702" t="s">
        <v>5</v>
      </c>
      <c r="J842" s="906"/>
      <c r="K842" s="703"/>
      <c r="L842" s="906"/>
      <c r="M842" s="906"/>
      <c r="N842" s="700" t="s">
        <v>16122</v>
      </c>
      <c r="O842" s="906" t="s">
        <v>22</v>
      </c>
      <c r="P842" s="906" t="s">
        <v>6</v>
      </c>
      <c r="Q842" s="705"/>
      <c r="R842" s="903"/>
      <c r="S842" s="793"/>
    </row>
    <row r="843" spans="1:19" ht="12" customHeight="1">
      <c r="A843" s="1038" t="str">
        <f t="shared" si="366"/>
        <v>187</v>
      </c>
      <c r="B843" s="688" t="s">
        <v>3117</v>
      </c>
      <c r="C843" s="688"/>
      <c r="D843" s="1007"/>
      <c r="E843" s="1001" t="str">
        <f>IF(D843="","",D843/SUM($D$843:$D$846))</f>
        <v/>
      </c>
      <c r="F843" s="1004" t="e">
        <f>IF(J843="","$",IF(C843="当選","-",D843*100/MAX($D$843:$D$846)))</f>
        <v>#DIV/0!</v>
      </c>
      <c r="G843" s="687" t="s">
        <v>3120</v>
      </c>
      <c r="H843" s="687">
        <v>50</v>
      </c>
      <c r="I843" s="696" t="s">
        <v>5</v>
      </c>
      <c r="J843" s="689" t="s">
        <v>15273</v>
      </c>
      <c r="K843" s="747" t="s">
        <v>3121</v>
      </c>
      <c r="L843" s="687"/>
      <c r="M843" s="687"/>
      <c r="N843" s="692" t="s">
        <v>16127</v>
      </c>
      <c r="O843" s="687" t="s">
        <v>24</v>
      </c>
      <c r="P843" s="687" t="s">
        <v>25</v>
      </c>
      <c r="Q843" s="748">
        <v>6</v>
      </c>
      <c r="R843" s="749">
        <v>6</v>
      </c>
      <c r="S843" s="805" t="s">
        <v>736</v>
      </c>
    </row>
    <row r="844" spans="1:19" ht="12" customHeight="1">
      <c r="A844" s="1040" t="str">
        <f t="shared" si="366"/>
        <v>187</v>
      </c>
      <c r="B844" s="4" t="s">
        <v>3118</v>
      </c>
      <c r="C844" s="4"/>
      <c r="D844" s="1008"/>
      <c r="E844" s="1002" t="str">
        <f t="shared" ref="E844:E846" si="369">IF(D844="","",D844/SUM($D$843:$D$846))</f>
        <v/>
      </c>
      <c r="F844" s="1005" t="e">
        <f t="shared" ref="F844:F846" si="370">IF(J844="","$",IF(C844="当選","-",D844*100/MAX($D$843:$D$846)))</f>
        <v>#DIV/0!</v>
      </c>
      <c r="G844" s="1" t="s">
        <v>3124</v>
      </c>
      <c r="H844" s="1">
        <v>50</v>
      </c>
      <c r="I844" s="2" t="s">
        <v>5</v>
      </c>
      <c r="J844" s="1" t="s">
        <v>15273</v>
      </c>
      <c r="K844" s="3"/>
      <c r="L844" s="1"/>
      <c r="M844" s="1"/>
      <c r="N844" s="8" t="s">
        <v>16120</v>
      </c>
      <c r="O844" s="1" t="s">
        <v>30</v>
      </c>
      <c r="P844" s="1" t="s">
        <v>6</v>
      </c>
      <c r="Q844" s="16"/>
      <c r="R844" s="17"/>
      <c r="S844" s="774"/>
    </row>
    <row r="845" spans="1:19" ht="12" customHeight="1">
      <c r="A845" s="1040" t="str">
        <f t="shared" si="366"/>
        <v>187</v>
      </c>
      <c r="B845" s="4" t="s">
        <v>3119</v>
      </c>
      <c r="C845" s="4"/>
      <c r="D845" s="1008"/>
      <c r="E845" s="1002" t="str">
        <f t="shared" si="369"/>
        <v/>
      </c>
      <c r="F845" s="1005" t="str">
        <f t="shared" si="370"/>
        <v>$</v>
      </c>
      <c r="G845" s="1" t="s">
        <v>3126</v>
      </c>
      <c r="H845" s="1">
        <v>45</v>
      </c>
      <c r="I845" s="2" t="s">
        <v>5</v>
      </c>
      <c r="J845" s="1"/>
      <c r="K845" s="3"/>
      <c r="L845" s="1"/>
      <c r="M845" s="1"/>
      <c r="N845" s="4" t="s">
        <v>16117</v>
      </c>
      <c r="O845" s="1"/>
      <c r="P845" s="1" t="s">
        <v>6</v>
      </c>
      <c r="Q845" s="16"/>
      <c r="R845" s="17"/>
      <c r="S845" s="774"/>
    </row>
    <row r="846" spans="1:19" ht="12" customHeight="1" thickBot="1">
      <c r="A846" s="916" t="str">
        <f t="shared" si="366"/>
        <v>187</v>
      </c>
      <c r="B846" s="700" t="s">
        <v>5466</v>
      </c>
      <c r="C846" s="700"/>
      <c r="D846" s="1009"/>
      <c r="E846" s="1003" t="str">
        <f t="shared" si="369"/>
        <v/>
      </c>
      <c r="F846" s="1041" t="e">
        <f t="shared" si="370"/>
        <v>#DIV/0!</v>
      </c>
      <c r="G846" s="906" t="s">
        <v>5467</v>
      </c>
      <c r="H846" s="906">
        <v>33</v>
      </c>
      <c r="I846" s="702" t="s">
        <v>5</v>
      </c>
      <c r="J846" s="906" t="s">
        <v>15273</v>
      </c>
      <c r="K846" s="703"/>
      <c r="L846" s="906"/>
      <c r="M846" s="906"/>
      <c r="N846" s="704" t="s">
        <v>16121</v>
      </c>
      <c r="O846" s="906"/>
      <c r="P846" s="906" t="s">
        <v>6</v>
      </c>
      <c r="Q846" s="705"/>
      <c r="R846" s="903"/>
      <c r="S846" s="793"/>
    </row>
    <row r="847" spans="1:19" ht="12" customHeight="1">
      <c r="A847" s="1038" t="str">
        <f t="shared" si="366"/>
        <v>188</v>
      </c>
      <c r="B847" s="688" t="s">
        <v>3128</v>
      </c>
      <c r="C847" s="688"/>
      <c r="D847" s="1007"/>
      <c r="E847" s="1001" t="str">
        <f>IF(D847="","",D847/SUM($D$847:$D$850))</f>
        <v/>
      </c>
      <c r="F847" s="1004" t="e">
        <f>IF(J847="","$",IF(C847="当選","-",D847*100/MAX($D$847:$D$850)))</f>
        <v>#DIV/0!</v>
      </c>
      <c r="G847" s="687" t="s">
        <v>3132</v>
      </c>
      <c r="H847" s="687">
        <v>38</v>
      </c>
      <c r="I847" s="696" t="s">
        <v>5</v>
      </c>
      <c r="J847" s="689" t="s">
        <v>15273</v>
      </c>
      <c r="K847" s="747" t="s">
        <v>3133</v>
      </c>
      <c r="L847" s="687"/>
      <c r="M847" s="687"/>
      <c r="N847" s="692" t="s">
        <v>16127</v>
      </c>
      <c r="O847" s="687" t="s">
        <v>44</v>
      </c>
      <c r="P847" s="687" t="s">
        <v>25</v>
      </c>
      <c r="Q847" s="748">
        <v>3</v>
      </c>
      <c r="R847" s="749">
        <v>3</v>
      </c>
      <c r="S847" s="805" t="s">
        <v>736</v>
      </c>
    </row>
    <row r="848" spans="1:19" ht="12" customHeight="1">
      <c r="A848" s="1040" t="str">
        <f t="shared" si="366"/>
        <v>188</v>
      </c>
      <c r="B848" s="4" t="s">
        <v>3129</v>
      </c>
      <c r="C848" s="4"/>
      <c r="D848" s="1008"/>
      <c r="E848" s="1002" t="str">
        <f t="shared" ref="E848:E850" si="371">IF(D848="","",D848/SUM($D$847:$D$850))</f>
        <v/>
      </c>
      <c r="F848" s="1005" t="e">
        <f t="shared" ref="F848:F850" si="372">IF(J848="","$",IF(C848="当選","-",D848*100/MAX($D$847:$D$850)))</f>
        <v>#DIV/0!</v>
      </c>
      <c r="G848" s="1" t="s">
        <v>3136</v>
      </c>
      <c r="H848" s="1">
        <v>31</v>
      </c>
      <c r="I848" s="2" t="s">
        <v>5</v>
      </c>
      <c r="J848" s="1" t="s">
        <v>15273</v>
      </c>
      <c r="K848" s="3"/>
      <c r="L848" s="1"/>
      <c r="M848" s="1"/>
      <c r="N848" s="4" t="s">
        <v>16120</v>
      </c>
      <c r="O848" s="1" t="s">
        <v>30</v>
      </c>
      <c r="P848" s="1" t="s">
        <v>6</v>
      </c>
      <c r="Q848" s="16"/>
      <c r="R848" s="17"/>
      <c r="S848" s="774"/>
    </row>
    <row r="849" spans="1:19" ht="12" customHeight="1">
      <c r="A849" s="1040" t="str">
        <f t="shared" si="366"/>
        <v>188</v>
      </c>
      <c r="B849" s="4" t="s">
        <v>3130</v>
      </c>
      <c r="C849" s="4"/>
      <c r="D849" s="1008"/>
      <c r="E849" s="1002" t="str">
        <f t="shared" si="371"/>
        <v/>
      </c>
      <c r="F849" s="1005" t="e">
        <f t="shared" si="372"/>
        <v>#DIV/0!</v>
      </c>
      <c r="G849" s="1" t="s">
        <v>5522</v>
      </c>
      <c r="H849" s="1">
        <v>47</v>
      </c>
      <c r="I849" s="2" t="s">
        <v>5</v>
      </c>
      <c r="J849" s="1" t="s">
        <v>15273</v>
      </c>
      <c r="K849" s="3"/>
      <c r="L849" s="1"/>
      <c r="M849" s="1"/>
      <c r="N849" s="4" t="s">
        <v>16116</v>
      </c>
      <c r="O849" s="1" t="s">
        <v>18494</v>
      </c>
      <c r="P849" s="1" t="s">
        <v>6</v>
      </c>
      <c r="Q849" s="16"/>
      <c r="R849" s="17"/>
      <c r="S849" s="774" t="s">
        <v>6154</v>
      </c>
    </row>
    <row r="850" spans="1:19" ht="12" customHeight="1" thickBot="1">
      <c r="A850" s="916" t="str">
        <f t="shared" si="366"/>
        <v>188</v>
      </c>
      <c r="B850" s="700" t="s">
        <v>3131</v>
      </c>
      <c r="C850" s="700"/>
      <c r="D850" s="1009"/>
      <c r="E850" s="1003" t="str">
        <f t="shared" si="371"/>
        <v/>
      </c>
      <c r="F850" s="1041" t="str">
        <f t="shared" si="372"/>
        <v>$</v>
      </c>
      <c r="G850" s="906" t="s">
        <v>3138</v>
      </c>
      <c r="H850" s="906">
        <v>62</v>
      </c>
      <c r="I850" s="702" t="s">
        <v>19</v>
      </c>
      <c r="J850" s="906"/>
      <c r="K850" s="703"/>
      <c r="L850" s="906"/>
      <c r="M850" s="906"/>
      <c r="N850" s="700" t="s">
        <v>16117</v>
      </c>
      <c r="O850" s="906"/>
      <c r="P850" s="906" t="s">
        <v>6</v>
      </c>
      <c r="Q850" s="705"/>
      <c r="R850" s="903"/>
      <c r="S850" s="793"/>
    </row>
    <row r="851" spans="1:19" ht="12" customHeight="1">
      <c r="A851" s="1038" t="str">
        <f t="shared" si="366"/>
        <v>189</v>
      </c>
      <c r="B851" s="688" t="s">
        <v>3141</v>
      </c>
      <c r="C851" s="688"/>
      <c r="D851" s="1007"/>
      <c r="E851" s="1001" t="str">
        <f>IF(D851="","",D851/SUM($D$851:$D$858))</f>
        <v/>
      </c>
      <c r="F851" s="1004" t="e">
        <f>IF(J851="","$",IF(C851="当選","-",D851*100/MAX($D$851:$D$858)))</f>
        <v>#DIV/0!</v>
      </c>
      <c r="G851" s="687" t="s">
        <v>3148</v>
      </c>
      <c r="H851" s="687">
        <v>45</v>
      </c>
      <c r="I851" s="696" t="s">
        <v>5</v>
      </c>
      <c r="J851" s="689" t="s">
        <v>15273</v>
      </c>
      <c r="K851" s="747" t="s">
        <v>3149</v>
      </c>
      <c r="L851" s="687"/>
      <c r="M851" s="687"/>
      <c r="N851" s="692" t="s">
        <v>16126</v>
      </c>
      <c r="O851" s="687" t="s">
        <v>44</v>
      </c>
      <c r="P851" s="687" t="s">
        <v>25</v>
      </c>
      <c r="Q851" s="748">
        <v>2</v>
      </c>
      <c r="R851" s="749">
        <v>2</v>
      </c>
      <c r="S851" s="805" t="s">
        <v>736</v>
      </c>
    </row>
    <row r="852" spans="1:19" ht="12" customHeight="1">
      <c r="A852" s="1040" t="str">
        <f t="shared" si="366"/>
        <v>189</v>
      </c>
      <c r="B852" s="4" t="s">
        <v>3142</v>
      </c>
      <c r="C852" s="4"/>
      <c r="D852" s="1008"/>
      <c r="E852" s="1002" t="str">
        <f t="shared" ref="E852:E858" si="373">IF(D852="","",D852/SUM($D$851:$D$858))</f>
        <v/>
      </c>
      <c r="F852" s="1005" t="e">
        <f t="shared" ref="F852:F858" si="374">IF(J852="","$",IF(C852="当選","-",D852*100/MAX($D$851:$D$858)))</f>
        <v>#DIV/0!</v>
      </c>
      <c r="G852" s="1" t="s">
        <v>3152</v>
      </c>
      <c r="H852" s="1">
        <v>42</v>
      </c>
      <c r="I852" s="2" t="s">
        <v>5</v>
      </c>
      <c r="J852" s="1" t="s">
        <v>15273</v>
      </c>
      <c r="K852" s="3"/>
      <c r="L852" s="1"/>
      <c r="M852" s="1"/>
      <c r="N852" s="4" t="s">
        <v>16120</v>
      </c>
      <c r="O852" s="1" t="s">
        <v>30</v>
      </c>
      <c r="P852" s="1" t="s">
        <v>6</v>
      </c>
      <c r="Q852" s="16"/>
      <c r="R852" s="17"/>
      <c r="S852" s="774" t="s">
        <v>5457</v>
      </c>
    </row>
    <row r="853" spans="1:19" ht="12" customHeight="1">
      <c r="A853" s="1040" t="str">
        <f t="shared" si="366"/>
        <v>189</v>
      </c>
      <c r="B853" s="4" t="s">
        <v>3143</v>
      </c>
      <c r="C853" s="4"/>
      <c r="D853" s="1008"/>
      <c r="E853" s="1002" t="str">
        <f t="shared" si="373"/>
        <v/>
      </c>
      <c r="F853" s="1005" t="e">
        <f t="shared" si="374"/>
        <v>#DIV/0!</v>
      </c>
      <c r="G853" s="1" t="s">
        <v>3160</v>
      </c>
      <c r="H853" s="1">
        <v>63</v>
      </c>
      <c r="I853" s="2" t="s">
        <v>5</v>
      </c>
      <c r="J853" s="1" t="s">
        <v>15273</v>
      </c>
      <c r="K853" s="3" t="s">
        <v>3161</v>
      </c>
      <c r="L853" s="1"/>
      <c r="M853" s="1"/>
      <c r="N853" s="4" t="s">
        <v>16125</v>
      </c>
      <c r="O853" s="1"/>
      <c r="P853" s="1" t="s">
        <v>25</v>
      </c>
      <c r="Q853" s="16">
        <v>2</v>
      </c>
      <c r="R853" s="17">
        <v>2</v>
      </c>
      <c r="S853" s="774" t="s">
        <v>5561</v>
      </c>
    </row>
    <row r="854" spans="1:19" ht="12" customHeight="1">
      <c r="A854" s="1040" t="str">
        <f t="shared" si="366"/>
        <v>189</v>
      </c>
      <c r="B854" s="4" t="s">
        <v>3144</v>
      </c>
      <c r="C854" s="4"/>
      <c r="D854" s="1008"/>
      <c r="E854" s="1002" t="str">
        <f t="shared" si="373"/>
        <v/>
      </c>
      <c r="F854" s="1005" t="e">
        <f t="shared" si="374"/>
        <v>#DIV/0!</v>
      </c>
      <c r="G854" s="1" t="s">
        <v>5630</v>
      </c>
      <c r="H854" s="1">
        <v>58</v>
      </c>
      <c r="I854" s="2" t="s">
        <v>19</v>
      </c>
      <c r="J854" s="1" t="s">
        <v>15273</v>
      </c>
      <c r="K854" s="3"/>
      <c r="L854" s="1"/>
      <c r="M854" s="1"/>
      <c r="N854" s="4" t="s">
        <v>16116</v>
      </c>
      <c r="O854" s="1" t="s">
        <v>18494</v>
      </c>
      <c r="P854" s="1" t="s">
        <v>6</v>
      </c>
      <c r="Q854" s="16"/>
      <c r="R854" s="17"/>
      <c r="S854" s="774"/>
    </row>
    <row r="855" spans="1:19" ht="12" customHeight="1">
      <c r="A855" s="1040" t="str">
        <f t="shared" si="366"/>
        <v>189</v>
      </c>
      <c r="B855" s="4" t="s">
        <v>3145</v>
      </c>
      <c r="C855" s="4"/>
      <c r="D855" s="1008"/>
      <c r="E855" s="1002" t="str">
        <f t="shared" si="373"/>
        <v/>
      </c>
      <c r="F855" s="1005" t="e">
        <f t="shared" si="374"/>
        <v>#DIV/0!</v>
      </c>
      <c r="G855" s="1" t="s">
        <v>3157</v>
      </c>
      <c r="H855" s="1">
        <v>62</v>
      </c>
      <c r="I855" s="2" t="s">
        <v>5</v>
      </c>
      <c r="J855" s="1" t="s">
        <v>15273</v>
      </c>
      <c r="K855" s="3"/>
      <c r="L855" s="1"/>
      <c r="M855" s="1"/>
      <c r="N855" s="4" t="s">
        <v>18495</v>
      </c>
      <c r="O855" s="1"/>
      <c r="P855" s="1" t="s">
        <v>6</v>
      </c>
      <c r="Q855" s="16"/>
      <c r="R855" s="17"/>
      <c r="S855" s="774"/>
    </row>
    <row r="856" spans="1:19" ht="12" customHeight="1">
      <c r="A856" s="1040" t="str">
        <f t="shared" si="366"/>
        <v>189</v>
      </c>
      <c r="B856" s="4" t="s">
        <v>3146</v>
      </c>
      <c r="C856" s="4"/>
      <c r="D856" s="1008"/>
      <c r="E856" s="1002" t="str">
        <f t="shared" si="373"/>
        <v/>
      </c>
      <c r="F856" s="1005" t="str">
        <f t="shared" si="374"/>
        <v>$</v>
      </c>
      <c r="G856" s="1" t="s">
        <v>3155</v>
      </c>
      <c r="H856" s="1">
        <v>38</v>
      </c>
      <c r="I856" s="2" t="s">
        <v>5</v>
      </c>
      <c r="J856" s="1"/>
      <c r="K856" s="3"/>
      <c r="L856" s="1"/>
      <c r="M856" s="1"/>
      <c r="N856" s="4" t="s">
        <v>16117</v>
      </c>
      <c r="O856" s="1"/>
      <c r="P856" s="1" t="s">
        <v>6</v>
      </c>
      <c r="Q856" s="16"/>
      <c r="R856" s="17"/>
      <c r="S856" s="774"/>
    </row>
    <row r="857" spans="1:19" ht="12" customHeight="1">
      <c r="A857" s="1040" t="str">
        <f t="shared" si="366"/>
        <v>189</v>
      </c>
      <c r="B857" s="4" t="s">
        <v>3147</v>
      </c>
      <c r="C857" s="4"/>
      <c r="D857" s="1008"/>
      <c r="E857" s="1002" t="str">
        <f t="shared" si="373"/>
        <v/>
      </c>
      <c r="F857" s="1005" t="str">
        <f t="shared" si="374"/>
        <v>$</v>
      </c>
      <c r="G857" s="1" t="s">
        <v>3163</v>
      </c>
      <c r="H857" s="1">
        <v>30</v>
      </c>
      <c r="I857" s="2" t="s">
        <v>19</v>
      </c>
      <c r="J857" s="1"/>
      <c r="K857" s="3"/>
      <c r="L857" s="1"/>
      <c r="M857" s="1"/>
      <c r="N857" s="4" t="s">
        <v>16122</v>
      </c>
      <c r="O857" s="1" t="s">
        <v>22</v>
      </c>
      <c r="P857" s="1" t="s">
        <v>6</v>
      </c>
      <c r="Q857" s="16"/>
      <c r="R857" s="17"/>
      <c r="S857" s="774"/>
    </row>
    <row r="858" spans="1:19" ht="12" customHeight="1" thickBot="1">
      <c r="A858" s="916" t="str">
        <f t="shared" si="366"/>
        <v>189</v>
      </c>
      <c r="B858" s="700" t="s">
        <v>5629</v>
      </c>
      <c r="C858" s="700"/>
      <c r="D858" s="1009"/>
      <c r="E858" s="1003" t="str">
        <f t="shared" si="373"/>
        <v/>
      </c>
      <c r="F858" s="1041" t="str">
        <f t="shared" si="374"/>
        <v>$</v>
      </c>
      <c r="G858" s="906" t="s">
        <v>3166</v>
      </c>
      <c r="H858" s="906">
        <v>61</v>
      </c>
      <c r="I858" s="702" t="s">
        <v>5</v>
      </c>
      <c r="J858" s="906"/>
      <c r="K858" s="703"/>
      <c r="L858" s="906"/>
      <c r="M858" s="906"/>
      <c r="N858" s="700" t="s">
        <v>16129</v>
      </c>
      <c r="O858" s="906" t="s">
        <v>97</v>
      </c>
      <c r="P858" s="906" t="s">
        <v>14</v>
      </c>
      <c r="Q858" s="705">
        <v>1</v>
      </c>
      <c r="R858" s="903">
        <v>1</v>
      </c>
      <c r="S858" s="793"/>
    </row>
    <row r="859" spans="1:19" ht="12" customHeight="1">
      <c r="A859" s="1038" t="str">
        <f t="shared" si="366"/>
        <v>190</v>
      </c>
      <c r="B859" s="688" t="s">
        <v>3172</v>
      </c>
      <c r="C859" s="688"/>
      <c r="D859" s="1007"/>
      <c r="E859" s="1001" t="str">
        <f>IF(D859="","",D859/SUM($D$859:$D$862))</f>
        <v/>
      </c>
      <c r="F859" s="1004" t="e">
        <f>IF(J859="","$",IF(C859="当選","-",D859*100/MAX($D$859:$D$862)))</f>
        <v>#DIV/0!</v>
      </c>
      <c r="G859" s="687" t="s">
        <v>3175</v>
      </c>
      <c r="H859" s="687">
        <v>38</v>
      </c>
      <c r="I859" s="696" t="s">
        <v>19</v>
      </c>
      <c r="J859" s="689" t="s">
        <v>15273</v>
      </c>
      <c r="K859" s="747" t="s">
        <v>3176</v>
      </c>
      <c r="L859" s="687"/>
      <c r="M859" s="687"/>
      <c r="N859" s="692" t="s">
        <v>16127</v>
      </c>
      <c r="O859" s="687" t="s">
        <v>44</v>
      </c>
      <c r="P859" s="687" t="s">
        <v>25</v>
      </c>
      <c r="Q859" s="748">
        <v>1</v>
      </c>
      <c r="R859" s="749">
        <v>1</v>
      </c>
      <c r="S859" s="805"/>
    </row>
    <row r="860" spans="1:19" ht="12" customHeight="1">
      <c r="A860" s="1040" t="str">
        <f t="shared" si="366"/>
        <v>190</v>
      </c>
      <c r="B860" s="4" t="s">
        <v>3173</v>
      </c>
      <c r="C860" s="4"/>
      <c r="D860" s="1008"/>
      <c r="E860" s="1002" t="str">
        <f t="shared" ref="E860:E862" si="375">IF(D860="","",D860/SUM($D$859:$D$862))</f>
        <v/>
      </c>
      <c r="F860" s="1005" t="e">
        <f t="shared" ref="F860:F862" si="376">IF(J860="","$",IF(C860="当選","-",D860*100/MAX($D$859:$D$862)))</f>
        <v>#DIV/0!</v>
      </c>
      <c r="G860" s="1" t="s">
        <v>3177</v>
      </c>
      <c r="H860" s="1">
        <v>67</v>
      </c>
      <c r="I860" s="2" t="s">
        <v>5</v>
      </c>
      <c r="J860" s="1" t="s">
        <v>15273</v>
      </c>
      <c r="K860" s="3" t="s">
        <v>3178</v>
      </c>
      <c r="L860" s="1"/>
      <c r="M860" s="1"/>
      <c r="N860" s="8" t="s">
        <v>16120</v>
      </c>
      <c r="O860" s="1" t="s">
        <v>30</v>
      </c>
      <c r="P860" s="1" t="s">
        <v>25</v>
      </c>
      <c r="Q860" s="16">
        <v>10</v>
      </c>
      <c r="R860" s="17">
        <v>10</v>
      </c>
      <c r="S860" s="774" t="s">
        <v>5457</v>
      </c>
    </row>
    <row r="861" spans="1:19" ht="12" customHeight="1">
      <c r="A861" s="1040" t="str">
        <f t="shared" si="366"/>
        <v>190</v>
      </c>
      <c r="B861" s="4" t="s">
        <v>3174</v>
      </c>
      <c r="C861" s="4"/>
      <c r="D861" s="1008"/>
      <c r="E861" s="1002" t="str">
        <f t="shared" si="375"/>
        <v/>
      </c>
      <c r="F861" s="1005" t="e">
        <f t="shared" si="376"/>
        <v>#DIV/0!</v>
      </c>
      <c r="G861" s="1" t="s">
        <v>5800</v>
      </c>
      <c r="H861" s="1">
        <v>65</v>
      </c>
      <c r="I861" s="2" t="s">
        <v>5</v>
      </c>
      <c r="J861" s="1" t="s">
        <v>15273</v>
      </c>
      <c r="K861" s="3"/>
      <c r="L861" s="1"/>
      <c r="M861" s="1"/>
      <c r="N861" s="4" t="s">
        <v>16125</v>
      </c>
      <c r="O861" s="1"/>
      <c r="P861" s="1" t="s">
        <v>6</v>
      </c>
      <c r="Q861" s="16"/>
      <c r="R861" s="17"/>
      <c r="S861" s="774" t="s">
        <v>5561</v>
      </c>
    </row>
    <row r="862" spans="1:19" ht="12" customHeight="1" thickBot="1">
      <c r="A862" s="916" t="str">
        <f t="shared" si="366"/>
        <v>190</v>
      </c>
      <c r="B862" s="700" t="s">
        <v>5799</v>
      </c>
      <c r="C862" s="700"/>
      <c r="D862" s="1009"/>
      <c r="E862" s="1003" t="str">
        <f t="shared" si="375"/>
        <v/>
      </c>
      <c r="F862" s="1041" t="str">
        <f t="shared" si="376"/>
        <v>$</v>
      </c>
      <c r="G862" s="906" t="s">
        <v>3183</v>
      </c>
      <c r="H862" s="906">
        <v>62</v>
      </c>
      <c r="I862" s="702" t="s">
        <v>19</v>
      </c>
      <c r="J862" s="906"/>
      <c r="K862" s="703"/>
      <c r="L862" s="906"/>
      <c r="M862" s="906"/>
      <c r="N862" s="700" t="s">
        <v>16117</v>
      </c>
      <c r="O862" s="906"/>
      <c r="P862" s="906" t="s">
        <v>6</v>
      </c>
      <c r="Q862" s="705"/>
      <c r="R862" s="903"/>
      <c r="S862" s="793"/>
    </row>
    <row r="863" spans="1:19" ht="12" customHeight="1">
      <c r="A863" s="1038" t="str">
        <f t="shared" si="366"/>
        <v>191</v>
      </c>
      <c r="B863" s="688" t="s">
        <v>3186</v>
      </c>
      <c r="C863" s="688"/>
      <c r="D863" s="1007"/>
      <c r="E863" s="1001" t="str">
        <f>IF(D863="","",D863/SUM($D$863:$D$866))</f>
        <v/>
      </c>
      <c r="F863" s="1004" t="e">
        <f>IF(J863="","$",IF(C863="当選","-",D863*100/MAX($D$863:$D$866)))</f>
        <v>#DIV/0!</v>
      </c>
      <c r="G863" s="687" t="s">
        <v>3189</v>
      </c>
      <c r="H863" s="687">
        <v>50</v>
      </c>
      <c r="I863" s="696" t="s">
        <v>5</v>
      </c>
      <c r="J863" s="689" t="s">
        <v>15273</v>
      </c>
      <c r="K863" s="747" t="s">
        <v>3190</v>
      </c>
      <c r="L863" s="687"/>
      <c r="M863" s="687"/>
      <c r="N863" s="692" t="s">
        <v>16127</v>
      </c>
      <c r="O863" s="687" t="s">
        <v>24</v>
      </c>
      <c r="P863" s="687" t="s">
        <v>25</v>
      </c>
      <c r="Q863" s="748">
        <v>4</v>
      </c>
      <c r="R863" s="749">
        <v>4</v>
      </c>
      <c r="S863" s="805" t="s">
        <v>736</v>
      </c>
    </row>
    <row r="864" spans="1:19" ht="12" customHeight="1">
      <c r="A864" s="1040" t="str">
        <f t="shared" si="366"/>
        <v>191</v>
      </c>
      <c r="B864" s="4" t="s">
        <v>3187</v>
      </c>
      <c r="C864" s="4"/>
      <c r="D864" s="1008"/>
      <c r="E864" s="1002" t="str">
        <f t="shared" ref="E864:E866" si="377">IF(D864="","",D864/SUM($D$863:$D$866))</f>
        <v/>
      </c>
      <c r="F864" s="1005" t="e">
        <f t="shared" ref="F864:F866" si="378">IF(J864="","$",IF(C864="当選","-",D864*100/MAX($D$863:$D$866)))</f>
        <v>#DIV/0!</v>
      </c>
      <c r="G864" s="1" t="s">
        <v>3192</v>
      </c>
      <c r="H864" s="1">
        <v>47</v>
      </c>
      <c r="I864" s="2" t="s">
        <v>5</v>
      </c>
      <c r="J864" s="1" t="s">
        <v>15273</v>
      </c>
      <c r="K864" s="3"/>
      <c r="L864" s="1"/>
      <c r="M864" s="1"/>
      <c r="N864" s="4" t="s">
        <v>16120</v>
      </c>
      <c r="O864" s="1" t="s">
        <v>30</v>
      </c>
      <c r="P864" s="1" t="s">
        <v>6</v>
      </c>
      <c r="Q864" s="16"/>
      <c r="R864" s="17"/>
      <c r="S864" s="774"/>
    </row>
    <row r="865" spans="1:19" ht="12" customHeight="1">
      <c r="A865" s="1040" t="str">
        <f t="shared" si="366"/>
        <v>191</v>
      </c>
      <c r="B865" s="4" t="s">
        <v>3188</v>
      </c>
      <c r="C865" s="4"/>
      <c r="D865" s="1008"/>
      <c r="E865" s="1002" t="str">
        <f t="shared" si="377"/>
        <v/>
      </c>
      <c r="F865" s="1005" t="e">
        <f t="shared" si="378"/>
        <v>#DIV/0!</v>
      </c>
      <c r="G865" s="1" t="s">
        <v>5510</v>
      </c>
      <c r="H865" s="1">
        <v>66</v>
      </c>
      <c r="I865" s="2" t="s">
        <v>5</v>
      </c>
      <c r="J865" s="1" t="s">
        <v>15273</v>
      </c>
      <c r="K865" s="3"/>
      <c r="L865" s="1"/>
      <c r="M865" s="1"/>
      <c r="N865" s="4" t="s">
        <v>16116</v>
      </c>
      <c r="O865" s="1" t="s">
        <v>276</v>
      </c>
      <c r="P865" s="1" t="s">
        <v>14</v>
      </c>
      <c r="Q865" s="16">
        <v>1</v>
      </c>
      <c r="R865" s="17">
        <v>1</v>
      </c>
      <c r="S865" s="774"/>
    </row>
    <row r="866" spans="1:19" ht="12" customHeight="1" thickBot="1">
      <c r="A866" s="916" t="str">
        <f t="shared" si="366"/>
        <v>191</v>
      </c>
      <c r="B866" s="700" t="s">
        <v>5509</v>
      </c>
      <c r="C866" s="700"/>
      <c r="D866" s="1009"/>
      <c r="E866" s="1003" t="str">
        <f t="shared" si="377"/>
        <v/>
      </c>
      <c r="F866" s="1041" t="str">
        <f t="shared" si="378"/>
        <v>$</v>
      </c>
      <c r="G866" s="906" t="s">
        <v>3196</v>
      </c>
      <c r="H866" s="906">
        <v>26</v>
      </c>
      <c r="I866" s="702" t="s">
        <v>5</v>
      </c>
      <c r="J866" s="906"/>
      <c r="K866" s="703"/>
      <c r="L866" s="906"/>
      <c r="M866" s="906"/>
      <c r="N866" s="700" t="s">
        <v>16117</v>
      </c>
      <c r="O866" s="906"/>
      <c r="P866" s="906" t="s">
        <v>6</v>
      </c>
      <c r="Q866" s="705"/>
      <c r="R866" s="903"/>
      <c r="S866" s="793"/>
    </row>
    <row r="867" spans="1:19" ht="12" customHeight="1">
      <c r="A867" s="1038" t="str">
        <f t="shared" si="366"/>
        <v>192</v>
      </c>
      <c r="B867" s="688" t="s">
        <v>3199</v>
      </c>
      <c r="C867" s="688"/>
      <c r="D867" s="1007"/>
      <c r="E867" s="1001" t="str">
        <f>IF(D867="","",D867/SUM($D$867:$D$872))</f>
        <v/>
      </c>
      <c r="F867" s="1004" t="e">
        <f>IF(J867="","$",IF(C867="当選","-",D867*100/MAX($D$867:$D$872)))</f>
        <v>#DIV/0!</v>
      </c>
      <c r="G867" s="687" t="s">
        <v>5453</v>
      </c>
      <c r="H867" s="687">
        <v>32</v>
      </c>
      <c r="I867" s="696" t="s">
        <v>19</v>
      </c>
      <c r="J867" s="689" t="s">
        <v>15273</v>
      </c>
      <c r="K867" s="747"/>
      <c r="L867" s="687"/>
      <c r="M867" s="687"/>
      <c r="N867" s="692" t="s">
        <v>16126</v>
      </c>
      <c r="O867" s="687" t="s">
        <v>44</v>
      </c>
      <c r="P867" s="687" t="s">
        <v>6</v>
      </c>
      <c r="Q867" s="748"/>
      <c r="R867" s="749"/>
      <c r="S867" s="805" t="s">
        <v>736</v>
      </c>
    </row>
    <row r="868" spans="1:19" ht="12" customHeight="1">
      <c r="A868" s="1040" t="str">
        <f t="shared" si="366"/>
        <v>192</v>
      </c>
      <c r="B868" s="4" t="s">
        <v>3200</v>
      </c>
      <c r="C868" s="4"/>
      <c r="D868" s="1008"/>
      <c r="E868" s="1002" t="str">
        <f t="shared" ref="E868:E872" si="379">IF(D868="","",D868/SUM($D$867:$D$872))</f>
        <v/>
      </c>
      <c r="F868" s="1005" t="e">
        <f t="shared" ref="F868:F872" si="380">IF(J868="","$",IF(C868="当選","-",D868*100/MAX($D$867:$D$872)))</f>
        <v>#DIV/0!</v>
      </c>
      <c r="G868" s="1" t="s">
        <v>3208</v>
      </c>
      <c r="H868" s="1">
        <v>45</v>
      </c>
      <c r="I868" s="2" t="s">
        <v>5</v>
      </c>
      <c r="J868" s="1" t="s">
        <v>15273</v>
      </c>
      <c r="K868" s="3"/>
      <c r="L868" s="1"/>
      <c r="M868" s="1"/>
      <c r="N868" s="4" t="s">
        <v>16120</v>
      </c>
      <c r="O868" s="1" t="s">
        <v>30</v>
      </c>
      <c r="P868" s="1" t="s">
        <v>6</v>
      </c>
      <c r="Q868" s="16"/>
      <c r="R868" s="17"/>
      <c r="S868" s="774"/>
    </row>
    <row r="869" spans="1:19" ht="12" customHeight="1">
      <c r="A869" s="1040" t="str">
        <f t="shared" si="366"/>
        <v>192</v>
      </c>
      <c r="B869" s="4" t="s">
        <v>3201</v>
      </c>
      <c r="C869" s="4"/>
      <c r="D869" s="1008"/>
      <c r="E869" s="1002" t="str">
        <f t="shared" si="379"/>
        <v/>
      </c>
      <c r="F869" s="1005" t="e">
        <f t="shared" si="380"/>
        <v>#DIV/0!</v>
      </c>
      <c r="G869" s="1" t="s">
        <v>3217</v>
      </c>
      <c r="H869" s="1">
        <v>41</v>
      </c>
      <c r="I869" s="2" t="s">
        <v>5</v>
      </c>
      <c r="J869" s="1" t="s">
        <v>15273</v>
      </c>
      <c r="K869" s="3" t="s">
        <v>3218</v>
      </c>
      <c r="L869" s="1"/>
      <c r="M869" s="1"/>
      <c r="N869" s="4" t="s">
        <v>16125</v>
      </c>
      <c r="O869" s="1"/>
      <c r="P869" s="1" t="s">
        <v>25</v>
      </c>
      <c r="Q869" s="16">
        <v>1</v>
      </c>
      <c r="R869" s="17">
        <v>1</v>
      </c>
      <c r="S869" s="774" t="s">
        <v>5561</v>
      </c>
    </row>
    <row r="870" spans="1:19" ht="12" customHeight="1">
      <c r="A870" s="1040" t="str">
        <f t="shared" si="366"/>
        <v>192</v>
      </c>
      <c r="B870" s="4" t="s">
        <v>3202</v>
      </c>
      <c r="C870" s="4"/>
      <c r="D870" s="1008"/>
      <c r="E870" s="1002" t="str">
        <f t="shared" si="379"/>
        <v/>
      </c>
      <c r="F870" s="1005" t="e">
        <f t="shared" si="380"/>
        <v>#DIV/0!</v>
      </c>
      <c r="G870" s="1" t="s">
        <v>4413</v>
      </c>
      <c r="H870" s="1">
        <v>41</v>
      </c>
      <c r="I870" s="2" t="s">
        <v>5</v>
      </c>
      <c r="J870" s="1" t="s">
        <v>15273</v>
      </c>
      <c r="K870" s="3"/>
      <c r="L870" s="1"/>
      <c r="M870" s="1"/>
      <c r="N870" s="4" t="s">
        <v>16116</v>
      </c>
      <c r="O870" s="1" t="s">
        <v>276</v>
      </c>
      <c r="P870" s="1" t="s">
        <v>6</v>
      </c>
      <c r="Q870" s="16"/>
      <c r="R870" s="17"/>
      <c r="S870" s="774"/>
    </row>
    <row r="871" spans="1:19" ht="12" customHeight="1">
      <c r="A871" s="1040" t="str">
        <f t="shared" si="366"/>
        <v>192</v>
      </c>
      <c r="B871" s="4" t="s">
        <v>3203</v>
      </c>
      <c r="C871" s="4"/>
      <c r="D871" s="1008"/>
      <c r="E871" s="1002" t="str">
        <f t="shared" si="379"/>
        <v/>
      </c>
      <c r="F871" s="1005" t="str">
        <f t="shared" si="380"/>
        <v>$</v>
      </c>
      <c r="G871" s="1" t="s">
        <v>3214</v>
      </c>
      <c r="H871" s="1">
        <v>51</v>
      </c>
      <c r="I871" s="2" t="s">
        <v>19</v>
      </c>
      <c r="J871" s="1"/>
      <c r="K871" s="3"/>
      <c r="L871" s="1"/>
      <c r="M871" s="1"/>
      <c r="N871" s="4" t="s">
        <v>16117</v>
      </c>
      <c r="O871" s="1"/>
      <c r="P871" s="1" t="s">
        <v>6</v>
      </c>
      <c r="Q871" s="16"/>
      <c r="R871" s="17"/>
      <c r="S871" s="774"/>
    </row>
    <row r="872" spans="1:19" ht="12" customHeight="1" thickBot="1">
      <c r="A872" s="916" t="str">
        <f t="shared" si="366"/>
        <v>192</v>
      </c>
      <c r="B872" s="700" t="s">
        <v>3204</v>
      </c>
      <c r="C872" s="700"/>
      <c r="D872" s="1009"/>
      <c r="E872" s="1003" t="str">
        <f t="shared" si="379"/>
        <v/>
      </c>
      <c r="F872" s="1041" t="str">
        <f t="shared" si="380"/>
        <v>$</v>
      </c>
      <c r="G872" s="906" t="s">
        <v>3221</v>
      </c>
      <c r="H872" s="906">
        <v>76</v>
      </c>
      <c r="I872" s="702" t="s">
        <v>5</v>
      </c>
      <c r="J872" s="906"/>
      <c r="K872" s="703"/>
      <c r="L872" s="906"/>
      <c r="M872" s="906"/>
      <c r="N872" s="700" t="s">
        <v>16129</v>
      </c>
      <c r="O872" s="906"/>
      <c r="P872" s="906" t="s">
        <v>14</v>
      </c>
      <c r="Q872" s="705">
        <v>9</v>
      </c>
      <c r="R872" s="903">
        <v>9</v>
      </c>
      <c r="S872" s="793"/>
    </row>
    <row r="873" spans="1:19" ht="12" customHeight="1">
      <c r="A873" s="1038" t="str">
        <f t="shared" si="366"/>
        <v>193</v>
      </c>
      <c r="B873" s="688" t="s">
        <v>3225</v>
      </c>
      <c r="C873" s="688"/>
      <c r="D873" s="1007"/>
      <c r="E873" s="1001" t="str">
        <f>IF(D873="","",D873/SUM($D$873:$D$877))</f>
        <v/>
      </c>
      <c r="F873" s="1004" t="e">
        <f>IF(J873="","$",IF(C873="当選","-",D873*100/MAX($D$873:$D$877)))</f>
        <v>#DIV/0!</v>
      </c>
      <c r="G873" s="687" t="s">
        <v>3230</v>
      </c>
      <c r="H873" s="687">
        <v>61</v>
      </c>
      <c r="I873" s="696" t="s">
        <v>5</v>
      </c>
      <c r="J873" s="687" t="s">
        <v>15273</v>
      </c>
      <c r="K873" s="747"/>
      <c r="L873" s="687"/>
      <c r="M873" s="687"/>
      <c r="N873" s="692" t="s">
        <v>16120</v>
      </c>
      <c r="O873" s="687" t="s">
        <v>476</v>
      </c>
      <c r="P873" s="687" t="s">
        <v>14</v>
      </c>
      <c r="Q873" s="748">
        <v>2</v>
      </c>
      <c r="R873" s="749">
        <v>2</v>
      </c>
      <c r="S873" s="805" t="s">
        <v>5457</v>
      </c>
    </row>
    <row r="874" spans="1:19" ht="12" customHeight="1">
      <c r="A874" s="1040" t="str">
        <f t="shared" si="366"/>
        <v>193</v>
      </c>
      <c r="B874" s="4" t="s">
        <v>3226</v>
      </c>
      <c r="C874" s="4"/>
      <c r="D874" s="1008"/>
      <c r="E874" s="1002" t="str">
        <f t="shared" ref="E874:E877" si="381">IF(D874="","",D874/SUM($D$873:$D$877))</f>
        <v/>
      </c>
      <c r="F874" s="1005" t="e">
        <f t="shared" ref="F874:F877" si="382">IF(J874="","$",IF(C874="当選","-",D874*100/MAX($D$873:$D$877)))</f>
        <v>#DIV/0!</v>
      </c>
      <c r="G874" s="1" t="s">
        <v>3233</v>
      </c>
      <c r="H874" s="1">
        <v>45</v>
      </c>
      <c r="I874" s="2" t="s">
        <v>5</v>
      </c>
      <c r="J874" s="1" t="s">
        <v>15273</v>
      </c>
      <c r="K874" s="3" t="s">
        <v>3234</v>
      </c>
      <c r="L874" s="1"/>
      <c r="M874" s="1"/>
      <c r="N874" s="4" t="s">
        <v>16125</v>
      </c>
      <c r="O874" s="1"/>
      <c r="P874" s="1" t="s">
        <v>25</v>
      </c>
      <c r="Q874" s="16">
        <v>1</v>
      </c>
      <c r="R874" s="17">
        <v>1</v>
      </c>
      <c r="S874" s="774" t="s">
        <v>5561</v>
      </c>
    </row>
    <row r="875" spans="1:19" ht="12" customHeight="1">
      <c r="A875" s="1040" t="str">
        <f t="shared" si="366"/>
        <v>193</v>
      </c>
      <c r="B875" s="4" t="s">
        <v>3227</v>
      </c>
      <c r="C875" s="4"/>
      <c r="D875" s="1008"/>
      <c r="E875" s="1002" t="str">
        <f t="shared" si="381"/>
        <v/>
      </c>
      <c r="F875" s="1005" t="e">
        <f t="shared" si="382"/>
        <v>#DIV/0!</v>
      </c>
      <c r="G875" s="1" t="s">
        <v>5422</v>
      </c>
      <c r="H875" s="1">
        <v>37</v>
      </c>
      <c r="I875" s="2" t="s">
        <v>19</v>
      </c>
      <c r="J875" s="1" t="s">
        <v>15273</v>
      </c>
      <c r="K875" s="3"/>
      <c r="L875" s="1"/>
      <c r="M875" s="1"/>
      <c r="N875" s="4" t="s">
        <v>16116</v>
      </c>
      <c r="O875" s="1"/>
      <c r="P875" s="1" t="s">
        <v>6</v>
      </c>
      <c r="Q875" s="16"/>
      <c r="R875" s="17"/>
      <c r="S875" s="774" t="s">
        <v>6154</v>
      </c>
    </row>
    <row r="876" spans="1:19" ht="12" customHeight="1">
      <c r="A876" s="1040" t="str">
        <f t="shared" si="366"/>
        <v>193</v>
      </c>
      <c r="B876" s="4" t="s">
        <v>3228</v>
      </c>
      <c r="C876" s="4"/>
      <c r="D876" s="1008"/>
      <c r="E876" s="1002" t="str">
        <f t="shared" si="381"/>
        <v/>
      </c>
      <c r="F876" s="1005" t="str">
        <f t="shared" si="382"/>
        <v>$</v>
      </c>
      <c r="G876" s="1" t="s">
        <v>3237</v>
      </c>
      <c r="H876" s="1">
        <v>58</v>
      </c>
      <c r="I876" s="2" t="s">
        <v>19</v>
      </c>
      <c r="J876" s="1"/>
      <c r="K876" s="3"/>
      <c r="L876" s="1"/>
      <c r="M876" s="1"/>
      <c r="N876" s="4" t="s">
        <v>16117</v>
      </c>
      <c r="O876" s="1"/>
      <c r="P876" s="1" t="s">
        <v>6</v>
      </c>
      <c r="Q876" s="16"/>
      <c r="R876" s="17"/>
      <c r="S876" s="774"/>
    </row>
    <row r="877" spans="1:19" ht="12" customHeight="1" thickBot="1">
      <c r="A877" s="916" t="str">
        <f t="shared" si="366"/>
        <v>193</v>
      </c>
      <c r="B877" s="700" t="s">
        <v>3229</v>
      </c>
      <c r="C877" s="700"/>
      <c r="D877" s="1009"/>
      <c r="E877" s="1003" t="str">
        <f t="shared" si="381"/>
        <v/>
      </c>
      <c r="F877" s="1041" t="str">
        <f t="shared" si="382"/>
        <v>$</v>
      </c>
      <c r="G877" s="906" t="s">
        <v>3245</v>
      </c>
      <c r="H877" s="906">
        <v>42</v>
      </c>
      <c r="I877" s="702" t="s">
        <v>19</v>
      </c>
      <c r="J877" s="906"/>
      <c r="K877" s="703"/>
      <c r="L877" s="906"/>
      <c r="M877" s="906"/>
      <c r="N877" s="700" t="s">
        <v>16129</v>
      </c>
      <c r="O877" s="906"/>
      <c r="P877" s="906" t="s">
        <v>14</v>
      </c>
      <c r="Q877" s="705">
        <v>1</v>
      </c>
      <c r="R877" s="903">
        <v>1</v>
      </c>
      <c r="S877" s="793"/>
    </row>
    <row r="878" spans="1:19" ht="12" customHeight="1">
      <c r="A878" s="1038" t="str">
        <f t="shared" si="366"/>
        <v>194</v>
      </c>
      <c r="B878" s="688" t="s">
        <v>3249</v>
      </c>
      <c r="C878" s="688"/>
      <c r="D878" s="1007"/>
      <c r="E878" s="1001" t="str">
        <f>IF(D878="","",D878/SUM($D$878:$D$880))</f>
        <v/>
      </c>
      <c r="F878" s="1004" t="e">
        <f>IF(J878="","$",IF(C878="当選","-",D878*100/MAX($D$878:$D$880)))</f>
        <v>#DIV/0!</v>
      </c>
      <c r="G878" s="687" t="s">
        <v>6026</v>
      </c>
      <c r="H878" s="687">
        <v>29</v>
      </c>
      <c r="I878" s="696" t="s">
        <v>5</v>
      </c>
      <c r="J878" s="689" t="s">
        <v>15273</v>
      </c>
      <c r="K878" s="747"/>
      <c r="L878" s="687"/>
      <c r="M878" s="687"/>
      <c r="N878" s="692" t="s">
        <v>16127</v>
      </c>
      <c r="O878" s="687" t="s">
        <v>44</v>
      </c>
      <c r="P878" s="687" t="s">
        <v>6</v>
      </c>
      <c r="Q878" s="748"/>
      <c r="R878" s="749"/>
      <c r="S878" s="805"/>
    </row>
    <row r="879" spans="1:19" ht="12" customHeight="1">
      <c r="A879" s="1040" t="str">
        <f t="shared" si="366"/>
        <v>194</v>
      </c>
      <c r="B879" s="4" t="s">
        <v>3250</v>
      </c>
      <c r="C879" s="4"/>
      <c r="D879" s="1008"/>
      <c r="E879" s="1002" t="str">
        <f t="shared" ref="E879:E880" si="383">IF(D879="","",D879/SUM($D$878:$D$880))</f>
        <v/>
      </c>
      <c r="F879" s="1005" t="str">
        <f t="shared" ref="F879:F880" si="384">IF(J879="","$",IF(C879="当選","-",D879*100/MAX($D$878:$D$880)))</f>
        <v>$</v>
      </c>
      <c r="G879" s="1" t="s">
        <v>3252</v>
      </c>
      <c r="H879" s="1">
        <v>53</v>
      </c>
      <c r="I879" s="2" t="s">
        <v>5</v>
      </c>
      <c r="J879" s="1"/>
      <c r="K879" s="3" t="s">
        <v>3253</v>
      </c>
      <c r="L879" s="1"/>
      <c r="M879" s="1"/>
      <c r="N879" s="4" t="s">
        <v>16118</v>
      </c>
      <c r="O879" s="1"/>
      <c r="P879" s="1" t="s">
        <v>25</v>
      </c>
      <c r="Q879" s="16">
        <v>6</v>
      </c>
      <c r="R879" s="17">
        <v>6</v>
      </c>
      <c r="S879" s="774" t="s">
        <v>5546</v>
      </c>
    </row>
    <row r="880" spans="1:19" ht="12" customHeight="1" thickBot="1">
      <c r="A880" s="916" t="str">
        <f t="shared" si="366"/>
        <v>194</v>
      </c>
      <c r="B880" s="700" t="s">
        <v>3251</v>
      </c>
      <c r="C880" s="700"/>
      <c r="D880" s="1009"/>
      <c r="E880" s="1003" t="str">
        <f t="shared" si="383"/>
        <v/>
      </c>
      <c r="F880" s="1041" t="str">
        <f t="shared" si="384"/>
        <v>$</v>
      </c>
      <c r="G880" s="906" t="s">
        <v>3256</v>
      </c>
      <c r="H880" s="906">
        <v>31</v>
      </c>
      <c r="I880" s="702" t="s">
        <v>19</v>
      </c>
      <c r="J880" s="906"/>
      <c r="K880" s="703"/>
      <c r="L880" s="906"/>
      <c r="M880" s="906"/>
      <c r="N880" s="700" t="s">
        <v>16117</v>
      </c>
      <c r="O880" s="906"/>
      <c r="P880" s="906" t="s">
        <v>6</v>
      </c>
      <c r="Q880" s="705"/>
      <c r="R880" s="903"/>
      <c r="S880" s="793"/>
    </row>
    <row r="881" spans="1:19" ht="12" customHeight="1">
      <c r="A881" s="1038" t="str">
        <f t="shared" si="366"/>
        <v>195</v>
      </c>
      <c r="B881" s="688" t="s">
        <v>3258</v>
      </c>
      <c r="C881" s="688"/>
      <c r="D881" s="1007"/>
      <c r="E881" s="1001" t="str">
        <f>IF(D881="","",D881/SUM($D$881:$D$885))</f>
        <v/>
      </c>
      <c r="F881" s="1004" t="e">
        <f>IF(J881="","$",IF(C881="当選","-",D881*100/MAX($D$881:$D$885)))</f>
        <v>#DIV/0!</v>
      </c>
      <c r="G881" s="687" t="s">
        <v>3263</v>
      </c>
      <c r="H881" s="687">
        <v>50</v>
      </c>
      <c r="I881" s="696" t="s">
        <v>5</v>
      </c>
      <c r="J881" s="689" t="s">
        <v>15273</v>
      </c>
      <c r="K881" s="747" t="s">
        <v>3264</v>
      </c>
      <c r="L881" s="687"/>
      <c r="M881" s="687"/>
      <c r="N881" s="692" t="s">
        <v>16127</v>
      </c>
      <c r="O881" s="687" t="s">
        <v>681</v>
      </c>
      <c r="P881" s="687" t="s">
        <v>25</v>
      </c>
      <c r="Q881" s="748">
        <v>4</v>
      </c>
      <c r="R881" s="749">
        <v>4</v>
      </c>
      <c r="S881" s="805" t="s">
        <v>736</v>
      </c>
    </row>
    <row r="882" spans="1:19" ht="12" customHeight="1">
      <c r="A882" s="1040" t="str">
        <f t="shared" si="366"/>
        <v>195</v>
      </c>
      <c r="B882" s="4" t="s">
        <v>3259</v>
      </c>
      <c r="C882" s="4"/>
      <c r="D882" s="1008"/>
      <c r="E882" s="1002" t="str">
        <f t="shared" ref="E882:E885" si="385">IF(D882="","",D882/SUM($D$881:$D$885))</f>
        <v/>
      </c>
      <c r="F882" s="1005" t="e">
        <f t="shared" ref="F882:F885" si="386">IF(J882="","$",IF(C882="当選","-",D882*100/MAX($D$881:$D$885)))</f>
        <v>#DIV/0!</v>
      </c>
      <c r="G882" s="1" t="s">
        <v>3268</v>
      </c>
      <c r="H882" s="1">
        <v>42</v>
      </c>
      <c r="I882" s="2" t="s">
        <v>5</v>
      </c>
      <c r="J882" s="1" t="s">
        <v>15273</v>
      </c>
      <c r="K882" s="3"/>
      <c r="L882" s="1"/>
      <c r="M882" s="1"/>
      <c r="N882" s="4" t="s">
        <v>16120</v>
      </c>
      <c r="O882" s="1" t="s">
        <v>48</v>
      </c>
      <c r="P882" s="1" t="s">
        <v>14</v>
      </c>
      <c r="Q882" s="16">
        <v>2</v>
      </c>
      <c r="R882" s="17">
        <v>2</v>
      </c>
      <c r="S882" s="774" t="s">
        <v>5457</v>
      </c>
    </row>
    <row r="883" spans="1:19" ht="12" customHeight="1">
      <c r="A883" s="1040" t="str">
        <f t="shared" si="366"/>
        <v>195</v>
      </c>
      <c r="B883" s="4" t="s">
        <v>3260</v>
      </c>
      <c r="C883" s="4"/>
      <c r="D883" s="1008"/>
      <c r="E883" s="1002" t="str">
        <f t="shared" si="385"/>
        <v/>
      </c>
      <c r="F883" s="1005" t="e">
        <f t="shared" si="386"/>
        <v>#DIV/0!</v>
      </c>
      <c r="G883" s="1" t="s">
        <v>5033</v>
      </c>
      <c r="H883" s="1">
        <v>29</v>
      </c>
      <c r="I883" s="2" t="s">
        <v>5</v>
      </c>
      <c r="J883" s="1" t="s">
        <v>15273</v>
      </c>
      <c r="K883" s="3"/>
      <c r="L883" s="1"/>
      <c r="M883" s="1"/>
      <c r="N883" s="4" t="s">
        <v>16116</v>
      </c>
      <c r="O883" s="1" t="s">
        <v>18494</v>
      </c>
      <c r="P883" s="1" t="s">
        <v>6</v>
      </c>
      <c r="Q883" s="16"/>
      <c r="R883" s="17"/>
      <c r="S883" s="774" t="s">
        <v>6154</v>
      </c>
    </row>
    <row r="884" spans="1:19" ht="12" customHeight="1">
      <c r="A884" s="1040" t="str">
        <f t="shared" si="366"/>
        <v>195</v>
      </c>
      <c r="B884" s="4" t="s">
        <v>3261</v>
      </c>
      <c r="C884" s="4"/>
      <c r="D884" s="1008"/>
      <c r="E884" s="1002" t="str">
        <f t="shared" si="385"/>
        <v/>
      </c>
      <c r="F884" s="1005" t="e">
        <f t="shared" si="386"/>
        <v>#DIV/0!</v>
      </c>
      <c r="G884" s="1" t="s">
        <v>3270</v>
      </c>
      <c r="H884" s="1">
        <v>44</v>
      </c>
      <c r="I884" s="2" t="s">
        <v>5</v>
      </c>
      <c r="J884" s="1" t="s">
        <v>15273</v>
      </c>
      <c r="K884" s="3"/>
      <c r="L884" s="1"/>
      <c r="M884" s="1"/>
      <c r="N884" s="4" t="s">
        <v>16117</v>
      </c>
      <c r="O884" s="1"/>
      <c r="P884" s="1" t="s">
        <v>6</v>
      </c>
      <c r="Q884" s="16"/>
      <c r="R884" s="17"/>
      <c r="S884" s="774"/>
    </row>
    <row r="885" spans="1:19" ht="12" customHeight="1" thickBot="1">
      <c r="A885" s="916" t="str">
        <f t="shared" si="366"/>
        <v>195</v>
      </c>
      <c r="B885" s="700" t="s">
        <v>3262</v>
      </c>
      <c r="C885" s="700"/>
      <c r="D885" s="1009"/>
      <c r="E885" s="1003" t="str">
        <f t="shared" si="385"/>
        <v/>
      </c>
      <c r="F885" s="1041" t="e">
        <f t="shared" si="386"/>
        <v>#DIV/0!</v>
      </c>
      <c r="G885" s="906" t="s">
        <v>3274</v>
      </c>
      <c r="H885" s="906">
        <v>63</v>
      </c>
      <c r="I885" s="702" t="s">
        <v>5</v>
      </c>
      <c r="J885" s="906" t="s">
        <v>15273</v>
      </c>
      <c r="K885" s="703"/>
      <c r="L885" s="906"/>
      <c r="M885" s="906"/>
      <c r="N885" s="700" t="s">
        <v>16121</v>
      </c>
      <c r="O885" s="906"/>
      <c r="P885" s="906" t="s">
        <v>6</v>
      </c>
      <c r="Q885" s="705"/>
      <c r="R885" s="903"/>
      <c r="S885" s="793"/>
    </row>
    <row r="886" spans="1:19" ht="12" customHeight="1">
      <c r="A886" s="1038" t="str">
        <f t="shared" si="366"/>
        <v>196</v>
      </c>
      <c r="B886" s="688" t="s">
        <v>3277</v>
      </c>
      <c r="C886" s="688"/>
      <c r="D886" s="1007"/>
      <c r="E886" s="1001" t="str">
        <f>IF(D886="","",D886/SUM($D$886:$D$888))</f>
        <v/>
      </c>
      <c r="F886" s="1004" t="e">
        <f>IF(J886="","$",IF(C886="当選","-",D886*100/MAX($D$886:$D$888)))</f>
        <v>#DIV/0!</v>
      </c>
      <c r="G886" s="687" t="s">
        <v>5455</v>
      </c>
      <c r="H886" s="687">
        <v>38</v>
      </c>
      <c r="I886" s="696" t="s">
        <v>19</v>
      </c>
      <c r="J886" s="689" t="s">
        <v>15273</v>
      </c>
      <c r="K886" s="747"/>
      <c r="L886" s="687"/>
      <c r="M886" s="687"/>
      <c r="N886" s="692" t="s">
        <v>16126</v>
      </c>
      <c r="O886" s="687" t="s">
        <v>44</v>
      </c>
      <c r="P886" s="687" t="s">
        <v>6</v>
      </c>
      <c r="Q886" s="748"/>
      <c r="R886" s="749"/>
      <c r="S886" s="805"/>
    </row>
    <row r="887" spans="1:19" ht="12" customHeight="1">
      <c r="A887" s="1040" t="str">
        <f t="shared" si="366"/>
        <v>196</v>
      </c>
      <c r="B887" s="4" t="s">
        <v>3278</v>
      </c>
      <c r="C887" s="4"/>
      <c r="D887" s="1008"/>
      <c r="E887" s="1002" t="str">
        <f t="shared" ref="E887:E888" si="387">IF(D887="","",D887/SUM($D$886:$D$888))</f>
        <v/>
      </c>
      <c r="F887" s="1005" t="str">
        <f t="shared" ref="F887:F888" si="388">IF(J887="","$",IF(C887="当選","-",D887*100/MAX($D$886:$D$888)))</f>
        <v>$</v>
      </c>
      <c r="G887" s="1" t="s">
        <v>3280</v>
      </c>
      <c r="H887" s="1">
        <v>38</v>
      </c>
      <c r="I887" s="2" t="s">
        <v>5</v>
      </c>
      <c r="J887" s="1"/>
      <c r="K887" s="3"/>
      <c r="L887" s="1"/>
      <c r="M887" s="1"/>
      <c r="N887" s="4" t="s">
        <v>16118</v>
      </c>
      <c r="O887" s="1"/>
      <c r="P887" s="1" t="s">
        <v>6</v>
      </c>
      <c r="Q887" s="16"/>
      <c r="R887" s="17"/>
      <c r="S887" s="774" t="s">
        <v>5546</v>
      </c>
    </row>
    <row r="888" spans="1:19" ht="12" customHeight="1" thickBot="1">
      <c r="A888" s="916" t="str">
        <f t="shared" si="366"/>
        <v>196</v>
      </c>
      <c r="B888" s="700" t="s">
        <v>3279</v>
      </c>
      <c r="C888" s="700"/>
      <c r="D888" s="1009"/>
      <c r="E888" s="1003" t="str">
        <f t="shared" si="387"/>
        <v/>
      </c>
      <c r="F888" s="1041" t="str">
        <f t="shared" si="388"/>
        <v>$</v>
      </c>
      <c r="G888" s="906" t="s">
        <v>3284</v>
      </c>
      <c r="H888" s="906">
        <v>63</v>
      </c>
      <c r="I888" s="702" t="s">
        <v>5</v>
      </c>
      <c r="J888" s="906"/>
      <c r="K888" s="703"/>
      <c r="L888" s="906"/>
      <c r="M888" s="906"/>
      <c r="N888" s="700" t="s">
        <v>16117</v>
      </c>
      <c r="O888" s="906"/>
      <c r="P888" s="906" t="s">
        <v>6</v>
      </c>
      <c r="Q888" s="705"/>
      <c r="R888" s="903"/>
      <c r="S888" s="793"/>
    </row>
    <row r="889" spans="1:19" ht="12" customHeight="1">
      <c r="A889" s="1038" t="str">
        <f t="shared" si="366"/>
        <v>197</v>
      </c>
      <c r="B889" s="688" t="s">
        <v>3286</v>
      </c>
      <c r="C889" s="688"/>
      <c r="D889" s="1007"/>
      <c r="E889" s="1001" t="str">
        <f>IF(D889="","",D889/SUM($D$889:$D$891))</f>
        <v/>
      </c>
      <c r="F889" s="1004" t="e">
        <f>IF(J889="","$",IF(C889="当選","-",D889*100/MAX($D$889:$D$891)))</f>
        <v>#DIV/0!</v>
      </c>
      <c r="G889" s="687" t="s">
        <v>3289</v>
      </c>
      <c r="H889" s="687">
        <v>60</v>
      </c>
      <c r="I889" s="696" t="s">
        <v>5</v>
      </c>
      <c r="J889" s="687" t="s">
        <v>15273</v>
      </c>
      <c r="K889" s="747" t="s">
        <v>3290</v>
      </c>
      <c r="L889" s="687"/>
      <c r="M889" s="687"/>
      <c r="N889" s="688" t="s">
        <v>16125</v>
      </c>
      <c r="O889" s="687"/>
      <c r="P889" s="687" t="s">
        <v>25</v>
      </c>
      <c r="Q889" s="748">
        <v>1</v>
      </c>
      <c r="R889" s="749">
        <v>1</v>
      </c>
      <c r="S889" s="805" t="s">
        <v>5561</v>
      </c>
    </row>
    <row r="890" spans="1:19" ht="12" customHeight="1">
      <c r="A890" s="1040" t="str">
        <f t="shared" si="366"/>
        <v>197</v>
      </c>
      <c r="B890" s="4" t="s">
        <v>3287</v>
      </c>
      <c r="C890" s="4"/>
      <c r="D890" s="1008"/>
      <c r="E890" s="1002" t="str">
        <f t="shared" ref="E890:E891" si="389">IF(D890="","",D890/SUM($D$889:$D$891))</f>
        <v/>
      </c>
      <c r="F890" s="1005" t="str">
        <f t="shared" ref="F890:F891" si="390">IF(J890="","$",IF(C890="当選","-",D890*100/MAX($D$889:$D$891)))</f>
        <v>$</v>
      </c>
      <c r="G890" s="1" t="s">
        <v>3293</v>
      </c>
      <c r="H890" s="1">
        <v>38</v>
      </c>
      <c r="I890" s="2" t="s">
        <v>5</v>
      </c>
      <c r="J890" s="1"/>
      <c r="K890" s="3"/>
      <c r="L890" s="1"/>
      <c r="M890" s="1"/>
      <c r="N890" s="4" t="s">
        <v>16118</v>
      </c>
      <c r="O890" s="1"/>
      <c r="P890" s="1" t="s">
        <v>6</v>
      </c>
      <c r="Q890" s="16"/>
      <c r="R890" s="17"/>
      <c r="S890" s="774" t="s">
        <v>5546</v>
      </c>
    </row>
    <row r="891" spans="1:19" ht="12" customHeight="1" thickBot="1">
      <c r="A891" s="916" t="str">
        <f t="shared" si="366"/>
        <v>197</v>
      </c>
      <c r="B891" s="700" t="s">
        <v>3288</v>
      </c>
      <c r="C891" s="700"/>
      <c r="D891" s="1009"/>
      <c r="E891" s="1003" t="str">
        <f t="shared" si="389"/>
        <v/>
      </c>
      <c r="F891" s="1041" t="str">
        <f t="shared" si="390"/>
        <v>$</v>
      </c>
      <c r="G891" s="906" t="s">
        <v>3296</v>
      </c>
      <c r="H891" s="906">
        <v>54</v>
      </c>
      <c r="I891" s="702" t="s">
        <v>19</v>
      </c>
      <c r="J891" s="906"/>
      <c r="K891" s="703"/>
      <c r="L891" s="906"/>
      <c r="M891" s="906"/>
      <c r="N891" s="700" t="s">
        <v>16117</v>
      </c>
      <c r="O891" s="906"/>
      <c r="P891" s="906" t="s">
        <v>6</v>
      </c>
      <c r="Q891" s="705"/>
      <c r="R891" s="903"/>
      <c r="S891" s="793"/>
    </row>
    <row r="892" spans="1:19" ht="12" customHeight="1">
      <c r="A892" s="1038" t="str">
        <f t="shared" si="366"/>
        <v>198</v>
      </c>
      <c r="B892" s="688" t="s">
        <v>3299</v>
      </c>
      <c r="C892" s="688"/>
      <c r="D892" s="1007"/>
      <c r="E892" s="1001" t="str">
        <f>IF(D892="","",D892/SUM($D$892:$D$896))</f>
        <v/>
      </c>
      <c r="F892" s="1004" t="e">
        <f>IF(J892="","$",IF(C892="当選","-",D892*100/MAX($D$892:$D$896)))</f>
        <v>#DIV/0!</v>
      </c>
      <c r="G892" s="687" t="s">
        <v>3303</v>
      </c>
      <c r="H892" s="687">
        <v>63</v>
      </c>
      <c r="I892" s="696" t="s">
        <v>5</v>
      </c>
      <c r="J892" s="689" t="s">
        <v>15273</v>
      </c>
      <c r="K892" s="747" t="s">
        <v>3304</v>
      </c>
      <c r="L892" s="687"/>
      <c r="M892" s="687"/>
      <c r="N892" s="692" t="s">
        <v>16127</v>
      </c>
      <c r="O892" s="687" t="s">
        <v>604</v>
      </c>
      <c r="P892" s="687" t="s">
        <v>25</v>
      </c>
      <c r="Q892" s="748">
        <v>6</v>
      </c>
      <c r="R892" s="749">
        <v>6</v>
      </c>
      <c r="S892" s="805" t="s">
        <v>736</v>
      </c>
    </row>
    <row r="893" spans="1:19" ht="12" customHeight="1">
      <c r="A893" s="1040" t="str">
        <f t="shared" si="366"/>
        <v>198</v>
      </c>
      <c r="B893" s="4" t="s">
        <v>3300</v>
      </c>
      <c r="C893" s="4"/>
      <c r="D893" s="1008"/>
      <c r="E893" s="1002" t="str">
        <f t="shared" ref="E893:E896" si="391">IF(D893="","",D893/SUM($D$892:$D$896))</f>
        <v/>
      </c>
      <c r="F893" s="1005" t="e">
        <f t="shared" ref="F893:F896" si="392">IF(J893="","$",IF(C893="当選","-",D893*100/MAX($D$892:$D$896)))</f>
        <v>#DIV/0!</v>
      </c>
      <c r="G893" s="1" t="s">
        <v>3309</v>
      </c>
      <c r="H893" s="1">
        <v>50</v>
      </c>
      <c r="I893" s="2" t="s">
        <v>19</v>
      </c>
      <c r="J893" s="1" t="s">
        <v>15273</v>
      </c>
      <c r="K893" s="3"/>
      <c r="L893" s="1"/>
      <c r="M893" s="1"/>
      <c r="N893" s="4" t="s">
        <v>16120</v>
      </c>
      <c r="O893" s="1" t="s">
        <v>13</v>
      </c>
      <c r="P893" s="1" t="s">
        <v>14</v>
      </c>
      <c r="Q893" s="16">
        <v>1</v>
      </c>
      <c r="R893" s="17">
        <v>1</v>
      </c>
      <c r="S893" s="774" t="s">
        <v>5457</v>
      </c>
    </row>
    <row r="894" spans="1:19" ht="12" customHeight="1">
      <c r="A894" s="1040" t="str">
        <f t="shared" si="366"/>
        <v>198</v>
      </c>
      <c r="B894" s="4" t="s">
        <v>3301</v>
      </c>
      <c r="C894" s="4"/>
      <c r="D894" s="1008"/>
      <c r="E894" s="1002" t="str">
        <f t="shared" si="391"/>
        <v/>
      </c>
      <c r="F894" s="1005" t="e">
        <f t="shared" si="392"/>
        <v>#DIV/0!</v>
      </c>
      <c r="G894" s="1" t="s">
        <v>4645</v>
      </c>
      <c r="H894" s="1">
        <v>56</v>
      </c>
      <c r="I894" s="2" t="s">
        <v>5</v>
      </c>
      <c r="J894" s="1" t="s">
        <v>15273</v>
      </c>
      <c r="K894" s="3" t="s">
        <v>4646</v>
      </c>
      <c r="L894" s="1"/>
      <c r="M894" s="1"/>
      <c r="N894" s="4" t="s">
        <v>16125</v>
      </c>
      <c r="O894" s="1"/>
      <c r="P894" s="1" t="s">
        <v>25</v>
      </c>
      <c r="Q894" s="16">
        <v>1</v>
      </c>
      <c r="R894" s="17">
        <v>1</v>
      </c>
      <c r="S894" s="774" t="s">
        <v>5561</v>
      </c>
    </row>
    <row r="895" spans="1:19" ht="12" customHeight="1">
      <c r="A895" s="1040" t="str">
        <f t="shared" si="366"/>
        <v>198</v>
      </c>
      <c r="B895" s="4" t="s">
        <v>3302</v>
      </c>
      <c r="C895" s="4"/>
      <c r="D895" s="1008"/>
      <c r="E895" s="1002" t="str">
        <f t="shared" si="391"/>
        <v/>
      </c>
      <c r="F895" s="1005" t="e">
        <f t="shared" si="392"/>
        <v>#DIV/0!</v>
      </c>
      <c r="G895" s="1" t="s">
        <v>5034</v>
      </c>
      <c r="H895" s="1">
        <v>29</v>
      </c>
      <c r="I895" s="2" t="s">
        <v>19</v>
      </c>
      <c r="J895" s="1" t="s">
        <v>15273</v>
      </c>
      <c r="K895" s="3"/>
      <c r="L895" s="1"/>
      <c r="M895" s="1"/>
      <c r="N895" s="4" t="s">
        <v>16116</v>
      </c>
      <c r="O895" s="1" t="s">
        <v>18494</v>
      </c>
      <c r="P895" s="1" t="s">
        <v>6</v>
      </c>
      <c r="Q895" s="16"/>
      <c r="R895" s="17"/>
      <c r="S895" s="774" t="s">
        <v>6154</v>
      </c>
    </row>
    <row r="896" spans="1:19" ht="12" customHeight="1" thickBot="1">
      <c r="A896" s="916" t="str">
        <f t="shared" si="366"/>
        <v>198</v>
      </c>
      <c r="B896" s="700" t="s">
        <v>4644</v>
      </c>
      <c r="C896" s="700"/>
      <c r="D896" s="1009"/>
      <c r="E896" s="1003" t="str">
        <f t="shared" si="391"/>
        <v/>
      </c>
      <c r="F896" s="1041" t="str">
        <f t="shared" si="392"/>
        <v>$</v>
      </c>
      <c r="G896" s="906" t="s">
        <v>3313</v>
      </c>
      <c r="H896" s="906">
        <v>45</v>
      </c>
      <c r="I896" s="702" t="s">
        <v>19</v>
      </c>
      <c r="J896" s="906"/>
      <c r="K896" s="703"/>
      <c r="L896" s="906"/>
      <c r="M896" s="906"/>
      <c r="N896" s="700" t="s">
        <v>16117</v>
      </c>
      <c r="O896" s="906"/>
      <c r="P896" s="906" t="s">
        <v>6</v>
      </c>
      <c r="Q896" s="705"/>
      <c r="R896" s="903"/>
      <c r="S896" s="793"/>
    </row>
    <row r="897" spans="1:19" ht="12" customHeight="1">
      <c r="A897" s="1038" t="str">
        <f t="shared" si="366"/>
        <v>199</v>
      </c>
      <c r="B897" s="688" t="s">
        <v>3316</v>
      </c>
      <c r="C897" s="688"/>
      <c r="D897" s="1007"/>
      <c r="E897" s="1001" t="str">
        <f>IF(D897="","",D897/SUM($D$897:$D$900))</f>
        <v/>
      </c>
      <c r="F897" s="1004" t="e">
        <f>IF(J897="","$",IF(C897="当選","-",D897*100/MAX($D$897:$D$900)))</f>
        <v>#DIV/0!</v>
      </c>
      <c r="G897" s="687" t="s">
        <v>3560</v>
      </c>
      <c r="H897" s="687">
        <v>30</v>
      </c>
      <c r="I897" s="696" t="s">
        <v>5</v>
      </c>
      <c r="J897" s="689" t="s">
        <v>15273</v>
      </c>
      <c r="K897" s="747" t="s">
        <v>3561</v>
      </c>
      <c r="L897" s="687"/>
      <c r="M897" s="687"/>
      <c r="N897" s="692" t="s">
        <v>16127</v>
      </c>
      <c r="O897" s="687" t="s">
        <v>681</v>
      </c>
      <c r="P897" s="687" t="s">
        <v>25</v>
      </c>
      <c r="Q897" s="748">
        <v>1</v>
      </c>
      <c r="R897" s="749">
        <v>1</v>
      </c>
      <c r="S897" s="805" t="s">
        <v>736</v>
      </c>
    </row>
    <row r="898" spans="1:19" ht="12" customHeight="1">
      <c r="A898" s="1040" t="str">
        <f t="shared" si="366"/>
        <v>199</v>
      </c>
      <c r="B898" s="4" t="s">
        <v>3317</v>
      </c>
      <c r="C898" s="4"/>
      <c r="D898" s="1008"/>
      <c r="E898" s="1002" t="str">
        <f t="shared" ref="E898:E900" si="393">IF(D898="","",D898/SUM($D$897:$D$900))</f>
        <v/>
      </c>
      <c r="F898" s="1005" t="e">
        <f t="shared" ref="F898:F900" si="394">IF(J898="","$",IF(C898="当選","-",D898*100/MAX($D$897:$D$900)))</f>
        <v>#DIV/0!</v>
      </c>
      <c r="G898" s="1" t="s">
        <v>3321</v>
      </c>
      <c r="H898" s="1">
        <v>48</v>
      </c>
      <c r="I898" s="2" t="s">
        <v>5</v>
      </c>
      <c r="J898" s="1" t="s">
        <v>15273</v>
      </c>
      <c r="K898" s="3"/>
      <c r="L898" s="1"/>
      <c r="M898" s="1"/>
      <c r="N898" s="8" t="s">
        <v>16120</v>
      </c>
      <c r="O898" s="1" t="s">
        <v>13</v>
      </c>
      <c r="P898" s="1" t="s">
        <v>14</v>
      </c>
      <c r="Q898" s="16">
        <v>1</v>
      </c>
      <c r="R898" s="17">
        <v>1</v>
      </c>
      <c r="S898" s="774" t="s">
        <v>5457</v>
      </c>
    </row>
    <row r="899" spans="1:19" ht="12" customHeight="1">
      <c r="A899" s="1040" t="str">
        <f t="shared" ref="A899:A962" si="395">MIDB(B899,1,3)</f>
        <v>199</v>
      </c>
      <c r="B899" s="4" t="s">
        <v>3318</v>
      </c>
      <c r="C899" s="4"/>
      <c r="D899" s="1008"/>
      <c r="E899" s="1002" t="str">
        <f t="shared" si="393"/>
        <v/>
      </c>
      <c r="F899" s="1005" t="e">
        <f t="shared" si="394"/>
        <v>#DIV/0!</v>
      </c>
      <c r="G899" s="1" t="s">
        <v>5035</v>
      </c>
      <c r="H899" s="1">
        <v>43</v>
      </c>
      <c r="I899" s="2" t="s">
        <v>5</v>
      </c>
      <c r="J899" s="1" t="s">
        <v>15273</v>
      </c>
      <c r="K899" s="3"/>
      <c r="L899" s="1"/>
      <c r="M899" s="1"/>
      <c r="N899" s="4" t="s">
        <v>16116</v>
      </c>
      <c r="O899" s="1" t="s">
        <v>18494</v>
      </c>
      <c r="P899" s="1" t="s">
        <v>6</v>
      </c>
      <c r="Q899" s="16"/>
      <c r="R899" s="17"/>
      <c r="S899" s="774" t="s">
        <v>6154</v>
      </c>
    </row>
    <row r="900" spans="1:19" ht="12" customHeight="1" thickBot="1">
      <c r="A900" s="916" t="str">
        <f t="shared" si="395"/>
        <v>199</v>
      </c>
      <c r="B900" s="700" t="s">
        <v>3319</v>
      </c>
      <c r="C900" s="700"/>
      <c r="D900" s="1009"/>
      <c r="E900" s="1003" t="str">
        <f t="shared" si="393"/>
        <v/>
      </c>
      <c r="F900" s="1041" t="str">
        <f t="shared" si="394"/>
        <v>$</v>
      </c>
      <c r="G900" s="906" t="s">
        <v>3324</v>
      </c>
      <c r="H900" s="906">
        <v>53</v>
      </c>
      <c r="I900" s="702" t="s">
        <v>5</v>
      </c>
      <c r="J900" s="906"/>
      <c r="K900" s="703"/>
      <c r="L900" s="906"/>
      <c r="M900" s="906"/>
      <c r="N900" s="700" t="s">
        <v>16117</v>
      </c>
      <c r="O900" s="906"/>
      <c r="P900" s="906" t="s">
        <v>6</v>
      </c>
      <c r="Q900" s="705"/>
      <c r="R900" s="903"/>
      <c r="S900" s="793"/>
    </row>
    <row r="901" spans="1:19" ht="12" customHeight="1">
      <c r="A901" s="1038" t="str">
        <f t="shared" si="395"/>
        <v>200</v>
      </c>
      <c r="B901" s="688" t="s">
        <v>3327</v>
      </c>
      <c r="C901" s="688"/>
      <c r="D901" s="1007"/>
      <c r="E901" s="1001" t="str">
        <f>IF(D901="","",D901/SUM($D$901:$D$904))</f>
        <v/>
      </c>
      <c r="F901" s="1004" t="e">
        <f>IF(J901="","$",IF(C901="当選","-",D901*100/MAX($D$901:$D$904)))</f>
        <v>#DIV/0!</v>
      </c>
      <c r="G901" s="687" t="s">
        <v>3331</v>
      </c>
      <c r="H901" s="687">
        <v>50</v>
      </c>
      <c r="I901" s="696" t="s">
        <v>5</v>
      </c>
      <c r="J901" s="689" t="s">
        <v>15273</v>
      </c>
      <c r="K901" s="747" t="s">
        <v>3332</v>
      </c>
      <c r="L901" s="687"/>
      <c r="M901" s="687"/>
      <c r="N901" s="692" t="s">
        <v>16126</v>
      </c>
      <c r="O901" s="687" t="s">
        <v>24</v>
      </c>
      <c r="P901" s="687" t="s">
        <v>25</v>
      </c>
      <c r="Q901" s="748">
        <v>3</v>
      </c>
      <c r="R901" s="749">
        <v>3</v>
      </c>
      <c r="S901" s="805" t="s">
        <v>736</v>
      </c>
    </row>
    <row r="902" spans="1:19" ht="12" customHeight="1">
      <c r="A902" s="1040" t="str">
        <f t="shared" si="395"/>
        <v>200</v>
      </c>
      <c r="B902" s="4" t="s">
        <v>3328</v>
      </c>
      <c r="C902" s="4"/>
      <c r="D902" s="1008"/>
      <c r="E902" s="1002" t="str">
        <f t="shared" ref="E902:E904" si="396">IF(D902="","",D902/SUM($D$901:$D$904))</f>
        <v/>
      </c>
      <c r="F902" s="1005" t="e">
        <f t="shared" ref="F902:F904" si="397">IF(J902="","$",IF(C902="当選","-",D902*100/MAX($D$901:$D$904)))</f>
        <v>#DIV/0!</v>
      </c>
      <c r="G902" s="1" t="s">
        <v>3336</v>
      </c>
      <c r="H902" s="1">
        <v>64</v>
      </c>
      <c r="I902" s="2" t="s">
        <v>5</v>
      </c>
      <c r="J902" s="1" t="s">
        <v>15273</v>
      </c>
      <c r="K902" s="3"/>
      <c r="L902" s="1"/>
      <c r="M902" s="1"/>
      <c r="N902" s="4" t="s">
        <v>16120</v>
      </c>
      <c r="O902" s="1" t="s">
        <v>13</v>
      </c>
      <c r="P902" s="1" t="s">
        <v>14</v>
      </c>
      <c r="Q902" s="16">
        <v>1</v>
      </c>
      <c r="R902" s="17">
        <v>1</v>
      </c>
      <c r="S902" s="774" t="s">
        <v>5457</v>
      </c>
    </row>
    <row r="903" spans="1:19" ht="12" customHeight="1">
      <c r="A903" s="1040" t="str">
        <f t="shared" si="395"/>
        <v>200</v>
      </c>
      <c r="B903" s="4" t="s">
        <v>3329</v>
      </c>
      <c r="C903" s="4"/>
      <c r="D903" s="1008"/>
      <c r="E903" s="1002" t="str">
        <f t="shared" si="396"/>
        <v/>
      </c>
      <c r="F903" s="1005" t="e">
        <f t="shared" si="397"/>
        <v>#DIV/0!</v>
      </c>
      <c r="G903" s="1" t="s">
        <v>5036</v>
      </c>
      <c r="H903" s="1">
        <v>47</v>
      </c>
      <c r="I903" s="2" t="s">
        <v>5</v>
      </c>
      <c r="J903" s="1" t="s">
        <v>15273</v>
      </c>
      <c r="K903" s="3"/>
      <c r="L903" s="1"/>
      <c r="M903" s="1"/>
      <c r="N903" s="4" t="s">
        <v>16116</v>
      </c>
      <c r="O903" s="1" t="s">
        <v>18494</v>
      </c>
      <c r="P903" s="1" t="s">
        <v>6</v>
      </c>
      <c r="Q903" s="16"/>
      <c r="R903" s="17"/>
      <c r="S903" s="774"/>
    </row>
    <row r="904" spans="1:19" ht="12" customHeight="1" thickBot="1">
      <c r="A904" s="916" t="str">
        <f t="shared" si="395"/>
        <v>200</v>
      </c>
      <c r="B904" s="700" t="s">
        <v>3330</v>
      </c>
      <c r="C904" s="700"/>
      <c r="D904" s="1009"/>
      <c r="E904" s="1003" t="str">
        <f t="shared" si="396"/>
        <v/>
      </c>
      <c r="F904" s="1041" t="str">
        <f t="shared" si="397"/>
        <v>$</v>
      </c>
      <c r="G904" s="906" t="s">
        <v>3339</v>
      </c>
      <c r="H904" s="906">
        <v>66</v>
      </c>
      <c r="I904" s="702" t="s">
        <v>5</v>
      </c>
      <c r="J904" s="906"/>
      <c r="K904" s="703"/>
      <c r="L904" s="906"/>
      <c r="M904" s="906"/>
      <c r="N904" s="700" t="s">
        <v>16117</v>
      </c>
      <c r="O904" s="906"/>
      <c r="P904" s="906" t="s">
        <v>6</v>
      </c>
      <c r="Q904" s="705"/>
      <c r="R904" s="903"/>
      <c r="S904" s="793"/>
    </row>
    <row r="905" spans="1:19" ht="12" customHeight="1">
      <c r="A905" s="1038" t="str">
        <f t="shared" si="395"/>
        <v>201</v>
      </c>
      <c r="B905" s="688" t="s">
        <v>3345</v>
      </c>
      <c r="C905" s="688"/>
      <c r="D905" s="1007"/>
      <c r="E905" s="1001" t="str">
        <f>IF(D905="","",D905/SUM($D$905:$D$908))</f>
        <v/>
      </c>
      <c r="F905" s="1004" t="e">
        <f>IF(J905="","$",IF(C905="当選","-",D905*100/MAX($D$905:$D$908)))</f>
        <v>#DIV/0!</v>
      </c>
      <c r="G905" s="687" t="s">
        <v>3349</v>
      </c>
      <c r="H905" s="687">
        <v>52</v>
      </c>
      <c r="I905" s="696" t="s">
        <v>19</v>
      </c>
      <c r="J905" s="689" t="s">
        <v>15273</v>
      </c>
      <c r="K905" s="747" t="s">
        <v>3350</v>
      </c>
      <c r="L905" s="687"/>
      <c r="M905" s="687"/>
      <c r="N905" s="692" t="s">
        <v>16127</v>
      </c>
      <c r="O905" s="687" t="s">
        <v>45</v>
      </c>
      <c r="P905" s="687" t="s">
        <v>25</v>
      </c>
      <c r="Q905" s="748">
        <v>4</v>
      </c>
      <c r="R905" s="749">
        <v>4</v>
      </c>
      <c r="S905" s="805" t="s">
        <v>736</v>
      </c>
    </row>
    <row r="906" spans="1:19" ht="12" customHeight="1">
      <c r="A906" s="1040" t="str">
        <f t="shared" si="395"/>
        <v>201</v>
      </c>
      <c r="B906" s="4" t="s">
        <v>3346</v>
      </c>
      <c r="C906" s="4"/>
      <c r="D906" s="1008"/>
      <c r="E906" s="1002" t="str">
        <f t="shared" ref="E906:E908" si="398">IF(D906="","",D906/SUM($D$905:$D$908))</f>
        <v/>
      </c>
      <c r="F906" s="1005" t="e">
        <f t="shared" ref="F906:F908" si="399">IF(J906="","$",IF(C906="当選","-",D906*100/MAX($D$905:$D$908)))</f>
        <v>#DIV/0!</v>
      </c>
      <c r="G906" s="1" t="s">
        <v>4635</v>
      </c>
      <c r="H906" s="1">
        <v>43</v>
      </c>
      <c r="I906" s="2" t="s">
        <v>5</v>
      </c>
      <c r="J906" s="1" t="s">
        <v>15273</v>
      </c>
      <c r="K906" s="3"/>
      <c r="L906" s="1"/>
      <c r="M906" s="1"/>
      <c r="N906" s="4" t="s">
        <v>16120</v>
      </c>
      <c r="O906" s="1" t="s">
        <v>30</v>
      </c>
      <c r="P906" s="1" t="s">
        <v>6</v>
      </c>
      <c r="Q906" s="16"/>
      <c r="R906" s="17"/>
      <c r="S906" s="774"/>
    </row>
    <row r="907" spans="1:19" ht="12" customHeight="1">
      <c r="A907" s="1040" t="str">
        <f t="shared" si="395"/>
        <v>201</v>
      </c>
      <c r="B907" s="4" t="s">
        <v>3347</v>
      </c>
      <c r="C907" s="4"/>
      <c r="D907" s="1008"/>
      <c r="E907" s="1002" t="str">
        <f t="shared" si="398"/>
        <v/>
      </c>
      <c r="F907" s="1005" t="e">
        <f t="shared" si="399"/>
        <v>#DIV/0!</v>
      </c>
      <c r="G907" s="1" t="s">
        <v>3355</v>
      </c>
      <c r="H907" s="1">
        <v>41</v>
      </c>
      <c r="I907" s="2" t="s">
        <v>5</v>
      </c>
      <c r="J907" s="1" t="s">
        <v>15273</v>
      </c>
      <c r="K907" s="3" t="s">
        <v>3356</v>
      </c>
      <c r="L907" s="1"/>
      <c r="M907" s="1"/>
      <c r="N907" s="4" t="s">
        <v>16116</v>
      </c>
      <c r="O907" s="1" t="s">
        <v>276</v>
      </c>
      <c r="P907" s="1" t="s">
        <v>25</v>
      </c>
      <c r="Q907" s="16">
        <v>3</v>
      </c>
      <c r="R907" s="17">
        <v>3</v>
      </c>
      <c r="S907" s="774" t="s">
        <v>18568</v>
      </c>
    </row>
    <row r="908" spans="1:19" ht="12" customHeight="1" thickBot="1">
      <c r="A908" s="916" t="str">
        <f t="shared" si="395"/>
        <v>201</v>
      </c>
      <c r="B908" s="700" t="s">
        <v>3348</v>
      </c>
      <c r="C908" s="700"/>
      <c r="D908" s="1009"/>
      <c r="E908" s="1003" t="str">
        <f t="shared" si="398"/>
        <v/>
      </c>
      <c r="F908" s="1041" t="str">
        <f t="shared" si="399"/>
        <v>$</v>
      </c>
      <c r="G908" s="906" t="s">
        <v>3353</v>
      </c>
      <c r="H908" s="906">
        <v>51</v>
      </c>
      <c r="I908" s="702" t="s">
        <v>5</v>
      </c>
      <c r="J908" s="906"/>
      <c r="K908" s="703"/>
      <c r="L908" s="906"/>
      <c r="M908" s="906"/>
      <c r="N908" s="700" t="s">
        <v>16117</v>
      </c>
      <c r="O908" s="906"/>
      <c r="P908" s="906" t="s">
        <v>6</v>
      </c>
      <c r="Q908" s="705"/>
      <c r="R908" s="903"/>
      <c r="S908" s="793"/>
    </row>
    <row r="909" spans="1:19" ht="12" customHeight="1">
      <c r="A909" s="1038" t="str">
        <f t="shared" si="395"/>
        <v>202</v>
      </c>
      <c r="B909" s="688" t="s">
        <v>3362</v>
      </c>
      <c r="C909" s="688"/>
      <c r="D909" s="1007"/>
      <c r="E909" s="1001" t="str">
        <f>IF(D909="","",D909/SUM($D$909:$D$912))</f>
        <v/>
      </c>
      <c r="F909" s="1004" t="e">
        <f>IF(J909="","$",IF(C909="当選","-",D909*100/MAX($D$909:$D$912)))</f>
        <v>#DIV/0!</v>
      </c>
      <c r="G909" s="687" t="s">
        <v>3366</v>
      </c>
      <c r="H909" s="687">
        <v>63</v>
      </c>
      <c r="I909" s="696" t="s">
        <v>5</v>
      </c>
      <c r="J909" s="689" t="s">
        <v>15273</v>
      </c>
      <c r="K909" s="747" t="s">
        <v>3367</v>
      </c>
      <c r="L909" s="687"/>
      <c r="M909" s="687"/>
      <c r="N909" s="692" t="s">
        <v>16127</v>
      </c>
      <c r="O909" s="687" t="s">
        <v>45</v>
      </c>
      <c r="P909" s="687" t="s">
        <v>25</v>
      </c>
      <c r="Q909" s="748">
        <v>5</v>
      </c>
      <c r="R909" s="749">
        <v>5</v>
      </c>
      <c r="S909" s="805" t="s">
        <v>736</v>
      </c>
    </row>
    <row r="910" spans="1:19" ht="12" customHeight="1">
      <c r="A910" s="1040" t="str">
        <f t="shared" si="395"/>
        <v>202</v>
      </c>
      <c r="B910" s="4" t="s">
        <v>3363</v>
      </c>
      <c r="C910" s="4"/>
      <c r="D910" s="1008"/>
      <c r="E910" s="1002" t="str">
        <f t="shared" ref="E910:E912" si="400">IF(D910="","",D910/SUM($D$909:$D$912))</f>
        <v/>
      </c>
      <c r="F910" s="1005" t="e">
        <f t="shared" ref="F910:F912" si="401">IF(J910="","$",IF(C910="当選","-",D910*100/MAX($D$909:$D$912)))</f>
        <v>#DIV/0!</v>
      </c>
      <c r="G910" s="1" t="s">
        <v>3370</v>
      </c>
      <c r="H910" s="1">
        <v>66</v>
      </c>
      <c r="I910" s="2" t="s">
        <v>19</v>
      </c>
      <c r="J910" s="1" t="s">
        <v>15273</v>
      </c>
      <c r="K910" s="3"/>
      <c r="L910" s="1"/>
      <c r="M910" s="1"/>
      <c r="N910" s="8" t="s">
        <v>16120</v>
      </c>
      <c r="O910" s="1" t="s">
        <v>65</v>
      </c>
      <c r="P910" s="1" t="s">
        <v>14</v>
      </c>
      <c r="Q910" s="16">
        <v>1</v>
      </c>
      <c r="R910" s="17">
        <v>1</v>
      </c>
      <c r="S910" s="774"/>
    </row>
    <row r="911" spans="1:19" ht="12" customHeight="1">
      <c r="A911" s="1040" t="str">
        <f t="shared" si="395"/>
        <v>202</v>
      </c>
      <c r="B911" s="4" t="s">
        <v>3364</v>
      </c>
      <c r="C911" s="4"/>
      <c r="D911" s="1008"/>
      <c r="E911" s="1002" t="str">
        <f t="shared" si="400"/>
        <v/>
      </c>
      <c r="F911" s="1005" t="e">
        <f t="shared" si="401"/>
        <v>#DIV/0!</v>
      </c>
      <c r="G911" s="1" t="s">
        <v>5038</v>
      </c>
      <c r="H911" s="1">
        <v>48</v>
      </c>
      <c r="I911" s="2" t="s">
        <v>5</v>
      </c>
      <c r="J911" s="1" t="s">
        <v>15273</v>
      </c>
      <c r="K911" s="3"/>
      <c r="L911" s="1"/>
      <c r="M911" s="1"/>
      <c r="N911" s="4" t="s">
        <v>16116</v>
      </c>
      <c r="O911" s="1" t="s">
        <v>18494</v>
      </c>
      <c r="P911" s="1" t="s">
        <v>6</v>
      </c>
      <c r="Q911" s="16"/>
      <c r="R911" s="17"/>
      <c r="S911" s="774" t="s">
        <v>6154</v>
      </c>
    </row>
    <row r="912" spans="1:19" ht="12" customHeight="1" thickBot="1">
      <c r="A912" s="916" t="str">
        <f t="shared" si="395"/>
        <v>202</v>
      </c>
      <c r="B912" s="700" t="s">
        <v>3365</v>
      </c>
      <c r="C912" s="700"/>
      <c r="D912" s="1009"/>
      <c r="E912" s="1003" t="str">
        <f t="shared" si="400"/>
        <v/>
      </c>
      <c r="F912" s="1041" t="str">
        <f t="shared" si="401"/>
        <v>$</v>
      </c>
      <c r="G912" s="906" t="s">
        <v>3373</v>
      </c>
      <c r="H912" s="906">
        <v>37</v>
      </c>
      <c r="I912" s="702" t="s">
        <v>5</v>
      </c>
      <c r="J912" s="906"/>
      <c r="K912" s="703"/>
      <c r="L912" s="906"/>
      <c r="M912" s="906"/>
      <c r="N912" s="700" t="s">
        <v>16117</v>
      </c>
      <c r="O912" s="906"/>
      <c r="P912" s="906" t="s">
        <v>6</v>
      </c>
      <c r="Q912" s="705"/>
      <c r="R912" s="903"/>
      <c r="S912" s="793"/>
    </row>
    <row r="913" spans="1:19" ht="12" customHeight="1">
      <c r="A913" s="1038" t="str">
        <f t="shared" si="395"/>
        <v>203</v>
      </c>
      <c r="B913" s="688" t="s">
        <v>3376</v>
      </c>
      <c r="C913" s="688"/>
      <c r="D913" s="1007"/>
      <c r="E913" s="1001" t="str">
        <f>IF(D913="","",D913/SUM($D$913:$D$916))</f>
        <v/>
      </c>
      <c r="F913" s="1004" t="e">
        <f>IF(J913="","$",IF(C913="当選","-",D913*100/MAX($D$913:$D$916)))</f>
        <v>#DIV/0!</v>
      </c>
      <c r="G913" s="687" t="s">
        <v>3379</v>
      </c>
      <c r="H913" s="687">
        <v>53</v>
      </c>
      <c r="I913" s="696" t="s">
        <v>5</v>
      </c>
      <c r="J913" s="689" t="s">
        <v>15273</v>
      </c>
      <c r="K913" s="747" t="s">
        <v>3380</v>
      </c>
      <c r="L913" s="687"/>
      <c r="M913" s="687"/>
      <c r="N913" s="692" t="s">
        <v>16126</v>
      </c>
      <c r="O913" s="687" t="s">
        <v>604</v>
      </c>
      <c r="P913" s="687" t="s">
        <v>25</v>
      </c>
      <c r="Q913" s="748">
        <v>5</v>
      </c>
      <c r="R913" s="749">
        <v>5</v>
      </c>
      <c r="S913" s="805" t="s">
        <v>736</v>
      </c>
    </row>
    <row r="914" spans="1:19" ht="12" customHeight="1">
      <c r="A914" s="1040" t="str">
        <f t="shared" si="395"/>
        <v>203</v>
      </c>
      <c r="B914" s="4" t="s">
        <v>3377</v>
      </c>
      <c r="C914" s="4"/>
      <c r="D914" s="1008"/>
      <c r="E914" s="1002" t="str">
        <f t="shared" ref="E914:E916" si="402">IF(D914="","",D914/SUM($D$913:$D$916))</f>
        <v/>
      </c>
      <c r="F914" s="1005" t="e">
        <f t="shared" ref="F914:F916" si="403">IF(J914="","$",IF(C914="当選","-",D914*100/MAX($D$913:$D$916)))</f>
        <v>#DIV/0!</v>
      </c>
      <c r="G914" s="1" t="s">
        <v>3384</v>
      </c>
      <c r="H914" s="1">
        <v>61</v>
      </c>
      <c r="I914" s="2" t="s">
        <v>5</v>
      </c>
      <c r="J914" s="1" t="s">
        <v>15273</v>
      </c>
      <c r="K914" s="3"/>
      <c r="L914" s="1"/>
      <c r="M914" s="1"/>
      <c r="N914" s="4" t="s">
        <v>16120</v>
      </c>
      <c r="O914" s="1" t="s">
        <v>475</v>
      </c>
      <c r="P914" s="1" t="s">
        <v>14</v>
      </c>
      <c r="Q914" s="16">
        <v>3</v>
      </c>
      <c r="R914" s="17">
        <v>3</v>
      </c>
      <c r="S914" s="774" t="s">
        <v>5457</v>
      </c>
    </row>
    <row r="915" spans="1:19" ht="12" customHeight="1">
      <c r="A915" s="1040" t="str">
        <f t="shared" si="395"/>
        <v>203</v>
      </c>
      <c r="B915" s="4" t="s">
        <v>3378</v>
      </c>
      <c r="C915" s="4"/>
      <c r="D915" s="1008"/>
      <c r="E915" s="1002" t="str">
        <f t="shared" si="402"/>
        <v/>
      </c>
      <c r="F915" s="1005" t="e">
        <f t="shared" si="403"/>
        <v>#DIV/0!</v>
      </c>
      <c r="G915" s="1" t="s">
        <v>3242</v>
      </c>
      <c r="H915" s="1">
        <v>43</v>
      </c>
      <c r="I915" s="2" t="s">
        <v>5</v>
      </c>
      <c r="J915" s="1" t="s">
        <v>15273</v>
      </c>
      <c r="K915" s="3"/>
      <c r="L915" s="1"/>
      <c r="M915" s="1"/>
      <c r="N915" s="4" t="s">
        <v>18495</v>
      </c>
      <c r="O915" s="1"/>
      <c r="P915" s="1" t="s">
        <v>6</v>
      </c>
      <c r="Q915" s="16"/>
      <c r="R915" s="17"/>
      <c r="S915" s="774" t="s">
        <v>5092</v>
      </c>
    </row>
    <row r="916" spans="1:19" ht="12" customHeight="1" thickBot="1">
      <c r="A916" s="916" t="str">
        <f t="shared" si="395"/>
        <v>203</v>
      </c>
      <c r="B916" s="700" t="s">
        <v>5686</v>
      </c>
      <c r="C916" s="700"/>
      <c r="D916" s="1009"/>
      <c r="E916" s="1003" t="str">
        <f t="shared" si="402"/>
        <v/>
      </c>
      <c r="F916" s="1041" t="str">
        <f t="shared" si="403"/>
        <v>$</v>
      </c>
      <c r="G916" s="906" t="s">
        <v>3386</v>
      </c>
      <c r="H916" s="906">
        <v>50</v>
      </c>
      <c r="I916" s="702" t="s">
        <v>19</v>
      </c>
      <c r="J916" s="906"/>
      <c r="K916" s="703"/>
      <c r="L916" s="906"/>
      <c r="M916" s="906"/>
      <c r="N916" s="700" t="s">
        <v>16117</v>
      </c>
      <c r="O916" s="906"/>
      <c r="P916" s="906" t="s">
        <v>6</v>
      </c>
      <c r="Q916" s="705"/>
      <c r="R916" s="903"/>
      <c r="S916" s="793"/>
    </row>
    <row r="917" spans="1:19" ht="12" customHeight="1">
      <c r="A917" s="1038" t="str">
        <f t="shared" si="395"/>
        <v>204</v>
      </c>
      <c r="B917" s="688" t="s">
        <v>3389</v>
      </c>
      <c r="C917" s="688"/>
      <c r="D917" s="1007"/>
      <c r="E917" s="1001" t="str">
        <f>IF(D917="","",D917/SUM($D$917:$D$921))</f>
        <v/>
      </c>
      <c r="F917" s="1004" t="e">
        <f>IF(J917="","$",IF(C917="当選","-",D917*100/MAX($D$917:$D$921)))</f>
        <v>#DIV/0!</v>
      </c>
      <c r="G917" s="687" t="s">
        <v>3396</v>
      </c>
      <c r="H917" s="687">
        <v>61</v>
      </c>
      <c r="I917" s="696" t="s">
        <v>5</v>
      </c>
      <c r="J917" s="689" t="s">
        <v>15273</v>
      </c>
      <c r="K917" s="747" t="s">
        <v>3393</v>
      </c>
      <c r="L917" s="687"/>
      <c r="M917" s="687"/>
      <c r="N917" s="692" t="s">
        <v>16127</v>
      </c>
      <c r="O917" s="687" t="s">
        <v>604</v>
      </c>
      <c r="P917" s="687" t="s">
        <v>25</v>
      </c>
      <c r="Q917" s="748">
        <v>1</v>
      </c>
      <c r="R917" s="749">
        <v>2</v>
      </c>
      <c r="S917" s="805" t="s">
        <v>736</v>
      </c>
    </row>
    <row r="918" spans="1:19" ht="12" customHeight="1">
      <c r="A918" s="1040" t="str">
        <f t="shared" si="395"/>
        <v>204</v>
      </c>
      <c r="B918" s="4" t="s">
        <v>3390</v>
      </c>
      <c r="C918" s="4"/>
      <c r="D918" s="1008"/>
      <c r="E918" s="1002" t="str">
        <f t="shared" ref="E918:E921" si="404">IF(D918="","",D918/SUM($D$917:$D$921))</f>
        <v/>
      </c>
      <c r="F918" s="1005" t="e">
        <f t="shared" ref="F918:F921" si="405">IF(J918="","$",IF(C918="当選","-",D918*100/MAX($D$917:$D$921)))</f>
        <v>#DIV/0!</v>
      </c>
      <c r="G918" s="1" t="s">
        <v>5576</v>
      </c>
      <c r="H918" s="1">
        <v>35</v>
      </c>
      <c r="I918" s="2" t="s">
        <v>5</v>
      </c>
      <c r="J918" s="1" t="s">
        <v>15273</v>
      </c>
      <c r="K918" s="3"/>
      <c r="L918" s="1"/>
      <c r="M918" s="1"/>
      <c r="N918" s="4" t="s">
        <v>16120</v>
      </c>
      <c r="O918" s="1" t="s">
        <v>30</v>
      </c>
      <c r="P918" s="1" t="s">
        <v>6</v>
      </c>
      <c r="Q918" s="16"/>
      <c r="R918" s="17"/>
      <c r="S918" s="774"/>
    </row>
    <row r="919" spans="1:19" ht="12" customHeight="1">
      <c r="A919" s="1040" t="str">
        <f t="shared" si="395"/>
        <v>204</v>
      </c>
      <c r="B919" s="4" t="s">
        <v>3391</v>
      </c>
      <c r="C919" s="4"/>
      <c r="D919" s="1008"/>
      <c r="E919" s="1002" t="str">
        <f t="shared" si="404"/>
        <v/>
      </c>
      <c r="F919" s="1005" t="e">
        <f t="shared" si="405"/>
        <v>#DIV/0!</v>
      </c>
      <c r="G919" s="1" t="s">
        <v>5331</v>
      </c>
      <c r="H919" s="1">
        <v>43</v>
      </c>
      <c r="I919" s="2" t="s">
        <v>5</v>
      </c>
      <c r="J919" s="1" t="s">
        <v>15273</v>
      </c>
      <c r="K919" s="3"/>
      <c r="L919" s="1"/>
      <c r="M919" s="1"/>
      <c r="N919" s="4" t="s">
        <v>16116</v>
      </c>
      <c r="O919" s="1" t="s">
        <v>276</v>
      </c>
      <c r="P919" s="1" t="s">
        <v>6</v>
      </c>
      <c r="Q919" s="16"/>
      <c r="R919" s="17"/>
      <c r="S919" s="774"/>
    </row>
    <row r="920" spans="1:19" ht="12" customHeight="1">
      <c r="A920" s="1040" t="str">
        <f t="shared" si="395"/>
        <v>204</v>
      </c>
      <c r="B920" s="4" t="s">
        <v>3392</v>
      </c>
      <c r="C920" s="4"/>
      <c r="D920" s="1008"/>
      <c r="E920" s="1002" t="str">
        <f t="shared" si="404"/>
        <v/>
      </c>
      <c r="F920" s="1005" t="str">
        <f t="shared" si="405"/>
        <v>$</v>
      </c>
      <c r="G920" s="1" t="s">
        <v>3400</v>
      </c>
      <c r="H920" s="1">
        <v>57</v>
      </c>
      <c r="I920" s="2" t="s">
        <v>19</v>
      </c>
      <c r="J920" s="1"/>
      <c r="K920" s="3"/>
      <c r="L920" s="1"/>
      <c r="M920" s="1"/>
      <c r="N920" s="4" t="s">
        <v>16117</v>
      </c>
      <c r="O920" s="1"/>
      <c r="P920" s="1" t="s">
        <v>6</v>
      </c>
      <c r="Q920" s="16"/>
      <c r="R920" s="17"/>
      <c r="S920" s="774"/>
    </row>
    <row r="921" spans="1:19" ht="12" customHeight="1" thickBot="1">
      <c r="A921" s="916" t="str">
        <f t="shared" si="395"/>
        <v>204</v>
      </c>
      <c r="B921" s="700" t="s">
        <v>16035</v>
      </c>
      <c r="C921" s="700"/>
      <c r="D921" s="1009"/>
      <c r="E921" s="1003" t="str">
        <f t="shared" si="404"/>
        <v/>
      </c>
      <c r="F921" s="1041" t="str">
        <f t="shared" si="405"/>
        <v>$</v>
      </c>
      <c r="G921" s="906" t="s">
        <v>16036</v>
      </c>
      <c r="H921" s="906">
        <v>64</v>
      </c>
      <c r="I921" s="702" t="s">
        <v>5</v>
      </c>
      <c r="J921" s="906"/>
      <c r="K921" s="703"/>
      <c r="L921" s="906"/>
      <c r="M921" s="906"/>
      <c r="N921" s="704" t="s">
        <v>16129</v>
      </c>
      <c r="O921" s="906"/>
      <c r="P921" s="906" t="s">
        <v>6</v>
      </c>
      <c r="Q921" s="705"/>
      <c r="R921" s="903"/>
      <c r="S921" s="793"/>
    </row>
    <row r="922" spans="1:19" ht="12" customHeight="1">
      <c r="A922" s="1038" t="str">
        <f t="shared" si="395"/>
        <v>205</v>
      </c>
      <c r="B922" s="688" t="s">
        <v>3401</v>
      </c>
      <c r="C922" s="688"/>
      <c r="D922" s="1007"/>
      <c r="E922" s="1001" t="str">
        <f>IF(D922="","",D922/SUM($D$922:$D$925))</f>
        <v/>
      </c>
      <c r="F922" s="1004" t="e">
        <f>IF(J922="","$",IF(C922="当選","-",D922*100/MAX($D$922:$D$925)))</f>
        <v>#DIV/0!</v>
      </c>
      <c r="G922" s="687" t="s">
        <v>15844</v>
      </c>
      <c r="H922" s="687">
        <v>48</v>
      </c>
      <c r="I922" s="696" t="s">
        <v>5</v>
      </c>
      <c r="J922" s="689" t="s">
        <v>15273</v>
      </c>
      <c r="K922" s="747"/>
      <c r="L922" s="687"/>
      <c r="M922" s="687"/>
      <c r="N922" s="692" t="s">
        <v>16127</v>
      </c>
      <c r="O922" s="687" t="s">
        <v>44</v>
      </c>
      <c r="P922" s="687" t="s">
        <v>6</v>
      </c>
      <c r="Q922" s="748"/>
      <c r="R922" s="749"/>
      <c r="S922" s="805" t="s">
        <v>736</v>
      </c>
    </row>
    <row r="923" spans="1:19" ht="12" customHeight="1">
      <c r="A923" s="1040" t="str">
        <f t="shared" si="395"/>
        <v>205</v>
      </c>
      <c r="B923" s="4" t="s">
        <v>3402</v>
      </c>
      <c r="C923" s="4"/>
      <c r="D923" s="1008"/>
      <c r="E923" s="1002" t="str">
        <f t="shared" ref="E923:E925" si="406">IF(D923="","",D923/SUM($D$922:$D$925))</f>
        <v/>
      </c>
      <c r="F923" s="1005" t="e">
        <f t="shared" ref="F923:F925" si="407">IF(J923="","$",IF(C923="当選","-",D923*100/MAX($D$922:$D$925)))</f>
        <v>#DIV/0!</v>
      </c>
      <c r="G923" s="1" t="s">
        <v>3411</v>
      </c>
      <c r="H923" s="1">
        <v>65</v>
      </c>
      <c r="I923" s="2" t="s">
        <v>5</v>
      </c>
      <c r="J923" s="1" t="s">
        <v>15273</v>
      </c>
      <c r="K923" s="3" t="s">
        <v>3412</v>
      </c>
      <c r="L923" s="1"/>
      <c r="M923" s="1"/>
      <c r="N923" s="4" t="s">
        <v>16116</v>
      </c>
      <c r="O923" s="1" t="s">
        <v>276</v>
      </c>
      <c r="P923" s="1" t="s">
        <v>25</v>
      </c>
      <c r="Q923" s="16">
        <v>5</v>
      </c>
      <c r="R923" s="17">
        <v>7</v>
      </c>
      <c r="S923" s="774" t="s">
        <v>18568</v>
      </c>
    </row>
    <row r="924" spans="1:19" ht="12" customHeight="1">
      <c r="A924" s="1040" t="str">
        <f t="shared" si="395"/>
        <v>205</v>
      </c>
      <c r="B924" s="4" t="s">
        <v>3403</v>
      </c>
      <c r="C924" s="4"/>
      <c r="D924" s="1008"/>
      <c r="E924" s="1002" t="str">
        <f t="shared" si="406"/>
        <v/>
      </c>
      <c r="F924" s="1005" t="str">
        <f t="shared" si="407"/>
        <v>$</v>
      </c>
      <c r="G924" s="1" t="s">
        <v>3408</v>
      </c>
      <c r="H924" s="1">
        <v>64</v>
      </c>
      <c r="I924" s="2" t="s">
        <v>5</v>
      </c>
      <c r="J924" s="1"/>
      <c r="K924" s="3"/>
      <c r="L924" s="1"/>
      <c r="M924" s="1"/>
      <c r="N924" s="4" t="s">
        <v>16117</v>
      </c>
      <c r="O924" s="1"/>
      <c r="P924" s="1" t="s">
        <v>6</v>
      </c>
      <c r="Q924" s="16"/>
      <c r="R924" s="17"/>
      <c r="S924" s="774"/>
    </row>
    <row r="925" spans="1:19" ht="12" customHeight="1" thickBot="1">
      <c r="A925" s="916" t="str">
        <f t="shared" si="395"/>
        <v>205</v>
      </c>
      <c r="B925" s="700" t="s">
        <v>3404</v>
      </c>
      <c r="C925" s="700"/>
      <c r="D925" s="1009"/>
      <c r="E925" s="1003" t="str">
        <f t="shared" si="406"/>
        <v/>
      </c>
      <c r="F925" s="1041" t="str">
        <f t="shared" si="407"/>
        <v>$</v>
      </c>
      <c r="G925" s="906" t="s">
        <v>3405</v>
      </c>
      <c r="H925" s="906">
        <v>50</v>
      </c>
      <c r="I925" s="702" t="s">
        <v>5</v>
      </c>
      <c r="J925" s="906"/>
      <c r="K925" s="703" t="s">
        <v>3406</v>
      </c>
      <c r="L925" s="906"/>
      <c r="M925" s="906"/>
      <c r="N925" s="700" t="s">
        <v>16129</v>
      </c>
      <c r="O925" s="906" t="s">
        <v>97</v>
      </c>
      <c r="P925" s="906" t="s">
        <v>25</v>
      </c>
      <c r="Q925" s="705">
        <v>1</v>
      </c>
      <c r="R925" s="903">
        <v>1</v>
      </c>
      <c r="S925" s="793" t="s">
        <v>276</v>
      </c>
    </row>
    <row r="926" spans="1:19" ht="12" customHeight="1">
      <c r="A926" s="1038" t="str">
        <f t="shared" si="395"/>
        <v>206</v>
      </c>
      <c r="B926" s="688" t="s">
        <v>3417</v>
      </c>
      <c r="C926" s="688"/>
      <c r="D926" s="1007"/>
      <c r="E926" s="1001" t="str">
        <f>IF(D926="","",D926/SUM($D$926:$D$929))</f>
        <v/>
      </c>
      <c r="F926" s="1004" t="e">
        <f>IF(J926="","$",IF(C926="当選","-",D926*100/MAX($D$926:$D$929)))</f>
        <v>#DIV/0!</v>
      </c>
      <c r="G926" s="687" t="s">
        <v>3421</v>
      </c>
      <c r="H926" s="687">
        <v>72</v>
      </c>
      <c r="I926" s="696" t="s">
        <v>5</v>
      </c>
      <c r="J926" s="687" t="s">
        <v>15273</v>
      </c>
      <c r="K926" s="747" t="s">
        <v>3422</v>
      </c>
      <c r="L926" s="687"/>
      <c r="M926" s="687"/>
      <c r="N926" s="692" t="s">
        <v>16120</v>
      </c>
      <c r="O926" s="687" t="s">
        <v>476</v>
      </c>
      <c r="P926" s="687" t="s">
        <v>25</v>
      </c>
      <c r="Q926" s="748">
        <v>5</v>
      </c>
      <c r="R926" s="749">
        <v>5</v>
      </c>
      <c r="S926" s="805" t="s">
        <v>5457</v>
      </c>
    </row>
    <row r="927" spans="1:19" ht="12" customHeight="1">
      <c r="A927" s="1040" t="str">
        <f t="shared" si="395"/>
        <v>206</v>
      </c>
      <c r="B927" s="4" t="s">
        <v>3418</v>
      </c>
      <c r="C927" s="4"/>
      <c r="D927" s="1008"/>
      <c r="E927" s="1002" t="str">
        <f t="shared" ref="E927:E929" si="408">IF(D927="","",D927/SUM($D$926:$D$929))</f>
        <v/>
      </c>
      <c r="F927" s="1005" t="e">
        <f t="shared" ref="F927:F929" si="409">IF(J927="","$",IF(C927="当選","-",D927*100/MAX($D$926:$D$929)))</f>
        <v>#DIV/0!</v>
      </c>
      <c r="G927" s="1" t="s">
        <v>3428</v>
      </c>
      <c r="H927" s="1">
        <v>42</v>
      </c>
      <c r="I927" s="2" t="s">
        <v>5</v>
      </c>
      <c r="J927" s="1" t="s">
        <v>15273</v>
      </c>
      <c r="K927" s="3" t="s">
        <v>3429</v>
      </c>
      <c r="L927" s="1"/>
      <c r="M927" s="1"/>
      <c r="N927" s="4" t="s">
        <v>16125</v>
      </c>
      <c r="O927" s="1"/>
      <c r="P927" s="1" t="s">
        <v>25</v>
      </c>
      <c r="Q927" s="16">
        <v>1</v>
      </c>
      <c r="R927" s="17">
        <v>1</v>
      </c>
      <c r="S927" s="774" t="s">
        <v>5561</v>
      </c>
    </row>
    <row r="928" spans="1:19" ht="12" customHeight="1">
      <c r="A928" s="1040" t="str">
        <f t="shared" si="395"/>
        <v>206</v>
      </c>
      <c r="B928" s="4" t="s">
        <v>3419</v>
      </c>
      <c r="C928" s="4"/>
      <c r="D928" s="1008"/>
      <c r="E928" s="1002" t="str">
        <f t="shared" si="408"/>
        <v/>
      </c>
      <c r="F928" s="1005" t="e">
        <f t="shared" si="409"/>
        <v>#DIV/0!</v>
      </c>
      <c r="G928" s="1" t="s">
        <v>4414</v>
      </c>
      <c r="H928" s="1">
        <v>39</v>
      </c>
      <c r="I928" s="2" t="s">
        <v>5</v>
      </c>
      <c r="J928" s="1" t="s">
        <v>15273</v>
      </c>
      <c r="K928" s="3"/>
      <c r="L928" s="1"/>
      <c r="M928" s="1"/>
      <c r="N928" s="4" t="s">
        <v>16116</v>
      </c>
      <c r="O928" s="1" t="s">
        <v>276</v>
      </c>
      <c r="P928" s="1" t="s">
        <v>6</v>
      </c>
      <c r="Q928" s="16"/>
      <c r="R928" s="17"/>
      <c r="S928" s="774"/>
    </row>
    <row r="929" spans="1:19" ht="12" customHeight="1" thickBot="1">
      <c r="A929" s="916" t="str">
        <f t="shared" si="395"/>
        <v>206</v>
      </c>
      <c r="B929" s="700" t="s">
        <v>3420</v>
      </c>
      <c r="C929" s="700"/>
      <c r="D929" s="1009"/>
      <c r="E929" s="1003" t="str">
        <f t="shared" si="408"/>
        <v/>
      </c>
      <c r="F929" s="1041" t="str">
        <f t="shared" si="409"/>
        <v>$</v>
      </c>
      <c r="G929" s="906" t="s">
        <v>3432</v>
      </c>
      <c r="H929" s="906">
        <v>64</v>
      </c>
      <c r="I929" s="702" t="s">
        <v>5</v>
      </c>
      <c r="J929" s="906"/>
      <c r="K929" s="703"/>
      <c r="L929" s="906"/>
      <c r="M929" s="906"/>
      <c r="N929" s="700" t="s">
        <v>16117</v>
      </c>
      <c r="O929" s="906"/>
      <c r="P929" s="906" t="s">
        <v>6</v>
      </c>
      <c r="Q929" s="705"/>
      <c r="R929" s="903"/>
      <c r="S929" s="793"/>
    </row>
    <row r="930" spans="1:19" ht="12" customHeight="1">
      <c r="A930" s="1038" t="str">
        <f t="shared" si="395"/>
        <v>207</v>
      </c>
      <c r="B930" s="688" t="s">
        <v>3434</v>
      </c>
      <c r="C930" s="688"/>
      <c r="D930" s="1007"/>
      <c r="E930" s="1001" t="str">
        <f>IF(D930="","",D930/SUM($D$930:$D$933))</f>
        <v/>
      </c>
      <c r="F930" s="1004" t="e">
        <f>IF(J930="","$",IF(C930="当選","-",D930*100/MAX($D$930:$D$933)))</f>
        <v>#DIV/0!</v>
      </c>
      <c r="G930" s="687" t="s">
        <v>3437</v>
      </c>
      <c r="H930" s="687">
        <v>41</v>
      </c>
      <c r="I930" s="696" t="s">
        <v>5</v>
      </c>
      <c r="J930" s="689" t="s">
        <v>15273</v>
      </c>
      <c r="K930" s="747" t="s">
        <v>3438</v>
      </c>
      <c r="L930" s="687"/>
      <c r="M930" s="687"/>
      <c r="N930" s="692" t="s">
        <v>16126</v>
      </c>
      <c r="O930" s="687" t="s">
        <v>44</v>
      </c>
      <c r="P930" s="687" t="s">
        <v>25</v>
      </c>
      <c r="Q930" s="748">
        <v>1</v>
      </c>
      <c r="R930" s="749">
        <v>1</v>
      </c>
      <c r="S930" s="805"/>
    </row>
    <row r="931" spans="1:19" ht="12" customHeight="1">
      <c r="A931" s="1040" t="str">
        <f t="shared" si="395"/>
        <v>207</v>
      </c>
      <c r="B931" s="4" t="s">
        <v>3435</v>
      </c>
      <c r="C931" s="4"/>
      <c r="D931" s="1008"/>
      <c r="E931" s="1002" t="str">
        <f t="shared" ref="E931:E933" si="410">IF(D931="","",D931/SUM($D$930:$D$933))</f>
        <v/>
      </c>
      <c r="F931" s="1005" t="str">
        <f t="shared" ref="F931:F933" si="411">IF(J931="","$",IF(C931="当選","-",D931*100/MAX($D$930:$D$933)))</f>
        <v>$</v>
      </c>
      <c r="G931" s="1" t="s">
        <v>3444</v>
      </c>
      <c r="H931" s="1">
        <v>59</v>
      </c>
      <c r="I931" s="2" t="s">
        <v>5</v>
      </c>
      <c r="J931" s="1"/>
      <c r="K931" s="3"/>
      <c r="L931" s="1"/>
      <c r="M931" s="1"/>
      <c r="N931" s="4" t="s">
        <v>16118</v>
      </c>
      <c r="O931" s="1"/>
      <c r="P931" s="1" t="s">
        <v>14</v>
      </c>
      <c r="Q931" s="16">
        <v>6</v>
      </c>
      <c r="R931" s="17">
        <v>6</v>
      </c>
      <c r="S931" s="774" t="s">
        <v>5546</v>
      </c>
    </row>
    <row r="932" spans="1:19" ht="12" customHeight="1">
      <c r="A932" s="1040" t="str">
        <f t="shared" si="395"/>
        <v>207</v>
      </c>
      <c r="B932" s="4" t="s">
        <v>3436</v>
      </c>
      <c r="C932" s="4"/>
      <c r="D932" s="1008"/>
      <c r="E932" s="1002" t="str">
        <f t="shared" si="410"/>
        <v/>
      </c>
      <c r="F932" s="1005" t="str">
        <f t="shared" si="411"/>
        <v>$</v>
      </c>
      <c r="G932" s="1" t="s">
        <v>3450</v>
      </c>
      <c r="H932" s="1">
        <v>61</v>
      </c>
      <c r="I932" s="2" t="s">
        <v>5</v>
      </c>
      <c r="J932" s="1"/>
      <c r="K932" s="3"/>
      <c r="L932" s="1"/>
      <c r="M932" s="1"/>
      <c r="N932" s="4" t="s">
        <v>16117</v>
      </c>
      <c r="O932" s="1"/>
      <c r="P932" s="1" t="s">
        <v>6</v>
      </c>
      <c r="Q932" s="16"/>
      <c r="R932" s="17"/>
      <c r="S932" s="774"/>
    </row>
    <row r="933" spans="1:19" ht="12" customHeight="1" thickBot="1">
      <c r="A933" s="916" t="str">
        <f t="shared" si="395"/>
        <v>207</v>
      </c>
      <c r="B933" s="700" t="s">
        <v>16040</v>
      </c>
      <c r="C933" s="700"/>
      <c r="D933" s="1009"/>
      <c r="E933" s="1003" t="str">
        <f t="shared" si="410"/>
        <v/>
      </c>
      <c r="F933" s="1041" t="str">
        <f t="shared" si="411"/>
        <v>$</v>
      </c>
      <c r="G933" s="906" t="s">
        <v>16041</v>
      </c>
      <c r="H933" s="906">
        <v>61</v>
      </c>
      <c r="I933" s="702" t="s">
        <v>5</v>
      </c>
      <c r="J933" s="906"/>
      <c r="K933" s="703"/>
      <c r="L933" s="906"/>
      <c r="M933" s="906"/>
      <c r="N933" s="700" t="s">
        <v>16122</v>
      </c>
      <c r="O933" s="906" t="s">
        <v>16042</v>
      </c>
      <c r="P933" s="906" t="s">
        <v>6</v>
      </c>
      <c r="Q933" s="705"/>
      <c r="R933" s="903"/>
      <c r="S933" s="793"/>
    </row>
    <row r="934" spans="1:19" ht="12" customHeight="1">
      <c r="A934" s="1038" t="str">
        <f t="shared" si="395"/>
        <v>208</v>
      </c>
      <c r="B934" s="688" t="s">
        <v>5999</v>
      </c>
      <c r="C934" s="688"/>
      <c r="D934" s="1007"/>
      <c r="E934" s="1001" t="str">
        <f>IF(D934="","",D934/SUM($D$934:$D$939))</f>
        <v/>
      </c>
      <c r="F934" s="1004" t="e">
        <f>IF(J934="","$",IF(C934="当選","-",D934*100/MAX($D$934:$D$939)))</f>
        <v>#DIV/0!</v>
      </c>
      <c r="G934" s="687" t="s">
        <v>6052</v>
      </c>
      <c r="H934" s="687">
        <v>35</v>
      </c>
      <c r="I934" s="696" t="s">
        <v>5</v>
      </c>
      <c r="J934" s="689" t="s">
        <v>15273</v>
      </c>
      <c r="K934" s="747"/>
      <c r="L934" s="687"/>
      <c r="M934" s="687"/>
      <c r="N934" s="692" t="s">
        <v>16127</v>
      </c>
      <c r="O934" s="687" t="s">
        <v>44</v>
      </c>
      <c r="P934" s="687" t="s">
        <v>6</v>
      </c>
      <c r="Q934" s="748"/>
      <c r="R934" s="749"/>
      <c r="S934" s="805" t="s">
        <v>736</v>
      </c>
    </row>
    <row r="935" spans="1:19" ht="12" customHeight="1">
      <c r="A935" s="1040" t="str">
        <f t="shared" si="395"/>
        <v>208</v>
      </c>
      <c r="B935" s="4" t="s">
        <v>3453</v>
      </c>
      <c r="C935" s="4"/>
      <c r="D935" s="1008"/>
      <c r="E935" s="1002" t="str">
        <f t="shared" ref="E935:E939" si="412">IF(D935="","",D935/SUM($D$934:$D$939))</f>
        <v/>
      </c>
      <c r="F935" s="1005" t="str">
        <f t="shared" ref="F935:F939" si="413">IF(J935="","$",IF(C935="当選","-",D935*100/MAX($D$934:$D$939)))</f>
        <v>$</v>
      </c>
      <c r="G935" s="1" t="s">
        <v>3458</v>
      </c>
      <c r="H935" s="1">
        <v>73</v>
      </c>
      <c r="I935" s="2" t="s">
        <v>19</v>
      </c>
      <c r="J935" s="1"/>
      <c r="K935" s="3"/>
      <c r="L935" s="1"/>
      <c r="M935" s="1"/>
      <c r="N935" s="4" t="s">
        <v>16120</v>
      </c>
      <c r="O935" s="1" t="s">
        <v>13</v>
      </c>
      <c r="P935" s="1" t="s">
        <v>14</v>
      </c>
      <c r="Q935" s="16">
        <v>2</v>
      </c>
      <c r="R935" s="17">
        <v>2</v>
      </c>
      <c r="S935" s="774"/>
    </row>
    <row r="936" spans="1:19" ht="12" customHeight="1">
      <c r="A936" s="1040" t="str">
        <f t="shared" si="395"/>
        <v>208</v>
      </c>
      <c r="B936" s="4" t="s">
        <v>3454</v>
      </c>
      <c r="C936" s="4"/>
      <c r="D936" s="1008"/>
      <c r="E936" s="1002" t="str">
        <f t="shared" si="412"/>
        <v/>
      </c>
      <c r="F936" s="1005" t="e">
        <f t="shared" si="413"/>
        <v>#DIV/0!</v>
      </c>
      <c r="G936" s="1" t="s">
        <v>3456</v>
      </c>
      <c r="H936" s="1">
        <v>64</v>
      </c>
      <c r="I936" s="2" t="s">
        <v>5</v>
      </c>
      <c r="J936" s="1" t="s">
        <v>15273</v>
      </c>
      <c r="K936" s="3" t="s">
        <v>3457</v>
      </c>
      <c r="L936" s="1"/>
      <c r="M936" s="1"/>
      <c r="N936" s="4" t="s">
        <v>16125</v>
      </c>
      <c r="O936" s="1"/>
      <c r="P936" s="1" t="s">
        <v>25</v>
      </c>
      <c r="Q936" s="16">
        <v>2</v>
      </c>
      <c r="R936" s="17">
        <v>2</v>
      </c>
      <c r="S936" s="774" t="s">
        <v>5561</v>
      </c>
    </row>
    <row r="937" spans="1:19" ht="12" customHeight="1">
      <c r="A937" s="1040" t="str">
        <f t="shared" si="395"/>
        <v>208</v>
      </c>
      <c r="B937" s="4" t="s">
        <v>3455</v>
      </c>
      <c r="C937" s="4"/>
      <c r="D937" s="1008"/>
      <c r="E937" s="1002" t="str">
        <f t="shared" si="412"/>
        <v/>
      </c>
      <c r="F937" s="1005" t="e">
        <f t="shared" si="413"/>
        <v>#DIV/0!</v>
      </c>
      <c r="G937" s="1" t="s">
        <v>4417</v>
      </c>
      <c r="H937" s="1">
        <v>47</v>
      </c>
      <c r="I937" s="2" t="s">
        <v>5</v>
      </c>
      <c r="J937" s="1" t="s">
        <v>15273</v>
      </c>
      <c r="K937" s="3"/>
      <c r="L937" s="1"/>
      <c r="M937" s="1"/>
      <c r="N937" s="4" t="s">
        <v>16116</v>
      </c>
      <c r="O937" s="1" t="s">
        <v>276</v>
      </c>
      <c r="P937" s="1" t="s">
        <v>6</v>
      </c>
      <c r="Q937" s="16"/>
      <c r="R937" s="17"/>
      <c r="S937" s="774"/>
    </row>
    <row r="938" spans="1:19" ht="12" customHeight="1">
      <c r="A938" s="1040" t="str">
        <f t="shared" si="395"/>
        <v>208</v>
      </c>
      <c r="B938" s="4" t="s">
        <v>5998</v>
      </c>
      <c r="C938" s="4"/>
      <c r="D938" s="1008"/>
      <c r="E938" s="1002" t="str">
        <f t="shared" si="412"/>
        <v/>
      </c>
      <c r="F938" s="1005" t="str">
        <f t="shared" si="413"/>
        <v>$</v>
      </c>
      <c r="G938" s="1" t="s">
        <v>3462</v>
      </c>
      <c r="H938" s="1">
        <v>54</v>
      </c>
      <c r="I938" s="2" t="s">
        <v>5</v>
      </c>
      <c r="J938" s="1"/>
      <c r="K938" s="3"/>
      <c r="L938" s="1"/>
      <c r="M938" s="1"/>
      <c r="N938" s="4" t="s">
        <v>16117</v>
      </c>
      <c r="O938" s="1"/>
      <c r="P938" s="1" t="s">
        <v>6</v>
      </c>
      <c r="Q938" s="16"/>
      <c r="R938" s="17"/>
      <c r="S938" s="774"/>
    </row>
    <row r="939" spans="1:19" ht="12" customHeight="1" thickBot="1">
      <c r="A939" s="916" t="str">
        <f t="shared" si="395"/>
        <v>208</v>
      </c>
      <c r="B939" s="700" t="s">
        <v>16044</v>
      </c>
      <c r="C939" s="700"/>
      <c r="D939" s="1009"/>
      <c r="E939" s="1003" t="str">
        <f t="shared" si="412"/>
        <v/>
      </c>
      <c r="F939" s="1041" t="str">
        <f t="shared" si="413"/>
        <v>$</v>
      </c>
      <c r="G939" s="906" t="s">
        <v>16045</v>
      </c>
      <c r="H939" s="906">
        <v>65</v>
      </c>
      <c r="I939" s="702" t="s">
        <v>19</v>
      </c>
      <c r="J939" s="906"/>
      <c r="K939" s="703"/>
      <c r="L939" s="906"/>
      <c r="M939" s="906"/>
      <c r="N939" s="700" t="s">
        <v>16129</v>
      </c>
      <c r="O939" s="906"/>
      <c r="P939" s="906" t="s">
        <v>6</v>
      </c>
      <c r="Q939" s="705"/>
      <c r="R939" s="903"/>
      <c r="S939" s="793"/>
    </row>
    <row r="940" spans="1:19" ht="12" customHeight="1">
      <c r="A940" s="1038" t="str">
        <f t="shared" si="395"/>
        <v>209</v>
      </c>
      <c r="B940" s="688" t="s">
        <v>3464</v>
      </c>
      <c r="C940" s="688"/>
      <c r="D940" s="1007"/>
      <c r="E940" s="1001" t="str">
        <f>IF(D940="","",D940/SUM($D$940:$D$943))</f>
        <v/>
      </c>
      <c r="F940" s="1004" t="e">
        <f>IF(J940="","$",IF(C940="当選","-",D940*100/MAX($D$940:$D$943)))</f>
        <v>#DIV/0!</v>
      </c>
      <c r="G940" s="687" t="s">
        <v>3476</v>
      </c>
      <c r="H940" s="687">
        <v>63</v>
      </c>
      <c r="I940" s="696" t="s">
        <v>5</v>
      </c>
      <c r="J940" s="687" t="s">
        <v>15273</v>
      </c>
      <c r="K940" s="747"/>
      <c r="L940" s="687"/>
      <c r="M940" s="687"/>
      <c r="N940" s="688" t="s">
        <v>16120</v>
      </c>
      <c r="O940" s="687" t="s">
        <v>30</v>
      </c>
      <c r="P940" s="687" t="s">
        <v>6</v>
      </c>
      <c r="Q940" s="748"/>
      <c r="R940" s="749"/>
      <c r="S940" s="805" t="s">
        <v>5457</v>
      </c>
    </row>
    <row r="941" spans="1:19" ht="12" customHeight="1">
      <c r="A941" s="1040" t="str">
        <f t="shared" si="395"/>
        <v>209</v>
      </c>
      <c r="B941" s="4" t="s">
        <v>3465</v>
      </c>
      <c r="C941" s="4"/>
      <c r="D941" s="1008"/>
      <c r="E941" s="1002" t="str">
        <f t="shared" ref="E941:E943" si="414">IF(D941="","",D941/SUM($D$940:$D$943))</f>
        <v/>
      </c>
      <c r="F941" s="1005" t="e">
        <f t="shared" ref="F941:F943" si="415">IF(J941="","$",IF(C941="当選","-",D941*100/MAX($D$940:$D$943)))</f>
        <v>#DIV/0!</v>
      </c>
      <c r="G941" s="1" t="s">
        <v>3468</v>
      </c>
      <c r="H941" s="1">
        <v>61</v>
      </c>
      <c r="I941" s="2" t="s">
        <v>5</v>
      </c>
      <c r="J941" s="1" t="s">
        <v>15273</v>
      </c>
      <c r="K941" s="3" t="s">
        <v>3469</v>
      </c>
      <c r="L941" s="1"/>
      <c r="M941" s="1"/>
      <c r="N941" s="4" t="s">
        <v>16125</v>
      </c>
      <c r="O941" s="1"/>
      <c r="P941" s="1" t="s">
        <v>25</v>
      </c>
      <c r="Q941" s="16">
        <v>2</v>
      </c>
      <c r="R941" s="17">
        <v>2</v>
      </c>
      <c r="S941" s="774" t="s">
        <v>5561</v>
      </c>
    </row>
    <row r="942" spans="1:19" ht="12" customHeight="1">
      <c r="A942" s="1040" t="str">
        <f t="shared" si="395"/>
        <v>209</v>
      </c>
      <c r="B942" s="4" t="s">
        <v>3466</v>
      </c>
      <c r="C942" s="4"/>
      <c r="D942" s="1008"/>
      <c r="E942" s="1002" t="str">
        <f t="shared" si="414"/>
        <v/>
      </c>
      <c r="F942" s="1005" t="e">
        <f t="shared" si="415"/>
        <v>#DIV/0!</v>
      </c>
      <c r="G942" s="1" t="s">
        <v>3481</v>
      </c>
      <c r="H942" s="1">
        <v>44</v>
      </c>
      <c r="I942" s="2" t="s">
        <v>5</v>
      </c>
      <c r="J942" s="1" t="s">
        <v>15273</v>
      </c>
      <c r="K942" s="3"/>
      <c r="L942" s="1"/>
      <c r="M942" s="1"/>
      <c r="N942" s="4" t="s">
        <v>16116</v>
      </c>
      <c r="O942" s="1" t="s">
        <v>276</v>
      </c>
      <c r="P942" s="1" t="s">
        <v>6</v>
      </c>
      <c r="Q942" s="16"/>
      <c r="R942" s="17"/>
      <c r="S942" s="774" t="s">
        <v>6154</v>
      </c>
    </row>
    <row r="943" spans="1:19" ht="12" customHeight="1" thickBot="1">
      <c r="A943" s="916" t="str">
        <f t="shared" si="395"/>
        <v>209</v>
      </c>
      <c r="B943" s="700" t="s">
        <v>3467</v>
      </c>
      <c r="C943" s="700"/>
      <c r="D943" s="1009"/>
      <c r="E943" s="1003" t="str">
        <f t="shared" si="414"/>
        <v/>
      </c>
      <c r="F943" s="1041" t="str">
        <f t="shared" si="415"/>
        <v>$</v>
      </c>
      <c r="G943" s="906" t="s">
        <v>3472</v>
      </c>
      <c r="H943" s="906">
        <v>62</v>
      </c>
      <c r="I943" s="702" t="s">
        <v>5</v>
      </c>
      <c r="J943" s="906"/>
      <c r="K943" s="703"/>
      <c r="L943" s="906"/>
      <c r="M943" s="906"/>
      <c r="N943" s="700" t="s">
        <v>16117</v>
      </c>
      <c r="O943" s="906"/>
      <c r="P943" s="906" t="s">
        <v>6</v>
      </c>
      <c r="Q943" s="705"/>
      <c r="R943" s="903"/>
      <c r="S943" s="793"/>
    </row>
    <row r="944" spans="1:19" ht="12" customHeight="1">
      <c r="A944" s="1038" t="str">
        <f t="shared" si="395"/>
        <v>210</v>
      </c>
      <c r="B944" s="688" t="s">
        <v>3484</v>
      </c>
      <c r="C944" s="688"/>
      <c r="D944" s="1007"/>
      <c r="E944" s="1001" t="str">
        <f>IF(D944="","",D944/SUM($D$944:$D$948))</f>
        <v/>
      </c>
      <c r="F944" s="1004" t="e">
        <f>IF(J944="","$",IF(C944="当選","-",D944*100/MAX($D$944:$D$948)))</f>
        <v>#DIV/0!</v>
      </c>
      <c r="G944" s="687" t="s">
        <v>3488</v>
      </c>
      <c r="H944" s="687">
        <v>44</v>
      </c>
      <c r="I944" s="696" t="s">
        <v>5</v>
      </c>
      <c r="J944" s="689" t="s">
        <v>15273</v>
      </c>
      <c r="K944" s="747" t="s">
        <v>3489</v>
      </c>
      <c r="L944" s="687"/>
      <c r="M944" s="687"/>
      <c r="N944" s="692" t="s">
        <v>16127</v>
      </c>
      <c r="O944" s="687" t="s">
        <v>44</v>
      </c>
      <c r="P944" s="687" t="s">
        <v>25</v>
      </c>
      <c r="Q944" s="748">
        <v>3</v>
      </c>
      <c r="R944" s="749">
        <v>3</v>
      </c>
      <c r="S944" s="805" t="s">
        <v>736</v>
      </c>
    </row>
    <row r="945" spans="1:19" ht="12" customHeight="1">
      <c r="A945" s="1040" t="str">
        <f t="shared" si="395"/>
        <v>210</v>
      </c>
      <c r="B945" s="4" t="s">
        <v>3485</v>
      </c>
      <c r="C945" s="4"/>
      <c r="D945" s="1008"/>
      <c r="E945" s="1002" t="str">
        <f t="shared" ref="E945:E948" si="416">IF(D945="","",D945/SUM($D$944:$D$948))</f>
        <v/>
      </c>
      <c r="F945" s="1005" t="e">
        <f t="shared" ref="F945:F948" si="417">IF(J945="","$",IF(C945="当選","-",D945*100/MAX($D$944:$D$948)))</f>
        <v>#DIV/0!</v>
      </c>
      <c r="G945" s="1" t="s">
        <v>3493</v>
      </c>
      <c r="H945" s="1">
        <v>36</v>
      </c>
      <c r="I945" s="2" t="s">
        <v>5</v>
      </c>
      <c r="J945" s="1" t="s">
        <v>15273</v>
      </c>
      <c r="K945" s="3"/>
      <c r="L945" s="1"/>
      <c r="M945" s="1"/>
      <c r="N945" s="8" t="s">
        <v>16120</v>
      </c>
      <c r="O945" s="1" t="s">
        <v>48</v>
      </c>
      <c r="P945" s="1" t="s">
        <v>6</v>
      </c>
      <c r="Q945" s="16"/>
      <c r="R945" s="17"/>
      <c r="S945" s="774" t="s">
        <v>5457</v>
      </c>
    </row>
    <row r="946" spans="1:19" ht="12" customHeight="1">
      <c r="A946" s="1040" t="str">
        <f t="shared" si="395"/>
        <v>210</v>
      </c>
      <c r="B946" s="4" t="s">
        <v>3486</v>
      </c>
      <c r="C946" s="4"/>
      <c r="D946" s="1008"/>
      <c r="E946" s="1002" t="str">
        <f t="shared" si="416"/>
        <v/>
      </c>
      <c r="F946" s="1005" t="e">
        <f t="shared" si="417"/>
        <v>#DIV/0!</v>
      </c>
      <c r="G946" s="1" t="s">
        <v>5039</v>
      </c>
      <c r="H946" s="1">
        <v>28</v>
      </c>
      <c r="I946" s="2" t="s">
        <v>5</v>
      </c>
      <c r="J946" s="1" t="s">
        <v>15273</v>
      </c>
      <c r="K946" s="3"/>
      <c r="L946" s="1"/>
      <c r="M946" s="1"/>
      <c r="N946" s="4" t="s">
        <v>16116</v>
      </c>
      <c r="O946" s="1" t="s">
        <v>18494</v>
      </c>
      <c r="P946" s="1" t="s">
        <v>6</v>
      </c>
      <c r="Q946" s="16"/>
      <c r="R946" s="17"/>
      <c r="S946" s="774" t="s">
        <v>6154</v>
      </c>
    </row>
    <row r="947" spans="1:19" ht="12" customHeight="1">
      <c r="A947" s="1040" t="str">
        <f t="shared" si="395"/>
        <v>210</v>
      </c>
      <c r="B947" s="4" t="s">
        <v>3487</v>
      </c>
      <c r="C947" s="4"/>
      <c r="D947" s="1008"/>
      <c r="E947" s="1002" t="str">
        <f t="shared" si="416"/>
        <v/>
      </c>
      <c r="F947" s="1005" t="str">
        <f t="shared" si="417"/>
        <v>$</v>
      </c>
      <c r="G947" s="1" t="s">
        <v>3499</v>
      </c>
      <c r="H947" s="1">
        <v>34</v>
      </c>
      <c r="I947" s="2" t="s">
        <v>5</v>
      </c>
      <c r="J947" s="1"/>
      <c r="K947" s="3"/>
      <c r="L947" s="1"/>
      <c r="M947" s="1"/>
      <c r="N947" s="4" t="s">
        <v>16117</v>
      </c>
      <c r="O947" s="1"/>
      <c r="P947" s="1" t="s">
        <v>6</v>
      </c>
      <c r="Q947" s="16"/>
      <c r="R947" s="17"/>
      <c r="S947" s="774"/>
    </row>
    <row r="948" spans="1:19" ht="12" customHeight="1" thickBot="1">
      <c r="A948" s="916" t="str">
        <f t="shared" si="395"/>
        <v>210</v>
      </c>
      <c r="B948" s="700" t="s">
        <v>5168</v>
      </c>
      <c r="C948" s="700"/>
      <c r="D948" s="1009"/>
      <c r="E948" s="1003" t="str">
        <f t="shared" si="416"/>
        <v/>
      </c>
      <c r="F948" s="1041" t="str">
        <f t="shared" si="417"/>
        <v>$</v>
      </c>
      <c r="G948" s="906" t="s">
        <v>5169</v>
      </c>
      <c r="H948" s="906">
        <v>40</v>
      </c>
      <c r="I948" s="702" t="s">
        <v>5</v>
      </c>
      <c r="J948" s="906"/>
      <c r="K948" s="703"/>
      <c r="L948" s="906"/>
      <c r="M948" s="906"/>
      <c r="N948" s="700" t="s">
        <v>16122</v>
      </c>
      <c r="O948" s="906" t="s">
        <v>22</v>
      </c>
      <c r="P948" s="906" t="s">
        <v>6</v>
      </c>
      <c r="Q948" s="705"/>
      <c r="R948" s="903"/>
      <c r="S948" s="793"/>
    </row>
    <row r="949" spans="1:19" ht="12" customHeight="1">
      <c r="A949" s="1038" t="str">
        <f t="shared" si="395"/>
        <v>211</v>
      </c>
      <c r="B949" s="688" t="s">
        <v>3504</v>
      </c>
      <c r="C949" s="688"/>
      <c r="D949" s="1007"/>
      <c r="E949" s="1001" t="str">
        <f>IF(D949="","",D949/SUM($D$949:$D$952))</f>
        <v/>
      </c>
      <c r="F949" s="1004" t="e">
        <f>IF(J949="","$",IF(C949="当選","-",D949*100/MAX($D$949:$D$952)))</f>
        <v>#DIV/0!</v>
      </c>
      <c r="G949" s="687" t="s">
        <v>3508</v>
      </c>
      <c r="H949" s="687">
        <v>47</v>
      </c>
      <c r="I949" s="696" t="s">
        <v>19</v>
      </c>
      <c r="J949" s="689" t="s">
        <v>15273</v>
      </c>
      <c r="K949" s="747" t="s">
        <v>3509</v>
      </c>
      <c r="L949" s="687"/>
      <c r="M949" s="687"/>
      <c r="N949" s="692" t="s">
        <v>16126</v>
      </c>
      <c r="O949" s="687" t="s">
        <v>44</v>
      </c>
      <c r="P949" s="687" t="s">
        <v>25</v>
      </c>
      <c r="Q949" s="748">
        <v>1</v>
      </c>
      <c r="R949" s="749">
        <v>1</v>
      </c>
      <c r="S949" s="805" t="s">
        <v>736</v>
      </c>
    </row>
    <row r="950" spans="1:19" ht="12" customHeight="1">
      <c r="A950" s="1040" t="str">
        <f t="shared" si="395"/>
        <v>211</v>
      </c>
      <c r="B950" s="4" t="s">
        <v>3505</v>
      </c>
      <c r="C950" s="4"/>
      <c r="D950" s="1008"/>
      <c r="E950" s="1002" t="str">
        <f t="shared" ref="E950:E952" si="418">IF(D950="","",D950/SUM($D$949:$D$952))</f>
        <v/>
      </c>
      <c r="F950" s="1005" t="e">
        <f t="shared" ref="F950:F952" si="419">IF(J950="","$",IF(C950="当選","-",D950*100/MAX($D$949:$D$952)))</f>
        <v>#DIV/0!</v>
      </c>
      <c r="G950" s="1" t="s">
        <v>3514</v>
      </c>
      <c r="H950" s="1">
        <v>59</v>
      </c>
      <c r="I950" s="2" t="s">
        <v>5</v>
      </c>
      <c r="J950" s="1" t="s">
        <v>15273</v>
      </c>
      <c r="K950" s="3"/>
      <c r="L950" s="1"/>
      <c r="M950" s="1"/>
      <c r="N950" s="4" t="s">
        <v>16120</v>
      </c>
      <c r="O950" s="1" t="s">
        <v>476</v>
      </c>
      <c r="P950" s="1" t="s">
        <v>14</v>
      </c>
      <c r="Q950" s="16">
        <v>1</v>
      </c>
      <c r="R950" s="17">
        <v>1</v>
      </c>
      <c r="S950" s="774" t="s">
        <v>5457</v>
      </c>
    </row>
    <row r="951" spans="1:19" ht="12" customHeight="1">
      <c r="A951" s="1040" t="str">
        <f t="shared" si="395"/>
        <v>211</v>
      </c>
      <c r="B951" s="4" t="s">
        <v>3506</v>
      </c>
      <c r="C951" s="4"/>
      <c r="D951" s="1008"/>
      <c r="E951" s="1002" t="str">
        <f t="shared" si="418"/>
        <v/>
      </c>
      <c r="F951" s="1005" t="e">
        <f t="shared" si="419"/>
        <v>#DIV/0!</v>
      </c>
      <c r="G951" s="1" t="s">
        <v>3519</v>
      </c>
      <c r="H951" s="1">
        <v>38</v>
      </c>
      <c r="I951" s="2" t="s">
        <v>5</v>
      </c>
      <c r="J951" s="1" t="s">
        <v>15273</v>
      </c>
      <c r="K951" s="3"/>
      <c r="L951" s="1"/>
      <c r="M951" s="1"/>
      <c r="N951" s="8" t="s">
        <v>18495</v>
      </c>
      <c r="O951" s="1"/>
      <c r="P951" s="1" t="s">
        <v>6</v>
      </c>
      <c r="Q951" s="16"/>
      <c r="R951" s="17"/>
      <c r="S951" s="774" t="s">
        <v>6031</v>
      </c>
    </row>
    <row r="952" spans="1:19" ht="12" customHeight="1" thickBot="1">
      <c r="A952" s="916" t="str">
        <f t="shared" si="395"/>
        <v>211</v>
      </c>
      <c r="B952" s="700" t="s">
        <v>3507</v>
      </c>
      <c r="C952" s="700"/>
      <c r="D952" s="1009"/>
      <c r="E952" s="1003" t="str">
        <f t="shared" si="418"/>
        <v/>
      </c>
      <c r="F952" s="1041" t="str">
        <f t="shared" si="419"/>
        <v>$</v>
      </c>
      <c r="G952" s="906" t="s">
        <v>3516</v>
      </c>
      <c r="H952" s="906">
        <v>41</v>
      </c>
      <c r="I952" s="702" t="s">
        <v>5</v>
      </c>
      <c r="J952" s="906"/>
      <c r="K952" s="703"/>
      <c r="L952" s="906"/>
      <c r="M952" s="906"/>
      <c r="N952" s="700" t="s">
        <v>16117</v>
      </c>
      <c r="O952" s="906"/>
      <c r="P952" s="906" t="s">
        <v>6</v>
      </c>
      <c r="Q952" s="705"/>
      <c r="R952" s="903"/>
      <c r="S952" s="793"/>
    </row>
    <row r="953" spans="1:19" ht="12" customHeight="1">
      <c r="A953" s="1038" t="str">
        <f t="shared" si="395"/>
        <v>212</v>
      </c>
      <c r="B953" s="688" t="s">
        <v>3521</v>
      </c>
      <c r="C953" s="688"/>
      <c r="D953" s="1007"/>
      <c r="E953" s="1001" t="str">
        <f>IF(D953="","",D953/SUM($D$953:$D$956))</f>
        <v/>
      </c>
      <c r="F953" s="1004" t="e">
        <f>IF(J953="","$",IF(C953="当選","-",D953*100/MAX($D$953:$D$956)))</f>
        <v>#DIV/0!</v>
      </c>
      <c r="G953" s="687" t="s">
        <v>3524</v>
      </c>
      <c r="H953" s="687">
        <v>55</v>
      </c>
      <c r="I953" s="696" t="s">
        <v>5</v>
      </c>
      <c r="J953" s="689" t="s">
        <v>15273</v>
      </c>
      <c r="K953" s="747" t="s">
        <v>3525</v>
      </c>
      <c r="L953" s="687"/>
      <c r="M953" s="687"/>
      <c r="N953" s="692" t="s">
        <v>16127</v>
      </c>
      <c r="O953" s="687" t="s">
        <v>681</v>
      </c>
      <c r="P953" s="687" t="s">
        <v>25</v>
      </c>
      <c r="Q953" s="748">
        <v>1</v>
      </c>
      <c r="R953" s="749">
        <v>1</v>
      </c>
      <c r="S953" s="805"/>
    </row>
    <row r="954" spans="1:19" ht="12" customHeight="1">
      <c r="A954" s="1040" t="str">
        <f t="shared" si="395"/>
        <v>212</v>
      </c>
      <c r="B954" s="4" t="s">
        <v>3522</v>
      </c>
      <c r="C954" s="4"/>
      <c r="D954" s="1008"/>
      <c r="E954" s="1002" t="str">
        <f t="shared" ref="E954:E956" si="420">IF(D954="","",D954/SUM($D$953:$D$956))</f>
        <v/>
      </c>
      <c r="F954" s="1005" t="str">
        <f t="shared" ref="F954:F956" si="421">IF(J954="","$",IF(C954="当選","-",D954*100/MAX($D$953:$D$956)))</f>
        <v>$</v>
      </c>
      <c r="G954" s="1" t="s">
        <v>3529</v>
      </c>
      <c r="H954" s="1">
        <v>54</v>
      </c>
      <c r="I954" s="2" t="s">
        <v>5</v>
      </c>
      <c r="J954" s="1"/>
      <c r="K954" s="3"/>
      <c r="L954" s="1"/>
      <c r="M954" s="1"/>
      <c r="N954" s="4" t="s">
        <v>16118</v>
      </c>
      <c r="O954" s="1"/>
      <c r="P954" s="1" t="s">
        <v>14</v>
      </c>
      <c r="Q954" s="16">
        <v>5</v>
      </c>
      <c r="R954" s="17">
        <v>5</v>
      </c>
      <c r="S954" s="774" t="s">
        <v>5546</v>
      </c>
    </row>
    <row r="955" spans="1:19" ht="12" customHeight="1">
      <c r="A955" s="1040" t="str">
        <f t="shared" si="395"/>
        <v>212</v>
      </c>
      <c r="B955" s="4" t="s">
        <v>3523</v>
      </c>
      <c r="C955" s="4"/>
      <c r="D955" s="1008"/>
      <c r="E955" s="1002" t="str">
        <f t="shared" si="420"/>
        <v/>
      </c>
      <c r="F955" s="1005" t="str">
        <f t="shared" si="421"/>
        <v>$</v>
      </c>
      <c r="G955" s="1" t="s">
        <v>3531</v>
      </c>
      <c r="H955" s="1">
        <v>61</v>
      </c>
      <c r="I955" s="2" t="s">
        <v>19</v>
      </c>
      <c r="J955" s="1"/>
      <c r="K955" s="3"/>
      <c r="L955" s="1"/>
      <c r="M955" s="1"/>
      <c r="N955" s="4" t="s">
        <v>16117</v>
      </c>
      <c r="O955" s="1"/>
      <c r="P955" s="1" t="s">
        <v>6</v>
      </c>
      <c r="Q955" s="16"/>
      <c r="R955" s="17"/>
      <c r="S955" s="774"/>
    </row>
    <row r="956" spans="1:19" ht="12" customHeight="1" thickBot="1">
      <c r="A956" s="916" t="str">
        <f t="shared" si="395"/>
        <v>212</v>
      </c>
      <c r="B956" s="700" t="s">
        <v>5852</v>
      </c>
      <c r="C956" s="700"/>
      <c r="D956" s="1009"/>
      <c r="E956" s="1003" t="str">
        <f t="shared" si="420"/>
        <v/>
      </c>
      <c r="F956" s="1041" t="str">
        <f t="shared" si="421"/>
        <v>$</v>
      </c>
      <c r="G956" s="906" t="s">
        <v>5853</v>
      </c>
      <c r="H956" s="906">
        <v>35</v>
      </c>
      <c r="I956" s="702" t="s">
        <v>5</v>
      </c>
      <c r="J956" s="906"/>
      <c r="K956" s="703"/>
      <c r="L956" s="906"/>
      <c r="M956" s="906"/>
      <c r="N956" s="700" t="s">
        <v>16129</v>
      </c>
      <c r="O956" s="906"/>
      <c r="P956" s="906" t="s">
        <v>6</v>
      </c>
      <c r="Q956" s="705"/>
      <c r="R956" s="903"/>
      <c r="S956" s="793"/>
    </row>
    <row r="957" spans="1:19" ht="12" customHeight="1">
      <c r="A957" s="1038" t="str">
        <f t="shared" si="395"/>
        <v>213</v>
      </c>
      <c r="B957" s="688" t="s">
        <v>3534</v>
      </c>
      <c r="C957" s="688"/>
      <c r="D957" s="1007"/>
      <c r="E957" s="1001" t="str">
        <f>IF(D957="","",D957/SUM($D$957:$D$961))</f>
        <v/>
      </c>
      <c r="F957" s="1004" t="e">
        <f>IF(J957="","$",IF(C957="当選","-",D957*100/MAX($D$957:$D$961)))</f>
        <v>#DIV/0!</v>
      </c>
      <c r="G957" s="687" t="s">
        <v>3538</v>
      </c>
      <c r="H957" s="687">
        <v>41</v>
      </c>
      <c r="I957" s="696" t="s">
        <v>5</v>
      </c>
      <c r="J957" s="689" t="s">
        <v>15273</v>
      </c>
      <c r="K957" s="747"/>
      <c r="L957" s="687"/>
      <c r="M957" s="687"/>
      <c r="N957" s="692" t="s">
        <v>16127</v>
      </c>
      <c r="O957" s="687" t="s">
        <v>44</v>
      </c>
      <c r="P957" s="687" t="s">
        <v>6</v>
      </c>
      <c r="Q957" s="748"/>
      <c r="R957" s="749"/>
      <c r="S957" s="805" t="s">
        <v>736</v>
      </c>
    </row>
    <row r="958" spans="1:19" ht="12" customHeight="1">
      <c r="A958" s="1040" t="str">
        <f t="shared" si="395"/>
        <v>213</v>
      </c>
      <c r="B958" s="4" t="s">
        <v>3535</v>
      </c>
      <c r="C958" s="4"/>
      <c r="D958" s="1008"/>
      <c r="E958" s="1002" t="str">
        <f t="shared" ref="E958:E961" si="422">IF(D958="","",D958/SUM($D$957:$D$961))</f>
        <v/>
      </c>
      <c r="F958" s="1005" t="e">
        <f t="shared" ref="F958:F961" si="423">IF(J958="","$",IF(C958="当選","-",D958*100/MAX($D$957:$D$961)))</f>
        <v>#DIV/0!</v>
      </c>
      <c r="G958" s="1" t="s">
        <v>3541</v>
      </c>
      <c r="H958" s="1">
        <v>47</v>
      </c>
      <c r="I958" s="2" t="s">
        <v>5</v>
      </c>
      <c r="J958" s="1" t="s">
        <v>15273</v>
      </c>
      <c r="K958" s="3"/>
      <c r="L958" s="1"/>
      <c r="M958" s="1"/>
      <c r="N958" s="4" t="s">
        <v>16120</v>
      </c>
      <c r="O958" s="1" t="s">
        <v>48</v>
      </c>
      <c r="P958" s="1" t="s">
        <v>14</v>
      </c>
      <c r="Q958" s="16">
        <v>1</v>
      </c>
      <c r="R958" s="17">
        <v>1</v>
      </c>
      <c r="S958" s="774" t="s">
        <v>5457</v>
      </c>
    </row>
    <row r="959" spans="1:19" ht="12" customHeight="1">
      <c r="A959" s="1040" t="str">
        <f t="shared" si="395"/>
        <v>213</v>
      </c>
      <c r="B959" s="4" t="s">
        <v>3536</v>
      </c>
      <c r="C959" s="4"/>
      <c r="D959" s="1008"/>
      <c r="E959" s="1002" t="str">
        <f t="shared" si="422"/>
        <v/>
      </c>
      <c r="F959" s="1005" t="e">
        <f t="shared" si="423"/>
        <v>#DIV/0!</v>
      </c>
      <c r="G959" s="1" t="s">
        <v>5084</v>
      </c>
      <c r="H959" s="1">
        <v>35</v>
      </c>
      <c r="I959" s="2" t="s">
        <v>19</v>
      </c>
      <c r="J959" s="1" t="s">
        <v>15273</v>
      </c>
      <c r="K959" s="3"/>
      <c r="L959" s="1"/>
      <c r="M959" s="1"/>
      <c r="N959" s="4" t="s">
        <v>16125</v>
      </c>
      <c r="O959" s="1"/>
      <c r="P959" s="1" t="s">
        <v>6</v>
      </c>
      <c r="Q959" s="16"/>
      <c r="R959" s="17"/>
      <c r="S959" s="774" t="s">
        <v>5561</v>
      </c>
    </row>
    <row r="960" spans="1:19" ht="12" customHeight="1">
      <c r="A960" s="1040" t="str">
        <f t="shared" si="395"/>
        <v>213</v>
      </c>
      <c r="B960" s="4" t="s">
        <v>3537</v>
      </c>
      <c r="C960" s="4"/>
      <c r="D960" s="1008"/>
      <c r="E960" s="1002" t="str">
        <f t="shared" si="422"/>
        <v/>
      </c>
      <c r="F960" s="1005" t="e">
        <f t="shared" si="423"/>
        <v>#DIV/0!</v>
      </c>
      <c r="G960" s="1" t="s">
        <v>5041</v>
      </c>
      <c r="H960" s="1">
        <v>50</v>
      </c>
      <c r="I960" s="2" t="s">
        <v>5</v>
      </c>
      <c r="J960" s="1" t="s">
        <v>15273</v>
      </c>
      <c r="K960" s="3"/>
      <c r="L960" s="1"/>
      <c r="M960" s="1"/>
      <c r="N960" s="4" t="s">
        <v>16116</v>
      </c>
      <c r="O960" s="1" t="s">
        <v>276</v>
      </c>
      <c r="P960" s="1" t="s">
        <v>6</v>
      </c>
      <c r="Q960" s="16"/>
      <c r="R960" s="17"/>
      <c r="S960" s="774" t="s">
        <v>6154</v>
      </c>
    </row>
    <row r="961" spans="1:19" ht="12" customHeight="1" thickBot="1">
      <c r="A961" s="916" t="str">
        <f t="shared" si="395"/>
        <v>213</v>
      </c>
      <c r="B961" s="700" t="s">
        <v>5040</v>
      </c>
      <c r="C961" s="700"/>
      <c r="D961" s="1009"/>
      <c r="E961" s="1003" t="str">
        <f t="shared" si="422"/>
        <v/>
      </c>
      <c r="F961" s="1041" t="str">
        <f t="shared" si="423"/>
        <v>$</v>
      </c>
      <c r="G961" s="906" t="s">
        <v>3543</v>
      </c>
      <c r="H961" s="906">
        <v>64</v>
      </c>
      <c r="I961" s="702" t="s">
        <v>5</v>
      </c>
      <c r="J961" s="906"/>
      <c r="K961" s="703"/>
      <c r="L961" s="906"/>
      <c r="M961" s="906"/>
      <c r="N961" s="700" t="s">
        <v>16117</v>
      </c>
      <c r="O961" s="906"/>
      <c r="P961" s="906" t="s">
        <v>6</v>
      </c>
      <c r="Q961" s="705"/>
      <c r="R961" s="903"/>
      <c r="S961" s="793"/>
    </row>
    <row r="962" spans="1:19" ht="12" customHeight="1">
      <c r="A962" s="1038" t="str">
        <f t="shared" si="395"/>
        <v>214</v>
      </c>
      <c r="B962" s="688" t="s">
        <v>3546</v>
      </c>
      <c r="C962" s="688"/>
      <c r="D962" s="1007"/>
      <c r="E962" s="1001" t="str">
        <f>IF(D962="","",D962/SUM($D$962:$D$965))</f>
        <v/>
      </c>
      <c r="F962" s="1004" t="e">
        <f>IF(J962="","$",IF(C962="当選","-",D962*100/MAX($D$962:$D$965)))</f>
        <v>#DIV/0!</v>
      </c>
      <c r="G962" s="687" t="s">
        <v>3549</v>
      </c>
      <c r="H962" s="687">
        <v>48</v>
      </c>
      <c r="I962" s="696" t="s">
        <v>5</v>
      </c>
      <c r="J962" s="689" t="s">
        <v>15273</v>
      </c>
      <c r="K962" s="747" t="s">
        <v>3550</v>
      </c>
      <c r="L962" s="687"/>
      <c r="M962" s="687"/>
      <c r="N962" s="692" t="s">
        <v>16126</v>
      </c>
      <c r="O962" s="687" t="s">
        <v>24</v>
      </c>
      <c r="P962" s="687" t="s">
        <v>25</v>
      </c>
      <c r="Q962" s="748">
        <v>1</v>
      </c>
      <c r="R962" s="749">
        <v>1</v>
      </c>
      <c r="S962" s="805" t="s">
        <v>736</v>
      </c>
    </row>
    <row r="963" spans="1:19" ht="12" customHeight="1">
      <c r="A963" s="1040" t="str">
        <f t="shared" ref="A963:A1026" si="424">MIDB(B963,1,3)</f>
        <v>214</v>
      </c>
      <c r="B963" s="4" t="s">
        <v>3547</v>
      </c>
      <c r="C963" s="4"/>
      <c r="D963" s="1008"/>
      <c r="E963" s="1002" t="str">
        <f t="shared" ref="E963:E965" si="425">IF(D963="","",D963/SUM($D$962:$D$965))</f>
        <v/>
      </c>
      <c r="F963" s="1005" t="e">
        <f t="shared" ref="F963:F965" si="426">IF(J963="","$",IF(C963="当選","-",D963*100/MAX($D$962:$D$965)))</f>
        <v>#DIV/0!</v>
      </c>
      <c r="G963" s="1" t="s">
        <v>3554</v>
      </c>
      <c r="H963" s="1">
        <v>41</v>
      </c>
      <c r="I963" s="2" t="s">
        <v>5</v>
      </c>
      <c r="J963" s="1" t="s">
        <v>15273</v>
      </c>
      <c r="K963" s="3"/>
      <c r="L963" s="1"/>
      <c r="M963" s="1"/>
      <c r="N963" s="8" t="s">
        <v>16120</v>
      </c>
      <c r="O963" s="1" t="s">
        <v>30</v>
      </c>
      <c r="P963" s="1" t="s">
        <v>6</v>
      </c>
      <c r="Q963" s="16"/>
      <c r="R963" s="17"/>
      <c r="S963" s="774" t="s">
        <v>5457</v>
      </c>
    </row>
    <row r="964" spans="1:19" ht="12" customHeight="1">
      <c r="A964" s="1040" t="str">
        <f t="shared" si="424"/>
        <v>214</v>
      </c>
      <c r="B964" s="4" t="s">
        <v>3548</v>
      </c>
      <c r="C964" s="4"/>
      <c r="D964" s="1008"/>
      <c r="E964" s="1002" t="str">
        <f t="shared" si="425"/>
        <v/>
      </c>
      <c r="F964" s="1005" t="e">
        <f t="shared" si="426"/>
        <v>#DIV/0!</v>
      </c>
      <c r="G964" s="1" t="s">
        <v>5424</v>
      </c>
      <c r="H964" s="1">
        <v>38</v>
      </c>
      <c r="I964" s="2" t="s">
        <v>5</v>
      </c>
      <c r="J964" s="1" t="s">
        <v>15273</v>
      </c>
      <c r="K964" s="3"/>
      <c r="L964" s="1"/>
      <c r="M964" s="1"/>
      <c r="N964" s="4" t="s">
        <v>16116</v>
      </c>
      <c r="O964" s="1" t="s">
        <v>18494</v>
      </c>
      <c r="P964" s="1" t="s">
        <v>6</v>
      </c>
      <c r="Q964" s="16"/>
      <c r="R964" s="17"/>
      <c r="S964" s="774" t="s">
        <v>6154</v>
      </c>
    </row>
    <row r="965" spans="1:19" ht="12" customHeight="1" thickBot="1">
      <c r="A965" s="916" t="str">
        <f t="shared" si="424"/>
        <v>214</v>
      </c>
      <c r="B965" s="700" t="s">
        <v>5423</v>
      </c>
      <c r="C965" s="700"/>
      <c r="D965" s="1009"/>
      <c r="E965" s="1003" t="str">
        <f t="shared" si="425"/>
        <v/>
      </c>
      <c r="F965" s="1041" t="str">
        <f t="shared" si="426"/>
        <v>$</v>
      </c>
      <c r="G965" s="906" t="s">
        <v>3556</v>
      </c>
      <c r="H965" s="906">
        <v>68</v>
      </c>
      <c r="I965" s="702" t="s">
        <v>5</v>
      </c>
      <c r="J965" s="906"/>
      <c r="K965" s="703"/>
      <c r="L965" s="906"/>
      <c r="M965" s="906"/>
      <c r="N965" s="700" t="s">
        <v>16117</v>
      </c>
      <c r="O965" s="906"/>
      <c r="P965" s="906" t="s">
        <v>6</v>
      </c>
      <c r="Q965" s="705"/>
      <c r="R965" s="903"/>
      <c r="S965" s="793"/>
    </row>
    <row r="966" spans="1:19" ht="12" customHeight="1">
      <c r="A966" s="1038" t="str">
        <f t="shared" si="424"/>
        <v>215</v>
      </c>
      <c r="B966" s="688" t="s">
        <v>3563</v>
      </c>
      <c r="C966" s="688"/>
      <c r="D966" s="1007"/>
      <c r="E966" s="1001" t="str">
        <f>IF(D966="","",D966/SUM($D$966:$D$969))</f>
        <v/>
      </c>
      <c r="F966" s="1004" t="e">
        <f>IF(J966="","$",IF(C966="当選","-",D966*100/MAX($D$966:$D$969)))</f>
        <v>#DIV/0!</v>
      </c>
      <c r="G966" s="687" t="s">
        <v>3566</v>
      </c>
      <c r="H966" s="687">
        <v>56</v>
      </c>
      <c r="I966" s="696" t="s">
        <v>5</v>
      </c>
      <c r="J966" s="689" t="s">
        <v>15273</v>
      </c>
      <c r="K966" s="747" t="s">
        <v>3567</v>
      </c>
      <c r="L966" s="687"/>
      <c r="M966" s="687"/>
      <c r="N966" s="692" t="s">
        <v>16127</v>
      </c>
      <c r="O966" s="687" t="s">
        <v>737</v>
      </c>
      <c r="P966" s="687" t="s">
        <v>25</v>
      </c>
      <c r="Q966" s="748">
        <v>2</v>
      </c>
      <c r="R966" s="749">
        <v>2</v>
      </c>
      <c r="S966" s="805" t="s">
        <v>736</v>
      </c>
    </row>
    <row r="967" spans="1:19" ht="12" customHeight="1">
      <c r="A967" s="1040" t="str">
        <f t="shared" si="424"/>
        <v>215</v>
      </c>
      <c r="B967" s="4" t="s">
        <v>3564</v>
      </c>
      <c r="C967" s="4"/>
      <c r="D967" s="1008"/>
      <c r="E967" s="1002" t="str">
        <f t="shared" ref="E967:E969" si="427">IF(D967="","",D967/SUM($D$966:$D$969))</f>
        <v/>
      </c>
      <c r="F967" s="1005" t="e">
        <f t="shared" ref="F967:F968" si="428">IF(J967="","$",IF(C967="当選","-",D967*100/MAX($D$966:$D$969)))</f>
        <v>#DIV/0!</v>
      </c>
      <c r="G967" s="1" t="s">
        <v>3572</v>
      </c>
      <c r="H967" s="1">
        <v>60</v>
      </c>
      <c r="I967" s="2" t="s">
        <v>5</v>
      </c>
      <c r="J967" s="1" t="s">
        <v>15273</v>
      </c>
      <c r="K967" s="3" t="s">
        <v>3573</v>
      </c>
      <c r="L967" s="1"/>
      <c r="M967" s="1"/>
      <c r="N967" s="4" t="s">
        <v>16120</v>
      </c>
      <c r="O967" s="1" t="s">
        <v>65</v>
      </c>
      <c r="P967" s="1" t="s">
        <v>25</v>
      </c>
      <c r="Q967" s="16">
        <v>3</v>
      </c>
      <c r="R967" s="17">
        <v>3</v>
      </c>
      <c r="S967" s="774" t="s">
        <v>5457</v>
      </c>
    </row>
    <row r="968" spans="1:19" ht="12" customHeight="1">
      <c r="A968" s="1040" t="str">
        <f t="shared" si="424"/>
        <v>215</v>
      </c>
      <c r="B968" s="4" t="s">
        <v>3565</v>
      </c>
      <c r="C968" s="4"/>
      <c r="D968" s="1008"/>
      <c r="E968" s="1002" t="str">
        <f t="shared" si="427"/>
        <v/>
      </c>
      <c r="F968" s="1005" t="e">
        <f t="shared" si="428"/>
        <v>#DIV/0!</v>
      </c>
      <c r="G968" s="1" t="s">
        <v>5098</v>
      </c>
      <c r="H968" s="1">
        <v>46</v>
      </c>
      <c r="I968" s="2" t="s">
        <v>19</v>
      </c>
      <c r="J968" s="1" t="s">
        <v>15273</v>
      </c>
      <c r="K968" s="3"/>
      <c r="L968" s="1"/>
      <c r="M968" s="1"/>
      <c r="N968" s="4" t="s">
        <v>16116</v>
      </c>
      <c r="O968" s="1" t="s">
        <v>4993</v>
      </c>
      <c r="P968" s="1" t="s">
        <v>6</v>
      </c>
      <c r="Q968" s="16"/>
      <c r="R968" s="17"/>
      <c r="S968" s="774" t="s">
        <v>6154</v>
      </c>
    </row>
    <row r="969" spans="1:19" ht="12" customHeight="1" thickBot="1">
      <c r="A969" s="916" t="str">
        <f t="shared" si="424"/>
        <v>215</v>
      </c>
      <c r="B969" s="700" t="s">
        <v>5097</v>
      </c>
      <c r="C969" s="700"/>
      <c r="D969" s="1009"/>
      <c r="E969" s="1003" t="str">
        <f t="shared" si="427"/>
        <v/>
      </c>
      <c r="F969" s="1041" t="str">
        <f t="shared" ref="F969" si="429">IF(J969="","$",IF(C969="当選","-",D969*100/MAX($D$966:$D$969)))</f>
        <v>$</v>
      </c>
      <c r="G969" s="906" t="s">
        <v>3577</v>
      </c>
      <c r="H969" s="906">
        <v>59</v>
      </c>
      <c r="I969" s="702" t="s">
        <v>5</v>
      </c>
      <c r="J969" s="906"/>
      <c r="K969" s="703"/>
      <c r="L969" s="906"/>
      <c r="M969" s="906"/>
      <c r="N969" s="700" t="s">
        <v>16117</v>
      </c>
      <c r="O969" s="906"/>
      <c r="P969" s="906" t="s">
        <v>6</v>
      </c>
      <c r="Q969" s="705"/>
      <c r="R969" s="903"/>
      <c r="S969" s="793"/>
    </row>
    <row r="970" spans="1:19" ht="12" customHeight="1">
      <c r="A970" s="1038" t="str">
        <f t="shared" si="424"/>
        <v>216</v>
      </c>
      <c r="B970" s="688" t="s">
        <v>3581</v>
      </c>
      <c r="C970" s="688"/>
      <c r="D970" s="1007"/>
      <c r="E970" s="1001" t="str">
        <f>IF(D970="","",D970/SUM($D$970:$D$974))</f>
        <v/>
      </c>
      <c r="F970" s="1004" t="e">
        <f>IF(J970="","$",IF(C970="当選","-",D970*100/MAX($D$970:$D$974)))</f>
        <v>#DIV/0!</v>
      </c>
      <c r="G970" s="687" t="s">
        <v>3585</v>
      </c>
      <c r="H970" s="687">
        <v>48</v>
      </c>
      <c r="I970" s="696" t="s">
        <v>5</v>
      </c>
      <c r="J970" s="689" t="s">
        <v>15273</v>
      </c>
      <c r="K970" s="747" t="s">
        <v>3586</v>
      </c>
      <c r="L970" s="687"/>
      <c r="M970" s="687"/>
      <c r="N970" s="692" t="s">
        <v>16127</v>
      </c>
      <c r="O970" s="687" t="s">
        <v>604</v>
      </c>
      <c r="P970" s="687" t="s">
        <v>25</v>
      </c>
      <c r="Q970" s="748">
        <v>3</v>
      </c>
      <c r="R970" s="749">
        <v>3</v>
      </c>
      <c r="S970" s="805" t="s">
        <v>736</v>
      </c>
    </row>
    <row r="971" spans="1:19" ht="12" customHeight="1">
      <c r="A971" s="1040" t="str">
        <f t="shared" si="424"/>
        <v>216</v>
      </c>
      <c r="B971" s="4" t="s">
        <v>3582</v>
      </c>
      <c r="C971" s="4"/>
      <c r="D971" s="1008"/>
      <c r="E971" s="1002" t="str">
        <f t="shared" ref="E971:E974" si="430">IF(D971="","",D971/SUM($D$970:$D$974))</f>
        <v/>
      </c>
      <c r="F971" s="1005" t="e">
        <f t="shared" ref="F971:F974" si="431">IF(J971="","$",IF(C971="当選","-",D971*100/MAX($D$970:$D$974)))</f>
        <v>#DIV/0!</v>
      </c>
      <c r="G971" s="1" t="s">
        <v>3589</v>
      </c>
      <c r="H971" s="1">
        <v>46</v>
      </c>
      <c r="I971" s="2" t="s">
        <v>5</v>
      </c>
      <c r="J971" s="1" t="s">
        <v>15273</v>
      </c>
      <c r="K971" s="3"/>
      <c r="L971" s="1"/>
      <c r="M971" s="1"/>
      <c r="N971" s="4" t="s">
        <v>16120</v>
      </c>
      <c r="O971" s="1" t="s">
        <v>30</v>
      </c>
      <c r="P971" s="1" t="s">
        <v>6</v>
      </c>
      <c r="Q971" s="16"/>
      <c r="R971" s="17"/>
      <c r="S971" s="774" t="s">
        <v>5457</v>
      </c>
    </row>
    <row r="972" spans="1:19" ht="12" customHeight="1">
      <c r="A972" s="1040" t="str">
        <f t="shared" si="424"/>
        <v>216</v>
      </c>
      <c r="B972" s="4" t="s">
        <v>3583</v>
      </c>
      <c r="C972" s="4"/>
      <c r="D972" s="1008"/>
      <c r="E972" s="1002" t="str">
        <f t="shared" si="430"/>
        <v/>
      </c>
      <c r="F972" s="1005" t="e">
        <f t="shared" si="431"/>
        <v>#DIV/0!</v>
      </c>
      <c r="G972" s="1" t="s">
        <v>6202</v>
      </c>
      <c r="H972" s="1">
        <v>57</v>
      </c>
      <c r="I972" s="2" t="s">
        <v>5</v>
      </c>
      <c r="J972" s="1" t="s">
        <v>15273</v>
      </c>
      <c r="K972" s="3"/>
      <c r="L972" s="1"/>
      <c r="M972" s="1"/>
      <c r="N972" s="4" t="s">
        <v>16125</v>
      </c>
      <c r="O972" s="1"/>
      <c r="P972" s="1" t="s">
        <v>6</v>
      </c>
      <c r="Q972" s="16"/>
      <c r="R972" s="17"/>
      <c r="S972" s="774" t="s">
        <v>5561</v>
      </c>
    </row>
    <row r="973" spans="1:19" ht="12" customHeight="1">
      <c r="A973" s="1040" t="str">
        <f t="shared" si="424"/>
        <v>216</v>
      </c>
      <c r="B973" s="4" t="s">
        <v>3584</v>
      </c>
      <c r="C973" s="4"/>
      <c r="D973" s="1008"/>
      <c r="E973" s="1002" t="str">
        <f t="shared" si="430"/>
        <v/>
      </c>
      <c r="F973" s="1005" t="e">
        <f t="shared" si="431"/>
        <v>#DIV/0!</v>
      </c>
      <c r="G973" s="1" t="s">
        <v>3595</v>
      </c>
      <c r="H973" s="1">
        <v>45</v>
      </c>
      <c r="I973" s="2" t="s">
        <v>19</v>
      </c>
      <c r="J973" s="1" t="s">
        <v>15273</v>
      </c>
      <c r="K973" s="3"/>
      <c r="L973" s="1"/>
      <c r="M973" s="1"/>
      <c r="N973" s="4" t="s">
        <v>16116</v>
      </c>
      <c r="O973" s="1" t="s">
        <v>6154</v>
      </c>
      <c r="P973" s="1" t="s">
        <v>6</v>
      </c>
      <c r="Q973" s="16"/>
      <c r="R973" s="17"/>
      <c r="S973" s="774"/>
    </row>
    <row r="974" spans="1:19" ht="12" customHeight="1" thickBot="1">
      <c r="A974" s="916" t="str">
        <f t="shared" si="424"/>
        <v>216</v>
      </c>
      <c r="B974" s="700" t="s">
        <v>6201</v>
      </c>
      <c r="C974" s="700"/>
      <c r="D974" s="1009"/>
      <c r="E974" s="1003" t="str">
        <f t="shared" si="430"/>
        <v/>
      </c>
      <c r="F974" s="1041" t="str">
        <f t="shared" si="431"/>
        <v>$</v>
      </c>
      <c r="G974" s="906" t="s">
        <v>3592</v>
      </c>
      <c r="H974" s="906">
        <v>38</v>
      </c>
      <c r="I974" s="702" t="s">
        <v>5</v>
      </c>
      <c r="J974" s="906"/>
      <c r="K974" s="703"/>
      <c r="L974" s="906"/>
      <c r="M974" s="906"/>
      <c r="N974" s="700" t="s">
        <v>16117</v>
      </c>
      <c r="O974" s="906"/>
      <c r="P974" s="906" t="s">
        <v>6</v>
      </c>
      <c r="Q974" s="705"/>
      <c r="R974" s="903"/>
      <c r="S974" s="793"/>
    </row>
    <row r="975" spans="1:19" ht="12" customHeight="1">
      <c r="A975" s="1038" t="str">
        <f t="shared" si="424"/>
        <v>217</v>
      </c>
      <c r="B975" s="688" t="s">
        <v>3598</v>
      </c>
      <c r="C975" s="688"/>
      <c r="D975" s="1007"/>
      <c r="E975" s="1001" t="str">
        <f>IF(D975="","",D975/SUM($D$975:$D$978))</f>
        <v/>
      </c>
      <c r="F975" s="1004" t="e">
        <f>IF(J975="","$",IF(C975="当選","-",D975*100/MAX($D$975:$D$978)))</f>
        <v>#DIV/0!</v>
      </c>
      <c r="G975" s="687" t="s">
        <v>3602</v>
      </c>
      <c r="H975" s="687">
        <v>41</v>
      </c>
      <c r="I975" s="696" t="s">
        <v>5</v>
      </c>
      <c r="J975" s="689" t="s">
        <v>15273</v>
      </c>
      <c r="K975" s="747" t="s">
        <v>3603</v>
      </c>
      <c r="L975" s="687"/>
      <c r="M975" s="687"/>
      <c r="N975" s="692" t="s">
        <v>16126</v>
      </c>
      <c r="O975" s="687" t="s">
        <v>44</v>
      </c>
      <c r="P975" s="687" t="s">
        <v>25</v>
      </c>
      <c r="Q975" s="748">
        <v>1</v>
      </c>
      <c r="R975" s="749">
        <v>1</v>
      </c>
      <c r="S975" s="805" t="s">
        <v>736</v>
      </c>
    </row>
    <row r="976" spans="1:19" ht="12" customHeight="1">
      <c r="A976" s="1040" t="str">
        <f t="shared" si="424"/>
        <v>217</v>
      </c>
      <c r="B976" s="4" t="s">
        <v>3599</v>
      </c>
      <c r="C976" s="4"/>
      <c r="D976" s="1008"/>
      <c r="E976" s="1002" t="str">
        <f t="shared" ref="E976:E978" si="432">IF(D976="","",D976/SUM($D$975:$D$978))</f>
        <v/>
      </c>
      <c r="F976" s="1005" t="e">
        <f t="shared" ref="F976:F978" si="433">IF(J976="","$",IF(C976="当選","-",D976*100/MAX($D$975:$D$978)))</f>
        <v>#DIV/0!</v>
      </c>
      <c r="G976" s="1" t="s">
        <v>3606</v>
      </c>
      <c r="H976" s="1">
        <v>46</v>
      </c>
      <c r="I976" s="2" t="s">
        <v>5</v>
      </c>
      <c r="J976" s="1" t="s">
        <v>15273</v>
      </c>
      <c r="K976" s="3"/>
      <c r="L976" s="1"/>
      <c r="M976" s="1"/>
      <c r="N976" s="8" t="s">
        <v>16120</v>
      </c>
      <c r="O976" s="1" t="s">
        <v>445</v>
      </c>
      <c r="P976" s="1" t="s">
        <v>6</v>
      </c>
      <c r="Q976" s="16"/>
      <c r="R976" s="17"/>
      <c r="S976" s="774" t="s">
        <v>5457</v>
      </c>
    </row>
    <row r="977" spans="1:19" ht="12" customHeight="1">
      <c r="A977" s="1040" t="str">
        <f t="shared" si="424"/>
        <v>217</v>
      </c>
      <c r="B977" s="4" t="s">
        <v>3600</v>
      </c>
      <c r="C977" s="4"/>
      <c r="D977" s="1008"/>
      <c r="E977" s="1002" t="str">
        <f t="shared" si="432"/>
        <v/>
      </c>
      <c r="F977" s="1005" t="e">
        <f t="shared" si="433"/>
        <v>#DIV/0!</v>
      </c>
      <c r="G977" s="1" t="s">
        <v>3609</v>
      </c>
      <c r="H977" s="1">
        <v>40</v>
      </c>
      <c r="I977" s="2" t="s">
        <v>5</v>
      </c>
      <c r="J977" s="1" t="s">
        <v>15273</v>
      </c>
      <c r="K977" s="3"/>
      <c r="L977" s="1"/>
      <c r="M977" s="1"/>
      <c r="N977" s="4" t="s">
        <v>18495</v>
      </c>
      <c r="O977" s="1"/>
      <c r="P977" s="1" t="s">
        <v>6</v>
      </c>
      <c r="Q977" s="16"/>
      <c r="R977" s="17"/>
      <c r="S977" s="774" t="s">
        <v>6031</v>
      </c>
    </row>
    <row r="978" spans="1:19" ht="12" customHeight="1" thickBot="1">
      <c r="A978" s="916" t="str">
        <f t="shared" si="424"/>
        <v>217</v>
      </c>
      <c r="B978" s="700" t="s">
        <v>3601</v>
      </c>
      <c r="C978" s="700"/>
      <c r="D978" s="1009"/>
      <c r="E978" s="1003" t="str">
        <f t="shared" si="432"/>
        <v/>
      </c>
      <c r="F978" s="1041" t="str">
        <f t="shared" si="433"/>
        <v>$</v>
      </c>
      <c r="G978" s="906" t="s">
        <v>5312</v>
      </c>
      <c r="H978" s="906">
        <v>59</v>
      </c>
      <c r="I978" s="702" t="s">
        <v>5</v>
      </c>
      <c r="J978" s="906"/>
      <c r="K978" s="703"/>
      <c r="L978" s="906"/>
      <c r="M978" s="906"/>
      <c r="N978" s="700" t="s">
        <v>16117</v>
      </c>
      <c r="O978" s="906"/>
      <c r="P978" s="906" t="s">
        <v>6</v>
      </c>
      <c r="Q978" s="705"/>
      <c r="R978" s="903"/>
      <c r="S978" s="793"/>
    </row>
    <row r="979" spans="1:19" ht="12" customHeight="1">
      <c r="A979" s="1038" t="str">
        <f t="shared" si="424"/>
        <v>218</v>
      </c>
      <c r="B979" s="688" t="s">
        <v>3610</v>
      </c>
      <c r="C979" s="688"/>
      <c r="D979" s="1007"/>
      <c r="E979" s="1001" t="str">
        <f>IF(D979="","",D979/SUM($D$979:$D$982))</f>
        <v/>
      </c>
      <c r="F979" s="1004" t="e">
        <f>IF(J979="","$",IF(C979="当選","-",D979*100/MAX($D$979:$D$982)))</f>
        <v>#DIV/0!</v>
      </c>
      <c r="G979" s="687" t="s">
        <v>3771</v>
      </c>
      <c r="H979" s="687">
        <v>57</v>
      </c>
      <c r="I979" s="696" t="s">
        <v>19</v>
      </c>
      <c r="J979" s="689" t="s">
        <v>15273</v>
      </c>
      <c r="K979" s="747" t="s">
        <v>4196</v>
      </c>
      <c r="L979" s="687"/>
      <c r="M979" s="687"/>
      <c r="N979" s="692" t="s">
        <v>16127</v>
      </c>
      <c r="O979" s="687" t="s">
        <v>44</v>
      </c>
      <c r="P979" s="687" t="s">
        <v>25</v>
      </c>
      <c r="Q979" s="748">
        <v>1</v>
      </c>
      <c r="R979" s="749">
        <v>1</v>
      </c>
      <c r="S979" s="805"/>
    </row>
    <row r="980" spans="1:19" ht="12" customHeight="1">
      <c r="A980" s="1040" t="str">
        <f t="shared" si="424"/>
        <v>218</v>
      </c>
      <c r="B980" s="4" t="s">
        <v>3611</v>
      </c>
      <c r="C980" s="4"/>
      <c r="D980" s="1008"/>
      <c r="E980" s="1002" t="str">
        <f t="shared" ref="E980:E982" si="434">IF(D980="","",D980/SUM($D$979:$D$982))</f>
        <v/>
      </c>
      <c r="F980" s="1005" t="str">
        <f t="shared" ref="F980:F982" si="435">IF(J980="","$",IF(C980="当選","-",D980*100/MAX($D$979:$D$982)))</f>
        <v>$</v>
      </c>
      <c r="G980" s="1" t="s">
        <v>3614</v>
      </c>
      <c r="H980" s="1">
        <v>34</v>
      </c>
      <c r="I980" s="2" t="s">
        <v>5</v>
      </c>
      <c r="J980" s="1"/>
      <c r="K980" s="3"/>
      <c r="L980" s="1"/>
      <c r="M980" s="1"/>
      <c r="N980" s="4" t="s">
        <v>16118</v>
      </c>
      <c r="O980" s="1"/>
      <c r="P980" s="1" t="s">
        <v>6</v>
      </c>
      <c r="Q980" s="16"/>
      <c r="R980" s="17"/>
      <c r="S980" s="774" t="s">
        <v>5546</v>
      </c>
    </row>
    <row r="981" spans="1:19" ht="12" customHeight="1">
      <c r="A981" s="1040" t="str">
        <f t="shared" si="424"/>
        <v>218</v>
      </c>
      <c r="B981" s="4" t="s">
        <v>3612</v>
      </c>
      <c r="C981" s="4"/>
      <c r="D981" s="1008"/>
      <c r="E981" s="1002" t="str">
        <f t="shared" si="434"/>
        <v/>
      </c>
      <c r="F981" s="1005" t="str">
        <f t="shared" si="435"/>
        <v>$</v>
      </c>
      <c r="G981" s="1" t="s">
        <v>3619</v>
      </c>
      <c r="H981" s="1">
        <v>58</v>
      </c>
      <c r="I981" s="2" t="s">
        <v>19</v>
      </c>
      <c r="J981" s="1"/>
      <c r="K981" s="3"/>
      <c r="L981" s="1"/>
      <c r="M981" s="1"/>
      <c r="N981" s="4" t="s">
        <v>16117</v>
      </c>
      <c r="O981" s="1"/>
      <c r="P981" s="1" t="s">
        <v>6</v>
      </c>
      <c r="Q981" s="16"/>
      <c r="R981" s="17"/>
      <c r="S981" s="774"/>
    </row>
    <row r="982" spans="1:19" ht="12" customHeight="1" thickBot="1">
      <c r="A982" s="916" t="str">
        <f t="shared" si="424"/>
        <v>218</v>
      </c>
      <c r="B982" s="700" t="s">
        <v>3613</v>
      </c>
      <c r="C982" s="700"/>
      <c r="D982" s="1009"/>
      <c r="E982" s="1003" t="str">
        <f t="shared" si="434"/>
        <v/>
      </c>
      <c r="F982" s="1041" t="str">
        <f t="shared" si="435"/>
        <v>$</v>
      </c>
      <c r="G982" s="906" t="s">
        <v>3621</v>
      </c>
      <c r="H982" s="906">
        <v>56</v>
      </c>
      <c r="I982" s="702" t="s">
        <v>5</v>
      </c>
      <c r="J982" s="906"/>
      <c r="K982" s="703" t="s">
        <v>3622</v>
      </c>
      <c r="L982" s="906"/>
      <c r="M982" s="906"/>
      <c r="N982" s="700" t="s">
        <v>16123</v>
      </c>
      <c r="O982" s="906"/>
      <c r="P982" s="906" t="s">
        <v>25</v>
      </c>
      <c r="Q982" s="705">
        <v>1</v>
      </c>
      <c r="R982" s="903">
        <v>5</v>
      </c>
      <c r="S982" s="793"/>
    </row>
    <row r="983" spans="1:19" ht="12" customHeight="1">
      <c r="A983" s="1038" t="str">
        <f t="shared" si="424"/>
        <v>219</v>
      </c>
      <c r="B983" s="688" t="s">
        <v>3629</v>
      </c>
      <c r="C983" s="688"/>
      <c r="D983" s="1007"/>
      <c r="E983" s="1001" t="str">
        <f>IF(D983="","",D983/SUM($D$983:$D$986))</f>
        <v/>
      </c>
      <c r="F983" s="1004" t="e">
        <f>IF(J983="","$",IF(C983="当選","-",D983*100/MAX($D$983:$D$986)))</f>
        <v>#DIV/0!</v>
      </c>
      <c r="G983" s="687" t="s">
        <v>3775</v>
      </c>
      <c r="H983" s="687">
        <v>60</v>
      </c>
      <c r="I983" s="696" t="s">
        <v>5</v>
      </c>
      <c r="J983" s="689" t="s">
        <v>15273</v>
      </c>
      <c r="K983" s="747" t="s">
        <v>5207</v>
      </c>
      <c r="L983" s="687"/>
      <c r="M983" s="687"/>
      <c r="N983" s="692" t="s">
        <v>16127</v>
      </c>
      <c r="O983" s="687" t="s">
        <v>44</v>
      </c>
      <c r="P983" s="687" t="s">
        <v>25</v>
      </c>
      <c r="Q983" s="748">
        <v>1</v>
      </c>
      <c r="R983" s="749">
        <v>1</v>
      </c>
      <c r="S983" s="805" t="s">
        <v>736</v>
      </c>
    </row>
    <row r="984" spans="1:19" ht="12" customHeight="1">
      <c r="A984" s="1040" t="str">
        <f t="shared" si="424"/>
        <v>219</v>
      </c>
      <c r="B984" s="4" t="s">
        <v>3630</v>
      </c>
      <c r="C984" s="4"/>
      <c r="D984" s="1008"/>
      <c r="E984" s="1002" t="str">
        <f t="shared" ref="E984:E986" si="436">IF(D984="","",D984/SUM($D$983:$D$986))</f>
        <v/>
      </c>
      <c r="F984" s="1005" t="e">
        <f t="shared" ref="F984:F986" si="437">IF(J984="","$",IF(C984="当選","-",D984*100/MAX($D$983:$D$986)))</f>
        <v>#DIV/0!</v>
      </c>
      <c r="G984" s="1" t="s">
        <v>3632</v>
      </c>
      <c r="H984" s="1">
        <v>50</v>
      </c>
      <c r="I984" s="2" t="s">
        <v>5</v>
      </c>
      <c r="J984" s="1" t="s">
        <v>15273</v>
      </c>
      <c r="K984" s="3" t="s">
        <v>3633</v>
      </c>
      <c r="L984" s="1"/>
      <c r="M984" s="1"/>
      <c r="N984" s="4" t="s">
        <v>16120</v>
      </c>
      <c r="O984" s="1" t="s">
        <v>30</v>
      </c>
      <c r="P984" s="1" t="s">
        <v>25</v>
      </c>
      <c r="Q984" s="16">
        <v>3</v>
      </c>
      <c r="R984" s="17">
        <v>3</v>
      </c>
      <c r="S984" s="774" t="s">
        <v>5457</v>
      </c>
    </row>
    <row r="985" spans="1:19" ht="12" customHeight="1">
      <c r="A985" s="1040" t="str">
        <f t="shared" si="424"/>
        <v>219</v>
      </c>
      <c r="B985" s="4" t="s">
        <v>3631</v>
      </c>
      <c r="C985" s="4"/>
      <c r="D985" s="1008"/>
      <c r="E985" s="1002" t="str">
        <f t="shared" si="436"/>
        <v/>
      </c>
      <c r="F985" s="1005" t="e">
        <f t="shared" si="437"/>
        <v>#DIV/0!</v>
      </c>
      <c r="G985" s="1" t="s">
        <v>5428</v>
      </c>
      <c r="H985" s="1">
        <v>45</v>
      </c>
      <c r="I985" s="2" t="s">
        <v>5</v>
      </c>
      <c r="J985" s="1" t="s">
        <v>15273</v>
      </c>
      <c r="K985" s="3"/>
      <c r="L985" s="1"/>
      <c r="M985" s="1"/>
      <c r="N985" s="4" t="s">
        <v>16116</v>
      </c>
      <c r="O985" s="1" t="s">
        <v>18494</v>
      </c>
      <c r="P985" s="1" t="s">
        <v>6</v>
      </c>
      <c r="Q985" s="16"/>
      <c r="R985" s="17"/>
      <c r="S985" s="774" t="s">
        <v>6154</v>
      </c>
    </row>
    <row r="986" spans="1:19" ht="12" customHeight="1" thickBot="1">
      <c r="A986" s="916" t="str">
        <f t="shared" si="424"/>
        <v>219</v>
      </c>
      <c r="B986" s="700" t="s">
        <v>5427</v>
      </c>
      <c r="C986" s="700"/>
      <c r="D986" s="1009"/>
      <c r="E986" s="1003" t="str">
        <f t="shared" si="436"/>
        <v/>
      </c>
      <c r="F986" s="1041" t="str">
        <f t="shared" si="437"/>
        <v>$</v>
      </c>
      <c r="G986" s="906" t="s">
        <v>3637</v>
      </c>
      <c r="H986" s="906">
        <v>65</v>
      </c>
      <c r="I986" s="702" t="s">
        <v>19</v>
      </c>
      <c r="J986" s="906"/>
      <c r="K986" s="703"/>
      <c r="L986" s="906"/>
      <c r="M986" s="906"/>
      <c r="N986" s="700" t="s">
        <v>16117</v>
      </c>
      <c r="O986" s="906"/>
      <c r="P986" s="906" t="s">
        <v>6</v>
      </c>
      <c r="Q986" s="705"/>
      <c r="R986" s="903"/>
      <c r="S986" s="793"/>
    </row>
    <row r="987" spans="1:19" ht="12" customHeight="1">
      <c r="A987" s="1038" t="str">
        <f t="shared" si="424"/>
        <v>220</v>
      </c>
      <c r="B987" s="688" t="s">
        <v>3640</v>
      </c>
      <c r="C987" s="688"/>
      <c r="D987" s="1007"/>
      <c r="E987" s="1001" t="str">
        <f>IF(D987="","",D987/SUM($D$987:$D$990))</f>
        <v/>
      </c>
      <c r="F987" s="1004" t="e">
        <f>IF(J987="","$",IF(C987="当選","-",D987*100/MAX($D$987:$D$990)))</f>
        <v>#DIV/0!</v>
      </c>
      <c r="G987" s="687" t="s">
        <v>3643</v>
      </c>
      <c r="H987" s="687">
        <v>37</v>
      </c>
      <c r="I987" s="696" t="s">
        <v>5</v>
      </c>
      <c r="J987" s="689" t="s">
        <v>15273</v>
      </c>
      <c r="K987" s="747" t="s">
        <v>3644</v>
      </c>
      <c r="L987" s="687"/>
      <c r="M987" s="687"/>
      <c r="N987" s="692" t="s">
        <v>16126</v>
      </c>
      <c r="O987" s="687" t="s">
        <v>44</v>
      </c>
      <c r="P987" s="687" t="s">
        <v>25</v>
      </c>
      <c r="Q987" s="748">
        <v>1</v>
      </c>
      <c r="R987" s="749">
        <v>1</v>
      </c>
      <c r="S987" s="805" t="s">
        <v>736</v>
      </c>
    </row>
    <row r="988" spans="1:19" ht="12" customHeight="1">
      <c r="A988" s="1040" t="str">
        <f t="shared" si="424"/>
        <v>220</v>
      </c>
      <c r="B988" s="4" t="s">
        <v>3641</v>
      </c>
      <c r="C988" s="4"/>
      <c r="D988" s="1008"/>
      <c r="E988" s="1002" t="str">
        <f t="shared" ref="E988:E990" si="438">IF(D988="","",D988/SUM($D$987:$D$990))</f>
        <v/>
      </c>
      <c r="F988" s="1005" t="e">
        <f t="shared" ref="F988:F990" si="439">IF(J988="","$",IF(C988="当選","-",D988*100/MAX($D$987:$D$990)))</f>
        <v>#DIV/0!</v>
      </c>
      <c r="G988" s="1" t="s">
        <v>3647</v>
      </c>
      <c r="H988" s="1">
        <v>64</v>
      </c>
      <c r="I988" s="2" t="s">
        <v>5</v>
      </c>
      <c r="J988" s="1" t="s">
        <v>15273</v>
      </c>
      <c r="K988" s="3"/>
      <c r="L988" s="1"/>
      <c r="M988" s="1"/>
      <c r="N988" s="4" t="s">
        <v>16120</v>
      </c>
      <c r="O988" s="1" t="s">
        <v>30</v>
      </c>
      <c r="P988" s="1" t="s">
        <v>14</v>
      </c>
      <c r="Q988" s="16">
        <v>6</v>
      </c>
      <c r="R988" s="17">
        <v>6</v>
      </c>
      <c r="S988" s="774" t="s">
        <v>5457</v>
      </c>
    </row>
    <row r="989" spans="1:19" ht="12" customHeight="1">
      <c r="A989" s="1040" t="str">
        <f t="shared" si="424"/>
        <v>220</v>
      </c>
      <c r="B989" s="4" t="s">
        <v>3642</v>
      </c>
      <c r="C989" s="4"/>
      <c r="D989" s="1008"/>
      <c r="E989" s="1002" t="str">
        <f t="shared" si="438"/>
        <v/>
      </c>
      <c r="F989" s="1005" t="e">
        <f t="shared" si="439"/>
        <v>#DIV/0!</v>
      </c>
      <c r="G989" s="1" t="s">
        <v>5045</v>
      </c>
      <c r="H989" s="1">
        <v>30</v>
      </c>
      <c r="I989" s="2" t="s">
        <v>5</v>
      </c>
      <c r="J989" s="1" t="s">
        <v>15273</v>
      </c>
      <c r="K989" s="3"/>
      <c r="L989" s="1"/>
      <c r="M989" s="1"/>
      <c r="N989" s="4" t="s">
        <v>16116</v>
      </c>
      <c r="O989" s="1" t="s">
        <v>18494</v>
      </c>
      <c r="P989" s="1" t="s">
        <v>6</v>
      </c>
      <c r="Q989" s="16"/>
      <c r="R989" s="17"/>
      <c r="S989" s="774" t="s">
        <v>6154</v>
      </c>
    </row>
    <row r="990" spans="1:19" ht="12" customHeight="1" thickBot="1">
      <c r="A990" s="916" t="str">
        <f t="shared" si="424"/>
        <v>220</v>
      </c>
      <c r="B990" s="700" t="s">
        <v>5044</v>
      </c>
      <c r="C990" s="700"/>
      <c r="D990" s="1009"/>
      <c r="E990" s="1003" t="str">
        <f t="shared" si="438"/>
        <v/>
      </c>
      <c r="F990" s="1041" t="str">
        <f t="shared" si="439"/>
        <v>$</v>
      </c>
      <c r="G990" s="906" t="s">
        <v>3650</v>
      </c>
      <c r="H990" s="906">
        <v>62</v>
      </c>
      <c r="I990" s="702" t="s">
        <v>5</v>
      </c>
      <c r="J990" s="906"/>
      <c r="K990" s="703"/>
      <c r="L990" s="906"/>
      <c r="M990" s="906"/>
      <c r="N990" s="700" t="s">
        <v>16117</v>
      </c>
      <c r="O990" s="906"/>
      <c r="P990" s="906" t="s">
        <v>6</v>
      </c>
      <c r="Q990" s="705"/>
      <c r="R990" s="903"/>
      <c r="S990" s="793"/>
    </row>
    <row r="991" spans="1:19" ht="12" customHeight="1">
      <c r="A991" s="1038" t="str">
        <f t="shared" si="424"/>
        <v>221</v>
      </c>
      <c r="B991" s="688" t="s">
        <v>3653</v>
      </c>
      <c r="C991" s="688"/>
      <c r="D991" s="1007"/>
      <c r="E991" s="1001" t="str">
        <f>IF(D991="","",D991/SUM($D$991:$D$994))</f>
        <v/>
      </c>
      <c r="F991" s="1004" t="e">
        <f>IF(J991="","$",IF(C991="当選","-",D991*100/MAX($D$991:$D$994)))</f>
        <v>#DIV/0!</v>
      </c>
      <c r="G991" s="687" t="s">
        <v>3656</v>
      </c>
      <c r="H991" s="687">
        <v>53</v>
      </c>
      <c r="I991" s="696" t="s">
        <v>5</v>
      </c>
      <c r="J991" s="689" t="s">
        <v>15273</v>
      </c>
      <c r="K991" s="747" t="s">
        <v>3657</v>
      </c>
      <c r="L991" s="687"/>
      <c r="M991" s="687"/>
      <c r="N991" s="692" t="s">
        <v>16127</v>
      </c>
      <c r="O991" s="687" t="s">
        <v>604</v>
      </c>
      <c r="P991" s="687" t="s">
        <v>25</v>
      </c>
      <c r="Q991" s="748">
        <v>4</v>
      </c>
      <c r="R991" s="749">
        <v>4</v>
      </c>
      <c r="S991" s="805" t="s">
        <v>736</v>
      </c>
    </row>
    <row r="992" spans="1:19" ht="12" customHeight="1">
      <c r="A992" s="1040" t="str">
        <f t="shared" si="424"/>
        <v>221</v>
      </c>
      <c r="B992" s="4" t="s">
        <v>3654</v>
      </c>
      <c r="C992" s="4"/>
      <c r="D992" s="1008"/>
      <c r="E992" s="1002" t="str">
        <f t="shared" ref="E992:E994" si="440">IF(D992="","",D992/SUM($D$991:$D$994))</f>
        <v/>
      </c>
      <c r="F992" s="1005" t="e">
        <f t="shared" ref="F992:F994" si="441">IF(J992="","$",IF(C992="当選","-",D992*100/MAX($D$991:$D$994)))</f>
        <v>#DIV/0!</v>
      </c>
      <c r="G992" s="1" t="s">
        <v>3660</v>
      </c>
      <c r="H992" s="1">
        <v>42</v>
      </c>
      <c r="I992" s="2" t="s">
        <v>5</v>
      </c>
      <c r="J992" s="1" t="s">
        <v>15273</v>
      </c>
      <c r="K992" s="3"/>
      <c r="L992" s="1"/>
      <c r="M992" s="1"/>
      <c r="N992" s="8" t="s">
        <v>16120</v>
      </c>
      <c r="O992" s="1" t="s">
        <v>30</v>
      </c>
      <c r="P992" s="1" t="s">
        <v>6</v>
      </c>
      <c r="Q992" s="16"/>
      <c r="R992" s="17"/>
      <c r="S992" s="774" t="s">
        <v>5457</v>
      </c>
    </row>
    <row r="993" spans="1:19" ht="12" customHeight="1">
      <c r="A993" s="1040" t="str">
        <f t="shared" si="424"/>
        <v>221</v>
      </c>
      <c r="B993" s="4" t="s">
        <v>3655</v>
      </c>
      <c r="C993" s="4"/>
      <c r="D993" s="1008"/>
      <c r="E993" s="1002" t="str">
        <f t="shared" si="440"/>
        <v/>
      </c>
      <c r="F993" s="1005" t="e">
        <f t="shared" si="441"/>
        <v>#DIV/0!</v>
      </c>
      <c r="G993" s="1" t="s">
        <v>5430</v>
      </c>
      <c r="H993" s="1">
        <v>26</v>
      </c>
      <c r="I993" s="2" t="s">
        <v>5</v>
      </c>
      <c r="J993" s="1" t="s">
        <v>15273</v>
      </c>
      <c r="K993" s="3"/>
      <c r="L993" s="1"/>
      <c r="M993" s="1"/>
      <c r="N993" s="4" t="s">
        <v>16116</v>
      </c>
      <c r="O993" s="1" t="s">
        <v>18494</v>
      </c>
      <c r="P993" s="1" t="s">
        <v>6</v>
      </c>
      <c r="Q993" s="16"/>
      <c r="R993" s="17"/>
      <c r="S993" s="774" t="s">
        <v>6154</v>
      </c>
    </row>
    <row r="994" spans="1:19" ht="12" customHeight="1" thickBot="1">
      <c r="A994" s="916" t="str">
        <f t="shared" si="424"/>
        <v>221</v>
      </c>
      <c r="B994" s="700" t="s">
        <v>5429</v>
      </c>
      <c r="C994" s="700"/>
      <c r="D994" s="1009"/>
      <c r="E994" s="1003" t="str">
        <f t="shared" si="440"/>
        <v/>
      </c>
      <c r="F994" s="1041" t="str">
        <f t="shared" si="441"/>
        <v>$</v>
      </c>
      <c r="G994" s="906" t="s">
        <v>3663</v>
      </c>
      <c r="H994" s="906">
        <v>37</v>
      </c>
      <c r="I994" s="702" t="s">
        <v>19</v>
      </c>
      <c r="J994" s="906"/>
      <c r="K994" s="703"/>
      <c r="L994" s="906"/>
      <c r="M994" s="906"/>
      <c r="N994" s="700" t="s">
        <v>16117</v>
      </c>
      <c r="O994" s="906"/>
      <c r="P994" s="906" t="s">
        <v>6</v>
      </c>
      <c r="Q994" s="705"/>
      <c r="R994" s="903"/>
      <c r="S994" s="793"/>
    </row>
    <row r="995" spans="1:19" ht="12" customHeight="1">
      <c r="A995" s="1038" t="str">
        <f t="shared" si="424"/>
        <v>222</v>
      </c>
      <c r="B995" s="688" t="s">
        <v>3666</v>
      </c>
      <c r="C995" s="688"/>
      <c r="D995" s="1007"/>
      <c r="E995" s="1001" t="str">
        <f>IF(D995="","",D995/SUM($D$995:$D$998))</f>
        <v/>
      </c>
      <c r="F995" s="1004" t="e">
        <f>IF(J995="","$",IF(C995="当選","-",D995*100/MAX($D$995:$D$998)))</f>
        <v>#DIV/0!</v>
      </c>
      <c r="G995" s="687" t="s">
        <v>3669</v>
      </c>
      <c r="H995" s="687">
        <v>58</v>
      </c>
      <c r="I995" s="696" t="s">
        <v>5</v>
      </c>
      <c r="J995" s="689" t="s">
        <v>15273</v>
      </c>
      <c r="K995" s="747" t="s">
        <v>3670</v>
      </c>
      <c r="L995" s="687"/>
      <c r="M995" s="687"/>
      <c r="N995" s="692" t="s">
        <v>16127</v>
      </c>
      <c r="O995" s="687" t="s">
        <v>604</v>
      </c>
      <c r="P995" s="687" t="s">
        <v>25</v>
      </c>
      <c r="Q995" s="748">
        <v>3</v>
      </c>
      <c r="R995" s="749">
        <v>3</v>
      </c>
      <c r="S995" s="805" t="s">
        <v>736</v>
      </c>
    </row>
    <row r="996" spans="1:19" ht="12" customHeight="1">
      <c r="A996" s="1040" t="str">
        <f t="shared" si="424"/>
        <v>222</v>
      </c>
      <c r="B996" s="4" t="s">
        <v>3667</v>
      </c>
      <c r="C996" s="4"/>
      <c r="D996" s="1008"/>
      <c r="E996" s="1002" t="str">
        <f t="shared" ref="E996:E998" si="442">IF(D996="","",D996/SUM($D$995:$D$998))</f>
        <v/>
      </c>
      <c r="F996" s="1005" t="e">
        <f t="shared" ref="F996:F998" si="443">IF(J996="","$",IF(C996="当選","-",D996*100/MAX($D$995:$D$998)))</f>
        <v>#DIV/0!</v>
      </c>
      <c r="G996" s="1" t="s">
        <v>3674</v>
      </c>
      <c r="H996" s="1">
        <v>48</v>
      </c>
      <c r="I996" s="2" t="s">
        <v>5</v>
      </c>
      <c r="J996" s="1" t="s">
        <v>15273</v>
      </c>
      <c r="K996" s="3"/>
      <c r="L996" s="1"/>
      <c r="M996" s="1"/>
      <c r="N996" s="4" t="s">
        <v>16120</v>
      </c>
      <c r="O996" s="1" t="s">
        <v>30</v>
      </c>
      <c r="P996" s="1" t="s">
        <v>6</v>
      </c>
      <c r="Q996" s="16"/>
      <c r="R996" s="17"/>
      <c r="S996" s="774" t="s">
        <v>5457</v>
      </c>
    </row>
    <row r="997" spans="1:19" ht="12" customHeight="1">
      <c r="A997" s="1040" t="str">
        <f t="shared" si="424"/>
        <v>222</v>
      </c>
      <c r="B997" s="4" t="s">
        <v>3668</v>
      </c>
      <c r="C997" s="4"/>
      <c r="D997" s="1008"/>
      <c r="E997" s="1002" t="str">
        <f t="shared" si="442"/>
        <v/>
      </c>
      <c r="F997" s="1005" t="e">
        <f t="shared" si="443"/>
        <v>#DIV/0!</v>
      </c>
      <c r="G997" s="1" t="s">
        <v>5633</v>
      </c>
      <c r="H997" s="1">
        <v>46</v>
      </c>
      <c r="I997" s="2" t="s">
        <v>5</v>
      </c>
      <c r="J997" s="1" t="s">
        <v>15273</v>
      </c>
      <c r="K997" s="3"/>
      <c r="L997" s="1"/>
      <c r="M997" s="1"/>
      <c r="N997" s="4" t="s">
        <v>16116</v>
      </c>
      <c r="O997" s="1" t="s">
        <v>18494</v>
      </c>
      <c r="P997" s="1" t="s">
        <v>6</v>
      </c>
      <c r="Q997" s="16"/>
      <c r="R997" s="17"/>
      <c r="S997" s="774" t="s">
        <v>6154</v>
      </c>
    </row>
    <row r="998" spans="1:19" ht="12" customHeight="1" thickBot="1">
      <c r="A998" s="916" t="str">
        <f t="shared" si="424"/>
        <v>222</v>
      </c>
      <c r="B998" s="700" t="s">
        <v>5632</v>
      </c>
      <c r="C998" s="700"/>
      <c r="D998" s="1009"/>
      <c r="E998" s="1003" t="str">
        <f t="shared" si="442"/>
        <v/>
      </c>
      <c r="F998" s="1041" t="str">
        <f t="shared" si="443"/>
        <v>$</v>
      </c>
      <c r="G998" s="906" t="s">
        <v>5237</v>
      </c>
      <c r="H998" s="906">
        <v>37</v>
      </c>
      <c r="I998" s="702" t="s">
        <v>5</v>
      </c>
      <c r="J998" s="906"/>
      <c r="K998" s="703"/>
      <c r="L998" s="906"/>
      <c r="M998" s="906"/>
      <c r="N998" s="700" t="s">
        <v>16117</v>
      </c>
      <c r="O998" s="906"/>
      <c r="P998" s="906" t="s">
        <v>6</v>
      </c>
      <c r="Q998" s="705"/>
      <c r="R998" s="903"/>
      <c r="S998" s="793"/>
    </row>
    <row r="999" spans="1:19" ht="12" customHeight="1">
      <c r="A999" s="1038" t="str">
        <f t="shared" si="424"/>
        <v>223</v>
      </c>
      <c r="B999" s="688" t="s">
        <v>3677</v>
      </c>
      <c r="C999" s="688"/>
      <c r="D999" s="1007"/>
      <c r="E999" s="1001" t="str">
        <f>IF(D999="","",D999/SUM($D$999:$D$1002))</f>
        <v/>
      </c>
      <c r="F999" s="1004" t="e">
        <f>IF(J999="","$",IF(C999="当選","-",D999*100/MAX($D$999:$D$1002)))</f>
        <v>#DIV/0!</v>
      </c>
      <c r="G999" s="687" t="s">
        <v>3680</v>
      </c>
      <c r="H999" s="687">
        <v>52</v>
      </c>
      <c r="I999" s="696" t="s">
        <v>5</v>
      </c>
      <c r="J999" s="689" t="s">
        <v>15273</v>
      </c>
      <c r="K999" s="747" t="s">
        <v>3681</v>
      </c>
      <c r="L999" s="687"/>
      <c r="M999" s="687"/>
      <c r="N999" s="692" t="s">
        <v>16126</v>
      </c>
      <c r="O999" s="687" t="s">
        <v>44</v>
      </c>
      <c r="P999" s="687" t="s">
        <v>25</v>
      </c>
      <c r="Q999" s="748">
        <v>3</v>
      </c>
      <c r="R999" s="749">
        <v>3</v>
      </c>
      <c r="S999" s="805" t="s">
        <v>736</v>
      </c>
    </row>
    <row r="1000" spans="1:19" ht="12" customHeight="1">
      <c r="A1000" s="1040" t="str">
        <f t="shared" si="424"/>
        <v>223</v>
      </c>
      <c r="B1000" s="4" t="s">
        <v>3678</v>
      </c>
      <c r="C1000" s="4"/>
      <c r="D1000" s="1008"/>
      <c r="E1000" s="1002" t="str">
        <f t="shared" ref="E1000:E1002" si="444">IF(D1000="","",D1000/SUM($D$999:$D$1002))</f>
        <v/>
      </c>
      <c r="F1000" s="1005" t="e">
        <f t="shared" ref="F1000:F1002" si="445">IF(J1000="","$",IF(C1000="当選","-",D1000*100/MAX($D$999:$D$1002)))</f>
        <v>#DIV/0!</v>
      </c>
      <c r="G1000" s="1" t="s">
        <v>3684</v>
      </c>
      <c r="H1000" s="1">
        <v>48</v>
      </c>
      <c r="I1000" s="2" t="s">
        <v>5</v>
      </c>
      <c r="J1000" s="1" t="s">
        <v>15273</v>
      </c>
      <c r="K1000" s="3"/>
      <c r="L1000" s="1"/>
      <c r="M1000" s="1"/>
      <c r="N1000" s="4" t="s">
        <v>16120</v>
      </c>
      <c r="O1000" s="1" t="s">
        <v>30</v>
      </c>
      <c r="P1000" s="1" t="s">
        <v>6</v>
      </c>
      <c r="Q1000" s="16"/>
      <c r="R1000" s="17"/>
      <c r="S1000" s="774" t="s">
        <v>5457</v>
      </c>
    </row>
    <row r="1001" spans="1:19" ht="12" customHeight="1">
      <c r="A1001" s="1040" t="str">
        <f t="shared" si="424"/>
        <v>223</v>
      </c>
      <c r="B1001" s="4" t="s">
        <v>3679</v>
      </c>
      <c r="C1001" s="4"/>
      <c r="D1001" s="1008"/>
      <c r="E1001" s="1002" t="str">
        <f t="shared" si="444"/>
        <v/>
      </c>
      <c r="F1001" s="1005" t="e">
        <f t="shared" si="445"/>
        <v>#DIV/0!</v>
      </c>
      <c r="G1001" s="1" t="s">
        <v>5047</v>
      </c>
      <c r="H1001" s="1">
        <v>52</v>
      </c>
      <c r="I1001" s="2" t="s">
        <v>5</v>
      </c>
      <c r="J1001" s="1" t="s">
        <v>15273</v>
      </c>
      <c r="K1001" s="3"/>
      <c r="L1001" s="1"/>
      <c r="M1001" s="1"/>
      <c r="N1001" s="4" t="s">
        <v>16116</v>
      </c>
      <c r="O1001" s="1" t="s">
        <v>18494</v>
      </c>
      <c r="P1001" s="1" t="s">
        <v>6</v>
      </c>
      <c r="Q1001" s="16"/>
      <c r="R1001" s="17"/>
      <c r="S1001" s="774" t="s">
        <v>6154</v>
      </c>
    </row>
    <row r="1002" spans="1:19" ht="12" customHeight="1" thickBot="1">
      <c r="A1002" s="916" t="str">
        <f t="shared" si="424"/>
        <v>223</v>
      </c>
      <c r="B1002" s="700" t="s">
        <v>5046</v>
      </c>
      <c r="C1002" s="700"/>
      <c r="D1002" s="1009"/>
      <c r="E1002" s="1003" t="str">
        <f t="shared" si="444"/>
        <v/>
      </c>
      <c r="F1002" s="1041" t="str">
        <f t="shared" si="445"/>
        <v>$</v>
      </c>
      <c r="G1002" s="906" t="s">
        <v>3686</v>
      </c>
      <c r="H1002" s="906">
        <v>66</v>
      </c>
      <c r="I1002" s="702" t="s">
        <v>19</v>
      </c>
      <c r="J1002" s="906"/>
      <c r="K1002" s="703"/>
      <c r="L1002" s="906"/>
      <c r="M1002" s="906"/>
      <c r="N1002" s="700" t="s">
        <v>16117</v>
      </c>
      <c r="O1002" s="906"/>
      <c r="P1002" s="906" t="s">
        <v>6</v>
      </c>
      <c r="Q1002" s="705"/>
      <c r="R1002" s="903"/>
      <c r="S1002" s="793"/>
    </row>
    <row r="1003" spans="1:19" ht="12" customHeight="1">
      <c r="A1003" s="1038" t="str">
        <f t="shared" si="424"/>
        <v>224</v>
      </c>
      <c r="B1003" s="688" t="s">
        <v>3689</v>
      </c>
      <c r="C1003" s="688"/>
      <c r="D1003" s="1007"/>
      <c r="E1003" s="1001" t="str">
        <f>IF(D1003="","",D1003/SUM($D$1003:$D$1007))</f>
        <v/>
      </c>
      <c r="F1003" s="1004" t="e">
        <f>IF(J1003="","$",IF(C1003="当選","-",D1003*100/MAX($D$1003:$D$1007)))</f>
        <v>#DIV/0!</v>
      </c>
      <c r="G1003" s="687" t="s">
        <v>3692</v>
      </c>
      <c r="H1003" s="687">
        <v>37</v>
      </c>
      <c r="I1003" s="696" t="s">
        <v>5</v>
      </c>
      <c r="J1003" s="689" t="s">
        <v>15273</v>
      </c>
      <c r="K1003" s="747"/>
      <c r="L1003" s="687"/>
      <c r="M1003" s="687"/>
      <c r="N1003" s="692" t="s">
        <v>16127</v>
      </c>
      <c r="O1003" s="687" t="s">
        <v>44</v>
      </c>
      <c r="P1003" s="687" t="s">
        <v>6</v>
      </c>
      <c r="Q1003" s="748"/>
      <c r="R1003" s="749"/>
      <c r="S1003" s="805" t="s">
        <v>736</v>
      </c>
    </row>
    <row r="1004" spans="1:19" ht="12" customHeight="1">
      <c r="A1004" s="1040" t="str">
        <f t="shared" si="424"/>
        <v>224</v>
      </c>
      <c r="B1004" s="4" t="s">
        <v>3690</v>
      </c>
      <c r="C1004" s="4"/>
      <c r="D1004" s="1008"/>
      <c r="E1004" s="1002" t="str">
        <f t="shared" ref="E1004:E1007" si="446">IF(D1004="","",D1004/SUM($D$1003:$D$1007))</f>
        <v/>
      </c>
      <c r="F1004" s="1005" t="e">
        <f t="shared" ref="F1004:F1007" si="447">IF(J1004="","$",IF(C1004="当選","-",D1004*100/MAX($D$1003:$D$1007)))</f>
        <v>#DIV/0!</v>
      </c>
      <c r="G1004" s="1" t="s">
        <v>3695</v>
      </c>
      <c r="H1004" s="1">
        <v>51</v>
      </c>
      <c r="I1004" s="2" t="s">
        <v>19</v>
      </c>
      <c r="J1004" s="1" t="s">
        <v>15273</v>
      </c>
      <c r="K1004" s="3" t="s">
        <v>3696</v>
      </c>
      <c r="L1004" s="1"/>
      <c r="M1004" s="1"/>
      <c r="N1004" s="8" t="s">
        <v>16120</v>
      </c>
      <c r="O1004" s="1" t="s">
        <v>30</v>
      </c>
      <c r="P1004" s="1" t="s">
        <v>25</v>
      </c>
      <c r="Q1004" s="16">
        <v>5</v>
      </c>
      <c r="R1004" s="17">
        <v>5</v>
      </c>
      <c r="S1004" s="774" t="s">
        <v>5457</v>
      </c>
    </row>
    <row r="1005" spans="1:19" ht="12" customHeight="1">
      <c r="A1005" s="1040" t="str">
        <f t="shared" si="424"/>
        <v>224</v>
      </c>
      <c r="B1005" s="4" t="s">
        <v>3691</v>
      </c>
      <c r="C1005" s="4"/>
      <c r="D1005" s="1008"/>
      <c r="E1005" s="1002" t="str">
        <f t="shared" si="446"/>
        <v/>
      </c>
      <c r="F1005" s="1005" t="e">
        <f t="shared" si="447"/>
        <v>#DIV/0!</v>
      </c>
      <c r="G1005" s="1" t="s">
        <v>3700</v>
      </c>
      <c r="H1005" s="1">
        <v>41</v>
      </c>
      <c r="I1005" s="2" t="s">
        <v>5</v>
      </c>
      <c r="J1005" s="1" t="s">
        <v>15273</v>
      </c>
      <c r="K1005" s="3"/>
      <c r="L1005" s="1" t="s">
        <v>373</v>
      </c>
      <c r="M1005" s="1"/>
      <c r="N1005" s="4" t="s">
        <v>16125</v>
      </c>
      <c r="O1005" s="1"/>
      <c r="P1005" s="1" t="s">
        <v>14</v>
      </c>
      <c r="Q1005" s="16">
        <v>2</v>
      </c>
      <c r="R1005" s="17">
        <v>4</v>
      </c>
      <c r="S1005" s="774" t="s">
        <v>5561</v>
      </c>
    </row>
    <row r="1006" spans="1:19" ht="12" customHeight="1">
      <c r="A1006" s="1040" t="str">
        <f t="shared" si="424"/>
        <v>224</v>
      </c>
      <c r="B1006" s="4" t="s">
        <v>3699</v>
      </c>
      <c r="C1006" s="4"/>
      <c r="D1006" s="1008"/>
      <c r="E1006" s="1002" t="str">
        <f t="shared" si="446"/>
        <v/>
      </c>
      <c r="F1006" s="1005" t="e">
        <f t="shared" si="447"/>
        <v>#DIV/0!</v>
      </c>
      <c r="G1006" s="1" t="s">
        <v>5051</v>
      </c>
      <c r="H1006" s="1">
        <v>33</v>
      </c>
      <c r="I1006" s="2" t="s">
        <v>5</v>
      </c>
      <c r="J1006" s="1" t="s">
        <v>15273</v>
      </c>
      <c r="K1006" s="3"/>
      <c r="L1006" s="1"/>
      <c r="M1006" s="1"/>
      <c r="N1006" s="4" t="s">
        <v>16116</v>
      </c>
      <c r="O1006" s="1" t="s">
        <v>18494</v>
      </c>
      <c r="P1006" s="1" t="s">
        <v>6</v>
      </c>
      <c r="Q1006" s="16"/>
      <c r="R1006" s="17"/>
      <c r="S1006" s="774" t="s">
        <v>6154</v>
      </c>
    </row>
    <row r="1007" spans="1:19" ht="12" customHeight="1" thickBot="1">
      <c r="A1007" s="916" t="str">
        <f t="shared" si="424"/>
        <v>224</v>
      </c>
      <c r="B1007" s="700" t="s">
        <v>5050</v>
      </c>
      <c r="C1007" s="700"/>
      <c r="D1007" s="1009"/>
      <c r="E1007" s="1003" t="str">
        <f t="shared" si="446"/>
        <v/>
      </c>
      <c r="F1007" s="1041" t="e">
        <f t="shared" si="447"/>
        <v>#DIV/0!</v>
      </c>
      <c r="G1007" s="906" t="s">
        <v>3704</v>
      </c>
      <c r="H1007" s="906">
        <v>64</v>
      </c>
      <c r="I1007" s="702" t="s">
        <v>19</v>
      </c>
      <c r="J1007" s="906" t="s">
        <v>15273</v>
      </c>
      <c r="K1007" s="703"/>
      <c r="L1007" s="906"/>
      <c r="M1007" s="906"/>
      <c r="N1007" s="700" t="s">
        <v>16117</v>
      </c>
      <c r="O1007" s="906"/>
      <c r="P1007" s="906" t="s">
        <v>6</v>
      </c>
      <c r="Q1007" s="705"/>
      <c r="R1007" s="903"/>
      <c r="S1007" s="793"/>
    </row>
    <row r="1008" spans="1:19" ht="12" customHeight="1">
      <c r="A1008" s="1038" t="str">
        <f t="shared" si="424"/>
        <v>225</v>
      </c>
      <c r="B1008" s="688" t="s">
        <v>3707</v>
      </c>
      <c r="C1008" s="688"/>
      <c r="D1008" s="1007"/>
      <c r="E1008" s="1001" t="str">
        <f>IF(D1008="","",D1008/SUM($D$1008:$D$1011))</f>
        <v/>
      </c>
      <c r="F1008" s="1004" t="e">
        <f>IF(J1008="","$",IF(C1008="当選","-",D1008*100/MAX($D$1008:$D$1011)))</f>
        <v>#DIV/0!</v>
      </c>
      <c r="G1008" s="687" t="s">
        <v>3710</v>
      </c>
      <c r="H1008" s="687">
        <v>49</v>
      </c>
      <c r="I1008" s="696" t="s">
        <v>5</v>
      </c>
      <c r="J1008" s="689" t="s">
        <v>15273</v>
      </c>
      <c r="K1008" s="747" t="s">
        <v>3711</v>
      </c>
      <c r="L1008" s="687"/>
      <c r="M1008" s="687"/>
      <c r="N1008" s="692" t="s">
        <v>16127</v>
      </c>
      <c r="O1008" s="687" t="s">
        <v>44</v>
      </c>
      <c r="P1008" s="687" t="s">
        <v>25</v>
      </c>
      <c r="Q1008" s="748">
        <v>1</v>
      </c>
      <c r="R1008" s="749">
        <v>1</v>
      </c>
      <c r="S1008" s="805" t="s">
        <v>736</v>
      </c>
    </row>
    <row r="1009" spans="1:19" ht="12" customHeight="1">
      <c r="A1009" s="1040" t="str">
        <f t="shared" si="424"/>
        <v>225</v>
      </c>
      <c r="B1009" s="4" t="s">
        <v>3708</v>
      </c>
      <c r="C1009" s="4"/>
      <c r="D1009" s="1008"/>
      <c r="E1009" s="1002" t="str">
        <f t="shared" ref="E1009:E1011" si="448">IF(D1009="","",D1009/SUM($D$1008:$D$1011))</f>
        <v/>
      </c>
      <c r="F1009" s="1005" t="e">
        <f t="shared" ref="F1009:F1011" si="449">IF(J1009="","$",IF(C1009="当選","-",D1009*100/MAX($D$1008:$D$1011)))</f>
        <v>#DIV/0!</v>
      </c>
      <c r="G1009" s="1" t="s">
        <v>3713</v>
      </c>
      <c r="H1009" s="1">
        <v>68</v>
      </c>
      <c r="I1009" s="2" t="s">
        <v>5</v>
      </c>
      <c r="J1009" s="1" t="s">
        <v>15273</v>
      </c>
      <c r="K1009" s="3"/>
      <c r="L1009" s="1"/>
      <c r="M1009" s="1"/>
      <c r="N1009" s="4" t="s">
        <v>16120</v>
      </c>
      <c r="O1009" s="1" t="s">
        <v>48</v>
      </c>
      <c r="P1009" s="1" t="s">
        <v>14</v>
      </c>
      <c r="Q1009" s="16">
        <v>2</v>
      </c>
      <c r="R1009" s="17">
        <v>2</v>
      </c>
      <c r="S1009" s="774" t="s">
        <v>5457</v>
      </c>
    </row>
    <row r="1010" spans="1:19" ht="12" customHeight="1">
      <c r="A1010" s="1040" t="str">
        <f t="shared" si="424"/>
        <v>225</v>
      </c>
      <c r="B1010" s="4" t="s">
        <v>3709</v>
      </c>
      <c r="C1010" s="4"/>
      <c r="D1010" s="1008"/>
      <c r="E1010" s="1002" t="str">
        <f t="shared" si="448"/>
        <v/>
      </c>
      <c r="F1010" s="1005" t="e">
        <f t="shared" si="449"/>
        <v>#DIV/0!</v>
      </c>
      <c r="G1010" s="1" t="s">
        <v>5053</v>
      </c>
      <c r="H1010" s="1">
        <v>45</v>
      </c>
      <c r="I1010" s="2" t="s">
        <v>5</v>
      </c>
      <c r="J1010" s="1" t="s">
        <v>15273</v>
      </c>
      <c r="K1010" s="3"/>
      <c r="L1010" s="1"/>
      <c r="M1010" s="1"/>
      <c r="N1010" s="4" t="s">
        <v>16116</v>
      </c>
      <c r="O1010" s="1" t="s">
        <v>18494</v>
      </c>
      <c r="P1010" s="1" t="s">
        <v>6</v>
      </c>
      <c r="Q1010" s="16"/>
      <c r="R1010" s="17"/>
      <c r="S1010" s="774" t="s">
        <v>6154</v>
      </c>
    </row>
    <row r="1011" spans="1:19" ht="12" customHeight="1" thickBot="1">
      <c r="A1011" s="916" t="str">
        <f t="shared" si="424"/>
        <v>225</v>
      </c>
      <c r="B1011" s="700" t="s">
        <v>5052</v>
      </c>
      <c r="C1011" s="700"/>
      <c r="D1011" s="1009"/>
      <c r="E1011" s="1003" t="str">
        <f t="shared" si="448"/>
        <v/>
      </c>
      <c r="F1011" s="1041" t="str">
        <f t="shared" si="449"/>
        <v>$</v>
      </c>
      <c r="G1011" s="906" t="s">
        <v>3716</v>
      </c>
      <c r="H1011" s="906">
        <v>59</v>
      </c>
      <c r="I1011" s="702" t="s">
        <v>5</v>
      </c>
      <c r="J1011" s="906"/>
      <c r="K1011" s="703"/>
      <c r="L1011" s="906"/>
      <c r="M1011" s="906"/>
      <c r="N1011" s="700" t="s">
        <v>16117</v>
      </c>
      <c r="O1011" s="906"/>
      <c r="P1011" s="906" t="s">
        <v>6</v>
      </c>
      <c r="Q1011" s="705"/>
      <c r="R1011" s="903"/>
      <c r="S1011" s="793"/>
    </row>
    <row r="1012" spans="1:19" ht="12" customHeight="1">
      <c r="A1012" s="1038" t="str">
        <f t="shared" si="424"/>
        <v>226</v>
      </c>
      <c r="B1012" s="688" t="s">
        <v>3718</v>
      </c>
      <c r="C1012" s="688"/>
      <c r="D1012" s="1007"/>
      <c r="E1012" s="1001" t="str">
        <f>IF(D1012="","",D1012/SUM($D$1012:$D$1015))</f>
        <v/>
      </c>
      <c r="F1012" s="1004" t="e">
        <f>IF(J1012="","$",IF(C1012="当選","-",D1012*100/MAX($D$1012:$D$1015)))</f>
        <v>#DIV/0!</v>
      </c>
      <c r="G1012" s="687" t="s">
        <v>3721</v>
      </c>
      <c r="H1012" s="687">
        <v>56</v>
      </c>
      <c r="I1012" s="696" t="s">
        <v>5</v>
      </c>
      <c r="J1012" s="689" t="s">
        <v>15273</v>
      </c>
      <c r="K1012" s="747" t="s">
        <v>3722</v>
      </c>
      <c r="L1012" s="687"/>
      <c r="M1012" s="687"/>
      <c r="N1012" s="692" t="s">
        <v>16126</v>
      </c>
      <c r="O1012" s="687" t="s">
        <v>44</v>
      </c>
      <c r="P1012" s="687" t="s">
        <v>25</v>
      </c>
      <c r="Q1012" s="748">
        <v>1</v>
      </c>
      <c r="R1012" s="749">
        <v>1</v>
      </c>
      <c r="S1012" s="805"/>
    </row>
    <row r="1013" spans="1:19" ht="12" customHeight="1">
      <c r="A1013" s="1040" t="str">
        <f t="shared" si="424"/>
        <v>226</v>
      </c>
      <c r="B1013" s="4" t="s">
        <v>3719</v>
      </c>
      <c r="C1013" s="4"/>
      <c r="D1013" s="1008"/>
      <c r="E1013" s="1002" t="str">
        <f t="shared" ref="E1013:E1015" si="450">IF(D1013="","",D1013/SUM($D$1012:$D$1015))</f>
        <v/>
      </c>
      <c r="F1013" s="1005" t="e">
        <f t="shared" ref="F1013:F1015" si="451">IF(J1013="","$",IF(C1013="当選","-",D1013*100/MAX($D$1012:$D$1015)))</f>
        <v>#DIV/0!</v>
      </c>
      <c r="G1013" s="1" t="s">
        <v>3724</v>
      </c>
      <c r="H1013" s="1">
        <v>38</v>
      </c>
      <c r="I1013" s="2" t="s">
        <v>5</v>
      </c>
      <c r="J1013" s="1" t="s">
        <v>15273</v>
      </c>
      <c r="K1013" s="3"/>
      <c r="L1013" s="1"/>
      <c r="M1013" s="1"/>
      <c r="N1013" s="4" t="s">
        <v>16120</v>
      </c>
      <c r="O1013" s="1" t="s">
        <v>934</v>
      </c>
      <c r="P1013" s="1" t="s">
        <v>6</v>
      </c>
      <c r="Q1013" s="16"/>
      <c r="R1013" s="17"/>
      <c r="S1013" s="774" t="s">
        <v>5457</v>
      </c>
    </row>
    <row r="1014" spans="1:19" ht="12" customHeight="1">
      <c r="A1014" s="1040" t="str">
        <f t="shared" si="424"/>
        <v>226</v>
      </c>
      <c r="B1014" s="4" t="s">
        <v>3720</v>
      </c>
      <c r="C1014" s="4"/>
      <c r="D1014" s="1008"/>
      <c r="E1014" s="1002" t="str">
        <f t="shared" si="450"/>
        <v/>
      </c>
      <c r="F1014" s="1005" t="e">
        <f t="shared" si="451"/>
        <v>#DIV/0!</v>
      </c>
      <c r="G1014" s="1" t="s">
        <v>5525</v>
      </c>
      <c r="H1014" s="1">
        <v>45</v>
      </c>
      <c r="I1014" s="2" t="s">
        <v>5</v>
      </c>
      <c r="J1014" s="1" t="s">
        <v>15273</v>
      </c>
      <c r="K1014" s="3"/>
      <c r="L1014" s="1"/>
      <c r="M1014" s="1"/>
      <c r="N1014" s="4" t="s">
        <v>16116</v>
      </c>
      <c r="O1014" s="1" t="s">
        <v>18494</v>
      </c>
      <c r="P1014" s="1" t="s">
        <v>6</v>
      </c>
      <c r="Q1014" s="16"/>
      <c r="R1014" s="17"/>
      <c r="S1014" s="774" t="s">
        <v>6154</v>
      </c>
    </row>
    <row r="1015" spans="1:19" ht="12" customHeight="1" thickBot="1">
      <c r="A1015" s="916" t="str">
        <f t="shared" si="424"/>
        <v>226</v>
      </c>
      <c r="B1015" s="700" t="s">
        <v>5524</v>
      </c>
      <c r="C1015" s="700"/>
      <c r="D1015" s="1009"/>
      <c r="E1015" s="1003" t="str">
        <f t="shared" si="450"/>
        <v/>
      </c>
      <c r="F1015" s="1041" t="str">
        <f t="shared" si="451"/>
        <v>$</v>
      </c>
      <c r="G1015" s="906" t="s">
        <v>3726</v>
      </c>
      <c r="H1015" s="906">
        <v>62</v>
      </c>
      <c r="I1015" s="702" t="s">
        <v>19</v>
      </c>
      <c r="J1015" s="906"/>
      <c r="K1015" s="703"/>
      <c r="L1015" s="906"/>
      <c r="M1015" s="906"/>
      <c r="N1015" s="700" t="s">
        <v>16117</v>
      </c>
      <c r="O1015" s="906"/>
      <c r="P1015" s="906" t="s">
        <v>6</v>
      </c>
      <c r="Q1015" s="705"/>
      <c r="R1015" s="903"/>
      <c r="S1015" s="793"/>
    </row>
    <row r="1016" spans="1:19" ht="12" customHeight="1">
      <c r="A1016" s="1038" t="str">
        <f t="shared" si="424"/>
        <v>227</v>
      </c>
      <c r="B1016" s="688" t="s">
        <v>3729</v>
      </c>
      <c r="C1016" s="688"/>
      <c r="D1016" s="1007"/>
      <c r="E1016" s="1001" t="str">
        <f>IF(D1016="","",D1016/SUM($D$1016:$D$1019))</f>
        <v/>
      </c>
      <c r="F1016" s="1004" t="e">
        <f>IF(J1016="","$",IF(C1016="当選","-",D1016*100/MAX($D$1016:$D$1019)))</f>
        <v>#DIV/0!</v>
      </c>
      <c r="G1016" s="687" t="s">
        <v>3732</v>
      </c>
      <c r="H1016" s="687">
        <v>56</v>
      </c>
      <c r="I1016" s="696" t="s">
        <v>5</v>
      </c>
      <c r="J1016" s="689" t="s">
        <v>15273</v>
      </c>
      <c r="K1016" s="747" t="s">
        <v>3733</v>
      </c>
      <c r="L1016" s="687"/>
      <c r="M1016" s="687"/>
      <c r="N1016" s="692" t="s">
        <v>16127</v>
      </c>
      <c r="O1016" s="687" t="s">
        <v>44</v>
      </c>
      <c r="P1016" s="687" t="s">
        <v>25</v>
      </c>
      <c r="Q1016" s="748">
        <v>1</v>
      </c>
      <c r="R1016" s="749">
        <v>1</v>
      </c>
      <c r="S1016" s="805" t="s">
        <v>736</v>
      </c>
    </row>
    <row r="1017" spans="1:19" ht="12" customHeight="1">
      <c r="A1017" s="1040" t="str">
        <f t="shared" si="424"/>
        <v>227</v>
      </c>
      <c r="B1017" s="4" t="s">
        <v>3730</v>
      </c>
      <c r="C1017" s="4"/>
      <c r="D1017" s="1008"/>
      <c r="E1017" s="1002" t="str">
        <f t="shared" ref="E1017:E1019" si="452">IF(D1017="","",D1017/SUM($D$1016:$D$1019))</f>
        <v/>
      </c>
      <c r="F1017" s="1005" t="e">
        <f t="shared" ref="F1017:F1019" si="453">IF(J1017="","$",IF(C1017="当選","-",D1017*100/MAX($D$1016:$D$1019)))</f>
        <v>#DIV/0!</v>
      </c>
      <c r="G1017" s="1" t="s">
        <v>3738</v>
      </c>
      <c r="H1017" s="1">
        <v>47</v>
      </c>
      <c r="I1017" s="2" t="s">
        <v>5</v>
      </c>
      <c r="J1017" s="1" t="s">
        <v>15273</v>
      </c>
      <c r="K1017" s="3"/>
      <c r="L1017" s="1"/>
      <c r="M1017" s="1"/>
      <c r="N1017" s="8" t="s">
        <v>16120</v>
      </c>
      <c r="O1017" s="1" t="s">
        <v>30</v>
      </c>
      <c r="P1017" s="1" t="s">
        <v>6</v>
      </c>
      <c r="Q1017" s="16"/>
      <c r="R1017" s="17"/>
      <c r="S1017" s="774" t="s">
        <v>5457</v>
      </c>
    </row>
    <row r="1018" spans="1:19" ht="12" customHeight="1">
      <c r="A1018" s="1040" t="str">
        <f t="shared" si="424"/>
        <v>227</v>
      </c>
      <c r="B1018" s="4" t="s">
        <v>3731</v>
      </c>
      <c r="C1018" s="4"/>
      <c r="D1018" s="1008"/>
      <c r="E1018" s="1002" t="str">
        <f t="shared" si="452"/>
        <v/>
      </c>
      <c r="F1018" s="1005" t="e">
        <f t="shared" si="453"/>
        <v>#DIV/0!</v>
      </c>
      <c r="G1018" s="1" t="s">
        <v>1293</v>
      </c>
      <c r="H1018" s="1">
        <v>40</v>
      </c>
      <c r="I1018" s="2" t="s">
        <v>5</v>
      </c>
      <c r="J1018" s="1" t="s">
        <v>15273</v>
      </c>
      <c r="K1018" s="3"/>
      <c r="L1018" s="1"/>
      <c r="M1018" s="1"/>
      <c r="N1018" s="4" t="s">
        <v>16116</v>
      </c>
      <c r="O1018" s="1" t="s">
        <v>276</v>
      </c>
      <c r="P1018" s="1" t="s">
        <v>14</v>
      </c>
      <c r="Q1018" s="16">
        <v>1</v>
      </c>
      <c r="R1018" s="17">
        <v>1</v>
      </c>
      <c r="S1018" s="774"/>
    </row>
    <row r="1019" spans="1:19" ht="12" customHeight="1" thickBot="1">
      <c r="A1019" s="916" t="str">
        <f t="shared" si="424"/>
        <v>227</v>
      </c>
      <c r="B1019" s="700" t="s">
        <v>4987</v>
      </c>
      <c r="C1019" s="700"/>
      <c r="D1019" s="1009"/>
      <c r="E1019" s="1003" t="str">
        <f t="shared" si="452"/>
        <v/>
      </c>
      <c r="F1019" s="1041" t="str">
        <f t="shared" si="453"/>
        <v>$</v>
      </c>
      <c r="G1019" s="906" t="s">
        <v>3741</v>
      </c>
      <c r="H1019" s="906">
        <v>52</v>
      </c>
      <c r="I1019" s="702" t="s">
        <v>5</v>
      </c>
      <c r="J1019" s="906"/>
      <c r="K1019" s="703"/>
      <c r="L1019" s="906"/>
      <c r="M1019" s="906"/>
      <c r="N1019" s="700" t="s">
        <v>16117</v>
      </c>
      <c r="O1019" s="906"/>
      <c r="P1019" s="906" t="s">
        <v>6</v>
      </c>
      <c r="Q1019" s="705"/>
      <c r="R1019" s="903"/>
      <c r="S1019" s="793"/>
    </row>
    <row r="1020" spans="1:19" ht="12" customHeight="1">
      <c r="A1020" s="1038" t="str">
        <f t="shared" si="424"/>
        <v>228</v>
      </c>
      <c r="B1020" s="688" t="s">
        <v>3743</v>
      </c>
      <c r="C1020" s="688"/>
      <c r="D1020" s="1007"/>
      <c r="E1020" s="1001" t="str">
        <f>IF(D1020="","",D1020/SUM($D$1020:$D$1023))</f>
        <v/>
      </c>
      <c r="F1020" s="1004" t="e">
        <f>IF(J1020="","$",IF(C1020="当選","-",D1020*100/MAX($D$1020:$D$1023)))</f>
        <v>#DIV/0!</v>
      </c>
      <c r="G1020" s="687" t="s">
        <v>5693</v>
      </c>
      <c r="H1020" s="687">
        <v>52</v>
      </c>
      <c r="I1020" s="696" t="s">
        <v>5</v>
      </c>
      <c r="J1020" s="689" t="s">
        <v>15273</v>
      </c>
      <c r="K1020" s="747"/>
      <c r="L1020" s="687"/>
      <c r="M1020" s="687"/>
      <c r="N1020" s="692" t="s">
        <v>16127</v>
      </c>
      <c r="O1020" s="687" t="s">
        <v>44</v>
      </c>
      <c r="P1020" s="687" t="s">
        <v>6</v>
      </c>
      <c r="Q1020" s="748"/>
      <c r="R1020" s="749"/>
      <c r="S1020" s="805"/>
    </row>
    <row r="1021" spans="1:19" ht="12" customHeight="1">
      <c r="A1021" s="1040" t="str">
        <f t="shared" si="424"/>
        <v>228</v>
      </c>
      <c r="B1021" s="4" t="s">
        <v>3744</v>
      </c>
      <c r="C1021" s="4"/>
      <c r="D1021" s="1008"/>
      <c r="E1021" s="1002" t="str">
        <f t="shared" ref="E1021:E1023" si="454">IF(D1021="","",D1021/SUM($D$1020:$D$1023))</f>
        <v/>
      </c>
      <c r="F1021" s="1005" t="e">
        <f t="shared" ref="F1021:F1023" si="455">IF(J1021="","$",IF(C1021="当選","-",D1021*100/MAX($D$1020:$D$1023)))</f>
        <v>#DIV/0!</v>
      </c>
      <c r="G1021" s="1" t="s">
        <v>3750</v>
      </c>
      <c r="H1021" s="1">
        <v>60</v>
      </c>
      <c r="I1021" s="2" t="s">
        <v>5</v>
      </c>
      <c r="J1021" s="1" t="s">
        <v>15273</v>
      </c>
      <c r="K1021" s="3" t="s">
        <v>3751</v>
      </c>
      <c r="L1021" s="1"/>
      <c r="M1021" s="1"/>
      <c r="N1021" s="4" t="s">
        <v>16120</v>
      </c>
      <c r="O1021" s="1" t="s">
        <v>934</v>
      </c>
      <c r="P1021" s="1" t="s">
        <v>25</v>
      </c>
      <c r="Q1021" s="16">
        <v>4</v>
      </c>
      <c r="R1021" s="17">
        <v>4</v>
      </c>
      <c r="S1021" s="774" t="s">
        <v>5457</v>
      </c>
    </row>
    <row r="1022" spans="1:19" ht="12" customHeight="1">
      <c r="A1022" s="1040" t="str">
        <f t="shared" si="424"/>
        <v>228</v>
      </c>
      <c r="B1022" s="4" t="s">
        <v>3745</v>
      </c>
      <c r="C1022" s="4"/>
      <c r="D1022" s="1008"/>
      <c r="E1022" s="1002" t="str">
        <f t="shared" si="454"/>
        <v/>
      </c>
      <c r="F1022" s="1005" t="e">
        <f t="shared" si="455"/>
        <v>#DIV/0!</v>
      </c>
      <c r="G1022" s="1" t="s">
        <v>3746</v>
      </c>
      <c r="H1022" s="1">
        <v>49</v>
      </c>
      <c r="I1022" s="2" t="s">
        <v>5</v>
      </c>
      <c r="J1022" s="1" t="s">
        <v>15273</v>
      </c>
      <c r="K1022" s="3" t="s">
        <v>3747</v>
      </c>
      <c r="L1022" s="1"/>
      <c r="M1022" s="1"/>
      <c r="N1022" s="4" t="s">
        <v>16116</v>
      </c>
      <c r="O1022" s="1" t="s">
        <v>4422</v>
      </c>
      <c r="P1022" s="1" t="s">
        <v>25</v>
      </c>
      <c r="Q1022" s="16">
        <v>1</v>
      </c>
      <c r="R1022" s="17">
        <v>1</v>
      </c>
      <c r="S1022" s="774" t="s">
        <v>18568</v>
      </c>
    </row>
    <row r="1023" spans="1:19" ht="12" customHeight="1" thickBot="1">
      <c r="A1023" s="916" t="str">
        <f t="shared" si="424"/>
        <v>228</v>
      </c>
      <c r="B1023" s="700" t="s">
        <v>5065</v>
      </c>
      <c r="C1023" s="700"/>
      <c r="D1023" s="1009"/>
      <c r="E1023" s="1003" t="str">
        <f t="shared" si="454"/>
        <v/>
      </c>
      <c r="F1023" s="1041" t="str">
        <f t="shared" si="455"/>
        <v>$</v>
      </c>
      <c r="G1023" s="906" t="s">
        <v>3757</v>
      </c>
      <c r="H1023" s="906">
        <v>37</v>
      </c>
      <c r="I1023" s="702" t="s">
        <v>5</v>
      </c>
      <c r="J1023" s="906"/>
      <c r="K1023" s="703"/>
      <c r="L1023" s="906"/>
      <c r="M1023" s="906"/>
      <c r="N1023" s="700" t="s">
        <v>16117</v>
      </c>
      <c r="O1023" s="906"/>
      <c r="P1023" s="906" t="s">
        <v>6</v>
      </c>
      <c r="Q1023" s="705"/>
      <c r="R1023" s="903"/>
      <c r="S1023" s="793"/>
    </row>
    <row r="1024" spans="1:19" ht="12" customHeight="1">
      <c r="A1024" s="1038" t="str">
        <f t="shared" si="424"/>
        <v>229</v>
      </c>
      <c r="B1024" s="688" t="s">
        <v>3759</v>
      </c>
      <c r="C1024" s="688"/>
      <c r="D1024" s="1007"/>
      <c r="E1024" s="1001" t="str">
        <f>IF(D1024="","",D1024/SUM($D$1024:$D$1026))</f>
        <v/>
      </c>
      <c r="F1024" s="1004" t="str">
        <f>IF(J1024="","$",IF(C1024="当選","-",D1024*100/MAX($D$1024:$D$1026)))</f>
        <v>$</v>
      </c>
      <c r="G1024" s="687" t="s">
        <v>3763</v>
      </c>
      <c r="H1024" s="687">
        <v>73</v>
      </c>
      <c r="I1024" s="696" t="s">
        <v>5</v>
      </c>
      <c r="J1024" s="687"/>
      <c r="K1024" s="747" t="s">
        <v>3764</v>
      </c>
      <c r="L1024" s="687"/>
      <c r="M1024" s="687"/>
      <c r="N1024" s="688" t="s">
        <v>16120</v>
      </c>
      <c r="O1024" s="687" t="s">
        <v>65</v>
      </c>
      <c r="P1024" s="687" t="s">
        <v>25</v>
      </c>
      <c r="Q1024" s="748">
        <v>9</v>
      </c>
      <c r="R1024" s="749">
        <v>9</v>
      </c>
      <c r="S1024" s="805" t="s">
        <v>5457</v>
      </c>
    </row>
    <row r="1025" spans="1:19" ht="12" customHeight="1">
      <c r="A1025" s="1040" t="str">
        <f t="shared" si="424"/>
        <v>229</v>
      </c>
      <c r="B1025" s="4" t="s">
        <v>3760</v>
      </c>
      <c r="C1025" s="4"/>
      <c r="D1025" s="1008"/>
      <c r="E1025" s="1002" t="str">
        <f t="shared" ref="E1025:E1026" si="456">IF(D1025="","",D1025/SUM($D$1024:$D$1026))</f>
        <v/>
      </c>
      <c r="F1025" s="1005" t="e">
        <f t="shared" ref="F1025:F1026" si="457">IF(J1025="","$",IF(C1025="当選","-",D1025*100/MAX($D$1024:$D$1026)))</f>
        <v>#DIV/0!</v>
      </c>
      <c r="G1025" s="1" t="s">
        <v>5303</v>
      </c>
      <c r="H1025" s="1">
        <v>45</v>
      </c>
      <c r="I1025" s="2" t="s">
        <v>5</v>
      </c>
      <c r="J1025" s="1" t="s">
        <v>15273</v>
      </c>
      <c r="K1025" s="3"/>
      <c r="L1025" s="1"/>
      <c r="M1025" s="1"/>
      <c r="N1025" s="4" t="s">
        <v>16116</v>
      </c>
      <c r="O1025" s="1" t="s">
        <v>4422</v>
      </c>
      <c r="P1025" s="1" t="s">
        <v>6</v>
      </c>
      <c r="Q1025" s="16"/>
      <c r="R1025" s="17"/>
      <c r="S1025" s="774" t="s">
        <v>6154</v>
      </c>
    </row>
    <row r="1026" spans="1:19" ht="12" customHeight="1" thickBot="1">
      <c r="A1026" s="916" t="str">
        <f t="shared" si="424"/>
        <v>229</v>
      </c>
      <c r="B1026" s="700" t="s">
        <v>3761</v>
      </c>
      <c r="C1026" s="700"/>
      <c r="D1026" s="1009"/>
      <c r="E1026" s="1003" t="str">
        <f t="shared" si="456"/>
        <v/>
      </c>
      <c r="F1026" s="1041" t="e">
        <f t="shared" si="457"/>
        <v>#DIV/0!</v>
      </c>
      <c r="G1026" s="906" t="s">
        <v>3767</v>
      </c>
      <c r="H1026" s="906">
        <v>61</v>
      </c>
      <c r="I1026" s="702" t="s">
        <v>5</v>
      </c>
      <c r="J1026" s="906" t="s">
        <v>15273</v>
      </c>
      <c r="K1026" s="703"/>
      <c r="L1026" s="906"/>
      <c r="M1026" s="906"/>
      <c r="N1026" s="700" t="s">
        <v>16117</v>
      </c>
      <c r="O1026" s="906"/>
      <c r="P1026" s="906" t="s">
        <v>6</v>
      </c>
      <c r="Q1026" s="705"/>
      <c r="R1026" s="903"/>
      <c r="S1026" s="793"/>
    </row>
    <row r="1027" spans="1:19" ht="12" customHeight="1">
      <c r="A1027" s="1038" t="str">
        <f t="shared" ref="A1027:A1090" si="458">MIDB(B1027,1,3)</f>
        <v>230</v>
      </c>
      <c r="B1027" s="688" t="s">
        <v>3814</v>
      </c>
      <c r="C1027" s="688"/>
      <c r="D1027" s="1007"/>
      <c r="E1027" s="1001" t="str">
        <f>IF(D1027="","",D1027/SUM($D$1027:$D$1029))</f>
        <v/>
      </c>
      <c r="F1027" s="1004" t="str">
        <f>IF(J1027="","$",IF(C1027="当選","-",D1027*100/MAX($D$1027:$D$1029)))</f>
        <v>$</v>
      </c>
      <c r="G1027" s="687" t="s">
        <v>3816</v>
      </c>
      <c r="H1027" s="687">
        <v>55</v>
      </c>
      <c r="I1027" s="696" t="s">
        <v>5</v>
      </c>
      <c r="J1027" s="687"/>
      <c r="K1027" s="747" t="s">
        <v>3813</v>
      </c>
      <c r="L1027" s="687"/>
      <c r="M1027" s="687"/>
      <c r="N1027" s="692" t="s">
        <v>16120</v>
      </c>
      <c r="O1027" s="687" t="s">
        <v>30</v>
      </c>
      <c r="P1027" s="687" t="s">
        <v>25</v>
      </c>
      <c r="Q1027" s="748">
        <v>8</v>
      </c>
      <c r="R1027" s="749">
        <v>8</v>
      </c>
      <c r="S1027" s="805" t="s">
        <v>5457</v>
      </c>
    </row>
    <row r="1028" spans="1:19" ht="12" customHeight="1">
      <c r="A1028" s="1040" t="str">
        <f t="shared" si="458"/>
        <v>230</v>
      </c>
      <c r="B1028" s="4" t="s">
        <v>3815</v>
      </c>
      <c r="C1028" s="4"/>
      <c r="D1028" s="1008"/>
      <c r="E1028" s="1002" t="str">
        <f t="shared" ref="E1028:E1029" si="459">IF(D1028="","",D1028/SUM($D$1027:$D$1029))</f>
        <v/>
      </c>
      <c r="F1028" s="1005" t="str">
        <f t="shared" ref="F1028:F1029" si="460">IF(J1028="","$",IF(C1028="当選","-",D1028*100/MAX($D$1027:$D$1029)))</f>
        <v>$</v>
      </c>
      <c r="G1028" s="1" t="s">
        <v>3820</v>
      </c>
      <c r="H1028" s="1">
        <v>48</v>
      </c>
      <c r="I1028" s="2" t="s">
        <v>5</v>
      </c>
      <c r="J1028" s="1"/>
      <c r="K1028" s="3"/>
      <c r="L1028" s="1"/>
      <c r="M1028" s="1"/>
      <c r="N1028" s="4" t="s">
        <v>16117</v>
      </c>
      <c r="O1028" s="1"/>
      <c r="P1028" s="1" t="s">
        <v>6</v>
      </c>
      <c r="Q1028" s="16"/>
      <c r="R1028" s="17"/>
      <c r="S1028" s="774"/>
    </row>
    <row r="1029" spans="1:19" ht="12" customHeight="1" thickBot="1">
      <c r="A1029" s="916" t="str">
        <f t="shared" si="458"/>
        <v>230</v>
      </c>
      <c r="B1029" s="700" t="s">
        <v>16051</v>
      </c>
      <c r="C1029" s="700"/>
      <c r="D1029" s="1009"/>
      <c r="E1029" s="1003" t="str">
        <f t="shared" si="459"/>
        <v/>
      </c>
      <c r="F1029" s="1041" t="str">
        <f t="shared" si="460"/>
        <v>$</v>
      </c>
      <c r="G1029" s="906" t="s">
        <v>16052</v>
      </c>
      <c r="H1029" s="906">
        <v>63</v>
      </c>
      <c r="I1029" s="702" t="s">
        <v>5</v>
      </c>
      <c r="J1029" s="906"/>
      <c r="K1029" s="703"/>
      <c r="L1029" s="906"/>
      <c r="M1029" s="906"/>
      <c r="N1029" s="700" t="s">
        <v>16129</v>
      </c>
      <c r="O1029" s="906"/>
      <c r="P1029" s="906" t="s">
        <v>6</v>
      </c>
      <c r="Q1029" s="705"/>
      <c r="R1029" s="903"/>
      <c r="S1029" s="793"/>
    </row>
    <row r="1030" spans="1:19" ht="12" customHeight="1">
      <c r="A1030" s="1038" t="str">
        <f t="shared" si="458"/>
        <v>231</v>
      </c>
      <c r="B1030" s="688" t="s">
        <v>3822</v>
      </c>
      <c r="C1030" s="688"/>
      <c r="D1030" s="1007"/>
      <c r="E1030" s="1001" t="str">
        <f>IF(D1030="","",D1030/SUM($D$1030:$D$1032))</f>
        <v/>
      </c>
      <c r="F1030" s="1004" t="e">
        <f>IF(J1030="","$",IF(C1030="当選","-",D1030*100/MAX($D$1030:$D$1032)))</f>
        <v>#DIV/0!</v>
      </c>
      <c r="G1030" s="687" t="s">
        <v>3825</v>
      </c>
      <c r="H1030" s="687">
        <v>50</v>
      </c>
      <c r="I1030" s="696" t="s">
        <v>5</v>
      </c>
      <c r="J1030" s="689" t="s">
        <v>15273</v>
      </c>
      <c r="K1030" s="747" t="s">
        <v>3826</v>
      </c>
      <c r="L1030" s="687"/>
      <c r="M1030" s="687"/>
      <c r="N1030" s="692" t="s">
        <v>16126</v>
      </c>
      <c r="O1030" s="687" t="s">
        <v>44</v>
      </c>
      <c r="P1030" s="687" t="s">
        <v>25</v>
      </c>
      <c r="Q1030" s="748">
        <v>1</v>
      </c>
      <c r="R1030" s="749">
        <v>1</v>
      </c>
      <c r="S1030" s="805"/>
    </row>
    <row r="1031" spans="1:19" ht="12" customHeight="1">
      <c r="A1031" s="1040" t="str">
        <f t="shared" si="458"/>
        <v>231</v>
      </c>
      <c r="B1031" s="4" t="s">
        <v>3823</v>
      </c>
      <c r="C1031" s="4"/>
      <c r="D1031" s="1008"/>
      <c r="E1031" s="1002" t="str">
        <f t="shared" ref="E1031:E1032" si="461">IF(D1031="","",D1031/SUM($D$1030:$D$1032))</f>
        <v/>
      </c>
      <c r="F1031" s="1005" t="e">
        <f t="shared" ref="F1031:F1032" si="462">IF(J1031="","$",IF(C1031="当選","-",D1031*100/MAX($D$1030:$D$1032)))</f>
        <v>#DIV/0!</v>
      </c>
      <c r="G1031" s="1" t="s">
        <v>3828</v>
      </c>
      <c r="H1031" s="1">
        <v>51</v>
      </c>
      <c r="I1031" s="2" t="s">
        <v>5</v>
      </c>
      <c r="J1031" s="1" t="s">
        <v>15273</v>
      </c>
      <c r="K1031" s="3" t="s">
        <v>3829</v>
      </c>
      <c r="L1031" s="1"/>
      <c r="M1031" s="1"/>
      <c r="N1031" s="4" t="s">
        <v>16120</v>
      </c>
      <c r="O1031" s="1" t="s">
        <v>30</v>
      </c>
      <c r="P1031" s="1" t="s">
        <v>25</v>
      </c>
      <c r="Q1031" s="16">
        <v>2</v>
      </c>
      <c r="R1031" s="17">
        <v>2</v>
      </c>
      <c r="S1031" s="774" t="s">
        <v>5457</v>
      </c>
    </row>
    <row r="1032" spans="1:19" ht="12" customHeight="1" thickBot="1">
      <c r="A1032" s="916" t="str">
        <f t="shared" si="458"/>
        <v>231</v>
      </c>
      <c r="B1032" s="700" t="s">
        <v>3824</v>
      </c>
      <c r="C1032" s="700"/>
      <c r="D1032" s="1009"/>
      <c r="E1032" s="1003" t="str">
        <f t="shared" si="461"/>
        <v/>
      </c>
      <c r="F1032" s="1041" t="str">
        <f t="shared" si="462"/>
        <v>$</v>
      </c>
      <c r="G1032" s="906" t="s">
        <v>3832</v>
      </c>
      <c r="H1032" s="906">
        <v>37</v>
      </c>
      <c r="I1032" s="702" t="s">
        <v>5</v>
      </c>
      <c r="J1032" s="906"/>
      <c r="K1032" s="703"/>
      <c r="L1032" s="906"/>
      <c r="M1032" s="906"/>
      <c r="N1032" s="700" t="s">
        <v>16117</v>
      </c>
      <c r="O1032" s="906"/>
      <c r="P1032" s="906" t="s">
        <v>6</v>
      </c>
      <c r="Q1032" s="705"/>
      <c r="R1032" s="903"/>
      <c r="S1032" s="793"/>
    </row>
    <row r="1033" spans="1:19" ht="12" customHeight="1">
      <c r="A1033" s="1038" t="str">
        <f t="shared" si="458"/>
        <v>232</v>
      </c>
      <c r="B1033" s="688" t="s">
        <v>3834</v>
      </c>
      <c r="C1033" s="688"/>
      <c r="D1033" s="1007"/>
      <c r="E1033" s="1001" t="str">
        <f>IF(D1033="","",D1033/SUM($D$1033:$D$1035))</f>
        <v/>
      </c>
      <c r="F1033" s="1004" t="e">
        <f>IF(J1033="","$",IF(C1033="当選","-",D1033*100/MAX($D$1033:$D$1035)))</f>
        <v>#DIV/0!</v>
      </c>
      <c r="G1033" s="687" t="s">
        <v>3837</v>
      </c>
      <c r="H1033" s="687">
        <v>52</v>
      </c>
      <c r="I1033" s="696" t="s">
        <v>5</v>
      </c>
      <c r="J1033" s="689" t="s">
        <v>15273</v>
      </c>
      <c r="K1033" s="747" t="s">
        <v>3838</v>
      </c>
      <c r="L1033" s="687"/>
      <c r="M1033" s="687"/>
      <c r="N1033" s="692" t="s">
        <v>16127</v>
      </c>
      <c r="O1033" s="687" t="s">
        <v>45</v>
      </c>
      <c r="P1033" s="687" t="s">
        <v>25</v>
      </c>
      <c r="Q1033" s="748">
        <v>1</v>
      </c>
      <c r="R1033" s="749">
        <v>1</v>
      </c>
      <c r="S1033" s="805"/>
    </row>
    <row r="1034" spans="1:19" ht="12" customHeight="1">
      <c r="A1034" s="1040" t="str">
        <f t="shared" si="458"/>
        <v>232</v>
      </c>
      <c r="B1034" s="4" t="s">
        <v>3835</v>
      </c>
      <c r="C1034" s="4"/>
      <c r="D1034" s="1008"/>
      <c r="E1034" s="1002" t="str">
        <f t="shared" ref="E1034:E1035" si="463">IF(D1034="","",D1034/SUM($D$1033:$D$1035))</f>
        <v/>
      </c>
      <c r="F1034" s="1005" t="e">
        <f t="shared" ref="F1034:F1035" si="464">IF(J1034="","$",IF(C1034="当選","-",D1034*100/MAX($D$1033:$D$1035)))</f>
        <v>#DIV/0!</v>
      </c>
      <c r="G1034" s="1" t="s">
        <v>3844</v>
      </c>
      <c r="H1034" s="1">
        <v>68</v>
      </c>
      <c r="I1034" s="2" t="s">
        <v>5</v>
      </c>
      <c r="J1034" s="1" t="s">
        <v>15273</v>
      </c>
      <c r="K1034" s="3" t="s">
        <v>3845</v>
      </c>
      <c r="L1034" s="1"/>
      <c r="M1034" s="1"/>
      <c r="N1034" s="4" t="s">
        <v>16120</v>
      </c>
      <c r="O1034" s="1" t="s">
        <v>48</v>
      </c>
      <c r="P1034" s="1" t="s">
        <v>25</v>
      </c>
      <c r="Q1034" s="16">
        <v>7</v>
      </c>
      <c r="R1034" s="17">
        <v>7</v>
      </c>
      <c r="S1034" s="774" t="s">
        <v>5457</v>
      </c>
    </row>
    <row r="1035" spans="1:19" ht="12" customHeight="1" thickBot="1">
      <c r="A1035" s="916" t="str">
        <f t="shared" si="458"/>
        <v>232</v>
      </c>
      <c r="B1035" s="700" t="s">
        <v>3836</v>
      </c>
      <c r="C1035" s="700"/>
      <c r="D1035" s="1009"/>
      <c r="E1035" s="1003" t="str">
        <f t="shared" si="463"/>
        <v/>
      </c>
      <c r="F1035" s="1041" t="str">
        <f t="shared" si="464"/>
        <v>$</v>
      </c>
      <c r="G1035" s="906" t="s">
        <v>3852</v>
      </c>
      <c r="H1035" s="906">
        <v>61</v>
      </c>
      <c r="I1035" s="702" t="s">
        <v>19</v>
      </c>
      <c r="J1035" s="906"/>
      <c r="K1035" s="703"/>
      <c r="L1035" s="906"/>
      <c r="M1035" s="906"/>
      <c r="N1035" s="700" t="s">
        <v>16117</v>
      </c>
      <c r="O1035" s="906"/>
      <c r="P1035" s="906" t="s">
        <v>6</v>
      </c>
      <c r="Q1035" s="705"/>
      <c r="R1035" s="903"/>
      <c r="S1035" s="793"/>
    </row>
    <row r="1036" spans="1:19" ht="12" customHeight="1">
      <c r="A1036" s="1038" t="str">
        <f t="shared" si="458"/>
        <v>233</v>
      </c>
      <c r="B1036" s="688" t="s">
        <v>3855</v>
      </c>
      <c r="C1036" s="688"/>
      <c r="D1036" s="1007"/>
      <c r="E1036" s="1001" t="str">
        <f>IF(D1036="","",D1036/SUM($D$1036:$D$1038))</f>
        <v/>
      </c>
      <c r="F1036" s="1004" t="e">
        <f>IF(J1036="","$",IF(C1036="当選","-",D1036*100/MAX($D$1036:$D$1038)))</f>
        <v>#DIV/0!</v>
      </c>
      <c r="G1036" s="687" t="s">
        <v>5088</v>
      </c>
      <c r="H1036" s="687">
        <v>32</v>
      </c>
      <c r="I1036" s="696" t="s">
        <v>5</v>
      </c>
      <c r="J1036" s="689" t="s">
        <v>15273</v>
      </c>
      <c r="K1036" s="747"/>
      <c r="L1036" s="687"/>
      <c r="M1036" s="687"/>
      <c r="N1036" s="692" t="s">
        <v>16127</v>
      </c>
      <c r="O1036" s="687" t="s">
        <v>44</v>
      </c>
      <c r="P1036" s="687" t="s">
        <v>6</v>
      </c>
      <c r="Q1036" s="748"/>
      <c r="R1036" s="749"/>
      <c r="S1036" s="805"/>
    </row>
    <row r="1037" spans="1:19" ht="12" customHeight="1">
      <c r="A1037" s="1040" t="str">
        <f t="shared" si="458"/>
        <v>233</v>
      </c>
      <c r="B1037" s="4" t="s">
        <v>3856</v>
      </c>
      <c r="C1037" s="4"/>
      <c r="D1037" s="1008"/>
      <c r="E1037" s="1002" t="str">
        <f t="shared" ref="E1037:E1038" si="465">IF(D1037="","",D1037/SUM($D$1036:$D$1038))</f>
        <v/>
      </c>
      <c r="F1037" s="1005" t="e">
        <f t="shared" ref="F1037:F1038" si="466">IF(J1037="","$",IF(C1037="当選","-",D1037*100/MAX($D$1036:$D$1038)))</f>
        <v>#DIV/0!</v>
      </c>
      <c r="G1037" s="1" t="s">
        <v>3858</v>
      </c>
      <c r="H1037" s="1">
        <v>66</v>
      </c>
      <c r="I1037" s="2" t="s">
        <v>5</v>
      </c>
      <c r="J1037" s="1" t="s">
        <v>15273</v>
      </c>
      <c r="K1037" s="3" t="s">
        <v>3859</v>
      </c>
      <c r="L1037" s="1"/>
      <c r="M1037" s="1"/>
      <c r="N1037" s="8" t="s">
        <v>16120</v>
      </c>
      <c r="O1037" s="1" t="s">
        <v>13</v>
      </c>
      <c r="P1037" s="1" t="s">
        <v>25</v>
      </c>
      <c r="Q1037" s="16">
        <v>4</v>
      </c>
      <c r="R1037" s="17">
        <v>4</v>
      </c>
      <c r="S1037" s="774" t="s">
        <v>5457</v>
      </c>
    </row>
    <row r="1038" spans="1:19" ht="12" customHeight="1" thickBot="1">
      <c r="A1038" s="916" t="str">
        <f t="shared" si="458"/>
        <v>233</v>
      </c>
      <c r="B1038" s="700" t="s">
        <v>3857</v>
      </c>
      <c r="C1038" s="700"/>
      <c r="D1038" s="1009"/>
      <c r="E1038" s="1003" t="str">
        <f t="shared" si="465"/>
        <v/>
      </c>
      <c r="F1038" s="1041" t="str">
        <f t="shared" si="466"/>
        <v>$</v>
      </c>
      <c r="G1038" s="906" t="s">
        <v>3864</v>
      </c>
      <c r="H1038" s="906">
        <v>41</v>
      </c>
      <c r="I1038" s="702" t="s">
        <v>5</v>
      </c>
      <c r="J1038" s="906"/>
      <c r="K1038" s="703"/>
      <c r="L1038" s="906"/>
      <c r="M1038" s="906"/>
      <c r="N1038" s="700" t="s">
        <v>16117</v>
      </c>
      <c r="O1038" s="906"/>
      <c r="P1038" s="906" t="s">
        <v>6</v>
      </c>
      <c r="Q1038" s="705"/>
      <c r="R1038" s="903"/>
      <c r="S1038" s="793"/>
    </row>
    <row r="1039" spans="1:19" ht="12" customHeight="1">
      <c r="A1039" s="1038" t="str">
        <f t="shared" si="458"/>
        <v>234</v>
      </c>
      <c r="B1039" s="688" t="s">
        <v>3867</v>
      </c>
      <c r="C1039" s="688"/>
      <c r="D1039" s="1007"/>
      <c r="E1039" s="1001" t="str">
        <f>IF(D1039="","",D1039/SUM($D$1039:$D$1043))</f>
        <v/>
      </c>
      <c r="F1039" s="1004" t="e">
        <f>IF(J1039="","$",IF(C1039="当選","-",D1039*100/MAX($D$1039:$D$1043)))</f>
        <v>#DIV/0!</v>
      </c>
      <c r="G1039" s="687" t="s">
        <v>3871</v>
      </c>
      <c r="H1039" s="687">
        <v>43</v>
      </c>
      <c r="I1039" s="696" t="s">
        <v>5</v>
      </c>
      <c r="J1039" s="689" t="s">
        <v>15273</v>
      </c>
      <c r="K1039" s="747" t="s">
        <v>3872</v>
      </c>
      <c r="L1039" s="687"/>
      <c r="M1039" s="687"/>
      <c r="N1039" s="692" t="s">
        <v>16126</v>
      </c>
      <c r="O1039" s="687" t="s">
        <v>44</v>
      </c>
      <c r="P1039" s="687" t="s">
        <v>25</v>
      </c>
      <c r="Q1039" s="748">
        <v>1</v>
      </c>
      <c r="R1039" s="749">
        <v>1</v>
      </c>
      <c r="S1039" s="805" t="s">
        <v>736</v>
      </c>
    </row>
    <row r="1040" spans="1:19" ht="12" customHeight="1">
      <c r="A1040" s="1040" t="str">
        <f t="shared" si="458"/>
        <v>234</v>
      </c>
      <c r="B1040" s="4" t="s">
        <v>3868</v>
      </c>
      <c r="C1040" s="4"/>
      <c r="D1040" s="1008"/>
      <c r="E1040" s="1002" t="str">
        <f t="shared" ref="E1040:E1043" si="467">IF(D1040="","",D1040/SUM($D$1039:$D$1043))</f>
        <v/>
      </c>
      <c r="F1040" s="1005" t="e">
        <f t="shared" ref="F1040:F1043" si="468">IF(J1040="","$",IF(C1040="当選","-",D1040*100/MAX($D$1039:$D$1043)))</f>
        <v>#DIV/0!</v>
      </c>
      <c r="G1040" s="1" t="s">
        <v>3874</v>
      </c>
      <c r="H1040" s="1">
        <v>58</v>
      </c>
      <c r="I1040" s="2" t="s">
        <v>5</v>
      </c>
      <c r="J1040" s="1" t="s">
        <v>15273</v>
      </c>
      <c r="K1040" s="3" t="s">
        <v>3875</v>
      </c>
      <c r="L1040" s="1"/>
      <c r="M1040" s="1"/>
      <c r="N1040" s="4" t="s">
        <v>16120</v>
      </c>
      <c r="O1040" s="1" t="s">
        <v>30</v>
      </c>
      <c r="P1040" s="1" t="s">
        <v>25</v>
      </c>
      <c r="Q1040" s="16">
        <v>8</v>
      </c>
      <c r="R1040" s="17">
        <v>8</v>
      </c>
      <c r="S1040" s="774" t="s">
        <v>5457</v>
      </c>
    </row>
    <row r="1041" spans="1:19" ht="12" customHeight="1">
      <c r="A1041" s="1040" t="str">
        <f t="shared" si="458"/>
        <v>234</v>
      </c>
      <c r="B1041" s="4" t="s">
        <v>5687</v>
      </c>
      <c r="C1041" s="4"/>
      <c r="D1041" s="1008"/>
      <c r="E1041" s="1002" t="str">
        <f t="shared" si="467"/>
        <v/>
      </c>
      <c r="F1041" s="1005" t="e">
        <f t="shared" si="468"/>
        <v>#DIV/0!</v>
      </c>
      <c r="G1041" s="1" t="s">
        <v>3882</v>
      </c>
      <c r="H1041" s="1">
        <v>37</v>
      </c>
      <c r="I1041" s="2" t="s">
        <v>5</v>
      </c>
      <c r="J1041" s="1" t="s">
        <v>15273</v>
      </c>
      <c r="K1041" s="3"/>
      <c r="L1041" s="1"/>
      <c r="M1041" s="1"/>
      <c r="N1041" s="4" t="s">
        <v>18495</v>
      </c>
      <c r="O1041" s="1"/>
      <c r="P1041" s="1" t="s">
        <v>6</v>
      </c>
      <c r="Q1041" s="16"/>
      <c r="R1041" s="17"/>
      <c r="S1041" s="774" t="s">
        <v>6031</v>
      </c>
    </row>
    <row r="1042" spans="1:19" ht="12" customHeight="1">
      <c r="A1042" s="1040" t="str">
        <f t="shared" si="458"/>
        <v>234</v>
      </c>
      <c r="B1042" s="4" t="s">
        <v>3869</v>
      </c>
      <c r="C1042" s="4"/>
      <c r="D1042" s="1008"/>
      <c r="E1042" s="1002" t="str">
        <f t="shared" si="467"/>
        <v/>
      </c>
      <c r="F1042" s="1005" t="str">
        <f t="shared" si="468"/>
        <v>$</v>
      </c>
      <c r="G1042" s="1" t="s">
        <v>3879</v>
      </c>
      <c r="H1042" s="1">
        <v>48</v>
      </c>
      <c r="I1042" s="2" t="s">
        <v>5</v>
      </c>
      <c r="J1042" s="1"/>
      <c r="K1042" s="3"/>
      <c r="L1042" s="1"/>
      <c r="M1042" s="1"/>
      <c r="N1042" s="4" t="s">
        <v>16117</v>
      </c>
      <c r="O1042" s="1"/>
      <c r="P1042" s="1" t="s">
        <v>6</v>
      </c>
      <c r="Q1042" s="16"/>
      <c r="R1042" s="17"/>
      <c r="S1042" s="774"/>
    </row>
    <row r="1043" spans="1:19" ht="12" customHeight="1" thickBot="1">
      <c r="A1043" s="916" t="str">
        <f t="shared" si="458"/>
        <v>234</v>
      </c>
      <c r="B1043" s="700" t="s">
        <v>3870</v>
      </c>
      <c r="C1043" s="700"/>
      <c r="D1043" s="1009"/>
      <c r="E1043" s="1003" t="str">
        <f t="shared" si="467"/>
        <v/>
      </c>
      <c r="F1043" s="1041" t="str">
        <f t="shared" si="468"/>
        <v>$</v>
      </c>
      <c r="G1043" s="906" t="s">
        <v>3884</v>
      </c>
      <c r="H1043" s="906">
        <v>50</v>
      </c>
      <c r="I1043" s="702" t="s">
        <v>19</v>
      </c>
      <c r="J1043" s="906"/>
      <c r="K1043" s="703"/>
      <c r="L1043" s="906"/>
      <c r="M1043" s="906"/>
      <c r="N1043" s="700" t="s">
        <v>16122</v>
      </c>
      <c r="O1043" s="906" t="s">
        <v>22</v>
      </c>
      <c r="P1043" s="906" t="s">
        <v>6</v>
      </c>
      <c r="Q1043" s="705"/>
      <c r="R1043" s="903"/>
      <c r="S1043" s="793"/>
    </row>
    <row r="1044" spans="1:19" ht="12" customHeight="1">
      <c r="A1044" s="1038" t="str">
        <f t="shared" si="458"/>
        <v>235</v>
      </c>
      <c r="B1044" s="688" t="s">
        <v>3887</v>
      </c>
      <c r="C1044" s="688"/>
      <c r="D1044" s="1007"/>
      <c r="E1044" s="1001" t="str">
        <f>IF(D1044="","",D1044/SUM($D$1044:$D$1046))</f>
        <v/>
      </c>
      <c r="F1044" s="1004" t="e">
        <f>IF(J1044="","$",IF(C1044="当選","-",D1044*100/MAX($D$1044:$D$1046)))</f>
        <v>#DIV/0!</v>
      </c>
      <c r="G1044" s="687" t="s">
        <v>3890</v>
      </c>
      <c r="H1044" s="687">
        <v>41</v>
      </c>
      <c r="I1044" s="696" t="s">
        <v>5</v>
      </c>
      <c r="J1044" s="689" t="s">
        <v>15273</v>
      </c>
      <c r="K1044" s="747" t="s">
        <v>3891</v>
      </c>
      <c r="L1044" s="687"/>
      <c r="M1044" s="687"/>
      <c r="N1044" s="692" t="s">
        <v>16127</v>
      </c>
      <c r="O1044" s="687" t="s">
        <v>44</v>
      </c>
      <c r="P1044" s="687" t="s">
        <v>25</v>
      </c>
      <c r="Q1044" s="748">
        <v>3</v>
      </c>
      <c r="R1044" s="749">
        <v>3</v>
      </c>
      <c r="S1044" s="805" t="s">
        <v>736</v>
      </c>
    </row>
    <row r="1045" spans="1:19" ht="12" customHeight="1">
      <c r="A1045" s="1040" t="str">
        <f t="shared" si="458"/>
        <v>235</v>
      </c>
      <c r="B1045" s="4" t="s">
        <v>3888</v>
      </c>
      <c r="C1045" s="4"/>
      <c r="D1045" s="1008"/>
      <c r="E1045" s="1002" t="str">
        <f t="shared" ref="E1045:E1046" si="469">IF(D1045="","",D1045/SUM($D$1044:$D$1046))</f>
        <v/>
      </c>
      <c r="F1045" s="1005" t="e">
        <f t="shared" ref="F1045:F1046" si="470">IF(J1045="","$",IF(C1045="当選","-",D1045*100/MAX($D$1044:$D$1046)))</f>
        <v>#DIV/0!</v>
      </c>
      <c r="G1045" s="1" t="s">
        <v>3894</v>
      </c>
      <c r="H1045" s="1">
        <v>47</v>
      </c>
      <c r="I1045" s="2" t="s">
        <v>5</v>
      </c>
      <c r="J1045" s="1" t="s">
        <v>15273</v>
      </c>
      <c r="K1045" s="3"/>
      <c r="L1045" s="1"/>
      <c r="M1045" s="1"/>
      <c r="N1045" s="4" t="s">
        <v>16120</v>
      </c>
      <c r="O1045" s="1" t="s">
        <v>30</v>
      </c>
      <c r="P1045" s="1" t="s">
        <v>6</v>
      </c>
      <c r="Q1045" s="16"/>
      <c r="R1045" s="17"/>
      <c r="S1045" s="774" t="s">
        <v>5457</v>
      </c>
    </row>
    <row r="1046" spans="1:19" ht="12" customHeight="1" thickBot="1">
      <c r="A1046" s="916" t="str">
        <f t="shared" si="458"/>
        <v>235</v>
      </c>
      <c r="B1046" s="700" t="s">
        <v>3889</v>
      </c>
      <c r="C1046" s="700"/>
      <c r="D1046" s="1009"/>
      <c r="E1046" s="1003" t="str">
        <f t="shared" si="469"/>
        <v/>
      </c>
      <c r="F1046" s="1041" t="str">
        <f t="shared" si="470"/>
        <v>$</v>
      </c>
      <c r="G1046" s="906" t="s">
        <v>3897</v>
      </c>
      <c r="H1046" s="906">
        <v>65</v>
      </c>
      <c r="I1046" s="702" t="s">
        <v>19</v>
      </c>
      <c r="J1046" s="906"/>
      <c r="K1046" s="703"/>
      <c r="L1046" s="906"/>
      <c r="M1046" s="906"/>
      <c r="N1046" s="700" t="s">
        <v>16117</v>
      </c>
      <c r="O1046" s="906"/>
      <c r="P1046" s="906" t="s">
        <v>6</v>
      </c>
      <c r="Q1046" s="705"/>
      <c r="R1046" s="903"/>
      <c r="S1046" s="793"/>
    </row>
    <row r="1047" spans="1:19" ht="12" customHeight="1">
      <c r="A1047" s="1038" t="str">
        <f t="shared" si="458"/>
        <v>236</v>
      </c>
      <c r="B1047" s="688" t="s">
        <v>3901</v>
      </c>
      <c r="C1047" s="688"/>
      <c r="D1047" s="1007"/>
      <c r="E1047" s="1001" t="str">
        <f>IF(D1047="","",D1047/SUM($D$1047:$D$1050))</f>
        <v/>
      </c>
      <c r="F1047" s="1004" t="e">
        <f>IF(J1047="","$",IF(C1047="当選","-",D1047*100/MAX($D$1047:$D$1050)))</f>
        <v>#DIV/0!</v>
      </c>
      <c r="G1047" s="687" t="s">
        <v>3905</v>
      </c>
      <c r="H1047" s="687">
        <v>37</v>
      </c>
      <c r="I1047" s="696" t="s">
        <v>5</v>
      </c>
      <c r="J1047" s="689" t="s">
        <v>15273</v>
      </c>
      <c r="K1047" s="747"/>
      <c r="L1047" s="687"/>
      <c r="M1047" s="687"/>
      <c r="N1047" s="692" t="s">
        <v>16127</v>
      </c>
      <c r="O1047" s="687" t="s">
        <v>44</v>
      </c>
      <c r="P1047" s="687" t="s">
        <v>6</v>
      </c>
      <c r="Q1047" s="748"/>
      <c r="R1047" s="749"/>
      <c r="S1047" s="805" t="s">
        <v>736</v>
      </c>
    </row>
    <row r="1048" spans="1:19" ht="12" customHeight="1">
      <c r="A1048" s="1040" t="str">
        <f t="shared" si="458"/>
        <v>236</v>
      </c>
      <c r="B1048" s="4" t="s">
        <v>3902</v>
      </c>
      <c r="C1048" s="4"/>
      <c r="D1048" s="1008"/>
      <c r="E1048" s="1002" t="str">
        <f t="shared" ref="E1048:E1050" si="471">IF(D1048="","",D1048/SUM($D$1047:$D$1050))</f>
        <v/>
      </c>
      <c r="F1048" s="1005" t="e">
        <f t="shared" ref="F1048:F1050" si="472">IF(J1048="","$",IF(C1048="当選","-",D1048*100/MAX($D$1047:$D$1050)))</f>
        <v>#DIV/0!</v>
      </c>
      <c r="G1048" s="1" t="s">
        <v>3907</v>
      </c>
      <c r="H1048" s="1">
        <v>53</v>
      </c>
      <c r="I1048" s="2" t="s">
        <v>19</v>
      </c>
      <c r="J1048" s="1" t="s">
        <v>15273</v>
      </c>
      <c r="K1048" s="3" t="s">
        <v>3908</v>
      </c>
      <c r="L1048" s="1"/>
      <c r="M1048" s="1"/>
      <c r="N1048" s="8" t="s">
        <v>16120</v>
      </c>
      <c r="O1048" s="1" t="s">
        <v>30</v>
      </c>
      <c r="P1048" s="1" t="s">
        <v>25</v>
      </c>
      <c r="Q1048" s="16">
        <v>2</v>
      </c>
      <c r="R1048" s="17">
        <v>2</v>
      </c>
      <c r="S1048" s="774" t="s">
        <v>5457</v>
      </c>
    </row>
    <row r="1049" spans="1:19" ht="12" customHeight="1">
      <c r="A1049" s="1040" t="str">
        <f t="shared" si="458"/>
        <v>236</v>
      </c>
      <c r="B1049" s="4" t="s">
        <v>3903</v>
      </c>
      <c r="C1049" s="4"/>
      <c r="D1049" s="1008"/>
      <c r="E1049" s="1002" t="str">
        <f t="shared" si="471"/>
        <v/>
      </c>
      <c r="F1049" s="1005" t="e">
        <f t="shared" si="472"/>
        <v>#DIV/0!</v>
      </c>
      <c r="G1049" s="1" t="s">
        <v>3914</v>
      </c>
      <c r="H1049" s="1">
        <v>73</v>
      </c>
      <c r="I1049" s="2" t="s">
        <v>5</v>
      </c>
      <c r="J1049" s="1" t="s">
        <v>15273</v>
      </c>
      <c r="K1049" s="3" t="s">
        <v>3915</v>
      </c>
      <c r="L1049" s="1"/>
      <c r="M1049" s="1"/>
      <c r="N1049" s="4" t="s">
        <v>16116</v>
      </c>
      <c r="O1049" s="1" t="s">
        <v>4993</v>
      </c>
      <c r="P1049" s="1" t="s">
        <v>25</v>
      </c>
      <c r="Q1049" s="16">
        <v>10</v>
      </c>
      <c r="R1049" s="17">
        <v>10</v>
      </c>
      <c r="S1049" s="774"/>
    </row>
    <row r="1050" spans="1:19" ht="12" customHeight="1" thickBot="1">
      <c r="A1050" s="916" t="str">
        <f t="shared" si="458"/>
        <v>236</v>
      </c>
      <c r="B1050" s="700" t="s">
        <v>3904</v>
      </c>
      <c r="C1050" s="700"/>
      <c r="D1050" s="1009"/>
      <c r="E1050" s="1003" t="str">
        <f t="shared" si="471"/>
        <v/>
      </c>
      <c r="F1050" s="1041" t="str">
        <f t="shared" si="472"/>
        <v>$</v>
      </c>
      <c r="G1050" s="906" t="s">
        <v>3911</v>
      </c>
      <c r="H1050" s="906">
        <v>67</v>
      </c>
      <c r="I1050" s="702" t="s">
        <v>5</v>
      </c>
      <c r="J1050" s="906"/>
      <c r="K1050" s="703"/>
      <c r="L1050" s="906"/>
      <c r="M1050" s="906"/>
      <c r="N1050" s="700" t="s">
        <v>16117</v>
      </c>
      <c r="O1050" s="906"/>
      <c r="P1050" s="906" t="s">
        <v>6</v>
      </c>
      <c r="Q1050" s="705"/>
      <c r="R1050" s="903"/>
      <c r="S1050" s="793"/>
    </row>
    <row r="1051" spans="1:19" ht="12" customHeight="1">
      <c r="A1051" s="1038" t="str">
        <f t="shared" si="458"/>
        <v>237</v>
      </c>
      <c r="B1051" s="688" t="s">
        <v>3918</v>
      </c>
      <c r="C1051" s="688"/>
      <c r="D1051" s="1007"/>
      <c r="E1051" s="1001" t="str">
        <f>IF(D1051="","",D1051/SUM($D$1051:$D$1054))</f>
        <v/>
      </c>
      <c r="F1051" s="1004" t="e">
        <f>IF(J1051="","$",IF(C1051="当選","-",D1051*100/MAX($D$1051:$D$1054)))</f>
        <v>#DIV/0!</v>
      </c>
      <c r="G1051" s="687" t="s">
        <v>3921</v>
      </c>
      <c r="H1051" s="687">
        <v>40</v>
      </c>
      <c r="I1051" s="696" t="s">
        <v>5</v>
      </c>
      <c r="J1051" s="689" t="s">
        <v>15273</v>
      </c>
      <c r="K1051" s="747" t="s">
        <v>3922</v>
      </c>
      <c r="L1051" s="687"/>
      <c r="M1051" s="687"/>
      <c r="N1051" s="692" t="s">
        <v>16126</v>
      </c>
      <c r="O1051" s="687" t="s">
        <v>44</v>
      </c>
      <c r="P1051" s="687" t="s">
        <v>25</v>
      </c>
      <c r="Q1051" s="748">
        <v>2</v>
      </c>
      <c r="R1051" s="749">
        <v>2</v>
      </c>
      <c r="S1051" s="805" t="s">
        <v>736</v>
      </c>
    </row>
    <row r="1052" spans="1:19" ht="12" customHeight="1">
      <c r="A1052" s="1040" t="str">
        <f t="shared" si="458"/>
        <v>237</v>
      </c>
      <c r="B1052" s="4" t="s">
        <v>3919</v>
      </c>
      <c r="C1052" s="4"/>
      <c r="D1052" s="1008"/>
      <c r="E1052" s="1002" t="str">
        <f t="shared" ref="E1052:E1054" si="473">IF(D1052="","",D1052/SUM($D$1051:$D$1054))</f>
        <v/>
      </c>
      <c r="F1052" s="1005" t="e">
        <f t="shared" ref="F1052:F1054" si="474">IF(J1052="","$",IF(C1052="当選","-",D1052*100/MAX($D$1051:$D$1054)))</f>
        <v>#DIV/0!</v>
      </c>
      <c r="G1052" s="1" t="s">
        <v>3925</v>
      </c>
      <c r="H1052" s="1">
        <v>38</v>
      </c>
      <c r="I1052" s="2" t="s">
        <v>5</v>
      </c>
      <c r="J1052" s="1" t="s">
        <v>15273</v>
      </c>
      <c r="K1052" s="3"/>
      <c r="L1052" s="1"/>
      <c r="M1052" s="1"/>
      <c r="N1052" s="4" t="s">
        <v>16120</v>
      </c>
      <c r="O1052" s="1" t="s">
        <v>13</v>
      </c>
      <c r="P1052" s="1" t="s">
        <v>14</v>
      </c>
      <c r="Q1052" s="16">
        <v>1</v>
      </c>
      <c r="R1052" s="17">
        <v>1</v>
      </c>
      <c r="S1052" s="774" t="s">
        <v>5457</v>
      </c>
    </row>
    <row r="1053" spans="1:19" ht="12" customHeight="1">
      <c r="A1053" s="1040" t="str">
        <f t="shared" si="458"/>
        <v>237</v>
      </c>
      <c r="B1053" s="4" t="s">
        <v>3920</v>
      </c>
      <c r="C1053" s="4"/>
      <c r="D1053" s="1008"/>
      <c r="E1053" s="1002" t="str">
        <f t="shared" si="473"/>
        <v/>
      </c>
      <c r="F1053" s="1005" t="e">
        <f t="shared" si="474"/>
        <v>#DIV/0!</v>
      </c>
      <c r="G1053" s="1" t="s">
        <v>5056</v>
      </c>
      <c r="H1053" s="1">
        <v>51</v>
      </c>
      <c r="I1053" s="2" t="s">
        <v>5</v>
      </c>
      <c r="J1053" s="1" t="s">
        <v>15273</v>
      </c>
      <c r="K1053" s="3"/>
      <c r="L1053" s="1"/>
      <c r="M1053" s="1"/>
      <c r="N1053" s="4" t="s">
        <v>16116</v>
      </c>
      <c r="O1053" s="1" t="s">
        <v>276</v>
      </c>
      <c r="P1053" s="1" t="s">
        <v>6</v>
      </c>
      <c r="Q1053" s="16"/>
      <c r="R1053" s="17"/>
      <c r="S1053" s="774"/>
    </row>
    <row r="1054" spans="1:19" ht="12" customHeight="1" thickBot="1">
      <c r="A1054" s="916" t="str">
        <f t="shared" si="458"/>
        <v>237</v>
      </c>
      <c r="B1054" s="700" t="s">
        <v>5055</v>
      </c>
      <c r="C1054" s="700"/>
      <c r="D1054" s="1009"/>
      <c r="E1054" s="1003" t="str">
        <f t="shared" si="473"/>
        <v/>
      </c>
      <c r="F1054" s="1041" t="str">
        <f t="shared" si="474"/>
        <v>$</v>
      </c>
      <c r="G1054" s="906" t="s">
        <v>16112</v>
      </c>
      <c r="H1054" s="906">
        <v>46</v>
      </c>
      <c r="I1054" s="702" t="s">
        <v>19</v>
      </c>
      <c r="J1054" s="906"/>
      <c r="K1054" s="703"/>
      <c r="L1054" s="906"/>
      <c r="M1054" s="906"/>
      <c r="N1054" s="700" t="s">
        <v>16117</v>
      </c>
      <c r="O1054" s="906"/>
      <c r="P1054" s="906" t="s">
        <v>6</v>
      </c>
      <c r="Q1054" s="705"/>
      <c r="R1054" s="903"/>
      <c r="S1054" s="793"/>
    </row>
    <row r="1055" spans="1:19" ht="12" customHeight="1">
      <c r="A1055" s="1038" t="str">
        <f t="shared" si="458"/>
        <v>238</v>
      </c>
      <c r="B1055" s="688" t="s">
        <v>3929</v>
      </c>
      <c r="C1055" s="688"/>
      <c r="D1055" s="1007"/>
      <c r="E1055" s="1001" t="str">
        <f>IF(D1055="","",D1055/SUM($D$1055:$D$1057))</f>
        <v/>
      </c>
      <c r="F1055" s="1004" t="e">
        <f>IF(J1055="","$",IF(C1055="当選","-",D1055*100/MAX($D$1055:$D$1057)))</f>
        <v>#DIV/0!</v>
      </c>
      <c r="G1055" s="687" t="s">
        <v>3932</v>
      </c>
      <c r="H1055" s="687">
        <v>46</v>
      </c>
      <c r="I1055" s="696" t="s">
        <v>5</v>
      </c>
      <c r="J1055" s="689" t="s">
        <v>15273</v>
      </c>
      <c r="K1055" s="747" t="s">
        <v>3933</v>
      </c>
      <c r="L1055" s="687"/>
      <c r="M1055" s="687"/>
      <c r="N1055" s="692" t="s">
        <v>16127</v>
      </c>
      <c r="O1055" s="687" t="s">
        <v>44</v>
      </c>
      <c r="P1055" s="687" t="s">
        <v>25</v>
      </c>
      <c r="Q1055" s="748">
        <v>1</v>
      </c>
      <c r="R1055" s="749">
        <v>1</v>
      </c>
      <c r="S1055" s="805" t="s">
        <v>736</v>
      </c>
    </row>
    <row r="1056" spans="1:19" ht="12" customHeight="1">
      <c r="A1056" s="1040" t="str">
        <f t="shared" si="458"/>
        <v>238</v>
      </c>
      <c r="B1056" s="4" t="s">
        <v>3930</v>
      </c>
      <c r="C1056" s="4"/>
      <c r="D1056" s="1008"/>
      <c r="E1056" s="1002" t="str">
        <f t="shared" ref="E1056:E1057" si="475">IF(D1056="","",D1056/SUM($D$1055:$D$1057))</f>
        <v/>
      </c>
      <c r="F1056" s="1005" t="e">
        <f t="shared" ref="F1056:F1057" si="476">IF(J1056="","$",IF(C1056="当選","-",D1056*100/MAX($D$1055:$D$1057)))</f>
        <v>#DIV/0!</v>
      </c>
      <c r="G1056" s="1" t="s">
        <v>4095</v>
      </c>
      <c r="H1056" s="1">
        <v>57</v>
      </c>
      <c r="I1056" s="2" t="s">
        <v>5</v>
      </c>
      <c r="J1056" s="1" t="s">
        <v>15273</v>
      </c>
      <c r="K1056" s="3" t="s">
        <v>4654</v>
      </c>
      <c r="L1056" s="1"/>
      <c r="M1056" s="1"/>
      <c r="N1056" s="4" t="s">
        <v>16120</v>
      </c>
      <c r="O1056" s="1" t="s">
        <v>13</v>
      </c>
      <c r="P1056" s="1" t="s">
        <v>25</v>
      </c>
      <c r="Q1056" s="16">
        <v>3</v>
      </c>
      <c r="R1056" s="17">
        <v>3</v>
      </c>
      <c r="S1056" s="774" t="s">
        <v>5457</v>
      </c>
    </row>
    <row r="1057" spans="1:19" ht="12" customHeight="1" thickBot="1">
      <c r="A1057" s="916" t="str">
        <f t="shared" si="458"/>
        <v>238</v>
      </c>
      <c r="B1057" s="700" t="s">
        <v>3931</v>
      </c>
      <c r="C1057" s="700"/>
      <c r="D1057" s="1009"/>
      <c r="E1057" s="1003" t="str">
        <f t="shared" si="475"/>
        <v/>
      </c>
      <c r="F1057" s="1041" t="str">
        <f t="shared" si="476"/>
        <v>$</v>
      </c>
      <c r="G1057" s="906" t="s">
        <v>3935</v>
      </c>
      <c r="H1057" s="906">
        <v>41</v>
      </c>
      <c r="I1057" s="702" t="s">
        <v>5</v>
      </c>
      <c r="J1057" s="906"/>
      <c r="K1057" s="703"/>
      <c r="L1057" s="906"/>
      <c r="M1057" s="906"/>
      <c r="N1057" s="700" t="s">
        <v>16117</v>
      </c>
      <c r="O1057" s="906"/>
      <c r="P1057" s="906" t="s">
        <v>6</v>
      </c>
      <c r="Q1057" s="705"/>
      <c r="R1057" s="903"/>
      <c r="S1057" s="793"/>
    </row>
    <row r="1058" spans="1:19" ht="12" customHeight="1">
      <c r="A1058" s="1038" t="str">
        <f t="shared" si="458"/>
        <v>239</v>
      </c>
      <c r="B1058" s="688" t="s">
        <v>3938</v>
      </c>
      <c r="C1058" s="688"/>
      <c r="D1058" s="1007"/>
      <c r="E1058" s="1001" t="str">
        <f>IF(D1058="","",D1058/SUM($D$1058:$D$1061))</f>
        <v/>
      </c>
      <c r="F1058" s="1004" t="e">
        <f>IF(J1058="","$",IF(C1058="当選","-",D1058*100/MAX($D$1058:$D$1061)))</f>
        <v>#DIV/0!</v>
      </c>
      <c r="G1058" s="687" t="s">
        <v>5602</v>
      </c>
      <c r="H1058" s="687">
        <v>49</v>
      </c>
      <c r="I1058" s="696" t="s">
        <v>5</v>
      </c>
      <c r="J1058" s="689" t="s">
        <v>15273</v>
      </c>
      <c r="K1058" s="747"/>
      <c r="L1058" s="687"/>
      <c r="M1058" s="687"/>
      <c r="N1058" s="692" t="s">
        <v>16127</v>
      </c>
      <c r="O1058" s="687" t="s">
        <v>44</v>
      </c>
      <c r="P1058" s="687" t="s">
        <v>6</v>
      </c>
      <c r="Q1058" s="748"/>
      <c r="R1058" s="749"/>
      <c r="S1058" s="805"/>
    </row>
    <row r="1059" spans="1:19" ht="12" customHeight="1">
      <c r="A1059" s="1040" t="str">
        <f t="shared" si="458"/>
        <v>239</v>
      </c>
      <c r="B1059" s="4" t="s">
        <v>3939</v>
      </c>
      <c r="C1059" s="4"/>
      <c r="D1059" s="1008"/>
      <c r="E1059" s="1002" t="str">
        <f t="shared" ref="E1059:E1061" si="477">IF(D1059="","",D1059/SUM($D$1058:$D$1061))</f>
        <v/>
      </c>
      <c r="F1059" s="1005" t="e">
        <f t="shared" ref="F1059:F1061" si="478">IF(J1059="","$",IF(C1059="当選","-",D1059*100/MAX($D$1058:$D$1061)))</f>
        <v>#DIV/0!</v>
      </c>
      <c r="G1059" s="1" t="s">
        <v>3942</v>
      </c>
      <c r="H1059" s="1">
        <v>55</v>
      </c>
      <c r="I1059" s="2" t="s">
        <v>5</v>
      </c>
      <c r="J1059" s="1" t="s">
        <v>15273</v>
      </c>
      <c r="K1059" s="3" t="s">
        <v>3943</v>
      </c>
      <c r="L1059" s="1"/>
      <c r="M1059" s="1"/>
      <c r="N1059" s="8" t="s">
        <v>16120</v>
      </c>
      <c r="O1059" s="1" t="s">
        <v>476</v>
      </c>
      <c r="P1059" s="1" t="s">
        <v>25</v>
      </c>
      <c r="Q1059" s="16">
        <v>6</v>
      </c>
      <c r="R1059" s="17">
        <v>6</v>
      </c>
      <c r="S1059" s="774" t="s">
        <v>5457</v>
      </c>
    </row>
    <row r="1060" spans="1:19" ht="12" customHeight="1">
      <c r="A1060" s="1040" t="str">
        <f t="shared" si="458"/>
        <v>239</v>
      </c>
      <c r="B1060" s="4" t="s">
        <v>3940</v>
      </c>
      <c r="C1060" s="4"/>
      <c r="D1060" s="1008"/>
      <c r="E1060" s="1002" t="str">
        <f t="shared" si="477"/>
        <v/>
      </c>
      <c r="F1060" s="1005" t="e">
        <f t="shared" si="478"/>
        <v>#DIV/0!</v>
      </c>
      <c r="G1060" s="1" t="s">
        <v>3946</v>
      </c>
      <c r="H1060" s="1">
        <v>44</v>
      </c>
      <c r="I1060" s="2" t="s">
        <v>5</v>
      </c>
      <c r="J1060" s="1" t="s">
        <v>15273</v>
      </c>
      <c r="K1060" s="3" t="s">
        <v>3947</v>
      </c>
      <c r="L1060" s="1"/>
      <c r="M1060" s="1"/>
      <c r="N1060" s="4" t="s">
        <v>16125</v>
      </c>
      <c r="O1060" s="1"/>
      <c r="P1060" s="1" t="s">
        <v>25</v>
      </c>
      <c r="Q1060" s="16">
        <v>1</v>
      </c>
      <c r="R1060" s="17">
        <v>1</v>
      </c>
      <c r="S1060" s="774" t="s">
        <v>5561</v>
      </c>
    </row>
    <row r="1061" spans="1:19" ht="12" customHeight="1" thickBot="1">
      <c r="A1061" s="916" t="str">
        <f t="shared" si="458"/>
        <v>239</v>
      </c>
      <c r="B1061" s="700" t="s">
        <v>3941</v>
      </c>
      <c r="C1061" s="700"/>
      <c r="D1061" s="1009"/>
      <c r="E1061" s="1003" t="str">
        <f t="shared" si="477"/>
        <v/>
      </c>
      <c r="F1061" s="1041" t="str">
        <f t="shared" si="478"/>
        <v>$</v>
      </c>
      <c r="G1061" s="906" t="s">
        <v>3950</v>
      </c>
      <c r="H1061" s="906">
        <v>46</v>
      </c>
      <c r="I1061" s="702" t="s">
        <v>5</v>
      </c>
      <c r="J1061" s="906"/>
      <c r="K1061" s="703"/>
      <c r="L1061" s="906"/>
      <c r="M1061" s="906"/>
      <c r="N1061" s="700" t="s">
        <v>16117</v>
      </c>
      <c r="O1061" s="906"/>
      <c r="P1061" s="906" t="s">
        <v>6</v>
      </c>
      <c r="Q1061" s="705"/>
      <c r="R1061" s="903"/>
      <c r="S1061" s="793"/>
    </row>
    <row r="1062" spans="1:19" ht="12" customHeight="1">
      <c r="A1062" s="1038" t="str">
        <f t="shared" si="458"/>
        <v>240</v>
      </c>
      <c r="B1062" s="688" t="s">
        <v>3953</v>
      </c>
      <c r="C1062" s="688"/>
      <c r="D1062" s="1007"/>
      <c r="E1062" s="1001" t="str">
        <f>IF(D1062="","",D1062/SUM($D$1062:$D$1065))</f>
        <v/>
      </c>
      <c r="F1062" s="1004" t="e">
        <f>IF(J1062="","$",IF(C1062="当選","-",D1062*100/MAX($D$1062:$D$1065)))</f>
        <v>#DIV/0!</v>
      </c>
      <c r="G1062" s="687" t="s">
        <v>3956</v>
      </c>
      <c r="H1062" s="687">
        <v>41</v>
      </c>
      <c r="I1062" s="696" t="s">
        <v>5</v>
      </c>
      <c r="J1062" s="689" t="s">
        <v>15273</v>
      </c>
      <c r="K1062" s="747" t="s">
        <v>3957</v>
      </c>
      <c r="L1062" s="687"/>
      <c r="M1062" s="687"/>
      <c r="N1062" s="692" t="s">
        <v>16126</v>
      </c>
      <c r="O1062" s="687" t="s">
        <v>44</v>
      </c>
      <c r="P1062" s="687" t="s">
        <v>25</v>
      </c>
      <c r="Q1062" s="748">
        <v>3</v>
      </c>
      <c r="R1062" s="749">
        <v>3</v>
      </c>
      <c r="S1062" s="805" t="s">
        <v>736</v>
      </c>
    </row>
    <row r="1063" spans="1:19" ht="12" customHeight="1">
      <c r="A1063" s="1040" t="str">
        <f t="shared" si="458"/>
        <v>240</v>
      </c>
      <c r="B1063" s="4" t="s">
        <v>3954</v>
      </c>
      <c r="C1063" s="4"/>
      <c r="D1063" s="1008"/>
      <c r="E1063" s="1002" t="str">
        <f t="shared" ref="E1063:E1065" si="479">IF(D1063="","",D1063/SUM($D$1062:$D$1065))</f>
        <v/>
      </c>
      <c r="F1063" s="1005" t="e">
        <f t="shared" ref="F1063:F1065" si="480">IF(J1063="","$",IF(C1063="当選","-",D1063*100/MAX($D$1062:$D$1065)))</f>
        <v>#DIV/0!</v>
      </c>
      <c r="G1063" s="1" t="s">
        <v>3959</v>
      </c>
      <c r="H1063" s="1">
        <v>64</v>
      </c>
      <c r="I1063" s="2" t="s">
        <v>5</v>
      </c>
      <c r="J1063" s="1" t="s">
        <v>15273</v>
      </c>
      <c r="K1063" s="3"/>
      <c r="L1063" s="1"/>
      <c r="M1063" s="1"/>
      <c r="N1063" s="4" t="s">
        <v>16120</v>
      </c>
      <c r="O1063" s="1" t="s">
        <v>13</v>
      </c>
      <c r="P1063" s="1" t="s">
        <v>14</v>
      </c>
      <c r="Q1063" s="16">
        <v>1</v>
      </c>
      <c r="R1063" s="17">
        <v>1</v>
      </c>
      <c r="S1063" s="774" t="s">
        <v>5457</v>
      </c>
    </row>
    <row r="1064" spans="1:19" ht="12" customHeight="1">
      <c r="A1064" s="1040" t="str">
        <f t="shared" si="458"/>
        <v>240</v>
      </c>
      <c r="B1064" s="4" t="s">
        <v>3955</v>
      </c>
      <c r="C1064" s="4"/>
      <c r="D1064" s="1008"/>
      <c r="E1064" s="1002" t="str">
        <f t="shared" si="479"/>
        <v/>
      </c>
      <c r="F1064" s="1005" t="e">
        <f t="shared" si="480"/>
        <v>#DIV/0!</v>
      </c>
      <c r="G1064" s="1" t="s">
        <v>5861</v>
      </c>
      <c r="H1064" s="1">
        <v>43</v>
      </c>
      <c r="I1064" s="2" t="s">
        <v>5</v>
      </c>
      <c r="J1064" s="1" t="s">
        <v>15273</v>
      </c>
      <c r="K1064" s="3"/>
      <c r="L1064" s="1"/>
      <c r="M1064" s="1"/>
      <c r="N1064" s="4" t="s">
        <v>16116</v>
      </c>
      <c r="O1064" s="1" t="s">
        <v>18494</v>
      </c>
      <c r="P1064" s="1" t="s">
        <v>6</v>
      </c>
      <c r="Q1064" s="16"/>
      <c r="R1064" s="17"/>
      <c r="S1064" s="774" t="s">
        <v>6154</v>
      </c>
    </row>
    <row r="1065" spans="1:19" ht="12" customHeight="1" thickBot="1">
      <c r="A1065" s="916" t="str">
        <f t="shared" si="458"/>
        <v>240</v>
      </c>
      <c r="B1065" s="700" t="s">
        <v>5860</v>
      </c>
      <c r="C1065" s="700"/>
      <c r="D1065" s="1009"/>
      <c r="E1065" s="1003" t="str">
        <f t="shared" si="479"/>
        <v/>
      </c>
      <c r="F1065" s="1041" t="str">
        <f t="shared" si="480"/>
        <v>$</v>
      </c>
      <c r="G1065" s="906" t="s">
        <v>3961</v>
      </c>
      <c r="H1065" s="906">
        <v>60</v>
      </c>
      <c r="I1065" s="702" t="s">
        <v>5</v>
      </c>
      <c r="J1065" s="906"/>
      <c r="K1065" s="703"/>
      <c r="L1065" s="906"/>
      <c r="M1065" s="906"/>
      <c r="N1065" s="700" t="s">
        <v>16117</v>
      </c>
      <c r="O1065" s="906"/>
      <c r="P1065" s="906" t="s">
        <v>6</v>
      </c>
      <c r="Q1065" s="705"/>
      <c r="R1065" s="903"/>
      <c r="S1065" s="793"/>
    </row>
    <row r="1066" spans="1:19" ht="12" customHeight="1">
      <c r="A1066" s="1038" t="str">
        <f t="shared" si="458"/>
        <v>241</v>
      </c>
      <c r="B1066" s="688" t="s">
        <v>3964</v>
      </c>
      <c r="C1066" s="688"/>
      <c r="D1066" s="1007"/>
      <c r="E1066" s="1001" t="str">
        <f>IF(D1066="","",D1066/SUM($D$1066:$D$1069))</f>
        <v/>
      </c>
      <c r="F1066" s="1004" t="e">
        <f>IF(J1066="","$",IF(C1066="当選","-",D1066*100/MAX($D$1066:$D$1069)))</f>
        <v>#DIV/0!</v>
      </c>
      <c r="G1066" s="687" t="s">
        <v>3967</v>
      </c>
      <c r="H1066" s="687">
        <v>42</v>
      </c>
      <c r="I1066" s="696" t="s">
        <v>5</v>
      </c>
      <c r="J1066" s="689" t="s">
        <v>15273</v>
      </c>
      <c r="K1066" s="747" t="s">
        <v>3968</v>
      </c>
      <c r="L1066" s="687"/>
      <c r="M1066" s="687"/>
      <c r="N1066" s="692" t="s">
        <v>16127</v>
      </c>
      <c r="O1066" s="687" t="s">
        <v>44</v>
      </c>
      <c r="P1066" s="687" t="s">
        <v>25</v>
      </c>
      <c r="Q1066" s="748">
        <v>1</v>
      </c>
      <c r="R1066" s="749">
        <v>1</v>
      </c>
      <c r="S1066" s="805"/>
    </row>
    <row r="1067" spans="1:19" ht="12" customHeight="1">
      <c r="A1067" s="1040" t="str">
        <f t="shared" si="458"/>
        <v>241</v>
      </c>
      <c r="B1067" s="4" t="s">
        <v>3965</v>
      </c>
      <c r="C1067" s="4"/>
      <c r="D1067" s="1008"/>
      <c r="E1067" s="1002" t="str">
        <f t="shared" ref="E1067:E1069" si="481">IF(D1067="","",D1067/SUM($D$1066:$D$1069))</f>
        <v/>
      </c>
      <c r="F1067" s="1005" t="e">
        <f t="shared" ref="F1067:F1069" si="482">IF(J1067="","$",IF(C1067="当選","-",D1067*100/MAX($D$1066:$D$1069)))</f>
        <v>#DIV/0!</v>
      </c>
      <c r="G1067" s="1" t="s">
        <v>3971</v>
      </c>
      <c r="H1067" s="1">
        <v>49</v>
      </c>
      <c r="I1067" s="2" t="s">
        <v>5</v>
      </c>
      <c r="J1067" s="1" t="s">
        <v>15273</v>
      </c>
      <c r="K1067" s="3" t="s">
        <v>3972</v>
      </c>
      <c r="L1067" s="1"/>
      <c r="M1067" s="1"/>
      <c r="N1067" s="4" t="s">
        <v>16120</v>
      </c>
      <c r="O1067" s="1" t="s">
        <v>30</v>
      </c>
      <c r="P1067" s="1" t="s">
        <v>25</v>
      </c>
      <c r="Q1067" s="16">
        <v>4</v>
      </c>
      <c r="R1067" s="17">
        <v>4</v>
      </c>
      <c r="S1067" s="774" t="s">
        <v>5457</v>
      </c>
    </row>
    <row r="1068" spans="1:19" ht="12" customHeight="1">
      <c r="A1068" s="1040" t="str">
        <f t="shared" si="458"/>
        <v>241</v>
      </c>
      <c r="B1068" s="4" t="s">
        <v>3966</v>
      </c>
      <c r="C1068" s="4"/>
      <c r="D1068" s="1008"/>
      <c r="E1068" s="1002" t="str">
        <f t="shared" si="481"/>
        <v/>
      </c>
      <c r="F1068" s="1005" t="e">
        <f t="shared" si="482"/>
        <v>#DIV/0!</v>
      </c>
      <c r="G1068" s="1" t="s">
        <v>5233</v>
      </c>
      <c r="H1068" s="1">
        <v>49</v>
      </c>
      <c r="I1068" s="2" t="s">
        <v>5</v>
      </c>
      <c r="J1068" s="1" t="s">
        <v>15273</v>
      </c>
      <c r="K1068" s="3"/>
      <c r="L1068" s="1"/>
      <c r="M1068" s="1"/>
      <c r="N1068" s="4" t="s">
        <v>16116</v>
      </c>
      <c r="O1068" s="1" t="s">
        <v>4993</v>
      </c>
      <c r="P1068" s="1" t="s">
        <v>6</v>
      </c>
      <c r="Q1068" s="16"/>
      <c r="R1068" s="17"/>
      <c r="S1068" s="774"/>
    </row>
    <row r="1069" spans="1:19" ht="12" customHeight="1" thickBot="1">
      <c r="A1069" s="916" t="str">
        <f t="shared" si="458"/>
        <v>241</v>
      </c>
      <c r="B1069" s="700" t="s">
        <v>5231</v>
      </c>
      <c r="C1069" s="700"/>
      <c r="D1069" s="1009"/>
      <c r="E1069" s="1003" t="str">
        <f t="shared" si="481"/>
        <v/>
      </c>
      <c r="F1069" s="1041" t="str">
        <f t="shared" si="482"/>
        <v>$</v>
      </c>
      <c r="G1069" s="906" t="s">
        <v>3974</v>
      </c>
      <c r="H1069" s="906">
        <v>59</v>
      </c>
      <c r="I1069" s="702" t="s">
        <v>19</v>
      </c>
      <c r="J1069" s="906"/>
      <c r="K1069" s="703"/>
      <c r="L1069" s="906"/>
      <c r="M1069" s="906"/>
      <c r="N1069" s="700" t="s">
        <v>16117</v>
      </c>
      <c r="O1069" s="906"/>
      <c r="P1069" s="906" t="s">
        <v>6</v>
      </c>
      <c r="Q1069" s="705"/>
      <c r="R1069" s="903"/>
      <c r="S1069" s="793"/>
    </row>
    <row r="1070" spans="1:19" ht="12" customHeight="1">
      <c r="A1070" s="1038" t="str">
        <f t="shared" si="458"/>
        <v>242</v>
      </c>
      <c r="B1070" s="688" t="s">
        <v>3976</v>
      </c>
      <c r="C1070" s="688"/>
      <c r="D1070" s="1007"/>
      <c r="E1070" s="1001" t="str">
        <f>IF(D1070="","",D1070/SUM($D$1070:$D$1072))</f>
        <v/>
      </c>
      <c r="F1070" s="1004" t="e">
        <f>IF(J1070="","$",IF(C1070="当選","-",D1070*100/MAX($D$1070:$D$1072)))</f>
        <v>#DIV/0!</v>
      </c>
      <c r="G1070" s="687" t="s">
        <v>3979</v>
      </c>
      <c r="H1070" s="687">
        <v>48</v>
      </c>
      <c r="I1070" s="696" t="s">
        <v>5</v>
      </c>
      <c r="J1070" s="689" t="s">
        <v>15273</v>
      </c>
      <c r="K1070" s="747" t="s">
        <v>3980</v>
      </c>
      <c r="L1070" s="687"/>
      <c r="M1070" s="687"/>
      <c r="N1070" s="692" t="s">
        <v>16127</v>
      </c>
      <c r="O1070" s="687" t="s">
        <v>737</v>
      </c>
      <c r="P1070" s="687" t="s">
        <v>25</v>
      </c>
      <c r="Q1070" s="748">
        <v>1</v>
      </c>
      <c r="R1070" s="749">
        <v>1</v>
      </c>
      <c r="S1070" s="805" t="s">
        <v>736</v>
      </c>
    </row>
    <row r="1071" spans="1:19" ht="12" customHeight="1">
      <c r="A1071" s="1040" t="str">
        <f t="shared" si="458"/>
        <v>242</v>
      </c>
      <c r="B1071" s="4" t="s">
        <v>3977</v>
      </c>
      <c r="C1071" s="4"/>
      <c r="D1071" s="1008"/>
      <c r="E1071" s="1002" t="str">
        <f t="shared" ref="E1071:E1072" si="483">IF(D1071="","",D1071/SUM($D$1070:$D$1072))</f>
        <v/>
      </c>
      <c r="F1071" s="1005" t="e">
        <f t="shared" ref="F1071:F1072" si="484">IF(J1071="","$",IF(C1071="当選","-",D1071*100/MAX($D$1070:$D$1072)))</f>
        <v>#DIV/0!</v>
      </c>
      <c r="G1071" s="1" t="s">
        <v>3984</v>
      </c>
      <c r="H1071" s="1">
        <v>42</v>
      </c>
      <c r="I1071" s="2" t="s">
        <v>5</v>
      </c>
      <c r="J1071" s="1" t="s">
        <v>15273</v>
      </c>
      <c r="K1071" s="3"/>
      <c r="L1071" s="1"/>
      <c r="M1071" s="1"/>
      <c r="N1071" s="8" t="s">
        <v>16120</v>
      </c>
      <c r="O1071" s="1" t="s">
        <v>30</v>
      </c>
      <c r="P1071" s="1" t="s">
        <v>6</v>
      </c>
      <c r="Q1071" s="16"/>
      <c r="R1071" s="17"/>
      <c r="S1071" s="774" t="s">
        <v>5457</v>
      </c>
    </row>
    <row r="1072" spans="1:19" ht="12" customHeight="1" thickBot="1">
      <c r="A1072" s="916" t="str">
        <f t="shared" si="458"/>
        <v>242</v>
      </c>
      <c r="B1072" s="700" t="s">
        <v>3978</v>
      </c>
      <c r="C1072" s="700"/>
      <c r="D1072" s="1009"/>
      <c r="E1072" s="1003" t="str">
        <f t="shared" si="483"/>
        <v/>
      </c>
      <c r="F1072" s="1041" t="str">
        <f t="shared" si="484"/>
        <v>$</v>
      </c>
      <c r="G1072" s="906" t="s">
        <v>3987</v>
      </c>
      <c r="H1072" s="906">
        <v>50</v>
      </c>
      <c r="I1072" s="702" t="s">
        <v>5</v>
      </c>
      <c r="J1072" s="906"/>
      <c r="K1072" s="703"/>
      <c r="L1072" s="906"/>
      <c r="M1072" s="906"/>
      <c r="N1072" s="700" t="s">
        <v>16117</v>
      </c>
      <c r="O1072" s="906"/>
      <c r="P1072" s="906" t="s">
        <v>6</v>
      </c>
      <c r="Q1072" s="705"/>
      <c r="R1072" s="903"/>
      <c r="S1072" s="793"/>
    </row>
    <row r="1073" spans="1:19" ht="12" customHeight="1">
      <c r="A1073" s="1038" t="str">
        <f t="shared" si="458"/>
        <v>243</v>
      </c>
      <c r="B1073" s="688" t="s">
        <v>3990</v>
      </c>
      <c r="C1073" s="688"/>
      <c r="D1073" s="1007"/>
      <c r="E1073" s="1001" t="str">
        <f>IF(D1073="","",D1073/SUM($D$1073:$D$1075))</f>
        <v/>
      </c>
      <c r="F1073" s="1004" t="e">
        <f>IF(J1073="","$",IF(C1073="当選","-",D1073*100/MAX($D$1073:$D$1075)))</f>
        <v>#DIV/0!</v>
      </c>
      <c r="G1073" s="687" t="s">
        <v>4000</v>
      </c>
      <c r="H1073" s="687">
        <v>53</v>
      </c>
      <c r="I1073" s="696" t="s">
        <v>5</v>
      </c>
      <c r="J1073" s="689" t="s">
        <v>15273</v>
      </c>
      <c r="K1073" s="747" t="s">
        <v>4001</v>
      </c>
      <c r="L1073" s="687"/>
      <c r="M1073" s="687"/>
      <c r="N1073" s="692" t="s">
        <v>16126</v>
      </c>
      <c r="O1073" s="687" t="s">
        <v>44</v>
      </c>
      <c r="P1073" s="687" t="s">
        <v>25</v>
      </c>
      <c r="Q1073" s="748">
        <v>2</v>
      </c>
      <c r="R1073" s="749">
        <v>2</v>
      </c>
      <c r="S1073" s="805" t="s">
        <v>736</v>
      </c>
    </row>
    <row r="1074" spans="1:19" ht="12" customHeight="1">
      <c r="A1074" s="1040" t="str">
        <f t="shared" si="458"/>
        <v>243</v>
      </c>
      <c r="B1074" s="4" t="s">
        <v>3991</v>
      </c>
      <c r="C1074" s="4"/>
      <c r="D1074" s="1008"/>
      <c r="E1074" s="1002" t="str">
        <f t="shared" ref="E1074:E1075" si="485">IF(D1074="","",D1074/SUM($D$1073:$D$1075))</f>
        <v/>
      </c>
      <c r="F1074" s="1005" t="e">
        <f t="shared" ref="F1074:F1075" si="486">IF(J1074="","$",IF(C1074="当選","-",D1074*100/MAX($D$1073:$D$1075)))</f>
        <v>#DIV/0!</v>
      </c>
      <c r="G1074" s="1" t="s">
        <v>4005</v>
      </c>
      <c r="H1074" s="1">
        <v>54</v>
      </c>
      <c r="I1074" s="2" t="s">
        <v>5</v>
      </c>
      <c r="J1074" s="1" t="s">
        <v>15273</v>
      </c>
      <c r="K1074" s="3"/>
      <c r="L1074" s="1"/>
      <c r="M1074" s="1"/>
      <c r="N1074" s="4" t="s">
        <v>16120</v>
      </c>
      <c r="O1074" s="1" t="s">
        <v>476</v>
      </c>
      <c r="P1074" s="1" t="s">
        <v>14</v>
      </c>
      <c r="Q1074" s="16">
        <v>2</v>
      </c>
      <c r="R1074" s="17">
        <v>2</v>
      </c>
      <c r="S1074" s="774" t="s">
        <v>5457</v>
      </c>
    </row>
    <row r="1075" spans="1:19" ht="12" customHeight="1" thickBot="1">
      <c r="A1075" s="916" t="str">
        <f t="shared" si="458"/>
        <v>243</v>
      </c>
      <c r="B1075" s="700" t="s">
        <v>3992</v>
      </c>
      <c r="C1075" s="700"/>
      <c r="D1075" s="1009"/>
      <c r="E1075" s="1003" t="str">
        <f t="shared" si="485"/>
        <v/>
      </c>
      <c r="F1075" s="1041" t="str">
        <f t="shared" si="486"/>
        <v>$</v>
      </c>
      <c r="G1075" s="906" t="s">
        <v>4008</v>
      </c>
      <c r="H1075" s="906">
        <v>60</v>
      </c>
      <c r="I1075" s="702" t="s">
        <v>5</v>
      </c>
      <c r="J1075" s="906"/>
      <c r="K1075" s="703"/>
      <c r="L1075" s="906"/>
      <c r="M1075" s="906"/>
      <c r="N1075" s="700" t="s">
        <v>16117</v>
      </c>
      <c r="O1075" s="906"/>
      <c r="P1075" s="906" t="s">
        <v>6</v>
      </c>
      <c r="Q1075" s="705"/>
      <c r="R1075" s="903"/>
      <c r="S1075" s="793"/>
    </row>
    <row r="1076" spans="1:19" ht="12" customHeight="1">
      <c r="A1076" s="1038" t="str">
        <f t="shared" si="458"/>
        <v>244</v>
      </c>
      <c r="B1076" s="688" t="s">
        <v>4011</v>
      </c>
      <c r="C1076" s="688"/>
      <c r="D1076" s="1007"/>
      <c r="E1076" s="1001" t="str">
        <f>IF(D1076="","",D1076/SUM($D$1076:$D$1078))</f>
        <v/>
      </c>
      <c r="F1076" s="1004" t="e">
        <f>IF(J1076="","$",IF(C1076="当選","-",D1076*100/MAX($D$1076:$D$1078)))</f>
        <v>#DIV/0!</v>
      </c>
      <c r="G1076" s="687" t="s">
        <v>4014</v>
      </c>
      <c r="H1076" s="687">
        <v>62</v>
      </c>
      <c r="I1076" s="696" t="s">
        <v>5</v>
      </c>
      <c r="J1076" s="687" t="s">
        <v>15273</v>
      </c>
      <c r="K1076" s="747"/>
      <c r="L1076" s="687"/>
      <c r="M1076" s="687"/>
      <c r="N1076" s="688" t="s">
        <v>16120</v>
      </c>
      <c r="O1076" s="687" t="s">
        <v>476</v>
      </c>
      <c r="P1076" s="687" t="s">
        <v>6</v>
      </c>
      <c r="Q1076" s="748"/>
      <c r="R1076" s="749"/>
      <c r="S1076" s="805"/>
    </row>
    <row r="1077" spans="1:19" ht="12" customHeight="1">
      <c r="A1077" s="1040" t="str">
        <f t="shared" si="458"/>
        <v>244</v>
      </c>
      <c r="B1077" s="4" t="s">
        <v>4012</v>
      </c>
      <c r="C1077" s="4"/>
      <c r="D1077" s="1008"/>
      <c r="E1077" s="1002" t="str">
        <f t="shared" ref="E1077:E1078" si="487">IF(D1077="","",D1077/SUM($D$1076:$D$1078))</f>
        <v/>
      </c>
      <c r="F1077" s="1005" t="e">
        <f t="shared" ref="F1077:F1078" si="488">IF(J1077="","$",IF(C1077="当選","-",D1077*100/MAX($D$1076:$D$1078)))</f>
        <v>#DIV/0!</v>
      </c>
      <c r="G1077" s="1" t="s">
        <v>4019</v>
      </c>
      <c r="H1077" s="1">
        <v>76</v>
      </c>
      <c r="I1077" s="2" t="s">
        <v>5</v>
      </c>
      <c r="J1077" s="1" t="s">
        <v>15273</v>
      </c>
      <c r="K1077" s="3" t="s">
        <v>4020</v>
      </c>
      <c r="L1077" s="1"/>
      <c r="M1077" s="1"/>
      <c r="N1077" s="4" t="s">
        <v>16125</v>
      </c>
      <c r="O1077" s="1"/>
      <c r="P1077" s="1" t="s">
        <v>25</v>
      </c>
      <c r="Q1077" s="16">
        <v>11</v>
      </c>
      <c r="R1077" s="17">
        <v>11</v>
      </c>
      <c r="S1077" s="774" t="s">
        <v>5561</v>
      </c>
    </row>
    <row r="1078" spans="1:19" ht="12" customHeight="1" thickBot="1">
      <c r="A1078" s="916" t="str">
        <f t="shared" si="458"/>
        <v>244</v>
      </c>
      <c r="B1078" s="700" t="s">
        <v>4013</v>
      </c>
      <c r="C1078" s="700"/>
      <c r="D1078" s="1009"/>
      <c r="E1078" s="1003" t="str">
        <f t="shared" si="487"/>
        <v/>
      </c>
      <c r="F1078" s="1041" t="str">
        <f t="shared" si="488"/>
        <v>$</v>
      </c>
      <c r="G1078" s="906" t="s">
        <v>4016</v>
      </c>
      <c r="H1078" s="906">
        <v>55</v>
      </c>
      <c r="I1078" s="702" t="s">
        <v>19</v>
      </c>
      <c r="J1078" s="906"/>
      <c r="K1078" s="703"/>
      <c r="L1078" s="906"/>
      <c r="M1078" s="906"/>
      <c r="N1078" s="700" t="s">
        <v>16117</v>
      </c>
      <c r="O1078" s="906"/>
      <c r="P1078" s="906" t="s">
        <v>6</v>
      </c>
      <c r="Q1078" s="705"/>
      <c r="R1078" s="903"/>
      <c r="S1078" s="793"/>
    </row>
    <row r="1079" spans="1:19" ht="12" customHeight="1">
      <c r="A1079" s="1038" t="str">
        <f t="shared" si="458"/>
        <v>245</v>
      </c>
      <c r="B1079" s="688" t="s">
        <v>4022</v>
      </c>
      <c r="C1079" s="688"/>
      <c r="D1079" s="1007"/>
      <c r="E1079" s="1001" t="str">
        <f>IF(D1079="","",D1079/SUM($D$1079:$D$1082))</f>
        <v/>
      </c>
      <c r="F1079" s="1004" t="e">
        <f>IF(J1079="","$",IF(C1079="当選","-",D1079*100/MAX($D$1079:$D$1082)))</f>
        <v>#DIV/0!</v>
      </c>
      <c r="G1079" s="687" t="s">
        <v>4029</v>
      </c>
      <c r="H1079" s="687">
        <v>49</v>
      </c>
      <c r="I1079" s="696" t="s">
        <v>5</v>
      </c>
      <c r="J1079" s="689" t="s">
        <v>15273</v>
      </c>
      <c r="K1079" s="747" t="s">
        <v>4030</v>
      </c>
      <c r="L1079" s="687"/>
      <c r="M1079" s="687"/>
      <c r="N1079" s="692" t="s">
        <v>16127</v>
      </c>
      <c r="O1079" s="687" t="s">
        <v>44</v>
      </c>
      <c r="P1079" s="687" t="s">
        <v>25</v>
      </c>
      <c r="Q1079" s="748">
        <v>3</v>
      </c>
      <c r="R1079" s="749">
        <v>3</v>
      </c>
      <c r="S1079" s="805" t="s">
        <v>736</v>
      </c>
    </row>
    <row r="1080" spans="1:19" ht="12" customHeight="1">
      <c r="A1080" s="1040" t="str">
        <f t="shared" si="458"/>
        <v>245</v>
      </c>
      <c r="B1080" s="4" t="s">
        <v>4023</v>
      </c>
      <c r="C1080" s="4"/>
      <c r="D1080" s="1008"/>
      <c r="E1080" s="1002" t="str">
        <f t="shared" ref="E1080:E1082" si="489">IF(D1080="","",D1080/SUM($D$1079:$D$1082))</f>
        <v/>
      </c>
      <c r="F1080" s="1005" t="e">
        <f t="shared" ref="F1080:F1082" si="490">IF(J1080="","$",IF(C1080="当選","-",D1080*100/MAX($D$1079:$D$1082)))</f>
        <v>#DIV/0!</v>
      </c>
      <c r="G1080" s="1" t="s">
        <v>4032</v>
      </c>
      <c r="H1080" s="1">
        <v>29</v>
      </c>
      <c r="I1080" s="2" t="s">
        <v>5</v>
      </c>
      <c r="J1080" s="1" t="s">
        <v>15273</v>
      </c>
      <c r="K1080" s="3"/>
      <c r="L1080" s="1"/>
      <c r="M1080" s="1"/>
      <c r="N1080" s="8" t="s">
        <v>16120</v>
      </c>
      <c r="O1080" s="1" t="s">
        <v>30</v>
      </c>
      <c r="P1080" s="1" t="s">
        <v>6</v>
      </c>
      <c r="Q1080" s="16"/>
      <c r="R1080" s="17"/>
      <c r="S1080" s="774" t="s">
        <v>5457</v>
      </c>
    </row>
    <row r="1081" spans="1:19" ht="12" customHeight="1">
      <c r="A1081" s="1040" t="str">
        <f t="shared" si="458"/>
        <v>245</v>
      </c>
      <c r="B1081" s="4" t="s">
        <v>4024</v>
      </c>
      <c r="C1081" s="4"/>
      <c r="D1081" s="1008"/>
      <c r="E1081" s="1002" t="str">
        <f t="shared" si="489"/>
        <v/>
      </c>
      <c r="F1081" s="1005" t="e">
        <f t="shared" si="490"/>
        <v>#DIV/0!</v>
      </c>
      <c r="G1081" s="1" t="s">
        <v>5235</v>
      </c>
      <c r="H1081" s="1">
        <v>30</v>
      </c>
      <c r="I1081" s="2" t="s">
        <v>5</v>
      </c>
      <c r="J1081" s="1" t="s">
        <v>15273</v>
      </c>
      <c r="K1081" s="3"/>
      <c r="L1081" s="1"/>
      <c r="M1081" s="1"/>
      <c r="N1081" s="4" t="s">
        <v>16116</v>
      </c>
      <c r="O1081" s="1" t="s">
        <v>18494</v>
      </c>
      <c r="P1081" s="1" t="s">
        <v>6</v>
      </c>
      <c r="Q1081" s="16"/>
      <c r="R1081" s="17"/>
      <c r="S1081" s="774" t="s">
        <v>6154</v>
      </c>
    </row>
    <row r="1082" spans="1:19" ht="12" customHeight="1" thickBot="1">
      <c r="A1082" s="916" t="str">
        <f t="shared" si="458"/>
        <v>245</v>
      </c>
      <c r="B1082" s="700" t="s">
        <v>5234</v>
      </c>
      <c r="C1082" s="700"/>
      <c r="D1082" s="1009"/>
      <c r="E1082" s="1003" t="str">
        <f t="shared" si="489"/>
        <v/>
      </c>
      <c r="F1082" s="1041" t="str">
        <f t="shared" si="490"/>
        <v>$</v>
      </c>
      <c r="G1082" s="906" t="s">
        <v>4034</v>
      </c>
      <c r="H1082" s="906">
        <v>56</v>
      </c>
      <c r="I1082" s="702" t="s">
        <v>5</v>
      </c>
      <c r="J1082" s="906"/>
      <c r="K1082" s="703"/>
      <c r="L1082" s="906"/>
      <c r="M1082" s="906"/>
      <c r="N1082" s="700" t="s">
        <v>16117</v>
      </c>
      <c r="O1082" s="906"/>
      <c r="P1082" s="906" t="s">
        <v>6</v>
      </c>
      <c r="Q1082" s="705"/>
      <c r="R1082" s="903"/>
      <c r="S1082" s="793"/>
    </row>
    <row r="1083" spans="1:19" ht="12" customHeight="1">
      <c r="A1083" s="1038" t="str">
        <f t="shared" si="458"/>
        <v>246</v>
      </c>
      <c r="B1083" s="688" t="s">
        <v>4037</v>
      </c>
      <c r="C1083" s="688"/>
      <c r="D1083" s="1007"/>
      <c r="E1083" s="1001" t="str">
        <f>IF(D1083="","",D1083/SUM($D$1083:$D$1086))</f>
        <v/>
      </c>
      <c r="F1083" s="1004" t="e">
        <f>IF(J1083="","$",IF(C1083="当選","-",D1083*100/MAX($D$1083:$D$1086)))</f>
        <v>#DIV/0!</v>
      </c>
      <c r="G1083" s="687" t="s">
        <v>4040</v>
      </c>
      <c r="H1083" s="687">
        <v>29</v>
      </c>
      <c r="I1083" s="696" t="s">
        <v>5</v>
      </c>
      <c r="J1083" s="689" t="s">
        <v>15273</v>
      </c>
      <c r="K1083" s="747"/>
      <c r="L1083" s="687"/>
      <c r="M1083" s="687"/>
      <c r="N1083" s="692" t="s">
        <v>16127</v>
      </c>
      <c r="O1083" s="687" t="s">
        <v>44</v>
      </c>
      <c r="P1083" s="687" t="s">
        <v>6</v>
      </c>
      <c r="Q1083" s="748"/>
      <c r="R1083" s="749"/>
      <c r="S1083" s="805"/>
    </row>
    <row r="1084" spans="1:19" ht="12" customHeight="1">
      <c r="A1084" s="1040" t="str">
        <f t="shared" si="458"/>
        <v>246</v>
      </c>
      <c r="B1084" s="4" t="s">
        <v>4038</v>
      </c>
      <c r="C1084" s="4"/>
      <c r="D1084" s="1008"/>
      <c r="E1084" s="1002" t="str">
        <f t="shared" ref="E1084:E1086" si="491">IF(D1084="","",D1084/SUM($D$1083:$D$1086))</f>
        <v/>
      </c>
      <c r="F1084" s="1005" t="e">
        <f t="shared" ref="F1084:F1086" si="492">IF(J1084="","$",IF(C1084="当選","-",D1084*100/MAX($D$1083:$D$1086)))</f>
        <v>#DIV/0!</v>
      </c>
      <c r="G1084" s="1" t="s">
        <v>4043</v>
      </c>
      <c r="H1084" s="1">
        <v>70</v>
      </c>
      <c r="I1084" s="2" t="s">
        <v>5</v>
      </c>
      <c r="J1084" s="1" t="s">
        <v>15273</v>
      </c>
      <c r="K1084" s="3" t="s">
        <v>4044</v>
      </c>
      <c r="L1084" s="1"/>
      <c r="M1084" s="1"/>
      <c r="N1084" s="4" t="s">
        <v>16120</v>
      </c>
      <c r="O1084" s="1" t="s">
        <v>30</v>
      </c>
      <c r="P1084" s="1" t="s">
        <v>25</v>
      </c>
      <c r="Q1084" s="16">
        <v>10</v>
      </c>
      <c r="R1084" s="17">
        <v>10</v>
      </c>
      <c r="S1084" s="774" t="s">
        <v>5457</v>
      </c>
    </row>
    <row r="1085" spans="1:19" ht="12" customHeight="1">
      <c r="A1085" s="1040" t="str">
        <f t="shared" si="458"/>
        <v>246</v>
      </c>
      <c r="B1085" s="4" t="s">
        <v>4039</v>
      </c>
      <c r="C1085" s="4"/>
      <c r="D1085" s="1008"/>
      <c r="E1085" s="1002" t="str">
        <f t="shared" si="491"/>
        <v/>
      </c>
      <c r="F1085" s="1005" t="e">
        <f t="shared" si="492"/>
        <v>#DIV/0!</v>
      </c>
      <c r="G1085" s="1" t="s">
        <v>6136</v>
      </c>
      <c r="H1085" s="1">
        <v>53</v>
      </c>
      <c r="I1085" s="2" t="s">
        <v>5</v>
      </c>
      <c r="J1085" s="1" t="s">
        <v>15273</v>
      </c>
      <c r="K1085" s="3"/>
      <c r="L1085" s="1"/>
      <c r="M1085" s="1"/>
      <c r="N1085" s="4" t="s">
        <v>16125</v>
      </c>
      <c r="O1085" s="1"/>
      <c r="P1085" s="1" t="s">
        <v>6</v>
      </c>
      <c r="Q1085" s="16"/>
      <c r="R1085" s="17"/>
      <c r="S1085" s="774" t="s">
        <v>5561</v>
      </c>
    </row>
    <row r="1086" spans="1:19" ht="12" customHeight="1" thickBot="1">
      <c r="A1086" s="916" t="str">
        <f t="shared" si="458"/>
        <v>246</v>
      </c>
      <c r="B1086" s="700" t="s">
        <v>6135</v>
      </c>
      <c r="C1086" s="700"/>
      <c r="D1086" s="1009"/>
      <c r="E1086" s="1003" t="str">
        <f t="shared" si="491"/>
        <v/>
      </c>
      <c r="F1086" s="1041" t="str">
        <f t="shared" si="492"/>
        <v>$</v>
      </c>
      <c r="G1086" s="906" t="s">
        <v>4047</v>
      </c>
      <c r="H1086" s="906">
        <v>54</v>
      </c>
      <c r="I1086" s="702" t="s">
        <v>5</v>
      </c>
      <c r="J1086" s="906"/>
      <c r="K1086" s="703"/>
      <c r="L1086" s="906"/>
      <c r="M1086" s="906"/>
      <c r="N1086" s="700" t="s">
        <v>16117</v>
      </c>
      <c r="O1086" s="906"/>
      <c r="P1086" s="906" t="s">
        <v>6</v>
      </c>
      <c r="Q1086" s="705"/>
      <c r="R1086" s="903"/>
      <c r="S1086" s="793"/>
    </row>
    <row r="1087" spans="1:19" ht="12" customHeight="1">
      <c r="A1087" s="1038" t="str">
        <f t="shared" si="458"/>
        <v>247</v>
      </c>
      <c r="B1087" s="688" t="s">
        <v>4049</v>
      </c>
      <c r="C1087" s="688"/>
      <c r="D1087" s="1007"/>
      <c r="E1087" s="1001" t="str">
        <f>IF(D1087="","",D1087/SUM($D$1087:$D$1090))</f>
        <v/>
      </c>
      <c r="F1087" s="1004" t="e">
        <f>IF(J1087="","$",IF(C1087="当選","-",D1087*100/MAX($D$1087:$D$1090)))</f>
        <v>#DIV/0!</v>
      </c>
      <c r="G1087" s="687" t="s">
        <v>4052</v>
      </c>
      <c r="H1087" s="687">
        <v>58</v>
      </c>
      <c r="I1087" s="696" t="s">
        <v>5</v>
      </c>
      <c r="J1087" s="689" t="s">
        <v>15273</v>
      </c>
      <c r="K1087" s="747" t="s">
        <v>4053</v>
      </c>
      <c r="L1087" s="687"/>
      <c r="M1087" s="687"/>
      <c r="N1087" s="692" t="s">
        <v>16126</v>
      </c>
      <c r="O1087" s="687" t="s">
        <v>44</v>
      </c>
      <c r="P1087" s="687" t="s">
        <v>25</v>
      </c>
      <c r="Q1087" s="748">
        <v>5</v>
      </c>
      <c r="R1087" s="749">
        <v>5</v>
      </c>
      <c r="S1087" s="805" t="s">
        <v>736</v>
      </c>
    </row>
    <row r="1088" spans="1:19" ht="12" customHeight="1">
      <c r="A1088" s="1040" t="str">
        <f t="shared" si="458"/>
        <v>247</v>
      </c>
      <c r="B1088" s="4" t="s">
        <v>4050</v>
      </c>
      <c r="C1088" s="4"/>
      <c r="D1088" s="1008"/>
      <c r="E1088" s="1002" t="str">
        <f t="shared" ref="E1088:E1090" si="493">IF(D1088="","",D1088/SUM($D$1087:$D$1090))</f>
        <v/>
      </c>
      <c r="F1088" s="1005" t="e">
        <f t="shared" ref="F1088:F1090" si="494">IF(J1088="","$",IF(C1088="当選","-",D1088*100/MAX($D$1087:$D$1090)))</f>
        <v>#DIV/0!</v>
      </c>
      <c r="G1088" s="1" t="s">
        <v>4057</v>
      </c>
      <c r="H1088" s="1">
        <v>53</v>
      </c>
      <c r="I1088" s="2" t="s">
        <v>5</v>
      </c>
      <c r="J1088" s="1" t="s">
        <v>15273</v>
      </c>
      <c r="K1088" s="3" t="s">
        <v>4058</v>
      </c>
      <c r="L1088" s="1" t="s">
        <v>373</v>
      </c>
      <c r="M1088" s="1"/>
      <c r="N1088" s="4" t="s">
        <v>16120</v>
      </c>
      <c r="O1088" s="1" t="s">
        <v>48</v>
      </c>
      <c r="P1088" s="1" t="s">
        <v>6</v>
      </c>
      <c r="Q1088" s="16"/>
      <c r="R1088" s="17">
        <v>3</v>
      </c>
      <c r="S1088" s="774" t="s">
        <v>5457</v>
      </c>
    </row>
    <row r="1089" spans="1:19" ht="12" customHeight="1">
      <c r="A1089" s="1040" t="str">
        <f t="shared" si="458"/>
        <v>247</v>
      </c>
      <c r="B1089" s="4" t="s">
        <v>4051</v>
      </c>
      <c r="C1089" s="4"/>
      <c r="D1089" s="1008"/>
      <c r="E1089" s="1002" t="str">
        <f t="shared" si="493"/>
        <v/>
      </c>
      <c r="F1089" s="1005" t="e">
        <f t="shared" si="494"/>
        <v>#DIV/0!</v>
      </c>
      <c r="G1089" s="1" t="s">
        <v>5432</v>
      </c>
      <c r="H1089" s="1">
        <v>29</v>
      </c>
      <c r="I1089" s="2" t="s">
        <v>19</v>
      </c>
      <c r="J1089" s="1" t="s">
        <v>15273</v>
      </c>
      <c r="K1089" s="3"/>
      <c r="L1089" s="1"/>
      <c r="M1089" s="1"/>
      <c r="N1089" s="4" t="s">
        <v>16116</v>
      </c>
      <c r="O1089" s="1" t="s">
        <v>18494</v>
      </c>
      <c r="P1089" s="1" t="s">
        <v>6</v>
      </c>
      <c r="Q1089" s="16"/>
      <c r="R1089" s="17"/>
      <c r="S1089" s="774" t="s">
        <v>6154</v>
      </c>
    </row>
    <row r="1090" spans="1:19" ht="12" customHeight="1" thickBot="1">
      <c r="A1090" s="916" t="str">
        <f t="shared" si="458"/>
        <v>247</v>
      </c>
      <c r="B1090" s="700" t="s">
        <v>5431</v>
      </c>
      <c r="C1090" s="700"/>
      <c r="D1090" s="1009"/>
      <c r="E1090" s="1003" t="str">
        <f t="shared" si="493"/>
        <v/>
      </c>
      <c r="F1090" s="1041" t="str">
        <f t="shared" si="494"/>
        <v>$</v>
      </c>
      <c r="G1090" s="906" t="s">
        <v>4062</v>
      </c>
      <c r="H1090" s="906">
        <v>58</v>
      </c>
      <c r="I1090" s="702" t="s">
        <v>5</v>
      </c>
      <c r="J1090" s="906"/>
      <c r="K1090" s="703"/>
      <c r="L1090" s="906"/>
      <c r="M1090" s="906"/>
      <c r="N1090" s="700" t="s">
        <v>16117</v>
      </c>
      <c r="O1090" s="906"/>
      <c r="P1090" s="906" t="s">
        <v>6</v>
      </c>
      <c r="Q1090" s="705"/>
      <c r="R1090" s="903"/>
      <c r="S1090" s="793"/>
    </row>
    <row r="1091" spans="1:19" ht="12" customHeight="1">
      <c r="A1091" s="1038" t="str">
        <f t="shared" ref="A1091:A1154" si="495">MIDB(B1091,1,3)</f>
        <v>248</v>
      </c>
      <c r="B1091" s="688" t="s">
        <v>4065</v>
      </c>
      <c r="C1091" s="688"/>
      <c r="D1091" s="1007"/>
      <c r="E1091" s="1001" t="str">
        <f>IF(D1091="","",D1091/SUM($D$1091:$D$1093))</f>
        <v/>
      </c>
      <c r="F1091" s="1004" t="e">
        <f>IF(J1091="","$",IF(C1091="当選","-",D1091*100/MAX($D$1091:$D$1093)))</f>
        <v>#DIV/0!</v>
      </c>
      <c r="G1091" s="687" t="s">
        <v>4068</v>
      </c>
      <c r="H1091" s="687">
        <v>34</v>
      </c>
      <c r="I1091" s="696" t="s">
        <v>5</v>
      </c>
      <c r="J1091" s="689" t="s">
        <v>15273</v>
      </c>
      <c r="K1091" s="747" t="s">
        <v>4069</v>
      </c>
      <c r="L1091" s="687"/>
      <c r="M1091" s="687"/>
      <c r="N1091" s="692" t="s">
        <v>16127</v>
      </c>
      <c r="O1091" s="687" t="s">
        <v>44</v>
      </c>
      <c r="P1091" s="687" t="s">
        <v>25</v>
      </c>
      <c r="Q1091" s="748">
        <v>1</v>
      </c>
      <c r="R1091" s="749">
        <v>1</v>
      </c>
      <c r="S1091" s="805" t="s">
        <v>736</v>
      </c>
    </row>
    <row r="1092" spans="1:19" ht="12" customHeight="1">
      <c r="A1092" s="1040" t="str">
        <f t="shared" si="495"/>
        <v>248</v>
      </c>
      <c r="B1092" s="4" t="s">
        <v>4066</v>
      </c>
      <c r="C1092" s="4"/>
      <c r="D1092" s="1008"/>
      <c r="E1092" s="1002" t="str">
        <f t="shared" ref="E1092:E1093" si="496">IF(D1092="","",D1092/SUM($D$1091:$D$1093))</f>
        <v/>
      </c>
      <c r="F1092" s="1005" t="e">
        <f t="shared" ref="F1092:F1093" si="497">IF(J1092="","$",IF(C1092="当選","-",D1092*100/MAX($D$1091:$D$1093)))</f>
        <v>#DIV/0!</v>
      </c>
      <c r="G1092" s="1" t="s">
        <v>4072</v>
      </c>
      <c r="H1092" s="1">
        <v>70</v>
      </c>
      <c r="I1092" s="2" t="s">
        <v>5</v>
      </c>
      <c r="J1092" s="1" t="s">
        <v>15273</v>
      </c>
      <c r="K1092" s="3" t="s">
        <v>4073</v>
      </c>
      <c r="L1092" s="1"/>
      <c r="M1092" s="1"/>
      <c r="N1092" s="8" t="s">
        <v>16120</v>
      </c>
      <c r="O1092" s="1" t="s">
        <v>65</v>
      </c>
      <c r="P1092" s="1" t="s">
        <v>25</v>
      </c>
      <c r="Q1092" s="16">
        <v>7</v>
      </c>
      <c r="R1092" s="17">
        <v>7</v>
      </c>
      <c r="S1092" s="774" t="s">
        <v>5457</v>
      </c>
    </row>
    <row r="1093" spans="1:19" ht="12" customHeight="1" thickBot="1">
      <c r="A1093" s="916" t="str">
        <f t="shared" si="495"/>
        <v>248</v>
      </c>
      <c r="B1093" s="700" t="s">
        <v>4067</v>
      </c>
      <c r="C1093" s="700"/>
      <c r="D1093" s="1009"/>
      <c r="E1093" s="1003" t="str">
        <f t="shared" si="496"/>
        <v/>
      </c>
      <c r="F1093" s="1041" t="str">
        <f t="shared" si="497"/>
        <v>$</v>
      </c>
      <c r="G1093" s="906" t="s">
        <v>4077</v>
      </c>
      <c r="H1093" s="906">
        <v>51</v>
      </c>
      <c r="I1093" s="702" t="s">
        <v>19</v>
      </c>
      <c r="J1093" s="906"/>
      <c r="K1093" s="703"/>
      <c r="L1093" s="906"/>
      <c r="M1093" s="906"/>
      <c r="N1093" s="700" t="s">
        <v>16117</v>
      </c>
      <c r="O1093" s="906"/>
      <c r="P1093" s="906" t="s">
        <v>6</v>
      </c>
      <c r="Q1093" s="705"/>
      <c r="R1093" s="903"/>
      <c r="S1093" s="793"/>
    </row>
    <row r="1094" spans="1:19" ht="12" customHeight="1">
      <c r="A1094" s="1038" t="str">
        <f t="shared" si="495"/>
        <v>249</v>
      </c>
      <c r="B1094" s="688" t="s">
        <v>4080</v>
      </c>
      <c r="C1094" s="688"/>
      <c r="D1094" s="1007"/>
      <c r="E1094" s="1001" t="str">
        <f>IF(D1094="","",D1094/SUM($D$1094:$D$1096))</f>
        <v/>
      </c>
      <c r="F1094" s="1004" t="e">
        <f>IF(J1094="","$",IF(C1094="当選","-",D1094*100/MAX($D$1094:$D$1096)))</f>
        <v>#DIV/0!</v>
      </c>
      <c r="G1094" s="687" t="s">
        <v>5697</v>
      </c>
      <c r="H1094" s="687">
        <v>45</v>
      </c>
      <c r="I1094" s="696" t="s">
        <v>5</v>
      </c>
      <c r="J1094" s="689" t="s">
        <v>15273</v>
      </c>
      <c r="K1094" s="747"/>
      <c r="L1094" s="687"/>
      <c r="M1094" s="687"/>
      <c r="N1094" s="692" t="s">
        <v>16127</v>
      </c>
      <c r="O1094" s="687" t="s">
        <v>44</v>
      </c>
      <c r="P1094" s="687" t="s">
        <v>6</v>
      </c>
      <c r="Q1094" s="748"/>
      <c r="R1094" s="749"/>
      <c r="S1094" s="805"/>
    </row>
    <row r="1095" spans="1:19" ht="12" customHeight="1">
      <c r="A1095" s="1040" t="str">
        <f t="shared" si="495"/>
        <v>249</v>
      </c>
      <c r="B1095" s="4" t="s">
        <v>4081</v>
      </c>
      <c r="C1095" s="4"/>
      <c r="D1095" s="1008"/>
      <c r="E1095" s="1002" t="str">
        <f t="shared" ref="E1095:E1096" si="498">IF(D1095="","",D1095/SUM($D$1094:$D$1096))</f>
        <v/>
      </c>
      <c r="F1095" s="1005" t="str">
        <f t="shared" ref="F1095:F1096" si="499">IF(J1095="","$",IF(C1095="当選","-",D1095*100/MAX($D$1094:$D$1096)))</f>
        <v>$</v>
      </c>
      <c r="G1095" s="1" t="s">
        <v>4083</v>
      </c>
      <c r="H1095" s="1">
        <v>58</v>
      </c>
      <c r="I1095" s="2" t="s">
        <v>5</v>
      </c>
      <c r="J1095" s="1"/>
      <c r="K1095" s="3" t="s">
        <v>4084</v>
      </c>
      <c r="L1095" s="1"/>
      <c r="M1095" s="1"/>
      <c r="N1095" s="4" t="s">
        <v>16120</v>
      </c>
      <c r="O1095" s="1" t="s">
        <v>30</v>
      </c>
      <c r="P1095" s="1" t="s">
        <v>25</v>
      </c>
      <c r="Q1095" s="16">
        <v>6</v>
      </c>
      <c r="R1095" s="17">
        <v>6</v>
      </c>
      <c r="S1095" s="774" t="s">
        <v>5457</v>
      </c>
    </row>
    <row r="1096" spans="1:19" ht="12" customHeight="1" thickBot="1">
      <c r="A1096" s="916" t="str">
        <f t="shared" si="495"/>
        <v>249</v>
      </c>
      <c r="B1096" s="700" t="s">
        <v>4082</v>
      </c>
      <c r="C1096" s="700"/>
      <c r="D1096" s="1009"/>
      <c r="E1096" s="1003" t="str">
        <f t="shared" si="498"/>
        <v/>
      </c>
      <c r="F1096" s="1041" t="str">
        <f t="shared" si="499"/>
        <v>$</v>
      </c>
      <c r="G1096" s="906" t="s">
        <v>4088</v>
      </c>
      <c r="H1096" s="906">
        <v>48</v>
      </c>
      <c r="I1096" s="702" t="s">
        <v>5</v>
      </c>
      <c r="J1096" s="906"/>
      <c r="K1096" s="703"/>
      <c r="L1096" s="906"/>
      <c r="M1096" s="906"/>
      <c r="N1096" s="700" t="s">
        <v>16117</v>
      </c>
      <c r="O1096" s="906"/>
      <c r="P1096" s="906" t="s">
        <v>6</v>
      </c>
      <c r="Q1096" s="705"/>
      <c r="R1096" s="903"/>
      <c r="S1096" s="793"/>
    </row>
    <row r="1097" spans="1:19" ht="12" customHeight="1">
      <c r="A1097" s="1038" t="str">
        <f t="shared" si="495"/>
        <v>250</v>
      </c>
      <c r="B1097" s="688" t="s">
        <v>4116</v>
      </c>
      <c r="C1097" s="688"/>
      <c r="D1097" s="1007"/>
      <c r="E1097" s="1001" t="str">
        <f>IF(D1097="","",D1097/SUM($D$1097:$D$1099))</f>
        <v/>
      </c>
      <c r="F1097" s="1004" t="e">
        <f>IF(J1097="","$",IF(C1097="当選","-",D1097*100/MAX($D$1097:$D$1099)))</f>
        <v>#DIV/0!</v>
      </c>
      <c r="G1097" s="687" t="s">
        <v>4119</v>
      </c>
      <c r="H1097" s="687">
        <v>66</v>
      </c>
      <c r="I1097" s="696" t="s">
        <v>5</v>
      </c>
      <c r="J1097" s="689" t="s">
        <v>15273</v>
      </c>
      <c r="K1097" s="747" t="s">
        <v>4120</v>
      </c>
      <c r="L1097" s="687"/>
      <c r="M1097" s="687"/>
      <c r="N1097" s="692" t="s">
        <v>16126</v>
      </c>
      <c r="O1097" s="687" t="s">
        <v>45</v>
      </c>
      <c r="P1097" s="687" t="s">
        <v>25</v>
      </c>
      <c r="Q1097" s="748">
        <v>6</v>
      </c>
      <c r="R1097" s="749">
        <v>6</v>
      </c>
      <c r="S1097" s="805" t="s">
        <v>736</v>
      </c>
    </row>
    <row r="1098" spans="1:19" ht="12" customHeight="1">
      <c r="A1098" s="1040" t="str">
        <f t="shared" si="495"/>
        <v>250</v>
      </c>
      <c r="B1098" s="4" t="s">
        <v>4117</v>
      </c>
      <c r="C1098" s="4"/>
      <c r="D1098" s="1008"/>
      <c r="E1098" s="1002" t="str">
        <f t="shared" ref="E1098:E1099" si="500">IF(D1098="","",D1098/SUM($D$1097:$D$1099))</f>
        <v/>
      </c>
      <c r="F1098" s="1005" t="e">
        <f t="shared" ref="F1098:F1099" si="501">IF(J1098="","$",IF(C1098="当選","-",D1098*100/MAX($D$1097:$D$1099)))</f>
        <v>#DIV/0!</v>
      </c>
      <c r="G1098" s="1" t="s">
        <v>4122</v>
      </c>
      <c r="H1098" s="1">
        <v>59</v>
      </c>
      <c r="I1098" s="2" t="s">
        <v>5</v>
      </c>
      <c r="J1098" s="1" t="s">
        <v>15273</v>
      </c>
      <c r="K1098" s="3"/>
      <c r="L1098" s="1"/>
      <c r="M1098" s="1"/>
      <c r="N1098" s="4" t="s">
        <v>16120</v>
      </c>
      <c r="O1098" s="1" t="s">
        <v>30</v>
      </c>
      <c r="P1098" s="1" t="s">
        <v>6</v>
      </c>
      <c r="Q1098" s="16"/>
      <c r="R1098" s="17"/>
      <c r="S1098" s="774" t="s">
        <v>5457</v>
      </c>
    </row>
    <row r="1099" spans="1:19" ht="12" customHeight="1" thickBot="1">
      <c r="A1099" s="916" t="str">
        <f t="shared" si="495"/>
        <v>250</v>
      </c>
      <c r="B1099" s="700" t="s">
        <v>4118</v>
      </c>
      <c r="C1099" s="700"/>
      <c r="D1099" s="1009"/>
      <c r="E1099" s="1003" t="str">
        <f t="shared" si="500"/>
        <v/>
      </c>
      <c r="F1099" s="1041" t="str">
        <f t="shared" si="501"/>
        <v>$</v>
      </c>
      <c r="G1099" s="906" t="s">
        <v>4125</v>
      </c>
      <c r="H1099" s="906">
        <v>64</v>
      </c>
      <c r="I1099" s="702" t="s">
        <v>5</v>
      </c>
      <c r="J1099" s="906"/>
      <c r="K1099" s="703"/>
      <c r="L1099" s="906"/>
      <c r="M1099" s="906"/>
      <c r="N1099" s="700" t="s">
        <v>16117</v>
      </c>
      <c r="O1099" s="906"/>
      <c r="P1099" s="906" t="s">
        <v>6</v>
      </c>
      <c r="Q1099" s="705"/>
      <c r="R1099" s="903"/>
      <c r="S1099" s="793"/>
    </row>
    <row r="1100" spans="1:19" ht="12" customHeight="1">
      <c r="A1100" s="1038" t="str">
        <f t="shared" si="495"/>
        <v>251</v>
      </c>
      <c r="B1100" s="688" t="s">
        <v>4127</v>
      </c>
      <c r="C1100" s="688"/>
      <c r="D1100" s="1007"/>
      <c r="E1100" s="1001" t="str">
        <f>IF(D1100="","",D1100/SUM($D$1100:$D$1102))</f>
        <v/>
      </c>
      <c r="F1100" s="1004" t="e">
        <f>IF(J1100="","$",IF(C1100="当選","-",D1100*100/MAX($D$1100:$D$1102)))</f>
        <v>#DIV/0!</v>
      </c>
      <c r="G1100" s="687" t="s">
        <v>4131</v>
      </c>
      <c r="H1100" s="687">
        <v>41</v>
      </c>
      <c r="I1100" s="696" t="s">
        <v>19</v>
      </c>
      <c r="J1100" s="689" t="s">
        <v>15273</v>
      </c>
      <c r="K1100" s="747" t="s">
        <v>4132</v>
      </c>
      <c r="L1100" s="687"/>
      <c r="M1100" s="687"/>
      <c r="N1100" s="692" t="s">
        <v>16127</v>
      </c>
      <c r="O1100" s="687" t="s">
        <v>44</v>
      </c>
      <c r="P1100" s="687" t="s">
        <v>25</v>
      </c>
      <c r="Q1100" s="748">
        <v>3</v>
      </c>
      <c r="R1100" s="749">
        <v>3</v>
      </c>
      <c r="S1100" s="805"/>
    </row>
    <row r="1101" spans="1:19" ht="12" customHeight="1">
      <c r="A1101" s="1040" t="str">
        <f t="shared" si="495"/>
        <v>251</v>
      </c>
      <c r="B1101" s="4" t="s">
        <v>4129</v>
      </c>
      <c r="C1101" s="4"/>
      <c r="D1101" s="1008"/>
      <c r="E1101" s="1002" t="str">
        <f t="shared" ref="E1101:E1102" si="502">IF(D1101="","",D1101/SUM($D$1100:$D$1102))</f>
        <v/>
      </c>
      <c r="F1101" s="1005" t="e">
        <f t="shared" ref="F1101:F1102" si="503">IF(J1101="","$",IF(C1101="当選","-",D1101*100/MAX($D$1100:$D$1102)))</f>
        <v>#DIV/0!</v>
      </c>
      <c r="G1101" s="1" t="s">
        <v>4135</v>
      </c>
      <c r="H1101" s="1">
        <v>62</v>
      </c>
      <c r="I1101" s="2" t="s">
        <v>5</v>
      </c>
      <c r="J1101" s="1" t="s">
        <v>15273</v>
      </c>
      <c r="K1101" s="3" t="s">
        <v>4140</v>
      </c>
      <c r="L1101" s="1"/>
      <c r="M1101" s="1"/>
      <c r="N1101" s="8" t="s">
        <v>16120</v>
      </c>
      <c r="O1101" s="1" t="s">
        <v>445</v>
      </c>
      <c r="P1101" s="1" t="s">
        <v>25</v>
      </c>
      <c r="Q1101" s="16">
        <v>7</v>
      </c>
      <c r="R1101" s="17">
        <v>7</v>
      </c>
      <c r="S1101" s="774" t="s">
        <v>5457</v>
      </c>
    </row>
    <row r="1102" spans="1:19" ht="12" customHeight="1" thickBot="1">
      <c r="A1102" s="916" t="str">
        <f t="shared" si="495"/>
        <v>251</v>
      </c>
      <c r="B1102" s="700" t="s">
        <v>4130</v>
      </c>
      <c r="C1102" s="700"/>
      <c r="D1102" s="1009"/>
      <c r="E1102" s="1003" t="str">
        <f t="shared" si="502"/>
        <v/>
      </c>
      <c r="F1102" s="1041" t="str">
        <f t="shared" si="503"/>
        <v>$</v>
      </c>
      <c r="G1102" s="906" t="s">
        <v>4141</v>
      </c>
      <c r="H1102" s="906">
        <v>51</v>
      </c>
      <c r="I1102" s="702" t="s">
        <v>5</v>
      </c>
      <c r="J1102" s="906"/>
      <c r="K1102" s="703"/>
      <c r="L1102" s="906"/>
      <c r="M1102" s="906"/>
      <c r="N1102" s="700" t="s">
        <v>16117</v>
      </c>
      <c r="O1102" s="906"/>
      <c r="P1102" s="906" t="s">
        <v>6</v>
      </c>
      <c r="Q1102" s="705"/>
      <c r="R1102" s="903"/>
      <c r="S1102" s="793"/>
    </row>
    <row r="1103" spans="1:19" ht="12" customHeight="1">
      <c r="A1103" s="1038" t="str">
        <f t="shared" si="495"/>
        <v>252</v>
      </c>
      <c r="B1103" s="688" t="s">
        <v>4144</v>
      </c>
      <c r="C1103" s="688"/>
      <c r="D1103" s="1007"/>
      <c r="E1103" s="1001" t="str">
        <f>IF(D1103="","",D1103/SUM($D$1103:$D$1106))</f>
        <v/>
      </c>
      <c r="F1103" s="1004" t="e">
        <f>IF(J1103="","$",IF(C1103="当選","-",D1103*100/MAX($D$1103:$D$1106)))</f>
        <v>#DIV/0!</v>
      </c>
      <c r="G1103" s="687" t="s">
        <v>4148</v>
      </c>
      <c r="H1103" s="687">
        <v>46</v>
      </c>
      <c r="I1103" s="696" t="s">
        <v>5</v>
      </c>
      <c r="J1103" s="689" t="s">
        <v>15273</v>
      </c>
      <c r="K1103" s="747" t="s">
        <v>4149</v>
      </c>
      <c r="L1103" s="687"/>
      <c r="M1103" s="687"/>
      <c r="N1103" s="692" t="s">
        <v>16127</v>
      </c>
      <c r="O1103" s="687" t="s">
        <v>44</v>
      </c>
      <c r="P1103" s="687" t="s">
        <v>25</v>
      </c>
      <c r="Q1103" s="748">
        <v>1</v>
      </c>
      <c r="R1103" s="749">
        <v>1</v>
      </c>
      <c r="S1103" s="805" t="s">
        <v>736</v>
      </c>
    </row>
    <row r="1104" spans="1:19" ht="12" customHeight="1">
      <c r="A1104" s="1040" t="str">
        <f t="shared" si="495"/>
        <v>252</v>
      </c>
      <c r="B1104" s="4" t="s">
        <v>4145</v>
      </c>
      <c r="C1104" s="4"/>
      <c r="D1104" s="1008"/>
      <c r="E1104" s="1002" t="str">
        <f t="shared" ref="E1104:E1106" si="504">IF(D1104="","",D1104/SUM($D$1103:$D$1106))</f>
        <v/>
      </c>
      <c r="F1104" s="1005" t="e">
        <f t="shared" ref="F1104:F1106" si="505">IF(J1104="","$",IF(C1104="当選","-",D1104*100/MAX($D$1103:$D$1106)))</f>
        <v>#DIV/0!</v>
      </c>
      <c r="G1104" s="1" t="s">
        <v>4151</v>
      </c>
      <c r="H1104" s="1">
        <v>43</v>
      </c>
      <c r="I1104" s="2" t="s">
        <v>5</v>
      </c>
      <c r="J1104" s="1" t="s">
        <v>15273</v>
      </c>
      <c r="K1104" s="3" t="s">
        <v>4152</v>
      </c>
      <c r="L1104" s="1"/>
      <c r="M1104" s="1"/>
      <c r="N1104" s="4" t="s">
        <v>16120</v>
      </c>
      <c r="O1104" s="1" t="s">
        <v>30</v>
      </c>
      <c r="P1104" s="1" t="s">
        <v>25</v>
      </c>
      <c r="Q1104" s="16">
        <v>4</v>
      </c>
      <c r="R1104" s="17">
        <v>4</v>
      </c>
      <c r="S1104" s="774" t="s">
        <v>5457</v>
      </c>
    </row>
    <row r="1105" spans="1:19" ht="12" customHeight="1">
      <c r="A1105" s="1040" t="str">
        <f t="shared" si="495"/>
        <v>252</v>
      </c>
      <c r="B1105" s="4" t="s">
        <v>4146</v>
      </c>
      <c r="C1105" s="4"/>
      <c r="D1105" s="1008"/>
      <c r="E1105" s="1002" t="str">
        <f t="shared" si="504"/>
        <v/>
      </c>
      <c r="F1105" s="1005" t="str">
        <f t="shared" si="505"/>
        <v>$</v>
      </c>
      <c r="G1105" s="1" t="s">
        <v>4155</v>
      </c>
      <c r="H1105" s="1">
        <v>32</v>
      </c>
      <c r="I1105" s="2" t="s">
        <v>5</v>
      </c>
      <c r="J1105" s="1"/>
      <c r="K1105" s="3"/>
      <c r="L1105" s="1"/>
      <c r="M1105" s="1"/>
      <c r="N1105" s="4" t="s">
        <v>16117</v>
      </c>
      <c r="O1105" s="1"/>
      <c r="P1105" s="1" t="s">
        <v>6</v>
      </c>
      <c r="Q1105" s="16"/>
      <c r="R1105" s="17"/>
      <c r="S1105" s="774"/>
    </row>
    <row r="1106" spans="1:19" ht="12" customHeight="1" thickBot="1">
      <c r="A1106" s="916" t="str">
        <f t="shared" si="495"/>
        <v>252</v>
      </c>
      <c r="B1106" s="700" t="s">
        <v>4147</v>
      </c>
      <c r="C1106" s="700"/>
      <c r="D1106" s="1009"/>
      <c r="E1106" s="1003" t="str">
        <f t="shared" si="504"/>
        <v/>
      </c>
      <c r="F1106" s="1041" t="str">
        <f t="shared" si="505"/>
        <v>$</v>
      </c>
      <c r="G1106" s="906" t="s">
        <v>4158</v>
      </c>
      <c r="H1106" s="906">
        <v>30</v>
      </c>
      <c r="I1106" s="702" t="s">
        <v>19</v>
      </c>
      <c r="J1106" s="906"/>
      <c r="K1106" s="703"/>
      <c r="L1106" s="906"/>
      <c r="M1106" s="906"/>
      <c r="N1106" s="700" t="s">
        <v>16122</v>
      </c>
      <c r="O1106" s="906" t="s">
        <v>22</v>
      </c>
      <c r="P1106" s="906" t="s">
        <v>6</v>
      </c>
      <c r="Q1106" s="705"/>
      <c r="R1106" s="903"/>
      <c r="S1106" s="793"/>
    </row>
    <row r="1107" spans="1:19" ht="12" customHeight="1">
      <c r="A1107" s="1038" t="str">
        <f t="shared" si="495"/>
        <v>253</v>
      </c>
      <c r="B1107" s="688" t="s">
        <v>4160</v>
      </c>
      <c r="C1107" s="688"/>
      <c r="D1107" s="1007"/>
      <c r="E1107" s="1001" t="str">
        <f>IF(D1107="","",D1107/SUM($D$1107:$D$1110))</f>
        <v/>
      </c>
      <c r="F1107" s="1004" t="e">
        <f>IF(J1107="","$",IF(C1107="当選","-",D1107*100/MAX($D$1107:$D$1110)))</f>
        <v>#DIV/0!</v>
      </c>
      <c r="G1107" s="687" t="s">
        <v>4163</v>
      </c>
      <c r="H1107" s="687">
        <v>41</v>
      </c>
      <c r="I1107" s="696" t="s">
        <v>5</v>
      </c>
      <c r="J1107" s="689" t="s">
        <v>15273</v>
      </c>
      <c r="K1107" s="747" t="s">
        <v>4164</v>
      </c>
      <c r="L1107" s="687"/>
      <c r="M1107" s="687"/>
      <c r="N1107" s="692" t="s">
        <v>16126</v>
      </c>
      <c r="O1107" s="687" t="s">
        <v>44</v>
      </c>
      <c r="P1107" s="687" t="s">
        <v>25</v>
      </c>
      <c r="Q1107" s="748">
        <v>2</v>
      </c>
      <c r="R1107" s="749">
        <v>2</v>
      </c>
      <c r="S1107" s="805" t="s">
        <v>736</v>
      </c>
    </row>
    <row r="1108" spans="1:19" ht="12" customHeight="1">
      <c r="A1108" s="1040" t="str">
        <f t="shared" si="495"/>
        <v>253</v>
      </c>
      <c r="B1108" s="4" t="s">
        <v>4161</v>
      </c>
      <c r="C1108" s="4"/>
      <c r="D1108" s="1008"/>
      <c r="E1108" s="1002" t="str">
        <f t="shared" ref="E1108:E1110" si="506">IF(D1108="","",D1108/SUM($D$1107:$D$1110))</f>
        <v/>
      </c>
      <c r="F1108" s="1005" t="e">
        <f t="shared" ref="F1108:F1110" si="507">IF(J1108="","$",IF(C1108="当選","-",D1108*100/MAX($D$1107:$D$1110)))</f>
        <v>#DIV/0!</v>
      </c>
      <c r="G1108" s="1" t="s">
        <v>4168</v>
      </c>
      <c r="H1108" s="1">
        <v>54</v>
      </c>
      <c r="I1108" s="2" t="s">
        <v>5</v>
      </c>
      <c r="J1108" s="1" t="s">
        <v>15273</v>
      </c>
      <c r="K1108" s="3" t="s">
        <v>4169</v>
      </c>
      <c r="L1108" s="1"/>
      <c r="M1108" s="1"/>
      <c r="N1108" s="4" t="s">
        <v>16120</v>
      </c>
      <c r="O1108" s="1" t="s">
        <v>30</v>
      </c>
      <c r="P1108" s="1" t="s">
        <v>25</v>
      </c>
      <c r="Q1108" s="16">
        <v>4</v>
      </c>
      <c r="R1108" s="17">
        <v>4</v>
      </c>
      <c r="S1108" s="774" t="s">
        <v>5457</v>
      </c>
    </row>
    <row r="1109" spans="1:19" ht="12" customHeight="1">
      <c r="A1109" s="1040" t="str">
        <f t="shared" si="495"/>
        <v>253</v>
      </c>
      <c r="B1109" s="4" t="s">
        <v>4162</v>
      </c>
      <c r="C1109" s="4"/>
      <c r="D1109" s="1008"/>
      <c r="E1109" s="1002" t="str">
        <f t="shared" si="506"/>
        <v/>
      </c>
      <c r="F1109" s="1005" t="e">
        <f t="shared" si="507"/>
        <v>#DIV/0!</v>
      </c>
      <c r="G1109" s="1" t="s">
        <v>5862</v>
      </c>
      <c r="H1109" s="1">
        <v>66</v>
      </c>
      <c r="I1109" s="2" t="s">
        <v>5</v>
      </c>
      <c r="J1109" s="1" t="s">
        <v>15273</v>
      </c>
      <c r="K1109" s="3"/>
      <c r="L1109" s="1"/>
      <c r="M1109" s="1"/>
      <c r="N1109" s="4" t="s">
        <v>16116</v>
      </c>
      <c r="O1109" s="1" t="s">
        <v>18494</v>
      </c>
      <c r="P1109" s="1" t="s">
        <v>6</v>
      </c>
      <c r="Q1109" s="16"/>
      <c r="R1109" s="17"/>
      <c r="S1109" s="774"/>
    </row>
    <row r="1110" spans="1:19" ht="12" customHeight="1" thickBot="1">
      <c r="A1110" s="916" t="str">
        <f t="shared" si="495"/>
        <v>253</v>
      </c>
      <c r="B1110" s="700" t="s">
        <v>5435</v>
      </c>
      <c r="C1110" s="700"/>
      <c r="D1110" s="1009"/>
      <c r="E1110" s="1003" t="str">
        <f t="shared" si="506"/>
        <v/>
      </c>
      <c r="F1110" s="1041" t="str">
        <f t="shared" si="507"/>
        <v>$</v>
      </c>
      <c r="G1110" s="906" t="s">
        <v>4172</v>
      </c>
      <c r="H1110" s="906">
        <v>53</v>
      </c>
      <c r="I1110" s="702" t="s">
        <v>5</v>
      </c>
      <c r="J1110" s="906"/>
      <c r="K1110" s="703"/>
      <c r="L1110" s="906"/>
      <c r="M1110" s="906"/>
      <c r="N1110" s="700" t="s">
        <v>16117</v>
      </c>
      <c r="O1110" s="906"/>
      <c r="P1110" s="906" t="s">
        <v>6</v>
      </c>
      <c r="Q1110" s="705"/>
      <c r="R1110" s="903"/>
      <c r="S1110" s="793"/>
    </row>
    <row r="1111" spans="1:19" ht="12" customHeight="1">
      <c r="A1111" s="1038" t="str">
        <f t="shared" si="495"/>
        <v>254</v>
      </c>
      <c r="B1111" s="688" t="s">
        <v>4174</v>
      </c>
      <c r="C1111" s="688"/>
      <c r="D1111" s="1007"/>
      <c r="E1111" s="1001" t="str">
        <f>IF(D1111="","",D1111/SUM($D$1111:$D$1113))</f>
        <v/>
      </c>
      <c r="F1111" s="1004" t="e">
        <f>IF(J1111="","$",IF(C1111="当選","-",D1111*100/MAX($D$1111:$D$1113)))</f>
        <v>#DIV/0!</v>
      </c>
      <c r="G1111" s="687" t="s">
        <v>4177</v>
      </c>
      <c r="H1111" s="687">
        <v>43</v>
      </c>
      <c r="I1111" s="696" t="s">
        <v>5</v>
      </c>
      <c r="J1111" s="689" t="s">
        <v>15273</v>
      </c>
      <c r="K1111" s="747" t="s">
        <v>4178</v>
      </c>
      <c r="L1111" s="687"/>
      <c r="M1111" s="687"/>
      <c r="N1111" s="692" t="s">
        <v>16127</v>
      </c>
      <c r="O1111" s="687" t="s">
        <v>44</v>
      </c>
      <c r="P1111" s="687" t="s">
        <v>25</v>
      </c>
      <c r="Q1111" s="748">
        <v>1</v>
      </c>
      <c r="R1111" s="749">
        <v>1</v>
      </c>
      <c r="S1111" s="805" t="s">
        <v>736</v>
      </c>
    </row>
    <row r="1112" spans="1:19" ht="12" customHeight="1">
      <c r="A1112" s="1040" t="str">
        <f t="shared" si="495"/>
        <v>254</v>
      </c>
      <c r="B1112" s="4" t="s">
        <v>4175</v>
      </c>
      <c r="C1112" s="4"/>
      <c r="D1112" s="1008"/>
      <c r="E1112" s="1002" t="str">
        <f t="shared" ref="E1112:E1113" si="508">IF(D1112="","",D1112/SUM($D$1111:$D$1113))</f>
        <v/>
      </c>
      <c r="F1112" s="1005" t="e">
        <f t="shared" ref="F1112:F1113" si="509">IF(J1112="","$",IF(C1112="当選","-",D1112*100/MAX($D$1111:$D$1113)))</f>
        <v>#DIV/0!</v>
      </c>
      <c r="G1112" s="1" t="s">
        <v>4179</v>
      </c>
      <c r="H1112" s="1">
        <v>47</v>
      </c>
      <c r="I1112" s="2" t="s">
        <v>5</v>
      </c>
      <c r="J1112" s="1" t="s">
        <v>15273</v>
      </c>
      <c r="K1112" s="3"/>
      <c r="L1112" s="1"/>
      <c r="M1112" s="1"/>
      <c r="N1112" s="8" t="s">
        <v>16120</v>
      </c>
      <c r="O1112" s="1" t="s">
        <v>30</v>
      </c>
      <c r="P1112" s="1" t="s">
        <v>6</v>
      </c>
      <c r="Q1112" s="16"/>
      <c r="R1112" s="17"/>
      <c r="S1112" s="774" t="s">
        <v>5457</v>
      </c>
    </row>
    <row r="1113" spans="1:19" ht="12" customHeight="1" thickBot="1">
      <c r="A1113" s="916" t="str">
        <f t="shared" si="495"/>
        <v>254</v>
      </c>
      <c r="B1113" s="700" t="s">
        <v>4176</v>
      </c>
      <c r="C1113" s="700"/>
      <c r="D1113" s="1009"/>
      <c r="E1113" s="1003" t="str">
        <f t="shared" si="508"/>
        <v/>
      </c>
      <c r="F1113" s="1041" t="str">
        <f t="shared" si="509"/>
        <v>$</v>
      </c>
      <c r="G1113" s="906" t="s">
        <v>5066</v>
      </c>
      <c r="H1113" s="906">
        <v>52</v>
      </c>
      <c r="I1113" s="702" t="s">
        <v>5</v>
      </c>
      <c r="J1113" s="906"/>
      <c r="K1113" s="703"/>
      <c r="L1113" s="906"/>
      <c r="M1113" s="906"/>
      <c r="N1113" s="700" t="s">
        <v>16117</v>
      </c>
      <c r="O1113" s="906"/>
      <c r="P1113" s="906" t="s">
        <v>6</v>
      </c>
      <c r="Q1113" s="705"/>
      <c r="R1113" s="903"/>
      <c r="S1113" s="793"/>
    </row>
    <row r="1114" spans="1:19" ht="12" customHeight="1">
      <c r="A1114" s="1038" t="str">
        <f t="shared" si="495"/>
        <v>255</v>
      </c>
      <c r="B1114" s="688" t="s">
        <v>4184</v>
      </c>
      <c r="C1114" s="688"/>
      <c r="D1114" s="1007"/>
      <c r="E1114" s="1001" t="str">
        <f>IF(D1114="","",D1114/SUM($D$1114:$D$1116))</f>
        <v/>
      </c>
      <c r="F1114" s="1004" t="e">
        <f>IF(J1114="","$",IF(C1114="当選","-",D1114*100/MAX($D$1114:$D$1116)))</f>
        <v>#DIV/0!</v>
      </c>
      <c r="G1114" s="687" t="s">
        <v>4187</v>
      </c>
      <c r="H1114" s="687">
        <v>44</v>
      </c>
      <c r="I1114" s="696" t="s">
        <v>5</v>
      </c>
      <c r="J1114" s="687" t="s">
        <v>15273</v>
      </c>
      <c r="K1114" s="747"/>
      <c r="L1114" s="687"/>
      <c r="M1114" s="687"/>
      <c r="N1114" s="688" t="s">
        <v>16120</v>
      </c>
      <c r="O1114" s="687" t="s">
        <v>934</v>
      </c>
      <c r="P1114" s="687" t="s">
        <v>6</v>
      </c>
      <c r="Q1114" s="748"/>
      <c r="R1114" s="749"/>
      <c r="S1114" s="805" t="s">
        <v>5457</v>
      </c>
    </row>
    <row r="1115" spans="1:19" ht="12" customHeight="1">
      <c r="A1115" s="1040" t="str">
        <f t="shared" si="495"/>
        <v>255</v>
      </c>
      <c r="B1115" s="4" t="s">
        <v>4185</v>
      </c>
      <c r="C1115" s="4"/>
      <c r="D1115" s="1008"/>
      <c r="E1115" s="1002" t="str">
        <f t="shared" ref="E1115:E1116" si="510">IF(D1115="","",D1115/SUM($D$1114:$D$1116))</f>
        <v/>
      </c>
      <c r="F1115" s="1005" t="str">
        <f t="shared" ref="F1115:F1116" si="511">IF(J1115="","$",IF(C1115="当選","-",D1115*100/MAX($D$1114:$D$1116)))</f>
        <v>$</v>
      </c>
      <c r="G1115" s="1" t="s">
        <v>4189</v>
      </c>
      <c r="H1115" s="1">
        <v>52</v>
      </c>
      <c r="I1115" s="2" t="s">
        <v>5</v>
      </c>
      <c r="J1115" s="1"/>
      <c r="K1115" s="3"/>
      <c r="L1115" s="1"/>
      <c r="M1115" s="1"/>
      <c r="N1115" s="4" t="s">
        <v>16117</v>
      </c>
      <c r="O1115" s="1"/>
      <c r="P1115" s="1" t="s">
        <v>6</v>
      </c>
      <c r="Q1115" s="16"/>
      <c r="R1115" s="17"/>
      <c r="S1115" s="774"/>
    </row>
    <row r="1116" spans="1:19" ht="12" customHeight="1" thickBot="1">
      <c r="A1116" s="916" t="str">
        <f t="shared" si="495"/>
        <v>255</v>
      </c>
      <c r="B1116" s="700" t="s">
        <v>4186</v>
      </c>
      <c r="C1116" s="700"/>
      <c r="D1116" s="1009"/>
      <c r="E1116" s="1003" t="str">
        <f t="shared" si="510"/>
        <v/>
      </c>
      <c r="F1116" s="1041" t="e">
        <f t="shared" si="511"/>
        <v>#DIV/0!</v>
      </c>
      <c r="G1116" s="906" t="s">
        <v>4190</v>
      </c>
      <c r="H1116" s="906">
        <v>54</v>
      </c>
      <c r="I1116" s="702" t="s">
        <v>5</v>
      </c>
      <c r="J1116" s="906" t="s">
        <v>15273</v>
      </c>
      <c r="K1116" s="703"/>
      <c r="L1116" s="906"/>
      <c r="M1116" s="906"/>
      <c r="N1116" s="700" t="s">
        <v>16121</v>
      </c>
      <c r="O1116" s="906"/>
      <c r="P1116" s="906" t="s">
        <v>6</v>
      </c>
      <c r="Q1116" s="705"/>
      <c r="R1116" s="903"/>
      <c r="S1116" s="793"/>
    </row>
    <row r="1117" spans="1:19" ht="12" customHeight="1">
      <c r="A1117" s="1038" t="str">
        <f t="shared" si="495"/>
        <v>256</v>
      </c>
      <c r="B1117" s="688" t="s">
        <v>4192</v>
      </c>
      <c r="C1117" s="688"/>
      <c r="D1117" s="1007"/>
      <c r="E1117" s="1001" t="str">
        <f>IF(D1117="","",D1117/SUM($D$1117:$D$1121))</f>
        <v/>
      </c>
      <c r="F1117" s="1004" t="e">
        <f>IF(J1117="","$",IF(C1117="当選","-",D1117*100/MAX($D$1117:$D$1121)))</f>
        <v>#DIV/0!</v>
      </c>
      <c r="G1117" s="687" t="s">
        <v>4198</v>
      </c>
      <c r="H1117" s="687">
        <v>52</v>
      </c>
      <c r="I1117" s="696" t="s">
        <v>19</v>
      </c>
      <c r="J1117" s="689" t="s">
        <v>15273</v>
      </c>
      <c r="K1117" s="747" t="s">
        <v>4199</v>
      </c>
      <c r="L1117" s="687"/>
      <c r="M1117" s="687"/>
      <c r="N1117" s="692" t="s">
        <v>16127</v>
      </c>
      <c r="O1117" s="687" t="s">
        <v>44</v>
      </c>
      <c r="P1117" s="687" t="s">
        <v>25</v>
      </c>
      <c r="Q1117" s="748">
        <v>1</v>
      </c>
      <c r="R1117" s="749">
        <v>1</v>
      </c>
      <c r="S1117" s="805" t="s">
        <v>736</v>
      </c>
    </row>
    <row r="1118" spans="1:19" ht="12" customHeight="1">
      <c r="A1118" s="1040" t="str">
        <f t="shared" si="495"/>
        <v>256</v>
      </c>
      <c r="B1118" s="4" t="s">
        <v>4193</v>
      </c>
      <c r="C1118" s="4"/>
      <c r="D1118" s="1008"/>
      <c r="E1118" s="1002" t="str">
        <f t="shared" ref="E1118:E1121" si="512">IF(D1118="","",D1118/SUM($D$1117:$D$1121))</f>
        <v/>
      </c>
      <c r="F1118" s="1005" t="e">
        <f t="shared" ref="F1118:F1121" si="513">IF(J1118="","$",IF(C1118="当選","-",D1118*100/MAX($D$1117:$D$1121)))</f>
        <v>#DIV/0!</v>
      </c>
      <c r="G1118" s="1" t="s">
        <v>4202</v>
      </c>
      <c r="H1118" s="1">
        <v>62</v>
      </c>
      <c r="I1118" s="2" t="s">
        <v>5</v>
      </c>
      <c r="J1118" s="1" t="s">
        <v>15273</v>
      </c>
      <c r="K1118" s="3" t="s">
        <v>4203</v>
      </c>
      <c r="L1118" s="1"/>
      <c r="M1118" s="1"/>
      <c r="N1118" s="4" t="s">
        <v>16120</v>
      </c>
      <c r="O1118" s="1" t="s">
        <v>476</v>
      </c>
      <c r="P1118" s="1" t="s">
        <v>25</v>
      </c>
      <c r="Q1118" s="16">
        <v>5</v>
      </c>
      <c r="R1118" s="17">
        <v>6</v>
      </c>
      <c r="S1118" s="774"/>
    </row>
    <row r="1119" spans="1:19" ht="12" customHeight="1">
      <c r="A1119" s="1040" t="str">
        <f t="shared" si="495"/>
        <v>256</v>
      </c>
      <c r="B1119" s="4" t="s">
        <v>4194</v>
      </c>
      <c r="C1119" s="4"/>
      <c r="D1119" s="1008"/>
      <c r="E1119" s="1002" t="str">
        <f t="shared" si="512"/>
        <v/>
      </c>
      <c r="F1119" s="1005" t="e">
        <f t="shared" si="513"/>
        <v>#DIV/0!</v>
      </c>
      <c r="G1119" s="1" t="s">
        <v>5196</v>
      </c>
      <c r="H1119" s="1">
        <v>54</v>
      </c>
      <c r="I1119" s="2" t="s">
        <v>5</v>
      </c>
      <c r="J1119" s="1" t="s">
        <v>15273</v>
      </c>
      <c r="K1119" s="3"/>
      <c r="L1119" s="1"/>
      <c r="M1119" s="1"/>
      <c r="N1119" s="4" t="s">
        <v>16116</v>
      </c>
      <c r="O1119" s="1" t="s">
        <v>276</v>
      </c>
      <c r="P1119" s="1" t="s">
        <v>6</v>
      </c>
      <c r="Q1119" s="16"/>
      <c r="R1119" s="17"/>
      <c r="S1119" s="774"/>
    </row>
    <row r="1120" spans="1:19" ht="12" customHeight="1">
      <c r="A1120" s="1040" t="str">
        <f t="shared" si="495"/>
        <v>256</v>
      </c>
      <c r="B1120" s="4" t="s">
        <v>5195</v>
      </c>
      <c r="C1120" s="4"/>
      <c r="D1120" s="1008"/>
      <c r="E1120" s="1002" t="str">
        <f t="shared" si="512"/>
        <v/>
      </c>
      <c r="F1120" s="1005" t="str">
        <f t="shared" si="513"/>
        <v>$</v>
      </c>
      <c r="G1120" s="1" t="s">
        <v>4210</v>
      </c>
      <c r="H1120" s="1">
        <v>45</v>
      </c>
      <c r="I1120" s="2" t="s">
        <v>5</v>
      </c>
      <c r="J1120" s="1"/>
      <c r="K1120" s="3"/>
      <c r="L1120" s="1"/>
      <c r="M1120" s="1"/>
      <c r="N1120" s="4" t="s">
        <v>16117</v>
      </c>
      <c r="O1120" s="1"/>
      <c r="P1120" s="1" t="s">
        <v>6</v>
      </c>
      <c r="Q1120" s="16"/>
      <c r="R1120" s="17"/>
      <c r="S1120" s="774"/>
    </row>
    <row r="1121" spans="1:19" ht="12" customHeight="1" thickBot="1">
      <c r="A1121" s="916" t="str">
        <f t="shared" si="495"/>
        <v>256</v>
      </c>
      <c r="B1121" s="700" t="s">
        <v>5604</v>
      </c>
      <c r="C1121" s="700"/>
      <c r="D1121" s="1009"/>
      <c r="E1121" s="1003" t="str">
        <f t="shared" si="512"/>
        <v/>
      </c>
      <c r="F1121" s="1041" t="str">
        <f t="shared" si="513"/>
        <v>$</v>
      </c>
      <c r="G1121" s="906" t="s">
        <v>5605</v>
      </c>
      <c r="H1121" s="906">
        <v>51</v>
      </c>
      <c r="I1121" s="702" t="s">
        <v>5</v>
      </c>
      <c r="J1121" s="906"/>
      <c r="K1121" s="703"/>
      <c r="L1121" s="906"/>
      <c r="M1121" s="906"/>
      <c r="N1121" s="704" t="s">
        <v>16129</v>
      </c>
      <c r="O1121" s="906"/>
      <c r="P1121" s="906" t="s">
        <v>6</v>
      </c>
      <c r="Q1121" s="705"/>
      <c r="R1121" s="903"/>
      <c r="S1121" s="793"/>
    </row>
    <row r="1122" spans="1:19" ht="12" customHeight="1">
      <c r="A1122" s="1038" t="str">
        <f t="shared" si="495"/>
        <v>257</v>
      </c>
      <c r="B1122" s="688" t="s">
        <v>4213</v>
      </c>
      <c r="C1122" s="688"/>
      <c r="D1122" s="1007"/>
      <c r="E1122" s="1001" t="str">
        <f>IF(D1122="","",D1122/SUM($D$1122:$D$1125))</f>
        <v/>
      </c>
      <c r="F1122" s="1004" t="e">
        <f>IF(J1122="","$",IF(C1122="当選","-",D1122*100/MAX($D$1122:$D$1125)))</f>
        <v>#DIV/0!</v>
      </c>
      <c r="G1122" s="687" t="s">
        <v>4216</v>
      </c>
      <c r="H1122" s="687">
        <v>60</v>
      </c>
      <c r="I1122" s="696" t="s">
        <v>5</v>
      </c>
      <c r="J1122" s="687" t="s">
        <v>15273</v>
      </c>
      <c r="K1122" s="747" t="s">
        <v>4217</v>
      </c>
      <c r="L1122" s="687"/>
      <c r="M1122" s="687"/>
      <c r="N1122" s="692" t="s">
        <v>16120</v>
      </c>
      <c r="O1122" s="687" t="s">
        <v>30</v>
      </c>
      <c r="P1122" s="687" t="s">
        <v>25</v>
      </c>
      <c r="Q1122" s="748">
        <v>8</v>
      </c>
      <c r="R1122" s="749">
        <v>8</v>
      </c>
      <c r="S1122" s="805"/>
    </row>
    <row r="1123" spans="1:19" ht="12" customHeight="1">
      <c r="A1123" s="1040" t="str">
        <f t="shared" si="495"/>
        <v>257</v>
      </c>
      <c r="B1123" s="4" t="s">
        <v>4214</v>
      </c>
      <c r="C1123" s="4"/>
      <c r="D1123" s="1008"/>
      <c r="E1123" s="1002" t="str">
        <f t="shared" ref="E1123:E1125" si="514">IF(D1123="","",D1123/SUM($D$1122:$D$1125))</f>
        <v/>
      </c>
      <c r="F1123" s="1005" t="e">
        <f t="shared" ref="F1123:F1125" si="515">IF(J1123="","$",IF(C1123="当選","-",D1123*100/MAX($D$1122:$D$1125)))</f>
        <v>#DIV/0!</v>
      </c>
      <c r="G1123" s="1" t="s">
        <v>4208</v>
      </c>
      <c r="H1123" s="1">
        <v>37</v>
      </c>
      <c r="I1123" s="2" t="s">
        <v>5</v>
      </c>
      <c r="J1123" s="1" t="s">
        <v>15273</v>
      </c>
      <c r="K1123" s="3" t="s">
        <v>4638</v>
      </c>
      <c r="L1123" s="1" t="s">
        <v>373</v>
      </c>
      <c r="M1123" s="1"/>
      <c r="N1123" s="4" t="s">
        <v>16125</v>
      </c>
      <c r="O1123" s="1"/>
      <c r="P1123" s="1" t="s">
        <v>6</v>
      </c>
      <c r="Q1123" s="16"/>
      <c r="R1123" s="17">
        <v>2</v>
      </c>
      <c r="S1123" s="774" t="s">
        <v>5561</v>
      </c>
    </row>
    <row r="1124" spans="1:19" ht="12" customHeight="1">
      <c r="A1124" s="1040" t="str">
        <f t="shared" si="495"/>
        <v>257</v>
      </c>
      <c r="B1124" s="4" t="s">
        <v>4215</v>
      </c>
      <c r="C1124" s="4"/>
      <c r="D1124" s="1008"/>
      <c r="E1124" s="1002" t="str">
        <f t="shared" si="514"/>
        <v/>
      </c>
      <c r="F1124" s="1005" t="e">
        <f t="shared" si="515"/>
        <v>#DIV/0!</v>
      </c>
      <c r="G1124" s="1" t="s">
        <v>5307</v>
      </c>
      <c r="H1124" s="1">
        <v>39</v>
      </c>
      <c r="I1124" s="2" t="s">
        <v>5</v>
      </c>
      <c r="J1124" s="1" t="s">
        <v>15273</v>
      </c>
      <c r="K1124" s="3"/>
      <c r="L1124" s="1"/>
      <c r="M1124" s="1"/>
      <c r="N1124" s="4" t="s">
        <v>16116</v>
      </c>
      <c r="O1124" s="1" t="s">
        <v>18494</v>
      </c>
      <c r="P1124" s="1" t="s">
        <v>6</v>
      </c>
      <c r="Q1124" s="16"/>
      <c r="R1124" s="17"/>
      <c r="S1124" s="774" t="s">
        <v>6154</v>
      </c>
    </row>
    <row r="1125" spans="1:19" ht="12" customHeight="1" thickBot="1">
      <c r="A1125" s="916" t="str">
        <f t="shared" si="495"/>
        <v>257</v>
      </c>
      <c r="B1125" s="700" t="s">
        <v>4637</v>
      </c>
      <c r="C1125" s="700"/>
      <c r="D1125" s="1009"/>
      <c r="E1125" s="1003" t="str">
        <f t="shared" si="514"/>
        <v/>
      </c>
      <c r="F1125" s="1041" t="str">
        <f t="shared" si="515"/>
        <v>$</v>
      </c>
      <c r="G1125" s="906" t="s">
        <v>5642</v>
      </c>
      <c r="H1125" s="906">
        <v>57</v>
      </c>
      <c r="I1125" s="702" t="s">
        <v>19</v>
      </c>
      <c r="J1125" s="906"/>
      <c r="K1125" s="703"/>
      <c r="L1125" s="906"/>
      <c r="M1125" s="906"/>
      <c r="N1125" s="700" t="s">
        <v>16117</v>
      </c>
      <c r="O1125" s="906"/>
      <c r="P1125" s="906" t="s">
        <v>6</v>
      </c>
      <c r="Q1125" s="705"/>
      <c r="R1125" s="903"/>
      <c r="S1125" s="793"/>
    </row>
    <row r="1126" spans="1:19" ht="12" customHeight="1">
      <c r="A1126" s="1038" t="str">
        <f t="shared" si="495"/>
        <v>258</v>
      </c>
      <c r="B1126" s="688" t="s">
        <v>4220</v>
      </c>
      <c r="C1126" s="688"/>
      <c r="D1126" s="1007"/>
      <c r="E1126" s="1001" t="str">
        <f>IF(D1126="","",D1126/SUM($D$1126:$D$1129))</f>
        <v/>
      </c>
      <c r="F1126" s="1004" t="e">
        <f>IF(J1126="","$",IF(C1126="当選","-",D1126*100/MAX($D$1126:$D$1129)))</f>
        <v>#DIV/0!</v>
      </c>
      <c r="G1126" s="687" t="s">
        <v>4223</v>
      </c>
      <c r="H1126" s="687">
        <v>49</v>
      </c>
      <c r="I1126" s="696" t="s">
        <v>5</v>
      </c>
      <c r="J1126" s="689" t="s">
        <v>15273</v>
      </c>
      <c r="K1126" s="747" t="s">
        <v>4224</v>
      </c>
      <c r="L1126" s="687"/>
      <c r="M1126" s="687"/>
      <c r="N1126" s="692" t="s">
        <v>16126</v>
      </c>
      <c r="O1126" s="687" t="s">
        <v>44</v>
      </c>
      <c r="P1126" s="687" t="s">
        <v>25</v>
      </c>
      <c r="Q1126" s="748">
        <v>1</v>
      </c>
      <c r="R1126" s="749">
        <v>1</v>
      </c>
      <c r="S1126" s="805" t="s">
        <v>736</v>
      </c>
    </row>
    <row r="1127" spans="1:19" ht="12" customHeight="1">
      <c r="A1127" s="1040" t="str">
        <f t="shared" si="495"/>
        <v>258</v>
      </c>
      <c r="B1127" s="4" t="s">
        <v>4221</v>
      </c>
      <c r="C1127" s="4"/>
      <c r="D1127" s="1008"/>
      <c r="E1127" s="1002" t="str">
        <f t="shared" ref="E1127:E1129" si="516">IF(D1127="","",D1127/SUM($D$1126:$D$1129))</f>
        <v/>
      </c>
      <c r="F1127" s="1005" t="e">
        <f t="shared" ref="F1127:F1129" si="517">IF(J1127="","$",IF(C1127="当選","-",D1127*100/MAX($D$1126:$D$1129)))</f>
        <v>#DIV/0!</v>
      </c>
      <c r="G1127" s="1" t="s">
        <v>4227</v>
      </c>
      <c r="H1127" s="1">
        <v>56</v>
      </c>
      <c r="I1127" s="2" t="s">
        <v>5</v>
      </c>
      <c r="J1127" s="1" t="s">
        <v>15273</v>
      </c>
      <c r="K1127" s="3"/>
      <c r="L1127" s="1"/>
      <c r="M1127" s="1"/>
      <c r="N1127" s="4" t="s">
        <v>16120</v>
      </c>
      <c r="O1127" s="1" t="s">
        <v>30</v>
      </c>
      <c r="P1127" s="1" t="s">
        <v>6</v>
      </c>
      <c r="Q1127" s="16"/>
      <c r="R1127" s="17"/>
      <c r="S1127" s="774"/>
    </row>
    <row r="1128" spans="1:19" ht="12" customHeight="1">
      <c r="A1128" s="1040" t="str">
        <f t="shared" si="495"/>
        <v>258</v>
      </c>
      <c r="B1128" s="4" t="s">
        <v>4222</v>
      </c>
      <c r="C1128" s="4"/>
      <c r="D1128" s="1008"/>
      <c r="E1128" s="1002" t="str">
        <f t="shared" si="516"/>
        <v/>
      </c>
      <c r="F1128" s="1005" t="e">
        <f t="shared" si="517"/>
        <v>#DIV/0!</v>
      </c>
      <c r="G1128" s="1" t="s">
        <v>5203</v>
      </c>
      <c r="H1128" s="1">
        <v>31</v>
      </c>
      <c r="I1128" s="2" t="s">
        <v>19</v>
      </c>
      <c r="J1128" s="1" t="s">
        <v>15273</v>
      </c>
      <c r="K1128" s="3"/>
      <c r="L1128" s="1"/>
      <c r="M1128" s="1"/>
      <c r="N1128" s="4" t="s">
        <v>16116</v>
      </c>
      <c r="O1128" s="1" t="s">
        <v>18494</v>
      </c>
      <c r="P1128" s="1" t="s">
        <v>6</v>
      </c>
      <c r="Q1128" s="16"/>
      <c r="R1128" s="17"/>
      <c r="S1128" s="774" t="s">
        <v>6154</v>
      </c>
    </row>
    <row r="1129" spans="1:19" ht="12" customHeight="1" thickBot="1">
      <c r="A1129" s="916" t="str">
        <f t="shared" si="495"/>
        <v>258</v>
      </c>
      <c r="B1129" s="700" t="s">
        <v>5202</v>
      </c>
      <c r="C1129" s="700"/>
      <c r="D1129" s="1009"/>
      <c r="E1129" s="1003" t="str">
        <f t="shared" si="516"/>
        <v/>
      </c>
      <c r="F1129" s="1041" t="str">
        <f t="shared" si="517"/>
        <v>$</v>
      </c>
      <c r="G1129" s="906" t="s">
        <v>4229</v>
      </c>
      <c r="H1129" s="906">
        <v>60</v>
      </c>
      <c r="I1129" s="702" t="s">
        <v>5</v>
      </c>
      <c r="J1129" s="906"/>
      <c r="K1129" s="703"/>
      <c r="L1129" s="906"/>
      <c r="M1129" s="906"/>
      <c r="N1129" s="700" t="s">
        <v>16117</v>
      </c>
      <c r="O1129" s="906"/>
      <c r="P1129" s="906" t="s">
        <v>6</v>
      </c>
      <c r="Q1129" s="705"/>
      <c r="R1129" s="903"/>
      <c r="S1129" s="793"/>
    </row>
    <row r="1130" spans="1:19" ht="12" customHeight="1">
      <c r="A1130" s="1038" t="str">
        <f t="shared" si="495"/>
        <v>259</v>
      </c>
      <c r="B1130" s="688" t="s">
        <v>4233</v>
      </c>
      <c r="C1130" s="688"/>
      <c r="D1130" s="1007"/>
      <c r="E1130" s="1001" t="str">
        <f>IF(D1130="","",D1130/SUM($D$1130:$D$1133))</f>
        <v/>
      </c>
      <c r="F1130" s="1004" t="e">
        <f>IF(J1130="","$",IF(C1130="当選","-",D1130*100/MAX($D$1130:$D$1133)))</f>
        <v>#DIV/0!</v>
      </c>
      <c r="G1130" s="687" t="s">
        <v>4241</v>
      </c>
      <c r="H1130" s="687">
        <v>40</v>
      </c>
      <c r="I1130" s="696" t="s">
        <v>5</v>
      </c>
      <c r="J1130" s="689" t="s">
        <v>15273</v>
      </c>
      <c r="K1130" s="747" t="s">
        <v>4242</v>
      </c>
      <c r="L1130" s="687"/>
      <c r="M1130" s="687"/>
      <c r="N1130" s="692" t="s">
        <v>16127</v>
      </c>
      <c r="O1130" s="687" t="s">
        <v>44</v>
      </c>
      <c r="P1130" s="687" t="s">
        <v>25</v>
      </c>
      <c r="Q1130" s="748">
        <v>1</v>
      </c>
      <c r="R1130" s="749">
        <v>1</v>
      </c>
      <c r="S1130" s="805" t="s">
        <v>736</v>
      </c>
    </row>
    <row r="1131" spans="1:19" ht="12" customHeight="1">
      <c r="A1131" s="1040" t="str">
        <f t="shared" si="495"/>
        <v>259</v>
      </c>
      <c r="B1131" s="4" t="s">
        <v>4234</v>
      </c>
      <c r="C1131" s="4"/>
      <c r="D1131" s="1008"/>
      <c r="E1131" s="1002" t="str">
        <f t="shared" ref="E1131:E1133" si="518">IF(D1131="","",D1131/SUM($D$1130:$D$1133))</f>
        <v/>
      </c>
      <c r="F1131" s="1005" t="e">
        <f t="shared" ref="F1131:F1133" si="519">IF(J1131="","$",IF(C1131="当選","-",D1131*100/MAX($D$1130:$D$1133)))</f>
        <v>#DIV/0!</v>
      </c>
      <c r="G1131" s="1" t="s">
        <v>4237</v>
      </c>
      <c r="H1131" s="1">
        <v>65</v>
      </c>
      <c r="I1131" s="2" t="s">
        <v>5</v>
      </c>
      <c r="J1131" s="1" t="s">
        <v>15273</v>
      </c>
      <c r="K1131" s="3" t="s">
        <v>4238</v>
      </c>
      <c r="L1131" s="1"/>
      <c r="M1131" s="1"/>
      <c r="N1131" s="4" t="s">
        <v>16120</v>
      </c>
      <c r="O1131" s="1" t="s">
        <v>30</v>
      </c>
      <c r="P1131" s="1" t="s">
        <v>25</v>
      </c>
      <c r="Q1131" s="16">
        <v>6</v>
      </c>
      <c r="R1131" s="17">
        <v>6</v>
      </c>
      <c r="S1131" s="774" t="s">
        <v>5457</v>
      </c>
    </row>
    <row r="1132" spans="1:19" ht="12" customHeight="1">
      <c r="A1132" s="1040" t="str">
        <f t="shared" si="495"/>
        <v>259</v>
      </c>
      <c r="B1132" s="4" t="s">
        <v>4235</v>
      </c>
      <c r="C1132" s="4"/>
      <c r="D1132" s="1008"/>
      <c r="E1132" s="1002" t="str">
        <f t="shared" si="518"/>
        <v/>
      </c>
      <c r="F1132" s="1005" t="e">
        <f t="shared" si="519"/>
        <v>#DIV/0!</v>
      </c>
      <c r="G1132" s="1" t="s">
        <v>4248</v>
      </c>
      <c r="H1132" s="1">
        <v>47</v>
      </c>
      <c r="I1132" s="2" t="s">
        <v>5</v>
      </c>
      <c r="J1132" s="1" t="s">
        <v>15273</v>
      </c>
      <c r="K1132" s="3" t="s">
        <v>4249</v>
      </c>
      <c r="L1132" s="1" t="s">
        <v>373</v>
      </c>
      <c r="M1132" s="1"/>
      <c r="N1132" s="4" t="s">
        <v>16116</v>
      </c>
      <c r="O1132" s="1" t="s">
        <v>6154</v>
      </c>
      <c r="P1132" s="1" t="s">
        <v>6</v>
      </c>
      <c r="Q1132" s="16"/>
      <c r="R1132" s="17">
        <v>1</v>
      </c>
      <c r="S1132" s="774" t="s">
        <v>6154</v>
      </c>
    </row>
    <row r="1133" spans="1:19" ht="12" customHeight="1" thickBot="1">
      <c r="A1133" s="916" t="str">
        <f t="shared" si="495"/>
        <v>259</v>
      </c>
      <c r="B1133" s="700" t="s">
        <v>4236</v>
      </c>
      <c r="C1133" s="700"/>
      <c r="D1133" s="1009"/>
      <c r="E1133" s="1003" t="str">
        <f t="shared" si="518"/>
        <v/>
      </c>
      <c r="F1133" s="1041" t="str">
        <f t="shared" si="519"/>
        <v>$</v>
      </c>
      <c r="G1133" s="906" t="s">
        <v>4245</v>
      </c>
      <c r="H1133" s="906">
        <v>55</v>
      </c>
      <c r="I1133" s="702" t="s">
        <v>5</v>
      </c>
      <c r="J1133" s="906"/>
      <c r="K1133" s="703"/>
      <c r="L1133" s="906"/>
      <c r="M1133" s="906"/>
      <c r="N1133" s="700" t="s">
        <v>16117</v>
      </c>
      <c r="O1133" s="906"/>
      <c r="P1133" s="906" t="s">
        <v>6</v>
      </c>
      <c r="Q1133" s="705"/>
      <c r="R1133" s="903"/>
      <c r="S1133" s="793"/>
    </row>
    <row r="1134" spans="1:19" ht="12" customHeight="1">
      <c r="A1134" s="1038" t="str">
        <f t="shared" si="495"/>
        <v>260</v>
      </c>
      <c r="B1134" s="688" t="s">
        <v>4254</v>
      </c>
      <c r="C1134" s="688"/>
      <c r="D1134" s="1007"/>
      <c r="E1134" s="1001" t="str">
        <f>IF(D1134="","",D1134/SUM($D$1134:$D$1137))</f>
        <v/>
      </c>
      <c r="F1134" s="1004" t="e">
        <f>IF(J1134="","$",IF(C1134="当選","-",D1134*100/MAX($D$1134:$D$1137)))</f>
        <v>#DIV/0!</v>
      </c>
      <c r="G1134" s="687" t="s">
        <v>4257</v>
      </c>
      <c r="H1134" s="687">
        <v>32</v>
      </c>
      <c r="I1134" s="696" t="s">
        <v>5</v>
      </c>
      <c r="J1134" s="689" t="s">
        <v>15273</v>
      </c>
      <c r="K1134" s="747"/>
      <c r="L1134" s="687"/>
      <c r="M1134" s="687"/>
      <c r="N1134" s="692" t="s">
        <v>16127</v>
      </c>
      <c r="O1134" s="687" t="s">
        <v>44</v>
      </c>
      <c r="P1134" s="687" t="s">
        <v>6</v>
      </c>
      <c r="Q1134" s="748"/>
      <c r="R1134" s="749"/>
      <c r="S1134" s="805" t="s">
        <v>736</v>
      </c>
    </row>
    <row r="1135" spans="1:19" ht="12" customHeight="1">
      <c r="A1135" s="1040" t="str">
        <f t="shared" si="495"/>
        <v>260</v>
      </c>
      <c r="B1135" s="4" t="s">
        <v>4255</v>
      </c>
      <c r="C1135" s="4"/>
      <c r="D1135" s="1008"/>
      <c r="E1135" s="1002" t="str">
        <f t="shared" ref="E1135:E1137" si="520">IF(D1135="","",D1135/SUM($D$1134:$D$1137))</f>
        <v/>
      </c>
      <c r="F1135" s="1005" t="e">
        <f t="shared" ref="F1135:F1137" si="521">IF(J1135="","$",IF(C1135="当選","-",D1135*100/MAX($D$1134:$D$1137)))</f>
        <v>#DIV/0!</v>
      </c>
      <c r="G1135" s="1" t="s">
        <v>4260</v>
      </c>
      <c r="H1135" s="1">
        <v>59</v>
      </c>
      <c r="I1135" s="2" t="s">
        <v>5</v>
      </c>
      <c r="J1135" s="1" t="s">
        <v>15273</v>
      </c>
      <c r="K1135" s="3" t="s">
        <v>4261</v>
      </c>
      <c r="L1135" s="1"/>
      <c r="M1135" s="1"/>
      <c r="N1135" s="8" t="s">
        <v>16120</v>
      </c>
      <c r="O1135" s="1" t="s">
        <v>476</v>
      </c>
      <c r="P1135" s="1" t="s">
        <v>25</v>
      </c>
      <c r="Q1135" s="16">
        <v>4</v>
      </c>
      <c r="R1135" s="17">
        <v>4</v>
      </c>
      <c r="S1135" s="774" t="s">
        <v>5457</v>
      </c>
    </row>
    <row r="1136" spans="1:19" ht="12" customHeight="1">
      <c r="A1136" s="1040" t="str">
        <f t="shared" si="495"/>
        <v>260</v>
      </c>
      <c r="B1136" s="4" t="s">
        <v>4256</v>
      </c>
      <c r="C1136" s="4"/>
      <c r="D1136" s="1008"/>
      <c r="E1136" s="1002" t="str">
        <f t="shared" si="520"/>
        <v/>
      </c>
      <c r="F1136" s="1005" t="e">
        <f t="shared" si="521"/>
        <v>#DIV/0!</v>
      </c>
      <c r="G1136" s="1" t="s">
        <v>5437</v>
      </c>
      <c r="H1136" s="1">
        <v>35</v>
      </c>
      <c r="I1136" s="2" t="s">
        <v>5</v>
      </c>
      <c r="J1136" s="1" t="s">
        <v>15273</v>
      </c>
      <c r="K1136" s="3"/>
      <c r="L1136" s="1"/>
      <c r="M1136" s="1"/>
      <c r="N1136" s="4" t="s">
        <v>16116</v>
      </c>
      <c r="O1136" s="1" t="s">
        <v>18494</v>
      </c>
      <c r="P1136" s="1" t="s">
        <v>6</v>
      </c>
      <c r="Q1136" s="16"/>
      <c r="R1136" s="17"/>
      <c r="S1136" s="774" t="s">
        <v>6154</v>
      </c>
    </row>
    <row r="1137" spans="1:19" ht="12" customHeight="1" thickBot="1">
      <c r="A1137" s="916" t="str">
        <f t="shared" si="495"/>
        <v>260</v>
      </c>
      <c r="B1137" s="700" t="s">
        <v>5436</v>
      </c>
      <c r="C1137" s="700"/>
      <c r="D1137" s="1009"/>
      <c r="E1137" s="1003" t="str">
        <f t="shared" si="520"/>
        <v/>
      </c>
      <c r="F1137" s="1041" t="e">
        <f t="shared" si="521"/>
        <v>#DIV/0!</v>
      </c>
      <c r="G1137" s="906" t="s">
        <v>4264</v>
      </c>
      <c r="H1137" s="906">
        <v>53</v>
      </c>
      <c r="I1137" s="702" t="s">
        <v>5</v>
      </c>
      <c r="J1137" s="906" t="s">
        <v>15273</v>
      </c>
      <c r="K1137" s="703"/>
      <c r="L1137" s="906"/>
      <c r="M1137" s="906"/>
      <c r="N1137" s="700" t="s">
        <v>16117</v>
      </c>
      <c r="O1137" s="906"/>
      <c r="P1137" s="906" t="s">
        <v>14</v>
      </c>
      <c r="Q1137" s="705">
        <v>2</v>
      </c>
      <c r="R1137" s="903">
        <v>2</v>
      </c>
      <c r="S1137" s="793"/>
    </row>
    <row r="1138" spans="1:19" ht="12" customHeight="1">
      <c r="A1138" s="1038" t="str">
        <f t="shared" si="495"/>
        <v>261</v>
      </c>
      <c r="B1138" s="688" t="s">
        <v>4266</v>
      </c>
      <c r="C1138" s="688"/>
      <c r="D1138" s="1007"/>
      <c r="E1138" s="1001" t="str">
        <f>IF(D1138="","",D1138/SUM($D$1138:$D$1139))</f>
        <v/>
      </c>
      <c r="F1138" s="1004" t="e">
        <f>IF(J1138="","$",IF(C1138="当選","-",D1138*100/MAX($D$1138:$D$1139)))</f>
        <v>#DIV/0!</v>
      </c>
      <c r="G1138" s="687" t="s">
        <v>4268</v>
      </c>
      <c r="H1138" s="687">
        <v>55</v>
      </c>
      <c r="I1138" s="696" t="s">
        <v>5</v>
      </c>
      <c r="J1138" s="687" t="s">
        <v>15273</v>
      </c>
      <c r="K1138" s="747" t="s">
        <v>4269</v>
      </c>
      <c r="L1138" s="687"/>
      <c r="M1138" s="687"/>
      <c r="N1138" s="688" t="s">
        <v>16120</v>
      </c>
      <c r="O1138" s="687" t="s">
        <v>30</v>
      </c>
      <c r="P1138" s="687" t="s">
        <v>25</v>
      </c>
      <c r="Q1138" s="748">
        <v>7</v>
      </c>
      <c r="R1138" s="749">
        <v>7</v>
      </c>
      <c r="S1138" s="805" t="s">
        <v>5457</v>
      </c>
    </row>
    <row r="1139" spans="1:19" ht="12" customHeight="1" thickBot="1">
      <c r="A1139" s="916" t="str">
        <f t="shared" si="495"/>
        <v>261</v>
      </c>
      <c r="B1139" s="700" t="s">
        <v>4267</v>
      </c>
      <c r="C1139" s="700"/>
      <c r="D1139" s="1009"/>
      <c r="E1139" s="1003" t="str">
        <f>IF(D1139="","",D1139/SUM($D$1138:$D$1139))</f>
        <v/>
      </c>
      <c r="F1139" s="1041" t="str">
        <f>IF(J1139="","$",IF(C1139="当選","-",D1139*100/MAX($D$1138:$D$1139)))</f>
        <v>$</v>
      </c>
      <c r="G1139" s="906" t="s">
        <v>4272</v>
      </c>
      <c r="H1139" s="906">
        <v>54</v>
      </c>
      <c r="I1139" s="702" t="s">
        <v>5</v>
      </c>
      <c r="J1139" s="906"/>
      <c r="K1139" s="703"/>
      <c r="L1139" s="906"/>
      <c r="M1139" s="906"/>
      <c r="N1139" s="700" t="s">
        <v>16117</v>
      </c>
      <c r="O1139" s="906"/>
      <c r="P1139" s="906" t="s">
        <v>6</v>
      </c>
      <c r="Q1139" s="705"/>
      <c r="R1139" s="903"/>
      <c r="S1139" s="793"/>
    </row>
    <row r="1140" spans="1:19" ht="12" customHeight="1">
      <c r="A1140" s="1038" t="str">
        <f t="shared" si="495"/>
        <v>262</v>
      </c>
      <c r="B1140" s="688" t="s">
        <v>4275</v>
      </c>
      <c r="C1140" s="688"/>
      <c r="D1140" s="1007"/>
      <c r="E1140" s="1001" t="str">
        <f>IF(D1140="","",D1140/SUM($D$1140:$D$1141))</f>
        <v/>
      </c>
      <c r="F1140" s="1004" t="e">
        <f>IF(J1140="","$",IF(C1140="当選","-",D1140*100/MAX($D$1140:$D$1141)))</f>
        <v>#DIV/0!</v>
      </c>
      <c r="G1140" s="687" t="s">
        <v>4277</v>
      </c>
      <c r="H1140" s="687">
        <v>60</v>
      </c>
      <c r="I1140" s="696" t="s">
        <v>5</v>
      </c>
      <c r="J1140" s="687" t="s">
        <v>15273</v>
      </c>
      <c r="K1140" s="747" t="s">
        <v>4278</v>
      </c>
      <c r="L1140" s="687"/>
      <c r="M1140" s="687"/>
      <c r="N1140" s="688" t="s">
        <v>16120</v>
      </c>
      <c r="O1140" s="687" t="s">
        <v>30</v>
      </c>
      <c r="P1140" s="687" t="s">
        <v>25</v>
      </c>
      <c r="Q1140" s="748">
        <v>7</v>
      </c>
      <c r="R1140" s="749">
        <v>7</v>
      </c>
      <c r="S1140" s="805" t="s">
        <v>5457</v>
      </c>
    </row>
    <row r="1141" spans="1:19" ht="12" customHeight="1" thickBot="1">
      <c r="A1141" s="916" t="str">
        <f t="shared" si="495"/>
        <v>262</v>
      </c>
      <c r="B1141" s="700" t="s">
        <v>4276</v>
      </c>
      <c r="C1141" s="700"/>
      <c r="D1141" s="1009"/>
      <c r="E1141" s="1003" t="str">
        <f>IF(D1141="","",D1141/SUM($D$1140:$D$1141))</f>
        <v/>
      </c>
      <c r="F1141" s="1041" t="str">
        <f>IF(J1141="","$",IF(C1141="当選","-",D1141*100/MAX($D$1140:$D$1141)))</f>
        <v>$</v>
      </c>
      <c r="G1141" s="906" t="s">
        <v>4282</v>
      </c>
      <c r="H1141" s="906">
        <v>62</v>
      </c>
      <c r="I1141" s="702" t="s">
        <v>5</v>
      </c>
      <c r="J1141" s="906"/>
      <c r="K1141" s="703"/>
      <c r="L1141" s="906"/>
      <c r="M1141" s="906"/>
      <c r="N1141" s="700" t="s">
        <v>16117</v>
      </c>
      <c r="O1141" s="906"/>
      <c r="P1141" s="906" t="s">
        <v>6</v>
      </c>
      <c r="Q1141" s="705"/>
      <c r="R1141" s="903"/>
      <c r="S1141" s="793"/>
    </row>
    <row r="1142" spans="1:19" ht="12" customHeight="1">
      <c r="A1142" s="1038" t="str">
        <f t="shared" si="495"/>
        <v>263</v>
      </c>
      <c r="B1142" s="688" t="s">
        <v>4292</v>
      </c>
      <c r="C1142" s="688"/>
      <c r="D1142" s="1007"/>
      <c r="E1142" s="1001" t="str">
        <f>IF(D1142="","",D1142/SUM($D$1142:$D$1146))</f>
        <v/>
      </c>
      <c r="F1142" s="1004" t="e">
        <f>IF(J1142="","$",IF(C1142="当選","-",D1142*100/MAX($D$1142:$D$1146)))</f>
        <v>#DIV/0!</v>
      </c>
      <c r="G1142" s="687" t="s">
        <v>4296</v>
      </c>
      <c r="H1142" s="687">
        <v>61</v>
      </c>
      <c r="I1142" s="696" t="s">
        <v>5</v>
      </c>
      <c r="J1142" s="689" t="s">
        <v>15273</v>
      </c>
      <c r="K1142" s="747" t="s">
        <v>4297</v>
      </c>
      <c r="L1142" s="687"/>
      <c r="M1142" s="687"/>
      <c r="N1142" s="692" t="s">
        <v>16126</v>
      </c>
      <c r="O1142" s="687" t="s">
        <v>45</v>
      </c>
      <c r="P1142" s="687" t="s">
        <v>25</v>
      </c>
      <c r="Q1142" s="748">
        <v>7</v>
      </c>
      <c r="R1142" s="749">
        <v>7</v>
      </c>
      <c r="S1142" s="805" t="s">
        <v>736</v>
      </c>
    </row>
    <row r="1143" spans="1:19" ht="12" customHeight="1">
      <c r="A1143" s="1040" t="str">
        <f t="shared" si="495"/>
        <v>263</v>
      </c>
      <c r="B1143" s="4" t="s">
        <v>4293</v>
      </c>
      <c r="C1143" s="4"/>
      <c r="D1143" s="1008"/>
      <c r="E1143" s="1002" t="str">
        <f t="shared" ref="E1143:E1146" si="522">IF(D1143="","",D1143/SUM($D$1142:$D$1146))</f>
        <v/>
      </c>
      <c r="F1143" s="1005" t="e">
        <f t="shared" ref="F1143:F1146" si="523">IF(J1143="","$",IF(C1143="当選","-",D1143*100/MAX($D$1142:$D$1146)))</f>
        <v>#DIV/0!</v>
      </c>
      <c r="G1143" s="1" t="s">
        <v>5967</v>
      </c>
      <c r="H1143" s="1">
        <v>50</v>
      </c>
      <c r="I1143" s="2" t="s">
        <v>5</v>
      </c>
      <c r="J1143" s="1" t="s">
        <v>15273</v>
      </c>
      <c r="K1143" s="3"/>
      <c r="L1143" s="1"/>
      <c r="M1143" s="1"/>
      <c r="N1143" s="8" t="s">
        <v>16120</v>
      </c>
      <c r="O1143" s="1" t="s">
        <v>445</v>
      </c>
      <c r="P1143" s="1" t="s">
        <v>6</v>
      </c>
      <c r="Q1143" s="16"/>
      <c r="R1143" s="17"/>
      <c r="S1143" s="774"/>
    </row>
    <row r="1144" spans="1:19" ht="12" customHeight="1">
      <c r="A1144" s="1040" t="str">
        <f t="shared" si="495"/>
        <v>263</v>
      </c>
      <c r="B1144" s="4" t="s">
        <v>4294</v>
      </c>
      <c r="C1144" s="4"/>
      <c r="D1144" s="1008"/>
      <c r="E1144" s="1002" t="str">
        <f t="shared" si="522"/>
        <v/>
      </c>
      <c r="F1144" s="1005" t="e">
        <f t="shared" si="523"/>
        <v>#DIV/0!</v>
      </c>
      <c r="G1144" s="1" t="s">
        <v>4303</v>
      </c>
      <c r="H1144" s="1">
        <v>38</v>
      </c>
      <c r="I1144" s="2" t="s">
        <v>5</v>
      </c>
      <c r="J1144" s="1" t="s">
        <v>15273</v>
      </c>
      <c r="K1144" s="3"/>
      <c r="L1144" s="1"/>
      <c r="M1144" s="1"/>
      <c r="N1144" s="4" t="s">
        <v>18495</v>
      </c>
      <c r="O1144" s="1"/>
      <c r="P1144" s="1" t="s">
        <v>6</v>
      </c>
      <c r="Q1144" s="16"/>
      <c r="R1144" s="17"/>
      <c r="S1144" s="774" t="s">
        <v>6031</v>
      </c>
    </row>
    <row r="1145" spans="1:19" ht="12" customHeight="1">
      <c r="A1145" s="1040" t="str">
        <f t="shared" si="495"/>
        <v>263</v>
      </c>
      <c r="B1145" s="4" t="s">
        <v>4295</v>
      </c>
      <c r="C1145" s="4"/>
      <c r="D1145" s="1008"/>
      <c r="E1145" s="1002" t="str">
        <f t="shared" si="522"/>
        <v/>
      </c>
      <c r="F1145" s="1005" t="str">
        <f t="shared" si="523"/>
        <v>$</v>
      </c>
      <c r="G1145" s="1" t="s">
        <v>4300</v>
      </c>
      <c r="H1145" s="1">
        <v>65</v>
      </c>
      <c r="I1145" s="2" t="s">
        <v>5</v>
      </c>
      <c r="J1145" s="1"/>
      <c r="K1145" s="3"/>
      <c r="L1145" s="1"/>
      <c r="M1145" s="1"/>
      <c r="N1145" s="4" t="s">
        <v>16117</v>
      </c>
      <c r="O1145" s="1"/>
      <c r="P1145" s="1" t="s">
        <v>6</v>
      </c>
      <c r="Q1145" s="16"/>
      <c r="R1145" s="17"/>
      <c r="S1145" s="774"/>
    </row>
    <row r="1146" spans="1:19" ht="12" customHeight="1" thickBot="1">
      <c r="A1146" s="916" t="str">
        <f t="shared" si="495"/>
        <v>263</v>
      </c>
      <c r="B1146" s="700" t="s">
        <v>5971</v>
      </c>
      <c r="C1146" s="700"/>
      <c r="D1146" s="1009"/>
      <c r="E1146" s="1003" t="str">
        <f t="shared" si="522"/>
        <v/>
      </c>
      <c r="F1146" s="1041" t="str">
        <f t="shared" si="523"/>
        <v>$</v>
      </c>
      <c r="G1146" s="906" t="s">
        <v>5972</v>
      </c>
      <c r="H1146" s="906">
        <v>57</v>
      </c>
      <c r="I1146" s="702" t="s">
        <v>19</v>
      </c>
      <c r="J1146" s="906"/>
      <c r="K1146" s="703"/>
      <c r="L1146" s="906"/>
      <c r="M1146" s="906"/>
      <c r="N1146" s="700" t="s">
        <v>16129</v>
      </c>
      <c r="O1146" s="906"/>
      <c r="P1146" s="906" t="s">
        <v>6</v>
      </c>
      <c r="Q1146" s="705"/>
      <c r="R1146" s="903"/>
      <c r="S1146" s="793"/>
    </row>
    <row r="1147" spans="1:19" ht="12" customHeight="1">
      <c r="A1147" s="1038" t="str">
        <f t="shared" si="495"/>
        <v>264</v>
      </c>
      <c r="B1147" s="688" t="s">
        <v>4305</v>
      </c>
      <c r="C1147" s="688"/>
      <c r="D1147" s="1007"/>
      <c r="E1147" s="1001" t="str">
        <f>IF(D1147="","",D1147/SUM($D$1147:$D$1151))</f>
        <v/>
      </c>
      <c r="F1147" s="1004" t="e">
        <f>IF(J1147="","$",IF(C1147="当選","-",D1147*100/MAX($D$1147:$D$1151)))</f>
        <v>#DIV/0!</v>
      </c>
      <c r="G1147" s="687" t="s">
        <v>4308</v>
      </c>
      <c r="H1147" s="687">
        <v>42</v>
      </c>
      <c r="I1147" s="696" t="s">
        <v>5</v>
      </c>
      <c r="J1147" s="689" t="s">
        <v>15273</v>
      </c>
      <c r="K1147" s="747" t="s">
        <v>4309</v>
      </c>
      <c r="L1147" s="687"/>
      <c r="M1147" s="687"/>
      <c r="N1147" s="692" t="s">
        <v>16127</v>
      </c>
      <c r="O1147" s="687" t="s">
        <v>44</v>
      </c>
      <c r="P1147" s="687" t="s">
        <v>25</v>
      </c>
      <c r="Q1147" s="748">
        <v>1</v>
      </c>
      <c r="R1147" s="749">
        <v>1</v>
      </c>
      <c r="S1147" s="805" t="s">
        <v>736</v>
      </c>
    </row>
    <row r="1148" spans="1:19" ht="12" customHeight="1">
      <c r="A1148" s="1040" t="str">
        <f t="shared" si="495"/>
        <v>264</v>
      </c>
      <c r="B1148" s="4" t="s">
        <v>4306</v>
      </c>
      <c r="C1148" s="4"/>
      <c r="D1148" s="1008"/>
      <c r="E1148" s="1002" t="str">
        <f t="shared" ref="E1148:E1151" si="524">IF(D1148="","",D1148/SUM($D$1147:$D$1151))</f>
        <v/>
      </c>
      <c r="F1148" s="1005" t="e">
        <f t="shared" ref="F1148:F1151" si="525">IF(J1148="","$",IF(C1148="当選","-",D1148*100/MAX($D$1147:$D$1151)))</f>
        <v>#DIV/0!</v>
      </c>
      <c r="G1148" s="1" t="s">
        <v>4311</v>
      </c>
      <c r="H1148" s="1">
        <v>40</v>
      </c>
      <c r="I1148" s="2" t="s">
        <v>5</v>
      </c>
      <c r="J1148" s="1" t="s">
        <v>15273</v>
      </c>
      <c r="K1148" s="3"/>
      <c r="L1148" s="1"/>
      <c r="M1148" s="1"/>
      <c r="N1148" s="4" t="s">
        <v>16120</v>
      </c>
      <c r="O1148" s="1" t="s">
        <v>30</v>
      </c>
      <c r="P1148" s="1" t="s">
        <v>6</v>
      </c>
      <c r="Q1148" s="16"/>
      <c r="R1148" s="17"/>
      <c r="S1148" s="774"/>
    </row>
    <row r="1149" spans="1:19" ht="12" customHeight="1">
      <c r="A1149" s="1040" t="str">
        <f t="shared" si="495"/>
        <v>264</v>
      </c>
      <c r="B1149" s="4" t="s">
        <v>4307</v>
      </c>
      <c r="C1149" s="4"/>
      <c r="D1149" s="1008"/>
      <c r="E1149" s="1002" t="str">
        <f t="shared" si="524"/>
        <v/>
      </c>
      <c r="F1149" s="1005" t="e">
        <f t="shared" si="525"/>
        <v>#DIV/0!</v>
      </c>
      <c r="G1149" s="1" t="s">
        <v>4424</v>
      </c>
      <c r="H1149" s="1">
        <v>39</v>
      </c>
      <c r="I1149" s="2" t="s">
        <v>5</v>
      </c>
      <c r="J1149" s="1" t="s">
        <v>15273</v>
      </c>
      <c r="K1149" s="3"/>
      <c r="L1149" s="1"/>
      <c r="M1149" s="1"/>
      <c r="N1149" s="4" t="s">
        <v>16125</v>
      </c>
      <c r="O1149" s="1"/>
      <c r="P1149" s="1" t="s">
        <v>6</v>
      </c>
      <c r="Q1149" s="16"/>
      <c r="R1149" s="17"/>
      <c r="S1149" s="774" t="s">
        <v>5561</v>
      </c>
    </row>
    <row r="1150" spans="1:19" ht="12" customHeight="1">
      <c r="A1150" s="1040" t="str">
        <f t="shared" si="495"/>
        <v>264</v>
      </c>
      <c r="B1150" s="4" t="s">
        <v>4423</v>
      </c>
      <c r="C1150" s="4"/>
      <c r="D1150" s="1008"/>
      <c r="E1150" s="1002" t="str">
        <f t="shared" si="524"/>
        <v/>
      </c>
      <c r="F1150" s="1005" t="e">
        <f t="shared" si="525"/>
        <v>#DIV/0!</v>
      </c>
      <c r="G1150" s="1" t="s">
        <v>5529</v>
      </c>
      <c r="H1150" s="1">
        <v>35</v>
      </c>
      <c r="I1150" s="2" t="s">
        <v>5</v>
      </c>
      <c r="J1150" s="1" t="s">
        <v>15273</v>
      </c>
      <c r="K1150" s="3"/>
      <c r="L1150" s="1"/>
      <c r="M1150" s="1"/>
      <c r="N1150" s="4" t="s">
        <v>16116</v>
      </c>
      <c r="O1150" s="1" t="s">
        <v>4993</v>
      </c>
      <c r="P1150" s="1" t="s">
        <v>6</v>
      </c>
      <c r="Q1150" s="16"/>
      <c r="R1150" s="17"/>
      <c r="S1150" s="774"/>
    </row>
    <row r="1151" spans="1:19" ht="12" customHeight="1" thickBot="1">
      <c r="A1151" s="916" t="str">
        <f t="shared" si="495"/>
        <v>264</v>
      </c>
      <c r="B1151" s="700" t="s">
        <v>5528</v>
      </c>
      <c r="C1151" s="700"/>
      <c r="D1151" s="1009"/>
      <c r="E1151" s="1003" t="str">
        <f t="shared" si="524"/>
        <v/>
      </c>
      <c r="F1151" s="1041" t="str">
        <f t="shared" si="525"/>
        <v>$</v>
      </c>
      <c r="G1151" s="906" t="s">
        <v>4314</v>
      </c>
      <c r="H1151" s="906">
        <v>45</v>
      </c>
      <c r="I1151" s="702" t="s">
        <v>5</v>
      </c>
      <c r="J1151" s="906"/>
      <c r="K1151" s="703"/>
      <c r="L1151" s="906"/>
      <c r="M1151" s="906"/>
      <c r="N1151" s="700" t="s">
        <v>16117</v>
      </c>
      <c r="O1151" s="906"/>
      <c r="P1151" s="906" t="s">
        <v>6</v>
      </c>
      <c r="Q1151" s="705"/>
      <c r="R1151" s="903"/>
      <c r="S1151" s="793"/>
    </row>
    <row r="1152" spans="1:19" ht="12" customHeight="1">
      <c r="A1152" s="1038" t="str">
        <f t="shared" si="495"/>
        <v>265</v>
      </c>
      <c r="B1152" s="688" t="s">
        <v>4316</v>
      </c>
      <c r="C1152" s="688"/>
      <c r="D1152" s="1007"/>
      <c r="E1152" s="1001" t="str">
        <f>IF(D1152="","",D1152/SUM($D$1152:$D$1155))</f>
        <v/>
      </c>
      <c r="F1152" s="1004" t="e">
        <f>IF(J1152="","$",IF(C1152="当選","-",D1152*100/MAX($D$1152:$D$1155)))</f>
        <v>#DIV/0!</v>
      </c>
      <c r="G1152" s="687" t="s">
        <v>4320</v>
      </c>
      <c r="H1152" s="687">
        <v>63</v>
      </c>
      <c r="I1152" s="696" t="s">
        <v>19</v>
      </c>
      <c r="J1152" s="689" t="s">
        <v>15273</v>
      </c>
      <c r="K1152" s="747" t="s">
        <v>4321</v>
      </c>
      <c r="L1152" s="687"/>
      <c r="M1152" s="687"/>
      <c r="N1152" s="692" t="s">
        <v>16127</v>
      </c>
      <c r="O1152" s="687" t="s">
        <v>45</v>
      </c>
      <c r="P1152" s="687" t="s">
        <v>25</v>
      </c>
      <c r="Q1152" s="748">
        <v>2</v>
      </c>
      <c r="R1152" s="749">
        <v>2</v>
      </c>
      <c r="S1152" s="805" t="s">
        <v>736</v>
      </c>
    </row>
    <row r="1153" spans="1:19" ht="12" customHeight="1">
      <c r="A1153" s="1040" t="str">
        <f t="shared" si="495"/>
        <v>265</v>
      </c>
      <c r="B1153" s="4" t="s">
        <v>4317</v>
      </c>
      <c r="C1153" s="4"/>
      <c r="D1153" s="1008"/>
      <c r="E1153" s="1002" t="str">
        <f t="shared" ref="E1153:E1155" si="526">IF(D1153="","",D1153/SUM($D$1152:$D$1155))</f>
        <v/>
      </c>
      <c r="F1153" s="1005" t="e">
        <f t="shared" ref="F1153:F1155" si="527">IF(J1153="","$",IF(C1153="当選","-",D1153*100/MAX($D$1152:$D$1155)))</f>
        <v>#DIV/0!</v>
      </c>
      <c r="G1153" s="1" t="s">
        <v>4325</v>
      </c>
      <c r="H1153" s="1">
        <v>40</v>
      </c>
      <c r="I1153" s="2" t="s">
        <v>5</v>
      </c>
      <c r="J1153" s="1" t="s">
        <v>15273</v>
      </c>
      <c r="K1153" s="3"/>
      <c r="L1153" s="1"/>
      <c r="M1153" s="1"/>
      <c r="N1153" s="4" t="s">
        <v>16120</v>
      </c>
      <c r="O1153" s="1" t="s">
        <v>30</v>
      </c>
      <c r="P1153" s="1" t="s">
        <v>6</v>
      </c>
      <c r="Q1153" s="16"/>
      <c r="R1153" s="17"/>
      <c r="S1153" s="774" t="s">
        <v>5457</v>
      </c>
    </row>
    <row r="1154" spans="1:19" ht="12" customHeight="1">
      <c r="A1154" s="1040" t="str">
        <f t="shared" si="495"/>
        <v>265</v>
      </c>
      <c r="B1154" s="4" t="s">
        <v>4318</v>
      </c>
      <c r="C1154" s="4"/>
      <c r="D1154" s="1008"/>
      <c r="E1154" s="1002" t="str">
        <f t="shared" si="526"/>
        <v/>
      </c>
      <c r="F1154" s="1005" t="e">
        <f t="shared" si="527"/>
        <v>#DIV/0!</v>
      </c>
      <c r="G1154" s="1" t="s">
        <v>4330</v>
      </c>
      <c r="H1154" s="1">
        <v>51</v>
      </c>
      <c r="I1154" s="2" t="s">
        <v>5</v>
      </c>
      <c r="J1154" s="1" t="s">
        <v>15273</v>
      </c>
      <c r="K1154" s="3"/>
      <c r="L1154" s="1"/>
      <c r="M1154" s="1"/>
      <c r="N1154" s="4" t="s">
        <v>18495</v>
      </c>
      <c r="O1154" s="1"/>
      <c r="P1154" s="1" t="s">
        <v>6</v>
      </c>
      <c r="Q1154" s="16"/>
      <c r="R1154" s="17"/>
      <c r="S1154" s="774" t="s">
        <v>6031</v>
      </c>
    </row>
    <row r="1155" spans="1:19" ht="12" customHeight="1" thickBot="1">
      <c r="A1155" s="916" t="str">
        <f t="shared" ref="A1155:A1218" si="528">MIDB(B1155,1,3)</f>
        <v>265</v>
      </c>
      <c r="B1155" s="700" t="s">
        <v>4319</v>
      </c>
      <c r="C1155" s="700"/>
      <c r="D1155" s="1009"/>
      <c r="E1155" s="1003" t="str">
        <f t="shared" si="526"/>
        <v/>
      </c>
      <c r="F1155" s="1041" t="str">
        <f t="shared" si="527"/>
        <v>$</v>
      </c>
      <c r="G1155" s="906" t="s">
        <v>4327</v>
      </c>
      <c r="H1155" s="906">
        <v>31</v>
      </c>
      <c r="I1155" s="702" t="s">
        <v>5</v>
      </c>
      <c r="J1155" s="906"/>
      <c r="K1155" s="703"/>
      <c r="L1155" s="906"/>
      <c r="M1155" s="906"/>
      <c r="N1155" s="700" t="s">
        <v>16117</v>
      </c>
      <c r="O1155" s="906"/>
      <c r="P1155" s="906" t="s">
        <v>6</v>
      </c>
      <c r="Q1155" s="705"/>
      <c r="R1155" s="903"/>
      <c r="S1155" s="793"/>
    </row>
    <row r="1156" spans="1:19" ht="12" customHeight="1">
      <c r="A1156" s="1038" t="str">
        <f t="shared" si="528"/>
        <v>266</v>
      </c>
      <c r="B1156" s="688" t="s">
        <v>4332</v>
      </c>
      <c r="C1156" s="688"/>
      <c r="D1156" s="1007"/>
      <c r="E1156" s="1001" t="str">
        <f>IF(D1156="","",D1156/SUM($D$1156:$D$1161))</f>
        <v/>
      </c>
      <c r="F1156" s="1004" t="e">
        <f>IF(J1156="","$",IF(C1156="当選","-",D1156*100/MAX($D$1156:$D$1161)))</f>
        <v>#DIV/0!</v>
      </c>
      <c r="G1156" s="687" t="s">
        <v>5227</v>
      </c>
      <c r="H1156" s="687">
        <v>38</v>
      </c>
      <c r="I1156" s="696" t="s">
        <v>5</v>
      </c>
      <c r="J1156" s="689" t="s">
        <v>15273</v>
      </c>
      <c r="K1156" s="747"/>
      <c r="L1156" s="687"/>
      <c r="M1156" s="687"/>
      <c r="N1156" s="692" t="s">
        <v>16126</v>
      </c>
      <c r="O1156" s="687" t="s">
        <v>44</v>
      </c>
      <c r="P1156" s="687" t="s">
        <v>6</v>
      </c>
      <c r="Q1156" s="748"/>
      <c r="R1156" s="749"/>
      <c r="S1156" s="805" t="s">
        <v>736</v>
      </c>
    </row>
    <row r="1157" spans="1:19" ht="12" customHeight="1">
      <c r="A1157" s="1040" t="str">
        <f t="shared" si="528"/>
        <v>266</v>
      </c>
      <c r="B1157" s="4" t="s">
        <v>4333</v>
      </c>
      <c r="C1157" s="4"/>
      <c r="D1157" s="1008"/>
      <c r="E1157" s="1002" t="str">
        <f t="shared" ref="E1157:E1161" si="529">IF(D1157="","",D1157/SUM($D$1156:$D$1161))</f>
        <v/>
      </c>
      <c r="F1157" s="1005" t="e">
        <f t="shared" ref="F1157:F1161" si="530">IF(J1157="","$",IF(C1157="当選","-",D1157*100/MAX($D$1156:$D$1161)))</f>
        <v>#DIV/0!</v>
      </c>
      <c r="G1157" s="1" t="s">
        <v>4338</v>
      </c>
      <c r="H1157" s="1">
        <v>50</v>
      </c>
      <c r="I1157" s="2" t="s">
        <v>5</v>
      </c>
      <c r="J1157" s="1" t="s">
        <v>15273</v>
      </c>
      <c r="K1157" s="3"/>
      <c r="L1157" s="1"/>
      <c r="M1157" s="1"/>
      <c r="N1157" s="8" t="s">
        <v>16120</v>
      </c>
      <c r="O1157" s="1" t="s">
        <v>30</v>
      </c>
      <c r="P1157" s="1" t="s">
        <v>6</v>
      </c>
      <c r="Q1157" s="16"/>
      <c r="R1157" s="17"/>
      <c r="S1157" s="774" t="s">
        <v>5457</v>
      </c>
    </row>
    <row r="1158" spans="1:19" ht="12" customHeight="1">
      <c r="A1158" s="1040" t="str">
        <f t="shared" si="528"/>
        <v>266</v>
      </c>
      <c r="B1158" s="4" t="s">
        <v>4334</v>
      </c>
      <c r="C1158" s="4"/>
      <c r="D1158" s="1008"/>
      <c r="E1158" s="1002" t="str">
        <f t="shared" si="529"/>
        <v/>
      </c>
      <c r="F1158" s="1005" t="e">
        <f t="shared" si="530"/>
        <v>#DIV/0!</v>
      </c>
      <c r="G1158" s="1" t="s">
        <v>4343</v>
      </c>
      <c r="H1158" s="1">
        <v>59</v>
      </c>
      <c r="I1158" s="2" t="s">
        <v>5</v>
      </c>
      <c r="J1158" s="1" t="s">
        <v>15273</v>
      </c>
      <c r="K1158" s="3" t="s">
        <v>4344</v>
      </c>
      <c r="L1158" s="1"/>
      <c r="M1158" s="1"/>
      <c r="N1158" s="4" t="s">
        <v>16125</v>
      </c>
      <c r="O1158" s="1"/>
      <c r="P1158" s="1" t="s">
        <v>25</v>
      </c>
      <c r="Q1158" s="16">
        <v>2</v>
      </c>
      <c r="R1158" s="17">
        <v>2</v>
      </c>
      <c r="S1158" s="774" t="s">
        <v>5561</v>
      </c>
    </row>
    <row r="1159" spans="1:19" ht="12" customHeight="1">
      <c r="A1159" s="1040" t="str">
        <f t="shared" si="528"/>
        <v>266</v>
      </c>
      <c r="B1159" s="4" t="s">
        <v>4335</v>
      </c>
      <c r="C1159" s="4"/>
      <c r="D1159" s="1008"/>
      <c r="E1159" s="1002" t="str">
        <f t="shared" si="529"/>
        <v/>
      </c>
      <c r="F1159" s="1005" t="e">
        <f t="shared" si="530"/>
        <v>#DIV/0!</v>
      </c>
      <c r="G1159" s="1" t="s">
        <v>4351</v>
      </c>
      <c r="H1159" s="1">
        <v>51</v>
      </c>
      <c r="I1159" s="2" t="s">
        <v>5</v>
      </c>
      <c r="J1159" s="1" t="s">
        <v>15273</v>
      </c>
      <c r="K1159" s="3"/>
      <c r="L1159" s="1"/>
      <c r="M1159" s="1"/>
      <c r="N1159" s="4" t="s">
        <v>16116</v>
      </c>
      <c r="O1159" s="1" t="s">
        <v>4993</v>
      </c>
      <c r="P1159" s="1" t="s">
        <v>6</v>
      </c>
      <c r="Q1159" s="16"/>
      <c r="R1159" s="17"/>
      <c r="S1159" s="774"/>
    </row>
    <row r="1160" spans="1:19" ht="12" customHeight="1">
      <c r="A1160" s="1040" t="str">
        <f t="shared" si="528"/>
        <v>266</v>
      </c>
      <c r="B1160" s="4" t="s">
        <v>4336</v>
      </c>
      <c r="C1160" s="4"/>
      <c r="D1160" s="1008"/>
      <c r="E1160" s="1002" t="str">
        <f t="shared" si="529"/>
        <v/>
      </c>
      <c r="F1160" s="1005" t="str">
        <f t="shared" si="530"/>
        <v>$</v>
      </c>
      <c r="G1160" s="1" t="s">
        <v>4348</v>
      </c>
      <c r="H1160" s="1">
        <v>57</v>
      </c>
      <c r="I1160" s="2" t="s">
        <v>5</v>
      </c>
      <c r="J1160" s="1"/>
      <c r="K1160" s="3"/>
      <c r="L1160" s="1"/>
      <c r="M1160" s="1"/>
      <c r="N1160" s="4" t="s">
        <v>16117</v>
      </c>
      <c r="O1160" s="1"/>
      <c r="P1160" s="1" t="s">
        <v>6</v>
      </c>
      <c r="Q1160" s="16"/>
      <c r="R1160" s="17"/>
      <c r="S1160" s="774"/>
    </row>
    <row r="1161" spans="1:19" ht="12" customHeight="1" thickBot="1">
      <c r="A1161" s="916" t="str">
        <f t="shared" si="528"/>
        <v>266</v>
      </c>
      <c r="B1161" s="700" t="s">
        <v>4337</v>
      </c>
      <c r="C1161" s="700"/>
      <c r="D1161" s="1009"/>
      <c r="E1161" s="1003" t="str">
        <f t="shared" si="529"/>
        <v/>
      </c>
      <c r="F1161" s="1041" t="str">
        <f t="shared" si="530"/>
        <v>$</v>
      </c>
      <c r="G1161" s="906" t="s">
        <v>4355</v>
      </c>
      <c r="H1161" s="906">
        <v>53</v>
      </c>
      <c r="I1161" s="702" t="s">
        <v>19</v>
      </c>
      <c r="J1161" s="906"/>
      <c r="K1161" s="703"/>
      <c r="L1161" s="906"/>
      <c r="M1161" s="906"/>
      <c r="N1161" s="700" t="s">
        <v>16122</v>
      </c>
      <c r="O1161" s="906" t="s">
        <v>22</v>
      </c>
      <c r="P1161" s="906" t="s">
        <v>6</v>
      </c>
      <c r="Q1161" s="705"/>
      <c r="R1161" s="903"/>
      <c r="S1161" s="793"/>
    </row>
    <row r="1162" spans="1:19" ht="12" customHeight="1">
      <c r="A1162" s="1038" t="str">
        <f t="shared" si="528"/>
        <v>267</v>
      </c>
      <c r="B1162" s="688" t="s">
        <v>4384</v>
      </c>
      <c r="C1162" s="688"/>
      <c r="D1162" s="1007"/>
      <c r="E1162" s="1001" t="str">
        <f>IF(D1162="","",D1162/SUM($D$1162:$D$1166))</f>
        <v/>
      </c>
      <c r="F1162" s="1004" t="e">
        <f>IF(J1162="","$",IF(C1162="当選","-",D1162*100/MAX($D$1162:$D$1166)))</f>
        <v>#DIV/0!</v>
      </c>
      <c r="G1162" s="687" t="s">
        <v>4357</v>
      </c>
      <c r="H1162" s="687">
        <v>37</v>
      </c>
      <c r="I1162" s="696" t="s">
        <v>5</v>
      </c>
      <c r="J1162" s="689" t="s">
        <v>15273</v>
      </c>
      <c r="K1162" s="747" t="s">
        <v>4358</v>
      </c>
      <c r="L1162" s="687"/>
      <c r="M1162" s="687"/>
      <c r="N1162" s="692" t="s">
        <v>16127</v>
      </c>
      <c r="O1162" s="687" t="s">
        <v>44</v>
      </c>
      <c r="P1162" s="687" t="s">
        <v>25</v>
      </c>
      <c r="Q1162" s="748">
        <v>3</v>
      </c>
      <c r="R1162" s="749">
        <v>3</v>
      </c>
      <c r="S1162" s="805" t="s">
        <v>736</v>
      </c>
    </row>
    <row r="1163" spans="1:19" ht="12" customHeight="1">
      <c r="A1163" s="1040" t="str">
        <f t="shared" si="528"/>
        <v>267</v>
      </c>
      <c r="B1163" s="4" t="s">
        <v>4385</v>
      </c>
      <c r="C1163" s="4"/>
      <c r="D1163" s="1008"/>
      <c r="E1163" s="1002" t="str">
        <f t="shared" ref="E1163:E1166" si="531">IF(D1163="","",D1163/SUM($D$1162:$D$1166))</f>
        <v/>
      </c>
      <c r="F1163" s="1005" t="e">
        <f t="shared" ref="F1163:F1166" si="532">IF(J1163="","$",IF(C1163="当選","-",D1163*100/MAX($D$1162:$D$1166)))</f>
        <v>#DIV/0!</v>
      </c>
      <c r="G1163" s="1" t="s">
        <v>4361</v>
      </c>
      <c r="H1163" s="1">
        <v>68</v>
      </c>
      <c r="I1163" s="2" t="s">
        <v>5</v>
      </c>
      <c r="J1163" s="1" t="s">
        <v>15273</v>
      </c>
      <c r="K1163" s="3"/>
      <c r="L1163" s="1"/>
      <c r="M1163" s="1"/>
      <c r="N1163" s="4" t="s">
        <v>16120</v>
      </c>
      <c r="O1163" s="1" t="s">
        <v>934</v>
      </c>
      <c r="P1163" s="1" t="s">
        <v>14</v>
      </c>
      <c r="Q1163" s="16">
        <v>5</v>
      </c>
      <c r="R1163" s="17">
        <v>5</v>
      </c>
      <c r="S1163" s="774" t="s">
        <v>5457</v>
      </c>
    </row>
    <row r="1164" spans="1:19" ht="12" customHeight="1">
      <c r="A1164" s="1040" t="str">
        <f t="shared" si="528"/>
        <v>267</v>
      </c>
      <c r="B1164" s="4" t="s">
        <v>4386</v>
      </c>
      <c r="C1164" s="4"/>
      <c r="D1164" s="1008"/>
      <c r="E1164" s="1002" t="str">
        <f t="shared" si="531"/>
        <v/>
      </c>
      <c r="F1164" s="1005" t="e">
        <f t="shared" si="532"/>
        <v>#DIV/0!</v>
      </c>
      <c r="G1164" s="1" t="s">
        <v>5796</v>
      </c>
      <c r="H1164" s="1">
        <v>47</v>
      </c>
      <c r="I1164" s="2" t="s">
        <v>5</v>
      </c>
      <c r="J1164" s="1" t="s">
        <v>15273</v>
      </c>
      <c r="K1164" s="3"/>
      <c r="L1164" s="1"/>
      <c r="M1164" s="1"/>
      <c r="N1164" s="4" t="s">
        <v>16125</v>
      </c>
      <c r="O1164" s="1"/>
      <c r="P1164" s="1" t="s">
        <v>6</v>
      </c>
      <c r="Q1164" s="16"/>
      <c r="R1164" s="17"/>
      <c r="S1164" s="774" t="s">
        <v>5561</v>
      </c>
    </row>
    <row r="1165" spans="1:19" ht="12" customHeight="1">
      <c r="A1165" s="1040" t="str">
        <f t="shared" si="528"/>
        <v>267</v>
      </c>
      <c r="B1165" s="4" t="s">
        <v>5438</v>
      </c>
      <c r="C1165" s="4"/>
      <c r="D1165" s="1008"/>
      <c r="E1165" s="1002" t="str">
        <f t="shared" si="531"/>
        <v/>
      </c>
      <c r="F1165" s="1005" t="e">
        <f t="shared" si="532"/>
        <v>#DIV/0!</v>
      </c>
      <c r="G1165" s="1" t="s">
        <v>5439</v>
      </c>
      <c r="H1165" s="1">
        <v>56</v>
      </c>
      <c r="I1165" s="2" t="s">
        <v>5</v>
      </c>
      <c r="J1165" s="1" t="s">
        <v>15273</v>
      </c>
      <c r="K1165" s="3"/>
      <c r="L1165" s="1"/>
      <c r="M1165" s="1"/>
      <c r="N1165" s="4" t="s">
        <v>16116</v>
      </c>
      <c r="O1165" s="1" t="s">
        <v>18494</v>
      </c>
      <c r="P1165" s="1" t="s">
        <v>6</v>
      </c>
      <c r="Q1165" s="16"/>
      <c r="R1165" s="17"/>
      <c r="S1165" s="774" t="s">
        <v>6154</v>
      </c>
    </row>
    <row r="1166" spans="1:19" ht="12" customHeight="1" thickBot="1">
      <c r="A1166" s="916" t="str">
        <f t="shared" si="528"/>
        <v>267</v>
      </c>
      <c r="B1166" s="700" t="s">
        <v>5795</v>
      </c>
      <c r="C1166" s="700"/>
      <c r="D1166" s="1009"/>
      <c r="E1166" s="1003" t="str">
        <f t="shared" si="531"/>
        <v/>
      </c>
      <c r="F1166" s="1041" t="str">
        <f t="shared" si="532"/>
        <v>$</v>
      </c>
      <c r="G1166" s="906" t="s">
        <v>4366</v>
      </c>
      <c r="H1166" s="906">
        <v>56</v>
      </c>
      <c r="I1166" s="702" t="s">
        <v>5</v>
      </c>
      <c r="J1166" s="906"/>
      <c r="K1166" s="703"/>
      <c r="L1166" s="906"/>
      <c r="M1166" s="906"/>
      <c r="N1166" s="700" t="s">
        <v>16117</v>
      </c>
      <c r="O1166" s="906"/>
      <c r="P1166" s="906" t="s">
        <v>6</v>
      </c>
      <c r="Q1166" s="705"/>
      <c r="R1166" s="903"/>
      <c r="S1166" s="793"/>
    </row>
    <row r="1167" spans="1:19" ht="12" customHeight="1">
      <c r="A1167" s="1038" t="str">
        <f t="shared" si="528"/>
        <v>268</v>
      </c>
      <c r="B1167" s="688" t="s">
        <v>4387</v>
      </c>
      <c r="C1167" s="688"/>
      <c r="D1167" s="1007"/>
      <c r="E1167" s="1001" t="str">
        <f>IF(D1167="","",D1167/SUM($D$1167:$D$1171))</f>
        <v/>
      </c>
      <c r="F1167" s="1004" t="e">
        <f>IF(J1167="","$",IF(C1167="当選","-",D1167*100/MAX($D$1167:$D$1171)))</f>
        <v>#DIV/0!</v>
      </c>
      <c r="G1167" s="687" t="s">
        <v>4368</v>
      </c>
      <c r="H1167" s="687">
        <v>65</v>
      </c>
      <c r="I1167" s="696" t="s">
        <v>5</v>
      </c>
      <c r="J1167" s="689" t="s">
        <v>15273</v>
      </c>
      <c r="K1167" s="747" t="s">
        <v>4369</v>
      </c>
      <c r="L1167" s="687"/>
      <c r="M1167" s="687"/>
      <c r="N1167" s="692" t="s">
        <v>16127</v>
      </c>
      <c r="O1167" s="687" t="s">
        <v>604</v>
      </c>
      <c r="P1167" s="687" t="s">
        <v>25</v>
      </c>
      <c r="Q1167" s="748">
        <v>7</v>
      </c>
      <c r="R1167" s="749">
        <v>7</v>
      </c>
      <c r="S1167" s="805" t="s">
        <v>736</v>
      </c>
    </row>
    <row r="1168" spans="1:19" ht="12" customHeight="1">
      <c r="A1168" s="1040" t="str">
        <f t="shared" si="528"/>
        <v>268</v>
      </c>
      <c r="B1168" s="4" t="s">
        <v>4388</v>
      </c>
      <c r="C1168" s="4"/>
      <c r="D1168" s="1008"/>
      <c r="E1168" s="1002" t="str">
        <f t="shared" ref="E1168:E1171" si="533">IF(D1168="","",D1168/SUM($D$1167:$D$1171))</f>
        <v/>
      </c>
      <c r="F1168" s="1005" t="e">
        <f t="shared" ref="F1168:F1171" si="534">IF(J1168="","$",IF(C1168="当選","-",D1168*100/MAX($D$1167:$D$1171)))</f>
        <v>#DIV/0!</v>
      </c>
      <c r="G1168" s="1" t="s">
        <v>5864</v>
      </c>
      <c r="H1168" s="1">
        <v>36</v>
      </c>
      <c r="I1168" s="2" t="s">
        <v>5</v>
      </c>
      <c r="J1168" s="1" t="s">
        <v>15273</v>
      </c>
      <c r="K1168" s="3"/>
      <c r="L1168" s="1"/>
      <c r="M1168" s="1"/>
      <c r="N1168" s="4" t="s">
        <v>16116</v>
      </c>
      <c r="O1168" s="1" t="s">
        <v>18494</v>
      </c>
      <c r="P1168" s="1" t="s">
        <v>6</v>
      </c>
      <c r="Q1168" s="16"/>
      <c r="R1168" s="17"/>
      <c r="S1168" s="774" t="s">
        <v>6154</v>
      </c>
    </row>
    <row r="1169" spans="1:19" ht="12" customHeight="1">
      <c r="A1169" s="1040" t="str">
        <f t="shared" si="528"/>
        <v>268</v>
      </c>
      <c r="B1169" s="4" t="s">
        <v>4389</v>
      </c>
      <c r="C1169" s="4"/>
      <c r="D1169" s="1008"/>
      <c r="E1169" s="1002" t="str">
        <f t="shared" si="533"/>
        <v/>
      </c>
      <c r="F1169" s="1005" t="str">
        <f t="shared" si="534"/>
        <v>$</v>
      </c>
      <c r="G1169" s="1" t="s">
        <v>4373</v>
      </c>
      <c r="H1169" s="1">
        <v>51</v>
      </c>
      <c r="I1169" s="2" t="s">
        <v>19</v>
      </c>
      <c r="J1169" s="1"/>
      <c r="K1169" s="3"/>
      <c r="L1169" s="1"/>
      <c r="M1169" s="1"/>
      <c r="N1169" s="4" t="s">
        <v>16117</v>
      </c>
      <c r="O1169" s="1"/>
      <c r="P1169" s="1" t="s">
        <v>6</v>
      </c>
      <c r="Q1169" s="16"/>
      <c r="R1169" s="17"/>
      <c r="S1169" s="774"/>
    </row>
    <row r="1170" spans="1:19" ht="12" customHeight="1">
      <c r="A1170" s="1040" t="str">
        <f t="shared" si="528"/>
        <v>268</v>
      </c>
      <c r="B1170" s="4" t="s">
        <v>4390</v>
      </c>
      <c r="C1170" s="4"/>
      <c r="D1170" s="1008"/>
      <c r="E1170" s="1002" t="str">
        <f t="shared" si="533"/>
        <v/>
      </c>
      <c r="F1170" s="1005" t="str">
        <f t="shared" si="534"/>
        <v>$</v>
      </c>
      <c r="G1170" s="1" t="s">
        <v>4375</v>
      </c>
      <c r="H1170" s="1">
        <v>64</v>
      </c>
      <c r="I1170" s="2" t="s">
        <v>5</v>
      </c>
      <c r="J1170" s="1"/>
      <c r="K1170" s="3" t="s">
        <v>4376</v>
      </c>
      <c r="L1170" s="1"/>
      <c r="M1170" s="1"/>
      <c r="N1170" s="4" t="s">
        <v>16129</v>
      </c>
      <c r="O1170" s="1" t="s">
        <v>97</v>
      </c>
      <c r="P1170" s="1" t="s">
        <v>25</v>
      </c>
      <c r="Q1170" s="16">
        <v>11</v>
      </c>
      <c r="R1170" s="17">
        <v>11</v>
      </c>
      <c r="S1170" s="774" t="s">
        <v>276</v>
      </c>
    </row>
    <row r="1171" spans="1:19" ht="12" customHeight="1" thickBot="1">
      <c r="A1171" s="916" t="str">
        <f t="shared" si="528"/>
        <v>268</v>
      </c>
      <c r="B1171" s="700" t="s">
        <v>5863</v>
      </c>
      <c r="C1171" s="700"/>
      <c r="D1171" s="1009"/>
      <c r="E1171" s="1003" t="str">
        <f t="shared" si="533"/>
        <v/>
      </c>
      <c r="F1171" s="1041" t="str">
        <f t="shared" si="534"/>
        <v>$</v>
      </c>
      <c r="G1171" s="906" t="s">
        <v>5580</v>
      </c>
      <c r="H1171" s="906">
        <v>38</v>
      </c>
      <c r="I1171" s="702" t="s">
        <v>5</v>
      </c>
      <c r="J1171" s="906"/>
      <c r="K1171" s="703"/>
      <c r="L1171" s="906"/>
      <c r="M1171" s="906"/>
      <c r="N1171" s="700" t="s">
        <v>16129</v>
      </c>
      <c r="O1171" s="906" t="s">
        <v>97</v>
      </c>
      <c r="P1171" s="906" t="s">
        <v>6</v>
      </c>
      <c r="Q1171" s="705"/>
      <c r="R1171" s="903"/>
      <c r="S1171" s="793"/>
    </row>
    <row r="1172" spans="1:19" ht="12" customHeight="1">
      <c r="A1172" s="1038" t="str">
        <f t="shared" si="528"/>
        <v>269</v>
      </c>
      <c r="B1172" s="688" t="s">
        <v>4391</v>
      </c>
      <c r="C1172" s="688"/>
      <c r="D1172" s="1007"/>
      <c r="E1172" s="1001" t="str">
        <f>IF(D1172="","",D1172/SUM($D$1172:$D$1175))</f>
        <v/>
      </c>
      <c r="F1172" s="1004" t="e">
        <f>IF(J1172="","$",IF(C1172="当選","-",D1172*100/MAX($D$1172:$D$1175)))</f>
        <v>#DIV/0!</v>
      </c>
      <c r="G1172" s="687" t="s">
        <v>4379</v>
      </c>
      <c r="H1172" s="687">
        <v>54</v>
      </c>
      <c r="I1172" s="696" t="s">
        <v>5</v>
      </c>
      <c r="J1172" s="689" t="s">
        <v>15273</v>
      </c>
      <c r="K1172" s="747" t="s">
        <v>4380</v>
      </c>
      <c r="L1172" s="687"/>
      <c r="M1172" s="687"/>
      <c r="N1172" s="692" t="s">
        <v>16126</v>
      </c>
      <c r="O1172" s="687" t="s">
        <v>44</v>
      </c>
      <c r="P1172" s="687" t="s">
        <v>25</v>
      </c>
      <c r="Q1172" s="748">
        <v>1</v>
      </c>
      <c r="R1172" s="749">
        <v>1</v>
      </c>
      <c r="S1172" s="805" t="s">
        <v>736</v>
      </c>
    </row>
    <row r="1173" spans="1:19" ht="12" customHeight="1">
      <c r="A1173" s="1040" t="str">
        <f t="shared" si="528"/>
        <v>269</v>
      </c>
      <c r="B1173" s="4" t="s">
        <v>4392</v>
      </c>
      <c r="C1173" s="4"/>
      <c r="D1173" s="1008"/>
      <c r="E1173" s="1002" t="str">
        <f t="shared" ref="E1173:E1175" si="535">IF(D1173="","",D1173/SUM($D$1172:$D$1175))</f>
        <v/>
      </c>
      <c r="F1173" s="1005" t="e">
        <f t="shared" ref="F1173:F1175" si="536">IF(J1173="","$",IF(C1173="当選","-",D1173*100/MAX($D$1172:$D$1175)))</f>
        <v>#DIV/0!</v>
      </c>
      <c r="G1173" s="1" t="s">
        <v>5482</v>
      </c>
      <c r="H1173" s="1">
        <v>52</v>
      </c>
      <c r="I1173" s="2" t="s">
        <v>5</v>
      </c>
      <c r="J1173" s="1" t="s">
        <v>15273</v>
      </c>
      <c r="K1173" s="3"/>
      <c r="L1173" s="1"/>
      <c r="M1173" s="1"/>
      <c r="N1173" s="4" t="s">
        <v>16120</v>
      </c>
      <c r="O1173" s="1" t="s">
        <v>476</v>
      </c>
      <c r="P1173" s="1" t="s">
        <v>6</v>
      </c>
      <c r="Q1173" s="16"/>
      <c r="R1173" s="17"/>
      <c r="S1173" s="774" t="s">
        <v>5457</v>
      </c>
    </row>
    <row r="1174" spans="1:19" ht="12" customHeight="1">
      <c r="A1174" s="1040" t="str">
        <f t="shared" si="528"/>
        <v>269</v>
      </c>
      <c r="B1174" s="4" t="s">
        <v>4393</v>
      </c>
      <c r="C1174" s="4"/>
      <c r="D1174" s="1008"/>
      <c r="E1174" s="1002" t="str">
        <f t="shared" si="535"/>
        <v/>
      </c>
      <c r="F1174" s="1005" t="e">
        <f t="shared" si="536"/>
        <v>#DIV/0!</v>
      </c>
      <c r="G1174" s="1" t="s">
        <v>5646</v>
      </c>
      <c r="H1174" s="1">
        <v>49</v>
      </c>
      <c r="I1174" s="2" t="s">
        <v>5</v>
      </c>
      <c r="J1174" s="1" t="s">
        <v>15273</v>
      </c>
      <c r="K1174" s="3"/>
      <c r="L1174" s="1"/>
      <c r="M1174" s="1"/>
      <c r="N1174" s="4" t="s">
        <v>18495</v>
      </c>
      <c r="O1174" s="1"/>
      <c r="P1174" s="1" t="s">
        <v>6</v>
      </c>
      <c r="Q1174" s="16"/>
      <c r="R1174" s="17"/>
      <c r="S1174" s="774" t="s">
        <v>6031</v>
      </c>
    </row>
    <row r="1175" spans="1:19" ht="12" customHeight="1" thickBot="1">
      <c r="A1175" s="916" t="str">
        <f t="shared" si="528"/>
        <v>269</v>
      </c>
      <c r="B1175" s="700" t="s">
        <v>5645</v>
      </c>
      <c r="C1175" s="700"/>
      <c r="D1175" s="1009"/>
      <c r="E1175" s="1003" t="str">
        <f t="shared" si="535"/>
        <v/>
      </c>
      <c r="F1175" s="1041" t="str">
        <f t="shared" si="536"/>
        <v>$</v>
      </c>
      <c r="G1175" s="906" t="s">
        <v>4394</v>
      </c>
      <c r="H1175" s="906">
        <v>38</v>
      </c>
      <c r="I1175" s="702" t="s">
        <v>5</v>
      </c>
      <c r="J1175" s="906"/>
      <c r="K1175" s="703"/>
      <c r="L1175" s="906"/>
      <c r="M1175" s="906"/>
      <c r="N1175" s="700" t="s">
        <v>16117</v>
      </c>
      <c r="O1175" s="906"/>
      <c r="P1175" s="906" t="s">
        <v>6</v>
      </c>
      <c r="Q1175" s="705"/>
      <c r="R1175" s="903"/>
      <c r="S1175" s="793"/>
    </row>
    <row r="1176" spans="1:19" ht="12" customHeight="1">
      <c r="A1176" s="1038" t="str">
        <f t="shared" si="528"/>
        <v>270</v>
      </c>
      <c r="B1176" s="688" t="s">
        <v>4396</v>
      </c>
      <c r="C1176" s="688"/>
      <c r="D1176" s="1007"/>
      <c r="E1176" s="1001" t="str">
        <f>IF(D1176="","",D1176/SUM($D$1176:$D$1178))</f>
        <v/>
      </c>
      <c r="F1176" s="1004" t="e">
        <f>IF(J1176="","$",IF(C1176="当選","-",D1176*100/MAX($D$1176:$D$1178)))</f>
        <v>#DIV/0!</v>
      </c>
      <c r="G1176" s="687" t="s">
        <v>4399</v>
      </c>
      <c r="H1176" s="687">
        <v>40</v>
      </c>
      <c r="I1176" s="696" t="s">
        <v>5</v>
      </c>
      <c r="J1176" s="689" t="s">
        <v>15273</v>
      </c>
      <c r="K1176" s="747" t="s">
        <v>4400</v>
      </c>
      <c r="L1176" s="687"/>
      <c r="M1176" s="687"/>
      <c r="N1176" s="692" t="s">
        <v>16127</v>
      </c>
      <c r="O1176" s="687" t="s">
        <v>44</v>
      </c>
      <c r="P1176" s="687" t="s">
        <v>25</v>
      </c>
      <c r="Q1176" s="748">
        <v>1</v>
      </c>
      <c r="R1176" s="749">
        <v>1</v>
      </c>
      <c r="S1176" s="805"/>
    </row>
    <row r="1177" spans="1:19" ht="12" customHeight="1">
      <c r="A1177" s="1040" t="str">
        <f t="shared" si="528"/>
        <v>270</v>
      </c>
      <c r="B1177" s="4" t="s">
        <v>4397</v>
      </c>
      <c r="C1177" s="4"/>
      <c r="D1177" s="1008"/>
      <c r="E1177" s="1002" t="str">
        <f t="shared" ref="E1177:E1178" si="537">IF(D1177="","",D1177/SUM($D$1176:$D$1178))</f>
        <v/>
      </c>
      <c r="F1177" s="1005" t="e">
        <f t="shared" ref="F1177:F1178" si="538">IF(J1177="","$",IF(C1177="当選","-",D1177*100/MAX($D$1176:$D$1178)))</f>
        <v>#DIV/0!</v>
      </c>
      <c r="G1177" s="1" t="s">
        <v>4402</v>
      </c>
      <c r="H1177" s="1">
        <v>72</v>
      </c>
      <c r="I1177" s="2" t="s">
        <v>5</v>
      </c>
      <c r="J1177" s="1" t="s">
        <v>15273</v>
      </c>
      <c r="K1177" s="3" t="s">
        <v>4403</v>
      </c>
      <c r="L1177" s="1"/>
      <c r="M1177" s="1"/>
      <c r="N1177" s="8" t="s">
        <v>16120</v>
      </c>
      <c r="O1177" s="1" t="s">
        <v>445</v>
      </c>
      <c r="P1177" s="1" t="s">
        <v>25</v>
      </c>
      <c r="Q1177" s="16">
        <v>10</v>
      </c>
      <c r="R1177" s="17">
        <v>10</v>
      </c>
      <c r="S1177" s="774"/>
    </row>
    <row r="1178" spans="1:19" ht="12" customHeight="1" thickBot="1">
      <c r="A1178" s="916" t="str">
        <f t="shared" si="528"/>
        <v>270</v>
      </c>
      <c r="B1178" s="700" t="s">
        <v>4398</v>
      </c>
      <c r="C1178" s="700"/>
      <c r="D1178" s="1009"/>
      <c r="E1178" s="1003" t="str">
        <f t="shared" si="537"/>
        <v/>
      </c>
      <c r="F1178" s="1041" t="str">
        <f t="shared" si="538"/>
        <v>$</v>
      </c>
      <c r="G1178" s="906" t="s">
        <v>5243</v>
      </c>
      <c r="H1178" s="906">
        <v>63</v>
      </c>
      <c r="I1178" s="702" t="s">
        <v>5</v>
      </c>
      <c r="J1178" s="906"/>
      <c r="K1178" s="703"/>
      <c r="L1178" s="906"/>
      <c r="M1178" s="906"/>
      <c r="N1178" s="700" t="s">
        <v>16117</v>
      </c>
      <c r="O1178" s="906"/>
      <c r="P1178" s="906" t="s">
        <v>6</v>
      </c>
      <c r="Q1178" s="705"/>
      <c r="R1178" s="903"/>
      <c r="S1178" s="793"/>
    </row>
    <row r="1179" spans="1:19" ht="12" customHeight="1">
      <c r="A1179" s="1038" t="str">
        <f t="shared" si="528"/>
        <v>271</v>
      </c>
      <c r="B1179" s="688" t="s">
        <v>4435</v>
      </c>
      <c r="C1179" s="688"/>
      <c r="D1179" s="1007"/>
      <c r="E1179" s="1001" t="str">
        <f>IF(D1179="","",D1179/SUM($D$1179:$D$1182))</f>
        <v/>
      </c>
      <c r="F1179" s="1004" t="e">
        <f>IF(J1179="","$",IF(C1179="当選","-",D1179*100/MAX($D$1179:$D$1182)))</f>
        <v>#DIV/0!</v>
      </c>
      <c r="G1179" s="687" t="s">
        <v>4438</v>
      </c>
      <c r="H1179" s="687">
        <v>39</v>
      </c>
      <c r="I1179" s="696" t="s">
        <v>5</v>
      </c>
      <c r="J1179" s="689" t="s">
        <v>15273</v>
      </c>
      <c r="K1179" s="747" t="s">
        <v>4439</v>
      </c>
      <c r="L1179" s="687"/>
      <c r="M1179" s="687"/>
      <c r="N1179" s="692" t="s">
        <v>16127</v>
      </c>
      <c r="O1179" s="687" t="s">
        <v>44</v>
      </c>
      <c r="P1179" s="687" t="s">
        <v>25</v>
      </c>
      <c r="Q1179" s="748">
        <v>1</v>
      </c>
      <c r="R1179" s="749">
        <v>1</v>
      </c>
      <c r="S1179" s="805" t="s">
        <v>736</v>
      </c>
    </row>
    <row r="1180" spans="1:19" ht="12" customHeight="1">
      <c r="A1180" s="1040" t="str">
        <f t="shared" si="528"/>
        <v>271</v>
      </c>
      <c r="B1180" s="4" t="s">
        <v>4436</v>
      </c>
      <c r="C1180" s="4"/>
      <c r="D1180" s="1008"/>
      <c r="E1180" s="1002" t="str">
        <f t="shared" ref="E1180:E1182" si="539">IF(D1180="","",D1180/SUM($D$1179:$D$1182))</f>
        <v/>
      </c>
      <c r="F1180" s="1005" t="e">
        <f t="shared" ref="F1180:F1182" si="540">IF(J1180="","$",IF(C1180="当選","-",D1180*100/MAX($D$1179:$D$1182)))</f>
        <v>#DIV/0!</v>
      </c>
      <c r="G1180" s="1" t="s">
        <v>4443</v>
      </c>
      <c r="H1180" s="1">
        <v>65</v>
      </c>
      <c r="I1180" s="2" t="s">
        <v>5</v>
      </c>
      <c r="J1180" s="1" t="s">
        <v>15273</v>
      </c>
      <c r="K1180" s="3"/>
      <c r="L1180" s="1"/>
      <c r="M1180" s="1"/>
      <c r="N1180" s="4" t="s">
        <v>16120</v>
      </c>
      <c r="O1180" s="1" t="s">
        <v>13</v>
      </c>
      <c r="P1180" s="1" t="s">
        <v>14</v>
      </c>
      <c r="Q1180" s="16">
        <v>5</v>
      </c>
      <c r="R1180" s="17">
        <v>5</v>
      </c>
      <c r="S1180" s="774" t="s">
        <v>5457</v>
      </c>
    </row>
    <row r="1181" spans="1:19" ht="12" customHeight="1">
      <c r="A1181" s="1040" t="str">
        <f t="shared" si="528"/>
        <v>271</v>
      </c>
      <c r="B1181" s="4" t="s">
        <v>4437</v>
      </c>
      <c r="C1181" s="4"/>
      <c r="D1181" s="1008"/>
      <c r="E1181" s="1002" t="str">
        <f t="shared" si="539"/>
        <v/>
      </c>
      <c r="F1181" s="1005" t="e">
        <f t="shared" si="540"/>
        <v>#DIV/0!</v>
      </c>
      <c r="G1181" s="1" t="s">
        <v>6153</v>
      </c>
      <c r="H1181" s="1">
        <v>47</v>
      </c>
      <c r="I1181" s="2" t="s">
        <v>5</v>
      </c>
      <c r="J1181" s="1" t="s">
        <v>15273</v>
      </c>
      <c r="K1181" s="3"/>
      <c r="L1181" s="1"/>
      <c r="M1181" s="1"/>
      <c r="N1181" s="4" t="s">
        <v>16116</v>
      </c>
      <c r="O1181" s="1" t="s">
        <v>6154</v>
      </c>
      <c r="P1181" s="1" t="s">
        <v>6</v>
      </c>
      <c r="Q1181" s="16"/>
      <c r="R1181" s="17"/>
      <c r="S1181" s="774" t="s">
        <v>6154</v>
      </c>
    </row>
    <row r="1182" spans="1:19" ht="12" customHeight="1" thickBot="1">
      <c r="A1182" s="916" t="str">
        <f t="shared" si="528"/>
        <v>271</v>
      </c>
      <c r="B1182" s="700" t="s">
        <v>5440</v>
      </c>
      <c r="C1182" s="700"/>
      <c r="D1182" s="1009"/>
      <c r="E1182" s="1003" t="str">
        <f t="shared" si="539"/>
        <v/>
      </c>
      <c r="F1182" s="1041" t="e">
        <f t="shared" si="540"/>
        <v>#DIV/0!</v>
      </c>
      <c r="G1182" s="906" t="s">
        <v>4448</v>
      </c>
      <c r="H1182" s="906">
        <v>49</v>
      </c>
      <c r="I1182" s="702" t="s">
        <v>5</v>
      </c>
      <c r="J1182" s="906" t="s">
        <v>15273</v>
      </c>
      <c r="K1182" s="703"/>
      <c r="L1182" s="906"/>
      <c r="M1182" s="906"/>
      <c r="N1182" s="700" t="s">
        <v>16117</v>
      </c>
      <c r="O1182" s="906"/>
      <c r="P1182" s="906" t="s">
        <v>6</v>
      </c>
      <c r="Q1182" s="705"/>
      <c r="R1182" s="903"/>
      <c r="S1182" s="793"/>
    </row>
    <row r="1183" spans="1:19" ht="12" customHeight="1">
      <c r="A1183" s="1038" t="str">
        <f t="shared" si="528"/>
        <v>272</v>
      </c>
      <c r="B1183" s="688" t="s">
        <v>4452</v>
      </c>
      <c r="C1183" s="688"/>
      <c r="D1183" s="1007"/>
      <c r="E1183" s="1001" t="str">
        <f>IF(D1183="","",D1183/SUM($D$1183:$D$1186))</f>
        <v/>
      </c>
      <c r="F1183" s="1004" t="e">
        <f>IF(J1183="","$",IF(C1183="当選","-",D1183*100/MAX($D$1183:$D$1186)))</f>
        <v>#DIV/0!</v>
      </c>
      <c r="G1183" s="687" t="s">
        <v>4456</v>
      </c>
      <c r="H1183" s="687">
        <v>39</v>
      </c>
      <c r="I1183" s="696" t="s">
        <v>5</v>
      </c>
      <c r="J1183" s="689" t="s">
        <v>15273</v>
      </c>
      <c r="K1183" s="747" t="s">
        <v>4457</v>
      </c>
      <c r="L1183" s="687"/>
      <c r="M1183" s="687"/>
      <c r="N1183" s="692" t="s">
        <v>16126</v>
      </c>
      <c r="O1183" s="687" t="s">
        <v>44</v>
      </c>
      <c r="P1183" s="687" t="s">
        <v>25</v>
      </c>
      <c r="Q1183" s="748">
        <v>2</v>
      </c>
      <c r="R1183" s="749">
        <v>2</v>
      </c>
      <c r="S1183" s="805" t="s">
        <v>736</v>
      </c>
    </row>
    <row r="1184" spans="1:19" ht="12" customHeight="1">
      <c r="A1184" s="1040" t="str">
        <f t="shared" si="528"/>
        <v>272</v>
      </c>
      <c r="B1184" s="4" t="s">
        <v>4453</v>
      </c>
      <c r="C1184" s="4"/>
      <c r="D1184" s="1008"/>
      <c r="E1184" s="1002" t="str">
        <f t="shared" ref="E1184:E1186" si="541">IF(D1184="","",D1184/SUM($D$1183:$D$1186))</f>
        <v/>
      </c>
      <c r="F1184" s="1005" t="str">
        <f t="shared" ref="F1184:F1186" si="542">IF(J1184="","$",IF(C1184="当選","-",D1184*100/MAX($D$1183:$D$1186)))</f>
        <v>$</v>
      </c>
      <c r="G1184" s="1" t="s">
        <v>4460</v>
      </c>
      <c r="H1184" s="1">
        <v>64</v>
      </c>
      <c r="I1184" s="2" t="s">
        <v>5</v>
      </c>
      <c r="J1184" s="1"/>
      <c r="K1184" s="3" t="s">
        <v>4461</v>
      </c>
      <c r="L1184" s="1"/>
      <c r="M1184" s="1"/>
      <c r="N1184" s="4" t="s">
        <v>16120</v>
      </c>
      <c r="O1184" s="1" t="s">
        <v>476</v>
      </c>
      <c r="P1184" s="1" t="s">
        <v>25</v>
      </c>
      <c r="Q1184" s="16">
        <v>5</v>
      </c>
      <c r="R1184" s="17">
        <v>5</v>
      </c>
      <c r="S1184" s="774" t="s">
        <v>5457</v>
      </c>
    </row>
    <row r="1185" spans="1:19" ht="12" customHeight="1">
      <c r="A1185" s="1040" t="str">
        <f t="shared" si="528"/>
        <v>272</v>
      </c>
      <c r="B1185" s="4" t="s">
        <v>4454</v>
      </c>
      <c r="C1185" s="4"/>
      <c r="D1185" s="1008"/>
      <c r="E1185" s="1002" t="str">
        <f t="shared" si="541"/>
        <v/>
      </c>
      <c r="F1185" s="1005" t="e">
        <f t="shared" si="542"/>
        <v>#DIV/0!</v>
      </c>
      <c r="G1185" s="1" t="s">
        <v>4467</v>
      </c>
      <c r="H1185" s="1">
        <v>57</v>
      </c>
      <c r="I1185" s="2" t="s">
        <v>5</v>
      </c>
      <c r="J1185" s="1" t="s">
        <v>15273</v>
      </c>
      <c r="K1185" s="3"/>
      <c r="L1185" s="1"/>
      <c r="M1185" s="1"/>
      <c r="N1185" s="4" t="s">
        <v>18495</v>
      </c>
      <c r="O1185" s="1"/>
      <c r="P1185" s="1" t="s">
        <v>6</v>
      </c>
      <c r="Q1185" s="16"/>
      <c r="R1185" s="17"/>
      <c r="S1185" s="774" t="s">
        <v>6031</v>
      </c>
    </row>
    <row r="1186" spans="1:19" ht="12" customHeight="1" thickBot="1">
      <c r="A1186" s="916" t="str">
        <f t="shared" si="528"/>
        <v>272</v>
      </c>
      <c r="B1186" s="700" t="s">
        <v>4455</v>
      </c>
      <c r="C1186" s="700"/>
      <c r="D1186" s="1009"/>
      <c r="E1186" s="1003" t="str">
        <f t="shared" si="541"/>
        <v/>
      </c>
      <c r="F1186" s="1041" t="str">
        <f t="shared" si="542"/>
        <v>$</v>
      </c>
      <c r="G1186" s="906" t="s">
        <v>4465</v>
      </c>
      <c r="H1186" s="906">
        <v>52</v>
      </c>
      <c r="I1186" s="702" t="s">
        <v>19</v>
      </c>
      <c r="J1186" s="906"/>
      <c r="K1186" s="703"/>
      <c r="L1186" s="906"/>
      <c r="M1186" s="906"/>
      <c r="N1186" s="700" t="s">
        <v>16117</v>
      </c>
      <c r="O1186" s="906"/>
      <c r="P1186" s="906" t="s">
        <v>6</v>
      </c>
      <c r="Q1186" s="705"/>
      <c r="R1186" s="903"/>
      <c r="S1186" s="793"/>
    </row>
    <row r="1187" spans="1:19" ht="12" customHeight="1">
      <c r="A1187" s="1038" t="str">
        <f t="shared" si="528"/>
        <v>273</v>
      </c>
      <c r="B1187" s="688" t="s">
        <v>4470</v>
      </c>
      <c r="C1187" s="688"/>
      <c r="D1187" s="1007"/>
      <c r="E1187" s="1001" t="str">
        <f>IF(D1187="","",D1187/SUM($D$1187:$D$1190))</f>
        <v/>
      </c>
      <c r="F1187" s="1004" t="e">
        <f>IF(J1187="","$",IF(C1187="当選","-",D1187*100/MAX($D$1187:$D$1190)))</f>
        <v>#DIV/0!</v>
      </c>
      <c r="G1187" s="687" t="s">
        <v>4473</v>
      </c>
      <c r="H1187" s="687">
        <v>44</v>
      </c>
      <c r="I1187" s="696" t="s">
        <v>5</v>
      </c>
      <c r="J1187" s="687" t="s">
        <v>15273</v>
      </c>
      <c r="K1187" s="747" t="s">
        <v>4474</v>
      </c>
      <c r="L1187" s="687"/>
      <c r="M1187" s="687"/>
      <c r="N1187" s="692" t="s">
        <v>16120</v>
      </c>
      <c r="O1187" s="687" t="s">
        <v>30</v>
      </c>
      <c r="P1187" s="687" t="s">
        <v>25</v>
      </c>
      <c r="Q1187" s="748">
        <v>3</v>
      </c>
      <c r="R1187" s="749">
        <v>3</v>
      </c>
      <c r="S1187" s="805" t="s">
        <v>5457</v>
      </c>
    </row>
    <row r="1188" spans="1:19" ht="12" customHeight="1">
      <c r="A1188" s="1040" t="str">
        <f t="shared" si="528"/>
        <v>273</v>
      </c>
      <c r="B1188" s="4" t="s">
        <v>4471</v>
      </c>
      <c r="C1188" s="4"/>
      <c r="D1188" s="1008"/>
      <c r="E1188" s="1002" t="str">
        <f t="shared" ref="E1188:E1190" si="543">IF(D1188="","",D1188/SUM($D$1187:$D$1190))</f>
        <v/>
      </c>
      <c r="F1188" s="1005" t="e">
        <f t="shared" ref="F1188:F1190" si="544">IF(J1188="","$",IF(C1188="当選","-",D1188*100/MAX($D$1187:$D$1190)))</f>
        <v>#DIV/0!</v>
      </c>
      <c r="G1188" s="1" t="s">
        <v>5782</v>
      </c>
      <c r="H1188" s="1">
        <v>33</v>
      </c>
      <c r="I1188" s="2" t="s">
        <v>5</v>
      </c>
      <c r="J1188" s="1" t="s">
        <v>15273</v>
      </c>
      <c r="K1188" s="3"/>
      <c r="L1188" s="1"/>
      <c r="M1188" s="1"/>
      <c r="N1188" s="4" t="s">
        <v>16116</v>
      </c>
      <c r="O1188" s="1" t="s">
        <v>18494</v>
      </c>
      <c r="P1188" s="1" t="s">
        <v>6</v>
      </c>
      <c r="Q1188" s="16"/>
      <c r="R1188" s="17"/>
      <c r="S1188" s="774" t="s">
        <v>6154</v>
      </c>
    </row>
    <row r="1189" spans="1:19" ht="12" customHeight="1">
      <c r="A1189" s="1040" t="str">
        <f t="shared" si="528"/>
        <v>273</v>
      </c>
      <c r="B1189" s="4" t="s">
        <v>4472</v>
      </c>
      <c r="C1189" s="4"/>
      <c r="D1189" s="1008"/>
      <c r="E1189" s="1002" t="str">
        <f t="shared" si="543"/>
        <v/>
      </c>
      <c r="F1189" s="1005" t="str">
        <f t="shared" si="544"/>
        <v>$</v>
      </c>
      <c r="G1189" s="1" t="s">
        <v>4477</v>
      </c>
      <c r="H1189" s="1">
        <v>59</v>
      </c>
      <c r="I1189" s="2" t="s">
        <v>19</v>
      </c>
      <c r="J1189" s="1"/>
      <c r="K1189" s="3"/>
      <c r="L1189" s="1"/>
      <c r="M1189" s="1"/>
      <c r="N1189" s="4" t="s">
        <v>16117</v>
      </c>
      <c r="O1189" s="1"/>
      <c r="P1189" s="1" t="s">
        <v>6</v>
      </c>
      <c r="Q1189" s="16"/>
      <c r="R1189" s="17"/>
      <c r="S1189" s="774"/>
    </row>
    <row r="1190" spans="1:19" ht="12" customHeight="1" thickBot="1">
      <c r="A1190" s="916" t="str">
        <f t="shared" si="528"/>
        <v>273</v>
      </c>
      <c r="B1190" s="700" t="s">
        <v>5343</v>
      </c>
      <c r="C1190" s="700"/>
      <c r="D1190" s="1009"/>
      <c r="E1190" s="1003" t="str">
        <f t="shared" si="543"/>
        <v/>
      </c>
      <c r="F1190" s="1041" t="e">
        <f t="shared" si="544"/>
        <v>#DIV/0!</v>
      </c>
      <c r="G1190" s="906" t="s">
        <v>5344</v>
      </c>
      <c r="H1190" s="906">
        <v>36</v>
      </c>
      <c r="I1190" s="702" t="s">
        <v>19</v>
      </c>
      <c r="J1190" s="906" t="s">
        <v>15273</v>
      </c>
      <c r="K1190" s="703"/>
      <c r="L1190" s="906"/>
      <c r="M1190" s="906"/>
      <c r="N1190" s="700" t="s">
        <v>16121</v>
      </c>
      <c r="O1190" s="906"/>
      <c r="P1190" s="906" t="s">
        <v>6</v>
      </c>
      <c r="Q1190" s="705"/>
      <c r="R1190" s="903"/>
      <c r="S1190" s="793"/>
    </row>
    <row r="1191" spans="1:19" ht="12" customHeight="1">
      <c r="A1191" s="1038" t="str">
        <f t="shared" si="528"/>
        <v>274</v>
      </c>
      <c r="B1191" s="688" t="s">
        <v>4480</v>
      </c>
      <c r="C1191" s="688"/>
      <c r="D1191" s="1007"/>
      <c r="E1191" s="1001" t="str">
        <f>IF(D1191="","",D1191/SUM($D$1191:$D$1193))</f>
        <v/>
      </c>
      <c r="F1191" s="1004" t="e">
        <f>IF(J1191="","$",IF(C1191="当選","-",D1191*100/MAX($D$1191:$D$1193)))</f>
        <v>#DIV/0!</v>
      </c>
      <c r="G1191" s="687" t="s">
        <v>4483</v>
      </c>
      <c r="H1191" s="687">
        <v>53</v>
      </c>
      <c r="I1191" s="696" t="s">
        <v>5</v>
      </c>
      <c r="J1191" s="689" t="s">
        <v>15273</v>
      </c>
      <c r="K1191" s="747" t="s">
        <v>4484</v>
      </c>
      <c r="L1191" s="687"/>
      <c r="M1191" s="687"/>
      <c r="N1191" s="692" t="s">
        <v>16127</v>
      </c>
      <c r="O1191" s="687" t="s">
        <v>604</v>
      </c>
      <c r="P1191" s="687" t="s">
        <v>25</v>
      </c>
      <c r="Q1191" s="748">
        <v>5</v>
      </c>
      <c r="R1191" s="749">
        <v>5</v>
      </c>
      <c r="S1191" s="805" t="s">
        <v>736</v>
      </c>
    </row>
    <row r="1192" spans="1:19" ht="12" customHeight="1">
      <c r="A1192" s="1040" t="str">
        <f t="shared" si="528"/>
        <v>274</v>
      </c>
      <c r="B1192" s="4" t="s">
        <v>4481</v>
      </c>
      <c r="C1192" s="4"/>
      <c r="D1192" s="1008"/>
      <c r="E1192" s="1002" t="str">
        <f t="shared" ref="E1192:E1193" si="545">IF(D1192="","",D1192/SUM($D$1191:$D$1193))</f>
        <v/>
      </c>
      <c r="F1192" s="1005" t="e">
        <f t="shared" ref="F1192:F1193" si="546">IF(J1192="","$",IF(C1192="当選","-",D1192*100/MAX($D$1191:$D$1193)))</f>
        <v>#DIV/0!</v>
      </c>
      <c r="G1192" s="1" t="s">
        <v>4487</v>
      </c>
      <c r="H1192" s="1">
        <v>39</v>
      </c>
      <c r="I1192" s="2" t="s">
        <v>5</v>
      </c>
      <c r="J1192" s="1" t="s">
        <v>15273</v>
      </c>
      <c r="K1192" s="3"/>
      <c r="L1192" s="1"/>
      <c r="M1192" s="1"/>
      <c r="N1192" s="4" t="s">
        <v>16120</v>
      </c>
      <c r="O1192" s="1" t="s">
        <v>30</v>
      </c>
      <c r="P1192" s="1" t="s">
        <v>6</v>
      </c>
      <c r="Q1192" s="16"/>
      <c r="R1192" s="17"/>
      <c r="S1192" s="774" t="s">
        <v>5457</v>
      </c>
    </row>
    <row r="1193" spans="1:19" ht="12" customHeight="1" thickBot="1">
      <c r="A1193" s="916" t="str">
        <f t="shared" si="528"/>
        <v>274</v>
      </c>
      <c r="B1193" s="700" t="s">
        <v>4482</v>
      </c>
      <c r="C1193" s="700"/>
      <c r="D1193" s="1009"/>
      <c r="E1193" s="1003" t="str">
        <f t="shared" si="545"/>
        <v/>
      </c>
      <c r="F1193" s="1041" t="str">
        <f t="shared" si="546"/>
        <v>$</v>
      </c>
      <c r="G1193" s="906" t="s">
        <v>4490</v>
      </c>
      <c r="H1193" s="906">
        <v>57</v>
      </c>
      <c r="I1193" s="702" t="s">
        <v>5</v>
      </c>
      <c r="J1193" s="906"/>
      <c r="K1193" s="703"/>
      <c r="L1193" s="906"/>
      <c r="M1193" s="906"/>
      <c r="N1193" s="700" t="s">
        <v>16117</v>
      </c>
      <c r="O1193" s="906"/>
      <c r="P1193" s="906" t="s">
        <v>6</v>
      </c>
      <c r="Q1193" s="705"/>
      <c r="R1193" s="903"/>
      <c r="S1193" s="793"/>
    </row>
    <row r="1194" spans="1:19" ht="12" customHeight="1">
      <c r="A1194" s="1038" t="str">
        <f t="shared" si="528"/>
        <v>275</v>
      </c>
      <c r="B1194" s="688" t="s">
        <v>4494</v>
      </c>
      <c r="C1194" s="688"/>
      <c r="D1194" s="1007"/>
      <c r="E1194" s="1001" t="str">
        <f>IF(D1194="","",D1194/SUM($D$1194:$D$1196))</f>
        <v/>
      </c>
      <c r="F1194" s="1004" t="e">
        <f>IF(J1194="","$",IF(C1194="当選","-",D1194*100/MAX($D$1194:$D$1196)))</f>
        <v>#DIV/0!</v>
      </c>
      <c r="G1194" s="687" t="s">
        <v>4497</v>
      </c>
      <c r="H1194" s="687">
        <v>47</v>
      </c>
      <c r="I1194" s="696" t="s">
        <v>5</v>
      </c>
      <c r="J1194" s="689" t="s">
        <v>15273</v>
      </c>
      <c r="K1194" s="747" t="s">
        <v>4498</v>
      </c>
      <c r="L1194" s="687"/>
      <c r="M1194" s="687"/>
      <c r="N1194" s="692" t="s">
        <v>16127</v>
      </c>
      <c r="O1194" s="687" t="s">
        <v>44</v>
      </c>
      <c r="P1194" s="687" t="s">
        <v>25</v>
      </c>
      <c r="Q1194" s="748">
        <v>2</v>
      </c>
      <c r="R1194" s="749">
        <v>2</v>
      </c>
      <c r="S1194" s="805"/>
    </row>
    <row r="1195" spans="1:19" ht="12" customHeight="1">
      <c r="A1195" s="1040" t="str">
        <f t="shared" si="528"/>
        <v>275</v>
      </c>
      <c r="B1195" s="4" t="s">
        <v>4495</v>
      </c>
      <c r="C1195" s="4"/>
      <c r="D1195" s="1008"/>
      <c r="E1195" s="1002" t="str">
        <f t="shared" ref="E1195:E1196" si="547">IF(D1195="","",D1195/SUM($D$1194:$D$1196))</f>
        <v/>
      </c>
      <c r="F1195" s="1005" t="e">
        <f t="shared" ref="F1195:F1196" si="548">IF(J1195="","$",IF(C1195="当選","-",D1195*100/MAX($D$1194:$D$1196)))</f>
        <v>#DIV/0!</v>
      </c>
      <c r="G1195" s="1" t="s">
        <v>4501</v>
      </c>
      <c r="H1195" s="1">
        <v>65</v>
      </c>
      <c r="I1195" s="2" t="s">
        <v>5</v>
      </c>
      <c r="J1195" s="1" t="s">
        <v>15273</v>
      </c>
      <c r="K1195" s="3" t="s">
        <v>4502</v>
      </c>
      <c r="L1195" s="1"/>
      <c r="M1195" s="1"/>
      <c r="N1195" s="4" t="s">
        <v>16120</v>
      </c>
      <c r="O1195" s="1" t="s">
        <v>30</v>
      </c>
      <c r="P1195" s="1" t="s">
        <v>25</v>
      </c>
      <c r="Q1195" s="16">
        <v>5</v>
      </c>
      <c r="R1195" s="17">
        <v>5</v>
      </c>
      <c r="S1195" s="774" t="s">
        <v>5457</v>
      </c>
    </row>
    <row r="1196" spans="1:19" ht="12" customHeight="1" thickBot="1">
      <c r="A1196" s="916" t="str">
        <f t="shared" si="528"/>
        <v>275</v>
      </c>
      <c r="B1196" s="700" t="s">
        <v>4496</v>
      </c>
      <c r="C1196" s="700"/>
      <c r="D1196" s="1009"/>
      <c r="E1196" s="1003" t="str">
        <f t="shared" si="547"/>
        <v/>
      </c>
      <c r="F1196" s="1041" t="str">
        <f t="shared" si="548"/>
        <v>$</v>
      </c>
      <c r="G1196" s="906" t="s">
        <v>4505</v>
      </c>
      <c r="H1196" s="906">
        <v>47</v>
      </c>
      <c r="I1196" s="702" t="s">
        <v>5</v>
      </c>
      <c r="J1196" s="906"/>
      <c r="K1196" s="703"/>
      <c r="L1196" s="906"/>
      <c r="M1196" s="906"/>
      <c r="N1196" s="700" t="s">
        <v>16117</v>
      </c>
      <c r="O1196" s="906"/>
      <c r="P1196" s="906" t="s">
        <v>6</v>
      </c>
      <c r="Q1196" s="705"/>
      <c r="R1196" s="903"/>
      <c r="S1196" s="793"/>
    </row>
    <row r="1197" spans="1:19" ht="12" customHeight="1">
      <c r="A1197" s="1038" t="str">
        <f t="shared" si="528"/>
        <v>276</v>
      </c>
      <c r="B1197" s="688" t="s">
        <v>4508</v>
      </c>
      <c r="C1197" s="688"/>
      <c r="D1197" s="1007"/>
      <c r="E1197" s="1001" t="str">
        <f>IF(D1197="","",D1197/SUM($D$1197:$D$1198))</f>
        <v/>
      </c>
      <c r="F1197" s="1004" t="str">
        <f>IF(J1197="","$",IF(C1197="当選","-",D1197*100/MAX($D$1197:$D$1198)))</f>
        <v>$</v>
      </c>
      <c r="G1197" s="687" t="s">
        <v>4510</v>
      </c>
      <c r="H1197" s="687">
        <v>78</v>
      </c>
      <c r="I1197" s="696" t="s">
        <v>5</v>
      </c>
      <c r="J1197" s="687"/>
      <c r="K1197" s="747" t="s">
        <v>4511</v>
      </c>
      <c r="L1197" s="687"/>
      <c r="M1197" s="687"/>
      <c r="N1197" s="692" t="s">
        <v>16120</v>
      </c>
      <c r="O1197" s="687" t="s">
        <v>30</v>
      </c>
      <c r="P1197" s="687" t="s">
        <v>25</v>
      </c>
      <c r="Q1197" s="748">
        <v>11</v>
      </c>
      <c r="R1197" s="749">
        <v>11</v>
      </c>
      <c r="S1197" s="805"/>
    </row>
    <row r="1198" spans="1:19" ht="12" customHeight="1" thickBot="1">
      <c r="A1198" s="916" t="str">
        <f t="shared" si="528"/>
        <v>276</v>
      </c>
      <c r="B1198" s="700" t="s">
        <v>4509</v>
      </c>
      <c r="C1198" s="700"/>
      <c r="D1198" s="1009"/>
      <c r="E1198" s="1003" t="str">
        <f>IF(D1198="","",D1198/SUM($D$1197:$D$1198))</f>
        <v/>
      </c>
      <c r="F1198" s="1041" t="str">
        <f>IF(J1198="","$",IF(C1198="当選","-",D1198*100/MAX($D$1197:$D$1198)))</f>
        <v>$</v>
      </c>
      <c r="G1198" s="906" t="s">
        <v>4578</v>
      </c>
      <c r="H1198" s="906">
        <v>57</v>
      </c>
      <c r="I1198" s="702" t="s">
        <v>5</v>
      </c>
      <c r="J1198" s="906"/>
      <c r="K1198" s="703"/>
      <c r="L1198" s="906"/>
      <c r="M1198" s="906"/>
      <c r="N1198" s="700" t="s">
        <v>16117</v>
      </c>
      <c r="O1198" s="906"/>
      <c r="P1198" s="906" t="s">
        <v>6</v>
      </c>
      <c r="Q1198" s="705"/>
      <c r="R1198" s="903"/>
      <c r="S1198" s="793"/>
    </row>
    <row r="1199" spans="1:19" ht="12" customHeight="1">
      <c r="A1199" s="1038" t="str">
        <f t="shared" si="528"/>
        <v>277</v>
      </c>
      <c r="B1199" s="688" t="s">
        <v>4514</v>
      </c>
      <c r="C1199" s="688"/>
      <c r="D1199" s="1007"/>
      <c r="E1199" s="1001" t="str">
        <f>IF(D1199="","",D1199/SUM($D$1199:$D$1201))</f>
        <v/>
      </c>
      <c r="F1199" s="1004" t="e">
        <f>IF(J1199="","$",IF(C1199="当選","-",D1199*100/MAX($D$1199:$D$1201)))</f>
        <v>#DIV/0!</v>
      </c>
      <c r="G1199" s="687" t="s">
        <v>4517</v>
      </c>
      <c r="H1199" s="687">
        <v>66</v>
      </c>
      <c r="I1199" s="696" t="s">
        <v>5</v>
      </c>
      <c r="J1199" s="689" t="s">
        <v>15273</v>
      </c>
      <c r="K1199" s="747" t="s">
        <v>4518</v>
      </c>
      <c r="L1199" s="687"/>
      <c r="M1199" s="687"/>
      <c r="N1199" s="692" t="s">
        <v>16126</v>
      </c>
      <c r="O1199" s="687" t="s">
        <v>681</v>
      </c>
      <c r="P1199" s="687" t="s">
        <v>25</v>
      </c>
      <c r="Q1199" s="748">
        <v>7</v>
      </c>
      <c r="R1199" s="749">
        <v>7</v>
      </c>
      <c r="S1199" s="805" t="s">
        <v>736</v>
      </c>
    </row>
    <row r="1200" spans="1:19" ht="12" customHeight="1">
      <c r="A1200" s="1040" t="str">
        <f t="shared" si="528"/>
        <v>277</v>
      </c>
      <c r="B1200" s="4" t="s">
        <v>4515</v>
      </c>
      <c r="C1200" s="4"/>
      <c r="D1200" s="1008"/>
      <c r="E1200" s="1002" t="str">
        <f t="shared" ref="E1200:E1201" si="549">IF(D1200="","",D1200/SUM($D$1199:$D$1201))</f>
        <v/>
      </c>
      <c r="F1200" s="1005" t="e">
        <f t="shared" ref="F1200:F1201" si="550">IF(J1200="","$",IF(C1200="当選","-",D1200*100/MAX($D$1199:$D$1201)))</f>
        <v>#DIV/0!</v>
      </c>
      <c r="G1200" s="1" t="s">
        <v>4525</v>
      </c>
      <c r="H1200" s="1">
        <v>64</v>
      </c>
      <c r="I1200" s="2" t="s">
        <v>5</v>
      </c>
      <c r="J1200" s="1" t="s">
        <v>15273</v>
      </c>
      <c r="K1200" s="3"/>
      <c r="L1200" s="1"/>
      <c r="M1200" s="1"/>
      <c r="N1200" s="4" t="s">
        <v>16120</v>
      </c>
      <c r="O1200" s="1" t="s">
        <v>934</v>
      </c>
      <c r="P1200" s="1" t="s">
        <v>14</v>
      </c>
      <c r="Q1200" s="16">
        <v>1</v>
      </c>
      <c r="R1200" s="17">
        <v>1</v>
      </c>
      <c r="S1200" s="774" t="s">
        <v>5457</v>
      </c>
    </row>
    <row r="1201" spans="1:19" ht="12" customHeight="1" thickBot="1">
      <c r="A1201" s="916" t="str">
        <f t="shared" si="528"/>
        <v>277</v>
      </c>
      <c r="B1201" s="700" t="s">
        <v>4516</v>
      </c>
      <c r="C1201" s="700"/>
      <c r="D1201" s="1009"/>
      <c r="E1201" s="1003" t="str">
        <f t="shared" si="549"/>
        <v/>
      </c>
      <c r="F1201" s="1041" t="str">
        <f t="shared" si="550"/>
        <v>$</v>
      </c>
      <c r="G1201" s="906" t="s">
        <v>4528</v>
      </c>
      <c r="H1201" s="906">
        <v>55</v>
      </c>
      <c r="I1201" s="702" t="s">
        <v>5</v>
      </c>
      <c r="J1201" s="906"/>
      <c r="K1201" s="703"/>
      <c r="L1201" s="906"/>
      <c r="M1201" s="906"/>
      <c r="N1201" s="700" t="s">
        <v>16117</v>
      </c>
      <c r="O1201" s="906"/>
      <c r="P1201" s="906" t="s">
        <v>6</v>
      </c>
      <c r="Q1201" s="705"/>
      <c r="R1201" s="903"/>
      <c r="S1201" s="793"/>
    </row>
    <row r="1202" spans="1:19" ht="12" customHeight="1">
      <c r="A1202" s="1038" t="str">
        <f t="shared" si="528"/>
        <v>278</v>
      </c>
      <c r="B1202" s="688" t="s">
        <v>4530</v>
      </c>
      <c r="C1202" s="688"/>
      <c r="D1202" s="1007"/>
      <c r="E1202" s="1001" t="str">
        <f>IF(D1202="","",D1202/SUM($D$1202:$D$1206))</f>
        <v/>
      </c>
      <c r="F1202" s="1004" t="e">
        <f>IF(J1202="","$",IF(C1202="当選","-",D1202*100/MAX($D$1202:$D$1206)))</f>
        <v>#DIV/0!</v>
      </c>
      <c r="G1202" s="687" t="s">
        <v>5549</v>
      </c>
      <c r="H1202" s="687">
        <v>69</v>
      </c>
      <c r="I1202" s="696" t="s">
        <v>5</v>
      </c>
      <c r="J1202" s="689" t="s">
        <v>15273</v>
      </c>
      <c r="K1202" s="747" t="s">
        <v>5550</v>
      </c>
      <c r="L1202" s="687"/>
      <c r="M1202" s="687"/>
      <c r="N1202" s="692" t="s">
        <v>16127</v>
      </c>
      <c r="O1202" s="687" t="s">
        <v>44</v>
      </c>
      <c r="P1202" s="687" t="s">
        <v>25</v>
      </c>
      <c r="Q1202" s="748">
        <v>1</v>
      </c>
      <c r="R1202" s="749">
        <v>1</v>
      </c>
      <c r="S1202" s="805" t="s">
        <v>736</v>
      </c>
    </row>
    <row r="1203" spans="1:19" ht="12" customHeight="1">
      <c r="A1203" s="1040" t="str">
        <f t="shared" si="528"/>
        <v>278</v>
      </c>
      <c r="B1203" s="4" t="s">
        <v>4531</v>
      </c>
      <c r="C1203" s="4"/>
      <c r="D1203" s="1008"/>
      <c r="E1203" s="1002" t="str">
        <f t="shared" ref="E1203:E1206" si="551">IF(D1203="","",D1203/SUM($D$1202:$D$1206))</f>
        <v/>
      </c>
      <c r="F1203" s="1005" t="e">
        <f t="shared" ref="F1203:F1206" si="552">IF(J1203="","$",IF(C1203="当選","-",D1203*100/MAX($D$1202:$D$1206)))</f>
        <v>#DIV/0!</v>
      </c>
      <c r="G1203" s="1" t="s">
        <v>4533</v>
      </c>
      <c r="H1203" s="1">
        <v>66</v>
      </c>
      <c r="I1203" s="2" t="s">
        <v>5</v>
      </c>
      <c r="J1203" s="1" t="s">
        <v>15273</v>
      </c>
      <c r="K1203" s="3"/>
      <c r="L1203" s="1"/>
      <c r="M1203" s="1"/>
      <c r="N1203" s="4" t="s">
        <v>16120</v>
      </c>
      <c r="O1203" s="1" t="s">
        <v>30</v>
      </c>
      <c r="P1203" s="1" t="s">
        <v>6</v>
      </c>
      <c r="Q1203" s="16"/>
      <c r="R1203" s="17"/>
      <c r="S1203" s="774" t="s">
        <v>5457</v>
      </c>
    </row>
    <row r="1204" spans="1:19" ht="12" customHeight="1">
      <c r="A1204" s="1040" t="str">
        <f t="shared" si="528"/>
        <v>278</v>
      </c>
      <c r="B1204" s="4" t="s">
        <v>4532</v>
      </c>
      <c r="C1204" s="4"/>
      <c r="D1204" s="1008"/>
      <c r="E1204" s="1002" t="str">
        <f t="shared" si="551"/>
        <v/>
      </c>
      <c r="F1204" s="1005" t="str">
        <f t="shared" si="552"/>
        <v>$</v>
      </c>
      <c r="G1204" s="1" t="s">
        <v>5281</v>
      </c>
      <c r="H1204" s="1">
        <v>63</v>
      </c>
      <c r="I1204" s="2" t="s">
        <v>5</v>
      </c>
      <c r="J1204" s="1"/>
      <c r="K1204" s="3"/>
      <c r="L1204" s="1"/>
      <c r="M1204" s="1"/>
      <c r="N1204" s="4" t="s">
        <v>16117</v>
      </c>
      <c r="O1204" s="1"/>
      <c r="P1204" s="1" t="s">
        <v>6</v>
      </c>
      <c r="Q1204" s="16"/>
      <c r="R1204" s="17"/>
      <c r="S1204" s="774"/>
    </row>
    <row r="1205" spans="1:19" ht="12" customHeight="1">
      <c r="A1205" s="1040" t="str">
        <f t="shared" si="528"/>
        <v>278</v>
      </c>
      <c r="B1205" s="4" t="s">
        <v>4574</v>
      </c>
      <c r="C1205" s="4"/>
      <c r="D1205" s="1008"/>
      <c r="E1205" s="1002" t="str">
        <f t="shared" si="551"/>
        <v/>
      </c>
      <c r="F1205" s="1005" t="str">
        <f t="shared" si="552"/>
        <v>$</v>
      </c>
      <c r="G1205" s="1" t="s">
        <v>16062</v>
      </c>
      <c r="H1205" s="1">
        <v>63</v>
      </c>
      <c r="I1205" s="2" t="s">
        <v>5</v>
      </c>
      <c r="J1205" s="1"/>
      <c r="K1205" s="3"/>
      <c r="L1205" s="1"/>
      <c r="M1205" s="1"/>
      <c r="N1205" s="4" t="s">
        <v>16129</v>
      </c>
      <c r="O1205" s="1"/>
      <c r="P1205" s="1" t="s">
        <v>6</v>
      </c>
      <c r="Q1205" s="16"/>
      <c r="R1205" s="17"/>
      <c r="S1205" s="774"/>
    </row>
    <row r="1206" spans="1:19" ht="12" customHeight="1" thickBot="1">
      <c r="A1206" s="916" t="str">
        <f t="shared" si="528"/>
        <v>278</v>
      </c>
      <c r="B1206" s="700" t="s">
        <v>16061</v>
      </c>
      <c r="C1206" s="700"/>
      <c r="D1206" s="1009"/>
      <c r="E1206" s="1003" t="str">
        <f t="shared" si="551"/>
        <v/>
      </c>
      <c r="F1206" s="1041" t="str">
        <f t="shared" si="552"/>
        <v>$</v>
      </c>
      <c r="G1206" s="906" t="s">
        <v>5588</v>
      </c>
      <c r="H1206" s="906">
        <v>58</v>
      </c>
      <c r="I1206" s="702" t="s">
        <v>5</v>
      </c>
      <c r="J1206" s="906"/>
      <c r="K1206" s="703"/>
      <c r="L1206" s="906"/>
      <c r="M1206" s="906"/>
      <c r="N1206" s="704" t="s">
        <v>16129</v>
      </c>
      <c r="O1206" s="906" t="s">
        <v>97</v>
      </c>
      <c r="P1206" s="906" t="s">
        <v>6</v>
      </c>
      <c r="Q1206" s="705"/>
      <c r="R1206" s="903"/>
      <c r="S1206" s="793"/>
    </row>
    <row r="1207" spans="1:19" ht="12" customHeight="1">
      <c r="A1207" s="1038" t="str">
        <f t="shared" si="528"/>
        <v>279</v>
      </c>
      <c r="B1207" s="688" t="s">
        <v>4535</v>
      </c>
      <c r="C1207" s="688"/>
      <c r="D1207" s="1007"/>
      <c r="E1207" s="1001" t="str">
        <f>IF(D1207="","",D1207/SUM($D$1207:$D$1209))</f>
        <v/>
      </c>
      <c r="F1207" s="1004" t="e">
        <f>IF(J1207="","$",IF(C1207="当選","-",D1207*100/MAX($D$1207:$D$1209)))</f>
        <v>#DIV/0!</v>
      </c>
      <c r="G1207" s="687" t="s">
        <v>4542</v>
      </c>
      <c r="H1207" s="687">
        <v>71</v>
      </c>
      <c r="I1207" s="696" t="s">
        <v>5</v>
      </c>
      <c r="J1207" s="687" t="s">
        <v>15273</v>
      </c>
      <c r="K1207" s="747" t="s">
        <v>4543</v>
      </c>
      <c r="L1207" s="687"/>
      <c r="M1207" s="687"/>
      <c r="N1207" s="692" t="s">
        <v>16120</v>
      </c>
      <c r="O1207" s="687" t="s">
        <v>48</v>
      </c>
      <c r="P1207" s="687" t="s">
        <v>25</v>
      </c>
      <c r="Q1207" s="748">
        <v>3</v>
      </c>
      <c r="R1207" s="749">
        <v>3</v>
      </c>
      <c r="S1207" s="805" t="s">
        <v>5457</v>
      </c>
    </row>
    <row r="1208" spans="1:19" ht="12" customHeight="1">
      <c r="A1208" s="1040" t="str">
        <f t="shared" si="528"/>
        <v>279</v>
      </c>
      <c r="B1208" s="4" t="s">
        <v>4536</v>
      </c>
      <c r="C1208" s="4"/>
      <c r="D1208" s="1008"/>
      <c r="E1208" s="1002" t="str">
        <f t="shared" ref="E1208:E1209" si="553">IF(D1208="","",D1208/SUM($D$1207:$D$1209))</f>
        <v/>
      </c>
      <c r="F1208" s="1005" t="e">
        <f t="shared" ref="F1208:F1209" si="554">IF(J1208="","$",IF(C1208="当選","-",D1208*100/MAX($D$1207:$D$1209)))</f>
        <v>#DIV/0!</v>
      </c>
      <c r="G1208" s="1" t="s">
        <v>4538</v>
      </c>
      <c r="H1208" s="1">
        <v>70</v>
      </c>
      <c r="I1208" s="2" t="s">
        <v>5</v>
      </c>
      <c r="J1208" s="1" t="s">
        <v>15273</v>
      </c>
      <c r="K1208" s="3" t="s">
        <v>4539</v>
      </c>
      <c r="L1208" s="1"/>
      <c r="M1208" s="1"/>
      <c r="N1208" s="4" t="s">
        <v>16125</v>
      </c>
      <c r="O1208" s="1"/>
      <c r="P1208" s="1" t="s">
        <v>25</v>
      </c>
      <c r="Q1208" s="16">
        <v>5</v>
      </c>
      <c r="R1208" s="17">
        <v>5</v>
      </c>
      <c r="S1208" s="774" t="s">
        <v>5561</v>
      </c>
    </row>
    <row r="1209" spans="1:19" ht="12" customHeight="1" thickBot="1">
      <c r="A1209" s="916" t="str">
        <f t="shared" si="528"/>
        <v>279</v>
      </c>
      <c r="B1209" s="700" t="s">
        <v>4537</v>
      </c>
      <c r="C1209" s="700"/>
      <c r="D1209" s="1009"/>
      <c r="E1209" s="1003" t="str">
        <f t="shared" si="553"/>
        <v/>
      </c>
      <c r="F1209" s="1041" t="str">
        <f t="shared" si="554"/>
        <v>$</v>
      </c>
      <c r="G1209" s="906" t="s">
        <v>5283</v>
      </c>
      <c r="H1209" s="906">
        <v>63</v>
      </c>
      <c r="I1209" s="702" t="s">
        <v>5</v>
      </c>
      <c r="J1209" s="906"/>
      <c r="K1209" s="703"/>
      <c r="L1209" s="906"/>
      <c r="M1209" s="906"/>
      <c r="N1209" s="700" t="s">
        <v>16117</v>
      </c>
      <c r="O1209" s="906"/>
      <c r="P1209" s="906" t="s">
        <v>6</v>
      </c>
      <c r="Q1209" s="705"/>
      <c r="R1209" s="903"/>
      <c r="S1209" s="793"/>
    </row>
    <row r="1210" spans="1:19" ht="12" customHeight="1">
      <c r="A1210" s="1038" t="str">
        <f t="shared" si="528"/>
        <v>280</v>
      </c>
      <c r="B1210" s="688" t="s">
        <v>4547</v>
      </c>
      <c r="C1210" s="688"/>
      <c r="D1210" s="1007"/>
      <c r="E1210" s="1001" t="str">
        <f>IF(D1210="","",D1210/SUM($D$1210:$D$1213))</f>
        <v/>
      </c>
      <c r="F1210" s="1004" t="e">
        <f>IF(J1210="","$",IF(C1210="当選","-",D1210*100/MAX($D$1210:$D$1213)))</f>
        <v>#DIV/0!</v>
      </c>
      <c r="G1210" s="687" t="s">
        <v>4551</v>
      </c>
      <c r="H1210" s="687">
        <v>49</v>
      </c>
      <c r="I1210" s="696" t="s">
        <v>5</v>
      </c>
      <c r="J1210" s="689" t="s">
        <v>15273</v>
      </c>
      <c r="K1210" s="747" t="s">
        <v>4552</v>
      </c>
      <c r="L1210" s="687"/>
      <c r="M1210" s="687"/>
      <c r="N1210" s="692" t="s">
        <v>16127</v>
      </c>
      <c r="O1210" s="687" t="s">
        <v>276</v>
      </c>
      <c r="P1210" s="687" t="s">
        <v>25</v>
      </c>
      <c r="Q1210" s="748">
        <v>2</v>
      </c>
      <c r="R1210" s="749">
        <v>2</v>
      </c>
      <c r="S1210" s="805" t="s">
        <v>736</v>
      </c>
    </row>
    <row r="1211" spans="1:19" ht="12" customHeight="1">
      <c r="A1211" s="1040" t="str">
        <f t="shared" si="528"/>
        <v>280</v>
      </c>
      <c r="B1211" s="4" t="s">
        <v>4548</v>
      </c>
      <c r="C1211" s="4"/>
      <c r="D1211" s="1008"/>
      <c r="E1211" s="1002" t="str">
        <f t="shared" ref="E1211:E1213" si="555">IF(D1211="","",D1211/SUM($D$1210:$D$1213))</f>
        <v/>
      </c>
      <c r="F1211" s="1005" t="e">
        <f t="shared" ref="F1211:F1213" si="556">IF(J1211="","$",IF(C1211="当選","-",D1211*100/MAX($D$1210:$D$1213)))</f>
        <v>#DIV/0!</v>
      </c>
      <c r="G1211" s="1" t="s">
        <v>4557</v>
      </c>
      <c r="H1211" s="1">
        <v>65</v>
      </c>
      <c r="I1211" s="2" t="s">
        <v>5</v>
      </c>
      <c r="J1211" s="1" t="s">
        <v>15273</v>
      </c>
      <c r="K1211" s="3" t="s">
        <v>4558</v>
      </c>
      <c r="L1211" s="1"/>
      <c r="M1211" s="1"/>
      <c r="N1211" s="4" t="s">
        <v>16120</v>
      </c>
      <c r="O1211" s="1" t="s">
        <v>476</v>
      </c>
      <c r="P1211" s="1" t="s">
        <v>25</v>
      </c>
      <c r="Q1211" s="16">
        <v>4</v>
      </c>
      <c r="R1211" s="17">
        <v>4</v>
      </c>
      <c r="S1211" s="774" t="s">
        <v>5457</v>
      </c>
    </row>
    <row r="1212" spans="1:19" ht="12" customHeight="1">
      <c r="A1212" s="1040" t="str">
        <f t="shared" si="528"/>
        <v>280</v>
      </c>
      <c r="B1212" s="4" t="s">
        <v>4549</v>
      </c>
      <c r="C1212" s="4"/>
      <c r="D1212" s="1008"/>
      <c r="E1212" s="1002" t="str">
        <f t="shared" si="555"/>
        <v/>
      </c>
      <c r="F1212" s="1005" t="e">
        <f t="shared" si="556"/>
        <v>#DIV/0!</v>
      </c>
      <c r="G1212" s="1" t="s">
        <v>4561</v>
      </c>
      <c r="H1212" s="1">
        <v>50</v>
      </c>
      <c r="I1212" s="2" t="s">
        <v>5</v>
      </c>
      <c r="J1212" s="1" t="s">
        <v>15273</v>
      </c>
      <c r="K1212" s="3"/>
      <c r="L1212" s="1"/>
      <c r="M1212" s="1"/>
      <c r="N1212" s="4" t="s">
        <v>16125</v>
      </c>
      <c r="O1212" s="1"/>
      <c r="P1212" s="1" t="s">
        <v>6</v>
      </c>
      <c r="Q1212" s="16"/>
      <c r="R1212" s="17"/>
      <c r="S1212" s="774" t="s">
        <v>5561</v>
      </c>
    </row>
    <row r="1213" spans="1:19" ht="12" customHeight="1" thickBot="1">
      <c r="A1213" s="916" t="str">
        <f t="shared" si="528"/>
        <v>280</v>
      </c>
      <c r="B1213" s="700" t="s">
        <v>4550</v>
      </c>
      <c r="C1213" s="700"/>
      <c r="D1213" s="1009"/>
      <c r="E1213" s="1003" t="str">
        <f t="shared" si="555"/>
        <v/>
      </c>
      <c r="F1213" s="1041" t="str">
        <f t="shared" si="556"/>
        <v>$</v>
      </c>
      <c r="G1213" s="906" t="s">
        <v>4563</v>
      </c>
      <c r="H1213" s="906">
        <v>60</v>
      </c>
      <c r="I1213" s="702" t="s">
        <v>5</v>
      </c>
      <c r="J1213" s="906"/>
      <c r="K1213" s="703"/>
      <c r="L1213" s="906"/>
      <c r="M1213" s="906"/>
      <c r="N1213" s="700" t="s">
        <v>16117</v>
      </c>
      <c r="O1213" s="906"/>
      <c r="P1213" s="906" t="s">
        <v>6</v>
      </c>
      <c r="Q1213" s="705"/>
      <c r="R1213" s="903"/>
      <c r="S1213" s="793"/>
    </row>
    <row r="1214" spans="1:19" ht="12" customHeight="1">
      <c r="A1214" s="1038" t="str">
        <f t="shared" si="528"/>
        <v>281</v>
      </c>
      <c r="B1214" s="688" t="s">
        <v>4664</v>
      </c>
      <c r="C1214" s="688"/>
      <c r="D1214" s="1007"/>
      <c r="E1214" s="1001" t="str">
        <f>IF(D1214="","",D1214/SUM($D$1214:$D$1218))</f>
        <v/>
      </c>
      <c r="F1214" s="1004" t="e">
        <f>IF(J1214="","$",IF(C1214="当選","-",D1214*100/MAX($D$1214:$D$1218)))</f>
        <v>#DIV/0!</v>
      </c>
      <c r="G1214" s="687" t="s">
        <v>4668</v>
      </c>
      <c r="H1214" s="687">
        <v>60</v>
      </c>
      <c r="I1214" s="696" t="s">
        <v>5</v>
      </c>
      <c r="J1214" s="689" t="s">
        <v>15273</v>
      </c>
      <c r="K1214" s="747"/>
      <c r="L1214" s="687"/>
      <c r="M1214" s="687"/>
      <c r="N1214" s="692" t="s">
        <v>16126</v>
      </c>
      <c r="O1214" s="687" t="s">
        <v>44</v>
      </c>
      <c r="P1214" s="687" t="s">
        <v>6</v>
      </c>
      <c r="Q1214" s="748"/>
      <c r="R1214" s="749"/>
      <c r="S1214" s="805"/>
    </row>
    <row r="1215" spans="1:19" ht="12" customHeight="1">
      <c r="A1215" s="1040" t="str">
        <f t="shared" si="528"/>
        <v>281</v>
      </c>
      <c r="B1215" s="4" t="s">
        <v>4665</v>
      </c>
      <c r="C1215" s="4"/>
      <c r="D1215" s="1008"/>
      <c r="E1215" s="1002" t="str">
        <f t="shared" ref="E1215:E1218" si="557">IF(D1215="","",D1215/SUM($D$1214:$D$1218))</f>
        <v/>
      </c>
      <c r="F1215" s="1005" t="e">
        <f t="shared" ref="F1215:F1218" si="558">IF(J1215="","$",IF(C1215="当選","-",D1215*100/MAX($D$1214:$D$1218)))</f>
        <v>#DIV/0!</v>
      </c>
      <c r="G1215" s="1" t="s">
        <v>4670</v>
      </c>
      <c r="H1215" s="1">
        <v>43</v>
      </c>
      <c r="I1215" s="2" t="s">
        <v>5</v>
      </c>
      <c r="J1215" s="1" t="s">
        <v>15273</v>
      </c>
      <c r="K1215" s="3"/>
      <c r="L1215" s="1"/>
      <c r="M1215" s="1"/>
      <c r="N1215" s="4" t="s">
        <v>16120</v>
      </c>
      <c r="O1215" s="1" t="s">
        <v>13</v>
      </c>
      <c r="P1215" s="1" t="s">
        <v>14</v>
      </c>
      <c r="Q1215" s="16">
        <v>1</v>
      </c>
      <c r="R1215" s="17">
        <v>1</v>
      </c>
      <c r="S1215" s="774"/>
    </row>
    <row r="1216" spans="1:19" ht="12" customHeight="1">
      <c r="A1216" s="1040" t="str">
        <f t="shared" si="528"/>
        <v>281</v>
      </c>
      <c r="B1216" s="4" t="s">
        <v>4666</v>
      </c>
      <c r="C1216" s="4"/>
      <c r="D1216" s="1008"/>
      <c r="E1216" s="1002" t="str">
        <f t="shared" si="557"/>
        <v/>
      </c>
      <c r="F1216" s="1005" t="e">
        <f t="shared" si="558"/>
        <v>#DIV/0!</v>
      </c>
      <c r="G1216" s="1" t="s">
        <v>4675</v>
      </c>
      <c r="H1216" s="1">
        <v>52</v>
      </c>
      <c r="I1216" s="2" t="s">
        <v>5</v>
      </c>
      <c r="J1216" s="1" t="s">
        <v>15273</v>
      </c>
      <c r="K1216" s="3" t="s">
        <v>4676</v>
      </c>
      <c r="L1216" s="1"/>
      <c r="M1216" s="1"/>
      <c r="N1216" s="4" t="s">
        <v>16116</v>
      </c>
      <c r="O1216" s="1" t="s">
        <v>564</v>
      </c>
      <c r="P1216" s="1" t="s">
        <v>25</v>
      </c>
      <c r="Q1216" s="16">
        <v>4</v>
      </c>
      <c r="R1216" s="17">
        <v>4</v>
      </c>
      <c r="S1216" s="774" t="s">
        <v>18568</v>
      </c>
    </row>
    <row r="1217" spans="1:19" ht="12" customHeight="1">
      <c r="A1217" s="1040" t="str">
        <f t="shared" si="528"/>
        <v>281</v>
      </c>
      <c r="B1217" s="4" t="s">
        <v>4667</v>
      </c>
      <c r="C1217" s="4"/>
      <c r="D1217" s="1008"/>
      <c r="E1217" s="1002" t="str">
        <f t="shared" si="557"/>
        <v/>
      </c>
      <c r="F1217" s="1005" t="str">
        <f t="shared" si="558"/>
        <v>$</v>
      </c>
      <c r="G1217" s="1" t="s">
        <v>4672</v>
      </c>
      <c r="H1217" s="1">
        <v>46</v>
      </c>
      <c r="I1217" s="2" t="s">
        <v>5</v>
      </c>
      <c r="J1217" s="1"/>
      <c r="K1217" s="3"/>
      <c r="L1217" s="1"/>
      <c r="M1217" s="1"/>
      <c r="N1217" s="4" t="s">
        <v>16117</v>
      </c>
      <c r="O1217" s="1"/>
      <c r="P1217" s="1" t="s">
        <v>6</v>
      </c>
      <c r="Q1217" s="16"/>
      <c r="R1217" s="17"/>
      <c r="S1217" s="774"/>
    </row>
    <row r="1218" spans="1:19" ht="12" customHeight="1" thickBot="1">
      <c r="A1218" s="916" t="str">
        <f t="shared" si="528"/>
        <v>281</v>
      </c>
      <c r="B1218" s="700" t="s">
        <v>16065</v>
      </c>
      <c r="C1218" s="700"/>
      <c r="D1218" s="1009"/>
      <c r="E1218" s="1003" t="str">
        <f t="shared" si="557"/>
        <v/>
      </c>
      <c r="F1218" s="1041" t="str">
        <f t="shared" si="558"/>
        <v>$</v>
      </c>
      <c r="G1218" s="906" t="s">
        <v>16066</v>
      </c>
      <c r="H1218" s="906">
        <v>62</v>
      </c>
      <c r="I1218" s="702" t="s">
        <v>5</v>
      </c>
      <c r="J1218" s="906"/>
      <c r="K1218" s="703"/>
      <c r="L1218" s="906"/>
      <c r="M1218" s="906"/>
      <c r="N1218" s="700" t="s">
        <v>16129</v>
      </c>
      <c r="O1218" s="906"/>
      <c r="P1218" s="906" t="s">
        <v>6</v>
      </c>
      <c r="Q1218" s="705"/>
      <c r="R1218" s="903"/>
      <c r="S1218" s="793"/>
    </row>
    <row r="1219" spans="1:19" ht="12" customHeight="1">
      <c r="A1219" s="1038" t="str">
        <f t="shared" ref="A1219:A1282" si="559">MIDB(B1219,1,3)</f>
        <v>282</v>
      </c>
      <c r="B1219" s="688" t="s">
        <v>4679</v>
      </c>
      <c r="C1219" s="688"/>
      <c r="D1219" s="1007"/>
      <c r="E1219" s="1001" t="str">
        <f>IF(D1219="","",D1219/SUM($D$1219:$D$1223))</f>
        <v/>
      </c>
      <c r="F1219" s="1004" t="e">
        <f>IF(J1219="","$",IF(C1219="当選","-",D1219*100/MAX($D$1219:$D$1223)))</f>
        <v>#DIV/0!</v>
      </c>
      <c r="G1219" s="687" t="s">
        <v>4684</v>
      </c>
      <c r="H1219" s="687">
        <v>42</v>
      </c>
      <c r="I1219" s="696" t="s">
        <v>5</v>
      </c>
      <c r="J1219" s="689" t="s">
        <v>15273</v>
      </c>
      <c r="K1219" s="747"/>
      <c r="L1219" s="687"/>
      <c r="M1219" s="687"/>
      <c r="N1219" s="692" t="s">
        <v>16127</v>
      </c>
      <c r="O1219" s="687" t="s">
        <v>44</v>
      </c>
      <c r="P1219" s="687" t="s">
        <v>6</v>
      </c>
      <c r="Q1219" s="748"/>
      <c r="R1219" s="749"/>
      <c r="S1219" s="805"/>
    </row>
    <row r="1220" spans="1:19" ht="12" customHeight="1">
      <c r="A1220" s="1040" t="str">
        <f t="shared" si="559"/>
        <v>282</v>
      </c>
      <c r="B1220" s="4" t="s">
        <v>4680</v>
      </c>
      <c r="C1220" s="4"/>
      <c r="D1220" s="1008"/>
      <c r="E1220" s="1002" t="str">
        <f t="shared" ref="E1220:E1223" si="560">IF(D1220="","",D1220/SUM($D$1219:$D$1223))</f>
        <v/>
      </c>
      <c r="F1220" s="1005" t="e">
        <f t="shared" ref="F1220:F1223" si="561">IF(J1220="","$",IF(C1220="当選","-",D1220*100/MAX($D$1219:$D$1223)))</f>
        <v>#DIV/0!</v>
      </c>
      <c r="G1220" s="1" t="s">
        <v>4687</v>
      </c>
      <c r="H1220" s="1">
        <v>71</v>
      </c>
      <c r="I1220" s="2" t="s">
        <v>5</v>
      </c>
      <c r="J1220" s="1" t="s">
        <v>15273</v>
      </c>
      <c r="K1220" s="3" t="s">
        <v>4688</v>
      </c>
      <c r="L1220" s="1"/>
      <c r="M1220" s="1"/>
      <c r="N1220" s="8" t="s">
        <v>16120</v>
      </c>
      <c r="O1220" s="1" t="s">
        <v>934</v>
      </c>
      <c r="P1220" s="1" t="s">
        <v>25</v>
      </c>
      <c r="Q1220" s="16">
        <v>13</v>
      </c>
      <c r="R1220" s="17">
        <v>13</v>
      </c>
      <c r="S1220" s="774" t="s">
        <v>5457</v>
      </c>
    </row>
    <row r="1221" spans="1:19" ht="12" customHeight="1">
      <c r="A1221" s="1040" t="str">
        <f t="shared" si="559"/>
        <v>282</v>
      </c>
      <c r="B1221" s="4" t="s">
        <v>4681</v>
      </c>
      <c r="C1221" s="4"/>
      <c r="D1221" s="1008"/>
      <c r="E1221" s="1002" t="str">
        <f t="shared" si="560"/>
        <v/>
      </c>
      <c r="F1221" s="1005" t="e">
        <f t="shared" si="561"/>
        <v>#DIV/0!</v>
      </c>
      <c r="G1221" s="1" t="s">
        <v>4692</v>
      </c>
      <c r="H1221" s="1">
        <v>46</v>
      </c>
      <c r="I1221" s="2" t="s">
        <v>5</v>
      </c>
      <c r="J1221" s="1" t="s">
        <v>15273</v>
      </c>
      <c r="K1221" s="3" t="s">
        <v>4693</v>
      </c>
      <c r="L1221" s="1"/>
      <c r="M1221" s="1"/>
      <c r="N1221" s="4" t="s">
        <v>16125</v>
      </c>
      <c r="O1221" s="1"/>
      <c r="P1221" s="1" t="s">
        <v>25</v>
      </c>
      <c r="Q1221" s="16">
        <v>1</v>
      </c>
      <c r="R1221" s="17">
        <v>1</v>
      </c>
      <c r="S1221" s="774" t="s">
        <v>5561</v>
      </c>
    </row>
    <row r="1222" spans="1:19" ht="12" customHeight="1">
      <c r="A1222" s="1040" t="str">
        <f t="shared" si="559"/>
        <v>282</v>
      </c>
      <c r="B1222" s="4" t="s">
        <v>4682</v>
      </c>
      <c r="C1222" s="4"/>
      <c r="D1222" s="1008"/>
      <c r="E1222" s="1002" t="str">
        <f t="shared" si="560"/>
        <v/>
      </c>
      <c r="F1222" s="1005" t="e">
        <f t="shared" si="561"/>
        <v>#DIV/0!</v>
      </c>
      <c r="G1222" s="1" t="s">
        <v>4699</v>
      </c>
      <c r="H1222" s="1">
        <v>41</v>
      </c>
      <c r="I1222" s="2" t="s">
        <v>19</v>
      </c>
      <c r="J1222" s="1" t="s">
        <v>15273</v>
      </c>
      <c r="K1222" s="3"/>
      <c r="L1222" s="1"/>
      <c r="M1222" s="1"/>
      <c r="N1222" s="4" t="s">
        <v>18495</v>
      </c>
      <c r="O1222" s="1"/>
      <c r="P1222" s="1" t="s">
        <v>6</v>
      </c>
      <c r="Q1222" s="16"/>
      <c r="R1222" s="17"/>
      <c r="S1222" s="774" t="s">
        <v>6031</v>
      </c>
    </row>
    <row r="1223" spans="1:19" ht="12" customHeight="1" thickBot="1">
      <c r="A1223" s="916" t="str">
        <f t="shared" si="559"/>
        <v>282</v>
      </c>
      <c r="B1223" s="700" t="s">
        <v>4683</v>
      </c>
      <c r="C1223" s="700"/>
      <c r="D1223" s="1009"/>
      <c r="E1223" s="1003" t="str">
        <f t="shared" si="560"/>
        <v/>
      </c>
      <c r="F1223" s="1041" t="str">
        <f t="shared" si="561"/>
        <v>$</v>
      </c>
      <c r="G1223" s="906" t="s">
        <v>4695</v>
      </c>
      <c r="H1223" s="906">
        <v>59</v>
      </c>
      <c r="I1223" s="702" t="s">
        <v>5</v>
      </c>
      <c r="J1223" s="906"/>
      <c r="K1223" s="703"/>
      <c r="L1223" s="906"/>
      <c r="M1223" s="906"/>
      <c r="N1223" s="700" t="s">
        <v>16117</v>
      </c>
      <c r="O1223" s="906"/>
      <c r="P1223" s="906" t="s">
        <v>6</v>
      </c>
      <c r="Q1223" s="705"/>
      <c r="R1223" s="903"/>
      <c r="S1223" s="793"/>
    </row>
    <row r="1224" spans="1:19" ht="12" customHeight="1">
      <c r="A1224" s="1038" t="str">
        <f t="shared" si="559"/>
        <v>283</v>
      </c>
      <c r="B1224" s="688" t="s">
        <v>4702</v>
      </c>
      <c r="C1224" s="688"/>
      <c r="D1224" s="1007"/>
      <c r="E1224" s="1001" t="str">
        <f>IF(D1224="","",D1224/SUM($D$1224:$D$1227))</f>
        <v/>
      </c>
      <c r="F1224" s="1004" t="e">
        <f>IF(J1224="","$",IF(C1224="当選","-",D1224*100/MAX($D$1224:$D$1227)))</f>
        <v>#DIV/0!</v>
      </c>
      <c r="G1224" s="687" t="s">
        <v>5502</v>
      </c>
      <c r="H1224" s="687">
        <v>34</v>
      </c>
      <c r="I1224" s="696" t="s">
        <v>5</v>
      </c>
      <c r="J1224" s="689" t="s">
        <v>15273</v>
      </c>
      <c r="K1224" s="747"/>
      <c r="L1224" s="687"/>
      <c r="M1224" s="687"/>
      <c r="N1224" s="692" t="s">
        <v>16127</v>
      </c>
      <c r="O1224" s="687" t="s">
        <v>44</v>
      </c>
      <c r="P1224" s="687" t="s">
        <v>6</v>
      </c>
      <c r="Q1224" s="748"/>
      <c r="R1224" s="749"/>
      <c r="S1224" s="805" t="s">
        <v>736</v>
      </c>
    </row>
    <row r="1225" spans="1:19" ht="12" customHeight="1">
      <c r="A1225" s="1040" t="str">
        <f t="shared" si="559"/>
        <v>283</v>
      </c>
      <c r="B1225" s="4" t="s">
        <v>4703</v>
      </c>
      <c r="C1225" s="4"/>
      <c r="D1225" s="1008"/>
      <c r="E1225" s="1002" t="str">
        <f t="shared" ref="E1225:E1227" si="562">IF(D1225="","",D1225/SUM($D$1224:$D$1227))</f>
        <v/>
      </c>
      <c r="F1225" s="1005" t="e">
        <f t="shared" ref="F1225:F1227" si="563">IF(J1225="","$",IF(C1225="当選","-",D1225*100/MAX($D$1224:$D$1227)))</f>
        <v>#DIV/0!</v>
      </c>
      <c r="G1225" s="1" t="s">
        <v>4707</v>
      </c>
      <c r="H1225" s="1">
        <v>62</v>
      </c>
      <c r="I1225" s="2" t="s">
        <v>5</v>
      </c>
      <c r="J1225" s="1" t="s">
        <v>15273</v>
      </c>
      <c r="K1225" s="3" t="s">
        <v>4708</v>
      </c>
      <c r="L1225" s="1"/>
      <c r="M1225" s="1"/>
      <c r="N1225" s="4" t="s">
        <v>16120</v>
      </c>
      <c r="O1225" s="1" t="s">
        <v>934</v>
      </c>
      <c r="P1225" s="1" t="s">
        <v>25</v>
      </c>
      <c r="Q1225" s="16">
        <v>3</v>
      </c>
      <c r="R1225" s="17">
        <v>3</v>
      </c>
      <c r="S1225" s="774" t="s">
        <v>5457</v>
      </c>
    </row>
    <row r="1226" spans="1:19" ht="12" customHeight="1">
      <c r="A1226" s="1040" t="str">
        <f t="shared" si="559"/>
        <v>283</v>
      </c>
      <c r="B1226" s="4" t="s">
        <v>4704</v>
      </c>
      <c r="C1226" s="4"/>
      <c r="D1226" s="1008"/>
      <c r="E1226" s="1002" t="str">
        <f t="shared" si="562"/>
        <v/>
      </c>
      <c r="F1226" s="1005" t="e">
        <f t="shared" si="563"/>
        <v>#DIV/0!</v>
      </c>
      <c r="G1226" s="1" t="s">
        <v>4705</v>
      </c>
      <c r="H1226" s="1">
        <v>45</v>
      </c>
      <c r="I1226" s="2" t="s">
        <v>5</v>
      </c>
      <c r="J1226" s="1" t="s">
        <v>15273</v>
      </c>
      <c r="K1226" s="3"/>
      <c r="L1226" s="1"/>
      <c r="M1226" s="1"/>
      <c r="N1226" s="4" t="s">
        <v>16116</v>
      </c>
      <c r="O1226" s="1" t="s">
        <v>4422</v>
      </c>
      <c r="P1226" s="1" t="s">
        <v>6</v>
      </c>
      <c r="Q1226" s="16"/>
      <c r="R1226" s="17"/>
      <c r="S1226" s="774"/>
    </row>
    <row r="1227" spans="1:19" ht="12" customHeight="1" thickBot="1">
      <c r="A1227" s="916" t="str">
        <f t="shared" si="559"/>
        <v>283</v>
      </c>
      <c r="B1227" s="700" t="s">
        <v>5208</v>
      </c>
      <c r="C1227" s="700"/>
      <c r="D1227" s="1009"/>
      <c r="E1227" s="1003" t="str">
        <f t="shared" si="562"/>
        <v/>
      </c>
      <c r="F1227" s="1041" t="str">
        <f t="shared" si="563"/>
        <v>$</v>
      </c>
      <c r="G1227" s="906" t="s">
        <v>4713</v>
      </c>
      <c r="H1227" s="906">
        <v>43</v>
      </c>
      <c r="I1227" s="702" t="s">
        <v>19</v>
      </c>
      <c r="J1227" s="906"/>
      <c r="K1227" s="703"/>
      <c r="L1227" s="906"/>
      <c r="M1227" s="906"/>
      <c r="N1227" s="700" t="s">
        <v>16117</v>
      </c>
      <c r="O1227" s="906"/>
      <c r="P1227" s="906" t="s">
        <v>6</v>
      </c>
      <c r="Q1227" s="705"/>
      <c r="R1227" s="903"/>
      <c r="S1227" s="793"/>
    </row>
    <row r="1228" spans="1:19" ht="12" customHeight="1">
      <c r="A1228" s="1038" t="str">
        <f t="shared" si="559"/>
        <v>284</v>
      </c>
      <c r="B1228" s="688" t="s">
        <v>4715</v>
      </c>
      <c r="C1228" s="688"/>
      <c r="D1228" s="1007"/>
      <c r="E1228" s="1001" t="str">
        <f>IF(D1228="","",D1228/SUM($D$1228:$D$1230))</f>
        <v/>
      </c>
      <c r="F1228" s="1004" t="e">
        <f>IF(J1228="","$",IF(C1228="当選","-",D1228*100/MAX($D$1228:$D$1230)))</f>
        <v>#DIV/0!</v>
      </c>
      <c r="G1228" s="687" t="s">
        <v>4720</v>
      </c>
      <c r="H1228" s="687">
        <v>70</v>
      </c>
      <c r="I1228" s="696" t="s">
        <v>5</v>
      </c>
      <c r="J1228" s="687" t="s">
        <v>15273</v>
      </c>
      <c r="K1228" s="747" t="s">
        <v>4721</v>
      </c>
      <c r="L1228" s="687"/>
      <c r="M1228" s="687"/>
      <c r="N1228" s="688" t="s">
        <v>16116</v>
      </c>
      <c r="O1228" s="687" t="s">
        <v>4993</v>
      </c>
      <c r="P1228" s="687" t="s">
        <v>25</v>
      </c>
      <c r="Q1228" s="748">
        <v>8</v>
      </c>
      <c r="R1228" s="749">
        <v>8</v>
      </c>
      <c r="S1228" s="805"/>
    </row>
    <row r="1229" spans="1:19" ht="12" customHeight="1">
      <c r="A1229" s="1040" t="str">
        <f t="shared" si="559"/>
        <v>284</v>
      </c>
      <c r="B1229" s="4" t="s">
        <v>4716</v>
      </c>
      <c r="C1229" s="4"/>
      <c r="D1229" s="1008"/>
      <c r="E1229" s="1002" t="str">
        <f t="shared" ref="E1229:E1230" si="564">IF(D1229="","",D1229/SUM($D$1228:$D$1230))</f>
        <v/>
      </c>
      <c r="F1229" s="1005" t="str">
        <f t="shared" ref="F1229:F1230" si="565">IF(J1229="","$",IF(C1229="当選","-",D1229*100/MAX($D$1228:$D$1230)))</f>
        <v>$</v>
      </c>
      <c r="G1229" s="1" t="s">
        <v>4718</v>
      </c>
      <c r="H1229" s="1">
        <v>61</v>
      </c>
      <c r="I1229" s="2" t="s">
        <v>19</v>
      </c>
      <c r="J1229" s="1"/>
      <c r="K1229" s="3"/>
      <c r="L1229" s="1"/>
      <c r="M1229" s="1"/>
      <c r="N1229" s="4" t="s">
        <v>16117</v>
      </c>
      <c r="O1229" s="1"/>
      <c r="P1229" s="1" t="s">
        <v>6</v>
      </c>
      <c r="Q1229" s="16"/>
      <c r="R1229" s="17"/>
      <c r="S1229" s="774"/>
    </row>
    <row r="1230" spans="1:19" ht="12" customHeight="1" thickBot="1">
      <c r="A1230" s="916" t="str">
        <f t="shared" si="559"/>
        <v>284</v>
      </c>
      <c r="B1230" s="700" t="s">
        <v>4717</v>
      </c>
      <c r="C1230" s="700"/>
      <c r="D1230" s="1009"/>
      <c r="E1230" s="1003" t="str">
        <f t="shared" si="564"/>
        <v/>
      </c>
      <c r="F1230" s="1041" t="str">
        <f t="shared" si="565"/>
        <v>$</v>
      </c>
      <c r="G1230" s="906" t="s">
        <v>4724</v>
      </c>
      <c r="H1230" s="906">
        <v>52</v>
      </c>
      <c r="I1230" s="702" t="s">
        <v>5</v>
      </c>
      <c r="J1230" s="906"/>
      <c r="K1230" s="703"/>
      <c r="L1230" s="906"/>
      <c r="M1230" s="906"/>
      <c r="N1230" s="700" t="s">
        <v>16129</v>
      </c>
      <c r="O1230" s="906"/>
      <c r="P1230" s="906" t="s">
        <v>14</v>
      </c>
      <c r="Q1230" s="705">
        <v>2</v>
      </c>
      <c r="R1230" s="903">
        <v>2</v>
      </c>
      <c r="S1230" s="793"/>
    </row>
    <row r="1231" spans="1:19" ht="12" customHeight="1">
      <c r="A1231" s="1038" t="str">
        <f t="shared" si="559"/>
        <v>285</v>
      </c>
      <c r="B1231" s="688" t="s">
        <v>4728</v>
      </c>
      <c r="C1231" s="688"/>
      <c r="D1231" s="1007"/>
      <c r="E1231" s="1001" t="str">
        <f>IF(D1231="","",D1231/SUM($D$1231:$D$1233))</f>
        <v/>
      </c>
      <c r="F1231" s="1004" t="e">
        <f>IF(J1231="","$",IF(C1231="当選","-",D1231*100/MAX($D$1231:$D$1233)))</f>
        <v>#DIV/0!</v>
      </c>
      <c r="G1231" s="687" t="s">
        <v>4731</v>
      </c>
      <c r="H1231" s="687">
        <v>51</v>
      </c>
      <c r="I1231" s="696" t="s">
        <v>5</v>
      </c>
      <c r="J1231" s="687" t="s">
        <v>15273</v>
      </c>
      <c r="K1231" s="747" t="s">
        <v>4732</v>
      </c>
      <c r="L1231" s="687"/>
      <c r="M1231" s="687"/>
      <c r="N1231" s="688" t="s">
        <v>16120</v>
      </c>
      <c r="O1231" s="687" t="s">
        <v>934</v>
      </c>
      <c r="P1231" s="687" t="s">
        <v>25</v>
      </c>
      <c r="Q1231" s="748">
        <v>4</v>
      </c>
      <c r="R1231" s="749">
        <v>4</v>
      </c>
      <c r="S1231" s="805" t="s">
        <v>5457</v>
      </c>
    </row>
    <row r="1232" spans="1:19" ht="12" customHeight="1">
      <c r="A1232" s="1040" t="str">
        <f t="shared" si="559"/>
        <v>285</v>
      </c>
      <c r="B1232" s="4" t="s">
        <v>4729</v>
      </c>
      <c r="C1232" s="4"/>
      <c r="D1232" s="1008"/>
      <c r="E1232" s="1002" t="str">
        <f t="shared" ref="E1232:E1233" si="566">IF(D1232="","",D1232/SUM($D$1231:$D$1233))</f>
        <v/>
      </c>
      <c r="F1232" s="1005" t="str">
        <f t="shared" ref="F1232:F1233" si="567">IF(J1232="","$",IF(C1232="当選","-",D1232*100/MAX($D$1231:$D$1233)))</f>
        <v>$</v>
      </c>
      <c r="G1232" s="1" t="s">
        <v>4735</v>
      </c>
      <c r="H1232" s="1">
        <v>57</v>
      </c>
      <c r="I1232" s="2" t="s">
        <v>5</v>
      </c>
      <c r="J1232" s="1"/>
      <c r="K1232" s="3"/>
      <c r="L1232" s="1"/>
      <c r="M1232" s="1"/>
      <c r="N1232" s="4" t="s">
        <v>16117</v>
      </c>
      <c r="O1232" s="1"/>
      <c r="P1232" s="1" t="s">
        <v>6</v>
      </c>
      <c r="Q1232" s="16"/>
      <c r="R1232" s="17"/>
      <c r="S1232" s="774"/>
    </row>
    <row r="1233" spans="1:19" ht="12" customHeight="1" thickBot="1">
      <c r="A1233" s="916" t="str">
        <f t="shared" si="559"/>
        <v>285</v>
      </c>
      <c r="B1233" s="700" t="s">
        <v>4730</v>
      </c>
      <c r="C1233" s="700"/>
      <c r="D1233" s="1009"/>
      <c r="E1233" s="1003" t="str">
        <f t="shared" si="566"/>
        <v/>
      </c>
      <c r="F1233" s="1041" t="e">
        <f t="shared" si="567"/>
        <v>#DIV/0!</v>
      </c>
      <c r="G1233" s="906" t="s">
        <v>4738</v>
      </c>
      <c r="H1233" s="906">
        <v>69</v>
      </c>
      <c r="I1233" s="702" t="s">
        <v>5</v>
      </c>
      <c r="J1233" s="906" t="s">
        <v>15273</v>
      </c>
      <c r="K1233" s="703"/>
      <c r="L1233" s="906"/>
      <c r="M1233" s="906"/>
      <c r="N1233" s="704" t="s">
        <v>16121</v>
      </c>
      <c r="O1233" s="906"/>
      <c r="P1233" s="906" t="s">
        <v>25</v>
      </c>
      <c r="Q1233" s="705">
        <v>1</v>
      </c>
      <c r="R1233" s="903">
        <v>1</v>
      </c>
      <c r="S1233" s="793"/>
    </row>
    <row r="1234" spans="1:19" ht="12" customHeight="1">
      <c r="A1234" s="1038" t="str">
        <f t="shared" si="559"/>
        <v>286</v>
      </c>
      <c r="B1234" s="688" t="s">
        <v>4743</v>
      </c>
      <c r="C1234" s="688"/>
      <c r="D1234" s="1007"/>
      <c r="E1234" s="1001" t="str">
        <f>IF(D1234="","",D1234/SUM($D$1234:$D$1239))</f>
        <v/>
      </c>
      <c r="F1234" s="1004" t="e">
        <f>IF(J1234="","$",IF(C1234="当選","-",D1234*100/MAX($D$1234:$D$1239)))</f>
        <v>#DIV/0!</v>
      </c>
      <c r="G1234" s="687" t="s">
        <v>4748</v>
      </c>
      <c r="H1234" s="687">
        <v>54</v>
      </c>
      <c r="I1234" s="696" t="s">
        <v>5</v>
      </c>
      <c r="J1234" s="689" t="s">
        <v>15273</v>
      </c>
      <c r="K1234" s="747" t="s">
        <v>4749</v>
      </c>
      <c r="L1234" s="687"/>
      <c r="M1234" s="687"/>
      <c r="N1234" s="692" t="s">
        <v>16126</v>
      </c>
      <c r="O1234" s="687" t="s">
        <v>44</v>
      </c>
      <c r="P1234" s="687" t="s">
        <v>25</v>
      </c>
      <c r="Q1234" s="748">
        <v>3</v>
      </c>
      <c r="R1234" s="749">
        <v>3</v>
      </c>
      <c r="S1234" s="805" t="s">
        <v>736</v>
      </c>
    </row>
    <row r="1235" spans="1:19" ht="12" customHeight="1">
      <c r="A1235" s="1040" t="str">
        <f t="shared" si="559"/>
        <v>286</v>
      </c>
      <c r="B1235" s="4" t="s">
        <v>4744</v>
      </c>
      <c r="C1235" s="4"/>
      <c r="D1235" s="1008"/>
      <c r="E1235" s="1002" t="str">
        <f t="shared" ref="E1235:E1239" si="568">IF(D1235="","",D1235/SUM($D$1234:$D$1239))</f>
        <v/>
      </c>
      <c r="F1235" s="1005" t="e">
        <f t="shared" ref="F1235:F1239" si="569">IF(J1235="","$",IF(C1235="当選","-",D1235*100/MAX($D$1234:$D$1239)))</f>
        <v>#DIV/0!</v>
      </c>
      <c r="G1235" s="1" t="s">
        <v>4752</v>
      </c>
      <c r="H1235" s="1">
        <v>43</v>
      </c>
      <c r="I1235" s="2" t="s">
        <v>5</v>
      </c>
      <c r="J1235" s="1" t="s">
        <v>15273</v>
      </c>
      <c r="K1235" s="3"/>
      <c r="L1235" s="1"/>
      <c r="M1235" s="1"/>
      <c r="N1235" s="8" t="s">
        <v>16120</v>
      </c>
      <c r="O1235" s="1" t="s">
        <v>48</v>
      </c>
      <c r="P1235" s="1" t="s">
        <v>6</v>
      </c>
      <c r="Q1235" s="16"/>
      <c r="R1235" s="17"/>
      <c r="S1235" s="774" t="s">
        <v>5457</v>
      </c>
    </row>
    <row r="1236" spans="1:19" ht="12" customHeight="1">
      <c r="A1236" s="1040" t="str">
        <f t="shared" si="559"/>
        <v>286</v>
      </c>
      <c r="B1236" s="4" t="s">
        <v>4745</v>
      </c>
      <c r="C1236" s="4"/>
      <c r="D1236" s="1008"/>
      <c r="E1236" s="1002" t="str">
        <f t="shared" si="568"/>
        <v/>
      </c>
      <c r="F1236" s="1005" t="e">
        <f t="shared" si="569"/>
        <v>#DIV/0!</v>
      </c>
      <c r="G1236" s="1" t="s">
        <v>5749</v>
      </c>
      <c r="H1236" s="1">
        <v>45</v>
      </c>
      <c r="I1236" s="2" t="s">
        <v>5</v>
      </c>
      <c r="J1236" s="1" t="s">
        <v>15273</v>
      </c>
      <c r="K1236" s="3"/>
      <c r="L1236" s="1"/>
      <c r="M1236" s="1"/>
      <c r="N1236" s="4" t="s">
        <v>16125</v>
      </c>
      <c r="O1236" s="1"/>
      <c r="P1236" s="1" t="s">
        <v>6</v>
      </c>
      <c r="Q1236" s="16"/>
      <c r="R1236" s="17"/>
      <c r="S1236" s="774" t="s">
        <v>5561</v>
      </c>
    </row>
    <row r="1237" spans="1:19" ht="12" customHeight="1">
      <c r="A1237" s="1040" t="str">
        <f t="shared" si="559"/>
        <v>286</v>
      </c>
      <c r="B1237" s="4" t="s">
        <v>5057</v>
      </c>
      <c r="C1237" s="4"/>
      <c r="D1237" s="1008"/>
      <c r="E1237" s="1002" t="str">
        <f t="shared" si="568"/>
        <v/>
      </c>
      <c r="F1237" s="1005" t="e">
        <f t="shared" si="569"/>
        <v>#DIV/0!</v>
      </c>
      <c r="G1237" s="1" t="s">
        <v>5058</v>
      </c>
      <c r="H1237" s="1">
        <v>42</v>
      </c>
      <c r="I1237" s="2" t="s">
        <v>5</v>
      </c>
      <c r="J1237" s="1" t="s">
        <v>15273</v>
      </c>
      <c r="K1237" s="3"/>
      <c r="L1237" s="1"/>
      <c r="M1237" s="1"/>
      <c r="N1237" s="4" t="s">
        <v>16116</v>
      </c>
      <c r="O1237" s="1" t="s">
        <v>18494</v>
      </c>
      <c r="P1237" s="1" t="s">
        <v>6</v>
      </c>
      <c r="Q1237" s="16"/>
      <c r="R1237" s="17"/>
      <c r="S1237" s="774" t="s">
        <v>6154</v>
      </c>
    </row>
    <row r="1238" spans="1:19" ht="12" customHeight="1">
      <c r="A1238" s="1040" t="str">
        <f t="shared" si="559"/>
        <v>286</v>
      </c>
      <c r="B1238" s="4" t="s">
        <v>5748</v>
      </c>
      <c r="C1238" s="4"/>
      <c r="D1238" s="1008"/>
      <c r="E1238" s="1002" t="str">
        <f t="shared" si="568"/>
        <v/>
      </c>
      <c r="F1238" s="1005" t="str">
        <f t="shared" si="569"/>
        <v>$</v>
      </c>
      <c r="G1238" s="1" t="s">
        <v>4755</v>
      </c>
      <c r="H1238" s="1">
        <v>61</v>
      </c>
      <c r="I1238" s="2" t="s">
        <v>5</v>
      </c>
      <c r="J1238" s="1"/>
      <c r="K1238" s="3"/>
      <c r="L1238" s="1"/>
      <c r="M1238" s="1"/>
      <c r="N1238" s="4" t="s">
        <v>16117</v>
      </c>
      <c r="O1238" s="1"/>
      <c r="P1238" s="1" t="s">
        <v>6</v>
      </c>
      <c r="Q1238" s="16"/>
      <c r="R1238" s="17"/>
      <c r="S1238" s="774"/>
    </row>
    <row r="1239" spans="1:19" ht="12" customHeight="1" thickBot="1">
      <c r="A1239" s="916" t="str">
        <f t="shared" si="559"/>
        <v>286</v>
      </c>
      <c r="B1239" s="700" t="s">
        <v>16072</v>
      </c>
      <c r="C1239" s="700"/>
      <c r="D1239" s="1009"/>
      <c r="E1239" s="1003" t="str">
        <f t="shared" si="568"/>
        <v/>
      </c>
      <c r="F1239" s="1041" t="str">
        <f t="shared" si="569"/>
        <v>$</v>
      </c>
      <c r="G1239" s="906" t="s">
        <v>16073</v>
      </c>
      <c r="H1239" s="906">
        <v>48</v>
      </c>
      <c r="I1239" s="702" t="s">
        <v>5</v>
      </c>
      <c r="J1239" s="906"/>
      <c r="K1239" s="703"/>
      <c r="L1239" s="906"/>
      <c r="M1239" s="906"/>
      <c r="N1239" s="700" t="s">
        <v>16129</v>
      </c>
      <c r="O1239" s="906"/>
      <c r="P1239" s="906" t="s">
        <v>6</v>
      </c>
      <c r="Q1239" s="705"/>
      <c r="R1239" s="903"/>
      <c r="S1239" s="793"/>
    </row>
    <row r="1240" spans="1:19" ht="12" customHeight="1">
      <c r="A1240" s="1038" t="str">
        <f t="shared" si="559"/>
        <v>287</v>
      </c>
      <c r="B1240" s="688" t="s">
        <v>4757</v>
      </c>
      <c r="C1240" s="688"/>
      <c r="D1240" s="1007"/>
      <c r="E1240" s="1001" t="str">
        <f>IF(D1240="","",D1240/SUM($D$1240:$D$1243))</f>
        <v/>
      </c>
      <c r="F1240" s="1004" t="e">
        <f>IF(J1240="","$",IF(C1240="当選","-",D1240*100/MAX($D$1240:$D$1243)))</f>
        <v>#DIV/0!</v>
      </c>
      <c r="G1240" s="687" t="s">
        <v>4760</v>
      </c>
      <c r="H1240" s="687">
        <v>71</v>
      </c>
      <c r="I1240" s="696" t="s">
        <v>5</v>
      </c>
      <c r="J1240" s="687" t="s">
        <v>15273</v>
      </c>
      <c r="K1240" s="747" t="s">
        <v>4761</v>
      </c>
      <c r="L1240" s="687"/>
      <c r="M1240" s="687"/>
      <c r="N1240" s="688" t="s">
        <v>16120</v>
      </c>
      <c r="O1240" s="687" t="s">
        <v>48</v>
      </c>
      <c r="P1240" s="687" t="s">
        <v>25</v>
      </c>
      <c r="Q1240" s="748">
        <v>9</v>
      </c>
      <c r="R1240" s="749">
        <v>11</v>
      </c>
      <c r="S1240" s="805" t="s">
        <v>5457</v>
      </c>
    </row>
    <row r="1241" spans="1:19" ht="12" customHeight="1">
      <c r="A1241" s="1040" t="str">
        <f t="shared" si="559"/>
        <v>287</v>
      </c>
      <c r="B1241" s="4" t="s">
        <v>4758</v>
      </c>
      <c r="C1241" s="4"/>
      <c r="D1241" s="1008"/>
      <c r="E1241" s="1002" t="str">
        <f t="shared" ref="E1241:E1243" si="570">IF(D1241="","",D1241/SUM($D$1240:$D$1243))</f>
        <v/>
      </c>
      <c r="F1241" s="1005" t="e">
        <f t="shared" ref="F1241:F1243" si="571">IF(J1241="","$",IF(C1241="当選","-",D1241*100/MAX($D$1240:$D$1243)))</f>
        <v>#DIV/0!</v>
      </c>
      <c r="G1241" s="1" t="s">
        <v>5441</v>
      </c>
      <c r="H1241" s="1">
        <v>43</v>
      </c>
      <c r="I1241" s="2" t="s">
        <v>5</v>
      </c>
      <c r="J1241" s="1" t="s">
        <v>15273</v>
      </c>
      <c r="K1241" s="3"/>
      <c r="L1241" s="1"/>
      <c r="M1241" s="1"/>
      <c r="N1241" s="4" t="s">
        <v>16116</v>
      </c>
      <c r="O1241" s="1" t="s">
        <v>18494</v>
      </c>
      <c r="P1241" s="1" t="s">
        <v>6</v>
      </c>
      <c r="Q1241" s="16"/>
      <c r="R1241" s="17"/>
      <c r="S1241" s="774" t="s">
        <v>6154</v>
      </c>
    </row>
    <row r="1242" spans="1:19" ht="12" customHeight="1">
      <c r="A1242" s="1040" t="str">
        <f t="shared" si="559"/>
        <v>287</v>
      </c>
      <c r="B1242" s="4" t="s">
        <v>4759</v>
      </c>
      <c r="C1242" s="4"/>
      <c r="D1242" s="1008"/>
      <c r="E1242" s="1002" t="str">
        <f t="shared" si="570"/>
        <v/>
      </c>
      <c r="F1242" s="1005" t="str">
        <f t="shared" si="571"/>
        <v>$</v>
      </c>
      <c r="G1242" s="1" t="s">
        <v>5726</v>
      </c>
      <c r="H1242" s="1">
        <v>35</v>
      </c>
      <c r="I1242" s="2" t="s">
        <v>5</v>
      </c>
      <c r="J1242" s="1"/>
      <c r="K1242" s="3"/>
      <c r="L1242" s="1"/>
      <c r="M1242" s="1"/>
      <c r="N1242" s="4" t="s">
        <v>16117</v>
      </c>
      <c r="O1242" s="1"/>
      <c r="P1242" s="1" t="s">
        <v>6</v>
      </c>
      <c r="Q1242" s="16"/>
      <c r="R1242" s="17"/>
      <c r="S1242" s="774"/>
    </row>
    <row r="1243" spans="1:19" ht="12" customHeight="1" thickBot="1">
      <c r="A1243" s="916" t="str">
        <f t="shared" si="559"/>
        <v>287</v>
      </c>
      <c r="B1243" s="700" t="s">
        <v>16076</v>
      </c>
      <c r="C1243" s="700"/>
      <c r="D1243" s="1009"/>
      <c r="E1243" s="1003" t="str">
        <f t="shared" si="570"/>
        <v/>
      </c>
      <c r="F1243" s="1041" t="e">
        <f t="shared" si="571"/>
        <v>#DIV/0!</v>
      </c>
      <c r="G1243" s="906" t="s">
        <v>5345</v>
      </c>
      <c r="H1243" s="906">
        <v>46</v>
      </c>
      <c r="I1243" s="702" t="s">
        <v>5</v>
      </c>
      <c r="J1243" s="906" t="s">
        <v>15273</v>
      </c>
      <c r="K1243" s="703"/>
      <c r="L1243" s="906"/>
      <c r="M1243" s="906"/>
      <c r="N1243" s="700" t="s">
        <v>16121</v>
      </c>
      <c r="O1243" s="906"/>
      <c r="P1243" s="906" t="s">
        <v>6</v>
      </c>
      <c r="Q1243" s="705"/>
      <c r="R1243" s="903"/>
      <c r="S1243" s="793"/>
    </row>
    <row r="1244" spans="1:19" ht="12" customHeight="1">
      <c r="A1244" s="1038" t="str">
        <f t="shared" si="559"/>
        <v>288</v>
      </c>
      <c r="B1244" s="688" t="s">
        <v>4766</v>
      </c>
      <c r="C1244" s="688"/>
      <c r="D1244" s="1007"/>
      <c r="E1244" s="1001" t="str">
        <f>IF(D1244="","",D1244/SUM($D$1244:$D$1247))</f>
        <v/>
      </c>
      <c r="F1244" s="1004" t="e">
        <f>IF(J1244="","$",IF(C1244="当選","-",D1244*100/MAX($D$1244:$D$1247)))</f>
        <v>#DIV/0!</v>
      </c>
      <c r="G1244" s="687" t="s">
        <v>4770</v>
      </c>
      <c r="H1244" s="687">
        <v>69</v>
      </c>
      <c r="I1244" s="696" t="s">
        <v>5</v>
      </c>
      <c r="J1244" s="689" t="s">
        <v>15273</v>
      </c>
      <c r="K1244" s="747" t="s">
        <v>4771</v>
      </c>
      <c r="L1244" s="687"/>
      <c r="M1244" s="687"/>
      <c r="N1244" s="692" t="s">
        <v>16127</v>
      </c>
      <c r="O1244" s="687" t="s">
        <v>45</v>
      </c>
      <c r="P1244" s="687" t="s">
        <v>25</v>
      </c>
      <c r="Q1244" s="748">
        <v>6</v>
      </c>
      <c r="R1244" s="749">
        <v>6</v>
      </c>
      <c r="S1244" s="805" t="s">
        <v>736</v>
      </c>
    </row>
    <row r="1245" spans="1:19" ht="12" customHeight="1">
      <c r="A1245" s="1040" t="str">
        <f t="shared" si="559"/>
        <v>288</v>
      </c>
      <c r="B1245" s="4" t="s">
        <v>4767</v>
      </c>
      <c r="C1245" s="4"/>
      <c r="D1245" s="1008"/>
      <c r="E1245" s="1002" t="str">
        <f t="shared" ref="E1245:E1247" si="572">IF(D1245="","",D1245/SUM($D$1244:$D$1247))</f>
        <v/>
      </c>
      <c r="F1245" s="1005" t="e">
        <f t="shared" ref="F1245:F1247" si="573">IF(J1245="","$",IF(C1245="当選","-",D1245*100/MAX($D$1244:$D$1247)))</f>
        <v>#DIV/0!</v>
      </c>
      <c r="G1245" s="1" t="s">
        <v>4776</v>
      </c>
      <c r="H1245" s="1">
        <v>55</v>
      </c>
      <c r="I1245" s="2" t="s">
        <v>5</v>
      </c>
      <c r="J1245" s="1" t="s">
        <v>15273</v>
      </c>
      <c r="K1245" s="3" t="s">
        <v>4777</v>
      </c>
      <c r="L1245" s="1"/>
      <c r="M1245" s="1"/>
      <c r="N1245" s="4" t="s">
        <v>16120</v>
      </c>
      <c r="O1245" s="1" t="s">
        <v>445</v>
      </c>
      <c r="P1245" s="1" t="s">
        <v>25</v>
      </c>
      <c r="Q1245" s="16">
        <v>5</v>
      </c>
      <c r="R1245" s="17">
        <v>5</v>
      </c>
      <c r="S1245" s="774" t="s">
        <v>5457</v>
      </c>
    </row>
    <row r="1246" spans="1:19" ht="12" customHeight="1">
      <c r="A1246" s="1040" t="str">
        <f t="shared" si="559"/>
        <v>288</v>
      </c>
      <c r="B1246" s="4" t="s">
        <v>4768</v>
      </c>
      <c r="C1246" s="4"/>
      <c r="D1246" s="1008"/>
      <c r="E1246" s="1002" t="str">
        <f t="shared" si="572"/>
        <v/>
      </c>
      <c r="F1246" s="1005" t="e">
        <f t="shared" si="573"/>
        <v>#DIV/0!</v>
      </c>
      <c r="G1246" s="1" t="s">
        <v>4782</v>
      </c>
      <c r="H1246" s="1">
        <v>36</v>
      </c>
      <c r="I1246" s="2" t="s">
        <v>5</v>
      </c>
      <c r="J1246" s="1" t="s">
        <v>15273</v>
      </c>
      <c r="K1246" s="3"/>
      <c r="L1246" s="1"/>
      <c r="M1246" s="1"/>
      <c r="N1246" s="4" t="s">
        <v>18495</v>
      </c>
      <c r="O1246" s="1"/>
      <c r="P1246" s="1" t="s">
        <v>6</v>
      </c>
      <c r="Q1246" s="16"/>
      <c r="R1246" s="17"/>
      <c r="S1246" s="774" t="s">
        <v>6031</v>
      </c>
    </row>
    <row r="1247" spans="1:19" ht="12" customHeight="1" thickBot="1">
      <c r="A1247" s="916" t="str">
        <f t="shared" si="559"/>
        <v>288</v>
      </c>
      <c r="B1247" s="700" t="s">
        <v>4769</v>
      </c>
      <c r="C1247" s="700"/>
      <c r="D1247" s="1009"/>
      <c r="E1247" s="1003" t="str">
        <f t="shared" si="572"/>
        <v/>
      </c>
      <c r="F1247" s="1041" t="str">
        <f t="shared" si="573"/>
        <v>$</v>
      </c>
      <c r="G1247" s="906" t="s">
        <v>4780</v>
      </c>
      <c r="H1247" s="906">
        <v>57</v>
      </c>
      <c r="I1247" s="702" t="s">
        <v>5</v>
      </c>
      <c r="J1247" s="906"/>
      <c r="K1247" s="703"/>
      <c r="L1247" s="906"/>
      <c r="M1247" s="906"/>
      <c r="N1247" s="700" t="s">
        <v>16117</v>
      </c>
      <c r="O1247" s="906"/>
      <c r="P1247" s="906" t="s">
        <v>6</v>
      </c>
      <c r="Q1247" s="705"/>
      <c r="R1247" s="903"/>
      <c r="S1247" s="793"/>
    </row>
    <row r="1248" spans="1:19" ht="12" customHeight="1">
      <c r="A1248" s="1038" t="str">
        <f t="shared" si="559"/>
        <v>289</v>
      </c>
      <c r="B1248" s="688" t="s">
        <v>4784</v>
      </c>
      <c r="C1248" s="688"/>
      <c r="D1248" s="1007"/>
      <c r="E1248" s="1001" t="str">
        <f>IF(D1248="","",D1248/SUM($D$1248:$D$1253))</f>
        <v/>
      </c>
      <c r="F1248" s="1004" t="e">
        <f>IF(J1248="","$",IF(C1248="当選","-",D1248*100/MAX($D$1248:$D$1253)))</f>
        <v>#DIV/0!</v>
      </c>
      <c r="G1248" s="687" t="s">
        <v>4788</v>
      </c>
      <c r="H1248" s="687">
        <v>63</v>
      </c>
      <c r="I1248" s="696" t="s">
        <v>5</v>
      </c>
      <c r="J1248" s="689" t="s">
        <v>15273</v>
      </c>
      <c r="K1248" s="747" t="s">
        <v>4789</v>
      </c>
      <c r="L1248" s="687"/>
      <c r="M1248" s="687"/>
      <c r="N1248" s="692" t="s">
        <v>16127</v>
      </c>
      <c r="O1248" s="687" t="s">
        <v>44</v>
      </c>
      <c r="P1248" s="687" t="s">
        <v>25</v>
      </c>
      <c r="Q1248" s="748">
        <v>1</v>
      </c>
      <c r="R1248" s="749">
        <v>1</v>
      </c>
      <c r="S1248" s="805" t="s">
        <v>736</v>
      </c>
    </row>
    <row r="1249" spans="1:19" ht="12" customHeight="1">
      <c r="A1249" s="1040" t="str">
        <f t="shared" si="559"/>
        <v>289</v>
      </c>
      <c r="B1249" s="4" t="s">
        <v>4785</v>
      </c>
      <c r="C1249" s="4"/>
      <c r="D1249" s="1008"/>
      <c r="E1249" s="1002" t="str">
        <f t="shared" ref="E1249:E1253" si="574">IF(D1249="","",D1249/SUM($D$1248:$D$1253))</f>
        <v/>
      </c>
      <c r="F1249" s="1005" t="e">
        <f t="shared" ref="F1249:F1253" si="575">IF(J1249="","$",IF(C1249="当選","-",D1249*100/MAX($D$1248:$D$1253)))</f>
        <v>#DIV/0!</v>
      </c>
      <c r="G1249" s="1" t="s">
        <v>4792</v>
      </c>
      <c r="H1249" s="1">
        <v>37</v>
      </c>
      <c r="I1249" s="2" t="s">
        <v>5</v>
      </c>
      <c r="J1249" s="1" t="s">
        <v>15273</v>
      </c>
      <c r="K1249" s="3"/>
      <c r="L1249" s="1"/>
      <c r="M1249" s="1"/>
      <c r="N1249" s="8" t="s">
        <v>16120</v>
      </c>
      <c r="O1249" s="1" t="s">
        <v>30</v>
      </c>
      <c r="P1249" s="1" t="s">
        <v>6</v>
      </c>
      <c r="Q1249" s="16"/>
      <c r="R1249" s="17"/>
      <c r="S1249" s="774"/>
    </row>
    <row r="1250" spans="1:19" ht="12" customHeight="1">
      <c r="A1250" s="1040" t="str">
        <f t="shared" si="559"/>
        <v>289</v>
      </c>
      <c r="B1250" s="4" t="s">
        <v>4786</v>
      </c>
      <c r="C1250" s="4"/>
      <c r="D1250" s="1008"/>
      <c r="E1250" s="1002" t="str">
        <f t="shared" si="574"/>
        <v/>
      </c>
      <c r="F1250" s="1005" t="e">
        <f t="shared" si="575"/>
        <v>#DIV/0!</v>
      </c>
      <c r="G1250" s="1" t="s">
        <v>4800</v>
      </c>
      <c r="H1250" s="1">
        <v>36</v>
      </c>
      <c r="I1250" s="2" t="s">
        <v>5</v>
      </c>
      <c r="J1250" s="1" t="s">
        <v>15273</v>
      </c>
      <c r="K1250" s="3" t="s">
        <v>4801</v>
      </c>
      <c r="L1250" s="1" t="s">
        <v>373</v>
      </c>
      <c r="M1250" s="1"/>
      <c r="N1250" s="4" t="s">
        <v>16125</v>
      </c>
      <c r="O1250" s="1"/>
      <c r="P1250" s="1" t="s">
        <v>6</v>
      </c>
      <c r="Q1250" s="16"/>
      <c r="R1250" s="17">
        <v>2</v>
      </c>
      <c r="S1250" s="774" t="s">
        <v>5561</v>
      </c>
    </row>
    <row r="1251" spans="1:19" ht="12" customHeight="1">
      <c r="A1251" s="1040" t="str">
        <f t="shared" si="559"/>
        <v>289</v>
      </c>
      <c r="B1251" s="4" t="s">
        <v>4787</v>
      </c>
      <c r="C1251" s="4"/>
      <c r="D1251" s="1008"/>
      <c r="E1251" s="1002" t="str">
        <f t="shared" si="574"/>
        <v/>
      </c>
      <c r="F1251" s="1005" t="e">
        <f t="shared" si="575"/>
        <v>#DIV/0!</v>
      </c>
      <c r="G1251" s="1" t="s">
        <v>4797</v>
      </c>
      <c r="H1251" s="1">
        <v>69</v>
      </c>
      <c r="I1251" s="2" t="s">
        <v>5</v>
      </c>
      <c r="J1251" s="1" t="s">
        <v>15273</v>
      </c>
      <c r="K1251" s="3"/>
      <c r="L1251" s="1"/>
      <c r="M1251" s="1"/>
      <c r="N1251" s="4" t="s">
        <v>16116</v>
      </c>
      <c r="O1251" s="1" t="s">
        <v>4993</v>
      </c>
      <c r="P1251" s="1" t="s">
        <v>14</v>
      </c>
      <c r="Q1251" s="16">
        <v>6</v>
      </c>
      <c r="R1251" s="17">
        <v>6</v>
      </c>
      <c r="S1251" s="774"/>
    </row>
    <row r="1252" spans="1:19" ht="12" customHeight="1">
      <c r="A1252" s="1040" t="str">
        <f t="shared" si="559"/>
        <v>289</v>
      </c>
      <c r="B1252" s="4" t="s">
        <v>4799</v>
      </c>
      <c r="C1252" s="4"/>
      <c r="D1252" s="1008"/>
      <c r="E1252" s="1002" t="str">
        <f t="shared" si="574"/>
        <v/>
      </c>
      <c r="F1252" s="1005" t="str">
        <f t="shared" si="575"/>
        <v>$</v>
      </c>
      <c r="G1252" s="1" t="s">
        <v>4794</v>
      </c>
      <c r="H1252" s="1">
        <v>51</v>
      </c>
      <c r="I1252" s="2" t="s">
        <v>5</v>
      </c>
      <c r="J1252" s="1"/>
      <c r="K1252" s="3"/>
      <c r="L1252" s="1"/>
      <c r="M1252" s="1"/>
      <c r="N1252" s="4" t="s">
        <v>16117</v>
      </c>
      <c r="O1252" s="1"/>
      <c r="P1252" s="1" t="s">
        <v>6</v>
      </c>
      <c r="Q1252" s="16"/>
      <c r="R1252" s="17"/>
      <c r="S1252" s="774"/>
    </row>
    <row r="1253" spans="1:19" ht="12" customHeight="1" thickBot="1">
      <c r="A1253" s="916" t="str">
        <f t="shared" si="559"/>
        <v>289</v>
      </c>
      <c r="B1253" s="700" t="s">
        <v>5705</v>
      </c>
      <c r="C1253" s="700"/>
      <c r="D1253" s="1009"/>
      <c r="E1253" s="1003" t="str">
        <f t="shared" si="574"/>
        <v/>
      </c>
      <c r="F1253" s="1041" t="e">
        <f t="shared" si="575"/>
        <v>#DIV/0!</v>
      </c>
      <c r="G1253" s="906" t="s">
        <v>5706</v>
      </c>
      <c r="H1253" s="906">
        <v>56</v>
      </c>
      <c r="I1253" s="702" t="s">
        <v>5</v>
      </c>
      <c r="J1253" s="906" t="s">
        <v>15273</v>
      </c>
      <c r="K1253" s="703"/>
      <c r="L1253" s="906"/>
      <c r="M1253" s="906"/>
      <c r="N1253" s="700" t="s">
        <v>16121</v>
      </c>
      <c r="O1253" s="906"/>
      <c r="P1253" s="906" t="s">
        <v>6</v>
      </c>
      <c r="Q1253" s="705"/>
      <c r="R1253" s="903"/>
      <c r="S1253" s="793"/>
    </row>
    <row r="1254" spans="1:19" ht="12" customHeight="1">
      <c r="A1254" s="1038" t="str">
        <f t="shared" si="559"/>
        <v>290</v>
      </c>
      <c r="B1254" s="688" t="s">
        <v>4805</v>
      </c>
      <c r="C1254" s="688"/>
      <c r="D1254" s="1007"/>
      <c r="E1254" s="1001" t="str">
        <f>IF(D1254="","",D1254/SUM($D$1254:$D$1256))</f>
        <v/>
      </c>
      <c r="F1254" s="1004" t="e">
        <f>IF(J1254="","$",IF(C1254="当選","-",D1254*100/MAX($D$1254:$D$1256)))</f>
        <v>#DIV/0!</v>
      </c>
      <c r="G1254" s="687" t="s">
        <v>4808</v>
      </c>
      <c r="H1254" s="687">
        <v>59</v>
      </c>
      <c r="I1254" s="696" t="s">
        <v>5</v>
      </c>
      <c r="J1254" s="689" t="s">
        <v>15273</v>
      </c>
      <c r="K1254" s="747" t="s">
        <v>4809</v>
      </c>
      <c r="L1254" s="687"/>
      <c r="M1254" s="687"/>
      <c r="N1254" s="692" t="s">
        <v>16126</v>
      </c>
      <c r="O1254" s="687" t="s">
        <v>44</v>
      </c>
      <c r="P1254" s="687" t="s">
        <v>25</v>
      </c>
      <c r="Q1254" s="748">
        <v>1</v>
      </c>
      <c r="R1254" s="749">
        <v>1</v>
      </c>
      <c r="S1254" s="805"/>
    </row>
    <row r="1255" spans="1:19" ht="12" customHeight="1">
      <c r="A1255" s="1040" t="str">
        <f t="shared" si="559"/>
        <v>290</v>
      </c>
      <c r="B1255" s="4" t="s">
        <v>4806</v>
      </c>
      <c r="C1255" s="4"/>
      <c r="D1255" s="1008"/>
      <c r="E1255" s="1002" t="str">
        <f t="shared" ref="E1255:E1256" si="576">IF(D1255="","",D1255/SUM($D$1254:$D$1256))</f>
        <v/>
      </c>
      <c r="F1255" s="1005" t="e">
        <f t="shared" ref="F1255:F1256" si="577">IF(J1255="","$",IF(C1255="当選","-",D1255*100/MAX($D$1254:$D$1256)))</f>
        <v>#DIV/0!</v>
      </c>
      <c r="G1255" s="1" t="s">
        <v>4811</v>
      </c>
      <c r="H1255" s="1">
        <v>52</v>
      </c>
      <c r="I1255" s="2" t="s">
        <v>5</v>
      </c>
      <c r="J1255" s="1" t="s">
        <v>15273</v>
      </c>
      <c r="K1255" s="3" t="s">
        <v>4812</v>
      </c>
      <c r="L1255" s="1"/>
      <c r="M1255" s="1"/>
      <c r="N1255" s="4" t="s">
        <v>16120</v>
      </c>
      <c r="O1255" s="1" t="s">
        <v>30</v>
      </c>
      <c r="P1255" s="1" t="s">
        <v>25</v>
      </c>
      <c r="Q1255" s="16">
        <v>3</v>
      </c>
      <c r="R1255" s="17">
        <v>3</v>
      </c>
      <c r="S1255" s="774" t="s">
        <v>5457</v>
      </c>
    </row>
    <row r="1256" spans="1:19" ht="12" customHeight="1" thickBot="1">
      <c r="A1256" s="916" t="str">
        <f t="shared" si="559"/>
        <v>290</v>
      </c>
      <c r="B1256" s="700" t="s">
        <v>4807</v>
      </c>
      <c r="C1256" s="700"/>
      <c r="D1256" s="1009"/>
      <c r="E1256" s="1003" t="str">
        <f t="shared" si="576"/>
        <v/>
      </c>
      <c r="F1256" s="1041" t="str">
        <f t="shared" si="577"/>
        <v>$</v>
      </c>
      <c r="G1256" s="906" t="s">
        <v>5753</v>
      </c>
      <c r="H1256" s="906">
        <v>57</v>
      </c>
      <c r="I1256" s="702" t="s">
        <v>5</v>
      </c>
      <c r="J1256" s="906"/>
      <c r="K1256" s="703"/>
      <c r="L1256" s="906"/>
      <c r="M1256" s="906"/>
      <c r="N1256" s="700" t="s">
        <v>16117</v>
      </c>
      <c r="O1256" s="906"/>
      <c r="P1256" s="906" t="s">
        <v>6</v>
      </c>
      <c r="Q1256" s="705"/>
      <c r="R1256" s="903"/>
      <c r="S1256" s="793"/>
    </row>
    <row r="1257" spans="1:19" ht="12" customHeight="1">
      <c r="A1257" s="1038" t="str">
        <f t="shared" si="559"/>
        <v>291</v>
      </c>
      <c r="B1257" s="688" t="s">
        <v>4814</v>
      </c>
      <c r="C1257" s="688"/>
      <c r="D1257" s="1007"/>
      <c r="E1257" s="1001" t="str">
        <f>IF(D1257="","",D1257/SUM($D$1257:$D$1258))</f>
        <v/>
      </c>
      <c r="F1257" s="1004" t="e">
        <f>IF(J1257="","$",IF(C1257="当選","-",D1257*100/MAX($D$1257:$D$1258)))</f>
        <v>#DIV/0!</v>
      </c>
      <c r="G1257" s="687" t="s">
        <v>4816</v>
      </c>
      <c r="H1257" s="687">
        <v>47</v>
      </c>
      <c r="I1257" s="696" t="s">
        <v>5</v>
      </c>
      <c r="J1257" s="687" t="s">
        <v>15273</v>
      </c>
      <c r="K1257" s="747" t="s">
        <v>4817</v>
      </c>
      <c r="L1257" s="687"/>
      <c r="M1257" s="687"/>
      <c r="N1257" s="688" t="s">
        <v>16120</v>
      </c>
      <c r="O1257" s="687" t="s">
        <v>30</v>
      </c>
      <c r="P1257" s="687" t="s">
        <v>25</v>
      </c>
      <c r="Q1257" s="748">
        <v>3</v>
      </c>
      <c r="R1257" s="749">
        <v>3</v>
      </c>
      <c r="S1257" s="805" t="s">
        <v>5457</v>
      </c>
    </row>
    <row r="1258" spans="1:19" ht="12" customHeight="1" thickBot="1">
      <c r="A1258" s="916" t="str">
        <f t="shared" si="559"/>
        <v>291</v>
      </c>
      <c r="B1258" s="700" t="s">
        <v>4815</v>
      </c>
      <c r="C1258" s="700"/>
      <c r="D1258" s="1009"/>
      <c r="E1258" s="1003" t="str">
        <f>IF(D1258="","",D1258/SUM($D$1257:$D$1258))</f>
        <v/>
      </c>
      <c r="F1258" s="1041" t="str">
        <f>IF(J1258="","$",IF(C1258="当選","-",D1258*100/MAX($D$1257:$D$1258)))</f>
        <v>$</v>
      </c>
      <c r="G1258" s="906" t="s">
        <v>4820</v>
      </c>
      <c r="H1258" s="906">
        <v>67</v>
      </c>
      <c r="I1258" s="702" t="s">
        <v>5</v>
      </c>
      <c r="J1258" s="906"/>
      <c r="K1258" s="703"/>
      <c r="L1258" s="906"/>
      <c r="M1258" s="906"/>
      <c r="N1258" s="700" t="s">
        <v>16117</v>
      </c>
      <c r="O1258" s="906"/>
      <c r="P1258" s="906" t="s">
        <v>6</v>
      </c>
      <c r="Q1258" s="705"/>
      <c r="R1258" s="903"/>
      <c r="S1258" s="793"/>
    </row>
    <row r="1259" spans="1:19" ht="12" customHeight="1">
      <c r="A1259" s="1038" t="str">
        <f t="shared" si="559"/>
        <v>292</v>
      </c>
      <c r="B1259" s="688" t="s">
        <v>4822</v>
      </c>
      <c r="C1259" s="688"/>
      <c r="D1259" s="1007"/>
      <c r="E1259" s="1001" t="str">
        <f>IF(D1259="","",D1259/SUM($D$1259:$D$1263))</f>
        <v/>
      </c>
      <c r="F1259" s="1004" t="e">
        <f>IF(J1259="","$",IF(C1259="当選","-",D1259*100/MAX($D$1259:$D$1263)))</f>
        <v>#DIV/0!</v>
      </c>
      <c r="G1259" s="687" t="s">
        <v>4825</v>
      </c>
      <c r="H1259" s="687">
        <v>51</v>
      </c>
      <c r="I1259" s="696" t="s">
        <v>5</v>
      </c>
      <c r="J1259" s="689" t="s">
        <v>15273</v>
      </c>
      <c r="K1259" s="747" t="s">
        <v>4826</v>
      </c>
      <c r="L1259" s="687"/>
      <c r="M1259" s="687"/>
      <c r="N1259" s="692" t="s">
        <v>16127</v>
      </c>
      <c r="O1259" s="687" t="s">
        <v>24</v>
      </c>
      <c r="P1259" s="687" t="s">
        <v>25</v>
      </c>
      <c r="Q1259" s="748">
        <v>5</v>
      </c>
      <c r="R1259" s="749">
        <v>5</v>
      </c>
      <c r="S1259" s="805" t="s">
        <v>736</v>
      </c>
    </row>
    <row r="1260" spans="1:19" ht="12" customHeight="1">
      <c r="A1260" s="1040" t="str">
        <f t="shared" si="559"/>
        <v>292</v>
      </c>
      <c r="B1260" s="4" t="s">
        <v>4823</v>
      </c>
      <c r="C1260" s="4"/>
      <c r="D1260" s="1008"/>
      <c r="E1260" s="1002" t="str">
        <f t="shared" ref="E1260:E1263" si="578">IF(D1260="","",D1260/SUM($D$1259:$D$1263))</f>
        <v/>
      </c>
      <c r="F1260" s="1005" t="str">
        <f t="shared" ref="F1260:F1263" si="579">IF(J1260="","$",IF(C1260="当選","-",D1260*100/MAX($D$1259:$D$1263)))</f>
        <v>$</v>
      </c>
      <c r="G1260" s="1" t="s">
        <v>4830</v>
      </c>
      <c r="H1260" s="1">
        <v>73</v>
      </c>
      <c r="I1260" s="2" t="s">
        <v>5</v>
      </c>
      <c r="J1260" s="1"/>
      <c r="K1260" s="3"/>
      <c r="L1260" s="1"/>
      <c r="M1260" s="1"/>
      <c r="N1260" s="8" t="s">
        <v>16120</v>
      </c>
      <c r="O1260" s="1" t="s">
        <v>934</v>
      </c>
      <c r="P1260" s="1" t="s">
        <v>14</v>
      </c>
      <c r="Q1260" s="16">
        <v>11</v>
      </c>
      <c r="R1260" s="17">
        <v>11</v>
      </c>
      <c r="S1260" s="774" t="s">
        <v>5457</v>
      </c>
    </row>
    <row r="1261" spans="1:19" ht="12" customHeight="1">
      <c r="A1261" s="1040" t="str">
        <f t="shared" si="559"/>
        <v>292</v>
      </c>
      <c r="B1261" s="4" t="s">
        <v>4824</v>
      </c>
      <c r="C1261" s="4"/>
      <c r="D1261" s="1008"/>
      <c r="E1261" s="1002" t="str">
        <f t="shared" si="578"/>
        <v/>
      </c>
      <c r="F1261" s="1005" t="e">
        <f t="shared" si="579"/>
        <v>#DIV/0!</v>
      </c>
      <c r="G1261" s="1" t="s">
        <v>6134</v>
      </c>
      <c r="H1261" s="1">
        <v>55</v>
      </c>
      <c r="I1261" s="2" t="s">
        <v>5</v>
      </c>
      <c r="J1261" s="1" t="s">
        <v>15273</v>
      </c>
      <c r="K1261" s="3"/>
      <c r="L1261" s="1"/>
      <c r="M1261" s="1"/>
      <c r="N1261" s="4" t="s">
        <v>16125</v>
      </c>
      <c r="O1261" s="1"/>
      <c r="P1261" s="1" t="s">
        <v>6</v>
      </c>
      <c r="Q1261" s="16"/>
      <c r="R1261" s="17"/>
      <c r="S1261" s="774" t="s">
        <v>5561</v>
      </c>
    </row>
    <row r="1262" spans="1:19" ht="12" customHeight="1">
      <c r="A1262" s="1040" t="str">
        <f t="shared" si="559"/>
        <v>292</v>
      </c>
      <c r="B1262" s="4" t="s">
        <v>5530</v>
      </c>
      <c r="C1262" s="4"/>
      <c r="D1262" s="1008"/>
      <c r="E1262" s="1002" t="str">
        <f t="shared" si="578"/>
        <v/>
      </c>
      <c r="F1262" s="1005" t="e">
        <f t="shared" si="579"/>
        <v>#DIV/0!</v>
      </c>
      <c r="G1262" s="1" t="s">
        <v>5531</v>
      </c>
      <c r="H1262" s="1">
        <v>31</v>
      </c>
      <c r="I1262" s="2" t="s">
        <v>5</v>
      </c>
      <c r="J1262" s="1" t="s">
        <v>15273</v>
      </c>
      <c r="K1262" s="3"/>
      <c r="L1262" s="1"/>
      <c r="M1262" s="1"/>
      <c r="N1262" s="4" t="s">
        <v>16116</v>
      </c>
      <c r="O1262" s="1" t="s">
        <v>18494</v>
      </c>
      <c r="P1262" s="1" t="s">
        <v>6</v>
      </c>
      <c r="Q1262" s="16"/>
      <c r="R1262" s="17"/>
      <c r="S1262" s="774"/>
    </row>
    <row r="1263" spans="1:19" ht="12" customHeight="1" thickBot="1">
      <c r="A1263" s="916" t="str">
        <f t="shared" si="559"/>
        <v>292</v>
      </c>
      <c r="B1263" s="700" t="s">
        <v>6133</v>
      </c>
      <c r="C1263" s="700"/>
      <c r="D1263" s="1009"/>
      <c r="E1263" s="1003" t="str">
        <f t="shared" si="578"/>
        <v/>
      </c>
      <c r="F1263" s="1041" t="str">
        <f t="shared" si="579"/>
        <v>$</v>
      </c>
      <c r="G1263" s="906" t="s">
        <v>4834</v>
      </c>
      <c r="H1263" s="906">
        <v>37</v>
      </c>
      <c r="I1263" s="702" t="s">
        <v>5</v>
      </c>
      <c r="J1263" s="906"/>
      <c r="K1263" s="703"/>
      <c r="L1263" s="906"/>
      <c r="M1263" s="906"/>
      <c r="N1263" s="700" t="s">
        <v>16117</v>
      </c>
      <c r="O1263" s="906"/>
      <c r="P1263" s="906" t="s">
        <v>6</v>
      </c>
      <c r="Q1263" s="705"/>
      <c r="R1263" s="903"/>
      <c r="S1263" s="793"/>
    </row>
    <row r="1264" spans="1:19" ht="12" customHeight="1">
      <c r="A1264" s="1038" t="str">
        <f t="shared" si="559"/>
        <v>293</v>
      </c>
      <c r="B1264" s="688" t="s">
        <v>4837</v>
      </c>
      <c r="C1264" s="688"/>
      <c r="D1264" s="1007"/>
      <c r="E1264" s="1001" t="str">
        <f>IF(D1264="","",D1264/SUM($D$1264:$D$1266))</f>
        <v/>
      </c>
      <c r="F1264" s="1004" t="e">
        <f>IF(J1264="","$",IF(C1264="当選","-",D1264*100/MAX($D$1264:$D$1266)))</f>
        <v>#DIV/0!</v>
      </c>
      <c r="G1264" s="687" t="s">
        <v>4840</v>
      </c>
      <c r="H1264" s="687">
        <v>54</v>
      </c>
      <c r="I1264" s="696" t="s">
        <v>5</v>
      </c>
      <c r="J1264" s="689" t="s">
        <v>15273</v>
      </c>
      <c r="K1264" s="747" t="s">
        <v>4841</v>
      </c>
      <c r="L1264" s="687"/>
      <c r="M1264" s="687"/>
      <c r="N1264" s="692" t="s">
        <v>16127</v>
      </c>
      <c r="O1264" s="687" t="s">
        <v>276</v>
      </c>
      <c r="P1264" s="687" t="s">
        <v>25</v>
      </c>
      <c r="Q1264" s="748">
        <v>1</v>
      </c>
      <c r="R1264" s="749">
        <v>1</v>
      </c>
      <c r="S1264" s="805" t="s">
        <v>736</v>
      </c>
    </row>
    <row r="1265" spans="1:19" ht="12" customHeight="1">
      <c r="A1265" s="1040" t="str">
        <f t="shared" si="559"/>
        <v>293</v>
      </c>
      <c r="B1265" s="4" t="s">
        <v>4838</v>
      </c>
      <c r="C1265" s="4"/>
      <c r="D1265" s="1008"/>
      <c r="E1265" s="1002" t="str">
        <f t="shared" ref="E1265:E1266" si="580">IF(D1265="","",D1265/SUM($D$1264:$D$1266))</f>
        <v/>
      </c>
      <c r="F1265" s="1005" t="e">
        <f t="shared" ref="F1265:F1266" si="581">IF(J1265="","$",IF(C1265="当選","-",D1265*100/MAX($D$1264:$D$1266)))</f>
        <v>#DIV/0!</v>
      </c>
      <c r="G1265" s="1" t="s">
        <v>4845</v>
      </c>
      <c r="H1265" s="1">
        <v>41</v>
      </c>
      <c r="I1265" s="2" t="s">
        <v>5</v>
      </c>
      <c r="J1265" s="1" t="s">
        <v>15273</v>
      </c>
      <c r="K1265" s="3" t="s">
        <v>4846</v>
      </c>
      <c r="L1265" s="1"/>
      <c r="M1265" s="1"/>
      <c r="N1265" s="4" t="s">
        <v>16120</v>
      </c>
      <c r="O1265" s="1" t="s">
        <v>30</v>
      </c>
      <c r="P1265" s="1" t="s">
        <v>25</v>
      </c>
      <c r="Q1265" s="16">
        <v>2</v>
      </c>
      <c r="R1265" s="17">
        <v>2</v>
      </c>
      <c r="S1265" s="774" t="s">
        <v>5457</v>
      </c>
    </row>
    <row r="1266" spans="1:19" ht="12" customHeight="1" thickBot="1">
      <c r="A1266" s="916" t="str">
        <f t="shared" si="559"/>
        <v>293</v>
      </c>
      <c r="B1266" s="700" t="s">
        <v>4839</v>
      </c>
      <c r="C1266" s="700"/>
      <c r="D1266" s="1009"/>
      <c r="E1266" s="1003" t="str">
        <f t="shared" si="580"/>
        <v/>
      </c>
      <c r="F1266" s="1041" t="str">
        <f t="shared" si="581"/>
        <v>$</v>
      </c>
      <c r="G1266" s="906" t="s">
        <v>16113</v>
      </c>
      <c r="H1266" s="906">
        <v>70</v>
      </c>
      <c r="I1266" s="702" t="s">
        <v>5</v>
      </c>
      <c r="J1266" s="906"/>
      <c r="K1266" s="703"/>
      <c r="L1266" s="906"/>
      <c r="M1266" s="906"/>
      <c r="N1266" s="700" t="s">
        <v>16117</v>
      </c>
      <c r="O1266" s="906"/>
      <c r="P1266" s="906" t="s">
        <v>6</v>
      </c>
      <c r="Q1266" s="705"/>
      <c r="R1266" s="903"/>
      <c r="S1266" s="793"/>
    </row>
    <row r="1267" spans="1:19" ht="12" customHeight="1">
      <c r="A1267" s="1038" t="str">
        <f t="shared" si="559"/>
        <v>294</v>
      </c>
      <c r="B1267" s="688" t="s">
        <v>4850</v>
      </c>
      <c r="C1267" s="688"/>
      <c r="D1267" s="1007"/>
      <c r="E1267" s="1001" t="str">
        <f>IF(D1267="","",D1267/SUM($D$1267:$D$1271))</f>
        <v/>
      </c>
      <c r="F1267" s="1004" t="e">
        <f>IF(J1267="","$",IF(C1267="当選","-",D1267*100/MAX($D$1267:$D$1271)))</f>
        <v>#DIV/0!</v>
      </c>
      <c r="G1267" s="687" t="s">
        <v>4855</v>
      </c>
      <c r="H1267" s="687">
        <v>72</v>
      </c>
      <c r="I1267" s="696" t="s">
        <v>5</v>
      </c>
      <c r="J1267" s="687" t="s">
        <v>15273</v>
      </c>
      <c r="K1267" s="747" t="s">
        <v>4856</v>
      </c>
      <c r="L1267" s="687"/>
      <c r="M1267" s="687"/>
      <c r="N1267" s="688" t="s">
        <v>16120</v>
      </c>
      <c r="O1267" s="687" t="s">
        <v>48</v>
      </c>
      <c r="P1267" s="687" t="s">
        <v>25</v>
      </c>
      <c r="Q1267" s="748">
        <v>7</v>
      </c>
      <c r="R1267" s="749">
        <v>7</v>
      </c>
      <c r="S1267" s="805" t="s">
        <v>5457</v>
      </c>
    </row>
    <row r="1268" spans="1:19" ht="12" customHeight="1">
      <c r="A1268" s="1040" t="str">
        <f t="shared" si="559"/>
        <v>294</v>
      </c>
      <c r="B1268" s="4" t="s">
        <v>4851</v>
      </c>
      <c r="C1268" s="4"/>
      <c r="D1268" s="1008"/>
      <c r="E1268" s="1002" t="str">
        <f t="shared" ref="E1268:E1271" si="582">IF(D1268="","",D1268/SUM($D$1267:$D$1271))</f>
        <v/>
      </c>
      <c r="F1268" s="1005" t="e">
        <f t="shared" ref="F1268:F1271" si="583">IF(J1268="","$",IF(C1268="当選","-",D1268*100/MAX($D$1267:$D$1271)))</f>
        <v>#DIV/0!</v>
      </c>
      <c r="G1268" s="1" t="s">
        <v>4861</v>
      </c>
      <c r="H1268" s="1">
        <v>36</v>
      </c>
      <c r="I1268" s="2" t="s">
        <v>5</v>
      </c>
      <c r="J1268" s="1" t="s">
        <v>15273</v>
      </c>
      <c r="K1268" s="3"/>
      <c r="L1268" s="1"/>
      <c r="M1268" s="1"/>
      <c r="N1268" s="4" t="s">
        <v>16116</v>
      </c>
      <c r="O1268" s="1" t="s">
        <v>18494</v>
      </c>
      <c r="P1268" s="1" t="s">
        <v>6</v>
      </c>
      <c r="Q1268" s="16"/>
      <c r="R1268" s="17"/>
      <c r="S1268" s="774" t="s">
        <v>6154</v>
      </c>
    </row>
    <row r="1269" spans="1:19" ht="12" customHeight="1">
      <c r="A1269" s="1040" t="str">
        <f t="shared" si="559"/>
        <v>294</v>
      </c>
      <c r="B1269" s="4" t="s">
        <v>4852</v>
      </c>
      <c r="C1269" s="4"/>
      <c r="D1269" s="1008"/>
      <c r="E1269" s="1002" t="str">
        <f t="shared" si="582"/>
        <v/>
      </c>
      <c r="F1269" s="1005" t="str">
        <f t="shared" si="583"/>
        <v>$</v>
      </c>
      <c r="G1269" s="1" t="s">
        <v>4859</v>
      </c>
      <c r="H1269" s="1">
        <v>62</v>
      </c>
      <c r="I1269" s="2" t="s">
        <v>19</v>
      </c>
      <c r="J1269" s="1"/>
      <c r="K1269" s="3"/>
      <c r="L1269" s="1"/>
      <c r="M1269" s="1"/>
      <c r="N1269" s="4" t="s">
        <v>16117</v>
      </c>
      <c r="O1269" s="1"/>
      <c r="P1269" s="1" t="s">
        <v>6</v>
      </c>
      <c r="Q1269" s="16"/>
      <c r="R1269" s="17"/>
      <c r="S1269" s="774"/>
    </row>
    <row r="1270" spans="1:19" ht="12" customHeight="1">
      <c r="A1270" s="1040" t="str">
        <f t="shared" si="559"/>
        <v>294</v>
      </c>
      <c r="B1270" s="4" t="s">
        <v>4853</v>
      </c>
      <c r="C1270" s="4"/>
      <c r="D1270" s="1008"/>
      <c r="E1270" s="1002" t="str">
        <f t="shared" si="582"/>
        <v/>
      </c>
      <c r="F1270" s="1005" t="str">
        <f t="shared" si="583"/>
        <v>$</v>
      </c>
      <c r="G1270" s="1" t="s">
        <v>4863</v>
      </c>
      <c r="H1270" s="1">
        <v>54</v>
      </c>
      <c r="I1270" s="2" t="s">
        <v>5</v>
      </c>
      <c r="J1270" s="1"/>
      <c r="K1270" s="3"/>
      <c r="L1270" s="1"/>
      <c r="M1270" s="1"/>
      <c r="N1270" s="4" t="s">
        <v>16119</v>
      </c>
      <c r="O1270" s="1"/>
      <c r="P1270" s="1" t="s">
        <v>6</v>
      </c>
      <c r="Q1270" s="16"/>
      <c r="R1270" s="17"/>
      <c r="S1270" s="774" t="s">
        <v>4422</v>
      </c>
    </row>
    <row r="1271" spans="1:19" ht="12" customHeight="1" thickBot="1">
      <c r="A1271" s="916" t="str">
        <f t="shared" si="559"/>
        <v>294</v>
      </c>
      <c r="B1271" s="700" t="s">
        <v>4854</v>
      </c>
      <c r="C1271" s="700"/>
      <c r="D1271" s="1009"/>
      <c r="E1271" s="1003" t="str">
        <f t="shared" si="582"/>
        <v/>
      </c>
      <c r="F1271" s="1041" t="str">
        <f t="shared" si="583"/>
        <v>$</v>
      </c>
      <c r="G1271" s="906" t="s">
        <v>4865</v>
      </c>
      <c r="H1271" s="906">
        <v>30</v>
      </c>
      <c r="I1271" s="702" t="s">
        <v>5</v>
      </c>
      <c r="J1271" s="906"/>
      <c r="K1271" s="703"/>
      <c r="L1271" s="906"/>
      <c r="M1271" s="906"/>
      <c r="N1271" s="700" t="s">
        <v>16122</v>
      </c>
      <c r="O1271" s="906" t="s">
        <v>22</v>
      </c>
      <c r="P1271" s="906" t="s">
        <v>6</v>
      </c>
      <c r="Q1271" s="705"/>
      <c r="R1271" s="903"/>
      <c r="S1271" s="793"/>
    </row>
    <row r="1272" spans="1:19" ht="12" customHeight="1">
      <c r="A1272" s="1038" t="str">
        <f t="shared" si="559"/>
        <v>295</v>
      </c>
      <c r="B1272" s="688" t="s">
        <v>4868</v>
      </c>
      <c r="C1272" s="688"/>
      <c r="D1272" s="1007"/>
      <c r="E1272" s="1001" t="str">
        <f>IF(D1272="","",D1272/SUM($D$1272:$D$1274))</f>
        <v/>
      </c>
      <c r="F1272" s="1004" t="e">
        <f>IF(J1272="","$",IF(C1272="当選","-",D1272*100/MAX($D$1272:$D$1274)))</f>
        <v>#DIV/0!</v>
      </c>
      <c r="G1272" s="687" t="s">
        <v>4871</v>
      </c>
      <c r="H1272" s="687">
        <v>62</v>
      </c>
      <c r="I1272" s="696" t="s">
        <v>5</v>
      </c>
      <c r="J1272" s="689" t="s">
        <v>15273</v>
      </c>
      <c r="K1272" s="747" t="s">
        <v>4872</v>
      </c>
      <c r="L1272" s="687"/>
      <c r="M1272" s="687"/>
      <c r="N1272" s="692" t="s">
        <v>16126</v>
      </c>
      <c r="O1272" s="687" t="s">
        <v>45</v>
      </c>
      <c r="P1272" s="687" t="s">
        <v>25</v>
      </c>
      <c r="Q1272" s="748">
        <v>1</v>
      </c>
      <c r="R1272" s="749">
        <v>1</v>
      </c>
      <c r="S1272" s="805" t="s">
        <v>736</v>
      </c>
    </row>
    <row r="1273" spans="1:19" ht="12" customHeight="1">
      <c r="A1273" s="1040" t="str">
        <f t="shared" si="559"/>
        <v>295</v>
      </c>
      <c r="B1273" s="4" t="s">
        <v>4869</v>
      </c>
      <c r="C1273" s="4"/>
      <c r="D1273" s="1008"/>
      <c r="E1273" s="1002" t="str">
        <f t="shared" ref="E1273:E1274" si="584">IF(D1273="","",D1273/SUM($D$1272:$D$1274))</f>
        <v/>
      </c>
      <c r="F1273" s="1005" t="e">
        <f t="shared" ref="F1273:F1274" si="585">IF(J1273="","$",IF(C1273="当選","-",D1273*100/MAX($D$1272:$D$1274)))</f>
        <v>#DIV/0!</v>
      </c>
      <c r="G1273" s="1" t="s">
        <v>4874</v>
      </c>
      <c r="H1273" s="1">
        <v>54</v>
      </c>
      <c r="I1273" s="2" t="s">
        <v>5</v>
      </c>
      <c r="J1273" s="1" t="s">
        <v>15273</v>
      </c>
      <c r="K1273" s="3" t="s">
        <v>4867</v>
      </c>
      <c r="L1273" s="1"/>
      <c r="M1273" s="1"/>
      <c r="N1273" s="8" t="s">
        <v>16120</v>
      </c>
      <c r="O1273" s="1" t="s">
        <v>30</v>
      </c>
      <c r="P1273" s="1" t="s">
        <v>25</v>
      </c>
      <c r="Q1273" s="16">
        <v>2</v>
      </c>
      <c r="R1273" s="17">
        <v>2</v>
      </c>
      <c r="S1273" s="774" t="s">
        <v>5457</v>
      </c>
    </row>
    <row r="1274" spans="1:19" ht="12" customHeight="1" thickBot="1">
      <c r="A1274" s="916" t="str">
        <f t="shared" si="559"/>
        <v>295</v>
      </c>
      <c r="B1274" s="700" t="s">
        <v>4870</v>
      </c>
      <c r="C1274" s="700"/>
      <c r="D1274" s="1009"/>
      <c r="E1274" s="1003" t="str">
        <f t="shared" si="584"/>
        <v/>
      </c>
      <c r="F1274" s="1041" t="str">
        <f t="shared" si="585"/>
        <v>$</v>
      </c>
      <c r="G1274" s="906" t="s">
        <v>4876</v>
      </c>
      <c r="H1274" s="906">
        <v>63</v>
      </c>
      <c r="I1274" s="702" t="s">
        <v>5</v>
      </c>
      <c r="J1274" s="906"/>
      <c r="K1274" s="703"/>
      <c r="L1274" s="906"/>
      <c r="M1274" s="906"/>
      <c r="N1274" s="700" t="s">
        <v>16117</v>
      </c>
      <c r="O1274" s="906"/>
      <c r="P1274" s="906" t="s">
        <v>6</v>
      </c>
      <c r="Q1274" s="705"/>
      <c r="R1274" s="903"/>
      <c r="S1274" s="793"/>
    </row>
    <row r="1275" spans="1:19" ht="12" customHeight="1">
      <c r="A1275" s="1038" t="str">
        <f t="shared" si="559"/>
        <v>296</v>
      </c>
      <c r="B1275" s="688" t="s">
        <v>4878</v>
      </c>
      <c r="C1275" s="688"/>
      <c r="D1275" s="1007"/>
      <c r="E1275" s="1001" t="str">
        <f>IF(D1275="","",D1275/SUM($D$1275:$D$1276))</f>
        <v/>
      </c>
      <c r="F1275" s="1004" t="e">
        <f>IF(J1275="","$",IF(C1275="当選","-",D1275*100/MAX($D$1275:$D$1276)))</f>
        <v>#DIV/0!</v>
      </c>
      <c r="G1275" s="687" t="s">
        <v>4883</v>
      </c>
      <c r="H1275" s="687">
        <v>67</v>
      </c>
      <c r="I1275" s="696" t="s">
        <v>5</v>
      </c>
      <c r="J1275" s="687" t="s">
        <v>15273</v>
      </c>
      <c r="K1275" s="747" t="s">
        <v>4884</v>
      </c>
      <c r="L1275" s="687"/>
      <c r="M1275" s="687"/>
      <c r="N1275" s="688" t="s">
        <v>16120</v>
      </c>
      <c r="O1275" s="687" t="s">
        <v>934</v>
      </c>
      <c r="P1275" s="687" t="s">
        <v>25</v>
      </c>
      <c r="Q1275" s="748">
        <v>3</v>
      </c>
      <c r="R1275" s="749">
        <v>5</v>
      </c>
      <c r="S1275" s="805" t="s">
        <v>5457</v>
      </c>
    </row>
    <row r="1276" spans="1:19" ht="12" customHeight="1" thickBot="1">
      <c r="A1276" s="916" t="str">
        <f t="shared" si="559"/>
        <v>296</v>
      </c>
      <c r="B1276" s="700" t="s">
        <v>4879</v>
      </c>
      <c r="C1276" s="700"/>
      <c r="D1276" s="1009"/>
      <c r="E1276" s="1003" t="str">
        <f>IF(D1276="","",D1276/SUM($D$1275:$D$1276))</f>
        <v/>
      </c>
      <c r="F1276" s="1041" t="str">
        <f>IF(J1276="","$",IF(C1276="当選","-",D1276*100/MAX($D$1275:$D$1276)))</f>
        <v>$</v>
      </c>
      <c r="G1276" s="906" t="s">
        <v>4888</v>
      </c>
      <c r="H1276" s="906">
        <v>67</v>
      </c>
      <c r="I1276" s="702" t="s">
        <v>5</v>
      </c>
      <c r="J1276" s="906"/>
      <c r="K1276" s="703"/>
      <c r="L1276" s="906"/>
      <c r="M1276" s="906"/>
      <c r="N1276" s="700" t="s">
        <v>16117</v>
      </c>
      <c r="O1276" s="906"/>
      <c r="P1276" s="906" t="s">
        <v>6</v>
      </c>
      <c r="Q1276" s="705"/>
      <c r="R1276" s="903"/>
      <c r="S1276" s="793"/>
    </row>
    <row r="1277" spans="1:19" ht="12" customHeight="1">
      <c r="A1277" s="1038" t="str">
        <f t="shared" si="559"/>
        <v>297</v>
      </c>
      <c r="B1277" s="688" t="s">
        <v>4889</v>
      </c>
      <c r="C1277" s="688"/>
      <c r="D1277" s="1007"/>
      <c r="E1277" s="1001" t="str">
        <f>IF(D1277="","",D1277/SUM($D$1277:$D$1280))</f>
        <v/>
      </c>
      <c r="F1277" s="1004" t="e">
        <f>IF(J1277="","$",IF(C1277="当選","-",D1277*100/MAX($D$1277:$D$1280)))</f>
        <v>#DIV/0!</v>
      </c>
      <c r="G1277" s="687" t="s">
        <v>4892</v>
      </c>
      <c r="H1277" s="687">
        <v>39</v>
      </c>
      <c r="I1277" s="696" t="s">
        <v>5</v>
      </c>
      <c r="J1277" s="687" t="s">
        <v>15273</v>
      </c>
      <c r="K1277" s="747"/>
      <c r="L1277" s="687"/>
      <c r="M1277" s="687"/>
      <c r="N1277" s="688" t="s">
        <v>16120</v>
      </c>
      <c r="O1277" s="687" t="s">
        <v>30</v>
      </c>
      <c r="P1277" s="687" t="s">
        <v>6</v>
      </c>
      <c r="Q1277" s="748"/>
      <c r="R1277" s="749"/>
      <c r="S1277" s="805" t="s">
        <v>5457</v>
      </c>
    </row>
    <row r="1278" spans="1:19" ht="12" customHeight="1">
      <c r="A1278" s="1040" t="str">
        <f t="shared" si="559"/>
        <v>297</v>
      </c>
      <c r="B1278" s="4" t="s">
        <v>4890</v>
      </c>
      <c r="C1278" s="4"/>
      <c r="D1278" s="1008"/>
      <c r="E1278" s="1002" t="str">
        <f t="shared" ref="E1278:E1280" si="586">IF(D1278="","",D1278/SUM($D$1277:$D$1280))</f>
        <v/>
      </c>
      <c r="F1278" s="1005" t="e">
        <f t="shared" ref="F1278:F1280" si="587">IF(J1278="","$",IF(C1278="当選","-",D1278*100/MAX($D$1277:$D$1280)))</f>
        <v>#DIV/0!</v>
      </c>
      <c r="G1278" s="1" t="s">
        <v>5783</v>
      </c>
      <c r="H1278" s="1">
        <v>67</v>
      </c>
      <c r="I1278" s="2" t="s">
        <v>5</v>
      </c>
      <c r="J1278" s="1" t="s">
        <v>15273</v>
      </c>
      <c r="K1278" s="3"/>
      <c r="L1278" s="1"/>
      <c r="M1278" s="1"/>
      <c r="N1278" s="4" t="s">
        <v>16116</v>
      </c>
      <c r="O1278" s="1" t="s">
        <v>18494</v>
      </c>
      <c r="P1278" s="1" t="s">
        <v>6</v>
      </c>
      <c r="Q1278" s="16"/>
      <c r="R1278" s="17"/>
      <c r="S1278" s="774" t="s">
        <v>6154</v>
      </c>
    </row>
    <row r="1279" spans="1:19" ht="12" customHeight="1">
      <c r="A1279" s="1040" t="str">
        <f t="shared" si="559"/>
        <v>297</v>
      </c>
      <c r="B1279" s="4" t="s">
        <v>4891</v>
      </c>
      <c r="C1279" s="4"/>
      <c r="D1279" s="1008"/>
      <c r="E1279" s="1002" t="str">
        <f t="shared" si="586"/>
        <v/>
      </c>
      <c r="F1279" s="1005" t="e">
        <f t="shared" si="587"/>
        <v>#DIV/0!</v>
      </c>
      <c r="G1279" s="1" t="s">
        <v>4894</v>
      </c>
      <c r="H1279" s="1">
        <v>64</v>
      </c>
      <c r="I1279" s="2" t="s">
        <v>5</v>
      </c>
      <c r="J1279" s="1" t="s">
        <v>15273</v>
      </c>
      <c r="K1279" s="3" t="s">
        <v>4895</v>
      </c>
      <c r="L1279" s="1"/>
      <c r="M1279" s="1"/>
      <c r="N1279" s="4" t="s">
        <v>16117</v>
      </c>
      <c r="O1279" s="1"/>
      <c r="P1279" s="1" t="s">
        <v>25</v>
      </c>
      <c r="Q1279" s="16">
        <v>4</v>
      </c>
      <c r="R1279" s="17">
        <v>4</v>
      </c>
      <c r="S1279" s="774" t="s">
        <v>16652</v>
      </c>
    </row>
    <row r="1280" spans="1:19" ht="12" customHeight="1" thickBot="1">
      <c r="A1280" s="916" t="str">
        <f t="shared" si="559"/>
        <v>297</v>
      </c>
      <c r="B1280" s="700" t="s">
        <v>4932</v>
      </c>
      <c r="C1280" s="700"/>
      <c r="D1280" s="1009"/>
      <c r="E1280" s="1003" t="str">
        <f t="shared" si="586"/>
        <v/>
      </c>
      <c r="F1280" s="1041" t="str">
        <f t="shared" si="587"/>
        <v>$</v>
      </c>
      <c r="G1280" s="906" t="s">
        <v>4897</v>
      </c>
      <c r="H1280" s="906">
        <v>51</v>
      </c>
      <c r="I1280" s="702" t="s">
        <v>5</v>
      </c>
      <c r="J1280" s="906"/>
      <c r="K1280" s="703" t="s">
        <v>4898</v>
      </c>
      <c r="L1280" s="906"/>
      <c r="M1280" s="906"/>
      <c r="N1280" s="700" t="s">
        <v>16119</v>
      </c>
      <c r="O1280" s="906"/>
      <c r="P1280" s="906" t="s">
        <v>25</v>
      </c>
      <c r="Q1280" s="705">
        <v>4</v>
      </c>
      <c r="R1280" s="903">
        <v>4</v>
      </c>
      <c r="S1280" s="793" t="s">
        <v>16634</v>
      </c>
    </row>
    <row r="1281" spans="1:19" ht="12" customHeight="1">
      <c r="A1281" s="1038" t="str">
        <f t="shared" si="559"/>
        <v>298</v>
      </c>
      <c r="B1281" s="688" t="s">
        <v>4902</v>
      </c>
      <c r="C1281" s="688"/>
      <c r="D1281" s="1007"/>
      <c r="E1281" s="1001" t="str">
        <f>IF(D1281="","",D1281/SUM($D$1281:$D$1284))</f>
        <v/>
      </c>
      <c r="F1281" s="1004" t="e">
        <f>IF(J1281="","$",IF(C1281="当選","-",D1281*100/MAX($D$1281:$D$1284)))</f>
        <v>#DIV/0!</v>
      </c>
      <c r="G1281" s="687" t="s">
        <v>4905</v>
      </c>
      <c r="H1281" s="687">
        <v>47</v>
      </c>
      <c r="I1281" s="696" t="s">
        <v>5</v>
      </c>
      <c r="J1281" s="687" t="s">
        <v>15273</v>
      </c>
      <c r="K1281" s="747"/>
      <c r="L1281" s="687"/>
      <c r="M1281" s="687"/>
      <c r="N1281" s="692" t="s">
        <v>16120</v>
      </c>
      <c r="O1281" s="687" t="s">
        <v>30</v>
      </c>
      <c r="P1281" s="687" t="s">
        <v>6</v>
      </c>
      <c r="Q1281" s="748"/>
      <c r="R1281" s="749"/>
      <c r="S1281" s="805" t="s">
        <v>5457</v>
      </c>
    </row>
    <row r="1282" spans="1:19" ht="12" customHeight="1">
      <c r="A1282" s="1040" t="str">
        <f t="shared" si="559"/>
        <v>298</v>
      </c>
      <c r="B1282" s="4" t="s">
        <v>4903</v>
      </c>
      <c r="C1282" s="4"/>
      <c r="D1282" s="1008"/>
      <c r="E1282" s="1002" t="str">
        <f t="shared" ref="E1282:E1284" si="588">IF(D1282="","",D1282/SUM($D$1281:$D$1284))</f>
        <v/>
      </c>
      <c r="F1282" s="1005" t="e">
        <f t="shared" ref="F1282:F1284" si="589">IF(J1282="","$",IF(C1282="当選","-",D1282*100/MAX($D$1281:$D$1284)))</f>
        <v>#DIV/0!</v>
      </c>
      <c r="G1282" s="1" t="s">
        <v>5784</v>
      </c>
      <c r="H1282" s="1">
        <v>58</v>
      </c>
      <c r="I1282" s="2" t="s">
        <v>5</v>
      </c>
      <c r="J1282" s="1" t="s">
        <v>15273</v>
      </c>
      <c r="K1282" s="3"/>
      <c r="L1282" s="1"/>
      <c r="M1282" s="1"/>
      <c r="N1282" s="4" t="s">
        <v>16116</v>
      </c>
      <c r="O1282" s="1" t="s">
        <v>18494</v>
      </c>
      <c r="P1282" s="1" t="s">
        <v>6</v>
      </c>
      <c r="Q1282" s="16"/>
      <c r="R1282" s="17"/>
      <c r="S1282" s="774" t="s">
        <v>6154</v>
      </c>
    </row>
    <row r="1283" spans="1:19" ht="12" customHeight="1">
      <c r="A1283" s="1040" t="str">
        <f t="shared" ref="A1283:A1295" si="590">MIDB(B1283,1,3)</f>
        <v>298</v>
      </c>
      <c r="B1283" s="4" t="s">
        <v>4904</v>
      </c>
      <c r="C1283" s="4"/>
      <c r="D1283" s="1008"/>
      <c r="E1283" s="1002" t="str">
        <f t="shared" si="588"/>
        <v/>
      </c>
      <c r="F1283" s="1005" t="e">
        <f t="shared" si="589"/>
        <v>#DIV/0!</v>
      </c>
      <c r="G1283" s="1" t="s">
        <v>4907</v>
      </c>
      <c r="H1283" s="1">
        <v>67</v>
      </c>
      <c r="I1283" s="2" t="s">
        <v>5</v>
      </c>
      <c r="J1283" s="1" t="s">
        <v>15273</v>
      </c>
      <c r="K1283" s="3" t="s">
        <v>4908</v>
      </c>
      <c r="L1283" s="1"/>
      <c r="M1283" s="1"/>
      <c r="N1283" s="4" t="s">
        <v>16121</v>
      </c>
      <c r="O1283" s="1"/>
      <c r="P1283" s="1" t="s">
        <v>25</v>
      </c>
      <c r="Q1283" s="16">
        <v>3</v>
      </c>
      <c r="R1283" s="17">
        <v>5</v>
      </c>
      <c r="S1283" s="774" t="s">
        <v>16652</v>
      </c>
    </row>
    <row r="1284" spans="1:19" ht="12" customHeight="1" thickBot="1">
      <c r="A1284" s="916" t="str">
        <f t="shared" si="590"/>
        <v>298</v>
      </c>
      <c r="B1284" s="700" t="s">
        <v>16082</v>
      </c>
      <c r="C1284" s="700"/>
      <c r="D1284" s="1009"/>
      <c r="E1284" s="1003" t="str">
        <f t="shared" si="588"/>
        <v/>
      </c>
      <c r="F1284" s="1041" t="str">
        <f t="shared" si="589"/>
        <v>$</v>
      </c>
      <c r="G1284" s="906" t="s">
        <v>16083</v>
      </c>
      <c r="H1284" s="906">
        <v>68</v>
      </c>
      <c r="I1284" s="702" t="s">
        <v>5</v>
      </c>
      <c r="J1284" s="906"/>
      <c r="K1284" s="703"/>
      <c r="L1284" s="906"/>
      <c r="M1284" s="906"/>
      <c r="N1284" s="700" t="s">
        <v>16129</v>
      </c>
      <c r="O1284" s="906"/>
      <c r="P1284" s="906" t="s">
        <v>6</v>
      </c>
      <c r="Q1284" s="705"/>
      <c r="R1284" s="903"/>
      <c r="S1284" s="793"/>
    </row>
    <row r="1285" spans="1:19" ht="12" customHeight="1">
      <c r="A1285" s="1038" t="str">
        <f t="shared" si="590"/>
        <v>299</v>
      </c>
      <c r="B1285" s="688" t="s">
        <v>4912</v>
      </c>
      <c r="C1285" s="688"/>
      <c r="D1285" s="1007"/>
      <c r="E1285" s="1001" t="str">
        <f>IF(D1285="","",D1285/SUM($D$1285:$D$1290))</f>
        <v/>
      </c>
      <c r="F1285" s="1004" t="e">
        <f>IF(J1285="","$",IF(C1285="当選","-",D1285*100/MAX($D$1285:$D$1290)))</f>
        <v>#DIV/0!</v>
      </c>
      <c r="G1285" s="687" t="s">
        <v>4916</v>
      </c>
      <c r="H1285" s="687">
        <v>56</v>
      </c>
      <c r="I1285" s="696" t="s">
        <v>5</v>
      </c>
      <c r="J1285" s="689" t="s">
        <v>15273</v>
      </c>
      <c r="K1285" s="747"/>
      <c r="L1285" s="687"/>
      <c r="M1285" s="687"/>
      <c r="N1285" s="692" t="s">
        <v>16127</v>
      </c>
      <c r="O1285" s="687" t="s">
        <v>44</v>
      </c>
      <c r="P1285" s="687" t="s">
        <v>6</v>
      </c>
      <c r="Q1285" s="748"/>
      <c r="R1285" s="749"/>
      <c r="S1285" s="805" t="s">
        <v>736</v>
      </c>
    </row>
    <row r="1286" spans="1:19" ht="12" customHeight="1">
      <c r="A1286" s="1040" t="str">
        <f t="shared" si="590"/>
        <v>299</v>
      </c>
      <c r="B1286" s="4" t="s">
        <v>4913</v>
      </c>
      <c r="C1286" s="4"/>
      <c r="D1286" s="1008"/>
      <c r="E1286" s="1002" t="str">
        <f t="shared" ref="E1286:E1290" si="591">IF(D1286="","",D1286/SUM($D$1285:$D$1290))</f>
        <v/>
      </c>
      <c r="F1286" s="1005" t="e">
        <f t="shared" ref="F1286:F1290" si="592">IF(J1286="","$",IF(C1286="当選","-",D1286*100/MAX($D$1285:$D$1290)))</f>
        <v>#DIV/0!</v>
      </c>
      <c r="G1286" s="1" t="s">
        <v>4917</v>
      </c>
      <c r="H1286" s="1">
        <v>54</v>
      </c>
      <c r="I1286" s="2" t="s">
        <v>19</v>
      </c>
      <c r="J1286" s="1" t="s">
        <v>15273</v>
      </c>
      <c r="K1286" s="3"/>
      <c r="L1286" s="1"/>
      <c r="M1286" s="1"/>
      <c r="N1286" s="4" t="s">
        <v>16120</v>
      </c>
      <c r="O1286" s="1" t="s">
        <v>30</v>
      </c>
      <c r="P1286" s="1" t="s">
        <v>6</v>
      </c>
      <c r="Q1286" s="16"/>
      <c r="R1286" s="17"/>
      <c r="S1286" s="774" t="s">
        <v>5457</v>
      </c>
    </row>
    <row r="1287" spans="1:19" ht="12" customHeight="1">
      <c r="A1287" s="1040" t="str">
        <f t="shared" si="590"/>
        <v>299</v>
      </c>
      <c r="B1287" s="4" t="s">
        <v>4914</v>
      </c>
      <c r="C1287" s="4"/>
      <c r="D1287" s="1008"/>
      <c r="E1287" s="1002" t="str">
        <f t="shared" si="591"/>
        <v/>
      </c>
      <c r="F1287" s="1005" t="e">
        <f t="shared" si="592"/>
        <v>#DIV/0!</v>
      </c>
      <c r="G1287" s="1" t="s">
        <v>4920</v>
      </c>
      <c r="H1287" s="1">
        <v>53</v>
      </c>
      <c r="I1287" s="2" t="s">
        <v>5</v>
      </c>
      <c r="J1287" s="1" t="s">
        <v>15273</v>
      </c>
      <c r="K1287" s="3" t="s">
        <v>4921</v>
      </c>
      <c r="L1287" s="1"/>
      <c r="M1287" s="1"/>
      <c r="N1287" s="4" t="s">
        <v>16125</v>
      </c>
      <c r="O1287" s="1"/>
      <c r="P1287" s="1" t="s">
        <v>25</v>
      </c>
      <c r="Q1287" s="16">
        <v>1</v>
      </c>
      <c r="R1287" s="17">
        <v>1</v>
      </c>
      <c r="S1287" s="774" t="s">
        <v>16653</v>
      </c>
    </row>
    <row r="1288" spans="1:19" ht="12" customHeight="1">
      <c r="A1288" s="1040" t="str">
        <f t="shared" si="590"/>
        <v>299</v>
      </c>
      <c r="B1288" s="4" t="s">
        <v>4915</v>
      </c>
      <c r="C1288" s="4"/>
      <c r="D1288" s="1008"/>
      <c r="E1288" s="1002" t="str">
        <f t="shared" si="591"/>
        <v/>
      </c>
      <c r="F1288" s="1005" t="e">
        <f t="shared" si="592"/>
        <v>#DIV/0!</v>
      </c>
      <c r="G1288" s="1" t="s">
        <v>5786</v>
      </c>
      <c r="H1288" s="1">
        <v>45</v>
      </c>
      <c r="I1288" s="2" t="s">
        <v>5</v>
      </c>
      <c r="J1288" s="1" t="s">
        <v>15273</v>
      </c>
      <c r="K1288" s="3"/>
      <c r="L1288" s="1"/>
      <c r="M1288" s="1"/>
      <c r="N1288" s="4" t="s">
        <v>16116</v>
      </c>
      <c r="O1288" s="1" t="s">
        <v>18494</v>
      </c>
      <c r="P1288" s="1" t="s">
        <v>6</v>
      </c>
      <c r="Q1288" s="16"/>
      <c r="R1288" s="17"/>
      <c r="S1288" s="774" t="s">
        <v>6154</v>
      </c>
    </row>
    <row r="1289" spans="1:19" ht="12" customHeight="1">
      <c r="A1289" s="1040" t="str">
        <f t="shared" si="590"/>
        <v>299</v>
      </c>
      <c r="B1289" s="4" t="s">
        <v>5171</v>
      </c>
      <c r="C1289" s="4"/>
      <c r="D1289" s="1008"/>
      <c r="E1289" s="1002" t="str">
        <f t="shared" si="591"/>
        <v/>
      </c>
      <c r="F1289" s="1005" t="str">
        <f t="shared" si="592"/>
        <v>$</v>
      </c>
      <c r="G1289" s="1" t="s">
        <v>5340</v>
      </c>
      <c r="H1289" s="1">
        <v>65</v>
      </c>
      <c r="I1289" s="2" t="s">
        <v>5</v>
      </c>
      <c r="J1289" s="1"/>
      <c r="K1289" s="3"/>
      <c r="L1289" s="1"/>
      <c r="M1289" s="1"/>
      <c r="N1289" s="4" t="s">
        <v>16117</v>
      </c>
      <c r="O1289" s="1"/>
      <c r="P1289" s="1" t="s">
        <v>6</v>
      </c>
      <c r="Q1289" s="16"/>
      <c r="R1289" s="17"/>
      <c r="S1289" s="774"/>
    </row>
    <row r="1290" spans="1:19" ht="12" customHeight="1" thickBot="1">
      <c r="A1290" s="916" t="str">
        <f t="shared" si="590"/>
        <v>299</v>
      </c>
      <c r="B1290" s="700" t="s">
        <v>5785</v>
      </c>
      <c r="C1290" s="700"/>
      <c r="D1290" s="1009"/>
      <c r="E1290" s="1003" t="str">
        <f t="shared" si="591"/>
        <v/>
      </c>
      <c r="F1290" s="1041" t="str">
        <f t="shared" si="592"/>
        <v>$</v>
      </c>
      <c r="G1290" s="906" t="s">
        <v>5172</v>
      </c>
      <c r="H1290" s="906">
        <v>48</v>
      </c>
      <c r="I1290" s="702" t="s">
        <v>5</v>
      </c>
      <c r="J1290" s="906"/>
      <c r="K1290" s="703"/>
      <c r="L1290" s="906"/>
      <c r="M1290" s="906"/>
      <c r="N1290" s="700" t="s">
        <v>16122</v>
      </c>
      <c r="O1290" s="906" t="s">
        <v>22</v>
      </c>
      <c r="P1290" s="906" t="s">
        <v>6</v>
      </c>
      <c r="Q1290" s="705"/>
      <c r="R1290" s="903"/>
      <c r="S1290" s="793"/>
    </row>
    <row r="1291" spans="1:19" ht="12" customHeight="1">
      <c r="A1291" s="1038" t="str">
        <f t="shared" si="590"/>
        <v>300</v>
      </c>
      <c r="B1291" s="688" t="s">
        <v>4927</v>
      </c>
      <c r="C1291" s="688"/>
      <c r="D1291" s="1007"/>
      <c r="E1291" s="1001" t="str">
        <f>IF(D1291="","",D1291/SUM($D$1291:$D$1295))</f>
        <v/>
      </c>
      <c r="F1291" s="1004" t="e">
        <f>IF(J1291="","$",IF(C1291="当選","-",D1291*100/MAX($D$1291:$D$1295)))</f>
        <v>#DIV/0!</v>
      </c>
      <c r="G1291" s="687" t="s">
        <v>4931</v>
      </c>
      <c r="H1291" s="687">
        <v>45</v>
      </c>
      <c r="I1291" s="696" t="s">
        <v>5</v>
      </c>
      <c r="J1291" s="689" t="s">
        <v>15273</v>
      </c>
      <c r="K1291" s="747"/>
      <c r="L1291" s="687"/>
      <c r="M1291" s="687"/>
      <c r="N1291" s="692" t="s">
        <v>16127</v>
      </c>
      <c r="O1291" s="687" t="s">
        <v>44</v>
      </c>
      <c r="P1291" s="687" t="s">
        <v>6</v>
      </c>
      <c r="Q1291" s="748"/>
      <c r="R1291" s="749"/>
      <c r="S1291" s="805"/>
    </row>
    <row r="1292" spans="1:19" ht="12" customHeight="1">
      <c r="A1292" s="1040" t="str">
        <f t="shared" si="590"/>
        <v>300</v>
      </c>
      <c r="B1292" s="4" t="s">
        <v>4928</v>
      </c>
      <c r="C1292" s="4"/>
      <c r="D1292" s="1008"/>
      <c r="E1292" s="1002" t="str">
        <f t="shared" ref="E1292:E1295" si="593">IF(D1292="","",D1292/SUM($D$1291:$D$1295))</f>
        <v/>
      </c>
      <c r="F1292" s="1005" t="e">
        <f t="shared" ref="F1292:F1295" si="594">IF(J1292="","$",IF(C1292="当選","-",D1292*100/MAX($D$1291:$D$1295)))</f>
        <v>#DIV/0!</v>
      </c>
      <c r="G1292" s="1" t="s">
        <v>4934</v>
      </c>
      <c r="H1292" s="1">
        <v>58</v>
      </c>
      <c r="I1292" s="2" t="s">
        <v>5</v>
      </c>
      <c r="J1292" s="1" t="s">
        <v>15273</v>
      </c>
      <c r="K1292" s="3"/>
      <c r="L1292" s="1"/>
      <c r="M1292" s="1"/>
      <c r="N1292" s="4" t="s">
        <v>16120</v>
      </c>
      <c r="O1292" s="1" t="s">
        <v>13</v>
      </c>
      <c r="P1292" s="1" t="s">
        <v>14</v>
      </c>
      <c r="Q1292" s="16">
        <v>2</v>
      </c>
      <c r="R1292" s="17">
        <v>2</v>
      </c>
      <c r="S1292" s="774" t="s">
        <v>5457</v>
      </c>
    </row>
    <row r="1293" spans="1:19" ht="12" customHeight="1">
      <c r="A1293" s="1040" t="str">
        <f t="shared" si="590"/>
        <v>300</v>
      </c>
      <c r="B1293" s="4" t="s">
        <v>4929</v>
      </c>
      <c r="C1293" s="4"/>
      <c r="D1293" s="1008"/>
      <c r="E1293" s="1002" t="str">
        <f t="shared" si="593"/>
        <v/>
      </c>
      <c r="F1293" s="1005" t="e">
        <f t="shared" si="594"/>
        <v>#DIV/0!</v>
      </c>
      <c r="G1293" s="1" t="s">
        <v>5445</v>
      </c>
      <c r="H1293" s="1">
        <v>34</v>
      </c>
      <c r="I1293" s="2" t="s">
        <v>5</v>
      </c>
      <c r="J1293" s="1" t="s">
        <v>15273</v>
      </c>
      <c r="K1293" s="3"/>
      <c r="L1293" s="1"/>
      <c r="M1293" s="1"/>
      <c r="N1293" s="4" t="s">
        <v>16116</v>
      </c>
      <c r="O1293" s="1" t="s">
        <v>18494</v>
      </c>
      <c r="P1293" s="1" t="s">
        <v>6</v>
      </c>
      <c r="Q1293" s="16"/>
      <c r="R1293" s="17"/>
      <c r="S1293" s="774" t="s">
        <v>6154</v>
      </c>
    </row>
    <row r="1294" spans="1:19" ht="12" customHeight="1">
      <c r="A1294" s="1040" t="str">
        <f t="shared" si="590"/>
        <v>300</v>
      </c>
      <c r="B1294" s="4" t="s">
        <v>4930</v>
      </c>
      <c r="C1294" s="4"/>
      <c r="D1294" s="1008"/>
      <c r="E1294" s="1002" t="str">
        <f t="shared" si="593"/>
        <v/>
      </c>
      <c r="F1294" s="1005" t="str">
        <f t="shared" si="594"/>
        <v>$</v>
      </c>
      <c r="G1294" s="1" t="s">
        <v>4939</v>
      </c>
      <c r="H1294" s="1">
        <v>56</v>
      </c>
      <c r="I1294" s="2" t="s">
        <v>5</v>
      </c>
      <c r="J1294" s="1"/>
      <c r="K1294" s="3"/>
      <c r="L1294" s="1"/>
      <c r="M1294" s="1"/>
      <c r="N1294" s="4" t="s">
        <v>16117</v>
      </c>
      <c r="O1294" s="1"/>
      <c r="P1294" s="1" t="s">
        <v>6</v>
      </c>
      <c r="Q1294" s="16"/>
      <c r="R1294" s="17"/>
      <c r="S1294" s="774"/>
    </row>
    <row r="1295" spans="1:19" ht="12" customHeight="1" thickBot="1">
      <c r="A1295" s="916" t="str">
        <f t="shared" si="590"/>
        <v>300</v>
      </c>
      <c r="B1295" s="700" t="s">
        <v>5444</v>
      </c>
      <c r="C1295" s="700"/>
      <c r="D1295" s="1009"/>
      <c r="E1295" s="1003" t="str">
        <f t="shared" si="593"/>
        <v/>
      </c>
      <c r="F1295" s="1041" t="str">
        <f t="shared" si="594"/>
        <v>$</v>
      </c>
      <c r="G1295" s="906" t="s">
        <v>4942</v>
      </c>
      <c r="H1295" s="906">
        <v>54</v>
      </c>
      <c r="I1295" s="702" t="s">
        <v>5</v>
      </c>
      <c r="J1295" s="906"/>
      <c r="K1295" s="703" t="s">
        <v>4943</v>
      </c>
      <c r="L1295" s="906"/>
      <c r="M1295" s="906"/>
      <c r="N1295" s="700" t="s">
        <v>16129</v>
      </c>
      <c r="O1295" s="906" t="s">
        <v>4944</v>
      </c>
      <c r="P1295" s="906" t="s">
        <v>25</v>
      </c>
      <c r="Q1295" s="705">
        <v>1</v>
      </c>
      <c r="R1295" s="903">
        <v>1</v>
      </c>
      <c r="S1295" s="793" t="s">
        <v>16652</v>
      </c>
    </row>
    <row r="1298" spans="4:11" ht="14.25" thickBot="1">
      <c r="D1298" s="1727" t="s">
        <v>18506</v>
      </c>
      <c r="E1298" s="1727"/>
      <c r="F1298" s="1727"/>
      <c r="G1298" s="1727"/>
      <c r="H1298" s="1727"/>
      <c r="I1298" s="1727"/>
      <c r="J1298" s="1727"/>
      <c r="K1298" s="1727"/>
    </row>
    <row r="1299" spans="4:11" ht="13.5" customHeight="1" thickBot="1">
      <c r="D1299" s="893" t="s">
        <v>18501</v>
      </c>
      <c r="E1299" s="888" t="s">
        <v>18504</v>
      </c>
      <c r="F1299" s="1616" t="s">
        <v>18497</v>
      </c>
      <c r="G1299" s="1616"/>
      <c r="H1299" s="1616"/>
      <c r="I1299" s="1616"/>
      <c r="J1299" s="1616"/>
      <c r="K1299" s="887" t="s">
        <v>18498</v>
      </c>
    </row>
    <row r="1300" spans="4:11" ht="15" customHeight="1">
      <c r="D1300" s="1021" t="s">
        <v>18260</v>
      </c>
      <c r="E1300" s="1010">
        <f>SUMPRODUCT(($C$2:$C$1295="当選")*($N$2:$N$1295="０１民主党"))</f>
        <v>0</v>
      </c>
      <c r="F1300" s="1730">
        <f>SUMIF($N$2:$N$1295,"０１民主党",$D$2:$D$1295)</f>
        <v>0</v>
      </c>
      <c r="G1300" s="1730"/>
      <c r="H1300" s="1730"/>
      <c r="I1300" s="1731"/>
      <c r="J1300" s="889" t="s">
        <v>18505</v>
      </c>
      <c r="K1300" s="1016" t="e">
        <f>F1300/$F$1314</f>
        <v>#DIV/0!</v>
      </c>
    </row>
    <row r="1301" spans="4:11" ht="15" customHeight="1">
      <c r="D1301" s="1022" t="s">
        <v>18261</v>
      </c>
      <c r="E1301" s="1011">
        <f>SUMPRODUCT(($C$2:$C$1295="当選")*($N$2:$N$1295="０２自民党"))</f>
        <v>0</v>
      </c>
      <c r="F1301" s="1728">
        <f>SUMIF($N$2:$N$1295,"０２自民党",$D$2:$D$1295)</f>
        <v>0</v>
      </c>
      <c r="G1301" s="1728"/>
      <c r="H1301" s="1728"/>
      <c r="I1301" s="1729"/>
      <c r="J1301" s="890" t="s">
        <v>18505</v>
      </c>
      <c r="K1301" s="1017" t="e">
        <f t="shared" ref="K1301:K1313" si="595">F1301/$F$1314</f>
        <v>#DIV/0!</v>
      </c>
    </row>
    <row r="1302" spans="4:11" ht="15" customHeight="1">
      <c r="D1302" s="1023" t="s">
        <v>18262</v>
      </c>
      <c r="E1302" s="1011">
        <f>SUMPRODUCT(($C$2:$C$1295="当選")*($N$2:$N$1295="０３未来"))</f>
        <v>0</v>
      </c>
      <c r="F1302" s="1728">
        <f>SUMIF($N$2:$N$1295,"０３未来",$D$2:$D$1295)</f>
        <v>0</v>
      </c>
      <c r="G1302" s="1728"/>
      <c r="H1302" s="1728"/>
      <c r="I1302" s="1729"/>
      <c r="J1302" s="890" t="s">
        <v>18505</v>
      </c>
      <c r="K1302" s="1017" t="e">
        <f t="shared" si="595"/>
        <v>#DIV/0!</v>
      </c>
    </row>
    <row r="1303" spans="4:11" ht="15" customHeight="1">
      <c r="D1303" s="1024" t="s">
        <v>18263</v>
      </c>
      <c r="E1303" s="1011">
        <f>SUMPRODUCT(($C$2:$C$1295="当選")*($N$2:$N$1295="０４公明党"))</f>
        <v>0</v>
      </c>
      <c r="F1303" s="1728">
        <f>SUMIF($N$2:$N$1295,"０４公明党",$D$2:$D$1295)</f>
        <v>0</v>
      </c>
      <c r="G1303" s="1728"/>
      <c r="H1303" s="1728"/>
      <c r="I1303" s="1729"/>
      <c r="J1303" s="890" t="s">
        <v>18505</v>
      </c>
      <c r="K1303" s="1017" t="e">
        <f t="shared" si="595"/>
        <v>#DIV/0!</v>
      </c>
    </row>
    <row r="1304" spans="4:11" ht="15" customHeight="1">
      <c r="D1304" s="1025" t="s">
        <v>18264</v>
      </c>
      <c r="E1304" s="1011">
        <f>SUMPRODUCT(($C$2:$C$1295="当選")*($N$2:$N$1295="０５維新"))</f>
        <v>0</v>
      </c>
      <c r="F1304" s="1728">
        <f>SUMIF($N$2:$N$1295,"０５維新",$D$2:$D$1295)</f>
        <v>0</v>
      </c>
      <c r="G1304" s="1728"/>
      <c r="H1304" s="1728"/>
      <c r="I1304" s="1729"/>
      <c r="J1304" s="890" t="s">
        <v>18505</v>
      </c>
      <c r="K1304" s="1017" t="e">
        <f t="shared" si="595"/>
        <v>#DIV/0!</v>
      </c>
    </row>
    <row r="1305" spans="4:11" ht="15" customHeight="1">
      <c r="D1305" s="1026" t="s">
        <v>18265</v>
      </c>
      <c r="E1305" s="1011">
        <f>SUMPRODUCT(($C$2:$C$1295="当選")*($N$2:$N$1295="０６みんな"))</f>
        <v>0</v>
      </c>
      <c r="F1305" s="1728">
        <f>SUMIF($N$2:$N$1295,"０６みんな",$D$2:$D$1295)</f>
        <v>0</v>
      </c>
      <c r="G1305" s="1728"/>
      <c r="H1305" s="1728"/>
      <c r="I1305" s="1729"/>
      <c r="J1305" s="890" t="s">
        <v>18505</v>
      </c>
      <c r="K1305" s="1017" t="e">
        <f t="shared" si="595"/>
        <v>#DIV/0!</v>
      </c>
    </row>
    <row r="1306" spans="4:11" ht="15" customHeight="1">
      <c r="D1306" s="1027" t="s">
        <v>18266</v>
      </c>
      <c r="E1306" s="1011">
        <f>SUMPRODUCT(($C$2:$C$1295="当選")*($N$2:$N$1295="０７共産党"))</f>
        <v>0</v>
      </c>
      <c r="F1306" s="1728">
        <f>SUMIF($N$2:$N$1295,"０７共産党",$D$2:$D$1295)</f>
        <v>0</v>
      </c>
      <c r="G1306" s="1728"/>
      <c r="H1306" s="1728"/>
      <c r="I1306" s="1729"/>
      <c r="J1306" s="890" t="s">
        <v>18505</v>
      </c>
      <c r="K1306" s="1017" t="e">
        <f t="shared" si="595"/>
        <v>#DIV/0!</v>
      </c>
    </row>
    <row r="1307" spans="4:11" ht="15" customHeight="1">
      <c r="D1307" s="1028" t="s">
        <v>18267</v>
      </c>
      <c r="E1307" s="1011">
        <f>SUMPRODUCT(($C$2:$C$1295="当選")*($N$2:$N$1295="０８社民党"))</f>
        <v>0</v>
      </c>
      <c r="F1307" s="1728">
        <f>SUMIF($N$2:$N$1295,"０８社民党",$D$2:$D$1295)</f>
        <v>0</v>
      </c>
      <c r="G1307" s="1728"/>
      <c r="H1307" s="1728"/>
      <c r="I1307" s="1729"/>
      <c r="J1307" s="890" t="s">
        <v>18505</v>
      </c>
      <c r="K1307" s="1017" t="e">
        <f t="shared" si="595"/>
        <v>#DIV/0!</v>
      </c>
    </row>
    <row r="1308" spans="4:11" ht="15" customHeight="1">
      <c r="D1308" s="1029" t="s">
        <v>18268</v>
      </c>
      <c r="E1308" s="1011">
        <f>SUMPRODUCT(($C$2:$C$1295="当選")*($N$2:$N$1295="０９国民新"))</f>
        <v>0</v>
      </c>
      <c r="F1308" s="1728">
        <f>SUMIF($N$2:$N$1295,"０９国民新",$D$2:$D$1295)</f>
        <v>0</v>
      </c>
      <c r="G1308" s="1728"/>
      <c r="H1308" s="1728"/>
      <c r="I1308" s="1729"/>
      <c r="J1308" s="890" t="s">
        <v>18505</v>
      </c>
      <c r="K1308" s="1017" t="e">
        <f t="shared" si="595"/>
        <v>#DIV/0!</v>
      </c>
    </row>
    <row r="1309" spans="4:11" ht="15" customHeight="1">
      <c r="D1309" s="1030" t="s">
        <v>18269</v>
      </c>
      <c r="E1309" s="1011">
        <f>SUMPRODUCT(($C$2:$C$1295="当選")*($N$2:$N$1295="１０大地"))</f>
        <v>0</v>
      </c>
      <c r="F1309" s="1728">
        <f>SUMIF($N$2:$N$1295,"１０大地",$D$2:$D$1295)</f>
        <v>0</v>
      </c>
      <c r="G1309" s="1728"/>
      <c r="H1309" s="1728"/>
      <c r="I1309" s="1729"/>
      <c r="J1309" s="890" t="s">
        <v>18505</v>
      </c>
      <c r="K1309" s="1017" t="e">
        <f t="shared" si="595"/>
        <v>#DIV/0!</v>
      </c>
    </row>
    <row r="1310" spans="4:11" ht="15" customHeight="1">
      <c r="D1310" s="1031" t="s">
        <v>18270</v>
      </c>
      <c r="E1310" s="1011">
        <f>SUMPRODUCT(($C$2:$C$1295="当選")*($N$2:$N$1295="１１改革"))</f>
        <v>0</v>
      </c>
      <c r="F1310" s="1728">
        <f>SUMIF($N$2:$N$1295,"１１改革",$D$2:$D$1295)</f>
        <v>0</v>
      </c>
      <c r="G1310" s="1728"/>
      <c r="H1310" s="1728"/>
      <c r="I1310" s="1729"/>
      <c r="J1310" s="890" t="s">
        <v>18505</v>
      </c>
      <c r="K1310" s="1017" t="e">
        <f t="shared" si="595"/>
        <v>#DIV/0!</v>
      </c>
    </row>
    <row r="1311" spans="4:11" ht="15" customHeight="1">
      <c r="D1311" s="1032" t="s">
        <v>18502</v>
      </c>
      <c r="E1311" s="1011">
        <f>SUMPRODUCT(($C$2:$C$1295="当選")*($N$2:$N$1295="１２新日本"))</f>
        <v>0</v>
      </c>
      <c r="F1311" s="1728">
        <f>SUMIF($N$2:$N$1295,"１２新日本",$D$2:$D$1295)</f>
        <v>0</v>
      </c>
      <c r="G1311" s="1728"/>
      <c r="H1311" s="1728"/>
      <c r="I1311" s="1729"/>
      <c r="J1311" s="890" t="s">
        <v>18505</v>
      </c>
      <c r="K1311" s="1017" t="e">
        <f t="shared" si="595"/>
        <v>#DIV/0!</v>
      </c>
    </row>
    <row r="1312" spans="4:11" ht="15" customHeight="1">
      <c r="D1312" s="1033" t="s">
        <v>18291</v>
      </c>
      <c r="E1312" s="1011">
        <f>SUMPRODUCT(($C$2:$C$1295="当選")*($N$2:$N$1295="１３諸派"))</f>
        <v>0</v>
      </c>
      <c r="F1312" s="1728">
        <f>SUMIF($N$2:$N$1295,"１３諸派",$D$2:$D$1295)</f>
        <v>0</v>
      </c>
      <c r="G1312" s="1728"/>
      <c r="H1312" s="1728"/>
      <c r="I1312" s="1729"/>
      <c r="J1312" s="890" t="s">
        <v>18505</v>
      </c>
      <c r="K1312" s="1017" t="e">
        <f t="shared" si="595"/>
        <v>#DIV/0!</v>
      </c>
    </row>
    <row r="1313" spans="4:11" ht="15" customHeight="1" thickBot="1">
      <c r="D1313" s="1034" t="s">
        <v>18472</v>
      </c>
      <c r="E1313" s="1013">
        <f>SUMPRODUCT(($C$2:$C$1295="当選")*($N$2:$N$1295="１４無所属"))</f>
        <v>0</v>
      </c>
      <c r="F1313" s="1732">
        <f>SUMIF($N$2:$N$1295,"１４無所属",$D$2:$D$1295)</f>
        <v>0</v>
      </c>
      <c r="G1313" s="1732"/>
      <c r="H1313" s="1732"/>
      <c r="I1313" s="1733"/>
      <c r="J1313" s="1020" t="s">
        <v>18505</v>
      </c>
      <c r="K1313" s="1018" t="e">
        <f t="shared" si="595"/>
        <v>#DIV/0!</v>
      </c>
    </row>
    <row r="1314" spans="4:11" ht="15" customHeight="1" thickBot="1">
      <c r="D1314" s="892" t="s">
        <v>18475</v>
      </c>
      <c r="E1314" s="1014">
        <f>SUM(E1300:E1313)</f>
        <v>0</v>
      </c>
      <c r="F1314" s="1734">
        <f>SUM(F1300:I1313)</f>
        <v>0</v>
      </c>
      <c r="G1314" s="1734"/>
      <c r="H1314" s="1734"/>
      <c r="I1314" s="1735"/>
      <c r="J1314" s="888" t="s">
        <v>18505</v>
      </c>
      <c r="K1314" s="1015"/>
    </row>
    <row r="1315" spans="4:11" ht="13.5" customHeight="1" thickBot="1">
      <c r="D1315" s="981" t="s">
        <v>18503</v>
      </c>
      <c r="E1315" s="1019">
        <f>300-E1314</f>
        <v>300</v>
      </c>
    </row>
  </sheetData>
  <sortState ref="A2:T6">
    <sortCondition descending="1" ref="C2:C6"/>
  </sortState>
  <mergeCells count="17">
    <mergeCell ref="F1311:I1311"/>
    <mergeCell ref="F1312:I1312"/>
    <mergeCell ref="F1313:I1313"/>
    <mergeCell ref="F1314:I1314"/>
    <mergeCell ref="F1299:J1299"/>
    <mergeCell ref="F1309:I1309"/>
    <mergeCell ref="F1310:I1310"/>
    <mergeCell ref="D1298:K1298"/>
    <mergeCell ref="F1305:I1305"/>
    <mergeCell ref="F1306:I1306"/>
    <mergeCell ref="F1307:I1307"/>
    <mergeCell ref="F1308:I1308"/>
    <mergeCell ref="F1300:I1300"/>
    <mergeCell ref="F1301:I1301"/>
    <mergeCell ref="F1302:I1302"/>
    <mergeCell ref="F1303:I1303"/>
    <mergeCell ref="F1304:I1304"/>
  </mergeCells>
  <phoneticPr fontId="3"/>
  <conditionalFormatting sqref="B1:S1 B2:B1295 D2:S1295">
    <cfRule type="containsText" dxfId="424" priority="6" operator="containsText" text="？">
      <formula>NOT(ISERROR(SEARCH("？",B1)))</formula>
    </cfRule>
  </conditionalFormatting>
  <conditionalFormatting sqref="I1:I1295">
    <cfRule type="containsText" dxfId="423" priority="5" operator="containsText" text="女">
      <formula>NOT(ISERROR(SEARCH("女",I1)))</formula>
    </cfRule>
  </conditionalFormatting>
  <conditionalFormatting sqref="C2:C1295">
    <cfRule type="containsText" dxfId="422" priority="2" operator="containsText" text="当選">
      <formula>NOT(ISERROR(SEARCH("当選",C2)))</formula>
    </cfRule>
    <cfRule type="containsText" dxfId="421" priority="3" operator="containsText" text="当選">
      <formula>NOT(ISERROR(SEARCH("当選",C2)))</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dimension ref="A1:V1138"/>
  <sheetViews>
    <sheetView workbookViewId="0">
      <pane ySplit="1" topLeftCell="A2" activePane="bottomLeft" state="frozen"/>
      <selection pane="bottomLeft"/>
    </sheetView>
  </sheetViews>
  <sheetFormatPr defaultRowHeight="14.25"/>
  <cols>
    <col min="1" max="1" width="4.625" style="1046" customWidth="1"/>
    <col min="2" max="2" width="15.875" style="1049" customWidth="1"/>
    <col min="3" max="3" width="9" style="1049"/>
    <col min="4" max="4" width="2.625" style="1046" customWidth="1"/>
    <col min="5" max="5" width="9.625" style="1046" customWidth="1"/>
    <col min="6" max="6" width="6.625" style="1046" customWidth="1"/>
    <col min="7" max="7" width="10.625" style="1046" customWidth="1"/>
    <col min="8" max="8" width="2.625" style="1046" customWidth="1"/>
    <col min="9" max="9" width="2.625" style="1047" customWidth="1"/>
    <col min="10" max="10" width="2.625" style="1046" customWidth="1"/>
    <col min="11" max="11" width="9.625" style="1048" customWidth="1"/>
    <col min="12" max="13" width="1.625" style="1046" customWidth="1"/>
    <col min="14" max="14" width="7.625" style="1049" customWidth="1"/>
    <col min="15" max="15" width="5.125" style="1046" customWidth="1"/>
    <col min="16" max="16" width="2.625" style="1046" customWidth="1"/>
    <col min="17" max="17" width="2.625" style="1050" customWidth="1"/>
    <col min="18" max="18" width="2.625" style="1051" customWidth="1"/>
    <col min="19" max="19" width="5.625" style="1048" customWidth="1"/>
    <col min="20" max="20" width="5.625" style="1046" customWidth="1"/>
    <col min="21" max="21" width="10.625" style="1046" customWidth="1"/>
    <col min="22" max="22" width="9.25" style="1046" bestFit="1" customWidth="1"/>
    <col min="23" max="16384" width="9" style="1048"/>
  </cols>
  <sheetData>
    <row r="1" spans="1:22" ht="12" customHeight="1" thickBot="1">
      <c r="A1" s="658" t="s">
        <v>18515</v>
      </c>
      <c r="B1" s="659" t="s">
        <v>132</v>
      </c>
      <c r="C1" s="659" t="s">
        <v>18514</v>
      </c>
      <c r="D1" s="659" t="s">
        <v>12587</v>
      </c>
      <c r="E1" s="659" t="s">
        <v>12588</v>
      </c>
      <c r="F1" s="659" t="s">
        <v>18516</v>
      </c>
      <c r="G1" s="659" t="s">
        <v>133</v>
      </c>
      <c r="H1" s="659" t="s">
        <v>134</v>
      </c>
      <c r="I1" s="660" t="s">
        <v>135</v>
      </c>
      <c r="J1" s="659" t="s">
        <v>136</v>
      </c>
      <c r="K1" s="659" t="s">
        <v>15250</v>
      </c>
      <c r="L1" s="659" t="s">
        <v>373</v>
      </c>
      <c r="M1" s="659"/>
      <c r="N1" s="659" t="s">
        <v>137</v>
      </c>
      <c r="O1" s="659" t="s">
        <v>138</v>
      </c>
      <c r="P1" s="659" t="s">
        <v>25</v>
      </c>
      <c r="Q1" s="661" t="s">
        <v>139</v>
      </c>
      <c r="R1" s="662" t="s">
        <v>140</v>
      </c>
      <c r="S1" s="659" t="s">
        <v>5090</v>
      </c>
      <c r="T1" s="659" t="s">
        <v>18519</v>
      </c>
      <c r="U1" s="659" t="s">
        <v>18517</v>
      </c>
      <c r="V1" s="1037" t="s">
        <v>18518</v>
      </c>
    </row>
    <row r="2" spans="1:22" ht="12" customHeight="1">
      <c r="A2" s="1038" t="str">
        <f t="shared" ref="A2:A12" si="0">MIDB(B2,1,4)</f>
        <v>3001</v>
      </c>
      <c r="B2" s="1066" t="s">
        <v>15675</v>
      </c>
      <c r="C2" s="1067"/>
      <c r="D2" s="687">
        <v>1</v>
      </c>
      <c r="E2" s="688" t="s">
        <v>1</v>
      </c>
      <c r="F2" s="1068" t="e">
        <f>IF(E2="","$",VLOOKUP(E2,'結果(小)'!$B$2:$F$1295,5,FALSE))</f>
        <v>#DIV/0!</v>
      </c>
      <c r="G2" s="689" t="s">
        <v>852</v>
      </c>
      <c r="H2" s="690">
        <v>71</v>
      </c>
      <c r="I2" s="690" t="s">
        <v>5</v>
      </c>
      <c r="J2" s="689" t="s">
        <v>15273</v>
      </c>
      <c r="K2" s="691" t="s">
        <v>1317</v>
      </c>
      <c r="L2" s="689"/>
      <c r="M2" s="690"/>
      <c r="N2" s="692" t="s">
        <v>16126</v>
      </c>
      <c r="O2" s="689" t="s">
        <v>45</v>
      </c>
      <c r="P2" s="689" t="s">
        <v>25</v>
      </c>
      <c r="Q2" s="693">
        <v>10</v>
      </c>
      <c r="R2" s="694">
        <v>13</v>
      </c>
      <c r="S2" s="691" t="s">
        <v>736</v>
      </c>
      <c r="T2" s="1784"/>
      <c r="U2" s="1790"/>
      <c r="V2" s="1793" t="e">
        <f>U2/SUM(U2:U49)</f>
        <v>#DIV/0!</v>
      </c>
    </row>
    <row r="3" spans="1:22" ht="12" customHeight="1">
      <c r="A3" s="1040" t="str">
        <f t="shared" si="0"/>
        <v>3001</v>
      </c>
      <c r="B3" s="1052" t="s">
        <v>15676</v>
      </c>
      <c r="C3" s="1063"/>
      <c r="D3" s="1">
        <v>1</v>
      </c>
      <c r="E3" s="4" t="s">
        <v>8</v>
      </c>
      <c r="F3" s="1065" t="e">
        <f>IF(E3="","$",VLOOKUP(E3,'結果(小)'!$B$2:$F$1295,5,FALSE))</f>
        <v>#DIV/0!</v>
      </c>
      <c r="G3" s="5" t="s">
        <v>3559</v>
      </c>
      <c r="H3" s="6">
        <v>70</v>
      </c>
      <c r="I3" s="6" t="s">
        <v>5</v>
      </c>
      <c r="J3" s="5" t="s">
        <v>15273</v>
      </c>
      <c r="K3" s="7" t="s">
        <v>1318</v>
      </c>
      <c r="L3" s="5"/>
      <c r="M3" s="19"/>
      <c r="N3" s="8" t="s">
        <v>16127</v>
      </c>
      <c r="O3" s="5" t="s">
        <v>604</v>
      </c>
      <c r="P3" s="5" t="s">
        <v>25</v>
      </c>
      <c r="Q3" s="9">
        <v>4</v>
      </c>
      <c r="R3" s="10">
        <v>4</v>
      </c>
      <c r="S3" s="7" t="s">
        <v>736</v>
      </c>
      <c r="T3" s="1785"/>
      <c r="U3" s="1791"/>
      <c r="V3" s="1794"/>
    </row>
    <row r="4" spans="1:22" ht="12" customHeight="1">
      <c r="A4" s="1040" t="str">
        <f t="shared" si="0"/>
        <v>3001</v>
      </c>
      <c r="B4" s="1052" t="s">
        <v>15677</v>
      </c>
      <c r="C4" s="1063"/>
      <c r="D4" s="1">
        <v>1</v>
      </c>
      <c r="E4" s="4" t="s">
        <v>26</v>
      </c>
      <c r="F4" s="1065" t="e">
        <f>IF(E4="","$",VLOOKUP(E4,'結果(小)'!$B$2:$F$1295,5,FALSE))</f>
        <v>#DIV/0!</v>
      </c>
      <c r="G4" s="5" t="s">
        <v>870</v>
      </c>
      <c r="H4" s="6">
        <v>66</v>
      </c>
      <c r="I4" s="6" t="s">
        <v>5</v>
      </c>
      <c r="J4" s="5" t="s">
        <v>15273</v>
      </c>
      <c r="K4" s="7" t="s">
        <v>1319</v>
      </c>
      <c r="L4" s="5"/>
      <c r="M4" s="19"/>
      <c r="N4" s="8" t="s">
        <v>16127</v>
      </c>
      <c r="O4" s="5" t="s">
        <v>24</v>
      </c>
      <c r="P4" s="5" t="s">
        <v>25</v>
      </c>
      <c r="Q4" s="9">
        <v>5</v>
      </c>
      <c r="R4" s="10">
        <v>5</v>
      </c>
      <c r="S4" s="7" t="s">
        <v>736</v>
      </c>
      <c r="T4" s="1785"/>
      <c r="U4" s="1791"/>
      <c r="V4" s="1794"/>
    </row>
    <row r="5" spans="1:22" ht="12" customHeight="1">
      <c r="A5" s="1040" t="str">
        <f t="shared" si="0"/>
        <v>3001</v>
      </c>
      <c r="B5" s="1052" t="s">
        <v>15678</v>
      </c>
      <c r="C5" s="1063"/>
      <c r="D5" s="1">
        <v>1</v>
      </c>
      <c r="E5" s="4" t="s">
        <v>35</v>
      </c>
      <c r="F5" s="1065" t="e">
        <f>IF(E5="","$",VLOOKUP(E5,'結果(小)'!$B$2:$F$1295,5,FALSE))</f>
        <v>#DIV/0!</v>
      </c>
      <c r="G5" s="5" t="s">
        <v>921</v>
      </c>
      <c r="H5" s="6">
        <v>64</v>
      </c>
      <c r="I5" s="6" t="s">
        <v>5</v>
      </c>
      <c r="J5" s="5" t="s">
        <v>15273</v>
      </c>
      <c r="K5" s="7" t="s">
        <v>1320</v>
      </c>
      <c r="L5" s="5"/>
      <c r="M5" s="19"/>
      <c r="N5" s="8" t="s">
        <v>16127</v>
      </c>
      <c r="O5" s="5" t="s">
        <v>45</v>
      </c>
      <c r="P5" s="5" t="s">
        <v>25</v>
      </c>
      <c r="Q5" s="9">
        <v>7</v>
      </c>
      <c r="R5" s="10">
        <v>7</v>
      </c>
      <c r="S5" s="7" t="s">
        <v>736</v>
      </c>
      <c r="T5" s="1785"/>
      <c r="U5" s="1791"/>
      <c r="V5" s="1794"/>
    </row>
    <row r="6" spans="1:22" ht="12" customHeight="1">
      <c r="A6" s="1040" t="str">
        <f t="shared" si="0"/>
        <v>3001</v>
      </c>
      <c r="B6" s="1052" t="s">
        <v>15679</v>
      </c>
      <c r="C6" s="1063"/>
      <c r="D6" s="1">
        <v>1</v>
      </c>
      <c r="E6" s="4" t="s">
        <v>39</v>
      </c>
      <c r="F6" s="1065" t="e">
        <f>IF(E6="","$",VLOOKUP(E6,'結果(小)'!$B$2:$F$1295,5,FALSE))</f>
        <v>#DIV/0!</v>
      </c>
      <c r="G6" s="1" t="s">
        <v>43</v>
      </c>
      <c r="H6" s="6">
        <v>40</v>
      </c>
      <c r="I6" s="2" t="s">
        <v>5</v>
      </c>
      <c r="J6" s="5" t="s">
        <v>15273</v>
      </c>
      <c r="K6" s="3"/>
      <c r="L6" s="1"/>
      <c r="M6" s="1"/>
      <c r="N6" s="4" t="s">
        <v>16127</v>
      </c>
      <c r="O6" s="1" t="s">
        <v>44</v>
      </c>
      <c r="P6" s="1" t="s">
        <v>6</v>
      </c>
      <c r="Q6" s="16"/>
      <c r="R6" s="17"/>
      <c r="S6" s="3"/>
      <c r="T6" s="1785"/>
      <c r="U6" s="1791"/>
      <c r="V6" s="1794"/>
    </row>
    <row r="7" spans="1:22" ht="12" customHeight="1">
      <c r="A7" s="1040" t="str">
        <f t="shared" si="0"/>
        <v>3001</v>
      </c>
      <c r="B7" s="1052" t="s">
        <v>15680</v>
      </c>
      <c r="C7" s="1063"/>
      <c r="D7" s="1">
        <v>1</v>
      </c>
      <c r="E7" s="4" t="s">
        <v>56</v>
      </c>
      <c r="F7" s="1065" t="e">
        <f>IF(E7="","$",VLOOKUP(E7,'結果(小)'!$B$2:$F$1295,5,FALSE))</f>
        <v>#DIV/0!</v>
      </c>
      <c r="G7" s="5" t="s">
        <v>874</v>
      </c>
      <c r="H7" s="6">
        <v>63</v>
      </c>
      <c r="I7" s="6" t="s">
        <v>5</v>
      </c>
      <c r="J7" s="5" t="s">
        <v>15273</v>
      </c>
      <c r="K7" s="7" t="s">
        <v>1322</v>
      </c>
      <c r="L7" s="5"/>
      <c r="M7" s="19"/>
      <c r="N7" s="8" t="s">
        <v>16126</v>
      </c>
      <c r="O7" s="5" t="s">
        <v>45</v>
      </c>
      <c r="P7" s="5" t="s">
        <v>25</v>
      </c>
      <c r="Q7" s="9">
        <v>2</v>
      </c>
      <c r="R7" s="10">
        <v>2</v>
      </c>
      <c r="S7" s="7" t="s">
        <v>736</v>
      </c>
      <c r="T7" s="1785"/>
      <c r="U7" s="1791"/>
      <c r="V7" s="1794"/>
    </row>
    <row r="8" spans="1:22" ht="12" customHeight="1">
      <c r="A8" s="1040" t="str">
        <f t="shared" si="0"/>
        <v>3001</v>
      </c>
      <c r="B8" s="1052" t="s">
        <v>15681</v>
      </c>
      <c r="C8" s="1063"/>
      <c r="D8" s="1">
        <v>1</v>
      </c>
      <c r="E8" s="4" t="s">
        <v>61</v>
      </c>
      <c r="F8" s="1065" t="e">
        <f>IF(E8="","$",VLOOKUP(E8,'結果(小)'!$B$2:$F$1295,5,FALSE))</f>
        <v>#DIV/0!</v>
      </c>
      <c r="G8" s="5" t="s">
        <v>915</v>
      </c>
      <c r="H8" s="6">
        <v>53</v>
      </c>
      <c r="I8" s="6" t="s">
        <v>19</v>
      </c>
      <c r="J8" s="5" t="s">
        <v>15273</v>
      </c>
      <c r="K8" s="7" t="s">
        <v>1307</v>
      </c>
      <c r="L8" s="5"/>
      <c r="M8" s="19"/>
      <c r="N8" s="8" t="s">
        <v>16127</v>
      </c>
      <c r="O8" s="5" t="s">
        <v>45</v>
      </c>
      <c r="P8" s="5" t="s">
        <v>25</v>
      </c>
      <c r="Q8" s="9">
        <v>3</v>
      </c>
      <c r="R8" s="10">
        <v>3</v>
      </c>
      <c r="S8" s="7" t="s">
        <v>736</v>
      </c>
      <c r="T8" s="1785"/>
      <c r="U8" s="1791"/>
      <c r="V8" s="1794"/>
    </row>
    <row r="9" spans="1:22" ht="12" customHeight="1">
      <c r="A9" s="1040" t="str">
        <f t="shared" si="0"/>
        <v>3001</v>
      </c>
      <c r="B9" s="1052" t="s">
        <v>15682</v>
      </c>
      <c r="C9" s="1063"/>
      <c r="D9" s="1">
        <v>1</v>
      </c>
      <c r="E9" s="4" t="s">
        <v>70</v>
      </c>
      <c r="F9" s="1065" t="e">
        <f>IF(E9="","$",VLOOKUP(E9,'結果(小)'!$B$2:$F$1295,5,FALSE))</f>
        <v>#DIV/0!</v>
      </c>
      <c r="G9" s="5" t="s">
        <v>845</v>
      </c>
      <c r="H9" s="6">
        <v>53</v>
      </c>
      <c r="I9" s="5" t="s">
        <v>5</v>
      </c>
      <c r="J9" s="5" t="s">
        <v>15273</v>
      </c>
      <c r="K9" s="7" t="s">
        <v>1324</v>
      </c>
      <c r="L9" s="5"/>
      <c r="M9" s="19"/>
      <c r="N9" s="8" t="s">
        <v>16127</v>
      </c>
      <c r="O9" s="5" t="s">
        <v>44</v>
      </c>
      <c r="P9" s="5" t="s">
        <v>25</v>
      </c>
      <c r="Q9" s="9">
        <v>2</v>
      </c>
      <c r="R9" s="10">
        <v>2</v>
      </c>
      <c r="S9" s="7" t="s">
        <v>736</v>
      </c>
      <c r="T9" s="1785"/>
      <c r="U9" s="1791"/>
      <c r="V9" s="1794"/>
    </row>
    <row r="10" spans="1:22" ht="12" customHeight="1">
      <c r="A10" s="1040" t="str">
        <f t="shared" si="0"/>
        <v>3001</v>
      </c>
      <c r="B10" s="1052" t="s">
        <v>15683</v>
      </c>
      <c r="C10" s="1063"/>
      <c r="D10" s="1">
        <v>1</v>
      </c>
      <c r="E10" s="4" t="s">
        <v>79</v>
      </c>
      <c r="F10" s="1065" t="e">
        <f>IF(E10="","$",VLOOKUP(E10,'結果(小)'!$B$2:$F$1295,5,FALSE))</f>
        <v>#DIV/0!</v>
      </c>
      <c r="G10" s="5" t="s">
        <v>2068</v>
      </c>
      <c r="H10" s="6">
        <v>33</v>
      </c>
      <c r="I10" s="5" t="s">
        <v>5</v>
      </c>
      <c r="J10" s="5" t="s">
        <v>15273</v>
      </c>
      <c r="K10" s="7"/>
      <c r="L10" s="5"/>
      <c r="M10" s="19"/>
      <c r="N10" s="8" t="s">
        <v>16127</v>
      </c>
      <c r="O10" s="5" t="s">
        <v>737</v>
      </c>
      <c r="P10" s="5" t="s">
        <v>25</v>
      </c>
      <c r="Q10" s="9">
        <v>1</v>
      </c>
      <c r="R10" s="10">
        <v>1</v>
      </c>
      <c r="S10" s="12" t="s">
        <v>736</v>
      </c>
      <c r="T10" s="1785"/>
      <c r="U10" s="1791"/>
      <c r="V10" s="1794"/>
    </row>
    <row r="11" spans="1:22" ht="12" customHeight="1">
      <c r="A11" s="1040" t="str">
        <f t="shared" si="0"/>
        <v>3001</v>
      </c>
      <c r="B11" s="1052" t="s">
        <v>15684</v>
      </c>
      <c r="C11" s="1063"/>
      <c r="D11" s="1">
        <v>1</v>
      </c>
      <c r="E11" s="4" t="s">
        <v>90</v>
      </c>
      <c r="F11" s="1065" t="e">
        <f>IF(E11="","$",VLOOKUP(E11,'結果(小)'!$B$2:$F$1295,5,FALSE))</f>
        <v>#DIV/0!</v>
      </c>
      <c r="G11" s="5" t="s">
        <v>891</v>
      </c>
      <c r="H11" s="6">
        <v>70</v>
      </c>
      <c r="I11" s="5" t="s">
        <v>5</v>
      </c>
      <c r="J11" s="5" t="s">
        <v>15273</v>
      </c>
      <c r="K11" s="7" t="s">
        <v>1325</v>
      </c>
      <c r="L11" s="5"/>
      <c r="M11" s="19"/>
      <c r="N11" s="4" t="s">
        <v>16127</v>
      </c>
      <c r="O11" s="5" t="s">
        <v>24</v>
      </c>
      <c r="P11" s="5" t="s">
        <v>25</v>
      </c>
      <c r="Q11" s="9">
        <v>7</v>
      </c>
      <c r="R11" s="10">
        <v>7</v>
      </c>
      <c r="S11" s="7" t="s">
        <v>736</v>
      </c>
      <c r="T11" s="1785"/>
      <c r="U11" s="1791"/>
      <c r="V11" s="1794"/>
    </row>
    <row r="12" spans="1:22" ht="12" customHeight="1" thickBot="1">
      <c r="A12" s="916" t="str">
        <f t="shared" si="0"/>
        <v>3001</v>
      </c>
      <c r="B12" s="1069" t="s">
        <v>15685</v>
      </c>
      <c r="C12" s="1070"/>
      <c r="D12" s="906">
        <v>1</v>
      </c>
      <c r="E12" s="700" t="s">
        <v>109</v>
      </c>
      <c r="F12" s="1071" t="e">
        <f>IF(E12="","$",VLOOKUP(E12,'結果(小)'!$B$2:$F$1295,5,FALSE))</f>
        <v>#DIV/0!</v>
      </c>
      <c r="G12" s="906" t="s">
        <v>2063</v>
      </c>
      <c r="H12" s="701">
        <v>65</v>
      </c>
      <c r="I12" s="702" t="s">
        <v>19</v>
      </c>
      <c r="J12" s="356" t="s">
        <v>15273</v>
      </c>
      <c r="K12" s="703" t="s">
        <v>5846</v>
      </c>
      <c r="L12" s="906"/>
      <c r="M12" s="906"/>
      <c r="N12" s="704" t="s">
        <v>16126</v>
      </c>
      <c r="O12" s="906" t="s">
        <v>44</v>
      </c>
      <c r="P12" s="906" t="s">
        <v>25</v>
      </c>
      <c r="Q12" s="705">
        <v>1</v>
      </c>
      <c r="R12" s="903">
        <v>1</v>
      </c>
      <c r="S12" s="703" t="s">
        <v>736</v>
      </c>
      <c r="T12" s="1786"/>
      <c r="U12" s="1792"/>
      <c r="V12" s="1795"/>
    </row>
    <row r="13" spans="1:22" ht="12" customHeight="1">
      <c r="A13" s="1038" t="str">
        <f t="shared" ref="A13:A66" si="1">MIDB(B13,1,4)</f>
        <v>3002</v>
      </c>
      <c r="B13" s="1072" t="s">
        <v>5245</v>
      </c>
      <c r="C13" s="1073"/>
      <c r="D13" s="696">
        <v>1</v>
      </c>
      <c r="E13" s="696"/>
      <c r="F13" s="1068" t="str">
        <f>IF(E13="","$",VLOOKUP(E13,'結果(小)'!$B$2:$F$1295,5,FALSE))</f>
        <v>$</v>
      </c>
      <c r="G13" s="696" t="s">
        <v>5246</v>
      </c>
      <c r="H13" s="690">
        <v>55</v>
      </c>
      <c r="I13" s="696" t="s">
        <v>5</v>
      </c>
      <c r="J13" s="696" t="s">
        <v>6067</v>
      </c>
      <c r="K13" s="715"/>
      <c r="L13" s="696"/>
      <c r="M13" s="696"/>
      <c r="N13" s="716" t="s">
        <v>16120</v>
      </c>
      <c r="O13" s="696" t="s">
        <v>5247</v>
      </c>
      <c r="P13" s="696" t="s">
        <v>6</v>
      </c>
      <c r="Q13" s="717"/>
      <c r="R13" s="718"/>
      <c r="S13" s="715"/>
      <c r="T13" s="1787"/>
      <c r="U13" s="1790"/>
      <c r="V13" s="1793" t="e">
        <f>U13/SUM(U2:U49)</f>
        <v>#DIV/0!</v>
      </c>
    </row>
    <row r="14" spans="1:22" ht="12" customHeight="1">
      <c r="A14" s="1040" t="str">
        <f t="shared" si="1"/>
        <v>3002</v>
      </c>
      <c r="B14" s="1053" t="s">
        <v>6038</v>
      </c>
      <c r="C14" s="1064"/>
      <c r="D14" s="2">
        <v>2</v>
      </c>
      <c r="E14" s="4" t="s">
        <v>3</v>
      </c>
      <c r="F14" s="1065" t="e">
        <f>IF(E14="","$",VLOOKUP(E14,'結果(小)'!$B$2:$F$1295,5,FALSE))</f>
        <v>#DIV/0!</v>
      </c>
      <c r="G14" s="6" t="s">
        <v>929</v>
      </c>
      <c r="H14" s="6">
        <v>52</v>
      </c>
      <c r="I14" s="6" t="s">
        <v>5</v>
      </c>
      <c r="J14" s="6" t="s">
        <v>15273</v>
      </c>
      <c r="K14" s="12"/>
      <c r="L14" s="6"/>
      <c r="M14" s="6"/>
      <c r="N14" s="8" t="s">
        <v>16120</v>
      </c>
      <c r="O14" s="6" t="s">
        <v>30</v>
      </c>
      <c r="P14" s="6" t="s">
        <v>6</v>
      </c>
      <c r="Q14" s="13"/>
      <c r="R14" s="14"/>
      <c r="S14" s="7" t="s">
        <v>5457</v>
      </c>
      <c r="T14" s="1788"/>
      <c r="U14" s="1791"/>
      <c r="V14" s="1794"/>
    </row>
    <row r="15" spans="1:22" ht="12" customHeight="1">
      <c r="A15" s="1040" t="str">
        <f t="shared" si="1"/>
        <v>3002</v>
      </c>
      <c r="B15" s="1053" t="s">
        <v>6039</v>
      </c>
      <c r="C15" s="1064"/>
      <c r="D15" s="2">
        <v>2</v>
      </c>
      <c r="E15" s="4" t="s">
        <v>9</v>
      </c>
      <c r="F15" s="1065" t="e">
        <f>IF(E15="","$",VLOOKUP(E15,'結果(小)'!$B$2:$F$1295,5,FALSE))</f>
        <v>#DIV/0!</v>
      </c>
      <c r="G15" s="1" t="s">
        <v>12</v>
      </c>
      <c r="H15" s="6">
        <v>62</v>
      </c>
      <c r="I15" s="2" t="s">
        <v>5</v>
      </c>
      <c r="J15" s="1" t="s">
        <v>15273</v>
      </c>
      <c r="K15" s="3"/>
      <c r="L15" s="1"/>
      <c r="M15" s="1"/>
      <c r="N15" s="4" t="s">
        <v>16120</v>
      </c>
      <c r="O15" s="1" t="s">
        <v>5247</v>
      </c>
      <c r="P15" s="1" t="s">
        <v>14</v>
      </c>
      <c r="Q15" s="16">
        <v>3</v>
      </c>
      <c r="R15" s="17">
        <v>3</v>
      </c>
      <c r="S15" s="3" t="s">
        <v>5457</v>
      </c>
      <c r="T15" s="1788"/>
      <c r="U15" s="1791"/>
      <c r="V15" s="1794"/>
    </row>
    <row r="16" spans="1:22" ht="12" customHeight="1">
      <c r="A16" s="1040" t="str">
        <f t="shared" si="1"/>
        <v>3002</v>
      </c>
      <c r="B16" s="1053" t="s">
        <v>6040</v>
      </c>
      <c r="C16" s="1064"/>
      <c r="D16" s="2">
        <v>2</v>
      </c>
      <c r="E16" s="4" t="s">
        <v>27</v>
      </c>
      <c r="F16" s="1065" t="e">
        <f>IF(E16="","$",VLOOKUP(E16,'結果(小)'!$B$2:$F$1295,5,FALSE))</f>
        <v>#DIV/0!</v>
      </c>
      <c r="G16" s="1" t="s">
        <v>29</v>
      </c>
      <c r="H16" s="6">
        <v>52</v>
      </c>
      <c r="I16" s="2" t="s">
        <v>5</v>
      </c>
      <c r="J16" s="1" t="s">
        <v>15273</v>
      </c>
      <c r="K16" s="3"/>
      <c r="L16" s="1"/>
      <c r="M16" s="1"/>
      <c r="N16" s="4" t="s">
        <v>16120</v>
      </c>
      <c r="O16" s="1" t="s">
        <v>30</v>
      </c>
      <c r="P16" s="1" t="s">
        <v>6</v>
      </c>
      <c r="Q16" s="16"/>
      <c r="R16" s="17"/>
      <c r="S16" s="3" t="s">
        <v>5457</v>
      </c>
      <c r="T16" s="1788"/>
      <c r="U16" s="1791"/>
      <c r="V16" s="1794"/>
    </row>
    <row r="17" spans="1:22" ht="12" customHeight="1">
      <c r="A17" s="1040" t="str">
        <f t="shared" si="1"/>
        <v>3002</v>
      </c>
      <c r="B17" s="1053" t="s">
        <v>15262</v>
      </c>
      <c r="C17" s="1064"/>
      <c r="D17" s="2">
        <v>2</v>
      </c>
      <c r="E17" s="4" t="s">
        <v>36</v>
      </c>
      <c r="F17" s="1065" t="e">
        <f>IF(E17="","$",VLOOKUP(E17,'結果(小)'!$B$2:$F$1295,5,FALSE))</f>
        <v>#DIV/0!</v>
      </c>
      <c r="G17" s="5" t="s">
        <v>5268</v>
      </c>
      <c r="H17" s="6">
        <v>51</v>
      </c>
      <c r="I17" s="6" t="s">
        <v>5</v>
      </c>
      <c r="J17" s="5" t="s">
        <v>15273</v>
      </c>
      <c r="K17" s="7"/>
      <c r="L17" s="5"/>
      <c r="M17" s="19"/>
      <c r="N17" s="8" t="s">
        <v>16120</v>
      </c>
      <c r="O17" s="5" t="s">
        <v>30</v>
      </c>
      <c r="P17" s="5" t="s">
        <v>6</v>
      </c>
      <c r="Q17" s="9"/>
      <c r="R17" s="10"/>
      <c r="S17" s="7" t="s">
        <v>5457</v>
      </c>
      <c r="T17" s="1788"/>
      <c r="U17" s="1791"/>
      <c r="V17" s="1794"/>
    </row>
    <row r="18" spans="1:22" ht="12" customHeight="1">
      <c r="A18" s="1040" t="str">
        <f t="shared" si="1"/>
        <v>3002</v>
      </c>
      <c r="B18" s="1053" t="s">
        <v>15263</v>
      </c>
      <c r="C18" s="1064"/>
      <c r="D18" s="2">
        <v>2</v>
      </c>
      <c r="E18" s="4" t="s">
        <v>40</v>
      </c>
      <c r="F18" s="1065" t="e">
        <f>IF(E18="","$",VLOOKUP(E18,'結果(小)'!$B$2:$F$1295,5,FALSE))</f>
        <v>#DIV/0!</v>
      </c>
      <c r="G18" s="5" t="s">
        <v>916</v>
      </c>
      <c r="H18" s="6">
        <v>68</v>
      </c>
      <c r="I18" s="6" t="s">
        <v>5</v>
      </c>
      <c r="J18" s="5" t="s">
        <v>15273</v>
      </c>
      <c r="K18" s="7" t="s">
        <v>1321</v>
      </c>
      <c r="L18" s="5"/>
      <c r="M18" s="19"/>
      <c r="N18" s="23" t="s">
        <v>16120</v>
      </c>
      <c r="O18" s="5" t="s">
        <v>48</v>
      </c>
      <c r="P18" s="5" t="s">
        <v>25</v>
      </c>
      <c r="Q18" s="9">
        <v>10</v>
      </c>
      <c r="R18" s="10">
        <v>9</v>
      </c>
      <c r="S18" s="7" t="s">
        <v>5457</v>
      </c>
      <c r="T18" s="1788"/>
      <c r="U18" s="1791"/>
      <c r="V18" s="1794"/>
    </row>
    <row r="19" spans="1:22" ht="12" customHeight="1">
      <c r="A19" s="1040" t="str">
        <f t="shared" si="1"/>
        <v>3002</v>
      </c>
      <c r="B19" s="1053" t="s">
        <v>15264</v>
      </c>
      <c r="C19" s="1064"/>
      <c r="D19" s="2">
        <v>2</v>
      </c>
      <c r="E19" s="4" t="s">
        <v>57</v>
      </c>
      <c r="F19" s="1065" t="e">
        <f>IF(E19="","$",VLOOKUP(E19,'結果(小)'!$B$2:$F$1295,5,FALSE))</f>
        <v>#DIV/0!</v>
      </c>
      <c r="G19" s="5" t="s">
        <v>872</v>
      </c>
      <c r="H19" s="6">
        <v>66</v>
      </c>
      <c r="I19" s="6" t="s">
        <v>5</v>
      </c>
      <c r="J19" s="6" t="s">
        <v>15273</v>
      </c>
      <c r="K19" s="7" t="s">
        <v>1308</v>
      </c>
      <c r="L19" s="5"/>
      <c r="M19" s="19"/>
      <c r="N19" s="8" t="s">
        <v>16120</v>
      </c>
      <c r="O19" s="5" t="s">
        <v>13</v>
      </c>
      <c r="P19" s="5" t="s">
        <v>25</v>
      </c>
      <c r="Q19" s="9">
        <v>5</v>
      </c>
      <c r="R19" s="10">
        <v>5</v>
      </c>
      <c r="S19" s="7" t="s">
        <v>5457</v>
      </c>
      <c r="T19" s="1788"/>
      <c r="U19" s="1791"/>
      <c r="V19" s="1794"/>
    </row>
    <row r="20" spans="1:22" ht="12" customHeight="1">
      <c r="A20" s="1040" t="str">
        <f t="shared" si="1"/>
        <v>3002</v>
      </c>
      <c r="B20" s="1053" t="s">
        <v>15265</v>
      </c>
      <c r="C20" s="1064"/>
      <c r="D20" s="2">
        <v>2</v>
      </c>
      <c r="E20" s="4" t="s">
        <v>62</v>
      </c>
      <c r="F20" s="1065" t="e">
        <f>IF(E20="","$",VLOOKUP(E20,'結果(小)'!$B$2:$F$1295,5,FALSE))</f>
        <v>#DIV/0!</v>
      </c>
      <c r="G20" s="5" t="s">
        <v>847</v>
      </c>
      <c r="H20" s="6">
        <v>64</v>
      </c>
      <c r="I20" s="5" t="s">
        <v>5</v>
      </c>
      <c r="J20" s="5" t="s">
        <v>15273</v>
      </c>
      <c r="K20" s="7" t="s">
        <v>1323</v>
      </c>
      <c r="L20" s="5"/>
      <c r="M20" s="19"/>
      <c r="N20" s="4" t="s">
        <v>16120</v>
      </c>
      <c r="O20" s="5" t="s">
        <v>65</v>
      </c>
      <c r="P20" s="5" t="s">
        <v>25</v>
      </c>
      <c r="Q20" s="9">
        <v>1</v>
      </c>
      <c r="R20" s="10">
        <v>1</v>
      </c>
      <c r="S20" s="7" t="s">
        <v>5457</v>
      </c>
      <c r="T20" s="1788"/>
      <c r="U20" s="1791"/>
      <c r="V20" s="1794"/>
    </row>
    <row r="21" spans="1:22" ht="12" customHeight="1">
      <c r="A21" s="1040" t="str">
        <f t="shared" si="1"/>
        <v>3002</v>
      </c>
      <c r="B21" s="1053" t="s">
        <v>15266</v>
      </c>
      <c r="C21" s="1064"/>
      <c r="D21" s="2">
        <v>2</v>
      </c>
      <c r="E21" s="4" t="s">
        <v>71</v>
      </c>
      <c r="F21" s="1065" t="e">
        <f>IF(E21="","$",VLOOKUP(E21,'結果(小)'!$B$2:$F$1295,5,FALSE))</f>
        <v>#DIV/0!</v>
      </c>
      <c r="G21" s="1" t="s">
        <v>73</v>
      </c>
      <c r="H21" s="6">
        <v>46</v>
      </c>
      <c r="I21" s="2" t="s">
        <v>5</v>
      </c>
      <c r="J21" s="1" t="s">
        <v>15273</v>
      </c>
      <c r="K21" s="3"/>
      <c r="L21" s="1"/>
      <c r="M21" s="1"/>
      <c r="N21" s="4" t="s">
        <v>16120</v>
      </c>
      <c r="O21" s="1" t="s">
        <v>30</v>
      </c>
      <c r="P21" s="1" t="s">
        <v>6</v>
      </c>
      <c r="Q21" s="16"/>
      <c r="R21" s="17"/>
      <c r="S21" s="3" t="s">
        <v>5457</v>
      </c>
      <c r="T21" s="1788"/>
      <c r="U21" s="1791"/>
      <c r="V21" s="1794"/>
    </row>
    <row r="22" spans="1:22" ht="12" customHeight="1">
      <c r="A22" s="1040" t="str">
        <f t="shared" si="1"/>
        <v>3002</v>
      </c>
      <c r="B22" s="1053" t="s">
        <v>15267</v>
      </c>
      <c r="C22" s="1064"/>
      <c r="D22" s="2">
        <v>2</v>
      </c>
      <c r="E22" s="4" t="s">
        <v>80</v>
      </c>
      <c r="F22" s="1065" t="e">
        <f>IF(E22="","$",VLOOKUP(E22,'結果(小)'!$B$2:$F$1295,5,FALSE))</f>
        <v>#DIV/0!</v>
      </c>
      <c r="G22" s="1" t="s">
        <v>82</v>
      </c>
      <c r="H22" s="6">
        <v>40</v>
      </c>
      <c r="I22" s="2" t="s">
        <v>5</v>
      </c>
      <c r="J22" s="1" t="s">
        <v>15273</v>
      </c>
      <c r="K22" s="3"/>
      <c r="L22" s="1"/>
      <c r="M22" s="1"/>
      <c r="N22" s="8" t="s">
        <v>16120</v>
      </c>
      <c r="O22" s="1" t="s">
        <v>30</v>
      </c>
      <c r="P22" s="1" t="s">
        <v>6</v>
      </c>
      <c r="Q22" s="16"/>
      <c r="R22" s="17"/>
      <c r="S22" s="3" t="s">
        <v>5457</v>
      </c>
      <c r="T22" s="1788"/>
      <c r="U22" s="1791"/>
      <c r="V22" s="1794"/>
    </row>
    <row r="23" spans="1:22" ht="12" customHeight="1">
      <c r="A23" s="1040" t="str">
        <f t="shared" si="1"/>
        <v>3002</v>
      </c>
      <c r="B23" s="1053" t="s">
        <v>15268</v>
      </c>
      <c r="C23" s="1064"/>
      <c r="D23" s="2">
        <v>2</v>
      </c>
      <c r="E23" s="4" t="s">
        <v>99</v>
      </c>
      <c r="F23" s="1065" t="str">
        <f>IF(E23="","$",VLOOKUP(E23,'結果(小)'!$B$2:$F$1295,5,FALSE))</f>
        <v>$</v>
      </c>
      <c r="G23" s="1" t="s">
        <v>101</v>
      </c>
      <c r="H23" s="6">
        <v>53</v>
      </c>
      <c r="I23" s="2" t="s">
        <v>19</v>
      </c>
      <c r="J23" s="1" t="s">
        <v>15273</v>
      </c>
      <c r="K23" s="3"/>
      <c r="L23" s="1"/>
      <c r="M23" s="1"/>
      <c r="N23" s="23" t="s">
        <v>16120</v>
      </c>
      <c r="O23" s="1" t="s">
        <v>65</v>
      </c>
      <c r="P23" s="1" t="s">
        <v>6</v>
      </c>
      <c r="Q23" s="16"/>
      <c r="R23" s="17"/>
      <c r="S23" s="3" t="s">
        <v>5457</v>
      </c>
      <c r="T23" s="1788"/>
      <c r="U23" s="1791"/>
      <c r="V23" s="1794"/>
    </row>
    <row r="24" spans="1:22" ht="12" customHeight="1">
      <c r="A24" s="1040" t="str">
        <f t="shared" si="1"/>
        <v>3002</v>
      </c>
      <c r="B24" s="1053" t="s">
        <v>15269</v>
      </c>
      <c r="C24" s="1064"/>
      <c r="D24" s="2">
        <v>2</v>
      </c>
      <c r="E24" s="4" t="s">
        <v>110</v>
      </c>
      <c r="F24" s="1065" t="e">
        <f>IF(E24="","$",VLOOKUP(E24,'結果(小)'!$B$2:$F$1295,5,FALSE))</f>
        <v>#DIV/0!</v>
      </c>
      <c r="G24" s="1" t="s">
        <v>933</v>
      </c>
      <c r="H24" s="6">
        <v>42</v>
      </c>
      <c r="I24" s="2" t="s">
        <v>5</v>
      </c>
      <c r="J24" s="1" t="s">
        <v>15273</v>
      </c>
      <c r="K24" s="3"/>
      <c r="L24" s="1"/>
      <c r="M24" s="1"/>
      <c r="N24" s="8" t="s">
        <v>16120</v>
      </c>
      <c r="O24" s="1" t="s">
        <v>934</v>
      </c>
      <c r="P24" s="1" t="s">
        <v>6</v>
      </c>
      <c r="Q24" s="16"/>
      <c r="R24" s="17"/>
      <c r="S24" s="3" t="s">
        <v>5457</v>
      </c>
      <c r="T24" s="1788"/>
      <c r="U24" s="1791"/>
      <c r="V24" s="1794"/>
    </row>
    <row r="25" spans="1:22" ht="12" customHeight="1">
      <c r="A25" s="1040" t="str">
        <f t="shared" si="1"/>
        <v>3002</v>
      </c>
      <c r="B25" s="1053" t="s">
        <v>15270</v>
      </c>
      <c r="C25" s="1064"/>
      <c r="D25" s="2">
        <v>13</v>
      </c>
      <c r="E25" s="2"/>
      <c r="F25" s="1065" t="str">
        <f>IF(E25="","$",VLOOKUP(E25,'結果(小)'!$B$2:$F$1295,5,FALSE))</f>
        <v>$</v>
      </c>
      <c r="G25" s="2" t="s">
        <v>6041</v>
      </c>
      <c r="H25" s="6">
        <v>63</v>
      </c>
      <c r="I25" s="2" t="s">
        <v>5</v>
      </c>
      <c r="J25" s="2" t="s">
        <v>6067</v>
      </c>
      <c r="K25" s="22"/>
      <c r="L25" s="2"/>
      <c r="M25" s="2"/>
      <c r="N25" s="4" t="s">
        <v>16120</v>
      </c>
      <c r="O25" s="2" t="s">
        <v>5247</v>
      </c>
      <c r="P25" s="2" t="s">
        <v>6</v>
      </c>
      <c r="Q25" s="24"/>
      <c r="R25" s="25"/>
      <c r="S25" s="22"/>
      <c r="T25" s="1788"/>
      <c r="U25" s="1791"/>
      <c r="V25" s="1794"/>
    </row>
    <row r="26" spans="1:22" ht="12" customHeight="1">
      <c r="A26" s="1040" t="str">
        <f t="shared" si="1"/>
        <v>3002</v>
      </c>
      <c r="B26" s="1053" t="s">
        <v>15271</v>
      </c>
      <c r="C26" s="1064"/>
      <c r="D26" s="2">
        <v>14</v>
      </c>
      <c r="E26" s="2"/>
      <c r="F26" s="1065" t="str">
        <f>IF(E26="","$",VLOOKUP(E26,'結果(小)'!$B$2:$F$1295,5,FALSE))</f>
        <v>$</v>
      </c>
      <c r="G26" s="2" t="s">
        <v>6045</v>
      </c>
      <c r="H26" s="6">
        <v>38</v>
      </c>
      <c r="I26" s="2" t="s">
        <v>5</v>
      </c>
      <c r="J26" s="2" t="s">
        <v>6067</v>
      </c>
      <c r="K26" s="22"/>
      <c r="L26" s="2"/>
      <c r="M26" s="2"/>
      <c r="N26" s="4" t="s">
        <v>16120</v>
      </c>
      <c r="O26" s="2" t="s">
        <v>5247</v>
      </c>
      <c r="P26" s="2" t="s">
        <v>6</v>
      </c>
      <c r="Q26" s="24"/>
      <c r="R26" s="25"/>
      <c r="S26" s="22"/>
      <c r="T26" s="1788"/>
      <c r="U26" s="1791"/>
      <c r="V26" s="1794"/>
    </row>
    <row r="27" spans="1:22" ht="12" customHeight="1" thickBot="1">
      <c r="A27" s="916" t="str">
        <f t="shared" si="1"/>
        <v>3002</v>
      </c>
      <c r="B27" s="1074" t="s">
        <v>15272</v>
      </c>
      <c r="C27" s="1075"/>
      <c r="D27" s="702">
        <v>15</v>
      </c>
      <c r="E27" s="702"/>
      <c r="F27" s="1071" t="str">
        <f>IF(E27="","$",VLOOKUP(E27,'結果(小)'!$B$2:$F$1295,5,FALSE))</f>
        <v>$</v>
      </c>
      <c r="G27" s="702" t="s">
        <v>6048</v>
      </c>
      <c r="H27" s="701">
        <v>43</v>
      </c>
      <c r="I27" s="702" t="s">
        <v>19</v>
      </c>
      <c r="J27" s="702" t="s">
        <v>6067</v>
      </c>
      <c r="K27" s="720"/>
      <c r="L27" s="702"/>
      <c r="M27" s="702"/>
      <c r="N27" s="704" t="s">
        <v>16120</v>
      </c>
      <c r="O27" s="702" t="s">
        <v>5247</v>
      </c>
      <c r="P27" s="702" t="s">
        <v>6</v>
      </c>
      <c r="Q27" s="721"/>
      <c r="R27" s="722"/>
      <c r="S27" s="720"/>
      <c r="T27" s="1789"/>
      <c r="U27" s="1792"/>
      <c r="V27" s="1795"/>
    </row>
    <row r="28" spans="1:22" ht="12" customHeight="1" thickBot="1">
      <c r="A28" s="658" t="str">
        <f t="shared" si="1"/>
        <v>3003</v>
      </c>
      <c r="B28" s="1076" t="s">
        <v>16140</v>
      </c>
      <c r="C28" s="1077"/>
      <c r="D28" s="660">
        <v>1</v>
      </c>
      <c r="E28" s="727" t="s">
        <v>72</v>
      </c>
      <c r="F28" s="1078" t="e">
        <f>IF(E28="","$",VLOOKUP(E28,'結果(小)'!$B$2:$F$1295,5,FALSE))</f>
        <v>#DIV/0!</v>
      </c>
      <c r="G28" s="659" t="s">
        <v>5070</v>
      </c>
      <c r="H28" s="728">
        <v>26</v>
      </c>
      <c r="I28" s="660" t="s">
        <v>19</v>
      </c>
      <c r="J28" s="659" t="s">
        <v>15273</v>
      </c>
      <c r="K28" s="729"/>
      <c r="L28" s="659"/>
      <c r="M28" s="659"/>
      <c r="N28" s="727" t="s">
        <v>16125</v>
      </c>
      <c r="O28" s="659"/>
      <c r="P28" s="659" t="s">
        <v>6</v>
      </c>
      <c r="Q28" s="730"/>
      <c r="R28" s="731"/>
      <c r="S28" s="729" t="s">
        <v>5561</v>
      </c>
      <c r="T28" s="1079"/>
      <c r="U28" s="1152"/>
      <c r="V28" s="1080" t="e">
        <f>U28/SUM(U2:U49)</f>
        <v>#DIV/0!</v>
      </c>
    </row>
    <row r="29" spans="1:22" ht="12" customHeight="1">
      <c r="A29" s="1038" t="str">
        <f t="shared" si="1"/>
        <v>3004</v>
      </c>
      <c r="B29" s="1081" t="s">
        <v>2084</v>
      </c>
      <c r="C29" s="1073"/>
      <c r="D29" s="696">
        <v>1</v>
      </c>
      <c r="E29" s="696"/>
      <c r="F29" s="1068" t="str">
        <f>IF(E29="","$",VLOOKUP(E29,'結果(小)'!$B$2:$F$1295,5,FALSE))</f>
        <v>$</v>
      </c>
      <c r="G29" s="690" t="s">
        <v>2076</v>
      </c>
      <c r="H29" s="690">
        <v>52</v>
      </c>
      <c r="I29" s="690" t="s">
        <v>5</v>
      </c>
      <c r="J29" s="696" t="s">
        <v>6067</v>
      </c>
      <c r="K29" s="735"/>
      <c r="L29" s="690"/>
      <c r="M29" s="736"/>
      <c r="N29" s="692" t="s">
        <v>16118</v>
      </c>
      <c r="O29" s="690"/>
      <c r="P29" s="690" t="s">
        <v>6</v>
      </c>
      <c r="Q29" s="737"/>
      <c r="R29" s="738"/>
      <c r="S29" s="735"/>
      <c r="T29" s="1763"/>
      <c r="U29" s="1748"/>
      <c r="V29" s="1751" t="e">
        <f>U29/SUM(U2:U49)</f>
        <v>#DIV/0!</v>
      </c>
    </row>
    <row r="30" spans="1:22" ht="12" customHeight="1" thickBot="1">
      <c r="A30" s="916" t="str">
        <f t="shared" si="1"/>
        <v>3004</v>
      </c>
      <c r="B30" s="1082" t="s">
        <v>5890</v>
      </c>
      <c r="C30" s="1075"/>
      <c r="D30" s="702">
        <v>2</v>
      </c>
      <c r="E30" s="702"/>
      <c r="F30" s="1071" t="str">
        <f>IF(E30="","$",VLOOKUP(E30,'結果(小)'!$B$2:$F$1295,5,FALSE))</f>
        <v>$</v>
      </c>
      <c r="G30" s="701" t="s">
        <v>5891</v>
      </c>
      <c r="H30" s="701">
        <v>48</v>
      </c>
      <c r="I30" s="701" t="s">
        <v>5</v>
      </c>
      <c r="J30" s="702" t="s">
        <v>6067</v>
      </c>
      <c r="K30" s="740"/>
      <c r="L30" s="701"/>
      <c r="M30" s="741"/>
      <c r="N30" s="704" t="s">
        <v>16118</v>
      </c>
      <c r="O30" s="701"/>
      <c r="P30" s="701" t="s">
        <v>6</v>
      </c>
      <c r="Q30" s="742"/>
      <c r="R30" s="743"/>
      <c r="S30" s="740"/>
      <c r="T30" s="1765"/>
      <c r="U30" s="1750"/>
      <c r="V30" s="1753"/>
    </row>
    <row r="31" spans="1:22" ht="12" customHeight="1">
      <c r="A31" s="1038" t="str">
        <f t="shared" si="1"/>
        <v>3005</v>
      </c>
      <c r="B31" s="1083" t="s">
        <v>16137</v>
      </c>
      <c r="C31" s="1073"/>
      <c r="D31" s="696">
        <v>1</v>
      </c>
      <c r="E31" s="688" t="s">
        <v>54</v>
      </c>
      <c r="F31" s="1068" t="e">
        <f>IF(E31="","$",VLOOKUP(E31,'結果(小)'!$B$2:$F$1295,5,FALSE))</f>
        <v>#DIV/0!</v>
      </c>
      <c r="G31" s="687" t="s">
        <v>4989</v>
      </c>
      <c r="H31" s="690">
        <v>35</v>
      </c>
      <c r="I31" s="696" t="s">
        <v>5</v>
      </c>
      <c r="J31" s="687" t="s">
        <v>15273</v>
      </c>
      <c r="K31" s="747"/>
      <c r="L31" s="687"/>
      <c r="M31" s="687"/>
      <c r="N31" s="688" t="s">
        <v>16116</v>
      </c>
      <c r="O31" s="687" t="s">
        <v>4997</v>
      </c>
      <c r="P31" s="687" t="s">
        <v>6</v>
      </c>
      <c r="Q31" s="748"/>
      <c r="R31" s="749"/>
      <c r="S31" s="747" t="s">
        <v>469</v>
      </c>
      <c r="T31" s="1766"/>
      <c r="U31" s="1748"/>
      <c r="V31" s="1751" t="e">
        <f>U31/SUM(U2:U49)</f>
        <v>#DIV/0!</v>
      </c>
    </row>
    <row r="32" spans="1:22" ht="12" customHeight="1">
      <c r="A32" s="1040" t="str">
        <f t="shared" si="1"/>
        <v>3005</v>
      </c>
      <c r="B32" s="1056" t="s">
        <v>16138</v>
      </c>
      <c r="C32" s="1064"/>
      <c r="D32" s="2">
        <v>1</v>
      </c>
      <c r="E32" s="4" t="s">
        <v>10</v>
      </c>
      <c r="F32" s="1065" t="e">
        <f>IF(E32="","$",VLOOKUP(E32,'結果(小)'!$B$2:$F$1295,5,FALSE))</f>
        <v>#DIV/0!</v>
      </c>
      <c r="G32" s="1" t="s">
        <v>4991</v>
      </c>
      <c r="H32" s="6">
        <v>47</v>
      </c>
      <c r="I32" s="2" t="s">
        <v>19</v>
      </c>
      <c r="J32" s="1" t="s">
        <v>15273</v>
      </c>
      <c r="K32" s="3"/>
      <c r="L32" s="1"/>
      <c r="M32" s="1"/>
      <c r="N32" s="4" t="s">
        <v>16116</v>
      </c>
      <c r="O32" s="1" t="s">
        <v>4997</v>
      </c>
      <c r="P32" s="1" t="s">
        <v>6</v>
      </c>
      <c r="Q32" s="16"/>
      <c r="R32" s="17"/>
      <c r="S32" s="3"/>
      <c r="T32" s="1767"/>
      <c r="U32" s="1749"/>
      <c r="V32" s="1752"/>
    </row>
    <row r="33" spans="1:22" ht="12" customHeight="1">
      <c r="A33" s="1040" t="str">
        <f t="shared" si="1"/>
        <v>3005</v>
      </c>
      <c r="B33" s="1056" t="s">
        <v>16139</v>
      </c>
      <c r="C33" s="1064"/>
      <c r="D33" s="2">
        <v>1</v>
      </c>
      <c r="E33" s="4" t="s">
        <v>28</v>
      </c>
      <c r="F33" s="1065" t="e">
        <f>IF(E33="","$",VLOOKUP(E33,'結果(小)'!$B$2:$F$1295,5,FALSE))</f>
        <v>#DIV/0!</v>
      </c>
      <c r="G33" s="1" t="s">
        <v>6138</v>
      </c>
      <c r="H33" s="6">
        <v>42</v>
      </c>
      <c r="I33" s="2" t="s">
        <v>5</v>
      </c>
      <c r="J33" s="1" t="s">
        <v>15273</v>
      </c>
      <c r="K33" s="3"/>
      <c r="L33" s="1"/>
      <c r="M33" s="1"/>
      <c r="N33" s="4" t="s">
        <v>16116</v>
      </c>
      <c r="O33" s="1" t="s">
        <v>4997</v>
      </c>
      <c r="P33" s="1" t="s">
        <v>6</v>
      </c>
      <c r="Q33" s="16"/>
      <c r="R33" s="17"/>
      <c r="S33" s="3" t="s">
        <v>469</v>
      </c>
      <c r="T33" s="1767"/>
      <c r="U33" s="1749"/>
      <c r="V33" s="1752"/>
    </row>
    <row r="34" spans="1:22" ht="12" customHeight="1" thickBot="1">
      <c r="A34" s="916" t="str">
        <f t="shared" si="1"/>
        <v>3005</v>
      </c>
      <c r="B34" s="1084" t="s">
        <v>15662</v>
      </c>
      <c r="C34" s="1075"/>
      <c r="D34" s="702">
        <v>4</v>
      </c>
      <c r="E34" s="702"/>
      <c r="F34" s="1071" t="str">
        <f>IF(E34="","$",VLOOKUP(E34,'結果(小)'!$B$2:$F$1295,5,FALSE))</f>
        <v>$</v>
      </c>
      <c r="G34" s="701" t="s">
        <v>15947</v>
      </c>
      <c r="H34" s="701">
        <v>35</v>
      </c>
      <c r="I34" s="701" t="s">
        <v>5</v>
      </c>
      <c r="J34" s="702" t="s">
        <v>6067</v>
      </c>
      <c r="K34" s="740"/>
      <c r="L34" s="701"/>
      <c r="M34" s="741"/>
      <c r="N34" s="704" t="s">
        <v>16130</v>
      </c>
      <c r="O34" s="701" t="s">
        <v>4993</v>
      </c>
      <c r="P34" s="701" t="s">
        <v>6</v>
      </c>
      <c r="Q34" s="742"/>
      <c r="R34" s="743"/>
      <c r="S34" s="740"/>
      <c r="T34" s="1768"/>
      <c r="U34" s="1750"/>
      <c r="V34" s="1753"/>
    </row>
    <row r="35" spans="1:22" ht="12" customHeight="1">
      <c r="A35" s="1038" t="str">
        <f t="shared" si="1"/>
        <v>3006</v>
      </c>
      <c r="B35" s="1085" t="s">
        <v>16141</v>
      </c>
      <c r="C35" s="1073"/>
      <c r="D35" s="696">
        <v>1</v>
      </c>
      <c r="E35" s="688" t="s">
        <v>11</v>
      </c>
      <c r="F35" s="1068" t="e">
        <f>IF(E35="","$",VLOOKUP(E35,'結果(小)'!$B$2:$F$1295,5,FALSE))</f>
        <v>#DIV/0!</v>
      </c>
      <c r="G35" s="687" t="s">
        <v>4588</v>
      </c>
      <c r="H35" s="690">
        <v>42</v>
      </c>
      <c r="I35" s="696" t="s">
        <v>5</v>
      </c>
      <c r="J35" s="687" t="s">
        <v>15273</v>
      </c>
      <c r="K35" s="747"/>
      <c r="L35" s="687"/>
      <c r="M35" s="687"/>
      <c r="N35" s="688" t="s">
        <v>16128</v>
      </c>
      <c r="O35" s="687"/>
      <c r="P35" s="687" t="s">
        <v>6</v>
      </c>
      <c r="Q35" s="748"/>
      <c r="R35" s="749"/>
      <c r="S35" s="747"/>
      <c r="T35" s="1757"/>
      <c r="U35" s="1748"/>
      <c r="V35" s="1751" t="e">
        <f>U35/SUM(U2:U49)</f>
        <v>#DIV/0!</v>
      </c>
    </row>
    <row r="36" spans="1:22" ht="12" customHeight="1">
      <c r="A36" s="1040" t="str">
        <f t="shared" si="1"/>
        <v>3006</v>
      </c>
      <c r="B36" s="1057" t="s">
        <v>16142</v>
      </c>
      <c r="C36" s="1064"/>
      <c r="D36" s="2">
        <v>1</v>
      </c>
      <c r="E36" s="4" t="s">
        <v>41</v>
      </c>
      <c r="F36" s="1065" t="e">
        <f>IF(E36="","$",VLOOKUP(E36,'結果(小)'!$B$2:$F$1295,5,FALSE))</f>
        <v>#DIV/0!</v>
      </c>
      <c r="G36" s="1" t="s">
        <v>49</v>
      </c>
      <c r="H36" s="6">
        <v>49</v>
      </c>
      <c r="I36" s="2" t="s">
        <v>5</v>
      </c>
      <c r="J36" s="1" t="s">
        <v>15273</v>
      </c>
      <c r="K36" s="3"/>
      <c r="L36" s="1"/>
      <c r="M36" s="1"/>
      <c r="N36" s="4" t="s">
        <v>16128</v>
      </c>
      <c r="O36" s="1"/>
      <c r="P36" s="1" t="s">
        <v>6</v>
      </c>
      <c r="Q36" s="16"/>
      <c r="R36" s="17"/>
      <c r="S36" s="3" t="s">
        <v>6031</v>
      </c>
      <c r="T36" s="1758"/>
      <c r="U36" s="1749"/>
      <c r="V36" s="1752"/>
    </row>
    <row r="37" spans="1:22" ht="12" customHeight="1" thickBot="1">
      <c r="A37" s="916" t="str">
        <f t="shared" si="1"/>
        <v>3006</v>
      </c>
      <c r="B37" s="1086" t="s">
        <v>16143</v>
      </c>
      <c r="C37" s="1075"/>
      <c r="D37" s="702">
        <v>1</v>
      </c>
      <c r="E37" s="700" t="s">
        <v>58</v>
      </c>
      <c r="F37" s="1071" t="e">
        <f>IF(E37="","$",VLOOKUP(E37,'結果(小)'!$B$2:$F$1295,5,FALSE))</f>
        <v>#DIV/0!</v>
      </c>
      <c r="G37" s="356" t="s">
        <v>5874</v>
      </c>
      <c r="H37" s="701">
        <v>42</v>
      </c>
      <c r="I37" s="701" t="s">
        <v>5</v>
      </c>
      <c r="J37" s="906" t="s">
        <v>15273</v>
      </c>
      <c r="K37" s="753"/>
      <c r="L37" s="356"/>
      <c r="M37" s="741"/>
      <c r="N37" s="704" t="s">
        <v>16128</v>
      </c>
      <c r="O37" s="356"/>
      <c r="P37" s="356" t="s">
        <v>6</v>
      </c>
      <c r="Q37" s="754"/>
      <c r="R37" s="755"/>
      <c r="S37" s="753" t="s">
        <v>6031</v>
      </c>
      <c r="T37" s="1759"/>
      <c r="U37" s="1750"/>
      <c r="V37" s="1753"/>
    </row>
    <row r="38" spans="1:22" ht="12" customHeight="1">
      <c r="A38" s="1038" t="str">
        <f t="shared" si="1"/>
        <v>3007</v>
      </c>
      <c r="B38" s="1087" t="s">
        <v>5655</v>
      </c>
      <c r="C38" s="1073"/>
      <c r="D38" s="696">
        <v>1</v>
      </c>
      <c r="E38" s="696"/>
      <c r="F38" s="1068" t="str">
        <f>IF(E38="","$",VLOOKUP(E38,'結果(小)'!$B$2:$F$1295,5,FALSE))</f>
        <v>$</v>
      </c>
      <c r="G38" s="696" t="s">
        <v>2081</v>
      </c>
      <c r="H38" s="690">
        <v>41</v>
      </c>
      <c r="I38" s="696" t="s">
        <v>5</v>
      </c>
      <c r="J38" s="696" t="s">
        <v>6067</v>
      </c>
      <c r="K38" s="715"/>
      <c r="L38" s="696"/>
      <c r="M38" s="696"/>
      <c r="N38" s="716" t="s">
        <v>16117</v>
      </c>
      <c r="O38" s="696"/>
      <c r="P38" s="696" t="s">
        <v>6</v>
      </c>
      <c r="Q38" s="717"/>
      <c r="R38" s="718"/>
      <c r="S38" s="715"/>
      <c r="T38" s="1760"/>
      <c r="U38" s="1748"/>
      <c r="V38" s="1751" t="e">
        <f>U38/SUM(U2:U49)</f>
        <v>#DIV/0!</v>
      </c>
    </row>
    <row r="39" spans="1:22" ht="12" customHeight="1" thickBot="1">
      <c r="A39" s="916" t="str">
        <f t="shared" si="1"/>
        <v>3007</v>
      </c>
      <c r="B39" s="1088" t="s">
        <v>16144</v>
      </c>
      <c r="C39" s="1075"/>
      <c r="D39" s="702">
        <v>2</v>
      </c>
      <c r="E39" s="700" t="s">
        <v>4988</v>
      </c>
      <c r="F39" s="1071" t="e">
        <f>IF(E39="","$",VLOOKUP(E39,'結果(小)'!$B$2:$F$1295,5,FALSE))</f>
        <v>#DIV/0!</v>
      </c>
      <c r="G39" s="906" t="s">
        <v>4</v>
      </c>
      <c r="H39" s="701">
        <v>54</v>
      </c>
      <c r="I39" s="702" t="s">
        <v>5</v>
      </c>
      <c r="J39" s="906" t="s">
        <v>15273</v>
      </c>
      <c r="K39" s="703"/>
      <c r="L39" s="906"/>
      <c r="M39" s="906"/>
      <c r="N39" s="700" t="s">
        <v>16117</v>
      </c>
      <c r="O39" s="906"/>
      <c r="P39" s="906" t="s">
        <v>6</v>
      </c>
      <c r="Q39" s="705"/>
      <c r="R39" s="903"/>
      <c r="S39" s="720"/>
      <c r="T39" s="1762"/>
      <c r="U39" s="1750"/>
      <c r="V39" s="1753"/>
    </row>
    <row r="40" spans="1:22" ht="12" customHeight="1" thickBot="1">
      <c r="A40" s="658" t="str">
        <f t="shared" si="1"/>
        <v>3008</v>
      </c>
      <c r="B40" s="1089" t="s">
        <v>5656</v>
      </c>
      <c r="C40" s="1077"/>
      <c r="D40" s="660">
        <v>1</v>
      </c>
      <c r="E40" s="660"/>
      <c r="F40" s="1078" t="str">
        <f>IF(E40="","$",VLOOKUP(E40,'結果(小)'!$B$2:$F$1295,5,FALSE))</f>
        <v>$</v>
      </c>
      <c r="G40" s="660" t="s">
        <v>2313</v>
      </c>
      <c r="H40" s="728">
        <v>56</v>
      </c>
      <c r="I40" s="660" t="s">
        <v>5</v>
      </c>
      <c r="J40" s="660" t="s">
        <v>6067</v>
      </c>
      <c r="K40" s="733"/>
      <c r="L40" s="660"/>
      <c r="M40" s="660"/>
      <c r="N40" s="762" t="s">
        <v>16121</v>
      </c>
      <c r="O40" s="660"/>
      <c r="P40" s="660" t="s">
        <v>6</v>
      </c>
      <c r="Q40" s="763"/>
      <c r="R40" s="764"/>
      <c r="S40" s="733"/>
      <c r="T40" s="1090"/>
      <c r="U40" s="1152"/>
      <c r="V40" s="1080" t="e">
        <f>U40/SUM(U2:U49)</f>
        <v>#DIV/0!</v>
      </c>
    </row>
    <row r="41" spans="1:22" ht="12" customHeight="1">
      <c r="A41" s="1038" t="str">
        <f t="shared" si="1"/>
        <v>3010</v>
      </c>
      <c r="B41" s="1091" t="s">
        <v>16145</v>
      </c>
      <c r="C41" s="1073"/>
      <c r="D41" s="696">
        <v>1</v>
      </c>
      <c r="E41" s="688" t="s">
        <v>5556</v>
      </c>
      <c r="F41" s="1068" t="e">
        <f>IF(E41="","$",VLOOKUP(E41,'結果(小)'!$B$2:$F$1295,5,FALSE))</f>
        <v>#DIV/0!</v>
      </c>
      <c r="G41" s="687" t="s">
        <v>5557</v>
      </c>
      <c r="H41" s="690">
        <v>38</v>
      </c>
      <c r="I41" s="696" t="s">
        <v>5</v>
      </c>
      <c r="J41" s="687" t="s">
        <v>15273</v>
      </c>
      <c r="K41" s="747"/>
      <c r="L41" s="687"/>
      <c r="M41" s="687"/>
      <c r="N41" s="688" t="s">
        <v>16124</v>
      </c>
      <c r="O41" s="687"/>
      <c r="P41" s="687" t="s">
        <v>6</v>
      </c>
      <c r="Q41" s="748"/>
      <c r="R41" s="749"/>
      <c r="S41" s="747" t="s">
        <v>15585</v>
      </c>
      <c r="T41" s="1781"/>
      <c r="U41" s="1748"/>
      <c r="V41" s="1751" t="e">
        <f>U41/SUM(U2:U49)</f>
        <v>#DIV/0!</v>
      </c>
    </row>
    <row r="42" spans="1:22" ht="12" customHeight="1">
      <c r="A42" s="1040" t="str">
        <f t="shared" si="1"/>
        <v>3010</v>
      </c>
      <c r="B42" s="1059" t="s">
        <v>16146</v>
      </c>
      <c r="C42" s="1064"/>
      <c r="D42" s="2">
        <v>1</v>
      </c>
      <c r="E42" s="4" t="s">
        <v>5620</v>
      </c>
      <c r="F42" s="1065" t="e">
        <f>IF(E42="","$",VLOOKUP(E42,'結果(小)'!$B$2:$F$1295,5,FALSE))</f>
        <v>#DIV/0!</v>
      </c>
      <c r="G42" s="1" t="s">
        <v>5563</v>
      </c>
      <c r="H42" s="6">
        <v>53</v>
      </c>
      <c r="I42" s="2" t="s">
        <v>19</v>
      </c>
      <c r="J42" s="1" t="s">
        <v>15273</v>
      </c>
      <c r="K42" s="3"/>
      <c r="L42" s="1"/>
      <c r="M42" s="1"/>
      <c r="N42" s="4" t="s">
        <v>16124</v>
      </c>
      <c r="O42" s="1"/>
      <c r="P42" s="1" t="s">
        <v>6</v>
      </c>
      <c r="Q42" s="16"/>
      <c r="R42" s="17"/>
      <c r="S42" s="3" t="s">
        <v>15585</v>
      </c>
      <c r="T42" s="1782"/>
      <c r="U42" s="1749"/>
      <c r="V42" s="1752"/>
    </row>
    <row r="43" spans="1:22" ht="12" customHeight="1">
      <c r="A43" s="1040" t="str">
        <f t="shared" si="1"/>
        <v>3010</v>
      </c>
      <c r="B43" s="1059" t="s">
        <v>16147</v>
      </c>
      <c r="C43" s="1064"/>
      <c r="D43" s="2">
        <v>1</v>
      </c>
      <c r="E43" s="4" t="s">
        <v>5566</v>
      </c>
      <c r="F43" s="1065" t="e">
        <f>IF(E43="","$",VLOOKUP(E43,'結果(小)'!$B$2:$F$1295,5,FALSE))</f>
        <v>#DIV/0!</v>
      </c>
      <c r="G43" s="1" t="s">
        <v>5567</v>
      </c>
      <c r="H43" s="6">
        <v>53</v>
      </c>
      <c r="I43" s="2" t="s">
        <v>5</v>
      </c>
      <c r="J43" s="1" t="s">
        <v>15273</v>
      </c>
      <c r="K43" s="3"/>
      <c r="L43" s="1"/>
      <c r="M43" s="1"/>
      <c r="N43" s="4" t="s">
        <v>16124</v>
      </c>
      <c r="O43" s="1"/>
      <c r="P43" s="1" t="s">
        <v>6</v>
      </c>
      <c r="Q43" s="16"/>
      <c r="R43" s="17"/>
      <c r="S43" s="3" t="s">
        <v>15585</v>
      </c>
      <c r="T43" s="1782"/>
      <c r="U43" s="1749"/>
      <c r="V43" s="1752"/>
    </row>
    <row r="44" spans="1:22" ht="12" customHeight="1">
      <c r="A44" s="1040" t="str">
        <f t="shared" si="1"/>
        <v>3010</v>
      </c>
      <c r="B44" s="1059" t="s">
        <v>16148</v>
      </c>
      <c r="C44" s="1064"/>
      <c r="D44" s="2">
        <v>1</v>
      </c>
      <c r="E44" s="4" t="s">
        <v>64</v>
      </c>
      <c r="F44" s="1065" t="e">
        <f>IF(E44="","$",VLOOKUP(E44,'結果(小)'!$B$2:$F$1295,5,FALSE))</f>
        <v>#DIV/0!</v>
      </c>
      <c r="G44" s="1" t="s">
        <v>5578</v>
      </c>
      <c r="H44" s="6">
        <v>26</v>
      </c>
      <c r="I44" s="2" t="s">
        <v>19</v>
      </c>
      <c r="J44" s="1" t="s">
        <v>15273</v>
      </c>
      <c r="K44" s="3"/>
      <c r="L44" s="1"/>
      <c r="M44" s="1"/>
      <c r="N44" s="4" t="s">
        <v>16124</v>
      </c>
      <c r="O44" s="1"/>
      <c r="P44" s="1" t="s">
        <v>6</v>
      </c>
      <c r="Q44" s="16"/>
      <c r="R44" s="17"/>
      <c r="S44" s="3" t="s">
        <v>15585</v>
      </c>
      <c r="T44" s="1782"/>
      <c r="U44" s="1749"/>
      <c r="V44" s="1752"/>
    </row>
    <row r="45" spans="1:22" ht="12" customHeight="1">
      <c r="A45" s="1040" t="str">
        <f t="shared" si="1"/>
        <v>3010</v>
      </c>
      <c r="B45" s="1059" t="s">
        <v>16149</v>
      </c>
      <c r="C45" s="1064"/>
      <c r="D45" s="2">
        <v>1</v>
      </c>
      <c r="E45" s="4" t="s">
        <v>93</v>
      </c>
      <c r="F45" s="1065" t="e">
        <f>IF(E45="","$",VLOOKUP(E45,'結果(小)'!$B$2:$F$1295,5,FALSE))</f>
        <v>#DIV/0!</v>
      </c>
      <c r="G45" s="1" t="s">
        <v>5251</v>
      </c>
      <c r="H45" s="6">
        <v>34</v>
      </c>
      <c r="I45" s="2" t="s">
        <v>5</v>
      </c>
      <c r="J45" s="1" t="s">
        <v>15273</v>
      </c>
      <c r="K45" s="3" t="s">
        <v>5252</v>
      </c>
      <c r="L45" s="1"/>
      <c r="M45" s="1"/>
      <c r="N45" s="4" t="s">
        <v>16124</v>
      </c>
      <c r="O45" s="1"/>
      <c r="P45" s="1" t="s">
        <v>25</v>
      </c>
      <c r="Q45" s="16">
        <v>1</v>
      </c>
      <c r="R45" s="17">
        <v>1</v>
      </c>
      <c r="S45" s="3" t="s">
        <v>15585</v>
      </c>
      <c r="T45" s="1782"/>
      <c r="U45" s="1749"/>
      <c r="V45" s="1752"/>
    </row>
    <row r="46" spans="1:22" ht="12" customHeight="1">
      <c r="A46" s="1040" t="str">
        <f t="shared" si="1"/>
        <v>3010</v>
      </c>
      <c r="B46" s="1059" t="s">
        <v>16150</v>
      </c>
      <c r="C46" s="1064"/>
      <c r="D46" s="2">
        <v>1</v>
      </c>
      <c r="E46" s="4" t="s">
        <v>100</v>
      </c>
      <c r="F46" s="1065" t="e">
        <f>IF(E46="","$",VLOOKUP(E46,'結果(小)'!$B$2:$F$1295,5,FALSE))</f>
        <v>#DIV/0!</v>
      </c>
      <c r="G46" s="5" t="s">
        <v>904</v>
      </c>
      <c r="H46" s="6">
        <v>39</v>
      </c>
      <c r="I46" s="5" t="s">
        <v>5</v>
      </c>
      <c r="J46" s="1" t="s">
        <v>15273</v>
      </c>
      <c r="K46" s="7" t="s">
        <v>1326</v>
      </c>
      <c r="L46" s="5"/>
      <c r="M46" s="19"/>
      <c r="N46" s="8" t="s">
        <v>16124</v>
      </c>
      <c r="O46" s="5"/>
      <c r="P46" s="5" t="s">
        <v>25</v>
      </c>
      <c r="Q46" s="9">
        <v>2</v>
      </c>
      <c r="R46" s="10">
        <v>2</v>
      </c>
      <c r="S46" s="3" t="s">
        <v>15585</v>
      </c>
      <c r="T46" s="1782"/>
      <c r="U46" s="1749"/>
      <c r="V46" s="1752"/>
    </row>
    <row r="47" spans="1:22" ht="12" customHeight="1" thickBot="1">
      <c r="A47" s="916" t="str">
        <f t="shared" si="1"/>
        <v>3010</v>
      </c>
      <c r="B47" s="1092" t="s">
        <v>16151</v>
      </c>
      <c r="C47" s="1075"/>
      <c r="D47" s="702">
        <v>1</v>
      </c>
      <c r="E47" s="700" t="s">
        <v>112</v>
      </c>
      <c r="F47" s="1071" t="e">
        <f>IF(E47="","$",VLOOKUP(E47,'結果(小)'!$B$2:$F$1295,5,FALSE))</f>
        <v>#DIV/0!</v>
      </c>
      <c r="G47" s="701" t="s">
        <v>896</v>
      </c>
      <c r="H47" s="701">
        <v>53</v>
      </c>
      <c r="I47" s="701" t="s">
        <v>5</v>
      </c>
      <c r="J47" s="906" t="s">
        <v>15273</v>
      </c>
      <c r="K47" s="740" t="s">
        <v>1327</v>
      </c>
      <c r="L47" s="701"/>
      <c r="M47" s="741"/>
      <c r="N47" s="704" t="s">
        <v>16124</v>
      </c>
      <c r="O47" s="701"/>
      <c r="P47" s="701" t="s">
        <v>25</v>
      </c>
      <c r="Q47" s="742">
        <v>3</v>
      </c>
      <c r="R47" s="743">
        <v>3</v>
      </c>
      <c r="S47" s="740" t="s">
        <v>15585</v>
      </c>
      <c r="T47" s="1783"/>
      <c r="U47" s="1750"/>
      <c r="V47" s="1753"/>
    </row>
    <row r="48" spans="1:22" ht="12" customHeight="1">
      <c r="A48" s="1038" t="str">
        <f t="shared" si="1"/>
        <v>3013</v>
      </c>
      <c r="B48" s="1093" t="s">
        <v>16152</v>
      </c>
      <c r="C48" s="1073"/>
      <c r="D48" s="696">
        <v>1</v>
      </c>
      <c r="E48" s="696"/>
      <c r="F48" s="1068" t="str">
        <f>IF(E48="","$",VLOOKUP(E48,'結果(小)'!$B$2:$F$1295,5,FALSE))</f>
        <v>$</v>
      </c>
      <c r="G48" s="696" t="s">
        <v>4599</v>
      </c>
      <c r="H48" s="690">
        <v>41</v>
      </c>
      <c r="I48" s="696" t="s">
        <v>5</v>
      </c>
      <c r="J48" s="696" t="s">
        <v>6067</v>
      </c>
      <c r="K48" s="715"/>
      <c r="L48" s="696"/>
      <c r="M48" s="696"/>
      <c r="N48" s="716" t="s">
        <v>16122</v>
      </c>
      <c r="O48" s="696" t="s">
        <v>22</v>
      </c>
      <c r="P48" s="696" t="s">
        <v>6</v>
      </c>
      <c r="Q48" s="717"/>
      <c r="R48" s="718"/>
      <c r="S48" s="715"/>
      <c r="T48" s="1754"/>
      <c r="U48" s="1748"/>
      <c r="V48" s="1751" t="e">
        <f>U48/SUM(U2:U49)</f>
        <v>#DIV/0!</v>
      </c>
    </row>
    <row r="49" spans="1:22" ht="12" customHeight="1" thickBot="1">
      <c r="A49" s="916" t="str">
        <f t="shared" si="1"/>
        <v>3013</v>
      </c>
      <c r="B49" s="1094" t="s">
        <v>16153</v>
      </c>
      <c r="C49" s="1075"/>
      <c r="D49" s="702">
        <v>2</v>
      </c>
      <c r="E49" s="702"/>
      <c r="F49" s="1071" t="str">
        <f>IF(E49="","$",VLOOKUP(E49,'結果(小)'!$B$2:$F$1295,5,FALSE))</f>
        <v>$</v>
      </c>
      <c r="G49" s="702" t="s">
        <v>4601</v>
      </c>
      <c r="H49" s="701">
        <v>42</v>
      </c>
      <c r="I49" s="702" t="s">
        <v>5</v>
      </c>
      <c r="J49" s="702" t="s">
        <v>6067</v>
      </c>
      <c r="K49" s="720"/>
      <c r="L49" s="702"/>
      <c r="M49" s="702"/>
      <c r="N49" s="770" t="s">
        <v>16122</v>
      </c>
      <c r="O49" s="702" t="s">
        <v>22</v>
      </c>
      <c r="P49" s="702" t="s">
        <v>6</v>
      </c>
      <c r="Q49" s="721"/>
      <c r="R49" s="722"/>
      <c r="S49" s="720"/>
      <c r="T49" s="1756"/>
      <c r="U49" s="1750"/>
      <c r="V49" s="1753"/>
    </row>
    <row r="50" spans="1:22" ht="12" customHeight="1">
      <c r="A50" s="1038" t="str">
        <f t="shared" si="1"/>
        <v>3101</v>
      </c>
      <c r="B50" s="1095" t="s">
        <v>15686</v>
      </c>
      <c r="C50" s="1073"/>
      <c r="D50" s="696">
        <v>1</v>
      </c>
      <c r="E50" s="688" t="s">
        <v>116</v>
      </c>
      <c r="F50" s="1068" t="e">
        <f>IF(E50="","$",VLOOKUP(E50,'結果(小)'!$B$2:$F$1295,5,FALSE))</f>
        <v>#DIV/0!</v>
      </c>
      <c r="G50" s="687" t="s">
        <v>4181</v>
      </c>
      <c r="H50" s="690">
        <v>39</v>
      </c>
      <c r="I50" s="696" t="s">
        <v>19</v>
      </c>
      <c r="J50" s="689" t="s">
        <v>15273</v>
      </c>
      <c r="K50" s="747"/>
      <c r="L50" s="687"/>
      <c r="M50" s="687"/>
      <c r="N50" s="692" t="s">
        <v>16127</v>
      </c>
      <c r="O50" s="687" t="s">
        <v>44</v>
      </c>
      <c r="P50" s="687" t="s">
        <v>6</v>
      </c>
      <c r="Q50" s="748"/>
      <c r="R50" s="749"/>
      <c r="S50" s="747"/>
      <c r="T50" s="1777"/>
      <c r="U50" s="1775"/>
      <c r="V50" s="1751" t="e">
        <f>U50/SUM(U50:U141)</f>
        <v>#DIV/0!</v>
      </c>
    </row>
    <row r="51" spans="1:22" ht="12" customHeight="1">
      <c r="A51" s="1040" t="str">
        <f t="shared" si="1"/>
        <v>3101</v>
      </c>
      <c r="B51" s="1061" t="s">
        <v>15687</v>
      </c>
      <c r="C51" s="1064"/>
      <c r="D51" s="2">
        <v>1</v>
      </c>
      <c r="E51" s="4" t="s">
        <v>127</v>
      </c>
      <c r="F51" s="1065" t="e">
        <f>IF(E51="","$",VLOOKUP(E51,'結果(小)'!$B$2:$F$1295,5,FALSE))</f>
        <v>#DIV/0!</v>
      </c>
      <c r="G51" s="1" t="s">
        <v>3502</v>
      </c>
      <c r="H51" s="6">
        <v>57</v>
      </c>
      <c r="I51" s="2" t="s">
        <v>5</v>
      </c>
      <c r="J51" s="5" t="s">
        <v>15273</v>
      </c>
      <c r="K51" s="3"/>
      <c r="L51" s="1"/>
      <c r="M51" s="1"/>
      <c r="N51" s="8" t="s">
        <v>16127</v>
      </c>
      <c r="O51" s="1" t="s">
        <v>44</v>
      </c>
      <c r="P51" s="1" t="s">
        <v>6</v>
      </c>
      <c r="Q51" s="16"/>
      <c r="R51" s="17"/>
      <c r="S51" s="3"/>
      <c r="T51" s="1778"/>
      <c r="U51" s="1780"/>
      <c r="V51" s="1752"/>
    </row>
    <row r="52" spans="1:22" ht="12" customHeight="1">
      <c r="A52" s="1040" t="str">
        <f t="shared" si="1"/>
        <v>3101</v>
      </c>
      <c r="B52" s="1061" t="s">
        <v>15688</v>
      </c>
      <c r="C52" s="1064"/>
      <c r="D52" s="2">
        <v>1</v>
      </c>
      <c r="E52" s="4" t="s">
        <v>152</v>
      </c>
      <c r="F52" s="1065" t="e">
        <f>IF(E52="","$",VLOOKUP(E52,'結果(小)'!$B$2:$F$1295,5,FALSE))</f>
        <v>#DIV/0!</v>
      </c>
      <c r="G52" s="5" t="s">
        <v>918</v>
      </c>
      <c r="H52" s="6">
        <v>43</v>
      </c>
      <c r="I52" s="5" t="s">
        <v>19</v>
      </c>
      <c r="J52" s="5" t="s">
        <v>15273</v>
      </c>
      <c r="K52" s="7" t="s">
        <v>1310</v>
      </c>
      <c r="L52" s="5"/>
      <c r="M52" s="19"/>
      <c r="N52" s="8" t="s">
        <v>16127</v>
      </c>
      <c r="O52" s="5" t="s">
        <v>604</v>
      </c>
      <c r="P52" s="5" t="s">
        <v>25</v>
      </c>
      <c r="Q52" s="9">
        <v>3</v>
      </c>
      <c r="R52" s="10">
        <v>3</v>
      </c>
      <c r="S52" s="7"/>
      <c r="T52" s="1778"/>
      <c r="U52" s="1780"/>
      <c r="V52" s="1752"/>
    </row>
    <row r="53" spans="1:22" ht="12" customHeight="1">
      <c r="A53" s="1040" t="str">
        <f t="shared" si="1"/>
        <v>3101</v>
      </c>
      <c r="B53" s="1061" t="s">
        <v>15689</v>
      </c>
      <c r="C53" s="1064"/>
      <c r="D53" s="2">
        <v>1</v>
      </c>
      <c r="E53" s="4" t="s">
        <v>160</v>
      </c>
      <c r="F53" s="1065" t="e">
        <f>IF(E53="","$",VLOOKUP(E53,'結果(小)'!$B$2:$F$1295,5,FALSE))</f>
        <v>#DIV/0!</v>
      </c>
      <c r="G53" s="5" t="s">
        <v>917</v>
      </c>
      <c r="H53" s="6">
        <v>58</v>
      </c>
      <c r="I53" s="5" t="s">
        <v>5</v>
      </c>
      <c r="J53" s="5" t="s">
        <v>15273</v>
      </c>
      <c r="K53" s="7" t="s">
        <v>1311</v>
      </c>
      <c r="L53" s="5"/>
      <c r="M53" s="19"/>
      <c r="N53" s="4" t="s">
        <v>16127</v>
      </c>
      <c r="O53" s="5" t="s">
        <v>736</v>
      </c>
      <c r="P53" s="5" t="s">
        <v>25</v>
      </c>
      <c r="Q53" s="9">
        <v>3</v>
      </c>
      <c r="R53" s="10">
        <v>3</v>
      </c>
      <c r="S53" s="7" t="s">
        <v>736</v>
      </c>
      <c r="T53" s="1778"/>
      <c r="U53" s="1780"/>
      <c r="V53" s="1752"/>
    </row>
    <row r="54" spans="1:22" ht="12" customHeight="1">
      <c r="A54" s="1040" t="str">
        <f t="shared" si="1"/>
        <v>3101</v>
      </c>
      <c r="B54" s="1061" t="s">
        <v>15690</v>
      </c>
      <c r="C54" s="1064"/>
      <c r="D54" s="2">
        <v>1</v>
      </c>
      <c r="E54" s="4" t="s">
        <v>165</v>
      </c>
      <c r="F54" s="1065" t="e">
        <f>IF(E54="","$",VLOOKUP(E54,'結果(小)'!$B$2:$F$1295,5,FALSE))</f>
        <v>#DIV/0!</v>
      </c>
      <c r="G54" s="5" t="s">
        <v>855</v>
      </c>
      <c r="H54" s="6">
        <v>46</v>
      </c>
      <c r="I54" s="5" t="s">
        <v>5</v>
      </c>
      <c r="J54" s="5" t="s">
        <v>15273</v>
      </c>
      <c r="K54" s="7" t="s">
        <v>1332</v>
      </c>
      <c r="L54" s="5"/>
      <c r="M54" s="19"/>
      <c r="N54" s="8" t="s">
        <v>16126</v>
      </c>
      <c r="O54" s="5" t="s">
        <v>44</v>
      </c>
      <c r="P54" s="5" t="s">
        <v>25</v>
      </c>
      <c r="Q54" s="9">
        <v>2</v>
      </c>
      <c r="R54" s="10">
        <v>2</v>
      </c>
      <c r="S54" s="7" t="s">
        <v>736</v>
      </c>
      <c r="T54" s="1778"/>
      <c r="U54" s="1780"/>
      <c r="V54" s="1752"/>
    </row>
    <row r="55" spans="1:22" ht="12" customHeight="1">
      <c r="A55" s="1040" t="str">
        <f t="shared" si="1"/>
        <v>3101</v>
      </c>
      <c r="B55" s="1061" t="s">
        <v>15691</v>
      </c>
      <c r="C55" s="1064"/>
      <c r="D55" s="2">
        <v>1</v>
      </c>
      <c r="E55" s="4" t="s">
        <v>190</v>
      </c>
      <c r="F55" s="1065" t="e">
        <f>IF(E55="","$",VLOOKUP(E55,'結果(小)'!$B$2:$F$1295,5,FALSE))</f>
        <v>#DIV/0!</v>
      </c>
      <c r="G55" s="5" t="s">
        <v>853</v>
      </c>
      <c r="H55" s="6">
        <v>59</v>
      </c>
      <c r="I55" s="5" t="s">
        <v>5</v>
      </c>
      <c r="J55" s="5" t="s">
        <v>15273</v>
      </c>
      <c r="K55" s="7" t="s">
        <v>1334</v>
      </c>
      <c r="L55" s="5"/>
      <c r="M55" s="19"/>
      <c r="N55" s="8" t="s">
        <v>16127</v>
      </c>
      <c r="O55" s="5" t="s">
        <v>737</v>
      </c>
      <c r="P55" s="5" t="s">
        <v>25</v>
      </c>
      <c r="Q55" s="9">
        <v>4</v>
      </c>
      <c r="R55" s="10">
        <v>4</v>
      </c>
      <c r="S55" s="7" t="s">
        <v>736</v>
      </c>
      <c r="T55" s="1778"/>
      <c r="U55" s="1780"/>
      <c r="V55" s="1752"/>
    </row>
    <row r="56" spans="1:22" ht="12" customHeight="1">
      <c r="A56" s="1040" t="str">
        <f t="shared" si="1"/>
        <v>3101</v>
      </c>
      <c r="B56" s="1061" t="s">
        <v>15692</v>
      </c>
      <c r="C56" s="1064"/>
      <c r="D56" s="2">
        <v>1</v>
      </c>
      <c r="E56" s="4" t="s">
        <v>198</v>
      </c>
      <c r="F56" s="1065" t="e">
        <f>IF(E56="","$",VLOOKUP(E56,'結果(小)'!$B$2:$F$1295,5,FALSE))</f>
        <v>#DIV/0!</v>
      </c>
      <c r="G56" s="1" t="s">
        <v>6034</v>
      </c>
      <c r="H56" s="6">
        <v>56</v>
      </c>
      <c r="I56" s="2" t="s">
        <v>5</v>
      </c>
      <c r="J56" s="5" t="s">
        <v>15273</v>
      </c>
      <c r="K56" s="3"/>
      <c r="L56" s="1"/>
      <c r="M56" s="1"/>
      <c r="N56" s="8" t="s">
        <v>16127</v>
      </c>
      <c r="O56" s="1" t="s">
        <v>737</v>
      </c>
      <c r="P56" s="1" t="s">
        <v>6</v>
      </c>
      <c r="Q56" s="16"/>
      <c r="R56" s="17"/>
      <c r="S56" s="3"/>
      <c r="T56" s="1778"/>
      <c r="U56" s="1780"/>
      <c r="V56" s="1752"/>
    </row>
    <row r="57" spans="1:22" ht="12" customHeight="1">
      <c r="A57" s="1040" t="str">
        <f t="shared" si="1"/>
        <v>3101</v>
      </c>
      <c r="B57" s="1061" t="s">
        <v>15693</v>
      </c>
      <c r="C57" s="1064"/>
      <c r="D57" s="2">
        <v>1</v>
      </c>
      <c r="E57" s="4" t="s">
        <v>207</v>
      </c>
      <c r="F57" s="1065" t="e">
        <f>IF(E57="","$",VLOOKUP(E57,'結果(小)'!$B$2:$F$1295,5,FALSE))</f>
        <v>#DIV/0!</v>
      </c>
      <c r="G57" s="5" t="s">
        <v>866</v>
      </c>
      <c r="H57" s="6">
        <v>55</v>
      </c>
      <c r="I57" s="5" t="s">
        <v>19</v>
      </c>
      <c r="J57" s="5" t="s">
        <v>15273</v>
      </c>
      <c r="K57" s="7" t="s">
        <v>1336</v>
      </c>
      <c r="L57" s="5"/>
      <c r="M57" s="19"/>
      <c r="N57" s="8" t="s">
        <v>16127</v>
      </c>
      <c r="O57" s="5" t="s">
        <v>44</v>
      </c>
      <c r="P57" s="5" t="s">
        <v>25</v>
      </c>
      <c r="Q57" s="9">
        <v>2</v>
      </c>
      <c r="R57" s="10">
        <v>2</v>
      </c>
      <c r="S57" s="7" t="s">
        <v>736</v>
      </c>
      <c r="T57" s="1778"/>
      <c r="U57" s="1780"/>
      <c r="V57" s="1752"/>
    </row>
    <row r="58" spans="1:22" ht="12" customHeight="1">
      <c r="A58" s="1040" t="str">
        <f t="shared" si="1"/>
        <v>3101</v>
      </c>
      <c r="B58" s="1061" t="s">
        <v>15694</v>
      </c>
      <c r="C58" s="1064"/>
      <c r="D58" s="2">
        <v>1</v>
      </c>
      <c r="E58" s="4" t="s">
        <v>223</v>
      </c>
      <c r="F58" s="1065" t="e">
        <f>IF(E58="","$",VLOOKUP(E58,'結果(小)'!$B$2:$F$1295,5,FALSE))</f>
        <v>#DIV/0!</v>
      </c>
      <c r="G58" s="6" t="s">
        <v>873</v>
      </c>
      <c r="H58" s="6">
        <v>64</v>
      </c>
      <c r="I58" s="6" t="s">
        <v>5</v>
      </c>
      <c r="J58" s="5" t="s">
        <v>15273</v>
      </c>
      <c r="K58" s="18" t="s">
        <v>1337</v>
      </c>
      <c r="L58" s="5" t="s">
        <v>373</v>
      </c>
      <c r="M58" s="19"/>
      <c r="N58" s="4" t="s">
        <v>16127</v>
      </c>
      <c r="O58" s="6" t="s">
        <v>45</v>
      </c>
      <c r="P58" s="6" t="s">
        <v>14</v>
      </c>
      <c r="Q58" s="13">
        <v>2</v>
      </c>
      <c r="R58" s="14">
        <v>4</v>
      </c>
      <c r="S58" s="12" t="s">
        <v>736</v>
      </c>
      <c r="T58" s="1778"/>
      <c r="U58" s="1780"/>
      <c r="V58" s="1752"/>
    </row>
    <row r="59" spans="1:22" ht="12" customHeight="1">
      <c r="A59" s="1040" t="str">
        <f t="shared" si="1"/>
        <v>3101</v>
      </c>
      <c r="B59" s="1061" t="s">
        <v>15695</v>
      </c>
      <c r="C59" s="1064"/>
      <c r="D59" s="2">
        <v>1</v>
      </c>
      <c r="E59" s="4" t="s">
        <v>241</v>
      </c>
      <c r="F59" s="1065" t="e">
        <f>IF(E59="","$",VLOOKUP(E59,'結果(小)'!$B$2:$F$1295,5,FALSE))</f>
        <v>#DIV/0!</v>
      </c>
      <c r="G59" s="5" t="s">
        <v>863</v>
      </c>
      <c r="H59" s="6">
        <v>41</v>
      </c>
      <c r="I59" s="5" t="s">
        <v>5</v>
      </c>
      <c r="J59" s="5" t="s">
        <v>15273</v>
      </c>
      <c r="K59" s="7" t="s">
        <v>1339</v>
      </c>
      <c r="L59" s="5"/>
      <c r="M59" s="19"/>
      <c r="N59" s="8" t="s">
        <v>16126</v>
      </c>
      <c r="O59" s="5" t="s">
        <v>604</v>
      </c>
      <c r="P59" s="5" t="s">
        <v>25</v>
      </c>
      <c r="Q59" s="9">
        <v>2</v>
      </c>
      <c r="R59" s="10">
        <v>2</v>
      </c>
      <c r="S59" s="3" t="s">
        <v>736</v>
      </c>
      <c r="T59" s="1778"/>
      <c r="U59" s="1780"/>
      <c r="V59" s="1752"/>
    </row>
    <row r="60" spans="1:22" ht="12" customHeight="1">
      <c r="A60" s="1040" t="str">
        <f t="shared" si="1"/>
        <v>3101</v>
      </c>
      <c r="B60" s="1061" t="s">
        <v>15696</v>
      </c>
      <c r="C60" s="1064"/>
      <c r="D60" s="2">
        <v>1</v>
      </c>
      <c r="E60" s="4" t="s">
        <v>250</v>
      </c>
      <c r="F60" s="1065" t="e">
        <f>IF(E60="","$",VLOOKUP(E60,'結果(小)'!$B$2:$F$1295,5,FALSE))</f>
        <v>#DIV/0!</v>
      </c>
      <c r="G60" s="5" t="s">
        <v>902</v>
      </c>
      <c r="H60" s="6">
        <v>42</v>
      </c>
      <c r="I60" s="5" t="s">
        <v>5</v>
      </c>
      <c r="J60" s="5" t="s">
        <v>15273</v>
      </c>
      <c r="K60" s="7" t="s">
        <v>1340</v>
      </c>
      <c r="L60" s="5"/>
      <c r="M60" s="19"/>
      <c r="N60" s="8" t="s">
        <v>16127</v>
      </c>
      <c r="O60" s="5" t="s">
        <v>44</v>
      </c>
      <c r="P60" s="5" t="s">
        <v>25</v>
      </c>
      <c r="Q60" s="9">
        <v>1</v>
      </c>
      <c r="R60" s="10">
        <v>1</v>
      </c>
      <c r="S60" s="3" t="s">
        <v>736</v>
      </c>
      <c r="T60" s="1778"/>
      <c r="U60" s="1780"/>
      <c r="V60" s="1752"/>
    </row>
    <row r="61" spans="1:22" ht="12" customHeight="1">
      <c r="A61" s="1040" t="str">
        <f t="shared" si="1"/>
        <v>3101</v>
      </c>
      <c r="B61" s="1061" t="s">
        <v>15697</v>
      </c>
      <c r="C61" s="1064"/>
      <c r="D61" s="2">
        <v>1</v>
      </c>
      <c r="E61" s="4" t="s">
        <v>263</v>
      </c>
      <c r="F61" s="1065" t="e">
        <f>IF(E61="","$",VLOOKUP(E61,'結果(小)'!$B$2:$F$1295,5,FALSE))</f>
        <v>#DIV/0!</v>
      </c>
      <c r="G61" s="5" t="s">
        <v>846</v>
      </c>
      <c r="H61" s="6">
        <v>50</v>
      </c>
      <c r="I61" s="5" t="s">
        <v>5</v>
      </c>
      <c r="J61" s="5" t="s">
        <v>15273</v>
      </c>
      <c r="K61" s="7" t="s">
        <v>1341</v>
      </c>
      <c r="L61" s="5"/>
      <c r="M61" s="19"/>
      <c r="N61" s="8" t="s">
        <v>16127</v>
      </c>
      <c r="O61" s="5" t="s">
        <v>24</v>
      </c>
      <c r="P61" s="5" t="s">
        <v>25</v>
      </c>
      <c r="Q61" s="9">
        <v>5</v>
      </c>
      <c r="R61" s="10">
        <v>5</v>
      </c>
      <c r="S61" s="7" t="s">
        <v>736</v>
      </c>
      <c r="T61" s="1778"/>
      <c r="U61" s="1780"/>
      <c r="V61" s="1752"/>
    </row>
    <row r="62" spans="1:22" ht="12" customHeight="1">
      <c r="A62" s="1040" t="str">
        <f t="shared" si="1"/>
        <v>3101</v>
      </c>
      <c r="B62" s="1061" t="s">
        <v>15698</v>
      </c>
      <c r="C62" s="1064"/>
      <c r="D62" s="2">
        <v>1</v>
      </c>
      <c r="E62" s="4" t="s">
        <v>272</v>
      </c>
      <c r="F62" s="1065" t="e">
        <f>IF(E62="","$",VLOOKUP(E62,'結果(小)'!$B$2:$F$1295,5,FALSE))</f>
        <v>#DIV/0!</v>
      </c>
      <c r="G62" s="1" t="s">
        <v>275</v>
      </c>
      <c r="H62" s="6">
        <v>47</v>
      </c>
      <c r="I62" s="2" t="s">
        <v>19</v>
      </c>
      <c r="J62" s="5" t="s">
        <v>15273</v>
      </c>
      <c r="K62" s="3"/>
      <c r="L62" s="1"/>
      <c r="M62" s="1"/>
      <c r="N62" s="8" t="s">
        <v>16127</v>
      </c>
      <c r="O62" s="1" t="s">
        <v>276</v>
      </c>
      <c r="P62" s="1" t="s">
        <v>14</v>
      </c>
      <c r="Q62" s="16">
        <v>2</v>
      </c>
      <c r="R62" s="17">
        <v>2</v>
      </c>
      <c r="S62" s="3" t="s">
        <v>736</v>
      </c>
      <c r="T62" s="1778"/>
      <c r="U62" s="1780"/>
      <c r="V62" s="1752"/>
    </row>
    <row r="63" spans="1:22" ht="12" customHeight="1">
      <c r="A63" s="1040" t="str">
        <f t="shared" si="1"/>
        <v>3101</v>
      </c>
      <c r="B63" s="1061" t="s">
        <v>15699</v>
      </c>
      <c r="C63" s="1064"/>
      <c r="D63" s="2">
        <v>1</v>
      </c>
      <c r="E63" s="4" t="s">
        <v>278</v>
      </c>
      <c r="F63" s="1065" t="e">
        <f>IF(E63="","$",VLOOKUP(E63,'結果(小)'!$B$2:$F$1295,5,FALSE))</f>
        <v>#DIV/0!</v>
      </c>
      <c r="G63" s="5" t="s">
        <v>882</v>
      </c>
      <c r="H63" s="6">
        <v>36</v>
      </c>
      <c r="I63" s="5" t="s">
        <v>5</v>
      </c>
      <c r="J63" s="5" t="s">
        <v>15273</v>
      </c>
      <c r="K63" s="7" t="s">
        <v>1343</v>
      </c>
      <c r="L63" s="5"/>
      <c r="M63" s="19"/>
      <c r="N63" s="4" t="s">
        <v>16127</v>
      </c>
      <c r="O63" s="5" t="s">
        <v>44</v>
      </c>
      <c r="P63" s="5" t="s">
        <v>25</v>
      </c>
      <c r="Q63" s="9">
        <v>3</v>
      </c>
      <c r="R63" s="10">
        <v>3</v>
      </c>
      <c r="S63" s="7"/>
      <c r="T63" s="1778"/>
      <c r="U63" s="1780"/>
      <c r="V63" s="1752"/>
    </row>
    <row r="64" spans="1:22" ht="12" customHeight="1">
      <c r="A64" s="1040" t="str">
        <f t="shared" si="1"/>
        <v>3101</v>
      </c>
      <c r="B64" s="1061" t="s">
        <v>15700</v>
      </c>
      <c r="C64" s="1064"/>
      <c r="D64" s="2">
        <v>1</v>
      </c>
      <c r="E64" s="4" t="s">
        <v>287</v>
      </c>
      <c r="F64" s="1065" t="e">
        <f>IF(E64="","$",VLOOKUP(E64,'結果(小)'!$B$2:$F$1295,5,FALSE))</f>
        <v>#DIV/0!</v>
      </c>
      <c r="G64" s="5" t="s">
        <v>907</v>
      </c>
      <c r="H64" s="6">
        <v>65</v>
      </c>
      <c r="I64" s="5" t="s">
        <v>5</v>
      </c>
      <c r="J64" s="5" t="s">
        <v>15273</v>
      </c>
      <c r="K64" s="7" t="s">
        <v>1344</v>
      </c>
      <c r="L64" s="5"/>
      <c r="M64" s="19"/>
      <c r="N64" s="8" t="s">
        <v>16126</v>
      </c>
      <c r="O64" s="5" t="s">
        <v>44</v>
      </c>
      <c r="P64" s="5" t="s">
        <v>25</v>
      </c>
      <c r="Q64" s="9">
        <v>1</v>
      </c>
      <c r="R64" s="10">
        <v>1</v>
      </c>
      <c r="S64" s="7" t="s">
        <v>736</v>
      </c>
      <c r="T64" s="1778"/>
      <c r="U64" s="1780"/>
      <c r="V64" s="1752"/>
    </row>
    <row r="65" spans="1:22" ht="12" customHeight="1">
      <c r="A65" s="1040" t="str">
        <f t="shared" si="1"/>
        <v>3101</v>
      </c>
      <c r="B65" s="1061" t="s">
        <v>15701</v>
      </c>
      <c r="C65" s="1064"/>
      <c r="D65" s="2">
        <v>1</v>
      </c>
      <c r="E65" s="4" t="s">
        <v>297</v>
      </c>
      <c r="F65" s="1065" t="e">
        <f>IF(E65="","$",VLOOKUP(E65,'結果(小)'!$B$2:$F$1295,5,FALSE))</f>
        <v>#DIV/0!</v>
      </c>
      <c r="G65" s="1" t="s">
        <v>1007</v>
      </c>
      <c r="H65" s="6">
        <v>64</v>
      </c>
      <c r="I65" s="2" t="s">
        <v>19</v>
      </c>
      <c r="J65" s="5" t="s">
        <v>15273</v>
      </c>
      <c r="K65" s="3"/>
      <c r="L65" s="1"/>
      <c r="M65" s="1"/>
      <c r="N65" s="8" t="s">
        <v>16127</v>
      </c>
      <c r="O65" s="1" t="s">
        <v>45</v>
      </c>
      <c r="P65" s="1" t="s">
        <v>6</v>
      </c>
      <c r="Q65" s="16"/>
      <c r="R65" s="17"/>
      <c r="S65" s="3" t="s">
        <v>736</v>
      </c>
      <c r="T65" s="1778"/>
      <c r="U65" s="1780"/>
      <c r="V65" s="1752"/>
    </row>
    <row r="66" spans="1:22" ht="12" customHeight="1">
      <c r="A66" s="1040" t="str">
        <f t="shared" si="1"/>
        <v>3101</v>
      </c>
      <c r="B66" s="1061" t="s">
        <v>15702</v>
      </c>
      <c r="C66" s="1064"/>
      <c r="D66" s="2">
        <v>1</v>
      </c>
      <c r="E66" s="4" t="s">
        <v>308</v>
      </c>
      <c r="F66" s="1065" t="e">
        <f>IF(E66="","$",VLOOKUP(E66,'結果(小)'!$B$2:$F$1295,5,FALSE))</f>
        <v>#DIV/0!</v>
      </c>
      <c r="G66" s="5" t="s">
        <v>883</v>
      </c>
      <c r="H66" s="6">
        <v>70</v>
      </c>
      <c r="I66" s="5" t="s">
        <v>5</v>
      </c>
      <c r="J66" s="5" t="s">
        <v>15273</v>
      </c>
      <c r="K66" s="7" t="s">
        <v>1346</v>
      </c>
      <c r="L66" s="5"/>
      <c r="M66" s="19"/>
      <c r="N66" s="8" t="s">
        <v>16127</v>
      </c>
      <c r="O66" s="5" t="s">
        <v>604</v>
      </c>
      <c r="P66" s="5" t="s">
        <v>25</v>
      </c>
      <c r="Q66" s="9">
        <v>11</v>
      </c>
      <c r="R66" s="10">
        <v>11</v>
      </c>
      <c r="S66" s="7" t="s">
        <v>736</v>
      </c>
      <c r="T66" s="1778"/>
      <c r="U66" s="1780"/>
      <c r="V66" s="1752"/>
    </row>
    <row r="67" spans="1:22" ht="12" customHeight="1">
      <c r="A67" s="1040" t="str">
        <f t="shared" ref="A67:A130" si="2">MIDB(B67,1,4)</f>
        <v>3101</v>
      </c>
      <c r="B67" s="1061" t="s">
        <v>15703</v>
      </c>
      <c r="C67" s="1064"/>
      <c r="D67" s="2">
        <v>1</v>
      </c>
      <c r="E67" s="4" t="s">
        <v>312</v>
      </c>
      <c r="F67" s="1065" t="e">
        <f>IF(E67="","$",VLOOKUP(E67,'結果(小)'!$B$2:$F$1295,5,FALSE))</f>
        <v>#DIV/0!</v>
      </c>
      <c r="G67" s="5" t="s">
        <v>864</v>
      </c>
      <c r="H67" s="6">
        <v>47</v>
      </c>
      <c r="I67" s="5" t="s">
        <v>5</v>
      </c>
      <c r="J67" s="5" t="s">
        <v>15273</v>
      </c>
      <c r="K67" s="7" t="s">
        <v>1347</v>
      </c>
      <c r="L67" s="5"/>
      <c r="M67" s="19"/>
      <c r="N67" s="8" t="s">
        <v>16127</v>
      </c>
      <c r="O67" s="5" t="s">
        <v>44</v>
      </c>
      <c r="P67" s="5" t="s">
        <v>25</v>
      </c>
      <c r="Q67" s="9">
        <v>3</v>
      </c>
      <c r="R67" s="10">
        <v>3</v>
      </c>
      <c r="S67" s="7" t="s">
        <v>736</v>
      </c>
      <c r="T67" s="1778"/>
      <c r="U67" s="1780"/>
      <c r="V67" s="1752"/>
    </row>
    <row r="68" spans="1:22" ht="12" customHeight="1">
      <c r="A68" s="1040" t="str">
        <f t="shared" si="2"/>
        <v>3101</v>
      </c>
      <c r="B68" s="1061" t="s">
        <v>15704</v>
      </c>
      <c r="C68" s="1064"/>
      <c r="D68" s="2">
        <v>1</v>
      </c>
      <c r="E68" s="4" t="s">
        <v>335</v>
      </c>
      <c r="F68" s="1065" t="e">
        <f>IF(E68="","$",VLOOKUP(E68,'結果(小)'!$B$2:$F$1295,5,FALSE))</f>
        <v>#DIV/0!</v>
      </c>
      <c r="G68" s="1" t="s">
        <v>5538</v>
      </c>
      <c r="H68" s="6">
        <v>43</v>
      </c>
      <c r="I68" s="2" t="s">
        <v>5</v>
      </c>
      <c r="J68" s="5" t="s">
        <v>15273</v>
      </c>
      <c r="K68" s="3"/>
      <c r="L68" s="1"/>
      <c r="M68" s="1"/>
      <c r="N68" s="4" t="s">
        <v>16127</v>
      </c>
      <c r="O68" s="1" t="s">
        <v>44</v>
      </c>
      <c r="P68" s="1" t="s">
        <v>6</v>
      </c>
      <c r="Q68" s="16"/>
      <c r="R68" s="17"/>
      <c r="S68" s="3"/>
      <c r="T68" s="1778"/>
      <c r="U68" s="1780"/>
      <c r="V68" s="1752"/>
    </row>
    <row r="69" spans="1:22" ht="12" customHeight="1">
      <c r="A69" s="1040" t="str">
        <f t="shared" si="2"/>
        <v>3101</v>
      </c>
      <c r="B69" s="1061" t="s">
        <v>15705</v>
      </c>
      <c r="C69" s="1064"/>
      <c r="D69" s="2">
        <v>1</v>
      </c>
      <c r="E69" s="4" t="s">
        <v>342</v>
      </c>
      <c r="F69" s="1065" t="e">
        <f>IF(E69="","$",VLOOKUP(E69,'結果(小)'!$B$2:$F$1295,5,FALSE))</f>
        <v>#DIV/0!</v>
      </c>
      <c r="G69" s="1" t="s">
        <v>5651</v>
      </c>
      <c r="H69" s="6">
        <v>63</v>
      </c>
      <c r="I69" s="2" t="s">
        <v>5</v>
      </c>
      <c r="J69" s="5" t="s">
        <v>15273</v>
      </c>
      <c r="K69" s="3"/>
      <c r="L69" s="1"/>
      <c r="M69" s="1"/>
      <c r="N69" s="8" t="s">
        <v>16126</v>
      </c>
      <c r="O69" s="1" t="s">
        <v>44</v>
      </c>
      <c r="P69" s="1" t="s">
        <v>6</v>
      </c>
      <c r="Q69" s="16"/>
      <c r="R69" s="17"/>
      <c r="S69" s="3"/>
      <c r="T69" s="1778"/>
      <c r="U69" s="1780"/>
      <c r="V69" s="1752"/>
    </row>
    <row r="70" spans="1:22" ht="12" customHeight="1">
      <c r="A70" s="1040" t="str">
        <f t="shared" si="2"/>
        <v>3101</v>
      </c>
      <c r="B70" s="1061" t="s">
        <v>15706</v>
      </c>
      <c r="C70" s="1064"/>
      <c r="D70" s="2">
        <v>1</v>
      </c>
      <c r="E70" s="4" t="s">
        <v>360</v>
      </c>
      <c r="F70" s="1065" t="e">
        <f>IF(E70="","$",VLOOKUP(E70,'結果(小)'!$B$2:$F$1295,5,FALSE))</f>
        <v>#DIV/0!</v>
      </c>
      <c r="G70" s="5" t="s">
        <v>867</v>
      </c>
      <c r="H70" s="6">
        <v>48</v>
      </c>
      <c r="I70" s="5" t="s">
        <v>5</v>
      </c>
      <c r="J70" s="5" t="s">
        <v>15273</v>
      </c>
      <c r="K70" s="7" t="s">
        <v>1351</v>
      </c>
      <c r="L70" s="5"/>
      <c r="M70" s="19"/>
      <c r="N70" s="8" t="s">
        <v>16127</v>
      </c>
      <c r="O70" s="5" t="s">
        <v>24</v>
      </c>
      <c r="P70" s="5" t="s">
        <v>25</v>
      </c>
      <c r="Q70" s="9">
        <v>6</v>
      </c>
      <c r="R70" s="10">
        <v>6</v>
      </c>
      <c r="S70" s="7" t="s">
        <v>736</v>
      </c>
      <c r="T70" s="1778"/>
      <c r="U70" s="1780"/>
      <c r="V70" s="1752"/>
    </row>
    <row r="71" spans="1:22" ht="12" customHeight="1" thickBot="1">
      <c r="A71" s="916" t="str">
        <f t="shared" si="2"/>
        <v>3101</v>
      </c>
      <c r="B71" s="1096" t="s">
        <v>15707</v>
      </c>
      <c r="C71" s="1075"/>
      <c r="D71" s="702">
        <v>1</v>
      </c>
      <c r="E71" s="700" t="s">
        <v>376</v>
      </c>
      <c r="F71" s="1071" t="e">
        <f>IF(E71="","$",VLOOKUP(E71,'結果(小)'!$B$2:$F$1295,5,FALSE))</f>
        <v>#DIV/0!</v>
      </c>
      <c r="G71" s="356" t="s">
        <v>860</v>
      </c>
      <c r="H71" s="701">
        <v>63</v>
      </c>
      <c r="I71" s="356" t="s">
        <v>5</v>
      </c>
      <c r="J71" s="356" t="s">
        <v>15273</v>
      </c>
      <c r="K71" s="753" t="s">
        <v>1353</v>
      </c>
      <c r="L71" s="775"/>
      <c r="M71" s="741"/>
      <c r="N71" s="704" t="s">
        <v>16127</v>
      </c>
      <c r="O71" s="356" t="s">
        <v>44</v>
      </c>
      <c r="P71" s="356" t="s">
        <v>25</v>
      </c>
      <c r="Q71" s="754">
        <v>3</v>
      </c>
      <c r="R71" s="755">
        <v>3</v>
      </c>
      <c r="S71" s="753" t="s">
        <v>736</v>
      </c>
      <c r="T71" s="1779"/>
      <c r="U71" s="1776"/>
      <c r="V71" s="1753"/>
    </row>
    <row r="72" spans="1:22" ht="12" customHeight="1">
      <c r="A72" s="1038" t="str">
        <f t="shared" si="2"/>
        <v>3102</v>
      </c>
      <c r="B72" s="1072" t="s">
        <v>15274</v>
      </c>
      <c r="C72" s="1073"/>
      <c r="D72" s="696">
        <v>1</v>
      </c>
      <c r="E72" s="688" t="s">
        <v>117</v>
      </c>
      <c r="F72" s="1068" t="e">
        <f>IF(E72="","$",VLOOKUP(E72,'結果(小)'!$B$2:$F$1295,5,FALSE))</f>
        <v>#DIV/0!</v>
      </c>
      <c r="G72" s="687" t="s">
        <v>121</v>
      </c>
      <c r="H72" s="690">
        <v>46</v>
      </c>
      <c r="I72" s="696" t="s">
        <v>5</v>
      </c>
      <c r="J72" s="687" t="s">
        <v>15273</v>
      </c>
      <c r="K72" s="747"/>
      <c r="L72" s="687"/>
      <c r="M72" s="687"/>
      <c r="N72" s="716" t="s">
        <v>16120</v>
      </c>
      <c r="O72" s="687" t="s">
        <v>13</v>
      </c>
      <c r="P72" s="687" t="s">
        <v>6</v>
      </c>
      <c r="Q72" s="748"/>
      <c r="R72" s="749"/>
      <c r="S72" s="747" t="s">
        <v>5457</v>
      </c>
      <c r="T72" s="1769"/>
      <c r="U72" s="1775"/>
      <c r="V72" s="1751" t="e">
        <f>U72/SUM(U50:U141)</f>
        <v>#DIV/0!</v>
      </c>
    </row>
    <row r="73" spans="1:22" ht="12" customHeight="1">
      <c r="A73" s="1040" t="str">
        <f t="shared" si="2"/>
        <v>3102</v>
      </c>
      <c r="B73" s="1053" t="s">
        <v>15275</v>
      </c>
      <c r="C73" s="1064"/>
      <c r="D73" s="2">
        <v>1</v>
      </c>
      <c r="E73" s="4" t="s">
        <v>128</v>
      </c>
      <c r="F73" s="1065" t="e">
        <f>IF(E73="","$",VLOOKUP(E73,'結果(小)'!$B$2:$F$1295,5,FALSE))</f>
        <v>#DIV/0!</v>
      </c>
      <c r="G73" s="6" t="s">
        <v>869</v>
      </c>
      <c r="H73" s="6">
        <v>57</v>
      </c>
      <c r="I73" s="6" t="s">
        <v>5</v>
      </c>
      <c r="J73" s="6" t="s">
        <v>15273</v>
      </c>
      <c r="K73" s="12" t="s">
        <v>1329</v>
      </c>
      <c r="L73" s="6"/>
      <c r="M73" s="19"/>
      <c r="N73" s="8" t="s">
        <v>16120</v>
      </c>
      <c r="O73" s="6" t="s">
        <v>475</v>
      </c>
      <c r="P73" s="6" t="s">
        <v>25</v>
      </c>
      <c r="Q73" s="13">
        <v>4</v>
      </c>
      <c r="R73" s="14">
        <v>4</v>
      </c>
      <c r="S73" s="12" t="s">
        <v>5457</v>
      </c>
      <c r="T73" s="1770"/>
      <c r="U73" s="1780"/>
      <c r="V73" s="1752"/>
    </row>
    <row r="74" spans="1:22" ht="12" customHeight="1">
      <c r="A74" s="1040" t="str">
        <f t="shared" si="2"/>
        <v>3102</v>
      </c>
      <c r="B74" s="1053" t="s">
        <v>15276</v>
      </c>
      <c r="C74" s="1064"/>
      <c r="D74" s="2">
        <v>1</v>
      </c>
      <c r="E74" s="4" t="s">
        <v>153</v>
      </c>
      <c r="F74" s="1065" t="e">
        <f>IF(E74="","$",VLOOKUP(E74,'結果(小)'!$B$2:$F$1295,5,FALSE))</f>
        <v>#DIV/0!</v>
      </c>
      <c r="G74" s="5" t="s">
        <v>911</v>
      </c>
      <c r="H74" s="6">
        <v>66</v>
      </c>
      <c r="I74" s="5" t="s">
        <v>5</v>
      </c>
      <c r="J74" s="5" t="s">
        <v>15273</v>
      </c>
      <c r="K74" s="7" t="s">
        <v>1330</v>
      </c>
      <c r="L74" s="5"/>
      <c r="M74" s="19"/>
      <c r="N74" s="4" t="s">
        <v>16120</v>
      </c>
      <c r="O74" s="5" t="s">
        <v>475</v>
      </c>
      <c r="P74" s="5" t="s">
        <v>25</v>
      </c>
      <c r="Q74" s="9">
        <v>9</v>
      </c>
      <c r="R74" s="10">
        <v>9</v>
      </c>
      <c r="S74" s="7" t="s">
        <v>5457</v>
      </c>
      <c r="T74" s="1770"/>
      <c r="U74" s="1780"/>
      <c r="V74" s="1752"/>
    </row>
    <row r="75" spans="1:22" ht="12" customHeight="1">
      <c r="A75" s="1040" t="str">
        <f t="shared" si="2"/>
        <v>3102</v>
      </c>
      <c r="B75" s="1053" t="s">
        <v>15277</v>
      </c>
      <c r="C75" s="1064"/>
      <c r="D75" s="2">
        <v>1</v>
      </c>
      <c r="E75" s="4" t="s">
        <v>161</v>
      </c>
      <c r="F75" s="1065" t="e">
        <f>IF(E75="","$",VLOOKUP(E75,'結果(小)'!$B$2:$F$1295,5,FALSE))</f>
        <v>#DIV/0!</v>
      </c>
      <c r="G75" s="5" t="s">
        <v>927</v>
      </c>
      <c r="H75" s="6">
        <v>47</v>
      </c>
      <c r="I75" s="5" t="s">
        <v>5</v>
      </c>
      <c r="J75" s="5" t="s">
        <v>15273</v>
      </c>
      <c r="K75" s="7" t="s">
        <v>1331</v>
      </c>
      <c r="L75" s="5"/>
      <c r="M75" s="19"/>
      <c r="N75" s="4" t="s">
        <v>16120</v>
      </c>
      <c r="O75" s="5" t="s">
        <v>48</v>
      </c>
      <c r="P75" s="5" t="s">
        <v>25</v>
      </c>
      <c r="Q75" s="9">
        <v>5</v>
      </c>
      <c r="R75" s="10">
        <v>5</v>
      </c>
      <c r="S75" s="7" t="s">
        <v>5457</v>
      </c>
      <c r="T75" s="1770"/>
      <c r="U75" s="1780"/>
      <c r="V75" s="1752"/>
    </row>
    <row r="76" spans="1:22" ht="12" customHeight="1">
      <c r="A76" s="1040" t="str">
        <f t="shared" si="2"/>
        <v>3102</v>
      </c>
      <c r="B76" s="1053" t="s">
        <v>15278</v>
      </c>
      <c r="C76" s="1064"/>
      <c r="D76" s="2">
        <v>1</v>
      </c>
      <c r="E76" s="4" t="s">
        <v>166</v>
      </c>
      <c r="F76" s="1065" t="e">
        <f>IF(E76="","$",VLOOKUP(E76,'結果(小)'!$B$2:$F$1295,5,FALSE))</f>
        <v>#DIV/0!</v>
      </c>
      <c r="G76" s="1" t="s">
        <v>171</v>
      </c>
      <c r="H76" s="6">
        <v>54</v>
      </c>
      <c r="I76" s="2" t="s">
        <v>19</v>
      </c>
      <c r="J76" s="1" t="s">
        <v>15273</v>
      </c>
      <c r="K76" s="3"/>
      <c r="L76" s="1"/>
      <c r="M76" s="1"/>
      <c r="N76" s="8" t="s">
        <v>16120</v>
      </c>
      <c r="O76" s="1" t="s">
        <v>30</v>
      </c>
      <c r="P76" s="1" t="s">
        <v>6</v>
      </c>
      <c r="Q76" s="16"/>
      <c r="R76" s="17"/>
      <c r="S76" s="3"/>
      <c r="T76" s="1770"/>
      <c r="U76" s="1780"/>
      <c r="V76" s="1752"/>
    </row>
    <row r="77" spans="1:22" ht="12" customHeight="1">
      <c r="A77" s="1040" t="str">
        <f t="shared" si="2"/>
        <v>3102</v>
      </c>
      <c r="B77" s="1053" t="s">
        <v>15279</v>
      </c>
      <c r="C77" s="1064"/>
      <c r="D77" s="2">
        <v>1</v>
      </c>
      <c r="E77" s="4" t="s">
        <v>184</v>
      </c>
      <c r="F77" s="1065" t="e">
        <f>IF(E77="","$",VLOOKUP(E77,'結果(小)'!$B$2:$F$1295,5,FALSE))</f>
        <v>#DIV/0!</v>
      </c>
      <c r="G77" s="1" t="s">
        <v>186</v>
      </c>
      <c r="H77" s="6">
        <v>59</v>
      </c>
      <c r="I77" s="2" t="s">
        <v>5</v>
      </c>
      <c r="J77" s="1" t="s">
        <v>15273</v>
      </c>
      <c r="K77" s="3"/>
      <c r="L77" s="1"/>
      <c r="M77" s="1"/>
      <c r="N77" s="23" t="s">
        <v>16120</v>
      </c>
      <c r="O77" s="1" t="s">
        <v>187</v>
      </c>
      <c r="P77" s="1" t="s">
        <v>14</v>
      </c>
      <c r="Q77" s="16">
        <v>6</v>
      </c>
      <c r="R77" s="17">
        <v>6</v>
      </c>
      <c r="S77" s="3" t="s">
        <v>6051</v>
      </c>
      <c r="T77" s="1770"/>
      <c r="U77" s="1780"/>
      <c r="V77" s="1752"/>
    </row>
    <row r="78" spans="1:22" ht="12" customHeight="1">
      <c r="A78" s="1040" t="str">
        <f t="shared" si="2"/>
        <v>3102</v>
      </c>
      <c r="B78" s="1053" t="s">
        <v>15280</v>
      </c>
      <c r="C78" s="1064"/>
      <c r="D78" s="2">
        <v>1</v>
      </c>
      <c r="E78" s="4" t="s">
        <v>191</v>
      </c>
      <c r="F78" s="1065" t="e">
        <f>IF(E78="","$",VLOOKUP(E78,'結果(小)'!$B$2:$F$1295,5,FALSE))</f>
        <v>#DIV/0!</v>
      </c>
      <c r="G78" s="1" t="s">
        <v>194</v>
      </c>
      <c r="H78" s="6">
        <v>45</v>
      </c>
      <c r="I78" s="2" t="s">
        <v>5</v>
      </c>
      <c r="J78" s="1" t="s">
        <v>15273</v>
      </c>
      <c r="K78" s="3"/>
      <c r="L78" s="1"/>
      <c r="M78" s="1"/>
      <c r="N78" s="8" t="s">
        <v>16120</v>
      </c>
      <c r="O78" s="1" t="s">
        <v>48</v>
      </c>
      <c r="P78" s="1" t="s">
        <v>6</v>
      </c>
      <c r="Q78" s="16"/>
      <c r="R78" s="17"/>
      <c r="S78" s="3"/>
      <c r="T78" s="1770"/>
      <c r="U78" s="1780"/>
      <c r="V78" s="1752"/>
    </row>
    <row r="79" spans="1:22" ht="12" customHeight="1">
      <c r="A79" s="1040" t="str">
        <f t="shared" si="2"/>
        <v>3102</v>
      </c>
      <c r="B79" s="1053" t="s">
        <v>15281</v>
      </c>
      <c r="C79" s="1064"/>
      <c r="D79" s="2">
        <v>1</v>
      </c>
      <c r="E79" s="4" t="s">
        <v>199</v>
      </c>
      <c r="F79" s="1065" t="e">
        <f>IF(E79="","$",VLOOKUP(E79,'結果(小)'!$B$2:$F$1295,5,FALSE))</f>
        <v>#DIV/0!</v>
      </c>
      <c r="G79" s="1" t="s">
        <v>202</v>
      </c>
      <c r="H79" s="6">
        <v>29</v>
      </c>
      <c r="I79" s="2" t="s">
        <v>5</v>
      </c>
      <c r="J79" s="1" t="s">
        <v>15273</v>
      </c>
      <c r="K79" s="3"/>
      <c r="L79" s="1"/>
      <c r="M79" s="1"/>
      <c r="N79" s="4" t="s">
        <v>16120</v>
      </c>
      <c r="O79" s="1" t="s">
        <v>30</v>
      </c>
      <c r="P79" s="1" t="s">
        <v>6</v>
      </c>
      <c r="Q79" s="16"/>
      <c r="R79" s="17"/>
      <c r="S79" s="3"/>
      <c r="T79" s="1770"/>
      <c r="U79" s="1780"/>
      <c r="V79" s="1752"/>
    </row>
    <row r="80" spans="1:22" ht="12" customHeight="1">
      <c r="A80" s="1040" t="str">
        <f t="shared" si="2"/>
        <v>3102</v>
      </c>
      <c r="B80" s="1053" t="s">
        <v>15282</v>
      </c>
      <c r="C80" s="1064"/>
      <c r="D80" s="2">
        <v>1</v>
      </c>
      <c r="E80" s="4" t="s">
        <v>208</v>
      </c>
      <c r="F80" s="1065" t="e">
        <f>IF(E80="","$",VLOOKUP(E80,'結果(小)'!$B$2:$F$1295,5,FALSE))</f>
        <v>#DIV/0!</v>
      </c>
      <c r="G80" s="1" t="s">
        <v>213</v>
      </c>
      <c r="H80" s="6">
        <v>54</v>
      </c>
      <c r="I80" s="2" t="s">
        <v>5</v>
      </c>
      <c r="J80" s="1" t="s">
        <v>15273</v>
      </c>
      <c r="K80" s="3"/>
      <c r="L80" s="1"/>
      <c r="M80" s="1"/>
      <c r="N80" s="4" t="s">
        <v>16120</v>
      </c>
      <c r="O80" s="1" t="s">
        <v>48</v>
      </c>
      <c r="P80" s="1" t="s">
        <v>14</v>
      </c>
      <c r="Q80" s="16">
        <v>1</v>
      </c>
      <c r="R80" s="17">
        <v>1</v>
      </c>
      <c r="S80" s="3"/>
      <c r="T80" s="1770"/>
      <c r="U80" s="1780"/>
      <c r="V80" s="1752"/>
    </row>
    <row r="81" spans="1:22" ht="12" customHeight="1">
      <c r="A81" s="1040" t="str">
        <f t="shared" si="2"/>
        <v>3102</v>
      </c>
      <c r="B81" s="1053" t="s">
        <v>15283</v>
      </c>
      <c r="C81" s="1064"/>
      <c r="D81" s="2">
        <v>1</v>
      </c>
      <c r="E81" s="4" t="s">
        <v>224</v>
      </c>
      <c r="F81" s="1065" t="e">
        <f>IF(E81="","$",VLOOKUP(E81,'結果(小)'!$B$2:$F$1295,5,FALSE))</f>
        <v>#DIV/0!</v>
      </c>
      <c r="G81" s="5" t="s">
        <v>885</v>
      </c>
      <c r="H81" s="6">
        <v>50</v>
      </c>
      <c r="I81" s="5" t="s">
        <v>5</v>
      </c>
      <c r="J81" s="5" t="s">
        <v>15273</v>
      </c>
      <c r="K81" s="7" t="s">
        <v>1313</v>
      </c>
      <c r="L81" s="5"/>
      <c r="M81" s="19"/>
      <c r="N81" s="8" t="s">
        <v>16120</v>
      </c>
      <c r="O81" s="5" t="s">
        <v>30</v>
      </c>
      <c r="P81" s="5" t="s">
        <v>25</v>
      </c>
      <c r="Q81" s="9">
        <v>3</v>
      </c>
      <c r="R81" s="10">
        <v>3</v>
      </c>
      <c r="S81" s="7"/>
      <c r="T81" s="1770"/>
      <c r="U81" s="1780"/>
      <c r="V81" s="1752"/>
    </row>
    <row r="82" spans="1:22" ht="12" customHeight="1">
      <c r="A82" s="1040" t="str">
        <f t="shared" si="2"/>
        <v>3102</v>
      </c>
      <c r="B82" s="1053" t="s">
        <v>15284</v>
      </c>
      <c r="C82" s="1064"/>
      <c r="D82" s="2">
        <v>1</v>
      </c>
      <c r="E82" s="4" t="s">
        <v>242</v>
      </c>
      <c r="F82" s="1065" t="e">
        <f>IF(E82="","$",VLOOKUP(E82,'結果(小)'!$B$2:$F$1295,5,FALSE))</f>
        <v>#DIV/0!</v>
      </c>
      <c r="G82" s="1" t="s">
        <v>244</v>
      </c>
      <c r="H82" s="6">
        <v>52</v>
      </c>
      <c r="I82" s="2" t="s">
        <v>5</v>
      </c>
      <c r="J82" s="1" t="s">
        <v>15273</v>
      </c>
      <c r="K82" s="3"/>
      <c r="L82" s="1"/>
      <c r="M82" s="1"/>
      <c r="N82" s="23" t="s">
        <v>16120</v>
      </c>
      <c r="O82" s="1" t="s">
        <v>48</v>
      </c>
      <c r="P82" s="1" t="s">
        <v>14</v>
      </c>
      <c r="Q82" s="16">
        <v>2</v>
      </c>
      <c r="R82" s="17">
        <v>2</v>
      </c>
      <c r="S82" s="3" t="s">
        <v>5457</v>
      </c>
      <c r="T82" s="1770"/>
      <c r="U82" s="1780"/>
      <c r="V82" s="1752"/>
    </row>
    <row r="83" spans="1:22" ht="12" customHeight="1">
      <c r="A83" s="1040" t="str">
        <f t="shared" si="2"/>
        <v>3102</v>
      </c>
      <c r="B83" s="1053" t="s">
        <v>15285</v>
      </c>
      <c r="C83" s="1064"/>
      <c r="D83" s="2">
        <v>1</v>
      </c>
      <c r="E83" s="4" t="s">
        <v>251</v>
      </c>
      <c r="F83" s="1065" t="e">
        <f>IF(E83="","$",VLOOKUP(E83,'結果(小)'!$B$2:$F$1295,5,FALSE))</f>
        <v>#DIV/0!</v>
      </c>
      <c r="G83" s="1" t="s">
        <v>254</v>
      </c>
      <c r="H83" s="6">
        <v>59</v>
      </c>
      <c r="I83" s="2" t="s">
        <v>5</v>
      </c>
      <c r="J83" s="1" t="s">
        <v>15273</v>
      </c>
      <c r="K83" s="3"/>
      <c r="L83" s="1"/>
      <c r="M83" s="1"/>
      <c r="N83" s="8" t="s">
        <v>16120</v>
      </c>
      <c r="O83" s="1" t="s">
        <v>475</v>
      </c>
      <c r="P83" s="1" t="s">
        <v>14</v>
      </c>
      <c r="Q83" s="16">
        <v>3</v>
      </c>
      <c r="R83" s="17">
        <v>3</v>
      </c>
      <c r="S83" s="3" t="s">
        <v>5457</v>
      </c>
      <c r="T83" s="1770"/>
      <c r="U83" s="1780"/>
      <c r="V83" s="1752"/>
    </row>
    <row r="84" spans="1:22" ht="12" customHeight="1">
      <c r="A84" s="1040" t="str">
        <f t="shared" si="2"/>
        <v>3102</v>
      </c>
      <c r="B84" s="1053" t="s">
        <v>15286</v>
      </c>
      <c r="C84" s="1064"/>
      <c r="D84" s="2">
        <v>1</v>
      </c>
      <c r="E84" s="4" t="s">
        <v>264</v>
      </c>
      <c r="F84" s="1065" t="e">
        <f>IF(E84="","$",VLOOKUP(E84,'結果(小)'!$B$2:$F$1295,5,FALSE))</f>
        <v>#DIV/0!</v>
      </c>
      <c r="G84" s="1" t="s">
        <v>266</v>
      </c>
      <c r="H84" s="6">
        <v>36</v>
      </c>
      <c r="I84" s="2" t="s">
        <v>19</v>
      </c>
      <c r="J84" s="1" t="s">
        <v>15273</v>
      </c>
      <c r="K84" s="3"/>
      <c r="L84" s="1"/>
      <c r="M84" s="1"/>
      <c r="N84" s="4" t="s">
        <v>16120</v>
      </c>
      <c r="O84" s="1" t="s">
        <v>30</v>
      </c>
      <c r="P84" s="1" t="s">
        <v>6</v>
      </c>
      <c r="Q84" s="16"/>
      <c r="R84" s="17"/>
      <c r="S84" s="3"/>
      <c r="T84" s="1770"/>
      <c r="U84" s="1780"/>
      <c r="V84" s="1752"/>
    </row>
    <row r="85" spans="1:22" ht="12" customHeight="1">
      <c r="A85" s="1040" t="str">
        <f t="shared" si="2"/>
        <v>3102</v>
      </c>
      <c r="B85" s="1053" t="s">
        <v>15287</v>
      </c>
      <c r="C85" s="1064"/>
      <c r="D85" s="2">
        <v>1</v>
      </c>
      <c r="E85" s="4" t="s">
        <v>273</v>
      </c>
      <c r="F85" s="1065" t="e">
        <f>IF(E85="","$",VLOOKUP(E85,'結果(小)'!$B$2:$F$1295,5,FALSE))</f>
        <v>#DIV/0!</v>
      </c>
      <c r="G85" s="5" t="s">
        <v>892</v>
      </c>
      <c r="H85" s="6">
        <v>52</v>
      </c>
      <c r="I85" s="5" t="s">
        <v>5</v>
      </c>
      <c r="J85" s="5" t="s">
        <v>15273</v>
      </c>
      <c r="K85" s="7" t="s">
        <v>1342</v>
      </c>
      <c r="L85" s="5"/>
      <c r="M85" s="19"/>
      <c r="N85" s="4" t="s">
        <v>16120</v>
      </c>
      <c r="O85" s="5" t="s">
        <v>187</v>
      </c>
      <c r="P85" s="5" t="s">
        <v>25</v>
      </c>
      <c r="Q85" s="9">
        <v>4</v>
      </c>
      <c r="R85" s="10">
        <v>4</v>
      </c>
      <c r="S85" s="7" t="s">
        <v>5457</v>
      </c>
      <c r="T85" s="1770"/>
      <c r="U85" s="1780"/>
      <c r="V85" s="1752"/>
    </row>
    <row r="86" spans="1:22" ht="12" customHeight="1">
      <c r="A86" s="1040" t="str">
        <f t="shared" si="2"/>
        <v>3102</v>
      </c>
      <c r="B86" s="1053" t="s">
        <v>15288</v>
      </c>
      <c r="C86" s="1064"/>
      <c r="D86" s="2">
        <v>1</v>
      </c>
      <c r="E86" s="4" t="s">
        <v>279</v>
      </c>
      <c r="F86" s="1065" t="e">
        <f>IF(E86="","$",VLOOKUP(E86,'結果(小)'!$B$2:$F$1295,5,FALSE))</f>
        <v>#DIV/0!</v>
      </c>
      <c r="G86" s="1" t="s">
        <v>281</v>
      </c>
      <c r="H86" s="6">
        <v>57</v>
      </c>
      <c r="I86" s="2" t="s">
        <v>5</v>
      </c>
      <c r="J86" s="1" t="s">
        <v>15273</v>
      </c>
      <c r="K86" s="3"/>
      <c r="L86" s="1"/>
      <c r="M86" s="1"/>
      <c r="N86" s="8" t="s">
        <v>16120</v>
      </c>
      <c r="O86" s="1" t="s">
        <v>30</v>
      </c>
      <c r="P86" s="1" t="s">
        <v>6</v>
      </c>
      <c r="Q86" s="16"/>
      <c r="R86" s="17"/>
      <c r="S86" s="3" t="s">
        <v>5457</v>
      </c>
      <c r="T86" s="1770"/>
      <c r="U86" s="1780"/>
      <c r="V86" s="1752"/>
    </row>
    <row r="87" spans="1:22" ht="12" customHeight="1">
      <c r="A87" s="1040" t="str">
        <f t="shared" si="2"/>
        <v>3102</v>
      </c>
      <c r="B87" s="1053" t="s">
        <v>15289</v>
      </c>
      <c r="C87" s="1064"/>
      <c r="D87" s="2">
        <v>1</v>
      </c>
      <c r="E87" s="4" t="s">
        <v>288</v>
      </c>
      <c r="F87" s="1065" t="e">
        <f>IF(E87="","$",VLOOKUP(E87,'結果(小)'!$B$2:$F$1295,5,FALSE))</f>
        <v>#DIV/0!</v>
      </c>
      <c r="G87" s="6" t="s">
        <v>865</v>
      </c>
      <c r="H87" s="6">
        <v>63</v>
      </c>
      <c r="I87" s="5" t="s">
        <v>5</v>
      </c>
      <c r="J87" s="6" t="s">
        <v>15273</v>
      </c>
      <c r="K87" s="7" t="s">
        <v>1315</v>
      </c>
      <c r="L87" s="5"/>
      <c r="M87" s="19"/>
      <c r="N87" s="23" t="s">
        <v>16120</v>
      </c>
      <c r="O87" s="5" t="s">
        <v>13</v>
      </c>
      <c r="P87" s="5" t="s">
        <v>25</v>
      </c>
      <c r="Q87" s="9">
        <v>1</v>
      </c>
      <c r="R87" s="10">
        <v>5</v>
      </c>
      <c r="S87" s="7" t="s">
        <v>5457</v>
      </c>
      <c r="T87" s="1770"/>
      <c r="U87" s="1780"/>
      <c r="V87" s="1752"/>
    </row>
    <row r="88" spans="1:22" ht="12" customHeight="1">
      <c r="A88" s="1040" t="str">
        <f t="shared" si="2"/>
        <v>3102</v>
      </c>
      <c r="B88" s="1053" t="s">
        <v>15290</v>
      </c>
      <c r="C88" s="1064"/>
      <c r="D88" s="2">
        <v>1</v>
      </c>
      <c r="E88" s="4" t="s">
        <v>298</v>
      </c>
      <c r="F88" s="1065" t="e">
        <f>IF(E88="","$",VLOOKUP(E88,'結果(小)'!$B$2:$F$1295,5,FALSE))</f>
        <v>#DIV/0!</v>
      </c>
      <c r="G88" s="1" t="s">
        <v>301</v>
      </c>
      <c r="H88" s="6">
        <v>48</v>
      </c>
      <c r="I88" s="2" t="s">
        <v>5</v>
      </c>
      <c r="J88" s="1" t="s">
        <v>15273</v>
      </c>
      <c r="K88" s="3"/>
      <c r="L88" s="1"/>
      <c r="M88" s="1"/>
      <c r="N88" s="8" t="s">
        <v>16120</v>
      </c>
      <c r="O88" s="1" t="s">
        <v>30</v>
      </c>
      <c r="P88" s="1" t="s">
        <v>14</v>
      </c>
      <c r="Q88" s="16">
        <v>2</v>
      </c>
      <c r="R88" s="17">
        <v>2</v>
      </c>
      <c r="S88" s="3"/>
      <c r="T88" s="1770"/>
      <c r="U88" s="1780"/>
      <c r="V88" s="1752"/>
    </row>
    <row r="89" spans="1:22" ht="12" customHeight="1">
      <c r="A89" s="1040" t="str">
        <f t="shared" si="2"/>
        <v>3102</v>
      </c>
      <c r="B89" s="1053" t="s">
        <v>15291</v>
      </c>
      <c r="C89" s="1064"/>
      <c r="D89" s="2">
        <v>1</v>
      </c>
      <c r="E89" s="4" t="s">
        <v>309</v>
      </c>
      <c r="F89" s="1065" t="e">
        <f>IF(E89="","$",VLOOKUP(E89,'結果(小)'!$B$2:$F$1295,5,FALSE))</f>
        <v>#DIV/0!</v>
      </c>
      <c r="G89" s="5" t="s">
        <v>850</v>
      </c>
      <c r="H89" s="6">
        <v>62</v>
      </c>
      <c r="I89" s="5" t="s">
        <v>5</v>
      </c>
      <c r="J89" s="6" t="s">
        <v>15273</v>
      </c>
      <c r="K89" s="7" t="s">
        <v>1314</v>
      </c>
      <c r="L89" s="5"/>
      <c r="M89" s="19"/>
      <c r="N89" s="4" t="s">
        <v>16120</v>
      </c>
      <c r="O89" s="5" t="s">
        <v>30</v>
      </c>
      <c r="P89" s="5" t="s">
        <v>25</v>
      </c>
      <c r="Q89" s="9">
        <v>5</v>
      </c>
      <c r="R89" s="10">
        <v>5</v>
      </c>
      <c r="S89" s="7" t="s">
        <v>5457</v>
      </c>
      <c r="T89" s="1770"/>
      <c r="U89" s="1780"/>
      <c r="V89" s="1752"/>
    </row>
    <row r="90" spans="1:22" ht="12" customHeight="1">
      <c r="A90" s="1040" t="str">
        <f t="shared" si="2"/>
        <v>3102</v>
      </c>
      <c r="B90" s="1053" t="s">
        <v>15292</v>
      </c>
      <c r="C90" s="1064"/>
      <c r="D90" s="2">
        <v>1</v>
      </c>
      <c r="E90" s="4" t="s">
        <v>313</v>
      </c>
      <c r="F90" s="1065" t="e">
        <f>IF(E90="","$",VLOOKUP(E90,'結果(小)'!$B$2:$F$1295,5,FALSE))</f>
        <v>#DIV/0!</v>
      </c>
      <c r="G90" s="1" t="s">
        <v>316</v>
      </c>
      <c r="H90" s="6">
        <v>30</v>
      </c>
      <c r="I90" s="2" t="s">
        <v>5</v>
      </c>
      <c r="J90" s="1" t="s">
        <v>15273</v>
      </c>
      <c r="K90" s="3"/>
      <c r="L90" s="1"/>
      <c r="M90" s="1"/>
      <c r="N90" s="4" t="s">
        <v>16120</v>
      </c>
      <c r="O90" s="1" t="s">
        <v>30</v>
      </c>
      <c r="P90" s="1" t="s">
        <v>6</v>
      </c>
      <c r="Q90" s="16"/>
      <c r="R90" s="17"/>
      <c r="S90" s="3" t="s">
        <v>5457</v>
      </c>
      <c r="T90" s="1770"/>
      <c r="U90" s="1780"/>
      <c r="V90" s="1752"/>
    </row>
    <row r="91" spans="1:22" ht="12" customHeight="1">
      <c r="A91" s="1040" t="str">
        <f t="shared" si="2"/>
        <v>3102</v>
      </c>
      <c r="B91" s="1053" t="s">
        <v>15293</v>
      </c>
      <c r="C91" s="1064"/>
      <c r="D91" s="2">
        <v>1</v>
      </c>
      <c r="E91" s="4" t="s">
        <v>336</v>
      </c>
      <c r="F91" s="1065" t="e">
        <f>IF(E91="","$",VLOOKUP(E91,'結果(小)'!$B$2:$F$1295,5,FALSE))</f>
        <v>#DIV/0!</v>
      </c>
      <c r="G91" s="1" t="s">
        <v>339</v>
      </c>
      <c r="H91" s="6">
        <v>57</v>
      </c>
      <c r="I91" s="2" t="s">
        <v>5</v>
      </c>
      <c r="J91" s="1" t="s">
        <v>15273</v>
      </c>
      <c r="K91" s="3"/>
      <c r="L91" s="1"/>
      <c r="M91" s="1"/>
      <c r="N91" s="8" t="s">
        <v>16120</v>
      </c>
      <c r="O91" s="1" t="s">
        <v>48</v>
      </c>
      <c r="P91" s="1" t="s">
        <v>14</v>
      </c>
      <c r="Q91" s="16">
        <v>1</v>
      </c>
      <c r="R91" s="17">
        <v>1</v>
      </c>
      <c r="S91" s="3" t="s">
        <v>5457</v>
      </c>
      <c r="T91" s="1770"/>
      <c r="U91" s="1780"/>
      <c r="V91" s="1752"/>
    </row>
    <row r="92" spans="1:22" ht="12" customHeight="1">
      <c r="A92" s="1040" t="str">
        <f t="shared" si="2"/>
        <v>3102</v>
      </c>
      <c r="B92" s="1053" t="s">
        <v>15294</v>
      </c>
      <c r="C92" s="1064"/>
      <c r="D92" s="2">
        <v>1</v>
      </c>
      <c r="E92" s="4" t="s">
        <v>343</v>
      </c>
      <c r="F92" s="1065" t="e">
        <f>IF(E92="","$",VLOOKUP(E92,'結果(小)'!$B$2:$F$1295,5,FALSE))</f>
        <v>#DIV/0!</v>
      </c>
      <c r="G92" s="1" t="s">
        <v>350</v>
      </c>
      <c r="H92" s="6">
        <v>61</v>
      </c>
      <c r="I92" s="2" t="s">
        <v>5</v>
      </c>
      <c r="J92" s="1" t="s">
        <v>15273</v>
      </c>
      <c r="K92" s="3"/>
      <c r="L92" s="1"/>
      <c r="M92" s="1"/>
      <c r="N92" s="23" t="s">
        <v>16120</v>
      </c>
      <c r="O92" s="1" t="s">
        <v>476</v>
      </c>
      <c r="P92" s="1" t="s">
        <v>14</v>
      </c>
      <c r="Q92" s="16">
        <v>5</v>
      </c>
      <c r="R92" s="17">
        <v>5</v>
      </c>
      <c r="S92" s="3" t="s">
        <v>5457</v>
      </c>
      <c r="T92" s="1770"/>
      <c r="U92" s="1780"/>
      <c r="V92" s="1752"/>
    </row>
    <row r="93" spans="1:22" ht="12" customHeight="1">
      <c r="A93" s="1040" t="str">
        <f t="shared" si="2"/>
        <v>3102</v>
      </c>
      <c r="B93" s="1053" t="s">
        <v>15295</v>
      </c>
      <c r="C93" s="1064"/>
      <c r="D93" s="2">
        <v>1</v>
      </c>
      <c r="E93" s="4" t="s">
        <v>361</v>
      </c>
      <c r="F93" s="1065" t="e">
        <f>IF(E93="","$",VLOOKUP(E93,'結果(小)'!$B$2:$F$1295,5,FALSE))</f>
        <v>#DIV/0!</v>
      </c>
      <c r="G93" s="1" t="s">
        <v>5206</v>
      </c>
      <c r="H93" s="6">
        <v>59</v>
      </c>
      <c r="I93" s="2" t="s">
        <v>19</v>
      </c>
      <c r="J93" s="1" t="s">
        <v>15273</v>
      </c>
      <c r="K93" s="3"/>
      <c r="L93" s="1"/>
      <c r="M93" s="1"/>
      <c r="N93" s="8" t="s">
        <v>16120</v>
      </c>
      <c r="O93" s="1" t="s">
        <v>30</v>
      </c>
      <c r="P93" s="1" t="s">
        <v>6</v>
      </c>
      <c r="Q93" s="16"/>
      <c r="R93" s="17"/>
      <c r="S93" s="3" t="s">
        <v>5480</v>
      </c>
      <c r="T93" s="1770"/>
      <c r="U93" s="1780"/>
      <c r="V93" s="1752"/>
    </row>
    <row r="94" spans="1:22" ht="12" customHeight="1">
      <c r="A94" s="1040" t="str">
        <f t="shared" si="2"/>
        <v>3102</v>
      </c>
      <c r="B94" s="1053" t="s">
        <v>15296</v>
      </c>
      <c r="C94" s="1064"/>
      <c r="D94" s="2">
        <v>1</v>
      </c>
      <c r="E94" s="4" t="s">
        <v>366</v>
      </c>
      <c r="F94" s="1065" t="e">
        <f>IF(E94="","$",VLOOKUP(E94,'結果(小)'!$B$2:$F$1295,5,FALSE))</f>
        <v>#DIV/0!</v>
      </c>
      <c r="G94" s="1" t="s">
        <v>369</v>
      </c>
      <c r="H94" s="6">
        <v>57</v>
      </c>
      <c r="I94" s="2" t="s">
        <v>5</v>
      </c>
      <c r="J94" s="1" t="s">
        <v>15273</v>
      </c>
      <c r="K94" s="3"/>
      <c r="L94" s="1"/>
      <c r="M94" s="1"/>
      <c r="N94" s="4" t="s">
        <v>16120</v>
      </c>
      <c r="O94" s="1" t="s">
        <v>48</v>
      </c>
      <c r="P94" s="1" t="s">
        <v>6</v>
      </c>
      <c r="Q94" s="16"/>
      <c r="R94" s="17"/>
      <c r="S94" s="3" t="s">
        <v>5457</v>
      </c>
      <c r="T94" s="1770"/>
      <c r="U94" s="1780"/>
      <c r="V94" s="1752"/>
    </row>
    <row r="95" spans="1:22" ht="12" customHeight="1">
      <c r="A95" s="1040" t="str">
        <f t="shared" si="2"/>
        <v>3102</v>
      </c>
      <c r="B95" s="1053" t="s">
        <v>15297</v>
      </c>
      <c r="C95" s="1064"/>
      <c r="D95" s="2">
        <v>1</v>
      </c>
      <c r="E95" s="4" t="s">
        <v>377</v>
      </c>
      <c r="F95" s="1065" t="e">
        <f>IF(E95="","$",VLOOKUP(E95,'結果(小)'!$B$2:$F$1295,5,FALSE))</f>
        <v>#DIV/0!</v>
      </c>
      <c r="G95" s="1" t="s">
        <v>380</v>
      </c>
      <c r="H95" s="6">
        <v>68</v>
      </c>
      <c r="I95" s="2" t="s">
        <v>5</v>
      </c>
      <c r="J95" s="1" t="s">
        <v>15273</v>
      </c>
      <c r="K95" s="3"/>
      <c r="L95" s="1"/>
      <c r="M95" s="1"/>
      <c r="N95" s="4" t="s">
        <v>16120</v>
      </c>
      <c r="O95" s="1" t="s">
        <v>48</v>
      </c>
      <c r="P95" s="1" t="s">
        <v>14</v>
      </c>
      <c r="Q95" s="16">
        <v>6</v>
      </c>
      <c r="R95" s="17">
        <v>6</v>
      </c>
      <c r="S95" s="3" t="s">
        <v>5457</v>
      </c>
      <c r="T95" s="1770"/>
      <c r="U95" s="1780"/>
      <c r="V95" s="1752"/>
    </row>
    <row r="96" spans="1:22" ht="12" customHeight="1">
      <c r="A96" s="1040" t="str">
        <f t="shared" si="2"/>
        <v>3102</v>
      </c>
      <c r="B96" s="1053" t="s">
        <v>15298</v>
      </c>
      <c r="C96" s="1064"/>
      <c r="D96" s="2">
        <v>25</v>
      </c>
      <c r="E96" s="2"/>
      <c r="F96" s="1065" t="str">
        <f>IF(E96="","$",VLOOKUP(E96,'結果(小)'!$B$2:$F$1295,5,FALSE))</f>
        <v>$</v>
      </c>
      <c r="G96" s="2" t="s">
        <v>6055</v>
      </c>
      <c r="H96" s="6">
        <v>65</v>
      </c>
      <c r="I96" s="2" t="s">
        <v>5</v>
      </c>
      <c r="J96" s="2" t="s">
        <v>6067</v>
      </c>
      <c r="K96" s="22"/>
      <c r="L96" s="2"/>
      <c r="M96" s="2"/>
      <c r="N96" s="8" t="s">
        <v>16120</v>
      </c>
      <c r="O96" s="2" t="s">
        <v>5247</v>
      </c>
      <c r="P96" s="2" t="s">
        <v>6</v>
      </c>
      <c r="Q96" s="24"/>
      <c r="R96" s="25"/>
      <c r="S96" s="22"/>
      <c r="T96" s="1770"/>
      <c r="U96" s="1780"/>
      <c r="V96" s="1752"/>
    </row>
    <row r="97" spans="1:22" ht="12" customHeight="1" thickBot="1">
      <c r="A97" s="916" t="str">
        <f t="shared" si="2"/>
        <v>3102</v>
      </c>
      <c r="B97" s="1074" t="s">
        <v>15299</v>
      </c>
      <c r="C97" s="1075"/>
      <c r="D97" s="702">
        <v>26</v>
      </c>
      <c r="E97" s="702"/>
      <c r="F97" s="1071" t="str">
        <f>IF(E97="","$",VLOOKUP(E97,'結果(小)'!$B$2:$F$1295,5,FALSE))</f>
        <v>$</v>
      </c>
      <c r="G97" s="702" t="s">
        <v>6056</v>
      </c>
      <c r="H97" s="701">
        <v>62</v>
      </c>
      <c r="I97" s="702" t="s">
        <v>5</v>
      </c>
      <c r="J97" s="702" t="s">
        <v>6067</v>
      </c>
      <c r="K97" s="720"/>
      <c r="L97" s="702"/>
      <c r="M97" s="702"/>
      <c r="N97" s="770" t="s">
        <v>16120</v>
      </c>
      <c r="O97" s="702" t="s">
        <v>5247</v>
      </c>
      <c r="P97" s="702" t="s">
        <v>6</v>
      </c>
      <c r="Q97" s="721"/>
      <c r="R97" s="722"/>
      <c r="S97" s="720"/>
      <c r="T97" s="1771"/>
      <c r="U97" s="1776"/>
      <c r="V97" s="1753"/>
    </row>
    <row r="98" spans="1:22" ht="12" customHeight="1">
      <c r="A98" s="1038" t="str">
        <f t="shared" si="2"/>
        <v>3103</v>
      </c>
      <c r="B98" s="1097" t="s">
        <v>6032</v>
      </c>
      <c r="C98" s="1073"/>
      <c r="D98" s="696">
        <v>1</v>
      </c>
      <c r="E98" s="688" t="s">
        <v>118</v>
      </c>
      <c r="F98" s="1068" t="e">
        <f>IF(E98="","$",VLOOKUP(E98,'結果(小)'!$B$2:$F$1295,5,FALSE))</f>
        <v>#DIV/0!</v>
      </c>
      <c r="G98" s="690" t="s">
        <v>851</v>
      </c>
      <c r="H98" s="690">
        <v>49</v>
      </c>
      <c r="I98" s="690" t="s">
        <v>5</v>
      </c>
      <c r="J98" s="687" t="s">
        <v>15273</v>
      </c>
      <c r="K98" s="735" t="s">
        <v>1328</v>
      </c>
      <c r="L98" s="690"/>
      <c r="M98" s="736"/>
      <c r="N98" s="688" t="s">
        <v>16125</v>
      </c>
      <c r="O98" s="690"/>
      <c r="P98" s="690" t="s">
        <v>25</v>
      </c>
      <c r="Q98" s="737">
        <v>2</v>
      </c>
      <c r="R98" s="738">
        <v>2</v>
      </c>
      <c r="S98" s="747" t="s">
        <v>5561</v>
      </c>
      <c r="T98" s="1772"/>
      <c r="U98" s="1775"/>
      <c r="V98" s="1751" t="e">
        <f>U98/SUM(U50:U141)</f>
        <v>#DIV/0!</v>
      </c>
    </row>
    <row r="99" spans="1:22" ht="12" customHeight="1">
      <c r="A99" s="1040" t="str">
        <f t="shared" si="2"/>
        <v>3103</v>
      </c>
      <c r="B99" s="1054" t="s">
        <v>15634</v>
      </c>
      <c r="C99" s="1064"/>
      <c r="D99" s="2">
        <v>1</v>
      </c>
      <c r="E99" s="4" t="s">
        <v>184</v>
      </c>
      <c r="F99" s="1065" t="e">
        <f>IF(E99="","$",VLOOKUP(E99,'結果(小)'!$B$2:$F$1295,5,FALSE))</f>
        <v>#DIV/0!</v>
      </c>
      <c r="G99" s="5" t="s">
        <v>920</v>
      </c>
      <c r="H99" s="6">
        <v>49</v>
      </c>
      <c r="I99" s="5" t="s">
        <v>5</v>
      </c>
      <c r="J99" s="1" t="s">
        <v>15273</v>
      </c>
      <c r="K99" s="7" t="s">
        <v>1333</v>
      </c>
      <c r="L99" s="5"/>
      <c r="M99" s="19"/>
      <c r="N99" s="4" t="s">
        <v>16125</v>
      </c>
      <c r="O99" s="5"/>
      <c r="P99" s="5" t="s">
        <v>25</v>
      </c>
      <c r="Q99" s="9">
        <v>1</v>
      </c>
      <c r="R99" s="10">
        <v>1</v>
      </c>
      <c r="S99" s="7" t="s">
        <v>5561</v>
      </c>
      <c r="T99" s="1773"/>
      <c r="U99" s="1780"/>
      <c r="V99" s="1752"/>
    </row>
    <row r="100" spans="1:22" ht="12" customHeight="1">
      <c r="A100" s="1040" t="str">
        <f t="shared" si="2"/>
        <v>3103</v>
      </c>
      <c r="B100" s="1054" t="s">
        <v>16157</v>
      </c>
      <c r="C100" s="1064"/>
      <c r="D100" s="2">
        <v>1</v>
      </c>
      <c r="E100" s="4" t="s">
        <v>225</v>
      </c>
      <c r="F100" s="1065" t="e">
        <f>IF(E100="","$",VLOOKUP(E100,'結果(小)'!$B$2:$F$1295,5,FALSE))</f>
        <v>#DIV/0!</v>
      </c>
      <c r="G100" s="5" t="s">
        <v>877</v>
      </c>
      <c r="H100" s="6">
        <v>43</v>
      </c>
      <c r="I100" s="5" t="s">
        <v>5</v>
      </c>
      <c r="J100" s="1" t="s">
        <v>15273</v>
      </c>
      <c r="K100" s="7" t="s">
        <v>1338</v>
      </c>
      <c r="L100" s="5"/>
      <c r="M100" s="19"/>
      <c r="N100" s="4" t="s">
        <v>16125</v>
      </c>
      <c r="O100" s="5"/>
      <c r="P100" s="5" t="s">
        <v>25</v>
      </c>
      <c r="Q100" s="9">
        <v>1</v>
      </c>
      <c r="R100" s="10">
        <v>1</v>
      </c>
      <c r="S100" s="7" t="s">
        <v>5561</v>
      </c>
      <c r="T100" s="1773"/>
      <c r="U100" s="1780"/>
      <c r="V100" s="1752"/>
    </row>
    <row r="101" spans="1:22" ht="12" customHeight="1">
      <c r="A101" s="1040" t="str">
        <f t="shared" si="2"/>
        <v>3103</v>
      </c>
      <c r="B101" s="1054" t="s">
        <v>16158</v>
      </c>
      <c r="C101" s="1064"/>
      <c r="D101" s="2">
        <v>1</v>
      </c>
      <c r="E101" s="4" t="s">
        <v>280</v>
      </c>
      <c r="F101" s="1065" t="e">
        <f>IF(E101="","$",VLOOKUP(E101,'結果(小)'!$B$2:$F$1295,5,FALSE))</f>
        <v>#DIV/0!</v>
      </c>
      <c r="G101" s="1" t="s">
        <v>1372</v>
      </c>
      <c r="H101" s="6">
        <v>70</v>
      </c>
      <c r="I101" s="2" t="s">
        <v>5</v>
      </c>
      <c r="J101" s="1" t="s">
        <v>15273</v>
      </c>
      <c r="K101" s="3" t="s">
        <v>1373</v>
      </c>
      <c r="L101" s="1"/>
      <c r="M101" s="1"/>
      <c r="N101" s="4" t="s">
        <v>16125</v>
      </c>
      <c r="O101" s="1"/>
      <c r="P101" s="1" t="s">
        <v>25</v>
      </c>
      <c r="Q101" s="16">
        <v>1</v>
      </c>
      <c r="R101" s="17">
        <v>1</v>
      </c>
      <c r="S101" s="3" t="s">
        <v>5561</v>
      </c>
      <c r="T101" s="1773"/>
      <c r="U101" s="1780"/>
      <c r="V101" s="1752"/>
    </row>
    <row r="102" spans="1:22" ht="12" customHeight="1">
      <c r="A102" s="1040" t="str">
        <f t="shared" si="2"/>
        <v>3103</v>
      </c>
      <c r="B102" s="1054" t="s">
        <v>16159</v>
      </c>
      <c r="C102" s="1064"/>
      <c r="D102" s="2">
        <v>1</v>
      </c>
      <c r="E102" s="4" t="s">
        <v>299</v>
      </c>
      <c r="F102" s="1065" t="e">
        <f>IF(E102="","$",VLOOKUP(E102,'結果(小)'!$B$2:$F$1295,5,FALSE))</f>
        <v>#DIV/0!</v>
      </c>
      <c r="G102" s="5" t="s">
        <v>862</v>
      </c>
      <c r="H102" s="6">
        <v>62</v>
      </c>
      <c r="I102" s="5" t="s">
        <v>19</v>
      </c>
      <c r="J102" s="1" t="s">
        <v>15273</v>
      </c>
      <c r="K102" s="7" t="s">
        <v>1345</v>
      </c>
      <c r="L102" s="5"/>
      <c r="M102" s="19"/>
      <c r="N102" s="4" t="s">
        <v>16125</v>
      </c>
      <c r="O102" s="5"/>
      <c r="P102" s="5" t="s">
        <v>25</v>
      </c>
      <c r="Q102" s="9">
        <v>1</v>
      </c>
      <c r="R102" s="10">
        <v>1</v>
      </c>
      <c r="S102" s="3" t="s">
        <v>5561</v>
      </c>
      <c r="T102" s="1773"/>
      <c r="U102" s="1780"/>
      <c r="V102" s="1752"/>
    </row>
    <row r="103" spans="1:22" ht="12" customHeight="1">
      <c r="A103" s="1040" t="str">
        <f t="shared" si="2"/>
        <v>3103</v>
      </c>
      <c r="B103" s="1054" t="s">
        <v>16160</v>
      </c>
      <c r="C103" s="1064"/>
      <c r="D103" s="2">
        <v>1</v>
      </c>
      <c r="E103" s="4" t="s">
        <v>337</v>
      </c>
      <c r="F103" s="1065" t="e">
        <f>IF(E103="","$",VLOOKUP(E103,'結果(小)'!$B$2:$F$1295,5,FALSE))</f>
        <v>#DIV/0!</v>
      </c>
      <c r="G103" s="5" t="s">
        <v>901</v>
      </c>
      <c r="H103" s="6">
        <v>39</v>
      </c>
      <c r="I103" s="5" t="s">
        <v>5</v>
      </c>
      <c r="J103" s="1" t="s">
        <v>15273</v>
      </c>
      <c r="K103" s="7" t="s">
        <v>1349</v>
      </c>
      <c r="L103" s="5"/>
      <c r="M103" s="19"/>
      <c r="N103" s="4" t="s">
        <v>16125</v>
      </c>
      <c r="O103" s="5"/>
      <c r="P103" s="5" t="s">
        <v>25</v>
      </c>
      <c r="Q103" s="9">
        <v>1</v>
      </c>
      <c r="R103" s="10">
        <v>1</v>
      </c>
      <c r="S103" s="7" t="s">
        <v>5561</v>
      </c>
      <c r="T103" s="1773"/>
      <c r="U103" s="1780"/>
      <c r="V103" s="1752"/>
    </row>
    <row r="104" spans="1:22" ht="12" customHeight="1">
      <c r="A104" s="1040" t="str">
        <f t="shared" si="2"/>
        <v>3103</v>
      </c>
      <c r="B104" s="1054" t="s">
        <v>16161</v>
      </c>
      <c r="C104" s="1064"/>
      <c r="D104" s="2">
        <v>1</v>
      </c>
      <c r="E104" s="4" t="s">
        <v>344</v>
      </c>
      <c r="F104" s="1065" t="e">
        <f>IF(E104="","$",VLOOKUP(E104,'結果(小)'!$B$2:$F$1295,5,FALSE))</f>
        <v>#DIV/0!</v>
      </c>
      <c r="G104" s="5" t="s">
        <v>908</v>
      </c>
      <c r="H104" s="6">
        <v>33</v>
      </c>
      <c r="I104" s="5" t="s">
        <v>19</v>
      </c>
      <c r="J104" s="1" t="s">
        <v>15273</v>
      </c>
      <c r="K104" s="7" t="s">
        <v>1350</v>
      </c>
      <c r="L104" s="5"/>
      <c r="M104" s="19"/>
      <c r="N104" s="4" t="s">
        <v>16125</v>
      </c>
      <c r="O104" s="5"/>
      <c r="P104" s="5" t="s">
        <v>25</v>
      </c>
      <c r="Q104" s="9">
        <v>2</v>
      </c>
      <c r="R104" s="10">
        <v>2</v>
      </c>
      <c r="S104" s="3" t="s">
        <v>5561</v>
      </c>
      <c r="T104" s="1773"/>
      <c r="U104" s="1780"/>
      <c r="V104" s="1752"/>
    </row>
    <row r="105" spans="1:22" ht="12" customHeight="1">
      <c r="A105" s="1040" t="str">
        <f t="shared" si="2"/>
        <v>3103</v>
      </c>
      <c r="B105" s="1054" t="s">
        <v>16155</v>
      </c>
      <c r="C105" s="1064"/>
      <c r="D105" s="2">
        <v>8</v>
      </c>
      <c r="E105" s="2"/>
      <c r="F105" s="1065" t="str">
        <f>IF(E105="","$",VLOOKUP(E105,'結果(小)'!$B$2:$F$1295,5,FALSE))</f>
        <v>$</v>
      </c>
      <c r="G105" s="2" t="s">
        <v>2086</v>
      </c>
      <c r="H105" s="6">
        <v>78</v>
      </c>
      <c r="I105" s="2" t="s">
        <v>5</v>
      </c>
      <c r="J105" s="2" t="s">
        <v>6067</v>
      </c>
      <c r="K105" s="22" t="s">
        <v>2087</v>
      </c>
      <c r="L105" s="2"/>
      <c r="M105" s="2"/>
      <c r="N105" s="23" t="s">
        <v>16125</v>
      </c>
      <c r="O105" s="2"/>
      <c r="P105" s="2" t="s">
        <v>25</v>
      </c>
      <c r="Q105" s="24">
        <v>1</v>
      </c>
      <c r="R105" s="25">
        <v>1</v>
      </c>
      <c r="S105" s="22"/>
      <c r="T105" s="1773"/>
      <c r="U105" s="1780"/>
      <c r="V105" s="1752"/>
    </row>
    <row r="106" spans="1:22" ht="12" customHeight="1">
      <c r="A106" s="1040" t="str">
        <f t="shared" si="2"/>
        <v>3103</v>
      </c>
      <c r="B106" s="1054" t="s">
        <v>16162</v>
      </c>
      <c r="C106" s="1064"/>
      <c r="D106" s="2">
        <v>9</v>
      </c>
      <c r="E106" s="4" t="s">
        <v>129</v>
      </c>
      <c r="F106" s="1065" t="e">
        <f>IF(E106="","$",VLOOKUP(E106,'結果(小)'!$B$2:$F$1295,5,FALSE))</f>
        <v>#DIV/0!</v>
      </c>
      <c r="G106" s="6" t="s">
        <v>914</v>
      </c>
      <c r="H106" s="6">
        <v>42</v>
      </c>
      <c r="I106" s="6" t="s">
        <v>19</v>
      </c>
      <c r="J106" s="1" t="s">
        <v>15273</v>
      </c>
      <c r="K106" s="12" t="s">
        <v>1312</v>
      </c>
      <c r="L106" s="6"/>
      <c r="M106" s="19"/>
      <c r="N106" s="4" t="s">
        <v>16125</v>
      </c>
      <c r="O106" s="6"/>
      <c r="P106" s="6" t="s">
        <v>25</v>
      </c>
      <c r="Q106" s="13">
        <v>1</v>
      </c>
      <c r="R106" s="14">
        <v>1</v>
      </c>
      <c r="S106" s="3" t="s">
        <v>5561</v>
      </c>
      <c r="T106" s="1773"/>
      <c r="U106" s="1780"/>
      <c r="V106" s="1752"/>
    </row>
    <row r="107" spans="1:22" ht="12" customHeight="1">
      <c r="A107" s="1040" t="str">
        <f t="shared" si="2"/>
        <v>3103</v>
      </c>
      <c r="B107" s="1054" t="s">
        <v>16163</v>
      </c>
      <c r="C107" s="1064"/>
      <c r="D107" s="2">
        <v>9</v>
      </c>
      <c r="E107" s="4" t="s">
        <v>154</v>
      </c>
      <c r="F107" s="1065" t="e">
        <f>IF(E107="","$",VLOOKUP(E107,'結果(小)'!$B$2:$F$1295,5,FALSE))</f>
        <v>#DIV/0!</v>
      </c>
      <c r="G107" s="5" t="s">
        <v>5072</v>
      </c>
      <c r="H107" s="6">
        <v>34</v>
      </c>
      <c r="I107" s="5" t="s">
        <v>5</v>
      </c>
      <c r="J107" s="1" t="s">
        <v>15273</v>
      </c>
      <c r="K107" s="7"/>
      <c r="L107" s="5"/>
      <c r="M107" s="19"/>
      <c r="N107" s="4" t="s">
        <v>16125</v>
      </c>
      <c r="O107" s="5"/>
      <c r="P107" s="5" t="s">
        <v>6</v>
      </c>
      <c r="Q107" s="9"/>
      <c r="R107" s="10"/>
      <c r="S107" s="7" t="s">
        <v>5561</v>
      </c>
      <c r="T107" s="1773"/>
      <c r="U107" s="1780"/>
      <c r="V107" s="1752"/>
    </row>
    <row r="108" spans="1:22" ht="12" customHeight="1">
      <c r="A108" s="1040" t="str">
        <f t="shared" si="2"/>
        <v>3103</v>
      </c>
      <c r="B108" s="1054" t="s">
        <v>16164</v>
      </c>
      <c r="C108" s="1064"/>
      <c r="D108" s="2">
        <v>9</v>
      </c>
      <c r="E108" s="4" t="s">
        <v>167</v>
      </c>
      <c r="F108" s="1065" t="e">
        <f>IF(E108="","$",VLOOKUP(E108,'結果(小)'!$B$2:$F$1295,5,FALSE))</f>
        <v>#DIV/0!</v>
      </c>
      <c r="G108" s="1" t="s">
        <v>5990</v>
      </c>
      <c r="H108" s="6">
        <v>47</v>
      </c>
      <c r="I108" s="2" t="s">
        <v>19</v>
      </c>
      <c r="J108" s="1" t="s">
        <v>15273</v>
      </c>
      <c r="K108" s="3"/>
      <c r="L108" s="1"/>
      <c r="M108" s="1"/>
      <c r="N108" s="4" t="s">
        <v>16125</v>
      </c>
      <c r="O108" s="1"/>
      <c r="P108" s="1" t="s">
        <v>6</v>
      </c>
      <c r="Q108" s="16"/>
      <c r="R108" s="17"/>
      <c r="S108" s="3" t="s">
        <v>5561</v>
      </c>
      <c r="T108" s="1773"/>
      <c r="U108" s="1780"/>
      <c r="V108" s="1752"/>
    </row>
    <row r="109" spans="1:22" ht="12" customHeight="1">
      <c r="A109" s="1040" t="str">
        <f t="shared" si="2"/>
        <v>3103</v>
      </c>
      <c r="B109" s="1054" t="s">
        <v>16165</v>
      </c>
      <c r="C109" s="1064"/>
      <c r="D109" s="2">
        <v>9</v>
      </c>
      <c r="E109" s="4" t="s">
        <v>192</v>
      </c>
      <c r="F109" s="1065" t="e">
        <f>IF(E109="","$",VLOOKUP(E109,'結果(小)'!$B$2:$F$1295,5,FALSE))</f>
        <v>#DIV/0!</v>
      </c>
      <c r="G109" s="1" t="s">
        <v>3205</v>
      </c>
      <c r="H109" s="6">
        <v>46</v>
      </c>
      <c r="I109" s="2" t="s">
        <v>19</v>
      </c>
      <c r="J109" s="1" t="s">
        <v>15273</v>
      </c>
      <c r="K109" s="3"/>
      <c r="L109" s="1"/>
      <c r="M109" s="1"/>
      <c r="N109" s="4" t="s">
        <v>16125</v>
      </c>
      <c r="O109" s="1"/>
      <c r="P109" s="1" t="s">
        <v>6</v>
      </c>
      <c r="Q109" s="16"/>
      <c r="R109" s="17"/>
      <c r="S109" s="3" t="s">
        <v>5561</v>
      </c>
      <c r="T109" s="1773"/>
      <c r="U109" s="1780"/>
      <c r="V109" s="1752"/>
    </row>
    <row r="110" spans="1:22" ht="12" customHeight="1">
      <c r="A110" s="1040" t="str">
        <f t="shared" si="2"/>
        <v>3103</v>
      </c>
      <c r="B110" s="1054" t="s">
        <v>16166</v>
      </c>
      <c r="C110" s="1064"/>
      <c r="D110" s="2">
        <v>9</v>
      </c>
      <c r="E110" s="4" t="s">
        <v>209</v>
      </c>
      <c r="F110" s="1065" t="e">
        <f>IF(E110="","$",VLOOKUP(E110,'結果(小)'!$B$2:$F$1295,5,FALSE))</f>
        <v>#DIV/0!</v>
      </c>
      <c r="G110" s="1" t="s">
        <v>2540</v>
      </c>
      <c r="H110" s="6">
        <v>47</v>
      </c>
      <c r="I110" s="2" t="s">
        <v>5</v>
      </c>
      <c r="J110" s="1" t="s">
        <v>15273</v>
      </c>
      <c r="K110" s="3"/>
      <c r="L110" s="1"/>
      <c r="M110" s="1"/>
      <c r="N110" s="4" t="s">
        <v>16125</v>
      </c>
      <c r="O110" s="1"/>
      <c r="P110" s="1" t="s">
        <v>6</v>
      </c>
      <c r="Q110" s="16"/>
      <c r="R110" s="17"/>
      <c r="S110" s="3" t="s">
        <v>5561</v>
      </c>
      <c r="T110" s="1773"/>
      <c r="U110" s="1780"/>
      <c r="V110" s="1752"/>
    </row>
    <row r="111" spans="1:22" ht="12" customHeight="1">
      <c r="A111" s="1040" t="str">
        <f t="shared" si="2"/>
        <v>3103</v>
      </c>
      <c r="B111" s="1054" t="s">
        <v>16167</v>
      </c>
      <c r="C111" s="1064"/>
      <c r="D111" s="2">
        <v>9</v>
      </c>
      <c r="E111" s="4" t="s">
        <v>265</v>
      </c>
      <c r="F111" s="1065" t="e">
        <f>IF(E111="","$",VLOOKUP(E111,'結果(小)'!$B$2:$F$1295,5,FALSE))</f>
        <v>#DIV/0!</v>
      </c>
      <c r="G111" s="1" t="s">
        <v>6165</v>
      </c>
      <c r="H111" s="6">
        <v>49</v>
      </c>
      <c r="I111" s="2" t="s">
        <v>19</v>
      </c>
      <c r="J111" s="1" t="s">
        <v>15273</v>
      </c>
      <c r="K111" s="3"/>
      <c r="L111" s="1"/>
      <c r="M111" s="1"/>
      <c r="N111" s="4" t="s">
        <v>16125</v>
      </c>
      <c r="O111" s="1"/>
      <c r="P111" s="1" t="s">
        <v>6</v>
      </c>
      <c r="Q111" s="16"/>
      <c r="R111" s="17"/>
      <c r="S111" s="3" t="s">
        <v>5561</v>
      </c>
      <c r="T111" s="1773"/>
      <c r="U111" s="1780"/>
      <c r="V111" s="1752"/>
    </row>
    <row r="112" spans="1:22" ht="12" customHeight="1">
      <c r="A112" s="1040" t="str">
        <f t="shared" si="2"/>
        <v>3103</v>
      </c>
      <c r="B112" s="1054" t="s">
        <v>16168</v>
      </c>
      <c r="C112" s="1064"/>
      <c r="D112" s="2">
        <v>9</v>
      </c>
      <c r="E112" s="4" t="s">
        <v>378</v>
      </c>
      <c r="F112" s="1065" t="e">
        <f>IF(E112="","$",VLOOKUP(E112,'結果(小)'!$B$2:$F$1295,5,FALSE))</f>
        <v>#DIV/0!</v>
      </c>
      <c r="G112" s="1" t="s">
        <v>6167</v>
      </c>
      <c r="H112" s="6">
        <v>64</v>
      </c>
      <c r="I112" s="2" t="s">
        <v>5</v>
      </c>
      <c r="J112" s="1" t="s">
        <v>15273</v>
      </c>
      <c r="K112" s="3"/>
      <c r="L112" s="1"/>
      <c r="M112" s="1"/>
      <c r="N112" s="4" t="s">
        <v>16125</v>
      </c>
      <c r="O112" s="1"/>
      <c r="P112" s="1" t="s">
        <v>6</v>
      </c>
      <c r="Q112" s="16"/>
      <c r="R112" s="17"/>
      <c r="S112" s="3" t="s">
        <v>5561</v>
      </c>
      <c r="T112" s="1773"/>
      <c r="U112" s="1780"/>
      <c r="V112" s="1752"/>
    </row>
    <row r="113" spans="1:22" ht="12" customHeight="1" thickBot="1">
      <c r="A113" s="916" t="str">
        <f t="shared" si="2"/>
        <v>3103</v>
      </c>
      <c r="B113" s="1098" t="s">
        <v>16156</v>
      </c>
      <c r="C113" s="1075"/>
      <c r="D113" s="702">
        <v>16</v>
      </c>
      <c r="E113" s="702"/>
      <c r="F113" s="1071" t="str">
        <f>IF(E113="","$",VLOOKUP(E113,'結果(小)'!$B$2:$F$1295,5,FALSE))</f>
        <v>$</v>
      </c>
      <c r="G113" s="702" t="s">
        <v>15635</v>
      </c>
      <c r="H113" s="701">
        <v>81</v>
      </c>
      <c r="I113" s="702" t="s">
        <v>5</v>
      </c>
      <c r="J113" s="702" t="s">
        <v>6067</v>
      </c>
      <c r="K113" s="720"/>
      <c r="L113" s="702"/>
      <c r="M113" s="702"/>
      <c r="N113" s="770" t="s">
        <v>16125</v>
      </c>
      <c r="O113" s="702"/>
      <c r="P113" s="702" t="s">
        <v>6</v>
      </c>
      <c r="Q113" s="721"/>
      <c r="R113" s="722"/>
      <c r="S113" s="720"/>
      <c r="T113" s="1774"/>
      <c r="U113" s="1776"/>
      <c r="V113" s="1753"/>
    </row>
    <row r="114" spans="1:22" ht="12" customHeight="1">
      <c r="A114" s="1038" t="str">
        <f t="shared" si="2"/>
        <v>3104</v>
      </c>
      <c r="B114" s="1081" t="s">
        <v>2092</v>
      </c>
      <c r="C114" s="1073"/>
      <c r="D114" s="696">
        <v>1</v>
      </c>
      <c r="E114" s="696"/>
      <c r="F114" s="1068" t="str">
        <f>IF(E114="","$",VLOOKUP(E114,'結果(小)'!$B$2:$F$1295,5,FALSE))</f>
        <v>$</v>
      </c>
      <c r="G114" s="696" t="s">
        <v>2094</v>
      </c>
      <c r="H114" s="690">
        <v>65</v>
      </c>
      <c r="I114" s="696" t="s">
        <v>5</v>
      </c>
      <c r="J114" s="696" t="s">
        <v>6067</v>
      </c>
      <c r="K114" s="715" t="s">
        <v>2095</v>
      </c>
      <c r="L114" s="696"/>
      <c r="M114" s="696"/>
      <c r="N114" s="716" t="s">
        <v>16118</v>
      </c>
      <c r="O114" s="696"/>
      <c r="P114" s="696" t="s">
        <v>25</v>
      </c>
      <c r="Q114" s="717">
        <v>6</v>
      </c>
      <c r="R114" s="718">
        <v>6</v>
      </c>
      <c r="S114" s="715"/>
      <c r="T114" s="1763"/>
      <c r="U114" s="1775"/>
      <c r="V114" s="1751" t="e">
        <f>U114/SUM(U50:U141)</f>
        <v>#DIV/0!</v>
      </c>
    </row>
    <row r="115" spans="1:22" ht="12" customHeight="1" thickBot="1">
      <c r="A115" s="916" t="str">
        <f t="shared" si="2"/>
        <v>3104</v>
      </c>
      <c r="B115" s="1082" t="s">
        <v>2093</v>
      </c>
      <c r="C115" s="1075"/>
      <c r="D115" s="702">
        <v>2</v>
      </c>
      <c r="E115" s="702"/>
      <c r="F115" s="1071" t="str">
        <f>IF(E115="","$",VLOOKUP(E115,'結果(小)'!$B$2:$F$1295,5,FALSE))</f>
        <v>$</v>
      </c>
      <c r="G115" s="701" t="s">
        <v>2098</v>
      </c>
      <c r="H115" s="701">
        <v>31</v>
      </c>
      <c r="I115" s="701" t="s">
        <v>5</v>
      </c>
      <c r="J115" s="702" t="s">
        <v>6067</v>
      </c>
      <c r="K115" s="740"/>
      <c r="L115" s="701"/>
      <c r="M115" s="741"/>
      <c r="N115" s="704" t="s">
        <v>16118</v>
      </c>
      <c r="O115" s="701"/>
      <c r="P115" s="701" t="s">
        <v>6</v>
      </c>
      <c r="Q115" s="742"/>
      <c r="R115" s="743"/>
      <c r="S115" s="740"/>
      <c r="T115" s="1765"/>
      <c r="U115" s="1776"/>
      <c r="V115" s="1753"/>
    </row>
    <row r="116" spans="1:22" ht="12" customHeight="1">
      <c r="A116" s="1038" t="str">
        <f t="shared" si="2"/>
        <v>3105</v>
      </c>
      <c r="B116" s="1083" t="s">
        <v>16169</v>
      </c>
      <c r="C116" s="1073"/>
      <c r="D116" s="696">
        <v>1</v>
      </c>
      <c r="E116" s="688" t="s">
        <v>366</v>
      </c>
      <c r="F116" s="1068" t="e">
        <f>IF(E116="","$",VLOOKUP(E116,'結果(小)'!$B$2:$F$1295,5,FALSE))</f>
        <v>#DIV/0!</v>
      </c>
      <c r="G116" s="690" t="s">
        <v>887</v>
      </c>
      <c r="H116" s="690">
        <v>44</v>
      </c>
      <c r="I116" s="690" t="s">
        <v>5</v>
      </c>
      <c r="J116" s="687" t="s">
        <v>15273</v>
      </c>
      <c r="K116" s="691" t="s">
        <v>1352</v>
      </c>
      <c r="L116" s="689" t="s">
        <v>373</v>
      </c>
      <c r="M116" s="736"/>
      <c r="N116" s="688" t="s">
        <v>16116</v>
      </c>
      <c r="O116" s="690" t="s">
        <v>469</v>
      </c>
      <c r="P116" s="690" t="s">
        <v>6</v>
      </c>
      <c r="Q116" s="693"/>
      <c r="R116" s="694">
        <v>1</v>
      </c>
      <c r="S116" s="747"/>
      <c r="T116" s="1766"/>
      <c r="U116" s="1775"/>
      <c r="V116" s="1751" t="e">
        <f>U116/SUM(U50:U141)</f>
        <v>#DIV/0!</v>
      </c>
    </row>
    <row r="117" spans="1:22" ht="12" customHeight="1">
      <c r="A117" s="1040" t="str">
        <f t="shared" si="2"/>
        <v>3105</v>
      </c>
      <c r="B117" s="1056" t="s">
        <v>16170</v>
      </c>
      <c r="C117" s="1064"/>
      <c r="D117" s="2">
        <v>2</v>
      </c>
      <c r="E117" s="4" t="s">
        <v>119</v>
      </c>
      <c r="F117" s="1065" t="e">
        <f>IF(E117="","$",VLOOKUP(E117,'結果(小)'!$B$2:$F$1295,5,FALSE))</f>
        <v>#DIV/0!</v>
      </c>
      <c r="G117" s="1" t="s">
        <v>124</v>
      </c>
      <c r="H117" s="6">
        <v>55</v>
      </c>
      <c r="I117" s="2" t="s">
        <v>5</v>
      </c>
      <c r="J117" s="1" t="s">
        <v>15273</v>
      </c>
      <c r="K117" s="3"/>
      <c r="L117" s="1"/>
      <c r="M117" s="1"/>
      <c r="N117" s="4" t="s">
        <v>16116</v>
      </c>
      <c r="O117" s="1" t="s">
        <v>4993</v>
      </c>
      <c r="P117" s="1" t="s">
        <v>6</v>
      </c>
      <c r="Q117" s="16"/>
      <c r="R117" s="17"/>
      <c r="S117" s="3"/>
      <c r="T117" s="1767"/>
      <c r="U117" s="1780"/>
      <c r="V117" s="1752"/>
    </row>
    <row r="118" spans="1:22" ht="12" customHeight="1">
      <c r="A118" s="1040" t="str">
        <f t="shared" si="2"/>
        <v>3105</v>
      </c>
      <c r="B118" s="1056" t="s">
        <v>16171</v>
      </c>
      <c r="C118" s="1064"/>
      <c r="D118" s="2">
        <v>2</v>
      </c>
      <c r="E118" s="4" t="s">
        <v>300</v>
      </c>
      <c r="F118" s="1065" t="e">
        <f>IF(E118="","$",VLOOKUP(E118,'結果(小)'!$B$2:$F$1295,5,FALSE))</f>
        <v>#DIV/0!</v>
      </c>
      <c r="G118" s="1" t="s">
        <v>4586</v>
      </c>
      <c r="H118" s="6">
        <v>52</v>
      </c>
      <c r="I118" s="2" t="s">
        <v>5</v>
      </c>
      <c r="J118" s="1" t="s">
        <v>15273</v>
      </c>
      <c r="K118" s="3"/>
      <c r="L118" s="1"/>
      <c r="M118" s="1"/>
      <c r="N118" s="4" t="s">
        <v>16116</v>
      </c>
      <c r="O118" s="1" t="s">
        <v>4993</v>
      </c>
      <c r="P118" s="1" t="s">
        <v>6</v>
      </c>
      <c r="Q118" s="16"/>
      <c r="R118" s="17"/>
      <c r="S118" s="3"/>
      <c r="T118" s="1767"/>
      <c r="U118" s="1780"/>
      <c r="V118" s="1752"/>
    </row>
    <row r="119" spans="1:22" ht="12" customHeight="1">
      <c r="A119" s="1040" t="str">
        <f t="shared" si="2"/>
        <v>3105</v>
      </c>
      <c r="B119" s="1056" t="s">
        <v>16172</v>
      </c>
      <c r="C119" s="1064"/>
      <c r="D119" s="2">
        <v>4</v>
      </c>
      <c r="E119" s="4" t="s">
        <v>226</v>
      </c>
      <c r="F119" s="1065" t="e">
        <f>IF(E119="","$",VLOOKUP(E119,'結果(小)'!$B$2:$F$1295,5,FALSE))</f>
        <v>#DIV/0!</v>
      </c>
      <c r="G119" s="1" t="s">
        <v>238</v>
      </c>
      <c r="H119" s="6">
        <v>64</v>
      </c>
      <c r="I119" s="2" t="s">
        <v>5</v>
      </c>
      <c r="J119" s="1" t="s">
        <v>15273</v>
      </c>
      <c r="K119" s="3"/>
      <c r="L119" s="1"/>
      <c r="M119" s="1"/>
      <c r="N119" s="4" t="s">
        <v>16116</v>
      </c>
      <c r="O119" s="1" t="s">
        <v>4993</v>
      </c>
      <c r="P119" s="1" t="s">
        <v>14</v>
      </c>
      <c r="Q119" s="16">
        <v>3</v>
      </c>
      <c r="R119" s="17">
        <v>3</v>
      </c>
      <c r="S119" s="3"/>
      <c r="T119" s="1767"/>
      <c r="U119" s="1780"/>
      <c r="V119" s="1752"/>
    </row>
    <row r="120" spans="1:22" ht="12" customHeight="1">
      <c r="A120" s="1040" t="str">
        <f t="shared" si="2"/>
        <v>3105</v>
      </c>
      <c r="B120" s="1056" t="s">
        <v>16173</v>
      </c>
      <c r="C120" s="1064"/>
      <c r="D120" s="2">
        <v>4</v>
      </c>
      <c r="E120" s="4" t="s">
        <v>252</v>
      </c>
      <c r="F120" s="1065" t="e">
        <f>IF(E120="","$",VLOOKUP(E120,'結果(小)'!$B$2:$F$1295,5,FALSE))</f>
        <v>#DIV/0!</v>
      </c>
      <c r="G120" s="1" t="s">
        <v>5224</v>
      </c>
      <c r="H120" s="6">
        <v>38</v>
      </c>
      <c r="I120" s="2" t="s">
        <v>5</v>
      </c>
      <c r="J120" s="1" t="s">
        <v>15273</v>
      </c>
      <c r="K120" s="3"/>
      <c r="L120" s="1"/>
      <c r="M120" s="1"/>
      <c r="N120" s="4" t="s">
        <v>16116</v>
      </c>
      <c r="O120" s="1" t="s">
        <v>4997</v>
      </c>
      <c r="P120" s="1" t="s">
        <v>6</v>
      </c>
      <c r="Q120" s="16"/>
      <c r="R120" s="17"/>
      <c r="S120" s="3" t="s">
        <v>469</v>
      </c>
      <c r="T120" s="1767"/>
      <c r="U120" s="1780"/>
      <c r="V120" s="1752"/>
    </row>
    <row r="121" spans="1:22" ht="12" customHeight="1">
      <c r="A121" s="1040" t="str">
        <f t="shared" si="2"/>
        <v>3105</v>
      </c>
      <c r="B121" s="1056" t="s">
        <v>16174</v>
      </c>
      <c r="C121" s="1064"/>
      <c r="D121" s="2">
        <v>4</v>
      </c>
      <c r="E121" s="4" t="s">
        <v>1371</v>
      </c>
      <c r="F121" s="1065" t="e">
        <f>IF(E121="","$",VLOOKUP(E121,'結果(小)'!$B$2:$F$1295,5,FALSE))</f>
        <v>#DIV/0!</v>
      </c>
      <c r="G121" s="1" t="s">
        <v>5976</v>
      </c>
      <c r="H121" s="6">
        <v>63</v>
      </c>
      <c r="I121" s="2" t="s">
        <v>5</v>
      </c>
      <c r="J121" s="1" t="s">
        <v>15273</v>
      </c>
      <c r="K121" s="3"/>
      <c r="L121" s="1"/>
      <c r="M121" s="1"/>
      <c r="N121" s="4" t="s">
        <v>16116</v>
      </c>
      <c r="O121" s="1" t="s">
        <v>276</v>
      </c>
      <c r="P121" s="1" t="s">
        <v>14</v>
      </c>
      <c r="Q121" s="16">
        <v>1</v>
      </c>
      <c r="R121" s="17">
        <v>1</v>
      </c>
      <c r="S121" s="3"/>
      <c r="T121" s="1767"/>
      <c r="U121" s="1780"/>
      <c r="V121" s="1752"/>
    </row>
    <row r="122" spans="1:22" ht="12" customHeight="1">
      <c r="A122" s="1040" t="str">
        <f t="shared" si="2"/>
        <v>3105</v>
      </c>
      <c r="B122" s="1056" t="s">
        <v>16175</v>
      </c>
      <c r="C122" s="1064"/>
      <c r="D122" s="2">
        <v>4</v>
      </c>
      <c r="E122" s="4" t="s">
        <v>314</v>
      </c>
      <c r="F122" s="1065" t="e">
        <f>IF(E122="","$",VLOOKUP(E122,'結果(小)'!$B$2:$F$1295,5,FALSE))</f>
        <v>#DIV/0!</v>
      </c>
      <c r="G122" s="1" t="s">
        <v>320</v>
      </c>
      <c r="H122" s="6">
        <v>53</v>
      </c>
      <c r="I122" s="2" t="s">
        <v>5</v>
      </c>
      <c r="J122" s="1" t="s">
        <v>15273</v>
      </c>
      <c r="K122" s="3"/>
      <c r="L122" s="1"/>
      <c r="M122" s="1"/>
      <c r="N122" s="4" t="s">
        <v>16116</v>
      </c>
      <c r="O122" s="1" t="s">
        <v>469</v>
      </c>
      <c r="P122" s="1" t="s">
        <v>6</v>
      </c>
      <c r="Q122" s="16"/>
      <c r="R122" s="17"/>
      <c r="S122" s="3"/>
      <c r="T122" s="1767"/>
      <c r="U122" s="1780"/>
      <c r="V122" s="1752"/>
    </row>
    <row r="123" spans="1:22" ht="12" customHeight="1">
      <c r="A123" s="1040" t="str">
        <f t="shared" si="2"/>
        <v>3105</v>
      </c>
      <c r="B123" s="1056" t="s">
        <v>16176</v>
      </c>
      <c r="C123" s="1064"/>
      <c r="D123" s="2">
        <v>4</v>
      </c>
      <c r="E123" s="4" t="s">
        <v>324</v>
      </c>
      <c r="F123" s="1065" t="e">
        <f>IF(E123="","$",VLOOKUP(E123,'結果(小)'!$B$2:$F$1295,5,FALSE))</f>
        <v>#DIV/0!</v>
      </c>
      <c r="G123" s="1" t="s">
        <v>330</v>
      </c>
      <c r="H123" s="6">
        <v>45</v>
      </c>
      <c r="I123" s="2" t="s">
        <v>5</v>
      </c>
      <c r="J123" s="1" t="s">
        <v>15273</v>
      </c>
      <c r="K123" s="3"/>
      <c r="L123" s="1"/>
      <c r="M123" s="1"/>
      <c r="N123" s="4" t="s">
        <v>16116</v>
      </c>
      <c r="O123" s="1" t="s">
        <v>469</v>
      </c>
      <c r="P123" s="1" t="s">
        <v>6</v>
      </c>
      <c r="Q123" s="16"/>
      <c r="R123" s="17"/>
      <c r="S123" s="3"/>
      <c r="T123" s="1767"/>
      <c r="U123" s="1780"/>
      <c r="V123" s="1752"/>
    </row>
    <row r="124" spans="1:22" ht="12" customHeight="1">
      <c r="A124" s="1040" t="str">
        <f t="shared" si="2"/>
        <v>3105</v>
      </c>
      <c r="B124" s="1056" t="s">
        <v>16177</v>
      </c>
      <c r="C124" s="1064"/>
      <c r="D124" s="2">
        <v>4</v>
      </c>
      <c r="E124" s="4" t="s">
        <v>345</v>
      </c>
      <c r="F124" s="1065" t="e">
        <f>IF(E124="","$",VLOOKUP(E124,'結果(小)'!$B$2:$F$1295,5,FALSE))</f>
        <v>#DIV/0!</v>
      </c>
      <c r="G124" s="1" t="s">
        <v>5348</v>
      </c>
      <c r="H124" s="6">
        <v>31</v>
      </c>
      <c r="I124" s="2" t="s">
        <v>5</v>
      </c>
      <c r="J124" s="1" t="s">
        <v>15273</v>
      </c>
      <c r="K124" s="3"/>
      <c r="L124" s="1"/>
      <c r="M124" s="1"/>
      <c r="N124" s="4" t="s">
        <v>16116</v>
      </c>
      <c r="O124" s="1" t="s">
        <v>4997</v>
      </c>
      <c r="P124" s="1" t="s">
        <v>6</v>
      </c>
      <c r="Q124" s="16"/>
      <c r="R124" s="17"/>
      <c r="S124" s="3" t="s">
        <v>469</v>
      </c>
      <c r="T124" s="1767"/>
      <c r="U124" s="1780"/>
      <c r="V124" s="1752"/>
    </row>
    <row r="125" spans="1:22" ht="12" customHeight="1" thickBot="1">
      <c r="A125" s="916" t="str">
        <f t="shared" si="2"/>
        <v>3105</v>
      </c>
      <c r="B125" s="1084" t="s">
        <v>16178</v>
      </c>
      <c r="C125" s="1075"/>
      <c r="D125" s="702">
        <v>4</v>
      </c>
      <c r="E125" s="700" t="s">
        <v>5349</v>
      </c>
      <c r="F125" s="1071" t="e">
        <f>IF(E125="","$",VLOOKUP(E125,'結果(小)'!$B$2:$F$1295,5,FALSE))</f>
        <v>#DIV/0!</v>
      </c>
      <c r="G125" s="906" t="s">
        <v>5350</v>
      </c>
      <c r="H125" s="701">
        <v>45</v>
      </c>
      <c r="I125" s="702" t="s">
        <v>5</v>
      </c>
      <c r="J125" s="906" t="s">
        <v>15273</v>
      </c>
      <c r="K125" s="703"/>
      <c r="L125" s="906"/>
      <c r="M125" s="906"/>
      <c r="N125" s="700" t="s">
        <v>16116</v>
      </c>
      <c r="O125" s="906" t="s">
        <v>4422</v>
      </c>
      <c r="P125" s="906" t="s">
        <v>14</v>
      </c>
      <c r="Q125" s="705">
        <v>2</v>
      </c>
      <c r="R125" s="903">
        <v>2</v>
      </c>
      <c r="S125" s="703"/>
      <c r="T125" s="1768"/>
      <c r="U125" s="1776"/>
      <c r="V125" s="1753"/>
    </row>
    <row r="126" spans="1:22" ht="12" customHeight="1">
      <c r="A126" s="1038" t="str">
        <f t="shared" si="2"/>
        <v>3106</v>
      </c>
      <c r="B126" s="1085" t="s">
        <v>16179</v>
      </c>
      <c r="C126" s="1073"/>
      <c r="D126" s="696">
        <v>1</v>
      </c>
      <c r="E126" s="688" t="s">
        <v>210</v>
      </c>
      <c r="F126" s="1068" t="e">
        <f>IF(E126="","$",VLOOKUP(E126,'結果(小)'!$B$2:$F$1295,5,FALSE))</f>
        <v>#DIV/0!</v>
      </c>
      <c r="G126" s="687" t="s">
        <v>16095</v>
      </c>
      <c r="H126" s="690">
        <v>35</v>
      </c>
      <c r="I126" s="696" t="s">
        <v>5</v>
      </c>
      <c r="J126" s="687" t="s">
        <v>15273</v>
      </c>
      <c r="K126" s="747"/>
      <c r="L126" s="687"/>
      <c r="M126" s="687"/>
      <c r="N126" s="688" t="s">
        <v>16128</v>
      </c>
      <c r="O126" s="687"/>
      <c r="P126" s="687" t="s">
        <v>6</v>
      </c>
      <c r="Q126" s="748"/>
      <c r="R126" s="749"/>
      <c r="S126" s="747" t="s">
        <v>6031</v>
      </c>
      <c r="T126" s="1757"/>
      <c r="U126" s="1775"/>
      <c r="V126" s="1751" t="e">
        <f>U126/SUM(U50:U141)</f>
        <v>#DIV/0!</v>
      </c>
    </row>
    <row r="127" spans="1:22" ht="12" customHeight="1">
      <c r="A127" s="1040" t="str">
        <f t="shared" si="2"/>
        <v>3106</v>
      </c>
      <c r="B127" s="1057" t="s">
        <v>16180</v>
      </c>
      <c r="C127" s="1064"/>
      <c r="D127" s="2">
        <v>1</v>
      </c>
      <c r="E127" s="4" t="s">
        <v>227</v>
      </c>
      <c r="F127" s="1065" t="e">
        <f>IF(E127="","$",VLOOKUP(E127,'結果(小)'!$B$2:$F$1295,5,FALSE))</f>
        <v>#DIV/0!</v>
      </c>
      <c r="G127" s="1" t="s">
        <v>235</v>
      </c>
      <c r="H127" s="6">
        <v>52</v>
      </c>
      <c r="I127" s="2" t="s">
        <v>5</v>
      </c>
      <c r="J127" s="1" t="s">
        <v>15273</v>
      </c>
      <c r="K127" s="3"/>
      <c r="L127" s="1"/>
      <c r="M127" s="1"/>
      <c r="N127" s="4" t="s">
        <v>16128</v>
      </c>
      <c r="O127" s="1"/>
      <c r="P127" s="1" t="s">
        <v>6</v>
      </c>
      <c r="Q127" s="16"/>
      <c r="R127" s="17"/>
      <c r="S127" s="3"/>
      <c r="T127" s="1758"/>
      <c r="U127" s="1780"/>
      <c r="V127" s="1752"/>
    </row>
    <row r="128" spans="1:22" ht="12" customHeight="1" thickBot="1">
      <c r="A128" s="916" t="str">
        <f t="shared" si="2"/>
        <v>3106</v>
      </c>
      <c r="B128" s="1086" t="s">
        <v>16181</v>
      </c>
      <c r="C128" s="1075"/>
      <c r="D128" s="702">
        <v>1</v>
      </c>
      <c r="E128" s="700" t="s">
        <v>5876</v>
      </c>
      <c r="F128" s="1071" t="e">
        <f>IF(E128="","$",VLOOKUP(E128,'結果(小)'!$B$2:$F$1295,5,FALSE))</f>
        <v>#DIV/0!</v>
      </c>
      <c r="G128" s="906" t="s">
        <v>5877</v>
      </c>
      <c r="H128" s="701">
        <v>45</v>
      </c>
      <c r="I128" s="702" t="s">
        <v>5</v>
      </c>
      <c r="J128" s="906" t="s">
        <v>15273</v>
      </c>
      <c r="K128" s="703"/>
      <c r="L128" s="906"/>
      <c r="M128" s="906"/>
      <c r="N128" s="700" t="s">
        <v>16128</v>
      </c>
      <c r="O128" s="906"/>
      <c r="P128" s="906" t="s">
        <v>6</v>
      </c>
      <c r="Q128" s="705"/>
      <c r="R128" s="903"/>
      <c r="S128" s="703"/>
      <c r="T128" s="1759"/>
      <c r="U128" s="1776"/>
      <c r="V128" s="1753"/>
    </row>
    <row r="129" spans="1:22" ht="12" customHeight="1">
      <c r="A129" s="1038" t="str">
        <f t="shared" si="2"/>
        <v>3107</v>
      </c>
      <c r="B129" s="1087" t="s">
        <v>5657</v>
      </c>
      <c r="C129" s="1073"/>
      <c r="D129" s="696">
        <v>1</v>
      </c>
      <c r="E129" s="696"/>
      <c r="F129" s="1068" t="str">
        <f>IF(E129="","$",VLOOKUP(E129,'結果(小)'!$B$2:$F$1295,5,FALSE))</f>
        <v>$</v>
      </c>
      <c r="G129" s="690" t="s">
        <v>2102</v>
      </c>
      <c r="H129" s="690">
        <v>53</v>
      </c>
      <c r="I129" s="690" t="s">
        <v>19</v>
      </c>
      <c r="J129" s="696" t="s">
        <v>6067</v>
      </c>
      <c r="K129" s="735" t="s">
        <v>2103</v>
      </c>
      <c r="L129" s="690"/>
      <c r="M129" s="736"/>
      <c r="N129" s="692" t="s">
        <v>16117</v>
      </c>
      <c r="O129" s="690"/>
      <c r="P129" s="690" t="s">
        <v>25</v>
      </c>
      <c r="Q129" s="737">
        <v>3</v>
      </c>
      <c r="R129" s="738">
        <v>3</v>
      </c>
      <c r="S129" s="735"/>
      <c r="T129" s="1760"/>
      <c r="U129" s="1775"/>
      <c r="V129" s="1751" t="e">
        <f>U129/SUM(U50:U141)</f>
        <v>#DIV/0!</v>
      </c>
    </row>
    <row r="130" spans="1:22" ht="12" customHeight="1" thickBot="1">
      <c r="A130" s="916" t="str">
        <f t="shared" si="2"/>
        <v>3107</v>
      </c>
      <c r="B130" s="1088" t="s">
        <v>5658</v>
      </c>
      <c r="C130" s="1075"/>
      <c r="D130" s="702">
        <v>2</v>
      </c>
      <c r="E130" s="702"/>
      <c r="F130" s="1071" t="str">
        <f>IF(E130="","$",VLOOKUP(E130,'結果(小)'!$B$2:$F$1295,5,FALSE))</f>
        <v>$</v>
      </c>
      <c r="G130" s="701" t="s">
        <v>5483</v>
      </c>
      <c r="H130" s="701">
        <v>36</v>
      </c>
      <c r="I130" s="701" t="s">
        <v>19</v>
      </c>
      <c r="J130" s="702" t="s">
        <v>6067</v>
      </c>
      <c r="K130" s="740"/>
      <c r="L130" s="701"/>
      <c r="M130" s="741"/>
      <c r="N130" s="704" t="s">
        <v>16117</v>
      </c>
      <c r="O130" s="701"/>
      <c r="P130" s="701" t="s">
        <v>6</v>
      </c>
      <c r="Q130" s="742"/>
      <c r="R130" s="743"/>
      <c r="S130" s="740"/>
      <c r="T130" s="1762"/>
      <c r="U130" s="1776"/>
      <c r="V130" s="1753"/>
    </row>
    <row r="131" spans="1:22" ht="12" customHeight="1">
      <c r="A131" s="1038" t="str">
        <f t="shared" ref="A131:A194" si="3">MIDB(B131,1,4)</f>
        <v>3108</v>
      </c>
      <c r="B131" s="1099" t="s">
        <v>5659</v>
      </c>
      <c r="C131" s="1073"/>
      <c r="D131" s="696">
        <v>1</v>
      </c>
      <c r="E131" s="688" t="s">
        <v>169</v>
      </c>
      <c r="F131" s="1068" t="e">
        <f>IF(E131="","$",VLOOKUP(E131,'結果(小)'!$B$2:$F$1295,5,FALSE))</f>
        <v>#DIV/0!</v>
      </c>
      <c r="G131" s="687" t="s">
        <v>177</v>
      </c>
      <c r="H131" s="690">
        <v>65</v>
      </c>
      <c r="I131" s="696" t="s">
        <v>5</v>
      </c>
      <c r="J131" s="687" t="s">
        <v>15273</v>
      </c>
      <c r="K131" s="747"/>
      <c r="L131" s="687"/>
      <c r="M131" s="687"/>
      <c r="N131" s="688" t="s">
        <v>16121</v>
      </c>
      <c r="O131" s="687"/>
      <c r="P131" s="687" t="s">
        <v>6</v>
      </c>
      <c r="Q131" s="748"/>
      <c r="R131" s="749"/>
      <c r="S131" s="747"/>
      <c r="T131" s="1745"/>
      <c r="U131" s="1775"/>
      <c r="V131" s="1751" t="e">
        <f>U131/SUM(U50:U141)</f>
        <v>#DIV/0!</v>
      </c>
    </row>
    <row r="132" spans="1:22" ht="12" customHeight="1">
      <c r="A132" s="1040" t="str">
        <f t="shared" si="3"/>
        <v>3108</v>
      </c>
      <c r="B132" s="1062" t="s">
        <v>5660</v>
      </c>
      <c r="C132" s="1064"/>
      <c r="D132" s="2">
        <v>1</v>
      </c>
      <c r="E132" s="4" t="s">
        <v>4658</v>
      </c>
      <c r="F132" s="1065" t="e">
        <f>IF(E132="","$",VLOOKUP(E132,'結果(小)'!$B$2:$F$1295,5,FALSE))</f>
        <v>#DIV/0!</v>
      </c>
      <c r="G132" s="1" t="s">
        <v>4659</v>
      </c>
      <c r="H132" s="6">
        <v>33</v>
      </c>
      <c r="I132" s="2" t="s">
        <v>5</v>
      </c>
      <c r="J132" s="1" t="s">
        <v>15273</v>
      </c>
      <c r="K132" s="3"/>
      <c r="L132" s="1"/>
      <c r="M132" s="1"/>
      <c r="N132" s="4" t="s">
        <v>16121</v>
      </c>
      <c r="O132" s="1"/>
      <c r="P132" s="1" t="s">
        <v>6</v>
      </c>
      <c r="Q132" s="16"/>
      <c r="R132" s="17"/>
      <c r="S132" s="3"/>
      <c r="T132" s="1746"/>
      <c r="U132" s="1780"/>
      <c r="V132" s="1752"/>
    </row>
    <row r="133" spans="1:22" ht="12" customHeight="1">
      <c r="A133" s="1040" t="str">
        <f t="shared" si="3"/>
        <v>3108</v>
      </c>
      <c r="B133" s="1062" t="s">
        <v>16184</v>
      </c>
      <c r="C133" s="1064"/>
      <c r="D133" s="2">
        <v>1</v>
      </c>
      <c r="E133" s="4" t="s">
        <v>290</v>
      </c>
      <c r="F133" s="1065" t="e">
        <f>IF(E133="","$",VLOOKUP(E133,'結果(小)'!$B$2:$F$1295,5,FALSE))</f>
        <v>#DIV/0!</v>
      </c>
      <c r="G133" s="1" t="s">
        <v>295</v>
      </c>
      <c r="H133" s="6">
        <v>65</v>
      </c>
      <c r="I133" s="2" t="s">
        <v>5</v>
      </c>
      <c r="J133" s="1" t="s">
        <v>15273</v>
      </c>
      <c r="K133" s="3"/>
      <c r="L133" s="1"/>
      <c r="M133" s="1"/>
      <c r="N133" s="4" t="s">
        <v>16121</v>
      </c>
      <c r="O133" s="1"/>
      <c r="P133" s="1" t="s">
        <v>6</v>
      </c>
      <c r="Q133" s="16"/>
      <c r="R133" s="17"/>
      <c r="S133" s="3"/>
      <c r="T133" s="1746"/>
      <c r="U133" s="1780"/>
      <c r="V133" s="1752"/>
    </row>
    <row r="134" spans="1:22" ht="12" customHeight="1">
      <c r="A134" s="1040" t="str">
        <f t="shared" si="3"/>
        <v>3108</v>
      </c>
      <c r="B134" s="1062" t="s">
        <v>16185</v>
      </c>
      <c r="C134" s="1064"/>
      <c r="D134" s="2">
        <v>1</v>
      </c>
      <c r="E134" s="4" t="s">
        <v>326</v>
      </c>
      <c r="F134" s="1065" t="e">
        <f>IF(E134="","$",VLOOKUP(E134,'結果(小)'!$B$2:$F$1295,5,FALSE))</f>
        <v>#DIV/0!</v>
      </c>
      <c r="G134" s="6" t="s">
        <v>859</v>
      </c>
      <c r="H134" s="6">
        <v>64</v>
      </c>
      <c r="I134" s="6" t="s">
        <v>5</v>
      </c>
      <c r="J134" s="1" t="s">
        <v>15273</v>
      </c>
      <c r="K134" s="12" t="s">
        <v>1316</v>
      </c>
      <c r="L134" s="6"/>
      <c r="M134" s="19"/>
      <c r="N134" s="8" t="s">
        <v>16121</v>
      </c>
      <c r="O134" s="6"/>
      <c r="P134" s="6" t="s">
        <v>25</v>
      </c>
      <c r="Q134" s="13">
        <v>1</v>
      </c>
      <c r="R134" s="14">
        <v>1</v>
      </c>
      <c r="S134" s="12"/>
      <c r="T134" s="1746"/>
      <c r="U134" s="1780"/>
      <c r="V134" s="1752"/>
    </row>
    <row r="135" spans="1:22" ht="12" customHeight="1">
      <c r="A135" s="1040" t="str">
        <f t="shared" si="3"/>
        <v>3108</v>
      </c>
      <c r="B135" s="1062" t="s">
        <v>16186</v>
      </c>
      <c r="C135" s="1064"/>
      <c r="D135" s="2">
        <v>1</v>
      </c>
      <c r="E135" s="4" t="s">
        <v>368</v>
      </c>
      <c r="F135" s="1065" t="e">
        <f>IF(E135="","$",VLOOKUP(E135,'結果(小)'!$B$2:$F$1295,5,FALSE))</f>
        <v>#DIV/0!</v>
      </c>
      <c r="G135" s="1" t="s">
        <v>4647</v>
      </c>
      <c r="H135" s="6">
        <v>63</v>
      </c>
      <c r="I135" s="2" t="s">
        <v>5</v>
      </c>
      <c r="J135" s="1" t="s">
        <v>15273</v>
      </c>
      <c r="K135" s="3"/>
      <c r="L135" s="1"/>
      <c r="M135" s="1"/>
      <c r="N135" s="4" t="s">
        <v>16121</v>
      </c>
      <c r="O135" s="1"/>
      <c r="P135" s="1" t="s">
        <v>6</v>
      </c>
      <c r="Q135" s="16"/>
      <c r="R135" s="17"/>
      <c r="S135" s="3"/>
      <c r="T135" s="1746"/>
      <c r="U135" s="1780"/>
      <c r="V135" s="1752"/>
    </row>
    <row r="136" spans="1:22" ht="12" customHeight="1">
      <c r="A136" s="1040" t="str">
        <f t="shared" si="3"/>
        <v>3108</v>
      </c>
      <c r="B136" s="1062" t="s">
        <v>16182</v>
      </c>
      <c r="C136" s="1064"/>
      <c r="D136" s="2">
        <v>6</v>
      </c>
      <c r="E136" s="2"/>
      <c r="F136" s="1065" t="str">
        <f>IF(E136="","$",VLOOKUP(E136,'結果(小)'!$B$2:$F$1295,5,FALSE))</f>
        <v>$</v>
      </c>
      <c r="G136" s="2" t="s">
        <v>2106</v>
      </c>
      <c r="H136" s="6">
        <v>64</v>
      </c>
      <c r="I136" s="2" t="s">
        <v>5</v>
      </c>
      <c r="J136" s="2" t="s">
        <v>6067</v>
      </c>
      <c r="K136" s="22"/>
      <c r="L136" s="2"/>
      <c r="M136" s="2"/>
      <c r="N136" s="23" t="s">
        <v>16121</v>
      </c>
      <c r="O136" s="2"/>
      <c r="P136" s="2" t="s">
        <v>6</v>
      </c>
      <c r="Q136" s="24"/>
      <c r="R136" s="25"/>
      <c r="S136" s="22"/>
      <c r="T136" s="1746"/>
      <c r="U136" s="1780"/>
      <c r="V136" s="1752"/>
    </row>
    <row r="137" spans="1:22" ht="12" customHeight="1" thickBot="1">
      <c r="A137" s="916" t="str">
        <f t="shared" si="3"/>
        <v>3108</v>
      </c>
      <c r="B137" s="1100" t="s">
        <v>16183</v>
      </c>
      <c r="C137" s="1075"/>
      <c r="D137" s="702">
        <v>7</v>
      </c>
      <c r="E137" s="702"/>
      <c r="F137" s="1071" t="str">
        <f>IF(E137="","$",VLOOKUP(E137,'結果(小)'!$B$2:$F$1295,5,FALSE))</f>
        <v>$</v>
      </c>
      <c r="G137" s="701" t="s">
        <v>4661</v>
      </c>
      <c r="H137" s="701">
        <v>64</v>
      </c>
      <c r="I137" s="701" t="s">
        <v>5</v>
      </c>
      <c r="J137" s="702" t="s">
        <v>6067</v>
      </c>
      <c r="K137" s="740"/>
      <c r="L137" s="701"/>
      <c r="M137" s="741"/>
      <c r="N137" s="704" t="s">
        <v>16121</v>
      </c>
      <c r="O137" s="701"/>
      <c r="P137" s="701" t="s">
        <v>14</v>
      </c>
      <c r="Q137" s="742">
        <v>2</v>
      </c>
      <c r="R137" s="743">
        <v>2</v>
      </c>
      <c r="S137" s="740"/>
      <c r="T137" s="1747"/>
      <c r="U137" s="1776"/>
      <c r="V137" s="1753"/>
    </row>
    <row r="138" spans="1:22" ht="12" customHeight="1" thickBot="1">
      <c r="A138" s="658" t="str">
        <f t="shared" si="3"/>
        <v>3111</v>
      </c>
      <c r="B138" s="1101" t="s">
        <v>16188</v>
      </c>
      <c r="C138" s="1077"/>
      <c r="D138" s="660">
        <v>1</v>
      </c>
      <c r="E138" s="660"/>
      <c r="F138" s="1078" t="str">
        <f>IF(E138="","$",VLOOKUP(E138,'結果(小)'!$B$2:$F$1295,5,FALSE))</f>
        <v>$</v>
      </c>
      <c r="G138" s="660" t="s">
        <v>4652</v>
      </c>
      <c r="H138" s="728">
        <v>37</v>
      </c>
      <c r="I138" s="660" t="s">
        <v>5</v>
      </c>
      <c r="J138" s="660" t="s">
        <v>6067</v>
      </c>
      <c r="K138" s="733"/>
      <c r="L138" s="660"/>
      <c r="M138" s="660"/>
      <c r="N138" s="787" t="s">
        <v>16131</v>
      </c>
      <c r="O138" s="660"/>
      <c r="P138" s="660" t="s">
        <v>6</v>
      </c>
      <c r="Q138" s="763"/>
      <c r="R138" s="764"/>
      <c r="S138" s="733"/>
      <c r="T138" s="1102"/>
      <c r="U138" s="1153"/>
      <c r="V138" s="1080" t="e">
        <f>U138/SUM(U50:U141)</f>
        <v>#DIV/0!</v>
      </c>
    </row>
    <row r="139" spans="1:22" ht="12" customHeight="1">
      <c r="A139" s="1038" t="str">
        <f t="shared" si="3"/>
        <v>3113</v>
      </c>
      <c r="B139" s="1093" t="s">
        <v>16308</v>
      </c>
      <c r="C139" s="1073"/>
      <c r="D139" s="696">
        <v>1</v>
      </c>
      <c r="E139" s="696"/>
      <c r="F139" s="1068" t="str">
        <f>IF(E139="","$",VLOOKUP(E139,'結果(小)'!$B$2:$F$1295,5,FALSE))</f>
        <v>$</v>
      </c>
      <c r="G139" s="696" t="s">
        <v>4607</v>
      </c>
      <c r="H139" s="690">
        <v>55</v>
      </c>
      <c r="I139" s="696" t="s">
        <v>5</v>
      </c>
      <c r="J139" s="696" t="s">
        <v>6067</v>
      </c>
      <c r="K139" s="715"/>
      <c r="L139" s="696"/>
      <c r="M139" s="696"/>
      <c r="N139" s="716" t="s">
        <v>16122</v>
      </c>
      <c r="O139" s="696" t="s">
        <v>22</v>
      </c>
      <c r="P139" s="696" t="s">
        <v>6</v>
      </c>
      <c r="Q139" s="717"/>
      <c r="R139" s="718"/>
      <c r="S139" s="715"/>
      <c r="T139" s="1754"/>
      <c r="U139" s="1775"/>
      <c r="V139" s="1751" t="e">
        <f>U139/SUM(U50:U141)</f>
        <v>#DIV/0!</v>
      </c>
    </row>
    <row r="140" spans="1:22" ht="12" customHeight="1">
      <c r="A140" s="1040" t="str">
        <f t="shared" si="3"/>
        <v>3113</v>
      </c>
      <c r="B140" s="1060" t="s">
        <v>16309</v>
      </c>
      <c r="C140" s="1064"/>
      <c r="D140" s="2">
        <v>2</v>
      </c>
      <c r="E140" s="2"/>
      <c r="F140" s="1065" t="str">
        <f>IF(E140="","$",VLOOKUP(E140,'結果(小)'!$B$2:$F$1295,5,FALSE))</f>
        <v>$</v>
      </c>
      <c r="G140" s="2" t="s">
        <v>4604</v>
      </c>
      <c r="H140" s="6">
        <v>65</v>
      </c>
      <c r="I140" s="2" t="s">
        <v>5</v>
      </c>
      <c r="J140" s="2" t="s">
        <v>6067</v>
      </c>
      <c r="K140" s="22"/>
      <c r="L140" s="2"/>
      <c r="M140" s="2"/>
      <c r="N140" s="23" t="s">
        <v>16122</v>
      </c>
      <c r="O140" s="2" t="s">
        <v>22</v>
      </c>
      <c r="P140" s="2" t="s">
        <v>6</v>
      </c>
      <c r="Q140" s="24"/>
      <c r="R140" s="25"/>
      <c r="S140" s="22"/>
      <c r="T140" s="1755"/>
      <c r="U140" s="1780"/>
      <c r="V140" s="1752"/>
    </row>
    <row r="141" spans="1:22" ht="12" customHeight="1" thickBot="1">
      <c r="A141" s="916" t="str">
        <f t="shared" si="3"/>
        <v>3113</v>
      </c>
      <c r="B141" s="1094" t="s">
        <v>16310</v>
      </c>
      <c r="C141" s="1075"/>
      <c r="D141" s="702">
        <v>3</v>
      </c>
      <c r="E141" s="702"/>
      <c r="F141" s="1071" t="str">
        <f>IF(E141="","$",VLOOKUP(E141,'結果(小)'!$B$2:$F$1295,5,FALSE))</f>
        <v>$</v>
      </c>
      <c r="G141" s="702" t="s">
        <v>358</v>
      </c>
      <c r="H141" s="701">
        <v>45</v>
      </c>
      <c r="I141" s="702" t="s">
        <v>5</v>
      </c>
      <c r="J141" s="702" t="s">
        <v>6067</v>
      </c>
      <c r="K141" s="720"/>
      <c r="L141" s="702"/>
      <c r="M141" s="702"/>
      <c r="N141" s="770" t="s">
        <v>16122</v>
      </c>
      <c r="O141" s="702" t="s">
        <v>22</v>
      </c>
      <c r="P141" s="702" t="s">
        <v>6</v>
      </c>
      <c r="Q141" s="721"/>
      <c r="R141" s="722"/>
      <c r="S141" s="720"/>
      <c r="T141" s="1756"/>
      <c r="U141" s="1776"/>
      <c r="V141" s="1753"/>
    </row>
    <row r="142" spans="1:22" ht="12" customHeight="1">
      <c r="A142" s="1038" t="str">
        <f t="shared" si="3"/>
        <v>3201</v>
      </c>
      <c r="B142" s="1095" t="s">
        <v>15708</v>
      </c>
      <c r="C142" s="1073"/>
      <c r="D142" s="696">
        <v>1</v>
      </c>
      <c r="E142" s="688" t="s">
        <v>387</v>
      </c>
      <c r="F142" s="1068" t="e">
        <f>IF(E142="","$",VLOOKUP(E142,'結果(小)'!$B$2:$F$1295,5,FALSE))</f>
        <v>#DIV/0!</v>
      </c>
      <c r="G142" s="689" t="s">
        <v>925</v>
      </c>
      <c r="H142" s="690">
        <v>42</v>
      </c>
      <c r="I142" s="689" t="s">
        <v>5</v>
      </c>
      <c r="J142" s="689" t="s">
        <v>15273</v>
      </c>
      <c r="K142" s="691" t="s">
        <v>1354</v>
      </c>
      <c r="L142" s="783"/>
      <c r="M142" s="736"/>
      <c r="N142" s="692" t="s">
        <v>16127</v>
      </c>
      <c r="O142" s="689" t="s">
        <v>44</v>
      </c>
      <c r="P142" s="689" t="s">
        <v>25</v>
      </c>
      <c r="Q142" s="693">
        <v>1</v>
      </c>
      <c r="R142" s="694">
        <v>1</v>
      </c>
      <c r="S142" s="691" t="s">
        <v>736</v>
      </c>
      <c r="T142" s="1777"/>
      <c r="U142" s="1748"/>
      <c r="V142" s="1751" t="e">
        <f>U142/SUM(U142:U264)</f>
        <v>#DIV/0!</v>
      </c>
    </row>
    <row r="143" spans="1:22" ht="12" customHeight="1">
      <c r="A143" s="1040" t="str">
        <f t="shared" si="3"/>
        <v>3201</v>
      </c>
      <c r="B143" s="1061" t="s">
        <v>15709</v>
      </c>
      <c r="C143" s="1064"/>
      <c r="D143" s="2">
        <v>1</v>
      </c>
      <c r="E143" s="4" t="s">
        <v>396</v>
      </c>
      <c r="F143" s="1065" t="e">
        <f>IF(E143="","$",VLOOKUP(E143,'結果(小)'!$B$2:$F$1295,5,FALSE))</f>
        <v>#DIV/0!</v>
      </c>
      <c r="G143" s="5" t="s">
        <v>905</v>
      </c>
      <c r="H143" s="6">
        <v>65</v>
      </c>
      <c r="I143" s="5" t="s">
        <v>5</v>
      </c>
      <c r="J143" s="5" t="s">
        <v>15273</v>
      </c>
      <c r="K143" s="7" t="s">
        <v>1355</v>
      </c>
      <c r="L143" s="18"/>
      <c r="M143" s="19"/>
      <c r="N143" s="4" t="s">
        <v>16127</v>
      </c>
      <c r="O143" s="5" t="s">
        <v>44</v>
      </c>
      <c r="P143" s="5" t="s">
        <v>25</v>
      </c>
      <c r="Q143" s="9">
        <v>1</v>
      </c>
      <c r="R143" s="10">
        <v>1</v>
      </c>
      <c r="S143" s="7"/>
      <c r="T143" s="1778"/>
      <c r="U143" s="1749"/>
      <c r="V143" s="1752"/>
    </row>
    <row r="144" spans="1:22" ht="12" customHeight="1">
      <c r="A144" s="1040" t="str">
        <f t="shared" si="3"/>
        <v>3201</v>
      </c>
      <c r="B144" s="1061" t="s">
        <v>15710</v>
      </c>
      <c r="C144" s="1064"/>
      <c r="D144" s="2">
        <v>1</v>
      </c>
      <c r="E144" s="4" t="s">
        <v>418</v>
      </c>
      <c r="F144" s="1065" t="e">
        <f>IF(E144="","$",VLOOKUP(E144,'結果(小)'!$B$2:$F$1295,5,FALSE))</f>
        <v>#DIV/0!</v>
      </c>
      <c r="G144" s="6" t="s">
        <v>871</v>
      </c>
      <c r="H144" s="6">
        <v>53</v>
      </c>
      <c r="I144" s="6" t="s">
        <v>5</v>
      </c>
      <c r="J144" s="5" t="s">
        <v>15273</v>
      </c>
      <c r="K144" s="12" t="s">
        <v>1297</v>
      </c>
      <c r="L144" s="19"/>
      <c r="M144" s="19"/>
      <c r="N144" s="8" t="s">
        <v>16126</v>
      </c>
      <c r="O144" s="6" t="s">
        <v>44</v>
      </c>
      <c r="P144" s="6" t="s">
        <v>25</v>
      </c>
      <c r="Q144" s="13">
        <v>1</v>
      </c>
      <c r="R144" s="14">
        <v>1</v>
      </c>
      <c r="S144" s="3"/>
      <c r="T144" s="1778"/>
      <c r="U144" s="1749"/>
      <c r="V144" s="1752"/>
    </row>
    <row r="145" spans="1:22" ht="12" customHeight="1">
      <c r="A145" s="1040" t="str">
        <f t="shared" si="3"/>
        <v>3201</v>
      </c>
      <c r="B145" s="1061" t="s">
        <v>15711</v>
      </c>
      <c r="C145" s="1064"/>
      <c r="D145" s="2">
        <v>1</v>
      </c>
      <c r="E145" s="4" t="s">
        <v>424</v>
      </c>
      <c r="F145" s="1065" t="e">
        <f>IF(E145="","$",VLOOKUP(E145,'結果(小)'!$B$2:$F$1295,5,FALSE))</f>
        <v>#DIV/0!</v>
      </c>
      <c r="G145" s="6" t="s">
        <v>912</v>
      </c>
      <c r="H145" s="6">
        <v>65</v>
      </c>
      <c r="I145" s="6" t="s">
        <v>5</v>
      </c>
      <c r="J145" s="5" t="s">
        <v>15273</v>
      </c>
      <c r="K145" s="12" t="s">
        <v>1358</v>
      </c>
      <c r="L145" s="19"/>
      <c r="M145" s="19"/>
      <c r="N145" s="8" t="s">
        <v>16127</v>
      </c>
      <c r="O145" s="6" t="s">
        <v>45</v>
      </c>
      <c r="P145" s="6" t="s">
        <v>25</v>
      </c>
      <c r="Q145" s="13">
        <v>7</v>
      </c>
      <c r="R145" s="14">
        <v>7</v>
      </c>
      <c r="S145" s="12" t="s">
        <v>736</v>
      </c>
      <c r="T145" s="1778"/>
      <c r="U145" s="1749"/>
      <c r="V145" s="1752"/>
    </row>
    <row r="146" spans="1:22" ht="12" customHeight="1">
      <c r="A146" s="1040" t="str">
        <f t="shared" si="3"/>
        <v>3201</v>
      </c>
      <c r="B146" s="1061" t="s">
        <v>15712</v>
      </c>
      <c r="C146" s="1064"/>
      <c r="D146" s="2">
        <v>1</v>
      </c>
      <c r="E146" s="4" t="s">
        <v>433</v>
      </c>
      <c r="F146" s="1065" t="e">
        <f>IF(E146="","$",VLOOKUP(E146,'結果(小)'!$B$2:$F$1295,5,FALSE))</f>
        <v>#DIV/0!</v>
      </c>
      <c r="G146" s="6" t="s">
        <v>909</v>
      </c>
      <c r="H146" s="6">
        <v>62</v>
      </c>
      <c r="I146" s="6" t="s">
        <v>19</v>
      </c>
      <c r="J146" s="5" t="s">
        <v>15273</v>
      </c>
      <c r="K146" s="12" t="s">
        <v>1359</v>
      </c>
      <c r="L146" s="19"/>
      <c r="M146" s="19"/>
      <c r="N146" s="8" t="s">
        <v>16127</v>
      </c>
      <c r="O146" s="6" t="s">
        <v>44</v>
      </c>
      <c r="P146" s="6" t="s">
        <v>25</v>
      </c>
      <c r="Q146" s="13">
        <v>1</v>
      </c>
      <c r="R146" s="14">
        <v>1</v>
      </c>
      <c r="S146" s="12" t="s">
        <v>736</v>
      </c>
      <c r="T146" s="1778"/>
      <c r="U146" s="1749"/>
      <c r="V146" s="1752"/>
    </row>
    <row r="147" spans="1:22" ht="12" customHeight="1">
      <c r="A147" s="1040" t="str">
        <f t="shared" si="3"/>
        <v>3201</v>
      </c>
      <c r="B147" s="1061" t="s">
        <v>15713</v>
      </c>
      <c r="C147" s="1064"/>
      <c r="D147" s="2">
        <v>1</v>
      </c>
      <c r="E147" s="4" t="s">
        <v>441</v>
      </c>
      <c r="F147" s="1065" t="e">
        <f>IF(E147="","$",VLOOKUP(E147,'結果(小)'!$B$2:$F$1295,5,FALSE))</f>
        <v>#DIV/0!</v>
      </c>
      <c r="G147" s="6" t="s">
        <v>928</v>
      </c>
      <c r="H147" s="6">
        <v>62</v>
      </c>
      <c r="I147" s="6" t="s">
        <v>5</v>
      </c>
      <c r="J147" s="5" t="s">
        <v>15273</v>
      </c>
      <c r="K147" s="12" t="s">
        <v>1300</v>
      </c>
      <c r="L147" s="19"/>
      <c r="M147" s="19"/>
      <c r="N147" s="8" t="s">
        <v>16127</v>
      </c>
      <c r="O147" s="6" t="s">
        <v>44</v>
      </c>
      <c r="P147" s="6" t="s">
        <v>25</v>
      </c>
      <c r="Q147" s="13">
        <v>1</v>
      </c>
      <c r="R147" s="14">
        <v>1</v>
      </c>
      <c r="S147" s="3" t="s">
        <v>736</v>
      </c>
      <c r="T147" s="1778"/>
      <c r="U147" s="1749"/>
      <c r="V147" s="1752"/>
    </row>
    <row r="148" spans="1:22" ht="12" customHeight="1">
      <c r="A148" s="1040" t="str">
        <f t="shared" si="3"/>
        <v>3201</v>
      </c>
      <c r="B148" s="1061" t="s">
        <v>15714</v>
      </c>
      <c r="C148" s="1064"/>
      <c r="D148" s="2">
        <v>1</v>
      </c>
      <c r="E148" s="4" t="s">
        <v>470</v>
      </c>
      <c r="F148" s="1065" t="e">
        <f>IF(E148="","$",VLOOKUP(E148,'結果(小)'!$B$2:$F$1295,5,FALSE))</f>
        <v>#DIV/0!</v>
      </c>
      <c r="G148" s="5" t="s">
        <v>903</v>
      </c>
      <c r="H148" s="6">
        <v>50</v>
      </c>
      <c r="I148" s="5" t="s">
        <v>5</v>
      </c>
      <c r="J148" s="5" t="s">
        <v>15273</v>
      </c>
      <c r="K148" s="7" t="s">
        <v>1361</v>
      </c>
      <c r="L148" s="18"/>
      <c r="M148" s="19"/>
      <c r="N148" s="4" t="s">
        <v>16127</v>
      </c>
      <c r="O148" s="5" t="s">
        <v>44</v>
      </c>
      <c r="P148" s="5" t="s">
        <v>25</v>
      </c>
      <c r="Q148" s="9">
        <v>1</v>
      </c>
      <c r="R148" s="10">
        <v>1</v>
      </c>
      <c r="S148" s="3" t="s">
        <v>736</v>
      </c>
      <c r="T148" s="1778"/>
      <c r="U148" s="1749"/>
      <c r="V148" s="1752"/>
    </row>
    <row r="149" spans="1:22" ht="12" customHeight="1">
      <c r="A149" s="1040" t="str">
        <f t="shared" si="3"/>
        <v>3201</v>
      </c>
      <c r="B149" s="1061" t="s">
        <v>15715</v>
      </c>
      <c r="C149" s="1064"/>
      <c r="D149" s="2">
        <v>1</v>
      </c>
      <c r="E149" s="4" t="s">
        <v>485</v>
      </c>
      <c r="F149" s="1065" t="e">
        <f>IF(E149="","$",VLOOKUP(E149,'結果(小)'!$B$2:$F$1295,5,FALSE))</f>
        <v>#DIV/0!</v>
      </c>
      <c r="G149" s="5" t="s">
        <v>924</v>
      </c>
      <c r="H149" s="6">
        <v>64</v>
      </c>
      <c r="I149" s="5" t="s">
        <v>5</v>
      </c>
      <c r="J149" s="5" t="s">
        <v>15273</v>
      </c>
      <c r="K149" s="7" t="s">
        <v>1362</v>
      </c>
      <c r="L149" s="18"/>
      <c r="M149" s="19"/>
      <c r="N149" s="8" t="s">
        <v>16126</v>
      </c>
      <c r="O149" s="5" t="s">
        <v>44</v>
      </c>
      <c r="P149" s="5" t="s">
        <v>25</v>
      </c>
      <c r="Q149" s="9">
        <v>2</v>
      </c>
      <c r="R149" s="10">
        <v>4</v>
      </c>
      <c r="S149" s="7" t="s">
        <v>736</v>
      </c>
      <c r="T149" s="1778"/>
      <c r="U149" s="1749"/>
      <c r="V149" s="1752"/>
    </row>
    <row r="150" spans="1:22" ht="12" customHeight="1">
      <c r="A150" s="1040" t="str">
        <f t="shared" si="3"/>
        <v>3201</v>
      </c>
      <c r="B150" s="1061" t="s">
        <v>15716</v>
      </c>
      <c r="C150" s="1064"/>
      <c r="D150" s="2">
        <v>1</v>
      </c>
      <c r="E150" s="4" t="s">
        <v>512</v>
      </c>
      <c r="F150" s="1065" t="e">
        <f>IF(E150="","$",VLOOKUP(E150,'結果(小)'!$B$2:$F$1295,5,FALSE))</f>
        <v>#DIV/0!</v>
      </c>
      <c r="G150" s="1" t="s">
        <v>2072</v>
      </c>
      <c r="H150" s="6">
        <v>57</v>
      </c>
      <c r="I150" s="2" t="s">
        <v>19</v>
      </c>
      <c r="J150" s="5" t="s">
        <v>15273</v>
      </c>
      <c r="K150" s="3" t="s">
        <v>5447</v>
      </c>
      <c r="L150" s="1"/>
      <c r="M150" s="1"/>
      <c r="N150" s="8" t="s">
        <v>16127</v>
      </c>
      <c r="O150" s="1" t="s">
        <v>45</v>
      </c>
      <c r="P150" s="1" t="s">
        <v>25</v>
      </c>
      <c r="Q150" s="16">
        <v>1</v>
      </c>
      <c r="R150" s="17">
        <v>1</v>
      </c>
      <c r="S150" s="3"/>
      <c r="T150" s="1778"/>
      <c r="U150" s="1749"/>
      <c r="V150" s="1752"/>
    </row>
    <row r="151" spans="1:22" ht="12" customHeight="1">
      <c r="A151" s="1040" t="str">
        <f t="shared" si="3"/>
        <v>3201</v>
      </c>
      <c r="B151" s="1061" t="s">
        <v>15717</v>
      </c>
      <c r="C151" s="1064"/>
      <c r="D151" s="2">
        <v>1</v>
      </c>
      <c r="E151" s="4" t="s">
        <v>535</v>
      </c>
      <c r="F151" s="1065" t="e">
        <f>IF(E151="","$",VLOOKUP(E151,'結果(小)'!$B$2:$F$1295,5,FALSE))</f>
        <v>#DIV/0!</v>
      </c>
      <c r="G151" s="6" t="s">
        <v>861</v>
      </c>
      <c r="H151" s="6">
        <v>42</v>
      </c>
      <c r="I151" s="6" t="s">
        <v>5</v>
      </c>
      <c r="J151" s="5" t="s">
        <v>15273</v>
      </c>
      <c r="K151" s="12" t="s">
        <v>1366</v>
      </c>
      <c r="L151" s="19"/>
      <c r="M151" s="19"/>
      <c r="N151" s="8" t="s">
        <v>16127</v>
      </c>
      <c r="O151" s="6" t="s">
        <v>44</v>
      </c>
      <c r="P151" s="6" t="s">
        <v>25</v>
      </c>
      <c r="Q151" s="13">
        <v>1</v>
      </c>
      <c r="R151" s="14">
        <v>1</v>
      </c>
      <c r="S151" s="12"/>
      <c r="T151" s="1778"/>
      <c r="U151" s="1749"/>
      <c r="V151" s="1752"/>
    </row>
    <row r="152" spans="1:22" ht="12" customHeight="1">
      <c r="A152" s="1040" t="str">
        <f t="shared" si="3"/>
        <v>3201</v>
      </c>
      <c r="B152" s="1061" t="s">
        <v>15718</v>
      </c>
      <c r="C152" s="1064"/>
      <c r="D152" s="2">
        <v>1</v>
      </c>
      <c r="E152" s="4" t="s">
        <v>552</v>
      </c>
      <c r="F152" s="1065" t="e">
        <f>IF(E152="","$",VLOOKUP(E152,'結果(小)'!$B$2:$F$1295,5,FALSE))</f>
        <v>#DIV/0!</v>
      </c>
      <c r="G152" s="1" t="s">
        <v>5847</v>
      </c>
      <c r="H152" s="6">
        <v>67</v>
      </c>
      <c r="I152" s="2" t="s">
        <v>5</v>
      </c>
      <c r="J152" s="5" t="s">
        <v>15273</v>
      </c>
      <c r="K152" s="3" t="s">
        <v>5848</v>
      </c>
      <c r="L152" s="1"/>
      <c r="M152" s="1"/>
      <c r="N152" s="8" t="s">
        <v>16127</v>
      </c>
      <c r="O152" s="1" t="s">
        <v>45</v>
      </c>
      <c r="P152" s="1" t="s">
        <v>25</v>
      </c>
      <c r="Q152" s="16">
        <v>1</v>
      </c>
      <c r="R152" s="17">
        <v>1</v>
      </c>
      <c r="S152" s="3"/>
      <c r="T152" s="1778"/>
      <c r="U152" s="1749"/>
      <c r="V152" s="1752"/>
    </row>
    <row r="153" spans="1:22" ht="12" customHeight="1">
      <c r="A153" s="1040" t="str">
        <f t="shared" si="3"/>
        <v>3201</v>
      </c>
      <c r="B153" s="1061" t="s">
        <v>15719</v>
      </c>
      <c r="C153" s="1064"/>
      <c r="D153" s="2">
        <v>1</v>
      </c>
      <c r="E153" s="4" t="s">
        <v>565</v>
      </c>
      <c r="F153" s="1065" t="e">
        <f>IF(E153="","$",VLOOKUP(E153,'結果(小)'!$B$2:$F$1295,5,FALSE))</f>
        <v>#DIV/0!</v>
      </c>
      <c r="G153" s="6" t="s">
        <v>856</v>
      </c>
      <c r="H153" s="6">
        <v>47</v>
      </c>
      <c r="I153" s="6" t="s">
        <v>5</v>
      </c>
      <c r="J153" s="5" t="s">
        <v>15273</v>
      </c>
      <c r="K153" s="12" t="s">
        <v>1369</v>
      </c>
      <c r="L153" s="19"/>
      <c r="M153" s="19"/>
      <c r="N153" s="4" t="s">
        <v>16127</v>
      </c>
      <c r="O153" s="6" t="s">
        <v>44</v>
      </c>
      <c r="P153" s="6" t="s">
        <v>25</v>
      </c>
      <c r="Q153" s="13">
        <v>1</v>
      </c>
      <c r="R153" s="14">
        <v>1</v>
      </c>
      <c r="S153" s="3"/>
      <c r="T153" s="1778"/>
      <c r="U153" s="1749"/>
      <c r="V153" s="1752"/>
    </row>
    <row r="154" spans="1:22" ht="12" customHeight="1">
      <c r="A154" s="1040" t="str">
        <f t="shared" si="3"/>
        <v>3201</v>
      </c>
      <c r="B154" s="1061" t="s">
        <v>15720</v>
      </c>
      <c r="C154" s="1064"/>
      <c r="D154" s="2">
        <v>1</v>
      </c>
      <c r="E154" s="4" t="s">
        <v>579</v>
      </c>
      <c r="F154" s="1065" t="e">
        <f>IF(E154="","$",VLOOKUP(E154,'結果(小)'!$B$2:$F$1295,5,FALSE))</f>
        <v>#DIV/0!</v>
      </c>
      <c r="G154" s="1" t="s">
        <v>5574</v>
      </c>
      <c r="H154" s="6">
        <v>25</v>
      </c>
      <c r="I154" s="2" t="s">
        <v>5</v>
      </c>
      <c r="J154" s="5" t="s">
        <v>15273</v>
      </c>
      <c r="K154" s="3"/>
      <c r="L154" s="1"/>
      <c r="M154" s="1"/>
      <c r="N154" s="8" t="s">
        <v>16126</v>
      </c>
      <c r="O154" s="1" t="s">
        <v>44</v>
      </c>
      <c r="P154" s="1" t="s">
        <v>6</v>
      </c>
      <c r="Q154" s="16"/>
      <c r="R154" s="17"/>
      <c r="S154" s="3"/>
      <c r="T154" s="1778"/>
      <c r="U154" s="1749"/>
      <c r="V154" s="1752"/>
    </row>
    <row r="155" spans="1:22" ht="12" customHeight="1">
      <c r="A155" s="1040" t="str">
        <f t="shared" si="3"/>
        <v>3201</v>
      </c>
      <c r="B155" s="1061" t="s">
        <v>15721</v>
      </c>
      <c r="C155" s="1064"/>
      <c r="D155" s="2">
        <v>1</v>
      </c>
      <c r="E155" s="4" t="s">
        <v>598</v>
      </c>
      <c r="F155" s="1065" t="e">
        <f>IF(E155="","$",VLOOKUP(E155,'結果(小)'!$B$2:$F$1295,5,FALSE))</f>
        <v>#DIV/0!</v>
      </c>
      <c r="G155" s="6" t="s">
        <v>923</v>
      </c>
      <c r="H155" s="6">
        <v>51</v>
      </c>
      <c r="I155" s="6" t="s">
        <v>5</v>
      </c>
      <c r="J155" s="5" t="s">
        <v>15273</v>
      </c>
      <c r="K155" s="12" t="s">
        <v>603</v>
      </c>
      <c r="L155" s="19"/>
      <c r="M155" s="19"/>
      <c r="N155" s="8" t="s">
        <v>16127</v>
      </c>
      <c r="O155" s="6" t="s">
        <v>604</v>
      </c>
      <c r="P155" s="6" t="s">
        <v>25</v>
      </c>
      <c r="Q155" s="13">
        <v>4</v>
      </c>
      <c r="R155" s="14">
        <v>4</v>
      </c>
      <c r="S155" s="12" t="s">
        <v>736</v>
      </c>
      <c r="T155" s="1778"/>
      <c r="U155" s="1749"/>
      <c r="V155" s="1752"/>
    </row>
    <row r="156" spans="1:22" ht="12" customHeight="1">
      <c r="A156" s="1040" t="str">
        <f t="shared" si="3"/>
        <v>3201</v>
      </c>
      <c r="B156" s="1061" t="s">
        <v>15722</v>
      </c>
      <c r="C156" s="1064"/>
      <c r="D156" s="2">
        <v>1</v>
      </c>
      <c r="E156" s="4" t="s">
        <v>616</v>
      </c>
      <c r="F156" s="1065" t="e">
        <f>IF(E156="","$",VLOOKUP(E156,'結果(小)'!$B$2:$F$1295,5,FALSE))</f>
        <v>#DIV/0!</v>
      </c>
      <c r="G156" s="6" t="s">
        <v>906</v>
      </c>
      <c r="H156" s="6">
        <v>57</v>
      </c>
      <c r="I156" s="6" t="s">
        <v>5</v>
      </c>
      <c r="J156" s="5" t="s">
        <v>15273</v>
      </c>
      <c r="K156" s="12" t="s">
        <v>620</v>
      </c>
      <c r="L156" s="19"/>
      <c r="M156" s="19"/>
      <c r="N156" s="8" t="s">
        <v>16127</v>
      </c>
      <c r="O156" s="6" t="s">
        <v>604</v>
      </c>
      <c r="P156" s="6" t="s">
        <v>25</v>
      </c>
      <c r="Q156" s="13">
        <v>4</v>
      </c>
      <c r="R156" s="14">
        <v>4</v>
      </c>
      <c r="S156" s="12" t="s">
        <v>736</v>
      </c>
      <c r="T156" s="1778"/>
      <c r="U156" s="1749"/>
      <c r="V156" s="1752"/>
    </row>
    <row r="157" spans="1:22" ht="12" customHeight="1">
      <c r="A157" s="1040" t="str">
        <f t="shared" si="3"/>
        <v>3201</v>
      </c>
      <c r="B157" s="1061" t="s">
        <v>15723</v>
      </c>
      <c r="C157" s="1064"/>
      <c r="D157" s="2">
        <v>1</v>
      </c>
      <c r="E157" s="4" t="s">
        <v>627</v>
      </c>
      <c r="F157" s="1065" t="e">
        <f>IF(E157="","$",VLOOKUP(E157,'結果(小)'!$B$2:$F$1295,5,FALSE))</f>
        <v>#DIV/0!</v>
      </c>
      <c r="G157" s="5" t="s">
        <v>878</v>
      </c>
      <c r="H157" s="6">
        <v>69</v>
      </c>
      <c r="I157" s="5" t="s">
        <v>5</v>
      </c>
      <c r="J157" s="5" t="s">
        <v>15273</v>
      </c>
      <c r="K157" s="7" t="s">
        <v>638</v>
      </c>
      <c r="L157" s="18"/>
      <c r="M157" s="19"/>
      <c r="N157" s="8" t="s">
        <v>16127</v>
      </c>
      <c r="O157" s="5" t="s">
        <v>45</v>
      </c>
      <c r="P157" s="5" t="s">
        <v>25</v>
      </c>
      <c r="Q157" s="9">
        <v>7</v>
      </c>
      <c r="R157" s="10">
        <v>7</v>
      </c>
      <c r="S157" s="7" t="s">
        <v>736</v>
      </c>
      <c r="T157" s="1778"/>
      <c r="U157" s="1749"/>
      <c r="V157" s="1752"/>
    </row>
    <row r="158" spans="1:22" ht="12" customHeight="1">
      <c r="A158" s="1040" t="str">
        <f t="shared" si="3"/>
        <v>3201</v>
      </c>
      <c r="B158" s="1061" t="s">
        <v>15724</v>
      </c>
      <c r="C158" s="1064"/>
      <c r="D158" s="2">
        <v>1</v>
      </c>
      <c r="E158" s="4" t="s">
        <v>642</v>
      </c>
      <c r="F158" s="1065" t="e">
        <f>IF(E158="","$",VLOOKUP(E158,'結果(小)'!$B$2:$F$1295,5,FALSE))</f>
        <v>#DIV/0!</v>
      </c>
      <c r="G158" s="6" t="s">
        <v>899</v>
      </c>
      <c r="H158" s="6">
        <v>51</v>
      </c>
      <c r="I158" s="6" t="s">
        <v>5</v>
      </c>
      <c r="J158" s="5" t="s">
        <v>15273</v>
      </c>
      <c r="K158" s="12" t="s">
        <v>645</v>
      </c>
      <c r="L158" s="19"/>
      <c r="M158" s="19"/>
      <c r="N158" s="4" t="s">
        <v>16127</v>
      </c>
      <c r="O158" s="6" t="s">
        <v>44</v>
      </c>
      <c r="P158" s="6" t="s">
        <v>25</v>
      </c>
      <c r="Q158" s="13">
        <v>3</v>
      </c>
      <c r="R158" s="14">
        <v>3</v>
      </c>
      <c r="S158" s="12" t="s">
        <v>736</v>
      </c>
      <c r="T158" s="1778"/>
      <c r="U158" s="1749"/>
      <c r="V158" s="1752"/>
    </row>
    <row r="159" spans="1:22" ht="12" customHeight="1">
      <c r="A159" s="1040" t="str">
        <f t="shared" si="3"/>
        <v>3201</v>
      </c>
      <c r="B159" s="1061" t="s">
        <v>15725</v>
      </c>
      <c r="C159" s="1064"/>
      <c r="D159" s="2">
        <v>1</v>
      </c>
      <c r="E159" s="4" t="s">
        <v>651</v>
      </c>
      <c r="F159" s="1065" t="e">
        <f>IF(E159="","$",VLOOKUP(E159,'結果(小)'!$B$2:$F$1295,5,FALSE))</f>
        <v>#DIV/0!</v>
      </c>
      <c r="G159" s="6" t="s">
        <v>881</v>
      </c>
      <c r="H159" s="6">
        <v>48</v>
      </c>
      <c r="I159" s="6" t="s">
        <v>5</v>
      </c>
      <c r="J159" s="5" t="s">
        <v>15273</v>
      </c>
      <c r="K159" s="12" t="s">
        <v>654</v>
      </c>
      <c r="L159" s="19"/>
      <c r="M159" s="19"/>
      <c r="N159" s="8" t="s">
        <v>16126</v>
      </c>
      <c r="O159" s="6" t="s">
        <v>655</v>
      </c>
      <c r="P159" s="6" t="s">
        <v>25</v>
      </c>
      <c r="Q159" s="13">
        <v>6</v>
      </c>
      <c r="R159" s="14">
        <v>6</v>
      </c>
      <c r="S159" s="12" t="s">
        <v>736</v>
      </c>
      <c r="T159" s="1778"/>
      <c r="U159" s="1749"/>
      <c r="V159" s="1752"/>
    </row>
    <row r="160" spans="1:22" ht="12" customHeight="1">
      <c r="A160" s="1040" t="str">
        <f t="shared" si="3"/>
        <v>3201</v>
      </c>
      <c r="B160" s="1061" t="s">
        <v>15726</v>
      </c>
      <c r="C160" s="1064"/>
      <c r="D160" s="2">
        <v>1</v>
      </c>
      <c r="E160" s="4" t="s">
        <v>663</v>
      </c>
      <c r="F160" s="1065" t="e">
        <f>IF(E160="","$",VLOOKUP(E160,'結果(小)'!$B$2:$F$1295,5,FALSE))</f>
        <v>#DIV/0!</v>
      </c>
      <c r="G160" s="6" t="s">
        <v>910</v>
      </c>
      <c r="H160" s="6">
        <v>55</v>
      </c>
      <c r="I160" s="6" t="s">
        <v>5</v>
      </c>
      <c r="J160" s="5" t="s">
        <v>15273</v>
      </c>
      <c r="K160" s="12" t="s">
        <v>667</v>
      </c>
      <c r="L160" s="19"/>
      <c r="M160" s="19"/>
      <c r="N160" s="8" t="s">
        <v>16127</v>
      </c>
      <c r="O160" s="6" t="s">
        <v>44</v>
      </c>
      <c r="P160" s="6" t="s">
        <v>25</v>
      </c>
      <c r="Q160" s="13">
        <v>4</v>
      </c>
      <c r="R160" s="14">
        <v>4</v>
      </c>
      <c r="S160" s="12" t="s">
        <v>736</v>
      </c>
      <c r="T160" s="1778"/>
      <c r="U160" s="1749"/>
      <c r="V160" s="1752"/>
    </row>
    <row r="161" spans="1:22" ht="12" customHeight="1">
      <c r="A161" s="1040" t="str">
        <f t="shared" si="3"/>
        <v>3201</v>
      </c>
      <c r="B161" s="1061" t="s">
        <v>15727</v>
      </c>
      <c r="C161" s="1064"/>
      <c r="D161" s="2">
        <v>1</v>
      </c>
      <c r="E161" s="4" t="s">
        <v>676</v>
      </c>
      <c r="F161" s="1065" t="e">
        <f>IF(E161="","$",VLOOKUP(E161,'結果(小)'!$B$2:$F$1295,5,FALSE))</f>
        <v>#DIV/0!</v>
      </c>
      <c r="G161" s="1" t="s">
        <v>680</v>
      </c>
      <c r="H161" s="6">
        <v>50</v>
      </c>
      <c r="I161" s="2" t="s">
        <v>19</v>
      </c>
      <c r="J161" s="5" t="s">
        <v>15273</v>
      </c>
      <c r="K161" s="3"/>
      <c r="L161" s="1"/>
      <c r="M161" s="1"/>
      <c r="N161" s="8" t="s">
        <v>16127</v>
      </c>
      <c r="O161" s="1" t="s">
        <v>681</v>
      </c>
      <c r="P161" s="1" t="s">
        <v>6</v>
      </c>
      <c r="Q161" s="16"/>
      <c r="R161" s="17">
        <v>2</v>
      </c>
      <c r="S161" s="3"/>
      <c r="T161" s="1778"/>
      <c r="U161" s="1749"/>
      <c r="V161" s="1752"/>
    </row>
    <row r="162" spans="1:22" ht="12" customHeight="1">
      <c r="A162" s="1040" t="str">
        <f t="shared" si="3"/>
        <v>3201</v>
      </c>
      <c r="B162" s="1061" t="s">
        <v>15728</v>
      </c>
      <c r="C162" s="1064"/>
      <c r="D162" s="2">
        <v>1</v>
      </c>
      <c r="E162" s="4" t="s">
        <v>691</v>
      </c>
      <c r="F162" s="1065" t="e">
        <f>IF(E162="","$",VLOOKUP(E162,'結果(小)'!$B$2:$F$1295,5,FALSE))</f>
        <v>#DIV/0!</v>
      </c>
      <c r="G162" s="6" t="s">
        <v>893</v>
      </c>
      <c r="H162" s="6">
        <v>40</v>
      </c>
      <c r="I162" s="6" t="s">
        <v>5</v>
      </c>
      <c r="J162" s="5" t="s">
        <v>15273</v>
      </c>
      <c r="K162" s="12" t="s">
        <v>694</v>
      </c>
      <c r="L162" s="19"/>
      <c r="M162" s="19"/>
      <c r="N162" s="8" t="s">
        <v>16127</v>
      </c>
      <c r="O162" s="6" t="s">
        <v>44</v>
      </c>
      <c r="P162" s="6" t="s">
        <v>25</v>
      </c>
      <c r="Q162" s="13">
        <v>1</v>
      </c>
      <c r="R162" s="14">
        <v>1</v>
      </c>
      <c r="S162" s="3" t="s">
        <v>736</v>
      </c>
      <c r="T162" s="1778"/>
      <c r="U162" s="1749"/>
      <c r="V162" s="1752"/>
    </row>
    <row r="163" spans="1:22" ht="12" customHeight="1">
      <c r="A163" s="1040" t="str">
        <f t="shared" si="3"/>
        <v>3201</v>
      </c>
      <c r="B163" s="1061" t="s">
        <v>15729</v>
      </c>
      <c r="C163" s="1064"/>
      <c r="D163" s="2">
        <v>1</v>
      </c>
      <c r="E163" s="4" t="s">
        <v>697</v>
      </c>
      <c r="F163" s="1065" t="e">
        <f>IF(E163="","$",VLOOKUP(E163,'結果(小)'!$B$2:$F$1295,5,FALSE))</f>
        <v>#DIV/0!</v>
      </c>
      <c r="G163" s="6" t="s">
        <v>868</v>
      </c>
      <c r="H163" s="6">
        <v>64</v>
      </c>
      <c r="I163" s="6" t="s">
        <v>5</v>
      </c>
      <c r="J163" s="5" t="s">
        <v>15273</v>
      </c>
      <c r="K163" s="12" t="s">
        <v>700</v>
      </c>
      <c r="L163" s="19"/>
      <c r="M163" s="19"/>
      <c r="N163" s="4" t="s">
        <v>16127</v>
      </c>
      <c r="O163" s="6" t="s">
        <v>655</v>
      </c>
      <c r="P163" s="6" t="s">
        <v>25</v>
      </c>
      <c r="Q163" s="13">
        <v>4</v>
      </c>
      <c r="R163" s="14">
        <v>4</v>
      </c>
      <c r="S163" s="12" t="s">
        <v>736</v>
      </c>
      <c r="T163" s="1778"/>
      <c r="U163" s="1749"/>
      <c r="V163" s="1752"/>
    </row>
    <row r="164" spans="1:22" ht="12" customHeight="1">
      <c r="A164" s="1040" t="str">
        <f t="shared" si="3"/>
        <v>3201</v>
      </c>
      <c r="B164" s="1061" t="s">
        <v>15730</v>
      </c>
      <c r="C164" s="1064"/>
      <c r="D164" s="2">
        <v>1</v>
      </c>
      <c r="E164" s="4" t="s">
        <v>707</v>
      </c>
      <c r="F164" s="1065" t="e">
        <f>IF(E164="","$",VLOOKUP(E164,'結果(小)'!$B$2:$F$1295,5,FALSE))</f>
        <v>#DIV/0!</v>
      </c>
      <c r="G164" s="1" t="s">
        <v>5554</v>
      </c>
      <c r="H164" s="6">
        <v>39</v>
      </c>
      <c r="I164" s="2" t="s">
        <v>5</v>
      </c>
      <c r="J164" s="5" t="s">
        <v>15273</v>
      </c>
      <c r="K164" s="3"/>
      <c r="L164" s="1"/>
      <c r="M164" s="1"/>
      <c r="N164" s="8" t="s">
        <v>16126</v>
      </c>
      <c r="O164" s="1" t="s">
        <v>44</v>
      </c>
      <c r="P164" s="1" t="s">
        <v>6</v>
      </c>
      <c r="Q164" s="16"/>
      <c r="R164" s="17"/>
      <c r="S164" s="3"/>
      <c r="T164" s="1778"/>
      <c r="U164" s="1749"/>
      <c r="V164" s="1752"/>
    </row>
    <row r="165" spans="1:22" ht="12" customHeight="1">
      <c r="A165" s="1040" t="str">
        <f t="shared" si="3"/>
        <v>3201</v>
      </c>
      <c r="B165" s="1061" t="s">
        <v>15731</v>
      </c>
      <c r="C165" s="1064"/>
      <c r="D165" s="2">
        <v>1</v>
      </c>
      <c r="E165" s="4" t="s">
        <v>732</v>
      </c>
      <c r="F165" s="1065" t="e">
        <f>IF(E165="","$",VLOOKUP(E165,'結果(小)'!$B$2:$F$1295,5,FALSE))</f>
        <v>#DIV/0!</v>
      </c>
      <c r="G165" s="1" t="s">
        <v>938</v>
      </c>
      <c r="H165" s="6">
        <v>48</v>
      </c>
      <c r="I165" s="2" t="s">
        <v>5</v>
      </c>
      <c r="J165" s="5" t="s">
        <v>15273</v>
      </c>
      <c r="K165" s="3" t="s">
        <v>939</v>
      </c>
      <c r="L165" s="1"/>
      <c r="M165" s="1"/>
      <c r="N165" s="8" t="s">
        <v>16127</v>
      </c>
      <c r="O165" s="1" t="s">
        <v>655</v>
      </c>
      <c r="P165" s="1" t="s">
        <v>25</v>
      </c>
      <c r="Q165" s="16">
        <v>2</v>
      </c>
      <c r="R165" s="17">
        <v>2</v>
      </c>
      <c r="S165" s="3" t="s">
        <v>736</v>
      </c>
      <c r="T165" s="1778"/>
      <c r="U165" s="1749"/>
      <c r="V165" s="1752"/>
    </row>
    <row r="166" spans="1:22" ht="12" customHeight="1">
      <c r="A166" s="1040" t="str">
        <f t="shared" si="3"/>
        <v>3201</v>
      </c>
      <c r="B166" s="1061" t="s">
        <v>15732</v>
      </c>
      <c r="C166" s="1064"/>
      <c r="D166" s="2">
        <v>1</v>
      </c>
      <c r="E166" s="4" t="s">
        <v>954</v>
      </c>
      <c r="F166" s="1065" t="e">
        <f>IF(E166="","$",VLOOKUP(E166,'結果(小)'!$B$2:$F$1295,5,FALSE))</f>
        <v>#DIV/0!</v>
      </c>
      <c r="G166" s="1" t="s">
        <v>958</v>
      </c>
      <c r="H166" s="6">
        <v>37</v>
      </c>
      <c r="I166" s="2" t="s">
        <v>5</v>
      </c>
      <c r="J166" s="5" t="s">
        <v>15273</v>
      </c>
      <c r="K166" s="3" t="s">
        <v>959</v>
      </c>
      <c r="L166" s="1"/>
      <c r="M166" s="1"/>
      <c r="N166" s="8" t="s">
        <v>16127</v>
      </c>
      <c r="O166" s="1" t="s">
        <v>44</v>
      </c>
      <c r="P166" s="1" t="s">
        <v>25</v>
      </c>
      <c r="Q166" s="16">
        <v>1</v>
      </c>
      <c r="R166" s="17">
        <v>1</v>
      </c>
      <c r="S166" s="3" t="s">
        <v>736</v>
      </c>
      <c r="T166" s="1778"/>
      <c r="U166" s="1749"/>
      <c r="V166" s="1752"/>
    </row>
    <row r="167" spans="1:22" ht="12" customHeight="1">
      <c r="A167" s="1040" t="str">
        <f t="shared" si="3"/>
        <v>3201</v>
      </c>
      <c r="B167" s="1061" t="s">
        <v>15733</v>
      </c>
      <c r="C167" s="1064"/>
      <c r="D167" s="2">
        <v>1</v>
      </c>
      <c r="E167" s="4" t="s">
        <v>971</v>
      </c>
      <c r="F167" s="1065" t="e">
        <f>IF(E167="","$",VLOOKUP(E167,'結果(小)'!$B$2:$F$1295,5,FALSE))</f>
        <v>#DIV/0!</v>
      </c>
      <c r="G167" s="1" t="s">
        <v>975</v>
      </c>
      <c r="H167" s="6">
        <v>45</v>
      </c>
      <c r="I167" s="2" t="s">
        <v>5</v>
      </c>
      <c r="J167" s="5" t="s">
        <v>15273</v>
      </c>
      <c r="K167" s="3" t="s">
        <v>976</v>
      </c>
      <c r="L167" s="1"/>
      <c r="M167" s="1"/>
      <c r="N167" s="8" t="s">
        <v>16127</v>
      </c>
      <c r="O167" s="1" t="s">
        <v>44</v>
      </c>
      <c r="P167" s="1" t="s">
        <v>25</v>
      </c>
      <c r="Q167" s="16">
        <v>2</v>
      </c>
      <c r="R167" s="17">
        <v>2</v>
      </c>
      <c r="S167" s="3" t="s">
        <v>736</v>
      </c>
      <c r="T167" s="1778"/>
      <c r="U167" s="1749"/>
      <c r="V167" s="1752"/>
    </row>
    <row r="168" spans="1:22" ht="12" customHeight="1" thickBot="1">
      <c r="A168" s="916" t="str">
        <f t="shared" si="3"/>
        <v>3201</v>
      </c>
      <c r="B168" s="1096" t="s">
        <v>15734</v>
      </c>
      <c r="C168" s="1075"/>
      <c r="D168" s="702">
        <v>1</v>
      </c>
      <c r="E168" s="700" t="s">
        <v>987</v>
      </c>
      <c r="F168" s="1071" t="e">
        <f>IF(E168="","$",VLOOKUP(E168,'結果(小)'!$B$2:$F$1295,5,FALSE))</f>
        <v>#DIV/0!</v>
      </c>
      <c r="G168" s="906" t="s">
        <v>992</v>
      </c>
      <c r="H168" s="701">
        <v>42</v>
      </c>
      <c r="I168" s="702" t="s">
        <v>5</v>
      </c>
      <c r="J168" s="356" t="s">
        <v>15273</v>
      </c>
      <c r="K168" s="703" t="s">
        <v>993</v>
      </c>
      <c r="L168" s="906"/>
      <c r="M168" s="906"/>
      <c r="N168" s="700" t="s">
        <v>16127</v>
      </c>
      <c r="O168" s="906" t="s">
        <v>737</v>
      </c>
      <c r="P168" s="906" t="s">
        <v>25</v>
      </c>
      <c r="Q168" s="705">
        <v>3</v>
      </c>
      <c r="R168" s="903">
        <v>3</v>
      </c>
      <c r="S168" s="703" t="s">
        <v>736</v>
      </c>
      <c r="T168" s="1779"/>
      <c r="U168" s="1750"/>
      <c r="V168" s="1753"/>
    </row>
    <row r="169" spans="1:22" ht="12" customHeight="1">
      <c r="A169" s="1038" t="str">
        <f t="shared" si="3"/>
        <v>3202</v>
      </c>
      <c r="B169" s="1072" t="s">
        <v>15300</v>
      </c>
      <c r="C169" s="1073"/>
      <c r="D169" s="696">
        <v>1</v>
      </c>
      <c r="E169" s="688" t="s">
        <v>388</v>
      </c>
      <c r="F169" s="1068" t="e">
        <f>IF(E169="","$",VLOOKUP(E169,'結果(小)'!$B$2:$F$1295,5,FALSE))</f>
        <v>#DIV/0!</v>
      </c>
      <c r="G169" s="687" t="s">
        <v>390</v>
      </c>
      <c r="H169" s="690">
        <v>58</v>
      </c>
      <c r="I169" s="696" t="s">
        <v>5</v>
      </c>
      <c r="J169" s="687" t="s">
        <v>15273</v>
      </c>
      <c r="K169" s="747"/>
      <c r="L169" s="687"/>
      <c r="M169" s="687"/>
      <c r="N169" s="692" t="s">
        <v>16120</v>
      </c>
      <c r="O169" s="687" t="s">
        <v>30</v>
      </c>
      <c r="P169" s="687" t="s">
        <v>6</v>
      </c>
      <c r="Q169" s="748"/>
      <c r="R169" s="749"/>
      <c r="S169" s="747" t="s">
        <v>5457</v>
      </c>
      <c r="T169" s="1769"/>
      <c r="U169" s="1748"/>
      <c r="V169" s="1751" t="e">
        <f>U169/SUM(U142:U264)</f>
        <v>#DIV/0!</v>
      </c>
    </row>
    <row r="170" spans="1:22" ht="12" customHeight="1">
      <c r="A170" s="1040" t="str">
        <f t="shared" si="3"/>
        <v>3202</v>
      </c>
      <c r="B170" s="1053" t="s">
        <v>15301</v>
      </c>
      <c r="C170" s="1064"/>
      <c r="D170" s="2">
        <v>1</v>
      </c>
      <c r="E170" s="4" t="s">
        <v>397</v>
      </c>
      <c r="F170" s="1065" t="e">
        <f>IF(E170="","$",VLOOKUP(E170,'結果(小)'!$B$2:$F$1295,5,FALSE))</f>
        <v>#DIV/0!</v>
      </c>
      <c r="G170" s="5" t="s">
        <v>857</v>
      </c>
      <c r="H170" s="6">
        <v>68</v>
      </c>
      <c r="I170" s="5" t="s">
        <v>5</v>
      </c>
      <c r="J170" s="5" t="s">
        <v>15273</v>
      </c>
      <c r="K170" s="12" t="s">
        <v>1302</v>
      </c>
      <c r="L170" s="18"/>
      <c r="M170" s="19"/>
      <c r="N170" s="4" t="s">
        <v>16120</v>
      </c>
      <c r="O170" s="5" t="s">
        <v>13</v>
      </c>
      <c r="P170" s="5" t="s">
        <v>25</v>
      </c>
      <c r="Q170" s="9">
        <v>9</v>
      </c>
      <c r="R170" s="10">
        <v>9</v>
      </c>
      <c r="S170" s="7" t="s">
        <v>5457</v>
      </c>
      <c r="T170" s="1770"/>
      <c r="U170" s="1749"/>
      <c r="V170" s="1752"/>
    </row>
    <row r="171" spans="1:22" ht="12" customHeight="1">
      <c r="A171" s="1040" t="str">
        <f t="shared" si="3"/>
        <v>3202</v>
      </c>
      <c r="B171" s="1053" t="s">
        <v>15302</v>
      </c>
      <c r="C171" s="1064"/>
      <c r="D171" s="2">
        <v>1</v>
      </c>
      <c r="E171" s="4" t="s">
        <v>409</v>
      </c>
      <c r="F171" s="1065" t="e">
        <f>IF(E171="","$",VLOOKUP(E171,'結果(小)'!$B$2:$F$1295,5,FALSE))</f>
        <v>#DIV/0!</v>
      </c>
      <c r="G171" s="1" t="s">
        <v>412</v>
      </c>
      <c r="H171" s="6">
        <v>53</v>
      </c>
      <c r="I171" s="2" t="s">
        <v>5</v>
      </c>
      <c r="J171" s="1" t="s">
        <v>15273</v>
      </c>
      <c r="K171" s="3"/>
      <c r="L171" s="1"/>
      <c r="M171" s="1"/>
      <c r="N171" s="4" t="s">
        <v>16120</v>
      </c>
      <c r="O171" s="1" t="s">
        <v>476</v>
      </c>
      <c r="P171" s="1" t="s">
        <v>14</v>
      </c>
      <c r="Q171" s="16">
        <v>2</v>
      </c>
      <c r="R171" s="17">
        <v>2</v>
      </c>
      <c r="S171" s="3" t="s">
        <v>5457</v>
      </c>
      <c r="T171" s="1770"/>
      <c r="U171" s="1749"/>
      <c r="V171" s="1752"/>
    </row>
    <row r="172" spans="1:22" ht="12" customHeight="1">
      <c r="A172" s="1040" t="str">
        <f t="shared" si="3"/>
        <v>3202</v>
      </c>
      <c r="B172" s="1053" t="s">
        <v>15303</v>
      </c>
      <c r="C172" s="1064"/>
      <c r="D172" s="2">
        <v>1</v>
      </c>
      <c r="E172" s="4" t="s">
        <v>419</v>
      </c>
      <c r="F172" s="1065" t="e">
        <f>IF(E172="","$",VLOOKUP(E172,'結果(小)'!$B$2:$F$1295,5,FALSE))</f>
        <v>#DIV/0!</v>
      </c>
      <c r="G172" s="6" t="s">
        <v>858</v>
      </c>
      <c r="H172" s="6">
        <v>57</v>
      </c>
      <c r="I172" s="6" t="s">
        <v>5</v>
      </c>
      <c r="J172" s="6" t="s">
        <v>15273</v>
      </c>
      <c r="K172" s="12" t="s">
        <v>1357</v>
      </c>
      <c r="L172" s="19"/>
      <c r="M172" s="19"/>
      <c r="N172" s="8" t="s">
        <v>16120</v>
      </c>
      <c r="O172" s="6" t="s">
        <v>30</v>
      </c>
      <c r="P172" s="6" t="s">
        <v>25</v>
      </c>
      <c r="Q172" s="13">
        <v>4</v>
      </c>
      <c r="R172" s="14">
        <v>4</v>
      </c>
      <c r="S172" s="12" t="s">
        <v>5457</v>
      </c>
      <c r="T172" s="1770"/>
      <c r="U172" s="1749"/>
      <c r="V172" s="1752"/>
    </row>
    <row r="173" spans="1:22" ht="12" customHeight="1">
      <c r="A173" s="1040" t="str">
        <f t="shared" si="3"/>
        <v>3202</v>
      </c>
      <c r="B173" s="1053" t="s">
        <v>15304</v>
      </c>
      <c r="C173" s="1064"/>
      <c r="D173" s="2">
        <v>1</v>
      </c>
      <c r="E173" s="4" t="s">
        <v>425</v>
      </c>
      <c r="F173" s="1065" t="e">
        <f>IF(E173="","$",VLOOKUP(E173,'結果(小)'!$B$2:$F$1295,5,FALSE))</f>
        <v>#DIV/0!</v>
      </c>
      <c r="G173" s="1" t="s">
        <v>427</v>
      </c>
      <c r="H173" s="6">
        <v>40</v>
      </c>
      <c r="I173" s="2" t="s">
        <v>5</v>
      </c>
      <c r="J173" s="1" t="s">
        <v>15273</v>
      </c>
      <c r="K173" s="3"/>
      <c r="L173" s="1"/>
      <c r="M173" s="1"/>
      <c r="N173" s="23" t="s">
        <v>16120</v>
      </c>
      <c r="O173" s="1" t="s">
        <v>30</v>
      </c>
      <c r="P173" s="1" t="s">
        <v>6</v>
      </c>
      <c r="Q173" s="16"/>
      <c r="R173" s="17"/>
      <c r="S173" s="3"/>
      <c r="T173" s="1770"/>
      <c r="U173" s="1749"/>
      <c r="V173" s="1752"/>
    </row>
    <row r="174" spans="1:22" ht="12" customHeight="1">
      <c r="A174" s="1040" t="str">
        <f t="shared" si="3"/>
        <v>3202</v>
      </c>
      <c r="B174" s="1053" t="s">
        <v>15305</v>
      </c>
      <c r="C174" s="1064"/>
      <c r="D174" s="2">
        <v>1</v>
      </c>
      <c r="E174" s="4" t="s">
        <v>434</v>
      </c>
      <c r="F174" s="1065" t="e">
        <f>IF(E174="","$",VLOOKUP(E174,'結果(小)'!$B$2:$F$1295,5,FALSE))</f>
        <v>#DIV/0!</v>
      </c>
      <c r="G174" s="1" t="s">
        <v>436</v>
      </c>
      <c r="H174" s="6">
        <v>68</v>
      </c>
      <c r="I174" s="2" t="s">
        <v>5</v>
      </c>
      <c r="J174" s="1" t="s">
        <v>15273</v>
      </c>
      <c r="K174" s="3"/>
      <c r="L174" s="1"/>
      <c r="M174" s="1"/>
      <c r="N174" s="8" t="s">
        <v>16120</v>
      </c>
      <c r="O174" s="1" t="s">
        <v>5247</v>
      </c>
      <c r="P174" s="1" t="s">
        <v>14</v>
      </c>
      <c r="Q174" s="16">
        <v>10</v>
      </c>
      <c r="R174" s="17">
        <v>10</v>
      </c>
      <c r="S174" s="3" t="s">
        <v>5457</v>
      </c>
      <c r="T174" s="1770"/>
      <c r="U174" s="1749"/>
      <c r="V174" s="1752"/>
    </row>
    <row r="175" spans="1:22" ht="12" customHeight="1">
      <c r="A175" s="1040" t="str">
        <f t="shared" si="3"/>
        <v>3202</v>
      </c>
      <c r="B175" s="1053" t="s">
        <v>15306</v>
      </c>
      <c r="C175" s="1064"/>
      <c r="D175" s="2">
        <v>1</v>
      </c>
      <c r="E175" s="4" t="s">
        <v>442</v>
      </c>
      <c r="F175" s="1065" t="e">
        <f>IF(E175="","$",VLOOKUP(E175,'結果(小)'!$B$2:$F$1295,5,FALSE))</f>
        <v>#DIV/0!</v>
      </c>
      <c r="G175" s="6" t="s">
        <v>849</v>
      </c>
      <c r="H175" s="6">
        <v>59</v>
      </c>
      <c r="I175" s="6" t="s">
        <v>19</v>
      </c>
      <c r="J175" s="6" t="s">
        <v>15273</v>
      </c>
      <c r="K175" s="12" t="s">
        <v>1303</v>
      </c>
      <c r="L175" s="19"/>
      <c r="M175" s="19"/>
      <c r="N175" s="4" t="s">
        <v>16120</v>
      </c>
      <c r="O175" s="6" t="s">
        <v>445</v>
      </c>
      <c r="P175" s="6" t="s">
        <v>25</v>
      </c>
      <c r="Q175" s="13">
        <v>2</v>
      </c>
      <c r="R175" s="14">
        <v>2</v>
      </c>
      <c r="S175" s="12"/>
      <c r="T175" s="1770"/>
      <c r="U175" s="1749"/>
      <c r="V175" s="1752"/>
    </row>
    <row r="176" spans="1:22" ht="12" customHeight="1">
      <c r="A176" s="1040" t="str">
        <f t="shared" si="3"/>
        <v>3202</v>
      </c>
      <c r="B176" s="1053" t="s">
        <v>15307</v>
      </c>
      <c r="C176" s="1064"/>
      <c r="D176" s="2">
        <v>1</v>
      </c>
      <c r="E176" s="4" t="s">
        <v>471</v>
      </c>
      <c r="F176" s="1065" t="e">
        <f>IF(E176="","$",VLOOKUP(E176,'結果(小)'!$B$2:$F$1295,5,FALSE))</f>
        <v>#DIV/0!</v>
      </c>
      <c r="G176" s="1" t="s">
        <v>477</v>
      </c>
      <c r="H176" s="6">
        <v>59</v>
      </c>
      <c r="I176" s="2" t="s">
        <v>5</v>
      </c>
      <c r="J176" s="1" t="s">
        <v>15273</v>
      </c>
      <c r="K176" s="3"/>
      <c r="L176" s="1"/>
      <c r="M176" s="1"/>
      <c r="N176" s="4" t="s">
        <v>16120</v>
      </c>
      <c r="O176" s="1" t="s">
        <v>13</v>
      </c>
      <c r="P176" s="1" t="s">
        <v>14</v>
      </c>
      <c r="Q176" s="16">
        <v>9</v>
      </c>
      <c r="R176" s="17">
        <v>9</v>
      </c>
      <c r="S176" s="3" t="s">
        <v>5457</v>
      </c>
      <c r="T176" s="1770"/>
      <c r="U176" s="1749"/>
      <c r="V176" s="1752"/>
    </row>
    <row r="177" spans="1:22" ht="12" customHeight="1">
      <c r="A177" s="1040" t="str">
        <f t="shared" si="3"/>
        <v>3202</v>
      </c>
      <c r="B177" s="1053" t="s">
        <v>15308</v>
      </c>
      <c r="C177" s="1064"/>
      <c r="D177" s="2">
        <v>1</v>
      </c>
      <c r="E177" s="4" t="s">
        <v>486</v>
      </c>
      <c r="F177" s="1065" t="e">
        <f>IF(E177="","$",VLOOKUP(E177,'結果(小)'!$B$2:$F$1295,5,FALSE))</f>
        <v>#DIV/0!</v>
      </c>
      <c r="G177" s="1" t="s">
        <v>492</v>
      </c>
      <c r="H177" s="6">
        <v>69</v>
      </c>
      <c r="I177" s="2" t="s">
        <v>5</v>
      </c>
      <c r="J177" s="1" t="s">
        <v>15273</v>
      </c>
      <c r="K177" s="3"/>
      <c r="L177" s="1"/>
      <c r="M177" s="1"/>
      <c r="N177" s="8" t="s">
        <v>16120</v>
      </c>
      <c r="O177" s="1" t="s">
        <v>65</v>
      </c>
      <c r="P177" s="1" t="s">
        <v>14</v>
      </c>
      <c r="Q177" s="16">
        <v>4</v>
      </c>
      <c r="R177" s="17">
        <v>4</v>
      </c>
      <c r="S177" s="3" t="s">
        <v>5457</v>
      </c>
      <c r="T177" s="1770"/>
      <c r="U177" s="1749"/>
      <c r="V177" s="1752"/>
    </row>
    <row r="178" spans="1:22" ht="12" customHeight="1">
      <c r="A178" s="1040" t="str">
        <f t="shared" si="3"/>
        <v>3202</v>
      </c>
      <c r="B178" s="1053" t="s">
        <v>15309</v>
      </c>
      <c r="C178" s="1064"/>
      <c r="D178" s="2">
        <v>1</v>
      </c>
      <c r="E178" s="4" t="s">
        <v>504</v>
      </c>
      <c r="F178" s="1065" t="str">
        <f>IF(E178="","$",VLOOKUP(E178,'結果(小)'!$B$2:$F$1295,5,FALSE))</f>
        <v>$</v>
      </c>
      <c r="G178" s="1" t="s">
        <v>506</v>
      </c>
      <c r="H178" s="6">
        <v>33</v>
      </c>
      <c r="I178" s="2" t="s">
        <v>5</v>
      </c>
      <c r="J178" s="1" t="s">
        <v>15273</v>
      </c>
      <c r="K178" s="3"/>
      <c r="L178" s="1"/>
      <c r="M178" s="1"/>
      <c r="N178" s="23" t="s">
        <v>16120</v>
      </c>
      <c r="O178" s="1" t="s">
        <v>30</v>
      </c>
      <c r="P178" s="1" t="s">
        <v>6</v>
      </c>
      <c r="Q178" s="16"/>
      <c r="R178" s="17"/>
      <c r="S178" s="3" t="s">
        <v>5457</v>
      </c>
      <c r="T178" s="1770"/>
      <c r="U178" s="1749"/>
      <c r="V178" s="1752"/>
    </row>
    <row r="179" spans="1:22" ht="12" customHeight="1">
      <c r="A179" s="1040" t="str">
        <f t="shared" si="3"/>
        <v>3202</v>
      </c>
      <c r="B179" s="1053" t="s">
        <v>15310</v>
      </c>
      <c r="C179" s="1064"/>
      <c r="D179" s="2">
        <v>1</v>
      </c>
      <c r="E179" s="4" t="s">
        <v>513</v>
      </c>
      <c r="F179" s="1065" t="e">
        <f>IF(E179="","$",VLOOKUP(E179,'結果(小)'!$B$2:$F$1295,5,FALSE))</f>
        <v>#DIV/0!</v>
      </c>
      <c r="G179" s="5" t="s">
        <v>876</v>
      </c>
      <c r="H179" s="6">
        <v>60</v>
      </c>
      <c r="I179" s="5" t="s">
        <v>5</v>
      </c>
      <c r="J179" s="5" t="s">
        <v>15273</v>
      </c>
      <c r="K179" s="12" t="s">
        <v>1306</v>
      </c>
      <c r="L179" s="18"/>
      <c r="M179" s="19"/>
      <c r="N179" s="8" t="s">
        <v>16120</v>
      </c>
      <c r="O179" s="5" t="s">
        <v>30</v>
      </c>
      <c r="P179" s="5" t="s">
        <v>25</v>
      </c>
      <c r="Q179" s="9">
        <v>5</v>
      </c>
      <c r="R179" s="10">
        <v>5</v>
      </c>
      <c r="S179" s="7" t="s">
        <v>5457</v>
      </c>
      <c r="T179" s="1770"/>
      <c r="U179" s="1749"/>
      <c r="V179" s="1752"/>
    </row>
    <row r="180" spans="1:22" ht="12" customHeight="1">
      <c r="A180" s="1040" t="str">
        <f t="shared" si="3"/>
        <v>3202</v>
      </c>
      <c r="B180" s="1053" t="s">
        <v>15311</v>
      </c>
      <c r="C180" s="1064"/>
      <c r="D180" s="2">
        <v>1</v>
      </c>
      <c r="E180" s="4" t="s">
        <v>525</v>
      </c>
      <c r="F180" s="1065" t="e">
        <f>IF(E180="","$",VLOOKUP(E180,'結果(小)'!$B$2:$F$1295,5,FALSE))</f>
        <v>#DIV/0!</v>
      </c>
      <c r="G180" s="6" t="s">
        <v>926</v>
      </c>
      <c r="H180" s="6">
        <v>57</v>
      </c>
      <c r="I180" s="6" t="s">
        <v>5</v>
      </c>
      <c r="J180" s="6" t="s">
        <v>15273</v>
      </c>
      <c r="K180" s="12" t="s">
        <v>1365</v>
      </c>
      <c r="L180" s="19"/>
      <c r="M180" s="19"/>
      <c r="N180" s="4" t="s">
        <v>16120</v>
      </c>
      <c r="O180" s="6" t="s">
        <v>13</v>
      </c>
      <c r="P180" s="6" t="s">
        <v>25</v>
      </c>
      <c r="Q180" s="13">
        <v>6</v>
      </c>
      <c r="R180" s="14">
        <v>6</v>
      </c>
      <c r="S180" s="7" t="s">
        <v>5457</v>
      </c>
      <c r="T180" s="1770"/>
      <c r="U180" s="1749"/>
      <c r="V180" s="1752"/>
    </row>
    <row r="181" spans="1:22" ht="12" customHeight="1">
      <c r="A181" s="1040" t="str">
        <f t="shared" si="3"/>
        <v>3202</v>
      </c>
      <c r="B181" s="1053" t="s">
        <v>15312</v>
      </c>
      <c r="C181" s="1064"/>
      <c r="D181" s="2">
        <v>1</v>
      </c>
      <c r="E181" s="4" t="s">
        <v>536</v>
      </c>
      <c r="F181" s="1065" t="e">
        <f>IF(E181="","$",VLOOKUP(E181,'結果(小)'!$B$2:$F$1295,5,FALSE))</f>
        <v>#DIV/0!</v>
      </c>
      <c r="G181" s="6" t="s">
        <v>875</v>
      </c>
      <c r="H181" s="6">
        <v>59</v>
      </c>
      <c r="I181" s="6" t="s">
        <v>5</v>
      </c>
      <c r="J181" s="6" t="s">
        <v>15273</v>
      </c>
      <c r="K181" s="12" t="s">
        <v>1301</v>
      </c>
      <c r="L181" s="19"/>
      <c r="M181" s="19"/>
      <c r="N181" s="4" t="s">
        <v>16120</v>
      </c>
      <c r="O181" s="6" t="s">
        <v>13</v>
      </c>
      <c r="P181" s="6" t="s">
        <v>25</v>
      </c>
      <c r="Q181" s="13">
        <v>7</v>
      </c>
      <c r="R181" s="14">
        <v>7</v>
      </c>
      <c r="S181" s="19" t="s">
        <v>5457</v>
      </c>
      <c r="T181" s="1770"/>
      <c r="U181" s="1749"/>
      <c r="V181" s="1752"/>
    </row>
    <row r="182" spans="1:22" ht="12" customHeight="1">
      <c r="A182" s="1040" t="str">
        <f t="shared" si="3"/>
        <v>3202</v>
      </c>
      <c r="B182" s="1053" t="s">
        <v>15313</v>
      </c>
      <c r="C182" s="1064"/>
      <c r="D182" s="2">
        <v>1</v>
      </c>
      <c r="E182" s="4" t="s">
        <v>553</v>
      </c>
      <c r="F182" s="1065" t="e">
        <f>IF(E182="","$",VLOOKUP(E182,'結果(小)'!$B$2:$F$1295,5,FALSE))</f>
        <v>#DIV/0!</v>
      </c>
      <c r="G182" s="1" t="s">
        <v>556</v>
      </c>
      <c r="H182" s="6">
        <v>32</v>
      </c>
      <c r="I182" s="2" t="s">
        <v>5</v>
      </c>
      <c r="J182" s="1" t="s">
        <v>15273</v>
      </c>
      <c r="K182" s="3"/>
      <c r="L182" s="1"/>
      <c r="M182" s="1"/>
      <c r="N182" s="8" t="s">
        <v>16120</v>
      </c>
      <c r="O182" s="1" t="s">
        <v>30</v>
      </c>
      <c r="P182" s="1" t="s">
        <v>6</v>
      </c>
      <c r="Q182" s="16"/>
      <c r="R182" s="17"/>
      <c r="S182" s="3" t="s">
        <v>5457</v>
      </c>
      <c r="T182" s="1770"/>
      <c r="U182" s="1749"/>
      <c r="V182" s="1752"/>
    </row>
    <row r="183" spans="1:22" ht="12" customHeight="1">
      <c r="A183" s="1040" t="str">
        <f t="shared" si="3"/>
        <v>3202</v>
      </c>
      <c r="B183" s="1053" t="s">
        <v>15314</v>
      </c>
      <c r="C183" s="1064"/>
      <c r="D183" s="2">
        <v>1</v>
      </c>
      <c r="E183" s="4" t="s">
        <v>566</v>
      </c>
      <c r="F183" s="1065" t="e">
        <f>IF(E183="","$",VLOOKUP(E183,'結果(小)'!$B$2:$F$1295,5,FALSE))</f>
        <v>#DIV/0!</v>
      </c>
      <c r="G183" s="1" t="s">
        <v>569</v>
      </c>
      <c r="H183" s="6">
        <v>46</v>
      </c>
      <c r="I183" s="2" t="s">
        <v>5</v>
      </c>
      <c r="J183" s="1" t="s">
        <v>15273</v>
      </c>
      <c r="K183" s="3"/>
      <c r="L183" s="1"/>
      <c r="M183" s="1"/>
      <c r="N183" s="23" t="s">
        <v>16120</v>
      </c>
      <c r="O183" s="1" t="s">
        <v>13</v>
      </c>
      <c r="P183" s="1" t="s">
        <v>6</v>
      </c>
      <c r="Q183" s="16"/>
      <c r="R183" s="17"/>
      <c r="S183" s="3" t="s">
        <v>5457</v>
      </c>
      <c r="T183" s="1770"/>
      <c r="U183" s="1749"/>
      <c r="V183" s="1752"/>
    </row>
    <row r="184" spans="1:22" ht="12" customHeight="1">
      <c r="A184" s="1040" t="str">
        <f t="shared" si="3"/>
        <v>3202</v>
      </c>
      <c r="B184" s="1053" t="s">
        <v>15315</v>
      </c>
      <c r="C184" s="1064"/>
      <c r="D184" s="2">
        <v>1</v>
      </c>
      <c r="E184" s="4" t="s">
        <v>580</v>
      </c>
      <c r="F184" s="1065" t="e">
        <f>IF(E184="","$",VLOOKUP(E184,'結果(小)'!$B$2:$F$1295,5,FALSE))</f>
        <v>#DIV/0!</v>
      </c>
      <c r="G184" s="1" t="s">
        <v>583</v>
      </c>
      <c r="H184" s="6">
        <v>45</v>
      </c>
      <c r="I184" s="2" t="s">
        <v>5</v>
      </c>
      <c r="J184" s="1" t="s">
        <v>15273</v>
      </c>
      <c r="K184" s="3"/>
      <c r="L184" s="1"/>
      <c r="M184" s="1"/>
      <c r="N184" s="8" t="s">
        <v>16120</v>
      </c>
      <c r="O184" s="1" t="s">
        <v>48</v>
      </c>
      <c r="P184" s="1" t="s">
        <v>6</v>
      </c>
      <c r="Q184" s="16"/>
      <c r="R184" s="17"/>
      <c r="S184" s="3" t="s">
        <v>5457</v>
      </c>
      <c r="T184" s="1770"/>
      <c r="U184" s="1749"/>
      <c r="V184" s="1752"/>
    </row>
    <row r="185" spans="1:22" ht="12" customHeight="1">
      <c r="A185" s="1040" t="str">
        <f t="shared" si="3"/>
        <v>3202</v>
      </c>
      <c r="B185" s="1053" t="s">
        <v>15316</v>
      </c>
      <c r="C185" s="1064"/>
      <c r="D185" s="2">
        <v>1</v>
      </c>
      <c r="E185" s="4" t="s">
        <v>594</v>
      </c>
      <c r="F185" s="1065" t="str">
        <f>IF(E185="","$",VLOOKUP(E185,'結果(小)'!$B$2:$F$1295,5,FALSE))</f>
        <v>$</v>
      </c>
      <c r="G185" s="6" t="s">
        <v>894</v>
      </c>
      <c r="H185" s="6">
        <v>39</v>
      </c>
      <c r="I185" s="6" t="s">
        <v>19</v>
      </c>
      <c r="J185" s="6" t="s">
        <v>15273</v>
      </c>
      <c r="K185" s="12" t="s">
        <v>1370</v>
      </c>
      <c r="L185" s="19"/>
      <c r="M185" s="19"/>
      <c r="N185" s="4" t="s">
        <v>16120</v>
      </c>
      <c r="O185" s="6" t="s">
        <v>13</v>
      </c>
      <c r="P185" s="6" t="s">
        <v>25</v>
      </c>
      <c r="Q185" s="13">
        <v>4</v>
      </c>
      <c r="R185" s="14">
        <v>4</v>
      </c>
      <c r="S185" s="12" t="s">
        <v>5457</v>
      </c>
      <c r="T185" s="1770"/>
      <c r="U185" s="1749"/>
      <c r="V185" s="1752"/>
    </row>
    <row r="186" spans="1:22" ht="12" customHeight="1">
      <c r="A186" s="1040" t="str">
        <f t="shared" si="3"/>
        <v>3202</v>
      </c>
      <c r="B186" s="1053" t="s">
        <v>15317</v>
      </c>
      <c r="C186" s="1064"/>
      <c r="D186" s="2">
        <v>1</v>
      </c>
      <c r="E186" s="4" t="s">
        <v>599</v>
      </c>
      <c r="F186" s="1065" t="e">
        <f>IF(E186="","$",VLOOKUP(E186,'結果(小)'!$B$2:$F$1295,5,FALSE))</f>
        <v>#DIV/0!</v>
      </c>
      <c r="G186" s="1" t="s">
        <v>606</v>
      </c>
      <c r="H186" s="6">
        <v>32</v>
      </c>
      <c r="I186" s="2" t="s">
        <v>5</v>
      </c>
      <c r="J186" s="1" t="s">
        <v>15273</v>
      </c>
      <c r="K186" s="3"/>
      <c r="L186" s="1"/>
      <c r="M186" s="1"/>
      <c r="N186" s="4" t="s">
        <v>16120</v>
      </c>
      <c r="O186" s="1" t="s">
        <v>30</v>
      </c>
      <c r="P186" s="1" t="s">
        <v>6</v>
      </c>
      <c r="Q186" s="16"/>
      <c r="R186" s="17"/>
      <c r="S186" s="3" t="s">
        <v>5457</v>
      </c>
      <c r="T186" s="1770"/>
      <c r="U186" s="1749"/>
      <c r="V186" s="1752"/>
    </row>
    <row r="187" spans="1:22" ht="12" customHeight="1">
      <c r="A187" s="1040" t="str">
        <f t="shared" si="3"/>
        <v>3202</v>
      </c>
      <c r="B187" s="1053" t="s">
        <v>15318</v>
      </c>
      <c r="C187" s="1064"/>
      <c r="D187" s="2">
        <v>1</v>
      </c>
      <c r="E187" s="4" t="s">
        <v>617</v>
      </c>
      <c r="F187" s="1065" t="e">
        <f>IF(E187="","$",VLOOKUP(E187,'結果(小)'!$B$2:$F$1295,5,FALSE))</f>
        <v>#DIV/0!</v>
      </c>
      <c r="G187" s="6" t="s">
        <v>898</v>
      </c>
      <c r="H187" s="6">
        <v>54</v>
      </c>
      <c r="I187" s="6" t="s">
        <v>5</v>
      </c>
      <c r="J187" s="6" t="s">
        <v>15273</v>
      </c>
      <c r="K187" s="12" t="s">
        <v>1304</v>
      </c>
      <c r="L187" s="19"/>
      <c r="M187" s="19"/>
      <c r="N187" s="8" t="s">
        <v>16120</v>
      </c>
      <c r="O187" s="6" t="s">
        <v>13</v>
      </c>
      <c r="P187" s="6" t="s">
        <v>25</v>
      </c>
      <c r="Q187" s="13">
        <v>4</v>
      </c>
      <c r="R187" s="14">
        <v>4</v>
      </c>
      <c r="S187" s="12" t="s">
        <v>5457</v>
      </c>
      <c r="T187" s="1770"/>
      <c r="U187" s="1749"/>
      <c r="V187" s="1752"/>
    </row>
    <row r="188" spans="1:22" ht="12" customHeight="1">
      <c r="A188" s="1040" t="str">
        <f t="shared" si="3"/>
        <v>3202</v>
      </c>
      <c r="B188" s="1053" t="s">
        <v>15319</v>
      </c>
      <c r="C188" s="1064"/>
      <c r="D188" s="2">
        <v>1</v>
      </c>
      <c r="E188" s="4" t="s">
        <v>628</v>
      </c>
      <c r="F188" s="1065" t="e">
        <f>IF(E188="","$",VLOOKUP(E188,'結果(小)'!$B$2:$F$1295,5,FALSE))</f>
        <v>#DIV/0!</v>
      </c>
      <c r="G188" s="1" t="s">
        <v>639</v>
      </c>
      <c r="H188" s="6">
        <v>42</v>
      </c>
      <c r="I188" s="2" t="s">
        <v>5</v>
      </c>
      <c r="J188" s="1" t="s">
        <v>15273</v>
      </c>
      <c r="K188" s="3"/>
      <c r="L188" s="1"/>
      <c r="M188" s="1"/>
      <c r="N188" s="23" t="s">
        <v>16120</v>
      </c>
      <c r="O188" s="1" t="s">
        <v>30</v>
      </c>
      <c r="P188" s="1" t="s">
        <v>6</v>
      </c>
      <c r="Q188" s="16"/>
      <c r="R188" s="17"/>
      <c r="S188" s="3" t="s">
        <v>5457</v>
      </c>
      <c r="T188" s="1770"/>
      <c r="U188" s="1749"/>
      <c r="V188" s="1752"/>
    </row>
    <row r="189" spans="1:22" ht="12" customHeight="1">
      <c r="A189" s="1040" t="str">
        <f t="shared" si="3"/>
        <v>3202</v>
      </c>
      <c r="B189" s="1053" t="s">
        <v>15320</v>
      </c>
      <c r="C189" s="1064"/>
      <c r="D189" s="2">
        <v>1</v>
      </c>
      <c r="E189" s="4" t="s">
        <v>643</v>
      </c>
      <c r="F189" s="1065" t="e">
        <f>IF(E189="","$",VLOOKUP(E189,'結果(小)'!$B$2:$F$1295,5,FALSE))</f>
        <v>#DIV/0!</v>
      </c>
      <c r="G189" s="1" t="s">
        <v>646</v>
      </c>
      <c r="H189" s="6">
        <v>38</v>
      </c>
      <c r="I189" s="2" t="s">
        <v>19</v>
      </c>
      <c r="J189" s="1" t="s">
        <v>15273</v>
      </c>
      <c r="K189" s="3"/>
      <c r="L189" s="1"/>
      <c r="M189" s="1"/>
      <c r="N189" s="8" t="s">
        <v>16120</v>
      </c>
      <c r="O189" s="1" t="s">
        <v>30</v>
      </c>
      <c r="P189" s="1" t="s">
        <v>6</v>
      </c>
      <c r="Q189" s="16"/>
      <c r="R189" s="17"/>
      <c r="S189" s="3" t="s">
        <v>5457</v>
      </c>
      <c r="T189" s="1770"/>
      <c r="U189" s="1749"/>
      <c r="V189" s="1752"/>
    </row>
    <row r="190" spans="1:22" ht="12" customHeight="1">
      <c r="A190" s="1040" t="str">
        <f t="shared" si="3"/>
        <v>3202</v>
      </c>
      <c r="B190" s="1053" t="s">
        <v>15321</v>
      </c>
      <c r="C190" s="1064"/>
      <c r="D190" s="2">
        <v>1</v>
      </c>
      <c r="E190" s="4" t="s">
        <v>652</v>
      </c>
      <c r="F190" s="1065" t="e">
        <f>IF(E190="","$",VLOOKUP(E190,'結果(小)'!$B$2:$F$1295,5,FALSE))</f>
        <v>#DIV/0!</v>
      </c>
      <c r="G190" s="1" t="s">
        <v>656</v>
      </c>
      <c r="H190" s="6">
        <v>41</v>
      </c>
      <c r="I190" s="2" t="s">
        <v>5</v>
      </c>
      <c r="J190" s="1" t="s">
        <v>15273</v>
      </c>
      <c r="K190" s="3"/>
      <c r="L190" s="1"/>
      <c r="M190" s="1"/>
      <c r="N190" s="4" t="s">
        <v>16120</v>
      </c>
      <c r="O190" s="1" t="s">
        <v>30</v>
      </c>
      <c r="P190" s="1" t="s">
        <v>14</v>
      </c>
      <c r="Q190" s="16">
        <v>1</v>
      </c>
      <c r="R190" s="17">
        <v>1</v>
      </c>
      <c r="S190" s="3" t="s">
        <v>5457</v>
      </c>
      <c r="T190" s="1770"/>
      <c r="U190" s="1749"/>
      <c r="V190" s="1752"/>
    </row>
    <row r="191" spans="1:22" ht="12" customHeight="1">
      <c r="A191" s="1040" t="str">
        <f t="shared" si="3"/>
        <v>3202</v>
      </c>
      <c r="B191" s="1053" t="s">
        <v>15322</v>
      </c>
      <c r="C191" s="1064"/>
      <c r="D191" s="2">
        <v>1</v>
      </c>
      <c r="E191" s="4" t="s">
        <v>664</v>
      </c>
      <c r="F191" s="1065" t="e">
        <f>IF(E191="","$",VLOOKUP(E191,'結果(小)'!$B$2:$F$1295,5,FALSE))</f>
        <v>#DIV/0!</v>
      </c>
      <c r="G191" s="1" t="s">
        <v>668</v>
      </c>
      <c r="H191" s="6">
        <v>43</v>
      </c>
      <c r="I191" s="2" t="s">
        <v>5</v>
      </c>
      <c r="J191" s="1" t="s">
        <v>15273</v>
      </c>
      <c r="K191" s="3"/>
      <c r="L191" s="1"/>
      <c r="M191" s="1"/>
      <c r="N191" s="4" t="s">
        <v>16120</v>
      </c>
      <c r="O191" s="1" t="s">
        <v>48</v>
      </c>
      <c r="P191" s="1" t="s">
        <v>14</v>
      </c>
      <c r="Q191" s="16">
        <v>1</v>
      </c>
      <c r="R191" s="17">
        <v>1</v>
      </c>
      <c r="S191" s="3" t="s">
        <v>5457</v>
      </c>
      <c r="T191" s="1770"/>
      <c r="U191" s="1749"/>
      <c r="V191" s="1752"/>
    </row>
    <row r="192" spans="1:22" ht="12" customHeight="1">
      <c r="A192" s="1040" t="str">
        <f t="shared" si="3"/>
        <v>3202</v>
      </c>
      <c r="B192" s="1053" t="s">
        <v>15323</v>
      </c>
      <c r="C192" s="1064"/>
      <c r="D192" s="2">
        <v>1</v>
      </c>
      <c r="E192" s="4" t="s">
        <v>677</v>
      </c>
      <c r="F192" s="1065" t="e">
        <f>IF(E192="","$",VLOOKUP(E192,'結果(小)'!$B$2:$F$1295,5,FALSE))</f>
        <v>#DIV/0!</v>
      </c>
      <c r="G192" s="1" t="s">
        <v>684</v>
      </c>
      <c r="H192" s="6">
        <v>58</v>
      </c>
      <c r="I192" s="2" t="s">
        <v>5</v>
      </c>
      <c r="J192" s="1" t="s">
        <v>15273</v>
      </c>
      <c r="K192" s="3"/>
      <c r="L192" s="1"/>
      <c r="M192" s="1"/>
      <c r="N192" s="8" t="s">
        <v>16120</v>
      </c>
      <c r="O192" s="1" t="s">
        <v>30</v>
      </c>
      <c r="P192" s="1" t="s">
        <v>6</v>
      </c>
      <c r="Q192" s="16"/>
      <c r="R192" s="17"/>
      <c r="S192" s="3" t="s">
        <v>5457</v>
      </c>
      <c r="T192" s="1770"/>
      <c r="U192" s="1749"/>
      <c r="V192" s="1752"/>
    </row>
    <row r="193" spans="1:22" ht="12" customHeight="1">
      <c r="A193" s="1040" t="str">
        <f t="shared" si="3"/>
        <v>3202</v>
      </c>
      <c r="B193" s="1053" t="s">
        <v>15324</v>
      </c>
      <c r="C193" s="1064"/>
      <c r="D193" s="2">
        <v>1</v>
      </c>
      <c r="E193" s="4" t="s">
        <v>692</v>
      </c>
      <c r="F193" s="1065" t="e">
        <f>IF(E193="","$",VLOOKUP(E193,'結果(小)'!$B$2:$F$1295,5,FALSE))</f>
        <v>#DIV/0!</v>
      </c>
      <c r="G193" s="6" t="s">
        <v>884</v>
      </c>
      <c r="H193" s="6">
        <v>47</v>
      </c>
      <c r="I193" s="6" t="s">
        <v>5</v>
      </c>
      <c r="J193" s="6" t="s">
        <v>15273</v>
      </c>
      <c r="K193" s="12" t="s">
        <v>1305</v>
      </c>
      <c r="L193" s="19"/>
      <c r="M193" s="19"/>
      <c r="N193" s="23" t="s">
        <v>16120</v>
      </c>
      <c r="O193" s="6" t="s">
        <v>48</v>
      </c>
      <c r="P193" s="6" t="s">
        <v>25</v>
      </c>
      <c r="Q193" s="13">
        <v>3</v>
      </c>
      <c r="R193" s="14">
        <v>3</v>
      </c>
      <c r="S193" s="12"/>
      <c r="T193" s="1770"/>
      <c r="U193" s="1749"/>
      <c r="V193" s="1752"/>
    </row>
    <row r="194" spans="1:22" ht="12" customHeight="1">
      <c r="A194" s="1040" t="str">
        <f t="shared" si="3"/>
        <v>3202</v>
      </c>
      <c r="B194" s="1053" t="s">
        <v>15325</v>
      </c>
      <c r="C194" s="1064"/>
      <c r="D194" s="2">
        <v>1</v>
      </c>
      <c r="E194" s="4" t="s">
        <v>698</v>
      </c>
      <c r="F194" s="1065" t="e">
        <f>IF(E194="","$",VLOOKUP(E194,'結果(小)'!$B$2:$F$1295,5,FALSE))</f>
        <v>#DIV/0!</v>
      </c>
      <c r="G194" s="1" t="s">
        <v>702</v>
      </c>
      <c r="H194" s="6">
        <v>39</v>
      </c>
      <c r="I194" s="2" t="s">
        <v>5</v>
      </c>
      <c r="J194" s="1" t="s">
        <v>15273</v>
      </c>
      <c r="K194" s="3"/>
      <c r="L194" s="1"/>
      <c r="M194" s="1"/>
      <c r="N194" s="8" t="s">
        <v>16120</v>
      </c>
      <c r="O194" s="1" t="s">
        <v>48</v>
      </c>
      <c r="P194" s="1" t="s">
        <v>14</v>
      </c>
      <c r="Q194" s="16">
        <v>1</v>
      </c>
      <c r="R194" s="17">
        <v>1</v>
      </c>
      <c r="S194" s="3" t="s">
        <v>5457</v>
      </c>
      <c r="T194" s="1770"/>
      <c r="U194" s="1749"/>
      <c r="V194" s="1752"/>
    </row>
    <row r="195" spans="1:22" ht="12" customHeight="1">
      <c r="A195" s="1040" t="str">
        <f t="shared" ref="A195:A258" si="4">MIDB(B195,1,4)</f>
        <v>3202</v>
      </c>
      <c r="B195" s="1053" t="s">
        <v>15326</v>
      </c>
      <c r="C195" s="1064"/>
      <c r="D195" s="2">
        <v>1</v>
      </c>
      <c r="E195" s="4" t="s">
        <v>708</v>
      </c>
      <c r="F195" s="1065" t="e">
        <f>IF(E195="","$",VLOOKUP(E195,'結果(小)'!$B$2:$F$1295,5,FALSE))</f>
        <v>#DIV/0!</v>
      </c>
      <c r="G195" s="1" t="s">
        <v>712</v>
      </c>
      <c r="H195" s="6">
        <v>64</v>
      </c>
      <c r="I195" s="2" t="s">
        <v>5</v>
      </c>
      <c r="J195" s="1" t="s">
        <v>15273</v>
      </c>
      <c r="K195" s="3"/>
      <c r="L195" s="1"/>
      <c r="M195" s="1"/>
      <c r="N195" s="4" t="s">
        <v>16120</v>
      </c>
      <c r="O195" s="1" t="s">
        <v>13</v>
      </c>
      <c r="P195" s="1" t="s">
        <v>14</v>
      </c>
      <c r="Q195" s="16">
        <v>4</v>
      </c>
      <c r="R195" s="17">
        <v>4</v>
      </c>
      <c r="S195" s="3" t="s">
        <v>5457</v>
      </c>
      <c r="T195" s="1770"/>
      <c r="U195" s="1749"/>
      <c r="V195" s="1752"/>
    </row>
    <row r="196" spans="1:22" ht="12" customHeight="1">
      <c r="A196" s="1040" t="str">
        <f t="shared" si="4"/>
        <v>3202</v>
      </c>
      <c r="B196" s="1053" t="s">
        <v>15327</v>
      </c>
      <c r="C196" s="1064"/>
      <c r="D196" s="2">
        <v>1</v>
      </c>
      <c r="E196" s="4" t="s">
        <v>724</v>
      </c>
      <c r="F196" s="1065" t="str">
        <f>IF(E196="","$",VLOOKUP(E196,'結果(小)'!$B$2:$F$1295,5,FALSE))</f>
        <v>$</v>
      </c>
      <c r="G196" s="1" t="s">
        <v>726</v>
      </c>
      <c r="H196" s="6">
        <v>37</v>
      </c>
      <c r="I196" s="2" t="s">
        <v>5</v>
      </c>
      <c r="J196" s="1" t="s">
        <v>15273</v>
      </c>
      <c r="K196" s="3"/>
      <c r="L196" s="1"/>
      <c r="M196" s="1"/>
      <c r="N196" s="4" t="s">
        <v>16120</v>
      </c>
      <c r="O196" s="1" t="s">
        <v>30</v>
      </c>
      <c r="P196" s="1" t="s">
        <v>6</v>
      </c>
      <c r="Q196" s="16"/>
      <c r="R196" s="17"/>
      <c r="S196" s="3"/>
      <c r="T196" s="1770"/>
      <c r="U196" s="1749"/>
      <c r="V196" s="1752"/>
    </row>
    <row r="197" spans="1:22" ht="12" customHeight="1">
      <c r="A197" s="1040" t="str">
        <f t="shared" si="4"/>
        <v>3202</v>
      </c>
      <c r="B197" s="1053" t="s">
        <v>15328</v>
      </c>
      <c r="C197" s="1064"/>
      <c r="D197" s="2">
        <v>1</v>
      </c>
      <c r="E197" s="4" t="s">
        <v>733</v>
      </c>
      <c r="F197" s="1065" t="e">
        <f>IF(E197="","$",VLOOKUP(E197,'結果(小)'!$B$2:$F$1295,5,FALSE))</f>
        <v>#DIV/0!</v>
      </c>
      <c r="G197" s="1" t="s">
        <v>944</v>
      </c>
      <c r="H197" s="6">
        <v>36</v>
      </c>
      <c r="I197" s="2" t="s">
        <v>5</v>
      </c>
      <c r="J197" s="1" t="s">
        <v>15273</v>
      </c>
      <c r="K197" s="3"/>
      <c r="L197" s="1"/>
      <c r="M197" s="1"/>
      <c r="N197" s="8" t="s">
        <v>16120</v>
      </c>
      <c r="O197" s="1" t="s">
        <v>30</v>
      </c>
      <c r="P197" s="1" t="s">
        <v>6</v>
      </c>
      <c r="Q197" s="16"/>
      <c r="R197" s="17"/>
      <c r="S197" s="3" t="s">
        <v>5457</v>
      </c>
      <c r="T197" s="1770"/>
      <c r="U197" s="1749"/>
      <c r="V197" s="1752"/>
    </row>
    <row r="198" spans="1:22" ht="12" customHeight="1">
      <c r="A198" s="1040" t="str">
        <f t="shared" si="4"/>
        <v>3202</v>
      </c>
      <c r="B198" s="1053" t="s">
        <v>15329</v>
      </c>
      <c r="C198" s="1064"/>
      <c r="D198" s="2">
        <v>1</v>
      </c>
      <c r="E198" s="4" t="s">
        <v>955</v>
      </c>
      <c r="F198" s="1065" t="e">
        <f>IF(E198="","$",VLOOKUP(E198,'結果(小)'!$B$2:$F$1295,5,FALSE))</f>
        <v>#DIV/0!</v>
      </c>
      <c r="G198" s="1" t="s">
        <v>962</v>
      </c>
      <c r="H198" s="6">
        <v>60</v>
      </c>
      <c r="I198" s="2" t="s">
        <v>19</v>
      </c>
      <c r="J198" s="1" t="s">
        <v>15273</v>
      </c>
      <c r="K198" s="3"/>
      <c r="L198" s="1"/>
      <c r="M198" s="1"/>
      <c r="N198" s="23" t="s">
        <v>16120</v>
      </c>
      <c r="O198" s="1" t="s">
        <v>30</v>
      </c>
      <c r="P198" s="1" t="s">
        <v>14</v>
      </c>
      <c r="Q198" s="16">
        <v>4</v>
      </c>
      <c r="R198" s="17">
        <v>4</v>
      </c>
      <c r="S198" s="3"/>
      <c r="T198" s="1770"/>
      <c r="U198" s="1749"/>
      <c r="V198" s="1752"/>
    </row>
    <row r="199" spans="1:22" ht="12" customHeight="1">
      <c r="A199" s="1040" t="str">
        <f t="shared" si="4"/>
        <v>3202</v>
      </c>
      <c r="B199" s="1053" t="s">
        <v>15330</v>
      </c>
      <c r="C199" s="1064"/>
      <c r="D199" s="2">
        <v>1</v>
      </c>
      <c r="E199" s="4" t="s">
        <v>972</v>
      </c>
      <c r="F199" s="1065" t="e">
        <f>IF(E199="","$",VLOOKUP(E199,'結果(小)'!$B$2:$F$1295,5,FALSE))</f>
        <v>#DIV/0!</v>
      </c>
      <c r="G199" s="1" t="s">
        <v>979</v>
      </c>
      <c r="H199" s="6">
        <v>57</v>
      </c>
      <c r="I199" s="2" t="s">
        <v>5</v>
      </c>
      <c r="J199" s="1" t="s">
        <v>15273</v>
      </c>
      <c r="K199" s="3"/>
      <c r="L199" s="1"/>
      <c r="M199" s="1"/>
      <c r="N199" s="8" t="s">
        <v>16120</v>
      </c>
      <c r="O199" s="1" t="s">
        <v>48</v>
      </c>
      <c r="P199" s="1" t="s">
        <v>6</v>
      </c>
      <c r="Q199" s="16"/>
      <c r="R199" s="17"/>
      <c r="S199" s="3" t="s">
        <v>5457</v>
      </c>
      <c r="T199" s="1770"/>
      <c r="U199" s="1749"/>
      <c r="V199" s="1752"/>
    </row>
    <row r="200" spans="1:22" ht="12" customHeight="1">
      <c r="A200" s="1040" t="str">
        <f t="shared" si="4"/>
        <v>3202</v>
      </c>
      <c r="B200" s="1053" t="s">
        <v>15331</v>
      </c>
      <c r="C200" s="1064"/>
      <c r="D200" s="2">
        <v>1</v>
      </c>
      <c r="E200" s="4" t="s">
        <v>988</v>
      </c>
      <c r="F200" s="1065" t="e">
        <f>IF(E200="","$",VLOOKUP(E200,'結果(小)'!$B$2:$F$1295,5,FALSE))</f>
        <v>#DIV/0!</v>
      </c>
      <c r="G200" s="1" t="s">
        <v>998</v>
      </c>
      <c r="H200" s="6">
        <v>49</v>
      </c>
      <c r="I200" s="2" t="s">
        <v>5</v>
      </c>
      <c r="J200" s="1" t="s">
        <v>15273</v>
      </c>
      <c r="K200" s="3"/>
      <c r="L200" s="1"/>
      <c r="M200" s="1"/>
      <c r="N200" s="4" t="s">
        <v>16120</v>
      </c>
      <c r="O200" s="1" t="s">
        <v>30</v>
      </c>
      <c r="P200" s="1" t="s">
        <v>14</v>
      </c>
      <c r="Q200" s="16">
        <v>1</v>
      </c>
      <c r="R200" s="17">
        <v>1</v>
      </c>
      <c r="S200" s="3" t="s">
        <v>5457</v>
      </c>
      <c r="T200" s="1770"/>
      <c r="U200" s="1749"/>
      <c r="V200" s="1752"/>
    </row>
    <row r="201" spans="1:22" ht="12" customHeight="1">
      <c r="A201" s="1040" t="str">
        <f t="shared" si="4"/>
        <v>3202</v>
      </c>
      <c r="B201" s="1053" t="s">
        <v>15332</v>
      </c>
      <c r="C201" s="1064"/>
      <c r="D201" s="2">
        <v>33</v>
      </c>
      <c r="E201" s="2"/>
      <c r="F201" s="1065" t="str">
        <f>IF(E201="","$",VLOOKUP(E201,'結果(小)'!$B$2:$F$1295,5,FALSE))</f>
        <v>$</v>
      </c>
      <c r="G201" s="2" t="s">
        <v>6058</v>
      </c>
      <c r="H201" s="6">
        <v>37</v>
      </c>
      <c r="I201" s="2" t="s">
        <v>5</v>
      </c>
      <c r="J201" s="2" t="s">
        <v>6067</v>
      </c>
      <c r="K201" s="22"/>
      <c r="L201" s="2"/>
      <c r="M201" s="2"/>
      <c r="N201" s="4" t="s">
        <v>16120</v>
      </c>
      <c r="O201" s="2" t="s">
        <v>5247</v>
      </c>
      <c r="P201" s="2" t="s">
        <v>6</v>
      </c>
      <c r="Q201" s="24"/>
      <c r="R201" s="25"/>
      <c r="S201" s="22"/>
      <c r="T201" s="1770"/>
      <c r="U201" s="1749"/>
      <c r="V201" s="1752"/>
    </row>
    <row r="202" spans="1:22" ht="12" customHeight="1">
      <c r="A202" s="1040" t="str">
        <f t="shared" si="4"/>
        <v>3202</v>
      </c>
      <c r="B202" s="1053" t="s">
        <v>15333</v>
      </c>
      <c r="C202" s="1064"/>
      <c r="D202" s="2">
        <v>34</v>
      </c>
      <c r="E202" s="2"/>
      <c r="F202" s="1065" t="str">
        <f>IF(E202="","$",VLOOKUP(E202,'結果(小)'!$B$2:$F$1295,5,FALSE))</f>
        <v>$</v>
      </c>
      <c r="G202" s="2" t="s">
        <v>6061</v>
      </c>
      <c r="H202" s="6">
        <v>60</v>
      </c>
      <c r="I202" s="2" t="s">
        <v>5</v>
      </c>
      <c r="J202" s="2" t="s">
        <v>6067</v>
      </c>
      <c r="K202" s="22"/>
      <c r="L202" s="2"/>
      <c r="M202" s="2"/>
      <c r="N202" s="8" t="s">
        <v>16120</v>
      </c>
      <c r="O202" s="2" t="s">
        <v>5247</v>
      </c>
      <c r="P202" s="2" t="s">
        <v>6</v>
      </c>
      <c r="Q202" s="24"/>
      <c r="R202" s="25"/>
      <c r="S202" s="22"/>
      <c r="T202" s="1770"/>
      <c r="U202" s="1749"/>
      <c r="V202" s="1752"/>
    </row>
    <row r="203" spans="1:22" ht="12" customHeight="1">
      <c r="A203" s="1040" t="str">
        <f t="shared" si="4"/>
        <v>3202</v>
      </c>
      <c r="B203" s="1053" t="s">
        <v>15334</v>
      </c>
      <c r="C203" s="1064"/>
      <c r="D203" s="2">
        <v>35</v>
      </c>
      <c r="E203" s="2"/>
      <c r="F203" s="1065" t="str">
        <f>IF(E203="","$",VLOOKUP(E203,'結果(小)'!$B$2:$F$1295,5,FALSE))</f>
        <v>$</v>
      </c>
      <c r="G203" s="2" t="s">
        <v>6065</v>
      </c>
      <c r="H203" s="6">
        <v>50</v>
      </c>
      <c r="I203" s="2" t="s">
        <v>5</v>
      </c>
      <c r="J203" s="2" t="s">
        <v>6067</v>
      </c>
      <c r="K203" s="22"/>
      <c r="L203" s="2"/>
      <c r="M203" s="2"/>
      <c r="N203" s="23" t="s">
        <v>16120</v>
      </c>
      <c r="O203" s="2" t="s">
        <v>5247</v>
      </c>
      <c r="P203" s="2" t="s">
        <v>6</v>
      </c>
      <c r="Q203" s="24"/>
      <c r="R203" s="25"/>
      <c r="S203" s="22"/>
      <c r="T203" s="1770"/>
      <c r="U203" s="1749"/>
      <c r="V203" s="1752"/>
    </row>
    <row r="204" spans="1:22" ht="12" customHeight="1" thickBot="1">
      <c r="A204" s="916" t="str">
        <f t="shared" si="4"/>
        <v>3202</v>
      </c>
      <c r="B204" s="1074" t="s">
        <v>15335</v>
      </c>
      <c r="C204" s="1075"/>
      <c r="D204" s="702">
        <v>36</v>
      </c>
      <c r="E204" s="702"/>
      <c r="F204" s="1071" t="str">
        <f>IF(E204="","$",VLOOKUP(E204,'結果(小)'!$B$2:$F$1295,5,FALSE))</f>
        <v>$</v>
      </c>
      <c r="G204" s="702" t="s">
        <v>6068</v>
      </c>
      <c r="H204" s="701">
        <v>59</v>
      </c>
      <c r="I204" s="702" t="s">
        <v>5</v>
      </c>
      <c r="J204" s="702" t="s">
        <v>6067</v>
      </c>
      <c r="K204" s="720"/>
      <c r="L204" s="702"/>
      <c r="M204" s="702"/>
      <c r="N204" s="704" t="s">
        <v>16120</v>
      </c>
      <c r="O204" s="702" t="s">
        <v>5247</v>
      </c>
      <c r="P204" s="702" t="s">
        <v>6</v>
      </c>
      <c r="Q204" s="721"/>
      <c r="R204" s="722"/>
      <c r="S204" s="720"/>
      <c r="T204" s="1771"/>
      <c r="U204" s="1750"/>
      <c r="V204" s="1753"/>
    </row>
    <row r="205" spans="1:22" ht="12" customHeight="1">
      <c r="A205" s="1038" t="str">
        <f t="shared" si="4"/>
        <v>3203</v>
      </c>
      <c r="B205" s="1097" t="s">
        <v>16194</v>
      </c>
      <c r="C205" s="1073"/>
      <c r="D205" s="696">
        <v>1</v>
      </c>
      <c r="E205" s="688" t="s">
        <v>409</v>
      </c>
      <c r="F205" s="1068" t="e">
        <f>IF(E205="","$",VLOOKUP(E205,'結果(小)'!$B$2:$F$1295,5,FALSE))</f>
        <v>#DIV/0!</v>
      </c>
      <c r="G205" s="689" t="s">
        <v>888</v>
      </c>
      <c r="H205" s="690">
        <v>55</v>
      </c>
      <c r="I205" s="689" t="s">
        <v>5</v>
      </c>
      <c r="J205" s="687" t="s">
        <v>15273</v>
      </c>
      <c r="K205" s="691" t="s">
        <v>1356</v>
      </c>
      <c r="L205" s="783"/>
      <c r="M205" s="736"/>
      <c r="N205" s="688" t="s">
        <v>16125</v>
      </c>
      <c r="O205" s="689"/>
      <c r="P205" s="689" t="s">
        <v>25</v>
      </c>
      <c r="Q205" s="693">
        <v>3</v>
      </c>
      <c r="R205" s="694">
        <v>3</v>
      </c>
      <c r="S205" s="691" t="s">
        <v>5561</v>
      </c>
      <c r="T205" s="1772"/>
      <c r="U205" s="1748"/>
      <c r="V205" s="1751" t="e">
        <f>U205/SUM(U142:U264)</f>
        <v>#DIV/0!</v>
      </c>
    </row>
    <row r="206" spans="1:22" ht="12" customHeight="1">
      <c r="A206" s="1040" t="str">
        <f t="shared" si="4"/>
        <v>3203</v>
      </c>
      <c r="B206" s="1054" t="s">
        <v>16195</v>
      </c>
      <c r="C206" s="1064"/>
      <c r="D206" s="2">
        <v>1</v>
      </c>
      <c r="E206" s="4" t="s">
        <v>514</v>
      </c>
      <c r="F206" s="1065" t="e">
        <f>IF(E206="","$",VLOOKUP(E206,'結果(小)'!$B$2:$F$1295,5,FALSE))</f>
        <v>#DIV/0!</v>
      </c>
      <c r="G206" s="6" t="s">
        <v>880</v>
      </c>
      <c r="H206" s="6">
        <v>69</v>
      </c>
      <c r="I206" s="5" t="s">
        <v>5</v>
      </c>
      <c r="J206" s="1" t="s">
        <v>15273</v>
      </c>
      <c r="K206" s="7" t="s">
        <v>1364</v>
      </c>
      <c r="L206" s="18"/>
      <c r="M206" s="19"/>
      <c r="N206" s="4" t="s">
        <v>16125</v>
      </c>
      <c r="O206" s="5"/>
      <c r="P206" s="5" t="s">
        <v>25</v>
      </c>
      <c r="Q206" s="9">
        <v>5</v>
      </c>
      <c r="R206" s="10">
        <v>8</v>
      </c>
      <c r="S206" s="7" t="s">
        <v>5561</v>
      </c>
      <c r="T206" s="1773"/>
      <c r="U206" s="1749"/>
      <c r="V206" s="1752"/>
    </row>
    <row r="207" spans="1:22" ht="12" customHeight="1">
      <c r="A207" s="1040" t="str">
        <f t="shared" si="4"/>
        <v>3203</v>
      </c>
      <c r="B207" s="1054" t="s">
        <v>16196</v>
      </c>
      <c r="C207" s="1064"/>
      <c r="D207" s="2">
        <v>1</v>
      </c>
      <c r="E207" s="4" t="s">
        <v>678</v>
      </c>
      <c r="F207" s="1065" t="e">
        <f>IF(E207="","$",VLOOKUP(E207,'結果(小)'!$B$2:$F$1295,5,FALSE))</f>
        <v>#DIV/0!</v>
      </c>
      <c r="G207" s="5" t="s">
        <v>886</v>
      </c>
      <c r="H207" s="6">
        <v>47</v>
      </c>
      <c r="I207" s="5" t="s">
        <v>19</v>
      </c>
      <c r="J207" s="1" t="s">
        <v>15273</v>
      </c>
      <c r="K207" s="7" t="s">
        <v>687</v>
      </c>
      <c r="L207" s="18"/>
      <c r="M207" s="19"/>
      <c r="N207" s="4" t="s">
        <v>16125</v>
      </c>
      <c r="O207" s="5"/>
      <c r="P207" s="5" t="s">
        <v>25</v>
      </c>
      <c r="Q207" s="9">
        <v>3</v>
      </c>
      <c r="R207" s="10">
        <v>3</v>
      </c>
      <c r="S207" s="3" t="s">
        <v>5561</v>
      </c>
      <c r="T207" s="1773"/>
      <c r="U207" s="1749"/>
      <c r="V207" s="1752"/>
    </row>
    <row r="208" spans="1:22" ht="12" customHeight="1">
      <c r="A208" s="1040" t="str">
        <f t="shared" si="4"/>
        <v>3203</v>
      </c>
      <c r="B208" s="1054" t="s">
        <v>16197</v>
      </c>
      <c r="C208" s="1064"/>
      <c r="D208" s="2">
        <v>1</v>
      </c>
      <c r="E208" s="4" t="s">
        <v>709</v>
      </c>
      <c r="F208" s="1065" t="e">
        <f>IF(E208="","$",VLOOKUP(E208,'結果(小)'!$B$2:$F$1295,5,FALSE))</f>
        <v>#DIV/0!</v>
      </c>
      <c r="G208" s="6" t="s">
        <v>895</v>
      </c>
      <c r="H208" s="6">
        <v>62</v>
      </c>
      <c r="I208" s="6" t="s">
        <v>5</v>
      </c>
      <c r="J208" s="1" t="s">
        <v>15273</v>
      </c>
      <c r="K208" s="12" t="s">
        <v>715</v>
      </c>
      <c r="L208" s="19"/>
      <c r="M208" s="19"/>
      <c r="N208" s="4" t="s">
        <v>16125</v>
      </c>
      <c r="O208" s="6"/>
      <c r="P208" s="6" t="s">
        <v>25</v>
      </c>
      <c r="Q208" s="13">
        <v>2</v>
      </c>
      <c r="R208" s="14">
        <v>2</v>
      </c>
      <c r="S208" s="3" t="s">
        <v>5561</v>
      </c>
      <c r="T208" s="1773"/>
      <c r="U208" s="1749"/>
      <c r="V208" s="1752"/>
    </row>
    <row r="209" spans="1:22" ht="12" customHeight="1">
      <c r="A209" s="1040" t="str">
        <f t="shared" si="4"/>
        <v>3203</v>
      </c>
      <c r="B209" s="1054" t="s">
        <v>16191</v>
      </c>
      <c r="C209" s="1064"/>
      <c r="D209" s="2">
        <v>5</v>
      </c>
      <c r="E209" s="2"/>
      <c r="F209" s="1065" t="str">
        <f>IF(E209="","$",VLOOKUP(E209,'結果(小)'!$B$2:$F$1295,5,FALSE))</f>
        <v>$</v>
      </c>
      <c r="G209" s="2" t="s">
        <v>2108</v>
      </c>
      <c r="H209" s="6">
        <v>55</v>
      </c>
      <c r="I209" s="2" t="s">
        <v>5</v>
      </c>
      <c r="J209" s="2" t="s">
        <v>6067</v>
      </c>
      <c r="K209" s="22" t="s">
        <v>2109</v>
      </c>
      <c r="L209" s="2"/>
      <c r="M209" s="2"/>
      <c r="N209" s="23" t="s">
        <v>16125</v>
      </c>
      <c r="O209" s="2"/>
      <c r="P209" s="2" t="s">
        <v>25</v>
      </c>
      <c r="Q209" s="24">
        <v>1</v>
      </c>
      <c r="R209" s="25">
        <v>1</v>
      </c>
      <c r="S209" s="12"/>
      <c r="T209" s="1773"/>
      <c r="U209" s="1749"/>
      <c r="V209" s="1752"/>
    </row>
    <row r="210" spans="1:22" ht="12" customHeight="1">
      <c r="A210" s="1040" t="str">
        <f t="shared" si="4"/>
        <v>3203</v>
      </c>
      <c r="B210" s="1054" t="s">
        <v>16198</v>
      </c>
      <c r="C210" s="1064"/>
      <c r="D210" s="2">
        <v>6</v>
      </c>
      <c r="E210" s="4" t="s">
        <v>389</v>
      </c>
      <c r="F210" s="1065" t="e">
        <f>IF(E210="","$",VLOOKUP(E210,'結果(小)'!$B$2:$F$1295,5,FALSE))</f>
        <v>#DIV/0!</v>
      </c>
      <c r="G210" s="1" t="s">
        <v>5730</v>
      </c>
      <c r="H210" s="6">
        <v>48</v>
      </c>
      <c r="I210" s="2" t="s">
        <v>19</v>
      </c>
      <c r="J210" s="1" t="s">
        <v>15273</v>
      </c>
      <c r="K210" s="3"/>
      <c r="L210" s="1"/>
      <c r="M210" s="1"/>
      <c r="N210" s="4" t="s">
        <v>16125</v>
      </c>
      <c r="O210" s="1"/>
      <c r="P210" s="1" t="s">
        <v>6</v>
      </c>
      <c r="Q210" s="16"/>
      <c r="R210" s="17"/>
      <c r="S210" s="3" t="s">
        <v>5561</v>
      </c>
      <c r="T210" s="1773"/>
      <c r="U210" s="1749"/>
      <c r="V210" s="1752"/>
    </row>
    <row r="211" spans="1:22" ht="12" customHeight="1">
      <c r="A211" s="1040" t="str">
        <f t="shared" si="4"/>
        <v>3203</v>
      </c>
      <c r="B211" s="1054" t="s">
        <v>16199</v>
      </c>
      <c r="C211" s="1064"/>
      <c r="D211" s="2">
        <v>6</v>
      </c>
      <c r="E211" s="4" t="s">
        <v>435</v>
      </c>
      <c r="F211" s="1065" t="e">
        <f>IF(E211="","$",VLOOKUP(E211,'結果(小)'!$B$2:$F$1295,5,FALSE))</f>
        <v>#DIV/0!</v>
      </c>
      <c r="G211" s="1" t="s">
        <v>5983</v>
      </c>
      <c r="H211" s="6">
        <v>54</v>
      </c>
      <c r="I211" s="2" t="s">
        <v>5</v>
      </c>
      <c r="J211" s="1" t="s">
        <v>15273</v>
      </c>
      <c r="K211" s="3"/>
      <c r="L211" s="1"/>
      <c r="M211" s="1"/>
      <c r="N211" s="4" t="s">
        <v>16125</v>
      </c>
      <c r="O211" s="1"/>
      <c r="P211" s="1" t="s">
        <v>6</v>
      </c>
      <c r="Q211" s="16"/>
      <c r="R211" s="17"/>
      <c r="S211" s="3" t="s">
        <v>5561</v>
      </c>
      <c r="T211" s="1773"/>
      <c r="U211" s="1749"/>
      <c r="V211" s="1752"/>
    </row>
    <row r="212" spans="1:22" ht="12" customHeight="1">
      <c r="A212" s="1040" t="str">
        <f t="shared" si="4"/>
        <v>3203</v>
      </c>
      <c r="B212" s="1054" t="s">
        <v>16200</v>
      </c>
      <c r="C212" s="1064"/>
      <c r="D212" s="2">
        <v>6</v>
      </c>
      <c r="E212" s="4" t="s">
        <v>537</v>
      </c>
      <c r="F212" s="1065" t="e">
        <f>IF(E212="","$",VLOOKUP(E212,'結果(小)'!$B$2:$F$1295,5,FALSE))</f>
        <v>#DIV/0!</v>
      </c>
      <c r="G212" s="1" t="s">
        <v>544</v>
      </c>
      <c r="H212" s="6">
        <v>52</v>
      </c>
      <c r="I212" s="2" t="s">
        <v>5</v>
      </c>
      <c r="J212" s="1" t="s">
        <v>15273</v>
      </c>
      <c r="K212" s="3"/>
      <c r="L212" s="1"/>
      <c r="M212" s="1"/>
      <c r="N212" s="4" t="s">
        <v>16125</v>
      </c>
      <c r="O212" s="1"/>
      <c r="P212" s="1" t="s">
        <v>6</v>
      </c>
      <c r="Q212" s="16"/>
      <c r="R212" s="17"/>
      <c r="S212" s="3" t="s">
        <v>5561</v>
      </c>
      <c r="T212" s="1773"/>
      <c r="U212" s="1749"/>
      <c r="V212" s="1752"/>
    </row>
    <row r="213" spans="1:22" ht="12" customHeight="1">
      <c r="A213" s="1040" t="str">
        <f t="shared" si="4"/>
        <v>3203</v>
      </c>
      <c r="B213" s="1054" t="s">
        <v>16201</v>
      </c>
      <c r="C213" s="1064"/>
      <c r="D213" s="2">
        <v>6</v>
      </c>
      <c r="E213" s="4" t="s">
        <v>567</v>
      </c>
      <c r="F213" s="1065" t="e">
        <f>IF(E213="","$",VLOOKUP(E213,'結果(小)'!$B$2:$F$1295,5,FALSE))</f>
        <v>#DIV/0!</v>
      </c>
      <c r="G213" s="1" t="s">
        <v>576</v>
      </c>
      <c r="H213" s="6">
        <v>60</v>
      </c>
      <c r="I213" s="2" t="s">
        <v>5</v>
      </c>
      <c r="J213" s="1" t="s">
        <v>15273</v>
      </c>
      <c r="K213" s="3"/>
      <c r="L213" s="1"/>
      <c r="M213" s="1"/>
      <c r="N213" s="4" t="s">
        <v>16125</v>
      </c>
      <c r="O213" s="1"/>
      <c r="P213" s="1" t="s">
        <v>6</v>
      </c>
      <c r="Q213" s="16"/>
      <c r="R213" s="17"/>
      <c r="S213" s="3" t="s">
        <v>5561</v>
      </c>
      <c r="T213" s="1773"/>
      <c r="U213" s="1749"/>
      <c r="V213" s="1752"/>
    </row>
    <row r="214" spans="1:22" ht="12" customHeight="1">
      <c r="A214" s="1040" t="str">
        <f t="shared" si="4"/>
        <v>3203</v>
      </c>
      <c r="B214" s="1054" t="s">
        <v>16202</v>
      </c>
      <c r="C214" s="1064"/>
      <c r="D214" s="2">
        <v>6</v>
      </c>
      <c r="E214" s="4" t="s">
        <v>653</v>
      </c>
      <c r="F214" s="1065" t="e">
        <f>IF(E214="","$",VLOOKUP(E214,'結果(小)'!$B$2:$F$1295,5,FALSE))</f>
        <v>#DIV/0!</v>
      </c>
      <c r="G214" s="1" t="s">
        <v>15629</v>
      </c>
      <c r="H214" s="6">
        <v>50</v>
      </c>
      <c r="I214" s="2" t="s">
        <v>5</v>
      </c>
      <c r="J214" s="1" t="s">
        <v>15273</v>
      </c>
      <c r="K214" s="3"/>
      <c r="L214" s="1"/>
      <c r="M214" s="1"/>
      <c r="N214" s="4" t="s">
        <v>16125</v>
      </c>
      <c r="O214" s="1"/>
      <c r="P214" s="1" t="s">
        <v>6</v>
      </c>
      <c r="Q214" s="16"/>
      <c r="R214" s="17"/>
      <c r="S214" s="3" t="s">
        <v>5561</v>
      </c>
      <c r="T214" s="1773"/>
      <c r="U214" s="1749"/>
      <c r="V214" s="1752"/>
    </row>
    <row r="215" spans="1:22" ht="12" customHeight="1">
      <c r="A215" s="1040" t="str">
        <f t="shared" si="4"/>
        <v>3203</v>
      </c>
      <c r="B215" s="1054" t="s">
        <v>16203</v>
      </c>
      <c r="C215" s="1064"/>
      <c r="D215" s="2">
        <v>6</v>
      </c>
      <c r="E215" s="4" t="s">
        <v>693</v>
      </c>
      <c r="F215" s="1065" t="e">
        <f>IF(E215="","$",VLOOKUP(E215,'結果(小)'!$B$2:$F$1295,5,FALSE))</f>
        <v>#DIV/0!</v>
      </c>
      <c r="G215" s="1" t="s">
        <v>15973</v>
      </c>
      <c r="H215" s="6">
        <v>55</v>
      </c>
      <c r="I215" s="2" t="s">
        <v>5</v>
      </c>
      <c r="J215" s="1" t="s">
        <v>15273</v>
      </c>
      <c r="K215" s="3"/>
      <c r="L215" s="1"/>
      <c r="M215" s="1"/>
      <c r="N215" s="4" t="s">
        <v>16125</v>
      </c>
      <c r="O215" s="1"/>
      <c r="P215" s="1" t="s">
        <v>6</v>
      </c>
      <c r="Q215" s="16"/>
      <c r="R215" s="17"/>
      <c r="S215" s="3" t="s">
        <v>5561</v>
      </c>
      <c r="T215" s="1773"/>
      <c r="U215" s="1749"/>
      <c r="V215" s="1752"/>
    </row>
    <row r="216" spans="1:22" ht="12" customHeight="1">
      <c r="A216" s="1040" t="str">
        <f t="shared" si="4"/>
        <v>3203</v>
      </c>
      <c r="B216" s="1054" t="s">
        <v>16204</v>
      </c>
      <c r="C216" s="1064"/>
      <c r="D216" s="2">
        <v>6</v>
      </c>
      <c r="E216" s="4" t="s">
        <v>699</v>
      </c>
      <c r="F216" s="1065" t="e">
        <f>IF(E216="","$",VLOOKUP(E216,'結果(小)'!$B$2:$F$1295,5,FALSE))</f>
        <v>#DIV/0!</v>
      </c>
      <c r="G216" s="1" t="s">
        <v>5074</v>
      </c>
      <c r="H216" s="6">
        <v>49</v>
      </c>
      <c r="I216" s="2" t="s">
        <v>5</v>
      </c>
      <c r="J216" s="1" t="s">
        <v>15273</v>
      </c>
      <c r="K216" s="3"/>
      <c r="L216" s="1"/>
      <c r="M216" s="1"/>
      <c r="N216" s="4" t="s">
        <v>16125</v>
      </c>
      <c r="O216" s="1"/>
      <c r="P216" s="1" t="s">
        <v>6</v>
      </c>
      <c r="Q216" s="16"/>
      <c r="R216" s="17"/>
      <c r="S216" s="3" t="s">
        <v>5561</v>
      </c>
      <c r="T216" s="1773"/>
      <c r="U216" s="1749"/>
      <c r="V216" s="1752"/>
    </row>
    <row r="217" spans="1:22" ht="12" customHeight="1">
      <c r="A217" s="1040" t="str">
        <f t="shared" si="4"/>
        <v>3203</v>
      </c>
      <c r="B217" s="1054" t="s">
        <v>16205</v>
      </c>
      <c r="C217" s="1064"/>
      <c r="D217" s="2">
        <v>6</v>
      </c>
      <c r="E217" s="4" t="s">
        <v>989</v>
      </c>
      <c r="F217" s="1065" t="e">
        <f>IF(E217="","$",VLOOKUP(E217,'結果(小)'!$B$2:$F$1295,5,FALSE))</f>
        <v>#DIV/0!</v>
      </c>
      <c r="G217" s="1" t="s">
        <v>5732</v>
      </c>
      <c r="H217" s="6">
        <v>48</v>
      </c>
      <c r="I217" s="2" t="s">
        <v>19</v>
      </c>
      <c r="J217" s="1" t="s">
        <v>15273</v>
      </c>
      <c r="K217" s="3"/>
      <c r="L217" s="1"/>
      <c r="M217" s="1"/>
      <c r="N217" s="4" t="s">
        <v>16125</v>
      </c>
      <c r="O217" s="1"/>
      <c r="P217" s="1" t="s">
        <v>6</v>
      </c>
      <c r="Q217" s="16"/>
      <c r="R217" s="17"/>
      <c r="S217" s="3" t="s">
        <v>5561</v>
      </c>
      <c r="T217" s="1773"/>
      <c r="U217" s="1749"/>
      <c r="V217" s="1752"/>
    </row>
    <row r="218" spans="1:22" ht="12" customHeight="1" thickBot="1">
      <c r="A218" s="916" t="str">
        <f t="shared" si="4"/>
        <v>3203</v>
      </c>
      <c r="B218" s="1098" t="s">
        <v>16192</v>
      </c>
      <c r="C218" s="1075"/>
      <c r="D218" s="702">
        <v>14</v>
      </c>
      <c r="E218" s="702"/>
      <c r="F218" s="1071" t="str">
        <f>IF(E218="","$",VLOOKUP(E218,'結果(小)'!$B$2:$F$1295,5,FALSE))</f>
        <v>$</v>
      </c>
      <c r="G218" s="702" t="s">
        <v>16193</v>
      </c>
      <c r="H218" s="701">
        <v>71</v>
      </c>
      <c r="I218" s="702" t="s">
        <v>5</v>
      </c>
      <c r="J218" s="702" t="s">
        <v>6067</v>
      </c>
      <c r="K218" s="720"/>
      <c r="L218" s="702"/>
      <c r="M218" s="702"/>
      <c r="N218" s="770" t="s">
        <v>16125</v>
      </c>
      <c r="O218" s="702"/>
      <c r="P218" s="702" t="s">
        <v>6</v>
      </c>
      <c r="Q218" s="721"/>
      <c r="R218" s="722"/>
      <c r="S218" s="740"/>
      <c r="T218" s="1774"/>
      <c r="U218" s="1750"/>
      <c r="V218" s="1753"/>
    </row>
    <row r="219" spans="1:22" ht="12" customHeight="1">
      <c r="A219" s="1038" t="str">
        <f t="shared" si="4"/>
        <v>3204</v>
      </c>
      <c r="B219" s="1081" t="s">
        <v>2113</v>
      </c>
      <c r="C219" s="1073"/>
      <c r="D219" s="696">
        <v>1</v>
      </c>
      <c r="E219" s="696"/>
      <c r="F219" s="1068" t="str">
        <f>IF(E219="","$",VLOOKUP(E219,'結果(小)'!$B$2:$F$1295,5,FALSE))</f>
        <v>$</v>
      </c>
      <c r="G219" s="696" t="s">
        <v>2114</v>
      </c>
      <c r="H219" s="690">
        <v>54</v>
      </c>
      <c r="I219" s="696" t="s">
        <v>5</v>
      </c>
      <c r="J219" s="696" t="s">
        <v>6067</v>
      </c>
      <c r="K219" s="715" t="s">
        <v>2117</v>
      </c>
      <c r="L219" s="696"/>
      <c r="M219" s="696"/>
      <c r="N219" s="716" t="s">
        <v>16118</v>
      </c>
      <c r="O219" s="696"/>
      <c r="P219" s="696" t="s">
        <v>25</v>
      </c>
      <c r="Q219" s="717">
        <v>6</v>
      </c>
      <c r="R219" s="718">
        <v>6</v>
      </c>
      <c r="S219" s="715"/>
      <c r="T219" s="1763"/>
      <c r="U219" s="1748"/>
      <c r="V219" s="1751" t="e">
        <f>U219/SUM(U142:U264)</f>
        <v>#DIV/0!</v>
      </c>
    </row>
    <row r="220" spans="1:22" ht="12" customHeight="1">
      <c r="A220" s="1040" t="str">
        <f t="shared" si="4"/>
        <v>3204</v>
      </c>
      <c r="B220" s="1055" t="s">
        <v>2115</v>
      </c>
      <c r="C220" s="1064"/>
      <c r="D220" s="2">
        <v>2</v>
      </c>
      <c r="E220" s="2"/>
      <c r="F220" s="1065" t="str">
        <f>IF(E220="","$",VLOOKUP(E220,'結果(小)'!$B$2:$F$1295,5,FALSE))</f>
        <v>$</v>
      </c>
      <c r="G220" s="6" t="s">
        <v>2122</v>
      </c>
      <c r="H220" s="6">
        <v>47</v>
      </c>
      <c r="I220" s="6" t="s">
        <v>5</v>
      </c>
      <c r="J220" s="2" t="s">
        <v>6067</v>
      </c>
      <c r="K220" s="12"/>
      <c r="L220" s="6"/>
      <c r="M220" s="19"/>
      <c r="N220" s="8" t="s">
        <v>16118</v>
      </c>
      <c r="O220" s="6"/>
      <c r="P220" s="6" t="s">
        <v>6</v>
      </c>
      <c r="Q220" s="13"/>
      <c r="R220" s="14"/>
      <c r="S220" s="12"/>
      <c r="T220" s="1764"/>
      <c r="U220" s="1749"/>
      <c r="V220" s="1752"/>
    </row>
    <row r="221" spans="1:22" ht="12" customHeight="1">
      <c r="A221" s="1040" t="str">
        <f t="shared" si="4"/>
        <v>3204</v>
      </c>
      <c r="B221" s="1055" t="s">
        <v>2116</v>
      </c>
      <c r="C221" s="1064"/>
      <c r="D221" s="2">
        <v>3</v>
      </c>
      <c r="E221" s="2"/>
      <c r="F221" s="1065" t="str">
        <f>IF(E221="","$",VLOOKUP(E221,'結果(小)'!$B$2:$F$1295,5,FALSE))</f>
        <v>$</v>
      </c>
      <c r="G221" s="6" t="s">
        <v>2125</v>
      </c>
      <c r="H221" s="6">
        <v>50</v>
      </c>
      <c r="I221" s="6" t="s">
        <v>5</v>
      </c>
      <c r="J221" s="2" t="s">
        <v>6067</v>
      </c>
      <c r="K221" s="12"/>
      <c r="L221" s="6"/>
      <c r="M221" s="19"/>
      <c r="N221" s="8" t="s">
        <v>16118</v>
      </c>
      <c r="O221" s="6"/>
      <c r="P221" s="6" t="s">
        <v>6</v>
      </c>
      <c r="Q221" s="13"/>
      <c r="R221" s="14"/>
      <c r="S221" s="12"/>
      <c r="T221" s="1764"/>
      <c r="U221" s="1749"/>
      <c r="V221" s="1752"/>
    </row>
    <row r="222" spans="1:22" ht="12" customHeight="1">
      <c r="A222" s="1040" t="str">
        <f t="shared" si="4"/>
        <v>3204</v>
      </c>
      <c r="B222" s="1055" t="s">
        <v>5893</v>
      </c>
      <c r="C222" s="1064"/>
      <c r="D222" s="2">
        <v>4</v>
      </c>
      <c r="E222" s="2"/>
      <c r="F222" s="1065" t="str">
        <f>IF(E222="","$",VLOOKUP(E222,'結果(小)'!$B$2:$F$1295,5,FALSE))</f>
        <v>$</v>
      </c>
      <c r="G222" s="6" t="s">
        <v>5896</v>
      </c>
      <c r="H222" s="6">
        <v>47</v>
      </c>
      <c r="I222" s="6" t="s">
        <v>5</v>
      </c>
      <c r="J222" s="2" t="s">
        <v>6067</v>
      </c>
      <c r="K222" s="12"/>
      <c r="L222" s="6"/>
      <c r="M222" s="19"/>
      <c r="N222" s="23" t="s">
        <v>16118</v>
      </c>
      <c r="O222" s="6"/>
      <c r="P222" s="6" t="s">
        <v>6</v>
      </c>
      <c r="Q222" s="13"/>
      <c r="R222" s="14"/>
      <c r="S222" s="12"/>
      <c r="T222" s="1764"/>
      <c r="U222" s="1749"/>
      <c r="V222" s="1752"/>
    </row>
    <row r="223" spans="1:22" ht="12" customHeight="1">
      <c r="A223" s="1040" t="str">
        <f t="shared" si="4"/>
        <v>3204</v>
      </c>
      <c r="B223" s="1055" t="s">
        <v>5894</v>
      </c>
      <c r="C223" s="1064"/>
      <c r="D223" s="2">
        <v>5</v>
      </c>
      <c r="E223" s="2"/>
      <c r="F223" s="1065" t="str">
        <f>IF(E223="","$",VLOOKUP(E223,'結果(小)'!$B$2:$F$1295,5,FALSE))</f>
        <v>$</v>
      </c>
      <c r="G223" s="6" t="s">
        <v>5897</v>
      </c>
      <c r="H223" s="6">
        <v>38</v>
      </c>
      <c r="I223" s="6" t="s">
        <v>5</v>
      </c>
      <c r="J223" s="2" t="s">
        <v>6067</v>
      </c>
      <c r="K223" s="12"/>
      <c r="L223" s="6"/>
      <c r="M223" s="19"/>
      <c r="N223" s="8" t="s">
        <v>16118</v>
      </c>
      <c r="O223" s="6"/>
      <c r="P223" s="6" t="s">
        <v>6</v>
      </c>
      <c r="Q223" s="13"/>
      <c r="R223" s="14"/>
      <c r="S223" s="12"/>
      <c r="T223" s="1764"/>
      <c r="U223" s="1749"/>
      <c r="V223" s="1752"/>
    </row>
    <row r="224" spans="1:22" ht="12" customHeight="1" thickBot="1">
      <c r="A224" s="916" t="str">
        <f t="shared" si="4"/>
        <v>3204</v>
      </c>
      <c r="B224" s="1082" t="s">
        <v>5895</v>
      </c>
      <c r="C224" s="1075"/>
      <c r="D224" s="702">
        <v>6</v>
      </c>
      <c r="E224" s="702"/>
      <c r="F224" s="1071" t="str">
        <f>IF(E224="","$",VLOOKUP(E224,'結果(小)'!$B$2:$F$1295,5,FALSE))</f>
        <v>$</v>
      </c>
      <c r="G224" s="701" t="s">
        <v>5898</v>
      </c>
      <c r="H224" s="701">
        <v>40</v>
      </c>
      <c r="I224" s="701" t="s">
        <v>5</v>
      </c>
      <c r="J224" s="702" t="s">
        <v>6067</v>
      </c>
      <c r="K224" s="740"/>
      <c r="L224" s="701"/>
      <c r="M224" s="741"/>
      <c r="N224" s="770" t="s">
        <v>16118</v>
      </c>
      <c r="O224" s="701"/>
      <c r="P224" s="701" t="s">
        <v>6</v>
      </c>
      <c r="Q224" s="742"/>
      <c r="R224" s="743"/>
      <c r="S224" s="740"/>
      <c r="T224" s="1765"/>
      <c r="U224" s="1750"/>
      <c r="V224" s="1753"/>
    </row>
    <row r="225" spans="1:22" ht="12" customHeight="1">
      <c r="A225" s="1038" t="str">
        <f t="shared" si="4"/>
        <v>3205</v>
      </c>
      <c r="B225" s="1083" t="s">
        <v>16211</v>
      </c>
      <c r="C225" s="1073"/>
      <c r="D225" s="696">
        <v>1</v>
      </c>
      <c r="E225" s="688" t="s">
        <v>538</v>
      </c>
      <c r="F225" s="1068" t="e">
        <f>IF(E225="","$",VLOOKUP(E225,'結果(小)'!$B$2:$F$1295,5,FALSE))</f>
        <v>#DIV/0!</v>
      </c>
      <c r="G225" s="690" t="s">
        <v>897</v>
      </c>
      <c r="H225" s="690">
        <v>41</v>
      </c>
      <c r="I225" s="690" t="s">
        <v>5</v>
      </c>
      <c r="J225" s="687" t="s">
        <v>15273</v>
      </c>
      <c r="K225" s="735" t="s">
        <v>1367</v>
      </c>
      <c r="L225" s="690" t="s">
        <v>373</v>
      </c>
      <c r="M225" s="736"/>
      <c r="N225" s="688" t="s">
        <v>16116</v>
      </c>
      <c r="O225" s="690" t="s">
        <v>469</v>
      </c>
      <c r="P225" s="690" t="s">
        <v>6</v>
      </c>
      <c r="Q225" s="737"/>
      <c r="R225" s="738">
        <v>1</v>
      </c>
      <c r="S225" s="735" t="s">
        <v>469</v>
      </c>
      <c r="T225" s="1766"/>
      <c r="U225" s="1748"/>
      <c r="V225" s="1751" t="e">
        <f>U225/SUM(U142:U264)</f>
        <v>#DIV/0!</v>
      </c>
    </row>
    <row r="226" spans="1:22" ht="12" customHeight="1">
      <c r="A226" s="1040" t="str">
        <f t="shared" si="4"/>
        <v>3205</v>
      </c>
      <c r="B226" s="1056" t="s">
        <v>16212</v>
      </c>
      <c r="C226" s="1064"/>
      <c r="D226" s="2">
        <v>2</v>
      </c>
      <c r="E226" s="4" t="s">
        <v>554</v>
      </c>
      <c r="F226" s="1065" t="e">
        <f>IF(E226="","$",VLOOKUP(E226,'結果(小)'!$B$2:$F$1295,5,FALSE))</f>
        <v>#DIV/0!</v>
      </c>
      <c r="G226" s="5" t="s">
        <v>900</v>
      </c>
      <c r="H226" s="6">
        <v>40</v>
      </c>
      <c r="I226" s="5" t="s">
        <v>5</v>
      </c>
      <c r="J226" s="1" t="s">
        <v>15273</v>
      </c>
      <c r="K226" s="7" t="s">
        <v>1368</v>
      </c>
      <c r="L226" s="18"/>
      <c r="M226" s="19"/>
      <c r="N226" s="4" t="s">
        <v>16116</v>
      </c>
      <c r="O226" s="6" t="s">
        <v>564</v>
      </c>
      <c r="P226" s="5" t="s">
        <v>25</v>
      </c>
      <c r="Q226" s="9">
        <v>2</v>
      </c>
      <c r="R226" s="10">
        <v>2</v>
      </c>
      <c r="S226" s="7" t="s">
        <v>18564</v>
      </c>
      <c r="T226" s="1767"/>
      <c r="U226" s="1749"/>
      <c r="V226" s="1752"/>
    </row>
    <row r="227" spans="1:22" ht="12" customHeight="1">
      <c r="A227" s="1040" t="str">
        <f t="shared" si="4"/>
        <v>3205</v>
      </c>
      <c r="B227" s="1056" t="s">
        <v>16213</v>
      </c>
      <c r="C227" s="1064"/>
      <c r="D227" s="2">
        <v>3</v>
      </c>
      <c r="E227" s="4" t="s">
        <v>5313</v>
      </c>
      <c r="F227" s="1065" t="e">
        <f>IF(E227="","$",VLOOKUP(E227,'結果(小)'!$B$2:$F$1295,5,FALSE))</f>
        <v>#DIV/0!</v>
      </c>
      <c r="G227" s="1" t="s">
        <v>5314</v>
      </c>
      <c r="H227" s="6">
        <v>38</v>
      </c>
      <c r="I227" s="2" t="s">
        <v>19</v>
      </c>
      <c r="J227" s="1" t="s">
        <v>15273</v>
      </c>
      <c r="K227" s="3"/>
      <c r="L227" s="1"/>
      <c r="M227" s="1"/>
      <c r="N227" s="4" t="s">
        <v>16116</v>
      </c>
      <c r="O227" s="1" t="s">
        <v>4997</v>
      </c>
      <c r="P227" s="1" t="s">
        <v>6</v>
      </c>
      <c r="Q227" s="16"/>
      <c r="R227" s="17"/>
      <c r="S227" s="3" t="s">
        <v>469</v>
      </c>
      <c r="T227" s="1767"/>
      <c r="U227" s="1749"/>
      <c r="V227" s="1752"/>
    </row>
    <row r="228" spans="1:22" ht="12" customHeight="1">
      <c r="A228" s="1040" t="str">
        <f t="shared" si="4"/>
        <v>3205</v>
      </c>
      <c r="B228" s="1056" t="s">
        <v>16214</v>
      </c>
      <c r="C228" s="1064"/>
      <c r="D228" s="2">
        <v>3</v>
      </c>
      <c r="E228" s="4" t="s">
        <v>410</v>
      </c>
      <c r="F228" s="1065" t="e">
        <f>IF(E228="","$",VLOOKUP(E228,'結果(小)'!$B$2:$F$1295,5,FALSE))</f>
        <v>#DIV/0!</v>
      </c>
      <c r="G228" s="1" t="s">
        <v>5317</v>
      </c>
      <c r="H228" s="6">
        <v>45</v>
      </c>
      <c r="I228" s="2" t="s">
        <v>5</v>
      </c>
      <c r="J228" s="1" t="s">
        <v>15273</v>
      </c>
      <c r="K228" s="3"/>
      <c r="L228" s="1"/>
      <c r="M228" s="1"/>
      <c r="N228" s="4" t="s">
        <v>16116</v>
      </c>
      <c r="O228" s="1" t="s">
        <v>4997</v>
      </c>
      <c r="P228" s="1" t="s">
        <v>6</v>
      </c>
      <c r="Q228" s="16"/>
      <c r="R228" s="17"/>
      <c r="S228" s="3" t="s">
        <v>469</v>
      </c>
      <c r="T228" s="1767"/>
      <c r="U228" s="1749"/>
      <c r="V228" s="1752"/>
    </row>
    <row r="229" spans="1:22" ht="12" customHeight="1">
      <c r="A229" s="1040" t="str">
        <f t="shared" si="4"/>
        <v>3205</v>
      </c>
      <c r="B229" s="1056" t="s">
        <v>16215</v>
      </c>
      <c r="C229" s="1064"/>
      <c r="D229" s="2">
        <v>3</v>
      </c>
      <c r="E229" s="4" t="s">
        <v>4994</v>
      </c>
      <c r="F229" s="1065" t="e">
        <f>IF(E229="","$",VLOOKUP(E229,'結果(小)'!$B$2:$F$1295,5,FALSE))</f>
        <v>#DIV/0!</v>
      </c>
      <c r="G229" s="1" t="s">
        <v>4996</v>
      </c>
      <c r="H229" s="6">
        <v>41</v>
      </c>
      <c r="I229" s="2" t="s">
        <v>5</v>
      </c>
      <c r="J229" s="1" t="s">
        <v>15273</v>
      </c>
      <c r="K229" s="3"/>
      <c r="L229" s="1"/>
      <c r="M229" s="1"/>
      <c r="N229" s="4" t="s">
        <v>16116</v>
      </c>
      <c r="O229" s="1" t="s">
        <v>4997</v>
      </c>
      <c r="P229" s="1" t="s">
        <v>6</v>
      </c>
      <c r="Q229" s="16"/>
      <c r="R229" s="17"/>
      <c r="S229" s="3" t="s">
        <v>469</v>
      </c>
      <c r="T229" s="1767"/>
      <c r="U229" s="1749"/>
      <c r="V229" s="1752"/>
    </row>
    <row r="230" spans="1:22" ht="12" customHeight="1">
      <c r="A230" s="1040" t="str">
        <f t="shared" si="4"/>
        <v>3205</v>
      </c>
      <c r="B230" s="1056" t="s">
        <v>16216</v>
      </c>
      <c r="C230" s="1064"/>
      <c r="D230" s="2">
        <v>3</v>
      </c>
      <c r="E230" s="4" t="s">
        <v>443</v>
      </c>
      <c r="F230" s="1065" t="e">
        <f>IF(E230="","$",VLOOKUP(E230,'結果(小)'!$B$2:$F$1295,5,FALSE))</f>
        <v>#DIV/0!</v>
      </c>
      <c r="G230" s="1" t="s">
        <v>5353</v>
      </c>
      <c r="H230" s="6">
        <v>33</v>
      </c>
      <c r="I230" s="2" t="s">
        <v>5</v>
      </c>
      <c r="J230" s="1" t="s">
        <v>15273</v>
      </c>
      <c r="K230" s="3"/>
      <c r="L230" s="1"/>
      <c r="M230" s="1"/>
      <c r="N230" s="4" t="s">
        <v>16116</v>
      </c>
      <c r="O230" s="1" t="s">
        <v>4997</v>
      </c>
      <c r="P230" s="1" t="s">
        <v>6</v>
      </c>
      <c r="Q230" s="16"/>
      <c r="R230" s="17"/>
      <c r="S230" s="3" t="s">
        <v>469</v>
      </c>
      <c r="T230" s="1767"/>
      <c r="U230" s="1749"/>
      <c r="V230" s="1752"/>
    </row>
    <row r="231" spans="1:22" ht="12" customHeight="1">
      <c r="A231" s="1040" t="str">
        <f t="shared" si="4"/>
        <v>3205</v>
      </c>
      <c r="B231" s="1056" t="s">
        <v>16217</v>
      </c>
      <c r="C231" s="1064"/>
      <c r="D231" s="2">
        <v>3</v>
      </c>
      <c r="E231" s="4" t="s">
        <v>581</v>
      </c>
      <c r="F231" s="1065" t="e">
        <f>IF(E231="","$",VLOOKUP(E231,'結果(小)'!$B$2:$F$1295,5,FALSE))</f>
        <v>#DIV/0!</v>
      </c>
      <c r="G231" s="1" t="s">
        <v>589</v>
      </c>
      <c r="H231" s="6">
        <v>28</v>
      </c>
      <c r="I231" s="2" t="s">
        <v>19</v>
      </c>
      <c r="J231" s="1" t="s">
        <v>15273</v>
      </c>
      <c r="K231" s="3"/>
      <c r="L231" s="1"/>
      <c r="M231" s="1"/>
      <c r="N231" s="4" t="s">
        <v>16116</v>
      </c>
      <c r="O231" s="1" t="s">
        <v>4997</v>
      </c>
      <c r="P231" s="1" t="s">
        <v>6</v>
      </c>
      <c r="Q231" s="16"/>
      <c r="R231" s="17"/>
      <c r="S231" s="3"/>
      <c r="T231" s="1767"/>
      <c r="U231" s="1749"/>
      <c r="V231" s="1752"/>
    </row>
    <row r="232" spans="1:22" ht="12" customHeight="1">
      <c r="A232" s="1040" t="str">
        <f t="shared" si="4"/>
        <v>3205</v>
      </c>
      <c r="B232" s="1056" t="s">
        <v>16218</v>
      </c>
      <c r="C232" s="1064"/>
      <c r="D232" s="2">
        <v>3</v>
      </c>
      <c r="E232" s="4" t="s">
        <v>629</v>
      </c>
      <c r="F232" s="1065" t="e">
        <f>IF(E232="","$",VLOOKUP(E232,'結果(小)'!$B$2:$F$1295,5,FALSE))</f>
        <v>#DIV/0!</v>
      </c>
      <c r="G232" s="1" t="s">
        <v>5772</v>
      </c>
      <c r="H232" s="6">
        <v>62</v>
      </c>
      <c r="I232" s="2" t="s">
        <v>5</v>
      </c>
      <c r="J232" s="1" t="s">
        <v>15273</v>
      </c>
      <c r="K232" s="3"/>
      <c r="L232" s="1"/>
      <c r="M232" s="1"/>
      <c r="N232" s="4" t="s">
        <v>16116</v>
      </c>
      <c r="O232" s="1" t="s">
        <v>276</v>
      </c>
      <c r="P232" s="1" t="s">
        <v>6</v>
      </c>
      <c r="Q232" s="16"/>
      <c r="R232" s="17"/>
      <c r="S232" s="3"/>
      <c r="T232" s="1767"/>
      <c r="U232" s="1749"/>
      <c r="V232" s="1752"/>
    </row>
    <row r="233" spans="1:22" ht="12" customHeight="1">
      <c r="A233" s="1040" t="str">
        <f t="shared" si="4"/>
        <v>3205</v>
      </c>
      <c r="B233" s="1056" t="s">
        <v>16219</v>
      </c>
      <c r="C233" s="1064"/>
      <c r="D233" s="2">
        <v>3</v>
      </c>
      <c r="E233" s="4" t="s">
        <v>644</v>
      </c>
      <c r="F233" s="1065" t="e">
        <f>IF(E233="","$",VLOOKUP(E233,'結果(小)'!$B$2:$F$1295,5,FALSE))</f>
        <v>#DIV/0!</v>
      </c>
      <c r="G233" s="1" t="s">
        <v>5003</v>
      </c>
      <c r="H233" s="6">
        <v>34</v>
      </c>
      <c r="I233" s="2" t="s">
        <v>5</v>
      </c>
      <c r="J233" s="1" t="s">
        <v>15273</v>
      </c>
      <c r="K233" s="3"/>
      <c r="L233" s="1"/>
      <c r="M233" s="1"/>
      <c r="N233" s="4" t="s">
        <v>16116</v>
      </c>
      <c r="O233" s="1" t="s">
        <v>4997</v>
      </c>
      <c r="P233" s="1" t="s">
        <v>6</v>
      </c>
      <c r="Q233" s="16"/>
      <c r="R233" s="17"/>
      <c r="S233" s="3"/>
      <c r="T233" s="1767"/>
      <c r="U233" s="1749"/>
      <c r="V233" s="1752"/>
    </row>
    <row r="234" spans="1:22" ht="12" customHeight="1">
      <c r="A234" s="1040" t="str">
        <f t="shared" si="4"/>
        <v>3205</v>
      </c>
      <c r="B234" s="1056" t="s">
        <v>16220</v>
      </c>
      <c r="C234" s="1064"/>
      <c r="D234" s="2">
        <v>3</v>
      </c>
      <c r="E234" s="4" t="s">
        <v>665</v>
      </c>
      <c r="F234" s="1065" t="e">
        <f>IF(E234="","$",VLOOKUP(E234,'結果(小)'!$B$2:$F$1295,5,FALSE))</f>
        <v>#DIV/0!</v>
      </c>
      <c r="G234" s="1" t="s">
        <v>5857</v>
      </c>
      <c r="H234" s="6">
        <v>63</v>
      </c>
      <c r="I234" s="2" t="s">
        <v>5</v>
      </c>
      <c r="J234" s="1" t="s">
        <v>15273</v>
      </c>
      <c r="K234" s="3"/>
      <c r="L234" s="1"/>
      <c r="M234" s="1"/>
      <c r="N234" s="4" t="s">
        <v>16116</v>
      </c>
      <c r="O234" s="1" t="s">
        <v>4997</v>
      </c>
      <c r="P234" s="1" t="s">
        <v>6</v>
      </c>
      <c r="Q234" s="16"/>
      <c r="R234" s="17"/>
      <c r="S234" s="3" t="s">
        <v>469</v>
      </c>
      <c r="T234" s="1767"/>
      <c r="U234" s="1749"/>
      <c r="V234" s="1752"/>
    </row>
    <row r="235" spans="1:22" ht="12" customHeight="1">
      <c r="A235" s="1040" t="str">
        <f t="shared" si="4"/>
        <v>3205</v>
      </c>
      <c r="B235" s="1056" t="s">
        <v>16221</v>
      </c>
      <c r="C235" s="1064"/>
      <c r="D235" s="2">
        <v>3</v>
      </c>
      <c r="E235" s="4" t="s">
        <v>679</v>
      </c>
      <c r="F235" s="1065" t="e">
        <f>IF(E235="","$",VLOOKUP(E235,'結果(小)'!$B$2:$F$1295,5,FALSE))</f>
        <v>#DIV/0!</v>
      </c>
      <c r="G235" s="1" t="s">
        <v>5355</v>
      </c>
      <c r="H235" s="6">
        <v>40</v>
      </c>
      <c r="I235" s="2" t="s">
        <v>5</v>
      </c>
      <c r="J235" s="1" t="s">
        <v>15273</v>
      </c>
      <c r="K235" s="3"/>
      <c r="L235" s="1"/>
      <c r="M235" s="1"/>
      <c r="N235" s="4" t="s">
        <v>16116</v>
      </c>
      <c r="O235" s="1" t="s">
        <v>4997</v>
      </c>
      <c r="P235" s="1" t="s">
        <v>6</v>
      </c>
      <c r="Q235" s="16"/>
      <c r="R235" s="17"/>
      <c r="S235" s="3" t="s">
        <v>469</v>
      </c>
      <c r="T235" s="1767"/>
      <c r="U235" s="1749"/>
      <c r="V235" s="1752"/>
    </row>
    <row r="236" spans="1:22" ht="12" customHeight="1">
      <c r="A236" s="1040" t="str">
        <f t="shared" si="4"/>
        <v>3205</v>
      </c>
      <c r="B236" s="1056" t="s">
        <v>16222</v>
      </c>
      <c r="C236" s="1064"/>
      <c r="D236" s="2">
        <v>3</v>
      </c>
      <c r="E236" s="4" t="s">
        <v>1074</v>
      </c>
      <c r="F236" s="1065" t="e">
        <f>IF(E236="","$",VLOOKUP(E236,'結果(小)'!$B$2:$F$1295,5,FALSE))</f>
        <v>#DIV/0!</v>
      </c>
      <c r="G236" s="1" t="s">
        <v>1075</v>
      </c>
      <c r="H236" s="6">
        <v>63</v>
      </c>
      <c r="I236" s="2" t="s">
        <v>5</v>
      </c>
      <c r="J236" s="1" t="s">
        <v>15273</v>
      </c>
      <c r="K236" s="3"/>
      <c r="L236" s="1"/>
      <c r="M236" s="1"/>
      <c r="N236" s="4" t="s">
        <v>16116</v>
      </c>
      <c r="O236" s="1" t="s">
        <v>276</v>
      </c>
      <c r="P236" s="1" t="s">
        <v>14</v>
      </c>
      <c r="Q236" s="16">
        <v>2</v>
      </c>
      <c r="R236" s="17">
        <v>2</v>
      </c>
      <c r="S236" s="3"/>
      <c r="T236" s="1767"/>
      <c r="U236" s="1749"/>
      <c r="V236" s="1752"/>
    </row>
    <row r="237" spans="1:22" ht="12" customHeight="1">
      <c r="A237" s="1040" t="str">
        <f t="shared" si="4"/>
        <v>3205</v>
      </c>
      <c r="B237" s="1056" t="s">
        <v>16223</v>
      </c>
      <c r="C237" s="1064"/>
      <c r="D237" s="2">
        <v>3</v>
      </c>
      <c r="E237" s="4" t="s">
        <v>5073</v>
      </c>
      <c r="F237" s="1065" t="e">
        <f>IF(E237="","$",VLOOKUP(E237,'結果(小)'!$B$2:$F$1295,5,FALSE))</f>
        <v>#DIV/0!</v>
      </c>
      <c r="G237" s="1" t="s">
        <v>6143</v>
      </c>
      <c r="H237" s="6">
        <v>45</v>
      </c>
      <c r="I237" s="2" t="s">
        <v>5</v>
      </c>
      <c r="J237" s="1" t="s">
        <v>15273</v>
      </c>
      <c r="K237" s="3"/>
      <c r="L237" s="1"/>
      <c r="M237" s="1"/>
      <c r="N237" s="4" t="s">
        <v>16116</v>
      </c>
      <c r="O237" s="1" t="s">
        <v>4997</v>
      </c>
      <c r="P237" s="1" t="s">
        <v>6</v>
      </c>
      <c r="Q237" s="16"/>
      <c r="R237" s="17"/>
      <c r="S237" s="3" t="s">
        <v>469</v>
      </c>
      <c r="T237" s="1767"/>
      <c r="U237" s="1749"/>
      <c r="V237" s="1752"/>
    </row>
    <row r="238" spans="1:22" ht="12" customHeight="1">
      <c r="A238" s="1040" t="str">
        <f t="shared" si="4"/>
        <v>3205</v>
      </c>
      <c r="B238" s="1056" t="s">
        <v>16224</v>
      </c>
      <c r="C238" s="1064"/>
      <c r="D238" s="2">
        <v>3</v>
      </c>
      <c r="E238" s="4" t="s">
        <v>710</v>
      </c>
      <c r="F238" s="1065" t="e">
        <f>IF(E238="","$",VLOOKUP(E238,'結果(小)'!$B$2:$F$1295,5,FALSE))</f>
        <v>#DIV/0!</v>
      </c>
      <c r="G238" s="1" t="s">
        <v>720</v>
      </c>
      <c r="H238" s="6">
        <v>57</v>
      </c>
      <c r="I238" s="2" t="s">
        <v>5</v>
      </c>
      <c r="J238" s="1" t="s">
        <v>15273</v>
      </c>
      <c r="K238" s="3"/>
      <c r="L238" s="1"/>
      <c r="M238" s="1"/>
      <c r="N238" s="4" t="s">
        <v>16116</v>
      </c>
      <c r="O238" s="1" t="s">
        <v>4997</v>
      </c>
      <c r="P238" s="1" t="s">
        <v>6</v>
      </c>
      <c r="Q238" s="16"/>
      <c r="R238" s="17"/>
      <c r="S238" s="3"/>
      <c r="T238" s="1767"/>
      <c r="U238" s="1749"/>
      <c r="V238" s="1752"/>
    </row>
    <row r="239" spans="1:22" ht="12" customHeight="1">
      <c r="A239" s="1040" t="str">
        <f t="shared" si="4"/>
        <v>3205</v>
      </c>
      <c r="B239" s="1056" t="s">
        <v>16225</v>
      </c>
      <c r="C239" s="1064"/>
      <c r="D239" s="2">
        <v>3</v>
      </c>
      <c r="E239" s="4" t="s">
        <v>956</v>
      </c>
      <c r="F239" s="1065" t="e">
        <f>IF(E239="","$",VLOOKUP(E239,'結果(小)'!$B$2:$F$1295,5,FALSE))</f>
        <v>#DIV/0!</v>
      </c>
      <c r="G239" s="1" t="s">
        <v>5358</v>
      </c>
      <c r="H239" s="6">
        <v>35</v>
      </c>
      <c r="I239" s="2" t="s">
        <v>5</v>
      </c>
      <c r="J239" s="1" t="s">
        <v>15273</v>
      </c>
      <c r="K239" s="3"/>
      <c r="L239" s="1"/>
      <c r="M239" s="1"/>
      <c r="N239" s="4" t="s">
        <v>16116</v>
      </c>
      <c r="O239" s="1" t="s">
        <v>4997</v>
      </c>
      <c r="P239" s="1" t="s">
        <v>6</v>
      </c>
      <c r="Q239" s="16"/>
      <c r="R239" s="17"/>
      <c r="S239" s="3"/>
      <c r="T239" s="1767"/>
      <c r="U239" s="1749"/>
      <c r="V239" s="1752"/>
    </row>
    <row r="240" spans="1:22" ht="12" customHeight="1">
      <c r="A240" s="1040" t="str">
        <f t="shared" si="4"/>
        <v>3205</v>
      </c>
      <c r="B240" s="1056" t="s">
        <v>16226</v>
      </c>
      <c r="C240" s="1064"/>
      <c r="D240" s="2">
        <v>3</v>
      </c>
      <c r="E240" s="4" t="s">
        <v>973</v>
      </c>
      <c r="F240" s="1065" t="e">
        <f>IF(E240="","$",VLOOKUP(E240,'結果(小)'!$B$2:$F$1295,5,FALSE))</f>
        <v>#DIV/0!</v>
      </c>
      <c r="G240" s="1" t="s">
        <v>985</v>
      </c>
      <c r="H240" s="6">
        <v>50</v>
      </c>
      <c r="I240" s="2" t="s">
        <v>5</v>
      </c>
      <c r="J240" s="1" t="s">
        <v>15273</v>
      </c>
      <c r="K240" s="3"/>
      <c r="L240" s="1"/>
      <c r="M240" s="1"/>
      <c r="N240" s="4" t="s">
        <v>16116</v>
      </c>
      <c r="O240" s="1" t="s">
        <v>276</v>
      </c>
      <c r="P240" s="1" t="s">
        <v>6</v>
      </c>
      <c r="Q240" s="16"/>
      <c r="R240" s="17"/>
      <c r="S240" s="3" t="s">
        <v>469</v>
      </c>
      <c r="T240" s="1767"/>
      <c r="U240" s="1749"/>
      <c r="V240" s="1752"/>
    </row>
    <row r="241" spans="1:22" ht="12" customHeight="1">
      <c r="A241" s="1040" t="str">
        <f t="shared" si="4"/>
        <v>3205</v>
      </c>
      <c r="B241" s="1056" t="s">
        <v>16227</v>
      </c>
      <c r="C241" s="1064"/>
      <c r="D241" s="2">
        <v>17</v>
      </c>
      <c r="E241" s="2"/>
      <c r="F241" s="1065" t="str">
        <f>IF(E241="","$",VLOOKUP(E241,'結果(小)'!$B$2:$F$1295,5,FALSE))</f>
        <v>$</v>
      </c>
      <c r="G241" s="6" t="s">
        <v>5719</v>
      </c>
      <c r="H241" s="6">
        <v>42</v>
      </c>
      <c r="I241" s="6" t="s">
        <v>5</v>
      </c>
      <c r="J241" s="2" t="s">
        <v>6067</v>
      </c>
      <c r="K241" s="12"/>
      <c r="L241" s="6"/>
      <c r="M241" s="19"/>
      <c r="N241" s="8" t="s">
        <v>16130</v>
      </c>
      <c r="O241" s="6" t="s">
        <v>4993</v>
      </c>
      <c r="P241" s="6" t="s">
        <v>6</v>
      </c>
      <c r="Q241" s="13"/>
      <c r="R241" s="14"/>
      <c r="S241" s="12"/>
      <c r="T241" s="1767"/>
      <c r="U241" s="1749"/>
      <c r="V241" s="1752"/>
    </row>
    <row r="242" spans="1:22" ht="12" customHeight="1" thickBot="1">
      <c r="A242" s="916" t="str">
        <f t="shared" si="4"/>
        <v>3205</v>
      </c>
      <c r="B242" s="1084" t="s">
        <v>16228</v>
      </c>
      <c r="C242" s="1075"/>
      <c r="D242" s="702">
        <v>18</v>
      </c>
      <c r="E242" s="702"/>
      <c r="F242" s="1071" t="str">
        <f>IF(E242="","$",VLOOKUP(E242,'結果(小)'!$B$2:$F$1295,5,FALSE))</f>
        <v>$</v>
      </c>
      <c r="G242" s="701" t="s">
        <v>16229</v>
      </c>
      <c r="H242" s="701">
        <v>30</v>
      </c>
      <c r="I242" s="701" t="s">
        <v>5</v>
      </c>
      <c r="J242" s="702" t="s">
        <v>6067</v>
      </c>
      <c r="K242" s="741"/>
      <c r="L242" s="701"/>
      <c r="M242" s="741"/>
      <c r="N242" s="741" t="s">
        <v>16130</v>
      </c>
      <c r="O242" s="701" t="s">
        <v>4997</v>
      </c>
      <c r="P242" s="701" t="s">
        <v>6</v>
      </c>
      <c r="Q242" s="742"/>
      <c r="R242" s="743"/>
      <c r="S242" s="740"/>
      <c r="T242" s="1768"/>
      <c r="U242" s="1750"/>
      <c r="V242" s="1753"/>
    </row>
    <row r="243" spans="1:22" ht="12" customHeight="1">
      <c r="A243" s="1038" t="str">
        <f t="shared" si="4"/>
        <v>3206</v>
      </c>
      <c r="B243" s="1085" t="s">
        <v>5319</v>
      </c>
      <c r="C243" s="1073"/>
      <c r="D243" s="696">
        <v>1</v>
      </c>
      <c r="E243" s="696"/>
      <c r="F243" s="1068" t="str">
        <f>IF(E243="","$",VLOOKUP(E243,'結果(小)'!$B$2:$F$1295,5,FALSE))</f>
        <v>$</v>
      </c>
      <c r="G243" s="690" t="s">
        <v>5320</v>
      </c>
      <c r="H243" s="690">
        <v>39</v>
      </c>
      <c r="I243" s="690" t="s">
        <v>5</v>
      </c>
      <c r="J243" s="696" t="s">
        <v>6067</v>
      </c>
      <c r="K243" s="735" t="s">
        <v>5321</v>
      </c>
      <c r="L243" s="690"/>
      <c r="M243" s="736"/>
      <c r="N243" s="692" t="s">
        <v>16128</v>
      </c>
      <c r="O243" s="690"/>
      <c r="P243" s="690" t="s">
        <v>25</v>
      </c>
      <c r="Q243" s="737">
        <v>2</v>
      </c>
      <c r="R243" s="738">
        <v>2</v>
      </c>
      <c r="S243" s="735"/>
      <c r="T243" s="1757"/>
      <c r="U243" s="1748"/>
      <c r="V243" s="1751" t="e">
        <f>U243/SUM(U142:U264)</f>
        <v>#DIV/0!</v>
      </c>
    </row>
    <row r="244" spans="1:22" ht="12" customHeight="1">
      <c r="A244" s="1040" t="str">
        <f t="shared" si="4"/>
        <v>3206</v>
      </c>
      <c r="B244" s="1057" t="s">
        <v>16230</v>
      </c>
      <c r="C244" s="1064"/>
      <c r="D244" s="2">
        <v>2</v>
      </c>
      <c r="E244" s="4" t="s">
        <v>398</v>
      </c>
      <c r="F244" s="1065" t="e">
        <f>IF(E244="","$",VLOOKUP(E244,'結果(小)'!$B$2:$F$1295,5,FALSE))</f>
        <v>#DIV/0!</v>
      </c>
      <c r="G244" s="1" t="s">
        <v>406</v>
      </c>
      <c r="H244" s="6">
        <v>43</v>
      </c>
      <c r="I244" s="2" t="s">
        <v>5</v>
      </c>
      <c r="J244" s="1" t="s">
        <v>15273</v>
      </c>
      <c r="K244" s="3"/>
      <c r="L244" s="1"/>
      <c r="M244" s="1"/>
      <c r="N244" s="4" t="s">
        <v>16128</v>
      </c>
      <c r="O244" s="1"/>
      <c r="P244" s="1" t="s">
        <v>6</v>
      </c>
      <c r="Q244" s="16"/>
      <c r="R244" s="17"/>
      <c r="S244" s="3" t="s">
        <v>6031</v>
      </c>
      <c r="T244" s="1758"/>
      <c r="U244" s="1749"/>
      <c r="V244" s="1752"/>
    </row>
    <row r="245" spans="1:22" ht="12" customHeight="1">
      <c r="A245" s="1040" t="str">
        <f t="shared" si="4"/>
        <v>3206</v>
      </c>
      <c r="B245" s="1057" t="s">
        <v>16231</v>
      </c>
      <c r="C245" s="1064"/>
      <c r="D245" s="2">
        <v>2</v>
      </c>
      <c r="E245" s="4" t="s">
        <v>472</v>
      </c>
      <c r="F245" s="1065" t="e">
        <f>IF(E245="","$",VLOOKUP(E245,'結果(小)'!$B$2:$F$1295,5,FALSE))</f>
        <v>#DIV/0!</v>
      </c>
      <c r="G245" s="1" t="s">
        <v>480</v>
      </c>
      <c r="H245" s="6">
        <v>41</v>
      </c>
      <c r="I245" s="2" t="s">
        <v>5</v>
      </c>
      <c r="J245" s="1" t="s">
        <v>15273</v>
      </c>
      <c r="K245" s="3"/>
      <c r="L245" s="1"/>
      <c r="M245" s="1"/>
      <c r="N245" s="4" t="s">
        <v>16128</v>
      </c>
      <c r="O245" s="1"/>
      <c r="P245" s="1" t="s">
        <v>6</v>
      </c>
      <c r="Q245" s="16"/>
      <c r="R245" s="17"/>
      <c r="S245" s="3" t="s">
        <v>6031</v>
      </c>
      <c r="T245" s="1758"/>
      <c r="U245" s="1749"/>
      <c r="V245" s="1752"/>
    </row>
    <row r="246" spans="1:22" ht="12" customHeight="1">
      <c r="A246" s="1040" t="str">
        <f t="shared" si="4"/>
        <v>3206</v>
      </c>
      <c r="B246" s="1057" t="s">
        <v>16232</v>
      </c>
      <c r="C246" s="1064"/>
      <c r="D246" s="2">
        <v>2</v>
      </c>
      <c r="E246" s="4" t="s">
        <v>487</v>
      </c>
      <c r="F246" s="1065" t="e">
        <f>IF(E246="","$",VLOOKUP(E246,'結果(小)'!$B$2:$F$1295,5,FALSE))</f>
        <v>#DIV/0!</v>
      </c>
      <c r="G246" s="1" t="s">
        <v>500</v>
      </c>
      <c r="H246" s="6">
        <v>43</v>
      </c>
      <c r="I246" s="2" t="s">
        <v>5</v>
      </c>
      <c r="J246" s="1" t="s">
        <v>15273</v>
      </c>
      <c r="K246" s="3"/>
      <c r="L246" s="1"/>
      <c r="M246" s="1"/>
      <c r="N246" s="8" t="s">
        <v>16128</v>
      </c>
      <c r="O246" s="1"/>
      <c r="P246" s="1" t="s">
        <v>6</v>
      </c>
      <c r="Q246" s="16"/>
      <c r="R246" s="17"/>
      <c r="S246" s="3" t="s">
        <v>6031</v>
      </c>
      <c r="T246" s="1758"/>
      <c r="U246" s="1749"/>
      <c r="V246" s="1752"/>
    </row>
    <row r="247" spans="1:22" ht="12" customHeight="1">
      <c r="A247" s="1040" t="str">
        <f t="shared" si="4"/>
        <v>3206</v>
      </c>
      <c r="B247" s="1057" t="s">
        <v>16233</v>
      </c>
      <c r="C247" s="1064"/>
      <c r="D247" s="2">
        <v>2</v>
      </c>
      <c r="E247" s="4" t="s">
        <v>515</v>
      </c>
      <c r="F247" s="1065" t="e">
        <f>IF(E247="","$",VLOOKUP(E247,'結果(小)'!$B$2:$F$1295,5,FALSE))</f>
        <v>#DIV/0!</v>
      </c>
      <c r="G247" s="1" t="s">
        <v>519</v>
      </c>
      <c r="H247" s="6">
        <v>35</v>
      </c>
      <c r="I247" s="2" t="s">
        <v>5</v>
      </c>
      <c r="J247" s="1" t="s">
        <v>15273</v>
      </c>
      <c r="K247" s="3"/>
      <c r="L247" s="1"/>
      <c r="M247" s="1"/>
      <c r="N247" s="4" t="s">
        <v>16128</v>
      </c>
      <c r="O247" s="1"/>
      <c r="P247" s="1" t="s">
        <v>6</v>
      </c>
      <c r="Q247" s="16"/>
      <c r="R247" s="17"/>
      <c r="S247" s="3" t="s">
        <v>6031</v>
      </c>
      <c r="T247" s="1758"/>
      <c r="U247" s="1749"/>
      <c r="V247" s="1752"/>
    </row>
    <row r="248" spans="1:22" ht="12" customHeight="1">
      <c r="A248" s="1040" t="str">
        <f t="shared" si="4"/>
        <v>3206</v>
      </c>
      <c r="B248" s="1057" t="s">
        <v>16234</v>
      </c>
      <c r="C248" s="1064"/>
      <c r="D248" s="2">
        <v>2</v>
      </c>
      <c r="E248" s="4" t="s">
        <v>525</v>
      </c>
      <c r="F248" s="1065" t="e">
        <f>IF(E248="","$",VLOOKUP(E248,'結果(小)'!$B$2:$F$1295,5,FALSE))</f>
        <v>#DIV/0!</v>
      </c>
      <c r="G248" s="6" t="s">
        <v>922</v>
      </c>
      <c r="H248" s="6">
        <v>46</v>
      </c>
      <c r="I248" s="6" t="s">
        <v>5</v>
      </c>
      <c r="J248" s="1" t="s">
        <v>15273</v>
      </c>
      <c r="K248" s="12" t="s">
        <v>1298</v>
      </c>
      <c r="L248" s="19"/>
      <c r="M248" s="19"/>
      <c r="N248" s="4" t="s">
        <v>16128</v>
      </c>
      <c r="O248" s="6"/>
      <c r="P248" s="6" t="s">
        <v>25</v>
      </c>
      <c r="Q248" s="13">
        <v>1</v>
      </c>
      <c r="R248" s="14">
        <v>1</v>
      </c>
      <c r="S248" s="7" t="s">
        <v>6031</v>
      </c>
      <c r="T248" s="1758"/>
      <c r="U248" s="1749"/>
      <c r="V248" s="1752"/>
    </row>
    <row r="249" spans="1:22" ht="12" customHeight="1">
      <c r="A249" s="1040" t="str">
        <f t="shared" si="4"/>
        <v>3206</v>
      </c>
      <c r="B249" s="1057" t="s">
        <v>16235</v>
      </c>
      <c r="C249" s="1064"/>
      <c r="D249" s="2">
        <v>2</v>
      </c>
      <c r="E249" s="4" t="s">
        <v>600</v>
      </c>
      <c r="F249" s="1065" t="e">
        <f>IF(E249="","$",VLOOKUP(E249,'結果(小)'!$B$2:$F$1295,5,FALSE))</f>
        <v>#DIV/0!</v>
      </c>
      <c r="G249" s="1" t="s">
        <v>611</v>
      </c>
      <c r="H249" s="6">
        <v>47</v>
      </c>
      <c r="I249" s="2" t="s">
        <v>5</v>
      </c>
      <c r="J249" s="1" t="s">
        <v>15273</v>
      </c>
      <c r="K249" s="3"/>
      <c r="L249" s="1"/>
      <c r="M249" s="1"/>
      <c r="N249" s="4" t="s">
        <v>16128</v>
      </c>
      <c r="O249" s="1"/>
      <c r="P249" s="1" t="s">
        <v>6</v>
      </c>
      <c r="Q249" s="16"/>
      <c r="R249" s="17"/>
      <c r="S249" s="3" t="s">
        <v>6031</v>
      </c>
      <c r="T249" s="1758"/>
      <c r="U249" s="1749"/>
      <c r="V249" s="1752"/>
    </row>
    <row r="250" spans="1:22" ht="12" customHeight="1">
      <c r="A250" s="1040" t="str">
        <f t="shared" si="4"/>
        <v>3206</v>
      </c>
      <c r="B250" s="1057" t="s">
        <v>16236</v>
      </c>
      <c r="C250" s="1064"/>
      <c r="D250" s="2">
        <v>2</v>
      </c>
      <c r="E250" s="4" t="s">
        <v>618</v>
      </c>
      <c r="F250" s="1065" t="e">
        <f>IF(E250="","$",VLOOKUP(E250,'結果(小)'!$B$2:$F$1295,5,FALSE))</f>
        <v>#DIV/0!</v>
      </c>
      <c r="G250" s="1" t="s">
        <v>625</v>
      </c>
      <c r="H250" s="6">
        <v>47</v>
      </c>
      <c r="I250" s="2" t="s">
        <v>5</v>
      </c>
      <c r="J250" s="1" t="s">
        <v>15273</v>
      </c>
      <c r="K250" s="3"/>
      <c r="L250" s="1"/>
      <c r="M250" s="1"/>
      <c r="N250" s="4" t="s">
        <v>16128</v>
      </c>
      <c r="O250" s="1"/>
      <c r="P250" s="1" t="s">
        <v>6</v>
      </c>
      <c r="Q250" s="16"/>
      <c r="R250" s="17"/>
      <c r="S250" s="3" t="s">
        <v>6031</v>
      </c>
      <c r="T250" s="1758"/>
      <c r="U250" s="1749"/>
      <c r="V250" s="1752"/>
    </row>
    <row r="251" spans="1:22" ht="12" customHeight="1">
      <c r="A251" s="1040" t="str">
        <f t="shared" si="4"/>
        <v>3206</v>
      </c>
      <c r="B251" s="1057" t="s">
        <v>16237</v>
      </c>
      <c r="C251" s="1064"/>
      <c r="D251" s="2">
        <v>2</v>
      </c>
      <c r="E251" s="4" t="s">
        <v>4591</v>
      </c>
      <c r="F251" s="1065" t="e">
        <f>IF(E251="","$",VLOOKUP(E251,'結果(小)'!$B$2:$F$1295,5,FALSE))</f>
        <v>#DIV/0!</v>
      </c>
      <c r="G251" s="1" t="s">
        <v>4592</v>
      </c>
      <c r="H251" s="6">
        <v>35</v>
      </c>
      <c r="I251" s="2" t="s">
        <v>5</v>
      </c>
      <c r="J251" s="1" t="s">
        <v>15273</v>
      </c>
      <c r="K251" s="3"/>
      <c r="L251" s="1"/>
      <c r="M251" s="1"/>
      <c r="N251" s="8" t="s">
        <v>16128</v>
      </c>
      <c r="O251" s="1"/>
      <c r="P251" s="1" t="s">
        <v>6</v>
      </c>
      <c r="Q251" s="16"/>
      <c r="R251" s="17"/>
      <c r="S251" s="3"/>
      <c r="T251" s="1758"/>
      <c r="U251" s="1749"/>
      <c r="V251" s="1752"/>
    </row>
    <row r="252" spans="1:22" ht="12" customHeight="1">
      <c r="A252" s="1040" t="str">
        <f t="shared" si="4"/>
        <v>3206</v>
      </c>
      <c r="B252" s="1057" t="s">
        <v>16238</v>
      </c>
      <c r="C252" s="1064"/>
      <c r="D252" s="2">
        <v>2</v>
      </c>
      <c r="E252" s="4" t="s">
        <v>15974</v>
      </c>
      <c r="F252" s="1065" t="e">
        <f>IF(E252="","$",VLOOKUP(E252,'結果(小)'!$B$2:$F$1295,5,FALSE))</f>
        <v>#DIV/0!</v>
      </c>
      <c r="G252" s="1" t="s">
        <v>948</v>
      </c>
      <c r="H252" s="6">
        <v>44</v>
      </c>
      <c r="I252" s="2" t="s">
        <v>5</v>
      </c>
      <c r="J252" s="1" t="s">
        <v>15273</v>
      </c>
      <c r="K252" s="3"/>
      <c r="L252" s="1"/>
      <c r="M252" s="1"/>
      <c r="N252" s="4" t="s">
        <v>16128</v>
      </c>
      <c r="O252" s="1"/>
      <c r="P252" s="1" t="s">
        <v>6</v>
      </c>
      <c r="Q252" s="16"/>
      <c r="R252" s="17"/>
      <c r="S252" s="3" t="s">
        <v>16096</v>
      </c>
      <c r="T252" s="1758"/>
      <c r="U252" s="1749"/>
      <c r="V252" s="1752"/>
    </row>
    <row r="253" spans="1:22" ht="12" customHeight="1">
      <c r="A253" s="1040" t="str">
        <f t="shared" si="4"/>
        <v>3206</v>
      </c>
      <c r="B253" s="1057" t="s">
        <v>16239</v>
      </c>
      <c r="C253" s="1064"/>
      <c r="D253" s="2">
        <v>2</v>
      </c>
      <c r="E253" s="4" t="s">
        <v>957</v>
      </c>
      <c r="F253" s="1065" t="e">
        <f>IF(E253="","$",VLOOKUP(E253,'結果(小)'!$B$2:$F$1295,5,FALSE))</f>
        <v>#DIV/0!</v>
      </c>
      <c r="G253" s="1" t="s">
        <v>969</v>
      </c>
      <c r="H253" s="6">
        <v>49</v>
      </c>
      <c r="I253" s="2" t="s">
        <v>5</v>
      </c>
      <c r="J253" s="1" t="s">
        <v>15273</v>
      </c>
      <c r="K253" s="3"/>
      <c r="L253" s="1"/>
      <c r="M253" s="1"/>
      <c r="N253" s="4" t="s">
        <v>16128</v>
      </c>
      <c r="O253" s="1"/>
      <c r="P253" s="1" t="s">
        <v>6</v>
      </c>
      <c r="Q253" s="16"/>
      <c r="R253" s="17"/>
      <c r="S253" s="3"/>
      <c r="T253" s="1758"/>
      <c r="U253" s="1749"/>
      <c r="V253" s="1752"/>
    </row>
    <row r="254" spans="1:22" ht="12" customHeight="1" thickBot="1">
      <c r="A254" s="916" t="str">
        <f t="shared" si="4"/>
        <v>3206</v>
      </c>
      <c r="B254" s="1086" t="s">
        <v>16240</v>
      </c>
      <c r="C254" s="1075"/>
      <c r="D254" s="702">
        <v>2</v>
      </c>
      <c r="E254" s="700" t="s">
        <v>990</v>
      </c>
      <c r="F254" s="1071" t="e">
        <f>IF(E254="","$",VLOOKUP(E254,'結果(小)'!$B$2:$F$1295,5,FALSE))</f>
        <v>#DIV/0!</v>
      </c>
      <c r="G254" s="906" t="s">
        <v>1003</v>
      </c>
      <c r="H254" s="701">
        <v>43</v>
      </c>
      <c r="I254" s="702" t="s">
        <v>5</v>
      </c>
      <c r="J254" s="906" t="s">
        <v>15273</v>
      </c>
      <c r="K254" s="703"/>
      <c r="L254" s="906"/>
      <c r="M254" s="906"/>
      <c r="N254" s="700" t="s">
        <v>16128</v>
      </c>
      <c r="O254" s="906"/>
      <c r="P254" s="906" t="s">
        <v>6</v>
      </c>
      <c r="Q254" s="705"/>
      <c r="R254" s="903"/>
      <c r="S254" s="703" t="s">
        <v>6031</v>
      </c>
      <c r="T254" s="1759"/>
      <c r="U254" s="1750"/>
      <c r="V254" s="1753"/>
    </row>
    <row r="255" spans="1:22" ht="12" customHeight="1">
      <c r="A255" s="1038" t="str">
        <f t="shared" si="4"/>
        <v>3207</v>
      </c>
      <c r="B255" s="1087" t="s">
        <v>5661</v>
      </c>
      <c r="C255" s="1073"/>
      <c r="D255" s="696">
        <v>1</v>
      </c>
      <c r="E255" s="696"/>
      <c r="F255" s="1068" t="str">
        <f>IF(E255="","$",VLOOKUP(E255,'結果(小)'!$B$2:$F$1295,5,FALSE))</f>
        <v>$</v>
      </c>
      <c r="G255" s="696" t="s">
        <v>2128</v>
      </c>
      <c r="H255" s="690">
        <v>50</v>
      </c>
      <c r="I255" s="696" t="s">
        <v>5</v>
      </c>
      <c r="J255" s="696" t="s">
        <v>6067</v>
      </c>
      <c r="K255" s="715" t="s">
        <v>2129</v>
      </c>
      <c r="L255" s="696"/>
      <c r="M255" s="696"/>
      <c r="N255" s="716" t="s">
        <v>16117</v>
      </c>
      <c r="O255" s="696"/>
      <c r="P255" s="696" t="s">
        <v>25</v>
      </c>
      <c r="Q255" s="717">
        <v>4</v>
      </c>
      <c r="R255" s="718">
        <v>4</v>
      </c>
      <c r="S255" s="715"/>
      <c r="T255" s="1760"/>
      <c r="U255" s="1748"/>
      <c r="V255" s="1751" t="e">
        <f>U255/SUM(U142:U264)</f>
        <v>#DIV/0!</v>
      </c>
    </row>
    <row r="256" spans="1:22" ht="12" customHeight="1">
      <c r="A256" s="1040" t="str">
        <f t="shared" si="4"/>
        <v>3207</v>
      </c>
      <c r="B256" s="1058" t="s">
        <v>5662</v>
      </c>
      <c r="C256" s="1064"/>
      <c r="D256" s="2">
        <v>2</v>
      </c>
      <c r="E256" s="2"/>
      <c r="F256" s="1065" t="str">
        <f>IF(E256="","$",VLOOKUP(E256,'結果(小)'!$B$2:$F$1295,5,FALSE))</f>
        <v>$</v>
      </c>
      <c r="G256" s="6" t="s">
        <v>2132</v>
      </c>
      <c r="H256" s="6">
        <v>48</v>
      </c>
      <c r="I256" s="6" t="s">
        <v>19</v>
      </c>
      <c r="J256" s="2" t="s">
        <v>6067</v>
      </c>
      <c r="K256" s="12"/>
      <c r="L256" s="6"/>
      <c r="M256" s="19"/>
      <c r="N256" s="8" t="s">
        <v>16117</v>
      </c>
      <c r="O256" s="6"/>
      <c r="P256" s="6" t="s">
        <v>6</v>
      </c>
      <c r="Q256" s="13"/>
      <c r="R256" s="14"/>
      <c r="S256" s="12"/>
      <c r="T256" s="1761"/>
      <c r="U256" s="1749"/>
      <c r="V256" s="1752"/>
    </row>
    <row r="257" spans="1:22" ht="12" customHeight="1" thickBot="1">
      <c r="A257" s="916" t="str">
        <f t="shared" si="4"/>
        <v>3207</v>
      </c>
      <c r="B257" s="1088" t="s">
        <v>16241</v>
      </c>
      <c r="C257" s="1075"/>
      <c r="D257" s="702">
        <v>3</v>
      </c>
      <c r="E257" s="700" t="s">
        <v>1081</v>
      </c>
      <c r="F257" s="1071" t="e">
        <f>IF(E257="","$",VLOOKUP(E257,'結果(小)'!$B$2:$F$1295,5,FALSE))</f>
        <v>#DIV/0!</v>
      </c>
      <c r="G257" s="906" t="s">
        <v>648</v>
      </c>
      <c r="H257" s="701">
        <v>56</v>
      </c>
      <c r="I257" s="702" t="s">
        <v>19</v>
      </c>
      <c r="J257" s="906" t="s">
        <v>15273</v>
      </c>
      <c r="K257" s="703"/>
      <c r="L257" s="906"/>
      <c r="M257" s="906"/>
      <c r="N257" s="700" t="s">
        <v>16117</v>
      </c>
      <c r="O257" s="906"/>
      <c r="P257" s="906" t="s">
        <v>6</v>
      </c>
      <c r="Q257" s="705"/>
      <c r="R257" s="903"/>
      <c r="S257" s="703"/>
      <c r="T257" s="1762"/>
      <c r="U257" s="1750"/>
      <c r="V257" s="1753"/>
    </row>
    <row r="258" spans="1:22" ht="12" customHeight="1">
      <c r="A258" s="1038" t="str">
        <f t="shared" si="4"/>
        <v>3208</v>
      </c>
      <c r="B258" s="1099" t="s">
        <v>5715</v>
      </c>
      <c r="C258" s="1073"/>
      <c r="D258" s="696">
        <v>1</v>
      </c>
      <c r="E258" s="688" t="s">
        <v>595</v>
      </c>
      <c r="F258" s="1068" t="e">
        <f>IF(E258="","$",VLOOKUP(E258,'結果(小)'!$B$2:$F$1295,5,FALSE))</f>
        <v>#DIV/0!</v>
      </c>
      <c r="G258" s="687" t="s">
        <v>1437</v>
      </c>
      <c r="H258" s="690">
        <v>61</v>
      </c>
      <c r="I258" s="696" t="s">
        <v>5</v>
      </c>
      <c r="J258" s="687" t="s">
        <v>15273</v>
      </c>
      <c r="K258" s="747"/>
      <c r="L258" s="687"/>
      <c r="M258" s="687"/>
      <c r="N258" s="688" t="s">
        <v>16121</v>
      </c>
      <c r="O258" s="687"/>
      <c r="P258" s="687" t="s">
        <v>6</v>
      </c>
      <c r="Q258" s="748"/>
      <c r="R258" s="749"/>
      <c r="S258" s="747"/>
      <c r="T258" s="1745"/>
      <c r="U258" s="1748"/>
      <c r="V258" s="1751" t="e">
        <f>U258/SUM(U142:U264)</f>
        <v>#DIV/0!</v>
      </c>
    </row>
    <row r="259" spans="1:22" ht="12" customHeight="1">
      <c r="A259" s="1040" t="str">
        <f t="shared" ref="A259:A322" si="5">MIDB(B259,1,4)</f>
        <v>3208</v>
      </c>
      <c r="B259" s="1062" t="s">
        <v>16242</v>
      </c>
      <c r="C259" s="1064"/>
      <c r="D259" s="2">
        <v>1</v>
      </c>
      <c r="E259" s="4" t="s">
        <v>602</v>
      </c>
      <c r="F259" s="1065" t="e">
        <f>IF(E259="","$",VLOOKUP(E259,'結果(小)'!$B$2:$F$1295,5,FALSE))</f>
        <v>#DIV/0!</v>
      </c>
      <c r="G259" s="1" t="s">
        <v>614</v>
      </c>
      <c r="H259" s="6">
        <v>48</v>
      </c>
      <c r="I259" s="2" t="s">
        <v>5</v>
      </c>
      <c r="J259" s="1" t="s">
        <v>15273</v>
      </c>
      <c r="K259" s="3"/>
      <c r="L259" s="1"/>
      <c r="M259" s="1"/>
      <c r="N259" s="4" t="s">
        <v>16121</v>
      </c>
      <c r="O259" s="1"/>
      <c r="P259" s="1" t="s">
        <v>6</v>
      </c>
      <c r="Q259" s="16"/>
      <c r="R259" s="17"/>
      <c r="S259" s="3"/>
      <c r="T259" s="1746"/>
      <c r="U259" s="1749"/>
      <c r="V259" s="1752"/>
    </row>
    <row r="260" spans="1:22" ht="12" customHeight="1" thickBot="1">
      <c r="A260" s="916" t="str">
        <f t="shared" si="5"/>
        <v>3208</v>
      </c>
      <c r="B260" s="1100" t="s">
        <v>16243</v>
      </c>
      <c r="C260" s="1075"/>
      <c r="D260" s="702">
        <v>3</v>
      </c>
      <c r="E260" s="702"/>
      <c r="F260" s="1071" t="str">
        <f>IF(E260="","$",VLOOKUP(E260,'結果(小)'!$B$2:$F$1295,5,FALSE))</f>
        <v>$</v>
      </c>
      <c r="G260" s="701" t="s">
        <v>5716</v>
      </c>
      <c r="H260" s="701">
        <v>64</v>
      </c>
      <c r="I260" s="701" t="s">
        <v>19</v>
      </c>
      <c r="J260" s="702" t="s">
        <v>6067</v>
      </c>
      <c r="K260" s="740"/>
      <c r="L260" s="701"/>
      <c r="M260" s="741"/>
      <c r="N260" s="704" t="s">
        <v>16121</v>
      </c>
      <c r="O260" s="701"/>
      <c r="P260" s="701" t="s">
        <v>6</v>
      </c>
      <c r="Q260" s="742"/>
      <c r="R260" s="743"/>
      <c r="S260" s="740"/>
      <c r="T260" s="1747"/>
      <c r="U260" s="1750"/>
      <c r="V260" s="1753"/>
    </row>
    <row r="261" spans="1:22" ht="12" customHeight="1">
      <c r="A261" s="1038" t="str">
        <f t="shared" si="5"/>
        <v>3213</v>
      </c>
      <c r="B261" s="1093" t="s">
        <v>16311</v>
      </c>
      <c r="C261" s="1073"/>
      <c r="D261" s="696">
        <v>1</v>
      </c>
      <c r="E261" s="696"/>
      <c r="F261" s="1068" t="str">
        <f>IF(E261="","$",VLOOKUP(E261,'結果(小)'!$B$2:$F$1295,5,FALSE))</f>
        <v>$</v>
      </c>
      <c r="G261" s="690" t="s">
        <v>5101</v>
      </c>
      <c r="H261" s="690">
        <v>27</v>
      </c>
      <c r="I261" s="690" t="s">
        <v>19</v>
      </c>
      <c r="J261" s="696" t="s">
        <v>6067</v>
      </c>
      <c r="K261" s="735"/>
      <c r="L261" s="690"/>
      <c r="M261" s="736"/>
      <c r="N261" s="716" t="s">
        <v>16122</v>
      </c>
      <c r="O261" s="690" t="s">
        <v>22</v>
      </c>
      <c r="P261" s="690" t="s">
        <v>6</v>
      </c>
      <c r="Q261" s="737"/>
      <c r="R261" s="738"/>
      <c r="S261" s="735"/>
      <c r="T261" s="1754"/>
      <c r="U261" s="1748"/>
      <c r="V261" s="1751" t="e">
        <f>U261/SUM(U142:U264)</f>
        <v>#DIV/0!</v>
      </c>
    </row>
    <row r="262" spans="1:22" ht="12" customHeight="1">
      <c r="A262" s="1040" t="str">
        <f t="shared" si="5"/>
        <v>3213</v>
      </c>
      <c r="B262" s="1060" t="s">
        <v>16312</v>
      </c>
      <c r="C262" s="1064"/>
      <c r="D262" s="2">
        <v>2</v>
      </c>
      <c r="E262" s="2"/>
      <c r="F262" s="1065" t="str">
        <f>IF(E262="","$",VLOOKUP(E262,'結果(小)'!$B$2:$F$1295,5,FALSE))</f>
        <v>$</v>
      </c>
      <c r="G262" s="6" t="s">
        <v>5102</v>
      </c>
      <c r="H262" s="6">
        <v>25</v>
      </c>
      <c r="I262" s="6" t="s">
        <v>5</v>
      </c>
      <c r="J262" s="2" t="s">
        <v>6067</v>
      </c>
      <c r="K262" s="12"/>
      <c r="L262" s="6"/>
      <c r="M262" s="19"/>
      <c r="N262" s="23" t="s">
        <v>16122</v>
      </c>
      <c r="O262" s="6" t="s">
        <v>22</v>
      </c>
      <c r="P262" s="6" t="s">
        <v>6</v>
      </c>
      <c r="Q262" s="13"/>
      <c r="R262" s="14"/>
      <c r="S262" s="12"/>
      <c r="T262" s="1755"/>
      <c r="U262" s="1749"/>
      <c r="V262" s="1752"/>
    </row>
    <row r="263" spans="1:22" ht="12" customHeight="1">
      <c r="A263" s="1040" t="str">
        <f t="shared" si="5"/>
        <v>3213</v>
      </c>
      <c r="B263" s="1060" t="s">
        <v>16313</v>
      </c>
      <c r="C263" s="1064"/>
      <c r="D263" s="2">
        <v>3</v>
      </c>
      <c r="E263" s="2"/>
      <c r="F263" s="1065" t="str">
        <f>IF(E263="","$",VLOOKUP(E263,'結果(小)'!$B$2:$F$1295,5,FALSE))</f>
        <v>$</v>
      </c>
      <c r="G263" s="6" t="s">
        <v>5104</v>
      </c>
      <c r="H263" s="6">
        <v>25</v>
      </c>
      <c r="I263" s="6" t="s">
        <v>5</v>
      </c>
      <c r="J263" s="2" t="s">
        <v>6067</v>
      </c>
      <c r="K263" s="12"/>
      <c r="L263" s="6"/>
      <c r="M263" s="19"/>
      <c r="N263" s="23" t="s">
        <v>16122</v>
      </c>
      <c r="O263" s="6" t="s">
        <v>22</v>
      </c>
      <c r="P263" s="6" t="s">
        <v>6</v>
      </c>
      <c r="Q263" s="13"/>
      <c r="R263" s="14"/>
      <c r="S263" s="12"/>
      <c r="T263" s="1755"/>
      <c r="U263" s="1749"/>
      <c r="V263" s="1752"/>
    </row>
    <row r="264" spans="1:22" ht="12" customHeight="1" thickBot="1">
      <c r="A264" s="916" t="str">
        <f t="shared" si="5"/>
        <v>3213</v>
      </c>
      <c r="B264" s="1094" t="s">
        <v>16314</v>
      </c>
      <c r="C264" s="1075"/>
      <c r="D264" s="702">
        <v>4</v>
      </c>
      <c r="E264" s="702"/>
      <c r="F264" s="1071" t="str">
        <f>IF(E264="","$",VLOOKUP(E264,'結果(小)'!$B$2:$F$1295,5,FALSE))</f>
        <v>$</v>
      </c>
      <c r="G264" s="702" t="s">
        <v>4609</v>
      </c>
      <c r="H264" s="701">
        <v>64</v>
      </c>
      <c r="I264" s="702" t="s">
        <v>5</v>
      </c>
      <c r="J264" s="702" t="s">
        <v>6067</v>
      </c>
      <c r="K264" s="720"/>
      <c r="L264" s="702"/>
      <c r="M264" s="702"/>
      <c r="N264" s="770" t="s">
        <v>16122</v>
      </c>
      <c r="O264" s="702" t="s">
        <v>22</v>
      </c>
      <c r="P264" s="702" t="s">
        <v>6</v>
      </c>
      <c r="Q264" s="721"/>
      <c r="R264" s="722"/>
      <c r="S264" s="720"/>
      <c r="T264" s="1756"/>
      <c r="U264" s="1750"/>
      <c r="V264" s="1753"/>
    </row>
    <row r="265" spans="1:22" ht="12" customHeight="1">
      <c r="A265" s="1038" t="str">
        <f t="shared" si="5"/>
        <v>3301</v>
      </c>
      <c r="B265" s="1095" t="s">
        <v>15735</v>
      </c>
      <c r="C265" s="1073"/>
      <c r="D265" s="696">
        <v>1</v>
      </c>
      <c r="E265" s="688" t="s">
        <v>1006</v>
      </c>
      <c r="F265" s="1068" t="e">
        <f>IF(E265="","$",VLOOKUP(E265,'結果(小)'!$B$2:$F$1295,5,FALSE))</f>
        <v>#DIV/0!</v>
      </c>
      <c r="G265" s="687" t="s">
        <v>1013</v>
      </c>
      <c r="H265" s="690">
        <v>51</v>
      </c>
      <c r="I265" s="696" t="s">
        <v>5</v>
      </c>
      <c r="J265" s="689" t="s">
        <v>15273</v>
      </c>
      <c r="K265" s="747" t="s">
        <v>1014</v>
      </c>
      <c r="L265" s="687"/>
      <c r="M265" s="687"/>
      <c r="N265" s="692" t="s">
        <v>16126</v>
      </c>
      <c r="O265" s="687" t="s">
        <v>44</v>
      </c>
      <c r="P265" s="687" t="s">
        <v>25</v>
      </c>
      <c r="Q265" s="748">
        <v>3</v>
      </c>
      <c r="R265" s="749">
        <v>3</v>
      </c>
      <c r="S265" s="747" t="s">
        <v>736</v>
      </c>
      <c r="T265" s="1777"/>
      <c r="U265" s="1775"/>
      <c r="V265" s="1751" t="e">
        <f>U265/SUM(U265:U403)</f>
        <v>#DIV/0!</v>
      </c>
    </row>
    <row r="266" spans="1:22" ht="12" customHeight="1">
      <c r="A266" s="1040" t="str">
        <f t="shared" si="5"/>
        <v>3301</v>
      </c>
      <c r="B266" s="1061" t="s">
        <v>15736</v>
      </c>
      <c r="C266" s="1064"/>
      <c r="D266" s="2">
        <v>1</v>
      </c>
      <c r="E266" s="4" t="s">
        <v>1024</v>
      </c>
      <c r="F266" s="1065" t="e">
        <f>IF(E266="","$",VLOOKUP(E266,'結果(小)'!$B$2:$F$1295,5,FALSE))</f>
        <v>#DIV/0!</v>
      </c>
      <c r="G266" s="1" t="s">
        <v>5824</v>
      </c>
      <c r="H266" s="6">
        <v>53</v>
      </c>
      <c r="I266" s="2" t="s">
        <v>5</v>
      </c>
      <c r="J266" s="5" t="s">
        <v>15273</v>
      </c>
      <c r="K266" s="3"/>
      <c r="L266" s="1"/>
      <c r="M266" s="1"/>
      <c r="N266" s="8" t="s">
        <v>16127</v>
      </c>
      <c r="O266" s="1" t="s">
        <v>44</v>
      </c>
      <c r="P266" s="1" t="s">
        <v>6</v>
      </c>
      <c r="Q266" s="16"/>
      <c r="R266" s="17"/>
      <c r="S266" s="3" t="s">
        <v>736</v>
      </c>
      <c r="T266" s="1778"/>
      <c r="U266" s="1780"/>
      <c r="V266" s="1752"/>
    </row>
    <row r="267" spans="1:22" ht="12" customHeight="1">
      <c r="A267" s="1040" t="str">
        <f t="shared" si="5"/>
        <v>3301</v>
      </c>
      <c r="B267" s="1061" t="s">
        <v>15737</v>
      </c>
      <c r="C267" s="1064"/>
      <c r="D267" s="2">
        <v>1</v>
      </c>
      <c r="E267" s="4" t="s">
        <v>1039</v>
      </c>
      <c r="F267" s="1065" t="e">
        <f>IF(E267="","$",VLOOKUP(E267,'結果(小)'!$B$2:$F$1295,5,FALSE))</f>
        <v>#DIV/0!</v>
      </c>
      <c r="G267" s="1" t="s">
        <v>1441</v>
      </c>
      <c r="H267" s="6">
        <v>30</v>
      </c>
      <c r="I267" s="2" t="s">
        <v>19</v>
      </c>
      <c r="J267" s="5" t="s">
        <v>15273</v>
      </c>
      <c r="K267" s="3"/>
      <c r="L267" s="1"/>
      <c r="M267" s="1"/>
      <c r="N267" s="8" t="s">
        <v>16127</v>
      </c>
      <c r="O267" s="1" t="s">
        <v>44</v>
      </c>
      <c r="P267" s="1" t="s">
        <v>6</v>
      </c>
      <c r="Q267" s="16"/>
      <c r="R267" s="17"/>
      <c r="S267" s="3" t="s">
        <v>736</v>
      </c>
      <c r="T267" s="1778"/>
      <c r="U267" s="1780"/>
      <c r="V267" s="1752"/>
    </row>
    <row r="268" spans="1:22" ht="12" customHeight="1">
      <c r="A268" s="1040" t="str">
        <f t="shared" si="5"/>
        <v>3301</v>
      </c>
      <c r="B268" s="1061" t="s">
        <v>15738</v>
      </c>
      <c r="C268" s="1064"/>
      <c r="D268" s="2">
        <v>1</v>
      </c>
      <c r="E268" s="4" t="s">
        <v>1057</v>
      </c>
      <c r="F268" s="1065" t="e">
        <f>IF(E268="","$",VLOOKUP(E268,'結果(小)'!$B$2:$F$1295,5,FALSE))</f>
        <v>#DIV/0!</v>
      </c>
      <c r="G268" s="1" t="s">
        <v>1061</v>
      </c>
      <c r="H268" s="6">
        <v>55</v>
      </c>
      <c r="I268" s="2" t="s">
        <v>5</v>
      </c>
      <c r="J268" s="5" t="s">
        <v>15273</v>
      </c>
      <c r="K268" s="3" t="s">
        <v>1062</v>
      </c>
      <c r="L268" s="1"/>
      <c r="M268" s="1"/>
      <c r="N268" s="8" t="s">
        <v>16127</v>
      </c>
      <c r="O268" s="1" t="s">
        <v>604</v>
      </c>
      <c r="P268" s="1" t="s">
        <v>25</v>
      </c>
      <c r="Q268" s="16">
        <v>5</v>
      </c>
      <c r="R268" s="17">
        <v>5</v>
      </c>
      <c r="S268" s="3" t="s">
        <v>736</v>
      </c>
      <c r="T268" s="1778"/>
      <c r="U268" s="1780"/>
      <c r="V268" s="1752"/>
    </row>
    <row r="269" spans="1:22" ht="12" customHeight="1">
      <c r="A269" s="1040" t="str">
        <f t="shared" si="5"/>
        <v>3301</v>
      </c>
      <c r="B269" s="1061" t="s">
        <v>15739</v>
      </c>
      <c r="C269" s="1064"/>
      <c r="D269" s="2">
        <v>1</v>
      </c>
      <c r="E269" s="4" t="s">
        <v>1083</v>
      </c>
      <c r="F269" s="1065" t="e">
        <f>IF(E269="","$",VLOOKUP(E269,'結果(小)'!$B$2:$F$1295,5,FALSE))</f>
        <v>#DIV/0!</v>
      </c>
      <c r="G269" s="1" t="s">
        <v>1087</v>
      </c>
      <c r="H269" s="6">
        <v>38</v>
      </c>
      <c r="I269" s="2" t="s">
        <v>5</v>
      </c>
      <c r="J269" s="5" t="s">
        <v>15273</v>
      </c>
      <c r="K269" s="3" t="s">
        <v>1088</v>
      </c>
      <c r="L269" s="1"/>
      <c r="M269" s="1"/>
      <c r="N269" s="4" t="s">
        <v>16127</v>
      </c>
      <c r="O269" s="1" t="s">
        <v>44</v>
      </c>
      <c r="P269" s="1" t="s">
        <v>25</v>
      </c>
      <c r="Q269" s="16">
        <v>2</v>
      </c>
      <c r="R269" s="17">
        <v>2</v>
      </c>
      <c r="S269" s="3" t="s">
        <v>736</v>
      </c>
      <c r="T269" s="1778"/>
      <c r="U269" s="1780"/>
      <c r="V269" s="1752"/>
    </row>
    <row r="270" spans="1:22" ht="12" customHeight="1">
      <c r="A270" s="1040" t="str">
        <f t="shared" si="5"/>
        <v>3301</v>
      </c>
      <c r="B270" s="1061" t="s">
        <v>15740</v>
      </c>
      <c r="C270" s="1064"/>
      <c r="D270" s="2">
        <v>1</v>
      </c>
      <c r="E270" s="4" t="s">
        <v>1100</v>
      </c>
      <c r="F270" s="1065" t="e">
        <f>IF(E270="","$",VLOOKUP(E270,'結果(小)'!$B$2:$F$1295,5,FALSE))</f>
        <v>#DIV/0!</v>
      </c>
      <c r="G270" s="1" t="s">
        <v>1104</v>
      </c>
      <c r="H270" s="6">
        <v>65</v>
      </c>
      <c r="I270" s="2" t="s">
        <v>5</v>
      </c>
      <c r="J270" s="5" t="s">
        <v>15273</v>
      </c>
      <c r="K270" s="3" t="s">
        <v>1105</v>
      </c>
      <c r="L270" s="1"/>
      <c r="M270" s="1"/>
      <c r="N270" s="8" t="s">
        <v>16126</v>
      </c>
      <c r="O270" s="1" t="s">
        <v>655</v>
      </c>
      <c r="P270" s="1" t="s">
        <v>25</v>
      </c>
      <c r="Q270" s="16">
        <v>4</v>
      </c>
      <c r="R270" s="17">
        <v>4</v>
      </c>
      <c r="S270" s="3" t="s">
        <v>736</v>
      </c>
      <c r="T270" s="1778"/>
      <c r="U270" s="1780"/>
      <c r="V270" s="1752"/>
    </row>
    <row r="271" spans="1:22" ht="12" customHeight="1">
      <c r="A271" s="1040" t="str">
        <f t="shared" si="5"/>
        <v>3301</v>
      </c>
      <c r="B271" s="1061" t="s">
        <v>15741</v>
      </c>
      <c r="C271" s="1064"/>
      <c r="D271" s="2">
        <v>1</v>
      </c>
      <c r="E271" s="4" t="s">
        <v>1119</v>
      </c>
      <c r="F271" s="1065" t="e">
        <f>IF(E271="","$",VLOOKUP(E271,'結果(小)'!$B$2:$F$1295,5,FALSE))</f>
        <v>#DIV/0!</v>
      </c>
      <c r="G271" s="1" t="s">
        <v>5176</v>
      </c>
      <c r="H271" s="6">
        <v>57</v>
      </c>
      <c r="I271" s="2" t="s">
        <v>5</v>
      </c>
      <c r="J271" s="5" t="s">
        <v>15273</v>
      </c>
      <c r="K271" s="3"/>
      <c r="L271" s="1"/>
      <c r="M271" s="1"/>
      <c r="N271" s="8" t="s">
        <v>16127</v>
      </c>
      <c r="O271" s="1" t="s">
        <v>44</v>
      </c>
      <c r="P271" s="1" t="s">
        <v>6</v>
      </c>
      <c r="Q271" s="16"/>
      <c r="R271" s="17"/>
      <c r="S271" s="3"/>
      <c r="T271" s="1778"/>
      <c r="U271" s="1780"/>
      <c r="V271" s="1752"/>
    </row>
    <row r="272" spans="1:22" ht="12" customHeight="1">
      <c r="A272" s="1040" t="str">
        <f t="shared" si="5"/>
        <v>3301</v>
      </c>
      <c r="B272" s="1061" t="s">
        <v>15742</v>
      </c>
      <c r="C272" s="1064"/>
      <c r="D272" s="2">
        <v>1</v>
      </c>
      <c r="E272" s="4" t="s">
        <v>1134</v>
      </c>
      <c r="F272" s="1065" t="e">
        <f>IF(E272="","$",VLOOKUP(E272,'結果(小)'!$B$2:$F$1295,5,FALSE))</f>
        <v>#DIV/0!</v>
      </c>
      <c r="G272" s="1" t="s">
        <v>1138</v>
      </c>
      <c r="H272" s="6">
        <v>69</v>
      </c>
      <c r="I272" s="2" t="s">
        <v>5</v>
      </c>
      <c r="J272" s="5" t="s">
        <v>15273</v>
      </c>
      <c r="K272" s="3" t="s">
        <v>1139</v>
      </c>
      <c r="L272" s="1"/>
      <c r="M272" s="1"/>
      <c r="N272" s="8" t="s">
        <v>16127</v>
      </c>
      <c r="O272" s="1" t="s">
        <v>604</v>
      </c>
      <c r="P272" s="1" t="s">
        <v>25</v>
      </c>
      <c r="Q272" s="16">
        <v>4</v>
      </c>
      <c r="R272" s="17">
        <v>4</v>
      </c>
      <c r="S272" s="3" t="s">
        <v>736</v>
      </c>
      <c r="T272" s="1778"/>
      <c r="U272" s="1780"/>
      <c r="V272" s="1752"/>
    </row>
    <row r="273" spans="1:22" ht="12" customHeight="1">
      <c r="A273" s="1040" t="str">
        <f t="shared" si="5"/>
        <v>3301</v>
      </c>
      <c r="B273" s="1061" t="s">
        <v>15743</v>
      </c>
      <c r="C273" s="1064"/>
      <c r="D273" s="2">
        <v>1</v>
      </c>
      <c r="E273" s="4" t="s">
        <v>1153</v>
      </c>
      <c r="F273" s="1065" t="e">
        <f>IF(E273="","$",VLOOKUP(E273,'結果(小)'!$B$2:$F$1295,5,FALSE))</f>
        <v>#DIV/0!</v>
      </c>
      <c r="G273" s="1" t="s">
        <v>1156</v>
      </c>
      <c r="H273" s="6">
        <v>48</v>
      </c>
      <c r="I273" s="2" t="s">
        <v>5</v>
      </c>
      <c r="J273" s="5" t="s">
        <v>15273</v>
      </c>
      <c r="K273" s="3" t="s">
        <v>1157</v>
      </c>
      <c r="L273" s="1"/>
      <c r="M273" s="1"/>
      <c r="N273" s="8" t="s">
        <v>16127</v>
      </c>
      <c r="O273" s="1" t="s">
        <v>44</v>
      </c>
      <c r="P273" s="1" t="s">
        <v>25</v>
      </c>
      <c r="Q273" s="16">
        <v>1</v>
      </c>
      <c r="R273" s="17">
        <v>1</v>
      </c>
      <c r="S273" s="3" t="s">
        <v>736</v>
      </c>
      <c r="T273" s="1778"/>
      <c r="U273" s="1780"/>
      <c r="V273" s="1752"/>
    </row>
    <row r="274" spans="1:22" ht="12" customHeight="1">
      <c r="A274" s="1040" t="str">
        <f t="shared" si="5"/>
        <v>3301</v>
      </c>
      <c r="B274" s="1061" t="s">
        <v>15744</v>
      </c>
      <c r="C274" s="1064"/>
      <c r="D274" s="2">
        <v>1</v>
      </c>
      <c r="E274" s="4" t="s">
        <v>1172</v>
      </c>
      <c r="F274" s="1065" t="e">
        <f>IF(E274="","$",VLOOKUP(E274,'結果(小)'!$B$2:$F$1295,5,FALSE))</f>
        <v>#DIV/0!</v>
      </c>
      <c r="G274" s="1" t="s">
        <v>1175</v>
      </c>
      <c r="H274" s="6">
        <v>49</v>
      </c>
      <c r="I274" s="2" t="s">
        <v>5</v>
      </c>
      <c r="J274" s="5" t="s">
        <v>15273</v>
      </c>
      <c r="K274" s="3" t="s">
        <v>1176</v>
      </c>
      <c r="L274" s="1"/>
      <c r="M274" s="1"/>
      <c r="N274" s="4" t="s">
        <v>16127</v>
      </c>
      <c r="O274" s="1" t="s">
        <v>44</v>
      </c>
      <c r="P274" s="1" t="s">
        <v>25</v>
      </c>
      <c r="Q274" s="16">
        <v>1</v>
      </c>
      <c r="R274" s="17">
        <v>1</v>
      </c>
      <c r="S274" s="3"/>
      <c r="T274" s="1778"/>
      <c r="U274" s="1780"/>
      <c r="V274" s="1752"/>
    </row>
    <row r="275" spans="1:22" ht="12" customHeight="1">
      <c r="A275" s="1040" t="str">
        <f t="shared" si="5"/>
        <v>3301</v>
      </c>
      <c r="B275" s="1061" t="s">
        <v>15745</v>
      </c>
      <c r="C275" s="1064"/>
      <c r="D275" s="2">
        <v>1</v>
      </c>
      <c r="E275" s="4" t="s">
        <v>1214</v>
      </c>
      <c r="F275" s="1065" t="e">
        <f>IF(E275="","$",VLOOKUP(E275,'結果(小)'!$B$2:$F$1295,5,FALSE))</f>
        <v>#DIV/0!</v>
      </c>
      <c r="G275" s="1" t="s">
        <v>1218</v>
      </c>
      <c r="H275" s="6">
        <v>66</v>
      </c>
      <c r="I275" s="2" t="s">
        <v>5</v>
      </c>
      <c r="J275" s="5" t="s">
        <v>15273</v>
      </c>
      <c r="K275" s="3" t="s">
        <v>1219</v>
      </c>
      <c r="L275" s="1"/>
      <c r="M275" s="1"/>
      <c r="N275" s="8" t="s">
        <v>16126</v>
      </c>
      <c r="O275" s="1" t="s">
        <v>44</v>
      </c>
      <c r="P275" s="1" t="s">
        <v>25</v>
      </c>
      <c r="Q275" s="16">
        <v>2</v>
      </c>
      <c r="R275" s="17">
        <v>2</v>
      </c>
      <c r="S275" s="3" t="s">
        <v>736</v>
      </c>
      <c r="T275" s="1778"/>
      <c r="U275" s="1780"/>
      <c r="V275" s="1752"/>
    </row>
    <row r="276" spans="1:22" ht="12" customHeight="1">
      <c r="A276" s="1040" t="str">
        <f t="shared" si="5"/>
        <v>3301</v>
      </c>
      <c r="B276" s="1061" t="s">
        <v>15746</v>
      </c>
      <c r="C276" s="1064"/>
      <c r="D276" s="2">
        <v>1</v>
      </c>
      <c r="E276" s="4" t="s">
        <v>1226</v>
      </c>
      <c r="F276" s="1065" t="e">
        <f>IF(E276="","$",VLOOKUP(E276,'結果(小)'!$B$2:$F$1295,5,FALSE))</f>
        <v>#DIV/0!</v>
      </c>
      <c r="G276" s="1" t="s">
        <v>1230</v>
      </c>
      <c r="H276" s="6">
        <v>52</v>
      </c>
      <c r="I276" s="2" t="s">
        <v>19</v>
      </c>
      <c r="J276" s="5" t="s">
        <v>15273</v>
      </c>
      <c r="K276" s="3" t="s">
        <v>1231</v>
      </c>
      <c r="L276" s="1"/>
      <c r="M276" s="1"/>
      <c r="N276" s="8" t="s">
        <v>16127</v>
      </c>
      <c r="O276" s="1" t="s">
        <v>44</v>
      </c>
      <c r="P276" s="1" t="s">
        <v>25</v>
      </c>
      <c r="Q276" s="16">
        <v>1</v>
      </c>
      <c r="R276" s="17">
        <v>1</v>
      </c>
      <c r="S276" s="3" t="s">
        <v>736</v>
      </c>
      <c r="T276" s="1778"/>
      <c r="U276" s="1780"/>
      <c r="V276" s="1752"/>
    </row>
    <row r="277" spans="1:22" ht="12" customHeight="1">
      <c r="A277" s="1040" t="str">
        <f t="shared" si="5"/>
        <v>3301</v>
      </c>
      <c r="B277" s="1061" t="s">
        <v>15747</v>
      </c>
      <c r="C277" s="1064"/>
      <c r="D277" s="2">
        <v>1</v>
      </c>
      <c r="E277" s="4" t="s">
        <v>1244</v>
      </c>
      <c r="F277" s="1065" t="e">
        <f>IF(E277="","$",VLOOKUP(E277,'結果(小)'!$B$2:$F$1295,5,FALSE))</f>
        <v>#DIV/0!</v>
      </c>
      <c r="G277" s="1" t="s">
        <v>1247</v>
      </c>
      <c r="H277" s="6">
        <v>37</v>
      </c>
      <c r="I277" s="2" t="s">
        <v>5</v>
      </c>
      <c r="J277" s="5" t="s">
        <v>15273</v>
      </c>
      <c r="K277" s="3" t="s">
        <v>1248</v>
      </c>
      <c r="L277" s="1"/>
      <c r="M277" s="1"/>
      <c r="N277" s="8" t="s">
        <v>16127</v>
      </c>
      <c r="O277" s="1" t="s">
        <v>44</v>
      </c>
      <c r="P277" s="1" t="s">
        <v>25</v>
      </c>
      <c r="Q277" s="16">
        <v>1</v>
      </c>
      <c r="R277" s="17">
        <v>1</v>
      </c>
      <c r="S277" s="3" t="s">
        <v>736</v>
      </c>
      <c r="T277" s="1778"/>
      <c r="U277" s="1780"/>
      <c r="V277" s="1752"/>
    </row>
    <row r="278" spans="1:22" ht="12" customHeight="1">
      <c r="A278" s="1040" t="str">
        <f t="shared" si="5"/>
        <v>3301</v>
      </c>
      <c r="B278" s="1061" t="s">
        <v>15748</v>
      </c>
      <c r="C278" s="1064"/>
      <c r="D278" s="2">
        <v>1</v>
      </c>
      <c r="E278" s="4" t="s">
        <v>1259</v>
      </c>
      <c r="F278" s="1065" t="e">
        <f>IF(E278="","$",VLOOKUP(E278,'結果(小)'!$B$2:$F$1295,5,FALSE))</f>
        <v>#DIV/0!</v>
      </c>
      <c r="G278" s="1" t="s">
        <v>1546</v>
      </c>
      <c r="H278" s="6">
        <v>50</v>
      </c>
      <c r="I278" s="2" t="s">
        <v>5</v>
      </c>
      <c r="J278" s="5" t="s">
        <v>15273</v>
      </c>
      <c r="K278" s="3" t="s">
        <v>4407</v>
      </c>
      <c r="L278" s="1"/>
      <c r="M278" s="1"/>
      <c r="N278" s="8" t="s">
        <v>16127</v>
      </c>
      <c r="O278" s="1" t="s">
        <v>655</v>
      </c>
      <c r="P278" s="1" t="s">
        <v>25</v>
      </c>
      <c r="Q278" s="16">
        <v>1</v>
      </c>
      <c r="R278" s="17">
        <v>1</v>
      </c>
      <c r="S278" s="3" t="s">
        <v>736</v>
      </c>
      <c r="T278" s="1778"/>
      <c r="U278" s="1780"/>
      <c r="V278" s="1752"/>
    </row>
    <row r="279" spans="1:22" ht="12" customHeight="1">
      <c r="A279" s="1040" t="str">
        <f t="shared" si="5"/>
        <v>3301</v>
      </c>
      <c r="B279" s="1061" t="s">
        <v>15749</v>
      </c>
      <c r="C279" s="1064"/>
      <c r="D279" s="2">
        <v>1</v>
      </c>
      <c r="E279" s="4" t="s">
        <v>1277</v>
      </c>
      <c r="F279" s="1065" t="e">
        <f>IF(E279="","$",VLOOKUP(E279,'結果(小)'!$B$2:$F$1295,5,FALSE))</f>
        <v>#DIV/0!</v>
      </c>
      <c r="G279" s="1" t="s">
        <v>5325</v>
      </c>
      <c r="H279" s="6">
        <v>42</v>
      </c>
      <c r="I279" s="2" t="s">
        <v>5</v>
      </c>
      <c r="J279" s="5" t="s">
        <v>15273</v>
      </c>
      <c r="K279" s="3"/>
      <c r="L279" s="1"/>
      <c r="M279" s="1"/>
      <c r="N279" s="4" t="s">
        <v>16127</v>
      </c>
      <c r="O279" s="1" t="s">
        <v>44</v>
      </c>
      <c r="P279" s="1" t="s">
        <v>6</v>
      </c>
      <c r="Q279" s="16"/>
      <c r="R279" s="17"/>
      <c r="S279" s="3" t="s">
        <v>736</v>
      </c>
      <c r="T279" s="1778"/>
      <c r="U279" s="1780"/>
      <c r="V279" s="1752"/>
    </row>
    <row r="280" spans="1:22" ht="12" customHeight="1">
      <c r="A280" s="1040" t="str">
        <f t="shared" si="5"/>
        <v>3301</v>
      </c>
      <c r="B280" s="1061" t="s">
        <v>15750</v>
      </c>
      <c r="C280" s="1064"/>
      <c r="D280" s="2">
        <v>1</v>
      </c>
      <c r="E280" s="4" t="s">
        <v>1377</v>
      </c>
      <c r="F280" s="1065" t="e">
        <f>IF(E280="","$",VLOOKUP(E280,'結果(小)'!$B$2:$F$1295,5,FALSE))</f>
        <v>#DIV/0!</v>
      </c>
      <c r="G280" s="1" t="s">
        <v>1380</v>
      </c>
      <c r="H280" s="6">
        <v>74</v>
      </c>
      <c r="I280" s="2" t="s">
        <v>5</v>
      </c>
      <c r="J280" s="5" t="s">
        <v>15273</v>
      </c>
      <c r="K280" s="3" t="s">
        <v>1381</v>
      </c>
      <c r="L280" s="1"/>
      <c r="M280" s="1"/>
      <c r="N280" s="8" t="s">
        <v>16126</v>
      </c>
      <c r="O280" s="1" t="s">
        <v>681</v>
      </c>
      <c r="P280" s="1" t="s">
        <v>25</v>
      </c>
      <c r="Q280" s="16">
        <v>6</v>
      </c>
      <c r="R280" s="17">
        <v>6</v>
      </c>
      <c r="S280" s="3" t="s">
        <v>736</v>
      </c>
      <c r="T280" s="1778"/>
      <c r="U280" s="1780"/>
      <c r="V280" s="1752"/>
    </row>
    <row r="281" spans="1:22" ht="12" customHeight="1">
      <c r="A281" s="1040" t="str">
        <f t="shared" si="5"/>
        <v>3301</v>
      </c>
      <c r="B281" s="1061" t="s">
        <v>15751</v>
      </c>
      <c r="C281" s="1064"/>
      <c r="D281" s="2">
        <v>1</v>
      </c>
      <c r="E281" s="4" t="s">
        <v>1393</v>
      </c>
      <c r="F281" s="1065" t="e">
        <f>IF(E281="","$",VLOOKUP(E281,'結果(小)'!$B$2:$F$1295,5,FALSE))</f>
        <v>#DIV/0!</v>
      </c>
      <c r="G281" s="1" t="s">
        <v>1397</v>
      </c>
      <c r="H281" s="6">
        <v>71</v>
      </c>
      <c r="I281" s="2" t="s">
        <v>5</v>
      </c>
      <c r="J281" s="5" t="s">
        <v>15273</v>
      </c>
      <c r="K281" s="3" t="s">
        <v>1398</v>
      </c>
      <c r="L281" s="1"/>
      <c r="M281" s="1"/>
      <c r="N281" s="8" t="s">
        <v>16127</v>
      </c>
      <c r="O281" s="1" t="s">
        <v>45</v>
      </c>
      <c r="P281" s="1" t="s">
        <v>25</v>
      </c>
      <c r="Q281" s="16">
        <v>6</v>
      </c>
      <c r="R281" s="17">
        <v>6</v>
      </c>
      <c r="S281" s="3"/>
      <c r="T281" s="1778"/>
      <c r="U281" s="1780"/>
      <c r="V281" s="1752"/>
    </row>
    <row r="282" spans="1:22" ht="12" customHeight="1">
      <c r="A282" s="1040" t="str">
        <f t="shared" si="5"/>
        <v>3301</v>
      </c>
      <c r="B282" s="1061" t="s">
        <v>15752</v>
      </c>
      <c r="C282" s="1064"/>
      <c r="D282" s="2">
        <v>1</v>
      </c>
      <c r="E282" s="4" t="s">
        <v>1407</v>
      </c>
      <c r="F282" s="1065" t="e">
        <f>IF(E282="","$",VLOOKUP(E282,'結果(小)'!$B$2:$F$1295,5,FALSE))</f>
        <v>#DIV/0!</v>
      </c>
      <c r="G282" s="1" t="s">
        <v>1411</v>
      </c>
      <c r="H282" s="6">
        <v>67</v>
      </c>
      <c r="I282" s="2" t="s">
        <v>5</v>
      </c>
      <c r="J282" s="5" t="s">
        <v>15273</v>
      </c>
      <c r="K282" s="3" t="s">
        <v>1412</v>
      </c>
      <c r="L282" s="1"/>
      <c r="M282" s="1"/>
      <c r="N282" s="8" t="s">
        <v>16127</v>
      </c>
      <c r="O282" s="1" t="s">
        <v>44</v>
      </c>
      <c r="P282" s="1" t="s">
        <v>25</v>
      </c>
      <c r="Q282" s="16">
        <v>3</v>
      </c>
      <c r="R282" s="17">
        <v>3</v>
      </c>
      <c r="S282" s="3" t="s">
        <v>736</v>
      </c>
      <c r="T282" s="1778"/>
      <c r="U282" s="1780"/>
      <c r="V282" s="1752"/>
    </row>
    <row r="283" spans="1:22" ht="12" customHeight="1">
      <c r="A283" s="1040" t="str">
        <f t="shared" si="5"/>
        <v>3301</v>
      </c>
      <c r="B283" s="1061" t="s">
        <v>15753</v>
      </c>
      <c r="C283" s="1064"/>
      <c r="D283" s="2">
        <v>1</v>
      </c>
      <c r="E283" s="4" t="s">
        <v>1422</v>
      </c>
      <c r="F283" s="1065" t="e">
        <f>IF(E283="","$",VLOOKUP(E283,'結果(小)'!$B$2:$F$1295,5,FALSE))</f>
        <v>#DIV/0!</v>
      </c>
      <c r="G283" s="1" t="s">
        <v>5219</v>
      </c>
      <c r="H283" s="6">
        <v>53</v>
      </c>
      <c r="I283" s="2" t="s">
        <v>19</v>
      </c>
      <c r="J283" s="5" t="s">
        <v>15273</v>
      </c>
      <c r="K283" s="3"/>
      <c r="L283" s="1"/>
      <c r="M283" s="1"/>
      <c r="N283" s="8" t="s">
        <v>16127</v>
      </c>
      <c r="O283" s="1" t="s">
        <v>44</v>
      </c>
      <c r="P283" s="1" t="s">
        <v>6</v>
      </c>
      <c r="Q283" s="16"/>
      <c r="R283" s="17"/>
      <c r="S283" s="3" t="s">
        <v>736</v>
      </c>
      <c r="T283" s="1778"/>
      <c r="U283" s="1780"/>
      <c r="V283" s="1752"/>
    </row>
    <row r="284" spans="1:22" ht="12" customHeight="1">
      <c r="A284" s="1040" t="str">
        <f t="shared" si="5"/>
        <v>3301</v>
      </c>
      <c r="B284" s="1061" t="s">
        <v>15754</v>
      </c>
      <c r="C284" s="1064"/>
      <c r="D284" s="2">
        <v>1</v>
      </c>
      <c r="E284" s="4" t="s">
        <v>1442</v>
      </c>
      <c r="F284" s="1065" t="e">
        <f>IF(E284="","$",VLOOKUP(E284,'結果(小)'!$B$2:$F$1295,5,FALSE))</f>
        <v>#DIV/0!</v>
      </c>
      <c r="G284" s="1" t="s">
        <v>1446</v>
      </c>
      <c r="H284" s="6">
        <v>47</v>
      </c>
      <c r="I284" s="2" t="s">
        <v>5</v>
      </c>
      <c r="J284" s="5" t="s">
        <v>15273</v>
      </c>
      <c r="K284" s="3" t="s">
        <v>1447</v>
      </c>
      <c r="L284" s="1"/>
      <c r="M284" s="1"/>
      <c r="N284" s="4" t="s">
        <v>16127</v>
      </c>
      <c r="O284" s="1" t="s">
        <v>44</v>
      </c>
      <c r="P284" s="1" t="s">
        <v>25</v>
      </c>
      <c r="Q284" s="16">
        <v>3</v>
      </c>
      <c r="R284" s="17">
        <v>3</v>
      </c>
      <c r="S284" s="3" t="s">
        <v>736</v>
      </c>
      <c r="T284" s="1778"/>
      <c r="U284" s="1780"/>
      <c r="V284" s="1752"/>
    </row>
    <row r="285" spans="1:22" ht="12" customHeight="1">
      <c r="A285" s="1040" t="str">
        <f t="shared" si="5"/>
        <v>3301</v>
      </c>
      <c r="B285" s="1061" t="s">
        <v>15755</v>
      </c>
      <c r="C285" s="1064"/>
      <c r="D285" s="2">
        <v>1</v>
      </c>
      <c r="E285" s="4" t="s">
        <v>1459</v>
      </c>
      <c r="F285" s="1065" t="e">
        <f>IF(E285="","$",VLOOKUP(E285,'結果(小)'!$B$2:$F$1295,5,FALSE))</f>
        <v>#DIV/0!</v>
      </c>
      <c r="G285" s="1" t="s">
        <v>1463</v>
      </c>
      <c r="H285" s="6">
        <v>65</v>
      </c>
      <c r="I285" s="2" t="s">
        <v>5</v>
      </c>
      <c r="J285" s="5" t="s">
        <v>15273</v>
      </c>
      <c r="K285" s="3" t="s">
        <v>1458</v>
      </c>
      <c r="L285" s="1"/>
      <c r="M285" s="1"/>
      <c r="N285" s="8" t="s">
        <v>16126</v>
      </c>
      <c r="O285" s="1" t="s">
        <v>681</v>
      </c>
      <c r="P285" s="1" t="s">
        <v>25</v>
      </c>
      <c r="Q285" s="16">
        <v>4</v>
      </c>
      <c r="R285" s="17">
        <v>4</v>
      </c>
      <c r="S285" s="3" t="s">
        <v>736</v>
      </c>
      <c r="T285" s="1778"/>
      <c r="U285" s="1780"/>
      <c r="V285" s="1752"/>
    </row>
    <row r="286" spans="1:22" ht="12" customHeight="1">
      <c r="A286" s="1040" t="str">
        <f t="shared" si="5"/>
        <v>3301</v>
      </c>
      <c r="B286" s="1061" t="s">
        <v>15756</v>
      </c>
      <c r="C286" s="1064"/>
      <c r="D286" s="2">
        <v>1</v>
      </c>
      <c r="E286" s="4" t="s">
        <v>1476</v>
      </c>
      <c r="F286" s="1065" t="e">
        <f>IF(E286="","$",VLOOKUP(E286,'結果(小)'!$B$2:$F$1295,5,FALSE))</f>
        <v>#DIV/0!</v>
      </c>
      <c r="G286" s="1" t="s">
        <v>4411</v>
      </c>
      <c r="H286" s="6">
        <v>30</v>
      </c>
      <c r="I286" s="2" t="s">
        <v>5</v>
      </c>
      <c r="J286" s="5" t="s">
        <v>15273</v>
      </c>
      <c r="K286" s="3"/>
      <c r="L286" s="1"/>
      <c r="M286" s="1"/>
      <c r="N286" s="8" t="s">
        <v>16127</v>
      </c>
      <c r="O286" s="1" t="s">
        <v>44</v>
      </c>
      <c r="P286" s="1" t="s">
        <v>6</v>
      </c>
      <c r="Q286" s="16"/>
      <c r="R286" s="17"/>
      <c r="S286" s="3" t="s">
        <v>736</v>
      </c>
      <c r="T286" s="1778"/>
      <c r="U286" s="1780"/>
      <c r="V286" s="1752"/>
    </row>
    <row r="287" spans="1:22" ht="12" customHeight="1">
      <c r="A287" s="1040" t="str">
        <f t="shared" si="5"/>
        <v>3301</v>
      </c>
      <c r="B287" s="1061" t="s">
        <v>15757</v>
      </c>
      <c r="C287" s="1064"/>
      <c r="D287" s="2">
        <v>1</v>
      </c>
      <c r="E287" s="4" t="s">
        <v>1486</v>
      </c>
      <c r="F287" s="1065" t="e">
        <f>IF(E287="","$",VLOOKUP(E287,'結果(小)'!$B$2:$F$1295,5,FALSE))</f>
        <v>#DIV/0!</v>
      </c>
      <c r="G287" s="1" t="s">
        <v>1490</v>
      </c>
      <c r="H287" s="6">
        <v>47</v>
      </c>
      <c r="I287" s="2" t="s">
        <v>5</v>
      </c>
      <c r="J287" s="5" t="s">
        <v>15273</v>
      </c>
      <c r="K287" s="3" t="s">
        <v>1491</v>
      </c>
      <c r="L287" s="1"/>
      <c r="M287" s="1"/>
      <c r="N287" s="8" t="s">
        <v>16127</v>
      </c>
      <c r="O287" s="1" t="s">
        <v>737</v>
      </c>
      <c r="P287" s="1" t="s">
        <v>25</v>
      </c>
      <c r="Q287" s="16">
        <v>3</v>
      </c>
      <c r="R287" s="17">
        <v>3</v>
      </c>
      <c r="S287" s="3" t="s">
        <v>736</v>
      </c>
      <c r="T287" s="1778"/>
      <c r="U287" s="1780"/>
      <c r="V287" s="1752"/>
    </row>
    <row r="288" spans="1:22" ht="12" customHeight="1">
      <c r="A288" s="1040" t="str">
        <f t="shared" si="5"/>
        <v>3301</v>
      </c>
      <c r="B288" s="1061" t="s">
        <v>15758</v>
      </c>
      <c r="C288" s="1064"/>
      <c r="D288" s="2">
        <v>1</v>
      </c>
      <c r="E288" s="4" t="s">
        <v>1504</v>
      </c>
      <c r="F288" s="1065" t="e">
        <f>IF(E288="","$",VLOOKUP(E288,'結果(小)'!$B$2:$F$1295,5,FALSE))</f>
        <v>#DIV/0!</v>
      </c>
      <c r="G288" s="1" t="s">
        <v>1508</v>
      </c>
      <c r="H288" s="6">
        <v>43</v>
      </c>
      <c r="I288" s="2" t="s">
        <v>5</v>
      </c>
      <c r="J288" s="5" t="s">
        <v>15273</v>
      </c>
      <c r="K288" s="3" t="s">
        <v>1509</v>
      </c>
      <c r="L288" s="1"/>
      <c r="M288" s="1"/>
      <c r="N288" s="8" t="s">
        <v>16127</v>
      </c>
      <c r="O288" s="1" t="s">
        <v>44</v>
      </c>
      <c r="P288" s="1" t="s">
        <v>25</v>
      </c>
      <c r="Q288" s="16">
        <v>1</v>
      </c>
      <c r="R288" s="17">
        <v>1</v>
      </c>
      <c r="S288" s="3"/>
      <c r="T288" s="1778"/>
      <c r="U288" s="1780"/>
      <c r="V288" s="1752"/>
    </row>
    <row r="289" spans="1:22" ht="12" customHeight="1">
      <c r="A289" s="1040" t="str">
        <f t="shared" si="5"/>
        <v>3301</v>
      </c>
      <c r="B289" s="1061" t="s">
        <v>15759</v>
      </c>
      <c r="C289" s="1064"/>
      <c r="D289" s="2">
        <v>1</v>
      </c>
      <c r="E289" s="4" t="s">
        <v>1523</v>
      </c>
      <c r="F289" s="1065" t="e">
        <f>IF(E289="","$",VLOOKUP(E289,'結果(小)'!$B$2:$F$1295,5,FALSE))</f>
        <v>#DIV/0!</v>
      </c>
      <c r="G289" s="1" t="s">
        <v>1529</v>
      </c>
      <c r="H289" s="6">
        <v>42</v>
      </c>
      <c r="I289" s="2" t="s">
        <v>5</v>
      </c>
      <c r="J289" s="5" t="s">
        <v>15273</v>
      </c>
      <c r="K289" s="3" t="s">
        <v>1530</v>
      </c>
      <c r="L289" s="1"/>
      <c r="M289" s="1"/>
      <c r="N289" s="4" t="s">
        <v>16127</v>
      </c>
      <c r="O289" s="1" t="s">
        <v>737</v>
      </c>
      <c r="P289" s="1" t="s">
        <v>25</v>
      </c>
      <c r="Q289" s="16">
        <v>1</v>
      </c>
      <c r="R289" s="17">
        <v>1</v>
      </c>
      <c r="S289" s="3" t="s">
        <v>736</v>
      </c>
      <c r="T289" s="1778"/>
      <c r="U289" s="1780"/>
      <c r="V289" s="1752"/>
    </row>
    <row r="290" spans="1:22" ht="12" customHeight="1">
      <c r="A290" s="1040" t="str">
        <f t="shared" si="5"/>
        <v>3301</v>
      </c>
      <c r="B290" s="1061" t="s">
        <v>15760</v>
      </c>
      <c r="C290" s="1064"/>
      <c r="D290" s="2">
        <v>1</v>
      </c>
      <c r="E290" s="4" t="s">
        <v>1557</v>
      </c>
      <c r="F290" s="1065" t="e">
        <f>IF(E290="","$",VLOOKUP(E290,'結果(小)'!$B$2:$F$1295,5,FALSE))</f>
        <v>#DIV/0!</v>
      </c>
      <c r="G290" s="1" t="s">
        <v>1560</v>
      </c>
      <c r="H290" s="6">
        <v>43</v>
      </c>
      <c r="I290" s="2" t="s">
        <v>5</v>
      </c>
      <c r="J290" s="5" t="s">
        <v>15273</v>
      </c>
      <c r="K290" s="3" t="s">
        <v>1561</v>
      </c>
      <c r="L290" s="1"/>
      <c r="M290" s="1"/>
      <c r="N290" s="8" t="s">
        <v>16126</v>
      </c>
      <c r="O290" s="1" t="s">
        <v>44</v>
      </c>
      <c r="P290" s="1" t="s">
        <v>25</v>
      </c>
      <c r="Q290" s="16">
        <v>1</v>
      </c>
      <c r="R290" s="17">
        <v>1</v>
      </c>
      <c r="S290" s="3" t="s">
        <v>736</v>
      </c>
      <c r="T290" s="1778"/>
      <c r="U290" s="1780"/>
      <c r="V290" s="1752"/>
    </row>
    <row r="291" spans="1:22" ht="12" customHeight="1">
      <c r="A291" s="1040" t="str">
        <f t="shared" si="5"/>
        <v>3301</v>
      </c>
      <c r="B291" s="1061" t="s">
        <v>15761</v>
      </c>
      <c r="C291" s="1064"/>
      <c r="D291" s="2">
        <v>1</v>
      </c>
      <c r="E291" s="4" t="s">
        <v>1572</v>
      </c>
      <c r="F291" s="1065" t="e">
        <f>IF(E291="","$",VLOOKUP(E291,'結果(小)'!$B$2:$F$1295,5,FALSE))</f>
        <v>#DIV/0!</v>
      </c>
      <c r="G291" s="1" t="s">
        <v>1577</v>
      </c>
      <c r="H291" s="6">
        <v>37</v>
      </c>
      <c r="I291" s="2" t="s">
        <v>5</v>
      </c>
      <c r="J291" s="5" t="s">
        <v>15273</v>
      </c>
      <c r="K291" s="3" t="s">
        <v>1578</v>
      </c>
      <c r="L291" s="1"/>
      <c r="M291" s="1"/>
      <c r="N291" s="8" t="s">
        <v>16127</v>
      </c>
      <c r="O291" s="1" t="s">
        <v>44</v>
      </c>
      <c r="P291" s="1" t="s">
        <v>25</v>
      </c>
      <c r="Q291" s="16">
        <v>1</v>
      </c>
      <c r="R291" s="17">
        <v>1</v>
      </c>
      <c r="S291" s="3" t="s">
        <v>736</v>
      </c>
      <c r="T291" s="1778"/>
      <c r="U291" s="1780"/>
      <c r="V291" s="1752"/>
    </row>
    <row r="292" spans="1:22" ht="12" customHeight="1">
      <c r="A292" s="1040" t="str">
        <f t="shared" si="5"/>
        <v>3301</v>
      </c>
      <c r="B292" s="1061" t="s">
        <v>15762</v>
      </c>
      <c r="C292" s="1064"/>
      <c r="D292" s="2">
        <v>1</v>
      </c>
      <c r="E292" s="4" t="s">
        <v>1591</v>
      </c>
      <c r="F292" s="1065" t="e">
        <f>IF(E292="","$",VLOOKUP(E292,'結果(小)'!$B$2:$F$1295,5,FALSE))</f>
        <v>#DIV/0!</v>
      </c>
      <c r="G292" s="1" t="s">
        <v>4880</v>
      </c>
      <c r="H292" s="6">
        <v>55</v>
      </c>
      <c r="I292" s="2" t="s">
        <v>5</v>
      </c>
      <c r="J292" s="5" t="s">
        <v>15273</v>
      </c>
      <c r="K292" s="3" t="s">
        <v>4881</v>
      </c>
      <c r="L292" s="1"/>
      <c r="M292" s="1"/>
      <c r="N292" s="8" t="s">
        <v>16127</v>
      </c>
      <c r="O292" s="1" t="s">
        <v>44</v>
      </c>
      <c r="P292" s="1" t="s">
        <v>25</v>
      </c>
      <c r="Q292" s="16">
        <v>1</v>
      </c>
      <c r="R292" s="17">
        <v>1</v>
      </c>
      <c r="S292" s="3" t="s">
        <v>736</v>
      </c>
      <c r="T292" s="1778"/>
      <c r="U292" s="1780"/>
      <c r="V292" s="1752"/>
    </row>
    <row r="293" spans="1:22" ht="12" customHeight="1">
      <c r="A293" s="1040" t="str">
        <f t="shared" si="5"/>
        <v>3301</v>
      </c>
      <c r="B293" s="1061" t="s">
        <v>15763</v>
      </c>
      <c r="C293" s="1064"/>
      <c r="D293" s="2">
        <v>1</v>
      </c>
      <c r="E293" s="4" t="s">
        <v>1607</v>
      </c>
      <c r="F293" s="1065" t="e">
        <f>IF(E293="","$",VLOOKUP(E293,'結果(小)'!$B$2:$F$1295,5,FALSE))</f>
        <v>#DIV/0!</v>
      </c>
      <c r="G293" s="1" t="s">
        <v>2136</v>
      </c>
      <c r="H293" s="6">
        <v>67</v>
      </c>
      <c r="I293" s="2" t="s">
        <v>5</v>
      </c>
      <c r="J293" s="5" t="s">
        <v>15273</v>
      </c>
      <c r="K293" s="3" t="s">
        <v>5570</v>
      </c>
      <c r="L293" s="1"/>
      <c r="M293" s="1"/>
      <c r="N293" s="8" t="s">
        <v>16127</v>
      </c>
      <c r="O293" s="1" t="s">
        <v>45</v>
      </c>
      <c r="P293" s="1" t="s">
        <v>25</v>
      </c>
      <c r="Q293" s="16">
        <v>1</v>
      </c>
      <c r="R293" s="17">
        <v>5</v>
      </c>
      <c r="S293" s="3" t="s">
        <v>736</v>
      </c>
      <c r="T293" s="1778"/>
      <c r="U293" s="1780"/>
      <c r="V293" s="1752"/>
    </row>
    <row r="294" spans="1:22" ht="12" customHeight="1">
      <c r="A294" s="1040" t="str">
        <f t="shared" si="5"/>
        <v>3301</v>
      </c>
      <c r="B294" s="1061" t="s">
        <v>15764</v>
      </c>
      <c r="C294" s="1064"/>
      <c r="D294" s="2">
        <v>1</v>
      </c>
      <c r="E294" s="4" t="s">
        <v>1619</v>
      </c>
      <c r="F294" s="1065" t="e">
        <f>IF(E294="","$",VLOOKUP(E294,'結果(小)'!$B$2:$F$1295,5,FALSE))</f>
        <v>#DIV/0!</v>
      </c>
      <c r="G294" s="1" t="s">
        <v>1623</v>
      </c>
      <c r="H294" s="6">
        <v>41</v>
      </c>
      <c r="I294" s="2" t="s">
        <v>5</v>
      </c>
      <c r="J294" s="5" t="s">
        <v>15273</v>
      </c>
      <c r="K294" s="3" t="s">
        <v>1625</v>
      </c>
      <c r="L294" s="1"/>
      <c r="M294" s="1"/>
      <c r="N294" s="4" t="s">
        <v>16127</v>
      </c>
      <c r="O294" s="1" t="s">
        <v>44</v>
      </c>
      <c r="P294" s="1" t="s">
        <v>25</v>
      </c>
      <c r="Q294" s="16">
        <v>1</v>
      </c>
      <c r="R294" s="17">
        <v>1</v>
      </c>
      <c r="S294" s="3" t="s">
        <v>736</v>
      </c>
      <c r="T294" s="1778"/>
      <c r="U294" s="1780"/>
      <c r="V294" s="1752"/>
    </row>
    <row r="295" spans="1:22" ht="12" customHeight="1" thickBot="1">
      <c r="A295" s="916" t="str">
        <f t="shared" si="5"/>
        <v>3301</v>
      </c>
      <c r="B295" s="1096" t="s">
        <v>15765</v>
      </c>
      <c r="C295" s="1075"/>
      <c r="D295" s="702">
        <v>1</v>
      </c>
      <c r="E295" s="700" t="s">
        <v>1631</v>
      </c>
      <c r="F295" s="1071" t="e">
        <f>IF(E295="","$",VLOOKUP(E295,'結果(小)'!$B$2:$F$1295,5,FALSE))</f>
        <v>#DIV/0!</v>
      </c>
      <c r="G295" s="906" t="s">
        <v>1632</v>
      </c>
      <c r="H295" s="701">
        <v>55</v>
      </c>
      <c r="I295" s="702" t="s">
        <v>5</v>
      </c>
      <c r="J295" s="356" t="s">
        <v>15273</v>
      </c>
      <c r="K295" s="703" t="s">
        <v>1636</v>
      </c>
      <c r="L295" s="906"/>
      <c r="M295" s="906"/>
      <c r="N295" s="704" t="s">
        <v>16126</v>
      </c>
      <c r="O295" s="906" t="s">
        <v>604</v>
      </c>
      <c r="P295" s="906" t="s">
        <v>25</v>
      </c>
      <c r="Q295" s="705">
        <v>3</v>
      </c>
      <c r="R295" s="903">
        <v>3</v>
      </c>
      <c r="S295" s="703" t="s">
        <v>736</v>
      </c>
      <c r="T295" s="1779"/>
      <c r="U295" s="1776"/>
      <c r="V295" s="1753"/>
    </row>
    <row r="296" spans="1:22" ht="12" customHeight="1">
      <c r="A296" s="1038" t="str">
        <f t="shared" si="5"/>
        <v>3302</v>
      </c>
      <c r="B296" s="1072" t="s">
        <v>15336</v>
      </c>
      <c r="C296" s="1073"/>
      <c r="D296" s="696">
        <v>1</v>
      </c>
      <c r="E296" s="688" t="s">
        <v>1010</v>
      </c>
      <c r="F296" s="1068" t="e">
        <f>IF(E296="","$",VLOOKUP(E296,'結果(小)'!$B$2:$F$1295,5,FALSE))</f>
        <v>#DIV/0!</v>
      </c>
      <c r="G296" s="687" t="s">
        <v>1018</v>
      </c>
      <c r="H296" s="690">
        <v>48</v>
      </c>
      <c r="I296" s="696" t="s">
        <v>5</v>
      </c>
      <c r="J296" s="687" t="s">
        <v>15273</v>
      </c>
      <c r="K296" s="747"/>
      <c r="L296" s="687"/>
      <c r="M296" s="687"/>
      <c r="N296" s="688" t="s">
        <v>16120</v>
      </c>
      <c r="O296" s="687" t="s">
        <v>30</v>
      </c>
      <c r="P296" s="687" t="s">
        <v>6</v>
      </c>
      <c r="Q296" s="748"/>
      <c r="R296" s="749"/>
      <c r="S296" s="747" t="s">
        <v>5457</v>
      </c>
      <c r="T296" s="1769"/>
      <c r="U296" s="1775"/>
      <c r="V296" s="1751" t="e">
        <f>U296/SUM(U265:U403)</f>
        <v>#DIV/0!</v>
      </c>
    </row>
    <row r="297" spans="1:22" ht="12" customHeight="1">
      <c r="A297" s="1040" t="str">
        <f t="shared" si="5"/>
        <v>3302</v>
      </c>
      <c r="B297" s="1053" t="s">
        <v>15337</v>
      </c>
      <c r="C297" s="1064"/>
      <c r="D297" s="2">
        <v>1</v>
      </c>
      <c r="E297" s="4" t="s">
        <v>1025</v>
      </c>
      <c r="F297" s="1065" t="e">
        <f>IF(E297="","$",VLOOKUP(E297,'結果(小)'!$B$2:$F$1295,5,FALSE))</f>
        <v>#DIV/0!</v>
      </c>
      <c r="G297" s="1" t="s">
        <v>1029</v>
      </c>
      <c r="H297" s="6">
        <v>38</v>
      </c>
      <c r="I297" s="2" t="s">
        <v>5</v>
      </c>
      <c r="J297" s="1" t="s">
        <v>15273</v>
      </c>
      <c r="K297" s="3"/>
      <c r="L297" s="1"/>
      <c r="M297" s="1"/>
      <c r="N297" s="4" t="s">
        <v>16120</v>
      </c>
      <c r="O297" s="1" t="s">
        <v>30</v>
      </c>
      <c r="P297" s="1" t="s">
        <v>6</v>
      </c>
      <c r="Q297" s="16"/>
      <c r="R297" s="17"/>
      <c r="S297" s="3" t="s">
        <v>5457</v>
      </c>
      <c r="T297" s="1770"/>
      <c r="U297" s="1780"/>
      <c r="V297" s="1752"/>
    </row>
    <row r="298" spans="1:22" ht="12" customHeight="1">
      <c r="A298" s="1040" t="str">
        <f t="shared" si="5"/>
        <v>3302</v>
      </c>
      <c r="B298" s="1053" t="s">
        <v>15338</v>
      </c>
      <c r="C298" s="1064"/>
      <c r="D298" s="2">
        <v>1</v>
      </c>
      <c r="E298" s="4" t="s">
        <v>1041</v>
      </c>
      <c r="F298" s="1065" t="e">
        <f>IF(E298="","$",VLOOKUP(E298,'結果(小)'!$B$2:$F$1295,5,FALSE))</f>
        <v>#DIV/0!</v>
      </c>
      <c r="G298" s="1" t="s">
        <v>1044</v>
      </c>
      <c r="H298" s="6">
        <v>50</v>
      </c>
      <c r="I298" s="2" t="s">
        <v>5</v>
      </c>
      <c r="J298" s="1" t="s">
        <v>15273</v>
      </c>
      <c r="K298" s="3" t="s">
        <v>1045</v>
      </c>
      <c r="L298" s="1"/>
      <c r="M298" s="1"/>
      <c r="N298" s="8" t="s">
        <v>16120</v>
      </c>
      <c r="O298" s="1" t="s">
        <v>48</v>
      </c>
      <c r="P298" s="1" t="s">
        <v>25</v>
      </c>
      <c r="Q298" s="16">
        <v>4</v>
      </c>
      <c r="R298" s="17">
        <v>4</v>
      </c>
      <c r="S298" s="3" t="s">
        <v>5457</v>
      </c>
      <c r="T298" s="1770"/>
      <c r="U298" s="1780"/>
      <c r="V298" s="1752"/>
    </row>
    <row r="299" spans="1:22" ht="12" customHeight="1">
      <c r="A299" s="1040" t="str">
        <f t="shared" si="5"/>
        <v>3302</v>
      </c>
      <c r="B299" s="1053" t="s">
        <v>15339</v>
      </c>
      <c r="C299" s="1064"/>
      <c r="D299" s="2">
        <v>1</v>
      </c>
      <c r="E299" s="4" t="s">
        <v>1058</v>
      </c>
      <c r="F299" s="1065" t="e">
        <f>IF(E299="","$",VLOOKUP(E299,'結果(小)'!$B$2:$F$1295,5,FALSE))</f>
        <v>#DIV/0!</v>
      </c>
      <c r="G299" s="1" t="s">
        <v>1066</v>
      </c>
      <c r="H299" s="6">
        <v>44</v>
      </c>
      <c r="I299" s="2" t="s">
        <v>5</v>
      </c>
      <c r="J299" s="1" t="s">
        <v>15273</v>
      </c>
      <c r="K299" s="3"/>
      <c r="L299" s="1"/>
      <c r="M299" s="1"/>
      <c r="N299" s="23" t="s">
        <v>16120</v>
      </c>
      <c r="O299" s="1" t="s">
        <v>30</v>
      </c>
      <c r="P299" s="1" t="s">
        <v>14</v>
      </c>
      <c r="Q299" s="16">
        <v>1</v>
      </c>
      <c r="R299" s="17">
        <v>1</v>
      </c>
      <c r="S299" s="3"/>
      <c r="T299" s="1770"/>
      <c r="U299" s="1780"/>
      <c r="V299" s="1752"/>
    </row>
    <row r="300" spans="1:22" ht="12" customHeight="1">
      <c r="A300" s="1040" t="str">
        <f t="shared" si="5"/>
        <v>3302</v>
      </c>
      <c r="B300" s="1053" t="s">
        <v>15340</v>
      </c>
      <c r="C300" s="1064"/>
      <c r="D300" s="2">
        <v>1</v>
      </c>
      <c r="E300" s="4" t="s">
        <v>1084</v>
      </c>
      <c r="F300" s="1065" t="e">
        <f>IF(E300="","$",VLOOKUP(E300,'結果(小)'!$B$2:$F$1295,5,FALSE))</f>
        <v>#DIV/0!</v>
      </c>
      <c r="G300" s="1" t="s">
        <v>1093</v>
      </c>
      <c r="H300" s="6">
        <v>40</v>
      </c>
      <c r="I300" s="2" t="s">
        <v>5</v>
      </c>
      <c r="J300" s="1" t="s">
        <v>15273</v>
      </c>
      <c r="K300" s="3"/>
      <c r="L300" s="1"/>
      <c r="M300" s="1"/>
      <c r="N300" s="8" t="s">
        <v>16120</v>
      </c>
      <c r="O300" s="1" t="s">
        <v>445</v>
      </c>
      <c r="P300" s="1" t="s">
        <v>14</v>
      </c>
      <c r="Q300" s="16">
        <v>1</v>
      </c>
      <c r="R300" s="17">
        <v>1</v>
      </c>
      <c r="S300" s="3" t="s">
        <v>5457</v>
      </c>
      <c r="T300" s="1770"/>
      <c r="U300" s="1780"/>
      <c r="V300" s="1752"/>
    </row>
    <row r="301" spans="1:22" ht="12" customHeight="1">
      <c r="A301" s="1040" t="str">
        <f t="shared" si="5"/>
        <v>3302</v>
      </c>
      <c r="B301" s="1053" t="s">
        <v>15341</v>
      </c>
      <c r="C301" s="1064"/>
      <c r="D301" s="2">
        <v>1</v>
      </c>
      <c r="E301" s="4" t="s">
        <v>1101</v>
      </c>
      <c r="F301" s="1065" t="e">
        <f>IF(E301="","$",VLOOKUP(E301,'結果(小)'!$B$2:$F$1295,5,FALSE))</f>
        <v>#DIV/0!</v>
      </c>
      <c r="G301" s="1" t="s">
        <v>1109</v>
      </c>
      <c r="H301" s="6">
        <v>62</v>
      </c>
      <c r="I301" s="2" t="s">
        <v>5</v>
      </c>
      <c r="J301" s="1" t="s">
        <v>15273</v>
      </c>
      <c r="K301" s="3"/>
      <c r="L301" s="1"/>
      <c r="M301" s="1"/>
      <c r="N301" s="4" t="s">
        <v>16120</v>
      </c>
      <c r="O301" s="1" t="s">
        <v>13</v>
      </c>
      <c r="P301" s="1" t="s">
        <v>14</v>
      </c>
      <c r="Q301" s="16">
        <v>4</v>
      </c>
      <c r="R301" s="17">
        <v>4</v>
      </c>
      <c r="S301" s="3" t="s">
        <v>5457</v>
      </c>
      <c r="T301" s="1770"/>
      <c r="U301" s="1780"/>
      <c r="V301" s="1752"/>
    </row>
    <row r="302" spans="1:22" ht="12" customHeight="1">
      <c r="A302" s="1040" t="str">
        <f t="shared" si="5"/>
        <v>3302</v>
      </c>
      <c r="B302" s="1053" t="s">
        <v>15342</v>
      </c>
      <c r="C302" s="1064"/>
      <c r="D302" s="2">
        <v>1</v>
      </c>
      <c r="E302" s="4" t="s">
        <v>1120</v>
      </c>
      <c r="F302" s="1065" t="e">
        <f>IF(E302="","$",VLOOKUP(E302,'結果(小)'!$B$2:$F$1295,5,FALSE))</f>
        <v>#DIV/0!</v>
      </c>
      <c r="G302" s="1" t="s">
        <v>1124</v>
      </c>
      <c r="H302" s="6">
        <v>53</v>
      </c>
      <c r="I302" s="2" t="s">
        <v>5</v>
      </c>
      <c r="J302" s="1" t="s">
        <v>15273</v>
      </c>
      <c r="K302" s="3" t="s">
        <v>1125</v>
      </c>
      <c r="L302" s="1"/>
      <c r="M302" s="1"/>
      <c r="N302" s="4" t="s">
        <v>16120</v>
      </c>
      <c r="O302" s="1" t="s">
        <v>30</v>
      </c>
      <c r="P302" s="1" t="s">
        <v>25</v>
      </c>
      <c r="Q302" s="16">
        <v>1</v>
      </c>
      <c r="R302" s="17">
        <v>1</v>
      </c>
      <c r="S302" s="3" t="s">
        <v>5457</v>
      </c>
      <c r="T302" s="1770"/>
      <c r="U302" s="1780"/>
      <c r="V302" s="1752"/>
    </row>
    <row r="303" spans="1:22" ht="12" customHeight="1">
      <c r="A303" s="1040" t="str">
        <f t="shared" si="5"/>
        <v>3302</v>
      </c>
      <c r="B303" s="1053" t="s">
        <v>15343</v>
      </c>
      <c r="C303" s="1064"/>
      <c r="D303" s="2">
        <v>1</v>
      </c>
      <c r="E303" s="4" t="s">
        <v>1135</v>
      </c>
      <c r="F303" s="1065" t="e">
        <f>IF(E303="","$",VLOOKUP(E303,'結果(小)'!$B$2:$F$1295,5,FALSE))</f>
        <v>#DIV/0!</v>
      </c>
      <c r="G303" s="1" t="s">
        <v>1142</v>
      </c>
      <c r="H303" s="6">
        <v>62</v>
      </c>
      <c r="I303" s="2" t="s">
        <v>5</v>
      </c>
      <c r="J303" s="1" t="s">
        <v>15273</v>
      </c>
      <c r="K303" s="3"/>
      <c r="L303" s="1"/>
      <c r="M303" s="1"/>
      <c r="N303" s="8" t="s">
        <v>16120</v>
      </c>
      <c r="O303" s="1" t="s">
        <v>13</v>
      </c>
      <c r="P303" s="1" t="s">
        <v>14</v>
      </c>
      <c r="Q303" s="16">
        <v>4</v>
      </c>
      <c r="R303" s="17">
        <v>4</v>
      </c>
      <c r="S303" s="3" t="s">
        <v>5457</v>
      </c>
      <c r="T303" s="1770"/>
      <c r="U303" s="1780"/>
      <c r="V303" s="1752"/>
    </row>
    <row r="304" spans="1:22" ht="12" customHeight="1">
      <c r="A304" s="1040" t="str">
        <f t="shared" si="5"/>
        <v>3302</v>
      </c>
      <c r="B304" s="1053" t="s">
        <v>15344</v>
      </c>
      <c r="C304" s="1064"/>
      <c r="D304" s="2">
        <v>1</v>
      </c>
      <c r="E304" s="4" t="s">
        <v>1154</v>
      </c>
      <c r="F304" s="1065" t="e">
        <f>IF(E304="","$",VLOOKUP(E304,'結果(小)'!$B$2:$F$1295,5,FALSE))</f>
        <v>#DIV/0!</v>
      </c>
      <c r="G304" s="1" t="s">
        <v>1161</v>
      </c>
      <c r="H304" s="6">
        <v>37</v>
      </c>
      <c r="I304" s="2" t="s">
        <v>5</v>
      </c>
      <c r="J304" s="1" t="s">
        <v>15273</v>
      </c>
      <c r="K304" s="3"/>
      <c r="L304" s="1"/>
      <c r="M304" s="1"/>
      <c r="N304" s="23" t="s">
        <v>16120</v>
      </c>
      <c r="O304" s="1" t="s">
        <v>30</v>
      </c>
      <c r="P304" s="1" t="s">
        <v>6</v>
      </c>
      <c r="Q304" s="16"/>
      <c r="R304" s="17"/>
      <c r="S304" s="3" t="s">
        <v>5457</v>
      </c>
      <c r="T304" s="1770"/>
      <c r="U304" s="1780"/>
      <c r="V304" s="1752"/>
    </row>
    <row r="305" spans="1:22" ht="12" customHeight="1">
      <c r="A305" s="1040" t="str">
        <f t="shared" si="5"/>
        <v>3302</v>
      </c>
      <c r="B305" s="1053" t="s">
        <v>15345</v>
      </c>
      <c r="C305" s="1064"/>
      <c r="D305" s="2">
        <v>1</v>
      </c>
      <c r="E305" s="4" t="s">
        <v>1173</v>
      </c>
      <c r="F305" s="1065" t="e">
        <f>IF(E305="","$",VLOOKUP(E305,'結果(小)'!$B$2:$F$1295,5,FALSE))</f>
        <v>#DIV/0!</v>
      </c>
      <c r="G305" s="1" t="s">
        <v>1181</v>
      </c>
      <c r="H305" s="6">
        <v>65</v>
      </c>
      <c r="I305" s="2" t="s">
        <v>5</v>
      </c>
      <c r="J305" s="1" t="s">
        <v>15273</v>
      </c>
      <c r="K305" s="3" t="s">
        <v>1183</v>
      </c>
      <c r="L305" s="1"/>
      <c r="M305" s="1"/>
      <c r="N305" s="8" t="s">
        <v>16120</v>
      </c>
      <c r="O305" s="1" t="s">
        <v>934</v>
      </c>
      <c r="P305" s="1" t="s">
        <v>25</v>
      </c>
      <c r="Q305" s="16">
        <v>6</v>
      </c>
      <c r="R305" s="17">
        <v>6</v>
      </c>
      <c r="S305" s="3" t="s">
        <v>5457</v>
      </c>
      <c r="T305" s="1770"/>
      <c r="U305" s="1780"/>
      <c r="V305" s="1752"/>
    </row>
    <row r="306" spans="1:22" ht="12" customHeight="1">
      <c r="A306" s="1040" t="str">
        <f t="shared" si="5"/>
        <v>3302</v>
      </c>
      <c r="B306" s="1053" t="s">
        <v>15346</v>
      </c>
      <c r="C306" s="1064"/>
      <c r="D306" s="2">
        <v>1</v>
      </c>
      <c r="E306" s="4" t="s">
        <v>1188</v>
      </c>
      <c r="F306" s="1065" t="e">
        <f>IF(E306="","$",VLOOKUP(E306,'結果(小)'!$B$2:$F$1295,5,FALSE))</f>
        <v>#DIV/0!</v>
      </c>
      <c r="G306" s="1" t="s">
        <v>1190</v>
      </c>
      <c r="H306" s="6">
        <v>64</v>
      </c>
      <c r="I306" s="2" t="s">
        <v>5</v>
      </c>
      <c r="J306" s="1" t="s">
        <v>15273</v>
      </c>
      <c r="K306" s="3" t="s">
        <v>1191</v>
      </c>
      <c r="L306" s="1"/>
      <c r="M306" s="1"/>
      <c r="N306" s="4" t="s">
        <v>16120</v>
      </c>
      <c r="O306" s="1" t="s">
        <v>445</v>
      </c>
      <c r="P306" s="1" t="s">
        <v>25</v>
      </c>
      <c r="Q306" s="16">
        <v>7</v>
      </c>
      <c r="R306" s="17">
        <v>7</v>
      </c>
      <c r="S306" s="3" t="s">
        <v>5457</v>
      </c>
      <c r="T306" s="1770"/>
      <c r="U306" s="1780"/>
      <c r="V306" s="1752"/>
    </row>
    <row r="307" spans="1:22" ht="12" customHeight="1">
      <c r="A307" s="1040" t="str">
        <f t="shared" si="5"/>
        <v>3302</v>
      </c>
      <c r="B307" s="1053" t="s">
        <v>15347</v>
      </c>
      <c r="C307" s="1064"/>
      <c r="D307" s="2">
        <v>1</v>
      </c>
      <c r="E307" s="4" t="s">
        <v>1203</v>
      </c>
      <c r="F307" s="1065" t="e">
        <f>IF(E307="","$",VLOOKUP(E307,'結果(小)'!$B$2:$F$1295,5,FALSE))</f>
        <v>#DIV/0!</v>
      </c>
      <c r="G307" s="1" t="s">
        <v>1205</v>
      </c>
      <c r="H307" s="6">
        <v>57</v>
      </c>
      <c r="I307" s="2" t="s">
        <v>5</v>
      </c>
      <c r="J307" s="1" t="s">
        <v>15273</v>
      </c>
      <c r="K307" s="3" t="s">
        <v>1206</v>
      </c>
      <c r="L307" s="1"/>
      <c r="M307" s="1"/>
      <c r="N307" s="4" t="s">
        <v>16120</v>
      </c>
      <c r="O307" s="1" t="s">
        <v>30</v>
      </c>
      <c r="P307" s="1" t="s">
        <v>25</v>
      </c>
      <c r="Q307" s="16">
        <v>6</v>
      </c>
      <c r="R307" s="17">
        <v>6</v>
      </c>
      <c r="S307" s="3" t="s">
        <v>5457</v>
      </c>
      <c r="T307" s="1770"/>
      <c r="U307" s="1780"/>
      <c r="V307" s="1752"/>
    </row>
    <row r="308" spans="1:22" ht="12" customHeight="1">
      <c r="A308" s="1040" t="str">
        <f t="shared" si="5"/>
        <v>3302</v>
      </c>
      <c r="B308" s="1053" t="s">
        <v>15348</v>
      </c>
      <c r="C308" s="1064"/>
      <c r="D308" s="2">
        <v>1</v>
      </c>
      <c r="E308" s="4" t="s">
        <v>1215</v>
      </c>
      <c r="F308" s="1065" t="e">
        <f>IF(E308="","$",VLOOKUP(E308,'結果(小)'!$B$2:$F$1295,5,FALSE))</f>
        <v>#DIV/0!</v>
      </c>
      <c r="G308" s="1" t="s">
        <v>1222</v>
      </c>
      <c r="H308" s="6">
        <v>37</v>
      </c>
      <c r="I308" s="2" t="s">
        <v>5</v>
      </c>
      <c r="J308" s="1" t="s">
        <v>15273</v>
      </c>
      <c r="K308" s="3"/>
      <c r="L308" s="1"/>
      <c r="M308" s="1"/>
      <c r="N308" s="8" t="s">
        <v>16120</v>
      </c>
      <c r="O308" s="1" t="s">
        <v>30</v>
      </c>
      <c r="P308" s="1" t="s">
        <v>6</v>
      </c>
      <c r="Q308" s="16"/>
      <c r="R308" s="17"/>
      <c r="S308" s="3" t="s">
        <v>5457</v>
      </c>
      <c r="T308" s="1770"/>
      <c r="U308" s="1780"/>
      <c r="V308" s="1752"/>
    </row>
    <row r="309" spans="1:22" ht="12" customHeight="1">
      <c r="A309" s="1040" t="str">
        <f t="shared" si="5"/>
        <v>3302</v>
      </c>
      <c r="B309" s="1053" t="s">
        <v>15349</v>
      </c>
      <c r="C309" s="1064"/>
      <c r="D309" s="2">
        <v>1</v>
      </c>
      <c r="E309" s="4" t="s">
        <v>1227</v>
      </c>
      <c r="F309" s="1065" t="e">
        <f>IF(E309="","$",VLOOKUP(E309,'結果(小)'!$B$2:$F$1295,5,FALSE))</f>
        <v>#DIV/0!</v>
      </c>
      <c r="G309" s="1" t="s">
        <v>1233</v>
      </c>
      <c r="H309" s="6">
        <v>62</v>
      </c>
      <c r="I309" s="2" t="s">
        <v>5</v>
      </c>
      <c r="J309" s="1" t="s">
        <v>15273</v>
      </c>
      <c r="K309" s="3" t="s">
        <v>1234</v>
      </c>
      <c r="L309" s="1"/>
      <c r="M309" s="1"/>
      <c r="N309" s="23" t="s">
        <v>16120</v>
      </c>
      <c r="O309" s="1" t="s">
        <v>445</v>
      </c>
      <c r="P309" s="1" t="s">
        <v>25</v>
      </c>
      <c r="Q309" s="16">
        <v>4</v>
      </c>
      <c r="R309" s="17">
        <v>4</v>
      </c>
      <c r="S309" s="3" t="s">
        <v>5457</v>
      </c>
      <c r="T309" s="1770"/>
      <c r="U309" s="1780"/>
      <c r="V309" s="1752"/>
    </row>
    <row r="310" spans="1:22" ht="12" customHeight="1">
      <c r="A310" s="1040" t="str">
        <f t="shared" si="5"/>
        <v>3302</v>
      </c>
      <c r="B310" s="1053" t="s">
        <v>15350</v>
      </c>
      <c r="C310" s="1064"/>
      <c r="D310" s="2">
        <v>1</v>
      </c>
      <c r="E310" s="4" t="s">
        <v>1245</v>
      </c>
      <c r="F310" s="1065" t="e">
        <f>IF(E310="","$",VLOOKUP(E310,'結果(小)'!$B$2:$F$1295,5,FALSE))</f>
        <v>#DIV/0!</v>
      </c>
      <c r="G310" s="1" t="s">
        <v>1251</v>
      </c>
      <c r="H310" s="6">
        <v>64</v>
      </c>
      <c r="I310" s="2" t="s">
        <v>5</v>
      </c>
      <c r="J310" s="1" t="s">
        <v>15273</v>
      </c>
      <c r="K310" s="3" t="s">
        <v>1252</v>
      </c>
      <c r="L310" s="1"/>
      <c r="M310" s="1"/>
      <c r="N310" s="8" t="s">
        <v>16120</v>
      </c>
      <c r="O310" s="1" t="s">
        <v>30</v>
      </c>
      <c r="P310" s="1" t="s">
        <v>25</v>
      </c>
      <c r="Q310" s="16">
        <v>5</v>
      </c>
      <c r="R310" s="17">
        <v>5</v>
      </c>
      <c r="S310" s="3" t="s">
        <v>5457</v>
      </c>
      <c r="T310" s="1770"/>
      <c r="U310" s="1780"/>
      <c r="V310" s="1752"/>
    </row>
    <row r="311" spans="1:22" ht="12" customHeight="1">
      <c r="A311" s="1040" t="str">
        <f t="shared" si="5"/>
        <v>3302</v>
      </c>
      <c r="B311" s="1053" t="s">
        <v>15351</v>
      </c>
      <c r="C311" s="1064"/>
      <c r="D311" s="2">
        <v>1</v>
      </c>
      <c r="E311" s="4" t="s">
        <v>1260</v>
      </c>
      <c r="F311" s="1065" t="e">
        <f>IF(E311="","$",VLOOKUP(E311,'結果(小)'!$B$2:$F$1295,5,FALSE))</f>
        <v>#DIV/0!</v>
      </c>
      <c r="G311" s="1" t="s">
        <v>1264</v>
      </c>
      <c r="H311" s="6">
        <v>47</v>
      </c>
      <c r="I311" s="2" t="s">
        <v>5</v>
      </c>
      <c r="J311" s="1" t="s">
        <v>15273</v>
      </c>
      <c r="K311" s="3"/>
      <c r="L311" s="1"/>
      <c r="M311" s="1"/>
      <c r="N311" s="4" t="s">
        <v>16120</v>
      </c>
      <c r="O311" s="1" t="s">
        <v>30</v>
      </c>
      <c r="P311" s="1" t="s">
        <v>14</v>
      </c>
      <c r="Q311" s="16">
        <v>5</v>
      </c>
      <c r="R311" s="17">
        <v>5</v>
      </c>
      <c r="S311" s="3" t="s">
        <v>5457</v>
      </c>
      <c r="T311" s="1770"/>
      <c r="U311" s="1780"/>
      <c r="V311" s="1752"/>
    </row>
    <row r="312" spans="1:22" ht="12" customHeight="1">
      <c r="A312" s="1040" t="str">
        <f t="shared" si="5"/>
        <v>3302</v>
      </c>
      <c r="B312" s="1053" t="s">
        <v>15352</v>
      </c>
      <c r="C312" s="1064"/>
      <c r="D312" s="2">
        <v>1</v>
      </c>
      <c r="E312" s="4" t="s">
        <v>1278</v>
      </c>
      <c r="F312" s="1065" t="e">
        <f>IF(E312="","$",VLOOKUP(E312,'結果(小)'!$B$2:$F$1295,5,FALSE))</f>
        <v>#DIV/0!</v>
      </c>
      <c r="G312" s="1" t="s">
        <v>1281</v>
      </c>
      <c r="H312" s="6">
        <v>37</v>
      </c>
      <c r="I312" s="2" t="s">
        <v>5</v>
      </c>
      <c r="J312" s="1" t="s">
        <v>15273</v>
      </c>
      <c r="K312" s="3"/>
      <c r="L312" s="1"/>
      <c r="M312" s="1"/>
      <c r="N312" s="4" t="s">
        <v>16120</v>
      </c>
      <c r="O312" s="1" t="s">
        <v>30</v>
      </c>
      <c r="P312" s="1" t="s">
        <v>14</v>
      </c>
      <c r="Q312" s="16">
        <v>1</v>
      </c>
      <c r="R312" s="17">
        <v>1</v>
      </c>
      <c r="S312" s="3" t="s">
        <v>5457</v>
      </c>
      <c r="T312" s="1770"/>
      <c r="U312" s="1780"/>
      <c r="V312" s="1752"/>
    </row>
    <row r="313" spans="1:22" ht="12" customHeight="1">
      <c r="A313" s="1040" t="str">
        <f t="shared" si="5"/>
        <v>3302</v>
      </c>
      <c r="B313" s="1053" t="s">
        <v>15353</v>
      </c>
      <c r="C313" s="1064"/>
      <c r="D313" s="2">
        <v>1</v>
      </c>
      <c r="E313" s="4" t="s">
        <v>1378</v>
      </c>
      <c r="F313" s="1065" t="e">
        <f>IF(E313="","$",VLOOKUP(E313,'結果(小)'!$B$2:$F$1295,5,FALSE))</f>
        <v>#DIV/0!</v>
      </c>
      <c r="G313" s="1" t="s">
        <v>1386</v>
      </c>
      <c r="H313" s="6">
        <v>47</v>
      </c>
      <c r="I313" s="2" t="s">
        <v>5</v>
      </c>
      <c r="J313" s="1" t="s">
        <v>15273</v>
      </c>
      <c r="K313" s="3"/>
      <c r="L313" s="1"/>
      <c r="M313" s="1"/>
      <c r="N313" s="8" t="s">
        <v>16120</v>
      </c>
      <c r="O313" s="1" t="s">
        <v>30</v>
      </c>
      <c r="P313" s="1" t="s">
        <v>14</v>
      </c>
      <c r="Q313" s="16">
        <v>1</v>
      </c>
      <c r="R313" s="17">
        <v>1</v>
      </c>
      <c r="S313" s="3" t="s">
        <v>5457</v>
      </c>
      <c r="T313" s="1770"/>
      <c r="U313" s="1780"/>
      <c r="V313" s="1752"/>
    </row>
    <row r="314" spans="1:22" ht="12" customHeight="1">
      <c r="A314" s="1040" t="str">
        <f t="shared" si="5"/>
        <v>3302</v>
      </c>
      <c r="B314" s="1053" t="s">
        <v>15354</v>
      </c>
      <c r="C314" s="1064"/>
      <c r="D314" s="2">
        <v>1</v>
      </c>
      <c r="E314" s="4" t="s">
        <v>1408</v>
      </c>
      <c r="F314" s="1065" t="e">
        <f>IF(E314="","$",VLOOKUP(E314,'結果(小)'!$B$2:$F$1295,5,FALSE))</f>
        <v>#DIV/0!</v>
      </c>
      <c r="G314" s="1" t="s">
        <v>1414</v>
      </c>
      <c r="H314" s="6">
        <v>35</v>
      </c>
      <c r="I314" s="2" t="s">
        <v>5</v>
      </c>
      <c r="J314" s="1" t="s">
        <v>15273</v>
      </c>
      <c r="K314" s="3"/>
      <c r="L314" s="1"/>
      <c r="M314" s="1"/>
      <c r="N314" s="23" t="s">
        <v>16120</v>
      </c>
      <c r="O314" s="1" t="s">
        <v>445</v>
      </c>
      <c r="P314" s="1" t="s">
        <v>14</v>
      </c>
      <c r="Q314" s="16">
        <v>1</v>
      </c>
      <c r="R314" s="17">
        <v>1</v>
      </c>
      <c r="S314" s="3" t="s">
        <v>5457</v>
      </c>
      <c r="T314" s="1770"/>
      <c r="U314" s="1780"/>
      <c r="V314" s="1752"/>
    </row>
    <row r="315" spans="1:22" ht="12" customHeight="1">
      <c r="A315" s="1040" t="str">
        <f t="shared" si="5"/>
        <v>3302</v>
      </c>
      <c r="B315" s="1053" t="s">
        <v>15355</v>
      </c>
      <c r="C315" s="1064"/>
      <c r="D315" s="2">
        <v>1</v>
      </c>
      <c r="E315" s="4" t="s">
        <v>1423</v>
      </c>
      <c r="F315" s="1065" t="e">
        <f>IF(E315="","$",VLOOKUP(E315,'結果(小)'!$B$2:$F$1295,5,FALSE))</f>
        <v>#DIV/0!</v>
      </c>
      <c r="G315" s="1" t="s">
        <v>1426</v>
      </c>
      <c r="H315" s="6">
        <v>48</v>
      </c>
      <c r="I315" s="2" t="s">
        <v>5</v>
      </c>
      <c r="J315" s="1" t="s">
        <v>15273</v>
      </c>
      <c r="K315" s="3"/>
      <c r="L315" s="1"/>
      <c r="M315" s="1"/>
      <c r="N315" s="8" t="s">
        <v>16120</v>
      </c>
      <c r="O315" s="1" t="s">
        <v>934</v>
      </c>
      <c r="P315" s="1" t="s">
        <v>14</v>
      </c>
      <c r="Q315" s="16">
        <v>1</v>
      </c>
      <c r="R315" s="17">
        <v>1</v>
      </c>
      <c r="S315" s="3" t="s">
        <v>5457</v>
      </c>
      <c r="T315" s="1770"/>
      <c r="U315" s="1780"/>
      <c r="V315" s="1752"/>
    </row>
    <row r="316" spans="1:22" ht="12" customHeight="1">
      <c r="A316" s="1040" t="str">
        <f t="shared" si="5"/>
        <v>3302</v>
      </c>
      <c r="B316" s="1053" t="s">
        <v>15356</v>
      </c>
      <c r="C316" s="1064"/>
      <c r="D316" s="2">
        <v>1</v>
      </c>
      <c r="E316" s="4" t="s">
        <v>1443</v>
      </c>
      <c r="F316" s="1065" t="e">
        <f>IF(E316="","$",VLOOKUP(E316,'結果(小)'!$B$2:$F$1295,5,FALSE))</f>
        <v>#DIV/0!</v>
      </c>
      <c r="G316" s="1" t="s">
        <v>1451</v>
      </c>
      <c r="H316" s="6">
        <v>44</v>
      </c>
      <c r="I316" s="2" t="s">
        <v>5</v>
      </c>
      <c r="J316" s="1" t="s">
        <v>15273</v>
      </c>
      <c r="K316" s="3"/>
      <c r="L316" s="1"/>
      <c r="M316" s="1"/>
      <c r="N316" s="4" t="s">
        <v>16120</v>
      </c>
      <c r="O316" s="1" t="s">
        <v>30</v>
      </c>
      <c r="P316" s="1" t="s">
        <v>6</v>
      </c>
      <c r="Q316" s="16"/>
      <c r="R316" s="17"/>
      <c r="S316" s="3" t="s">
        <v>5457</v>
      </c>
      <c r="T316" s="1770"/>
      <c r="U316" s="1780"/>
      <c r="V316" s="1752"/>
    </row>
    <row r="317" spans="1:22" ht="12" customHeight="1">
      <c r="A317" s="1040" t="str">
        <f t="shared" si="5"/>
        <v>3302</v>
      </c>
      <c r="B317" s="1053" t="s">
        <v>15357</v>
      </c>
      <c r="C317" s="1064"/>
      <c r="D317" s="2">
        <v>1</v>
      </c>
      <c r="E317" s="4" t="s">
        <v>1460</v>
      </c>
      <c r="F317" s="1065" t="e">
        <f>IF(E317="","$",VLOOKUP(E317,'結果(小)'!$B$2:$F$1295,5,FALSE))</f>
        <v>#DIV/0!</v>
      </c>
      <c r="G317" s="1" t="s">
        <v>1468</v>
      </c>
      <c r="H317" s="6">
        <v>63</v>
      </c>
      <c r="I317" s="2" t="s">
        <v>5</v>
      </c>
      <c r="J317" s="1" t="s">
        <v>15273</v>
      </c>
      <c r="K317" s="3" t="s">
        <v>1469</v>
      </c>
      <c r="L317" s="1"/>
      <c r="M317" s="1"/>
      <c r="N317" s="4" t="s">
        <v>16120</v>
      </c>
      <c r="O317" s="1" t="s">
        <v>934</v>
      </c>
      <c r="P317" s="1" t="s">
        <v>25</v>
      </c>
      <c r="Q317" s="16">
        <v>5</v>
      </c>
      <c r="R317" s="17">
        <v>5</v>
      </c>
      <c r="S317" s="3" t="s">
        <v>5457</v>
      </c>
      <c r="T317" s="1770"/>
      <c r="U317" s="1780"/>
      <c r="V317" s="1752"/>
    </row>
    <row r="318" spans="1:22" ht="12" customHeight="1">
      <c r="A318" s="1040" t="str">
        <f t="shared" si="5"/>
        <v>3302</v>
      </c>
      <c r="B318" s="1053" t="s">
        <v>15358</v>
      </c>
      <c r="C318" s="1064"/>
      <c r="D318" s="2">
        <v>1</v>
      </c>
      <c r="E318" s="4" t="s">
        <v>1487</v>
      </c>
      <c r="F318" s="1065" t="e">
        <f>IF(E318="","$",VLOOKUP(E318,'結果(小)'!$B$2:$F$1295,5,FALSE))</f>
        <v>#DIV/0!</v>
      </c>
      <c r="G318" s="1" t="s">
        <v>1496</v>
      </c>
      <c r="H318" s="6">
        <v>49</v>
      </c>
      <c r="I318" s="2" t="s">
        <v>5</v>
      </c>
      <c r="J318" s="1" t="s">
        <v>15273</v>
      </c>
      <c r="K318" s="3"/>
      <c r="L318" s="1"/>
      <c r="M318" s="1"/>
      <c r="N318" s="8" t="s">
        <v>16120</v>
      </c>
      <c r="O318" s="1" t="s">
        <v>30</v>
      </c>
      <c r="P318" s="1" t="s">
        <v>6</v>
      </c>
      <c r="Q318" s="16"/>
      <c r="R318" s="17"/>
      <c r="S318" s="3" t="s">
        <v>5457</v>
      </c>
      <c r="T318" s="1770"/>
      <c r="U318" s="1780"/>
      <c r="V318" s="1752"/>
    </row>
    <row r="319" spans="1:22" ht="12" customHeight="1">
      <c r="A319" s="1040" t="str">
        <f t="shared" si="5"/>
        <v>3302</v>
      </c>
      <c r="B319" s="1053" t="s">
        <v>15359</v>
      </c>
      <c r="C319" s="1064"/>
      <c r="D319" s="2">
        <v>1</v>
      </c>
      <c r="E319" s="4" t="s">
        <v>1505</v>
      </c>
      <c r="F319" s="1065" t="e">
        <f>IF(E319="","$",VLOOKUP(E319,'結果(小)'!$B$2:$F$1295,5,FALSE))</f>
        <v>#DIV/0!</v>
      </c>
      <c r="G319" s="1" t="s">
        <v>1513</v>
      </c>
      <c r="H319" s="6">
        <v>63</v>
      </c>
      <c r="I319" s="2" t="s">
        <v>5</v>
      </c>
      <c r="J319" s="1" t="s">
        <v>15273</v>
      </c>
      <c r="K319" s="3" t="s">
        <v>1514</v>
      </c>
      <c r="L319" s="1"/>
      <c r="M319" s="1"/>
      <c r="N319" s="23" t="s">
        <v>16120</v>
      </c>
      <c r="O319" s="1" t="s">
        <v>934</v>
      </c>
      <c r="P319" s="1" t="s">
        <v>25</v>
      </c>
      <c r="Q319" s="16">
        <v>9</v>
      </c>
      <c r="R319" s="17">
        <v>9</v>
      </c>
      <c r="S319" s="3" t="s">
        <v>5457</v>
      </c>
      <c r="T319" s="1770"/>
      <c r="U319" s="1780"/>
      <c r="V319" s="1752"/>
    </row>
    <row r="320" spans="1:22" ht="12" customHeight="1">
      <c r="A320" s="1040" t="str">
        <f t="shared" si="5"/>
        <v>3302</v>
      </c>
      <c r="B320" s="1053" t="s">
        <v>15360</v>
      </c>
      <c r="C320" s="1064"/>
      <c r="D320" s="2">
        <v>1</v>
      </c>
      <c r="E320" s="4" t="s">
        <v>1524</v>
      </c>
      <c r="F320" s="1065" t="e">
        <f>IF(E320="","$",VLOOKUP(E320,'結果(小)'!$B$2:$F$1295,5,FALSE))</f>
        <v>#DIV/0!</v>
      </c>
      <c r="G320" s="1" t="s">
        <v>1533</v>
      </c>
      <c r="H320" s="6">
        <v>44</v>
      </c>
      <c r="I320" s="2" t="s">
        <v>5</v>
      </c>
      <c r="J320" s="1" t="s">
        <v>15273</v>
      </c>
      <c r="K320" s="3"/>
      <c r="L320" s="1"/>
      <c r="M320" s="1"/>
      <c r="N320" s="8" t="s">
        <v>16120</v>
      </c>
      <c r="O320" s="1" t="s">
        <v>445</v>
      </c>
      <c r="P320" s="1" t="s">
        <v>14</v>
      </c>
      <c r="Q320" s="16">
        <v>1</v>
      </c>
      <c r="R320" s="17">
        <v>1</v>
      </c>
      <c r="S320" s="3" t="s">
        <v>5457</v>
      </c>
      <c r="T320" s="1770"/>
      <c r="U320" s="1780"/>
      <c r="V320" s="1752"/>
    </row>
    <row r="321" spans="1:22" ht="12" customHeight="1">
      <c r="A321" s="1040" t="str">
        <f t="shared" si="5"/>
        <v>3302</v>
      </c>
      <c r="B321" s="1053" t="s">
        <v>15361</v>
      </c>
      <c r="C321" s="1064"/>
      <c r="D321" s="2">
        <v>1</v>
      </c>
      <c r="E321" s="4" t="s">
        <v>1545</v>
      </c>
      <c r="F321" s="1065" t="str">
        <f>IF(E321="","$",VLOOKUP(E321,'結果(小)'!$B$2:$F$1295,5,FALSE))</f>
        <v>$</v>
      </c>
      <c r="G321" s="1" t="s">
        <v>1549</v>
      </c>
      <c r="H321" s="6">
        <v>49</v>
      </c>
      <c r="I321" s="2" t="s">
        <v>5</v>
      </c>
      <c r="J321" s="1" t="s">
        <v>15273</v>
      </c>
      <c r="K321" s="3" t="s">
        <v>1550</v>
      </c>
      <c r="L321" s="1"/>
      <c r="M321" s="1"/>
      <c r="N321" s="4" t="s">
        <v>16120</v>
      </c>
      <c r="O321" s="1" t="s">
        <v>445</v>
      </c>
      <c r="P321" s="1" t="s">
        <v>25</v>
      </c>
      <c r="Q321" s="16">
        <v>5</v>
      </c>
      <c r="R321" s="17">
        <v>5</v>
      </c>
      <c r="S321" s="3" t="s">
        <v>5457</v>
      </c>
      <c r="T321" s="1770"/>
      <c r="U321" s="1780"/>
      <c r="V321" s="1752"/>
    </row>
    <row r="322" spans="1:22" ht="12" customHeight="1">
      <c r="A322" s="1040" t="str">
        <f t="shared" si="5"/>
        <v>3302</v>
      </c>
      <c r="B322" s="1053" t="s">
        <v>15362</v>
      </c>
      <c r="C322" s="1064"/>
      <c r="D322" s="2">
        <v>1</v>
      </c>
      <c r="E322" s="4" t="s">
        <v>1558</v>
      </c>
      <c r="F322" s="1065" t="e">
        <f>IF(E322="","$",VLOOKUP(E322,'結果(小)'!$B$2:$F$1295,5,FALSE))</f>
        <v>#DIV/0!</v>
      </c>
      <c r="G322" s="1" t="s">
        <v>1564</v>
      </c>
      <c r="H322" s="6">
        <v>41</v>
      </c>
      <c r="I322" s="2" t="s">
        <v>5</v>
      </c>
      <c r="J322" s="1" t="s">
        <v>15273</v>
      </c>
      <c r="K322" s="3" t="s">
        <v>1565</v>
      </c>
      <c r="L322" s="1" t="s">
        <v>373</v>
      </c>
      <c r="M322" s="1"/>
      <c r="N322" s="4" t="s">
        <v>16120</v>
      </c>
      <c r="O322" s="1" t="s">
        <v>48</v>
      </c>
      <c r="P322" s="1" t="s">
        <v>6</v>
      </c>
      <c r="Q322" s="16"/>
      <c r="R322" s="17">
        <v>2</v>
      </c>
      <c r="S322" s="3" t="s">
        <v>5457</v>
      </c>
      <c r="T322" s="1770"/>
      <c r="U322" s="1780"/>
      <c r="V322" s="1752"/>
    </row>
    <row r="323" spans="1:22" ht="12" customHeight="1">
      <c r="A323" s="1040" t="str">
        <f t="shared" ref="A323:A386" si="6">MIDB(B323,1,4)</f>
        <v>3302</v>
      </c>
      <c r="B323" s="1053" t="s">
        <v>15363</v>
      </c>
      <c r="C323" s="1064"/>
      <c r="D323" s="2">
        <v>1</v>
      </c>
      <c r="E323" s="4" t="s">
        <v>1573</v>
      </c>
      <c r="F323" s="1065" t="e">
        <f>IF(E323="","$",VLOOKUP(E323,'結果(小)'!$B$2:$F$1295,5,FALSE))</f>
        <v>#DIV/0!</v>
      </c>
      <c r="G323" s="1" t="s">
        <v>1579</v>
      </c>
      <c r="H323" s="6">
        <v>36</v>
      </c>
      <c r="I323" s="2" t="s">
        <v>19</v>
      </c>
      <c r="J323" s="1" t="s">
        <v>15273</v>
      </c>
      <c r="K323" s="3"/>
      <c r="L323" s="1"/>
      <c r="M323" s="1"/>
      <c r="N323" s="8" t="s">
        <v>16120</v>
      </c>
      <c r="O323" s="1" t="s">
        <v>30</v>
      </c>
      <c r="P323" s="1" t="s">
        <v>6</v>
      </c>
      <c r="Q323" s="16"/>
      <c r="R323" s="17"/>
      <c r="S323" s="3" t="s">
        <v>5457</v>
      </c>
      <c r="T323" s="1770"/>
      <c r="U323" s="1780"/>
      <c r="V323" s="1752"/>
    </row>
    <row r="324" spans="1:22" ht="12" customHeight="1">
      <c r="A324" s="1040" t="str">
        <f t="shared" si="6"/>
        <v>3302</v>
      </c>
      <c r="B324" s="1053" t="s">
        <v>15364</v>
      </c>
      <c r="C324" s="1064"/>
      <c r="D324" s="2">
        <v>1</v>
      </c>
      <c r="E324" s="4" t="s">
        <v>1592</v>
      </c>
      <c r="F324" s="1065" t="e">
        <f>IF(E324="","$",VLOOKUP(E324,'結果(小)'!$B$2:$F$1295,5,FALSE))</f>
        <v>#DIV/0!</v>
      </c>
      <c r="G324" s="1" t="s">
        <v>1596</v>
      </c>
      <c r="H324" s="6">
        <v>44</v>
      </c>
      <c r="I324" s="2" t="s">
        <v>5</v>
      </c>
      <c r="J324" s="1" t="s">
        <v>15273</v>
      </c>
      <c r="K324" s="3"/>
      <c r="L324" s="1"/>
      <c r="M324" s="1"/>
      <c r="N324" s="23" t="s">
        <v>16120</v>
      </c>
      <c r="O324" s="1" t="s">
        <v>934</v>
      </c>
      <c r="P324" s="1" t="s">
        <v>14</v>
      </c>
      <c r="Q324" s="16">
        <v>2</v>
      </c>
      <c r="R324" s="17">
        <v>2</v>
      </c>
      <c r="S324" s="3" t="s">
        <v>5457</v>
      </c>
      <c r="T324" s="1770"/>
      <c r="U324" s="1780"/>
      <c r="V324" s="1752"/>
    </row>
    <row r="325" spans="1:22" ht="12" customHeight="1">
      <c r="A325" s="1040" t="str">
        <f t="shared" si="6"/>
        <v>3302</v>
      </c>
      <c r="B325" s="1053" t="s">
        <v>15365</v>
      </c>
      <c r="C325" s="1064"/>
      <c r="D325" s="2">
        <v>1</v>
      </c>
      <c r="E325" s="4" t="s">
        <v>1608</v>
      </c>
      <c r="F325" s="1065" t="e">
        <f>IF(E325="","$",VLOOKUP(E325,'結果(小)'!$B$2:$F$1295,5,FALSE))</f>
        <v>#DIV/0!</v>
      </c>
      <c r="G325" s="1" t="s">
        <v>1615</v>
      </c>
      <c r="H325" s="6">
        <v>33</v>
      </c>
      <c r="I325" s="2" t="s">
        <v>19</v>
      </c>
      <c r="J325" s="1" t="s">
        <v>15273</v>
      </c>
      <c r="K325" s="3"/>
      <c r="L325" s="1"/>
      <c r="M325" s="1"/>
      <c r="N325" s="8" t="s">
        <v>16120</v>
      </c>
      <c r="O325" s="1" t="s">
        <v>30</v>
      </c>
      <c r="P325" s="1" t="s">
        <v>6</v>
      </c>
      <c r="Q325" s="16"/>
      <c r="R325" s="17"/>
      <c r="S325" s="3"/>
      <c r="T325" s="1770"/>
      <c r="U325" s="1780"/>
      <c r="V325" s="1752"/>
    </row>
    <row r="326" spans="1:22" ht="12" customHeight="1">
      <c r="A326" s="1040" t="str">
        <f t="shared" si="6"/>
        <v>3302</v>
      </c>
      <c r="B326" s="1053" t="s">
        <v>15366</v>
      </c>
      <c r="C326" s="1064"/>
      <c r="D326" s="2">
        <v>1</v>
      </c>
      <c r="E326" s="4" t="s">
        <v>1620</v>
      </c>
      <c r="F326" s="1065" t="e">
        <f>IF(E326="","$",VLOOKUP(E326,'結果(小)'!$B$2:$F$1295,5,FALSE))</f>
        <v>#DIV/0!</v>
      </c>
      <c r="G326" s="1" t="s">
        <v>2062</v>
      </c>
      <c r="H326" s="6">
        <v>47</v>
      </c>
      <c r="I326" s="2" t="s">
        <v>19</v>
      </c>
      <c r="J326" s="1" t="s">
        <v>15273</v>
      </c>
      <c r="K326" s="3"/>
      <c r="L326" s="1"/>
      <c r="M326" s="1"/>
      <c r="N326" s="4" t="s">
        <v>16120</v>
      </c>
      <c r="O326" s="1" t="s">
        <v>476</v>
      </c>
      <c r="P326" s="1" t="s">
        <v>6</v>
      </c>
      <c r="Q326" s="16"/>
      <c r="R326" s="17"/>
      <c r="S326" s="3"/>
      <c r="T326" s="1770"/>
      <c r="U326" s="1780"/>
      <c r="V326" s="1752"/>
    </row>
    <row r="327" spans="1:22" ht="12" customHeight="1">
      <c r="A327" s="1040" t="str">
        <f t="shared" si="6"/>
        <v>3302</v>
      </c>
      <c r="B327" s="1053" t="s">
        <v>15367</v>
      </c>
      <c r="C327" s="1064"/>
      <c r="D327" s="2">
        <v>1</v>
      </c>
      <c r="E327" s="4" t="s">
        <v>1633</v>
      </c>
      <c r="F327" s="1065" t="e">
        <f>IF(E327="","$",VLOOKUP(E327,'結果(小)'!$B$2:$F$1295,5,FALSE))</f>
        <v>#DIV/0!</v>
      </c>
      <c r="G327" s="1" t="s">
        <v>1642</v>
      </c>
      <c r="H327" s="6">
        <v>36</v>
      </c>
      <c r="I327" s="2" t="s">
        <v>5</v>
      </c>
      <c r="J327" s="1" t="s">
        <v>15273</v>
      </c>
      <c r="K327" s="3"/>
      <c r="L327" s="1"/>
      <c r="M327" s="1"/>
      <c r="N327" s="4" t="s">
        <v>16120</v>
      </c>
      <c r="O327" s="1" t="s">
        <v>30</v>
      </c>
      <c r="P327" s="1" t="s">
        <v>6</v>
      </c>
      <c r="Q327" s="16"/>
      <c r="R327" s="17"/>
      <c r="S327" s="3"/>
      <c r="T327" s="1770"/>
      <c r="U327" s="1780"/>
      <c r="V327" s="1752"/>
    </row>
    <row r="328" spans="1:22" ht="12" customHeight="1">
      <c r="A328" s="1040" t="str">
        <f t="shared" si="6"/>
        <v>3302</v>
      </c>
      <c r="B328" s="1053" t="s">
        <v>15368</v>
      </c>
      <c r="C328" s="1064"/>
      <c r="D328" s="2">
        <v>33</v>
      </c>
      <c r="E328" s="2"/>
      <c r="F328" s="1065" t="str">
        <f>IF(E328="","$",VLOOKUP(E328,'結果(小)'!$B$2:$F$1295,5,FALSE))</f>
        <v>$</v>
      </c>
      <c r="G328" s="2" t="s">
        <v>15253</v>
      </c>
      <c r="H328" s="6">
        <v>45</v>
      </c>
      <c r="I328" s="2" t="s">
        <v>5</v>
      </c>
      <c r="J328" s="2" t="s">
        <v>6067</v>
      </c>
      <c r="K328" s="22"/>
      <c r="L328" s="2"/>
      <c r="M328" s="2"/>
      <c r="N328" s="8" t="s">
        <v>16120</v>
      </c>
      <c r="O328" s="2" t="s">
        <v>5247</v>
      </c>
      <c r="P328" s="2" t="s">
        <v>6</v>
      </c>
      <c r="Q328" s="24"/>
      <c r="R328" s="25"/>
      <c r="S328" s="22"/>
      <c r="T328" s="1770"/>
      <c r="U328" s="1780"/>
      <c r="V328" s="1752"/>
    </row>
    <row r="329" spans="1:22" ht="12" customHeight="1">
      <c r="A329" s="1040" t="str">
        <f t="shared" si="6"/>
        <v>3302</v>
      </c>
      <c r="B329" s="1053" t="s">
        <v>15369</v>
      </c>
      <c r="C329" s="1064"/>
      <c r="D329" s="2">
        <v>34</v>
      </c>
      <c r="E329" s="2"/>
      <c r="F329" s="1065" t="str">
        <f>IF(E329="","$",VLOOKUP(E329,'結果(小)'!$B$2:$F$1295,5,FALSE))</f>
        <v>$</v>
      </c>
      <c r="G329" s="2" t="s">
        <v>6070</v>
      </c>
      <c r="H329" s="6">
        <v>51</v>
      </c>
      <c r="I329" s="2" t="s">
        <v>5</v>
      </c>
      <c r="J329" s="2" t="s">
        <v>6067</v>
      </c>
      <c r="K329" s="22"/>
      <c r="L329" s="2"/>
      <c r="M329" s="2"/>
      <c r="N329" s="23" t="s">
        <v>16120</v>
      </c>
      <c r="O329" s="2" t="s">
        <v>5247</v>
      </c>
      <c r="P329" s="2" t="s">
        <v>6</v>
      </c>
      <c r="Q329" s="24"/>
      <c r="R329" s="25"/>
      <c r="S329" s="22"/>
      <c r="T329" s="1770"/>
      <c r="U329" s="1780"/>
      <c r="V329" s="1752"/>
    </row>
    <row r="330" spans="1:22" ht="12" customHeight="1" thickBot="1">
      <c r="A330" s="916" t="str">
        <f t="shared" si="6"/>
        <v>3302</v>
      </c>
      <c r="B330" s="1074" t="s">
        <v>15370</v>
      </c>
      <c r="C330" s="1075"/>
      <c r="D330" s="702">
        <v>35</v>
      </c>
      <c r="E330" s="702"/>
      <c r="F330" s="1071" t="str">
        <f>IF(E330="","$",VLOOKUP(E330,'結果(小)'!$B$2:$F$1295,5,FALSE))</f>
        <v>$</v>
      </c>
      <c r="G330" s="702" t="s">
        <v>15254</v>
      </c>
      <c r="H330" s="701">
        <v>62</v>
      </c>
      <c r="I330" s="702" t="s">
        <v>5</v>
      </c>
      <c r="J330" s="702" t="s">
        <v>6067</v>
      </c>
      <c r="K330" s="720"/>
      <c r="L330" s="702"/>
      <c r="M330" s="702"/>
      <c r="N330" s="704" t="s">
        <v>16120</v>
      </c>
      <c r="O330" s="702" t="s">
        <v>5247</v>
      </c>
      <c r="P330" s="702" t="s">
        <v>6</v>
      </c>
      <c r="Q330" s="721"/>
      <c r="R330" s="722"/>
      <c r="S330" s="720"/>
      <c r="T330" s="1771"/>
      <c r="U330" s="1776"/>
      <c r="V330" s="1753"/>
    </row>
    <row r="331" spans="1:22" ht="12" customHeight="1">
      <c r="A331" s="1038" t="str">
        <f t="shared" si="6"/>
        <v>3303</v>
      </c>
      <c r="B331" s="1097" t="s">
        <v>16246</v>
      </c>
      <c r="C331" s="1073"/>
      <c r="D331" s="696">
        <v>1</v>
      </c>
      <c r="E331" s="688" t="s">
        <v>1026</v>
      </c>
      <c r="F331" s="1068" t="e">
        <f>IF(E331="","$",VLOOKUP(E331,'結果(小)'!$B$2:$F$1295,5,FALSE))</f>
        <v>#DIV/0!</v>
      </c>
      <c r="G331" s="687" t="s">
        <v>1035</v>
      </c>
      <c r="H331" s="690">
        <v>53</v>
      </c>
      <c r="I331" s="696" t="s">
        <v>5</v>
      </c>
      <c r="J331" s="687" t="s">
        <v>15273</v>
      </c>
      <c r="K331" s="747" t="s">
        <v>1040</v>
      </c>
      <c r="L331" s="687"/>
      <c r="M331" s="687"/>
      <c r="N331" s="688" t="s">
        <v>16125</v>
      </c>
      <c r="O331" s="687"/>
      <c r="P331" s="687" t="s">
        <v>25</v>
      </c>
      <c r="Q331" s="748">
        <v>1</v>
      </c>
      <c r="R331" s="749">
        <v>1</v>
      </c>
      <c r="S331" s="747" t="s">
        <v>5561</v>
      </c>
      <c r="T331" s="1772"/>
      <c r="U331" s="1775"/>
      <c r="V331" s="1751" t="e">
        <f>U331/SUM(U265:U403)</f>
        <v>#DIV/0!</v>
      </c>
    </row>
    <row r="332" spans="1:22" ht="12" customHeight="1">
      <c r="A332" s="1040" t="str">
        <f t="shared" si="6"/>
        <v>3303</v>
      </c>
      <c r="B332" s="1054" t="s">
        <v>16247</v>
      </c>
      <c r="C332" s="1064"/>
      <c r="D332" s="2">
        <v>1</v>
      </c>
      <c r="E332" s="4" t="s">
        <v>1042</v>
      </c>
      <c r="F332" s="1065" t="e">
        <f>IF(E332="","$",VLOOKUP(E332,'結果(小)'!$B$2:$F$1295,5,FALSE))</f>
        <v>#DIV/0!</v>
      </c>
      <c r="G332" s="1" t="s">
        <v>1048</v>
      </c>
      <c r="H332" s="6">
        <v>55</v>
      </c>
      <c r="I332" s="2" t="s">
        <v>5</v>
      </c>
      <c r="J332" s="1" t="s">
        <v>15273</v>
      </c>
      <c r="K332" s="3" t="s">
        <v>1049</v>
      </c>
      <c r="L332" s="1"/>
      <c r="M332" s="1"/>
      <c r="N332" s="4" t="s">
        <v>16125</v>
      </c>
      <c r="O332" s="1"/>
      <c r="P332" s="1" t="s">
        <v>25</v>
      </c>
      <c r="Q332" s="16">
        <v>2</v>
      </c>
      <c r="R332" s="17">
        <v>2</v>
      </c>
      <c r="S332" s="3" t="s">
        <v>5561</v>
      </c>
      <c r="T332" s="1773"/>
      <c r="U332" s="1780"/>
      <c r="V332" s="1752"/>
    </row>
    <row r="333" spans="1:22" ht="12" customHeight="1">
      <c r="A333" s="1040" t="str">
        <f t="shared" si="6"/>
        <v>3303</v>
      </c>
      <c r="B333" s="1054" t="s">
        <v>16248</v>
      </c>
      <c r="C333" s="1064"/>
      <c r="D333" s="2">
        <v>1</v>
      </c>
      <c r="E333" s="4" t="s">
        <v>1059</v>
      </c>
      <c r="F333" s="1065" t="e">
        <f>IF(E333="","$",VLOOKUP(E333,'結果(小)'!$B$2:$F$1295,5,FALSE))</f>
        <v>#DIV/0!</v>
      </c>
      <c r="G333" s="1" t="s">
        <v>879</v>
      </c>
      <c r="H333" s="6">
        <v>47</v>
      </c>
      <c r="I333" s="2" t="s">
        <v>19</v>
      </c>
      <c r="J333" s="1" t="s">
        <v>15273</v>
      </c>
      <c r="K333" s="12" t="s">
        <v>1299</v>
      </c>
      <c r="L333" s="19"/>
      <c r="M333" s="19"/>
      <c r="N333" s="4" t="s">
        <v>16125</v>
      </c>
      <c r="O333" s="6"/>
      <c r="P333" s="6" t="s">
        <v>25</v>
      </c>
      <c r="Q333" s="13">
        <v>1</v>
      </c>
      <c r="R333" s="14">
        <v>1</v>
      </c>
      <c r="S333" s="12" t="s">
        <v>5561</v>
      </c>
      <c r="T333" s="1773"/>
      <c r="U333" s="1780"/>
      <c r="V333" s="1752"/>
    </row>
    <row r="334" spans="1:22" ht="12" customHeight="1">
      <c r="A334" s="1040" t="str">
        <f t="shared" si="6"/>
        <v>3303</v>
      </c>
      <c r="B334" s="1054" t="s">
        <v>16249</v>
      </c>
      <c r="C334" s="1064"/>
      <c r="D334" s="2">
        <v>1</v>
      </c>
      <c r="E334" s="4" t="s">
        <v>1085</v>
      </c>
      <c r="F334" s="1065" t="e">
        <f>IF(E334="","$",VLOOKUP(E334,'結果(小)'!$B$2:$F$1295,5,FALSE))</f>
        <v>#DIV/0!</v>
      </c>
      <c r="G334" s="1" t="s">
        <v>5534</v>
      </c>
      <c r="H334" s="6">
        <v>38</v>
      </c>
      <c r="I334" s="2" t="s">
        <v>19</v>
      </c>
      <c r="J334" s="1" t="s">
        <v>15273</v>
      </c>
      <c r="K334" s="3" t="s">
        <v>5535</v>
      </c>
      <c r="L334" s="1"/>
      <c r="M334" s="1"/>
      <c r="N334" s="4" t="s">
        <v>16125</v>
      </c>
      <c r="O334" s="1"/>
      <c r="P334" s="1" t="s">
        <v>25</v>
      </c>
      <c r="Q334" s="16">
        <v>1</v>
      </c>
      <c r="R334" s="17">
        <v>1</v>
      </c>
      <c r="S334" s="3" t="s">
        <v>5561</v>
      </c>
      <c r="T334" s="1773"/>
      <c r="U334" s="1780"/>
      <c r="V334" s="1752"/>
    </row>
    <row r="335" spans="1:22" ht="12" customHeight="1">
      <c r="A335" s="1040" t="str">
        <f t="shared" si="6"/>
        <v>3303</v>
      </c>
      <c r="B335" s="1054" t="s">
        <v>16250</v>
      </c>
      <c r="C335" s="1064"/>
      <c r="D335" s="2">
        <v>1</v>
      </c>
      <c r="E335" s="4" t="s">
        <v>1102</v>
      </c>
      <c r="F335" s="1065" t="e">
        <f>IF(E335="","$",VLOOKUP(E335,'結果(小)'!$B$2:$F$1295,5,FALSE))</f>
        <v>#DIV/0!</v>
      </c>
      <c r="G335" s="1" t="s">
        <v>3397</v>
      </c>
      <c r="H335" s="6">
        <v>50</v>
      </c>
      <c r="I335" s="2" t="s">
        <v>19</v>
      </c>
      <c r="J335" s="1" t="s">
        <v>15273</v>
      </c>
      <c r="K335" s="3"/>
      <c r="L335" s="1"/>
      <c r="M335" s="1"/>
      <c r="N335" s="4" t="s">
        <v>16125</v>
      </c>
      <c r="O335" s="1"/>
      <c r="P335" s="1" t="s">
        <v>6</v>
      </c>
      <c r="Q335" s="16"/>
      <c r="R335" s="17"/>
      <c r="S335" s="3" t="s">
        <v>5561</v>
      </c>
      <c r="T335" s="1773"/>
      <c r="U335" s="1780"/>
      <c r="V335" s="1752"/>
    </row>
    <row r="336" spans="1:22" ht="12" customHeight="1">
      <c r="A336" s="1040" t="str">
        <f t="shared" si="6"/>
        <v>3303</v>
      </c>
      <c r="B336" s="1054" t="s">
        <v>16251</v>
      </c>
      <c r="C336" s="1064"/>
      <c r="D336" s="2">
        <v>1</v>
      </c>
      <c r="E336" s="4" t="s">
        <v>1121</v>
      </c>
      <c r="F336" s="1065" t="e">
        <f>IF(E336="","$",VLOOKUP(E336,'結果(小)'!$B$2:$F$1295,5,FALSE))</f>
        <v>#DIV/0!</v>
      </c>
      <c r="G336" s="1" t="s">
        <v>1130</v>
      </c>
      <c r="H336" s="6">
        <v>58</v>
      </c>
      <c r="I336" s="2" t="s">
        <v>5</v>
      </c>
      <c r="J336" s="1" t="s">
        <v>15273</v>
      </c>
      <c r="K336" s="3" t="s">
        <v>1131</v>
      </c>
      <c r="L336" s="1"/>
      <c r="M336" s="1"/>
      <c r="N336" s="4" t="s">
        <v>16125</v>
      </c>
      <c r="O336" s="1"/>
      <c r="P336" s="1" t="s">
        <v>25</v>
      </c>
      <c r="Q336" s="16">
        <v>3</v>
      </c>
      <c r="R336" s="17">
        <v>3</v>
      </c>
      <c r="S336" s="3" t="s">
        <v>5561</v>
      </c>
      <c r="T336" s="1773"/>
      <c r="U336" s="1780"/>
      <c r="V336" s="1752"/>
    </row>
    <row r="337" spans="1:22" ht="12" customHeight="1">
      <c r="A337" s="1040" t="str">
        <f t="shared" si="6"/>
        <v>3303</v>
      </c>
      <c r="B337" s="1054" t="s">
        <v>16252</v>
      </c>
      <c r="C337" s="1064"/>
      <c r="D337" s="2">
        <v>1</v>
      </c>
      <c r="E337" s="4" t="s">
        <v>1136</v>
      </c>
      <c r="F337" s="1065" t="e">
        <f>IF(E337="","$",VLOOKUP(E337,'結果(小)'!$B$2:$F$1295,5,FALSE))</f>
        <v>#DIV/0!</v>
      </c>
      <c r="G337" s="1" t="s">
        <v>3993</v>
      </c>
      <c r="H337" s="6">
        <v>53</v>
      </c>
      <c r="I337" s="2" t="s">
        <v>19</v>
      </c>
      <c r="J337" s="1" t="s">
        <v>15273</v>
      </c>
      <c r="K337" s="3" t="s">
        <v>3994</v>
      </c>
      <c r="L337" s="1" t="s">
        <v>373</v>
      </c>
      <c r="M337" s="1"/>
      <c r="N337" s="4" t="s">
        <v>16125</v>
      </c>
      <c r="O337" s="1"/>
      <c r="P337" s="1" t="s">
        <v>6</v>
      </c>
      <c r="Q337" s="16"/>
      <c r="R337" s="17">
        <v>2</v>
      </c>
      <c r="S337" s="3" t="s">
        <v>5561</v>
      </c>
      <c r="T337" s="1773"/>
      <c r="U337" s="1780"/>
      <c r="V337" s="1752"/>
    </row>
    <row r="338" spans="1:22" ht="12" customHeight="1">
      <c r="A338" s="1040" t="str">
        <f t="shared" si="6"/>
        <v>3303</v>
      </c>
      <c r="B338" s="1054" t="s">
        <v>16253</v>
      </c>
      <c r="C338" s="1064"/>
      <c r="D338" s="2">
        <v>1</v>
      </c>
      <c r="E338" s="4" t="s">
        <v>1155</v>
      </c>
      <c r="F338" s="1065" t="e">
        <f>IF(E338="","$",VLOOKUP(E338,'結果(小)'!$B$2:$F$1295,5,FALSE))</f>
        <v>#DIV/0!</v>
      </c>
      <c r="G338" s="1" t="s">
        <v>3194</v>
      </c>
      <c r="H338" s="6">
        <v>41</v>
      </c>
      <c r="I338" s="2" t="s">
        <v>19</v>
      </c>
      <c r="J338" s="1" t="s">
        <v>15273</v>
      </c>
      <c r="K338" s="3"/>
      <c r="L338" s="1"/>
      <c r="M338" s="1"/>
      <c r="N338" s="4" t="s">
        <v>16125</v>
      </c>
      <c r="O338" s="1"/>
      <c r="P338" s="1" t="s">
        <v>14</v>
      </c>
      <c r="Q338" s="16">
        <v>1</v>
      </c>
      <c r="R338" s="17">
        <v>1</v>
      </c>
      <c r="S338" s="3" t="s">
        <v>5561</v>
      </c>
      <c r="T338" s="1773"/>
      <c r="U338" s="1780"/>
      <c r="V338" s="1752"/>
    </row>
    <row r="339" spans="1:22" ht="12" customHeight="1">
      <c r="A339" s="1040" t="str">
        <f t="shared" si="6"/>
        <v>3303</v>
      </c>
      <c r="B339" s="1054" t="s">
        <v>16254</v>
      </c>
      <c r="C339" s="1064"/>
      <c r="D339" s="2">
        <v>1</v>
      </c>
      <c r="E339" s="4" t="s">
        <v>1188</v>
      </c>
      <c r="F339" s="1065" t="e">
        <f>IF(E339="","$",VLOOKUP(E339,'結果(小)'!$B$2:$F$1295,5,FALSE))</f>
        <v>#DIV/0!</v>
      </c>
      <c r="G339" s="1" t="s">
        <v>1195</v>
      </c>
      <c r="H339" s="6">
        <v>55</v>
      </c>
      <c r="I339" s="2" t="s">
        <v>5</v>
      </c>
      <c r="J339" s="1" t="s">
        <v>15273</v>
      </c>
      <c r="K339" s="3" t="s">
        <v>1196</v>
      </c>
      <c r="L339" s="1"/>
      <c r="M339" s="1"/>
      <c r="N339" s="4" t="s">
        <v>16125</v>
      </c>
      <c r="O339" s="1"/>
      <c r="P339" s="1" t="s">
        <v>25</v>
      </c>
      <c r="Q339" s="16">
        <v>1</v>
      </c>
      <c r="R339" s="17">
        <v>1</v>
      </c>
      <c r="S339" s="3" t="s">
        <v>5561</v>
      </c>
      <c r="T339" s="1773"/>
      <c r="U339" s="1780"/>
      <c r="V339" s="1752"/>
    </row>
    <row r="340" spans="1:22" ht="12" customHeight="1">
      <c r="A340" s="1040" t="str">
        <f t="shared" si="6"/>
        <v>3303</v>
      </c>
      <c r="B340" s="1054" t="s">
        <v>16255</v>
      </c>
      <c r="C340" s="1064"/>
      <c r="D340" s="2">
        <v>1</v>
      </c>
      <c r="E340" s="4" t="s">
        <v>1203</v>
      </c>
      <c r="F340" s="1065" t="e">
        <f>IF(E340="","$",VLOOKUP(E340,'結果(小)'!$B$2:$F$1295,5,FALSE))</f>
        <v>#DIV/0!</v>
      </c>
      <c r="G340" s="1" t="s">
        <v>1210</v>
      </c>
      <c r="H340" s="6">
        <v>42</v>
      </c>
      <c r="I340" s="2" t="s">
        <v>5</v>
      </c>
      <c r="J340" s="1" t="s">
        <v>15273</v>
      </c>
      <c r="K340" s="3" t="s">
        <v>1211</v>
      </c>
      <c r="L340" s="1"/>
      <c r="M340" s="1"/>
      <c r="N340" s="4" t="s">
        <v>16125</v>
      </c>
      <c r="O340" s="1"/>
      <c r="P340" s="1" t="s">
        <v>25</v>
      </c>
      <c r="Q340" s="16">
        <v>1</v>
      </c>
      <c r="R340" s="17">
        <v>1</v>
      </c>
      <c r="S340" s="3" t="s">
        <v>5561</v>
      </c>
      <c r="T340" s="1773"/>
      <c r="U340" s="1780"/>
      <c r="V340" s="1752"/>
    </row>
    <row r="341" spans="1:22" ht="12" customHeight="1">
      <c r="A341" s="1040" t="str">
        <f t="shared" si="6"/>
        <v>3303</v>
      </c>
      <c r="B341" s="1054" t="s">
        <v>16256</v>
      </c>
      <c r="C341" s="1064"/>
      <c r="D341" s="2">
        <v>1</v>
      </c>
      <c r="E341" s="4" t="s">
        <v>1261</v>
      </c>
      <c r="F341" s="1065" t="e">
        <f>IF(E341="","$",VLOOKUP(E341,'結果(小)'!$B$2:$F$1295,5,FALSE))</f>
        <v>#DIV/0!</v>
      </c>
      <c r="G341" s="1" t="s">
        <v>1268</v>
      </c>
      <c r="H341" s="6">
        <v>48</v>
      </c>
      <c r="I341" s="2" t="s">
        <v>19</v>
      </c>
      <c r="J341" s="1" t="s">
        <v>15273</v>
      </c>
      <c r="K341" s="3" t="s">
        <v>1269</v>
      </c>
      <c r="L341" s="1"/>
      <c r="M341" s="1"/>
      <c r="N341" s="4" t="s">
        <v>16125</v>
      </c>
      <c r="O341" s="1"/>
      <c r="P341" s="1" t="s">
        <v>25</v>
      </c>
      <c r="Q341" s="16">
        <v>1</v>
      </c>
      <c r="R341" s="17">
        <v>1</v>
      </c>
      <c r="S341" s="3" t="s">
        <v>16114</v>
      </c>
      <c r="T341" s="1773"/>
      <c r="U341" s="1780"/>
      <c r="V341" s="1752"/>
    </row>
    <row r="342" spans="1:22" ht="12" customHeight="1">
      <c r="A342" s="1040" t="str">
        <f t="shared" si="6"/>
        <v>3303</v>
      </c>
      <c r="B342" s="1054" t="s">
        <v>16257</v>
      </c>
      <c r="C342" s="1064"/>
      <c r="D342" s="2">
        <v>1</v>
      </c>
      <c r="E342" s="4" t="s">
        <v>1379</v>
      </c>
      <c r="F342" s="1065" t="e">
        <f>IF(E342="","$",VLOOKUP(E342,'結果(小)'!$B$2:$F$1295,5,FALSE))</f>
        <v>#DIV/0!</v>
      </c>
      <c r="G342" s="1" t="s">
        <v>5791</v>
      </c>
      <c r="H342" s="6">
        <v>56</v>
      </c>
      <c r="I342" s="2" t="s">
        <v>5</v>
      </c>
      <c r="J342" s="1" t="s">
        <v>15273</v>
      </c>
      <c r="K342" s="3"/>
      <c r="L342" s="1"/>
      <c r="M342" s="1"/>
      <c r="N342" s="4" t="s">
        <v>16125</v>
      </c>
      <c r="O342" s="1"/>
      <c r="P342" s="1" t="s">
        <v>6</v>
      </c>
      <c r="Q342" s="16"/>
      <c r="R342" s="17"/>
      <c r="S342" s="3" t="s">
        <v>5561</v>
      </c>
      <c r="T342" s="1773"/>
      <c r="U342" s="1780"/>
      <c r="V342" s="1752"/>
    </row>
    <row r="343" spans="1:22" ht="12" customHeight="1">
      <c r="A343" s="1040" t="str">
        <f t="shared" si="6"/>
        <v>3303</v>
      </c>
      <c r="B343" s="1054" t="s">
        <v>16258</v>
      </c>
      <c r="C343" s="1064"/>
      <c r="D343" s="2">
        <v>1</v>
      </c>
      <c r="E343" s="4" t="s">
        <v>1409</v>
      </c>
      <c r="F343" s="1065" t="e">
        <f>IF(E343="","$",VLOOKUP(E343,'結果(小)'!$B$2:$F$1295,5,FALSE))</f>
        <v>#DIV/0!</v>
      </c>
      <c r="G343" s="1" t="s">
        <v>5946</v>
      </c>
      <c r="H343" s="6">
        <v>50</v>
      </c>
      <c r="I343" s="2" t="s">
        <v>5</v>
      </c>
      <c r="J343" s="1" t="s">
        <v>15273</v>
      </c>
      <c r="K343" s="3" t="s">
        <v>5947</v>
      </c>
      <c r="L343" s="1"/>
      <c r="M343" s="1"/>
      <c r="N343" s="4" t="s">
        <v>16125</v>
      </c>
      <c r="O343" s="1"/>
      <c r="P343" s="1" t="s">
        <v>25</v>
      </c>
      <c r="Q343" s="16">
        <v>1</v>
      </c>
      <c r="R343" s="17">
        <v>1</v>
      </c>
      <c r="S343" s="3" t="s">
        <v>5561</v>
      </c>
      <c r="T343" s="1773"/>
      <c r="U343" s="1780"/>
      <c r="V343" s="1752"/>
    </row>
    <row r="344" spans="1:22" ht="12" customHeight="1">
      <c r="A344" s="1040" t="str">
        <f t="shared" si="6"/>
        <v>3303</v>
      </c>
      <c r="B344" s="1054" t="s">
        <v>16259</v>
      </c>
      <c r="C344" s="1064"/>
      <c r="D344" s="2">
        <v>1</v>
      </c>
      <c r="E344" s="4" t="s">
        <v>1488</v>
      </c>
      <c r="F344" s="1065" t="e">
        <f>IF(E344="","$",VLOOKUP(E344,'結果(小)'!$B$2:$F$1295,5,FALSE))</f>
        <v>#DIV/0!</v>
      </c>
      <c r="G344" s="1" t="s">
        <v>1500</v>
      </c>
      <c r="H344" s="6">
        <v>64</v>
      </c>
      <c r="I344" s="2" t="s">
        <v>19</v>
      </c>
      <c r="J344" s="1" t="s">
        <v>15273</v>
      </c>
      <c r="K344" s="3" t="s">
        <v>1501</v>
      </c>
      <c r="L344" s="1"/>
      <c r="M344" s="1"/>
      <c r="N344" s="4" t="s">
        <v>16125</v>
      </c>
      <c r="O344" s="1"/>
      <c r="P344" s="1" t="s">
        <v>25</v>
      </c>
      <c r="Q344" s="16">
        <v>4</v>
      </c>
      <c r="R344" s="17">
        <v>4</v>
      </c>
      <c r="S344" s="3" t="s">
        <v>16114</v>
      </c>
      <c r="T344" s="1773"/>
      <c r="U344" s="1780"/>
      <c r="V344" s="1752"/>
    </row>
    <row r="345" spans="1:22" ht="12" customHeight="1">
      <c r="A345" s="1040" t="str">
        <f t="shared" si="6"/>
        <v>3303</v>
      </c>
      <c r="B345" s="1054" t="s">
        <v>16260</v>
      </c>
      <c r="C345" s="1064"/>
      <c r="D345" s="2">
        <v>1</v>
      </c>
      <c r="E345" s="4" t="s">
        <v>1574</v>
      </c>
      <c r="F345" s="1065" t="e">
        <f>IF(E345="","$",VLOOKUP(E345,'結果(小)'!$B$2:$F$1295,5,FALSE))</f>
        <v>#DIV/0!</v>
      </c>
      <c r="G345" s="1" t="s">
        <v>1587</v>
      </c>
      <c r="H345" s="6">
        <v>57</v>
      </c>
      <c r="I345" s="2" t="s">
        <v>5</v>
      </c>
      <c r="J345" s="1" t="s">
        <v>15273</v>
      </c>
      <c r="K345" s="3"/>
      <c r="L345" s="1"/>
      <c r="M345" s="1"/>
      <c r="N345" s="4" t="s">
        <v>16125</v>
      </c>
      <c r="O345" s="1"/>
      <c r="P345" s="1" t="s">
        <v>6</v>
      </c>
      <c r="Q345" s="16"/>
      <c r="R345" s="17"/>
      <c r="S345" s="3" t="s">
        <v>5561</v>
      </c>
      <c r="T345" s="1773"/>
      <c r="U345" s="1780"/>
      <c r="V345" s="1752"/>
    </row>
    <row r="346" spans="1:22" ht="12" customHeight="1">
      <c r="A346" s="1040" t="str">
        <f t="shared" si="6"/>
        <v>3303</v>
      </c>
      <c r="B346" s="1054" t="s">
        <v>16261</v>
      </c>
      <c r="C346" s="1064"/>
      <c r="D346" s="2">
        <v>1</v>
      </c>
      <c r="E346" s="4" t="s">
        <v>1593</v>
      </c>
      <c r="F346" s="1065" t="e">
        <f>IF(E346="","$",VLOOKUP(E346,'結果(小)'!$B$2:$F$1295,5,FALSE))</f>
        <v>#DIV/0!</v>
      </c>
      <c r="G346" s="1" t="s">
        <v>1599</v>
      </c>
      <c r="H346" s="6">
        <v>47</v>
      </c>
      <c r="I346" s="2" t="s">
        <v>5</v>
      </c>
      <c r="J346" s="1" t="s">
        <v>15273</v>
      </c>
      <c r="K346" s="3" t="s">
        <v>1600</v>
      </c>
      <c r="L346" s="1"/>
      <c r="M346" s="1"/>
      <c r="N346" s="4" t="s">
        <v>16125</v>
      </c>
      <c r="O346" s="1"/>
      <c r="P346" s="1" t="s">
        <v>25</v>
      </c>
      <c r="Q346" s="16">
        <v>3</v>
      </c>
      <c r="R346" s="17">
        <v>3</v>
      </c>
      <c r="S346" s="3" t="s">
        <v>16114</v>
      </c>
      <c r="T346" s="1773"/>
      <c r="U346" s="1780"/>
      <c r="V346" s="1752"/>
    </row>
    <row r="347" spans="1:22" ht="12" customHeight="1" thickBot="1">
      <c r="A347" s="916" t="str">
        <f t="shared" si="6"/>
        <v>3303</v>
      </c>
      <c r="B347" s="1098" t="s">
        <v>16262</v>
      </c>
      <c r="C347" s="1075"/>
      <c r="D347" s="702">
        <v>17</v>
      </c>
      <c r="E347" s="702"/>
      <c r="F347" s="1071" t="str">
        <f>IF(E347="","$",VLOOKUP(E347,'結果(小)'!$B$2:$F$1295,5,FALSE))</f>
        <v>$</v>
      </c>
      <c r="G347" s="702" t="s">
        <v>2998</v>
      </c>
      <c r="H347" s="701">
        <v>42</v>
      </c>
      <c r="I347" s="702" t="s">
        <v>5</v>
      </c>
      <c r="J347" s="702" t="s">
        <v>6067</v>
      </c>
      <c r="K347" s="720" t="s">
        <v>2999</v>
      </c>
      <c r="L347" s="702"/>
      <c r="M347" s="702"/>
      <c r="N347" s="770" t="s">
        <v>16125</v>
      </c>
      <c r="O347" s="702"/>
      <c r="P347" s="702" t="s">
        <v>25</v>
      </c>
      <c r="Q347" s="721">
        <v>1</v>
      </c>
      <c r="R347" s="722">
        <v>1</v>
      </c>
      <c r="S347" s="720"/>
      <c r="T347" s="1774"/>
      <c r="U347" s="1776"/>
      <c r="V347" s="1753"/>
    </row>
    <row r="348" spans="1:22" ht="12" customHeight="1">
      <c r="A348" s="1038" t="str">
        <f t="shared" si="6"/>
        <v>3304</v>
      </c>
      <c r="B348" s="1081" t="s">
        <v>2139</v>
      </c>
      <c r="C348" s="1073"/>
      <c r="D348" s="696">
        <v>1</v>
      </c>
      <c r="E348" s="696"/>
      <c r="F348" s="1068" t="str">
        <f>IF(E348="","$",VLOOKUP(E348,'結果(小)'!$B$2:$F$1295,5,FALSE))</f>
        <v>$</v>
      </c>
      <c r="G348" s="696" t="s">
        <v>2142</v>
      </c>
      <c r="H348" s="690">
        <v>59</v>
      </c>
      <c r="I348" s="696" t="s">
        <v>5</v>
      </c>
      <c r="J348" s="696" t="s">
        <v>6067</v>
      </c>
      <c r="K348" s="715" t="s">
        <v>2143</v>
      </c>
      <c r="L348" s="696"/>
      <c r="M348" s="696"/>
      <c r="N348" s="692" t="s">
        <v>16118</v>
      </c>
      <c r="O348" s="696"/>
      <c r="P348" s="696" t="s">
        <v>25</v>
      </c>
      <c r="Q348" s="717">
        <v>5</v>
      </c>
      <c r="R348" s="718">
        <v>5</v>
      </c>
      <c r="S348" s="715"/>
      <c r="T348" s="1763"/>
      <c r="U348" s="1775"/>
      <c r="V348" s="1751" t="e">
        <f>U348/SUM(U265:U403)</f>
        <v>#DIV/0!</v>
      </c>
    </row>
    <row r="349" spans="1:22" ht="12" customHeight="1">
      <c r="A349" s="1040" t="str">
        <f t="shared" si="6"/>
        <v>3304</v>
      </c>
      <c r="B349" s="1055" t="s">
        <v>2140</v>
      </c>
      <c r="C349" s="1064"/>
      <c r="D349" s="2">
        <v>2</v>
      </c>
      <c r="E349" s="2"/>
      <c r="F349" s="1065" t="str">
        <f>IF(E349="","$",VLOOKUP(E349,'結果(小)'!$B$2:$F$1295,5,FALSE))</f>
        <v>$</v>
      </c>
      <c r="G349" s="2" t="s">
        <v>2148</v>
      </c>
      <c r="H349" s="6">
        <v>56</v>
      </c>
      <c r="I349" s="2" t="s">
        <v>19</v>
      </c>
      <c r="J349" s="2" t="s">
        <v>6067</v>
      </c>
      <c r="K349" s="22" t="s">
        <v>2149</v>
      </c>
      <c r="L349" s="2"/>
      <c r="M349" s="2"/>
      <c r="N349" s="8" t="s">
        <v>16118</v>
      </c>
      <c r="O349" s="2"/>
      <c r="P349" s="2" t="s">
        <v>25</v>
      </c>
      <c r="Q349" s="24">
        <v>3</v>
      </c>
      <c r="R349" s="25">
        <v>3</v>
      </c>
      <c r="S349" s="22"/>
      <c r="T349" s="1764"/>
      <c r="U349" s="1780"/>
      <c r="V349" s="1752"/>
    </row>
    <row r="350" spans="1:22" ht="12" customHeight="1">
      <c r="A350" s="1040" t="str">
        <f t="shared" si="6"/>
        <v>3304</v>
      </c>
      <c r="B350" s="1055" t="s">
        <v>2141</v>
      </c>
      <c r="C350" s="1064"/>
      <c r="D350" s="2">
        <v>3</v>
      </c>
      <c r="E350" s="2"/>
      <c r="F350" s="1065" t="str">
        <f>IF(E350="","$",VLOOKUP(E350,'結果(小)'!$B$2:$F$1295,5,FALSE))</f>
        <v>$</v>
      </c>
      <c r="G350" s="6" t="s">
        <v>2153</v>
      </c>
      <c r="H350" s="6">
        <v>53</v>
      </c>
      <c r="I350" s="6" t="s">
        <v>5</v>
      </c>
      <c r="J350" s="2" t="s">
        <v>6067</v>
      </c>
      <c r="K350" s="12"/>
      <c r="L350" s="6"/>
      <c r="M350" s="19"/>
      <c r="N350" s="23" t="s">
        <v>16118</v>
      </c>
      <c r="O350" s="6"/>
      <c r="P350" s="6" t="s">
        <v>6</v>
      </c>
      <c r="Q350" s="13"/>
      <c r="R350" s="14"/>
      <c r="S350" s="12"/>
      <c r="T350" s="1764"/>
      <c r="U350" s="1780"/>
      <c r="V350" s="1752"/>
    </row>
    <row r="351" spans="1:22" ht="12" customHeight="1">
      <c r="A351" s="1040" t="str">
        <f t="shared" si="6"/>
        <v>3304</v>
      </c>
      <c r="B351" s="1055" t="s">
        <v>5899</v>
      </c>
      <c r="C351" s="1064"/>
      <c r="D351" s="2">
        <v>4</v>
      </c>
      <c r="E351" s="2"/>
      <c r="F351" s="1065" t="str">
        <f>IF(E351="","$",VLOOKUP(E351,'結果(小)'!$B$2:$F$1295,5,FALSE))</f>
        <v>$</v>
      </c>
      <c r="G351" s="6" t="s">
        <v>5901</v>
      </c>
      <c r="H351" s="6">
        <v>51</v>
      </c>
      <c r="I351" s="6" t="s">
        <v>5</v>
      </c>
      <c r="J351" s="2" t="s">
        <v>6067</v>
      </c>
      <c r="K351" s="12"/>
      <c r="L351" s="6"/>
      <c r="M351" s="19"/>
      <c r="N351" s="8" t="s">
        <v>16118</v>
      </c>
      <c r="O351" s="6"/>
      <c r="P351" s="6" t="s">
        <v>6</v>
      </c>
      <c r="Q351" s="13"/>
      <c r="R351" s="14"/>
      <c r="S351" s="12"/>
      <c r="T351" s="1764"/>
      <c r="U351" s="1780"/>
      <c r="V351" s="1752"/>
    </row>
    <row r="352" spans="1:22" ht="12" customHeight="1" thickBot="1">
      <c r="A352" s="916" t="str">
        <f t="shared" si="6"/>
        <v>3304</v>
      </c>
      <c r="B352" s="1082" t="s">
        <v>5900</v>
      </c>
      <c r="C352" s="1075"/>
      <c r="D352" s="702">
        <v>5</v>
      </c>
      <c r="E352" s="702"/>
      <c r="F352" s="1071" t="str">
        <f>IF(E352="","$",VLOOKUP(E352,'結果(小)'!$B$2:$F$1295,5,FALSE))</f>
        <v>$</v>
      </c>
      <c r="G352" s="701" t="s">
        <v>5903</v>
      </c>
      <c r="H352" s="701">
        <v>65</v>
      </c>
      <c r="I352" s="701" t="s">
        <v>5</v>
      </c>
      <c r="J352" s="702" t="s">
        <v>6067</v>
      </c>
      <c r="K352" s="740"/>
      <c r="L352" s="701"/>
      <c r="M352" s="741"/>
      <c r="N352" s="770" t="s">
        <v>16118</v>
      </c>
      <c r="O352" s="701"/>
      <c r="P352" s="701" t="s">
        <v>6</v>
      </c>
      <c r="Q352" s="742"/>
      <c r="R352" s="743"/>
      <c r="S352" s="740"/>
      <c r="T352" s="1765"/>
      <c r="U352" s="1776"/>
      <c r="V352" s="1753"/>
    </row>
    <row r="353" spans="1:22" ht="12" customHeight="1">
      <c r="A353" s="1038" t="str">
        <f t="shared" si="6"/>
        <v>3305</v>
      </c>
      <c r="B353" s="1083" t="s">
        <v>16263</v>
      </c>
      <c r="C353" s="1073"/>
      <c r="D353" s="696">
        <v>1</v>
      </c>
      <c r="E353" s="688" t="s">
        <v>1609</v>
      </c>
      <c r="F353" s="1068" t="e">
        <f>IF(E353="","$",VLOOKUP(E353,'結果(小)'!$B$2:$F$1295,5,FALSE))</f>
        <v>#DIV/0!</v>
      </c>
      <c r="G353" s="687" t="s">
        <v>1610</v>
      </c>
      <c r="H353" s="690">
        <v>58</v>
      </c>
      <c r="I353" s="696" t="s">
        <v>5</v>
      </c>
      <c r="J353" s="687" t="s">
        <v>15273</v>
      </c>
      <c r="K353" s="747" t="s">
        <v>1611</v>
      </c>
      <c r="L353" s="687"/>
      <c r="M353" s="687"/>
      <c r="N353" s="688" t="s">
        <v>16116</v>
      </c>
      <c r="O353" s="687" t="s">
        <v>4422</v>
      </c>
      <c r="P353" s="687" t="s">
        <v>25</v>
      </c>
      <c r="Q353" s="748">
        <v>6</v>
      </c>
      <c r="R353" s="749">
        <v>6</v>
      </c>
      <c r="S353" s="747" t="s">
        <v>469</v>
      </c>
      <c r="T353" s="1766"/>
      <c r="U353" s="1775"/>
      <c r="V353" s="1751" t="e">
        <f>U353/SUM(U265:U403)</f>
        <v>#DIV/0!</v>
      </c>
    </row>
    <row r="354" spans="1:22" ht="12" customHeight="1">
      <c r="A354" s="1040" t="str">
        <f t="shared" si="6"/>
        <v>3305</v>
      </c>
      <c r="B354" s="1056" t="s">
        <v>15659</v>
      </c>
      <c r="C354" s="1064"/>
      <c r="D354" s="2">
        <v>2</v>
      </c>
      <c r="E354" s="2"/>
      <c r="F354" s="1065" t="str">
        <f>IF(E354="","$",VLOOKUP(E354,'結果(小)'!$B$2:$F$1295,5,FALSE))</f>
        <v>$</v>
      </c>
      <c r="G354" s="6" t="s">
        <v>6011</v>
      </c>
      <c r="H354" s="6">
        <v>55</v>
      </c>
      <c r="I354" s="6" t="s">
        <v>5</v>
      </c>
      <c r="J354" s="2" t="s">
        <v>6067</v>
      </c>
      <c r="K354" s="19"/>
      <c r="L354" s="6"/>
      <c r="M354" s="19"/>
      <c r="N354" s="19" t="s">
        <v>16130</v>
      </c>
      <c r="O354" s="6" t="s">
        <v>4993</v>
      </c>
      <c r="P354" s="6" t="s">
        <v>6</v>
      </c>
      <c r="Q354" s="13"/>
      <c r="R354" s="14"/>
      <c r="S354" s="12"/>
      <c r="T354" s="1767"/>
      <c r="U354" s="1780"/>
      <c r="V354" s="1752"/>
    </row>
    <row r="355" spans="1:22" ht="12" customHeight="1">
      <c r="A355" s="1040" t="str">
        <f t="shared" si="6"/>
        <v>3305</v>
      </c>
      <c r="B355" s="1056" t="s">
        <v>16264</v>
      </c>
      <c r="C355" s="1064"/>
      <c r="D355" s="2">
        <v>3</v>
      </c>
      <c r="E355" s="4" t="s">
        <v>1011</v>
      </c>
      <c r="F355" s="1065" t="e">
        <f>IF(E355="","$",VLOOKUP(E355,'結果(小)'!$B$2:$F$1295,5,FALSE))</f>
        <v>#DIV/0!</v>
      </c>
      <c r="G355" s="1" t="s">
        <v>5360</v>
      </c>
      <c r="H355" s="6">
        <v>36</v>
      </c>
      <c r="I355" s="2" t="s">
        <v>5</v>
      </c>
      <c r="J355" s="1" t="s">
        <v>15273</v>
      </c>
      <c r="K355" s="3"/>
      <c r="L355" s="1"/>
      <c r="M355" s="1"/>
      <c r="N355" s="4" t="s">
        <v>16116</v>
      </c>
      <c r="O355" s="1" t="s">
        <v>4997</v>
      </c>
      <c r="P355" s="1" t="s">
        <v>6</v>
      </c>
      <c r="Q355" s="16"/>
      <c r="R355" s="17"/>
      <c r="S355" s="3"/>
      <c r="T355" s="1767"/>
      <c r="U355" s="1780"/>
      <c r="V355" s="1752"/>
    </row>
    <row r="356" spans="1:22" ht="12" customHeight="1">
      <c r="A356" s="1040" t="str">
        <f t="shared" si="6"/>
        <v>3305</v>
      </c>
      <c r="B356" s="1056" t="s">
        <v>16265</v>
      </c>
      <c r="C356" s="1064"/>
      <c r="D356" s="2">
        <v>3</v>
      </c>
      <c r="E356" s="4" t="s">
        <v>1027</v>
      </c>
      <c r="F356" s="1065" t="e">
        <f>IF(E356="","$",VLOOKUP(E356,'結果(小)'!$B$2:$F$1295,5,FALSE))</f>
        <v>#DIV/0!</v>
      </c>
      <c r="G356" s="1" t="s">
        <v>1034</v>
      </c>
      <c r="H356" s="6">
        <v>44</v>
      </c>
      <c r="I356" s="2" t="s">
        <v>5</v>
      </c>
      <c r="J356" s="1" t="s">
        <v>15273</v>
      </c>
      <c r="K356" s="3"/>
      <c r="L356" s="1"/>
      <c r="M356" s="1"/>
      <c r="N356" s="4" t="s">
        <v>16116</v>
      </c>
      <c r="O356" s="1" t="s">
        <v>469</v>
      </c>
      <c r="P356" s="1" t="s">
        <v>6</v>
      </c>
      <c r="Q356" s="16"/>
      <c r="R356" s="17"/>
      <c r="S356" s="3"/>
      <c r="T356" s="1767"/>
      <c r="U356" s="1780"/>
      <c r="V356" s="1752"/>
    </row>
    <row r="357" spans="1:22" ht="12" customHeight="1">
      <c r="A357" s="1040" t="str">
        <f t="shared" si="6"/>
        <v>3305</v>
      </c>
      <c r="B357" s="1056" t="s">
        <v>16266</v>
      </c>
      <c r="C357" s="1064"/>
      <c r="D357" s="2">
        <v>3</v>
      </c>
      <c r="E357" s="4" t="s">
        <v>1043</v>
      </c>
      <c r="F357" s="1065" t="e">
        <f>IF(E357="","$",VLOOKUP(E357,'結果(小)'!$B$2:$F$1295,5,FALSE))</f>
        <v>#DIV/0!</v>
      </c>
      <c r="G357" s="1" t="s">
        <v>5622</v>
      </c>
      <c r="H357" s="6">
        <v>49</v>
      </c>
      <c r="I357" s="2" t="s">
        <v>5</v>
      </c>
      <c r="J357" s="1" t="s">
        <v>15273</v>
      </c>
      <c r="K357" s="3"/>
      <c r="L357" s="1"/>
      <c r="M357" s="1"/>
      <c r="N357" s="4" t="s">
        <v>16116</v>
      </c>
      <c r="O357" s="1" t="s">
        <v>4997</v>
      </c>
      <c r="P357" s="1" t="s">
        <v>6</v>
      </c>
      <c r="Q357" s="16"/>
      <c r="R357" s="17"/>
      <c r="S357" s="3" t="s">
        <v>469</v>
      </c>
      <c r="T357" s="1767"/>
      <c r="U357" s="1780"/>
      <c r="V357" s="1752"/>
    </row>
    <row r="358" spans="1:22" ht="12" customHeight="1">
      <c r="A358" s="1040" t="str">
        <f t="shared" si="6"/>
        <v>3305</v>
      </c>
      <c r="B358" s="1056" t="s">
        <v>16267</v>
      </c>
      <c r="C358" s="1064"/>
      <c r="D358" s="2">
        <v>3</v>
      </c>
      <c r="E358" s="4" t="s">
        <v>1086</v>
      </c>
      <c r="F358" s="1065" t="e">
        <f>IF(E358="","$",VLOOKUP(E358,'結果(小)'!$B$2:$F$1295,5,FALSE))</f>
        <v>#DIV/0!</v>
      </c>
      <c r="G358" s="1" t="s">
        <v>1097</v>
      </c>
      <c r="H358" s="6">
        <v>48</v>
      </c>
      <c r="I358" s="2" t="s">
        <v>5</v>
      </c>
      <c r="J358" s="1" t="s">
        <v>15273</v>
      </c>
      <c r="K358" s="3"/>
      <c r="L358" s="1"/>
      <c r="M358" s="1"/>
      <c r="N358" s="4" t="s">
        <v>16116</v>
      </c>
      <c r="O358" s="1" t="s">
        <v>469</v>
      </c>
      <c r="P358" s="1" t="s">
        <v>6</v>
      </c>
      <c r="Q358" s="16"/>
      <c r="R358" s="17"/>
      <c r="S358" s="3"/>
      <c r="T358" s="1767"/>
      <c r="U358" s="1780"/>
      <c r="V358" s="1752"/>
    </row>
    <row r="359" spans="1:22" ht="12" customHeight="1">
      <c r="A359" s="1040" t="str">
        <f t="shared" si="6"/>
        <v>3305</v>
      </c>
      <c r="B359" s="1056" t="s">
        <v>16268</v>
      </c>
      <c r="C359" s="1064"/>
      <c r="D359" s="2">
        <v>3</v>
      </c>
      <c r="E359" s="4" t="s">
        <v>1103</v>
      </c>
      <c r="F359" s="1065" t="e">
        <f>IF(E359="","$",VLOOKUP(E359,'結果(小)'!$B$2:$F$1295,5,FALSE))</f>
        <v>#DIV/0!</v>
      </c>
      <c r="G359" s="1" t="s">
        <v>5762</v>
      </c>
      <c r="H359" s="6">
        <v>49</v>
      </c>
      <c r="I359" s="2" t="s">
        <v>5</v>
      </c>
      <c r="J359" s="1" t="s">
        <v>15273</v>
      </c>
      <c r="K359" s="3"/>
      <c r="L359" s="1"/>
      <c r="M359" s="1"/>
      <c r="N359" s="4" t="s">
        <v>16116</v>
      </c>
      <c r="O359" s="1" t="s">
        <v>276</v>
      </c>
      <c r="P359" s="1" t="s">
        <v>14</v>
      </c>
      <c r="Q359" s="16">
        <v>1</v>
      </c>
      <c r="R359" s="17">
        <v>1</v>
      </c>
      <c r="S359" s="3"/>
      <c r="T359" s="1767"/>
      <c r="U359" s="1780"/>
      <c r="V359" s="1752"/>
    </row>
    <row r="360" spans="1:22" ht="12" customHeight="1">
      <c r="A360" s="1040" t="str">
        <f t="shared" si="6"/>
        <v>3305</v>
      </c>
      <c r="B360" s="1056" t="s">
        <v>16269</v>
      </c>
      <c r="C360" s="1064"/>
      <c r="D360" s="2">
        <v>3</v>
      </c>
      <c r="E360" s="4" t="s">
        <v>1122</v>
      </c>
      <c r="F360" s="1065" t="e">
        <f>IF(E360="","$",VLOOKUP(E360,'結果(小)'!$B$2:$F$1295,5,FALSE))</f>
        <v>#DIV/0!</v>
      </c>
      <c r="G360" s="1" t="s">
        <v>5981</v>
      </c>
      <c r="H360" s="6">
        <v>51</v>
      </c>
      <c r="I360" s="2" t="s">
        <v>5</v>
      </c>
      <c r="J360" s="1" t="s">
        <v>15273</v>
      </c>
      <c r="K360" s="3"/>
      <c r="L360" s="1"/>
      <c r="M360" s="1"/>
      <c r="N360" s="4" t="s">
        <v>16116</v>
      </c>
      <c r="O360" s="1" t="s">
        <v>4997</v>
      </c>
      <c r="P360" s="1" t="s">
        <v>6</v>
      </c>
      <c r="Q360" s="16"/>
      <c r="R360" s="17"/>
      <c r="S360" s="3"/>
      <c r="T360" s="1767"/>
      <c r="U360" s="1780"/>
      <c r="V360" s="1752"/>
    </row>
    <row r="361" spans="1:22" ht="12" customHeight="1">
      <c r="A361" s="1040" t="str">
        <f t="shared" si="6"/>
        <v>3305</v>
      </c>
      <c r="B361" s="1056" t="s">
        <v>16270</v>
      </c>
      <c r="C361" s="1064"/>
      <c r="D361" s="2">
        <v>3</v>
      </c>
      <c r="E361" s="4" t="s">
        <v>1165</v>
      </c>
      <c r="F361" s="1065" t="e">
        <f>IF(E361="","$",VLOOKUP(E361,'結果(小)'!$B$2:$F$1295,5,FALSE))</f>
        <v>#DIV/0!</v>
      </c>
      <c r="G361" s="1" t="s">
        <v>5006</v>
      </c>
      <c r="H361" s="6">
        <v>37</v>
      </c>
      <c r="I361" s="2" t="s">
        <v>5</v>
      </c>
      <c r="J361" s="1" t="s">
        <v>15273</v>
      </c>
      <c r="K361" s="3"/>
      <c r="L361" s="1"/>
      <c r="M361" s="1"/>
      <c r="N361" s="4" t="s">
        <v>16116</v>
      </c>
      <c r="O361" s="1" t="s">
        <v>276</v>
      </c>
      <c r="P361" s="1" t="s">
        <v>6</v>
      </c>
      <c r="Q361" s="16"/>
      <c r="R361" s="17"/>
      <c r="S361" s="3"/>
      <c r="T361" s="1767"/>
      <c r="U361" s="1780"/>
      <c r="V361" s="1752"/>
    </row>
    <row r="362" spans="1:22" ht="12" customHeight="1">
      <c r="A362" s="1040" t="str">
        <f t="shared" si="6"/>
        <v>3305</v>
      </c>
      <c r="B362" s="1056" t="s">
        <v>16271</v>
      </c>
      <c r="C362" s="1064"/>
      <c r="D362" s="2">
        <v>3</v>
      </c>
      <c r="E362" s="4" t="s">
        <v>1216</v>
      </c>
      <c r="F362" s="1065" t="e">
        <f>IF(E362="","$",VLOOKUP(E362,'結果(小)'!$B$2:$F$1295,5,FALSE))</f>
        <v>#DIV/0!</v>
      </c>
      <c r="G362" s="1" t="s">
        <v>5514</v>
      </c>
      <c r="H362" s="6">
        <v>46</v>
      </c>
      <c r="I362" s="2" t="s">
        <v>5</v>
      </c>
      <c r="J362" s="1" t="s">
        <v>15273</v>
      </c>
      <c r="K362" s="3"/>
      <c r="L362" s="1"/>
      <c r="M362" s="1"/>
      <c r="N362" s="4" t="s">
        <v>16116</v>
      </c>
      <c r="O362" s="1" t="s">
        <v>4997</v>
      </c>
      <c r="P362" s="1" t="s">
        <v>6</v>
      </c>
      <c r="Q362" s="16"/>
      <c r="R362" s="17"/>
      <c r="S362" s="3" t="s">
        <v>469</v>
      </c>
      <c r="T362" s="1767"/>
      <c r="U362" s="1780"/>
      <c r="V362" s="1752"/>
    </row>
    <row r="363" spans="1:22" ht="12" customHeight="1">
      <c r="A363" s="1040" t="str">
        <f t="shared" si="6"/>
        <v>3305</v>
      </c>
      <c r="B363" s="1056" t="s">
        <v>16272</v>
      </c>
      <c r="C363" s="1064"/>
      <c r="D363" s="2">
        <v>3</v>
      </c>
      <c r="E363" s="4" t="s">
        <v>1228</v>
      </c>
      <c r="F363" s="1065" t="e">
        <f>IF(E363="","$",VLOOKUP(E363,'結果(小)'!$B$2:$F$1295,5,FALSE))</f>
        <v>#DIV/0!</v>
      </c>
      <c r="G363" s="1" t="s">
        <v>5364</v>
      </c>
      <c r="H363" s="6">
        <v>52</v>
      </c>
      <c r="I363" s="2" t="s">
        <v>5</v>
      </c>
      <c r="J363" s="1" t="s">
        <v>15273</v>
      </c>
      <c r="K363" s="3"/>
      <c r="L363" s="1"/>
      <c r="M363" s="1"/>
      <c r="N363" s="4" t="s">
        <v>16116</v>
      </c>
      <c r="O363" s="1" t="s">
        <v>4997</v>
      </c>
      <c r="P363" s="1" t="s">
        <v>6</v>
      </c>
      <c r="Q363" s="16"/>
      <c r="R363" s="17"/>
      <c r="S363" s="3"/>
      <c r="T363" s="1767"/>
      <c r="U363" s="1780"/>
      <c r="V363" s="1752"/>
    </row>
    <row r="364" spans="1:22" ht="12" customHeight="1">
      <c r="A364" s="1040" t="str">
        <f t="shared" si="6"/>
        <v>3305</v>
      </c>
      <c r="B364" s="1056" t="s">
        <v>16273</v>
      </c>
      <c r="C364" s="1064"/>
      <c r="D364" s="2">
        <v>3</v>
      </c>
      <c r="E364" s="4" t="s">
        <v>1262</v>
      </c>
      <c r="F364" s="1065" t="e">
        <f>IF(E364="","$",VLOOKUP(E364,'結果(小)'!$B$2:$F$1295,5,FALSE))</f>
        <v>#DIV/0!</v>
      </c>
      <c r="G364" s="1" t="s">
        <v>5366</v>
      </c>
      <c r="H364" s="6">
        <v>44</v>
      </c>
      <c r="I364" s="2" t="s">
        <v>19</v>
      </c>
      <c r="J364" s="1" t="s">
        <v>15273</v>
      </c>
      <c r="K364" s="3"/>
      <c r="L364" s="1"/>
      <c r="M364" s="1"/>
      <c r="N364" s="4" t="s">
        <v>16116</v>
      </c>
      <c r="O364" s="1" t="s">
        <v>4997</v>
      </c>
      <c r="P364" s="1" t="s">
        <v>6</v>
      </c>
      <c r="Q364" s="16"/>
      <c r="R364" s="17"/>
      <c r="S364" s="3"/>
      <c r="T364" s="1767"/>
      <c r="U364" s="1780"/>
      <c r="V364" s="1752"/>
    </row>
    <row r="365" spans="1:22" ht="12" customHeight="1">
      <c r="A365" s="1040" t="str">
        <f t="shared" si="6"/>
        <v>3305</v>
      </c>
      <c r="B365" s="1056" t="s">
        <v>16274</v>
      </c>
      <c r="C365" s="1064"/>
      <c r="D365" s="2">
        <v>3</v>
      </c>
      <c r="E365" s="4" t="s">
        <v>4594</v>
      </c>
      <c r="F365" s="1065" t="e">
        <f>IF(E365="","$",VLOOKUP(E365,'結果(小)'!$B$2:$F$1295,5,FALSE))</f>
        <v>#DIV/0!</v>
      </c>
      <c r="G365" s="1" t="s">
        <v>5371</v>
      </c>
      <c r="H365" s="6">
        <v>45</v>
      </c>
      <c r="I365" s="2" t="s">
        <v>5</v>
      </c>
      <c r="J365" s="1" t="s">
        <v>15273</v>
      </c>
      <c r="K365" s="3"/>
      <c r="L365" s="1"/>
      <c r="M365" s="1"/>
      <c r="N365" s="4" t="s">
        <v>16116</v>
      </c>
      <c r="O365" s="1" t="s">
        <v>469</v>
      </c>
      <c r="P365" s="1" t="s">
        <v>6</v>
      </c>
      <c r="Q365" s="16"/>
      <c r="R365" s="17"/>
      <c r="S365" s="3"/>
      <c r="T365" s="1767"/>
      <c r="U365" s="1780"/>
      <c r="V365" s="1752"/>
    </row>
    <row r="366" spans="1:22" ht="12" customHeight="1">
      <c r="A366" s="1040" t="str">
        <f t="shared" si="6"/>
        <v>3305</v>
      </c>
      <c r="B366" s="1056" t="s">
        <v>16275</v>
      </c>
      <c r="C366" s="1064"/>
      <c r="D366" s="2">
        <v>3</v>
      </c>
      <c r="E366" s="4" t="s">
        <v>1461</v>
      </c>
      <c r="F366" s="1065" t="e">
        <f>IF(E366="","$",VLOOKUP(E366,'結果(小)'!$B$2:$F$1295,5,FALSE))</f>
        <v>#DIV/0!</v>
      </c>
      <c r="G366" s="1" t="s">
        <v>5624</v>
      </c>
      <c r="H366" s="6">
        <v>62</v>
      </c>
      <c r="I366" s="2" t="s">
        <v>5</v>
      </c>
      <c r="J366" s="1" t="s">
        <v>15273</v>
      </c>
      <c r="K366" s="3"/>
      <c r="L366" s="1"/>
      <c r="M366" s="1"/>
      <c r="N366" s="4" t="s">
        <v>16116</v>
      </c>
      <c r="O366" s="1" t="s">
        <v>4422</v>
      </c>
      <c r="P366" s="1" t="s">
        <v>6</v>
      </c>
      <c r="Q366" s="16"/>
      <c r="R366" s="17"/>
      <c r="S366" s="3"/>
      <c r="T366" s="1767"/>
      <c r="U366" s="1780"/>
      <c r="V366" s="1752"/>
    </row>
    <row r="367" spans="1:22" ht="12" customHeight="1">
      <c r="A367" s="1040" t="str">
        <f t="shared" si="6"/>
        <v>3305</v>
      </c>
      <c r="B367" s="1056" t="s">
        <v>16276</v>
      </c>
      <c r="C367" s="1064"/>
      <c r="D367" s="2">
        <v>3</v>
      </c>
      <c r="E367" s="4" t="s">
        <v>1489</v>
      </c>
      <c r="F367" s="1065" t="e">
        <f>IF(E367="","$",VLOOKUP(E367,'結果(小)'!$B$2:$F$1295,5,FALSE))</f>
        <v>#DIV/0!</v>
      </c>
      <c r="G367" s="1" t="s">
        <v>5373</v>
      </c>
      <c r="H367" s="6">
        <v>29</v>
      </c>
      <c r="I367" s="2" t="s">
        <v>5</v>
      </c>
      <c r="J367" s="1" t="s">
        <v>15273</v>
      </c>
      <c r="K367" s="3"/>
      <c r="L367" s="1"/>
      <c r="M367" s="1"/>
      <c r="N367" s="4" t="s">
        <v>16116</v>
      </c>
      <c r="O367" s="1" t="s">
        <v>4993</v>
      </c>
      <c r="P367" s="1" t="s">
        <v>6</v>
      </c>
      <c r="Q367" s="16"/>
      <c r="R367" s="17"/>
      <c r="S367" s="3"/>
      <c r="T367" s="1767"/>
      <c r="U367" s="1780"/>
      <c r="V367" s="1752"/>
    </row>
    <row r="368" spans="1:22" ht="12" customHeight="1">
      <c r="A368" s="1040" t="str">
        <f t="shared" si="6"/>
        <v>3305</v>
      </c>
      <c r="B368" s="1056" t="s">
        <v>16277</v>
      </c>
      <c r="C368" s="1064"/>
      <c r="D368" s="2">
        <v>3</v>
      </c>
      <c r="E368" s="4" t="s">
        <v>1506</v>
      </c>
      <c r="F368" s="1065" t="e">
        <f>IF(E368="","$",VLOOKUP(E368,'結果(小)'!$B$2:$F$1295,5,FALSE))</f>
        <v>#DIV/0!</v>
      </c>
      <c r="G368" s="1" t="s">
        <v>5375</v>
      </c>
      <c r="H368" s="6">
        <v>38</v>
      </c>
      <c r="I368" s="2" t="s">
        <v>5</v>
      </c>
      <c r="J368" s="1" t="s">
        <v>15273</v>
      </c>
      <c r="K368" s="3"/>
      <c r="L368" s="1"/>
      <c r="M368" s="1"/>
      <c r="N368" s="4" t="s">
        <v>16116</v>
      </c>
      <c r="O368" s="1" t="s">
        <v>469</v>
      </c>
      <c r="P368" s="1" t="s">
        <v>6</v>
      </c>
      <c r="Q368" s="16"/>
      <c r="R368" s="17"/>
      <c r="S368" s="3"/>
      <c r="T368" s="1767"/>
      <c r="U368" s="1780"/>
      <c r="V368" s="1752"/>
    </row>
    <row r="369" spans="1:22" ht="12" customHeight="1">
      <c r="A369" s="1040" t="str">
        <f t="shared" si="6"/>
        <v>3305</v>
      </c>
      <c r="B369" s="1056" t="s">
        <v>16278</v>
      </c>
      <c r="C369" s="1064"/>
      <c r="D369" s="2">
        <v>3</v>
      </c>
      <c r="E369" s="4" t="s">
        <v>1525</v>
      </c>
      <c r="F369" s="1065" t="e">
        <f>IF(E369="","$",VLOOKUP(E369,'結果(小)'!$B$2:$F$1295,5,FALSE))</f>
        <v>#DIV/0!</v>
      </c>
      <c r="G369" s="1" t="s">
        <v>1543</v>
      </c>
      <c r="H369" s="6">
        <v>47</v>
      </c>
      <c r="I369" s="2" t="s">
        <v>5</v>
      </c>
      <c r="J369" s="1" t="s">
        <v>15273</v>
      </c>
      <c r="K369" s="3"/>
      <c r="L369" s="1"/>
      <c r="M369" s="1"/>
      <c r="N369" s="4" t="s">
        <v>16116</v>
      </c>
      <c r="O369" s="1" t="s">
        <v>4993</v>
      </c>
      <c r="P369" s="1" t="s">
        <v>14</v>
      </c>
      <c r="Q369" s="16">
        <v>1</v>
      </c>
      <c r="R369" s="17">
        <v>1</v>
      </c>
      <c r="S369" s="3"/>
      <c r="T369" s="1767"/>
      <c r="U369" s="1780"/>
      <c r="V369" s="1752"/>
    </row>
    <row r="370" spans="1:22" ht="12" customHeight="1">
      <c r="A370" s="1040" t="str">
        <f t="shared" si="6"/>
        <v>3305</v>
      </c>
      <c r="B370" s="1056" t="s">
        <v>16279</v>
      </c>
      <c r="C370" s="1064"/>
      <c r="D370" s="2">
        <v>3</v>
      </c>
      <c r="E370" s="4" t="s">
        <v>1559</v>
      </c>
      <c r="F370" s="1065" t="e">
        <f>IF(E370="","$",VLOOKUP(E370,'結果(小)'!$B$2:$F$1295,5,FALSE))</f>
        <v>#DIV/0!</v>
      </c>
      <c r="G370" s="1" t="s">
        <v>5519</v>
      </c>
      <c r="H370" s="6">
        <v>41</v>
      </c>
      <c r="I370" s="2" t="s">
        <v>5</v>
      </c>
      <c r="J370" s="1" t="s">
        <v>15273</v>
      </c>
      <c r="K370" s="3"/>
      <c r="L370" s="1"/>
      <c r="M370" s="1"/>
      <c r="N370" s="4" t="s">
        <v>16116</v>
      </c>
      <c r="O370" s="1" t="s">
        <v>4997</v>
      </c>
      <c r="P370" s="1" t="s">
        <v>6</v>
      </c>
      <c r="Q370" s="16"/>
      <c r="R370" s="17"/>
      <c r="S370" s="3" t="s">
        <v>469</v>
      </c>
      <c r="T370" s="1767"/>
      <c r="U370" s="1780"/>
      <c r="V370" s="1752"/>
    </row>
    <row r="371" spans="1:22" ht="12" customHeight="1">
      <c r="A371" s="1040" t="str">
        <f t="shared" si="6"/>
        <v>3305</v>
      </c>
      <c r="B371" s="1056" t="s">
        <v>15655</v>
      </c>
      <c r="C371" s="1064"/>
      <c r="D371" s="2">
        <v>19</v>
      </c>
      <c r="E371" s="2"/>
      <c r="F371" s="1065" t="str">
        <f>IF(E371="","$",VLOOKUP(E371,'結果(小)'!$B$2:$F$1295,5,FALSE))</f>
        <v>$</v>
      </c>
      <c r="G371" s="6" t="s">
        <v>6004</v>
      </c>
      <c r="H371" s="6">
        <v>55</v>
      </c>
      <c r="I371" s="6" t="s">
        <v>5</v>
      </c>
      <c r="J371" s="2" t="s">
        <v>6067</v>
      </c>
      <c r="K371" s="19"/>
      <c r="L371" s="6"/>
      <c r="M371" s="19"/>
      <c r="N371" s="19" t="s">
        <v>16130</v>
      </c>
      <c r="O371" s="6" t="s">
        <v>469</v>
      </c>
      <c r="P371" s="6" t="s">
        <v>14</v>
      </c>
      <c r="Q371" s="13">
        <v>3</v>
      </c>
      <c r="R371" s="14">
        <v>3</v>
      </c>
      <c r="S371" s="12"/>
      <c r="T371" s="1767"/>
      <c r="U371" s="1780"/>
      <c r="V371" s="1752"/>
    </row>
    <row r="372" spans="1:22" ht="12" customHeight="1" thickBot="1">
      <c r="A372" s="916" t="str">
        <f t="shared" si="6"/>
        <v>3305</v>
      </c>
      <c r="B372" s="1084" t="s">
        <v>15661</v>
      </c>
      <c r="C372" s="1075"/>
      <c r="D372" s="702">
        <v>20</v>
      </c>
      <c r="E372" s="702"/>
      <c r="F372" s="1071" t="str">
        <f>IF(E372="","$",VLOOKUP(E372,'結果(小)'!$B$2:$F$1295,5,FALSE))</f>
        <v>$</v>
      </c>
      <c r="G372" s="701" t="s">
        <v>6018</v>
      </c>
      <c r="H372" s="701">
        <v>55</v>
      </c>
      <c r="I372" s="701" t="s">
        <v>5</v>
      </c>
      <c r="J372" s="702" t="s">
        <v>6067</v>
      </c>
      <c r="K372" s="740"/>
      <c r="L372" s="701"/>
      <c r="M372" s="741"/>
      <c r="N372" s="704" t="s">
        <v>16130</v>
      </c>
      <c r="O372" s="701" t="s">
        <v>5867</v>
      </c>
      <c r="P372" s="701" t="s">
        <v>6</v>
      </c>
      <c r="Q372" s="742"/>
      <c r="R372" s="743"/>
      <c r="S372" s="740"/>
      <c r="T372" s="1768"/>
      <c r="U372" s="1776"/>
      <c r="V372" s="1753"/>
    </row>
    <row r="373" spans="1:22" ht="12" customHeight="1">
      <c r="A373" s="1038" t="str">
        <f t="shared" si="6"/>
        <v>3306</v>
      </c>
      <c r="B373" s="1085" t="s">
        <v>16285</v>
      </c>
      <c r="C373" s="1073"/>
      <c r="D373" s="696">
        <v>1</v>
      </c>
      <c r="E373" s="688" t="s">
        <v>1012</v>
      </c>
      <c r="F373" s="1068" t="e">
        <f>IF(E373="","$",VLOOKUP(E373,'結果(小)'!$B$2:$F$1295,5,FALSE))</f>
        <v>#DIV/0!</v>
      </c>
      <c r="G373" s="687" t="s">
        <v>1021</v>
      </c>
      <c r="H373" s="690">
        <v>38</v>
      </c>
      <c r="I373" s="696" t="s">
        <v>5</v>
      </c>
      <c r="J373" s="687" t="s">
        <v>15273</v>
      </c>
      <c r="K373" s="747"/>
      <c r="L373" s="687"/>
      <c r="M373" s="687"/>
      <c r="N373" s="688" t="s">
        <v>16128</v>
      </c>
      <c r="O373" s="687"/>
      <c r="P373" s="687" t="s">
        <v>6</v>
      </c>
      <c r="Q373" s="748"/>
      <c r="R373" s="749"/>
      <c r="S373" s="747"/>
      <c r="T373" s="1757"/>
      <c r="U373" s="1775"/>
      <c r="V373" s="1751" t="e">
        <f>U373/SUM(U265:U403)</f>
        <v>#DIV/0!</v>
      </c>
    </row>
    <row r="374" spans="1:22" ht="12" customHeight="1">
      <c r="A374" s="1040" t="str">
        <f t="shared" si="6"/>
        <v>3306</v>
      </c>
      <c r="B374" s="1057" t="s">
        <v>16286</v>
      </c>
      <c r="C374" s="1064"/>
      <c r="D374" s="2">
        <v>1</v>
      </c>
      <c r="E374" s="4" t="s">
        <v>5533</v>
      </c>
      <c r="F374" s="1065" t="e">
        <f>IF(E374="","$",VLOOKUP(E374,'結果(小)'!$B$2:$F$1295,5,FALSE))</f>
        <v>#DIV/0!</v>
      </c>
      <c r="G374" s="1" t="s">
        <v>5760</v>
      </c>
      <c r="H374" s="6">
        <v>57</v>
      </c>
      <c r="I374" s="2" t="s">
        <v>5</v>
      </c>
      <c r="J374" s="1" t="s">
        <v>15273</v>
      </c>
      <c r="K374" s="3"/>
      <c r="L374" s="1"/>
      <c r="M374" s="1"/>
      <c r="N374" s="4" t="s">
        <v>16128</v>
      </c>
      <c r="O374" s="1"/>
      <c r="P374" s="1" t="s">
        <v>6</v>
      </c>
      <c r="Q374" s="16"/>
      <c r="R374" s="17"/>
      <c r="S374" s="3"/>
      <c r="T374" s="1758"/>
      <c r="U374" s="1780"/>
      <c r="V374" s="1752"/>
    </row>
    <row r="375" spans="1:22" ht="12" customHeight="1">
      <c r="A375" s="1040" t="str">
        <f t="shared" si="6"/>
        <v>3306</v>
      </c>
      <c r="B375" s="1057" t="s">
        <v>16287</v>
      </c>
      <c r="C375" s="1064"/>
      <c r="D375" s="2">
        <v>1</v>
      </c>
      <c r="E375" s="4" t="s">
        <v>5734</v>
      </c>
      <c r="F375" s="1065" t="e">
        <f>IF(E375="","$",VLOOKUP(E375,'結果(小)'!$B$2:$F$1295,5,FALSE))</f>
        <v>#DIV/0!</v>
      </c>
      <c r="G375" s="1" t="s">
        <v>1116</v>
      </c>
      <c r="H375" s="6">
        <v>43</v>
      </c>
      <c r="I375" s="2" t="s">
        <v>5</v>
      </c>
      <c r="J375" s="1" t="s">
        <v>15273</v>
      </c>
      <c r="K375" s="3"/>
      <c r="L375" s="1"/>
      <c r="M375" s="1"/>
      <c r="N375" s="8" t="s">
        <v>16128</v>
      </c>
      <c r="O375" s="1"/>
      <c r="P375" s="1" t="s">
        <v>6</v>
      </c>
      <c r="Q375" s="16"/>
      <c r="R375" s="17"/>
      <c r="S375" s="3"/>
      <c r="T375" s="1758"/>
      <c r="U375" s="1780"/>
      <c r="V375" s="1752"/>
    </row>
    <row r="376" spans="1:22" ht="12" customHeight="1">
      <c r="A376" s="1040" t="str">
        <f t="shared" si="6"/>
        <v>3306</v>
      </c>
      <c r="B376" s="1057" t="s">
        <v>16288</v>
      </c>
      <c r="C376" s="1064"/>
      <c r="D376" s="2">
        <v>1</v>
      </c>
      <c r="E376" s="4" t="s">
        <v>1123</v>
      </c>
      <c r="F376" s="1065" t="e">
        <f>IF(E376="","$",VLOOKUP(E376,'結果(小)'!$B$2:$F$1295,5,FALSE))</f>
        <v>#DIV/0!</v>
      </c>
      <c r="G376" s="1" t="s">
        <v>1128</v>
      </c>
      <c r="H376" s="6">
        <v>45</v>
      </c>
      <c r="I376" s="2" t="s">
        <v>5</v>
      </c>
      <c r="J376" s="1" t="s">
        <v>15273</v>
      </c>
      <c r="K376" s="3"/>
      <c r="L376" s="1"/>
      <c r="M376" s="1"/>
      <c r="N376" s="4" t="s">
        <v>16128</v>
      </c>
      <c r="O376" s="1"/>
      <c r="P376" s="1" t="s">
        <v>6</v>
      </c>
      <c r="Q376" s="16"/>
      <c r="R376" s="17"/>
      <c r="S376" s="3"/>
      <c r="T376" s="1758"/>
      <c r="U376" s="1780"/>
      <c r="V376" s="1752"/>
    </row>
    <row r="377" spans="1:22" ht="12" customHeight="1">
      <c r="A377" s="1040" t="str">
        <f t="shared" si="6"/>
        <v>3306</v>
      </c>
      <c r="B377" s="1057" t="s">
        <v>16289</v>
      </c>
      <c r="C377" s="1064"/>
      <c r="D377" s="2">
        <v>1</v>
      </c>
      <c r="E377" s="4" t="s">
        <v>1137</v>
      </c>
      <c r="F377" s="1065" t="e">
        <f>IF(E377="","$",VLOOKUP(E377,'結果(小)'!$B$2:$F$1295,5,FALSE))</f>
        <v>#DIV/0!</v>
      </c>
      <c r="G377" s="1" t="s">
        <v>1149</v>
      </c>
      <c r="H377" s="6">
        <v>41</v>
      </c>
      <c r="I377" s="2" t="s">
        <v>5</v>
      </c>
      <c r="J377" s="1" t="s">
        <v>15273</v>
      </c>
      <c r="K377" s="3"/>
      <c r="L377" s="1"/>
      <c r="M377" s="1"/>
      <c r="N377" s="4" t="s">
        <v>16128</v>
      </c>
      <c r="O377" s="1"/>
      <c r="P377" s="1" t="s">
        <v>6</v>
      </c>
      <c r="Q377" s="16"/>
      <c r="R377" s="17"/>
      <c r="S377" s="3" t="s">
        <v>6031</v>
      </c>
      <c r="T377" s="1758"/>
      <c r="U377" s="1780"/>
      <c r="V377" s="1752"/>
    </row>
    <row r="378" spans="1:22" ht="12" customHeight="1">
      <c r="A378" s="1040" t="str">
        <f t="shared" si="6"/>
        <v>3306</v>
      </c>
      <c r="B378" s="1057" t="s">
        <v>16290</v>
      </c>
      <c r="C378" s="1064"/>
      <c r="D378" s="2">
        <v>1</v>
      </c>
      <c r="E378" s="4" t="s">
        <v>1229</v>
      </c>
      <c r="F378" s="1065" t="e">
        <f>IF(E378="","$",VLOOKUP(E378,'結果(小)'!$B$2:$F$1295,5,FALSE))</f>
        <v>#DIV/0!</v>
      </c>
      <c r="G378" s="1" t="s">
        <v>1242</v>
      </c>
      <c r="H378" s="6">
        <v>39</v>
      </c>
      <c r="I378" s="2" t="s">
        <v>5</v>
      </c>
      <c r="J378" s="1" t="s">
        <v>15273</v>
      </c>
      <c r="K378" s="3"/>
      <c r="L378" s="1"/>
      <c r="M378" s="1"/>
      <c r="N378" s="4" t="s">
        <v>16128</v>
      </c>
      <c r="O378" s="1"/>
      <c r="P378" s="1" t="s">
        <v>6</v>
      </c>
      <c r="Q378" s="16"/>
      <c r="R378" s="17"/>
      <c r="S378" s="3"/>
      <c r="T378" s="1758"/>
      <c r="U378" s="1780"/>
      <c r="V378" s="1752"/>
    </row>
    <row r="379" spans="1:22" ht="12" customHeight="1">
      <c r="A379" s="1040" t="str">
        <f t="shared" si="6"/>
        <v>3306</v>
      </c>
      <c r="B379" s="1057" t="s">
        <v>16291</v>
      </c>
      <c r="C379" s="1064"/>
      <c r="D379" s="2">
        <v>1</v>
      </c>
      <c r="E379" s="4" t="s">
        <v>1263</v>
      </c>
      <c r="F379" s="1065" t="e">
        <f>IF(E379="","$",VLOOKUP(E379,'結果(小)'!$B$2:$F$1295,5,FALSE))</f>
        <v>#DIV/0!</v>
      </c>
      <c r="G379" s="1" t="s">
        <v>1275</v>
      </c>
      <c r="H379" s="6">
        <v>44</v>
      </c>
      <c r="I379" s="2" t="s">
        <v>5</v>
      </c>
      <c r="J379" s="1" t="s">
        <v>15273</v>
      </c>
      <c r="K379" s="3"/>
      <c r="L379" s="1"/>
      <c r="M379" s="1"/>
      <c r="N379" s="4" t="s">
        <v>16128</v>
      </c>
      <c r="O379" s="1"/>
      <c r="P379" s="1" t="s">
        <v>6</v>
      </c>
      <c r="Q379" s="16"/>
      <c r="R379" s="17"/>
      <c r="S379" s="3"/>
      <c r="T379" s="1758"/>
      <c r="U379" s="1780"/>
      <c r="V379" s="1752"/>
    </row>
    <row r="380" spans="1:22" ht="12" customHeight="1">
      <c r="A380" s="1040" t="str">
        <f t="shared" si="6"/>
        <v>3306</v>
      </c>
      <c r="B380" s="1057" t="s">
        <v>16292</v>
      </c>
      <c r="C380" s="1064"/>
      <c r="D380" s="2">
        <v>1</v>
      </c>
      <c r="E380" s="4" t="s">
        <v>1279</v>
      </c>
      <c r="F380" s="1065" t="e">
        <f>IF(E380="","$",VLOOKUP(E380,'結果(小)'!$B$2:$F$1295,5,FALSE))</f>
        <v>#DIV/0!</v>
      </c>
      <c r="G380" s="1" t="s">
        <v>1286</v>
      </c>
      <c r="H380" s="6">
        <v>48</v>
      </c>
      <c r="I380" s="2" t="s">
        <v>5</v>
      </c>
      <c r="J380" s="1" t="s">
        <v>15273</v>
      </c>
      <c r="K380" s="3" t="s">
        <v>1287</v>
      </c>
      <c r="L380" s="1"/>
      <c r="M380" s="1"/>
      <c r="N380" s="4" t="s">
        <v>16128</v>
      </c>
      <c r="O380" s="1"/>
      <c r="P380" s="1" t="s">
        <v>25</v>
      </c>
      <c r="Q380" s="16">
        <v>1</v>
      </c>
      <c r="R380" s="17">
        <v>5</v>
      </c>
      <c r="S380" s="3"/>
      <c r="T380" s="1758"/>
      <c r="U380" s="1780"/>
      <c r="V380" s="1752"/>
    </row>
    <row r="381" spans="1:22" ht="12" customHeight="1">
      <c r="A381" s="1040" t="str">
        <f t="shared" si="6"/>
        <v>3306</v>
      </c>
      <c r="B381" s="1057" t="s">
        <v>16293</v>
      </c>
      <c r="C381" s="1064"/>
      <c r="D381" s="2">
        <v>1</v>
      </c>
      <c r="E381" s="4" t="s">
        <v>5367</v>
      </c>
      <c r="F381" s="1065" t="e">
        <f>IF(E381="","$",VLOOKUP(E381,'結果(小)'!$B$2:$F$1295,5,FALSE))</f>
        <v>#DIV/0!</v>
      </c>
      <c r="G381" s="1" t="s">
        <v>4595</v>
      </c>
      <c r="H381" s="6">
        <v>51</v>
      </c>
      <c r="I381" s="2" t="s">
        <v>5</v>
      </c>
      <c r="J381" s="1" t="s">
        <v>15273</v>
      </c>
      <c r="K381" s="3"/>
      <c r="L381" s="1"/>
      <c r="M381" s="1"/>
      <c r="N381" s="8" t="s">
        <v>16128</v>
      </c>
      <c r="O381" s="1"/>
      <c r="P381" s="1" t="s">
        <v>6</v>
      </c>
      <c r="Q381" s="16"/>
      <c r="R381" s="17"/>
      <c r="S381" s="3"/>
      <c r="T381" s="1758"/>
      <c r="U381" s="1780"/>
      <c r="V381" s="1752"/>
    </row>
    <row r="382" spans="1:22" ht="12" customHeight="1">
      <c r="A382" s="1040" t="str">
        <f t="shared" si="6"/>
        <v>3306</v>
      </c>
      <c r="B382" s="1057" t="s">
        <v>16294</v>
      </c>
      <c r="C382" s="1064"/>
      <c r="D382" s="2">
        <v>1</v>
      </c>
      <c r="E382" s="4" t="s">
        <v>1395</v>
      </c>
      <c r="F382" s="1065" t="e">
        <f>IF(E382="","$",VLOOKUP(E382,'結果(小)'!$B$2:$F$1295,5,FALSE))</f>
        <v>#DIV/0!</v>
      </c>
      <c r="G382" s="1" t="s">
        <v>1404</v>
      </c>
      <c r="H382" s="6">
        <v>43</v>
      </c>
      <c r="I382" s="2" t="s">
        <v>5</v>
      </c>
      <c r="J382" s="1" t="s">
        <v>15273</v>
      </c>
      <c r="K382" s="3"/>
      <c r="L382" s="1"/>
      <c r="M382" s="1"/>
      <c r="N382" s="4" t="s">
        <v>16128</v>
      </c>
      <c r="O382" s="1"/>
      <c r="P382" s="1" t="s">
        <v>6</v>
      </c>
      <c r="Q382" s="16"/>
      <c r="R382" s="17"/>
      <c r="S382" s="3"/>
      <c r="T382" s="1758"/>
      <c r="U382" s="1780"/>
      <c r="V382" s="1752"/>
    </row>
    <row r="383" spans="1:22" ht="12" customHeight="1">
      <c r="A383" s="1040" t="str">
        <f t="shared" si="6"/>
        <v>3306</v>
      </c>
      <c r="B383" s="1057" t="s">
        <v>16295</v>
      </c>
      <c r="C383" s="1064"/>
      <c r="D383" s="2">
        <v>1</v>
      </c>
      <c r="E383" s="4" t="s">
        <v>1410</v>
      </c>
      <c r="F383" s="1065" t="e">
        <f>IF(E383="","$",VLOOKUP(E383,'結果(小)'!$B$2:$F$1295,5,FALSE))</f>
        <v>#DIV/0!</v>
      </c>
      <c r="G383" s="1" t="s">
        <v>1419</v>
      </c>
      <c r="H383" s="6">
        <v>53</v>
      </c>
      <c r="I383" s="2" t="s">
        <v>19</v>
      </c>
      <c r="J383" s="1" t="s">
        <v>15273</v>
      </c>
      <c r="K383" s="3"/>
      <c r="L383" s="1"/>
      <c r="M383" s="1"/>
      <c r="N383" s="4" t="s">
        <v>16128</v>
      </c>
      <c r="O383" s="1"/>
      <c r="P383" s="1" t="s">
        <v>6</v>
      </c>
      <c r="Q383" s="16"/>
      <c r="R383" s="17"/>
      <c r="S383" s="3" t="s">
        <v>6031</v>
      </c>
      <c r="T383" s="1758"/>
      <c r="U383" s="1780"/>
      <c r="V383" s="1752"/>
    </row>
    <row r="384" spans="1:22" ht="12" customHeight="1">
      <c r="A384" s="1040" t="str">
        <f t="shared" si="6"/>
        <v>3306</v>
      </c>
      <c r="B384" s="1057" t="s">
        <v>16296</v>
      </c>
      <c r="C384" s="1064"/>
      <c r="D384" s="2">
        <v>1</v>
      </c>
      <c r="E384" s="4" t="s">
        <v>1424</v>
      </c>
      <c r="F384" s="1065" t="e">
        <f>IF(E384="","$",VLOOKUP(E384,'結果(小)'!$B$2:$F$1295,5,FALSE))</f>
        <v>#DIV/0!</v>
      </c>
      <c r="G384" s="1" t="s">
        <v>1430</v>
      </c>
      <c r="H384" s="6">
        <v>56</v>
      </c>
      <c r="I384" s="2" t="s">
        <v>5</v>
      </c>
      <c r="J384" s="1" t="s">
        <v>15273</v>
      </c>
      <c r="K384" s="3" t="s">
        <v>1431</v>
      </c>
      <c r="L384" s="1"/>
      <c r="M384" s="1"/>
      <c r="N384" s="4" t="s">
        <v>16128</v>
      </c>
      <c r="O384" s="1"/>
      <c r="P384" s="1" t="s">
        <v>25</v>
      </c>
      <c r="Q384" s="16">
        <v>3</v>
      </c>
      <c r="R384" s="17">
        <v>3</v>
      </c>
      <c r="S384" s="3"/>
      <c r="T384" s="1758"/>
      <c r="U384" s="1780"/>
      <c r="V384" s="1752"/>
    </row>
    <row r="385" spans="1:22" ht="12" customHeight="1">
      <c r="A385" s="1040" t="str">
        <f t="shared" si="6"/>
        <v>3306</v>
      </c>
      <c r="B385" s="1057" t="s">
        <v>16297</v>
      </c>
      <c r="C385" s="1064"/>
      <c r="D385" s="2">
        <v>1</v>
      </c>
      <c r="E385" s="4" t="s">
        <v>1444</v>
      </c>
      <c r="F385" s="1065" t="e">
        <f>IF(E385="","$",VLOOKUP(E385,'結果(小)'!$B$2:$F$1295,5,FALSE))</f>
        <v>#DIV/0!</v>
      </c>
      <c r="G385" s="1" t="s">
        <v>1454</v>
      </c>
      <c r="H385" s="6">
        <v>37</v>
      </c>
      <c r="I385" s="2" t="s">
        <v>5</v>
      </c>
      <c r="J385" s="1" t="s">
        <v>15273</v>
      </c>
      <c r="K385" s="3"/>
      <c r="L385" s="1"/>
      <c r="M385" s="1"/>
      <c r="N385" s="4" t="s">
        <v>16128</v>
      </c>
      <c r="O385" s="1"/>
      <c r="P385" s="1" t="s">
        <v>6</v>
      </c>
      <c r="Q385" s="16"/>
      <c r="R385" s="17"/>
      <c r="S385" s="3" t="s">
        <v>6031</v>
      </c>
      <c r="T385" s="1758"/>
      <c r="U385" s="1780"/>
      <c r="V385" s="1752"/>
    </row>
    <row r="386" spans="1:22" ht="12" customHeight="1">
      <c r="A386" s="1040" t="str">
        <f t="shared" si="6"/>
        <v>3306</v>
      </c>
      <c r="B386" s="1057" t="s">
        <v>16298</v>
      </c>
      <c r="C386" s="1064"/>
      <c r="D386" s="2">
        <v>1</v>
      </c>
      <c r="E386" s="4" t="s">
        <v>1462</v>
      </c>
      <c r="F386" s="1065" t="e">
        <f>IF(E386="","$",VLOOKUP(E386,'結果(小)'!$B$2:$F$1295,5,FALSE))</f>
        <v>#DIV/0!</v>
      </c>
      <c r="G386" s="1" t="s">
        <v>1474</v>
      </c>
      <c r="H386" s="6">
        <v>47</v>
      </c>
      <c r="I386" s="2" t="s">
        <v>5</v>
      </c>
      <c r="J386" s="1" t="s">
        <v>15273</v>
      </c>
      <c r="K386" s="3"/>
      <c r="L386" s="1"/>
      <c r="M386" s="1"/>
      <c r="N386" s="4" t="s">
        <v>16128</v>
      </c>
      <c r="O386" s="1"/>
      <c r="P386" s="1" t="s">
        <v>6</v>
      </c>
      <c r="Q386" s="16"/>
      <c r="R386" s="17"/>
      <c r="S386" s="3"/>
      <c r="T386" s="1758"/>
      <c r="U386" s="1780"/>
      <c r="V386" s="1752"/>
    </row>
    <row r="387" spans="1:22" ht="12" customHeight="1">
      <c r="A387" s="1040" t="str">
        <f t="shared" ref="A387:A450" si="7">MIDB(B387,1,4)</f>
        <v>3306</v>
      </c>
      <c r="B387" s="1057" t="s">
        <v>16299</v>
      </c>
      <c r="C387" s="1064"/>
      <c r="D387" s="2">
        <v>1</v>
      </c>
      <c r="E387" s="4" t="s">
        <v>1507</v>
      </c>
      <c r="F387" s="1065" t="e">
        <f>IF(E387="","$",VLOOKUP(E387,'結果(小)'!$B$2:$F$1295,5,FALSE))</f>
        <v>#DIV/0!</v>
      </c>
      <c r="G387" s="1" t="s">
        <v>1520</v>
      </c>
      <c r="H387" s="6">
        <v>34</v>
      </c>
      <c r="I387" s="2" t="s">
        <v>5</v>
      </c>
      <c r="J387" s="1" t="s">
        <v>15273</v>
      </c>
      <c r="K387" s="3"/>
      <c r="L387" s="1"/>
      <c r="M387" s="1"/>
      <c r="N387" s="8" t="s">
        <v>16128</v>
      </c>
      <c r="O387" s="1"/>
      <c r="P387" s="1" t="s">
        <v>6</v>
      </c>
      <c r="Q387" s="16"/>
      <c r="R387" s="17"/>
      <c r="S387" s="3"/>
      <c r="T387" s="1758"/>
      <c r="U387" s="1780"/>
      <c r="V387" s="1752"/>
    </row>
    <row r="388" spans="1:22" ht="12" customHeight="1">
      <c r="A388" s="1040" t="str">
        <f t="shared" si="7"/>
        <v>3306</v>
      </c>
      <c r="B388" s="1057" t="s">
        <v>16300</v>
      </c>
      <c r="C388" s="1064"/>
      <c r="D388" s="2">
        <v>1</v>
      </c>
      <c r="E388" s="4" t="s">
        <v>1526</v>
      </c>
      <c r="F388" s="1065" t="e">
        <f>IF(E388="","$",VLOOKUP(E388,'結果(小)'!$B$2:$F$1295,5,FALSE))</f>
        <v>#DIV/0!</v>
      </c>
      <c r="G388" s="1" t="s">
        <v>15988</v>
      </c>
      <c r="H388" s="6">
        <v>41</v>
      </c>
      <c r="I388" s="2" t="s">
        <v>5</v>
      </c>
      <c r="J388" s="1" t="s">
        <v>15273</v>
      </c>
      <c r="K388" s="3"/>
      <c r="L388" s="1"/>
      <c r="M388" s="1"/>
      <c r="N388" s="4" t="s">
        <v>16128</v>
      </c>
      <c r="O388" s="1"/>
      <c r="P388" s="1" t="s">
        <v>6</v>
      </c>
      <c r="Q388" s="16"/>
      <c r="R388" s="17"/>
      <c r="S388" s="3"/>
      <c r="T388" s="1758"/>
      <c r="U388" s="1780"/>
      <c r="V388" s="1752"/>
    </row>
    <row r="389" spans="1:22" ht="12" customHeight="1">
      <c r="A389" s="1040" t="str">
        <f t="shared" si="7"/>
        <v>3306</v>
      </c>
      <c r="B389" s="1057" t="s">
        <v>16301</v>
      </c>
      <c r="C389" s="1064"/>
      <c r="D389" s="2">
        <v>1</v>
      </c>
      <c r="E389" s="4" t="s">
        <v>1575</v>
      </c>
      <c r="F389" s="1065" t="e">
        <f>IF(E389="","$",VLOOKUP(E389,'結果(小)'!$B$2:$F$1295,5,FALSE))</f>
        <v>#DIV/0!</v>
      </c>
      <c r="G389" s="1" t="s">
        <v>1585</v>
      </c>
      <c r="H389" s="6">
        <v>49</v>
      </c>
      <c r="I389" s="2" t="s">
        <v>5</v>
      </c>
      <c r="J389" s="1" t="s">
        <v>15273</v>
      </c>
      <c r="K389" s="3"/>
      <c r="L389" s="1"/>
      <c r="M389" s="1"/>
      <c r="N389" s="4" t="s">
        <v>16128</v>
      </c>
      <c r="O389" s="1"/>
      <c r="P389" s="1" t="s">
        <v>6</v>
      </c>
      <c r="Q389" s="16"/>
      <c r="R389" s="17"/>
      <c r="S389" s="3" t="s">
        <v>6031</v>
      </c>
      <c r="T389" s="1758"/>
      <c r="U389" s="1780"/>
      <c r="V389" s="1752"/>
    </row>
    <row r="390" spans="1:22" ht="12" customHeight="1">
      <c r="A390" s="1040" t="str">
        <f t="shared" si="7"/>
        <v>3306</v>
      </c>
      <c r="B390" s="1057" t="s">
        <v>16302</v>
      </c>
      <c r="C390" s="1064"/>
      <c r="D390" s="2">
        <v>1</v>
      </c>
      <c r="E390" s="4" t="s">
        <v>1594</v>
      </c>
      <c r="F390" s="1065" t="e">
        <f>IF(E390="","$",VLOOKUP(E390,'結果(小)'!$B$2:$F$1295,5,FALSE))</f>
        <v>#DIV/0!</v>
      </c>
      <c r="G390" s="1" t="s">
        <v>1605</v>
      </c>
      <c r="H390" s="6">
        <v>45</v>
      </c>
      <c r="I390" s="2" t="s">
        <v>5</v>
      </c>
      <c r="J390" s="1" t="s">
        <v>15273</v>
      </c>
      <c r="K390" s="3"/>
      <c r="L390" s="1"/>
      <c r="M390" s="1"/>
      <c r="N390" s="4" t="s">
        <v>16128</v>
      </c>
      <c r="O390" s="1"/>
      <c r="P390" s="1" t="s">
        <v>6</v>
      </c>
      <c r="Q390" s="16"/>
      <c r="R390" s="17"/>
      <c r="S390" s="3" t="s">
        <v>6031</v>
      </c>
      <c r="T390" s="1758"/>
      <c r="U390" s="1780"/>
      <c r="V390" s="1752"/>
    </row>
    <row r="391" spans="1:22" ht="12" customHeight="1" thickBot="1">
      <c r="A391" s="916" t="str">
        <f t="shared" si="7"/>
        <v>3306</v>
      </c>
      <c r="B391" s="1086" t="s">
        <v>16303</v>
      </c>
      <c r="C391" s="1075"/>
      <c r="D391" s="702">
        <v>1</v>
      </c>
      <c r="E391" s="700" t="s">
        <v>1634</v>
      </c>
      <c r="F391" s="1071" t="e">
        <f>IF(E391="","$",VLOOKUP(E391,'結果(小)'!$B$2:$F$1295,5,FALSE))</f>
        <v>#DIV/0!</v>
      </c>
      <c r="G391" s="906" t="s">
        <v>1646</v>
      </c>
      <c r="H391" s="701">
        <v>45</v>
      </c>
      <c r="I391" s="702" t="s">
        <v>5</v>
      </c>
      <c r="J391" s="906" t="s">
        <v>15273</v>
      </c>
      <c r="K391" s="703"/>
      <c r="L391" s="906"/>
      <c r="M391" s="906"/>
      <c r="N391" s="700" t="s">
        <v>16128</v>
      </c>
      <c r="O391" s="906"/>
      <c r="P391" s="906" t="s">
        <v>6</v>
      </c>
      <c r="Q391" s="705"/>
      <c r="R391" s="903"/>
      <c r="S391" s="703" t="s">
        <v>6031</v>
      </c>
      <c r="T391" s="1759"/>
      <c r="U391" s="1776"/>
      <c r="V391" s="1753"/>
    </row>
    <row r="392" spans="1:22" ht="12" customHeight="1">
      <c r="A392" s="1038" t="str">
        <f t="shared" si="7"/>
        <v>3307</v>
      </c>
      <c r="B392" s="1087" t="s">
        <v>5663</v>
      </c>
      <c r="C392" s="1073"/>
      <c r="D392" s="696">
        <v>1</v>
      </c>
      <c r="E392" s="696"/>
      <c r="F392" s="1068" t="str">
        <f>IF(E392="","$",VLOOKUP(E392,'結果(小)'!$B$2:$F$1295,5,FALSE))</f>
        <v>$</v>
      </c>
      <c r="G392" s="696" t="s">
        <v>2155</v>
      </c>
      <c r="H392" s="690">
        <v>58</v>
      </c>
      <c r="I392" s="696" t="s">
        <v>5</v>
      </c>
      <c r="J392" s="696" t="s">
        <v>6067</v>
      </c>
      <c r="K392" s="715" t="s">
        <v>2156</v>
      </c>
      <c r="L392" s="696"/>
      <c r="M392" s="696"/>
      <c r="N392" s="716" t="s">
        <v>16117</v>
      </c>
      <c r="O392" s="696"/>
      <c r="P392" s="696" t="s">
        <v>25</v>
      </c>
      <c r="Q392" s="717">
        <v>6</v>
      </c>
      <c r="R392" s="718">
        <v>6</v>
      </c>
      <c r="S392" s="715"/>
      <c r="T392" s="1760"/>
      <c r="U392" s="1775"/>
      <c r="V392" s="1751" t="e">
        <f>U392/SUM(U265:U403)</f>
        <v>#DIV/0!</v>
      </c>
    </row>
    <row r="393" spans="1:22" ht="12" customHeight="1">
      <c r="A393" s="1040" t="str">
        <f t="shared" si="7"/>
        <v>3307</v>
      </c>
      <c r="B393" s="1058" t="s">
        <v>5664</v>
      </c>
      <c r="C393" s="1064"/>
      <c r="D393" s="2">
        <v>2</v>
      </c>
      <c r="E393" s="2"/>
      <c r="F393" s="1065" t="str">
        <f>IF(E393="","$",VLOOKUP(E393,'結果(小)'!$B$2:$F$1295,5,FALSE))</f>
        <v>$</v>
      </c>
      <c r="G393" s="2" t="s">
        <v>2159</v>
      </c>
      <c r="H393" s="6">
        <v>55</v>
      </c>
      <c r="I393" s="2" t="s">
        <v>19</v>
      </c>
      <c r="J393" s="2" t="s">
        <v>6067</v>
      </c>
      <c r="K393" s="22"/>
      <c r="L393" s="2"/>
      <c r="M393" s="2"/>
      <c r="N393" s="8" t="s">
        <v>16117</v>
      </c>
      <c r="O393" s="2"/>
      <c r="P393" s="2" t="s">
        <v>6</v>
      </c>
      <c r="Q393" s="24"/>
      <c r="R393" s="25">
        <v>2</v>
      </c>
      <c r="S393" s="22"/>
      <c r="T393" s="1761"/>
      <c r="U393" s="1780"/>
      <c r="V393" s="1752"/>
    </row>
    <row r="394" spans="1:22" ht="12" customHeight="1">
      <c r="A394" s="1040" t="str">
        <f t="shared" si="7"/>
        <v>3307</v>
      </c>
      <c r="B394" s="1058" t="s">
        <v>5665</v>
      </c>
      <c r="C394" s="1064"/>
      <c r="D394" s="2">
        <v>3</v>
      </c>
      <c r="E394" s="4" t="s">
        <v>1060</v>
      </c>
      <c r="F394" s="1065" t="e">
        <f>IF(E394="","$",VLOOKUP(E394,'結果(小)'!$B$2:$F$1295,5,FALSE))</f>
        <v>#DIV/0!</v>
      </c>
      <c r="G394" s="1" t="s">
        <v>1069</v>
      </c>
      <c r="H394" s="6">
        <v>38</v>
      </c>
      <c r="I394" s="2" t="s">
        <v>19</v>
      </c>
      <c r="J394" s="1" t="s">
        <v>15273</v>
      </c>
      <c r="K394" s="3"/>
      <c r="L394" s="1"/>
      <c r="M394" s="1"/>
      <c r="N394" s="4" t="s">
        <v>16117</v>
      </c>
      <c r="O394" s="1"/>
      <c r="P394" s="1" t="s">
        <v>6</v>
      </c>
      <c r="Q394" s="16"/>
      <c r="R394" s="17"/>
      <c r="S394" s="3"/>
      <c r="T394" s="1761"/>
      <c r="U394" s="1780"/>
      <c r="V394" s="1752"/>
    </row>
    <row r="395" spans="1:22" ht="12" customHeight="1" thickBot="1">
      <c r="A395" s="916" t="str">
        <f t="shared" si="7"/>
        <v>3307</v>
      </c>
      <c r="B395" s="1088" t="s">
        <v>16305</v>
      </c>
      <c r="C395" s="1075"/>
      <c r="D395" s="702">
        <v>4</v>
      </c>
      <c r="E395" s="702"/>
      <c r="F395" s="1071" t="str">
        <f>IF(E395="","$",VLOOKUP(E395,'結果(小)'!$B$2:$F$1295,5,FALSE))</f>
        <v>$</v>
      </c>
      <c r="G395" s="702" t="s">
        <v>5486</v>
      </c>
      <c r="H395" s="701">
        <v>57</v>
      </c>
      <c r="I395" s="702" t="s">
        <v>19</v>
      </c>
      <c r="J395" s="702" t="s">
        <v>6067</v>
      </c>
      <c r="K395" s="720"/>
      <c r="L395" s="702"/>
      <c r="M395" s="702"/>
      <c r="N395" s="704" t="s">
        <v>16117</v>
      </c>
      <c r="O395" s="702"/>
      <c r="P395" s="702" t="s">
        <v>6</v>
      </c>
      <c r="Q395" s="721"/>
      <c r="R395" s="722"/>
      <c r="S395" s="720"/>
      <c r="T395" s="1762"/>
      <c r="U395" s="1776"/>
      <c r="V395" s="1753"/>
    </row>
    <row r="396" spans="1:22" ht="12" customHeight="1">
      <c r="A396" s="1038" t="str">
        <f t="shared" si="7"/>
        <v>3308</v>
      </c>
      <c r="B396" s="1099" t="s">
        <v>5698</v>
      </c>
      <c r="C396" s="1073"/>
      <c r="D396" s="696">
        <v>1</v>
      </c>
      <c r="E396" s="688" t="s">
        <v>5980</v>
      </c>
      <c r="F396" s="1068" t="e">
        <f>IF(E396="","$",VLOOKUP(E396,'結果(小)'!$B$2:$F$1295,5,FALSE))</f>
        <v>#DIV/0!</v>
      </c>
      <c r="G396" s="687" t="s">
        <v>5460</v>
      </c>
      <c r="H396" s="690">
        <v>73</v>
      </c>
      <c r="I396" s="696" t="s">
        <v>19</v>
      </c>
      <c r="J396" s="687" t="s">
        <v>15273</v>
      </c>
      <c r="K396" s="747"/>
      <c r="L396" s="687"/>
      <c r="M396" s="687"/>
      <c r="N396" s="692" t="s">
        <v>16121</v>
      </c>
      <c r="O396" s="687"/>
      <c r="P396" s="687" t="s">
        <v>6</v>
      </c>
      <c r="Q396" s="748"/>
      <c r="R396" s="749"/>
      <c r="S396" s="747"/>
      <c r="T396" s="1745"/>
      <c r="U396" s="1775"/>
      <c r="V396" s="1751" t="e">
        <f>U396/SUM(U265:U403)</f>
        <v>#DIV/0!</v>
      </c>
    </row>
    <row r="397" spans="1:22" ht="12" customHeight="1">
      <c r="A397" s="1040" t="str">
        <f t="shared" si="7"/>
        <v>3308</v>
      </c>
      <c r="B397" s="1062" t="s">
        <v>16307</v>
      </c>
      <c r="C397" s="1064"/>
      <c r="D397" s="2">
        <v>1</v>
      </c>
      <c r="E397" s="4" t="s">
        <v>1528</v>
      </c>
      <c r="F397" s="1065" t="e">
        <f>IF(E397="","$",VLOOKUP(E397,'結果(小)'!$B$2:$F$1295,5,FALSE))</f>
        <v>#DIV/0!</v>
      </c>
      <c r="G397" s="1" t="s">
        <v>1540</v>
      </c>
      <c r="H397" s="6">
        <v>25</v>
      </c>
      <c r="I397" s="2" t="s">
        <v>5</v>
      </c>
      <c r="J397" s="1" t="s">
        <v>15273</v>
      </c>
      <c r="K397" s="3"/>
      <c r="L397" s="1"/>
      <c r="M397" s="1"/>
      <c r="N397" s="4" t="s">
        <v>16121</v>
      </c>
      <c r="O397" s="1"/>
      <c r="P397" s="1" t="s">
        <v>6</v>
      </c>
      <c r="Q397" s="16"/>
      <c r="R397" s="17"/>
      <c r="S397" s="3"/>
      <c r="T397" s="1746"/>
      <c r="U397" s="1780"/>
      <c r="V397" s="1752"/>
    </row>
    <row r="398" spans="1:22" ht="12" customHeight="1" thickBot="1">
      <c r="A398" s="916" t="str">
        <f t="shared" si="7"/>
        <v>3308</v>
      </c>
      <c r="B398" s="1100" t="s">
        <v>16306</v>
      </c>
      <c r="C398" s="1075"/>
      <c r="D398" s="702">
        <v>3</v>
      </c>
      <c r="E398" s="702"/>
      <c r="F398" s="1071" t="str">
        <f>IF(E398="","$",VLOOKUP(E398,'結果(小)'!$B$2:$F$1295,5,FALSE))</f>
        <v>$</v>
      </c>
      <c r="G398" s="702" t="s">
        <v>5699</v>
      </c>
      <c r="H398" s="701">
        <v>45</v>
      </c>
      <c r="I398" s="702" t="s">
        <v>19</v>
      </c>
      <c r="J398" s="702" t="s">
        <v>6067</v>
      </c>
      <c r="K398" s="720"/>
      <c r="L398" s="702"/>
      <c r="M398" s="702"/>
      <c r="N398" s="770" t="s">
        <v>16121</v>
      </c>
      <c r="O398" s="702"/>
      <c r="P398" s="702" t="s">
        <v>6</v>
      </c>
      <c r="Q398" s="721"/>
      <c r="R398" s="722"/>
      <c r="S398" s="720"/>
      <c r="T398" s="1747"/>
      <c r="U398" s="1776"/>
      <c r="V398" s="1753"/>
    </row>
    <row r="399" spans="1:22" ht="12" customHeight="1">
      <c r="A399" s="1038" t="str">
        <f t="shared" si="7"/>
        <v>3313</v>
      </c>
      <c r="B399" s="1093" t="s">
        <v>16315</v>
      </c>
      <c r="C399" s="1073"/>
      <c r="D399" s="696">
        <v>1</v>
      </c>
      <c r="E399" s="696"/>
      <c r="F399" s="1068" t="str">
        <f>IF(E399="","$",VLOOKUP(E399,'結果(小)'!$B$2:$F$1295,5,FALSE))</f>
        <v>$</v>
      </c>
      <c r="G399" s="696" t="s">
        <v>5106</v>
      </c>
      <c r="H399" s="690">
        <v>50</v>
      </c>
      <c r="I399" s="696" t="s">
        <v>5</v>
      </c>
      <c r="J399" s="696" t="s">
        <v>6067</v>
      </c>
      <c r="K399" s="715"/>
      <c r="L399" s="696"/>
      <c r="M399" s="696"/>
      <c r="N399" s="716" t="s">
        <v>16122</v>
      </c>
      <c r="O399" s="696" t="s">
        <v>22</v>
      </c>
      <c r="P399" s="696" t="s">
        <v>6</v>
      </c>
      <c r="Q399" s="717"/>
      <c r="R399" s="718"/>
      <c r="S399" s="715"/>
      <c r="T399" s="1754"/>
      <c r="U399" s="1775"/>
      <c r="V399" s="1751" t="e">
        <f>U399/SUM(U265:U403)</f>
        <v>#DIV/0!</v>
      </c>
    </row>
    <row r="400" spans="1:22" ht="12" customHeight="1">
      <c r="A400" s="1040" t="str">
        <f t="shared" si="7"/>
        <v>3313</v>
      </c>
      <c r="B400" s="1060" t="s">
        <v>16316</v>
      </c>
      <c r="C400" s="1064"/>
      <c r="D400" s="2">
        <v>2</v>
      </c>
      <c r="E400" s="2"/>
      <c r="F400" s="1065" t="str">
        <f>IF(E400="","$",VLOOKUP(E400,'結果(小)'!$B$2:$F$1295,5,FALSE))</f>
        <v>$</v>
      </c>
      <c r="G400" s="2" t="s">
        <v>5109</v>
      </c>
      <c r="H400" s="6">
        <v>62</v>
      </c>
      <c r="I400" s="2" t="s">
        <v>5</v>
      </c>
      <c r="J400" s="2" t="s">
        <v>6067</v>
      </c>
      <c r="K400" s="22"/>
      <c r="L400" s="2"/>
      <c r="M400" s="2"/>
      <c r="N400" s="23" t="s">
        <v>16122</v>
      </c>
      <c r="O400" s="2" t="s">
        <v>22</v>
      </c>
      <c r="P400" s="2" t="s">
        <v>6</v>
      </c>
      <c r="Q400" s="24"/>
      <c r="R400" s="25"/>
      <c r="S400" s="22"/>
      <c r="T400" s="1755"/>
      <c r="U400" s="1780"/>
      <c r="V400" s="1752"/>
    </row>
    <row r="401" spans="1:22" ht="12" customHeight="1">
      <c r="A401" s="1040" t="str">
        <f t="shared" si="7"/>
        <v>3313</v>
      </c>
      <c r="B401" s="1060" t="s">
        <v>16317</v>
      </c>
      <c r="C401" s="1064"/>
      <c r="D401" s="2">
        <v>3</v>
      </c>
      <c r="E401" s="2"/>
      <c r="F401" s="1065" t="str">
        <f>IF(E401="","$",VLOOKUP(E401,'結果(小)'!$B$2:$F$1295,5,FALSE))</f>
        <v>$</v>
      </c>
      <c r="G401" s="2" t="s">
        <v>5112</v>
      </c>
      <c r="H401" s="6">
        <v>40</v>
      </c>
      <c r="I401" s="2" t="s">
        <v>5</v>
      </c>
      <c r="J401" s="2" t="s">
        <v>6067</v>
      </c>
      <c r="K401" s="22"/>
      <c r="L401" s="2"/>
      <c r="M401" s="2"/>
      <c r="N401" s="23" t="s">
        <v>16122</v>
      </c>
      <c r="O401" s="2" t="s">
        <v>22</v>
      </c>
      <c r="P401" s="2" t="s">
        <v>6</v>
      </c>
      <c r="Q401" s="24"/>
      <c r="R401" s="25"/>
      <c r="S401" s="22"/>
      <c r="T401" s="1755"/>
      <c r="U401" s="1780"/>
      <c r="V401" s="1752"/>
    </row>
    <row r="402" spans="1:22" ht="12" customHeight="1">
      <c r="A402" s="1040" t="str">
        <f t="shared" si="7"/>
        <v>3313</v>
      </c>
      <c r="B402" s="1060" t="s">
        <v>16318</v>
      </c>
      <c r="C402" s="1064"/>
      <c r="D402" s="2">
        <v>4</v>
      </c>
      <c r="E402" s="2"/>
      <c r="F402" s="1065" t="str">
        <f>IF(E402="","$",VLOOKUP(E402,'結果(小)'!$B$2:$F$1295,5,FALSE))</f>
        <v>$</v>
      </c>
      <c r="G402" s="2" t="s">
        <v>5115</v>
      </c>
      <c r="H402" s="6">
        <v>72</v>
      </c>
      <c r="I402" s="2" t="s">
        <v>5</v>
      </c>
      <c r="J402" s="2" t="s">
        <v>6067</v>
      </c>
      <c r="K402" s="22"/>
      <c r="L402" s="2"/>
      <c r="M402" s="2"/>
      <c r="N402" s="23" t="s">
        <v>16122</v>
      </c>
      <c r="O402" s="2" t="s">
        <v>22</v>
      </c>
      <c r="P402" s="2" t="s">
        <v>6</v>
      </c>
      <c r="Q402" s="24"/>
      <c r="R402" s="25"/>
      <c r="S402" s="22"/>
      <c r="T402" s="1755"/>
      <c r="U402" s="1780"/>
      <c r="V402" s="1752"/>
    </row>
    <row r="403" spans="1:22" ht="12" customHeight="1" thickBot="1">
      <c r="A403" s="916" t="str">
        <f t="shared" si="7"/>
        <v>3313</v>
      </c>
      <c r="B403" s="1094" t="s">
        <v>16319</v>
      </c>
      <c r="C403" s="1075"/>
      <c r="D403" s="702">
        <v>5</v>
      </c>
      <c r="E403" s="702"/>
      <c r="F403" s="1071" t="str">
        <f>IF(E403="","$",VLOOKUP(E403,'結果(小)'!$B$2:$F$1295,5,FALSE))</f>
        <v>$</v>
      </c>
      <c r="G403" s="702" t="s">
        <v>5117</v>
      </c>
      <c r="H403" s="701">
        <v>27</v>
      </c>
      <c r="I403" s="702" t="s">
        <v>5</v>
      </c>
      <c r="J403" s="702" t="s">
        <v>6067</v>
      </c>
      <c r="K403" s="720"/>
      <c r="L403" s="702"/>
      <c r="M403" s="702"/>
      <c r="N403" s="770" t="s">
        <v>16122</v>
      </c>
      <c r="O403" s="702" t="s">
        <v>22</v>
      </c>
      <c r="P403" s="702" t="s">
        <v>6</v>
      </c>
      <c r="Q403" s="721"/>
      <c r="R403" s="722"/>
      <c r="S403" s="720"/>
      <c r="T403" s="1756"/>
      <c r="U403" s="1776"/>
      <c r="V403" s="1753"/>
    </row>
    <row r="404" spans="1:22" ht="12" customHeight="1">
      <c r="A404" s="1038" t="str">
        <f t="shared" si="7"/>
        <v>3401</v>
      </c>
      <c r="B404" s="1095" t="s">
        <v>15766</v>
      </c>
      <c r="C404" s="1073"/>
      <c r="D404" s="696">
        <v>1</v>
      </c>
      <c r="E404" s="688" t="s">
        <v>1648</v>
      </c>
      <c r="F404" s="1068" t="e">
        <f>IF(E404="","$",VLOOKUP(E404,'結果(小)'!$B$2:$F$1295,5,FALSE))</f>
        <v>#DIV/0!</v>
      </c>
      <c r="G404" s="687" t="s">
        <v>1654</v>
      </c>
      <c r="H404" s="690">
        <v>63</v>
      </c>
      <c r="I404" s="696" t="s">
        <v>5</v>
      </c>
      <c r="J404" s="689" t="s">
        <v>15273</v>
      </c>
      <c r="K404" s="747" t="s">
        <v>1655</v>
      </c>
      <c r="L404" s="687"/>
      <c r="M404" s="687"/>
      <c r="N404" s="692" t="s">
        <v>16127</v>
      </c>
      <c r="O404" s="687" t="s">
        <v>1656</v>
      </c>
      <c r="P404" s="687" t="s">
        <v>25</v>
      </c>
      <c r="Q404" s="748">
        <v>5</v>
      </c>
      <c r="R404" s="749">
        <v>5</v>
      </c>
      <c r="S404" s="747" t="s">
        <v>736</v>
      </c>
      <c r="T404" s="1777"/>
      <c r="U404" s="1748"/>
      <c r="V404" s="1751" t="e">
        <f>U404/SUM(U404:U521)</f>
        <v>#DIV/0!</v>
      </c>
    </row>
    <row r="405" spans="1:22" ht="12" customHeight="1">
      <c r="A405" s="1040" t="str">
        <f t="shared" si="7"/>
        <v>3401</v>
      </c>
      <c r="B405" s="1061" t="s">
        <v>15767</v>
      </c>
      <c r="C405" s="1064"/>
      <c r="D405" s="2">
        <v>1</v>
      </c>
      <c r="E405" s="4" t="s">
        <v>1672</v>
      </c>
      <c r="F405" s="1065" t="e">
        <f>IF(E405="","$",VLOOKUP(E405,'結果(小)'!$B$2:$F$1295,5,FALSE))</f>
        <v>#DIV/0!</v>
      </c>
      <c r="G405" s="1" t="s">
        <v>1676</v>
      </c>
      <c r="H405" s="6">
        <v>67</v>
      </c>
      <c r="I405" s="2" t="s">
        <v>5</v>
      </c>
      <c r="J405" s="5" t="s">
        <v>15273</v>
      </c>
      <c r="K405" s="3" t="s">
        <v>1677</v>
      </c>
      <c r="L405" s="1"/>
      <c r="M405" s="1"/>
      <c r="N405" s="8" t="s">
        <v>16127</v>
      </c>
      <c r="O405" s="1" t="s">
        <v>604</v>
      </c>
      <c r="P405" s="1" t="s">
        <v>25</v>
      </c>
      <c r="Q405" s="16">
        <v>4</v>
      </c>
      <c r="R405" s="17">
        <v>4</v>
      </c>
      <c r="S405" s="3" t="s">
        <v>736</v>
      </c>
      <c r="T405" s="1778"/>
      <c r="U405" s="1749"/>
      <c r="V405" s="1752"/>
    </row>
    <row r="406" spans="1:22" ht="12" customHeight="1">
      <c r="A406" s="1040" t="str">
        <f t="shared" si="7"/>
        <v>3401</v>
      </c>
      <c r="B406" s="1061" t="s">
        <v>15768</v>
      </c>
      <c r="C406" s="1064"/>
      <c r="D406" s="2">
        <v>1</v>
      </c>
      <c r="E406" s="4" t="s">
        <v>1686</v>
      </c>
      <c r="F406" s="1065" t="e">
        <f>IF(E406="","$",VLOOKUP(E406,'結果(小)'!$B$2:$F$1295,5,FALSE))</f>
        <v>#DIV/0!</v>
      </c>
      <c r="G406" s="1" t="s">
        <v>1689</v>
      </c>
      <c r="H406" s="6">
        <v>56</v>
      </c>
      <c r="I406" s="2" t="s">
        <v>5</v>
      </c>
      <c r="J406" s="5" t="s">
        <v>15273</v>
      </c>
      <c r="K406" s="3" t="s">
        <v>1690</v>
      </c>
      <c r="L406" s="1"/>
      <c r="M406" s="1"/>
      <c r="N406" s="8" t="s">
        <v>16127</v>
      </c>
      <c r="O406" s="1" t="s">
        <v>604</v>
      </c>
      <c r="P406" s="1" t="s">
        <v>25</v>
      </c>
      <c r="Q406" s="16">
        <v>4</v>
      </c>
      <c r="R406" s="17">
        <v>4</v>
      </c>
      <c r="S406" s="3" t="s">
        <v>736</v>
      </c>
      <c r="T406" s="1778"/>
      <c r="U406" s="1749"/>
      <c r="V406" s="1752"/>
    </row>
    <row r="407" spans="1:22" ht="12" customHeight="1">
      <c r="A407" s="1040" t="str">
        <f t="shared" si="7"/>
        <v>3401</v>
      </c>
      <c r="B407" s="1061" t="s">
        <v>15769</v>
      </c>
      <c r="C407" s="1064"/>
      <c r="D407" s="2">
        <v>1</v>
      </c>
      <c r="E407" s="4" t="s">
        <v>1700</v>
      </c>
      <c r="F407" s="1065" t="e">
        <f>IF(E407="","$",VLOOKUP(E407,'結果(小)'!$B$2:$F$1295,5,FALSE))</f>
        <v>#DIV/0!</v>
      </c>
      <c r="G407" s="1" t="s">
        <v>1705</v>
      </c>
      <c r="H407" s="6">
        <v>39</v>
      </c>
      <c r="I407" s="2" t="s">
        <v>5</v>
      </c>
      <c r="J407" s="5" t="s">
        <v>15273</v>
      </c>
      <c r="K407" s="3" t="s">
        <v>1706</v>
      </c>
      <c r="L407" s="1"/>
      <c r="M407" s="1"/>
      <c r="N407" s="4" t="s">
        <v>16127</v>
      </c>
      <c r="O407" s="1" t="s">
        <v>44</v>
      </c>
      <c r="P407" s="1" t="s">
        <v>25</v>
      </c>
      <c r="Q407" s="16">
        <v>1</v>
      </c>
      <c r="R407" s="17">
        <v>1</v>
      </c>
      <c r="S407" s="3" t="s">
        <v>736</v>
      </c>
      <c r="T407" s="1778"/>
      <c r="U407" s="1749"/>
      <c r="V407" s="1752"/>
    </row>
    <row r="408" spans="1:22" ht="12" customHeight="1">
      <c r="A408" s="1040" t="str">
        <f t="shared" si="7"/>
        <v>3401</v>
      </c>
      <c r="B408" s="1061" t="s">
        <v>15770</v>
      </c>
      <c r="C408" s="1064"/>
      <c r="D408" s="2">
        <v>1</v>
      </c>
      <c r="E408" s="4" t="s">
        <v>1717</v>
      </c>
      <c r="F408" s="1065" t="e">
        <f>IF(E408="","$",VLOOKUP(E408,'結果(小)'!$B$2:$F$1295,5,FALSE))</f>
        <v>#DIV/0!</v>
      </c>
      <c r="G408" s="1" t="s">
        <v>1722</v>
      </c>
      <c r="H408" s="6">
        <v>46</v>
      </c>
      <c r="I408" s="2" t="s">
        <v>5</v>
      </c>
      <c r="J408" s="5" t="s">
        <v>15273</v>
      </c>
      <c r="K408" s="3" t="s">
        <v>1723</v>
      </c>
      <c r="L408" s="1"/>
      <c r="M408" s="1"/>
      <c r="N408" s="8" t="s">
        <v>16126</v>
      </c>
      <c r="O408" s="1" t="s">
        <v>44</v>
      </c>
      <c r="P408" s="1" t="s">
        <v>25</v>
      </c>
      <c r="Q408" s="16">
        <v>3</v>
      </c>
      <c r="R408" s="17">
        <v>3</v>
      </c>
      <c r="S408" s="3" t="s">
        <v>736</v>
      </c>
      <c r="T408" s="1778"/>
      <c r="U408" s="1749"/>
      <c r="V408" s="1752"/>
    </row>
    <row r="409" spans="1:22" ht="12" customHeight="1">
      <c r="A409" s="1040" t="str">
        <f t="shared" si="7"/>
        <v>3401</v>
      </c>
      <c r="B409" s="1061" t="s">
        <v>15771</v>
      </c>
      <c r="C409" s="1064"/>
      <c r="D409" s="2">
        <v>1</v>
      </c>
      <c r="E409" s="4" t="s">
        <v>1736</v>
      </c>
      <c r="F409" s="1065" t="e">
        <f>IF(E409="","$",VLOOKUP(E409,'結果(小)'!$B$2:$F$1295,5,FALSE))</f>
        <v>#DIV/0!</v>
      </c>
      <c r="G409" s="1" t="s">
        <v>1740</v>
      </c>
      <c r="H409" s="6">
        <v>64</v>
      </c>
      <c r="I409" s="2" t="s">
        <v>19</v>
      </c>
      <c r="J409" s="5" t="s">
        <v>15273</v>
      </c>
      <c r="K409" s="3" t="s">
        <v>1741</v>
      </c>
      <c r="L409" s="1"/>
      <c r="M409" s="1"/>
      <c r="N409" s="8" t="s">
        <v>16127</v>
      </c>
      <c r="O409" s="1" t="s">
        <v>44</v>
      </c>
      <c r="P409" s="1" t="s">
        <v>25</v>
      </c>
      <c r="Q409" s="16">
        <v>4</v>
      </c>
      <c r="R409" s="17">
        <v>5</v>
      </c>
      <c r="S409" s="3" t="s">
        <v>736</v>
      </c>
      <c r="T409" s="1778"/>
      <c r="U409" s="1749"/>
      <c r="V409" s="1752"/>
    </row>
    <row r="410" spans="1:22" ht="12" customHeight="1">
      <c r="A410" s="1040" t="str">
        <f t="shared" si="7"/>
        <v>3401</v>
      </c>
      <c r="B410" s="1061" t="s">
        <v>15772</v>
      </c>
      <c r="C410" s="1064"/>
      <c r="D410" s="2">
        <v>1</v>
      </c>
      <c r="E410" s="4" t="s">
        <v>1755</v>
      </c>
      <c r="F410" s="1065" t="e">
        <f>IF(E410="","$",VLOOKUP(E410,'結果(小)'!$B$2:$F$1295,5,FALSE))</f>
        <v>#DIV/0!</v>
      </c>
      <c r="G410" s="1" t="s">
        <v>1758</v>
      </c>
      <c r="H410" s="6">
        <v>52</v>
      </c>
      <c r="I410" s="2" t="s">
        <v>5</v>
      </c>
      <c r="J410" s="5" t="s">
        <v>15273</v>
      </c>
      <c r="K410" s="3" t="s">
        <v>1759</v>
      </c>
      <c r="L410" s="1"/>
      <c r="M410" s="1"/>
      <c r="N410" s="8" t="s">
        <v>16127</v>
      </c>
      <c r="O410" s="1" t="s">
        <v>655</v>
      </c>
      <c r="P410" s="1" t="s">
        <v>25</v>
      </c>
      <c r="Q410" s="16">
        <v>4</v>
      </c>
      <c r="R410" s="17">
        <v>4</v>
      </c>
      <c r="S410" s="3" t="s">
        <v>736</v>
      </c>
      <c r="T410" s="1778"/>
      <c r="U410" s="1749"/>
      <c r="V410" s="1752"/>
    </row>
    <row r="411" spans="1:22" ht="12" customHeight="1">
      <c r="A411" s="1040" t="str">
        <f t="shared" si="7"/>
        <v>3401</v>
      </c>
      <c r="B411" s="1061" t="s">
        <v>15773</v>
      </c>
      <c r="C411" s="1064"/>
      <c r="D411" s="2">
        <v>1</v>
      </c>
      <c r="E411" s="4" t="s">
        <v>1767</v>
      </c>
      <c r="F411" s="1065" t="e">
        <f>IF(E411="","$",VLOOKUP(E411,'結果(小)'!$B$2:$F$1295,5,FALSE))</f>
        <v>#DIV/0!</v>
      </c>
      <c r="G411" s="1" t="s">
        <v>5827</v>
      </c>
      <c r="H411" s="6">
        <v>65</v>
      </c>
      <c r="I411" s="2" t="s">
        <v>19</v>
      </c>
      <c r="J411" s="5" t="s">
        <v>15273</v>
      </c>
      <c r="K411" s="3"/>
      <c r="L411" s="1"/>
      <c r="M411" s="1"/>
      <c r="N411" s="8" t="s">
        <v>16127</v>
      </c>
      <c r="O411" s="1" t="s">
        <v>604</v>
      </c>
      <c r="P411" s="1" t="s">
        <v>6</v>
      </c>
      <c r="Q411" s="16"/>
      <c r="R411" s="17">
        <v>6</v>
      </c>
      <c r="S411" s="3"/>
      <c r="T411" s="1778"/>
      <c r="U411" s="1749"/>
      <c r="V411" s="1752"/>
    </row>
    <row r="412" spans="1:22" ht="12" customHeight="1">
      <c r="A412" s="1040" t="str">
        <f t="shared" si="7"/>
        <v>3401</v>
      </c>
      <c r="B412" s="1061" t="s">
        <v>15774</v>
      </c>
      <c r="C412" s="1064"/>
      <c r="D412" s="2">
        <v>1</v>
      </c>
      <c r="E412" s="4" t="s">
        <v>1777</v>
      </c>
      <c r="F412" s="1065" t="e">
        <f>IF(E412="","$",VLOOKUP(E412,'結果(小)'!$B$2:$F$1295,5,FALSE))</f>
        <v>#DIV/0!</v>
      </c>
      <c r="G412" s="1" t="s">
        <v>4412</v>
      </c>
      <c r="H412" s="6">
        <v>49</v>
      </c>
      <c r="I412" s="2" t="s">
        <v>5</v>
      </c>
      <c r="J412" s="5" t="s">
        <v>15273</v>
      </c>
      <c r="K412" s="3"/>
      <c r="L412" s="1"/>
      <c r="M412" s="1"/>
      <c r="N412" s="4" t="s">
        <v>16127</v>
      </c>
      <c r="O412" s="1" t="s">
        <v>44</v>
      </c>
      <c r="P412" s="1" t="s">
        <v>6</v>
      </c>
      <c r="Q412" s="16"/>
      <c r="R412" s="17"/>
      <c r="S412" s="3" t="s">
        <v>736</v>
      </c>
      <c r="T412" s="1778"/>
      <c r="U412" s="1749"/>
      <c r="V412" s="1752"/>
    </row>
    <row r="413" spans="1:22" ht="12" customHeight="1">
      <c r="A413" s="1040" t="str">
        <f t="shared" si="7"/>
        <v>3401</v>
      </c>
      <c r="B413" s="1061" t="s">
        <v>15775</v>
      </c>
      <c r="C413" s="1064"/>
      <c r="D413" s="2">
        <v>1</v>
      </c>
      <c r="E413" s="4" t="s">
        <v>1791</v>
      </c>
      <c r="F413" s="1065" t="e">
        <f>IF(E413="","$",VLOOKUP(E413,'結果(小)'!$B$2:$F$1295,5,FALSE))</f>
        <v>#DIV/0!</v>
      </c>
      <c r="G413" s="1" t="s">
        <v>1795</v>
      </c>
      <c r="H413" s="6">
        <v>52</v>
      </c>
      <c r="I413" s="2" t="s">
        <v>19</v>
      </c>
      <c r="J413" s="5" t="s">
        <v>15273</v>
      </c>
      <c r="K413" s="3" t="s">
        <v>1796</v>
      </c>
      <c r="L413" s="1"/>
      <c r="M413" s="1"/>
      <c r="N413" s="8" t="s">
        <v>16126</v>
      </c>
      <c r="O413" s="1" t="s">
        <v>44</v>
      </c>
      <c r="P413" s="1" t="s">
        <v>25</v>
      </c>
      <c r="Q413" s="16">
        <v>1</v>
      </c>
      <c r="R413" s="17">
        <v>1</v>
      </c>
      <c r="S413" s="3" t="s">
        <v>736</v>
      </c>
      <c r="T413" s="1778"/>
      <c r="U413" s="1749"/>
      <c r="V413" s="1752"/>
    </row>
    <row r="414" spans="1:22" ht="12" customHeight="1">
      <c r="A414" s="1040" t="str">
        <f t="shared" si="7"/>
        <v>3401</v>
      </c>
      <c r="B414" s="1061" t="s">
        <v>15776</v>
      </c>
      <c r="C414" s="1064"/>
      <c r="D414" s="2">
        <v>1</v>
      </c>
      <c r="E414" s="4" t="s">
        <v>1813</v>
      </c>
      <c r="F414" s="1065" t="e">
        <f>IF(E414="","$",VLOOKUP(E414,'結果(小)'!$B$2:$F$1295,5,FALSE))</f>
        <v>#DIV/0!</v>
      </c>
      <c r="G414" s="1" t="s">
        <v>5449</v>
      </c>
      <c r="H414" s="6">
        <v>45</v>
      </c>
      <c r="I414" s="2" t="s">
        <v>19</v>
      </c>
      <c r="J414" s="5" t="s">
        <v>15273</v>
      </c>
      <c r="K414" s="3"/>
      <c r="L414" s="1"/>
      <c r="M414" s="1"/>
      <c r="N414" s="8" t="s">
        <v>16127</v>
      </c>
      <c r="O414" s="1" t="s">
        <v>44</v>
      </c>
      <c r="P414" s="1" t="s">
        <v>6</v>
      </c>
      <c r="Q414" s="16"/>
      <c r="R414" s="17"/>
      <c r="S414" s="3" t="s">
        <v>736</v>
      </c>
      <c r="T414" s="1778"/>
      <c r="U414" s="1749"/>
      <c r="V414" s="1752"/>
    </row>
    <row r="415" spans="1:22" ht="12" customHeight="1">
      <c r="A415" s="1040" t="str">
        <f t="shared" si="7"/>
        <v>3401</v>
      </c>
      <c r="B415" s="1061" t="s">
        <v>15777</v>
      </c>
      <c r="C415" s="1064"/>
      <c r="D415" s="2">
        <v>1</v>
      </c>
      <c r="E415" s="4" t="s">
        <v>1847</v>
      </c>
      <c r="F415" s="1065" t="e">
        <f>IF(E415="","$",VLOOKUP(E415,'結果(小)'!$B$2:$F$1295,5,FALSE))</f>
        <v>#DIV/0!</v>
      </c>
      <c r="G415" s="1" t="s">
        <v>5450</v>
      </c>
      <c r="H415" s="6">
        <v>33</v>
      </c>
      <c r="I415" s="2" t="s">
        <v>5</v>
      </c>
      <c r="J415" s="5" t="s">
        <v>15273</v>
      </c>
      <c r="K415" s="3"/>
      <c r="L415" s="1"/>
      <c r="M415" s="1"/>
      <c r="N415" s="8" t="s">
        <v>16127</v>
      </c>
      <c r="O415" s="1" t="s">
        <v>44</v>
      </c>
      <c r="P415" s="1" t="s">
        <v>6</v>
      </c>
      <c r="Q415" s="16"/>
      <c r="R415" s="17"/>
      <c r="S415" s="3"/>
      <c r="T415" s="1778"/>
      <c r="U415" s="1749"/>
      <c r="V415" s="1752"/>
    </row>
    <row r="416" spans="1:22" ht="12" customHeight="1">
      <c r="A416" s="1040" t="str">
        <f t="shared" si="7"/>
        <v>3401</v>
      </c>
      <c r="B416" s="1061" t="s">
        <v>15778</v>
      </c>
      <c r="C416" s="1064"/>
      <c r="D416" s="2">
        <v>1</v>
      </c>
      <c r="E416" s="4" t="s">
        <v>1859</v>
      </c>
      <c r="F416" s="1065" t="e">
        <f>IF(E416="","$",VLOOKUP(E416,'結果(小)'!$B$2:$F$1295,5,FALSE))</f>
        <v>#DIV/0!</v>
      </c>
      <c r="G416" s="1" t="s">
        <v>5284</v>
      </c>
      <c r="H416" s="6">
        <v>58</v>
      </c>
      <c r="I416" s="2" t="s">
        <v>5</v>
      </c>
      <c r="J416" s="5" t="s">
        <v>15273</v>
      </c>
      <c r="K416" s="3"/>
      <c r="L416" s="1"/>
      <c r="M416" s="1"/>
      <c r="N416" s="8" t="s">
        <v>16127</v>
      </c>
      <c r="O416" s="1" t="s">
        <v>44</v>
      </c>
      <c r="P416" s="1" t="s">
        <v>6</v>
      </c>
      <c r="Q416" s="16"/>
      <c r="R416" s="17">
        <v>2</v>
      </c>
      <c r="S416" s="3" t="s">
        <v>736</v>
      </c>
      <c r="T416" s="1778"/>
      <c r="U416" s="1749"/>
      <c r="V416" s="1752"/>
    </row>
    <row r="417" spans="1:22" ht="12" customHeight="1">
      <c r="A417" s="1040" t="str">
        <f t="shared" si="7"/>
        <v>3401</v>
      </c>
      <c r="B417" s="1061" t="s">
        <v>15779</v>
      </c>
      <c r="C417" s="1064"/>
      <c r="D417" s="2">
        <v>1</v>
      </c>
      <c r="E417" s="4" t="s">
        <v>1873</v>
      </c>
      <c r="F417" s="1065" t="e">
        <f>IF(E417="","$",VLOOKUP(E417,'結果(小)'!$B$2:$F$1295,5,FALSE))</f>
        <v>#DIV/0!</v>
      </c>
      <c r="G417" s="1" t="s">
        <v>2356</v>
      </c>
      <c r="H417" s="6">
        <v>37</v>
      </c>
      <c r="I417" s="2" t="s">
        <v>19</v>
      </c>
      <c r="J417" s="5" t="s">
        <v>15273</v>
      </c>
      <c r="K417" s="3" t="s">
        <v>4406</v>
      </c>
      <c r="L417" s="1"/>
      <c r="M417" s="1"/>
      <c r="N417" s="4" t="s">
        <v>16127</v>
      </c>
      <c r="O417" s="1" t="s">
        <v>44</v>
      </c>
      <c r="P417" s="1" t="s">
        <v>25</v>
      </c>
      <c r="Q417" s="16">
        <v>1</v>
      </c>
      <c r="R417" s="17">
        <v>1</v>
      </c>
      <c r="S417" s="3"/>
      <c r="T417" s="1778"/>
      <c r="U417" s="1749"/>
      <c r="V417" s="1752"/>
    </row>
    <row r="418" spans="1:22" ht="12" customHeight="1">
      <c r="A418" s="1040" t="str">
        <f t="shared" si="7"/>
        <v>3401</v>
      </c>
      <c r="B418" s="1061" t="s">
        <v>15780</v>
      </c>
      <c r="C418" s="1064"/>
      <c r="D418" s="2">
        <v>1</v>
      </c>
      <c r="E418" s="4" t="s">
        <v>1894</v>
      </c>
      <c r="F418" s="1065" t="e">
        <f>IF(E418="","$",VLOOKUP(E418,'結果(小)'!$B$2:$F$1295,5,FALSE))</f>
        <v>#DIV/0!</v>
      </c>
      <c r="G418" s="1" t="s">
        <v>5872</v>
      </c>
      <c r="H418" s="6">
        <v>40</v>
      </c>
      <c r="I418" s="2" t="s">
        <v>5</v>
      </c>
      <c r="J418" s="5" t="s">
        <v>15273</v>
      </c>
      <c r="K418" s="3"/>
      <c r="L418" s="1"/>
      <c r="M418" s="1"/>
      <c r="N418" s="8" t="s">
        <v>16126</v>
      </c>
      <c r="O418" s="1" t="s">
        <v>44</v>
      </c>
      <c r="P418" s="1" t="s">
        <v>6</v>
      </c>
      <c r="Q418" s="16"/>
      <c r="R418" s="17"/>
      <c r="S418" s="3" t="s">
        <v>736</v>
      </c>
      <c r="T418" s="1778"/>
      <c r="U418" s="1749"/>
      <c r="V418" s="1752"/>
    </row>
    <row r="419" spans="1:22" ht="12" customHeight="1">
      <c r="A419" s="1040" t="str">
        <f t="shared" si="7"/>
        <v>3401</v>
      </c>
      <c r="B419" s="1061" t="s">
        <v>15781</v>
      </c>
      <c r="C419" s="1064"/>
      <c r="D419" s="2">
        <v>1</v>
      </c>
      <c r="E419" s="4" t="s">
        <v>1913</v>
      </c>
      <c r="F419" s="1065" t="e">
        <f>IF(E419="","$",VLOOKUP(E419,'結果(小)'!$B$2:$F$1295,5,FALSE))</f>
        <v>#DIV/0!</v>
      </c>
      <c r="G419" s="1" t="s">
        <v>1916</v>
      </c>
      <c r="H419" s="6">
        <v>41</v>
      </c>
      <c r="I419" s="2" t="s">
        <v>19</v>
      </c>
      <c r="J419" s="5" t="s">
        <v>15273</v>
      </c>
      <c r="K419" s="3" t="s">
        <v>1917</v>
      </c>
      <c r="L419" s="1"/>
      <c r="M419" s="1"/>
      <c r="N419" s="8" t="s">
        <v>16127</v>
      </c>
      <c r="O419" s="1" t="s">
        <v>44</v>
      </c>
      <c r="P419" s="1" t="s">
        <v>25</v>
      </c>
      <c r="Q419" s="16">
        <v>1</v>
      </c>
      <c r="R419" s="17">
        <v>1</v>
      </c>
      <c r="S419" s="3" t="s">
        <v>736</v>
      </c>
      <c r="T419" s="1778"/>
      <c r="U419" s="1749"/>
      <c r="V419" s="1752"/>
    </row>
    <row r="420" spans="1:22" ht="12" customHeight="1">
      <c r="A420" s="1040" t="str">
        <f t="shared" si="7"/>
        <v>3401</v>
      </c>
      <c r="B420" s="1061" t="s">
        <v>15782</v>
      </c>
      <c r="C420" s="1064"/>
      <c r="D420" s="2">
        <v>1</v>
      </c>
      <c r="E420" s="4" t="s">
        <v>1930</v>
      </c>
      <c r="F420" s="1065" t="e">
        <f>IF(E420="","$",VLOOKUP(E420,'結果(小)'!$B$2:$F$1295,5,FALSE))</f>
        <v>#DIV/0!</v>
      </c>
      <c r="G420" s="1" t="s">
        <v>1934</v>
      </c>
      <c r="H420" s="6">
        <v>66</v>
      </c>
      <c r="I420" s="2" t="s">
        <v>5</v>
      </c>
      <c r="J420" s="5" t="s">
        <v>15273</v>
      </c>
      <c r="K420" s="3" t="s">
        <v>1935</v>
      </c>
      <c r="L420" s="1"/>
      <c r="M420" s="1"/>
      <c r="N420" s="8" t="s">
        <v>16127</v>
      </c>
      <c r="O420" s="1" t="s">
        <v>655</v>
      </c>
      <c r="P420" s="1" t="s">
        <v>25</v>
      </c>
      <c r="Q420" s="16">
        <v>10</v>
      </c>
      <c r="R420" s="17">
        <v>10</v>
      </c>
      <c r="S420" s="3" t="s">
        <v>736</v>
      </c>
      <c r="T420" s="1778"/>
      <c r="U420" s="1749"/>
      <c r="V420" s="1752"/>
    </row>
    <row r="421" spans="1:22" ht="12" customHeight="1">
      <c r="A421" s="1040" t="str">
        <f t="shared" si="7"/>
        <v>3401</v>
      </c>
      <c r="B421" s="1061" t="s">
        <v>15783</v>
      </c>
      <c r="C421" s="1064"/>
      <c r="D421" s="2">
        <v>1</v>
      </c>
      <c r="E421" s="4" t="s">
        <v>1953</v>
      </c>
      <c r="F421" s="1065" t="e">
        <f>IF(E421="","$",VLOOKUP(E421,'結果(小)'!$B$2:$F$1295,5,FALSE))</f>
        <v>#DIV/0!</v>
      </c>
      <c r="G421" s="1" t="s">
        <v>1956</v>
      </c>
      <c r="H421" s="6">
        <v>56</v>
      </c>
      <c r="I421" s="2" t="s">
        <v>5</v>
      </c>
      <c r="J421" s="5" t="s">
        <v>15273</v>
      </c>
      <c r="K421" s="3" t="s">
        <v>1957</v>
      </c>
      <c r="L421" s="1"/>
      <c r="M421" s="1"/>
      <c r="N421" s="8" t="s">
        <v>16127</v>
      </c>
      <c r="O421" s="1" t="s">
        <v>655</v>
      </c>
      <c r="P421" s="1" t="s">
        <v>25</v>
      </c>
      <c r="Q421" s="16">
        <v>5</v>
      </c>
      <c r="R421" s="17">
        <v>5</v>
      </c>
      <c r="S421" s="3" t="s">
        <v>736</v>
      </c>
      <c r="T421" s="1778"/>
      <c r="U421" s="1749"/>
      <c r="V421" s="1752"/>
    </row>
    <row r="422" spans="1:22" ht="12" customHeight="1">
      <c r="A422" s="1040" t="str">
        <f t="shared" si="7"/>
        <v>3401</v>
      </c>
      <c r="B422" s="1061" t="s">
        <v>15784</v>
      </c>
      <c r="C422" s="1064"/>
      <c r="D422" s="2">
        <v>1</v>
      </c>
      <c r="E422" s="4" t="s">
        <v>1965</v>
      </c>
      <c r="F422" s="1065" t="e">
        <f>IF(E422="","$",VLOOKUP(E422,'結果(小)'!$B$2:$F$1295,5,FALSE))</f>
        <v>#DIV/0!</v>
      </c>
      <c r="G422" s="1" t="s">
        <v>1968</v>
      </c>
      <c r="H422" s="6">
        <v>48</v>
      </c>
      <c r="I422" s="2" t="s">
        <v>5</v>
      </c>
      <c r="J422" s="5" t="s">
        <v>15273</v>
      </c>
      <c r="K422" s="3" t="s">
        <v>1969</v>
      </c>
      <c r="L422" s="1"/>
      <c r="M422" s="1"/>
      <c r="N422" s="4" t="s">
        <v>16127</v>
      </c>
      <c r="O422" s="1" t="s">
        <v>44</v>
      </c>
      <c r="P422" s="1" t="s">
        <v>25</v>
      </c>
      <c r="Q422" s="16">
        <v>4</v>
      </c>
      <c r="R422" s="17">
        <v>4</v>
      </c>
      <c r="S422" s="3" t="s">
        <v>736</v>
      </c>
      <c r="T422" s="1778"/>
      <c r="U422" s="1749"/>
      <c r="V422" s="1752"/>
    </row>
    <row r="423" spans="1:22" ht="12" customHeight="1">
      <c r="A423" s="1040" t="str">
        <f t="shared" si="7"/>
        <v>3401</v>
      </c>
      <c r="B423" s="1061" t="s">
        <v>15785</v>
      </c>
      <c r="C423" s="1064"/>
      <c r="D423" s="2">
        <v>1</v>
      </c>
      <c r="E423" s="4" t="s">
        <v>1978</v>
      </c>
      <c r="F423" s="1065" t="e">
        <f>IF(E423="","$",VLOOKUP(E423,'結果(小)'!$B$2:$F$1295,5,FALSE))</f>
        <v>#DIV/0!</v>
      </c>
      <c r="G423" s="1" t="s">
        <v>1981</v>
      </c>
      <c r="H423" s="6">
        <v>50</v>
      </c>
      <c r="I423" s="2" t="s">
        <v>5</v>
      </c>
      <c r="J423" s="5" t="s">
        <v>15273</v>
      </c>
      <c r="K423" s="3" t="s">
        <v>1982</v>
      </c>
      <c r="L423" s="1"/>
      <c r="M423" s="1"/>
      <c r="N423" s="8" t="s">
        <v>16126</v>
      </c>
      <c r="O423" s="1" t="s">
        <v>44</v>
      </c>
      <c r="P423" s="1" t="s">
        <v>25</v>
      </c>
      <c r="Q423" s="16">
        <v>3</v>
      </c>
      <c r="R423" s="17">
        <v>3</v>
      </c>
      <c r="S423" s="3" t="s">
        <v>736</v>
      </c>
      <c r="T423" s="1778"/>
      <c r="U423" s="1749"/>
      <c r="V423" s="1752"/>
    </row>
    <row r="424" spans="1:22" ht="12" customHeight="1">
      <c r="A424" s="1040" t="str">
        <f t="shared" si="7"/>
        <v>3401</v>
      </c>
      <c r="B424" s="1061" t="s">
        <v>15786</v>
      </c>
      <c r="C424" s="1064"/>
      <c r="D424" s="2">
        <v>1</v>
      </c>
      <c r="E424" s="4" t="s">
        <v>1989</v>
      </c>
      <c r="F424" s="1065" t="e">
        <f>IF(E424="","$",VLOOKUP(E424,'結果(小)'!$B$2:$F$1295,5,FALSE))</f>
        <v>#DIV/0!</v>
      </c>
      <c r="G424" s="1" t="s">
        <v>1994</v>
      </c>
      <c r="H424" s="6">
        <v>45</v>
      </c>
      <c r="I424" s="2" t="s">
        <v>5</v>
      </c>
      <c r="J424" s="5" t="s">
        <v>15273</v>
      </c>
      <c r="K424" s="3" t="s">
        <v>1995</v>
      </c>
      <c r="L424" s="1"/>
      <c r="M424" s="1"/>
      <c r="N424" s="8" t="s">
        <v>16127</v>
      </c>
      <c r="O424" s="1" t="s">
        <v>1656</v>
      </c>
      <c r="P424" s="1" t="s">
        <v>25</v>
      </c>
      <c r="Q424" s="16">
        <v>3</v>
      </c>
      <c r="R424" s="17">
        <v>3</v>
      </c>
      <c r="S424" s="3" t="s">
        <v>736</v>
      </c>
      <c r="T424" s="1778"/>
      <c r="U424" s="1749"/>
      <c r="V424" s="1752"/>
    </row>
    <row r="425" spans="1:22" ht="12" customHeight="1">
      <c r="A425" s="1040" t="str">
        <f t="shared" si="7"/>
        <v>3401</v>
      </c>
      <c r="B425" s="1061" t="s">
        <v>15787</v>
      </c>
      <c r="C425" s="1064"/>
      <c r="D425" s="2">
        <v>1</v>
      </c>
      <c r="E425" s="4" t="s">
        <v>2012</v>
      </c>
      <c r="F425" s="1065" t="e">
        <f>IF(E425="","$",VLOOKUP(E425,'結果(小)'!$B$2:$F$1295,5,FALSE))</f>
        <v>#DIV/0!</v>
      </c>
      <c r="G425" s="1" t="s">
        <v>2018</v>
      </c>
      <c r="H425" s="6">
        <v>45</v>
      </c>
      <c r="I425" s="2" t="s">
        <v>19</v>
      </c>
      <c r="J425" s="5" t="s">
        <v>15273</v>
      </c>
      <c r="K425" s="3" t="s">
        <v>2019</v>
      </c>
      <c r="L425" s="1"/>
      <c r="M425" s="1"/>
      <c r="N425" s="8" t="s">
        <v>16127</v>
      </c>
      <c r="O425" s="1" t="s">
        <v>44</v>
      </c>
      <c r="P425" s="1" t="s">
        <v>25</v>
      </c>
      <c r="Q425" s="16">
        <v>1</v>
      </c>
      <c r="R425" s="17">
        <v>1</v>
      </c>
      <c r="S425" s="3" t="s">
        <v>736</v>
      </c>
      <c r="T425" s="1778"/>
      <c r="U425" s="1749"/>
      <c r="V425" s="1752"/>
    </row>
    <row r="426" spans="1:22" ht="12" customHeight="1">
      <c r="A426" s="1040" t="str">
        <f t="shared" si="7"/>
        <v>3401</v>
      </c>
      <c r="B426" s="1061" t="s">
        <v>15788</v>
      </c>
      <c r="C426" s="1064"/>
      <c r="D426" s="2">
        <v>1</v>
      </c>
      <c r="E426" s="4" t="s">
        <v>2030</v>
      </c>
      <c r="F426" s="1065" t="e">
        <f>IF(E426="","$",VLOOKUP(E426,'結果(小)'!$B$2:$F$1295,5,FALSE))</f>
        <v>#DIV/0!</v>
      </c>
      <c r="G426" s="1" t="s">
        <v>2034</v>
      </c>
      <c r="H426" s="6">
        <v>56</v>
      </c>
      <c r="I426" s="2" t="s">
        <v>5</v>
      </c>
      <c r="J426" s="5" t="s">
        <v>15273</v>
      </c>
      <c r="K426" s="3" t="s">
        <v>2035</v>
      </c>
      <c r="L426" s="1"/>
      <c r="M426" s="1"/>
      <c r="N426" s="8" t="s">
        <v>16127</v>
      </c>
      <c r="O426" s="1" t="s">
        <v>655</v>
      </c>
      <c r="P426" s="1" t="s">
        <v>25</v>
      </c>
      <c r="Q426" s="16">
        <v>3</v>
      </c>
      <c r="R426" s="17">
        <v>3</v>
      </c>
      <c r="S426" s="3" t="s">
        <v>736</v>
      </c>
      <c r="T426" s="1778"/>
      <c r="U426" s="1749"/>
      <c r="V426" s="1752"/>
    </row>
    <row r="427" spans="1:22" ht="12" customHeight="1">
      <c r="A427" s="1040" t="str">
        <f t="shared" si="7"/>
        <v>3401</v>
      </c>
      <c r="B427" s="1061" t="s">
        <v>15789</v>
      </c>
      <c r="C427" s="1064"/>
      <c r="D427" s="2">
        <v>1</v>
      </c>
      <c r="E427" s="4" t="s">
        <v>2050</v>
      </c>
      <c r="F427" s="1065" t="e">
        <f>IF(E427="","$",VLOOKUP(E427,'結果(小)'!$B$2:$F$1295,5,FALSE))</f>
        <v>#DIV/0!</v>
      </c>
      <c r="G427" s="1" t="s">
        <v>2053</v>
      </c>
      <c r="H427" s="6">
        <v>57</v>
      </c>
      <c r="I427" s="2" t="s">
        <v>5</v>
      </c>
      <c r="J427" s="5" t="s">
        <v>15273</v>
      </c>
      <c r="K427" s="3" t="s">
        <v>2054</v>
      </c>
      <c r="L427" s="1"/>
      <c r="M427" s="1"/>
      <c r="N427" s="4" t="s">
        <v>16127</v>
      </c>
      <c r="O427" s="1" t="s">
        <v>44</v>
      </c>
      <c r="P427" s="1" t="s">
        <v>25</v>
      </c>
      <c r="Q427" s="16">
        <v>1</v>
      </c>
      <c r="R427" s="17">
        <v>1</v>
      </c>
      <c r="S427" s="3" t="s">
        <v>736</v>
      </c>
      <c r="T427" s="1778"/>
      <c r="U427" s="1749"/>
      <c r="V427" s="1752"/>
    </row>
    <row r="428" spans="1:22" ht="12" customHeight="1" thickBot="1">
      <c r="A428" s="916" t="str">
        <f t="shared" si="7"/>
        <v>3401</v>
      </c>
      <c r="B428" s="1096" t="s">
        <v>15790</v>
      </c>
      <c r="C428" s="1075"/>
      <c r="D428" s="702">
        <v>25</v>
      </c>
      <c r="E428" s="702"/>
      <c r="F428" s="1071" t="str">
        <f>IF(E428="","$",VLOOKUP(E428,'結果(小)'!$B$2:$F$1295,5,FALSE))</f>
        <v>$</v>
      </c>
      <c r="G428" s="702" t="s">
        <v>6205</v>
      </c>
      <c r="H428" s="701">
        <v>72</v>
      </c>
      <c r="I428" s="702" t="s">
        <v>5</v>
      </c>
      <c r="J428" s="702" t="s">
        <v>6067</v>
      </c>
      <c r="K428" s="720"/>
      <c r="L428" s="702"/>
      <c r="M428" s="702"/>
      <c r="N428" s="704" t="s">
        <v>16126</v>
      </c>
      <c r="O428" s="702" t="s">
        <v>604</v>
      </c>
      <c r="P428" s="702" t="s">
        <v>25</v>
      </c>
      <c r="Q428" s="721">
        <v>4</v>
      </c>
      <c r="R428" s="722">
        <v>4</v>
      </c>
      <c r="S428" s="720"/>
      <c r="T428" s="1779"/>
      <c r="U428" s="1750"/>
      <c r="V428" s="1753"/>
    </row>
    <row r="429" spans="1:22" ht="12" customHeight="1">
      <c r="A429" s="1038" t="str">
        <f t="shared" si="7"/>
        <v>3402</v>
      </c>
      <c r="B429" s="1072" t="s">
        <v>15371</v>
      </c>
      <c r="C429" s="1073"/>
      <c r="D429" s="696">
        <v>1</v>
      </c>
      <c r="E429" s="688" t="s">
        <v>1649</v>
      </c>
      <c r="F429" s="1068" t="e">
        <f>IF(E429="","$",VLOOKUP(E429,'結果(小)'!$B$2:$F$1295,5,FALSE))</f>
        <v>#DIV/0!</v>
      </c>
      <c r="G429" s="687" t="s">
        <v>1659</v>
      </c>
      <c r="H429" s="690">
        <v>38</v>
      </c>
      <c r="I429" s="696" t="s">
        <v>19</v>
      </c>
      <c r="J429" s="687" t="s">
        <v>15273</v>
      </c>
      <c r="K429" s="747"/>
      <c r="L429" s="687"/>
      <c r="M429" s="687"/>
      <c r="N429" s="688" t="s">
        <v>16120</v>
      </c>
      <c r="O429" s="687" t="s">
        <v>48</v>
      </c>
      <c r="P429" s="687" t="s">
        <v>6</v>
      </c>
      <c r="Q429" s="748"/>
      <c r="R429" s="749"/>
      <c r="S429" s="747" t="s">
        <v>5457</v>
      </c>
      <c r="T429" s="1769"/>
      <c r="U429" s="1748"/>
      <c r="V429" s="1751" t="e">
        <f>U429/SUM(U404:U521)</f>
        <v>#DIV/0!</v>
      </c>
    </row>
    <row r="430" spans="1:22" ht="12" customHeight="1">
      <c r="A430" s="1040" t="str">
        <f t="shared" si="7"/>
        <v>3402</v>
      </c>
      <c r="B430" s="1053" t="s">
        <v>15372</v>
      </c>
      <c r="C430" s="1064"/>
      <c r="D430" s="2">
        <v>1</v>
      </c>
      <c r="E430" s="4" t="s">
        <v>1673</v>
      </c>
      <c r="F430" s="1065" t="e">
        <f>IF(E430="","$",VLOOKUP(E430,'結果(小)'!$B$2:$F$1295,5,FALSE))</f>
        <v>#DIV/0!</v>
      </c>
      <c r="G430" s="1" t="s">
        <v>1680</v>
      </c>
      <c r="H430" s="6">
        <v>33</v>
      </c>
      <c r="I430" s="2" t="s">
        <v>5</v>
      </c>
      <c r="J430" s="1" t="s">
        <v>15273</v>
      </c>
      <c r="K430" s="3"/>
      <c r="L430" s="1"/>
      <c r="M430" s="1"/>
      <c r="N430" s="4" t="s">
        <v>16120</v>
      </c>
      <c r="O430" s="1" t="s">
        <v>30</v>
      </c>
      <c r="P430" s="1" t="s">
        <v>6</v>
      </c>
      <c r="Q430" s="16"/>
      <c r="R430" s="17"/>
      <c r="S430" s="3"/>
      <c r="T430" s="1770"/>
      <c r="U430" s="1749"/>
      <c r="V430" s="1752"/>
    </row>
    <row r="431" spans="1:22" ht="12" customHeight="1">
      <c r="A431" s="1040" t="str">
        <f t="shared" si="7"/>
        <v>3402</v>
      </c>
      <c r="B431" s="1053" t="s">
        <v>15373</v>
      </c>
      <c r="C431" s="1064"/>
      <c r="D431" s="2">
        <v>1</v>
      </c>
      <c r="E431" s="4" t="s">
        <v>1687</v>
      </c>
      <c r="F431" s="1065" t="e">
        <f>IF(E431="","$",VLOOKUP(E431,'結果(小)'!$B$2:$F$1295,5,FALSE))</f>
        <v>#DIV/0!</v>
      </c>
      <c r="G431" s="1" t="s">
        <v>1694</v>
      </c>
      <c r="H431" s="6">
        <v>48</v>
      </c>
      <c r="I431" s="2" t="s">
        <v>5</v>
      </c>
      <c r="J431" s="1" t="s">
        <v>15273</v>
      </c>
      <c r="K431" s="3"/>
      <c r="L431" s="1"/>
      <c r="M431" s="1"/>
      <c r="N431" s="8" t="s">
        <v>16120</v>
      </c>
      <c r="O431" s="1" t="s">
        <v>30</v>
      </c>
      <c r="P431" s="1" t="s">
        <v>14</v>
      </c>
      <c r="Q431" s="16">
        <v>1</v>
      </c>
      <c r="R431" s="17">
        <v>1</v>
      </c>
      <c r="S431" s="3" t="s">
        <v>5457</v>
      </c>
      <c r="T431" s="1770"/>
      <c r="U431" s="1749"/>
      <c r="V431" s="1752"/>
    </row>
    <row r="432" spans="1:22" ht="12" customHeight="1">
      <c r="A432" s="1040" t="str">
        <f t="shared" si="7"/>
        <v>3402</v>
      </c>
      <c r="B432" s="1053" t="s">
        <v>15374</v>
      </c>
      <c r="C432" s="1064"/>
      <c r="D432" s="2">
        <v>1</v>
      </c>
      <c r="E432" s="4" t="s">
        <v>1701</v>
      </c>
      <c r="F432" s="1065" t="e">
        <f>IF(E432="","$",VLOOKUP(E432,'結果(小)'!$B$2:$F$1295,5,FALSE))</f>
        <v>#DIV/0!</v>
      </c>
      <c r="G432" s="1" t="s">
        <v>1708</v>
      </c>
      <c r="H432" s="6">
        <v>45</v>
      </c>
      <c r="I432" s="2" t="s">
        <v>5</v>
      </c>
      <c r="J432" s="1" t="s">
        <v>15273</v>
      </c>
      <c r="K432" s="3" t="s">
        <v>1709</v>
      </c>
      <c r="L432" s="1"/>
      <c r="M432" s="1"/>
      <c r="N432" s="23" t="s">
        <v>16120</v>
      </c>
      <c r="O432" s="1" t="s">
        <v>30</v>
      </c>
      <c r="P432" s="1" t="s">
        <v>25</v>
      </c>
      <c r="Q432" s="16">
        <v>2</v>
      </c>
      <c r="R432" s="17">
        <v>2</v>
      </c>
      <c r="S432" s="3" t="s">
        <v>5457</v>
      </c>
      <c r="T432" s="1770"/>
      <c r="U432" s="1749"/>
      <c r="V432" s="1752"/>
    </row>
    <row r="433" spans="1:22" ht="12" customHeight="1">
      <c r="A433" s="1040" t="str">
        <f t="shared" si="7"/>
        <v>3402</v>
      </c>
      <c r="B433" s="1053" t="s">
        <v>15375</v>
      </c>
      <c r="C433" s="1064"/>
      <c r="D433" s="2">
        <v>1</v>
      </c>
      <c r="E433" s="4" t="s">
        <v>1718</v>
      </c>
      <c r="F433" s="1065" t="e">
        <f>IF(E433="","$",VLOOKUP(E433,'結果(小)'!$B$2:$F$1295,5,FALSE))</f>
        <v>#DIV/0!</v>
      </c>
      <c r="G433" s="1" t="s">
        <v>1726</v>
      </c>
      <c r="H433" s="6">
        <v>51</v>
      </c>
      <c r="I433" s="2" t="s">
        <v>5</v>
      </c>
      <c r="J433" s="1" t="s">
        <v>15273</v>
      </c>
      <c r="K433" s="3"/>
      <c r="L433" s="1"/>
      <c r="M433" s="1"/>
      <c r="N433" s="8" t="s">
        <v>16120</v>
      </c>
      <c r="O433" s="1" t="s">
        <v>13</v>
      </c>
      <c r="P433" s="1" t="s">
        <v>14</v>
      </c>
      <c r="Q433" s="16">
        <v>1</v>
      </c>
      <c r="R433" s="17">
        <v>1</v>
      </c>
      <c r="S433" s="3"/>
      <c r="T433" s="1770"/>
      <c r="U433" s="1749"/>
      <c r="V433" s="1752"/>
    </row>
    <row r="434" spans="1:22" ht="12" customHeight="1">
      <c r="A434" s="1040" t="str">
        <f t="shared" si="7"/>
        <v>3402</v>
      </c>
      <c r="B434" s="1053" t="s">
        <v>15376</v>
      </c>
      <c r="C434" s="1064"/>
      <c r="D434" s="2">
        <v>1</v>
      </c>
      <c r="E434" s="4" t="s">
        <v>1737</v>
      </c>
      <c r="F434" s="1065" t="e">
        <f>IF(E434="","$",VLOOKUP(E434,'結果(小)'!$B$2:$F$1295,5,FALSE))</f>
        <v>#DIV/0!</v>
      </c>
      <c r="G434" s="1" t="s">
        <v>1747</v>
      </c>
      <c r="H434" s="6">
        <v>48</v>
      </c>
      <c r="I434" s="2" t="s">
        <v>5</v>
      </c>
      <c r="J434" s="1" t="s">
        <v>15273</v>
      </c>
      <c r="K434" s="3"/>
      <c r="L434" s="1"/>
      <c r="M434" s="1"/>
      <c r="N434" s="4" t="s">
        <v>16120</v>
      </c>
      <c r="O434" s="1" t="s">
        <v>48</v>
      </c>
      <c r="P434" s="1" t="s">
        <v>14</v>
      </c>
      <c r="Q434" s="16">
        <v>1</v>
      </c>
      <c r="R434" s="17">
        <v>1</v>
      </c>
      <c r="S434" s="3" t="s">
        <v>5457</v>
      </c>
      <c r="T434" s="1770"/>
      <c r="U434" s="1749"/>
      <c r="V434" s="1752"/>
    </row>
    <row r="435" spans="1:22" ht="12" customHeight="1">
      <c r="A435" s="1040" t="str">
        <f t="shared" si="7"/>
        <v>3402</v>
      </c>
      <c r="B435" s="1053" t="s">
        <v>15377</v>
      </c>
      <c r="C435" s="1064"/>
      <c r="D435" s="2">
        <v>1</v>
      </c>
      <c r="E435" s="4" t="s">
        <v>1756</v>
      </c>
      <c r="F435" s="1065" t="e">
        <f>IF(E435="","$",VLOOKUP(E435,'結果(小)'!$B$2:$F$1295,5,FALSE))</f>
        <v>#DIV/0!</v>
      </c>
      <c r="G435" s="1" t="s">
        <v>1762</v>
      </c>
      <c r="H435" s="6">
        <v>63</v>
      </c>
      <c r="I435" s="2" t="s">
        <v>5</v>
      </c>
      <c r="J435" s="1" t="s">
        <v>15273</v>
      </c>
      <c r="K435" s="3"/>
      <c r="L435" s="1"/>
      <c r="M435" s="1"/>
      <c r="N435" s="4" t="s">
        <v>16120</v>
      </c>
      <c r="O435" s="1" t="s">
        <v>48</v>
      </c>
      <c r="P435" s="1" t="s">
        <v>14</v>
      </c>
      <c r="Q435" s="16">
        <v>1</v>
      </c>
      <c r="R435" s="17">
        <v>1</v>
      </c>
      <c r="S435" s="3"/>
      <c r="T435" s="1770"/>
      <c r="U435" s="1749"/>
      <c r="V435" s="1752"/>
    </row>
    <row r="436" spans="1:22" ht="12" customHeight="1">
      <c r="A436" s="1040" t="str">
        <f t="shared" si="7"/>
        <v>3402</v>
      </c>
      <c r="B436" s="1053" t="s">
        <v>15378</v>
      </c>
      <c r="C436" s="1064"/>
      <c r="D436" s="2">
        <v>1</v>
      </c>
      <c r="E436" s="4" t="s">
        <v>1768</v>
      </c>
      <c r="F436" s="1065" t="e">
        <f>IF(E436="","$",VLOOKUP(E436,'結果(小)'!$B$2:$F$1295,5,FALSE))</f>
        <v>#DIV/0!</v>
      </c>
      <c r="G436" s="1" t="s">
        <v>1770</v>
      </c>
      <c r="H436" s="6">
        <v>55</v>
      </c>
      <c r="I436" s="2" t="s">
        <v>5</v>
      </c>
      <c r="J436" s="1" t="s">
        <v>15273</v>
      </c>
      <c r="K436" s="3" t="s">
        <v>1771</v>
      </c>
      <c r="L436" s="1"/>
      <c r="M436" s="1"/>
      <c r="N436" s="8" t="s">
        <v>16120</v>
      </c>
      <c r="O436" s="1" t="s">
        <v>934</v>
      </c>
      <c r="P436" s="1" t="s">
        <v>25</v>
      </c>
      <c r="Q436" s="16">
        <v>7</v>
      </c>
      <c r="R436" s="17">
        <v>7</v>
      </c>
      <c r="S436" s="3" t="s">
        <v>5457</v>
      </c>
      <c r="T436" s="1770"/>
      <c r="U436" s="1749"/>
      <c r="V436" s="1752"/>
    </row>
    <row r="437" spans="1:22" ht="12" customHeight="1">
      <c r="A437" s="1040" t="str">
        <f t="shared" si="7"/>
        <v>3402</v>
      </c>
      <c r="B437" s="1053" t="s">
        <v>15379</v>
      </c>
      <c r="C437" s="1064"/>
      <c r="D437" s="2">
        <v>1</v>
      </c>
      <c r="E437" s="4" t="s">
        <v>1778</v>
      </c>
      <c r="F437" s="1065" t="e">
        <f>IF(E437="","$",VLOOKUP(E437,'結果(小)'!$B$2:$F$1295,5,FALSE))</f>
        <v>#DIV/0!</v>
      </c>
      <c r="G437" s="1" t="s">
        <v>1781</v>
      </c>
      <c r="H437" s="6">
        <v>50</v>
      </c>
      <c r="I437" s="2" t="s">
        <v>5</v>
      </c>
      <c r="J437" s="1" t="s">
        <v>15273</v>
      </c>
      <c r="K437" s="3" t="s">
        <v>1782</v>
      </c>
      <c r="L437" s="1"/>
      <c r="M437" s="1"/>
      <c r="N437" s="23" t="s">
        <v>16120</v>
      </c>
      <c r="O437" s="1" t="s">
        <v>30</v>
      </c>
      <c r="P437" s="1" t="s">
        <v>25</v>
      </c>
      <c r="Q437" s="16">
        <v>3</v>
      </c>
      <c r="R437" s="17">
        <v>3</v>
      </c>
      <c r="S437" s="3" t="s">
        <v>5457</v>
      </c>
      <c r="T437" s="1770"/>
      <c r="U437" s="1749"/>
      <c r="V437" s="1752"/>
    </row>
    <row r="438" spans="1:22" ht="12" customHeight="1">
      <c r="A438" s="1040" t="str">
        <f t="shared" si="7"/>
        <v>3402</v>
      </c>
      <c r="B438" s="1053" t="s">
        <v>15380</v>
      </c>
      <c r="C438" s="1064"/>
      <c r="D438" s="2">
        <v>1</v>
      </c>
      <c r="E438" s="4" t="s">
        <v>1792</v>
      </c>
      <c r="F438" s="1065" t="e">
        <f>IF(E438="","$",VLOOKUP(E438,'結果(小)'!$B$2:$F$1295,5,FALSE))</f>
        <v>#DIV/0!</v>
      </c>
      <c r="G438" s="1" t="s">
        <v>1798</v>
      </c>
      <c r="H438" s="6">
        <v>60</v>
      </c>
      <c r="I438" s="2" t="s">
        <v>19</v>
      </c>
      <c r="J438" s="1" t="s">
        <v>15273</v>
      </c>
      <c r="K438" s="3" t="s">
        <v>1799</v>
      </c>
      <c r="L438" s="1"/>
      <c r="M438" s="1"/>
      <c r="N438" s="8" t="s">
        <v>16120</v>
      </c>
      <c r="O438" s="1" t="s">
        <v>30</v>
      </c>
      <c r="P438" s="1" t="s">
        <v>25</v>
      </c>
      <c r="Q438" s="16">
        <v>6</v>
      </c>
      <c r="R438" s="17">
        <v>7</v>
      </c>
      <c r="S438" s="3" t="s">
        <v>5457</v>
      </c>
      <c r="T438" s="1770"/>
      <c r="U438" s="1749"/>
      <c r="V438" s="1752"/>
    </row>
    <row r="439" spans="1:22" ht="12" customHeight="1">
      <c r="A439" s="1040" t="str">
        <f t="shared" si="7"/>
        <v>3402</v>
      </c>
      <c r="B439" s="1053" t="s">
        <v>15381</v>
      </c>
      <c r="C439" s="1064"/>
      <c r="D439" s="2">
        <v>1</v>
      </c>
      <c r="E439" s="4" t="s">
        <v>1814</v>
      </c>
      <c r="F439" s="1065" t="e">
        <f>IF(E439="","$",VLOOKUP(E439,'結果(小)'!$B$2:$F$1295,5,FALSE))</f>
        <v>#DIV/0!</v>
      </c>
      <c r="G439" s="1" t="s">
        <v>1817</v>
      </c>
      <c r="H439" s="6">
        <v>58</v>
      </c>
      <c r="I439" s="2" t="s">
        <v>5</v>
      </c>
      <c r="J439" s="1" t="s">
        <v>15273</v>
      </c>
      <c r="K439" s="3" t="s">
        <v>1818</v>
      </c>
      <c r="L439" s="1"/>
      <c r="M439" s="1"/>
      <c r="N439" s="4" t="s">
        <v>16120</v>
      </c>
      <c r="O439" s="1" t="s">
        <v>48</v>
      </c>
      <c r="P439" s="1" t="s">
        <v>25</v>
      </c>
      <c r="Q439" s="16">
        <v>5</v>
      </c>
      <c r="R439" s="17">
        <v>5</v>
      </c>
      <c r="S439" s="3" t="s">
        <v>5457</v>
      </c>
      <c r="T439" s="1770"/>
      <c r="U439" s="1749"/>
      <c r="V439" s="1752"/>
    </row>
    <row r="440" spans="1:22" ht="12" customHeight="1">
      <c r="A440" s="1040" t="str">
        <f t="shared" si="7"/>
        <v>3402</v>
      </c>
      <c r="B440" s="1053" t="s">
        <v>15382</v>
      </c>
      <c r="C440" s="1064"/>
      <c r="D440" s="2">
        <v>1</v>
      </c>
      <c r="E440" s="4" t="s">
        <v>1848</v>
      </c>
      <c r="F440" s="1065" t="e">
        <f>IF(E440="","$",VLOOKUP(E440,'結果(小)'!$B$2:$F$1295,5,FALSE))</f>
        <v>#DIV/0!</v>
      </c>
      <c r="G440" s="1" t="s">
        <v>1851</v>
      </c>
      <c r="H440" s="6">
        <v>63</v>
      </c>
      <c r="I440" s="2" t="s">
        <v>5</v>
      </c>
      <c r="J440" s="1" t="s">
        <v>15273</v>
      </c>
      <c r="K440" s="3" t="s">
        <v>1852</v>
      </c>
      <c r="L440" s="1"/>
      <c r="M440" s="1"/>
      <c r="N440" s="4" t="s">
        <v>16120</v>
      </c>
      <c r="O440" s="1" t="s">
        <v>30</v>
      </c>
      <c r="P440" s="1" t="s">
        <v>25</v>
      </c>
      <c r="Q440" s="16">
        <v>6</v>
      </c>
      <c r="R440" s="17">
        <v>6</v>
      </c>
      <c r="S440" s="3" t="s">
        <v>5457</v>
      </c>
      <c r="T440" s="1770"/>
      <c r="U440" s="1749"/>
      <c r="V440" s="1752"/>
    </row>
    <row r="441" spans="1:22" ht="12" customHeight="1">
      <c r="A441" s="1040" t="str">
        <f t="shared" si="7"/>
        <v>3402</v>
      </c>
      <c r="B441" s="1053" t="s">
        <v>15383</v>
      </c>
      <c r="C441" s="1064"/>
      <c r="D441" s="2">
        <v>1</v>
      </c>
      <c r="E441" s="4" t="s">
        <v>1860</v>
      </c>
      <c r="F441" s="1065" t="e">
        <f>IF(E441="","$",VLOOKUP(E441,'結果(小)'!$B$2:$F$1295,5,FALSE))</f>
        <v>#DIV/0!</v>
      </c>
      <c r="G441" s="1" t="s">
        <v>1864</v>
      </c>
      <c r="H441" s="6">
        <v>56</v>
      </c>
      <c r="I441" s="2" t="s">
        <v>19</v>
      </c>
      <c r="J441" s="1" t="s">
        <v>15273</v>
      </c>
      <c r="K441" s="3"/>
      <c r="L441" s="1"/>
      <c r="M441" s="1"/>
      <c r="N441" s="8" t="s">
        <v>16120</v>
      </c>
      <c r="O441" s="1" t="s">
        <v>48</v>
      </c>
      <c r="P441" s="1" t="s">
        <v>14</v>
      </c>
      <c r="Q441" s="16">
        <v>3</v>
      </c>
      <c r="R441" s="17">
        <v>3</v>
      </c>
      <c r="S441" s="3" t="s">
        <v>5457</v>
      </c>
      <c r="T441" s="1770"/>
      <c r="U441" s="1749"/>
      <c r="V441" s="1752"/>
    </row>
    <row r="442" spans="1:22" ht="12" customHeight="1">
      <c r="A442" s="1040" t="str">
        <f t="shared" si="7"/>
        <v>3402</v>
      </c>
      <c r="B442" s="1053" t="s">
        <v>15384</v>
      </c>
      <c r="C442" s="1064"/>
      <c r="D442" s="2">
        <v>1</v>
      </c>
      <c r="E442" s="4" t="s">
        <v>1874</v>
      </c>
      <c r="F442" s="1065" t="e">
        <f>IF(E442="","$",VLOOKUP(E442,'結果(小)'!$B$2:$F$1295,5,FALSE))</f>
        <v>#DIV/0!</v>
      </c>
      <c r="G442" s="1" t="s">
        <v>1878</v>
      </c>
      <c r="H442" s="6">
        <v>41</v>
      </c>
      <c r="I442" s="2" t="s">
        <v>5</v>
      </c>
      <c r="J442" s="1" t="s">
        <v>15273</v>
      </c>
      <c r="K442" s="3"/>
      <c r="L442" s="1"/>
      <c r="M442" s="1"/>
      <c r="N442" s="23" t="s">
        <v>16120</v>
      </c>
      <c r="O442" s="1" t="s">
        <v>65</v>
      </c>
      <c r="P442" s="1" t="s">
        <v>6</v>
      </c>
      <c r="Q442" s="16"/>
      <c r="R442" s="17">
        <v>2</v>
      </c>
      <c r="S442" s="3" t="s">
        <v>5457</v>
      </c>
      <c r="T442" s="1770"/>
      <c r="U442" s="1749"/>
      <c r="V442" s="1752"/>
    </row>
    <row r="443" spans="1:22" ht="12" customHeight="1">
      <c r="A443" s="1040" t="str">
        <f t="shared" si="7"/>
        <v>3402</v>
      </c>
      <c r="B443" s="1053" t="s">
        <v>15385</v>
      </c>
      <c r="C443" s="1064"/>
      <c r="D443" s="2">
        <v>1</v>
      </c>
      <c r="E443" s="4" t="s">
        <v>1895</v>
      </c>
      <c r="F443" s="1065" t="e">
        <f>IF(E443="","$",VLOOKUP(E443,'結果(小)'!$B$2:$F$1295,5,FALSE))</f>
        <v>#DIV/0!</v>
      </c>
      <c r="G443" s="1" t="s">
        <v>1902</v>
      </c>
      <c r="H443" s="6">
        <v>66</v>
      </c>
      <c r="I443" s="2" t="s">
        <v>5</v>
      </c>
      <c r="J443" s="1" t="s">
        <v>15273</v>
      </c>
      <c r="K443" s="3"/>
      <c r="L443" s="1"/>
      <c r="M443" s="1"/>
      <c r="N443" s="8" t="s">
        <v>16120</v>
      </c>
      <c r="O443" s="1" t="s">
        <v>48</v>
      </c>
      <c r="P443" s="1" t="s">
        <v>6</v>
      </c>
      <c r="Q443" s="16"/>
      <c r="R443" s="17"/>
      <c r="S443" s="3" t="s">
        <v>5457</v>
      </c>
      <c r="T443" s="1770"/>
      <c r="U443" s="1749"/>
      <c r="V443" s="1752"/>
    </row>
    <row r="444" spans="1:22" ht="12" customHeight="1">
      <c r="A444" s="1040" t="str">
        <f t="shared" si="7"/>
        <v>3402</v>
      </c>
      <c r="B444" s="1053" t="s">
        <v>15386</v>
      </c>
      <c r="C444" s="1064"/>
      <c r="D444" s="2">
        <v>1</v>
      </c>
      <c r="E444" s="4" t="s">
        <v>1914</v>
      </c>
      <c r="F444" s="1065" t="e">
        <f>IF(E444="","$",VLOOKUP(E444,'結果(小)'!$B$2:$F$1295,5,FALSE))</f>
        <v>#DIV/0!</v>
      </c>
      <c r="G444" s="1" t="s">
        <v>1920</v>
      </c>
      <c r="H444" s="6">
        <v>67</v>
      </c>
      <c r="I444" s="2" t="s">
        <v>5</v>
      </c>
      <c r="J444" s="1" t="s">
        <v>15273</v>
      </c>
      <c r="K444" s="3" t="s">
        <v>1921</v>
      </c>
      <c r="L444" s="1"/>
      <c r="M444" s="1"/>
      <c r="N444" s="4" t="s">
        <v>16120</v>
      </c>
      <c r="O444" s="1" t="s">
        <v>934</v>
      </c>
      <c r="P444" s="1" t="s">
        <v>25</v>
      </c>
      <c r="Q444" s="16">
        <v>5</v>
      </c>
      <c r="R444" s="17">
        <v>5</v>
      </c>
      <c r="S444" s="3"/>
      <c r="T444" s="1770"/>
      <c r="U444" s="1749"/>
      <c r="V444" s="1752"/>
    </row>
    <row r="445" spans="1:22" ht="12" customHeight="1">
      <c r="A445" s="1040" t="str">
        <f t="shared" si="7"/>
        <v>3402</v>
      </c>
      <c r="B445" s="1053" t="s">
        <v>15387</v>
      </c>
      <c r="C445" s="1064"/>
      <c r="D445" s="2">
        <v>1</v>
      </c>
      <c r="E445" s="4" t="s">
        <v>1931</v>
      </c>
      <c r="F445" s="1065" t="e">
        <f>IF(E445="","$",VLOOKUP(E445,'結果(小)'!$B$2:$F$1295,5,FALSE))</f>
        <v>#DIV/0!</v>
      </c>
      <c r="G445" s="1" t="s">
        <v>1939</v>
      </c>
      <c r="H445" s="6">
        <v>70</v>
      </c>
      <c r="I445" s="2" t="s">
        <v>5</v>
      </c>
      <c r="J445" s="1" t="s">
        <v>15273</v>
      </c>
      <c r="K445" s="3"/>
      <c r="L445" s="1"/>
      <c r="M445" s="1"/>
      <c r="N445" s="4" t="s">
        <v>16120</v>
      </c>
      <c r="O445" s="1" t="s">
        <v>30</v>
      </c>
      <c r="P445" s="1" t="s">
        <v>14</v>
      </c>
      <c r="Q445" s="16">
        <v>1</v>
      </c>
      <c r="R445" s="17">
        <v>1</v>
      </c>
      <c r="S445" s="3" t="s">
        <v>5457</v>
      </c>
      <c r="T445" s="1770"/>
      <c r="U445" s="1749"/>
      <c r="V445" s="1752"/>
    </row>
    <row r="446" spans="1:22" ht="12" customHeight="1">
      <c r="A446" s="1040" t="str">
        <f t="shared" si="7"/>
        <v>3402</v>
      </c>
      <c r="B446" s="1053" t="s">
        <v>15388</v>
      </c>
      <c r="C446" s="1064"/>
      <c r="D446" s="2">
        <v>1</v>
      </c>
      <c r="E446" s="4" t="s">
        <v>1954</v>
      </c>
      <c r="F446" s="1065" t="e">
        <f>IF(E446="","$",VLOOKUP(E446,'結果(小)'!$B$2:$F$1295,5,FALSE))</f>
        <v>#DIV/0!</v>
      </c>
      <c r="G446" s="1" t="s">
        <v>1961</v>
      </c>
      <c r="H446" s="6">
        <v>39</v>
      </c>
      <c r="I446" s="2" t="s">
        <v>5</v>
      </c>
      <c r="J446" s="1" t="s">
        <v>15273</v>
      </c>
      <c r="K446" s="3"/>
      <c r="L446" s="1"/>
      <c r="M446" s="1"/>
      <c r="N446" s="8" t="s">
        <v>16120</v>
      </c>
      <c r="O446" s="1" t="s">
        <v>65</v>
      </c>
      <c r="P446" s="1" t="s">
        <v>14</v>
      </c>
      <c r="Q446" s="16">
        <v>1</v>
      </c>
      <c r="R446" s="17">
        <v>1</v>
      </c>
      <c r="S446" s="3"/>
      <c r="T446" s="1770"/>
      <c r="U446" s="1749"/>
      <c r="V446" s="1752"/>
    </row>
    <row r="447" spans="1:22" ht="12" customHeight="1">
      <c r="A447" s="1040" t="str">
        <f t="shared" si="7"/>
        <v>3402</v>
      </c>
      <c r="B447" s="1053" t="s">
        <v>15389</v>
      </c>
      <c r="C447" s="1064"/>
      <c r="D447" s="2">
        <v>1</v>
      </c>
      <c r="E447" s="4" t="s">
        <v>1966</v>
      </c>
      <c r="F447" s="1065" t="e">
        <f>IF(E447="","$",VLOOKUP(E447,'結果(小)'!$B$2:$F$1295,5,FALSE))</f>
        <v>#DIV/0!</v>
      </c>
      <c r="G447" s="1" t="s">
        <v>1972</v>
      </c>
      <c r="H447" s="6">
        <v>42</v>
      </c>
      <c r="I447" s="2" t="s">
        <v>5</v>
      </c>
      <c r="J447" s="1" t="s">
        <v>15273</v>
      </c>
      <c r="K447" s="3"/>
      <c r="L447" s="1"/>
      <c r="M447" s="1"/>
      <c r="N447" s="23" t="s">
        <v>16120</v>
      </c>
      <c r="O447" s="1" t="s">
        <v>476</v>
      </c>
      <c r="P447" s="1" t="s">
        <v>14</v>
      </c>
      <c r="Q447" s="16">
        <v>1</v>
      </c>
      <c r="R447" s="17">
        <v>1</v>
      </c>
      <c r="S447" s="3" t="s">
        <v>5457</v>
      </c>
      <c r="T447" s="1770"/>
      <c r="U447" s="1749"/>
      <c r="V447" s="1752"/>
    </row>
    <row r="448" spans="1:22" ht="12" customHeight="1">
      <c r="A448" s="1040" t="str">
        <f t="shared" si="7"/>
        <v>3402</v>
      </c>
      <c r="B448" s="1053" t="s">
        <v>15390</v>
      </c>
      <c r="C448" s="1064"/>
      <c r="D448" s="2">
        <v>1</v>
      </c>
      <c r="E448" s="4" t="s">
        <v>1979</v>
      </c>
      <c r="F448" s="1065" t="e">
        <f>IF(E448="","$",VLOOKUP(E448,'結果(小)'!$B$2:$F$1295,5,FALSE))</f>
        <v>#DIV/0!</v>
      </c>
      <c r="G448" s="1" t="s">
        <v>1986</v>
      </c>
      <c r="H448" s="6">
        <v>48</v>
      </c>
      <c r="I448" s="2" t="s">
        <v>5</v>
      </c>
      <c r="J448" s="1" t="s">
        <v>15273</v>
      </c>
      <c r="K448" s="3"/>
      <c r="L448" s="1"/>
      <c r="M448" s="1"/>
      <c r="N448" s="8" t="s">
        <v>16120</v>
      </c>
      <c r="O448" s="1" t="s">
        <v>30</v>
      </c>
      <c r="P448" s="1" t="s">
        <v>6</v>
      </c>
      <c r="Q448" s="16"/>
      <c r="R448" s="17"/>
      <c r="S448" s="3" t="s">
        <v>5457</v>
      </c>
      <c r="T448" s="1770"/>
      <c r="U448" s="1749"/>
      <c r="V448" s="1752"/>
    </row>
    <row r="449" spans="1:22" ht="12" customHeight="1">
      <c r="A449" s="1040" t="str">
        <f t="shared" si="7"/>
        <v>3402</v>
      </c>
      <c r="B449" s="1053" t="s">
        <v>15391</v>
      </c>
      <c r="C449" s="1064"/>
      <c r="D449" s="2">
        <v>1</v>
      </c>
      <c r="E449" s="4" t="s">
        <v>1990</v>
      </c>
      <c r="F449" s="1065" t="e">
        <f>IF(E449="","$",VLOOKUP(E449,'結果(小)'!$B$2:$F$1295,5,FALSE))</f>
        <v>#DIV/0!</v>
      </c>
      <c r="G449" s="1" t="s">
        <v>2000</v>
      </c>
      <c r="H449" s="6">
        <v>51</v>
      </c>
      <c r="I449" s="2" t="s">
        <v>5</v>
      </c>
      <c r="J449" s="1" t="s">
        <v>15273</v>
      </c>
      <c r="K449" s="3"/>
      <c r="L449" s="1"/>
      <c r="M449" s="1"/>
      <c r="N449" s="4" t="s">
        <v>16120</v>
      </c>
      <c r="O449" s="1" t="s">
        <v>30</v>
      </c>
      <c r="P449" s="1" t="s">
        <v>14</v>
      </c>
      <c r="Q449" s="16">
        <v>5</v>
      </c>
      <c r="R449" s="17">
        <v>5</v>
      </c>
      <c r="S449" s="3"/>
      <c r="T449" s="1770"/>
      <c r="U449" s="1749"/>
      <c r="V449" s="1752"/>
    </row>
    <row r="450" spans="1:22" ht="12" customHeight="1">
      <c r="A450" s="1040" t="str">
        <f t="shared" si="7"/>
        <v>3402</v>
      </c>
      <c r="B450" s="1053" t="s">
        <v>15392</v>
      </c>
      <c r="C450" s="1064"/>
      <c r="D450" s="2">
        <v>1</v>
      </c>
      <c r="E450" s="4" t="s">
        <v>2013</v>
      </c>
      <c r="F450" s="1065" t="e">
        <f>IF(E450="","$",VLOOKUP(E450,'結果(小)'!$B$2:$F$1295,5,FALSE))</f>
        <v>#DIV/0!</v>
      </c>
      <c r="G450" s="1" t="s">
        <v>2021</v>
      </c>
      <c r="H450" s="6">
        <v>31</v>
      </c>
      <c r="I450" s="2" t="s">
        <v>5</v>
      </c>
      <c r="J450" s="1" t="s">
        <v>15273</v>
      </c>
      <c r="K450" s="3"/>
      <c r="L450" s="1"/>
      <c r="M450" s="1"/>
      <c r="N450" s="4" t="s">
        <v>16120</v>
      </c>
      <c r="O450" s="1" t="s">
        <v>30</v>
      </c>
      <c r="P450" s="1" t="s">
        <v>6</v>
      </c>
      <c r="Q450" s="16"/>
      <c r="R450" s="17"/>
      <c r="S450" s="3" t="s">
        <v>5457</v>
      </c>
      <c r="T450" s="1770"/>
      <c r="U450" s="1749"/>
      <c r="V450" s="1752"/>
    </row>
    <row r="451" spans="1:22" ht="12" customHeight="1">
      <c r="A451" s="1040" t="str">
        <f t="shared" ref="A451:A514" si="8">MIDB(B451,1,4)</f>
        <v>3402</v>
      </c>
      <c r="B451" s="1053" t="s">
        <v>15393</v>
      </c>
      <c r="C451" s="1064"/>
      <c r="D451" s="2">
        <v>1</v>
      </c>
      <c r="E451" s="4" t="s">
        <v>2031</v>
      </c>
      <c r="F451" s="1065" t="e">
        <f>IF(E451="","$",VLOOKUP(E451,'結果(小)'!$B$2:$F$1295,5,FALSE))</f>
        <v>#DIV/0!</v>
      </c>
      <c r="G451" s="1" t="s">
        <v>2040</v>
      </c>
      <c r="H451" s="6">
        <v>49</v>
      </c>
      <c r="I451" s="2" t="s">
        <v>5</v>
      </c>
      <c r="J451" s="1" t="s">
        <v>15273</v>
      </c>
      <c r="K451" s="3"/>
      <c r="L451" s="1"/>
      <c r="M451" s="1"/>
      <c r="N451" s="8" t="s">
        <v>16120</v>
      </c>
      <c r="O451" s="1" t="s">
        <v>48</v>
      </c>
      <c r="P451" s="1" t="s">
        <v>14</v>
      </c>
      <c r="Q451" s="16">
        <v>2</v>
      </c>
      <c r="R451" s="17">
        <v>2</v>
      </c>
      <c r="S451" s="3" t="s">
        <v>5457</v>
      </c>
      <c r="T451" s="1770"/>
      <c r="U451" s="1749"/>
      <c r="V451" s="1752"/>
    </row>
    <row r="452" spans="1:22" ht="12" customHeight="1">
      <c r="A452" s="1040" t="str">
        <f t="shared" si="8"/>
        <v>3402</v>
      </c>
      <c r="B452" s="1053" t="s">
        <v>15394</v>
      </c>
      <c r="C452" s="1064"/>
      <c r="D452" s="2">
        <v>1</v>
      </c>
      <c r="E452" s="4" t="s">
        <v>2051</v>
      </c>
      <c r="F452" s="1065" t="e">
        <f>IF(E452="","$",VLOOKUP(E452,'結果(小)'!$B$2:$F$1295,5,FALSE))</f>
        <v>#DIV/0!</v>
      </c>
      <c r="G452" s="1" t="s">
        <v>2056</v>
      </c>
      <c r="H452" s="6">
        <v>43</v>
      </c>
      <c r="I452" s="2" t="s">
        <v>5</v>
      </c>
      <c r="J452" s="1" t="s">
        <v>15273</v>
      </c>
      <c r="K452" s="3" t="s">
        <v>2057</v>
      </c>
      <c r="L452" s="1"/>
      <c r="M452" s="1"/>
      <c r="N452" s="23" t="s">
        <v>16120</v>
      </c>
      <c r="O452" s="1" t="s">
        <v>445</v>
      </c>
      <c r="P452" s="1" t="s">
        <v>25</v>
      </c>
      <c r="Q452" s="16">
        <v>3</v>
      </c>
      <c r="R452" s="17">
        <v>3</v>
      </c>
      <c r="S452" s="3" t="s">
        <v>5457</v>
      </c>
      <c r="T452" s="1770"/>
      <c r="U452" s="1749"/>
      <c r="V452" s="1752"/>
    </row>
    <row r="453" spans="1:22" ht="12" customHeight="1">
      <c r="A453" s="1040" t="str">
        <f t="shared" si="8"/>
        <v>3402</v>
      </c>
      <c r="B453" s="1053" t="s">
        <v>15395</v>
      </c>
      <c r="C453" s="1064"/>
      <c r="D453" s="2">
        <v>25</v>
      </c>
      <c r="E453" s="2"/>
      <c r="F453" s="1065" t="str">
        <f>IF(E453="","$",VLOOKUP(E453,'結果(小)'!$B$2:$F$1295,5,FALSE))</f>
        <v>$</v>
      </c>
      <c r="G453" s="2" t="s">
        <v>6073</v>
      </c>
      <c r="H453" s="6">
        <v>68</v>
      </c>
      <c r="I453" s="2" t="s">
        <v>5</v>
      </c>
      <c r="J453" s="2" t="s">
        <v>6067</v>
      </c>
      <c r="K453" s="22"/>
      <c r="L453" s="2"/>
      <c r="M453" s="2"/>
      <c r="N453" s="8" t="s">
        <v>16120</v>
      </c>
      <c r="O453" s="2" t="s">
        <v>5247</v>
      </c>
      <c r="P453" s="2" t="s">
        <v>6</v>
      </c>
      <c r="Q453" s="24"/>
      <c r="R453" s="25"/>
      <c r="S453" s="22"/>
      <c r="T453" s="1770"/>
      <c r="U453" s="1749"/>
      <c r="V453" s="1752"/>
    </row>
    <row r="454" spans="1:22" ht="12" customHeight="1">
      <c r="A454" s="1040" t="str">
        <f t="shared" si="8"/>
        <v>3402</v>
      </c>
      <c r="B454" s="1053" t="s">
        <v>15396</v>
      </c>
      <c r="C454" s="1064"/>
      <c r="D454" s="2">
        <v>26</v>
      </c>
      <c r="E454" s="2"/>
      <c r="F454" s="1065" t="str">
        <f>IF(E454="","$",VLOOKUP(E454,'結果(小)'!$B$2:$F$1295,5,FALSE))</f>
        <v>$</v>
      </c>
      <c r="G454" s="2" t="s">
        <v>6076</v>
      </c>
      <c r="H454" s="6">
        <v>40</v>
      </c>
      <c r="I454" s="2" t="s">
        <v>5</v>
      </c>
      <c r="J454" s="2" t="s">
        <v>6067</v>
      </c>
      <c r="K454" s="22"/>
      <c r="L454" s="2"/>
      <c r="M454" s="2"/>
      <c r="N454" s="4" t="s">
        <v>16120</v>
      </c>
      <c r="O454" s="2" t="s">
        <v>5247</v>
      </c>
      <c r="P454" s="2" t="s">
        <v>6</v>
      </c>
      <c r="Q454" s="24"/>
      <c r="R454" s="25"/>
      <c r="S454" s="22"/>
      <c r="T454" s="1770"/>
      <c r="U454" s="1749"/>
      <c r="V454" s="1752"/>
    </row>
    <row r="455" spans="1:22" ht="12" customHeight="1">
      <c r="A455" s="1040" t="str">
        <f t="shared" si="8"/>
        <v>3402</v>
      </c>
      <c r="B455" s="1053" t="s">
        <v>15397</v>
      </c>
      <c r="C455" s="1064"/>
      <c r="D455" s="2">
        <v>27</v>
      </c>
      <c r="E455" s="2"/>
      <c r="F455" s="1065" t="str">
        <f>IF(E455="","$",VLOOKUP(E455,'結果(小)'!$B$2:$F$1295,5,FALSE))</f>
        <v>$</v>
      </c>
      <c r="G455" s="2" t="s">
        <v>6077</v>
      </c>
      <c r="H455" s="6">
        <v>32</v>
      </c>
      <c r="I455" s="2" t="s">
        <v>5</v>
      </c>
      <c r="J455" s="2" t="s">
        <v>6067</v>
      </c>
      <c r="K455" s="22"/>
      <c r="L455" s="2"/>
      <c r="M455" s="2"/>
      <c r="N455" s="4" t="s">
        <v>16120</v>
      </c>
      <c r="O455" s="2" t="s">
        <v>5247</v>
      </c>
      <c r="P455" s="2" t="s">
        <v>6</v>
      </c>
      <c r="Q455" s="24"/>
      <c r="R455" s="25"/>
      <c r="S455" s="22"/>
      <c r="T455" s="1770"/>
      <c r="U455" s="1749"/>
      <c r="V455" s="1752"/>
    </row>
    <row r="456" spans="1:22" ht="12" customHeight="1">
      <c r="A456" s="1040" t="str">
        <f t="shared" si="8"/>
        <v>3402</v>
      </c>
      <c r="B456" s="1053" t="s">
        <v>15398</v>
      </c>
      <c r="C456" s="1064"/>
      <c r="D456" s="2">
        <v>28</v>
      </c>
      <c r="E456" s="2"/>
      <c r="F456" s="1065" t="str">
        <f>IF(E456="","$",VLOOKUP(E456,'結果(小)'!$B$2:$F$1295,5,FALSE))</f>
        <v>$</v>
      </c>
      <c r="G456" s="2" t="s">
        <v>6081</v>
      </c>
      <c r="H456" s="6">
        <v>67</v>
      </c>
      <c r="I456" s="2" t="s">
        <v>5</v>
      </c>
      <c r="J456" s="2" t="s">
        <v>6067</v>
      </c>
      <c r="K456" s="22"/>
      <c r="L456" s="2"/>
      <c r="M456" s="2"/>
      <c r="N456" s="8" t="s">
        <v>16120</v>
      </c>
      <c r="O456" s="2" t="s">
        <v>5247</v>
      </c>
      <c r="P456" s="2" t="s">
        <v>6</v>
      </c>
      <c r="Q456" s="24"/>
      <c r="R456" s="25"/>
      <c r="S456" s="22"/>
      <c r="T456" s="1770"/>
      <c r="U456" s="1749"/>
      <c r="V456" s="1752"/>
    </row>
    <row r="457" spans="1:22" ht="12" customHeight="1" thickBot="1">
      <c r="A457" s="916" t="str">
        <f t="shared" si="8"/>
        <v>3402</v>
      </c>
      <c r="B457" s="1074" t="s">
        <v>15399</v>
      </c>
      <c r="C457" s="1075"/>
      <c r="D457" s="702">
        <v>29</v>
      </c>
      <c r="E457" s="702"/>
      <c r="F457" s="1071" t="str">
        <f>IF(E457="","$",VLOOKUP(E457,'結果(小)'!$B$2:$F$1295,5,FALSE))</f>
        <v>$</v>
      </c>
      <c r="G457" s="702" t="s">
        <v>6082</v>
      </c>
      <c r="H457" s="701">
        <v>69</v>
      </c>
      <c r="I457" s="702" t="s">
        <v>5</v>
      </c>
      <c r="J457" s="702" t="s">
        <v>6067</v>
      </c>
      <c r="K457" s="720"/>
      <c r="L457" s="702"/>
      <c r="M457" s="702"/>
      <c r="N457" s="770" t="s">
        <v>16120</v>
      </c>
      <c r="O457" s="702" t="s">
        <v>5247</v>
      </c>
      <c r="P457" s="702" t="s">
        <v>6</v>
      </c>
      <c r="Q457" s="721"/>
      <c r="R457" s="722"/>
      <c r="S457" s="720"/>
      <c r="T457" s="1771"/>
      <c r="U457" s="1750"/>
      <c r="V457" s="1753"/>
    </row>
    <row r="458" spans="1:22" ht="12" customHeight="1">
      <c r="A458" s="1038" t="str">
        <f t="shared" si="8"/>
        <v>3403</v>
      </c>
      <c r="B458" s="1097" t="s">
        <v>16334</v>
      </c>
      <c r="C458" s="1073"/>
      <c r="D458" s="696">
        <v>1</v>
      </c>
      <c r="E458" s="688" t="s">
        <v>1650</v>
      </c>
      <c r="F458" s="1068" t="e">
        <f>IF(E458="","$",VLOOKUP(E458,'結果(小)'!$B$2:$F$1295,5,FALSE))</f>
        <v>#DIV/0!</v>
      </c>
      <c r="G458" s="687" t="s">
        <v>6173</v>
      </c>
      <c r="H458" s="690">
        <v>46</v>
      </c>
      <c r="I458" s="696" t="s">
        <v>5</v>
      </c>
      <c r="J458" s="687" t="s">
        <v>15273</v>
      </c>
      <c r="K458" s="747"/>
      <c r="L458" s="687"/>
      <c r="M458" s="687"/>
      <c r="N458" s="688" t="s">
        <v>16125</v>
      </c>
      <c r="O458" s="687"/>
      <c r="P458" s="687" t="s">
        <v>6</v>
      </c>
      <c r="Q458" s="748"/>
      <c r="R458" s="749"/>
      <c r="S458" s="747" t="s">
        <v>5561</v>
      </c>
      <c r="T458" s="1772"/>
      <c r="U458" s="1748"/>
      <c r="V458" s="1751" t="e">
        <f>U458/SUM(U404:U521)</f>
        <v>#DIV/0!</v>
      </c>
    </row>
    <row r="459" spans="1:22" ht="12" customHeight="1">
      <c r="A459" s="1040" t="str">
        <f t="shared" si="8"/>
        <v>3403</v>
      </c>
      <c r="B459" s="1054" t="s">
        <v>16335</v>
      </c>
      <c r="C459" s="1064"/>
      <c r="D459" s="2">
        <v>1</v>
      </c>
      <c r="E459" s="4" t="s">
        <v>1688</v>
      </c>
      <c r="F459" s="1065" t="e">
        <f>IF(E459="","$",VLOOKUP(E459,'結果(小)'!$B$2:$F$1295,5,FALSE))</f>
        <v>#DIV/0!</v>
      </c>
      <c r="G459" s="1" t="s">
        <v>5736</v>
      </c>
      <c r="H459" s="6">
        <v>47</v>
      </c>
      <c r="I459" s="2" t="s">
        <v>5</v>
      </c>
      <c r="J459" s="1" t="s">
        <v>15273</v>
      </c>
      <c r="K459" s="3"/>
      <c r="L459" s="1"/>
      <c r="M459" s="1"/>
      <c r="N459" s="4" t="s">
        <v>16125</v>
      </c>
      <c r="O459" s="1"/>
      <c r="P459" s="1" t="s">
        <v>6</v>
      </c>
      <c r="Q459" s="16"/>
      <c r="R459" s="17"/>
      <c r="S459" s="3" t="s">
        <v>5561</v>
      </c>
      <c r="T459" s="1773"/>
      <c r="U459" s="1749"/>
      <c r="V459" s="1752"/>
    </row>
    <row r="460" spans="1:22" ht="12" customHeight="1">
      <c r="A460" s="1040" t="str">
        <f t="shared" si="8"/>
        <v>3403</v>
      </c>
      <c r="B460" s="1054" t="s">
        <v>16336</v>
      </c>
      <c r="C460" s="1064"/>
      <c r="D460" s="2">
        <v>1</v>
      </c>
      <c r="E460" s="4" t="s">
        <v>1719</v>
      </c>
      <c r="F460" s="1065" t="e">
        <f>IF(E460="","$",VLOOKUP(E460,'結果(小)'!$B$2:$F$1295,5,FALSE))</f>
        <v>#DIV/0!</v>
      </c>
      <c r="G460" s="1" t="s">
        <v>6175</v>
      </c>
      <c r="H460" s="6">
        <v>44</v>
      </c>
      <c r="I460" s="2" t="s">
        <v>19</v>
      </c>
      <c r="J460" s="1" t="s">
        <v>15273</v>
      </c>
      <c r="K460" s="3"/>
      <c r="L460" s="1"/>
      <c r="M460" s="1"/>
      <c r="N460" s="4" t="s">
        <v>16125</v>
      </c>
      <c r="O460" s="1"/>
      <c r="P460" s="1" t="s">
        <v>6</v>
      </c>
      <c r="Q460" s="16"/>
      <c r="R460" s="17"/>
      <c r="S460" s="3" t="s">
        <v>5561</v>
      </c>
      <c r="T460" s="1773"/>
      <c r="U460" s="1749"/>
      <c r="V460" s="1752"/>
    </row>
    <row r="461" spans="1:22" ht="12" customHeight="1">
      <c r="A461" s="1040" t="str">
        <f t="shared" si="8"/>
        <v>3403</v>
      </c>
      <c r="B461" s="1054" t="s">
        <v>16337</v>
      </c>
      <c r="C461" s="1064"/>
      <c r="D461" s="2">
        <v>1</v>
      </c>
      <c r="E461" s="4" t="s">
        <v>1757</v>
      </c>
      <c r="F461" s="1065" t="e">
        <f>IF(E461="","$",VLOOKUP(E461,'結果(小)'!$B$2:$F$1295,5,FALSE))</f>
        <v>#DIV/0!</v>
      </c>
      <c r="G461" s="1" t="s">
        <v>5739</v>
      </c>
      <c r="H461" s="6">
        <v>52</v>
      </c>
      <c r="I461" s="2" t="s">
        <v>5</v>
      </c>
      <c r="J461" s="1" t="s">
        <v>15273</v>
      </c>
      <c r="K461" s="3"/>
      <c r="L461" s="1"/>
      <c r="M461" s="1"/>
      <c r="N461" s="4" t="s">
        <v>16125</v>
      </c>
      <c r="O461" s="1"/>
      <c r="P461" s="1" t="s">
        <v>6</v>
      </c>
      <c r="Q461" s="16"/>
      <c r="R461" s="17"/>
      <c r="S461" s="3" t="s">
        <v>5561</v>
      </c>
      <c r="T461" s="1773"/>
      <c r="U461" s="1749"/>
      <c r="V461" s="1752"/>
    </row>
    <row r="462" spans="1:22" ht="12" customHeight="1">
      <c r="A462" s="1040" t="str">
        <f t="shared" si="8"/>
        <v>3403</v>
      </c>
      <c r="B462" s="1054" t="s">
        <v>16338</v>
      </c>
      <c r="C462" s="1064"/>
      <c r="D462" s="2">
        <v>1</v>
      </c>
      <c r="E462" s="4" t="s">
        <v>1779</v>
      </c>
      <c r="F462" s="1065" t="e">
        <f>IF(E462="","$",VLOOKUP(E462,'結果(小)'!$B$2:$F$1295,5,FALSE))</f>
        <v>#DIV/0!</v>
      </c>
      <c r="G462" s="1" t="s">
        <v>1788</v>
      </c>
      <c r="H462" s="6">
        <v>46</v>
      </c>
      <c r="I462" s="2" t="s">
        <v>5</v>
      </c>
      <c r="J462" s="1" t="s">
        <v>15273</v>
      </c>
      <c r="K462" s="3" t="s">
        <v>1789</v>
      </c>
      <c r="L462" s="1"/>
      <c r="M462" s="1"/>
      <c r="N462" s="4" t="s">
        <v>16125</v>
      </c>
      <c r="O462" s="1"/>
      <c r="P462" s="1" t="s">
        <v>25</v>
      </c>
      <c r="Q462" s="16">
        <v>1</v>
      </c>
      <c r="R462" s="17">
        <v>1</v>
      </c>
      <c r="S462" s="3" t="s">
        <v>5561</v>
      </c>
      <c r="T462" s="1773"/>
      <c r="U462" s="1749"/>
      <c r="V462" s="1752"/>
    </row>
    <row r="463" spans="1:22" ht="12" customHeight="1">
      <c r="A463" s="1040" t="str">
        <f t="shared" si="8"/>
        <v>3403</v>
      </c>
      <c r="B463" s="1054" t="s">
        <v>16339</v>
      </c>
      <c r="C463" s="1064"/>
      <c r="D463" s="2">
        <v>1</v>
      </c>
      <c r="E463" s="4" t="s">
        <v>1793</v>
      </c>
      <c r="F463" s="1065" t="e">
        <f>IF(E463="","$",VLOOKUP(E463,'結果(小)'!$B$2:$F$1295,5,FALSE))</f>
        <v>#DIV/0!</v>
      </c>
      <c r="G463" s="1" t="s">
        <v>5740</v>
      </c>
      <c r="H463" s="6">
        <v>44</v>
      </c>
      <c r="I463" s="2" t="s">
        <v>5</v>
      </c>
      <c r="J463" s="1" t="s">
        <v>15273</v>
      </c>
      <c r="K463" s="3"/>
      <c r="L463" s="1"/>
      <c r="M463" s="1"/>
      <c r="N463" s="4" t="s">
        <v>16125</v>
      </c>
      <c r="O463" s="1"/>
      <c r="P463" s="1" t="s">
        <v>6</v>
      </c>
      <c r="Q463" s="16"/>
      <c r="R463" s="17"/>
      <c r="S463" s="3" t="s">
        <v>5561</v>
      </c>
      <c r="T463" s="1773"/>
      <c r="U463" s="1749"/>
      <c r="V463" s="1752"/>
    </row>
    <row r="464" spans="1:22" ht="12" customHeight="1">
      <c r="A464" s="1040" t="str">
        <f t="shared" si="8"/>
        <v>3403</v>
      </c>
      <c r="B464" s="1054" t="s">
        <v>16340</v>
      </c>
      <c r="C464" s="1064"/>
      <c r="D464" s="2">
        <v>1</v>
      </c>
      <c r="E464" s="4" t="s">
        <v>1815</v>
      </c>
      <c r="F464" s="1065" t="e">
        <f>IF(E464="","$",VLOOKUP(E464,'結果(小)'!$B$2:$F$1295,5,FALSE))</f>
        <v>#DIV/0!</v>
      </c>
      <c r="G464" s="1" t="s">
        <v>5742</v>
      </c>
      <c r="H464" s="6">
        <v>43</v>
      </c>
      <c r="I464" s="2" t="s">
        <v>19</v>
      </c>
      <c r="J464" s="1" t="s">
        <v>15273</v>
      </c>
      <c r="K464" s="3"/>
      <c r="L464" s="1"/>
      <c r="M464" s="1"/>
      <c r="N464" s="4" t="s">
        <v>16125</v>
      </c>
      <c r="O464" s="1"/>
      <c r="P464" s="1" t="s">
        <v>6</v>
      </c>
      <c r="Q464" s="16"/>
      <c r="R464" s="17"/>
      <c r="S464" s="3" t="s">
        <v>5561</v>
      </c>
      <c r="T464" s="1773"/>
      <c r="U464" s="1749"/>
      <c r="V464" s="1752"/>
    </row>
    <row r="465" spans="1:22" ht="12" customHeight="1">
      <c r="A465" s="1040" t="str">
        <f t="shared" si="8"/>
        <v>3403</v>
      </c>
      <c r="B465" s="1054" t="s">
        <v>16341</v>
      </c>
      <c r="C465" s="1064"/>
      <c r="D465" s="2">
        <v>1</v>
      </c>
      <c r="E465" s="4" t="s">
        <v>1827</v>
      </c>
      <c r="F465" s="1065" t="e">
        <f>IF(E465="","$",VLOOKUP(E465,'結果(小)'!$B$2:$F$1295,5,FALSE))</f>
        <v>#DIV/0!</v>
      </c>
      <c r="G465" s="1" t="s">
        <v>1831</v>
      </c>
      <c r="H465" s="6">
        <v>47</v>
      </c>
      <c r="I465" s="2" t="s">
        <v>19</v>
      </c>
      <c r="J465" s="1" t="s">
        <v>15273</v>
      </c>
      <c r="K465" s="3" t="s">
        <v>1832</v>
      </c>
      <c r="L465" s="1"/>
      <c r="M465" s="1"/>
      <c r="N465" s="4" t="s">
        <v>16125</v>
      </c>
      <c r="O465" s="1"/>
      <c r="P465" s="1" t="s">
        <v>25</v>
      </c>
      <c r="Q465" s="16">
        <v>2</v>
      </c>
      <c r="R465" s="17">
        <v>3</v>
      </c>
      <c r="S465" s="3" t="s">
        <v>5561</v>
      </c>
      <c r="T465" s="1773"/>
      <c r="U465" s="1749"/>
      <c r="V465" s="1752"/>
    </row>
    <row r="466" spans="1:22" ht="12" customHeight="1">
      <c r="A466" s="1040" t="str">
        <f t="shared" si="8"/>
        <v>3403</v>
      </c>
      <c r="B466" s="1054" t="s">
        <v>16333</v>
      </c>
      <c r="C466" s="1064"/>
      <c r="D466" s="2">
        <v>1</v>
      </c>
      <c r="E466" s="4" t="s">
        <v>1849</v>
      </c>
      <c r="F466" s="1065" t="e">
        <f>IF(E466="","$",VLOOKUP(E466,'結果(小)'!$B$2:$F$1295,5,FALSE))</f>
        <v>#DIV/0!</v>
      </c>
      <c r="G466" s="1" t="s">
        <v>6179</v>
      </c>
      <c r="H466" s="6">
        <v>40</v>
      </c>
      <c r="I466" s="2" t="s">
        <v>5</v>
      </c>
      <c r="J466" s="1" t="s">
        <v>15273</v>
      </c>
      <c r="K466" s="3"/>
      <c r="L466" s="1"/>
      <c r="M466" s="1"/>
      <c r="N466" s="4" t="s">
        <v>16125</v>
      </c>
      <c r="O466" s="1"/>
      <c r="P466" s="1" t="s">
        <v>6</v>
      </c>
      <c r="Q466" s="16"/>
      <c r="R466" s="17"/>
      <c r="S466" s="3" t="s">
        <v>5561</v>
      </c>
      <c r="T466" s="1773"/>
      <c r="U466" s="1749"/>
      <c r="V466" s="1752"/>
    </row>
    <row r="467" spans="1:22" ht="12" customHeight="1">
      <c r="A467" s="1040" t="str">
        <f t="shared" si="8"/>
        <v>3403</v>
      </c>
      <c r="B467" s="1054" t="s">
        <v>16326</v>
      </c>
      <c r="C467" s="1064"/>
      <c r="D467" s="2">
        <v>1</v>
      </c>
      <c r="E467" s="4" t="s">
        <v>1861</v>
      </c>
      <c r="F467" s="1065" t="e">
        <f>IF(E467="","$",VLOOKUP(E467,'結果(小)'!$B$2:$F$1295,5,FALSE))</f>
        <v>#DIV/0!</v>
      </c>
      <c r="G467" s="1" t="s">
        <v>1869</v>
      </c>
      <c r="H467" s="6">
        <v>41</v>
      </c>
      <c r="I467" s="2" t="s">
        <v>5</v>
      </c>
      <c r="J467" s="1" t="s">
        <v>15273</v>
      </c>
      <c r="K467" s="3" t="s">
        <v>1870</v>
      </c>
      <c r="L467" s="1"/>
      <c r="M467" s="1"/>
      <c r="N467" s="4" t="s">
        <v>16125</v>
      </c>
      <c r="O467" s="1"/>
      <c r="P467" s="1" t="s">
        <v>25</v>
      </c>
      <c r="Q467" s="16">
        <v>1</v>
      </c>
      <c r="R467" s="17">
        <v>1</v>
      </c>
      <c r="S467" s="3" t="s">
        <v>5561</v>
      </c>
      <c r="T467" s="1773"/>
      <c r="U467" s="1749"/>
      <c r="V467" s="1752"/>
    </row>
    <row r="468" spans="1:22" ht="12" customHeight="1">
      <c r="A468" s="1040" t="str">
        <f t="shared" si="8"/>
        <v>3403</v>
      </c>
      <c r="B468" s="1054" t="s">
        <v>16327</v>
      </c>
      <c r="C468" s="1064"/>
      <c r="D468" s="2">
        <v>1</v>
      </c>
      <c r="E468" s="4" t="s">
        <v>1875</v>
      </c>
      <c r="F468" s="1065" t="e">
        <f>IF(E468="","$",VLOOKUP(E468,'結果(小)'!$B$2:$F$1295,5,FALSE))</f>
        <v>#DIV/0!</v>
      </c>
      <c r="G468" s="1" t="s">
        <v>1882</v>
      </c>
      <c r="H468" s="6">
        <v>61</v>
      </c>
      <c r="I468" s="2" t="s">
        <v>5</v>
      </c>
      <c r="J468" s="1" t="s">
        <v>15273</v>
      </c>
      <c r="K468" s="3" t="s">
        <v>1883</v>
      </c>
      <c r="L468" s="1"/>
      <c r="M468" s="1"/>
      <c r="N468" s="4" t="s">
        <v>16125</v>
      </c>
      <c r="O468" s="1"/>
      <c r="P468" s="1" t="s">
        <v>25</v>
      </c>
      <c r="Q468" s="16">
        <v>5</v>
      </c>
      <c r="R468" s="17">
        <v>5</v>
      </c>
      <c r="S468" s="3" t="s">
        <v>5561</v>
      </c>
      <c r="T468" s="1773"/>
      <c r="U468" s="1749"/>
      <c r="V468" s="1752"/>
    </row>
    <row r="469" spans="1:22" ht="12" customHeight="1">
      <c r="A469" s="1040" t="str">
        <f t="shared" si="8"/>
        <v>3403</v>
      </c>
      <c r="B469" s="1054" t="s">
        <v>16328</v>
      </c>
      <c r="C469" s="1064"/>
      <c r="D469" s="2">
        <v>1</v>
      </c>
      <c r="E469" s="4" t="s">
        <v>1896</v>
      </c>
      <c r="F469" s="1065" t="e">
        <f>IF(E469="","$",VLOOKUP(E469,'結果(小)'!$B$2:$F$1295,5,FALSE))</f>
        <v>#DIV/0!</v>
      </c>
      <c r="G469" s="1" t="s">
        <v>1899</v>
      </c>
      <c r="H469" s="6">
        <v>43</v>
      </c>
      <c r="I469" s="2" t="s">
        <v>5</v>
      </c>
      <c r="J469" s="1" t="s">
        <v>15273</v>
      </c>
      <c r="K469" s="3" t="s">
        <v>1900</v>
      </c>
      <c r="L469" s="1"/>
      <c r="M469" s="1"/>
      <c r="N469" s="4" t="s">
        <v>16125</v>
      </c>
      <c r="O469" s="1"/>
      <c r="P469" s="1" t="s">
        <v>25</v>
      </c>
      <c r="Q469" s="16">
        <v>1</v>
      </c>
      <c r="R469" s="17">
        <v>1</v>
      </c>
      <c r="S469" s="3" t="s">
        <v>5561</v>
      </c>
      <c r="T469" s="1773"/>
      <c r="U469" s="1749"/>
      <c r="V469" s="1752"/>
    </row>
    <row r="470" spans="1:22" ht="12" customHeight="1">
      <c r="A470" s="1040" t="str">
        <f t="shared" si="8"/>
        <v>3403</v>
      </c>
      <c r="B470" s="1054" t="s">
        <v>16329</v>
      </c>
      <c r="C470" s="1064"/>
      <c r="D470" s="2">
        <v>1</v>
      </c>
      <c r="E470" s="4" t="s">
        <v>1932</v>
      </c>
      <c r="F470" s="1065" t="e">
        <f>IF(E470="","$",VLOOKUP(E470,'結果(小)'!$B$2:$F$1295,5,FALSE))</f>
        <v>#DIV/0!</v>
      </c>
      <c r="G470" s="1" t="s">
        <v>5746</v>
      </c>
      <c r="H470" s="6">
        <v>43</v>
      </c>
      <c r="I470" s="2" t="s">
        <v>5</v>
      </c>
      <c r="J470" s="1" t="s">
        <v>15273</v>
      </c>
      <c r="K470" s="3"/>
      <c r="L470" s="1"/>
      <c r="M470" s="1"/>
      <c r="N470" s="4" t="s">
        <v>16125</v>
      </c>
      <c r="O470" s="1"/>
      <c r="P470" s="1" t="s">
        <v>6</v>
      </c>
      <c r="Q470" s="16"/>
      <c r="R470" s="17"/>
      <c r="S470" s="3" t="s">
        <v>5561</v>
      </c>
      <c r="T470" s="1773"/>
      <c r="U470" s="1749"/>
      <c r="V470" s="1752"/>
    </row>
    <row r="471" spans="1:22" ht="12" customHeight="1">
      <c r="A471" s="1040" t="str">
        <f t="shared" si="8"/>
        <v>3403</v>
      </c>
      <c r="B471" s="1054" t="s">
        <v>16330</v>
      </c>
      <c r="C471" s="1064"/>
      <c r="D471" s="2">
        <v>1</v>
      </c>
      <c r="E471" s="4" t="s">
        <v>1955</v>
      </c>
      <c r="F471" s="1065" t="e">
        <f>IF(E471="","$",VLOOKUP(E471,'結果(小)'!$B$2:$F$1295,5,FALSE))</f>
        <v>#DIV/0!</v>
      </c>
      <c r="G471" s="1" t="s">
        <v>1824</v>
      </c>
      <c r="H471" s="6">
        <v>68</v>
      </c>
      <c r="I471" s="2" t="s">
        <v>5</v>
      </c>
      <c r="J471" s="1" t="s">
        <v>15273</v>
      </c>
      <c r="K471" s="3" t="s">
        <v>1825</v>
      </c>
      <c r="L471" s="1"/>
      <c r="M471" s="1"/>
      <c r="N471" s="4" t="s">
        <v>16125</v>
      </c>
      <c r="O471" s="1"/>
      <c r="P471" s="1" t="s">
        <v>25</v>
      </c>
      <c r="Q471" s="16">
        <v>2</v>
      </c>
      <c r="R471" s="17">
        <v>2</v>
      </c>
      <c r="S471" s="3" t="s">
        <v>5561</v>
      </c>
      <c r="T471" s="1773"/>
      <c r="U471" s="1749"/>
      <c r="V471" s="1752"/>
    </row>
    <row r="472" spans="1:22" ht="12" customHeight="1">
      <c r="A472" s="1040" t="str">
        <f t="shared" si="8"/>
        <v>3403</v>
      </c>
      <c r="B472" s="1054" t="s">
        <v>16331</v>
      </c>
      <c r="C472" s="1064"/>
      <c r="D472" s="2">
        <v>1</v>
      </c>
      <c r="E472" s="4" t="s">
        <v>1980</v>
      </c>
      <c r="F472" s="1065" t="e">
        <f>IF(E472="","$",VLOOKUP(E472,'結果(小)'!$B$2:$F$1295,5,FALSE))</f>
        <v>#DIV/0!</v>
      </c>
      <c r="G472" s="1" t="s">
        <v>6181</v>
      </c>
      <c r="H472" s="6">
        <v>60</v>
      </c>
      <c r="I472" s="2" t="s">
        <v>5</v>
      </c>
      <c r="J472" s="1" t="s">
        <v>15273</v>
      </c>
      <c r="K472" s="3"/>
      <c r="L472" s="1"/>
      <c r="M472" s="1"/>
      <c r="N472" s="4" t="s">
        <v>16125</v>
      </c>
      <c r="O472" s="1"/>
      <c r="P472" s="1" t="s">
        <v>6</v>
      </c>
      <c r="Q472" s="16"/>
      <c r="R472" s="17"/>
      <c r="S472" s="3" t="s">
        <v>5561</v>
      </c>
      <c r="T472" s="1773"/>
      <c r="U472" s="1749"/>
      <c r="V472" s="1752"/>
    </row>
    <row r="473" spans="1:22" ht="12" customHeight="1">
      <c r="A473" s="1040" t="str">
        <f t="shared" si="8"/>
        <v>3403</v>
      </c>
      <c r="B473" s="1054" t="s">
        <v>16332</v>
      </c>
      <c r="C473" s="1064"/>
      <c r="D473" s="2">
        <v>1</v>
      </c>
      <c r="E473" s="4" t="s">
        <v>2014</v>
      </c>
      <c r="F473" s="1065" t="e">
        <f>IF(E473="","$",VLOOKUP(E473,'結果(小)'!$B$2:$F$1295,5,FALSE))</f>
        <v>#DIV/0!</v>
      </c>
      <c r="G473" s="1" t="s">
        <v>6182</v>
      </c>
      <c r="H473" s="6">
        <v>39</v>
      </c>
      <c r="I473" s="2" t="s">
        <v>5</v>
      </c>
      <c r="J473" s="1" t="s">
        <v>15273</v>
      </c>
      <c r="K473" s="3"/>
      <c r="L473" s="1"/>
      <c r="M473" s="1"/>
      <c r="N473" s="4" t="s">
        <v>16125</v>
      </c>
      <c r="O473" s="1"/>
      <c r="P473" s="1" t="s">
        <v>6</v>
      </c>
      <c r="Q473" s="16"/>
      <c r="R473" s="17"/>
      <c r="S473" s="3" t="s">
        <v>5561</v>
      </c>
      <c r="T473" s="1773"/>
      <c r="U473" s="1749"/>
      <c r="V473" s="1752"/>
    </row>
    <row r="474" spans="1:22" ht="12" customHeight="1">
      <c r="A474" s="1040" t="str">
        <f t="shared" si="8"/>
        <v>3403</v>
      </c>
      <c r="B474" s="1054" t="s">
        <v>16324</v>
      </c>
      <c r="C474" s="1064"/>
      <c r="D474" s="2">
        <v>1</v>
      </c>
      <c r="E474" s="4" t="s">
        <v>2052</v>
      </c>
      <c r="F474" s="1065" t="e">
        <f>IF(E474="","$",VLOOKUP(E474,'結果(小)'!$B$2:$F$1295,5,FALSE))</f>
        <v>#DIV/0!</v>
      </c>
      <c r="G474" s="1" t="s">
        <v>6186</v>
      </c>
      <c r="H474" s="6">
        <v>56</v>
      </c>
      <c r="I474" s="2" t="s">
        <v>5</v>
      </c>
      <c r="J474" s="1" t="s">
        <v>15273</v>
      </c>
      <c r="K474" s="3"/>
      <c r="L474" s="1"/>
      <c r="M474" s="1"/>
      <c r="N474" s="4" t="s">
        <v>16125</v>
      </c>
      <c r="O474" s="1"/>
      <c r="P474" s="1" t="s">
        <v>6</v>
      </c>
      <c r="Q474" s="16"/>
      <c r="R474" s="17"/>
      <c r="S474" s="3" t="s">
        <v>5561</v>
      </c>
      <c r="T474" s="1773"/>
      <c r="U474" s="1749"/>
      <c r="V474" s="1752"/>
    </row>
    <row r="475" spans="1:22" ht="12" customHeight="1" thickBot="1">
      <c r="A475" s="916" t="str">
        <f t="shared" si="8"/>
        <v>3403</v>
      </c>
      <c r="B475" s="1098" t="s">
        <v>16325</v>
      </c>
      <c r="C475" s="1075"/>
      <c r="D475" s="702">
        <v>18</v>
      </c>
      <c r="E475" s="702"/>
      <c r="F475" s="1071" t="str">
        <f>IF(E475="","$",VLOOKUP(E475,'結果(小)'!$B$2:$F$1295,5,FALSE))</f>
        <v>$</v>
      </c>
      <c r="G475" s="702" t="s">
        <v>2164</v>
      </c>
      <c r="H475" s="701">
        <v>48</v>
      </c>
      <c r="I475" s="702" t="s">
        <v>5</v>
      </c>
      <c r="J475" s="702" t="s">
        <v>6067</v>
      </c>
      <c r="K475" s="720" t="s">
        <v>2165</v>
      </c>
      <c r="L475" s="702"/>
      <c r="M475" s="702"/>
      <c r="N475" s="770" t="s">
        <v>16125</v>
      </c>
      <c r="O475" s="702"/>
      <c r="P475" s="702" t="s">
        <v>25</v>
      </c>
      <c r="Q475" s="721">
        <v>1</v>
      </c>
      <c r="R475" s="722">
        <v>1</v>
      </c>
      <c r="S475" s="720"/>
      <c r="T475" s="1774"/>
      <c r="U475" s="1750"/>
      <c r="V475" s="1753"/>
    </row>
    <row r="476" spans="1:22" ht="12" customHeight="1">
      <c r="A476" s="1038" t="str">
        <f t="shared" si="8"/>
        <v>3404</v>
      </c>
      <c r="B476" s="1081" t="s">
        <v>2169</v>
      </c>
      <c r="C476" s="1073"/>
      <c r="D476" s="696">
        <v>1</v>
      </c>
      <c r="E476" s="696"/>
      <c r="F476" s="1068" t="str">
        <f>IF(E476="","$",VLOOKUP(E476,'結果(小)'!$B$2:$F$1295,5,FALSE))</f>
        <v>$</v>
      </c>
      <c r="G476" s="696" t="s">
        <v>2171</v>
      </c>
      <c r="H476" s="690">
        <v>53</v>
      </c>
      <c r="I476" s="696" t="s">
        <v>5</v>
      </c>
      <c r="J476" s="696" t="s">
        <v>6067</v>
      </c>
      <c r="K476" s="715" t="s">
        <v>2176</v>
      </c>
      <c r="L476" s="696"/>
      <c r="M476" s="696"/>
      <c r="N476" s="692" t="s">
        <v>16118</v>
      </c>
      <c r="O476" s="696"/>
      <c r="P476" s="696" t="s">
        <v>25</v>
      </c>
      <c r="Q476" s="717">
        <v>5</v>
      </c>
      <c r="R476" s="718">
        <v>5</v>
      </c>
      <c r="S476" s="715"/>
      <c r="T476" s="1763"/>
      <c r="U476" s="1748"/>
      <c r="V476" s="1751" t="e">
        <f>U476/SUM(U404:U521)</f>
        <v>#DIV/0!</v>
      </c>
    </row>
    <row r="477" spans="1:22" ht="12" customHeight="1">
      <c r="A477" s="1040" t="str">
        <f t="shared" si="8"/>
        <v>3404</v>
      </c>
      <c r="B477" s="1055" t="s">
        <v>2170</v>
      </c>
      <c r="C477" s="1064"/>
      <c r="D477" s="2">
        <v>2</v>
      </c>
      <c r="E477" s="2"/>
      <c r="F477" s="1065" t="str">
        <f>IF(E477="","$",VLOOKUP(E477,'結果(小)'!$B$2:$F$1295,5,FALSE))</f>
        <v>$</v>
      </c>
      <c r="G477" s="2" t="s">
        <v>2175</v>
      </c>
      <c r="H477" s="6">
        <v>60</v>
      </c>
      <c r="I477" s="2" t="s">
        <v>19</v>
      </c>
      <c r="J477" s="2" t="s">
        <v>6067</v>
      </c>
      <c r="K477" s="22" t="s">
        <v>2177</v>
      </c>
      <c r="L477" s="2"/>
      <c r="M477" s="2"/>
      <c r="N477" s="8" t="s">
        <v>16118</v>
      </c>
      <c r="O477" s="2"/>
      <c r="P477" s="2" t="s">
        <v>25</v>
      </c>
      <c r="Q477" s="24">
        <v>3</v>
      </c>
      <c r="R477" s="25">
        <v>3</v>
      </c>
      <c r="S477" s="22"/>
      <c r="T477" s="1764"/>
      <c r="U477" s="1749"/>
      <c r="V477" s="1752"/>
    </row>
    <row r="478" spans="1:22" ht="12" customHeight="1">
      <c r="A478" s="1040" t="str">
        <f t="shared" si="8"/>
        <v>3404</v>
      </c>
      <c r="B478" s="1055" t="s">
        <v>5906</v>
      </c>
      <c r="C478" s="1064"/>
      <c r="D478" s="2">
        <v>3</v>
      </c>
      <c r="E478" s="2"/>
      <c r="F478" s="1065" t="str">
        <f>IF(E478="","$",VLOOKUP(E478,'結果(小)'!$B$2:$F$1295,5,FALSE))</f>
        <v>$</v>
      </c>
      <c r="G478" s="2" t="s">
        <v>5908</v>
      </c>
      <c r="H478" s="6">
        <v>41</v>
      </c>
      <c r="I478" s="2" t="s">
        <v>5</v>
      </c>
      <c r="J478" s="2" t="s">
        <v>6067</v>
      </c>
      <c r="K478" s="22"/>
      <c r="L478" s="2"/>
      <c r="M478" s="2"/>
      <c r="N478" s="23" t="s">
        <v>16118</v>
      </c>
      <c r="O478" s="2"/>
      <c r="P478" s="2" t="s">
        <v>6</v>
      </c>
      <c r="Q478" s="24"/>
      <c r="R478" s="25"/>
      <c r="S478" s="22"/>
      <c r="T478" s="1764"/>
      <c r="U478" s="1749"/>
      <c r="V478" s="1752"/>
    </row>
    <row r="479" spans="1:22" ht="12" customHeight="1" thickBot="1">
      <c r="A479" s="916" t="str">
        <f t="shared" si="8"/>
        <v>3404</v>
      </c>
      <c r="B479" s="1082" t="s">
        <v>5907</v>
      </c>
      <c r="C479" s="1075"/>
      <c r="D479" s="702">
        <v>4</v>
      </c>
      <c r="E479" s="702"/>
      <c r="F479" s="1071" t="str">
        <f>IF(E479="","$",VLOOKUP(E479,'結果(小)'!$B$2:$F$1295,5,FALSE))</f>
        <v>$</v>
      </c>
      <c r="G479" s="702" t="s">
        <v>5909</v>
      </c>
      <c r="H479" s="701">
        <v>38</v>
      </c>
      <c r="I479" s="702" t="s">
        <v>5</v>
      </c>
      <c r="J479" s="702" t="s">
        <v>6067</v>
      </c>
      <c r="K479" s="720"/>
      <c r="L479" s="702"/>
      <c r="M479" s="702"/>
      <c r="N479" s="704" t="s">
        <v>16118</v>
      </c>
      <c r="O479" s="702"/>
      <c r="P479" s="702" t="s">
        <v>6</v>
      </c>
      <c r="Q479" s="721"/>
      <c r="R479" s="722"/>
      <c r="S479" s="720"/>
      <c r="T479" s="1765"/>
      <c r="U479" s="1750"/>
      <c r="V479" s="1753"/>
    </row>
    <row r="480" spans="1:22" ht="12" customHeight="1">
      <c r="A480" s="1038" t="str">
        <f t="shared" si="8"/>
        <v>3405</v>
      </c>
      <c r="B480" s="1083" t="s">
        <v>5669</v>
      </c>
      <c r="C480" s="1073"/>
      <c r="D480" s="696">
        <v>1</v>
      </c>
      <c r="E480" s="696"/>
      <c r="F480" s="1068" t="str">
        <f>IF(E480="","$",VLOOKUP(E480,'結果(小)'!$B$2:$F$1295,5,FALSE))</f>
        <v>$</v>
      </c>
      <c r="G480" s="696" t="s">
        <v>2498</v>
      </c>
      <c r="H480" s="690">
        <v>80</v>
      </c>
      <c r="I480" s="696" t="s">
        <v>5</v>
      </c>
      <c r="J480" s="696" t="s">
        <v>6067</v>
      </c>
      <c r="K480" s="715"/>
      <c r="L480" s="696"/>
      <c r="M480" s="696"/>
      <c r="N480" s="716" t="s">
        <v>16130</v>
      </c>
      <c r="O480" s="696" t="s">
        <v>4993</v>
      </c>
      <c r="P480" s="696" t="s">
        <v>14</v>
      </c>
      <c r="Q480" s="717">
        <v>8</v>
      </c>
      <c r="R480" s="718">
        <v>13</v>
      </c>
      <c r="S480" s="715"/>
      <c r="T480" s="1766"/>
      <c r="U480" s="1748"/>
      <c r="V480" s="1751" t="e">
        <f>U480/SUM(U404:U521)</f>
        <v>#DIV/0!</v>
      </c>
    </row>
    <row r="481" spans="1:22" ht="12" customHeight="1">
      <c r="A481" s="1040" t="str">
        <f t="shared" si="8"/>
        <v>3405</v>
      </c>
      <c r="B481" s="1056" t="s">
        <v>15656</v>
      </c>
      <c r="C481" s="1064"/>
      <c r="D481" s="2">
        <v>2</v>
      </c>
      <c r="E481" s="2"/>
      <c r="F481" s="1065" t="str">
        <f>IF(E481="","$",VLOOKUP(E481,'結果(小)'!$B$2:$F$1295,5,FALSE))</f>
        <v>$</v>
      </c>
      <c r="G481" s="6" t="s">
        <v>16364</v>
      </c>
      <c r="H481" s="6">
        <v>50</v>
      </c>
      <c r="I481" s="6" t="s">
        <v>5</v>
      </c>
      <c r="J481" s="2" t="s">
        <v>6067</v>
      </c>
      <c r="K481" s="19"/>
      <c r="L481" s="6"/>
      <c r="M481" s="19"/>
      <c r="N481" s="19" t="s">
        <v>16130</v>
      </c>
      <c r="O481" s="6" t="s">
        <v>4993</v>
      </c>
      <c r="P481" s="6" t="s">
        <v>6</v>
      </c>
      <c r="Q481" s="13"/>
      <c r="R481" s="14"/>
      <c r="S481" s="12"/>
      <c r="T481" s="1767"/>
      <c r="U481" s="1749"/>
      <c r="V481" s="1752"/>
    </row>
    <row r="482" spans="1:22" ht="12" customHeight="1">
      <c r="A482" s="1040" t="str">
        <f t="shared" si="8"/>
        <v>3405</v>
      </c>
      <c r="B482" s="1056" t="s">
        <v>16344</v>
      </c>
      <c r="C482" s="1064"/>
      <c r="D482" s="2">
        <v>3</v>
      </c>
      <c r="E482" s="4" t="s">
        <v>4980</v>
      </c>
      <c r="F482" s="1065" t="e">
        <f>IF(E482="","$",VLOOKUP(E482,'結果(小)'!$B$2:$F$1295,5,FALSE))</f>
        <v>#DIV/0!</v>
      </c>
      <c r="G482" s="1" t="s">
        <v>4981</v>
      </c>
      <c r="H482" s="6">
        <v>54</v>
      </c>
      <c r="I482" s="2" t="s">
        <v>5</v>
      </c>
      <c r="J482" s="1" t="s">
        <v>15273</v>
      </c>
      <c r="K482" s="3"/>
      <c r="L482" s="1"/>
      <c r="M482" s="1"/>
      <c r="N482" s="4" t="s">
        <v>16116</v>
      </c>
      <c r="O482" s="1" t="s">
        <v>4982</v>
      </c>
      <c r="P482" s="1" t="s">
        <v>14</v>
      </c>
      <c r="Q482" s="16">
        <v>1</v>
      </c>
      <c r="R482" s="17">
        <v>1</v>
      </c>
      <c r="S482" s="3" t="s">
        <v>18564</v>
      </c>
      <c r="T482" s="1767"/>
      <c r="U482" s="1749"/>
      <c r="V482" s="1752"/>
    </row>
    <row r="483" spans="1:22" ht="12" customHeight="1">
      <c r="A483" s="1040" t="str">
        <f t="shared" si="8"/>
        <v>3405</v>
      </c>
      <c r="B483" s="1056" t="s">
        <v>16345</v>
      </c>
      <c r="C483" s="1064"/>
      <c r="D483" s="2">
        <v>4</v>
      </c>
      <c r="E483" s="4" t="s">
        <v>1651</v>
      </c>
      <c r="F483" s="1065" t="e">
        <f>IF(E483="","$",VLOOKUP(E483,'結果(小)'!$B$2:$F$1295,5,FALSE))</f>
        <v>#DIV/0!</v>
      </c>
      <c r="G483" s="1" t="s">
        <v>5517</v>
      </c>
      <c r="H483" s="6">
        <v>38</v>
      </c>
      <c r="I483" s="2" t="s">
        <v>5</v>
      </c>
      <c r="J483" s="1" t="s">
        <v>15273</v>
      </c>
      <c r="K483" s="3"/>
      <c r="L483" s="1"/>
      <c r="M483" s="1"/>
      <c r="N483" s="4" t="s">
        <v>16116</v>
      </c>
      <c r="O483" s="1" t="s">
        <v>4997</v>
      </c>
      <c r="P483" s="1" t="s">
        <v>6</v>
      </c>
      <c r="Q483" s="16"/>
      <c r="R483" s="17"/>
      <c r="S483" s="3"/>
      <c r="T483" s="1767"/>
      <c r="U483" s="1749"/>
      <c r="V483" s="1752"/>
    </row>
    <row r="484" spans="1:22" ht="12" customHeight="1">
      <c r="A484" s="1040" t="str">
        <f t="shared" si="8"/>
        <v>3405</v>
      </c>
      <c r="B484" s="1056" t="s">
        <v>16346</v>
      </c>
      <c r="C484" s="1064"/>
      <c r="D484" s="2">
        <v>4</v>
      </c>
      <c r="E484" s="4" t="s">
        <v>1674</v>
      </c>
      <c r="F484" s="1065" t="e">
        <f>IF(E484="","$",VLOOKUP(E484,'結果(小)'!$B$2:$F$1295,5,FALSE))</f>
        <v>#DIV/0!</v>
      </c>
      <c r="G484" s="1" t="s">
        <v>5768</v>
      </c>
      <c r="H484" s="6">
        <v>47</v>
      </c>
      <c r="I484" s="2" t="s">
        <v>5</v>
      </c>
      <c r="J484" s="1" t="s">
        <v>15273</v>
      </c>
      <c r="K484" s="3"/>
      <c r="L484" s="1"/>
      <c r="M484" s="1"/>
      <c r="N484" s="4" t="s">
        <v>16116</v>
      </c>
      <c r="O484" s="1" t="s">
        <v>276</v>
      </c>
      <c r="P484" s="1" t="s">
        <v>14</v>
      </c>
      <c r="Q484" s="16">
        <v>1</v>
      </c>
      <c r="R484" s="17">
        <v>1</v>
      </c>
      <c r="S484" s="3"/>
      <c r="T484" s="1767"/>
      <c r="U484" s="1749"/>
      <c r="V484" s="1752"/>
    </row>
    <row r="485" spans="1:22" ht="12" customHeight="1">
      <c r="A485" s="1040" t="str">
        <f t="shared" si="8"/>
        <v>3405</v>
      </c>
      <c r="B485" s="1056" t="s">
        <v>16347</v>
      </c>
      <c r="C485" s="1064"/>
      <c r="D485" s="2">
        <v>4</v>
      </c>
      <c r="E485" s="4" t="s">
        <v>1702</v>
      </c>
      <c r="F485" s="1065" t="e">
        <f>IF(E485="","$",VLOOKUP(E485,'結果(小)'!$B$2:$F$1295,5,FALSE))</f>
        <v>#DIV/0!</v>
      </c>
      <c r="G485" s="1" t="s">
        <v>5379</v>
      </c>
      <c r="H485" s="6">
        <v>56</v>
      </c>
      <c r="I485" s="2" t="s">
        <v>5</v>
      </c>
      <c r="J485" s="1" t="s">
        <v>15273</v>
      </c>
      <c r="K485" s="3"/>
      <c r="L485" s="1"/>
      <c r="M485" s="1"/>
      <c r="N485" s="4" t="s">
        <v>16116</v>
      </c>
      <c r="O485" s="1" t="s">
        <v>4993</v>
      </c>
      <c r="P485" s="1" t="s">
        <v>6</v>
      </c>
      <c r="Q485" s="16"/>
      <c r="R485" s="17"/>
      <c r="S485" s="3"/>
      <c r="T485" s="1767"/>
      <c r="U485" s="1749"/>
      <c r="V485" s="1752"/>
    </row>
    <row r="486" spans="1:22" ht="12" customHeight="1">
      <c r="A486" s="1040" t="str">
        <f t="shared" si="8"/>
        <v>3405</v>
      </c>
      <c r="B486" s="1056" t="s">
        <v>16348</v>
      </c>
      <c r="C486" s="1064"/>
      <c r="D486" s="2">
        <v>4</v>
      </c>
      <c r="E486" s="4" t="s">
        <v>1720</v>
      </c>
      <c r="F486" s="1065" t="e">
        <f>IF(E486="","$",VLOOKUP(E486,'結果(小)'!$B$2:$F$1295,5,FALSE))</f>
        <v>#DIV/0!</v>
      </c>
      <c r="G486" s="1" t="s">
        <v>5383</v>
      </c>
      <c r="H486" s="6">
        <v>34</v>
      </c>
      <c r="I486" s="2" t="s">
        <v>5</v>
      </c>
      <c r="J486" s="1" t="s">
        <v>15273</v>
      </c>
      <c r="K486" s="3"/>
      <c r="L486" s="1"/>
      <c r="M486" s="1"/>
      <c r="N486" s="4" t="s">
        <v>16116</v>
      </c>
      <c r="O486" s="1" t="s">
        <v>4997</v>
      </c>
      <c r="P486" s="1" t="s">
        <v>6</v>
      </c>
      <c r="Q486" s="16"/>
      <c r="R486" s="17"/>
      <c r="S486" s="3"/>
      <c r="T486" s="1767"/>
      <c r="U486" s="1749"/>
      <c r="V486" s="1752"/>
    </row>
    <row r="487" spans="1:22" ht="12" customHeight="1">
      <c r="A487" s="1040" t="str">
        <f t="shared" si="8"/>
        <v>3405</v>
      </c>
      <c r="B487" s="1056" t="s">
        <v>16349</v>
      </c>
      <c r="C487" s="1064"/>
      <c r="D487" s="2">
        <v>4</v>
      </c>
      <c r="E487" s="4" t="s">
        <v>1738</v>
      </c>
      <c r="F487" s="1065" t="e">
        <f>IF(E487="","$",VLOOKUP(E487,'結果(小)'!$B$2:$F$1295,5,FALSE))</f>
        <v>#DIV/0!</v>
      </c>
      <c r="G487" s="1" t="s">
        <v>5385</v>
      </c>
      <c r="H487" s="6">
        <v>46</v>
      </c>
      <c r="I487" s="2" t="s">
        <v>5</v>
      </c>
      <c r="J487" s="1" t="s">
        <v>15273</v>
      </c>
      <c r="K487" s="3"/>
      <c r="L487" s="1"/>
      <c r="M487" s="1"/>
      <c r="N487" s="4" t="s">
        <v>16116</v>
      </c>
      <c r="O487" s="1" t="s">
        <v>4422</v>
      </c>
      <c r="P487" s="1" t="s">
        <v>6</v>
      </c>
      <c r="Q487" s="16"/>
      <c r="R487" s="17"/>
      <c r="S487" s="3"/>
      <c r="T487" s="1767"/>
      <c r="U487" s="1749"/>
      <c r="V487" s="1752"/>
    </row>
    <row r="488" spans="1:22" ht="12" customHeight="1">
      <c r="A488" s="1040" t="str">
        <f t="shared" si="8"/>
        <v>3405</v>
      </c>
      <c r="B488" s="1056" t="s">
        <v>16350</v>
      </c>
      <c r="C488" s="1064"/>
      <c r="D488" s="2">
        <v>4</v>
      </c>
      <c r="E488" s="4" t="s">
        <v>5093</v>
      </c>
      <c r="F488" s="1065" t="e">
        <f>IF(E488="","$",VLOOKUP(E488,'結果(小)'!$B$2:$F$1295,5,FALSE))</f>
        <v>#DIV/0!</v>
      </c>
      <c r="G488" s="1" t="s">
        <v>5094</v>
      </c>
      <c r="H488" s="6">
        <v>45</v>
      </c>
      <c r="I488" s="2" t="s">
        <v>5</v>
      </c>
      <c r="J488" s="1" t="s">
        <v>15273</v>
      </c>
      <c r="K488" s="3"/>
      <c r="L488" s="1"/>
      <c r="M488" s="1"/>
      <c r="N488" s="4" t="s">
        <v>16116</v>
      </c>
      <c r="O488" s="1" t="s">
        <v>4422</v>
      </c>
      <c r="P488" s="1" t="s">
        <v>6</v>
      </c>
      <c r="Q488" s="16"/>
      <c r="R488" s="17"/>
      <c r="S488" s="3"/>
      <c r="T488" s="1767"/>
      <c r="U488" s="1749"/>
      <c r="V488" s="1752"/>
    </row>
    <row r="489" spans="1:22" ht="12" customHeight="1">
      <c r="A489" s="1040" t="str">
        <f t="shared" si="8"/>
        <v>3405</v>
      </c>
      <c r="B489" s="1056" t="s">
        <v>16351</v>
      </c>
      <c r="C489" s="1064"/>
      <c r="D489" s="2">
        <v>4</v>
      </c>
      <c r="E489" s="4" t="s">
        <v>1816</v>
      </c>
      <c r="F489" s="1065" t="e">
        <f>IF(E489="","$",VLOOKUP(E489,'結果(小)'!$B$2:$F$1295,5,FALSE))</f>
        <v>#DIV/0!</v>
      </c>
      <c r="G489" s="1" t="s">
        <v>5979</v>
      </c>
      <c r="H489" s="6">
        <v>47</v>
      </c>
      <c r="I489" s="2" t="s">
        <v>5</v>
      </c>
      <c r="J489" s="1" t="s">
        <v>15273</v>
      </c>
      <c r="K489" s="3"/>
      <c r="L489" s="1"/>
      <c r="M489" s="1"/>
      <c r="N489" s="4" t="s">
        <v>16116</v>
      </c>
      <c r="O489" s="1" t="s">
        <v>4997</v>
      </c>
      <c r="P489" s="1" t="s">
        <v>6</v>
      </c>
      <c r="Q489" s="16"/>
      <c r="R489" s="17"/>
      <c r="S489" s="3" t="s">
        <v>469</v>
      </c>
      <c r="T489" s="1767"/>
      <c r="U489" s="1749"/>
      <c r="V489" s="1752"/>
    </row>
    <row r="490" spans="1:22" ht="12" customHeight="1">
      <c r="A490" s="1040" t="str">
        <f t="shared" si="8"/>
        <v>3405</v>
      </c>
      <c r="B490" s="1056" t="s">
        <v>16352</v>
      </c>
      <c r="C490" s="1064"/>
      <c r="D490" s="2">
        <v>4</v>
      </c>
      <c r="E490" s="4" t="s">
        <v>1850</v>
      </c>
      <c r="F490" s="1065" t="e">
        <f>IF(E490="","$",VLOOKUP(E490,'結果(小)'!$B$2:$F$1295,5,FALSE))</f>
        <v>#DIV/0!</v>
      </c>
      <c r="G490" s="1" t="s">
        <v>5387</v>
      </c>
      <c r="H490" s="6">
        <v>57</v>
      </c>
      <c r="I490" s="2" t="s">
        <v>5</v>
      </c>
      <c r="J490" s="1" t="s">
        <v>15273</v>
      </c>
      <c r="K490" s="3"/>
      <c r="L490" s="1"/>
      <c r="M490" s="1"/>
      <c r="N490" s="4" t="s">
        <v>16116</v>
      </c>
      <c r="O490" s="1" t="s">
        <v>4422</v>
      </c>
      <c r="P490" s="1" t="s">
        <v>25</v>
      </c>
      <c r="Q490" s="16">
        <v>1</v>
      </c>
      <c r="R490" s="17">
        <v>1</v>
      </c>
      <c r="S490" s="3"/>
      <c r="T490" s="1767"/>
      <c r="U490" s="1749"/>
      <c r="V490" s="1752"/>
    </row>
    <row r="491" spans="1:22" ht="12" customHeight="1">
      <c r="A491" s="1040" t="str">
        <f t="shared" si="8"/>
        <v>3405</v>
      </c>
      <c r="B491" s="1056" t="s">
        <v>16353</v>
      </c>
      <c r="C491" s="1064"/>
      <c r="D491" s="2">
        <v>4</v>
      </c>
      <c r="E491" s="4" t="s">
        <v>1862</v>
      </c>
      <c r="F491" s="1065" t="e">
        <f>IF(E491="","$",VLOOKUP(E491,'結果(小)'!$B$2:$F$1295,5,FALSE))</f>
        <v>#DIV/0!</v>
      </c>
      <c r="G491" s="1" t="s">
        <v>5941</v>
      </c>
      <c r="H491" s="6">
        <v>50</v>
      </c>
      <c r="I491" s="2" t="s">
        <v>5</v>
      </c>
      <c r="J491" s="1" t="s">
        <v>15273</v>
      </c>
      <c r="K491" s="3"/>
      <c r="L491" s="1"/>
      <c r="M491" s="1"/>
      <c r="N491" s="4" t="s">
        <v>16116</v>
      </c>
      <c r="O491" s="1" t="s">
        <v>4997</v>
      </c>
      <c r="P491" s="1" t="s">
        <v>6</v>
      </c>
      <c r="Q491" s="16"/>
      <c r="R491" s="17"/>
      <c r="S491" s="3" t="s">
        <v>469</v>
      </c>
      <c r="T491" s="1767"/>
      <c r="U491" s="1749"/>
      <c r="V491" s="1752"/>
    </row>
    <row r="492" spans="1:22" ht="12" customHeight="1">
      <c r="A492" s="1040" t="str">
        <f t="shared" si="8"/>
        <v>3405</v>
      </c>
      <c r="B492" s="1056" t="s">
        <v>16354</v>
      </c>
      <c r="C492" s="1064"/>
      <c r="D492" s="2">
        <v>4</v>
      </c>
      <c r="E492" s="4" t="s">
        <v>1897</v>
      </c>
      <c r="F492" s="1065" t="e">
        <f>IF(E492="","$",VLOOKUP(E492,'結果(小)'!$B$2:$F$1295,5,FALSE))</f>
        <v>#DIV/0!</v>
      </c>
      <c r="G492" s="1" t="s">
        <v>1909</v>
      </c>
      <c r="H492" s="6">
        <v>63</v>
      </c>
      <c r="I492" s="2" t="s">
        <v>5</v>
      </c>
      <c r="J492" s="1" t="s">
        <v>15273</v>
      </c>
      <c r="K492" s="3" t="s">
        <v>1910</v>
      </c>
      <c r="L492" s="1"/>
      <c r="M492" s="1"/>
      <c r="N492" s="4" t="s">
        <v>16116</v>
      </c>
      <c r="O492" s="1" t="s">
        <v>4993</v>
      </c>
      <c r="P492" s="1" t="s">
        <v>25</v>
      </c>
      <c r="Q492" s="16">
        <v>3</v>
      </c>
      <c r="R492" s="17">
        <v>3</v>
      </c>
      <c r="S492" s="3"/>
      <c r="T492" s="1767"/>
      <c r="U492" s="1749"/>
      <c r="V492" s="1752"/>
    </row>
    <row r="493" spans="1:22" ht="12" customHeight="1">
      <c r="A493" s="1040" t="str">
        <f t="shared" si="8"/>
        <v>3405</v>
      </c>
      <c r="B493" s="1056" t="s">
        <v>16355</v>
      </c>
      <c r="C493" s="1064"/>
      <c r="D493" s="2">
        <v>4</v>
      </c>
      <c r="E493" s="4" t="s">
        <v>1915</v>
      </c>
      <c r="F493" s="1065" t="e">
        <f>IF(E493="","$",VLOOKUP(E493,'結果(小)'!$B$2:$F$1295,5,FALSE))</f>
        <v>#DIV/0!</v>
      </c>
      <c r="G493" s="1" t="s">
        <v>5010</v>
      </c>
      <c r="H493" s="6">
        <v>39</v>
      </c>
      <c r="I493" s="2" t="s">
        <v>5</v>
      </c>
      <c r="J493" s="1" t="s">
        <v>15273</v>
      </c>
      <c r="K493" s="3"/>
      <c r="L493" s="1"/>
      <c r="M493" s="1"/>
      <c r="N493" s="4" t="s">
        <v>16116</v>
      </c>
      <c r="O493" s="1" t="s">
        <v>4422</v>
      </c>
      <c r="P493" s="1" t="s">
        <v>6</v>
      </c>
      <c r="Q493" s="16"/>
      <c r="R493" s="17"/>
      <c r="S493" s="3" t="s">
        <v>469</v>
      </c>
      <c r="T493" s="1767"/>
      <c r="U493" s="1749"/>
      <c r="V493" s="1752"/>
    </row>
    <row r="494" spans="1:22" ht="12" customHeight="1">
      <c r="A494" s="1040" t="str">
        <f t="shared" si="8"/>
        <v>3405</v>
      </c>
      <c r="B494" s="1056" t="s">
        <v>16356</v>
      </c>
      <c r="C494" s="1064"/>
      <c r="D494" s="2">
        <v>4</v>
      </c>
      <c r="E494" s="4" t="s">
        <v>1933</v>
      </c>
      <c r="F494" s="1065" t="e">
        <f>IF(E494="","$",VLOOKUP(E494,'結果(小)'!$B$2:$F$1295,5,FALSE))</f>
        <v>#DIV/0!</v>
      </c>
      <c r="G494" s="1" t="s">
        <v>5391</v>
      </c>
      <c r="H494" s="6">
        <v>45</v>
      </c>
      <c r="I494" s="2" t="s">
        <v>5</v>
      </c>
      <c r="J494" s="1" t="s">
        <v>15273</v>
      </c>
      <c r="K494" s="3"/>
      <c r="L494" s="1"/>
      <c r="M494" s="1"/>
      <c r="N494" s="4" t="s">
        <v>16116</v>
      </c>
      <c r="O494" s="1" t="s">
        <v>4993</v>
      </c>
      <c r="P494" s="1" t="s">
        <v>6</v>
      </c>
      <c r="Q494" s="16"/>
      <c r="R494" s="17"/>
      <c r="S494" s="3"/>
      <c r="T494" s="1767"/>
      <c r="U494" s="1749"/>
      <c r="V494" s="1752"/>
    </row>
    <row r="495" spans="1:22" ht="12" customHeight="1">
      <c r="A495" s="1040" t="str">
        <f t="shared" si="8"/>
        <v>3405</v>
      </c>
      <c r="B495" s="1056" t="s">
        <v>16357</v>
      </c>
      <c r="C495" s="1064"/>
      <c r="D495" s="2">
        <v>4</v>
      </c>
      <c r="E495" s="4" t="s">
        <v>1967</v>
      </c>
      <c r="F495" s="1065" t="e">
        <f>IF(E495="","$",VLOOKUP(E495,'結果(小)'!$B$2:$F$1295,5,FALSE))</f>
        <v>#DIV/0!</v>
      </c>
      <c r="G495" s="1" t="s">
        <v>5393</v>
      </c>
      <c r="H495" s="6">
        <v>39</v>
      </c>
      <c r="I495" s="2" t="s">
        <v>5</v>
      </c>
      <c r="J495" s="1" t="s">
        <v>15273</v>
      </c>
      <c r="K495" s="3"/>
      <c r="L495" s="1"/>
      <c r="M495" s="1"/>
      <c r="N495" s="4" t="s">
        <v>16116</v>
      </c>
      <c r="O495" s="1" t="s">
        <v>276</v>
      </c>
      <c r="P495" s="1" t="s">
        <v>6</v>
      </c>
      <c r="Q495" s="16"/>
      <c r="R495" s="17"/>
      <c r="S495" s="3"/>
      <c r="T495" s="1767"/>
      <c r="U495" s="1749"/>
      <c r="V495" s="1752"/>
    </row>
    <row r="496" spans="1:22" ht="12" customHeight="1">
      <c r="A496" s="1040" t="str">
        <f t="shared" si="8"/>
        <v>3405</v>
      </c>
      <c r="B496" s="1056" t="s">
        <v>16358</v>
      </c>
      <c r="C496" s="1064"/>
      <c r="D496" s="2">
        <v>4</v>
      </c>
      <c r="E496" s="4" t="s">
        <v>5395</v>
      </c>
      <c r="F496" s="1065" t="e">
        <f>IF(E496="","$",VLOOKUP(E496,'結果(小)'!$B$2:$F$1295,5,FALSE))</f>
        <v>#DIV/0!</v>
      </c>
      <c r="G496" s="1" t="s">
        <v>5396</v>
      </c>
      <c r="H496" s="6">
        <v>30</v>
      </c>
      <c r="I496" s="2" t="s">
        <v>19</v>
      </c>
      <c r="J496" s="1" t="s">
        <v>15273</v>
      </c>
      <c r="K496" s="3"/>
      <c r="L496" s="1"/>
      <c r="M496" s="1"/>
      <c r="N496" s="4" t="s">
        <v>16116</v>
      </c>
      <c r="O496" s="1" t="s">
        <v>4997</v>
      </c>
      <c r="P496" s="1" t="s">
        <v>6</v>
      </c>
      <c r="Q496" s="16"/>
      <c r="R496" s="17"/>
      <c r="S496" s="3"/>
      <c r="T496" s="1767"/>
      <c r="U496" s="1749"/>
      <c r="V496" s="1752"/>
    </row>
    <row r="497" spans="1:22" ht="12" customHeight="1">
      <c r="A497" s="1040" t="str">
        <f t="shared" si="8"/>
        <v>3405</v>
      </c>
      <c r="B497" s="1056" t="s">
        <v>16359</v>
      </c>
      <c r="C497" s="1064"/>
      <c r="D497" s="2">
        <v>4</v>
      </c>
      <c r="E497" s="4" t="s">
        <v>1991</v>
      </c>
      <c r="F497" s="1065" t="e">
        <f>IF(E497="","$",VLOOKUP(E497,'結果(小)'!$B$2:$F$1295,5,FALSE))</f>
        <v>#DIV/0!</v>
      </c>
      <c r="G497" s="1" t="s">
        <v>5400</v>
      </c>
      <c r="H497" s="6">
        <v>39</v>
      </c>
      <c r="I497" s="2" t="s">
        <v>5</v>
      </c>
      <c r="J497" s="1" t="s">
        <v>15273</v>
      </c>
      <c r="K497" s="3"/>
      <c r="L497" s="1"/>
      <c r="M497" s="1"/>
      <c r="N497" s="4" t="s">
        <v>16116</v>
      </c>
      <c r="O497" s="1" t="s">
        <v>4993</v>
      </c>
      <c r="P497" s="1" t="s">
        <v>6</v>
      </c>
      <c r="Q497" s="16"/>
      <c r="R497" s="17"/>
      <c r="S497" s="3"/>
      <c r="T497" s="1767"/>
      <c r="U497" s="1749"/>
      <c r="V497" s="1752"/>
    </row>
    <row r="498" spans="1:22" ht="12" customHeight="1">
      <c r="A498" s="1040" t="str">
        <f t="shared" si="8"/>
        <v>3405</v>
      </c>
      <c r="B498" s="1056" t="s">
        <v>16360</v>
      </c>
      <c r="C498" s="1064"/>
      <c r="D498" s="2">
        <v>4</v>
      </c>
      <c r="E498" s="4" t="s">
        <v>2015</v>
      </c>
      <c r="F498" s="1065" t="e">
        <f>IF(E498="","$",VLOOKUP(E498,'結果(小)'!$B$2:$F$1295,5,FALSE))</f>
        <v>#DIV/0!</v>
      </c>
      <c r="G498" s="1" t="s">
        <v>5012</v>
      </c>
      <c r="H498" s="6">
        <v>33</v>
      </c>
      <c r="I498" s="2" t="s">
        <v>5</v>
      </c>
      <c r="J498" s="1" t="s">
        <v>15273</v>
      </c>
      <c r="K498" s="3"/>
      <c r="L498" s="1"/>
      <c r="M498" s="1"/>
      <c r="N498" s="4" t="s">
        <v>16116</v>
      </c>
      <c r="O498" s="1" t="s">
        <v>4997</v>
      </c>
      <c r="P498" s="1" t="s">
        <v>6</v>
      </c>
      <c r="Q498" s="16"/>
      <c r="R498" s="17"/>
      <c r="S498" s="3"/>
      <c r="T498" s="1767"/>
      <c r="U498" s="1749"/>
      <c r="V498" s="1752"/>
    </row>
    <row r="499" spans="1:22" ht="12" customHeight="1">
      <c r="A499" s="1040" t="str">
        <f t="shared" si="8"/>
        <v>3405</v>
      </c>
      <c r="B499" s="1056" t="s">
        <v>16361</v>
      </c>
      <c r="C499" s="1064"/>
      <c r="D499" s="2">
        <v>4</v>
      </c>
      <c r="E499" s="4" t="s">
        <v>2032</v>
      </c>
      <c r="F499" s="1065" t="e">
        <f>IF(E499="","$",VLOOKUP(E499,'結果(小)'!$B$2:$F$1295,5,FALSE))</f>
        <v>#DIV/0!</v>
      </c>
      <c r="G499" s="1" t="s">
        <v>5775</v>
      </c>
      <c r="H499" s="6">
        <v>37</v>
      </c>
      <c r="I499" s="2" t="s">
        <v>5</v>
      </c>
      <c r="J499" s="1" t="s">
        <v>15273</v>
      </c>
      <c r="K499" s="3"/>
      <c r="L499" s="1"/>
      <c r="M499" s="1"/>
      <c r="N499" s="4" t="s">
        <v>16116</v>
      </c>
      <c r="O499" s="1" t="s">
        <v>4993</v>
      </c>
      <c r="P499" s="1" t="s">
        <v>6</v>
      </c>
      <c r="Q499" s="16"/>
      <c r="R499" s="17"/>
      <c r="S499" s="3"/>
      <c r="T499" s="1767"/>
      <c r="U499" s="1749"/>
      <c r="V499" s="1752"/>
    </row>
    <row r="500" spans="1:22" ht="12" customHeight="1">
      <c r="A500" s="1040" t="str">
        <f t="shared" si="8"/>
        <v>3405</v>
      </c>
      <c r="B500" s="1056" t="s">
        <v>16362</v>
      </c>
      <c r="C500" s="1064"/>
      <c r="D500" s="2">
        <v>4</v>
      </c>
      <c r="E500" s="4" t="s">
        <v>5777</v>
      </c>
      <c r="F500" s="1065" t="e">
        <f>IF(E500="","$",VLOOKUP(E500,'結果(小)'!$B$2:$F$1295,5,FALSE))</f>
        <v>#DIV/0!</v>
      </c>
      <c r="G500" s="1" t="s">
        <v>5778</v>
      </c>
      <c r="H500" s="6">
        <v>34</v>
      </c>
      <c r="I500" s="2" t="s">
        <v>5</v>
      </c>
      <c r="J500" s="1" t="s">
        <v>15273</v>
      </c>
      <c r="K500" s="3"/>
      <c r="L500" s="1"/>
      <c r="M500" s="1"/>
      <c r="N500" s="4" t="s">
        <v>16116</v>
      </c>
      <c r="O500" s="1" t="s">
        <v>4997</v>
      </c>
      <c r="P500" s="1" t="s">
        <v>6</v>
      </c>
      <c r="Q500" s="16"/>
      <c r="R500" s="17"/>
      <c r="S500" s="3"/>
      <c r="T500" s="1767"/>
      <c r="U500" s="1749"/>
      <c r="V500" s="1752"/>
    </row>
    <row r="501" spans="1:22" ht="12" customHeight="1" thickBot="1">
      <c r="A501" s="916" t="str">
        <f t="shared" si="8"/>
        <v>3405</v>
      </c>
      <c r="B501" s="1084" t="s">
        <v>15657</v>
      </c>
      <c r="C501" s="1075"/>
      <c r="D501" s="702">
        <v>22</v>
      </c>
      <c r="E501" s="702"/>
      <c r="F501" s="1071" t="str">
        <f>IF(E501="","$",VLOOKUP(E501,'結果(小)'!$B$2:$F$1295,5,FALSE))</f>
        <v>$</v>
      </c>
      <c r="G501" s="701" t="s">
        <v>6009</v>
      </c>
      <c r="H501" s="701">
        <v>48</v>
      </c>
      <c r="I501" s="701" t="s">
        <v>5</v>
      </c>
      <c r="J501" s="702" t="s">
        <v>6067</v>
      </c>
      <c r="K501" s="741"/>
      <c r="L501" s="701"/>
      <c r="M501" s="741"/>
      <c r="N501" s="741" t="s">
        <v>16130</v>
      </c>
      <c r="O501" s="701" t="s">
        <v>4997</v>
      </c>
      <c r="P501" s="701" t="s">
        <v>6</v>
      </c>
      <c r="Q501" s="742"/>
      <c r="R501" s="743"/>
      <c r="S501" s="740"/>
      <c r="T501" s="1768"/>
      <c r="U501" s="1750"/>
      <c r="V501" s="1753"/>
    </row>
    <row r="502" spans="1:22" ht="12" customHeight="1">
      <c r="A502" s="1038" t="str">
        <f t="shared" si="8"/>
        <v>3406</v>
      </c>
      <c r="B502" s="1085" t="s">
        <v>16369</v>
      </c>
      <c r="C502" s="1073"/>
      <c r="D502" s="696">
        <v>1</v>
      </c>
      <c r="E502" s="688" t="s">
        <v>1652</v>
      </c>
      <c r="F502" s="1068" t="e">
        <f>IF(E502="","$",VLOOKUP(E502,'結果(小)'!$B$2:$F$1295,5,FALSE))</f>
        <v>#DIV/0!</v>
      </c>
      <c r="G502" s="687" t="s">
        <v>1664</v>
      </c>
      <c r="H502" s="690">
        <v>42</v>
      </c>
      <c r="I502" s="696" t="s">
        <v>5</v>
      </c>
      <c r="J502" s="687" t="s">
        <v>15273</v>
      </c>
      <c r="K502" s="747"/>
      <c r="L502" s="687"/>
      <c r="M502" s="687"/>
      <c r="N502" s="688" t="s">
        <v>16128</v>
      </c>
      <c r="O502" s="687"/>
      <c r="P502" s="687" t="s">
        <v>6</v>
      </c>
      <c r="Q502" s="748"/>
      <c r="R502" s="749"/>
      <c r="S502" s="747"/>
      <c r="T502" s="1757"/>
      <c r="U502" s="1748"/>
      <c r="V502" s="1751" t="e">
        <f>U502/SUM(U404:U521)</f>
        <v>#DIV/0!</v>
      </c>
    </row>
    <row r="503" spans="1:22" ht="12" customHeight="1">
      <c r="A503" s="1040" t="str">
        <f t="shared" si="8"/>
        <v>3406</v>
      </c>
      <c r="B503" s="1057" t="s">
        <v>16370</v>
      </c>
      <c r="C503" s="1064"/>
      <c r="D503" s="2">
        <v>1</v>
      </c>
      <c r="E503" s="4" t="s">
        <v>1675</v>
      </c>
      <c r="F503" s="1065" t="e">
        <f>IF(E503="","$",VLOOKUP(E503,'結果(小)'!$B$2:$F$1295,5,FALSE))</f>
        <v>#DIV/0!</v>
      </c>
      <c r="G503" s="1" t="s">
        <v>1684</v>
      </c>
      <c r="H503" s="6">
        <v>49</v>
      </c>
      <c r="I503" s="2" t="s">
        <v>5</v>
      </c>
      <c r="J503" s="1" t="s">
        <v>15273</v>
      </c>
      <c r="K503" s="3"/>
      <c r="L503" s="1"/>
      <c r="M503" s="1"/>
      <c r="N503" s="8" t="s">
        <v>16128</v>
      </c>
      <c r="O503" s="1"/>
      <c r="P503" s="1" t="s">
        <v>6</v>
      </c>
      <c r="Q503" s="16"/>
      <c r="R503" s="17"/>
      <c r="S503" s="3"/>
      <c r="T503" s="1758"/>
      <c r="U503" s="1749"/>
      <c r="V503" s="1752"/>
    </row>
    <row r="504" spans="1:22" ht="12" customHeight="1">
      <c r="A504" s="1040" t="str">
        <f t="shared" si="8"/>
        <v>3406</v>
      </c>
      <c r="B504" s="1057" t="s">
        <v>16371</v>
      </c>
      <c r="C504" s="1064"/>
      <c r="D504" s="2">
        <v>1</v>
      </c>
      <c r="E504" s="4" t="s">
        <v>1703</v>
      </c>
      <c r="F504" s="1065" t="e">
        <f>IF(E504="","$",VLOOKUP(E504,'結果(小)'!$B$2:$F$1295,5,FALSE))</f>
        <v>#DIV/0!</v>
      </c>
      <c r="G504" s="1" t="s">
        <v>1713</v>
      </c>
      <c r="H504" s="6">
        <v>55</v>
      </c>
      <c r="I504" s="2" t="s">
        <v>5</v>
      </c>
      <c r="J504" s="1" t="s">
        <v>15273</v>
      </c>
      <c r="K504" s="3"/>
      <c r="L504" s="1"/>
      <c r="M504" s="1"/>
      <c r="N504" s="4" t="s">
        <v>16128</v>
      </c>
      <c r="O504" s="1"/>
      <c r="P504" s="1" t="s">
        <v>6</v>
      </c>
      <c r="Q504" s="16"/>
      <c r="R504" s="17"/>
      <c r="S504" s="3"/>
      <c r="T504" s="1758"/>
      <c r="U504" s="1749"/>
      <c r="V504" s="1752"/>
    </row>
    <row r="505" spans="1:22" ht="12" customHeight="1">
      <c r="A505" s="1040" t="str">
        <f t="shared" si="8"/>
        <v>3406</v>
      </c>
      <c r="B505" s="1057" t="s">
        <v>16372</v>
      </c>
      <c r="C505" s="1064"/>
      <c r="D505" s="2">
        <v>1</v>
      </c>
      <c r="E505" s="4" t="s">
        <v>1721</v>
      </c>
      <c r="F505" s="1065" t="e">
        <f>IF(E505="","$",VLOOKUP(E505,'結果(小)'!$B$2:$F$1295,5,FALSE))</f>
        <v>#DIV/0!</v>
      </c>
      <c r="G505" s="1" t="s">
        <v>1730</v>
      </c>
      <c r="H505" s="6">
        <v>36</v>
      </c>
      <c r="I505" s="2" t="s">
        <v>5</v>
      </c>
      <c r="J505" s="1" t="s">
        <v>15273</v>
      </c>
      <c r="K505" s="3"/>
      <c r="L505" s="1"/>
      <c r="M505" s="1"/>
      <c r="N505" s="4" t="s">
        <v>16128</v>
      </c>
      <c r="O505" s="1"/>
      <c r="P505" s="1" t="s">
        <v>6</v>
      </c>
      <c r="Q505" s="16"/>
      <c r="R505" s="17"/>
      <c r="S505" s="3"/>
      <c r="T505" s="1758"/>
      <c r="U505" s="1749"/>
      <c r="V505" s="1752"/>
    </row>
    <row r="506" spans="1:22" ht="12" customHeight="1">
      <c r="A506" s="1040" t="str">
        <f t="shared" si="8"/>
        <v>3406</v>
      </c>
      <c r="B506" s="1057" t="s">
        <v>16373</v>
      </c>
      <c r="C506" s="1064"/>
      <c r="D506" s="2">
        <v>1</v>
      </c>
      <c r="E506" s="4" t="s">
        <v>1739</v>
      </c>
      <c r="F506" s="1065" t="e">
        <f>IF(E506="","$",VLOOKUP(E506,'結果(小)'!$B$2:$F$1295,5,FALSE))</f>
        <v>#DIV/0!</v>
      </c>
      <c r="G506" s="1" t="s">
        <v>1753</v>
      </c>
      <c r="H506" s="6">
        <v>33</v>
      </c>
      <c r="I506" s="2" t="s">
        <v>5</v>
      </c>
      <c r="J506" s="1" t="s">
        <v>15273</v>
      </c>
      <c r="K506" s="3"/>
      <c r="L506" s="1"/>
      <c r="M506" s="1"/>
      <c r="N506" s="4" t="s">
        <v>16128</v>
      </c>
      <c r="O506" s="1"/>
      <c r="P506" s="1" t="s">
        <v>6</v>
      </c>
      <c r="Q506" s="16"/>
      <c r="R506" s="17"/>
      <c r="S506" s="3"/>
      <c r="T506" s="1758"/>
      <c r="U506" s="1749"/>
      <c r="V506" s="1752"/>
    </row>
    <row r="507" spans="1:22" ht="12" customHeight="1">
      <c r="A507" s="1040" t="str">
        <f t="shared" si="8"/>
        <v>3406</v>
      </c>
      <c r="B507" s="1057" t="s">
        <v>16374</v>
      </c>
      <c r="C507" s="1064"/>
      <c r="D507" s="2">
        <v>1</v>
      </c>
      <c r="E507" s="4" t="s">
        <v>1876</v>
      </c>
      <c r="F507" s="1065" t="e">
        <f>IF(E507="","$",VLOOKUP(E507,'結果(小)'!$B$2:$F$1295,5,FALSE))</f>
        <v>#DIV/0!</v>
      </c>
      <c r="G507" s="1" t="s">
        <v>1889</v>
      </c>
      <c r="H507" s="6">
        <v>41</v>
      </c>
      <c r="I507" s="2" t="s">
        <v>5</v>
      </c>
      <c r="J507" s="1" t="s">
        <v>15273</v>
      </c>
      <c r="K507" s="3" t="s">
        <v>1890</v>
      </c>
      <c r="L507" s="1"/>
      <c r="M507" s="1"/>
      <c r="N507" s="4" t="s">
        <v>16128</v>
      </c>
      <c r="O507" s="1"/>
      <c r="P507" s="1" t="s">
        <v>25</v>
      </c>
      <c r="Q507" s="16">
        <v>1</v>
      </c>
      <c r="R507" s="17">
        <v>1</v>
      </c>
      <c r="S507" s="3" t="s">
        <v>6031</v>
      </c>
      <c r="T507" s="1758"/>
      <c r="U507" s="1749"/>
      <c r="V507" s="1752"/>
    </row>
    <row r="508" spans="1:22" ht="12" customHeight="1">
      <c r="A508" s="1040" t="str">
        <f t="shared" si="8"/>
        <v>3406</v>
      </c>
      <c r="B508" s="1057" t="s">
        <v>16375</v>
      </c>
      <c r="C508" s="1064"/>
      <c r="D508" s="2">
        <v>1</v>
      </c>
      <c r="E508" s="4" t="s">
        <v>1898</v>
      </c>
      <c r="F508" s="1065" t="e">
        <f>IF(E508="","$",VLOOKUP(E508,'結果(小)'!$B$2:$F$1295,5,FALSE))</f>
        <v>#DIV/0!</v>
      </c>
      <c r="G508" s="1" t="s">
        <v>1906</v>
      </c>
      <c r="H508" s="6">
        <v>47</v>
      </c>
      <c r="I508" s="2" t="s">
        <v>19</v>
      </c>
      <c r="J508" s="1" t="s">
        <v>15273</v>
      </c>
      <c r="K508" s="3"/>
      <c r="L508" s="1"/>
      <c r="M508" s="1"/>
      <c r="N508" s="4" t="s">
        <v>16128</v>
      </c>
      <c r="O508" s="1"/>
      <c r="P508" s="1" t="s">
        <v>6</v>
      </c>
      <c r="Q508" s="16"/>
      <c r="R508" s="17"/>
      <c r="S508" s="3"/>
      <c r="T508" s="1758"/>
      <c r="U508" s="1749"/>
      <c r="V508" s="1752"/>
    </row>
    <row r="509" spans="1:22" ht="12" customHeight="1">
      <c r="A509" s="1040" t="str">
        <f t="shared" si="8"/>
        <v>3406</v>
      </c>
      <c r="B509" s="1057" t="s">
        <v>16376</v>
      </c>
      <c r="C509" s="1064"/>
      <c r="D509" s="2">
        <v>1</v>
      </c>
      <c r="E509" s="4" t="s">
        <v>1992</v>
      </c>
      <c r="F509" s="1065" t="e">
        <f>IF(E509="","$",VLOOKUP(E509,'結果(小)'!$B$2:$F$1295,5,FALSE))</f>
        <v>#DIV/0!</v>
      </c>
      <c r="G509" s="1" t="s">
        <v>2007</v>
      </c>
      <c r="H509" s="6">
        <v>39</v>
      </c>
      <c r="I509" s="2" t="s">
        <v>5</v>
      </c>
      <c r="J509" s="1" t="s">
        <v>15273</v>
      </c>
      <c r="K509" s="3"/>
      <c r="L509" s="1"/>
      <c r="M509" s="1"/>
      <c r="N509" s="8" t="s">
        <v>16128</v>
      </c>
      <c r="O509" s="1"/>
      <c r="P509" s="1" t="s">
        <v>6</v>
      </c>
      <c r="Q509" s="16"/>
      <c r="R509" s="17"/>
      <c r="S509" s="3"/>
      <c r="T509" s="1758"/>
      <c r="U509" s="1749"/>
      <c r="V509" s="1752"/>
    </row>
    <row r="510" spans="1:22" ht="12" customHeight="1">
      <c r="A510" s="1040" t="str">
        <f t="shared" si="8"/>
        <v>3406</v>
      </c>
      <c r="B510" s="1057" t="s">
        <v>16377</v>
      </c>
      <c r="C510" s="1064"/>
      <c r="D510" s="2">
        <v>1</v>
      </c>
      <c r="E510" s="4" t="s">
        <v>2016</v>
      </c>
      <c r="F510" s="1065" t="e">
        <f>IF(E510="","$",VLOOKUP(E510,'結果(小)'!$B$2:$F$1295,5,FALSE))</f>
        <v>#DIV/0!</v>
      </c>
      <c r="G510" s="1" t="s">
        <v>2027</v>
      </c>
      <c r="H510" s="6">
        <v>31</v>
      </c>
      <c r="I510" s="2" t="s">
        <v>5</v>
      </c>
      <c r="J510" s="1" t="s">
        <v>15273</v>
      </c>
      <c r="K510" s="3"/>
      <c r="L510" s="1"/>
      <c r="M510" s="1"/>
      <c r="N510" s="4" t="s">
        <v>16128</v>
      </c>
      <c r="O510" s="1"/>
      <c r="P510" s="1" t="s">
        <v>6</v>
      </c>
      <c r="Q510" s="16"/>
      <c r="R510" s="17"/>
      <c r="S510" s="3"/>
      <c r="T510" s="1758"/>
      <c r="U510" s="1749"/>
      <c r="V510" s="1752"/>
    </row>
    <row r="511" spans="1:22" ht="12" customHeight="1" thickBot="1">
      <c r="A511" s="916" t="str">
        <f t="shared" si="8"/>
        <v>3406</v>
      </c>
      <c r="B511" s="1086" t="s">
        <v>16378</v>
      </c>
      <c r="C511" s="1075"/>
      <c r="D511" s="702">
        <v>1</v>
      </c>
      <c r="E511" s="700" t="s">
        <v>2033</v>
      </c>
      <c r="F511" s="1071" t="e">
        <f>IF(E511="","$",VLOOKUP(E511,'結果(小)'!$B$2:$F$1295,5,FALSE))</f>
        <v>#DIV/0!</v>
      </c>
      <c r="G511" s="906" t="s">
        <v>2048</v>
      </c>
      <c r="H511" s="701">
        <v>40</v>
      </c>
      <c r="I511" s="702" t="s">
        <v>5</v>
      </c>
      <c r="J511" s="906" t="s">
        <v>15273</v>
      </c>
      <c r="K511" s="703"/>
      <c r="L511" s="906"/>
      <c r="M511" s="906"/>
      <c r="N511" s="700" t="s">
        <v>16128</v>
      </c>
      <c r="O511" s="906"/>
      <c r="P511" s="906" t="s">
        <v>6</v>
      </c>
      <c r="Q511" s="705"/>
      <c r="R511" s="903"/>
      <c r="S511" s="703"/>
      <c r="T511" s="1759"/>
      <c r="U511" s="1750"/>
      <c r="V511" s="1753"/>
    </row>
    <row r="512" spans="1:22" ht="12" customHeight="1">
      <c r="A512" s="1038" t="str">
        <f t="shared" si="8"/>
        <v>3407</v>
      </c>
      <c r="B512" s="1087" t="s">
        <v>5666</v>
      </c>
      <c r="C512" s="1073"/>
      <c r="D512" s="696">
        <v>1</v>
      </c>
      <c r="E512" s="696"/>
      <c r="F512" s="1068" t="str">
        <f>IF(E512="","$",VLOOKUP(E512,'結果(小)'!$B$2:$F$1295,5,FALSE))</f>
        <v>$</v>
      </c>
      <c r="G512" s="696" t="s">
        <v>2180</v>
      </c>
      <c r="H512" s="690">
        <v>60</v>
      </c>
      <c r="I512" s="696" t="s">
        <v>5</v>
      </c>
      <c r="J512" s="696" t="s">
        <v>6067</v>
      </c>
      <c r="K512" s="715" t="s">
        <v>2181</v>
      </c>
      <c r="L512" s="696"/>
      <c r="M512" s="696"/>
      <c r="N512" s="716" t="s">
        <v>16117</v>
      </c>
      <c r="O512" s="696"/>
      <c r="P512" s="696" t="s">
        <v>25</v>
      </c>
      <c r="Q512" s="717">
        <v>2</v>
      </c>
      <c r="R512" s="718">
        <v>4</v>
      </c>
      <c r="S512" s="715"/>
      <c r="T512" s="1760"/>
      <c r="U512" s="1748"/>
      <c r="V512" s="1751" t="e">
        <f>U512/SUM(U404:U521)</f>
        <v>#DIV/0!</v>
      </c>
    </row>
    <row r="513" spans="1:22" ht="12" customHeight="1">
      <c r="A513" s="1040" t="str">
        <f t="shared" si="8"/>
        <v>3407</v>
      </c>
      <c r="B513" s="1058" t="s">
        <v>5667</v>
      </c>
      <c r="C513" s="1064"/>
      <c r="D513" s="2">
        <v>2</v>
      </c>
      <c r="E513" s="2"/>
      <c r="F513" s="1065" t="str">
        <f>IF(E513="","$",VLOOKUP(E513,'結果(小)'!$B$2:$F$1295,5,FALSE))</f>
        <v>$</v>
      </c>
      <c r="G513" s="6" t="s">
        <v>2184</v>
      </c>
      <c r="H513" s="6">
        <v>40</v>
      </c>
      <c r="I513" s="6" t="s">
        <v>5</v>
      </c>
      <c r="J513" s="2" t="s">
        <v>6067</v>
      </c>
      <c r="K513" s="12"/>
      <c r="L513" s="6"/>
      <c r="M513" s="19"/>
      <c r="N513" s="8" t="s">
        <v>16117</v>
      </c>
      <c r="O513" s="6"/>
      <c r="P513" s="6" t="s">
        <v>6</v>
      </c>
      <c r="Q513" s="13"/>
      <c r="R513" s="14"/>
      <c r="S513" s="22"/>
      <c r="T513" s="1761"/>
      <c r="U513" s="1749"/>
      <c r="V513" s="1752"/>
    </row>
    <row r="514" spans="1:22" ht="12" customHeight="1">
      <c r="A514" s="1040" t="str">
        <f t="shared" si="8"/>
        <v>3407</v>
      </c>
      <c r="B514" s="1058" t="s">
        <v>5668</v>
      </c>
      <c r="C514" s="1064"/>
      <c r="D514" s="2">
        <v>3</v>
      </c>
      <c r="E514" s="4" t="s">
        <v>1829</v>
      </c>
      <c r="F514" s="1065" t="e">
        <f>IF(E514="","$",VLOOKUP(E514,'結果(小)'!$B$2:$F$1295,5,FALSE))</f>
        <v>#DIV/0!</v>
      </c>
      <c r="G514" s="1" t="s">
        <v>1842</v>
      </c>
      <c r="H514" s="6">
        <v>30</v>
      </c>
      <c r="I514" s="2" t="s">
        <v>19</v>
      </c>
      <c r="J514" s="1" t="s">
        <v>15273</v>
      </c>
      <c r="K514" s="3"/>
      <c r="L514" s="1"/>
      <c r="M514" s="1"/>
      <c r="N514" s="4" t="s">
        <v>16117</v>
      </c>
      <c r="O514" s="1"/>
      <c r="P514" s="1" t="s">
        <v>6</v>
      </c>
      <c r="Q514" s="16"/>
      <c r="R514" s="17"/>
      <c r="S514" s="22"/>
      <c r="T514" s="1761"/>
      <c r="U514" s="1749"/>
      <c r="V514" s="1752"/>
    </row>
    <row r="515" spans="1:22" ht="12" customHeight="1" thickBot="1">
      <c r="A515" s="916" t="str">
        <f t="shared" ref="A515:A578" si="9">MIDB(B515,1,4)</f>
        <v>3407</v>
      </c>
      <c r="B515" s="1088" t="s">
        <v>16368</v>
      </c>
      <c r="C515" s="1075"/>
      <c r="D515" s="702">
        <v>4</v>
      </c>
      <c r="E515" s="702"/>
      <c r="F515" s="1071" t="str">
        <f>IF(E515="","$",VLOOKUP(E515,'結果(小)'!$B$2:$F$1295,5,FALSE))</f>
        <v>$</v>
      </c>
      <c r="G515" s="701" t="s">
        <v>5485</v>
      </c>
      <c r="H515" s="701">
        <v>28</v>
      </c>
      <c r="I515" s="701" t="s">
        <v>19</v>
      </c>
      <c r="J515" s="702" t="s">
        <v>6067</v>
      </c>
      <c r="K515" s="740"/>
      <c r="L515" s="701"/>
      <c r="M515" s="741"/>
      <c r="N515" s="770" t="s">
        <v>16117</v>
      </c>
      <c r="O515" s="701"/>
      <c r="P515" s="701" t="s">
        <v>6</v>
      </c>
      <c r="Q515" s="742"/>
      <c r="R515" s="743"/>
      <c r="S515" s="720"/>
      <c r="T515" s="1762"/>
      <c r="U515" s="1750"/>
      <c r="V515" s="1753"/>
    </row>
    <row r="516" spans="1:22" ht="12" customHeight="1" thickBot="1">
      <c r="A516" s="658" t="str">
        <f t="shared" si="9"/>
        <v>3408</v>
      </c>
      <c r="B516" s="1103" t="s">
        <v>5952</v>
      </c>
      <c r="C516" s="1077"/>
      <c r="D516" s="660">
        <v>1</v>
      </c>
      <c r="E516" s="660"/>
      <c r="F516" s="1078" t="str">
        <f>IF(E516="","$",VLOOKUP(E516,'結果(小)'!$B$2:$F$1295,5,FALSE))</f>
        <v>$</v>
      </c>
      <c r="G516" s="728" t="s">
        <v>5953</v>
      </c>
      <c r="H516" s="728">
        <v>44</v>
      </c>
      <c r="I516" s="728" t="s">
        <v>5</v>
      </c>
      <c r="J516" s="660" t="s">
        <v>6067</v>
      </c>
      <c r="K516" s="808"/>
      <c r="L516" s="728"/>
      <c r="M516" s="809"/>
      <c r="N516" s="762" t="s">
        <v>16121</v>
      </c>
      <c r="O516" s="728"/>
      <c r="P516" s="728" t="s">
        <v>6</v>
      </c>
      <c r="Q516" s="810"/>
      <c r="R516" s="811"/>
      <c r="S516" s="733"/>
      <c r="T516" s="1090"/>
      <c r="U516" s="1152"/>
      <c r="V516" s="1080" t="e">
        <f>U516/SUM(U404:U521)</f>
        <v>#DIV/0!</v>
      </c>
    </row>
    <row r="517" spans="1:22" ht="12" customHeight="1" thickBot="1">
      <c r="A517" s="658" t="str">
        <f t="shared" si="9"/>
        <v>3411</v>
      </c>
      <c r="B517" s="1101" t="s">
        <v>16454</v>
      </c>
      <c r="C517" s="1077"/>
      <c r="D517" s="660">
        <v>1</v>
      </c>
      <c r="E517" s="660"/>
      <c r="F517" s="1078" t="str">
        <f>IF(E517="","$",VLOOKUP(E517,'結果(小)'!$B$2:$F$1295,5,FALSE))</f>
        <v>$</v>
      </c>
      <c r="G517" s="660" t="s">
        <v>5481</v>
      </c>
      <c r="H517" s="728">
        <v>38</v>
      </c>
      <c r="I517" s="660" t="s">
        <v>5</v>
      </c>
      <c r="J517" s="660" t="s">
        <v>6067</v>
      </c>
      <c r="K517" s="733"/>
      <c r="L517" s="660"/>
      <c r="M517" s="660"/>
      <c r="N517" s="762" t="s">
        <v>16131</v>
      </c>
      <c r="O517" s="660"/>
      <c r="P517" s="660" t="s">
        <v>6</v>
      </c>
      <c r="Q517" s="763"/>
      <c r="R517" s="764"/>
      <c r="S517" s="733"/>
      <c r="T517" s="1102"/>
      <c r="U517" s="1152"/>
      <c r="V517" s="1080" t="e">
        <f>U517/SUM(U404:U521)</f>
        <v>#DIV/0!</v>
      </c>
    </row>
    <row r="518" spans="1:22" ht="12" customHeight="1">
      <c r="A518" s="1038" t="str">
        <f t="shared" si="9"/>
        <v>3413</v>
      </c>
      <c r="B518" s="1093" t="s">
        <v>16455</v>
      </c>
      <c r="C518" s="1073"/>
      <c r="D518" s="696">
        <v>1</v>
      </c>
      <c r="E518" s="696"/>
      <c r="F518" s="1068" t="str">
        <f>IF(E518="","$",VLOOKUP(E518,'結果(小)'!$B$2:$F$1295,5,FALSE))</f>
        <v>$</v>
      </c>
      <c r="G518" s="696" t="s">
        <v>5120</v>
      </c>
      <c r="H518" s="690">
        <v>43</v>
      </c>
      <c r="I518" s="696" t="s">
        <v>19</v>
      </c>
      <c r="J518" s="696" t="s">
        <v>6067</v>
      </c>
      <c r="K518" s="715"/>
      <c r="L518" s="696"/>
      <c r="M518" s="696"/>
      <c r="N518" s="716" t="s">
        <v>16122</v>
      </c>
      <c r="O518" s="696" t="s">
        <v>22</v>
      </c>
      <c r="P518" s="696" t="s">
        <v>6</v>
      </c>
      <c r="Q518" s="717"/>
      <c r="R518" s="718"/>
      <c r="S518" s="715"/>
      <c r="T518" s="1754"/>
      <c r="U518" s="1748"/>
      <c r="V518" s="1751" t="e">
        <f>U518/SUM(U404:U521)</f>
        <v>#DIV/0!</v>
      </c>
    </row>
    <row r="519" spans="1:22" ht="12" customHeight="1">
      <c r="A519" s="1040" t="str">
        <f t="shared" si="9"/>
        <v>3413</v>
      </c>
      <c r="B519" s="1060" t="s">
        <v>16456</v>
      </c>
      <c r="C519" s="1064"/>
      <c r="D519" s="2">
        <v>2</v>
      </c>
      <c r="E519" s="2"/>
      <c r="F519" s="1065" t="str">
        <f>IF(E519="","$",VLOOKUP(E519,'結果(小)'!$B$2:$F$1295,5,FALSE))</f>
        <v>$</v>
      </c>
      <c r="G519" s="2" t="s">
        <v>5122</v>
      </c>
      <c r="H519" s="6">
        <v>30</v>
      </c>
      <c r="I519" s="2" t="s">
        <v>5</v>
      </c>
      <c r="J519" s="2" t="s">
        <v>6067</v>
      </c>
      <c r="K519" s="22"/>
      <c r="L519" s="2"/>
      <c r="M519" s="2"/>
      <c r="N519" s="23" t="s">
        <v>16122</v>
      </c>
      <c r="O519" s="2" t="s">
        <v>22</v>
      </c>
      <c r="P519" s="2" t="s">
        <v>6</v>
      </c>
      <c r="Q519" s="24"/>
      <c r="R519" s="25"/>
      <c r="S519" s="22"/>
      <c r="T519" s="1755"/>
      <c r="U519" s="1749"/>
      <c r="V519" s="1752"/>
    </row>
    <row r="520" spans="1:22" ht="12" customHeight="1">
      <c r="A520" s="1040" t="str">
        <f t="shared" si="9"/>
        <v>3413</v>
      </c>
      <c r="B520" s="1060" t="s">
        <v>16457</v>
      </c>
      <c r="C520" s="1064"/>
      <c r="D520" s="2">
        <v>3</v>
      </c>
      <c r="E520" s="2"/>
      <c r="F520" s="1065" t="str">
        <f>IF(E520="","$",VLOOKUP(E520,'結果(小)'!$B$2:$F$1295,5,FALSE))</f>
        <v>$</v>
      </c>
      <c r="G520" s="2" t="s">
        <v>5124</v>
      </c>
      <c r="H520" s="6">
        <v>62</v>
      </c>
      <c r="I520" s="2" t="s">
        <v>5</v>
      </c>
      <c r="J520" s="2" t="s">
        <v>6067</v>
      </c>
      <c r="K520" s="22"/>
      <c r="L520" s="2"/>
      <c r="M520" s="2"/>
      <c r="N520" s="23" t="s">
        <v>16122</v>
      </c>
      <c r="O520" s="2" t="s">
        <v>22</v>
      </c>
      <c r="P520" s="2" t="s">
        <v>6</v>
      </c>
      <c r="Q520" s="24"/>
      <c r="R520" s="25"/>
      <c r="S520" s="22"/>
      <c r="T520" s="1755"/>
      <c r="U520" s="1749"/>
      <c r="V520" s="1752"/>
    </row>
    <row r="521" spans="1:22" ht="12" customHeight="1" thickBot="1">
      <c r="A521" s="916" t="str">
        <f t="shared" si="9"/>
        <v>3413</v>
      </c>
      <c r="B521" s="1094" t="s">
        <v>16458</v>
      </c>
      <c r="C521" s="1075"/>
      <c r="D521" s="702">
        <v>4</v>
      </c>
      <c r="E521" s="702"/>
      <c r="F521" s="1071" t="str">
        <f>IF(E521="","$",VLOOKUP(E521,'結果(小)'!$B$2:$F$1295,5,FALSE))</f>
        <v>$</v>
      </c>
      <c r="G521" s="702" t="s">
        <v>5126</v>
      </c>
      <c r="H521" s="701">
        <v>65</v>
      </c>
      <c r="I521" s="702" t="s">
        <v>19</v>
      </c>
      <c r="J521" s="702" t="s">
        <v>6067</v>
      </c>
      <c r="K521" s="720"/>
      <c r="L521" s="702"/>
      <c r="M521" s="702"/>
      <c r="N521" s="770" t="s">
        <v>16122</v>
      </c>
      <c r="O521" s="702" t="s">
        <v>22</v>
      </c>
      <c r="P521" s="702" t="s">
        <v>6</v>
      </c>
      <c r="Q521" s="721"/>
      <c r="R521" s="722"/>
      <c r="S521" s="720"/>
      <c r="T521" s="1756"/>
      <c r="U521" s="1750"/>
      <c r="V521" s="1753"/>
    </row>
    <row r="522" spans="1:22" ht="12" customHeight="1">
      <c r="A522" s="1038" t="str">
        <f t="shared" si="9"/>
        <v>3501</v>
      </c>
      <c r="B522" s="1095" t="s">
        <v>15791</v>
      </c>
      <c r="C522" s="1073"/>
      <c r="D522" s="696">
        <v>1</v>
      </c>
      <c r="E522" s="688" t="s">
        <v>2186</v>
      </c>
      <c r="F522" s="1068" t="e">
        <f>IF(E522="","$",VLOOKUP(E522,'結果(小)'!$B$2:$F$1295,5,FALSE))</f>
        <v>#DIV/0!</v>
      </c>
      <c r="G522" s="687" t="s">
        <v>2189</v>
      </c>
      <c r="H522" s="690">
        <v>45</v>
      </c>
      <c r="I522" s="696" t="s">
        <v>19</v>
      </c>
      <c r="J522" s="689" t="s">
        <v>15273</v>
      </c>
      <c r="K522" s="747" t="s">
        <v>2190</v>
      </c>
      <c r="L522" s="687"/>
      <c r="M522" s="687"/>
      <c r="N522" s="692" t="s">
        <v>16127</v>
      </c>
      <c r="O522" s="687" t="s">
        <v>44</v>
      </c>
      <c r="P522" s="687" t="s">
        <v>25</v>
      </c>
      <c r="Q522" s="748">
        <v>3</v>
      </c>
      <c r="R522" s="749">
        <v>3</v>
      </c>
      <c r="S522" s="747" t="s">
        <v>736</v>
      </c>
      <c r="T522" s="1777"/>
      <c r="U522" s="1775"/>
      <c r="V522" s="1751" t="e">
        <f>U522/SUM(U522:U594)</f>
        <v>#DIV/0!</v>
      </c>
    </row>
    <row r="523" spans="1:22" ht="12" customHeight="1">
      <c r="A523" s="1040" t="str">
        <f t="shared" si="9"/>
        <v>3501</v>
      </c>
      <c r="B523" s="1061" t="s">
        <v>15792</v>
      </c>
      <c r="C523" s="1064"/>
      <c r="D523" s="2">
        <v>1</v>
      </c>
      <c r="E523" s="4" t="s">
        <v>2200</v>
      </c>
      <c r="F523" s="1065" t="e">
        <f>IF(E523="","$",VLOOKUP(E523,'結果(小)'!$B$2:$F$1295,5,FALSE))</f>
        <v>#DIV/0!</v>
      </c>
      <c r="G523" s="1" t="s">
        <v>2204</v>
      </c>
      <c r="H523" s="6">
        <v>35</v>
      </c>
      <c r="I523" s="2" t="s">
        <v>5</v>
      </c>
      <c r="J523" s="5" t="s">
        <v>15273</v>
      </c>
      <c r="K523" s="3" t="s">
        <v>2205</v>
      </c>
      <c r="L523" s="1"/>
      <c r="M523" s="1"/>
      <c r="N523" s="8" t="s">
        <v>16127</v>
      </c>
      <c r="O523" s="1" t="s">
        <v>44</v>
      </c>
      <c r="P523" s="1" t="s">
        <v>25</v>
      </c>
      <c r="Q523" s="16">
        <v>2</v>
      </c>
      <c r="R523" s="17">
        <v>2</v>
      </c>
      <c r="S523" s="3" t="s">
        <v>736</v>
      </c>
      <c r="T523" s="1778"/>
      <c r="U523" s="1780"/>
      <c r="V523" s="1752"/>
    </row>
    <row r="524" spans="1:22" ht="12" customHeight="1">
      <c r="A524" s="1040" t="str">
        <f t="shared" si="9"/>
        <v>3501</v>
      </c>
      <c r="B524" s="1061" t="s">
        <v>15793</v>
      </c>
      <c r="C524" s="1064"/>
      <c r="D524" s="2">
        <v>1</v>
      </c>
      <c r="E524" s="4" t="s">
        <v>2218</v>
      </c>
      <c r="F524" s="1065" t="e">
        <f>IF(E524="","$",VLOOKUP(E524,'結果(小)'!$B$2:$F$1295,5,FALSE))</f>
        <v>#DIV/0!</v>
      </c>
      <c r="G524" s="1" t="s">
        <v>2221</v>
      </c>
      <c r="H524" s="6">
        <v>46</v>
      </c>
      <c r="I524" s="2" t="s">
        <v>5</v>
      </c>
      <c r="J524" s="5" t="s">
        <v>15273</v>
      </c>
      <c r="K524" s="3" t="s">
        <v>2222</v>
      </c>
      <c r="L524" s="1"/>
      <c r="M524" s="1"/>
      <c r="N524" s="8" t="s">
        <v>16127</v>
      </c>
      <c r="O524" s="1" t="s">
        <v>44</v>
      </c>
      <c r="P524" s="1" t="s">
        <v>25</v>
      </c>
      <c r="Q524" s="16">
        <v>1</v>
      </c>
      <c r="R524" s="17">
        <v>3</v>
      </c>
      <c r="S524" s="3" t="s">
        <v>736</v>
      </c>
      <c r="T524" s="1778"/>
      <c r="U524" s="1780"/>
      <c r="V524" s="1752"/>
    </row>
    <row r="525" spans="1:22" ht="12" customHeight="1">
      <c r="A525" s="1040" t="str">
        <f t="shared" si="9"/>
        <v>3501</v>
      </c>
      <c r="B525" s="1061" t="s">
        <v>15794</v>
      </c>
      <c r="C525" s="1064"/>
      <c r="D525" s="2">
        <v>1</v>
      </c>
      <c r="E525" s="4" t="s">
        <v>2235</v>
      </c>
      <c r="F525" s="1065" t="e">
        <f>IF(E525="","$",VLOOKUP(E525,'結果(小)'!$B$2:$F$1295,5,FALSE))</f>
        <v>#DIV/0!</v>
      </c>
      <c r="G525" s="1" t="s">
        <v>2239</v>
      </c>
      <c r="H525" s="6">
        <v>43</v>
      </c>
      <c r="I525" s="2" t="s">
        <v>19</v>
      </c>
      <c r="J525" s="5" t="s">
        <v>15273</v>
      </c>
      <c r="K525" s="3" t="s">
        <v>2240</v>
      </c>
      <c r="L525" s="1"/>
      <c r="M525" s="1"/>
      <c r="N525" s="4" t="s">
        <v>16127</v>
      </c>
      <c r="O525" s="1" t="s">
        <v>737</v>
      </c>
      <c r="P525" s="1" t="s">
        <v>25</v>
      </c>
      <c r="Q525" s="16">
        <v>3</v>
      </c>
      <c r="R525" s="17">
        <v>3</v>
      </c>
      <c r="S525" s="3" t="s">
        <v>736</v>
      </c>
      <c r="T525" s="1778"/>
      <c r="U525" s="1780"/>
      <c r="V525" s="1752"/>
    </row>
    <row r="526" spans="1:22" ht="12" customHeight="1">
      <c r="A526" s="1040" t="str">
        <f t="shared" si="9"/>
        <v>3501</v>
      </c>
      <c r="B526" s="1061" t="s">
        <v>15795</v>
      </c>
      <c r="C526" s="1064"/>
      <c r="D526" s="2">
        <v>1</v>
      </c>
      <c r="E526" s="4" t="s">
        <v>2256</v>
      </c>
      <c r="F526" s="1065" t="e">
        <f>IF(E526="","$",VLOOKUP(E526,'結果(小)'!$B$2:$F$1295,5,FALSE))</f>
        <v>#DIV/0!</v>
      </c>
      <c r="G526" s="1" t="s">
        <v>2259</v>
      </c>
      <c r="H526" s="6">
        <v>68</v>
      </c>
      <c r="I526" s="2" t="s">
        <v>19</v>
      </c>
      <c r="J526" s="5" t="s">
        <v>15273</v>
      </c>
      <c r="K526" s="3" t="s">
        <v>2260</v>
      </c>
      <c r="L526" s="1"/>
      <c r="M526" s="1"/>
      <c r="N526" s="8" t="s">
        <v>16126</v>
      </c>
      <c r="O526" s="1" t="s">
        <v>44</v>
      </c>
      <c r="P526" s="1" t="s">
        <v>25</v>
      </c>
      <c r="Q526" s="16">
        <v>6</v>
      </c>
      <c r="R526" s="17">
        <v>6</v>
      </c>
      <c r="S526" s="3" t="s">
        <v>736</v>
      </c>
      <c r="T526" s="1778"/>
      <c r="U526" s="1780"/>
      <c r="V526" s="1752"/>
    </row>
    <row r="527" spans="1:22" ht="12" customHeight="1">
      <c r="A527" s="1040" t="str">
        <f t="shared" si="9"/>
        <v>3501</v>
      </c>
      <c r="B527" s="1061" t="s">
        <v>15796</v>
      </c>
      <c r="C527" s="1064"/>
      <c r="D527" s="2">
        <v>1</v>
      </c>
      <c r="E527" s="4" t="s">
        <v>2272</v>
      </c>
      <c r="F527" s="1065" t="e">
        <f>IF(E527="","$",VLOOKUP(E527,'結果(小)'!$B$2:$F$1295,5,FALSE))</f>
        <v>#DIV/0!</v>
      </c>
      <c r="G527" s="1" t="s">
        <v>2275</v>
      </c>
      <c r="H527" s="6">
        <v>68</v>
      </c>
      <c r="I527" s="2" t="s">
        <v>5</v>
      </c>
      <c r="J527" s="5" t="s">
        <v>15273</v>
      </c>
      <c r="K527" s="3" t="s">
        <v>2276</v>
      </c>
      <c r="L527" s="1"/>
      <c r="M527" s="1"/>
      <c r="N527" s="8" t="s">
        <v>16127</v>
      </c>
      <c r="O527" s="1" t="s">
        <v>45</v>
      </c>
      <c r="P527" s="1" t="s">
        <v>25</v>
      </c>
      <c r="Q527" s="16">
        <v>5</v>
      </c>
      <c r="R527" s="17">
        <v>5</v>
      </c>
      <c r="S527" s="3" t="s">
        <v>736</v>
      </c>
      <c r="T527" s="1778"/>
      <c r="U527" s="1780"/>
      <c r="V527" s="1752"/>
    </row>
    <row r="528" spans="1:22" ht="12" customHeight="1">
      <c r="A528" s="1040" t="str">
        <f t="shared" si="9"/>
        <v>3501</v>
      </c>
      <c r="B528" s="1061" t="s">
        <v>15797</v>
      </c>
      <c r="C528" s="1064"/>
      <c r="D528" s="2">
        <v>1</v>
      </c>
      <c r="E528" s="4" t="s">
        <v>2285</v>
      </c>
      <c r="F528" s="1065" t="e">
        <f>IF(E528="","$",VLOOKUP(E528,'結果(小)'!$B$2:$F$1295,5,FALSE))</f>
        <v>#DIV/0!</v>
      </c>
      <c r="G528" s="1" t="s">
        <v>2289</v>
      </c>
      <c r="H528" s="6">
        <v>39</v>
      </c>
      <c r="I528" s="2" t="s">
        <v>5</v>
      </c>
      <c r="J528" s="5" t="s">
        <v>15273</v>
      </c>
      <c r="K528" s="3" t="s">
        <v>2290</v>
      </c>
      <c r="L528" s="1"/>
      <c r="M528" s="1"/>
      <c r="N528" s="8" t="s">
        <v>16127</v>
      </c>
      <c r="O528" s="1" t="s">
        <v>44</v>
      </c>
      <c r="P528" s="1" t="s">
        <v>25</v>
      </c>
      <c r="Q528" s="16">
        <v>3</v>
      </c>
      <c r="R528" s="17">
        <v>3</v>
      </c>
      <c r="S528" s="3"/>
      <c r="T528" s="1778"/>
      <c r="U528" s="1780"/>
      <c r="V528" s="1752"/>
    </row>
    <row r="529" spans="1:22" ht="12" customHeight="1">
      <c r="A529" s="1040" t="str">
        <f t="shared" si="9"/>
        <v>3501</v>
      </c>
      <c r="B529" s="1061" t="s">
        <v>15798</v>
      </c>
      <c r="C529" s="1064"/>
      <c r="D529" s="2">
        <v>1</v>
      </c>
      <c r="E529" s="4" t="s">
        <v>2318</v>
      </c>
      <c r="F529" s="1065" t="e">
        <f>IF(E529="","$",VLOOKUP(E529,'結果(小)'!$B$2:$F$1295,5,FALSE))</f>
        <v>#DIV/0!</v>
      </c>
      <c r="G529" s="1" t="s">
        <v>5446</v>
      </c>
      <c r="H529" s="6">
        <v>37</v>
      </c>
      <c r="I529" s="2" t="s">
        <v>5</v>
      </c>
      <c r="J529" s="5" t="s">
        <v>15273</v>
      </c>
      <c r="K529" s="3"/>
      <c r="L529" s="1"/>
      <c r="M529" s="1"/>
      <c r="N529" s="8" t="s">
        <v>16127</v>
      </c>
      <c r="O529" s="1" t="s">
        <v>44</v>
      </c>
      <c r="P529" s="1" t="s">
        <v>6</v>
      </c>
      <c r="Q529" s="16"/>
      <c r="R529" s="17"/>
      <c r="S529" s="3"/>
      <c r="T529" s="1778"/>
      <c r="U529" s="1780"/>
      <c r="V529" s="1752"/>
    </row>
    <row r="530" spans="1:22" ht="12" customHeight="1">
      <c r="A530" s="1040" t="str">
        <f t="shared" si="9"/>
        <v>3501</v>
      </c>
      <c r="B530" s="1061" t="s">
        <v>15799</v>
      </c>
      <c r="C530" s="1064"/>
      <c r="D530" s="2">
        <v>1</v>
      </c>
      <c r="E530" s="4" t="s">
        <v>2332</v>
      </c>
      <c r="F530" s="1065" t="e">
        <f>IF(E530="","$",VLOOKUP(E530,'結果(小)'!$B$2:$F$1295,5,FALSE))</f>
        <v>#DIV/0!</v>
      </c>
      <c r="G530" s="1" t="s">
        <v>2335</v>
      </c>
      <c r="H530" s="6">
        <v>53</v>
      </c>
      <c r="I530" s="2" t="s">
        <v>5</v>
      </c>
      <c r="J530" s="5" t="s">
        <v>15273</v>
      </c>
      <c r="K530" s="3" t="s">
        <v>2336</v>
      </c>
      <c r="L530" s="1"/>
      <c r="M530" s="1"/>
      <c r="N530" s="4" t="s">
        <v>16127</v>
      </c>
      <c r="O530" s="1" t="s">
        <v>44</v>
      </c>
      <c r="P530" s="1" t="s">
        <v>25</v>
      </c>
      <c r="Q530" s="16">
        <v>4</v>
      </c>
      <c r="R530" s="17">
        <v>4</v>
      </c>
      <c r="S530" s="3" t="s">
        <v>736</v>
      </c>
      <c r="T530" s="1778"/>
      <c r="U530" s="1780"/>
      <c r="V530" s="1752"/>
    </row>
    <row r="531" spans="1:22" ht="12" customHeight="1">
      <c r="A531" s="1040" t="str">
        <f t="shared" si="9"/>
        <v>3501</v>
      </c>
      <c r="B531" s="1061" t="s">
        <v>15800</v>
      </c>
      <c r="C531" s="1064"/>
      <c r="D531" s="2">
        <v>1</v>
      </c>
      <c r="E531" s="4" t="s">
        <v>2352</v>
      </c>
      <c r="F531" s="1065" t="e">
        <f>IF(E531="","$",VLOOKUP(E531,'結果(小)'!$B$2:$F$1295,5,FALSE))</f>
        <v>#DIV/0!</v>
      </c>
      <c r="G531" s="1" t="s">
        <v>5309</v>
      </c>
      <c r="H531" s="6">
        <v>65</v>
      </c>
      <c r="I531" s="2" t="s">
        <v>19</v>
      </c>
      <c r="J531" s="5" t="s">
        <v>15273</v>
      </c>
      <c r="K531" s="3"/>
      <c r="L531" s="1"/>
      <c r="M531" s="1"/>
      <c r="N531" s="8" t="s">
        <v>16126</v>
      </c>
      <c r="O531" s="1" t="s">
        <v>44</v>
      </c>
      <c r="P531" s="1" t="s">
        <v>6</v>
      </c>
      <c r="Q531" s="16"/>
      <c r="R531" s="17"/>
      <c r="S531" s="3" t="s">
        <v>736</v>
      </c>
      <c r="T531" s="1778"/>
      <c r="U531" s="1780"/>
      <c r="V531" s="1752"/>
    </row>
    <row r="532" spans="1:22" ht="12" customHeight="1">
      <c r="A532" s="1040" t="str">
        <f t="shared" si="9"/>
        <v>3501</v>
      </c>
      <c r="B532" s="1061" t="s">
        <v>15801</v>
      </c>
      <c r="C532" s="1064"/>
      <c r="D532" s="2">
        <v>1</v>
      </c>
      <c r="E532" s="4" t="s">
        <v>2366</v>
      </c>
      <c r="F532" s="1065" t="e">
        <f>IF(E532="","$",VLOOKUP(E532,'結果(小)'!$B$2:$F$1295,5,FALSE))</f>
        <v>#DIV/0!</v>
      </c>
      <c r="G532" s="1" t="s">
        <v>2369</v>
      </c>
      <c r="H532" s="6">
        <v>39</v>
      </c>
      <c r="I532" s="2" t="s">
        <v>5</v>
      </c>
      <c r="J532" s="5" t="s">
        <v>15273</v>
      </c>
      <c r="K532" s="3" t="s">
        <v>2370</v>
      </c>
      <c r="L532" s="1"/>
      <c r="M532" s="1"/>
      <c r="N532" s="8" t="s">
        <v>16127</v>
      </c>
      <c r="O532" s="1" t="s">
        <v>44</v>
      </c>
      <c r="P532" s="1" t="s">
        <v>25</v>
      </c>
      <c r="Q532" s="16">
        <v>1</v>
      </c>
      <c r="R532" s="17">
        <v>1</v>
      </c>
      <c r="S532" s="3" t="s">
        <v>736</v>
      </c>
      <c r="T532" s="1778"/>
      <c r="U532" s="1780"/>
      <c r="V532" s="1752"/>
    </row>
    <row r="533" spans="1:22" ht="12" customHeight="1">
      <c r="A533" s="1040" t="str">
        <f t="shared" si="9"/>
        <v>3501</v>
      </c>
      <c r="B533" s="1061" t="s">
        <v>15802</v>
      </c>
      <c r="C533" s="1064"/>
      <c r="D533" s="2">
        <v>1</v>
      </c>
      <c r="E533" s="4" t="s">
        <v>2381</v>
      </c>
      <c r="F533" s="1065" t="e">
        <f>IF(E533="","$",VLOOKUP(E533,'結果(小)'!$B$2:$F$1295,5,FALSE))</f>
        <v>#DIV/0!</v>
      </c>
      <c r="G533" s="1" t="s">
        <v>2385</v>
      </c>
      <c r="H533" s="6">
        <v>56</v>
      </c>
      <c r="I533" s="2" t="s">
        <v>5</v>
      </c>
      <c r="J533" s="5" t="s">
        <v>15273</v>
      </c>
      <c r="K533" s="3" t="s">
        <v>2386</v>
      </c>
      <c r="L533" s="1"/>
      <c r="M533" s="1"/>
      <c r="N533" s="8" t="s">
        <v>16127</v>
      </c>
      <c r="O533" s="1" t="s">
        <v>604</v>
      </c>
      <c r="P533" s="1" t="s">
        <v>25</v>
      </c>
      <c r="Q533" s="16">
        <v>4</v>
      </c>
      <c r="R533" s="17">
        <v>4</v>
      </c>
      <c r="S533" s="3"/>
      <c r="T533" s="1778"/>
      <c r="U533" s="1780"/>
      <c r="V533" s="1752"/>
    </row>
    <row r="534" spans="1:22" ht="12" customHeight="1">
      <c r="A534" s="1040" t="str">
        <f t="shared" si="9"/>
        <v>3501</v>
      </c>
      <c r="B534" s="1061" t="s">
        <v>15803</v>
      </c>
      <c r="C534" s="1064"/>
      <c r="D534" s="2">
        <v>1</v>
      </c>
      <c r="E534" s="4" t="s">
        <v>2399</v>
      </c>
      <c r="F534" s="1065" t="e">
        <f>IF(E534="","$",VLOOKUP(E534,'結果(小)'!$B$2:$F$1295,5,FALSE))</f>
        <v>#DIV/0!</v>
      </c>
      <c r="G534" s="1" t="s">
        <v>2402</v>
      </c>
      <c r="H534" s="6">
        <v>37</v>
      </c>
      <c r="I534" s="2" t="s">
        <v>5</v>
      </c>
      <c r="J534" s="5" t="s">
        <v>15273</v>
      </c>
      <c r="K534" s="3" t="s">
        <v>2403</v>
      </c>
      <c r="L534" s="1"/>
      <c r="M534" s="1"/>
      <c r="N534" s="8" t="s">
        <v>16127</v>
      </c>
      <c r="O534" s="1" t="s">
        <v>736</v>
      </c>
      <c r="P534" s="1" t="s">
        <v>25</v>
      </c>
      <c r="Q534" s="16">
        <v>2</v>
      </c>
      <c r="R534" s="17">
        <v>2</v>
      </c>
      <c r="S534" s="3" t="s">
        <v>736</v>
      </c>
      <c r="T534" s="1778"/>
      <c r="U534" s="1780"/>
      <c r="V534" s="1752"/>
    </row>
    <row r="535" spans="1:22" ht="12" customHeight="1">
      <c r="A535" s="1040" t="str">
        <f t="shared" si="9"/>
        <v>3501</v>
      </c>
      <c r="B535" s="1061" t="s">
        <v>15804</v>
      </c>
      <c r="C535" s="1064"/>
      <c r="D535" s="2">
        <v>1</v>
      </c>
      <c r="E535" s="4" t="s">
        <v>2416</v>
      </c>
      <c r="F535" s="1065" t="e">
        <f>IF(E535="","$",VLOOKUP(E535,'結果(小)'!$B$2:$F$1295,5,FALSE))</f>
        <v>#DIV/0!</v>
      </c>
      <c r="G535" s="1" t="s">
        <v>2419</v>
      </c>
      <c r="H535" s="6">
        <v>68</v>
      </c>
      <c r="I535" s="2" t="s">
        <v>5</v>
      </c>
      <c r="J535" s="5" t="s">
        <v>15273</v>
      </c>
      <c r="K535" s="3" t="s">
        <v>2420</v>
      </c>
      <c r="L535" s="1"/>
      <c r="M535" s="1"/>
      <c r="N535" s="4" t="s">
        <v>16127</v>
      </c>
      <c r="O535" s="1" t="s">
        <v>276</v>
      </c>
      <c r="P535" s="1" t="s">
        <v>25</v>
      </c>
      <c r="Q535" s="16">
        <v>3</v>
      </c>
      <c r="R535" s="17">
        <v>3</v>
      </c>
      <c r="S535" s="3" t="s">
        <v>736</v>
      </c>
      <c r="T535" s="1778"/>
      <c r="U535" s="1780"/>
      <c r="V535" s="1752"/>
    </row>
    <row r="536" spans="1:22" ht="12" customHeight="1">
      <c r="A536" s="1040" t="str">
        <f t="shared" si="9"/>
        <v>3501</v>
      </c>
      <c r="B536" s="1061" t="s">
        <v>15805</v>
      </c>
      <c r="C536" s="1064"/>
      <c r="D536" s="2">
        <v>1</v>
      </c>
      <c r="E536" s="4" t="s">
        <v>2432</v>
      </c>
      <c r="F536" s="1065" t="e">
        <f>IF(E536="","$",VLOOKUP(E536,'結果(小)'!$B$2:$F$1295,5,FALSE))</f>
        <v>#DIV/0!</v>
      </c>
      <c r="G536" s="1" t="s">
        <v>2435</v>
      </c>
      <c r="H536" s="6">
        <v>64</v>
      </c>
      <c r="I536" s="2" t="s">
        <v>5</v>
      </c>
      <c r="J536" s="5" t="s">
        <v>15273</v>
      </c>
      <c r="K536" s="3" t="s">
        <v>2436</v>
      </c>
      <c r="L536" s="1"/>
      <c r="M536" s="1"/>
      <c r="N536" s="8" t="s">
        <v>16126</v>
      </c>
      <c r="O536" s="1" t="s">
        <v>44</v>
      </c>
      <c r="P536" s="1" t="s">
        <v>25</v>
      </c>
      <c r="Q536" s="16">
        <v>3</v>
      </c>
      <c r="R536" s="17">
        <v>3</v>
      </c>
      <c r="S536" s="3" t="s">
        <v>736</v>
      </c>
      <c r="T536" s="1778"/>
      <c r="U536" s="1780"/>
      <c r="V536" s="1752"/>
    </row>
    <row r="537" spans="1:22" ht="12" customHeight="1">
      <c r="A537" s="1040" t="str">
        <f t="shared" si="9"/>
        <v>3501</v>
      </c>
      <c r="B537" s="1061" t="s">
        <v>15806</v>
      </c>
      <c r="C537" s="1064"/>
      <c r="D537" s="2">
        <v>1</v>
      </c>
      <c r="E537" s="4" t="s">
        <v>2443</v>
      </c>
      <c r="F537" s="1065" t="e">
        <f>IF(E537="","$",VLOOKUP(E537,'結果(小)'!$B$2:$F$1295,5,FALSE))</f>
        <v>#DIV/0!</v>
      </c>
      <c r="G537" s="1" t="s">
        <v>2447</v>
      </c>
      <c r="H537" s="6">
        <v>56</v>
      </c>
      <c r="I537" s="2" t="s">
        <v>5</v>
      </c>
      <c r="J537" s="5" t="s">
        <v>15273</v>
      </c>
      <c r="K537" s="3" t="s">
        <v>2448</v>
      </c>
      <c r="L537" s="1"/>
      <c r="M537" s="1"/>
      <c r="N537" s="8" t="s">
        <v>16127</v>
      </c>
      <c r="O537" s="1" t="s">
        <v>604</v>
      </c>
      <c r="P537" s="1" t="s">
        <v>25</v>
      </c>
      <c r="Q537" s="16">
        <v>3</v>
      </c>
      <c r="R537" s="17">
        <v>3</v>
      </c>
      <c r="S537" s="3" t="s">
        <v>736</v>
      </c>
      <c r="T537" s="1778"/>
      <c r="U537" s="1780"/>
      <c r="V537" s="1752"/>
    </row>
    <row r="538" spans="1:22" ht="12" customHeight="1">
      <c r="A538" s="1040" t="str">
        <f t="shared" si="9"/>
        <v>3501</v>
      </c>
      <c r="B538" s="1061" t="s">
        <v>15807</v>
      </c>
      <c r="C538" s="1064"/>
      <c r="D538" s="2">
        <v>1</v>
      </c>
      <c r="E538" s="4" t="s">
        <v>2455</v>
      </c>
      <c r="F538" s="1065" t="e">
        <f>IF(E538="","$",VLOOKUP(E538,'結果(小)'!$B$2:$F$1295,5,FALSE))</f>
        <v>#DIV/0!</v>
      </c>
      <c r="G538" s="1" t="s">
        <v>5338</v>
      </c>
      <c r="H538" s="6">
        <v>59</v>
      </c>
      <c r="I538" s="2" t="s">
        <v>5</v>
      </c>
      <c r="J538" s="5" t="s">
        <v>15273</v>
      </c>
      <c r="K538" s="3"/>
      <c r="L538" s="1"/>
      <c r="M538" s="1"/>
      <c r="N538" s="8" t="s">
        <v>16127</v>
      </c>
      <c r="O538" s="1" t="s">
        <v>44</v>
      </c>
      <c r="P538" s="1" t="s">
        <v>6</v>
      </c>
      <c r="Q538" s="16"/>
      <c r="R538" s="17"/>
      <c r="S538" s="3" t="s">
        <v>736</v>
      </c>
      <c r="T538" s="1778"/>
      <c r="U538" s="1780"/>
      <c r="V538" s="1752"/>
    </row>
    <row r="539" spans="1:22" ht="12" customHeight="1">
      <c r="A539" s="1040" t="str">
        <f t="shared" si="9"/>
        <v>3501</v>
      </c>
      <c r="B539" s="1061" t="s">
        <v>15808</v>
      </c>
      <c r="C539" s="1064"/>
      <c r="D539" s="2">
        <v>1</v>
      </c>
      <c r="E539" s="4" t="s">
        <v>2468</v>
      </c>
      <c r="F539" s="1065" t="e">
        <f>IF(E539="","$",VLOOKUP(E539,'結果(小)'!$B$2:$F$1295,5,FALSE))</f>
        <v>#DIV/0!</v>
      </c>
      <c r="G539" s="1" t="s">
        <v>2472</v>
      </c>
      <c r="H539" s="6">
        <v>53</v>
      </c>
      <c r="I539" s="2" t="s">
        <v>5</v>
      </c>
      <c r="J539" s="5" t="s">
        <v>15273</v>
      </c>
      <c r="K539" s="3" t="s">
        <v>2473</v>
      </c>
      <c r="L539" s="1"/>
      <c r="M539" s="1"/>
      <c r="N539" s="8" t="s">
        <v>16127</v>
      </c>
      <c r="O539" s="1" t="s">
        <v>44</v>
      </c>
      <c r="P539" s="1" t="s">
        <v>25</v>
      </c>
      <c r="Q539" s="16">
        <v>1</v>
      </c>
      <c r="R539" s="17">
        <v>1</v>
      </c>
      <c r="S539" s="3" t="s">
        <v>736</v>
      </c>
      <c r="T539" s="1778"/>
      <c r="U539" s="1780"/>
      <c r="V539" s="1752"/>
    </row>
    <row r="540" spans="1:22" ht="12" customHeight="1">
      <c r="A540" s="1040" t="str">
        <f t="shared" si="9"/>
        <v>3501</v>
      </c>
      <c r="B540" s="1061" t="s">
        <v>15809</v>
      </c>
      <c r="C540" s="1064"/>
      <c r="D540" s="2">
        <v>1</v>
      </c>
      <c r="E540" s="4" t="s">
        <v>2484</v>
      </c>
      <c r="F540" s="1065" t="e">
        <f>IF(E540="","$",VLOOKUP(E540,'結果(小)'!$B$2:$F$1295,5,FALSE))</f>
        <v>#DIV/0!</v>
      </c>
      <c r="G540" s="1" t="s">
        <v>5696</v>
      </c>
      <c r="H540" s="6">
        <v>33</v>
      </c>
      <c r="I540" s="2" t="s">
        <v>5</v>
      </c>
      <c r="J540" s="5" t="s">
        <v>15273</v>
      </c>
      <c r="K540" s="3"/>
      <c r="L540" s="1"/>
      <c r="M540" s="1"/>
      <c r="N540" s="4" t="s">
        <v>16127</v>
      </c>
      <c r="O540" s="1" t="s">
        <v>44</v>
      </c>
      <c r="P540" s="1" t="s">
        <v>6</v>
      </c>
      <c r="Q540" s="16"/>
      <c r="R540" s="17"/>
      <c r="S540" s="3"/>
      <c r="T540" s="1778"/>
      <c r="U540" s="1780"/>
      <c r="V540" s="1752"/>
    </row>
    <row r="541" spans="1:22" ht="12" customHeight="1" thickBot="1">
      <c r="A541" s="916" t="str">
        <f t="shared" si="9"/>
        <v>3501</v>
      </c>
      <c r="B541" s="1096" t="s">
        <v>15810</v>
      </c>
      <c r="C541" s="1075"/>
      <c r="D541" s="702">
        <v>20</v>
      </c>
      <c r="E541" s="702"/>
      <c r="F541" s="1071" t="str">
        <f>IF(E541="","$",VLOOKUP(E541,'結果(小)'!$B$2:$F$1295,5,FALSE))</f>
        <v>$</v>
      </c>
      <c r="G541" s="702" t="s">
        <v>2504</v>
      </c>
      <c r="H541" s="701">
        <v>67</v>
      </c>
      <c r="I541" s="702" t="s">
        <v>5</v>
      </c>
      <c r="J541" s="702" t="s">
        <v>6067</v>
      </c>
      <c r="K541" s="720" t="s">
        <v>2505</v>
      </c>
      <c r="L541" s="702"/>
      <c r="M541" s="702"/>
      <c r="N541" s="704" t="s">
        <v>16126</v>
      </c>
      <c r="O541" s="702" t="s">
        <v>44</v>
      </c>
      <c r="P541" s="702" t="s">
        <v>25</v>
      </c>
      <c r="Q541" s="721">
        <v>2</v>
      </c>
      <c r="R541" s="722">
        <v>2</v>
      </c>
      <c r="S541" s="720"/>
      <c r="T541" s="1779"/>
      <c r="U541" s="1776"/>
      <c r="V541" s="1753"/>
    </row>
    <row r="542" spans="1:22" ht="12" customHeight="1">
      <c r="A542" s="1038" t="str">
        <f t="shared" si="9"/>
        <v>3502</v>
      </c>
      <c r="B542" s="1072" t="s">
        <v>15400</v>
      </c>
      <c r="C542" s="1073"/>
      <c r="D542" s="696">
        <v>1</v>
      </c>
      <c r="E542" s="688" t="s">
        <v>2187</v>
      </c>
      <c r="F542" s="1068" t="e">
        <f>IF(E542="","$",VLOOKUP(E542,'結果(小)'!$B$2:$F$1295,5,FALSE))</f>
        <v>#DIV/0!</v>
      </c>
      <c r="G542" s="687" t="s">
        <v>2195</v>
      </c>
      <c r="H542" s="690">
        <v>28</v>
      </c>
      <c r="I542" s="696" t="s">
        <v>5</v>
      </c>
      <c r="J542" s="687" t="s">
        <v>15273</v>
      </c>
      <c r="K542" s="747"/>
      <c r="L542" s="687"/>
      <c r="M542" s="687"/>
      <c r="N542" s="692" t="s">
        <v>16120</v>
      </c>
      <c r="O542" s="687" t="s">
        <v>30</v>
      </c>
      <c r="P542" s="687" t="s">
        <v>6</v>
      </c>
      <c r="Q542" s="748"/>
      <c r="R542" s="749"/>
      <c r="S542" s="747" t="s">
        <v>5457</v>
      </c>
      <c r="T542" s="1769"/>
      <c r="U542" s="1775"/>
      <c r="V542" s="1751" t="e">
        <f>U542/SUM(U522:U594)</f>
        <v>#DIV/0!</v>
      </c>
    </row>
    <row r="543" spans="1:22" ht="12" customHeight="1">
      <c r="A543" s="1040" t="str">
        <f t="shared" si="9"/>
        <v>3502</v>
      </c>
      <c r="B543" s="1053" t="s">
        <v>15401</v>
      </c>
      <c r="C543" s="1064"/>
      <c r="D543" s="2">
        <v>1</v>
      </c>
      <c r="E543" s="4" t="s">
        <v>2201</v>
      </c>
      <c r="F543" s="1065" t="e">
        <f>IF(E543="","$",VLOOKUP(E543,'結果(小)'!$B$2:$F$1295,5,FALSE))</f>
        <v>#DIV/0!</v>
      </c>
      <c r="G543" s="1" t="s">
        <v>2209</v>
      </c>
      <c r="H543" s="6">
        <v>48</v>
      </c>
      <c r="I543" s="2" t="s">
        <v>5</v>
      </c>
      <c r="J543" s="1" t="s">
        <v>15273</v>
      </c>
      <c r="K543" s="3"/>
      <c r="L543" s="1"/>
      <c r="M543" s="1"/>
      <c r="N543" s="4" t="s">
        <v>16120</v>
      </c>
      <c r="O543" s="1" t="s">
        <v>30</v>
      </c>
      <c r="P543" s="1" t="s">
        <v>6</v>
      </c>
      <c r="Q543" s="16"/>
      <c r="R543" s="17"/>
      <c r="S543" s="3"/>
      <c r="T543" s="1770"/>
      <c r="U543" s="1780"/>
      <c r="V543" s="1752"/>
    </row>
    <row r="544" spans="1:22" ht="12" customHeight="1">
      <c r="A544" s="1040" t="str">
        <f t="shared" si="9"/>
        <v>3502</v>
      </c>
      <c r="B544" s="1053" t="s">
        <v>15402</v>
      </c>
      <c r="C544" s="1064"/>
      <c r="D544" s="2">
        <v>1</v>
      </c>
      <c r="E544" s="4" t="s">
        <v>2219</v>
      </c>
      <c r="F544" s="1065" t="e">
        <f>IF(E544="","$",VLOOKUP(E544,'結果(小)'!$B$2:$F$1295,5,FALSE))</f>
        <v>#DIV/0!</v>
      </c>
      <c r="G544" s="1" t="s">
        <v>2229</v>
      </c>
      <c r="H544" s="6">
        <v>36</v>
      </c>
      <c r="I544" s="2" t="s">
        <v>5</v>
      </c>
      <c r="J544" s="1" t="s">
        <v>15273</v>
      </c>
      <c r="K544" s="3"/>
      <c r="L544" s="1"/>
      <c r="M544" s="1"/>
      <c r="N544" s="4" t="s">
        <v>16120</v>
      </c>
      <c r="O544" s="1" t="s">
        <v>445</v>
      </c>
      <c r="P544" s="1" t="s">
        <v>6</v>
      </c>
      <c r="Q544" s="16"/>
      <c r="R544" s="17"/>
      <c r="S544" s="3" t="s">
        <v>5457</v>
      </c>
      <c r="T544" s="1770"/>
      <c r="U544" s="1780"/>
      <c r="V544" s="1752"/>
    </row>
    <row r="545" spans="1:22" ht="12" customHeight="1">
      <c r="A545" s="1040" t="str">
        <f t="shared" si="9"/>
        <v>3502</v>
      </c>
      <c r="B545" s="1053" t="s">
        <v>15403</v>
      </c>
      <c r="C545" s="1064"/>
      <c r="D545" s="2">
        <v>1</v>
      </c>
      <c r="E545" s="4" t="s">
        <v>2236</v>
      </c>
      <c r="F545" s="1065" t="e">
        <f>IF(E545="","$",VLOOKUP(E545,'結果(小)'!$B$2:$F$1295,5,FALSE))</f>
        <v>#DIV/0!</v>
      </c>
      <c r="G545" s="1" t="s">
        <v>2245</v>
      </c>
      <c r="H545" s="6">
        <v>34</v>
      </c>
      <c r="I545" s="2" t="s">
        <v>19</v>
      </c>
      <c r="J545" s="1" t="s">
        <v>15273</v>
      </c>
      <c r="K545" s="3"/>
      <c r="L545" s="1"/>
      <c r="M545" s="1"/>
      <c r="N545" s="8" t="s">
        <v>16120</v>
      </c>
      <c r="O545" s="1" t="s">
        <v>30</v>
      </c>
      <c r="P545" s="1" t="s">
        <v>6</v>
      </c>
      <c r="Q545" s="16"/>
      <c r="R545" s="17"/>
      <c r="S545" s="3"/>
      <c r="T545" s="1770"/>
      <c r="U545" s="1780"/>
      <c r="V545" s="1752"/>
    </row>
    <row r="546" spans="1:22" ht="12" customHeight="1">
      <c r="A546" s="1040" t="str">
        <f t="shared" si="9"/>
        <v>3502</v>
      </c>
      <c r="B546" s="1053" t="s">
        <v>15404</v>
      </c>
      <c r="C546" s="1064"/>
      <c r="D546" s="2">
        <v>1</v>
      </c>
      <c r="E546" s="4" t="s">
        <v>2257</v>
      </c>
      <c r="F546" s="1065" t="e">
        <f>IF(E546="","$",VLOOKUP(E546,'結果(小)'!$B$2:$F$1295,5,FALSE))</f>
        <v>#DIV/0!</v>
      </c>
      <c r="G546" s="1" t="s">
        <v>2264</v>
      </c>
      <c r="H546" s="6">
        <v>61</v>
      </c>
      <c r="I546" s="2" t="s">
        <v>5</v>
      </c>
      <c r="J546" s="1" t="s">
        <v>15273</v>
      </c>
      <c r="K546" s="3" t="s">
        <v>2265</v>
      </c>
      <c r="L546" s="1"/>
      <c r="M546" s="1"/>
      <c r="N546" s="23" t="s">
        <v>16120</v>
      </c>
      <c r="O546" s="1" t="s">
        <v>65</v>
      </c>
      <c r="P546" s="1" t="s">
        <v>25</v>
      </c>
      <c r="Q546" s="16">
        <v>2</v>
      </c>
      <c r="R546" s="17">
        <v>2</v>
      </c>
      <c r="S546" s="3" t="s">
        <v>5457</v>
      </c>
      <c r="T546" s="1770"/>
      <c r="U546" s="1780"/>
      <c r="V546" s="1752"/>
    </row>
    <row r="547" spans="1:22" ht="12" customHeight="1">
      <c r="A547" s="1040" t="str">
        <f t="shared" si="9"/>
        <v>3502</v>
      </c>
      <c r="B547" s="1053" t="s">
        <v>15405</v>
      </c>
      <c r="C547" s="1064"/>
      <c r="D547" s="2">
        <v>1</v>
      </c>
      <c r="E547" s="4" t="s">
        <v>2273</v>
      </c>
      <c r="F547" s="1065" t="e">
        <f>IF(E547="","$",VLOOKUP(E547,'結果(小)'!$B$2:$F$1295,5,FALSE))</f>
        <v>#DIV/0!</v>
      </c>
      <c r="G547" s="1" t="s">
        <v>2280</v>
      </c>
      <c r="H547" s="6">
        <v>52</v>
      </c>
      <c r="I547" s="2" t="s">
        <v>5</v>
      </c>
      <c r="J547" s="1" t="s">
        <v>15273</v>
      </c>
      <c r="K547" s="3"/>
      <c r="L547" s="1"/>
      <c r="M547" s="1"/>
      <c r="N547" s="8" t="s">
        <v>16120</v>
      </c>
      <c r="O547" s="1" t="s">
        <v>48</v>
      </c>
      <c r="P547" s="1" t="s">
        <v>14</v>
      </c>
      <c r="Q547" s="16">
        <v>1</v>
      </c>
      <c r="R547" s="17">
        <v>1</v>
      </c>
      <c r="S547" s="3" t="s">
        <v>5457</v>
      </c>
      <c r="T547" s="1770"/>
      <c r="U547" s="1780"/>
      <c r="V547" s="1752"/>
    </row>
    <row r="548" spans="1:22" ht="12" customHeight="1">
      <c r="A548" s="1040" t="str">
        <f t="shared" si="9"/>
        <v>3502</v>
      </c>
      <c r="B548" s="1053" t="s">
        <v>15406</v>
      </c>
      <c r="C548" s="1064"/>
      <c r="D548" s="2">
        <v>1</v>
      </c>
      <c r="E548" s="4" t="s">
        <v>2286</v>
      </c>
      <c r="F548" s="1065" t="e">
        <f>IF(E548="","$",VLOOKUP(E548,'結果(小)'!$B$2:$F$1295,5,FALSE))</f>
        <v>#DIV/0!</v>
      </c>
      <c r="G548" s="1" t="s">
        <v>2294</v>
      </c>
      <c r="H548" s="6">
        <v>39</v>
      </c>
      <c r="I548" s="2" t="s">
        <v>5</v>
      </c>
      <c r="J548" s="1" t="s">
        <v>15273</v>
      </c>
      <c r="K548" s="3"/>
      <c r="L548" s="1"/>
      <c r="M548" s="1"/>
      <c r="N548" s="4" t="s">
        <v>16120</v>
      </c>
      <c r="O548" s="1" t="s">
        <v>30</v>
      </c>
      <c r="P548" s="1" t="s">
        <v>6</v>
      </c>
      <c r="Q548" s="16"/>
      <c r="R548" s="17"/>
      <c r="S548" s="3" t="s">
        <v>5457</v>
      </c>
      <c r="T548" s="1770"/>
      <c r="U548" s="1780"/>
      <c r="V548" s="1752"/>
    </row>
    <row r="549" spans="1:22" ht="12" customHeight="1">
      <c r="A549" s="1040" t="str">
        <f t="shared" si="9"/>
        <v>3502</v>
      </c>
      <c r="B549" s="1053" t="s">
        <v>15407</v>
      </c>
      <c r="C549" s="1064"/>
      <c r="D549" s="2">
        <v>1</v>
      </c>
      <c r="E549" s="4" t="s">
        <v>2302</v>
      </c>
      <c r="F549" s="1065" t="str">
        <f>IF(E549="","$",VLOOKUP(E549,'結果(小)'!$B$2:$F$1295,5,FALSE))</f>
        <v>$</v>
      </c>
      <c r="G549" s="1" t="s">
        <v>2304</v>
      </c>
      <c r="H549" s="6">
        <v>61</v>
      </c>
      <c r="I549" s="2" t="s">
        <v>5</v>
      </c>
      <c r="J549" s="1" t="s">
        <v>15273</v>
      </c>
      <c r="K549" s="3" t="s">
        <v>2305</v>
      </c>
      <c r="L549" s="1"/>
      <c r="M549" s="1"/>
      <c r="N549" s="4" t="s">
        <v>16120</v>
      </c>
      <c r="O549" s="1" t="s">
        <v>476</v>
      </c>
      <c r="P549" s="1" t="s">
        <v>25</v>
      </c>
      <c r="Q549" s="16">
        <v>5</v>
      </c>
      <c r="R549" s="17">
        <v>5</v>
      </c>
      <c r="S549" s="3" t="s">
        <v>5457</v>
      </c>
      <c r="T549" s="1770"/>
      <c r="U549" s="1780"/>
      <c r="V549" s="1752"/>
    </row>
    <row r="550" spans="1:22" ht="12" customHeight="1">
      <c r="A550" s="1040" t="str">
        <f t="shared" si="9"/>
        <v>3502</v>
      </c>
      <c r="B550" s="1053" t="s">
        <v>15408</v>
      </c>
      <c r="C550" s="1064"/>
      <c r="D550" s="2">
        <v>1</v>
      </c>
      <c r="E550" s="4" t="s">
        <v>2319</v>
      </c>
      <c r="F550" s="1065" t="e">
        <f>IF(E550="","$",VLOOKUP(E550,'結果(小)'!$B$2:$F$1295,5,FALSE))</f>
        <v>#DIV/0!</v>
      </c>
      <c r="G550" s="1" t="s">
        <v>2321</v>
      </c>
      <c r="H550" s="6">
        <v>51</v>
      </c>
      <c r="I550" s="2" t="s">
        <v>5</v>
      </c>
      <c r="J550" s="1" t="s">
        <v>15273</v>
      </c>
      <c r="K550" s="3" t="s">
        <v>2322</v>
      </c>
      <c r="L550" s="1"/>
      <c r="M550" s="1"/>
      <c r="N550" s="8" t="s">
        <v>16120</v>
      </c>
      <c r="O550" s="1" t="s">
        <v>30</v>
      </c>
      <c r="P550" s="1" t="s">
        <v>25</v>
      </c>
      <c r="Q550" s="16">
        <v>1</v>
      </c>
      <c r="R550" s="17">
        <v>1</v>
      </c>
      <c r="S550" s="3" t="s">
        <v>6051</v>
      </c>
      <c r="T550" s="1770"/>
      <c r="U550" s="1780"/>
      <c r="V550" s="1752"/>
    </row>
    <row r="551" spans="1:22" ht="12" customHeight="1">
      <c r="A551" s="1040" t="str">
        <f t="shared" si="9"/>
        <v>3502</v>
      </c>
      <c r="B551" s="1053" t="s">
        <v>15409</v>
      </c>
      <c r="C551" s="1064"/>
      <c r="D551" s="2">
        <v>1</v>
      </c>
      <c r="E551" s="4" t="s">
        <v>2333</v>
      </c>
      <c r="F551" s="1065" t="e">
        <f>IF(E551="","$",VLOOKUP(E551,'結果(小)'!$B$2:$F$1295,5,FALSE))</f>
        <v>#DIV/0!</v>
      </c>
      <c r="G551" s="1" t="s">
        <v>2341</v>
      </c>
      <c r="H551" s="6">
        <v>51</v>
      </c>
      <c r="I551" s="2" t="s">
        <v>5</v>
      </c>
      <c r="J551" s="1" t="s">
        <v>15273</v>
      </c>
      <c r="K551" s="3" t="s">
        <v>2342</v>
      </c>
      <c r="L551" s="1"/>
      <c r="M551" s="1"/>
      <c r="N551" s="23" t="s">
        <v>16120</v>
      </c>
      <c r="O551" s="1" t="s">
        <v>48</v>
      </c>
      <c r="P551" s="1" t="s">
        <v>25</v>
      </c>
      <c r="Q551" s="16">
        <v>4</v>
      </c>
      <c r="R551" s="17">
        <v>5</v>
      </c>
      <c r="S551" s="3" t="s">
        <v>5457</v>
      </c>
      <c r="T551" s="1770"/>
      <c r="U551" s="1780"/>
      <c r="V551" s="1752"/>
    </row>
    <row r="552" spans="1:22" ht="12" customHeight="1">
      <c r="A552" s="1040" t="str">
        <f t="shared" si="9"/>
        <v>3502</v>
      </c>
      <c r="B552" s="1053" t="s">
        <v>15410</v>
      </c>
      <c r="C552" s="1064"/>
      <c r="D552" s="2">
        <v>1</v>
      </c>
      <c r="E552" s="4" t="s">
        <v>2353</v>
      </c>
      <c r="F552" s="1065" t="e">
        <f>IF(E552="","$",VLOOKUP(E552,'結果(小)'!$B$2:$F$1295,5,FALSE))</f>
        <v>#DIV/0!</v>
      </c>
      <c r="G552" s="1" t="s">
        <v>2358</v>
      </c>
      <c r="H552" s="6">
        <v>38</v>
      </c>
      <c r="I552" s="2" t="s">
        <v>5</v>
      </c>
      <c r="J552" s="1" t="s">
        <v>15273</v>
      </c>
      <c r="K552" s="3"/>
      <c r="L552" s="1"/>
      <c r="M552" s="1"/>
      <c r="N552" s="8" t="s">
        <v>16120</v>
      </c>
      <c r="O552" s="1" t="s">
        <v>48</v>
      </c>
      <c r="P552" s="1" t="s">
        <v>6</v>
      </c>
      <c r="Q552" s="16"/>
      <c r="R552" s="17"/>
      <c r="S552" s="3" t="s">
        <v>6051</v>
      </c>
      <c r="T552" s="1770"/>
      <c r="U552" s="1780"/>
      <c r="V552" s="1752"/>
    </row>
    <row r="553" spans="1:22" ht="12" customHeight="1">
      <c r="A553" s="1040" t="str">
        <f t="shared" si="9"/>
        <v>3502</v>
      </c>
      <c r="B553" s="1053" t="s">
        <v>15411</v>
      </c>
      <c r="C553" s="1064"/>
      <c r="D553" s="2">
        <v>1</v>
      </c>
      <c r="E553" s="4" t="s">
        <v>2367</v>
      </c>
      <c r="F553" s="1065" t="e">
        <f>IF(E553="","$",VLOOKUP(E553,'結果(小)'!$B$2:$F$1295,5,FALSE))</f>
        <v>#DIV/0!</v>
      </c>
      <c r="G553" s="1" t="s">
        <v>2374</v>
      </c>
      <c r="H553" s="6">
        <v>67</v>
      </c>
      <c r="I553" s="2" t="s">
        <v>5</v>
      </c>
      <c r="J553" s="1" t="s">
        <v>15273</v>
      </c>
      <c r="K553" s="3" t="s">
        <v>2375</v>
      </c>
      <c r="L553" s="1"/>
      <c r="M553" s="1"/>
      <c r="N553" s="4" t="s">
        <v>16120</v>
      </c>
      <c r="O553" s="1" t="s">
        <v>48</v>
      </c>
      <c r="P553" s="1" t="s">
        <v>25</v>
      </c>
      <c r="Q553" s="16">
        <v>2</v>
      </c>
      <c r="R553" s="17">
        <v>2</v>
      </c>
      <c r="S553" s="3" t="s">
        <v>5457</v>
      </c>
      <c r="T553" s="1770"/>
      <c r="U553" s="1780"/>
      <c r="V553" s="1752"/>
    </row>
    <row r="554" spans="1:22" ht="12" customHeight="1">
      <c r="A554" s="1040" t="str">
        <f t="shared" si="9"/>
        <v>3502</v>
      </c>
      <c r="B554" s="1053" t="s">
        <v>15412</v>
      </c>
      <c r="C554" s="1064"/>
      <c r="D554" s="2">
        <v>1</v>
      </c>
      <c r="E554" s="4" t="s">
        <v>2382</v>
      </c>
      <c r="F554" s="1065" t="e">
        <f>IF(E554="","$",VLOOKUP(E554,'結果(小)'!$B$2:$F$1295,5,FALSE))</f>
        <v>#DIV/0!</v>
      </c>
      <c r="G554" s="1" t="s">
        <v>2389</v>
      </c>
      <c r="H554" s="6">
        <v>53</v>
      </c>
      <c r="I554" s="2" t="s">
        <v>19</v>
      </c>
      <c r="J554" s="1" t="s">
        <v>15273</v>
      </c>
      <c r="K554" s="3" t="s">
        <v>2390</v>
      </c>
      <c r="L554" s="1"/>
      <c r="M554" s="1"/>
      <c r="N554" s="4" t="s">
        <v>16120</v>
      </c>
      <c r="O554" s="1" t="s">
        <v>48</v>
      </c>
      <c r="P554" s="1" t="s">
        <v>25</v>
      </c>
      <c r="Q554" s="16">
        <v>2</v>
      </c>
      <c r="R554" s="17">
        <v>2</v>
      </c>
      <c r="S554" s="3" t="s">
        <v>5457</v>
      </c>
      <c r="T554" s="1770"/>
      <c r="U554" s="1780"/>
      <c r="V554" s="1752"/>
    </row>
    <row r="555" spans="1:22" ht="12" customHeight="1">
      <c r="A555" s="1040" t="str">
        <f t="shared" si="9"/>
        <v>3502</v>
      </c>
      <c r="B555" s="1053" t="s">
        <v>15413</v>
      </c>
      <c r="C555" s="1064"/>
      <c r="D555" s="2">
        <v>1</v>
      </c>
      <c r="E555" s="4" t="s">
        <v>2400</v>
      </c>
      <c r="F555" s="1065" t="e">
        <f>IF(E555="","$",VLOOKUP(E555,'結果(小)'!$B$2:$F$1295,5,FALSE))</f>
        <v>#DIV/0!</v>
      </c>
      <c r="G555" s="1" t="s">
        <v>2407</v>
      </c>
      <c r="H555" s="6">
        <v>60</v>
      </c>
      <c r="I555" s="2" t="s">
        <v>5</v>
      </c>
      <c r="J555" s="1" t="s">
        <v>15273</v>
      </c>
      <c r="K555" s="3" t="s">
        <v>2408</v>
      </c>
      <c r="L555" s="1"/>
      <c r="M555" s="1"/>
      <c r="N555" s="8" t="s">
        <v>16120</v>
      </c>
      <c r="O555" s="1" t="s">
        <v>30</v>
      </c>
      <c r="P555" s="1" t="s">
        <v>25</v>
      </c>
      <c r="Q555" s="16">
        <v>5</v>
      </c>
      <c r="R555" s="17">
        <v>5</v>
      </c>
      <c r="S555" s="3" t="s">
        <v>5457</v>
      </c>
      <c r="T555" s="1770"/>
      <c r="U555" s="1780"/>
      <c r="V555" s="1752"/>
    </row>
    <row r="556" spans="1:22" ht="12" customHeight="1">
      <c r="A556" s="1040" t="str">
        <f t="shared" si="9"/>
        <v>3502</v>
      </c>
      <c r="B556" s="1053" t="s">
        <v>15414</v>
      </c>
      <c r="C556" s="1064"/>
      <c r="D556" s="2">
        <v>1</v>
      </c>
      <c r="E556" s="4" t="s">
        <v>2417</v>
      </c>
      <c r="F556" s="1065" t="e">
        <f>IF(E556="","$",VLOOKUP(E556,'結果(小)'!$B$2:$F$1295,5,FALSE))</f>
        <v>#DIV/0!</v>
      </c>
      <c r="G556" s="1" t="s">
        <v>2425</v>
      </c>
      <c r="H556" s="6">
        <v>56</v>
      </c>
      <c r="I556" s="2" t="s">
        <v>5</v>
      </c>
      <c r="J556" s="1" t="s">
        <v>15273</v>
      </c>
      <c r="K556" s="3" t="s">
        <v>2426</v>
      </c>
      <c r="L556" s="1"/>
      <c r="M556" s="1"/>
      <c r="N556" s="23" t="s">
        <v>16120</v>
      </c>
      <c r="O556" s="1" t="s">
        <v>48</v>
      </c>
      <c r="P556" s="1" t="s">
        <v>25</v>
      </c>
      <c r="Q556" s="16">
        <v>4</v>
      </c>
      <c r="R556" s="17">
        <v>4</v>
      </c>
      <c r="S556" s="3" t="s">
        <v>5457</v>
      </c>
      <c r="T556" s="1770"/>
      <c r="U556" s="1780"/>
      <c r="V556" s="1752"/>
    </row>
    <row r="557" spans="1:22" ht="12" customHeight="1">
      <c r="A557" s="1040" t="str">
        <f t="shared" si="9"/>
        <v>3502</v>
      </c>
      <c r="B557" s="1053" t="s">
        <v>15415</v>
      </c>
      <c r="C557" s="1064"/>
      <c r="D557" s="2">
        <v>1</v>
      </c>
      <c r="E557" s="4" t="s">
        <v>2433</v>
      </c>
      <c r="F557" s="1065" t="e">
        <f>IF(E557="","$",VLOOKUP(E557,'結果(小)'!$B$2:$F$1295,5,FALSE))</f>
        <v>#DIV/0!</v>
      </c>
      <c r="G557" s="1" t="s">
        <v>2439</v>
      </c>
      <c r="H557" s="6">
        <v>51</v>
      </c>
      <c r="I557" s="2" t="s">
        <v>5</v>
      </c>
      <c r="J557" s="1" t="s">
        <v>15273</v>
      </c>
      <c r="K557" s="3"/>
      <c r="L557" s="1"/>
      <c r="M557" s="1"/>
      <c r="N557" s="8" t="s">
        <v>16120</v>
      </c>
      <c r="O557" s="1" t="s">
        <v>30</v>
      </c>
      <c r="P557" s="1" t="s">
        <v>6</v>
      </c>
      <c r="Q557" s="16"/>
      <c r="R557" s="17"/>
      <c r="S557" s="3" t="s">
        <v>5457</v>
      </c>
      <c r="T557" s="1770"/>
      <c r="U557" s="1780"/>
      <c r="V557" s="1752"/>
    </row>
    <row r="558" spans="1:22" ht="12" customHeight="1">
      <c r="A558" s="1040" t="str">
        <f t="shared" si="9"/>
        <v>3502</v>
      </c>
      <c r="B558" s="1053" t="s">
        <v>15416</v>
      </c>
      <c r="C558" s="1064"/>
      <c r="D558" s="2">
        <v>1</v>
      </c>
      <c r="E558" s="4" t="s">
        <v>2444</v>
      </c>
      <c r="F558" s="1065" t="e">
        <f>IF(E558="","$",VLOOKUP(E558,'結果(小)'!$B$2:$F$1295,5,FALSE))</f>
        <v>#DIV/0!</v>
      </c>
      <c r="G558" s="1" t="s">
        <v>2450</v>
      </c>
      <c r="H558" s="6">
        <v>56</v>
      </c>
      <c r="I558" s="2" t="s">
        <v>5</v>
      </c>
      <c r="J558" s="1" t="s">
        <v>15273</v>
      </c>
      <c r="K558" s="3"/>
      <c r="L558" s="1"/>
      <c r="M558" s="1"/>
      <c r="N558" s="4" t="s">
        <v>16120</v>
      </c>
      <c r="O558" s="1" t="s">
        <v>30</v>
      </c>
      <c r="P558" s="1" t="s">
        <v>6</v>
      </c>
      <c r="Q558" s="16"/>
      <c r="R558" s="17"/>
      <c r="S558" s="3" t="s">
        <v>5457</v>
      </c>
      <c r="T558" s="1770"/>
      <c r="U558" s="1780"/>
      <c r="V558" s="1752"/>
    </row>
    <row r="559" spans="1:22" ht="12" customHeight="1">
      <c r="A559" s="1040" t="str">
        <f t="shared" si="9"/>
        <v>3502</v>
      </c>
      <c r="B559" s="1053" t="s">
        <v>15417</v>
      </c>
      <c r="C559" s="1064"/>
      <c r="D559" s="2">
        <v>1</v>
      </c>
      <c r="E559" s="4" t="s">
        <v>2456</v>
      </c>
      <c r="F559" s="1065" t="e">
        <f>IF(E559="","$",VLOOKUP(E559,'結果(小)'!$B$2:$F$1295,5,FALSE))</f>
        <v>#DIV/0!</v>
      </c>
      <c r="G559" s="1" t="s">
        <v>2459</v>
      </c>
      <c r="H559" s="6">
        <v>48</v>
      </c>
      <c r="I559" s="2" t="s">
        <v>5</v>
      </c>
      <c r="J559" s="1" t="s">
        <v>15273</v>
      </c>
      <c r="K559" s="3"/>
      <c r="L559" s="1"/>
      <c r="M559" s="1"/>
      <c r="N559" s="4" t="s">
        <v>16120</v>
      </c>
      <c r="O559" s="1" t="s">
        <v>30</v>
      </c>
      <c r="P559" s="1" t="s">
        <v>6</v>
      </c>
      <c r="Q559" s="16"/>
      <c r="R559" s="17"/>
      <c r="S559" s="3"/>
      <c r="T559" s="1770"/>
      <c r="U559" s="1780"/>
      <c r="V559" s="1752"/>
    </row>
    <row r="560" spans="1:22" ht="12" customHeight="1">
      <c r="A560" s="1040" t="str">
        <f t="shared" si="9"/>
        <v>3502</v>
      </c>
      <c r="B560" s="1053" t="s">
        <v>15418</v>
      </c>
      <c r="C560" s="1064"/>
      <c r="D560" s="2">
        <v>1</v>
      </c>
      <c r="E560" s="4" t="s">
        <v>2469</v>
      </c>
      <c r="F560" s="1065" t="e">
        <f>IF(E560="","$",VLOOKUP(E560,'結果(小)'!$B$2:$F$1295,5,FALSE))</f>
        <v>#DIV/0!</v>
      </c>
      <c r="G560" s="1" t="s">
        <v>2475</v>
      </c>
      <c r="H560" s="6">
        <v>57</v>
      </c>
      <c r="I560" s="2" t="s">
        <v>5</v>
      </c>
      <c r="J560" s="1" t="s">
        <v>15273</v>
      </c>
      <c r="K560" s="3"/>
      <c r="L560" s="1"/>
      <c r="M560" s="1"/>
      <c r="N560" s="8" t="s">
        <v>16120</v>
      </c>
      <c r="O560" s="1" t="s">
        <v>30</v>
      </c>
      <c r="P560" s="1" t="s">
        <v>14</v>
      </c>
      <c r="Q560" s="16">
        <v>3</v>
      </c>
      <c r="R560" s="17">
        <v>3</v>
      </c>
      <c r="S560" s="3" t="s">
        <v>5457</v>
      </c>
      <c r="T560" s="1770"/>
      <c r="U560" s="1780"/>
      <c r="V560" s="1752"/>
    </row>
    <row r="561" spans="1:22" ht="12" customHeight="1">
      <c r="A561" s="1040" t="str">
        <f t="shared" si="9"/>
        <v>3502</v>
      </c>
      <c r="B561" s="1053" t="s">
        <v>15419</v>
      </c>
      <c r="C561" s="1064"/>
      <c r="D561" s="2">
        <v>1</v>
      </c>
      <c r="E561" s="4" t="s">
        <v>2485</v>
      </c>
      <c r="F561" s="1065" t="e">
        <f>IF(E561="","$",VLOOKUP(E561,'結果(小)'!$B$2:$F$1295,5,FALSE))</f>
        <v>#DIV/0!</v>
      </c>
      <c r="G561" s="1" t="s">
        <v>2488</v>
      </c>
      <c r="H561" s="6">
        <v>54</v>
      </c>
      <c r="I561" s="2" t="s">
        <v>5</v>
      </c>
      <c r="J561" s="1" t="s">
        <v>15273</v>
      </c>
      <c r="K561" s="3"/>
      <c r="L561" s="1"/>
      <c r="M561" s="1"/>
      <c r="N561" s="23" t="s">
        <v>16120</v>
      </c>
      <c r="O561" s="1" t="s">
        <v>48</v>
      </c>
      <c r="P561" s="1" t="s">
        <v>14</v>
      </c>
      <c r="Q561" s="16">
        <v>2</v>
      </c>
      <c r="R561" s="17">
        <v>2</v>
      </c>
      <c r="S561" s="3"/>
      <c r="T561" s="1770"/>
      <c r="U561" s="1780"/>
      <c r="V561" s="1752"/>
    </row>
    <row r="562" spans="1:22" ht="12" customHeight="1">
      <c r="A562" s="1040" t="str">
        <f t="shared" si="9"/>
        <v>3502</v>
      </c>
      <c r="B562" s="1053" t="s">
        <v>15420</v>
      </c>
      <c r="C562" s="1064"/>
      <c r="D562" s="2">
        <v>21</v>
      </c>
      <c r="E562" s="2"/>
      <c r="F562" s="1065" t="str">
        <f>IF(E562="","$",VLOOKUP(E562,'結果(小)'!$B$2:$F$1295,5,FALSE))</f>
        <v>$</v>
      </c>
      <c r="G562" s="2" t="s">
        <v>6084</v>
      </c>
      <c r="H562" s="6">
        <v>62</v>
      </c>
      <c r="I562" s="2" t="s">
        <v>5</v>
      </c>
      <c r="J562" s="2" t="s">
        <v>6067</v>
      </c>
      <c r="K562" s="22"/>
      <c r="L562" s="2"/>
      <c r="M562" s="2"/>
      <c r="N562" s="8" t="s">
        <v>16120</v>
      </c>
      <c r="O562" s="2" t="s">
        <v>5247</v>
      </c>
      <c r="P562" s="2" t="s">
        <v>6</v>
      </c>
      <c r="Q562" s="24"/>
      <c r="R562" s="25"/>
      <c r="S562" s="22"/>
      <c r="T562" s="1770"/>
      <c r="U562" s="1780"/>
      <c r="V562" s="1752"/>
    </row>
    <row r="563" spans="1:22" ht="12" customHeight="1">
      <c r="A563" s="1040" t="str">
        <f t="shared" si="9"/>
        <v>3502</v>
      </c>
      <c r="B563" s="1053" t="s">
        <v>15421</v>
      </c>
      <c r="C563" s="1064"/>
      <c r="D563" s="2">
        <v>22</v>
      </c>
      <c r="E563" s="2"/>
      <c r="F563" s="1065" t="str">
        <f>IF(E563="","$",VLOOKUP(E563,'結果(小)'!$B$2:$F$1295,5,FALSE))</f>
        <v>$</v>
      </c>
      <c r="G563" s="2" t="s">
        <v>15256</v>
      </c>
      <c r="H563" s="6">
        <v>52</v>
      </c>
      <c r="I563" s="2" t="s">
        <v>5</v>
      </c>
      <c r="J563" s="2" t="s">
        <v>6067</v>
      </c>
      <c r="K563" s="22"/>
      <c r="L563" s="2"/>
      <c r="M563" s="2"/>
      <c r="N563" s="4" t="s">
        <v>16120</v>
      </c>
      <c r="O563" s="2" t="s">
        <v>5247</v>
      </c>
      <c r="P563" s="2" t="s">
        <v>6</v>
      </c>
      <c r="Q563" s="24"/>
      <c r="R563" s="25"/>
      <c r="S563" s="22"/>
      <c r="T563" s="1770"/>
      <c r="U563" s="1780"/>
      <c r="V563" s="1752"/>
    </row>
    <row r="564" spans="1:22" ht="12" customHeight="1">
      <c r="A564" s="1040" t="str">
        <f t="shared" si="9"/>
        <v>3502</v>
      </c>
      <c r="B564" s="1053" t="s">
        <v>15422</v>
      </c>
      <c r="C564" s="1064"/>
      <c r="D564" s="2">
        <v>23</v>
      </c>
      <c r="E564" s="2"/>
      <c r="F564" s="1065" t="str">
        <f>IF(E564="","$",VLOOKUP(E564,'結果(小)'!$B$2:$F$1295,5,FALSE))</f>
        <v>$</v>
      </c>
      <c r="G564" s="2" t="s">
        <v>6087</v>
      </c>
      <c r="H564" s="6">
        <v>52</v>
      </c>
      <c r="I564" s="2" t="s">
        <v>5</v>
      </c>
      <c r="J564" s="2" t="s">
        <v>6067</v>
      </c>
      <c r="K564" s="22"/>
      <c r="L564" s="2"/>
      <c r="M564" s="2"/>
      <c r="N564" s="4" t="s">
        <v>16120</v>
      </c>
      <c r="O564" s="2" t="s">
        <v>5247</v>
      </c>
      <c r="P564" s="2" t="s">
        <v>6</v>
      </c>
      <c r="Q564" s="24"/>
      <c r="R564" s="25"/>
      <c r="S564" s="22"/>
      <c r="T564" s="1770"/>
      <c r="U564" s="1780"/>
      <c r="V564" s="1752"/>
    </row>
    <row r="565" spans="1:22" ht="12" customHeight="1">
      <c r="A565" s="1040" t="str">
        <f t="shared" si="9"/>
        <v>3502</v>
      </c>
      <c r="B565" s="1053" t="s">
        <v>15423</v>
      </c>
      <c r="C565" s="1064"/>
      <c r="D565" s="2">
        <v>24</v>
      </c>
      <c r="E565" s="2"/>
      <c r="F565" s="1065" t="str">
        <f>IF(E565="","$",VLOOKUP(E565,'結果(小)'!$B$2:$F$1295,5,FALSE))</f>
        <v>$</v>
      </c>
      <c r="G565" s="2" t="s">
        <v>6089</v>
      </c>
      <c r="H565" s="6">
        <v>63</v>
      </c>
      <c r="I565" s="2" t="s">
        <v>5</v>
      </c>
      <c r="J565" s="2" t="s">
        <v>6067</v>
      </c>
      <c r="K565" s="22"/>
      <c r="L565" s="2"/>
      <c r="M565" s="2"/>
      <c r="N565" s="8" t="s">
        <v>16120</v>
      </c>
      <c r="O565" s="2" t="s">
        <v>5247</v>
      </c>
      <c r="P565" s="2" t="s">
        <v>6</v>
      </c>
      <c r="Q565" s="24"/>
      <c r="R565" s="25"/>
      <c r="S565" s="22"/>
      <c r="T565" s="1770"/>
      <c r="U565" s="1780"/>
      <c r="V565" s="1752"/>
    </row>
    <row r="566" spans="1:22" ht="12" customHeight="1" thickBot="1">
      <c r="A566" s="916" t="str">
        <f t="shared" si="9"/>
        <v>3502</v>
      </c>
      <c r="B566" s="1074" t="s">
        <v>15424</v>
      </c>
      <c r="C566" s="1075"/>
      <c r="D566" s="702">
        <v>25</v>
      </c>
      <c r="E566" s="702"/>
      <c r="F566" s="1071" t="str">
        <f>IF(E566="","$",VLOOKUP(E566,'結果(小)'!$B$2:$F$1295,5,FALSE))</f>
        <v>$</v>
      </c>
      <c r="G566" s="702" t="s">
        <v>6092</v>
      </c>
      <c r="H566" s="701">
        <v>57</v>
      </c>
      <c r="I566" s="702" t="s">
        <v>5</v>
      </c>
      <c r="J566" s="702" t="s">
        <v>6067</v>
      </c>
      <c r="K566" s="720"/>
      <c r="L566" s="702"/>
      <c r="M566" s="702"/>
      <c r="N566" s="770" t="s">
        <v>16120</v>
      </c>
      <c r="O566" s="702" t="s">
        <v>5247</v>
      </c>
      <c r="P566" s="702" t="s">
        <v>6</v>
      </c>
      <c r="Q566" s="721"/>
      <c r="R566" s="722"/>
      <c r="S566" s="720"/>
      <c r="T566" s="1771"/>
      <c r="U566" s="1776"/>
      <c r="V566" s="1753"/>
    </row>
    <row r="567" spans="1:22" ht="12" customHeight="1">
      <c r="A567" s="1038" t="str">
        <f t="shared" si="9"/>
        <v>3503</v>
      </c>
      <c r="B567" s="1097" t="s">
        <v>16383</v>
      </c>
      <c r="C567" s="1073"/>
      <c r="D567" s="696">
        <v>1</v>
      </c>
      <c r="E567" s="688" t="s">
        <v>2188</v>
      </c>
      <c r="F567" s="1068" t="e">
        <f>IF(E567="","$",VLOOKUP(E567,'結果(小)'!$B$2:$F$1295,5,FALSE))</f>
        <v>#DIV/0!</v>
      </c>
      <c r="G567" s="687" t="s">
        <v>2538</v>
      </c>
      <c r="H567" s="690">
        <v>31</v>
      </c>
      <c r="I567" s="696" t="s">
        <v>5</v>
      </c>
      <c r="J567" s="687" t="s">
        <v>15273</v>
      </c>
      <c r="K567" s="747"/>
      <c r="L567" s="687"/>
      <c r="M567" s="687"/>
      <c r="N567" s="688" t="s">
        <v>16125</v>
      </c>
      <c r="O567" s="687"/>
      <c r="P567" s="687" t="s">
        <v>6</v>
      </c>
      <c r="Q567" s="748"/>
      <c r="R567" s="749"/>
      <c r="S567" s="747" t="s">
        <v>5561</v>
      </c>
      <c r="T567" s="1772"/>
      <c r="U567" s="1775"/>
      <c r="V567" s="1751" t="e">
        <f>U567/SUM(U522:U594)</f>
        <v>#DIV/0!</v>
      </c>
    </row>
    <row r="568" spans="1:22" ht="12" customHeight="1">
      <c r="A568" s="1040" t="str">
        <f t="shared" si="9"/>
        <v>3503</v>
      </c>
      <c r="B568" s="1054" t="s">
        <v>16384</v>
      </c>
      <c r="C568" s="1064"/>
      <c r="D568" s="2">
        <v>1</v>
      </c>
      <c r="E568" s="4" t="s">
        <v>2470</v>
      </c>
      <c r="F568" s="1065" t="e">
        <f>IF(E568="","$",VLOOKUP(E568,'結果(小)'!$B$2:$F$1295,5,FALSE))</f>
        <v>#DIV/0!</v>
      </c>
      <c r="G568" s="1" t="s">
        <v>2478</v>
      </c>
      <c r="H568" s="6">
        <v>43</v>
      </c>
      <c r="I568" s="2" t="s">
        <v>5</v>
      </c>
      <c r="J568" s="1" t="s">
        <v>15273</v>
      </c>
      <c r="K568" s="3"/>
      <c r="L568" s="1"/>
      <c r="M568" s="1"/>
      <c r="N568" s="4" t="s">
        <v>16125</v>
      </c>
      <c r="O568" s="1"/>
      <c r="P568" s="1" t="s">
        <v>6</v>
      </c>
      <c r="Q568" s="16"/>
      <c r="R568" s="17"/>
      <c r="S568" s="3" t="s">
        <v>5561</v>
      </c>
      <c r="T568" s="1773"/>
      <c r="U568" s="1780"/>
      <c r="V568" s="1752"/>
    </row>
    <row r="569" spans="1:22" ht="12" customHeight="1" thickBot="1">
      <c r="A569" s="916" t="str">
        <f t="shared" si="9"/>
        <v>3503</v>
      </c>
      <c r="B569" s="1098" t="s">
        <v>16385</v>
      </c>
      <c r="C569" s="1075"/>
      <c r="D569" s="702">
        <v>1</v>
      </c>
      <c r="E569" s="700" t="s">
        <v>2486</v>
      </c>
      <c r="F569" s="1071" t="e">
        <f>IF(E569="","$",VLOOKUP(E569,'結果(小)'!$B$2:$F$1295,5,FALSE))</f>
        <v>#DIV/0!</v>
      </c>
      <c r="G569" s="906" t="s">
        <v>2491</v>
      </c>
      <c r="H569" s="701">
        <v>43</v>
      </c>
      <c r="I569" s="702" t="s">
        <v>5</v>
      </c>
      <c r="J569" s="906" t="s">
        <v>15273</v>
      </c>
      <c r="K569" s="703" t="s">
        <v>2492</v>
      </c>
      <c r="L569" s="906"/>
      <c r="M569" s="906"/>
      <c r="N569" s="700" t="s">
        <v>16125</v>
      </c>
      <c r="O569" s="906"/>
      <c r="P569" s="906" t="s">
        <v>25</v>
      </c>
      <c r="Q569" s="705">
        <v>1</v>
      </c>
      <c r="R569" s="903">
        <v>1</v>
      </c>
      <c r="S569" s="703" t="s">
        <v>5561</v>
      </c>
      <c r="T569" s="1774"/>
      <c r="U569" s="1776"/>
      <c r="V569" s="1753"/>
    </row>
    <row r="570" spans="1:22" ht="12" customHeight="1">
      <c r="A570" s="1038" t="str">
        <f t="shared" si="9"/>
        <v>3504</v>
      </c>
      <c r="B570" s="1081" t="s">
        <v>2510</v>
      </c>
      <c r="C570" s="1073"/>
      <c r="D570" s="696">
        <v>1</v>
      </c>
      <c r="E570" s="696"/>
      <c r="F570" s="1068" t="str">
        <f>IF(E570="","$",VLOOKUP(E570,'結果(小)'!$B$2:$F$1295,5,FALSE))</f>
        <v>$</v>
      </c>
      <c r="G570" s="690" t="s">
        <v>2511</v>
      </c>
      <c r="H570" s="690">
        <v>68</v>
      </c>
      <c r="I570" s="690" t="s">
        <v>5</v>
      </c>
      <c r="J570" s="696" t="s">
        <v>6067</v>
      </c>
      <c r="K570" s="735" t="s">
        <v>2512</v>
      </c>
      <c r="L570" s="690"/>
      <c r="M570" s="736"/>
      <c r="N570" s="716" t="s">
        <v>16118</v>
      </c>
      <c r="O570" s="690"/>
      <c r="P570" s="690" t="s">
        <v>25</v>
      </c>
      <c r="Q570" s="737">
        <v>5</v>
      </c>
      <c r="R570" s="738">
        <v>5</v>
      </c>
      <c r="S570" s="735"/>
      <c r="T570" s="1763"/>
      <c r="U570" s="1775"/>
      <c r="V570" s="1751" t="e">
        <f>U570/SUM(U522:U594)</f>
        <v>#DIV/0!</v>
      </c>
    </row>
    <row r="571" spans="1:22" ht="12" customHeight="1" thickBot="1">
      <c r="A571" s="916" t="str">
        <f t="shared" si="9"/>
        <v>3504</v>
      </c>
      <c r="B571" s="1082" t="s">
        <v>5910</v>
      </c>
      <c r="C571" s="1075"/>
      <c r="D571" s="702">
        <v>2</v>
      </c>
      <c r="E571" s="702"/>
      <c r="F571" s="1071" t="str">
        <f>IF(E571="","$",VLOOKUP(E571,'結果(小)'!$B$2:$F$1295,5,FALSE))</f>
        <v>$</v>
      </c>
      <c r="G571" s="701" t="s">
        <v>5911</v>
      </c>
      <c r="H571" s="701">
        <v>39</v>
      </c>
      <c r="I571" s="701" t="s">
        <v>5</v>
      </c>
      <c r="J571" s="702" t="s">
        <v>6067</v>
      </c>
      <c r="K571" s="740"/>
      <c r="L571" s="701"/>
      <c r="M571" s="741"/>
      <c r="N571" s="704" t="s">
        <v>16118</v>
      </c>
      <c r="O571" s="701"/>
      <c r="P571" s="701" t="s">
        <v>6</v>
      </c>
      <c r="Q571" s="742"/>
      <c r="R571" s="743"/>
      <c r="S571" s="740"/>
      <c r="T571" s="1765"/>
      <c r="U571" s="1776"/>
      <c r="V571" s="1753"/>
    </row>
    <row r="572" spans="1:22" ht="12" customHeight="1">
      <c r="A572" s="1038" t="str">
        <f t="shared" si="9"/>
        <v>3505</v>
      </c>
      <c r="B572" s="1083" t="s">
        <v>5865</v>
      </c>
      <c r="C572" s="1073"/>
      <c r="D572" s="696">
        <v>1</v>
      </c>
      <c r="E572" s="696"/>
      <c r="F572" s="1068" t="str">
        <f>IF(E572="","$",VLOOKUP(E572,'結果(小)'!$B$2:$F$1295,5,FALSE))</f>
        <v>$</v>
      </c>
      <c r="G572" s="690" t="s">
        <v>5866</v>
      </c>
      <c r="H572" s="690">
        <v>48</v>
      </c>
      <c r="I572" s="690" t="s">
        <v>5</v>
      </c>
      <c r="J572" s="696" t="s">
        <v>6067</v>
      </c>
      <c r="K572" s="735"/>
      <c r="L572" s="690"/>
      <c r="M572" s="736"/>
      <c r="N572" s="692" t="s">
        <v>16130</v>
      </c>
      <c r="O572" s="690" t="s">
        <v>5867</v>
      </c>
      <c r="P572" s="690" t="s">
        <v>14</v>
      </c>
      <c r="Q572" s="737">
        <v>3</v>
      </c>
      <c r="R572" s="738">
        <v>3</v>
      </c>
      <c r="S572" s="735"/>
      <c r="T572" s="1766"/>
      <c r="U572" s="1775"/>
      <c r="V572" s="1751" t="e">
        <f>U572/SUM(U522:U594)</f>
        <v>#DIV/0!</v>
      </c>
    </row>
    <row r="573" spans="1:22" ht="12" customHeight="1">
      <c r="A573" s="1040" t="str">
        <f t="shared" si="9"/>
        <v>3505</v>
      </c>
      <c r="B573" s="1056" t="s">
        <v>16386</v>
      </c>
      <c r="C573" s="1064"/>
      <c r="D573" s="2">
        <v>2</v>
      </c>
      <c r="E573" s="4" t="s">
        <v>2237</v>
      </c>
      <c r="F573" s="1065" t="e">
        <f>IF(E573="","$",VLOOKUP(E573,'結果(小)'!$B$2:$F$1295,5,FALSE))</f>
        <v>#DIV/0!</v>
      </c>
      <c r="G573" s="1" t="s">
        <v>2252</v>
      </c>
      <c r="H573" s="6">
        <v>64</v>
      </c>
      <c r="I573" s="2" t="s">
        <v>5</v>
      </c>
      <c r="J573" s="1" t="s">
        <v>15273</v>
      </c>
      <c r="K573" s="3"/>
      <c r="L573" s="1"/>
      <c r="M573" s="1"/>
      <c r="N573" s="4" t="s">
        <v>16116</v>
      </c>
      <c r="O573" s="1" t="s">
        <v>276</v>
      </c>
      <c r="P573" s="1" t="s">
        <v>14</v>
      </c>
      <c r="Q573" s="16">
        <v>3</v>
      </c>
      <c r="R573" s="17">
        <v>3</v>
      </c>
      <c r="S573" s="3"/>
      <c r="T573" s="1767"/>
      <c r="U573" s="1780"/>
      <c r="V573" s="1752"/>
    </row>
    <row r="574" spans="1:22" ht="12" customHeight="1">
      <c r="A574" s="1040" t="str">
        <f t="shared" si="9"/>
        <v>3505</v>
      </c>
      <c r="B574" s="1056" t="s">
        <v>16387</v>
      </c>
      <c r="C574" s="1064"/>
      <c r="D574" s="2">
        <v>2</v>
      </c>
      <c r="E574" s="4" t="s">
        <v>2258</v>
      </c>
      <c r="F574" s="1065" t="e">
        <f>IF(E574="","$",VLOOKUP(E574,'結果(小)'!$B$2:$F$1295,5,FALSE))</f>
        <v>#DIV/0!</v>
      </c>
      <c r="G574" s="1" t="s">
        <v>5404</v>
      </c>
      <c r="H574" s="6">
        <v>45</v>
      </c>
      <c r="I574" s="2" t="s">
        <v>5</v>
      </c>
      <c r="J574" s="1" t="s">
        <v>15273</v>
      </c>
      <c r="K574" s="3"/>
      <c r="L574" s="1"/>
      <c r="M574" s="1"/>
      <c r="N574" s="4" t="s">
        <v>16116</v>
      </c>
      <c r="O574" s="1" t="s">
        <v>276</v>
      </c>
      <c r="P574" s="1" t="s">
        <v>6</v>
      </c>
      <c r="Q574" s="16"/>
      <c r="R574" s="17"/>
      <c r="S574" s="3" t="s">
        <v>469</v>
      </c>
      <c r="T574" s="1767"/>
      <c r="U574" s="1780"/>
      <c r="V574" s="1752"/>
    </row>
    <row r="575" spans="1:22" ht="12" customHeight="1">
      <c r="A575" s="1040" t="str">
        <f t="shared" si="9"/>
        <v>3505</v>
      </c>
      <c r="B575" s="1056" t="s">
        <v>16388</v>
      </c>
      <c r="C575" s="1064"/>
      <c r="D575" s="2">
        <v>2</v>
      </c>
      <c r="E575" s="4" t="s">
        <v>5210</v>
      </c>
      <c r="F575" s="1065" t="e">
        <f>IF(E575="","$",VLOOKUP(E575,'結果(小)'!$B$2:$F$1295,5,FALSE))</f>
        <v>#DIV/0!</v>
      </c>
      <c r="G575" s="1" t="s">
        <v>5211</v>
      </c>
      <c r="H575" s="6">
        <v>31</v>
      </c>
      <c r="I575" s="2" t="s">
        <v>5</v>
      </c>
      <c r="J575" s="1" t="s">
        <v>15273</v>
      </c>
      <c r="K575" s="3"/>
      <c r="L575" s="1"/>
      <c r="M575" s="1"/>
      <c r="N575" s="4" t="s">
        <v>16116</v>
      </c>
      <c r="O575" s="1" t="s">
        <v>4997</v>
      </c>
      <c r="P575" s="1" t="s">
        <v>6</v>
      </c>
      <c r="Q575" s="16"/>
      <c r="R575" s="17"/>
      <c r="S575" s="3" t="s">
        <v>469</v>
      </c>
      <c r="T575" s="1767"/>
      <c r="U575" s="1780"/>
      <c r="V575" s="1752"/>
    </row>
    <row r="576" spans="1:22" ht="12" customHeight="1">
      <c r="A576" s="1040" t="str">
        <f t="shared" si="9"/>
        <v>3505</v>
      </c>
      <c r="B576" s="1056" t="s">
        <v>16389</v>
      </c>
      <c r="C576" s="1064"/>
      <c r="D576" s="2">
        <v>2</v>
      </c>
      <c r="E576" s="4" t="s">
        <v>2383</v>
      </c>
      <c r="F576" s="1065" t="e">
        <f>IF(E576="","$",VLOOKUP(E576,'結果(小)'!$B$2:$F$1295,5,FALSE))</f>
        <v>#DIV/0!</v>
      </c>
      <c r="G576" s="1" t="s">
        <v>5328</v>
      </c>
      <c r="H576" s="6">
        <v>39</v>
      </c>
      <c r="I576" s="2" t="s">
        <v>5</v>
      </c>
      <c r="J576" s="1" t="s">
        <v>15273</v>
      </c>
      <c r="K576" s="3"/>
      <c r="L576" s="1"/>
      <c r="M576" s="1"/>
      <c r="N576" s="4" t="s">
        <v>16116</v>
      </c>
      <c r="O576" s="1" t="s">
        <v>4422</v>
      </c>
      <c r="P576" s="1" t="s">
        <v>6</v>
      </c>
      <c r="Q576" s="16"/>
      <c r="R576" s="17"/>
      <c r="S576" s="3" t="s">
        <v>469</v>
      </c>
      <c r="T576" s="1767"/>
      <c r="U576" s="1780"/>
      <c r="V576" s="1752"/>
    </row>
    <row r="577" spans="1:22" ht="12" customHeight="1">
      <c r="A577" s="1040" t="str">
        <f t="shared" si="9"/>
        <v>3505</v>
      </c>
      <c r="B577" s="1056" t="s">
        <v>16390</v>
      </c>
      <c r="C577" s="1064"/>
      <c r="D577" s="2">
        <v>2</v>
      </c>
      <c r="E577" s="4" t="s">
        <v>2418</v>
      </c>
      <c r="F577" s="1065" t="e">
        <f>IF(E577="","$",VLOOKUP(E577,'結果(小)'!$B$2:$F$1295,5,FALSE))</f>
        <v>#DIV/0!</v>
      </c>
      <c r="G577" s="1" t="s">
        <v>5408</v>
      </c>
      <c r="H577" s="6">
        <v>38</v>
      </c>
      <c r="I577" s="2" t="s">
        <v>5</v>
      </c>
      <c r="J577" s="1" t="s">
        <v>15273</v>
      </c>
      <c r="K577" s="3"/>
      <c r="L577" s="1"/>
      <c r="M577" s="1"/>
      <c r="N577" s="4" t="s">
        <v>16116</v>
      </c>
      <c r="O577" s="1" t="s">
        <v>4997</v>
      </c>
      <c r="P577" s="1" t="s">
        <v>6</v>
      </c>
      <c r="Q577" s="16"/>
      <c r="R577" s="17"/>
      <c r="S577" s="3" t="s">
        <v>469</v>
      </c>
      <c r="T577" s="1767"/>
      <c r="U577" s="1780"/>
      <c r="V577" s="1752"/>
    </row>
    <row r="578" spans="1:22" ht="12" customHeight="1">
      <c r="A578" s="1040" t="str">
        <f t="shared" si="9"/>
        <v>3505</v>
      </c>
      <c r="B578" s="1056" t="s">
        <v>16391</v>
      </c>
      <c r="C578" s="1064"/>
      <c r="D578" s="2">
        <v>2</v>
      </c>
      <c r="E578" s="4" t="s">
        <v>2434</v>
      </c>
      <c r="F578" s="1065" t="e">
        <f>IF(E578="","$",VLOOKUP(E578,'結果(小)'!$B$2:$F$1295,5,FALSE))</f>
        <v>#DIV/0!</v>
      </c>
      <c r="G578" s="1" t="s">
        <v>5611</v>
      </c>
      <c r="H578" s="6">
        <v>57</v>
      </c>
      <c r="I578" s="2" t="s">
        <v>5</v>
      </c>
      <c r="J578" s="1" t="s">
        <v>15273</v>
      </c>
      <c r="K578" s="3"/>
      <c r="L578" s="1"/>
      <c r="M578" s="1"/>
      <c r="N578" s="4" t="s">
        <v>16116</v>
      </c>
      <c r="O578" s="1" t="s">
        <v>4997</v>
      </c>
      <c r="P578" s="1" t="s">
        <v>6</v>
      </c>
      <c r="Q578" s="16"/>
      <c r="R578" s="17"/>
      <c r="S578" s="3" t="s">
        <v>469</v>
      </c>
      <c r="T578" s="1767"/>
      <c r="U578" s="1780"/>
      <c r="V578" s="1752"/>
    </row>
    <row r="579" spans="1:22" ht="12" customHeight="1">
      <c r="A579" s="1040" t="str">
        <f t="shared" ref="A579:A642" si="10">MIDB(B579,1,4)</f>
        <v>3505</v>
      </c>
      <c r="B579" s="1056" t="s">
        <v>16392</v>
      </c>
      <c r="C579" s="1064"/>
      <c r="D579" s="2">
        <v>2</v>
      </c>
      <c r="E579" s="4" t="s">
        <v>2445</v>
      </c>
      <c r="F579" s="1065" t="e">
        <f>IF(E579="","$",VLOOKUP(E579,'結果(小)'!$B$2:$F$1295,5,FALSE))</f>
        <v>#DIV/0!</v>
      </c>
      <c r="G579" s="1" t="s">
        <v>5297</v>
      </c>
      <c r="H579" s="6">
        <v>29</v>
      </c>
      <c r="I579" s="2" t="s">
        <v>5</v>
      </c>
      <c r="J579" s="1" t="s">
        <v>15273</v>
      </c>
      <c r="K579" s="3"/>
      <c r="L579" s="1"/>
      <c r="M579" s="1"/>
      <c r="N579" s="4" t="s">
        <v>16116</v>
      </c>
      <c r="O579" s="1" t="s">
        <v>4997</v>
      </c>
      <c r="P579" s="1" t="s">
        <v>6</v>
      </c>
      <c r="Q579" s="16"/>
      <c r="R579" s="17"/>
      <c r="S579" s="3" t="s">
        <v>469</v>
      </c>
      <c r="T579" s="1767"/>
      <c r="U579" s="1780"/>
      <c r="V579" s="1752"/>
    </row>
    <row r="580" spans="1:22" ht="12" customHeight="1">
      <c r="A580" s="1040" t="str">
        <f t="shared" si="10"/>
        <v>3505</v>
      </c>
      <c r="B580" s="1056" t="s">
        <v>16393</v>
      </c>
      <c r="C580" s="1064"/>
      <c r="D580" s="2">
        <v>2</v>
      </c>
      <c r="E580" s="4" t="s">
        <v>2457</v>
      </c>
      <c r="F580" s="1065" t="e">
        <f>IF(E580="","$",VLOOKUP(E580,'結果(小)'!$B$2:$F$1295,5,FALSE))</f>
        <v>#DIV/0!</v>
      </c>
      <c r="G580" s="1" t="s">
        <v>5301</v>
      </c>
      <c r="H580" s="6">
        <v>44</v>
      </c>
      <c r="I580" s="2" t="s">
        <v>5</v>
      </c>
      <c r="J580" s="1" t="s">
        <v>15273</v>
      </c>
      <c r="K580" s="3"/>
      <c r="L580" s="1"/>
      <c r="M580" s="1"/>
      <c r="N580" s="4" t="s">
        <v>16116</v>
      </c>
      <c r="O580" s="1" t="s">
        <v>4997</v>
      </c>
      <c r="P580" s="1" t="s">
        <v>6</v>
      </c>
      <c r="Q580" s="16"/>
      <c r="R580" s="17"/>
      <c r="S580" s="3"/>
      <c r="T580" s="1767"/>
      <c r="U580" s="1780"/>
      <c r="V580" s="1752"/>
    </row>
    <row r="581" spans="1:22" ht="12" customHeight="1" thickBot="1">
      <c r="A581" s="916" t="str">
        <f t="shared" si="10"/>
        <v>3505</v>
      </c>
      <c r="B581" s="1084" t="s">
        <v>15664</v>
      </c>
      <c r="C581" s="1075"/>
      <c r="D581" s="702">
        <v>10</v>
      </c>
      <c r="E581" s="702"/>
      <c r="F581" s="1071" t="str">
        <f>IF(E581="","$",VLOOKUP(E581,'結果(小)'!$B$2:$F$1295,5,FALSE))</f>
        <v>$</v>
      </c>
      <c r="G581" s="701" t="s">
        <v>15665</v>
      </c>
      <c r="H581" s="701">
        <v>33</v>
      </c>
      <c r="I581" s="701" t="s">
        <v>5</v>
      </c>
      <c r="J581" s="702" t="s">
        <v>6067</v>
      </c>
      <c r="K581" s="740"/>
      <c r="L581" s="701"/>
      <c r="M581" s="741"/>
      <c r="N581" s="704" t="s">
        <v>16130</v>
      </c>
      <c r="O581" s="701" t="s">
        <v>4993</v>
      </c>
      <c r="P581" s="701" t="s">
        <v>6</v>
      </c>
      <c r="Q581" s="742"/>
      <c r="R581" s="743"/>
      <c r="S581" s="740"/>
      <c r="T581" s="1768"/>
      <c r="U581" s="1776"/>
      <c r="V581" s="1753"/>
    </row>
    <row r="582" spans="1:22" ht="12" customHeight="1">
      <c r="A582" s="1038" t="str">
        <f t="shared" si="10"/>
        <v>3506</v>
      </c>
      <c r="B582" s="1104" t="s">
        <v>16395</v>
      </c>
      <c r="C582" s="1073"/>
      <c r="D582" s="696">
        <v>1</v>
      </c>
      <c r="E582" s="688" t="s">
        <v>2401</v>
      </c>
      <c r="F582" s="1068" t="e">
        <f>IF(E582="","$",VLOOKUP(E582,'結果(小)'!$B$2:$F$1295,5,FALSE))</f>
        <v>#DIV/0!</v>
      </c>
      <c r="G582" s="687" t="s">
        <v>2414</v>
      </c>
      <c r="H582" s="690">
        <v>42</v>
      </c>
      <c r="I582" s="696" t="s">
        <v>5</v>
      </c>
      <c r="J582" s="687" t="s">
        <v>15273</v>
      </c>
      <c r="K582" s="747"/>
      <c r="L582" s="687"/>
      <c r="M582" s="687"/>
      <c r="N582" s="688" t="s">
        <v>16128</v>
      </c>
      <c r="O582" s="687"/>
      <c r="P582" s="687" t="s">
        <v>6</v>
      </c>
      <c r="Q582" s="748"/>
      <c r="R582" s="749"/>
      <c r="S582" s="747" t="s">
        <v>6031</v>
      </c>
      <c r="T582" s="1757"/>
      <c r="U582" s="1775"/>
      <c r="V582" s="1751" t="e">
        <f>U582/SUM(U522:U594)</f>
        <v>#DIV/0!</v>
      </c>
    </row>
    <row r="583" spans="1:22" ht="12" customHeight="1" thickBot="1">
      <c r="A583" s="916" t="str">
        <f t="shared" si="10"/>
        <v>3506</v>
      </c>
      <c r="B583" s="1105" t="s">
        <v>16396</v>
      </c>
      <c r="C583" s="1075"/>
      <c r="D583" s="702">
        <v>1</v>
      </c>
      <c r="E583" s="700" t="s">
        <v>2458</v>
      </c>
      <c r="F583" s="1071" t="e">
        <f>IF(E583="","$",VLOOKUP(E583,'結果(小)'!$B$2:$F$1295,5,FALSE))</f>
        <v>#DIV/0!</v>
      </c>
      <c r="G583" s="906" t="s">
        <v>2464</v>
      </c>
      <c r="H583" s="701">
        <v>35</v>
      </c>
      <c r="I583" s="702" t="s">
        <v>5</v>
      </c>
      <c r="J583" s="906" t="s">
        <v>15273</v>
      </c>
      <c r="K583" s="703"/>
      <c r="L583" s="906"/>
      <c r="M583" s="906"/>
      <c r="N583" s="700" t="s">
        <v>16128</v>
      </c>
      <c r="O583" s="906"/>
      <c r="P583" s="906" t="s">
        <v>6</v>
      </c>
      <c r="Q583" s="705"/>
      <c r="R583" s="903"/>
      <c r="S583" s="703"/>
      <c r="T583" s="1759"/>
      <c r="U583" s="1776"/>
      <c r="V583" s="1753"/>
    </row>
    <row r="584" spans="1:22" ht="12" customHeight="1">
      <c r="A584" s="1038" t="str">
        <f t="shared" si="10"/>
        <v>3507</v>
      </c>
      <c r="B584" s="1087" t="s">
        <v>5670</v>
      </c>
      <c r="C584" s="1073"/>
      <c r="D584" s="696">
        <v>1</v>
      </c>
      <c r="E584" s="696"/>
      <c r="F584" s="1068" t="str">
        <f>IF(E584="","$",VLOOKUP(E584,'結果(小)'!$B$2:$F$1295,5,FALSE))</f>
        <v>$</v>
      </c>
      <c r="G584" s="696" t="s">
        <v>2534</v>
      </c>
      <c r="H584" s="690">
        <v>42</v>
      </c>
      <c r="I584" s="696" t="s">
        <v>5</v>
      </c>
      <c r="J584" s="696" t="s">
        <v>6067</v>
      </c>
      <c r="K584" s="715"/>
      <c r="L584" s="696"/>
      <c r="M584" s="696"/>
      <c r="N584" s="692" t="s">
        <v>16117</v>
      </c>
      <c r="O584" s="696"/>
      <c r="P584" s="696" t="s">
        <v>6</v>
      </c>
      <c r="Q584" s="717"/>
      <c r="R584" s="718"/>
      <c r="S584" s="715"/>
      <c r="T584" s="1760"/>
      <c r="U584" s="1775"/>
      <c r="V584" s="1751" t="e">
        <f>U584/SUM(U522:U594)</f>
        <v>#DIV/0!</v>
      </c>
    </row>
    <row r="585" spans="1:22" ht="12" customHeight="1" thickBot="1">
      <c r="A585" s="916" t="str">
        <f t="shared" si="10"/>
        <v>3507</v>
      </c>
      <c r="B585" s="1088" t="s">
        <v>5671</v>
      </c>
      <c r="C585" s="1075"/>
      <c r="D585" s="702">
        <v>2</v>
      </c>
      <c r="E585" s="702"/>
      <c r="F585" s="1071" t="str">
        <f>IF(E585="","$",VLOOKUP(E585,'結果(小)'!$B$2:$F$1295,5,FALSE))</f>
        <v>$</v>
      </c>
      <c r="G585" s="702" t="s">
        <v>5489</v>
      </c>
      <c r="H585" s="701">
        <v>64</v>
      </c>
      <c r="I585" s="702" t="s">
        <v>19</v>
      </c>
      <c r="J585" s="702" t="s">
        <v>6067</v>
      </c>
      <c r="K585" s="720"/>
      <c r="L585" s="702"/>
      <c r="M585" s="702"/>
      <c r="N585" s="704" t="s">
        <v>16117</v>
      </c>
      <c r="O585" s="702"/>
      <c r="P585" s="702" t="s">
        <v>6</v>
      </c>
      <c r="Q585" s="721"/>
      <c r="R585" s="722"/>
      <c r="S585" s="720"/>
      <c r="T585" s="1762"/>
      <c r="U585" s="1776"/>
      <c r="V585" s="1753"/>
    </row>
    <row r="586" spans="1:22" ht="12" customHeight="1">
      <c r="A586" s="1038" t="str">
        <f t="shared" si="10"/>
        <v>3508</v>
      </c>
      <c r="B586" s="1099" t="s">
        <v>16397</v>
      </c>
      <c r="C586" s="1073"/>
      <c r="D586" s="696">
        <v>1</v>
      </c>
      <c r="E586" s="688" t="s">
        <v>2203</v>
      </c>
      <c r="F586" s="1068" t="e">
        <f>IF(E586="","$",VLOOKUP(E586,'結果(小)'!$B$2:$F$1295,5,FALSE))</f>
        <v>#DIV/0!</v>
      </c>
      <c r="G586" s="687" t="s">
        <v>2217</v>
      </c>
      <c r="H586" s="690">
        <v>62</v>
      </c>
      <c r="I586" s="696" t="s">
        <v>5</v>
      </c>
      <c r="J586" s="687" t="s">
        <v>15273</v>
      </c>
      <c r="K586" s="747"/>
      <c r="L586" s="687"/>
      <c r="M586" s="687"/>
      <c r="N586" s="688" t="s">
        <v>16121</v>
      </c>
      <c r="O586" s="687"/>
      <c r="P586" s="687" t="s">
        <v>6</v>
      </c>
      <c r="Q586" s="748"/>
      <c r="R586" s="749"/>
      <c r="S586" s="747"/>
      <c r="T586" s="1745"/>
      <c r="U586" s="1775"/>
      <c r="V586" s="1751" t="e">
        <f>U586/SUM(U522:U594)</f>
        <v>#DIV/0!</v>
      </c>
    </row>
    <row r="587" spans="1:22" ht="12" customHeight="1">
      <c r="A587" s="1040" t="str">
        <f t="shared" si="10"/>
        <v>3508</v>
      </c>
      <c r="B587" s="1062" t="s">
        <v>16398</v>
      </c>
      <c r="C587" s="1064"/>
      <c r="D587" s="2">
        <v>1</v>
      </c>
      <c r="E587" s="4" t="s">
        <v>2303</v>
      </c>
      <c r="F587" s="1065" t="e">
        <f>IF(E587="","$",VLOOKUP(E587,'結果(小)'!$B$2:$F$1295,5,FALSE))</f>
        <v>#DIV/0!</v>
      </c>
      <c r="G587" s="1" t="s">
        <v>2310</v>
      </c>
      <c r="H587" s="6">
        <v>52</v>
      </c>
      <c r="I587" s="2" t="s">
        <v>5</v>
      </c>
      <c r="J587" s="1" t="s">
        <v>15273</v>
      </c>
      <c r="K587" s="3"/>
      <c r="L587" s="1"/>
      <c r="M587" s="1"/>
      <c r="N587" s="4" t="s">
        <v>16121</v>
      </c>
      <c r="O587" s="1"/>
      <c r="P587" s="1" t="s">
        <v>6</v>
      </c>
      <c r="Q587" s="16"/>
      <c r="R587" s="17"/>
      <c r="S587" s="3"/>
      <c r="T587" s="1746"/>
      <c r="U587" s="1780"/>
      <c r="V587" s="1752"/>
    </row>
    <row r="588" spans="1:22" ht="12" customHeight="1">
      <c r="A588" s="1040" t="str">
        <f t="shared" si="10"/>
        <v>3508</v>
      </c>
      <c r="B588" s="1062" t="s">
        <v>16399</v>
      </c>
      <c r="C588" s="1064"/>
      <c r="D588" s="2">
        <v>1</v>
      </c>
      <c r="E588" s="4" t="s">
        <v>2355</v>
      </c>
      <c r="F588" s="1065" t="e">
        <f>IF(E588="","$",VLOOKUP(E588,'結果(小)'!$B$2:$F$1295,5,FALSE))</f>
        <v>#DIV/0!</v>
      </c>
      <c r="G588" s="1" t="s">
        <v>2363</v>
      </c>
      <c r="H588" s="6">
        <v>59</v>
      </c>
      <c r="I588" s="2" t="s">
        <v>5</v>
      </c>
      <c r="J588" s="1" t="s">
        <v>15273</v>
      </c>
      <c r="K588" s="3"/>
      <c r="L588" s="1"/>
      <c r="M588" s="1"/>
      <c r="N588" s="8" t="s">
        <v>16121</v>
      </c>
      <c r="O588" s="1"/>
      <c r="P588" s="1" t="s">
        <v>6</v>
      </c>
      <c r="Q588" s="16"/>
      <c r="R588" s="17"/>
      <c r="S588" s="3"/>
      <c r="T588" s="1746"/>
      <c r="U588" s="1780"/>
      <c r="V588" s="1752"/>
    </row>
    <row r="589" spans="1:22" ht="12" customHeight="1">
      <c r="A589" s="1040" t="str">
        <f t="shared" si="10"/>
        <v>3508</v>
      </c>
      <c r="B589" s="1062" t="s">
        <v>16400</v>
      </c>
      <c r="C589" s="1064"/>
      <c r="D589" s="2">
        <v>1</v>
      </c>
      <c r="E589" s="4" t="s">
        <v>5327</v>
      </c>
      <c r="F589" s="1065" t="e">
        <f>IF(E589="","$",VLOOKUP(E589,'結果(小)'!$B$2:$F$1295,5,FALSE))</f>
        <v>#DIV/0!</v>
      </c>
      <c r="G589" s="1" t="s">
        <v>2396</v>
      </c>
      <c r="H589" s="6">
        <v>63</v>
      </c>
      <c r="I589" s="2" t="s">
        <v>5</v>
      </c>
      <c r="J589" s="1" t="s">
        <v>15273</v>
      </c>
      <c r="K589" s="3"/>
      <c r="L589" s="1"/>
      <c r="M589" s="1"/>
      <c r="N589" s="4" t="s">
        <v>16121</v>
      </c>
      <c r="O589" s="1"/>
      <c r="P589" s="1" t="s">
        <v>6</v>
      </c>
      <c r="Q589" s="16"/>
      <c r="R589" s="17"/>
      <c r="S589" s="3"/>
      <c r="T589" s="1746"/>
      <c r="U589" s="1780"/>
      <c r="V589" s="1752"/>
    </row>
    <row r="590" spans="1:22" ht="12" customHeight="1">
      <c r="A590" s="1040" t="str">
        <f t="shared" si="10"/>
        <v>3508</v>
      </c>
      <c r="B590" s="1062" t="s">
        <v>16401</v>
      </c>
      <c r="C590" s="1064"/>
      <c r="D590" s="2">
        <v>1</v>
      </c>
      <c r="E590" s="4" t="s">
        <v>4340</v>
      </c>
      <c r="F590" s="1065" t="e">
        <f>IF(E590="","$",VLOOKUP(E590,'結果(小)'!$B$2:$F$1295,5,FALSE))</f>
        <v>#DIV/0!</v>
      </c>
      <c r="G590" s="1" t="s">
        <v>4341</v>
      </c>
      <c r="H590" s="6">
        <v>40</v>
      </c>
      <c r="I590" s="2" t="s">
        <v>19</v>
      </c>
      <c r="J590" s="1" t="s">
        <v>15273</v>
      </c>
      <c r="K590" s="3"/>
      <c r="L590" s="1"/>
      <c r="M590" s="1"/>
      <c r="N590" s="4" t="s">
        <v>16121</v>
      </c>
      <c r="O590" s="1"/>
      <c r="P590" s="1" t="s">
        <v>6</v>
      </c>
      <c r="Q590" s="16"/>
      <c r="R590" s="17"/>
      <c r="S590" s="3"/>
      <c r="T590" s="1746"/>
      <c r="U590" s="1780"/>
      <c r="V590" s="1752"/>
    </row>
    <row r="591" spans="1:22" ht="12" customHeight="1" thickBot="1">
      <c r="A591" s="916" t="str">
        <f t="shared" si="10"/>
        <v>3508</v>
      </c>
      <c r="B591" s="1100" t="s">
        <v>16402</v>
      </c>
      <c r="C591" s="1075"/>
      <c r="D591" s="702">
        <v>6</v>
      </c>
      <c r="E591" s="702"/>
      <c r="F591" s="1071" t="str">
        <f>IF(E591="","$",VLOOKUP(E591,'結果(小)'!$B$2:$F$1295,5,FALSE))</f>
        <v>$</v>
      </c>
      <c r="G591" s="702" t="s">
        <v>5956</v>
      </c>
      <c r="H591" s="701">
        <v>59</v>
      </c>
      <c r="I591" s="702" t="s">
        <v>5</v>
      </c>
      <c r="J591" s="702" t="s">
        <v>6067</v>
      </c>
      <c r="K591" s="720"/>
      <c r="L591" s="702"/>
      <c r="M591" s="702"/>
      <c r="N591" s="704" t="s">
        <v>16121</v>
      </c>
      <c r="O591" s="702"/>
      <c r="P591" s="702" t="s">
        <v>6</v>
      </c>
      <c r="Q591" s="721"/>
      <c r="R591" s="722"/>
      <c r="S591" s="720"/>
      <c r="T591" s="1747"/>
      <c r="U591" s="1776"/>
      <c r="V591" s="1753"/>
    </row>
    <row r="592" spans="1:22" ht="12" customHeight="1">
      <c r="A592" s="1038" t="str">
        <f t="shared" si="10"/>
        <v>3513</v>
      </c>
      <c r="B592" s="1093" t="s">
        <v>16451</v>
      </c>
      <c r="C592" s="1073"/>
      <c r="D592" s="696">
        <v>1</v>
      </c>
      <c r="E592" s="696"/>
      <c r="F592" s="1068" t="str">
        <f>IF(E592="","$",VLOOKUP(E592,'結果(小)'!$B$2:$F$1295,5,FALSE))</f>
        <v>$</v>
      </c>
      <c r="G592" s="696" t="s">
        <v>5128</v>
      </c>
      <c r="H592" s="690">
        <v>52</v>
      </c>
      <c r="I592" s="696" t="s">
        <v>5</v>
      </c>
      <c r="J592" s="696" t="s">
        <v>6067</v>
      </c>
      <c r="K592" s="715"/>
      <c r="L592" s="696"/>
      <c r="M592" s="696"/>
      <c r="N592" s="716" t="s">
        <v>16122</v>
      </c>
      <c r="O592" s="696" t="s">
        <v>22</v>
      </c>
      <c r="P592" s="696" t="s">
        <v>6</v>
      </c>
      <c r="Q592" s="717"/>
      <c r="R592" s="718"/>
      <c r="S592" s="715"/>
      <c r="T592" s="1754"/>
      <c r="U592" s="1775"/>
      <c r="V592" s="1751" t="e">
        <f>U592/SUM(U522:U594)</f>
        <v>#DIV/0!</v>
      </c>
    </row>
    <row r="593" spans="1:22" ht="12" customHeight="1">
      <c r="A593" s="1040" t="str">
        <f t="shared" si="10"/>
        <v>3513</v>
      </c>
      <c r="B593" s="1060" t="s">
        <v>16452</v>
      </c>
      <c r="C593" s="1064"/>
      <c r="D593" s="2">
        <v>2</v>
      </c>
      <c r="E593" s="2"/>
      <c r="F593" s="1065" t="str">
        <f>IF(E593="","$",VLOOKUP(E593,'結果(小)'!$B$2:$F$1295,5,FALSE))</f>
        <v>$</v>
      </c>
      <c r="G593" s="2" t="s">
        <v>4611</v>
      </c>
      <c r="H593" s="6">
        <v>57</v>
      </c>
      <c r="I593" s="2" t="s">
        <v>19</v>
      </c>
      <c r="J593" s="2" t="s">
        <v>6067</v>
      </c>
      <c r="K593" s="22"/>
      <c r="L593" s="2"/>
      <c r="M593" s="2"/>
      <c r="N593" s="23" t="s">
        <v>16122</v>
      </c>
      <c r="O593" s="2" t="s">
        <v>22</v>
      </c>
      <c r="P593" s="2" t="s">
        <v>6</v>
      </c>
      <c r="Q593" s="24"/>
      <c r="R593" s="25"/>
      <c r="S593" s="22"/>
      <c r="T593" s="1755"/>
      <c r="U593" s="1780"/>
      <c r="V593" s="1752"/>
    </row>
    <row r="594" spans="1:22" ht="12" customHeight="1" thickBot="1">
      <c r="A594" s="916" t="str">
        <f t="shared" si="10"/>
        <v>3513</v>
      </c>
      <c r="B594" s="1094" t="s">
        <v>16453</v>
      </c>
      <c r="C594" s="1075"/>
      <c r="D594" s="702">
        <v>3</v>
      </c>
      <c r="E594" s="702"/>
      <c r="F594" s="1071" t="str">
        <f>IF(E594="","$",VLOOKUP(E594,'結果(小)'!$B$2:$F$1295,5,FALSE))</f>
        <v>$</v>
      </c>
      <c r="G594" s="702" t="s">
        <v>5131</v>
      </c>
      <c r="H594" s="701">
        <v>32</v>
      </c>
      <c r="I594" s="702" t="s">
        <v>5</v>
      </c>
      <c r="J594" s="702" t="s">
        <v>6067</v>
      </c>
      <c r="K594" s="720"/>
      <c r="L594" s="702"/>
      <c r="M594" s="702"/>
      <c r="N594" s="770" t="s">
        <v>16122</v>
      </c>
      <c r="O594" s="702" t="s">
        <v>22</v>
      </c>
      <c r="P594" s="702" t="s">
        <v>6</v>
      </c>
      <c r="Q594" s="721"/>
      <c r="R594" s="722"/>
      <c r="S594" s="720"/>
      <c r="T594" s="1756"/>
      <c r="U594" s="1776"/>
      <c r="V594" s="1753"/>
    </row>
    <row r="595" spans="1:22" ht="12" customHeight="1">
      <c r="A595" s="1038" t="str">
        <f t="shared" si="10"/>
        <v>3601</v>
      </c>
      <c r="B595" s="1095" t="s">
        <v>15811</v>
      </c>
      <c r="C595" s="1073"/>
      <c r="D595" s="696">
        <v>1</v>
      </c>
      <c r="E595" s="688" t="s">
        <v>2544</v>
      </c>
      <c r="F595" s="1068" t="e">
        <f>IF(E595="","$",VLOOKUP(E595,'結果(小)'!$B$2:$F$1295,5,FALSE))</f>
        <v>#DIV/0!</v>
      </c>
      <c r="G595" s="687" t="s">
        <v>2549</v>
      </c>
      <c r="H595" s="690">
        <v>33</v>
      </c>
      <c r="I595" s="696" t="s">
        <v>5</v>
      </c>
      <c r="J595" s="689" t="s">
        <v>15273</v>
      </c>
      <c r="K595" s="747" t="s">
        <v>2550</v>
      </c>
      <c r="L595" s="687"/>
      <c r="M595" s="687"/>
      <c r="N595" s="692" t="s">
        <v>16127</v>
      </c>
      <c r="O595" s="687" t="s">
        <v>44</v>
      </c>
      <c r="P595" s="687" t="s">
        <v>25</v>
      </c>
      <c r="Q595" s="748">
        <v>1</v>
      </c>
      <c r="R595" s="749">
        <v>1</v>
      </c>
      <c r="S595" s="747"/>
      <c r="T595" s="1777"/>
      <c r="U595" s="1748"/>
      <c r="V595" s="1751" t="e">
        <f>U595/SUM(U595:U717)</f>
        <v>#DIV/0!</v>
      </c>
    </row>
    <row r="596" spans="1:22" ht="12" customHeight="1">
      <c r="A596" s="1040" t="str">
        <f t="shared" si="10"/>
        <v>3601</v>
      </c>
      <c r="B596" s="1061" t="s">
        <v>15812</v>
      </c>
      <c r="C596" s="1064"/>
      <c r="D596" s="2">
        <v>1</v>
      </c>
      <c r="E596" s="4" t="s">
        <v>2570</v>
      </c>
      <c r="F596" s="1065" t="e">
        <f>IF(E596="","$",VLOOKUP(E596,'結果(小)'!$B$2:$F$1295,5,FALSE))</f>
        <v>#DIV/0!</v>
      </c>
      <c r="G596" s="1" t="s">
        <v>5451</v>
      </c>
      <c r="H596" s="6">
        <v>39</v>
      </c>
      <c r="I596" s="2" t="s">
        <v>5</v>
      </c>
      <c r="J596" s="5" t="s">
        <v>15273</v>
      </c>
      <c r="K596" s="3"/>
      <c r="L596" s="1"/>
      <c r="M596" s="1"/>
      <c r="N596" s="8" t="s">
        <v>16127</v>
      </c>
      <c r="O596" s="1" t="s">
        <v>44</v>
      </c>
      <c r="P596" s="1" t="s">
        <v>6</v>
      </c>
      <c r="Q596" s="16"/>
      <c r="R596" s="17"/>
      <c r="S596" s="3" t="s">
        <v>736</v>
      </c>
      <c r="T596" s="1778"/>
      <c r="U596" s="1749"/>
      <c r="V596" s="1752"/>
    </row>
    <row r="597" spans="1:22" ht="12" customHeight="1">
      <c r="A597" s="1040" t="str">
        <f t="shared" si="10"/>
        <v>3601</v>
      </c>
      <c r="B597" s="1061" t="s">
        <v>15813</v>
      </c>
      <c r="C597" s="1064"/>
      <c r="D597" s="2">
        <v>1</v>
      </c>
      <c r="E597" s="4" t="s">
        <v>2586</v>
      </c>
      <c r="F597" s="1065" t="e">
        <f>IF(E597="","$",VLOOKUP(E597,'結果(小)'!$B$2:$F$1295,5,FALSE))</f>
        <v>#DIV/0!</v>
      </c>
      <c r="G597" s="1" t="s">
        <v>2589</v>
      </c>
      <c r="H597" s="6">
        <v>45</v>
      </c>
      <c r="I597" s="2" t="s">
        <v>5</v>
      </c>
      <c r="J597" s="5" t="s">
        <v>15273</v>
      </c>
      <c r="K597" s="3" t="s">
        <v>2590</v>
      </c>
      <c r="L597" s="1"/>
      <c r="M597" s="1"/>
      <c r="N597" s="8" t="s">
        <v>16127</v>
      </c>
      <c r="O597" s="1" t="s">
        <v>44</v>
      </c>
      <c r="P597" s="1" t="s">
        <v>25</v>
      </c>
      <c r="Q597" s="16">
        <v>3</v>
      </c>
      <c r="R597" s="17">
        <v>3</v>
      </c>
      <c r="S597" s="3" t="s">
        <v>736</v>
      </c>
      <c r="T597" s="1778"/>
      <c r="U597" s="1749"/>
      <c r="V597" s="1752"/>
    </row>
    <row r="598" spans="1:22" ht="12" customHeight="1">
      <c r="A598" s="1040" t="str">
        <f t="shared" si="10"/>
        <v>3601</v>
      </c>
      <c r="B598" s="1061" t="s">
        <v>15814</v>
      </c>
      <c r="C598" s="1064"/>
      <c r="D598" s="2">
        <v>1</v>
      </c>
      <c r="E598" s="4" t="s">
        <v>2595</v>
      </c>
      <c r="F598" s="1065" t="e">
        <f>IF(E598="","$",VLOOKUP(E598,'結果(小)'!$B$2:$F$1295,5,FALSE))</f>
        <v>#DIV/0!</v>
      </c>
      <c r="G598" s="1" t="s">
        <v>4027</v>
      </c>
      <c r="H598" s="6">
        <v>25</v>
      </c>
      <c r="I598" s="2" t="s">
        <v>5</v>
      </c>
      <c r="J598" s="5" t="s">
        <v>15273</v>
      </c>
      <c r="K598" s="3"/>
      <c r="L598" s="1"/>
      <c r="M598" s="1"/>
      <c r="N598" s="4" t="s">
        <v>16127</v>
      </c>
      <c r="O598" s="1" t="s">
        <v>44</v>
      </c>
      <c r="P598" s="1" t="s">
        <v>6</v>
      </c>
      <c r="Q598" s="16"/>
      <c r="R598" s="17"/>
      <c r="S598" s="3" t="s">
        <v>736</v>
      </c>
      <c r="T598" s="1778"/>
      <c r="U598" s="1749"/>
      <c r="V598" s="1752"/>
    </row>
    <row r="599" spans="1:22" ht="12" customHeight="1">
      <c r="A599" s="1040" t="str">
        <f t="shared" si="10"/>
        <v>3601</v>
      </c>
      <c r="B599" s="1061" t="s">
        <v>15815</v>
      </c>
      <c r="C599" s="1064"/>
      <c r="D599" s="2">
        <v>1</v>
      </c>
      <c r="E599" s="4" t="s">
        <v>2606</v>
      </c>
      <c r="F599" s="1065" t="e">
        <f>IF(E599="","$",VLOOKUP(E599,'結果(小)'!$B$2:$F$1295,5,FALSE))</f>
        <v>#DIV/0!</v>
      </c>
      <c r="G599" s="1" t="s">
        <v>2610</v>
      </c>
      <c r="H599" s="6">
        <v>49</v>
      </c>
      <c r="I599" s="2" t="s">
        <v>5</v>
      </c>
      <c r="J599" s="5" t="s">
        <v>15273</v>
      </c>
      <c r="K599" s="3" t="s">
        <v>2611</v>
      </c>
      <c r="L599" s="1"/>
      <c r="M599" s="1"/>
      <c r="N599" s="8" t="s">
        <v>16126</v>
      </c>
      <c r="O599" s="1" t="s">
        <v>44</v>
      </c>
      <c r="P599" s="1" t="s">
        <v>25</v>
      </c>
      <c r="Q599" s="16">
        <v>1</v>
      </c>
      <c r="R599" s="17">
        <v>1</v>
      </c>
      <c r="S599" s="3"/>
      <c r="T599" s="1778"/>
      <c r="U599" s="1749"/>
      <c r="V599" s="1752"/>
    </row>
    <row r="600" spans="1:22" ht="12" customHeight="1">
      <c r="A600" s="1040" t="str">
        <f t="shared" si="10"/>
        <v>3601</v>
      </c>
      <c r="B600" s="1061" t="s">
        <v>15816</v>
      </c>
      <c r="C600" s="1064"/>
      <c r="D600" s="2">
        <v>1</v>
      </c>
      <c r="E600" s="4" t="s">
        <v>2624</v>
      </c>
      <c r="F600" s="1065" t="e">
        <f>IF(E600="","$",VLOOKUP(E600,'結果(小)'!$B$2:$F$1295,5,FALSE))</f>
        <v>#DIV/0!</v>
      </c>
      <c r="G600" s="1" t="s">
        <v>2628</v>
      </c>
      <c r="H600" s="6">
        <v>67</v>
      </c>
      <c r="I600" s="2" t="s">
        <v>5</v>
      </c>
      <c r="J600" s="5" t="s">
        <v>15273</v>
      </c>
      <c r="K600" s="3" t="s">
        <v>2629</v>
      </c>
      <c r="L600" s="1"/>
      <c r="M600" s="1"/>
      <c r="N600" s="8" t="s">
        <v>16127</v>
      </c>
      <c r="O600" s="1" t="s">
        <v>1656</v>
      </c>
      <c r="P600" s="1" t="s">
        <v>25</v>
      </c>
      <c r="Q600" s="16">
        <v>4</v>
      </c>
      <c r="R600" s="17">
        <v>4</v>
      </c>
      <c r="S600" s="3" t="s">
        <v>736</v>
      </c>
      <c r="T600" s="1778"/>
      <c r="U600" s="1749"/>
      <c r="V600" s="1752"/>
    </row>
    <row r="601" spans="1:22" ht="12" customHeight="1">
      <c r="A601" s="1040" t="str">
        <f t="shared" si="10"/>
        <v>3601</v>
      </c>
      <c r="B601" s="1061" t="s">
        <v>15817</v>
      </c>
      <c r="C601" s="1064"/>
      <c r="D601" s="2">
        <v>1</v>
      </c>
      <c r="E601" s="4" t="s">
        <v>2641</v>
      </c>
      <c r="F601" s="1065" t="e">
        <f>IF(E601="","$",VLOOKUP(E601,'結果(小)'!$B$2:$F$1295,5,FALSE))</f>
        <v>#DIV/0!</v>
      </c>
      <c r="G601" s="1" t="s">
        <v>2644</v>
      </c>
      <c r="H601" s="6">
        <v>40</v>
      </c>
      <c r="I601" s="2" t="s">
        <v>5</v>
      </c>
      <c r="J601" s="5" t="s">
        <v>15273</v>
      </c>
      <c r="K601" s="3" t="s">
        <v>2645</v>
      </c>
      <c r="L601" s="1"/>
      <c r="M601" s="1"/>
      <c r="N601" s="8" t="s">
        <v>16127</v>
      </c>
      <c r="O601" s="1" t="s">
        <v>44</v>
      </c>
      <c r="P601" s="1" t="s">
        <v>25</v>
      </c>
      <c r="Q601" s="16">
        <v>3</v>
      </c>
      <c r="R601" s="17">
        <v>3</v>
      </c>
      <c r="S601" s="3" t="s">
        <v>736</v>
      </c>
      <c r="T601" s="1778"/>
      <c r="U601" s="1749"/>
      <c r="V601" s="1752"/>
    </row>
    <row r="602" spans="1:22" ht="12" customHeight="1">
      <c r="A602" s="1040" t="str">
        <f t="shared" si="10"/>
        <v>3601</v>
      </c>
      <c r="B602" s="1061" t="s">
        <v>15818</v>
      </c>
      <c r="C602" s="1064"/>
      <c r="D602" s="2">
        <v>1</v>
      </c>
      <c r="E602" s="4" t="s">
        <v>2655</v>
      </c>
      <c r="F602" s="1065" t="e">
        <f>IF(E602="","$",VLOOKUP(E602,'結果(小)'!$B$2:$F$1295,5,FALSE))</f>
        <v>#DIV/0!</v>
      </c>
      <c r="G602" s="1" t="s">
        <v>2658</v>
      </c>
      <c r="H602" s="6">
        <v>36</v>
      </c>
      <c r="I602" s="2" t="s">
        <v>5</v>
      </c>
      <c r="J602" s="5" t="s">
        <v>15273</v>
      </c>
      <c r="K602" s="3" t="s">
        <v>2659</v>
      </c>
      <c r="L602" s="1"/>
      <c r="M602" s="1"/>
      <c r="N602" s="8" t="s">
        <v>16127</v>
      </c>
      <c r="O602" s="1" t="s">
        <v>44</v>
      </c>
      <c r="P602" s="1" t="s">
        <v>25</v>
      </c>
      <c r="Q602" s="16">
        <v>1</v>
      </c>
      <c r="R602" s="17">
        <v>1</v>
      </c>
      <c r="S602" s="3" t="s">
        <v>736</v>
      </c>
      <c r="T602" s="1778"/>
      <c r="U602" s="1749"/>
      <c r="V602" s="1752"/>
    </row>
    <row r="603" spans="1:22" ht="12" customHeight="1">
      <c r="A603" s="1040" t="str">
        <f t="shared" si="10"/>
        <v>3601</v>
      </c>
      <c r="B603" s="1061" t="s">
        <v>15819</v>
      </c>
      <c r="C603" s="1064"/>
      <c r="D603" s="2">
        <v>1</v>
      </c>
      <c r="E603" s="4" t="s">
        <v>2668</v>
      </c>
      <c r="F603" s="1065" t="e">
        <f>IF(E603="","$",VLOOKUP(E603,'結果(小)'!$B$2:$F$1295,5,FALSE))</f>
        <v>#DIV/0!</v>
      </c>
      <c r="G603" s="1" t="s">
        <v>2672</v>
      </c>
      <c r="H603" s="6">
        <v>44</v>
      </c>
      <c r="I603" s="2" t="s">
        <v>5</v>
      </c>
      <c r="J603" s="5" t="s">
        <v>15273</v>
      </c>
      <c r="K603" s="3" t="s">
        <v>2673</v>
      </c>
      <c r="L603" s="1"/>
      <c r="M603" s="1"/>
      <c r="N603" s="4" t="s">
        <v>16127</v>
      </c>
      <c r="O603" s="1" t="s">
        <v>44</v>
      </c>
      <c r="P603" s="1" t="s">
        <v>25</v>
      </c>
      <c r="Q603" s="16">
        <v>3</v>
      </c>
      <c r="R603" s="17">
        <v>3</v>
      </c>
      <c r="S603" s="3" t="s">
        <v>736</v>
      </c>
      <c r="T603" s="1778"/>
      <c r="U603" s="1749"/>
      <c r="V603" s="1752"/>
    </row>
    <row r="604" spans="1:22" ht="12" customHeight="1">
      <c r="A604" s="1040" t="str">
        <f t="shared" si="10"/>
        <v>3601</v>
      </c>
      <c r="B604" s="1061" t="s">
        <v>15820</v>
      </c>
      <c r="C604" s="1064"/>
      <c r="D604" s="2">
        <v>1</v>
      </c>
      <c r="E604" s="4" t="s">
        <v>2686</v>
      </c>
      <c r="F604" s="1065" t="e">
        <f>IF(E604="","$",VLOOKUP(E604,'結果(小)'!$B$2:$F$1295,5,FALSE))</f>
        <v>#DIV/0!</v>
      </c>
      <c r="G604" s="1" t="s">
        <v>2689</v>
      </c>
      <c r="H604" s="6">
        <v>41</v>
      </c>
      <c r="I604" s="2" t="s">
        <v>5</v>
      </c>
      <c r="J604" s="5" t="s">
        <v>15273</v>
      </c>
      <c r="K604" s="3" t="s">
        <v>2690</v>
      </c>
      <c r="L604" s="1"/>
      <c r="M604" s="1"/>
      <c r="N604" s="8" t="s">
        <v>16126</v>
      </c>
      <c r="O604" s="1" t="s">
        <v>44</v>
      </c>
      <c r="P604" s="1" t="s">
        <v>25</v>
      </c>
      <c r="Q604" s="16">
        <v>4</v>
      </c>
      <c r="R604" s="17">
        <v>4</v>
      </c>
      <c r="S604" s="3" t="s">
        <v>736</v>
      </c>
      <c r="T604" s="1778"/>
      <c r="U604" s="1749"/>
      <c r="V604" s="1752"/>
    </row>
    <row r="605" spans="1:22" ht="12" customHeight="1">
      <c r="A605" s="1040" t="str">
        <f t="shared" si="10"/>
        <v>3601</v>
      </c>
      <c r="B605" s="1061" t="s">
        <v>15821</v>
      </c>
      <c r="C605" s="1064"/>
      <c r="D605" s="2">
        <v>1</v>
      </c>
      <c r="E605" s="4" t="s">
        <v>2698</v>
      </c>
      <c r="F605" s="1065" t="e">
        <f>IF(E605="","$",VLOOKUP(E605,'結果(小)'!$B$2:$F$1295,5,FALSE))</f>
        <v>#DIV/0!</v>
      </c>
      <c r="G605" s="1" t="s">
        <v>2701</v>
      </c>
      <c r="H605" s="6">
        <v>51</v>
      </c>
      <c r="I605" s="2" t="s">
        <v>5</v>
      </c>
      <c r="J605" s="5" t="s">
        <v>15273</v>
      </c>
      <c r="K605" s="3" t="s">
        <v>2702</v>
      </c>
      <c r="L605" s="1"/>
      <c r="M605" s="1"/>
      <c r="N605" s="8" t="s">
        <v>16127</v>
      </c>
      <c r="O605" s="1" t="s">
        <v>681</v>
      </c>
      <c r="P605" s="1" t="s">
        <v>25</v>
      </c>
      <c r="Q605" s="16">
        <v>5</v>
      </c>
      <c r="R605" s="17">
        <v>5</v>
      </c>
      <c r="S605" s="3" t="s">
        <v>736</v>
      </c>
      <c r="T605" s="1778"/>
      <c r="U605" s="1749"/>
      <c r="V605" s="1752"/>
    </row>
    <row r="606" spans="1:22" ht="12" customHeight="1">
      <c r="A606" s="1040" t="str">
        <f t="shared" si="10"/>
        <v>3601</v>
      </c>
      <c r="B606" s="1061" t="s">
        <v>15822</v>
      </c>
      <c r="C606" s="1064"/>
      <c r="D606" s="2">
        <v>1</v>
      </c>
      <c r="E606" s="4" t="s">
        <v>2713</v>
      </c>
      <c r="F606" s="1065" t="e">
        <f>IF(E606="","$",VLOOKUP(E606,'結果(小)'!$B$2:$F$1295,5,FALSE))</f>
        <v>#DIV/0!</v>
      </c>
      <c r="G606" s="1" t="s">
        <v>2716</v>
      </c>
      <c r="H606" s="6">
        <v>38</v>
      </c>
      <c r="I606" s="2" t="s">
        <v>5</v>
      </c>
      <c r="J606" s="5" t="s">
        <v>15273</v>
      </c>
      <c r="K606" s="3" t="s">
        <v>2717</v>
      </c>
      <c r="L606" s="1"/>
      <c r="M606" s="1"/>
      <c r="N606" s="8" t="s">
        <v>16127</v>
      </c>
      <c r="O606" s="1" t="s">
        <v>44</v>
      </c>
      <c r="P606" s="1" t="s">
        <v>25</v>
      </c>
      <c r="Q606" s="16">
        <v>1</v>
      </c>
      <c r="R606" s="17">
        <v>1</v>
      </c>
      <c r="S606" s="3"/>
      <c r="T606" s="1778"/>
      <c r="U606" s="1749"/>
      <c r="V606" s="1752"/>
    </row>
    <row r="607" spans="1:22" ht="12" customHeight="1">
      <c r="A607" s="1040" t="str">
        <f t="shared" si="10"/>
        <v>3601</v>
      </c>
      <c r="B607" s="1061" t="s">
        <v>15823</v>
      </c>
      <c r="C607" s="1064"/>
      <c r="D607" s="2">
        <v>1</v>
      </c>
      <c r="E607" s="4" t="s">
        <v>2722</v>
      </c>
      <c r="F607" s="1065" t="e">
        <f>IF(E607="","$",VLOOKUP(E607,'結果(小)'!$B$2:$F$1295,5,FALSE))</f>
        <v>#DIV/0!</v>
      </c>
      <c r="G607" s="1" t="s">
        <v>2725</v>
      </c>
      <c r="H607" s="6">
        <v>42</v>
      </c>
      <c r="I607" s="2" t="s">
        <v>5</v>
      </c>
      <c r="J607" s="5" t="s">
        <v>15273</v>
      </c>
      <c r="K607" s="3" t="s">
        <v>2726</v>
      </c>
      <c r="L607" s="1"/>
      <c r="M607" s="1"/>
      <c r="N607" s="8" t="s">
        <v>16127</v>
      </c>
      <c r="O607" s="1" t="s">
        <v>44</v>
      </c>
      <c r="P607" s="1" t="s">
        <v>25</v>
      </c>
      <c r="Q607" s="16">
        <v>1</v>
      </c>
      <c r="R607" s="17">
        <v>1</v>
      </c>
      <c r="S607" s="3" t="s">
        <v>736</v>
      </c>
      <c r="T607" s="1778"/>
      <c r="U607" s="1749"/>
      <c r="V607" s="1752"/>
    </row>
    <row r="608" spans="1:22" ht="12" customHeight="1">
      <c r="A608" s="1040" t="str">
        <f t="shared" si="10"/>
        <v>3601</v>
      </c>
      <c r="B608" s="1061" t="s">
        <v>15824</v>
      </c>
      <c r="C608" s="1064"/>
      <c r="D608" s="2">
        <v>1</v>
      </c>
      <c r="E608" s="4" t="s">
        <v>2737</v>
      </c>
      <c r="F608" s="1065" t="e">
        <f>IF(E608="","$",VLOOKUP(E608,'結果(小)'!$B$2:$F$1295,5,FALSE))</f>
        <v>#DIV/0!</v>
      </c>
      <c r="G608" s="1" t="s">
        <v>2743</v>
      </c>
      <c r="H608" s="6">
        <v>38</v>
      </c>
      <c r="I608" s="2" t="s">
        <v>5</v>
      </c>
      <c r="J608" s="5" t="s">
        <v>15273</v>
      </c>
      <c r="K608" s="3" t="s">
        <v>2744</v>
      </c>
      <c r="L608" s="1"/>
      <c r="M608" s="1"/>
      <c r="N608" s="4" t="s">
        <v>16127</v>
      </c>
      <c r="O608" s="1" t="s">
        <v>44</v>
      </c>
      <c r="P608" s="1" t="s">
        <v>25</v>
      </c>
      <c r="Q608" s="16">
        <v>1</v>
      </c>
      <c r="R608" s="17">
        <v>1</v>
      </c>
      <c r="S608" s="3" t="s">
        <v>736</v>
      </c>
      <c r="T608" s="1778"/>
      <c r="U608" s="1749"/>
      <c r="V608" s="1752"/>
    </row>
    <row r="609" spans="1:22" ht="12" customHeight="1">
      <c r="A609" s="1040" t="str">
        <f t="shared" si="10"/>
        <v>3601</v>
      </c>
      <c r="B609" s="1061" t="s">
        <v>15825</v>
      </c>
      <c r="C609" s="1064"/>
      <c r="D609" s="2">
        <v>1</v>
      </c>
      <c r="E609" s="4" t="s">
        <v>2757</v>
      </c>
      <c r="F609" s="1065" t="e">
        <f>IF(E609="","$",VLOOKUP(E609,'結果(小)'!$B$2:$F$1295,5,FALSE))</f>
        <v>#DIV/0!</v>
      </c>
      <c r="G609" s="1" t="s">
        <v>2761</v>
      </c>
      <c r="H609" s="6">
        <v>47</v>
      </c>
      <c r="I609" s="2" t="s">
        <v>5</v>
      </c>
      <c r="J609" s="5" t="s">
        <v>15273</v>
      </c>
      <c r="K609" s="3" t="s">
        <v>2762</v>
      </c>
      <c r="L609" s="1"/>
      <c r="M609" s="1"/>
      <c r="N609" s="8" t="s">
        <v>16126</v>
      </c>
      <c r="O609" s="1" t="s">
        <v>44</v>
      </c>
      <c r="P609" s="1" t="s">
        <v>25</v>
      </c>
      <c r="Q609" s="16">
        <v>5</v>
      </c>
      <c r="R609" s="17">
        <v>5</v>
      </c>
      <c r="S609" s="3" t="s">
        <v>736</v>
      </c>
      <c r="T609" s="1778"/>
      <c r="U609" s="1749"/>
      <c r="V609" s="1752"/>
    </row>
    <row r="610" spans="1:22" ht="12" customHeight="1">
      <c r="A610" s="1040" t="str">
        <f t="shared" si="10"/>
        <v>3601</v>
      </c>
      <c r="B610" s="1061" t="s">
        <v>15826</v>
      </c>
      <c r="C610" s="1064"/>
      <c r="D610" s="2">
        <v>1</v>
      </c>
      <c r="E610" s="4" t="s">
        <v>2769</v>
      </c>
      <c r="F610" s="1065" t="e">
        <f>IF(E610="","$",VLOOKUP(E610,'結果(小)'!$B$2:$F$1295,5,FALSE))</f>
        <v>#DIV/0!</v>
      </c>
      <c r="G610" s="1" t="s">
        <v>2773</v>
      </c>
      <c r="H610" s="6">
        <v>54</v>
      </c>
      <c r="I610" s="2" t="s">
        <v>5</v>
      </c>
      <c r="J610" s="5" t="s">
        <v>15273</v>
      </c>
      <c r="K610" s="3" t="s">
        <v>2774</v>
      </c>
      <c r="L610" s="1"/>
      <c r="M610" s="1"/>
      <c r="N610" s="8" t="s">
        <v>16127</v>
      </c>
      <c r="O610" s="1" t="s">
        <v>655</v>
      </c>
      <c r="P610" s="1" t="s">
        <v>25</v>
      </c>
      <c r="Q610" s="16">
        <v>5</v>
      </c>
      <c r="R610" s="17">
        <v>5</v>
      </c>
      <c r="S610" s="3" t="s">
        <v>736</v>
      </c>
      <c r="T610" s="1778"/>
      <c r="U610" s="1749"/>
      <c r="V610" s="1752"/>
    </row>
    <row r="611" spans="1:22" ht="12" customHeight="1">
      <c r="A611" s="1040" t="str">
        <f t="shared" si="10"/>
        <v>3601</v>
      </c>
      <c r="B611" s="1061" t="s">
        <v>15827</v>
      </c>
      <c r="C611" s="1064"/>
      <c r="D611" s="2">
        <v>1</v>
      </c>
      <c r="E611" s="4" t="s">
        <v>2783</v>
      </c>
      <c r="F611" s="1065" t="e">
        <f>IF(E611="","$",VLOOKUP(E611,'結果(小)'!$B$2:$F$1295,5,FALSE))</f>
        <v>#DIV/0!</v>
      </c>
      <c r="G611" s="1" t="s">
        <v>4746</v>
      </c>
      <c r="H611" s="6">
        <v>42</v>
      </c>
      <c r="I611" s="2" t="s">
        <v>5</v>
      </c>
      <c r="J611" s="5" t="s">
        <v>15273</v>
      </c>
      <c r="K611" s="3"/>
      <c r="L611" s="1"/>
      <c r="M611" s="1"/>
      <c r="N611" s="8" t="s">
        <v>16127</v>
      </c>
      <c r="O611" s="1" t="s">
        <v>44</v>
      </c>
      <c r="P611" s="1" t="s">
        <v>6</v>
      </c>
      <c r="Q611" s="16"/>
      <c r="R611" s="17"/>
      <c r="S611" s="3"/>
      <c r="T611" s="1778"/>
      <c r="U611" s="1749"/>
      <c r="V611" s="1752"/>
    </row>
    <row r="612" spans="1:22" ht="12" customHeight="1">
      <c r="A612" s="1040" t="str">
        <f t="shared" si="10"/>
        <v>3601</v>
      </c>
      <c r="B612" s="1061" t="s">
        <v>15828</v>
      </c>
      <c r="C612" s="1064"/>
      <c r="D612" s="2">
        <v>1</v>
      </c>
      <c r="E612" s="4" t="s">
        <v>2797</v>
      </c>
      <c r="F612" s="1065" t="e">
        <f>IF(E612="","$",VLOOKUP(E612,'結果(小)'!$B$2:$F$1295,5,FALSE))</f>
        <v>#DIV/0!</v>
      </c>
      <c r="G612" s="1" t="s">
        <v>2801</v>
      </c>
      <c r="H612" s="6">
        <v>64</v>
      </c>
      <c r="I612" s="2" t="s">
        <v>5</v>
      </c>
      <c r="J612" s="5" t="s">
        <v>15273</v>
      </c>
      <c r="K612" s="3" t="s">
        <v>2802</v>
      </c>
      <c r="L612" s="1"/>
      <c r="M612" s="1"/>
      <c r="N612" s="8" t="s">
        <v>16127</v>
      </c>
      <c r="O612" s="1" t="s">
        <v>45</v>
      </c>
      <c r="P612" s="1" t="s">
        <v>25</v>
      </c>
      <c r="Q612" s="16">
        <v>7</v>
      </c>
      <c r="R612" s="17">
        <v>7</v>
      </c>
      <c r="S612" s="3" t="s">
        <v>736</v>
      </c>
      <c r="T612" s="1778"/>
      <c r="U612" s="1749"/>
      <c r="V612" s="1752"/>
    </row>
    <row r="613" spans="1:22" ht="12" customHeight="1">
      <c r="A613" s="1040" t="str">
        <f t="shared" si="10"/>
        <v>3601</v>
      </c>
      <c r="B613" s="1061" t="s">
        <v>15829</v>
      </c>
      <c r="C613" s="1064"/>
      <c r="D613" s="2">
        <v>1</v>
      </c>
      <c r="E613" s="4" t="s">
        <v>2808</v>
      </c>
      <c r="F613" s="1065" t="e">
        <f>IF(E613="","$",VLOOKUP(E613,'結果(小)'!$B$2:$F$1295,5,FALSE))</f>
        <v>#DIV/0!</v>
      </c>
      <c r="G613" s="1" t="s">
        <v>2812</v>
      </c>
      <c r="H613" s="6">
        <v>42</v>
      </c>
      <c r="I613" s="2" t="s">
        <v>5</v>
      </c>
      <c r="J613" s="5" t="s">
        <v>15273</v>
      </c>
      <c r="K613" s="3"/>
      <c r="L613" s="1"/>
      <c r="M613" s="1"/>
      <c r="N613" s="4" t="s">
        <v>16127</v>
      </c>
      <c r="O613" s="1" t="s">
        <v>737</v>
      </c>
      <c r="P613" s="1" t="s">
        <v>6</v>
      </c>
      <c r="Q613" s="16"/>
      <c r="R613" s="17"/>
      <c r="S613" s="3" t="s">
        <v>736</v>
      </c>
      <c r="T613" s="1778"/>
      <c r="U613" s="1749"/>
      <c r="V613" s="1752"/>
    </row>
    <row r="614" spans="1:22" ht="12" customHeight="1">
      <c r="A614" s="1040" t="str">
        <f t="shared" si="10"/>
        <v>3601</v>
      </c>
      <c r="B614" s="1061" t="s">
        <v>15830</v>
      </c>
      <c r="C614" s="1064"/>
      <c r="D614" s="2">
        <v>1</v>
      </c>
      <c r="E614" s="4" t="s">
        <v>2822</v>
      </c>
      <c r="F614" s="1065" t="e">
        <f>IF(E614="","$",VLOOKUP(E614,'結果(小)'!$B$2:$F$1295,5,FALSE))</f>
        <v>#DIV/0!</v>
      </c>
      <c r="G614" s="1" t="s">
        <v>2825</v>
      </c>
      <c r="H614" s="6">
        <v>38</v>
      </c>
      <c r="I614" s="2" t="s">
        <v>19</v>
      </c>
      <c r="J614" s="5" t="s">
        <v>15273</v>
      </c>
      <c r="K614" s="3" t="s">
        <v>2826</v>
      </c>
      <c r="L614" s="1"/>
      <c r="M614" s="1"/>
      <c r="N614" s="8" t="s">
        <v>16126</v>
      </c>
      <c r="O614" s="1" t="s">
        <v>44</v>
      </c>
      <c r="P614" s="1" t="s">
        <v>25</v>
      </c>
      <c r="Q614" s="16">
        <v>1</v>
      </c>
      <c r="R614" s="17">
        <v>1</v>
      </c>
      <c r="S614" s="3" t="s">
        <v>736</v>
      </c>
      <c r="T614" s="1778"/>
      <c r="U614" s="1749"/>
      <c r="V614" s="1752"/>
    </row>
    <row r="615" spans="1:22" ht="12" customHeight="1">
      <c r="A615" s="1040" t="str">
        <f t="shared" si="10"/>
        <v>3601</v>
      </c>
      <c r="B615" s="1061" t="s">
        <v>15831</v>
      </c>
      <c r="C615" s="1064"/>
      <c r="D615" s="2">
        <v>1</v>
      </c>
      <c r="E615" s="4" t="s">
        <v>2833</v>
      </c>
      <c r="F615" s="1065" t="e">
        <f>IF(E615="","$",VLOOKUP(E615,'結果(小)'!$B$2:$F$1295,5,FALSE))</f>
        <v>#DIV/0!</v>
      </c>
      <c r="G615" s="1" t="s">
        <v>2836</v>
      </c>
      <c r="H615" s="6">
        <v>51</v>
      </c>
      <c r="I615" s="2" t="s">
        <v>5</v>
      </c>
      <c r="J615" s="5" t="s">
        <v>15273</v>
      </c>
      <c r="K615" s="3" t="s">
        <v>2837</v>
      </c>
      <c r="L615" s="1"/>
      <c r="M615" s="1"/>
      <c r="N615" s="8" t="s">
        <v>16127</v>
      </c>
      <c r="O615" s="1" t="s">
        <v>604</v>
      </c>
      <c r="P615" s="1" t="s">
        <v>25</v>
      </c>
      <c r="Q615" s="16">
        <v>4</v>
      </c>
      <c r="R615" s="17">
        <v>4</v>
      </c>
      <c r="S615" s="3" t="s">
        <v>736</v>
      </c>
      <c r="T615" s="1778"/>
      <c r="U615" s="1749"/>
      <c r="V615" s="1752"/>
    </row>
    <row r="616" spans="1:22" ht="12" customHeight="1">
      <c r="A616" s="1040" t="str">
        <f t="shared" si="10"/>
        <v>3601</v>
      </c>
      <c r="B616" s="1061" t="s">
        <v>15832</v>
      </c>
      <c r="C616" s="1064"/>
      <c r="D616" s="2">
        <v>1</v>
      </c>
      <c r="E616" s="4" t="s">
        <v>2845</v>
      </c>
      <c r="F616" s="1065" t="e">
        <f>IF(E616="","$",VLOOKUP(E616,'結果(小)'!$B$2:$F$1295,5,FALSE))</f>
        <v>#DIV/0!</v>
      </c>
      <c r="G616" s="1" t="s">
        <v>2848</v>
      </c>
      <c r="H616" s="6">
        <v>41</v>
      </c>
      <c r="I616" s="2" t="s">
        <v>5</v>
      </c>
      <c r="J616" s="5" t="s">
        <v>15273</v>
      </c>
      <c r="K616" s="3" t="s">
        <v>2849</v>
      </c>
      <c r="L616" s="1"/>
      <c r="M616" s="1"/>
      <c r="N616" s="8" t="s">
        <v>16127</v>
      </c>
      <c r="O616" s="1" t="s">
        <v>44</v>
      </c>
      <c r="P616" s="1" t="s">
        <v>25</v>
      </c>
      <c r="Q616" s="16">
        <v>3</v>
      </c>
      <c r="R616" s="17">
        <v>3</v>
      </c>
      <c r="S616" s="3" t="s">
        <v>736</v>
      </c>
      <c r="T616" s="1778"/>
      <c r="U616" s="1749"/>
      <c r="V616" s="1752"/>
    </row>
    <row r="617" spans="1:22" ht="12" customHeight="1">
      <c r="A617" s="1040" t="str">
        <f t="shared" si="10"/>
        <v>3601</v>
      </c>
      <c r="B617" s="1061" t="s">
        <v>15833</v>
      </c>
      <c r="C617" s="1064"/>
      <c r="D617" s="2">
        <v>1</v>
      </c>
      <c r="E617" s="4" t="s">
        <v>2856</v>
      </c>
      <c r="F617" s="1065" t="e">
        <f>IF(E617="","$",VLOOKUP(E617,'結果(小)'!$B$2:$F$1295,5,FALSE))</f>
        <v>#DIV/0!</v>
      </c>
      <c r="G617" s="1" t="s">
        <v>5060</v>
      </c>
      <c r="H617" s="6">
        <v>39</v>
      </c>
      <c r="I617" s="2" t="s">
        <v>5</v>
      </c>
      <c r="J617" s="5" t="s">
        <v>15273</v>
      </c>
      <c r="K617" s="3"/>
      <c r="L617" s="1"/>
      <c r="M617" s="1"/>
      <c r="N617" s="8" t="s">
        <v>16127</v>
      </c>
      <c r="O617" s="1" t="s">
        <v>44</v>
      </c>
      <c r="P617" s="1" t="s">
        <v>6</v>
      </c>
      <c r="Q617" s="16"/>
      <c r="R617" s="17"/>
      <c r="S617" s="3" t="s">
        <v>736</v>
      </c>
      <c r="T617" s="1778"/>
      <c r="U617" s="1749"/>
      <c r="V617" s="1752"/>
    </row>
    <row r="618" spans="1:22" ht="12" customHeight="1">
      <c r="A618" s="1040" t="str">
        <f t="shared" si="10"/>
        <v>3601</v>
      </c>
      <c r="B618" s="1061" t="s">
        <v>15834</v>
      </c>
      <c r="C618" s="1064"/>
      <c r="D618" s="2">
        <v>1</v>
      </c>
      <c r="E618" s="4" t="s">
        <v>2869</v>
      </c>
      <c r="F618" s="1065" t="e">
        <f>IF(E618="","$",VLOOKUP(E618,'結果(小)'!$B$2:$F$1295,5,FALSE))</f>
        <v>#DIV/0!</v>
      </c>
      <c r="G618" s="1" t="s">
        <v>2872</v>
      </c>
      <c r="H618" s="6">
        <v>47</v>
      </c>
      <c r="I618" s="2" t="s">
        <v>5</v>
      </c>
      <c r="J618" s="5" t="s">
        <v>15273</v>
      </c>
      <c r="K618" s="3" t="s">
        <v>2873</v>
      </c>
      <c r="L618" s="1"/>
      <c r="M618" s="1"/>
      <c r="N618" s="4" t="s">
        <v>16127</v>
      </c>
      <c r="O618" s="1" t="s">
        <v>681</v>
      </c>
      <c r="P618" s="1" t="s">
        <v>25</v>
      </c>
      <c r="Q618" s="16">
        <v>3</v>
      </c>
      <c r="R618" s="17">
        <v>3</v>
      </c>
      <c r="S618" s="3" t="s">
        <v>736</v>
      </c>
      <c r="T618" s="1778"/>
      <c r="U618" s="1749"/>
      <c r="V618" s="1752"/>
    </row>
    <row r="619" spans="1:22" ht="12" customHeight="1">
      <c r="A619" s="1040" t="str">
        <f t="shared" si="10"/>
        <v>3601</v>
      </c>
      <c r="B619" s="1061" t="s">
        <v>15835</v>
      </c>
      <c r="C619" s="1064"/>
      <c r="D619" s="2">
        <v>1</v>
      </c>
      <c r="E619" s="4" t="s">
        <v>2875</v>
      </c>
      <c r="F619" s="1065" t="e">
        <f>IF(E619="","$",VLOOKUP(E619,'結果(小)'!$B$2:$F$1295,5,FALSE))</f>
        <v>#DIV/0!</v>
      </c>
      <c r="G619" s="1" t="s">
        <v>2879</v>
      </c>
      <c r="H619" s="6">
        <v>50</v>
      </c>
      <c r="I619" s="2" t="s">
        <v>5</v>
      </c>
      <c r="J619" s="5" t="s">
        <v>15273</v>
      </c>
      <c r="K619" s="3" t="s">
        <v>2880</v>
      </c>
      <c r="L619" s="1"/>
      <c r="M619" s="1"/>
      <c r="N619" s="8" t="s">
        <v>16126</v>
      </c>
      <c r="O619" s="1" t="s">
        <v>44</v>
      </c>
      <c r="P619" s="1" t="s">
        <v>25</v>
      </c>
      <c r="Q619" s="16">
        <v>2</v>
      </c>
      <c r="R619" s="17">
        <v>2</v>
      </c>
      <c r="S619" s="3" t="s">
        <v>736</v>
      </c>
      <c r="T619" s="1778"/>
      <c r="U619" s="1749"/>
      <c r="V619" s="1752"/>
    </row>
    <row r="620" spans="1:22" ht="12" customHeight="1">
      <c r="A620" s="1040" t="str">
        <f t="shared" si="10"/>
        <v>3601</v>
      </c>
      <c r="B620" s="1061" t="s">
        <v>15836</v>
      </c>
      <c r="C620" s="1064"/>
      <c r="D620" s="2">
        <v>1</v>
      </c>
      <c r="E620" s="4" t="s">
        <v>2892</v>
      </c>
      <c r="F620" s="1065" t="e">
        <f>IF(E620="","$",VLOOKUP(E620,'結果(小)'!$B$2:$F$1295,5,FALSE))</f>
        <v>#DIV/0!</v>
      </c>
      <c r="G620" s="1" t="s">
        <v>2895</v>
      </c>
      <c r="H620" s="6">
        <v>41</v>
      </c>
      <c r="I620" s="2" t="s">
        <v>5</v>
      </c>
      <c r="J620" s="5" t="s">
        <v>15273</v>
      </c>
      <c r="K620" s="3" t="s">
        <v>2896</v>
      </c>
      <c r="L620" s="1"/>
      <c r="M620" s="1"/>
      <c r="N620" s="8" t="s">
        <v>16127</v>
      </c>
      <c r="O620" s="1" t="s">
        <v>44</v>
      </c>
      <c r="P620" s="1" t="s">
        <v>25</v>
      </c>
      <c r="Q620" s="16">
        <v>1</v>
      </c>
      <c r="R620" s="17">
        <v>1</v>
      </c>
      <c r="S620" s="3" t="s">
        <v>736</v>
      </c>
      <c r="T620" s="1778"/>
      <c r="U620" s="1749"/>
      <c r="V620" s="1752"/>
    </row>
    <row r="621" spans="1:22" ht="12" customHeight="1">
      <c r="A621" s="1040" t="str">
        <f t="shared" si="10"/>
        <v>3601</v>
      </c>
      <c r="B621" s="1061" t="s">
        <v>15837</v>
      </c>
      <c r="C621" s="1064"/>
      <c r="D621" s="2">
        <v>1</v>
      </c>
      <c r="E621" s="4" t="s">
        <v>2901</v>
      </c>
      <c r="F621" s="1065" t="e">
        <f>IF(E621="","$",VLOOKUP(E621,'結果(小)'!$B$2:$F$1295,5,FALSE))</f>
        <v>#DIV/0!</v>
      </c>
      <c r="G621" s="1" t="s">
        <v>2995</v>
      </c>
      <c r="H621" s="6">
        <v>47</v>
      </c>
      <c r="I621" s="2" t="s">
        <v>19</v>
      </c>
      <c r="J621" s="5" t="s">
        <v>15273</v>
      </c>
      <c r="K621" s="3" t="s">
        <v>5062</v>
      </c>
      <c r="L621" s="1"/>
      <c r="M621" s="1"/>
      <c r="N621" s="8" t="s">
        <v>16127</v>
      </c>
      <c r="O621" s="1" t="s">
        <v>44</v>
      </c>
      <c r="P621" s="1" t="s">
        <v>25</v>
      </c>
      <c r="Q621" s="16">
        <v>1</v>
      </c>
      <c r="R621" s="17">
        <v>1</v>
      </c>
      <c r="S621" s="3"/>
      <c r="T621" s="1778"/>
      <c r="U621" s="1749"/>
      <c r="V621" s="1752"/>
    </row>
    <row r="622" spans="1:22" ht="12" customHeight="1">
      <c r="A622" s="1040" t="str">
        <f t="shared" si="10"/>
        <v>3601</v>
      </c>
      <c r="B622" s="1061" t="s">
        <v>15838</v>
      </c>
      <c r="C622" s="1064"/>
      <c r="D622" s="2">
        <v>1</v>
      </c>
      <c r="E622" s="4" t="s">
        <v>2913</v>
      </c>
      <c r="F622" s="1065" t="e">
        <f>IF(E622="","$",VLOOKUP(E622,'結果(小)'!$B$2:$F$1295,5,FALSE))</f>
        <v>#DIV/0!</v>
      </c>
      <c r="G622" s="1" t="s">
        <v>2917</v>
      </c>
      <c r="H622" s="6">
        <v>46</v>
      </c>
      <c r="I622" s="2" t="s">
        <v>5</v>
      </c>
      <c r="J622" s="5" t="s">
        <v>15273</v>
      </c>
      <c r="K622" s="3" t="s">
        <v>2918</v>
      </c>
      <c r="L622" s="1"/>
      <c r="M622" s="1"/>
      <c r="N622" s="8" t="s">
        <v>16127</v>
      </c>
      <c r="O622" s="1" t="s">
        <v>44</v>
      </c>
      <c r="P622" s="1" t="s">
        <v>25</v>
      </c>
      <c r="Q622" s="16">
        <v>1</v>
      </c>
      <c r="R622" s="17">
        <v>1</v>
      </c>
      <c r="S622" s="3" t="s">
        <v>736</v>
      </c>
      <c r="T622" s="1778"/>
      <c r="U622" s="1749"/>
      <c r="V622" s="1752"/>
    </row>
    <row r="623" spans="1:22" ht="12" customHeight="1">
      <c r="A623" s="1040" t="str">
        <f t="shared" si="10"/>
        <v>3601</v>
      </c>
      <c r="B623" s="1061" t="s">
        <v>15839</v>
      </c>
      <c r="C623" s="1064"/>
      <c r="D623" s="2">
        <v>1</v>
      </c>
      <c r="E623" s="4" t="s">
        <v>2929</v>
      </c>
      <c r="F623" s="1065" t="e">
        <f>IF(E623="","$",VLOOKUP(E623,'結果(小)'!$B$2:$F$1295,5,FALSE))</f>
        <v>#DIV/0!</v>
      </c>
      <c r="G623" s="1" t="s">
        <v>5752</v>
      </c>
      <c r="H623" s="6">
        <v>44</v>
      </c>
      <c r="I623" s="2" t="s">
        <v>19</v>
      </c>
      <c r="J623" s="5" t="s">
        <v>15273</v>
      </c>
      <c r="K623" s="3"/>
      <c r="L623" s="1"/>
      <c r="M623" s="1"/>
      <c r="N623" s="4" t="s">
        <v>16127</v>
      </c>
      <c r="O623" s="1" t="s">
        <v>44</v>
      </c>
      <c r="P623" s="1" t="s">
        <v>6</v>
      </c>
      <c r="Q623" s="16"/>
      <c r="R623" s="17"/>
      <c r="S623" s="3"/>
      <c r="T623" s="1778"/>
      <c r="U623" s="1749"/>
      <c r="V623" s="1752"/>
    </row>
    <row r="624" spans="1:22" ht="12" customHeight="1">
      <c r="A624" s="1040" t="str">
        <f t="shared" si="10"/>
        <v>3601</v>
      </c>
      <c r="B624" s="1061" t="s">
        <v>15840</v>
      </c>
      <c r="C624" s="1064"/>
      <c r="D624" s="2">
        <v>1</v>
      </c>
      <c r="E624" s="4" t="s">
        <v>2943</v>
      </c>
      <c r="F624" s="1065" t="e">
        <f>IF(E624="","$",VLOOKUP(E624,'結果(小)'!$B$2:$F$1295,5,FALSE))</f>
        <v>#DIV/0!</v>
      </c>
      <c r="G624" s="1" t="s">
        <v>2946</v>
      </c>
      <c r="H624" s="6">
        <v>62</v>
      </c>
      <c r="I624" s="2" t="s">
        <v>5</v>
      </c>
      <c r="J624" s="5" t="s">
        <v>15273</v>
      </c>
      <c r="K624" s="3" t="s">
        <v>2947</v>
      </c>
      <c r="L624" s="1"/>
      <c r="M624" s="1"/>
      <c r="N624" s="8" t="s">
        <v>16126</v>
      </c>
      <c r="O624" s="1" t="s">
        <v>604</v>
      </c>
      <c r="P624" s="1" t="s">
        <v>25</v>
      </c>
      <c r="Q624" s="16">
        <v>5</v>
      </c>
      <c r="R624" s="17">
        <v>5</v>
      </c>
      <c r="S624" s="3" t="s">
        <v>736</v>
      </c>
      <c r="T624" s="1778"/>
      <c r="U624" s="1749"/>
      <c r="V624" s="1752"/>
    </row>
    <row r="625" spans="1:22" ht="12" customHeight="1">
      <c r="A625" s="1040" t="str">
        <f t="shared" si="10"/>
        <v>3601</v>
      </c>
      <c r="B625" s="1061" t="s">
        <v>15841</v>
      </c>
      <c r="C625" s="1064"/>
      <c r="D625" s="2">
        <v>1</v>
      </c>
      <c r="E625" s="4" t="s">
        <v>2956</v>
      </c>
      <c r="F625" s="1065" t="e">
        <f>IF(E625="","$",VLOOKUP(E625,'結果(小)'!$B$2:$F$1295,5,FALSE))</f>
        <v>#DIV/0!</v>
      </c>
      <c r="G625" s="1" t="s">
        <v>2959</v>
      </c>
      <c r="H625" s="6">
        <v>59</v>
      </c>
      <c r="I625" s="2" t="s">
        <v>5</v>
      </c>
      <c r="J625" s="5" t="s">
        <v>15273</v>
      </c>
      <c r="K625" s="3" t="s">
        <v>2960</v>
      </c>
      <c r="L625" s="1"/>
      <c r="M625" s="1"/>
      <c r="N625" s="8" t="s">
        <v>16127</v>
      </c>
      <c r="O625" s="1" t="s">
        <v>604</v>
      </c>
      <c r="P625" s="1" t="s">
        <v>25</v>
      </c>
      <c r="Q625" s="16">
        <v>7</v>
      </c>
      <c r="R625" s="17">
        <v>7</v>
      </c>
      <c r="S625" s="3"/>
      <c r="T625" s="1778"/>
      <c r="U625" s="1749"/>
      <c r="V625" s="1752"/>
    </row>
    <row r="626" spans="1:22" ht="12" customHeight="1">
      <c r="A626" s="1040" t="str">
        <f t="shared" si="10"/>
        <v>3601</v>
      </c>
      <c r="B626" s="1061" t="s">
        <v>15842</v>
      </c>
      <c r="C626" s="1064"/>
      <c r="D626" s="2">
        <v>1</v>
      </c>
      <c r="E626" s="4" t="s">
        <v>2967</v>
      </c>
      <c r="F626" s="1065" t="e">
        <f>IF(E626="","$",VLOOKUP(E626,'結果(小)'!$B$2:$F$1295,5,FALSE))</f>
        <v>#DIV/0!</v>
      </c>
      <c r="G626" s="1" t="s">
        <v>2970</v>
      </c>
      <c r="H626" s="6">
        <v>63</v>
      </c>
      <c r="I626" s="2" t="s">
        <v>5</v>
      </c>
      <c r="J626" s="5" t="s">
        <v>15273</v>
      </c>
      <c r="K626" s="3" t="s">
        <v>2971</v>
      </c>
      <c r="L626" s="1"/>
      <c r="M626" s="1"/>
      <c r="N626" s="8" t="s">
        <v>16127</v>
      </c>
      <c r="O626" s="1" t="s">
        <v>44</v>
      </c>
      <c r="P626" s="1" t="s">
        <v>25</v>
      </c>
      <c r="Q626" s="16">
        <v>2</v>
      </c>
      <c r="R626" s="17">
        <v>2</v>
      </c>
      <c r="S626" s="3" t="s">
        <v>736</v>
      </c>
      <c r="T626" s="1778"/>
      <c r="U626" s="1749"/>
      <c r="V626" s="1752"/>
    </row>
    <row r="627" spans="1:22" ht="12" customHeight="1" thickBot="1">
      <c r="A627" s="916" t="str">
        <f t="shared" si="10"/>
        <v>3601</v>
      </c>
      <c r="B627" s="1096" t="s">
        <v>15843</v>
      </c>
      <c r="C627" s="1075"/>
      <c r="D627" s="702">
        <v>1</v>
      </c>
      <c r="E627" s="700" t="s">
        <v>2982</v>
      </c>
      <c r="F627" s="1071" t="e">
        <f>IF(E627="","$",VLOOKUP(E627,'結果(小)'!$B$2:$F$1295,5,FALSE))</f>
        <v>#DIV/0!</v>
      </c>
      <c r="G627" s="906" t="s">
        <v>2985</v>
      </c>
      <c r="H627" s="701">
        <v>36</v>
      </c>
      <c r="I627" s="702" t="s">
        <v>5</v>
      </c>
      <c r="J627" s="356" t="s">
        <v>15273</v>
      </c>
      <c r="K627" s="703" t="s">
        <v>2986</v>
      </c>
      <c r="L627" s="906"/>
      <c r="M627" s="906"/>
      <c r="N627" s="704" t="s">
        <v>16127</v>
      </c>
      <c r="O627" s="906" t="s">
        <v>44</v>
      </c>
      <c r="P627" s="906" t="s">
        <v>25</v>
      </c>
      <c r="Q627" s="705">
        <v>1</v>
      </c>
      <c r="R627" s="903">
        <v>1</v>
      </c>
      <c r="S627" s="703" t="s">
        <v>736</v>
      </c>
      <c r="T627" s="1779"/>
      <c r="U627" s="1750"/>
      <c r="V627" s="1753"/>
    </row>
    <row r="628" spans="1:22" ht="12" customHeight="1">
      <c r="A628" s="1038" t="str">
        <f t="shared" si="10"/>
        <v>3602</v>
      </c>
      <c r="B628" s="1072" t="s">
        <v>15425</v>
      </c>
      <c r="C628" s="1073"/>
      <c r="D628" s="696">
        <v>1</v>
      </c>
      <c r="E628" s="688" t="s">
        <v>2545</v>
      </c>
      <c r="F628" s="1068" t="e">
        <f>IF(E628="","$",VLOOKUP(E628,'結果(小)'!$B$2:$F$1295,5,FALSE))</f>
        <v>#DIV/0!</v>
      </c>
      <c r="G628" s="687" t="s">
        <v>2552</v>
      </c>
      <c r="H628" s="690">
        <v>52</v>
      </c>
      <c r="I628" s="696" t="s">
        <v>19</v>
      </c>
      <c r="J628" s="687" t="s">
        <v>15273</v>
      </c>
      <c r="K628" s="747" t="s">
        <v>2553</v>
      </c>
      <c r="L628" s="687"/>
      <c r="M628" s="687"/>
      <c r="N628" s="692" t="s">
        <v>16120</v>
      </c>
      <c r="O628" s="687" t="s">
        <v>30</v>
      </c>
      <c r="P628" s="687" t="s">
        <v>25</v>
      </c>
      <c r="Q628" s="748">
        <v>6</v>
      </c>
      <c r="R628" s="749">
        <v>6</v>
      </c>
      <c r="S628" s="747" t="s">
        <v>5457</v>
      </c>
      <c r="T628" s="1769"/>
      <c r="U628" s="1748"/>
      <c r="V628" s="1751" t="e">
        <f>U628/SUM(U595:U717)</f>
        <v>#DIV/0!</v>
      </c>
    </row>
    <row r="629" spans="1:22" ht="12" customHeight="1">
      <c r="A629" s="1040" t="str">
        <f t="shared" si="10"/>
        <v>3602</v>
      </c>
      <c r="B629" s="1053" t="s">
        <v>15426</v>
      </c>
      <c r="C629" s="1064"/>
      <c r="D629" s="2">
        <v>1</v>
      </c>
      <c r="E629" s="4" t="s">
        <v>2571</v>
      </c>
      <c r="F629" s="1065" t="e">
        <f>IF(E629="","$",VLOOKUP(E629,'結果(小)'!$B$2:$F$1295,5,FALSE))</f>
        <v>#DIV/0!</v>
      </c>
      <c r="G629" s="1" t="s">
        <v>2576</v>
      </c>
      <c r="H629" s="6">
        <v>49</v>
      </c>
      <c r="I629" s="2" t="s">
        <v>5</v>
      </c>
      <c r="J629" s="1" t="s">
        <v>15273</v>
      </c>
      <c r="K629" s="3" t="s">
        <v>2577</v>
      </c>
      <c r="L629" s="1"/>
      <c r="M629" s="1"/>
      <c r="N629" s="4" t="s">
        <v>16120</v>
      </c>
      <c r="O629" s="1" t="s">
        <v>30</v>
      </c>
      <c r="P629" s="1" t="s">
        <v>25</v>
      </c>
      <c r="Q629" s="16">
        <v>5</v>
      </c>
      <c r="R629" s="17">
        <v>5</v>
      </c>
      <c r="S629" s="3" t="s">
        <v>5457</v>
      </c>
      <c r="T629" s="1770"/>
      <c r="U629" s="1749"/>
      <c r="V629" s="1752"/>
    </row>
    <row r="630" spans="1:22" ht="12" customHeight="1">
      <c r="A630" s="1040" t="str">
        <f t="shared" si="10"/>
        <v>3602</v>
      </c>
      <c r="B630" s="1053" t="s">
        <v>15427</v>
      </c>
      <c r="C630" s="1064"/>
      <c r="D630" s="2">
        <v>1</v>
      </c>
      <c r="E630" s="4" t="s">
        <v>2587</v>
      </c>
      <c r="F630" s="1065" t="e">
        <f>IF(E630="","$",VLOOKUP(E630,'結果(小)'!$B$2:$F$1295,5,FALSE))</f>
        <v>#DIV/0!</v>
      </c>
      <c r="G630" s="1" t="s">
        <v>2593</v>
      </c>
      <c r="H630" s="6">
        <v>57</v>
      </c>
      <c r="I630" s="2" t="s">
        <v>5</v>
      </c>
      <c r="J630" s="1" t="s">
        <v>15273</v>
      </c>
      <c r="K630" s="3"/>
      <c r="L630" s="1"/>
      <c r="M630" s="1"/>
      <c r="N630" s="4" t="s">
        <v>16120</v>
      </c>
      <c r="O630" s="1" t="s">
        <v>445</v>
      </c>
      <c r="P630" s="1" t="s">
        <v>14</v>
      </c>
      <c r="Q630" s="16">
        <v>1</v>
      </c>
      <c r="R630" s="17">
        <v>1</v>
      </c>
      <c r="S630" s="3" t="s">
        <v>5457</v>
      </c>
      <c r="T630" s="1770"/>
      <c r="U630" s="1749"/>
      <c r="V630" s="1752"/>
    </row>
    <row r="631" spans="1:22" ht="12" customHeight="1">
      <c r="A631" s="1040" t="str">
        <f t="shared" si="10"/>
        <v>3602</v>
      </c>
      <c r="B631" s="1053" t="s">
        <v>15428</v>
      </c>
      <c r="C631" s="1064"/>
      <c r="D631" s="2">
        <v>1</v>
      </c>
      <c r="E631" s="4" t="s">
        <v>2596</v>
      </c>
      <c r="F631" s="1065" t="e">
        <f>IF(E631="","$",VLOOKUP(E631,'結果(小)'!$B$2:$F$1295,5,FALSE))</f>
        <v>#DIV/0!</v>
      </c>
      <c r="G631" s="1" t="s">
        <v>2598</v>
      </c>
      <c r="H631" s="6">
        <v>69</v>
      </c>
      <c r="I631" s="2" t="s">
        <v>5</v>
      </c>
      <c r="J631" s="1" t="s">
        <v>15273</v>
      </c>
      <c r="K631" s="3" t="s">
        <v>2599</v>
      </c>
      <c r="L631" s="1"/>
      <c r="M631" s="1"/>
      <c r="N631" s="8" t="s">
        <v>16120</v>
      </c>
      <c r="O631" s="1" t="s">
        <v>476</v>
      </c>
      <c r="P631" s="1" t="s">
        <v>25</v>
      </c>
      <c r="Q631" s="16">
        <v>8</v>
      </c>
      <c r="R631" s="17">
        <v>8</v>
      </c>
      <c r="S631" s="3" t="s">
        <v>5457</v>
      </c>
      <c r="T631" s="1770"/>
      <c r="U631" s="1749"/>
      <c r="V631" s="1752"/>
    </row>
    <row r="632" spans="1:22" ht="12" customHeight="1">
      <c r="A632" s="1040" t="str">
        <f t="shared" si="10"/>
        <v>3602</v>
      </c>
      <c r="B632" s="1053" t="s">
        <v>15429</v>
      </c>
      <c r="C632" s="1064"/>
      <c r="D632" s="2">
        <v>1</v>
      </c>
      <c r="E632" s="4" t="s">
        <v>2607</v>
      </c>
      <c r="F632" s="1065" t="e">
        <f>IF(E632="","$",VLOOKUP(E632,'結果(小)'!$B$2:$F$1295,5,FALSE))</f>
        <v>#DIV/0!</v>
      </c>
      <c r="G632" s="1" t="s">
        <v>2614</v>
      </c>
      <c r="H632" s="6">
        <v>60</v>
      </c>
      <c r="I632" s="2" t="s">
        <v>5</v>
      </c>
      <c r="J632" s="1" t="s">
        <v>15273</v>
      </c>
      <c r="K632" s="3" t="s">
        <v>2615</v>
      </c>
      <c r="L632" s="1"/>
      <c r="M632" s="1"/>
      <c r="N632" s="23" t="s">
        <v>16120</v>
      </c>
      <c r="O632" s="1" t="s">
        <v>5247</v>
      </c>
      <c r="P632" s="1" t="s">
        <v>25</v>
      </c>
      <c r="Q632" s="16">
        <v>7</v>
      </c>
      <c r="R632" s="17">
        <v>7</v>
      </c>
      <c r="S632" s="3" t="s">
        <v>5457</v>
      </c>
      <c r="T632" s="1770"/>
      <c r="U632" s="1749"/>
      <c r="V632" s="1752"/>
    </row>
    <row r="633" spans="1:22" ht="12" customHeight="1">
      <c r="A633" s="1040" t="str">
        <f t="shared" si="10"/>
        <v>3602</v>
      </c>
      <c r="B633" s="1053" t="s">
        <v>15430</v>
      </c>
      <c r="C633" s="1064"/>
      <c r="D633" s="2">
        <v>1</v>
      </c>
      <c r="E633" s="4" t="s">
        <v>2625</v>
      </c>
      <c r="F633" s="1065" t="e">
        <f>IF(E633="","$",VLOOKUP(E633,'結果(小)'!$B$2:$F$1295,5,FALSE))</f>
        <v>#DIV/0!</v>
      </c>
      <c r="G633" s="1" t="s">
        <v>2632</v>
      </c>
      <c r="H633" s="6">
        <v>59</v>
      </c>
      <c r="I633" s="2" t="s">
        <v>19</v>
      </c>
      <c r="J633" s="1" t="s">
        <v>15273</v>
      </c>
      <c r="K633" s="3"/>
      <c r="L633" s="1"/>
      <c r="M633" s="1"/>
      <c r="N633" s="8" t="s">
        <v>16120</v>
      </c>
      <c r="O633" s="1" t="s">
        <v>476</v>
      </c>
      <c r="P633" s="1" t="s">
        <v>14</v>
      </c>
      <c r="Q633" s="16">
        <v>3</v>
      </c>
      <c r="R633" s="17">
        <v>3</v>
      </c>
      <c r="S633" s="3" t="s">
        <v>5457</v>
      </c>
      <c r="T633" s="1770"/>
      <c r="U633" s="1749"/>
      <c r="V633" s="1752"/>
    </row>
    <row r="634" spans="1:22" ht="12" customHeight="1">
      <c r="A634" s="1040" t="str">
        <f t="shared" si="10"/>
        <v>3602</v>
      </c>
      <c r="B634" s="1053" t="s">
        <v>15431</v>
      </c>
      <c r="C634" s="1064"/>
      <c r="D634" s="2">
        <v>1</v>
      </c>
      <c r="E634" s="4" t="s">
        <v>2642</v>
      </c>
      <c r="F634" s="1065" t="e">
        <f>IF(E634="","$",VLOOKUP(E634,'結果(小)'!$B$2:$F$1295,5,FALSE))</f>
        <v>#DIV/0!</v>
      </c>
      <c r="G634" s="1" t="s">
        <v>2649</v>
      </c>
      <c r="H634" s="6">
        <v>36</v>
      </c>
      <c r="I634" s="2" t="s">
        <v>5</v>
      </c>
      <c r="J634" s="1" t="s">
        <v>15273</v>
      </c>
      <c r="K634" s="3"/>
      <c r="L634" s="1"/>
      <c r="M634" s="1"/>
      <c r="N634" s="4" t="s">
        <v>16120</v>
      </c>
      <c r="O634" s="1" t="s">
        <v>30</v>
      </c>
      <c r="P634" s="1" t="s">
        <v>6</v>
      </c>
      <c r="Q634" s="16"/>
      <c r="R634" s="17"/>
      <c r="S634" s="3"/>
      <c r="T634" s="1770"/>
      <c r="U634" s="1749"/>
      <c r="V634" s="1752"/>
    </row>
    <row r="635" spans="1:22" ht="12" customHeight="1">
      <c r="A635" s="1040" t="str">
        <f t="shared" si="10"/>
        <v>3602</v>
      </c>
      <c r="B635" s="1053" t="s">
        <v>15432</v>
      </c>
      <c r="C635" s="1064"/>
      <c r="D635" s="2">
        <v>1</v>
      </c>
      <c r="E635" s="4" t="s">
        <v>2656</v>
      </c>
      <c r="F635" s="1065" t="e">
        <f>IF(E635="","$",VLOOKUP(E635,'結果(小)'!$B$2:$F$1295,5,FALSE))</f>
        <v>#DIV/0!</v>
      </c>
      <c r="G635" s="1" t="s">
        <v>2662</v>
      </c>
      <c r="H635" s="6">
        <v>37</v>
      </c>
      <c r="I635" s="2" t="s">
        <v>5</v>
      </c>
      <c r="J635" s="1" t="s">
        <v>15273</v>
      </c>
      <c r="K635" s="3"/>
      <c r="L635" s="1"/>
      <c r="M635" s="1"/>
      <c r="N635" s="4" t="s">
        <v>16120</v>
      </c>
      <c r="O635" s="1" t="s">
        <v>30</v>
      </c>
      <c r="P635" s="1" t="s">
        <v>6</v>
      </c>
      <c r="Q635" s="16"/>
      <c r="R635" s="17"/>
      <c r="S635" s="3" t="s">
        <v>5457</v>
      </c>
      <c r="T635" s="1770"/>
      <c r="U635" s="1749"/>
      <c r="V635" s="1752"/>
    </row>
    <row r="636" spans="1:22" ht="12" customHeight="1">
      <c r="A636" s="1040" t="str">
        <f t="shared" si="10"/>
        <v>3602</v>
      </c>
      <c r="B636" s="1053" t="s">
        <v>15433</v>
      </c>
      <c r="C636" s="1064"/>
      <c r="D636" s="2">
        <v>1</v>
      </c>
      <c r="E636" s="4" t="s">
        <v>2669</v>
      </c>
      <c r="F636" s="1065" t="e">
        <f>IF(E636="","$",VLOOKUP(E636,'結果(小)'!$B$2:$F$1295,5,FALSE))</f>
        <v>#DIV/0!</v>
      </c>
      <c r="G636" s="1" t="s">
        <v>2676</v>
      </c>
      <c r="H636" s="6">
        <v>65</v>
      </c>
      <c r="I636" s="2" t="s">
        <v>5</v>
      </c>
      <c r="J636" s="1" t="s">
        <v>15273</v>
      </c>
      <c r="K636" s="3" t="s">
        <v>2677</v>
      </c>
      <c r="L636" s="1"/>
      <c r="M636" s="1"/>
      <c r="N636" s="8" t="s">
        <v>16120</v>
      </c>
      <c r="O636" s="1" t="s">
        <v>476</v>
      </c>
      <c r="P636" s="1" t="s">
        <v>25</v>
      </c>
      <c r="Q636" s="16">
        <v>5</v>
      </c>
      <c r="R636" s="17">
        <v>5</v>
      </c>
      <c r="S636" s="3" t="s">
        <v>5457</v>
      </c>
      <c r="T636" s="1770"/>
      <c r="U636" s="1749"/>
      <c r="V636" s="1752"/>
    </row>
    <row r="637" spans="1:22" ht="12" customHeight="1">
      <c r="A637" s="1040" t="str">
        <f t="shared" si="10"/>
        <v>3602</v>
      </c>
      <c r="B637" s="1053" t="s">
        <v>15434</v>
      </c>
      <c r="C637" s="1064"/>
      <c r="D637" s="2">
        <v>1</v>
      </c>
      <c r="E637" s="4" t="s">
        <v>2687</v>
      </c>
      <c r="F637" s="1065" t="e">
        <f>IF(E637="","$",VLOOKUP(E637,'結果(小)'!$B$2:$F$1295,5,FALSE))</f>
        <v>#DIV/0!</v>
      </c>
      <c r="G637" s="1" t="s">
        <v>2694</v>
      </c>
      <c r="H637" s="6">
        <v>30</v>
      </c>
      <c r="I637" s="2" t="s">
        <v>5</v>
      </c>
      <c r="J637" s="1" t="s">
        <v>15273</v>
      </c>
      <c r="K637" s="3"/>
      <c r="L637" s="1"/>
      <c r="M637" s="1"/>
      <c r="N637" s="23" t="s">
        <v>16120</v>
      </c>
      <c r="O637" s="1" t="s">
        <v>30</v>
      </c>
      <c r="P637" s="1" t="s">
        <v>6</v>
      </c>
      <c r="Q637" s="16"/>
      <c r="R637" s="17"/>
      <c r="S637" s="3"/>
      <c r="T637" s="1770"/>
      <c r="U637" s="1749"/>
      <c r="V637" s="1752"/>
    </row>
    <row r="638" spans="1:22" ht="12" customHeight="1">
      <c r="A638" s="1040" t="str">
        <f t="shared" si="10"/>
        <v>3602</v>
      </c>
      <c r="B638" s="1053" t="s">
        <v>15435</v>
      </c>
      <c r="C638" s="1064"/>
      <c r="D638" s="2">
        <v>1</v>
      </c>
      <c r="E638" s="4" t="s">
        <v>2699</v>
      </c>
      <c r="F638" s="1065" t="e">
        <f>IF(E638="","$",VLOOKUP(E638,'結果(小)'!$B$2:$F$1295,5,FALSE))</f>
        <v>#DIV/0!</v>
      </c>
      <c r="G638" s="1" t="s">
        <v>2708</v>
      </c>
      <c r="H638" s="6">
        <v>36</v>
      </c>
      <c r="I638" s="2" t="s">
        <v>5</v>
      </c>
      <c r="J638" s="1" t="s">
        <v>15273</v>
      </c>
      <c r="K638" s="3"/>
      <c r="L638" s="1"/>
      <c r="M638" s="1"/>
      <c r="N638" s="8" t="s">
        <v>16120</v>
      </c>
      <c r="O638" s="1" t="s">
        <v>30</v>
      </c>
      <c r="P638" s="1" t="s">
        <v>6</v>
      </c>
      <c r="Q638" s="16"/>
      <c r="R638" s="17"/>
      <c r="S638" s="3"/>
      <c r="T638" s="1770"/>
      <c r="U638" s="1749"/>
      <c r="V638" s="1752"/>
    </row>
    <row r="639" spans="1:22" ht="12" customHeight="1">
      <c r="A639" s="1040" t="str">
        <f t="shared" si="10"/>
        <v>3602</v>
      </c>
      <c r="B639" s="1053" t="s">
        <v>15436</v>
      </c>
      <c r="C639" s="1064"/>
      <c r="D639" s="2">
        <v>1</v>
      </c>
      <c r="E639" s="4" t="s">
        <v>2714</v>
      </c>
      <c r="F639" s="1065" t="e">
        <f>IF(E639="","$",VLOOKUP(E639,'結果(小)'!$B$2:$F$1295,5,FALSE))</f>
        <v>#DIV/0!</v>
      </c>
      <c r="G639" s="1" t="s">
        <v>2719</v>
      </c>
      <c r="H639" s="6">
        <v>47</v>
      </c>
      <c r="I639" s="2" t="s">
        <v>5</v>
      </c>
      <c r="J639" s="1" t="s">
        <v>15273</v>
      </c>
      <c r="K639" s="3" t="s">
        <v>2720</v>
      </c>
      <c r="L639" s="1"/>
      <c r="M639" s="1"/>
      <c r="N639" s="4" t="s">
        <v>16120</v>
      </c>
      <c r="O639" s="1" t="s">
        <v>30</v>
      </c>
      <c r="P639" s="1" t="s">
        <v>25</v>
      </c>
      <c r="Q639" s="16">
        <v>2</v>
      </c>
      <c r="R639" s="17">
        <v>2</v>
      </c>
      <c r="S639" s="3" t="s">
        <v>5457</v>
      </c>
      <c r="T639" s="1770"/>
      <c r="U639" s="1749"/>
      <c r="V639" s="1752"/>
    </row>
    <row r="640" spans="1:22" ht="12" customHeight="1">
      <c r="A640" s="1040" t="str">
        <f t="shared" si="10"/>
        <v>3602</v>
      </c>
      <c r="B640" s="1053" t="s">
        <v>15437</v>
      </c>
      <c r="C640" s="1064"/>
      <c r="D640" s="2">
        <v>1</v>
      </c>
      <c r="E640" s="4" t="s">
        <v>2723</v>
      </c>
      <c r="F640" s="1065" t="e">
        <f>IF(E640="","$",VLOOKUP(E640,'結果(小)'!$B$2:$F$1295,5,FALSE))</f>
        <v>#DIV/0!</v>
      </c>
      <c r="G640" s="1" t="s">
        <v>2728</v>
      </c>
      <c r="H640" s="6">
        <v>62</v>
      </c>
      <c r="I640" s="2" t="s">
        <v>5</v>
      </c>
      <c r="J640" s="1" t="s">
        <v>15273</v>
      </c>
      <c r="K640" s="3" t="s">
        <v>2729</v>
      </c>
      <c r="L640" s="1"/>
      <c r="M640" s="1"/>
      <c r="N640" s="4" t="s">
        <v>16120</v>
      </c>
      <c r="O640" s="1" t="s">
        <v>48</v>
      </c>
      <c r="P640" s="1" t="s">
        <v>25</v>
      </c>
      <c r="Q640" s="16">
        <v>6</v>
      </c>
      <c r="R640" s="17">
        <v>6</v>
      </c>
      <c r="S640" s="3" t="s">
        <v>5457</v>
      </c>
      <c r="T640" s="1770"/>
      <c r="U640" s="1749"/>
      <c r="V640" s="1752"/>
    </row>
    <row r="641" spans="1:22" ht="12" customHeight="1">
      <c r="A641" s="1040" t="str">
        <f t="shared" si="10"/>
        <v>3602</v>
      </c>
      <c r="B641" s="1053" t="s">
        <v>15438</v>
      </c>
      <c r="C641" s="1064"/>
      <c r="D641" s="2">
        <v>1</v>
      </c>
      <c r="E641" s="4" t="s">
        <v>2738</v>
      </c>
      <c r="F641" s="1065" t="e">
        <f>IF(E641="","$",VLOOKUP(E641,'結果(小)'!$B$2:$F$1295,5,FALSE))</f>
        <v>#DIV/0!</v>
      </c>
      <c r="G641" s="1" t="s">
        <v>2747</v>
      </c>
      <c r="H641" s="6">
        <v>48</v>
      </c>
      <c r="I641" s="2" t="s">
        <v>5</v>
      </c>
      <c r="J641" s="1" t="s">
        <v>15273</v>
      </c>
      <c r="K641" s="3"/>
      <c r="L641" s="1"/>
      <c r="M641" s="1"/>
      <c r="N641" s="8" t="s">
        <v>16120</v>
      </c>
      <c r="O641" s="1" t="s">
        <v>30</v>
      </c>
      <c r="P641" s="1" t="s">
        <v>6</v>
      </c>
      <c r="Q641" s="16"/>
      <c r="R641" s="17"/>
      <c r="S641" s="3" t="s">
        <v>5457</v>
      </c>
      <c r="T641" s="1770"/>
      <c r="U641" s="1749"/>
      <c r="V641" s="1752"/>
    </row>
    <row r="642" spans="1:22" ht="12" customHeight="1">
      <c r="A642" s="1040" t="str">
        <f t="shared" si="10"/>
        <v>3602</v>
      </c>
      <c r="B642" s="1053" t="s">
        <v>15439</v>
      </c>
      <c r="C642" s="1064"/>
      <c r="D642" s="2">
        <v>1</v>
      </c>
      <c r="E642" s="4" t="s">
        <v>2758</v>
      </c>
      <c r="F642" s="1065" t="e">
        <f>IF(E642="","$",VLOOKUP(E642,'結果(小)'!$B$2:$F$1295,5,FALSE))</f>
        <v>#DIV/0!</v>
      </c>
      <c r="G642" s="1" t="s">
        <v>5691</v>
      </c>
      <c r="H642" s="6">
        <v>41</v>
      </c>
      <c r="I642" s="2" t="s">
        <v>5</v>
      </c>
      <c r="J642" s="1" t="s">
        <v>15273</v>
      </c>
      <c r="K642" s="3"/>
      <c r="L642" s="1"/>
      <c r="M642" s="1"/>
      <c r="N642" s="23" t="s">
        <v>16120</v>
      </c>
      <c r="O642" s="1" t="s">
        <v>30</v>
      </c>
      <c r="P642" s="1" t="s">
        <v>6</v>
      </c>
      <c r="Q642" s="16"/>
      <c r="R642" s="17"/>
      <c r="S642" s="3"/>
      <c r="T642" s="1770"/>
      <c r="U642" s="1749"/>
      <c r="V642" s="1752"/>
    </row>
    <row r="643" spans="1:22" ht="12" customHeight="1">
      <c r="A643" s="1040" t="str">
        <f t="shared" ref="A643:A706" si="11">MIDB(B643,1,4)</f>
        <v>3602</v>
      </c>
      <c r="B643" s="1053" t="s">
        <v>15440</v>
      </c>
      <c r="C643" s="1064"/>
      <c r="D643" s="2">
        <v>1</v>
      </c>
      <c r="E643" s="4" t="s">
        <v>2770</v>
      </c>
      <c r="F643" s="1065" t="e">
        <f>IF(E643="","$",VLOOKUP(E643,'結果(小)'!$B$2:$F$1295,5,FALSE))</f>
        <v>#DIV/0!</v>
      </c>
      <c r="G643" s="1" t="s">
        <v>2778</v>
      </c>
      <c r="H643" s="6">
        <v>46</v>
      </c>
      <c r="I643" s="2" t="s">
        <v>5</v>
      </c>
      <c r="J643" s="1" t="s">
        <v>15273</v>
      </c>
      <c r="K643" s="3"/>
      <c r="L643" s="1"/>
      <c r="M643" s="1"/>
      <c r="N643" s="8" t="s">
        <v>16120</v>
      </c>
      <c r="O643" s="1" t="s">
        <v>48</v>
      </c>
      <c r="P643" s="1" t="s">
        <v>6</v>
      </c>
      <c r="Q643" s="16"/>
      <c r="R643" s="17"/>
      <c r="S643" s="3"/>
      <c r="T643" s="1770"/>
      <c r="U643" s="1749"/>
      <c r="V643" s="1752"/>
    </row>
    <row r="644" spans="1:22" ht="12" customHeight="1">
      <c r="A644" s="1040" t="str">
        <f t="shared" si="11"/>
        <v>3602</v>
      </c>
      <c r="B644" s="1053" t="s">
        <v>15441</v>
      </c>
      <c r="C644" s="1064"/>
      <c r="D644" s="2">
        <v>1</v>
      </c>
      <c r="E644" s="4" t="s">
        <v>2784</v>
      </c>
      <c r="F644" s="1065" t="e">
        <f>IF(E644="","$",VLOOKUP(E644,'結果(小)'!$B$2:$F$1295,5,FALSE))</f>
        <v>#DIV/0!</v>
      </c>
      <c r="G644" s="1" t="s">
        <v>2788</v>
      </c>
      <c r="H644" s="6">
        <v>48</v>
      </c>
      <c r="I644" s="2" t="s">
        <v>5</v>
      </c>
      <c r="J644" s="1" t="s">
        <v>15273</v>
      </c>
      <c r="K644" s="3"/>
      <c r="L644" s="1"/>
      <c r="M644" s="1"/>
      <c r="N644" s="4" t="s">
        <v>16120</v>
      </c>
      <c r="O644" s="1" t="s">
        <v>65</v>
      </c>
      <c r="P644" s="1" t="s">
        <v>6</v>
      </c>
      <c r="Q644" s="16"/>
      <c r="R644" s="17"/>
      <c r="S644" s="3"/>
      <c r="T644" s="1770"/>
      <c r="U644" s="1749"/>
      <c r="V644" s="1752"/>
    </row>
    <row r="645" spans="1:22" ht="12" customHeight="1">
      <c r="A645" s="1040" t="str">
        <f t="shared" si="11"/>
        <v>3602</v>
      </c>
      <c r="B645" s="1053" t="s">
        <v>15442</v>
      </c>
      <c r="C645" s="1064"/>
      <c r="D645" s="2">
        <v>1</v>
      </c>
      <c r="E645" s="4" t="s">
        <v>2798</v>
      </c>
      <c r="F645" s="1065" t="e">
        <f>IF(E645="","$",VLOOKUP(E645,'結果(小)'!$B$2:$F$1295,5,FALSE))</f>
        <v>#DIV/0!</v>
      </c>
      <c r="G645" s="1" t="s">
        <v>5751</v>
      </c>
      <c r="H645" s="6">
        <v>49</v>
      </c>
      <c r="I645" s="2" t="s">
        <v>5</v>
      </c>
      <c r="J645" s="1" t="s">
        <v>15273</v>
      </c>
      <c r="K645" s="3"/>
      <c r="L645" s="1"/>
      <c r="M645" s="1"/>
      <c r="N645" s="4" t="s">
        <v>16120</v>
      </c>
      <c r="O645" s="1" t="s">
        <v>30</v>
      </c>
      <c r="P645" s="1" t="s">
        <v>6</v>
      </c>
      <c r="Q645" s="16"/>
      <c r="R645" s="17"/>
      <c r="S645" s="3"/>
      <c r="T645" s="1770"/>
      <c r="U645" s="1749"/>
      <c r="V645" s="1752"/>
    </row>
    <row r="646" spans="1:22" ht="12" customHeight="1">
      <c r="A646" s="1040" t="str">
        <f t="shared" si="11"/>
        <v>3602</v>
      </c>
      <c r="B646" s="1053" t="s">
        <v>15443</v>
      </c>
      <c r="C646" s="1064"/>
      <c r="D646" s="2">
        <v>1</v>
      </c>
      <c r="E646" s="4" t="s">
        <v>2809</v>
      </c>
      <c r="F646" s="1065" t="e">
        <f>IF(E646="","$",VLOOKUP(E646,'結果(小)'!$B$2:$F$1295,5,FALSE))</f>
        <v>#DIV/0!</v>
      </c>
      <c r="G646" s="1" t="s">
        <v>2815</v>
      </c>
      <c r="H646" s="6">
        <v>39</v>
      </c>
      <c r="I646" s="2" t="s">
        <v>5</v>
      </c>
      <c r="J646" s="1" t="s">
        <v>15273</v>
      </c>
      <c r="K646" s="3" t="s">
        <v>2816</v>
      </c>
      <c r="L646" s="1"/>
      <c r="M646" s="1"/>
      <c r="N646" s="8" t="s">
        <v>16120</v>
      </c>
      <c r="O646" s="1" t="s">
        <v>475</v>
      </c>
      <c r="P646" s="1" t="s">
        <v>25</v>
      </c>
      <c r="Q646" s="16">
        <v>2</v>
      </c>
      <c r="R646" s="17">
        <v>2</v>
      </c>
      <c r="S646" s="3" t="s">
        <v>5457</v>
      </c>
      <c r="T646" s="1770"/>
      <c r="U646" s="1749"/>
      <c r="V646" s="1752"/>
    </row>
    <row r="647" spans="1:22" ht="12" customHeight="1">
      <c r="A647" s="1040" t="str">
        <f t="shared" si="11"/>
        <v>3602</v>
      </c>
      <c r="B647" s="1053" t="s">
        <v>15444</v>
      </c>
      <c r="C647" s="1064"/>
      <c r="D647" s="2">
        <v>1</v>
      </c>
      <c r="E647" s="4" t="s">
        <v>2823</v>
      </c>
      <c r="F647" s="1065" t="e">
        <f>IF(E647="","$",VLOOKUP(E647,'結果(小)'!$B$2:$F$1295,5,FALSE))</f>
        <v>#DIV/0!</v>
      </c>
      <c r="G647" s="1" t="s">
        <v>2828</v>
      </c>
      <c r="H647" s="6">
        <v>54</v>
      </c>
      <c r="I647" s="2" t="s">
        <v>5</v>
      </c>
      <c r="J647" s="1" t="s">
        <v>15273</v>
      </c>
      <c r="K647" s="3"/>
      <c r="L647" s="1"/>
      <c r="M647" s="1"/>
      <c r="N647" s="23" t="s">
        <v>16120</v>
      </c>
      <c r="O647" s="1" t="s">
        <v>48</v>
      </c>
      <c r="P647" s="1" t="s">
        <v>14</v>
      </c>
      <c r="Q647" s="16">
        <v>2</v>
      </c>
      <c r="R647" s="17">
        <v>2</v>
      </c>
      <c r="S647" s="3" t="s">
        <v>5457</v>
      </c>
      <c r="T647" s="1770"/>
      <c r="U647" s="1749"/>
      <c r="V647" s="1752"/>
    </row>
    <row r="648" spans="1:22" ht="12" customHeight="1">
      <c r="A648" s="1040" t="str">
        <f t="shared" si="11"/>
        <v>3602</v>
      </c>
      <c r="B648" s="1053" t="s">
        <v>15445</v>
      </c>
      <c r="C648" s="1064"/>
      <c r="D648" s="2">
        <v>1</v>
      </c>
      <c r="E648" s="4" t="s">
        <v>2834</v>
      </c>
      <c r="F648" s="1065" t="e">
        <f>IF(E648="","$",VLOOKUP(E648,'結果(小)'!$B$2:$F$1295,5,FALSE))</f>
        <v>#DIV/0!</v>
      </c>
      <c r="G648" s="1" t="s">
        <v>2841</v>
      </c>
      <c r="H648" s="6">
        <v>48</v>
      </c>
      <c r="I648" s="2" t="s">
        <v>5</v>
      </c>
      <c r="J648" s="1" t="s">
        <v>15273</v>
      </c>
      <c r="K648" s="3"/>
      <c r="L648" s="1"/>
      <c r="M648" s="1"/>
      <c r="N648" s="8" t="s">
        <v>16120</v>
      </c>
      <c r="O648" s="1" t="s">
        <v>65</v>
      </c>
      <c r="P648" s="1" t="s">
        <v>14</v>
      </c>
      <c r="Q648" s="16">
        <v>1</v>
      </c>
      <c r="R648" s="17">
        <v>1</v>
      </c>
      <c r="S648" s="3" t="s">
        <v>5457</v>
      </c>
      <c r="T648" s="1770"/>
      <c r="U648" s="1749"/>
      <c r="V648" s="1752"/>
    </row>
    <row r="649" spans="1:22" ht="12" customHeight="1">
      <c r="A649" s="1040" t="str">
        <f t="shared" si="11"/>
        <v>3602</v>
      </c>
      <c r="B649" s="1053" t="s">
        <v>15446</v>
      </c>
      <c r="C649" s="1064"/>
      <c r="D649" s="2">
        <v>1</v>
      </c>
      <c r="E649" s="4" t="s">
        <v>2846</v>
      </c>
      <c r="F649" s="1065" t="e">
        <f>IF(E649="","$",VLOOKUP(E649,'結果(小)'!$B$2:$F$1295,5,FALSE))</f>
        <v>#DIV/0!</v>
      </c>
      <c r="G649" s="1" t="s">
        <v>2851</v>
      </c>
      <c r="H649" s="6">
        <v>55</v>
      </c>
      <c r="I649" s="2" t="s">
        <v>5</v>
      </c>
      <c r="J649" s="1" t="s">
        <v>15273</v>
      </c>
      <c r="K649" s="3"/>
      <c r="L649" s="1"/>
      <c r="M649" s="1"/>
      <c r="N649" s="4" t="s">
        <v>16120</v>
      </c>
      <c r="O649" s="1" t="s">
        <v>30</v>
      </c>
      <c r="P649" s="1" t="s">
        <v>6</v>
      </c>
      <c r="Q649" s="16"/>
      <c r="R649" s="17"/>
      <c r="S649" s="3" t="s">
        <v>5457</v>
      </c>
      <c r="T649" s="1770"/>
      <c r="U649" s="1749"/>
      <c r="V649" s="1752"/>
    </row>
    <row r="650" spans="1:22" ht="12" customHeight="1">
      <c r="A650" s="1040" t="str">
        <f t="shared" si="11"/>
        <v>3602</v>
      </c>
      <c r="B650" s="1053" t="s">
        <v>15447</v>
      </c>
      <c r="C650" s="1064"/>
      <c r="D650" s="2">
        <v>1</v>
      </c>
      <c r="E650" s="4" t="s">
        <v>2857</v>
      </c>
      <c r="F650" s="1065" t="e">
        <f>IF(E650="","$",VLOOKUP(E650,'結果(小)'!$B$2:$F$1295,5,FALSE))</f>
        <v>#DIV/0!</v>
      </c>
      <c r="G650" s="1" t="s">
        <v>2860</v>
      </c>
      <c r="H650" s="6">
        <v>69</v>
      </c>
      <c r="I650" s="2" t="s">
        <v>5</v>
      </c>
      <c r="J650" s="1" t="s">
        <v>15273</v>
      </c>
      <c r="K650" s="3"/>
      <c r="L650" s="1"/>
      <c r="M650" s="1"/>
      <c r="N650" s="4" t="s">
        <v>16120</v>
      </c>
      <c r="O650" s="1" t="s">
        <v>65</v>
      </c>
      <c r="P650" s="1" t="s">
        <v>14</v>
      </c>
      <c r="Q650" s="16">
        <v>4</v>
      </c>
      <c r="R650" s="17">
        <v>4</v>
      </c>
      <c r="S650" s="3" t="s">
        <v>5457</v>
      </c>
      <c r="T650" s="1770"/>
      <c r="U650" s="1749"/>
      <c r="V650" s="1752"/>
    </row>
    <row r="651" spans="1:22" ht="12" customHeight="1">
      <c r="A651" s="1040" t="str">
        <f t="shared" si="11"/>
        <v>3602</v>
      </c>
      <c r="B651" s="1053" t="s">
        <v>15448</v>
      </c>
      <c r="C651" s="1064"/>
      <c r="D651" s="2">
        <v>1</v>
      </c>
      <c r="E651" s="4" t="s">
        <v>2870</v>
      </c>
      <c r="F651" s="1065" t="e">
        <f>IF(E651="","$",VLOOKUP(E651,'結果(小)'!$B$2:$F$1295,5,FALSE))</f>
        <v>#DIV/0!</v>
      </c>
      <c r="G651" s="1" t="s">
        <v>5843</v>
      </c>
      <c r="H651" s="6">
        <v>65</v>
      </c>
      <c r="I651" s="2" t="s">
        <v>5</v>
      </c>
      <c r="J651" s="1" t="s">
        <v>15273</v>
      </c>
      <c r="K651" s="3"/>
      <c r="L651" s="1"/>
      <c r="M651" s="1"/>
      <c r="N651" s="8" t="s">
        <v>16120</v>
      </c>
      <c r="O651" s="1" t="s">
        <v>44</v>
      </c>
      <c r="P651" s="1" t="s">
        <v>6</v>
      </c>
      <c r="Q651" s="16"/>
      <c r="R651" s="17"/>
      <c r="S651" s="3"/>
      <c r="T651" s="1770"/>
      <c r="U651" s="1749"/>
      <c r="V651" s="1752"/>
    </row>
    <row r="652" spans="1:22" ht="12" customHeight="1">
      <c r="A652" s="1040" t="str">
        <f t="shared" si="11"/>
        <v>3602</v>
      </c>
      <c r="B652" s="1053" t="s">
        <v>15449</v>
      </c>
      <c r="C652" s="1064"/>
      <c r="D652" s="2">
        <v>1</v>
      </c>
      <c r="E652" s="4" t="s">
        <v>2876</v>
      </c>
      <c r="F652" s="1065" t="e">
        <f>IF(E652="","$",VLOOKUP(E652,'結果(小)'!$B$2:$F$1295,5,FALSE))</f>
        <v>#DIV/0!</v>
      </c>
      <c r="G652" s="1" t="s">
        <v>2883</v>
      </c>
      <c r="H652" s="6">
        <v>35</v>
      </c>
      <c r="I652" s="2" t="s">
        <v>5</v>
      </c>
      <c r="J652" s="1" t="s">
        <v>15273</v>
      </c>
      <c r="K652" s="3"/>
      <c r="L652" s="1"/>
      <c r="M652" s="1"/>
      <c r="N652" s="23" t="s">
        <v>16120</v>
      </c>
      <c r="O652" s="1" t="s">
        <v>48</v>
      </c>
      <c r="P652" s="1" t="s">
        <v>6</v>
      </c>
      <c r="Q652" s="16"/>
      <c r="R652" s="17"/>
      <c r="S652" s="3"/>
      <c r="T652" s="1770"/>
      <c r="U652" s="1749"/>
      <c r="V652" s="1752"/>
    </row>
    <row r="653" spans="1:22" ht="12" customHeight="1">
      <c r="A653" s="1040" t="str">
        <f t="shared" si="11"/>
        <v>3602</v>
      </c>
      <c r="B653" s="1053" t="s">
        <v>15450</v>
      </c>
      <c r="C653" s="1064"/>
      <c r="D653" s="2">
        <v>1</v>
      </c>
      <c r="E653" s="4" t="s">
        <v>2893</v>
      </c>
      <c r="F653" s="1065" t="e">
        <f>IF(E653="","$",VLOOKUP(E653,'結果(小)'!$B$2:$F$1295,5,FALSE))</f>
        <v>#DIV/0!</v>
      </c>
      <c r="G653" s="1" t="s">
        <v>2898</v>
      </c>
      <c r="H653" s="6">
        <v>54</v>
      </c>
      <c r="I653" s="2" t="s">
        <v>5</v>
      </c>
      <c r="J653" s="1" t="s">
        <v>15273</v>
      </c>
      <c r="K653" s="3"/>
      <c r="L653" s="1"/>
      <c r="M653" s="1"/>
      <c r="N653" s="8" t="s">
        <v>16120</v>
      </c>
      <c r="O653" s="1" t="s">
        <v>30</v>
      </c>
      <c r="P653" s="1" t="s">
        <v>6</v>
      </c>
      <c r="Q653" s="16"/>
      <c r="R653" s="17"/>
      <c r="S653" s="3"/>
      <c r="T653" s="1770"/>
      <c r="U653" s="1749"/>
      <c r="V653" s="1752"/>
    </row>
    <row r="654" spans="1:22" ht="12" customHeight="1">
      <c r="A654" s="1040" t="str">
        <f t="shared" si="11"/>
        <v>3602</v>
      </c>
      <c r="B654" s="1053" t="s">
        <v>15451</v>
      </c>
      <c r="C654" s="1064"/>
      <c r="D654" s="2">
        <v>1</v>
      </c>
      <c r="E654" s="4" t="s">
        <v>2902</v>
      </c>
      <c r="F654" s="1065" t="e">
        <f>IF(E654="","$",VLOOKUP(E654,'結果(小)'!$B$2:$F$1295,5,FALSE))</f>
        <v>#DIV/0!</v>
      </c>
      <c r="G654" s="1" t="s">
        <v>2905</v>
      </c>
      <c r="H654" s="6">
        <v>28</v>
      </c>
      <c r="I654" s="2" t="s">
        <v>5</v>
      </c>
      <c r="J654" s="1" t="s">
        <v>15273</v>
      </c>
      <c r="K654" s="3"/>
      <c r="L654" s="1"/>
      <c r="M654" s="1"/>
      <c r="N654" s="4" t="s">
        <v>16120</v>
      </c>
      <c r="O654" s="1" t="s">
        <v>30</v>
      </c>
      <c r="P654" s="1" t="s">
        <v>6</v>
      </c>
      <c r="Q654" s="16"/>
      <c r="R654" s="17"/>
      <c r="S654" s="3"/>
      <c r="T654" s="1770"/>
      <c r="U654" s="1749"/>
      <c r="V654" s="1752"/>
    </row>
    <row r="655" spans="1:22" ht="12" customHeight="1">
      <c r="A655" s="1040" t="str">
        <f t="shared" si="11"/>
        <v>3602</v>
      </c>
      <c r="B655" s="1053" t="s">
        <v>15452</v>
      </c>
      <c r="C655" s="1064"/>
      <c r="D655" s="2">
        <v>1</v>
      </c>
      <c r="E655" s="4" t="s">
        <v>2914</v>
      </c>
      <c r="F655" s="1065" t="e">
        <f>IF(E655="","$",VLOOKUP(E655,'結果(小)'!$B$2:$F$1295,5,FALSE))</f>
        <v>#DIV/0!</v>
      </c>
      <c r="G655" s="1" t="s">
        <v>2920</v>
      </c>
      <c r="H655" s="6">
        <v>47</v>
      </c>
      <c r="I655" s="2" t="s">
        <v>5</v>
      </c>
      <c r="J655" s="1" t="s">
        <v>15273</v>
      </c>
      <c r="K655" s="3"/>
      <c r="L655" s="1"/>
      <c r="M655" s="1"/>
      <c r="N655" s="4" t="s">
        <v>16120</v>
      </c>
      <c r="O655" s="1" t="s">
        <v>48</v>
      </c>
      <c r="P655" s="1" t="s">
        <v>6</v>
      </c>
      <c r="Q655" s="16"/>
      <c r="R655" s="17"/>
      <c r="S655" s="3"/>
      <c r="T655" s="1770"/>
      <c r="U655" s="1749"/>
      <c r="V655" s="1752"/>
    </row>
    <row r="656" spans="1:22" ht="12" customHeight="1">
      <c r="A656" s="1040" t="str">
        <f t="shared" si="11"/>
        <v>3602</v>
      </c>
      <c r="B656" s="1053" t="s">
        <v>15453</v>
      </c>
      <c r="C656" s="1064"/>
      <c r="D656" s="2">
        <v>1</v>
      </c>
      <c r="E656" s="4" t="s">
        <v>2930</v>
      </c>
      <c r="F656" s="1065" t="e">
        <f>IF(E656="","$",VLOOKUP(E656,'結果(小)'!$B$2:$F$1295,5,FALSE))</f>
        <v>#DIV/0!</v>
      </c>
      <c r="G656" s="1" t="s">
        <v>2934</v>
      </c>
      <c r="H656" s="6">
        <v>65</v>
      </c>
      <c r="I656" s="2" t="s">
        <v>5</v>
      </c>
      <c r="J656" s="1" t="s">
        <v>15273</v>
      </c>
      <c r="K656" s="3" t="s">
        <v>2935</v>
      </c>
      <c r="L656" s="1"/>
      <c r="M656" s="1"/>
      <c r="N656" s="8" t="s">
        <v>16120</v>
      </c>
      <c r="O656" s="1" t="s">
        <v>30</v>
      </c>
      <c r="P656" s="1" t="s">
        <v>25</v>
      </c>
      <c r="Q656" s="16">
        <v>9</v>
      </c>
      <c r="R656" s="17">
        <v>9</v>
      </c>
      <c r="S656" s="3" t="s">
        <v>5457</v>
      </c>
      <c r="T656" s="1770"/>
      <c r="U656" s="1749"/>
      <c r="V656" s="1752"/>
    </row>
    <row r="657" spans="1:22" ht="12" customHeight="1">
      <c r="A657" s="1040" t="str">
        <f t="shared" si="11"/>
        <v>3602</v>
      </c>
      <c r="B657" s="1053" t="s">
        <v>15454</v>
      </c>
      <c r="C657" s="1064"/>
      <c r="D657" s="2">
        <v>1</v>
      </c>
      <c r="E657" s="4" t="s">
        <v>2944</v>
      </c>
      <c r="F657" s="1065" t="e">
        <f>IF(E657="","$",VLOOKUP(E657,'結果(小)'!$B$2:$F$1295,5,FALSE))</f>
        <v>#DIV/0!</v>
      </c>
      <c r="G657" s="1" t="s">
        <v>2950</v>
      </c>
      <c r="H657" s="6">
        <v>42</v>
      </c>
      <c r="I657" s="2" t="s">
        <v>5</v>
      </c>
      <c r="J657" s="1" t="s">
        <v>15273</v>
      </c>
      <c r="K657" s="3"/>
      <c r="L657" s="1"/>
      <c r="M657" s="1"/>
      <c r="N657" s="23" t="s">
        <v>16120</v>
      </c>
      <c r="O657" s="1" t="s">
        <v>30</v>
      </c>
      <c r="P657" s="1" t="s">
        <v>6</v>
      </c>
      <c r="Q657" s="16"/>
      <c r="R657" s="17"/>
      <c r="S657" s="3"/>
      <c r="T657" s="1770"/>
      <c r="U657" s="1749"/>
      <c r="V657" s="1752"/>
    </row>
    <row r="658" spans="1:22" ht="12" customHeight="1">
      <c r="A658" s="1040" t="str">
        <f t="shared" si="11"/>
        <v>3602</v>
      </c>
      <c r="B658" s="1053" t="s">
        <v>15455</v>
      </c>
      <c r="C658" s="1064"/>
      <c r="D658" s="2">
        <v>1</v>
      </c>
      <c r="E658" s="4" t="s">
        <v>2957</v>
      </c>
      <c r="F658" s="1065" t="e">
        <f>IF(E658="","$",VLOOKUP(E658,'結果(小)'!$B$2:$F$1295,5,FALSE))</f>
        <v>#DIV/0!</v>
      </c>
      <c r="G658" s="1" t="s">
        <v>2965</v>
      </c>
      <c r="H658" s="6">
        <v>56</v>
      </c>
      <c r="I658" s="2" t="s">
        <v>5</v>
      </c>
      <c r="J658" s="1" t="s">
        <v>15273</v>
      </c>
      <c r="K658" s="3"/>
      <c r="L658" s="1"/>
      <c r="M658" s="1"/>
      <c r="N658" s="8" t="s">
        <v>16120</v>
      </c>
      <c r="O658" s="1" t="s">
        <v>30</v>
      </c>
      <c r="P658" s="1" t="s">
        <v>6</v>
      </c>
      <c r="Q658" s="16"/>
      <c r="R658" s="17"/>
      <c r="S658" s="3"/>
      <c r="T658" s="1770"/>
      <c r="U658" s="1749"/>
      <c r="V658" s="1752"/>
    </row>
    <row r="659" spans="1:22" ht="12" customHeight="1">
      <c r="A659" s="1040" t="str">
        <f t="shared" si="11"/>
        <v>3602</v>
      </c>
      <c r="B659" s="1053" t="s">
        <v>15456</v>
      </c>
      <c r="C659" s="1064"/>
      <c r="D659" s="2">
        <v>1</v>
      </c>
      <c r="E659" s="4" t="s">
        <v>2968</v>
      </c>
      <c r="F659" s="1065" t="e">
        <f>IF(E659="","$",VLOOKUP(E659,'結果(小)'!$B$2:$F$1295,5,FALSE))</f>
        <v>#DIV/0!</v>
      </c>
      <c r="G659" s="1" t="s">
        <v>2975</v>
      </c>
      <c r="H659" s="6">
        <v>48</v>
      </c>
      <c r="I659" s="2" t="s">
        <v>5</v>
      </c>
      <c r="J659" s="1" t="s">
        <v>15273</v>
      </c>
      <c r="K659" s="3" t="s">
        <v>2974</v>
      </c>
      <c r="L659" s="1"/>
      <c r="M659" s="1"/>
      <c r="N659" s="4" t="s">
        <v>16120</v>
      </c>
      <c r="O659" s="1" t="s">
        <v>13</v>
      </c>
      <c r="P659" s="1" t="s">
        <v>25</v>
      </c>
      <c r="Q659" s="16">
        <v>5</v>
      </c>
      <c r="R659" s="17">
        <v>5</v>
      </c>
      <c r="S659" s="3" t="s">
        <v>5457</v>
      </c>
      <c r="T659" s="1770"/>
      <c r="U659" s="1749"/>
      <c r="V659" s="1752"/>
    </row>
    <row r="660" spans="1:22" ht="12" customHeight="1">
      <c r="A660" s="1040" t="str">
        <f t="shared" si="11"/>
        <v>3602</v>
      </c>
      <c r="B660" s="1053" t="s">
        <v>15457</v>
      </c>
      <c r="C660" s="1064"/>
      <c r="D660" s="2">
        <v>33</v>
      </c>
      <c r="E660" s="2"/>
      <c r="F660" s="1065" t="str">
        <f>IF(E660="","$",VLOOKUP(E660,'結果(小)'!$B$2:$F$1295,5,FALSE))</f>
        <v>$</v>
      </c>
      <c r="G660" s="2" t="s">
        <v>15257</v>
      </c>
      <c r="H660" s="6">
        <v>55</v>
      </c>
      <c r="I660" s="2" t="s">
        <v>5</v>
      </c>
      <c r="J660" s="2" t="s">
        <v>6067</v>
      </c>
      <c r="K660" s="22"/>
      <c r="L660" s="2"/>
      <c r="M660" s="2"/>
      <c r="N660" s="4" t="s">
        <v>16120</v>
      </c>
      <c r="O660" s="2" t="s">
        <v>5247</v>
      </c>
      <c r="P660" s="2" t="s">
        <v>6</v>
      </c>
      <c r="Q660" s="24"/>
      <c r="R660" s="25"/>
      <c r="S660" s="22"/>
      <c r="T660" s="1770"/>
      <c r="U660" s="1749"/>
      <c r="V660" s="1752"/>
    </row>
    <row r="661" spans="1:22" ht="12" customHeight="1">
      <c r="A661" s="1040" t="str">
        <f t="shared" si="11"/>
        <v>3602</v>
      </c>
      <c r="B661" s="1053" t="s">
        <v>15458</v>
      </c>
      <c r="C661" s="1064"/>
      <c r="D661" s="2">
        <v>34</v>
      </c>
      <c r="E661" s="2"/>
      <c r="F661" s="1065" t="str">
        <f>IF(E661="","$",VLOOKUP(E661,'結果(小)'!$B$2:$F$1295,5,FALSE))</f>
        <v>$</v>
      </c>
      <c r="G661" s="2" t="s">
        <v>6093</v>
      </c>
      <c r="H661" s="6">
        <v>61</v>
      </c>
      <c r="I661" s="2" t="s">
        <v>5</v>
      </c>
      <c r="J661" s="2" t="s">
        <v>6067</v>
      </c>
      <c r="K661" s="22"/>
      <c r="L661" s="2"/>
      <c r="M661" s="2"/>
      <c r="N661" s="8" t="s">
        <v>16120</v>
      </c>
      <c r="O661" s="2" t="s">
        <v>5247</v>
      </c>
      <c r="P661" s="2" t="s">
        <v>6</v>
      </c>
      <c r="Q661" s="24"/>
      <c r="R661" s="25"/>
      <c r="S661" s="22"/>
      <c r="T661" s="1770"/>
      <c r="U661" s="1749"/>
      <c r="V661" s="1752"/>
    </row>
    <row r="662" spans="1:22" ht="12" customHeight="1">
      <c r="A662" s="1040" t="str">
        <f t="shared" si="11"/>
        <v>3602</v>
      </c>
      <c r="B662" s="1053" t="s">
        <v>15459</v>
      </c>
      <c r="C662" s="1064"/>
      <c r="D662" s="2">
        <v>35</v>
      </c>
      <c r="E662" s="2"/>
      <c r="F662" s="1065" t="str">
        <f>IF(E662="","$",VLOOKUP(E662,'結果(小)'!$B$2:$F$1295,5,FALSE))</f>
        <v>$</v>
      </c>
      <c r="G662" s="2" t="s">
        <v>15258</v>
      </c>
      <c r="H662" s="6">
        <v>57</v>
      </c>
      <c r="I662" s="2" t="s">
        <v>5</v>
      </c>
      <c r="J662" s="2" t="s">
        <v>6067</v>
      </c>
      <c r="K662" s="22"/>
      <c r="L662" s="2"/>
      <c r="M662" s="2"/>
      <c r="N662" s="23" t="s">
        <v>16120</v>
      </c>
      <c r="O662" s="2" t="s">
        <v>5247</v>
      </c>
      <c r="P662" s="2" t="s">
        <v>6</v>
      </c>
      <c r="Q662" s="24"/>
      <c r="R662" s="25"/>
      <c r="S662" s="22"/>
      <c r="T662" s="1770"/>
      <c r="U662" s="1749"/>
      <c r="V662" s="1752"/>
    </row>
    <row r="663" spans="1:22" ht="12" customHeight="1" thickBot="1">
      <c r="A663" s="916" t="str">
        <f t="shared" si="11"/>
        <v>3602</v>
      </c>
      <c r="B663" s="1074" t="s">
        <v>15460</v>
      </c>
      <c r="C663" s="1075"/>
      <c r="D663" s="702">
        <v>36</v>
      </c>
      <c r="E663" s="702"/>
      <c r="F663" s="1071" t="str">
        <f>IF(E663="","$",VLOOKUP(E663,'結果(小)'!$B$2:$F$1295,5,FALSE))</f>
        <v>$</v>
      </c>
      <c r="G663" s="702" t="s">
        <v>6096</v>
      </c>
      <c r="H663" s="701">
        <v>33</v>
      </c>
      <c r="I663" s="702" t="s">
        <v>5</v>
      </c>
      <c r="J663" s="702" t="s">
        <v>6067</v>
      </c>
      <c r="K663" s="720"/>
      <c r="L663" s="702"/>
      <c r="M663" s="702"/>
      <c r="N663" s="704" t="s">
        <v>16120</v>
      </c>
      <c r="O663" s="702" t="s">
        <v>5247</v>
      </c>
      <c r="P663" s="702" t="s">
        <v>6</v>
      </c>
      <c r="Q663" s="721"/>
      <c r="R663" s="722"/>
      <c r="S663" s="720"/>
      <c r="T663" s="1771"/>
      <c r="U663" s="1750"/>
      <c r="V663" s="1753"/>
    </row>
    <row r="664" spans="1:22" ht="12" customHeight="1">
      <c r="A664" s="1038" t="str">
        <f t="shared" si="11"/>
        <v>3603</v>
      </c>
      <c r="B664" s="1097" t="s">
        <v>16411</v>
      </c>
      <c r="C664" s="1073"/>
      <c r="D664" s="696">
        <v>1</v>
      </c>
      <c r="E664" s="688" t="s">
        <v>2546</v>
      </c>
      <c r="F664" s="1068" t="e">
        <f>IF(E664="","$",VLOOKUP(E664,'結果(小)'!$B$2:$F$1295,5,FALSE))</f>
        <v>#DIV/0!</v>
      </c>
      <c r="G664" s="687" t="s">
        <v>2557</v>
      </c>
      <c r="H664" s="690">
        <v>47</v>
      </c>
      <c r="I664" s="696" t="s">
        <v>19</v>
      </c>
      <c r="J664" s="687" t="s">
        <v>15273</v>
      </c>
      <c r="K664" s="747" t="s">
        <v>2558</v>
      </c>
      <c r="L664" s="687"/>
      <c r="M664" s="687"/>
      <c r="N664" s="688" t="s">
        <v>16125</v>
      </c>
      <c r="O664" s="687"/>
      <c r="P664" s="687" t="s">
        <v>25</v>
      </c>
      <c r="Q664" s="748">
        <v>1</v>
      </c>
      <c r="R664" s="749">
        <v>1</v>
      </c>
      <c r="S664" s="747" t="s">
        <v>5561</v>
      </c>
      <c r="T664" s="1772"/>
      <c r="U664" s="1748"/>
      <c r="V664" s="1751" t="e">
        <f>U664/SUM(U595:U717)</f>
        <v>#DIV/0!</v>
      </c>
    </row>
    <row r="665" spans="1:22" ht="12" customHeight="1">
      <c r="A665" s="1040" t="str">
        <f t="shared" si="11"/>
        <v>3603</v>
      </c>
      <c r="B665" s="1054" t="s">
        <v>16412</v>
      </c>
      <c r="C665" s="1064"/>
      <c r="D665" s="2">
        <v>1</v>
      </c>
      <c r="E665" s="4" t="s">
        <v>2572</v>
      </c>
      <c r="F665" s="1065" t="e">
        <f>IF(E665="","$",VLOOKUP(E665,'結果(小)'!$B$2:$F$1295,5,FALSE))</f>
        <v>#DIV/0!</v>
      </c>
      <c r="G665" s="1" t="s">
        <v>2573</v>
      </c>
      <c r="H665" s="6">
        <v>59</v>
      </c>
      <c r="I665" s="2" t="s">
        <v>5</v>
      </c>
      <c r="J665" s="1" t="s">
        <v>15273</v>
      </c>
      <c r="K665" s="3" t="s">
        <v>2574</v>
      </c>
      <c r="L665" s="1"/>
      <c r="M665" s="1"/>
      <c r="N665" s="4" t="s">
        <v>16125</v>
      </c>
      <c r="O665" s="1"/>
      <c r="P665" s="1" t="s">
        <v>25</v>
      </c>
      <c r="Q665" s="16">
        <v>1</v>
      </c>
      <c r="R665" s="17">
        <v>1</v>
      </c>
      <c r="S665" s="3" t="s">
        <v>5561</v>
      </c>
      <c r="T665" s="1773"/>
      <c r="U665" s="1749"/>
      <c r="V665" s="1752"/>
    </row>
    <row r="666" spans="1:22" ht="12" customHeight="1">
      <c r="A666" s="1040" t="str">
        <f t="shared" si="11"/>
        <v>3603</v>
      </c>
      <c r="B666" s="1054" t="s">
        <v>16413</v>
      </c>
      <c r="C666" s="1064"/>
      <c r="D666" s="2">
        <v>1</v>
      </c>
      <c r="E666" s="4" t="s">
        <v>2588</v>
      </c>
      <c r="F666" s="1065" t="e">
        <f>IF(E666="","$",VLOOKUP(E666,'結果(小)'!$B$2:$F$1295,5,FALSE))</f>
        <v>#DIV/0!</v>
      </c>
      <c r="G666" s="1" t="s">
        <v>15633</v>
      </c>
      <c r="H666" s="6">
        <v>55</v>
      </c>
      <c r="I666" s="2" t="s">
        <v>5</v>
      </c>
      <c r="J666" s="1" t="s">
        <v>15273</v>
      </c>
      <c r="K666" s="3"/>
      <c r="L666" s="1"/>
      <c r="M666" s="1"/>
      <c r="N666" s="4" t="s">
        <v>16125</v>
      </c>
      <c r="O666" s="1"/>
      <c r="P666" s="1" t="s">
        <v>6</v>
      </c>
      <c r="Q666" s="16"/>
      <c r="R666" s="17"/>
      <c r="S666" s="3" t="s">
        <v>5561</v>
      </c>
      <c r="T666" s="1773"/>
      <c r="U666" s="1749"/>
      <c r="V666" s="1752"/>
    </row>
    <row r="667" spans="1:22" ht="12" customHeight="1">
      <c r="A667" s="1040" t="str">
        <f t="shared" si="11"/>
        <v>3603</v>
      </c>
      <c r="B667" s="1054" t="s">
        <v>16414</v>
      </c>
      <c r="C667" s="1064"/>
      <c r="D667" s="2">
        <v>1</v>
      </c>
      <c r="E667" s="4" t="s">
        <v>2670</v>
      </c>
      <c r="F667" s="1065" t="e">
        <f>IF(E667="","$",VLOOKUP(E667,'結果(小)'!$B$2:$F$1295,5,FALSE))</f>
        <v>#DIV/0!</v>
      </c>
      <c r="G667" s="1" t="s">
        <v>2683</v>
      </c>
      <c r="H667" s="6">
        <v>41</v>
      </c>
      <c r="I667" s="2" t="s">
        <v>19</v>
      </c>
      <c r="J667" s="1" t="s">
        <v>15273</v>
      </c>
      <c r="K667" s="3" t="s">
        <v>2684</v>
      </c>
      <c r="L667" s="1"/>
      <c r="M667" s="1"/>
      <c r="N667" s="4" t="s">
        <v>16125</v>
      </c>
      <c r="O667" s="1"/>
      <c r="P667" s="1" t="s">
        <v>25</v>
      </c>
      <c r="Q667" s="16">
        <v>1</v>
      </c>
      <c r="R667" s="17">
        <v>1</v>
      </c>
      <c r="S667" s="3" t="s">
        <v>5561</v>
      </c>
      <c r="T667" s="1773"/>
      <c r="U667" s="1749"/>
      <c r="V667" s="1752"/>
    </row>
    <row r="668" spans="1:22" ht="12" customHeight="1">
      <c r="A668" s="1040" t="str">
        <f t="shared" si="11"/>
        <v>3603</v>
      </c>
      <c r="B668" s="1054" t="s">
        <v>16415</v>
      </c>
      <c r="C668" s="1064"/>
      <c r="D668" s="2">
        <v>1</v>
      </c>
      <c r="E668" s="4" t="s">
        <v>2700</v>
      </c>
      <c r="F668" s="1065" t="e">
        <f>IF(E668="","$",VLOOKUP(E668,'結果(小)'!$B$2:$F$1295,5,FALSE))</f>
        <v>#DIV/0!</v>
      </c>
      <c r="G668" s="1" t="s">
        <v>5080</v>
      </c>
      <c r="H668" s="6">
        <v>44</v>
      </c>
      <c r="I668" s="2" t="s">
        <v>5</v>
      </c>
      <c r="J668" s="1" t="s">
        <v>15273</v>
      </c>
      <c r="K668" s="3"/>
      <c r="L668" s="1"/>
      <c r="M668" s="1"/>
      <c r="N668" s="4" t="s">
        <v>16125</v>
      </c>
      <c r="O668" s="1"/>
      <c r="P668" s="1" t="s">
        <v>6</v>
      </c>
      <c r="Q668" s="16"/>
      <c r="R668" s="17"/>
      <c r="S668" s="3" t="s">
        <v>5561</v>
      </c>
      <c r="T668" s="1773"/>
      <c r="U668" s="1749"/>
      <c r="V668" s="1752"/>
    </row>
    <row r="669" spans="1:22" ht="12" customHeight="1">
      <c r="A669" s="1040" t="str">
        <f t="shared" si="11"/>
        <v>3603</v>
      </c>
      <c r="B669" s="1054" t="s">
        <v>16416</v>
      </c>
      <c r="C669" s="1064"/>
      <c r="D669" s="2">
        <v>1</v>
      </c>
      <c r="E669" s="4" t="s">
        <v>2715</v>
      </c>
      <c r="F669" s="1065" t="e">
        <f>IF(E669="","$",VLOOKUP(E669,'結果(小)'!$B$2:$F$1295,5,FALSE))</f>
        <v>#DIV/0!</v>
      </c>
      <c r="G669" s="1" t="s">
        <v>6192</v>
      </c>
      <c r="H669" s="6">
        <v>57</v>
      </c>
      <c r="I669" s="2" t="s">
        <v>5</v>
      </c>
      <c r="J669" s="1" t="s">
        <v>15273</v>
      </c>
      <c r="K669" s="3"/>
      <c r="L669" s="1"/>
      <c r="M669" s="1"/>
      <c r="N669" s="4" t="s">
        <v>16125</v>
      </c>
      <c r="O669" s="1"/>
      <c r="P669" s="1" t="s">
        <v>6</v>
      </c>
      <c r="Q669" s="16"/>
      <c r="R669" s="17"/>
      <c r="S669" s="3" t="s">
        <v>5561</v>
      </c>
      <c r="T669" s="1773"/>
      <c r="U669" s="1749"/>
      <c r="V669" s="1752"/>
    </row>
    <row r="670" spans="1:22" ht="12" customHeight="1">
      <c r="A670" s="1040" t="str">
        <f t="shared" si="11"/>
        <v>3603</v>
      </c>
      <c r="B670" s="1054" t="s">
        <v>16417</v>
      </c>
      <c r="C670" s="1064"/>
      <c r="D670" s="2">
        <v>1</v>
      </c>
      <c r="E670" s="4" t="s">
        <v>2724</v>
      </c>
      <c r="F670" s="1065" t="e">
        <f>IF(E670="","$",VLOOKUP(E670,'結果(小)'!$B$2:$F$1295,5,FALSE))</f>
        <v>#DIV/0!</v>
      </c>
      <c r="G670" s="1" t="s">
        <v>5083</v>
      </c>
      <c r="H670" s="6">
        <v>26</v>
      </c>
      <c r="I670" s="2" t="s">
        <v>5</v>
      </c>
      <c r="J670" s="1" t="s">
        <v>15273</v>
      </c>
      <c r="K670" s="3"/>
      <c r="L670" s="1"/>
      <c r="M670" s="1"/>
      <c r="N670" s="4" t="s">
        <v>16125</v>
      </c>
      <c r="O670" s="1"/>
      <c r="P670" s="1" t="s">
        <v>6</v>
      </c>
      <c r="Q670" s="16"/>
      <c r="R670" s="17"/>
      <c r="S670" s="3" t="s">
        <v>5561</v>
      </c>
      <c r="T670" s="1773"/>
      <c r="U670" s="1749"/>
      <c r="V670" s="1752"/>
    </row>
    <row r="671" spans="1:22" ht="12" customHeight="1">
      <c r="A671" s="1040" t="str">
        <f t="shared" si="11"/>
        <v>3603</v>
      </c>
      <c r="B671" s="1054" t="s">
        <v>16418</v>
      </c>
      <c r="C671" s="1064"/>
      <c r="D671" s="2">
        <v>1</v>
      </c>
      <c r="E671" s="4" t="s">
        <v>2739</v>
      </c>
      <c r="F671" s="1065" t="e">
        <f>IF(E671="","$",VLOOKUP(E671,'結果(小)'!$B$2:$F$1295,5,FALSE))</f>
        <v>#DIV/0!</v>
      </c>
      <c r="G671" s="1" t="s">
        <v>2753</v>
      </c>
      <c r="H671" s="6">
        <v>49</v>
      </c>
      <c r="I671" s="2" t="s">
        <v>19</v>
      </c>
      <c r="J671" s="1" t="s">
        <v>15273</v>
      </c>
      <c r="K671" s="3" t="s">
        <v>2754</v>
      </c>
      <c r="L671" s="1"/>
      <c r="M671" s="1"/>
      <c r="N671" s="4" t="s">
        <v>16125</v>
      </c>
      <c r="O671" s="1"/>
      <c r="P671" s="1" t="s">
        <v>25</v>
      </c>
      <c r="Q671" s="16">
        <v>1</v>
      </c>
      <c r="R671" s="17">
        <v>1</v>
      </c>
      <c r="S671" s="3" t="s">
        <v>5561</v>
      </c>
      <c r="T671" s="1773"/>
      <c r="U671" s="1749"/>
      <c r="V671" s="1752"/>
    </row>
    <row r="672" spans="1:22" ht="12" customHeight="1">
      <c r="A672" s="1040" t="str">
        <f t="shared" si="11"/>
        <v>3603</v>
      </c>
      <c r="B672" s="1054" t="s">
        <v>16419</v>
      </c>
      <c r="C672" s="1064"/>
      <c r="D672" s="2">
        <v>1</v>
      </c>
      <c r="E672" s="4" t="s">
        <v>2759</v>
      </c>
      <c r="F672" s="1065" t="e">
        <f>IF(E672="","$",VLOOKUP(E672,'結果(小)'!$B$2:$F$1295,5,FALSE))</f>
        <v>#DIV/0!</v>
      </c>
      <c r="G672" s="1" t="s">
        <v>6033</v>
      </c>
      <c r="H672" s="6">
        <v>51</v>
      </c>
      <c r="I672" s="2" t="s">
        <v>5</v>
      </c>
      <c r="J672" s="1" t="s">
        <v>15273</v>
      </c>
      <c r="K672" s="3"/>
      <c r="L672" s="1"/>
      <c r="M672" s="1"/>
      <c r="N672" s="4" t="s">
        <v>16125</v>
      </c>
      <c r="O672" s="1"/>
      <c r="P672" s="1" t="s">
        <v>6</v>
      </c>
      <c r="Q672" s="16"/>
      <c r="R672" s="17"/>
      <c r="S672" s="3" t="s">
        <v>5561</v>
      </c>
      <c r="T672" s="1773"/>
      <c r="U672" s="1749"/>
      <c r="V672" s="1752"/>
    </row>
    <row r="673" spans="1:22" ht="12" customHeight="1">
      <c r="A673" s="1040" t="str">
        <f t="shared" si="11"/>
        <v>3603</v>
      </c>
      <c r="B673" s="1054" t="s">
        <v>16420</v>
      </c>
      <c r="C673" s="1064"/>
      <c r="D673" s="2">
        <v>1</v>
      </c>
      <c r="E673" s="4" t="s">
        <v>2771</v>
      </c>
      <c r="F673" s="1065" t="e">
        <f>IF(E673="","$",VLOOKUP(E673,'結果(小)'!$B$2:$F$1295,5,FALSE))</f>
        <v>#DIV/0!</v>
      </c>
      <c r="G673" s="1" t="s">
        <v>5793</v>
      </c>
      <c r="H673" s="6">
        <v>38</v>
      </c>
      <c r="I673" s="2" t="s">
        <v>5</v>
      </c>
      <c r="J673" s="1" t="s">
        <v>15273</v>
      </c>
      <c r="K673" s="3"/>
      <c r="L673" s="1"/>
      <c r="M673" s="1"/>
      <c r="N673" s="4" t="s">
        <v>16125</v>
      </c>
      <c r="O673" s="1"/>
      <c r="P673" s="1" t="s">
        <v>6</v>
      </c>
      <c r="Q673" s="16"/>
      <c r="R673" s="17"/>
      <c r="S673" s="3" t="s">
        <v>5561</v>
      </c>
      <c r="T673" s="1773"/>
      <c r="U673" s="1749"/>
      <c r="V673" s="1752"/>
    </row>
    <row r="674" spans="1:22" ht="12" customHeight="1">
      <c r="A674" s="1040" t="str">
        <f t="shared" si="11"/>
        <v>3603</v>
      </c>
      <c r="B674" s="1054" t="s">
        <v>16421</v>
      </c>
      <c r="C674" s="1064"/>
      <c r="D674" s="2">
        <v>1</v>
      </c>
      <c r="E674" s="4" t="s">
        <v>2785</v>
      </c>
      <c r="F674" s="1065" t="e">
        <f>IF(E674="","$",VLOOKUP(E674,'結果(小)'!$B$2:$F$1295,5,FALSE))</f>
        <v>#DIV/0!</v>
      </c>
      <c r="G674" s="1" t="s">
        <v>2790</v>
      </c>
      <c r="H674" s="6">
        <v>54</v>
      </c>
      <c r="I674" s="2" t="s">
        <v>5</v>
      </c>
      <c r="J674" s="1" t="s">
        <v>15273</v>
      </c>
      <c r="K674" s="3" t="s">
        <v>2791</v>
      </c>
      <c r="L674" s="1"/>
      <c r="M674" s="1"/>
      <c r="N674" s="4" t="s">
        <v>16125</v>
      </c>
      <c r="O674" s="1"/>
      <c r="P674" s="1" t="s">
        <v>25</v>
      </c>
      <c r="Q674" s="16">
        <v>4</v>
      </c>
      <c r="R674" s="17">
        <v>4</v>
      </c>
      <c r="S674" s="3" t="s">
        <v>5561</v>
      </c>
      <c r="T674" s="1773"/>
      <c r="U674" s="1749"/>
      <c r="V674" s="1752"/>
    </row>
    <row r="675" spans="1:22" ht="12" customHeight="1">
      <c r="A675" s="1040" t="str">
        <f t="shared" si="11"/>
        <v>3603</v>
      </c>
      <c r="B675" s="1054" t="s">
        <v>16422</v>
      </c>
      <c r="C675" s="1064"/>
      <c r="D675" s="2">
        <v>1</v>
      </c>
      <c r="E675" s="4" t="s">
        <v>2799</v>
      </c>
      <c r="F675" s="1065" t="e">
        <f>IF(E675="","$",VLOOKUP(E675,'結果(小)'!$B$2:$F$1295,5,FALSE))</f>
        <v>#DIV/0!</v>
      </c>
      <c r="G675" s="1" t="s">
        <v>5239</v>
      </c>
      <c r="H675" s="6">
        <v>52</v>
      </c>
      <c r="I675" s="2" t="s">
        <v>5</v>
      </c>
      <c r="J675" s="1" t="s">
        <v>15273</v>
      </c>
      <c r="K675" s="3"/>
      <c r="L675" s="1"/>
      <c r="M675" s="1"/>
      <c r="N675" s="4" t="s">
        <v>16125</v>
      </c>
      <c r="O675" s="1"/>
      <c r="P675" s="1" t="s">
        <v>14</v>
      </c>
      <c r="Q675" s="16">
        <v>3</v>
      </c>
      <c r="R675" s="17">
        <v>3</v>
      </c>
      <c r="S675" s="3" t="s">
        <v>5561</v>
      </c>
      <c r="T675" s="1773"/>
      <c r="U675" s="1749"/>
      <c r="V675" s="1752"/>
    </row>
    <row r="676" spans="1:22" ht="12" customHeight="1">
      <c r="A676" s="1040" t="str">
        <f t="shared" si="11"/>
        <v>3603</v>
      </c>
      <c r="B676" s="1054" t="s">
        <v>16423</v>
      </c>
      <c r="C676" s="1064"/>
      <c r="D676" s="2">
        <v>1</v>
      </c>
      <c r="E676" s="4" t="s">
        <v>2810</v>
      </c>
      <c r="F676" s="1065" t="e">
        <f>IF(E676="","$",VLOOKUP(E676,'結果(小)'!$B$2:$F$1295,5,FALSE))</f>
        <v>#DIV/0!</v>
      </c>
      <c r="G676" s="1" t="s">
        <v>6022</v>
      </c>
      <c r="H676" s="6">
        <v>56</v>
      </c>
      <c r="I676" s="2" t="s">
        <v>5</v>
      </c>
      <c r="J676" s="1" t="s">
        <v>15273</v>
      </c>
      <c r="K676" s="3" t="s">
        <v>6024</v>
      </c>
      <c r="L676" s="1"/>
      <c r="M676" s="1"/>
      <c r="N676" s="4" t="s">
        <v>16125</v>
      </c>
      <c r="O676" s="1"/>
      <c r="P676" s="1" t="s">
        <v>25</v>
      </c>
      <c r="Q676" s="16">
        <v>1</v>
      </c>
      <c r="R676" s="17">
        <v>1</v>
      </c>
      <c r="S676" s="3" t="s">
        <v>5561</v>
      </c>
      <c r="T676" s="1773"/>
      <c r="U676" s="1749"/>
      <c r="V676" s="1752"/>
    </row>
    <row r="677" spans="1:22" ht="12" customHeight="1">
      <c r="A677" s="1040" t="str">
        <f t="shared" si="11"/>
        <v>3603</v>
      </c>
      <c r="B677" s="1054" t="s">
        <v>16424</v>
      </c>
      <c r="C677" s="1064"/>
      <c r="D677" s="2">
        <v>1</v>
      </c>
      <c r="E677" s="4" t="s">
        <v>2824</v>
      </c>
      <c r="F677" s="1065" t="e">
        <f>IF(E677="","$",VLOOKUP(E677,'結果(小)'!$B$2:$F$1295,5,FALSE))</f>
        <v>#DIV/0!</v>
      </c>
      <c r="G677" s="1" t="s">
        <v>6194</v>
      </c>
      <c r="H677" s="6">
        <v>31</v>
      </c>
      <c r="I677" s="2" t="s">
        <v>19</v>
      </c>
      <c r="J677" s="1" t="s">
        <v>15273</v>
      </c>
      <c r="K677" s="3"/>
      <c r="L677" s="1"/>
      <c r="M677" s="1"/>
      <c r="N677" s="4" t="s">
        <v>16125</v>
      </c>
      <c r="O677" s="1"/>
      <c r="P677" s="1" t="s">
        <v>6</v>
      </c>
      <c r="Q677" s="16"/>
      <c r="R677" s="17"/>
      <c r="S677" s="3" t="s">
        <v>5561</v>
      </c>
      <c r="T677" s="1773"/>
      <c r="U677" s="1749"/>
      <c r="V677" s="1752"/>
    </row>
    <row r="678" spans="1:22" ht="12" customHeight="1">
      <c r="A678" s="1040" t="str">
        <f t="shared" si="11"/>
        <v>3603</v>
      </c>
      <c r="B678" s="1054" t="s">
        <v>16425</v>
      </c>
      <c r="C678" s="1064"/>
      <c r="D678" s="2">
        <v>1</v>
      </c>
      <c r="E678" s="4" t="s">
        <v>2835</v>
      </c>
      <c r="F678" s="1065" t="e">
        <f>IF(E678="","$",VLOOKUP(E678,'結果(小)'!$B$2:$F$1295,5,FALSE))</f>
        <v>#DIV/0!</v>
      </c>
      <c r="G678" s="1" t="s">
        <v>16018</v>
      </c>
      <c r="H678" s="6">
        <v>39</v>
      </c>
      <c r="I678" s="2" t="s">
        <v>19</v>
      </c>
      <c r="J678" s="1" t="s">
        <v>15273</v>
      </c>
      <c r="K678" s="3"/>
      <c r="L678" s="1"/>
      <c r="M678" s="1"/>
      <c r="N678" s="4" t="s">
        <v>16125</v>
      </c>
      <c r="O678" s="1"/>
      <c r="P678" s="1" t="s">
        <v>6</v>
      </c>
      <c r="Q678" s="16"/>
      <c r="R678" s="17"/>
      <c r="S678" s="3" t="s">
        <v>5561</v>
      </c>
      <c r="T678" s="1773"/>
      <c r="U678" s="1749"/>
      <c r="V678" s="1752"/>
    </row>
    <row r="679" spans="1:22" ht="12" customHeight="1">
      <c r="A679" s="1040" t="str">
        <f t="shared" si="11"/>
        <v>3603</v>
      </c>
      <c r="B679" s="1054" t="s">
        <v>16426</v>
      </c>
      <c r="C679" s="1064"/>
      <c r="D679" s="2">
        <v>1</v>
      </c>
      <c r="E679" s="4" t="s">
        <v>2847</v>
      </c>
      <c r="F679" s="1065" t="e">
        <f>IF(E679="","$",VLOOKUP(E679,'結果(小)'!$B$2:$F$1295,5,FALSE))</f>
        <v>#DIV/0!</v>
      </c>
      <c r="G679" s="1" t="s">
        <v>4428</v>
      </c>
      <c r="H679" s="6">
        <v>43</v>
      </c>
      <c r="I679" s="2" t="s">
        <v>5</v>
      </c>
      <c r="J679" s="1" t="s">
        <v>15273</v>
      </c>
      <c r="K679" s="3"/>
      <c r="L679" s="1"/>
      <c r="M679" s="1"/>
      <c r="N679" s="4" t="s">
        <v>16125</v>
      </c>
      <c r="O679" s="1"/>
      <c r="P679" s="1" t="s">
        <v>6</v>
      </c>
      <c r="Q679" s="16"/>
      <c r="R679" s="17"/>
      <c r="S679" s="3" t="s">
        <v>5561</v>
      </c>
      <c r="T679" s="1773"/>
      <c r="U679" s="1749"/>
      <c r="V679" s="1752"/>
    </row>
    <row r="680" spans="1:22" ht="12" customHeight="1">
      <c r="A680" s="1040" t="str">
        <f t="shared" si="11"/>
        <v>3603</v>
      </c>
      <c r="B680" s="1054" t="s">
        <v>16427</v>
      </c>
      <c r="C680" s="1064"/>
      <c r="D680" s="2">
        <v>1</v>
      </c>
      <c r="E680" s="4" t="s">
        <v>2858</v>
      </c>
      <c r="F680" s="1065" t="e">
        <f>IF(E680="","$",VLOOKUP(E680,'結果(小)'!$B$2:$F$1295,5,FALSE))</f>
        <v>#DIV/0!</v>
      </c>
      <c r="G680" s="1" t="s">
        <v>5995</v>
      </c>
      <c r="H680" s="6">
        <v>52</v>
      </c>
      <c r="I680" s="2" t="s">
        <v>5</v>
      </c>
      <c r="J680" s="1" t="s">
        <v>15273</v>
      </c>
      <c r="K680" s="3"/>
      <c r="L680" s="1"/>
      <c r="M680" s="1"/>
      <c r="N680" s="4" t="s">
        <v>16125</v>
      </c>
      <c r="O680" s="1"/>
      <c r="P680" s="1" t="s">
        <v>6</v>
      </c>
      <c r="Q680" s="16"/>
      <c r="R680" s="17"/>
      <c r="S680" s="3" t="s">
        <v>5561</v>
      </c>
      <c r="T680" s="1773"/>
      <c r="U680" s="1749"/>
      <c r="V680" s="1752"/>
    </row>
    <row r="681" spans="1:22" ht="12" customHeight="1">
      <c r="A681" s="1040" t="str">
        <f t="shared" si="11"/>
        <v>3603</v>
      </c>
      <c r="B681" s="1054" t="s">
        <v>16428</v>
      </c>
      <c r="C681" s="1064"/>
      <c r="D681" s="2">
        <v>1</v>
      </c>
      <c r="E681" s="4" t="s">
        <v>2877</v>
      </c>
      <c r="F681" s="1065" t="e">
        <f>IF(E681="","$",VLOOKUP(E681,'結果(小)'!$B$2:$F$1295,5,FALSE))</f>
        <v>#DIV/0!</v>
      </c>
      <c r="G681" s="1" t="s">
        <v>2885</v>
      </c>
      <c r="H681" s="6">
        <v>62</v>
      </c>
      <c r="I681" s="2" t="s">
        <v>5</v>
      </c>
      <c r="J681" s="1" t="s">
        <v>15273</v>
      </c>
      <c r="K681" s="3"/>
      <c r="L681" s="1"/>
      <c r="M681" s="1"/>
      <c r="N681" s="4" t="s">
        <v>16125</v>
      </c>
      <c r="O681" s="1"/>
      <c r="P681" s="1" t="s">
        <v>14</v>
      </c>
      <c r="Q681" s="16">
        <v>2</v>
      </c>
      <c r="R681" s="17">
        <v>3</v>
      </c>
      <c r="S681" s="3" t="s">
        <v>5561</v>
      </c>
      <c r="T681" s="1773"/>
      <c r="U681" s="1749"/>
      <c r="V681" s="1752"/>
    </row>
    <row r="682" spans="1:22" ht="12" customHeight="1">
      <c r="A682" s="1040" t="str">
        <f t="shared" si="11"/>
        <v>3603</v>
      </c>
      <c r="B682" s="1054" t="s">
        <v>16429</v>
      </c>
      <c r="C682" s="1064"/>
      <c r="D682" s="2">
        <v>1</v>
      </c>
      <c r="E682" s="4" t="s">
        <v>2894</v>
      </c>
      <c r="F682" s="1065" t="e">
        <f>IF(E682="","$",VLOOKUP(E682,'結果(小)'!$B$2:$F$1295,5,FALSE))</f>
        <v>#DIV/0!</v>
      </c>
      <c r="G682" s="1" t="s">
        <v>1807</v>
      </c>
      <c r="H682" s="6">
        <v>68</v>
      </c>
      <c r="I682" s="2" t="s">
        <v>5</v>
      </c>
      <c r="J682" s="1" t="s">
        <v>15273</v>
      </c>
      <c r="K682" s="3" t="s">
        <v>1808</v>
      </c>
      <c r="L682" s="1"/>
      <c r="M682" s="1"/>
      <c r="N682" s="4" t="s">
        <v>16125</v>
      </c>
      <c r="O682" s="1"/>
      <c r="P682" s="1" t="s">
        <v>25</v>
      </c>
      <c r="Q682" s="16">
        <v>5</v>
      </c>
      <c r="R682" s="17">
        <v>5</v>
      </c>
      <c r="S682" s="3" t="s">
        <v>5561</v>
      </c>
      <c r="T682" s="1773"/>
      <c r="U682" s="1749"/>
      <c r="V682" s="1752"/>
    </row>
    <row r="683" spans="1:22" ht="12" customHeight="1">
      <c r="A683" s="1040" t="str">
        <f t="shared" si="11"/>
        <v>3603</v>
      </c>
      <c r="B683" s="1054" t="s">
        <v>16430</v>
      </c>
      <c r="C683" s="1064"/>
      <c r="D683" s="2">
        <v>1</v>
      </c>
      <c r="E683" s="4" t="s">
        <v>2903</v>
      </c>
      <c r="F683" s="1065" t="e">
        <f>IF(E683="","$",VLOOKUP(E683,'結果(小)'!$B$2:$F$1295,5,FALSE))</f>
        <v>#DIV/0!</v>
      </c>
      <c r="G683" s="1" t="s">
        <v>2908</v>
      </c>
      <c r="H683" s="6">
        <v>69</v>
      </c>
      <c r="I683" s="2" t="s">
        <v>5</v>
      </c>
      <c r="J683" s="1" t="s">
        <v>15273</v>
      </c>
      <c r="K683" s="3" t="s">
        <v>2909</v>
      </c>
      <c r="L683" s="1"/>
      <c r="M683" s="1"/>
      <c r="N683" s="4" t="s">
        <v>16125</v>
      </c>
      <c r="O683" s="1"/>
      <c r="P683" s="1" t="s">
        <v>25</v>
      </c>
      <c r="Q683" s="16">
        <v>3</v>
      </c>
      <c r="R683" s="17">
        <v>3</v>
      </c>
      <c r="S683" s="3" t="s">
        <v>5561</v>
      </c>
      <c r="T683" s="1773"/>
      <c r="U683" s="1749"/>
      <c r="V683" s="1752"/>
    </row>
    <row r="684" spans="1:22" ht="12" customHeight="1" thickBot="1">
      <c r="A684" s="916" t="str">
        <f t="shared" si="11"/>
        <v>3603</v>
      </c>
      <c r="B684" s="1098" t="s">
        <v>16410</v>
      </c>
      <c r="C684" s="1075"/>
      <c r="D684" s="702">
        <v>21</v>
      </c>
      <c r="E684" s="702"/>
      <c r="F684" s="1071" t="str">
        <f>IF(E684="","$",VLOOKUP(E684,'結果(小)'!$B$2:$F$1295,5,FALSE))</f>
        <v>$</v>
      </c>
      <c r="G684" s="701" t="s">
        <v>3021</v>
      </c>
      <c r="H684" s="701">
        <v>70</v>
      </c>
      <c r="I684" s="701" t="s">
        <v>5</v>
      </c>
      <c r="J684" s="702" t="s">
        <v>6067</v>
      </c>
      <c r="K684" s="740" t="s">
        <v>3022</v>
      </c>
      <c r="L684" s="701"/>
      <c r="M684" s="741"/>
      <c r="N684" s="704" t="s">
        <v>16125</v>
      </c>
      <c r="O684" s="701"/>
      <c r="P684" s="701" t="s">
        <v>25</v>
      </c>
      <c r="Q684" s="742">
        <v>1</v>
      </c>
      <c r="R684" s="743">
        <v>1</v>
      </c>
      <c r="S684" s="740"/>
      <c r="T684" s="1774"/>
      <c r="U684" s="1750"/>
      <c r="V684" s="1753"/>
    </row>
    <row r="685" spans="1:22" ht="12" customHeight="1">
      <c r="A685" s="1038" t="str">
        <f t="shared" si="11"/>
        <v>3604</v>
      </c>
      <c r="B685" s="1081" t="s">
        <v>3001</v>
      </c>
      <c r="C685" s="1073"/>
      <c r="D685" s="696">
        <v>1</v>
      </c>
      <c r="E685" s="696"/>
      <c r="F685" s="1068" t="str">
        <f>IF(E685="","$",VLOOKUP(E685,'結果(小)'!$B$2:$F$1295,5,FALSE))</f>
        <v>$</v>
      </c>
      <c r="G685" s="696" t="s">
        <v>3004</v>
      </c>
      <c r="H685" s="690">
        <v>57</v>
      </c>
      <c r="I685" s="696" t="s">
        <v>5</v>
      </c>
      <c r="J685" s="696" t="s">
        <v>6067</v>
      </c>
      <c r="K685" s="715" t="s">
        <v>3005</v>
      </c>
      <c r="L685" s="696"/>
      <c r="M685" s="696"/>
      <c r="N685" s="692" t="s">
        <v>16118</v>
      </c>
      <c r="O685" s="696"/>
      <c r="P685" s="696" t="s">
        <v>25</v>
      </c>
      <c r="Q685" s="717">
        <v>5</v>
      </c>
      <c r="R685" s="718">
        <v>5</v>
      </c>
      <c r="S685" s="715"/>
      <c r="T685" s="1763"/>
      <c r="U685" s="1748"/>
      <c r="V685" s="1751" t="e">
        <f>U685/SUM(U595:U717)</f>
        <v>#DIV/0!</v>
      </c>
    </row>
    <row r="686" spans="1:22" ht="12" customHeight="1">
      <c r="A686" s="1040" t="str">
        <f t="shared" si="11"/>
        <v>3604</v>
      </c>
      <c r="B686" s="1055" t="s">
        <v>3002</v>
      </c>
      <c r="C686" s="1064"/>
      <c r="D686" s="2">
        <v>2</v>
      </c>
      <c r="E686" s="2"/>
      <c r="F686" s="1065" t="str">
        <f>IF(E686="","$",VLOOKUP(E686,'結果(小)'!$B$2:$F$1295,5,FALSE))</f>
        <v>$</v>
      </c>
      <c r="G686" s="6" t="s">
        <v>3008</v>
      </c>
      <c r="H686" s="6">
        <v>43</v>
      </c>
      <c r="I686" s="6" t="s">
        <v>5</v>
      </c>
      <c r="J686" s="2" t="s">
        <v>6067</v>
      </c>
      <c r="K686" s="12"/>
      <c r="L686" s="6"/>
      <c r="M686" s="19"/>
      <c r="N686" s="23" t="s">
        <v>16118</v>
      </c>
      <c r="O686" s="6"/>
      <c r="P686" s="6" t="s">
        <v>14</v>
      </c>
      <c r="Q686" s="13">
        <v>1</v>
      </c>
      <c r="R686" s="14">
        <v>1</v>
      </c>
      <c r="S686" s="12"/>
      <c r="T686" s="1764"/>
      <c r="U686" s="1749"/>
      <c r="V686" s="1752"/>
    </row>
    <row r="687" spans="1:22" ht="12" customHeight="1">
      <c r="A687" s="1040" t="str">
        <f t="shared" si="11"/>
        <v>3604</v>
      </c>
      <c r="B687" s="1055" t="s">
        <v>3003</v>
      </c>
      <c r="C687" s="1064"/>
      <c r="D687" s="2">
        <v>3</v>
      </c>
      <c r="E687" s="2"/>
      <c r="F687" s="1065" t="str">
        <f>IF(E687="","$",VLOOKUP(E687,'結果(小)'!$B$2:$F$1295,5,FALSE))</f>
        <v>$</v>
      </c>
      <c r="G687" s="6" t="s">
        <v>3012</v>
      </c>
      <c r="H687" s="6">
        <v>49</v>
      </c>
      <c r="I687" s="6" t="s">
        <v>5</v>
      </c>
      <c r="J687" s="2" t="s">
        <v>6067</v>
      </c>
      <c r="K687" s="12"/>
      <c r="L687" s="6"/>
      <c r="M687" s="19"/>
      <c r="N687" s="8" t="s">
        <v>16118</v>
      </c>
      <c r="O687" s="6"/>
      <c r="P687" s="6" t="s">
        <v>6</v>
      </c>
      <c r="Q687" s="13"/>
      <c r="R687" s="14"/>
      <c r="S687" s="22"/>
      <c r="T687" s="1764"/>
      <c r="U687" s="1749"/>
      <c r="V687" s="1752"/>
    </row>
    <row r="688" spans="1:22" ht="12" customHeight="1">
      <c r="A688" s="1040" t="str">
        <f t="shared" si="11"/>
        <v>3604</v>
      </c>
      <c r="B688" s="1055" t="s">
        <v>5913</v>
      </c>
      <c r="C688" s="1064"/>
      <c r="D688" s="2">
        <v>4</v>
      </c>
      <c r="E688" s="2"/>
      <c r="F688" s="1065" t="str">
        <f>IF(E688="","$",VLOOKUP(E688,'結果(小)'!$B$2:$F$1295,5,FALSE))</f>
        <v>$</v>
      </c>
      <c r="G688" s="6" t="s">
        <v>5915</v>
      </c>
      <c r="H688" s="6">
        <v>43</v>
      </c>
      <c r="I688" s="6" t="s">
        <v>5</v>
      </c>
      <c r="J688" s="2" t="s">
        <v>6067</v>
      </c>
      <c r="K688" s="12"/>
      <c r="L688" s="6"/>
      <c r="M688" s="19"/>
      <c r="N688" s="23" t="s">
        <v>16118</v>
      </c>
      <c r="O688" s="6"/>
      <c r="P688" s="6" t="s">
        <v>6</v>
      </c>
      <c r="Q688" s="13"/>
      <c r="R688" s="14"/>
      <c r="S688" s="22"/>
      <c r="T688" s="1764"/>
      <c r="U688" s="1749"/>
      <c r="V688" s="1752"/>
    </row>
    <row r="689" spans="1:22" ht="12" customHeight="1" thickBot="1">
      <c r="A689" s="916" t="str">
        <f t="shared" si="11"/>
        <v>3604</v>
      </c>
      <c r="B689" s="1082" t="s">
        <v>5914</v>
      </c>
      <c r="C689" s="1075"/>
      <c r="D689" s="702">
        <v>5</v>
      </c>
      <c r="E689" s="702"/>
      <c r="F689" s="1071" t="str">
        <f>IF(E689="","$",VLOOKUP(E689,'結果(小)'!$B$2:$F$1295,5,FALSE))</f>
        <v>$</v>
      </c>
      <c r="G689" s="701" t="s">
        <v>5917</v>
      </c>
      <c r="H689" s="701">
        <v>32</v>
      </c>
      <c r="I689" s="701" t="s">
        <v>5</v>
      </c>
      <c r="J689" s="702" t="s">
        <v>6067</v>
      </c>
      <c r="K689" s="740"/>
      <c r="L689" s="701"/>
      <c r="M689" s="741"/>
      <c r="N689" s="704" t="s">
        <v>16118</v>
      </c>
      <c r="O689" s="701"/>
      <c r="P689" s="701" t="s">
        <v>6</v>
      </c>
      <c r="Q689" s="742"/>
      <c r="R689" s="743"/>
      <c r="S689" s="720"/>
      <c r="T689" s="1765"/>
      <c r="U689" s="1750"/>
      <c r="V689" s="1753"/>
    </row>
    <row r="690" spans="1:22" ht="12" customHeight="1">
      <c r="A690" s="1038" t="str">
        <f t="shared" si="11"/>
        <v>3605</v>
      </c>
      <c r="B690" s="1083" t="s">
        <v>5676</v>
      </c>
      <c r="C690" s="1073"/>
      <c r="D690" s="696">
        <v>1</v>
      </c>
      <c r="E690" s="696"/>
      <c r="F690" s="1068" t="str">
        <f>IF(E690="","$",VLOOKUP(E690,'結果(小)'!$B$2:$F$1295,5,FALSE))</f>
        <v>$</v>
      </c>
      <c r="G690" s="696" t="s">
        <v>5593</v>
      </c>
      <c r="H690" s="690">
        <v>69</v>
      </c>
      <c r="I690" s="696" t="s">
        <v>5</v>
      </c>
      <c r="J690" s="696" t="s">
        <v>6067</v>
      </c>
      <c r="K690" s="715" t="s">
        <v>5594</v>
      </c>
      <c r="L690" s="696" t="s">
        <v>373</v>
      </c>
      <c r="M690" s="696"/>
      <c r="N690" s="692" t="s">
        <v>16130</v>
      </c>
      <c r="O690" s="696" t="s">
        <v>4993</v>
      </c>
      <c r="P690" s="696" t="s">
        <v>14</v>
      </c>
      <c r="Q690" s="717">
        <v>4</v>
      </c>
      <c r="R690" s="718">
        <v>12</v>
      </c>
      <c r="S690" s="715"/>
      <c r="T690" s="1766"/>
      <c r="U690" s="1748"/>
      <c r="V690" s="1751" t="e">
        <f>U690/SUM(U595:U717)</f>
        <v>#DIV/0!</v>
      </c>
    </row>
    <row r="691" spans="1:22" ht="12" customHeight="1">
      <c r="A691" s="1040" t="str">
        <f t="shared" si="11"/>
        <v>3605</v>
      </c>
      <c r="B691" s="1056" t="s">
        <v>16434</v>
      </c>
      <c r="C691" s="1064"/>
      <c r="D691" s="2">
        <v>2</v>
      </c>
      <c r="E691" s="4" t="s">
        <v>2597</v>
      </c>
      <c r="F691" s="1065" t="e">
        <f>IF(E691="","$",VLOOKUP(E691,'結果(小)'!$B$2:$F$1295,5,FALSE))</f>
        <v>#DIV/0!</v>
      </c>
      <c r="G691" s="1" t="s">
        <v>4420</v>
      </c>
      <c r="H691" s="6">
        <v>50</v>
      </c>
      <c r="I691" s="2" t="s">
        <v>5</v>
      </c>
      <c r="J691" s="1" t="s">
        <v>15273</v>
      </c>
      <c r="K691" s="3" t="s">
        <v>4421</v>
      </c>
      <c r="L691" s="1"/>
      <c r="M691" s="1"/>
      <c r="N691" s="4" t="s">
        <v>16116</v>
      </c>
      <c r="O691" s="1" t="s">
        <v>4422</v>
      </c>
      <c r="P691" s="1" t="s">
        <v>25</v>
      </c>
      <c r="Q691" s="16">
        <v>1</v>
      </c>
      <c r="R691" s="17">
        <v>1</v>
      </c>
      <c r="S691" s="3" t="s">
        <v>18564</v>
      </c>
      <c r="T691" s="1767"/>
      <c r="U691" s="1749"/>
      <c r="V691" s="1752"/>
    </row>
    <row r="692" spans="1:22" ht="12" customHeight="1">
      <c r="A692" s="1040" t="str">
        <f t="shared" si="11"/>
        <v>3605</v>
      </c>
      <c r="B692" s="1056" t="s">
        <v>16435</v>
      </c>
      <c r="C692" s="1064"/>
      <c r="D692" s="2">
        <v>3</v>
      </c>
      <c r="E692" s="4" t="s">
        <v>2626</v>
      </c>
      <c r="F692" s="1065" t="e">
        <f>IF(E692="","$",VLOOKUP(E692,'結果(小)'!$B$2:$F$1295,5,FALSE))</f>
        <v>#DIV/0!</v>
      </c>
      <c r="G692" s="1" t="s">
        <v>5781</v>
      </c>
      <c r="H692" s="6">
        <v>36</v>
      </c>
      <c r="I692" s="2" t="s">
        <v>5</v>
      </c>
      <c r="J692" s="1" t="s">
        <v>15273</v>
      </c>
      <c r="K692" s="3"/>
      <c r="L692" s="1"/>
      <c r="M692" s="1"/>
      <c r="N692" s="4" t="s">
        <v>16116</v>
      </c>
      <c r="O692" s="1" t="s">
        <v>4997</v>
      </c>
      <c r="P692" s="1" t="s">
        <v>6</v>
      </c>
      <c r="Q692" s="16"/>
      <c r="R692" s="17"/>
      <c r="S692" s="3"/>
      <c r="T692" s="1767"/>
      <c r="U692" s="1749"/>
      <c r="V692" s="1752"/>
    </row>
    <row r="693" spans="1:22" ht="12" customHeight="1">
      <c r="A693" s="1040" t="str">
        <f t="shared" si="11"/>
        <v>3605</v>
      </c>
      <c r="B693" s="1056" t="s">
        <v>16436</v>
      </c>
      <c r="C693" s="1064"/>
      <c r="D693" s="2">
        <v>3</v>
      </c>
      <c r="E693" s="4" t="s">
        <v>2643</v>
      </c>
      <c r="F693" s="1065" t="e">
        <f>IF(E693="","$",VLOOKUP(E693,'結果(小)'!$B$2:$F$1295,5,FALSE))</f>
        <v>#DIV/0!</v>
      </c>
      <c r="G693" s="1" t="s">
        <v>5221</v>
      </c>
      <c r="H693" s="6">
        <v>46</v>
      </c>
      <c r="I693" s="2" t="s">
        <v>5</v>
      </c>
      <c r="J693" s="1" t="s">
        <v>15273</v>
      </c>
      <c r="K693" s="3"/>
      <c r="L693" s="1"/>
      <c r="M693" s="1"/>
      <c r="N693" s="4" t="s">
        <v>16116</v>
      </c>
      <c r="O693" s="1" t="s">
        <v>4997</v>
      </c>
      <c r="P693" s="1" t="s">
        <v>6</v>
      </c>
      <c r="Q693" s="16"/>
      <c r="R693" s="17"/>
      <c r="S693" s="3" t="s">
        <v>469</v>
      </c>
      <c r="T693" s="1767"/>
      <c r="U693" s="1749"/>
      <c r="V693" s="1752"/>
    </row>
    <row r="694" spans="1:22" ht="12" customHeight="1">
      <c r="A694" s="1040" t="str">
        <f t="shared" si="11"/>
        <v>3605</v>
      </c>
      <c r="B694" s="1056" t="s">
        <v>16437</v>
      </c>
      <c r="C694" s="1064"/>
      <c r="D694" s="2">
        <v>3</v>
      </c>
      <c r="E694" s="4" t="s">
        <v>2657</v>
      </c>
      <c r="F694" s="1065" t="e">
        <f>IF(E694="","$",VLOOKUP(E694,'結果(小)'!$B$2:$F$1295,5,FALSE))</f>
        <v>#DIV/0!</v>
      </c>
      <c r="G694" s="1" t="s">
        <v>5193</v>
      </c>
      <c r="H694" s="6">
        <v>63</v>
      </c>
      <c r="I694" s="2" t="s">
        <v>5</v>
      </c>
      <c r="J694" s="1" t="s">
        <v>15273</v>
      </c>
      <c r="K694" s="3"/>
      <c r="L694" s="1"/>
      <c r="M694" s="1"/>
      <c r="N694" s="4" t="s">
        <v>16116</v>
      </c>
      <c r="O694" s="1" t="s">
        <v>4997</v>
      </c>
      <c r="P694" s="1" t="s">
        <v>6</v>
      </c>
      <c r="Q694" s="16"/>
      <c r="R694" s="17"/>
      <c r="S694" s="3" t="s">
        <v>469</v>
      </c>
      <c r="T694" s="1767"/>
      <c r="U694" s="1749"/>
      <c r="V694" s="1752"/>
    </row>
    <row r="695" spans="1:22" ht="12" customHeight="1">
      <c r="A695" s="1040" t="str">
        <f t="shared" si="11"/>
        <v>3605</v>
      </c>
      <c r="B695" s="1056" t="s">
        <v>16438</v>
      </c>
      <c r="C695" s="1064"/>
      <c r="D695" s="2">
        <v>3</v>
      </c>
      <c r="E695" s="4" t="s">
        <v>5015</v>
      </c>
      <c r="F695" s="1065" t="e">
        <f>IF(E695="","$",VLOOKUP(E695,'結果(小)'!$B$2:$F$1295,5,FALSE))</f>
        <v>#DIV/0!</v>
      </c>
      <c r="G695" s="1" t="s">
        <v>5016</v>
      </c>
      <c r="H695" s="6">
        <v>39</v>
      </c>
      <c r="I695" s="2" t="s">
        <v>5</v>
      </c>
      <c r="J695" s="1" t="s">
        <v>15273</v>
      </c>
      <c r="K695" s="3"/>
      <c r="L695" s="1"/>
      <c r="M695" s="1"/>
      <c r="N695" s="4" t="s">
        <v>16116</v>
      </c>
      <c r="O695" s="1" t="s">
        <v>4422</v>
      </c>
      <c r="P695" s="1" t="s">
        <v>6</v>
      </c>
      <c r="Q695" s="16"/>
      <c r="R695" s="17"/>
      <c r="S695" s="3" t="s">
        <v>469</v>
      </c>
      <c r="T695" s="1767"/>
      <c r="U695" s="1749"/>
      <c r="V695" s="1752"/>
    </row>
    <row r="696" spans="1:22" ht="12" customHeight="1">
      <c r="A696" s="1040" t="str">
        <f t="shared" si="11"/>
        <v>3605</v>
      </c>
      <c r="B696" s="1056" t="s">
        <v>16439</v>
      </c>
      <c r="C696" s="1064"/>
      <c r="D696" s="2">
        <v>3</v>
      </c>
      <c r="E696" s="4" t="s">
        <v>2786</v>
      </c>
      <c r="F696" s="1065" t="e">
        <f>IF(E696="","$",VLOOKUP(E696,'結果(小)'!$B$2:$F$1295,5,FALSE))</f>
        <v>#DIV/0!</v>
      </c>
      <c r="G696" s="1" t="s">
        <v>5021</v>
      </c>
      <c r="H696" s="6">
        <v>34</v>
      </c>
      <c r="I696" s="2" t="s">
        <v>5</v>
      </c>
      <c r="J696" s="1" t="s">
        <v>15273</v>
      </c>
      <c r="K696" s="3"/>
      <c r="L696" s="1"/>
      <c r="M696" s="1"/>
      <c r="N696" s="4" t="s">
        <v>16116</v>
      </c>
      <c r="O696" s="1" t="s">
        <v>4997</v>
      </c>
      <c r="P696" s="1" t="s">
        <v>6</v>
      </c>
      <c r="Q696" s="16"/>
      <c r="R696" s="17"/>
      <c r="S696" s="3" t="s">
        <v>469</v>
      </c>
      <c r="T696" s="1767"/>
      <c r="U696" s="1749"/>
      <c r="V696" s="1752"/>
    </row>
    <row r="697" spans="1:22" ht="12" customHeight="1">
      <c r="A697" s="1040" t="str">
        <f t="shared" si="11"/>
        <v>3605</v>
      </c>
      <c r="B697" s="1056" t="s">
        <v>16440</v>
      </c>
      <c r="C697" s="1064"/>
      <c r="D697" s="2">
        <v>3</v>
      </c>
      <c r="E697" s="4" t="s">
        <v>2800</v>
      </c>
      <c r="F697" s="1065" t="e">
        <f>IF(E697="","$",VLOOKUP(E697,'結果(小)'!$B$2:$F$1295,5,FALSE))</f>
        <v>#DIV/0!</v>
      </c>
      <c r="G697" s="1" t="s">
        <v>5410</v>
      </c>
      <c r="H697" s="6">
        <v>52</v>
      </c>
      <c r="I697" s="2" t="s">
        <v>5</v>
      </c>
      <c r="J697" s="1" t="s">
        <v>15273</v>
      </c>
      <c r="K697" s="3"/>
      <c r="L697" s="1"/>
      <c r="M697" s="1"/>
      <c r="N697" s="4" t="s">
        <v>16116</v>
      </c>
      <c r="O697" s="1" t="s">
        <v>4997</v>
      </c>
      <c r="P697" s="1" t="s">
        <v>6</v>
      </c>
      <c r="Q697" s="16"/>
      <c r="R697" s="17"/>
      <c r="S697" s="3" t="s">
        <v>469</v>
      </c>
      <c r="T697" s="1767"/>
      <c r="U697" s="1749"/>
      <c r="V697" s="1752"/>
    </row>
    <row r="698" spans="1:22" ht="12" customHeight="1">
      <c r="A698" s="1040" t="str">
        <f t="shared" si="11"/>
        <v>3605</v>
      </c>
      <c r="B698" s="1056" t="s">
        <v>16441</v>
      </c>
      <c r="C698" s="1064"/>
      <c r="D698" s="2">
        <v>3</v>
      </c>
      <c r="E698" s="4" t="s">
        <v>4427</v>
      </c>
      <c r="F698" s="1065" t="e">
        <f>IF(E698="","$",VLOOKUP(E698,'結果(小)'!$B$2:$F$1295,5,FALSE))</f>
        <v>#DIV/0!</v>
      </c>
      <c r="G698" s="1" t="s">
        <v>5024</v>
      </c>
      <c r="H698" s="6">
        <v>45</v>
      </c>
      <c r="I698" s="2" t="s">
        <v>5</v>
      </c>
      <c r="J698" s="1" t="s">
        <v>15273</v>
      </c>
      <c r="K698" s="3"/>
      <c r="L698" s="1"/>
      <c r="M698" s="1"/>
      <c r="N698" s="4" t="s">
        <v>16116</v>
      </c>
      <c r="O698" s="1" t="s">
        <v>4997</v>
      </c>
      <c r="P698" s="1" t="s">
        <v>6</v>
      </c>
      <c r="Q698" s="16"/>
      <c r="R698" s="17"/>
      <c r="S698" s="3" t="s">
        <v>469</v>
      </c>
      <c r="T698" s="1767"/>
      <c r="U698" s="1749"/>
      <c r="V698" s="1752"/>
    </row>
    <row r="699" spans="1:22" ht="12" customHeight="1">
      <c r="A699" s="1040" t="str">
        <f t="shared" si="11"/>
        <v>3605</v>
      </c>
      <c r="B699" s="1056" t="s">
        <v>16442</v>
      </c>
      <c r="C699" s="1064"/>
      <c r="D699" s="2">
        <v>3</v>
      </c>
      <c r="E699" s="4" t="s">
        <v>2878</v>
      </c>
      <c r="F699" s="1065" t="e">
        <f>IF(E699="","$",VLOOKUP(E699,'結果(小)'!$B$2:$F$1295,5,FALSE))</f>
        <v>#DIV/0!</v>
      </c>
      <c r="G699" s="1" t="s">
        <v>2890</v>
      </c>
      <c r="H699" s="6">
        <v>41</v>
      </c>
      <c r="I699" s="2" t="s">
        <v>5</v>
      </c>
      <c r="J699" s="1" t="s">
        <v>15273</v>
      </c>
      <c r="K699" s="3"/>
      <c r="L699" s="1"/>
      <c r="M699" s="1"/>
      <c r="N699" s="4" t="s">
        <v>16116</v>
      </c>
      <c r="O699" s="1" t="s">
        <v>4997</v>
      </c>
      <c r="P699" s="1" t="s">
        <v>6</v>
      </c>
      <c r="Q699" s="16"/>
      <c r="R699" s="17"/>
      <c r="S699" s="3" t="s">
        <v>469</v>
      </c>
      <c r="T699" s="1767"/>
      <c r="U699" s="1749"/>
      <c r="V699" s="1752"/>
    </row>
    <row r="700" spans="1:22" ht="12" customHeight="1">
      <c r="A700" s="1040" t="str">
        <f t="shared" si="11"/>
        <v>3605</v>
      </c>
      <c r="B700" s="1056" t="s">
        <v>16443</v>
      </c>
      <c r="C700" s="1064"/>
      <c r="D700" s="2">
        <v>3</v>
      </c>
      <c r="E700" s="4" t="s">
        <v>2915</v>
      </c>
      <c r="F700" s="1065" t="e">
        <f>IF(E700="","$",VLOOKUP(E700,'結果(小)'!$B$2:$F$1295,5,FALSE))</f>
        <v>#DIV/0!</v>
      </c>
      <c r="G700" s="1" t="s">
        <v>5414</v>
      </c>
      <c r="H700" s="6">
        <v>47</v>
      </c>
      <c r="I700" s="2" t="s">
        <v>5</v>
      </c>
      <c r="J700" s="1" t="s">
        <v>15273</v>
      </c>
      <c r="K700" s="3"/>
      <c r="L700" s="1"/>
      <c r="M700" s="1"/>
      <c r="N700" s="4" t="s">
        <v>16116</v>
      </c>
      <c r="O700" s="1" t="s">
        <v>4422</v>
      </c>
      <c r="P700" s="1" t="s">
        <v>6</v>
      </c>
      <c r="Q700" s="16"/>
      <c r="R700" s="17"/>
      <c r="S700" s="3" t="s">
        <v>469</v>
      </c>
      <c r="T700" s="1767"/>
      <c r="U700" s="1749"/>
      <c r="V700" s="1752"/>
    </row>
    <row r="701" spans="1:22" ht="12" customHeight="1">
      <c r="A701" s="1040" t="str">
        <f t="shared" si="11"/>
        <v>3605</v>
      </c>
      <c r="B701" s="1056" t="s">
        <v>16444</v>
      </c>
      <c r="C701" s="1064"/>
      <c r="D701" s="2">
        <v>3</v>
      </c>
      <c r="E701" s="4" t="s">
        <v>2931</v>
      </c>
      <c r="F701" s="1065" t="e">
        <f>IF(E701="","$",VLOOKUP(E701,'結果(小)'!$B$2:$F$1295,5,FALSE))</f>
        <v>#DIV/0!</v>
      </c>
      <c r="G701" s="1" t="s">
        <v>5214</v>
      </c>
      <c r="H701" s="6">
        <v>58</v>
      </c>
      <c r="I701" s="2" t="s">
        <v>5</v>
      </c>
      <c r="J701" s="1" t="s">
        <v>15273</v>
      </c>
      <c r="K701" s="3"/>
      <c r="L701" s="1"/>
      <c r="M701" s="1"/>
      <c r="N701" s="4" t="s">
        <v>16116</v>
      </c>
      <c r="O701" s="1" t="s">
        <v>4422</v>
      </c>
      <c r="P701" s="1" t="s">
        <v>6</v>
      </c>
      <c r="Q701" s="16"/>
      <c r="R701" s="17"/>
      <c r="S701" s="3"/>
      <c r="T701" s="1767"/>
      <c r="U701" s="1749"/>
      <c r="V701" s="1752"/>
    </row>
    <row r="702" spans="1:22" ht="12" customHeight="1">
      <c r="A702" s="1040" t="str">
        <f t="shared" si="11"/>
        <v>3605</v>
      </c>
      <c r="B702" s="1056" t="s">
        <v>16445</v>
      </c>
      <c r="C702" s="1064"/>
      <c r="D702" s="2">
        <v>3</v>
      </c>
      <c r="E702" s="4" t="s">
        <v>2945</v>
      </c>
      <c r="F702" s="1065" t="e">
        <f>IF(E702="","$",VLOOKUP(E702,'結果(小)'!$B$2:$F$1295,5,FALSE))</f>
        <v>#DIV/0!</v>
      </c>
      <c r="G702" s="1" t="s">
        <v>5416</v>
      </c>
      <c r="H702" s="6">
        <v>45</v>
      </c>
      <c r="I702" s="2" t="s">
        <v>5</v>
      </c>
      <c r="J702" s="1" t="s">
        <v>15273</v>
      </c>
      <c r="K702" s="3"/>
      <c r="L702" s="1"/>
      <c r="M702" s="1"/>
      <c r="N702" s="4" t="s">
        <v>16116</v>
      </c>
      <c r="O702" s="1" t="s">
        <v>4997</v>
      </c>
      <c r="P702" s="1" t="s">
        <v>6</v>
      </c>
      <c r="Q702" s="16"/>
      <c r="R702" s="17"/>
      <c r="S702" s="3" t="s">
        <v>469</v>
      </c>
      <c r="T702" s="1767"/>
      <c r="U702" s="1749"/>
      <c r="V702" s="1752"/>
    </row>
    <row r="703" spans="1:22" ht="12" customHeight="1" thickBot="1">
      <c r="A703" s="916" t="str">
        <f t="shared" si="11"/>
        <v>3605</v>
      </c>
      <c r="B703" s="1084" t="s">
        <v>15654</v>
      </c>
      <c r="C703" s="1075"/>
      <c r="D703" s="702">
        <v>14</v>
      </c>
      <c r="E703" s="702"/>
      <c r="F703" s="1071" t="str">
        <f>IF(E703="","$",VLOOKUP(E703,'結果(小)'!$B$2:$F$1295,5,FALSE))</f>
        <v>$</v>
      </c>
      <c r="G703" s="701" t="s">
        <v>6001</v>
      </c>
      <c r="H703" s="701">
        <v>51</v>
      </c>
      <c r="I703" s="701" t="s">
        <v>5</v>
      </c>
      <c r="J703" s="702" t="s">
        <v>6067</v>
      </c>
      <c r="K703" s="741"/>
      <c r="L703" s="701"/>
      <c r="M703" s="741"/>
      <c r="N703" s="704" t="s">
        <v>16130</v>
      </c>
      <c r="O703" s="701" t="s">
        <v>276</v>
      </c>
      <c r="P703" s="701" t="s">
        <v>14</v>
      </c>
      <c r="Q703" s="742">
        <v>1</v>
      </c>
      <c r="R703" s="743">
        <v>1</v>
      </c>
      <c r="S703" s="740"/>
      <c r="T703" s="1768"/>
      <c r="U703" s="1750"/>
      <c r="V703" s="1753"/>
    </row>
    <row r="704" spans="1:22" ht="12" customHeight="1">
      <c r="A704" s="1038" t="str">
        <f t="shared" si="11"/>
        <v>3606</v>
      </c>
      <c r="B704" s="1085" t="s">
        <v>15641</v>
      </c>
      <c r="C704" s="1073"/>
      <c r="D704" s="696">
        <v>1</v>
      </c>
      <c r="E704" s="688" t="s">
        <v>2627</v>
      </c>
      <c r="F704" s="1068" t="e">
        <f>IF(E704="","$",VLOOKUP(E704,'結果(小)'!$B$2:$F$1295,5,FALSE))</f>
        <v>#DIV/0!</v>
      </c>
      <c r="G704" s="687" t="s">
        <v>2637</v>
      </c>
      <c r="H704" s="690">
        <v>38</v>
      </c>
      <c r="I704" s="696" t="s">
        <v>5</v>
      </c>
      <c r="J704" s="687" t="s">
        <v>15273</v>
      </c>
      <c r="K704" s="747"/>
      <c r="L704" s="687"/>
      <c r="M704" s="687"/>
      <c r="N704" s="688" t="s">
        <v>16128</v>
      </c>
      <c r="O704" s="687"/>
      <c r="P704" s="687" t="s">
        <v>6</v>
      </c>
      <c r="Q704" s="748"/>
      <c r="R704" s="749"/>
      <c r="S704" s="747"/>
      <c r="T704" s="1757"/>
      <c r="U704" s="1748"/>
      <c r="V704" s="1751" t="e">
        <f>U704/SUM(U595:U717)</f>
        <v>#DIV/0!</v>
      </c>
    </row>
    <row r="705" spans="1:22" ht="12" customHeight="1">
      <c r="A705" s="1040" t="str">
        <f t="shared" si="11"/>
        <v>3606</v>
      </c>
      <c r="B705" s="1057" t="s">
        <v>16448</v>
      </c>
      <c r="C705" s="1064"/>
      <c r="D705" s="2">
        <v>1</v>
      </c>
      <c r="E705" s="4" t="s">
        <v>5607</v>
      </c>
      <c r="F705" s="1065" t="e">
        <f>IF(E705="","$",VLOOKUP(E705,'結果(小)'!$B$2:$F$1295,5,FALSE))</f>
        <v>#DIV/0!</v>
      </c>
      <c r="G705" s="1" t="s">
        <v>5608</v>
      </c>
      <c r="H705" s="6">
        <v>37</v>
      </c>
      <c r="I705" s="2" t="s">
        <v>5</v>
      </c>
      <c r="J705" s="1" t="s">
        <v>15273</v>
      </c>
      <c r="K705" s="3"/>
      <c r="L705" s="1"/>
      <c r="M705" s="1"/>
      <c r="N705" s="8" t="s">
        <v>16128</v>
      </c>
      <c r="O705" s="1"/>
      <c r="P705" s="1" t="s">
        <v>6</v>
      </c>
      <c r="Q705" s="16"/>
      <c r="R705" s="17"/>
      <c r="S705" s="3" t="s">
        <v>6031</v>
      </c>
      <c r="T705" s="1758"/>
      <c r="U705" s="1749"/>
      <c r="V705" s="1752"/>
    </row>
    <row r="706" spans="1:22" ht="12" customHeight="1">
      <c r="A706" s="1040" t="str">
        <f t="shared" si="11"/>
        <v>3606</v>
      </c>
      <c r="B706" s="1057" t="s">
        <v>16449</v>
      </c>
      <c r="C706" s="1064"/>
      <c r="D706" s="2">
        <v>1</v>
      </c>
      <c r="E706" s="4" t="s">
        <v>2859</v>
      </c>
      <c r="F706" s="1065" t="e">
        <f>IF(E706="","$",VLOOKUP(E706,'結果(小)'!$B$2:$F$1295,5,FALSE))</f>
        <v>#DIV/0!</v>
      </c>
      <c r="G706" s="1" t="s">
        <v>2865</v>
      </c>
      <c r="H706" s="6">
        <v>52</v>
      </c>
      <c r="I706" s="2" t="s">
        <v>5</v>
      </c>
      <c r="J706" s="1" t="s">
        <v>15273</v>
      </c>
      <c r="K706" s="3" t="s">
        <v>2866</v>
      </c>
      <c r="L706" s="1"/>
      <c r="M706" s="1"/>
      <c r="N706" s="4" t="s">
        <v>16128</v>
      </c>
      <c r="O706" s="1"/>
      <c r="P706" s="1" t="s">
        <v>25</v>
      </c>
      <c r="Q706" s="16">
        <v>1</v>
      </c>
      <c r="R706" s="17">
        <v>1</v>
      </c>
      <c r="S706" s="3" t="s">
        <v>16096</v>
      </c>
      <c r="T706" s="1758"/>
      <c r="U706" s="1749"/>
      <c r="V706" s="1752"/>
    </row>
    <row r="707" spans="1:22" ht="12" customHeight="1" thickBot="1">
      <c r="A707" s="916" t="str">
        <f t="shared" ref="A707:A770" si="12">MIDB(B707,1,4)</f>
        <v>3606</v>
      </c>
      <c r="B707" s="1086" t="s">
        <v>16447</v>
      </c>
      <c r="C707" s="1075"/>
      <c r="D707" s="702">
        <v>4</v>
      </c>
      <c r="E707" s="702"/>
      <c r="F707" s="1071" t="str">
        <f>IF(E707="","$",VLOOKUP(E707,'結果(小)'!$B$2:$F$1295,5,FALSE))</f>
        <v>$</v>
      </c>
      <c r="G707" s="702" t="s">
        <v>15642</v>
      </c>
      <c r="H707" s="701">
        <v>48</v>
      </c>
      <c r="I707" s="702" t="s">
        <v>5</v>
      </c>
      <c r="J707" s="702" t="s">
        <v>6067</v>
      </c>
      <c r="K707" s="720"/>
      <c r="L707" s="702"/>
      <c r="M707" s="702"/>
      <c r="N707" s="770" t="s">
        <v>16128</v>
      </c>
      <c r="O707" s="702"/>
      <c r="P707" s="702" t="s">
        <v>6</v>
      </c>
      <c r="Q707" s="721"/>
      <c r="R707" s="722">
        <v>2</v>
      </c>
      <c r="S707" s="720"/>
      <c r="T707" s="1759"/>
      <c r="U707" s="1750"/>
      <c r="V707" s="1753"/>
    </row>
    <row r="708" spans="1:22" ht="12" customHeight="1">
      <c r="A708" s="1038" t="str">
        <f t="shared" si="12"/>
        <v>3607</v>
      </c>
      <c r="B708" s="1087" t="s">
        <v>5672</v>
      </c>
      <c r="C708" s="1073"/>
      <c r="D708" s="696">
        <v>1</v>
      </c>
      <c r="E708" s="696"/>
      <c r="F708" s="1068" t="str">
        <f>IF(E708="","$",VLOOKUP(E708,'結果(小)'!$B$2:$F$1295,5,FALSE))</f>
        <v>$</v>
      </c>
      <c r="G708" s="696" t="s">
        <v>3014</v>
      </c>
      <c r="H708" s="690">
        <v>67</v>
      </c>
      <c r="I708" s="696" t="s">
        <v>5</v>
      </c>
      <c r="J708" s="696" t="s">
        <v>6067</v>
      </c>
      <c r="K708" s="715" t="s">
        <v>3015</v>
      </c>
      <c r="L708" s="696"/>
      <c r="M708" s="696"/>
      <c r="N708" s="716" t="s">
        <v>16117</v>
      </c>
      <c r="O708" s="696"/>
      <c r="P708" s="696" t="s">
        <v>25</v>
      </c>
      <c r="Q708" s="717">
        <v>5</v>
      </c>
      <c r="R708" s="718">
        <v>5</v>
      </c>
      <c r="S708" s="715"/>
      <c r="T708" s="1760"/>
      <c r="U708" s="1748"/>
      <c r="V708" s="1751" t="e">
        <f>U708/SUM(U595:U717)</f>
        <v>#DIV/0!</v>
      </c>
    </row>
    <row r="709" spans="1:22" ht="12" customHeight="1">
      <c r="A709" s="1040" t="str">
        <f t="shared" si="12"/>
        <v>3607</v>
      </c>
      <c r="B709" s="1058" t="s">
        <v>5673</v>
      </c>
      <c r="C709" s="1064"/>
      <c r="D709" s="2">
        <v>2</v>
      </c>
      <c r="E709" s="2"/>
      <c r="F709" s="1065" t="str">
        <f>IF(E709="","$",VLOOKUP(E709,'結果(小)'!$B$2:$F$1295,5,FALSE))</f>
        <v>$</v>
      </c>
      <c r="G709" s="2" t="s">
        <v>3018</v>
      </c>
      <c r="H709" s="6">
        <v>47</v>
      </c>
      <c r="I709" s="2" t="s">
        <v>19</v>
      </c>
      <c r="J709" s="2" t="s">
        <v>6067</v>
      </c>
      <c r="K709" s="22"/>
      <c r="L709" s="2"/>
      <c r="M709" s="2"/>
      <c r="N709" s="8" t="s">
        <v>16117</v>
      </c>
      <c r="O709" s="2"/>
      <c r="P709" s="2" t="s">
        <v>6</v>
      </c>
      <c r="Q709" s="24"/>
      <c r="R709" s="25"/>
      <c r="S709" s="22"/>
      <c r="T709" s="1761"/>
      <c r="U709" s="1749"/>
      <c r="V709" s="1752"/>
    </row>
    <row r="710" spans="1:22" ht="12" customHeight="1" thickBot="1">
      <c r="A710" s="916" t="str">
        <f t="shared" si="12"/>
        <v>3607</v>
      </c>
      <c r="B710" s="1088" t="s">
        <v>5674</v>
      </c>
      <c r="C710" s="1075"/>
      <c r="D710" s="702">
        <v>3</v>
      </c>
      <c r="E710" s="702"/>
      <c r="F710" s="1071" t="str">
        <f>IF(E710="","$",VLOOKUP(E710,'結果(小)'!$B$2:$F$1295,5,FALSE))</f>
        <v>$</v>
      </c>
      <c r="G710" s="702" t="s">
        <v>5492</v>
      </c>
      <c r="H710" s="701">
        <v>57</v>
      </c>
      <c r="I710" s="702" t="s">
        <v>5</v>
      </c>
      <c r="J710" s="702" t="s">
        <v>6067</v>
      </c>
      <c r="K710" s="720"/>
      <c r="L710" s="702"/>
      <c r="M710" s="702"/>
      <c r="N710" s="770" t="s">
        <v>16117</v>
      </c>
      <c r="O710" s="702"/>
      <c r="P710" s="702" t="s">
        <v>6</v>
      </c>
      <c r="Q710" s="721"/>
      <c r="R710" s="722"/>
      <c r="S710" s="720"/>
      <c r="T710" s="1762"/>
      <c r="U710" s="1750"/>
      <c r="V710" s="1753"/>
    </row>
    <row r="711" spans="1:22" ht="12" customHeight="1">
      <c r="A711" s="1038" t="str">
        <f t="shared" si="12"/>
        <v>3608</v>
      </c>
      <c r="B711" s="1099" t="s">
        <v>5675</v>
      </c>
      <c r="C711" s="1073"/>
      <c r="D711" s="696">
        <v>1</v>
      </c>
      <c r="E711" s="688" t="s">
        <v>5413</v>
      </c>
      <c r="F711" s="1068" t="e">
        <f>IF(E711="","$",VLOOKUP(E711,'結果(小)'!$B$2:$F$1295,5,FALSE))</f>
        <v>#DIV/0!</v>
      </c>
      <c r="G711" s="687" t="s">
        <v>2927</v>
      </c>
      <c r="H711" s="690">
        <v>63</v>
      </c>
      <c r="I711" s="696" t="s">
        <v>19</v>
      </c>
      <c r="J711" s="687" t="s">
        <v>15273</v>
      </c>
      <c r="K711" s="747"/>
      <c r="L711" s="687"/>
      <c r="M711" s="687"/>
      <c r="N711" s="688" t="s">
        <v>16121</v>
      </c>
      <c r="O711" s="687"/>
      <c r="P711" s="687" t="s">
        <v>6</v>
      </c>
      <c r="Q711" s="748"/>
      <c r="R711" s="749"/>
      <c r="S711" s="747"/>
      <c r="T711" s="1745"/>
      <c r="U711" s="1748"/>
      <c r="V711" s="1751" t="e">
        <f>U711/SUM(U595:U717)</f>
        <v>#DIV/0!</v>
      </c>
    </row>
    <row r="712" spans="1:22" ht="12" customHeight="1" thickBot="1">
      <c r="A712" s="916" t="str">
        <f t="shared" si="12"/>
        <v>3608</v>
      </c>
      <c r="B712" s="1100" t="s">
        <v>16450</v>
      </c>
      <c r="C712" s="1075"/>
      <c r="D712" s="702">
        <v>2</v>
      </c>
      <c r="E712" s="702"/>
      <c r="F712" s="1071" t="str">
        <f>IF(E712="","$",VLOOKUP(E712,'結果(小)'!$B$2:$F$1295,5,FALSE))</f>
        <v>$</v>
      </c>
      <c r="G712" s="702" t="s">
        <v>5472</v>
      </c>
      <c r="H712" s="701">
        <v>64</v>
      </c>
      <c r="I712" s="702" t="s">
        <v>5</v>
      </c>
      <c r="J712" s="702" t="s">
        <v>6067</v>
      </c>
      <c r="K712" s="720"/>
      <c r="L712" s="702"/>
      <c r="M712" s="702"/>
      <c r="N712" s="770" t="s">
        <v>16121</v>
      </c>
      <c r="O712" s="702"/>
      <c r="P712" s="702" t="s">
        <v>6</v>
      </c>
      <c r="Q712" s="721"/>
      <c r="R712" s="722"/>
      <c r="S712" s="720"/>
      <c r="T712" s="1747"/>
      <c r="U712" s="1750"/>
      <c r="V712" s="1753"/>
    </row>
    <row r="713" spans="1:22" ht="12" customHeight="1">
      <c r="A713" s="1038" t="str">
        <f t="shared" si="12"/>
        <v>3613</v>
      </c>
      <c r="B713" s="1093" t="s">
        <v>16459</v>
      </c>
      <c r="C713" s="1073"/>
      <c r="D713" s="696">
        <v>1</v>
      </c>
      <c r="E713" s="696"/>
      <c r="F713" s="1068" t="str">
        <f>IF(E713="","$",VLOOKUP(E713,'結果(小)'!$B$2:$F$1295,5,FALSE))</f>
        <v>$</v>
      </c>
      <c r="G713" s="696" t="s">
        <v>5133</v>
      </c>
      <c r="H713" s="690">
        <v>45</v>
      </c>
      <c r="I713" s="696" t="s">
        <v>5</v>
      </c>
      <c r="J713" s="696" t="s">
        <v>6067</v>
      </c>
      <c r="K713" s="715"/>
      <c r="L713" s="696"/>
      <c r="M713" s="696"/>
      <c r="N713" s="716" t="s">
        <v>16122</v>
      </c>
      <c r="O713" s="696" t="s">
        <v>22</v>
      </c>
      <c r="P713" s="696" t="s">
        <v>6</v>
      </c>
      <c r="Q713" s="717"/>
      <c r="R713" s="718"/>
      <c r="S713" s="715"/>
      <c r="T713" s="1754"/>
      <c r="U713" s="1748"/>
      <c r="V713" s="1751" t="e">
        <f>U713/SUM(U595:U717)</f>
        <v>#DIV/0!</v>
      </c>
    </row>
    <row r="714" spans="1:22" ht="12" customHeight="1">
      <c r="A714" s="1040" t="str">
        <f t="shared" si="12"/>
        <v>3613</v>
      </c>
      <c r="B714" s="1060" t="s">
        <v>16460</v>
      </c>
      <c r="C714" s="1064"/>
      <c r="D714" s="2">
        <v>2</v>
      </c>
      <c r="E714" s="2"/>
      <c r="F714" s="1065" t="str">
        <f>IF(E714="","$",VLOOKUP(E714,'結果(小)'!$B$2:$F$1295,5,FALSE))</f>
        <v>$</v>
      </c>
      <c r="G714" s="2" t="s">
        <v>5137</v>
      </c>
      <c r="H714" s="6">
        <v>70</v>
      </c>
      <c r="I714" s="2" t="s">
        <v>5</v>
      </c>
      <c r="J714" s="2" t="s">
        <v>6067</v>
      </c>
      <c r="K714" s="22"/>
      <c r="L714" s="2"/>
      <c r="M714" s="2"/>
      <c r="N714" s="23" t="s">
        <v>16122</v>
      </c>
      <c r="O714" s="2" t="s">
        <v>22</v>
      </c>
      <c r="P714" s="2" t="s">
        <v>6</v>
      </c>
      <c r="Q714" s="24"/>
      <c r="R714" s="25"/>
      <c r="S714" s="22"/>
      <c r="T714" s="1755"/>
      <c r="U714" s="1749"/>
      <c r="V714" s="1752"/>
    </row>
    <row r="715" spans="1:22" ht="12" customHeight="1">
      <c r="A715" s="1040" t="str">
        <f t="shared" si="12"/>
        <v>3613</v>
      </c>
      <c r="B715" s="1060" t="s">
        <v>16461</v>
      </c>
      <c r="C715" s="1064"/>
      <c r="D715" s="2">
        <v>3</v>
      </c>
      <c r="E715" s="2"/>
      <c r="F715" s="1065" t="str">
        <f>IF(E715="","$",VLOOKUP(E715,'結果(小)'!$B$2:$F$1295,5,FALSE))</f>
        <v>$</v>
      </c>
      <c r="G715" s="2" t="s">
        <v>4618</v>
      </c>
      <c r="H715" s="6">
        <v>50</v>
      </c>
      <c r="I715" s="2" t="s">
        <v>19</v>
      </c>
      <c r="J715" s="2" t="s">
        <v>6067</v>
      </c>
      <c r="K715" s="22"/>
      <c r="L715" s="2"/>
      <c r="M715" s="2"/>
      <c r="N715" s="23" t="s">
        <v>16122</v>
      </c>
      <c r="O715" s="2" t="s">
        <v>22</v>
      </c>
      <c r="P715" s="2" t="s">
        <v>6</v>
      </c>
      <c r="Q715" s="24"/>
      <c r="R715" s="25"/>
      <c r="S715" s="22"/>
      <c r="T715" s="1755"/>
      <c r="U715" s="1749"/>
      <c r="V715" s="1752"/>
    </row>
    <row r="716" spans="1:22" ht="12" customHeight="1">
      <c r="A716" s="1040" t="str">
        <f t="shared" si="12"/>
        <v>3613</v>
      </c>
      <c r="B716" s="1060" t="s">
        <v>16462</v>
      </c>
      <c r="C716" s="1064"/>
      <c r="D716" s="2">
        <v>4</v>
      </c>
      <c r="E716" s="2"/>
      <c r="F716" s="1065" t="str">
        <f>IF(E716="","$",VLOOKUP(E716,'結果(小)'!$B$2:$F$1295,5,FALSE))</f>
        <v>$</v>
      </c>
      <c r="G716" s="2" t="s">
        <v>4615</v>
      </c>
      <c r="H716" s="6">
        <v>44</v>
      </c>
      <c r="I716" s="2" t="s">
        <v>19</v>
      </c>
      <c r="J716" s="2" t="s">
        <v>6067</v>
      </c>
      <c r="K716" s="22"/>
      <c r="L716" s="2"/>
      <c r="M716" s="2"/>
      <c r="N716" s="23" t="s">
        <v>16122</v>
      </c>
      <c r="O716" s="2" t="s">
        <v>22</v>
      </c>
      <c r="P716" s="2" t="s">
        <v>6</v>
      </c>
      <c r="Q716" s="24"/>
      <c r="R716" s="25"/>
      <c r="S716" s="22"/>
      <c r="T716" s="1755"/>
      <c r="U716" s="1749"/>
      <c r="V716" s="1752"/>
    </row>
    <row r="717" spans="1:22" ht="12" customHeight="1" thickBot="1">
      <c r="A717" s="916" t="str">
        <f t="shared" si="12"/>
        <v>3613</v>
      </c>
      <c r="B717" s="1094" t="s">
        <v>16463</v>
      </c>
      <c r="C717" s="1075"/>
      <c r="D717" s="702">
        <v>5</v>
      </c>
      <c r="E717" s="702"/>
      <c r="F717" s="1071" t="str">
        <f>IF(E717="","$",VLOOKUP(E717,'結果(小)'!$B$2:$F$1295,5,FALSE))</f>
        <v>$</v>
      </c>
      <c r="G717" s="702" t="s">
        <v>5139</v>
      </c>
      <c r="H717" s="701">
        <v>56</v>
      </c>
      <c r="I717" s="702" t="s">
        <v>5</v>
      </c>
      <c r="J717" s="702" t="s">
        <v>6067</v>
      </c>
      <c r="K717" s="720"/>
      <c r="L717" s="702"/>
      <c r="M717" s="702"/>
      <c r="N717" s="770" t="s">
        <v>16122</v>
      </c>
      <c r="O717" s="702" t="s">
        <v>22</v>
      </c>
      <c r="P717" s="702" t="s">
        <v>6</v>
      </c>
      <c r="Q717" s="721"/>
      <c r="R717" s="722"/>
      <c r="S717" s="720"/>
      <c r="T717" s="1756"/>
      <c r="U717" s="1750"/>
      <c r="V717" s="1753"/>
    </row>
    <row r="718" spans="1:22" ht="12" customHeight="1">
      <c r="A718" s="1038" t="str">
        <f t="shared" si="12"/>
        <v>3701</v>
      </c>
      <c r="B718" s="1095" t="s">
        <v>15847</v>
      </c>
      <c r="C718" s="1073"/>
      <c r="D718" s="696">
        <v>1</v>
      </c>
      <c r="E718" s="688" t="s">
        <v>3025</v>
      </c>
      <c r="F718" s="1068" t="e">
        <f>IF(E718="","$",VLOOKUP(E718,'結果(小)'!$B$2:$F$1295,5,FALSE))</f>
        <v>#DIV/0!</v>
      </c>
      <c r="G718" s="687" t="s">
        <v>3028</v>
      </c>
      <c r="H718" s="690">
        <v>67</v>
      </c>
      <c r="I718" s="696" t="s">
        <v>5</v>
      </c>
      <c r="J718" s="689" t="s">
        <v>15273</v>
      </c>
      <c r="K718" s="747" t="s">
        <v>3029</v>
      </c>
      <c r="L718" s="687"/>
      <c r="M718" s="687"/>
      <c r="N718" s="688" t="s">
        <v>16127</v>
      </c>
      <c r="O718" s="687" t="s">
        <v>681</v>
      </c>
      <c r="P718" s="687" t="s">
        <v>25</v>
      </c>
      <c r="Q718" s="748">
        <v>8</v>
      </c>
      <c r="R718" s="749">
        <v>8</v>
      </c>
      <c r="S718" s="747" t="s">
        <v>736</v>
      </c>
      <c r="T718" s="1777"/>
      <c r="U718" s="1775"/>
      <c r="V718" s="1751" t="e">
        <f>U718/SUM(U718:U882)</f>
        <v>#DIV/0!</v>
      </c>
    </row>
    <row r="719" spans="1:22" ht="12" customHeight="1">
      <c r="A719" s="1040" t="str">
        <f t="shared" si="12"/>
        <v>3701</v>
      </c>
      <c r="B719" s="1061" t="s">
        <v>15848</v>
      </c>
      <c r="C719" s="1064"/>
      <c r="D719" s="2">
        <v>1</v>
      </c>
      <c r="E719" s="4" t="s">
        <v>3040</v>
      </c>
      <c r="F719" s="1065" t="e">
        <f>IF(E719="","$",VLOOKUP(E719,'結果(小)'!$B$2:$F$1295,5,FALSE))</f>
        <v>#DIV/0!</v>
      </c>
      <c r="G719" s="1" t="s">
        <v>3044</v>
      </c>
      <c r="H719" s="6">
        <v>50</v>
      </c>
      <c r="I719" s="2" t="s">
        <v>5</v>
      </c>
      <c r="J719" s="5" t="s">
        <v>15273</v>
      </c>
      <c r="K719" s="3" t="s">
        <v>3045</v>
      </c>
      <c r="L719" s="1"/>
      <c r="M719" s="1"/>
      <c r="N719" s="8" t="s">
        <v>16126</v>
      </c>
      <c r="O719" s="1" t="s">
        <v>655</v>
      </c>
      <c r="P719" s="1" t="s">
        <v>25</v>
      </c>
      <c r="Q719" s="16">
        <v>3</v>
      </c>
      <c r="R719" s="17">
        <v>3</v>
      </c>
      <c r="S719" s="3" t="s">
        <v>736</v>
      </c>
      <c r="T719" s="1778"/>
      <c r="U719" s="1780"/>
      <c r="V719" s="1752"/>
    </row>
    <row r="720" spans="1:22" ht="12" customHeight="1">
      <c r="A720" s="1040" t="str">
        <f t="shared" si="12"/>
        <v>3701</v>
      </c>
      <c r="B720" s="1061" t="s">
        <v>15849</v>
      </c>
      <c r="C720" s="1064"/>
      <c r="D720" s="2">
        <v>1</v>
      </c>
      <c r="E720" s="4" t="s">
        <v>3059</v>
      </c>
      <c r="F720" s="1065" t="e">
        <f>IF(E720="","$",VLOOKUP(E720,'結果(小)'!$B$2:$F$1295,5,FALSE))</f>
        <v>#DIV/0!</v>
      </c>
      <c r="G720" s="1" t="s">
        <v>3062</v>
      </c>
      <c r="H720" s="6">
        <v>41</v>
      </c>
      <c r="I720" s="2" t="s">
        <v>5</v>
      </c>
      <c r="J720" s="5" t="s">
        <v>15273</v>
      </c>
      <c r="K720" s="3" t="s">
        <v>3063</v>
      </c>
      <c r="L720" s="1"/>
      <c r="M720" s="1"/>
      <c r="N720" s="8" t="s">
        <v>16127</v>
      </c>
      <c r="O720" s="1" t="s">
        <v>681</v>
      </c>
      <c r="P720" s="1" t="s">
        <v>25</v>
      </c>
      <c r="Q720" s="16">
        <v>3</v>
      </c>
      <c r="R720" s="17">
        <v>3</v>
      </c>
      <c r="S720" s="3" t="s">
        <v>736</v>
      </c>
      <c r="T720" s="1778"/>
      <c r="U720" s="1780"/>
      <c r="V720" s="1752"/>
    </row>
    <row r="721" spans="1:22" ht="12" customHeight="1">
      <c r="A721" s="1040" t="str">
        <f t="shared" si="12"/>
        <v>3701</v>
      </c>
      <c r="B721" s="1061" t="s">
        <v>15850</v>
      </c>
      <c r="C721" s="1064"/>
      <c r="D721" s="2">
        <v>1</v>
      </c>
      <c r="E721" s="4" t="s">
        <v>3073</v>
      </c>
      <c r="F721" s="1065" t="e">
        <f>IF(E721="","$",VLOOKUP(E721,'結果(小)'!$B$2:$F$1295,5,FALSE))</f>
        <v>#DIV/0!</v>
      </c>
      <c r="G721" s="1" t="s">
        <v>3077</v>
      </c>
      <c r="H721" s="6">
        <v>68</v>
      </c>
      <c r="I721" s="2" t="s">
        <v>5</v>
      </c>
      <c r="J721" s="5" t="s">
        <v>15273</v>
      </c>
      <c r="K721" s="3" t="s">
        <v>3078</v>
      </c>
      <c r="L721" s="1"/>
      <c r="M721" s="1"/>
      <c r="N721" s="8" t="s">
        <v>16127</v>
      </c>
      <c r="O721" s="1" t="s">
        <v>655</v>
      </c>
      <c r="P721" s="1" t="s">
        <v>25</v>
      </c>
      <c r="Q721" s="16">
        <v>3</v>
      </c>
      <c r="R721" s="17">
        <v>5</v>
      </c>
      <c r="S721" s="3" t="s">
        <v>736</v>
      </c>
      <c r="T721" s="1778"/>
      <c r="U721" s="1780"/>
      <c r="V721" s="1752"/>
    </row>
    <row r="722" spans="1:22" ht="12" customHeight="1">
      <c r="A722" s="1040" t="str">
        <f t="shared" si="12"/>
        <v>3701</v>
      </c>
      <c r="B722" s="1061" t="s">
        <v>15851</v>
      </c>
      <c r="C722" s="1064"/>
      <c r="D722" s="2">
        <v>1</v>
      </c>
      <c r="E722" s="4" t="s">
        <v>3094</v>
      </c>
      <c r="F722" s="1065" t="e">
        <f>IF(E722="","$",VLOOKUP(E722,'結果(小)'!$B$2:$F$1295,5,FALSE))</f>
        <v>#DIV/0!</v>
      </c>
      <c r="G722" s="1" t="s">
        <v>3099</v>
      </c>
      <c r="H722" s="6">
        <v>33</v>
      </c>
      <c r="I722" s="2" t="s">
        <v>19</v>
      </c>
      <c r="J722" s="5" t="s">
        <v>15273</v>
      </c>
      <c r="K722" s="3"/>
      <c r="L722" s="1"/>
      <c r="M722" s="1"/>
      <c r="N722" s="8" t="s">
        <v>16127</v>
      </c>
      <c r="O722" s="1" t="s">
        <v>44</v>
      </c>
      <c r="P722" s="1" t="s">
        <v>6</v>
      </c>
      <c r="Q722" s="16"/>
      <c r="R722" s="17"/>
      <c r="S722" s="3"/>
      <c r="T722" s="1778"/>
      <c r="U722" s="1780"/>
      <c r="V722" s="1752"/>
    </row>
    <row r="723" spans="1:22" ht="12" customHeight="1">
      <c r="A723" s="1040" t="str">
        <f t="shared" si="12"/>
        <v>3701</v>
      </c>
      <c r="B723" s="1061" t="s">
        <v>15852</v>
      </c>
      <c r="C723" s="1064"/>
      <c r="D723" s="2">
        <v>1</v>
      </c>
      <c r="E723" s="4" t="s">
        <v>3117</v>
      </c>
      <c r="F723" s="1065" t="e">
        <f>IF(E723="","$",VLOOKUP(E723,'結果(小)'!$B$2:$F$1295,5,FALSE))</f>
        <v>#DIV/0!</v>
      </c>
      <c r="G723" s="1" t="s">
        <v>3120</v>
      </c>
      <c r="H723" s="6">
        <v>50</v>
      </c>
      <c r="I723" s="2" t="s">
        <v>5</v>
      </c>
      <c r="J723" s="5" t="s">
        <v>15273</v>
      </c>
      <c r="K723" s="3" t="s">
        <v>3121</v>
      </c>
      <c r="L723" s="1"/>
      <c r="M723" s="1"/>
      <c r="N723" s="4" t="s">
        <v>16127</v>
      </c>
      <c r="O723" s="1" t="s">
        <v>655</v>
      </c>
      <c r="P723" s="1" t="s">
        <v>25</v>
      </c>
      <c r="Q723" s="16">
        <v>6</v>
      </c>
      <c r="R723" s="17">
        <v>6</v>
      </c>
      <c r="S723" s="3" t="s">
        <v>736</v>
      </c>
      <c r="T723" s="1778"/>
      <c r="U723" s="1780"/>
      <c r="V723" s="1752"/>
    </row>
    <row r="724" spans="1:22" ht="12" customHeight="1">
      <c r="A724" s="1040" t="str">
        <f t="shared" si="12"/>
        <v>3701</v>
      </c>
      <c r="B724" s="1061" t="s">
        <v>15853</v>
      </c>
      <c r="C724" s="1064"/>
      <c r="D724" s="2">
        <v>1</v>
      </c>
      <c r="E724" s="4" t="s">
        <v>3128</v>
      </c>
      <c r="F724" s="1065" t="e">
        <f>IF(E724="","$",VLOOKUP(E724,'結果(小)'!$B$2:$F$1295,5,FALSE))</f>
        <v>#DIV/0!</v>
      </c>
      <c r="G724" s="1" t="s">
        <v>3132</v>
      </c>
      <c r="H724" s="6">
        <v>38</v>
      </c>
      <c r="I724" s="2" t="s">
        <v>5</v>
      </c>
      <c r="J724" s="5" t="s">
        <v>15273</v>
      </c>
      <c r="K724" s="3" t="s">
        <v>3133</v>
      </c>
      <c r="L724" s="1"/>
      <c r="M724" s="1"/>
      <c r="N724" s="8" t="s">
        <v>16126</v>
      </c>
      <c r="O724" s="1" t="s">
        <v>44</v>
      </c>
      <c r="P724" s="1" t="s">
        <v>25</v>
      </c>
      <c r="Q724" s="16">
        <v>3</v>
      </c>
      <c r="R724" s="17">
        <v>3</v>
      </c>
      <c r="S724" s="3" t="s">
        <v>736</v>
      </c>
      <c r="T724" s="1778"/>
      <c r="U724" s="1780"/>
      <c r="V724" s="1752"/>
    </row>
    <row r="725" spans="1:22" ht="12" customHeight="1">
      <c r="A725" s="1040" t="str">
        <f t="shared" si="12"/>
        <v>3701</v>
      </c>
      <c r="B725" s="1061" t="s">
        <v>15854</v>
      </c>
      <c r="C725" s="1064"/>
      <c r="D725" s="2">
        <v>1</v>
      </c>
      <c r="E725" s="4" t="s">
        <v>3141</v>
      </c>
      <c r="F725" s="1065" t="e">
        <f>IF(E725="","$",VLOOKUP(E725,'結果(小)'!$B$2:$F$1295,5,FALSE))</f>
        <v>#DIV/0!</v>
      </c>
      <c r="G725" s="1" t="s">
        <v>3148</v>
      </c>
      <c r="H725" s="6">
        <v>45</v>
      </c>
      <c r="I725" s="2" t="s">
        <v>5</v>
      </c>
      <c r="J725" s="5" t="s">
        <v>15273</v>
      </c>
      <c r="K725" s="3" t="s">
        <v>3149</v>
      </c>
      <c r="L725" s="1"/>
      <c r="M725" s="1"/>
      <c r="N725" s="8" t="s">
        <v>16127</v>
      </c>
      <c r="O725" s="1" t="s">
        <v>44</v>
      </c>
      <c r="P725" s="1" t="s">
        <v>25</v>
      </c>
      <c r="Q725" s="16">
        <v>2</v>
      </c>
      <c r="R725" s="17">
        <v>2</v>
      </c>
      <c r="S725" s="3" t="s">
        <v>736</v>
      </c>
      <c r="T725" s="1778"/>
      <c r="U725" s="1780"/>
      <c r="V725" s="1752"/>
    </row>
    <row r="726" spans="1:22" ht="12" customHeight="1">
      <c r="A726" s="1040" t="str">
        <f t="shared" si="12"/>
        <v>3701</v>
      </c>
      <c r="B726" s="1061" t="s">
        <v>15855</v>
      </c>
      <c r="C726" s="1064"/>
      <c r="D726" s="2">
        <v>1</v>
      </c>
      <c r="E726" s="4" t="s">
        <v>3172</v>
      </c>
      <c r="F726" s="1065" t="e">
        <f>IF(E726="","$",VLOOKUP(E726,'結果(小)'!$B$2:$F$1295,5,FALSE))</f>
        <v>#DIV/0!</v>
      </c>
      <c r="G726" s="1" t="s">
        <v>3175</v>
      </c>
      <c r="H726" s="6">
        <v>38</v>
      </c>
      <c r="I726" s="2" t="s">
        <v>19</v>
      </c>
      <c r="J726" s="5" t="s">
        <v>15273</v>
      </c>
      <c r="K726" s="3" t="s">
        <v>3176</v>
      </c>
      <c r="L726" s="1"/>
      <c r="M726" s="1"/>
      <c r="N726" s="8" t="s">
        <v>16127</v>
      </c>
      <c r="O726" s="1" t="s">
        <v>44</v>
      </c>
      <c r="P726" s="1" t="s">
        <v>25</v>
      </c>
      <c r="Q726" s="16">
        <v>1</v>
      </c>
      <c r="R726" s="17">
        <v>1</v>
      </c>
      <c r="S726" s="3"/>
      <c r="T726" s="1778"/>
      <c r="U726" s="1780"/>
      <c r="V726" s="1752"/>
    </row>
    <row r="727" spans="1:22" ht="12" customHeight="1">
      <c r="A727" s="1040" t="str">
        <f t="shared" si="12"/>
        <v>3701</v>
      </c>
      <c r="B727" s="1061" t="s">
        <v>15856</v>
      </c>
      <c r="C727" s="1064"/>
      <c r="D727" s="2">
        <v>1</v>
      </c>
      <c r="E727" s="4" t="s">
        <v>3186</v>
      </c>
      <c r="F727" s="1065" t="e">
        <f>IF(E727="","$",VLOOKUP(E727,'結果(小)'!$B$2:$F$1295,5,FALSE))</f>
        <v>#DIV/0!</v>
      </c>
      <c r="G727" s="1" t="s">
        <v>3189</v>
      </c>
      <c r="H727" s="6">
        <v>50</v>
      </c>
      <c r="I727" s="2" t="s">
        <v>5</v>
      </c>
      <c r="J727" s="5" t="s">
        <v>15273</v>
      </c>
      <c r="K727" s="3" t="s">
        <v>3190</v>
      </c>
      <c r="L727" s="1"/>
      <c r="M727" s="1"/>
      <c r="N727" s="8" t="s">
        <v>16127</v>
      </c>
      <c r="O727" s="1" t="s">
        <v>655</v>
      </c>
      <c r="P727" s="1" t="s">
        <v>25</v>
      </c>
      <c r="Q727" s="16">
        <v>4</v>
      </c>
      <c r="R727" s="17">
        <v>4</v>
      </c>
      <c r="S727" s="3" t="s">
        <v>736</v>
      </c>
      <c r="T727" s="1778"/>
      <c r="U727" s="1780"/>
      <c r="V727" s="1752"/>
    </row>
    <row r="728" spans="1:22" ht="12" customHeight="1">
      <c r="A728" s="1040" t="str">
        <f t="shared" si="12"/>
        <v>3701</v>
      </c>
      <c r="B728" s="1061" t="s">
        <v>15857</v>
      </c>
      <c r="C728" s="1064"/>
      <c r="D728" s="2">
        <v>1</v>
      </c>
      <c r="E728" s="4" t="s">
        <v>3199</v>
      </c>
      <c r="F728" s="1065" t="e">
        <f>IF(E728="","$",VLOOKUP(E728,'結果(小)'!$B$2:$F$1295,5,FALSE))</f>
        <v>#DIV/0!</v>
      </c>
      <c r="G728" s="1" t="s">
        <v>5453</v>
      </c>
      <c r="H728" s="6">
        <v>32</v>
      </c>
      <c r="I728" s="2" t="s">
        <v>19</v>
      </c>
      <c r="J728" s="5" t="s">
        <v>15273</v>
      </c>
      <c r="K728" s="3"/>
      <c r="L728" s="1"/>
      <c r="M728" s="1"/>
      <c r="N728" s="4" t="s">
        <v>16127</v>
      </c>
      <c r="O728" s="1" t="s">
        <v>44</v>
      </c>
      <c r="P728" s="1" t="s">
        <v>6</v>
      </c>
      <c r="Q728" s="16"/>
      <c r="R728" s="17"/>
      <c r="S728" s="3" t="s">
        <v>736</v>
      </c>
      <c r="T728" s="1778"/>
      <c r="U728" s="1780"/>
      <c r="V728" s="1752"/>
    </row>
    <row r="729" spans="1:22" ht="12" customHeight="1">
      <c r="A729" s="1040" t="str">
        <f t="shared" si="12"/>
        <v>3701</v>
      </c>
      <c r="B729" s="1061" t="s">
        <v>15858</v>
      </c>
      <c r="C729" s="1064"/>
      <c r="D729" s="2">
        <v>1</v>
      </c>
      <c r="E729" s="4" t="s">
        <v>3249</v>
      </c>
      <c r="F729" s="1065" t="e">
        <f>IF(E729="","$",VLOOKUP(E729,'結果(小)'!$B$2:$F$1295,5,FALSE))</f>
        <v>#DIV/0!</v>
      </c>
      <c r="G729" s="1" t="s">
        <v>6026</v>
      </c>
      <c r="H729" s="6">
        <v>29</v>
      </c>
      <c r="I729" s="2" t="s">
        <v>5</v>
      </c>
      <c r="J729" s="5" t="s">
        <v>15273</v>
      </c>
      <c r="K729" s="3"/>
      <c r="L729" s="1"/>
      <c r="M729" s="1"/>
      <c r="N729" s="8" t="s">
        <v>16126</v>
      </c>
      <c r="O729" s="1" t="s">
        <v>44</v>
      </c>
      <c r="P729" s="1" t="s">
        <v>6</v>
      </c>
      <c r="Q729" s="16"/>
      <c r="R729" s="17"/>
      <c r="S729" s="3"/>
      <c r="T729" s="1778"/>
      <c r="U729" s="1780"/>
      <c r="V729" s="1752"/>
    </row>
    <row r="730" spans="1:22" ht="12" customHeight="1">
      <c r="A730" s="1040" t="str">
        <f t="shared" si="12"/>
        <v>3701</v>
      </c>
      <c r="B730" s="1061" t="s">
        <v>15859</v>
      </c>
      <c r="C730" s="1064"/>
      <c r="D730" s="2">
        <v>1</v>
      </c>
      <c r="E730" s="4" t="s">
        <v>3258</v>
      </c>
      <c r="F730" s="1065" t="e">
        <f>IF(E730="","$",VLOOKUP(E730,'結果(小)'!$B$2:$F$1295,5,FALSE))</f>
        <v>#DIV/0!</v>
      </c>
      <c r="G730" s="1" t="s">
        <v>3263</v>
      </c>
      <c r="H730" s="6">
        <v>50</v>
      </c>
      <c r="I730" s="2" t="s">
        <v>5</v>
      </c>
      <c r="J730" s="5" t="s">
        <v>15273</v>
      </c>
      <c r="K730" s="3" t="s">
        <v>3264</v>
      </c>
      <c r="L730" s="1"/>
      <c r="M730" s="1"/>
      <c r="N730" s="8" t="s">
        <v>16127</v>
      </c>
      <c r="O730" s="1" t="s">
        <v>681</v>
      </c>
      <c r="P730" s="1" t="s">
        <v>25</v>
      </c>
      <c r="Q730" s="16">
        <v>4</v>
      </c>
      <c r="R730" s="17">
        <v>4</v>
      </c>
      <c r="S730" s="3" t="s">
        <v>736</v>
      </c>
      <c r="T730" s="1778"/>
      <c r="U730" s="1780"/>
      <c r="V730" s="1752"/>
    </row>
    <row r="731" spans="1:22" ht="12" customHeight="1">
      <c r="A731" s="1040" t="str">
        <f t="shared" si="12"/>
        <v>3701</v>
      </c>
      <c r="B731" s="1061" t="s">
        <v>15860</v>
      </c>
      <c r="C731" s="1064"/>
      <c r="D731" s="2">
        <v>1</v>
      </c>
      <c r="E731" s="4" t="s">
        <v>3277</v>
      </c>
      <c r="F731" s="1065" t="e">
        <f>IF(E731="","$",VLOOKUP(E731,'結果(小)'!$B$2:$F$1295,5,FALSE))</f>
        <v>#DIV/0!</v>
      </c>
      <c r="G731" s="1" t="s">
        <v>5455</v>
      </c>
      <c r="H731" s="6">
        <v>38</v>
      </c>
      <c r="I731" s="2" t="s">
        <v>19</v>
      </c>
      <c r="J731" s="5" t="s">
        <v>15273</v>
      </c>
      <c r="K731" s="3"/>
      <c r="L731" s="1"/>
      <c r="M731" s="1"/>
      <c r="N731" s="8" t="s">
        <v>16127</v>
      </c>
      <c r="O731" s="1" t="s">
        <v>44</v>
      </c>
      <c r="P731" s="1" t="s">
        <v>6</v>
      </c>
      <c r="Q731" s="16"/>
      <c r="R731" s="17"/>
      <c r="S731" s="3"/>
      <c r="T731" s="1778"/>
      <c r="U731" s="1780"/>
      <c r="V731" s="1752"/>
    </row>
    <row r="732" spans="1:22" ht="12" customHeight="1">
      <c r="A732" s="1040" t="str">
        <f t="shared" si="12"/>
        <v>3701</v>
      </c>
      <c r="B732" s="1061" t="s">
        <v>15861</v>
      </c>
      <c r="C732" s="1064"/>
      <c r="D732" s="2">
        <v>1</v>
      </c>
      <c r="E732" s="4" t="s">
        <v>3299</v>
      </c>
      <c r="F732" s="1065" t="e">
        <f>IF(E732="","$",VLOOKUP(E732,'結果(小)'!$B$2:$F$1295,5,FALSE))</f>
        <v>#DIV/0!</v>
      </c>
      <c r="G732" s="1" t="s">
        <v>3303</v>
      </c>
      <c r="H732" s="6">
        <v>63</v>
      </c>
      <c r="I732" s="2" t="s">
        <v>5</v>
      </c>
      <c r="J732" s="5" t="s">
        <v>15273</v>
      </c>
      <c r="K732" s="3" t="s">
        <v>3304</v>
      </c>
      <c r="L732" s="1"/>
      <c r="M732" s="1"/>
      <c r="N732" s="8" t="s">
        <v>16127</v>
      </c>
      <c r="O732" s="1" t="s">
        <v>604</v>
      </c>
      <c r="P732" s="1" t="s">
        <v>25</v>
      </c>
      <c r="Q732" s="16">
        <v>6</v>
      </c>
      <c r="R732" s="17">
        <v>6</v>
      </c>
      <c r="S732" s="3" t="s">
        <v>736</v>
      </c>
      <c r="T732" s="1778"/>
      <c r="U732" s="1780"/>
      <c r="V732" s="1752"/>
    </row>
    <row r="733" spans="1:22" ht="12" customHeight="1">
      <c r="A733" s="1040" t="str">
        <f t="shared" si="12"/>
        <v>3701</v>
      </c>
      <c r="B733" s="1061" t="s">
        <v>15862</v>
      </c>
      <c r="C733" s="1064"/>
      <c r="D733" s="2">
        <v>1</v>
      </c>
      <c r="E733" s="4" t="s">
        <v>3316</v>
      </c>
      <c r="F733" s="1065" t="e">
        <f>IF(E733="","$",VLOOKUP(E733,'結果(小)'!$B$2:$F$1295,5,FALSE))</f>
        <v>#DIV/0!</v>
      </c>
      <c r="G733" s="1" t="s">
        <v>3560</v>
      </c>
      <c r="H733" s="6">
        <v>30</v>
      </c>
      <c r="I733" s="2" t="s">
        <v>5</v>
      </c>
      <c r="J733" s="5" t="s">
        <v>15273</v>
      </c>
      <c r="K733" s="3" t="s">
        <v>3561</v>
      </c>
      <c r="L733" s="1"/>
      <c r="M733" s="1"/>
      <c r="N733" s="4" t="s">
        <v>16127</v>
      </c>
      <c r="O733" s="1" t="s">
        <v>681</v>
      </c>
      <c r="P733" s="1" t="s">
        <v>25</v>
      </c>
      <c r="Q733" s="16">
        <v>1</v>
      </c>
      <c r="R733" s="17">
        <v>1</v>
      </c>
      <c r="S733" s="3" t="s">
        <v>736</v>
      </c>
      <c r="T733" s="1778"/>
      <c r="U733" s="1780"/>
      <c r="V733" s="1752"/>
    </row>
    <row r="734" spans="1:22" ht="12" customHeight="1">
      <c r="A734" s="1040" t="str">
        <f t="shared" si="12"/>
        <v>3701</v>
      </c>
      <c r="B734" s="1061" t="s">
        <v>15863</v>
      </c>
      <c r="C734" s="1064"/>
      <c r="D734" s="2">
        <v>1</v>
      </c>
      <c r="E734" s="4" t="s">
        <v>3327</v>
      </c>
      <c r="F734" s="1065" t="e">
        <f>IF(E734="","$",VLOOKUP(E734,'結果(小)'!$B$2:$F$1295,5,FALSE))</f>
        <v>#DIV/0!</v>
      </c>
      <c r="G734" s="1" t="s">
        <v>3331</v>
      </c>
      <c r="H734" s="6">
        <v>50</v>
      </c>
      <c r="I734" s="2" t="s">
        <v>5</v>
      </c>
      <c r="J734" s="5" t="s">
        <v>15273</v>
      </c>
      <c r="K734" s="3" t="s">
        <v>3332</v>
      </c>
      <c r="L734" s="1"/>
      <c r="M734" s="1"/>
      <c r="N734" s="8" t="s">
        <v>16126</v>
      </c>
      <c r="O734" s="1" t="s">
        <v>655</v>
      </c>
      <c r="P734" s="1" t="s">
        <v>25</v>
      </c>
      <c r="Q734" s="16">
        <v>3</v>
      </c>
      <c r="R734" s="17">
        <v>3</v>
      </c>
      <c r="S734" s="3" t="s">
        <v>736</v>
      </c>
      <c r="T734" s="1778"/>
      <c r="U734" s="1780"/>
      <c r="V734" s="1752"/>
    </row>
    <row r="735" spans="1:22" ht="12" customHeight="1">
      <c r="A735" s="1040" t="str">
        <f t="shared" si="12"/>
        <v>3701</v>
      </c>
      <c r="B735" s="1061" t="s">
        <v>15864</v>
      </c>
      <c r="C735" s="1064"/>
      <c r="D735" s="2">
        <v>1</v>
      </c>
      <c r="E735" s="4" t="s">
        <v>3345</v>
      </c>
      <c r="F735" s="1065" t="e">
        <f>IF(E735="","$",VLOOKUP(E735,'結果(小)'!$B$2:$F$1295,5,FALSE))</f>
        <v>#DIV/0!</v>
      </c>
      <c r="G735" s="1" t="s">
        <v>3349</v>
      </c>
      <c r="H735" s="6">
        <v>52</v>
      </c>
      <c r="I735" s="2" t="s">
        <v>19</v>
      </c>
      <c r="J735" s="5" t="s">
        <v>15273</v>
      </c>
      <c r="K735" s="3" t="s">
        <v>3350</v>
      </c>
      <c r="L735" s="1"/>
      <c r="M735" s="1"/>
      <c r="N735" s="8" t="s">
        <v>16127</v>
      </c>
      <c r="O735" s="1" t="s">
        <v>45</v>
      </c>
      <c r="P735" s="1" t="s">
        <v>25</v>
      </c>
      <c r="Q735" s="16">
        <v>4</v>
      </c>
      <c r="R735" s="17">
        <v>4</v>
      </c>
      <c r="S735" s="3" t="s">
        <v>736</v>
      </c>
      <c r="T735" s="1778"/>
      <c r="U735" s="1780"/>
      <c r="V735" s="1752"/>
    </row>
    <row r="736" spans="1:22" ht="12" customHeight="1">
      <c r="A736" s="1040" t="str">
        <f t="shared" si="12"/>
        <v>3701</v>
      </c>
      <c r="B736" s="1061" t="s">
        <v>15865</v>
      </c>
      <c r="C736" s="1064"/>
      <c r="D736" s="2">
        <v>1</v>
      </c>
      <c r="E736" s="4" t="s">
        <v>3362</v>
      </c>
      <c r="F736" s="1065" t="e">
        <f>IF(E736="","$",VLOOKUP(E736,'結果(小)'!$B$2:$F$1295,5,FALSE))</f>
        <v>#DIV/0!</v>
      </c>
      <c r="G736" s="1" t="s">
        <v>3366</v>
      </c>
      <c r="H736" s="6">
        <v>63</v>
      </c>
      <c r="I736" s="2" t="s">
        <v>5</v>
      </c>
      <c r="J736" s="5" t="s">
        <v>15273</v>
      </c>
      <c r="K736" s="3" t="s">
        <v>3367</v>
      </c>
      <c r="L736" s="1"/>
      <c r="M736" s="1"/>
      <c r="N736" s="8" t="s">
        <v>16127</v>
      </c>
      <c r="O736" s="1" t="s">
        <v>45</v>
      </c>
      <c r="P736" s="1" t="s">
        <v>25</v>
      </c>
      <c r="Q736" s="16">
        <v>5</v>
      </c>
      <c r="R736" s="17">
        <v>5</v>
      </c>
      <c r="S736" s="3" t="s">
        <v>736</v>
      </c>
      <c r="T736" s="1778"/>
      <c r="U736" s="1780"/>
      <c r="V736" s="1752"/>
    </row>
    <row r="737" spans="1:22" ht="12" customHeight="1">
      <c r="A737" s="1040" t="str">
        <f t="shared" si="12"/>
        <v>3701</v>
      </c>
      <c r="B737" s="1061" t="s">
        <v>15866</v>
      </c>
      <c r="C737" s="1064"/>
      <c r="D737" s="2">
        <v>1</v>
      </c>
      <c r="E737" s="4" t="s">
        <v>3376</v>
      </c>
      <c r="F737" s="1065" t="e">
        <f>IF(E737="","$",VLOOKUP(E737,'結果(小)'!$B$2:$F$1295,5,FALSE))</f>
        <v>#DIV/0!</v>
      </c>
      <c r="G737" s="1" t="s">
        <v>3379</v>
      </c>
      <c r="H737" s="6">
        <v>53</v>
      </c>
      <c r="I737" s="2" t="s">
        <v>5</v>
      </c>
      <c r="J737" s="5" t="s">
        <v>15273</v>
      </c>
      <c r="K737" s="3" t="s">
        <v>3380</v>
      </c>
      <c r="L737" s="1"/>
      <c r="M737" s="1"/>
      <c r="N737" s="8" t="s">
        <v>16127</v>
      </c>
      <c r="O737" s="1" t="s">
        <v>604</v>
      </c>
      <c r="P737" s="1" t="s">
        <v>25</v>
      </c>
      <c r="Q737" s="16">
        <v>5</v>
      </c>
      <c r="R737" s="17">
        <v>5</v>
      </c>
      <c r="S737" s="3" t="s">
        <v>736</v>
      </c>
      <c r="T737" s="1778"/>
      <c r="U737" s="1780"/>
      <c r="V737" s="1752"/>
    </row>
    <row r="738" spans="1:22" ht="12" customHeight="1">
      <c r="A738" s="1040" t="str">
        <f t="shared" si="12"/>
        <v>3701</v>
      </c>
      <c r="B738" s="1061" t="s">
        <v>15867</v>
      </c>
      <c r="C738" s="1064"/>
      <c r="D738" s="2">
        <v>1</v>
      </c>
      <c r="E738" s="4" t="s">
        <v>3389</v>
      </c>
      <c r="F738" s="1065" t="e">
        <f>IF(E738="","$",VLOOKUP(E738,'結果(小)'!$B$2:$F$1295,5,FALSE))</f>
        <v>#DIV/0!</v>
      </c>
      <c r="G738" s="1" t="s">
        <v>3396</v>
      </c>
      <c r="H738" s="6">
        <v>61</v>
      </c>
      <c r="I738" s="2" t="s">
        <v>5</v>
      </c>
      <c r="J738" s="5" t="s">
        <v>15273</v>
      </c>
      <c r="K738" s="3" t="s">
        <v>3393</v>
      </c>
      <c r="L738" s="1"/>
      <c r="M738" s="1"/>
      <c r="N738" s="4" t="s">
        <v>16127</v>
      </c>
      <c r="O738" s="1" t="s">
        <v>604</v>
      </c>
      <c r="P738" s="1" t="s">
        <v>25</v>
      </c>
      <c r="Q738" s="16">
        <v>1</v>
      </c>
      <c r="R738" s="17">
        <v>2</v>
      </c>
      <c r="S738" s="3" t="s">
        <v>736</v>
      </c>
      <c r="T738" s="1778"/>
      <c r="U738" s="1780"/>
      <c r="V738" s="1752"/>
    </row>
    <row r="739" spans="1:22" ht="12" customHeight="1">
      <c r="A739" s="1040" t="str">
        <f t="shared" si="12"/>
        <v>3701</v>
      </c>
      <c r="B739" s="1061" t="s">
        <v>15868</v>
      </c>
      <c r="C739" s="1064"/>
      <c r="D739" s="2">
        <v>1</v>
      </c>
      <c r="E739" s="4" t="s">
        <v>3401</v>
      </c>
      <c r="F739" s="1065" t="e">
        <f>IF(E739="","$",VLOOKUP(E739,'結果(小)'!$B$2:$F$1295,5,FALSE))</f>
        <v>#DIV/0!</v>
      </c>
      <c r="G739" s="1" t="s">
        <v>15844</v>
      </c>
      <c r="H739" s="6">
        <v>48</v>
      </c>
      <c r="I739" s="2" t="s">
        <v>5</v>
      </c>
      <c r="J739" s="5" t="s">
        <v>15273</v>
      </c>
      <c r="K739" s="3"/>
      <c r="L739" s="1"/>
      <c r="M739" s="1"/>
      <c r="N739" s="8" t="s">
        <v>16126</v>
      </c>
      <c r="O739" s="1" t="s">
        <v>44</v>
      </c>
      <c r="P739" s="1" t="s">
        <v>6</v>
      </c>
      <c r="Q739" s="16"/>
      <c r="R739" s="17"/>
      <c r="S739" s="3" t="s">
        <v>736</v>
      </c>
      <c r="T739" s="1778"/>
      <c r="U739" s="1780"/>
      <c r="V739" s="1752"/>
    </row>
    <row r="740" spans="1:22" ht="12" customHeight="1">
      <c r="A740" s="1040" t="str">
        <f t="shared" si="12"/>
        <v>3701</v>
      </c>
      <c r="B740" s="1061" t="s">
        <v>15869</v>
      </c>
      <c r="C740" s="1064"/>
      <c r="D740" s="2">
        <v>1</v>
      </c>
      <c r="E740" s="4" t="s">
        <v>3434</v>
      </c>
      <c r="F740" s="1065" t="e">
        <f>IF(E740="","$",VLOOKUP(E740,'結果(小)'!$B$2:$F$1295,5,FALSE))</f>
        <v>#DIV/0!</v>
      </c>
      <c r="G740" s="1" t="s">
        <v>3437</v>
      </c>
      <c r="H740" s="6">
        <v>41</v>
      </c>
      <c r="I740" s="2" t="s">
        <v>5</v>
      </c>
      <c r="J740" s="5" t="s">
        <v>15273</v>
      </c>
      <c r="K740" s="3" t="s">
        <v>3438</v>
      </c>
      <c r="L740" s="1"/>
      <c r="M740" s="1"/>
      <c r="N740" s="8" t="s">
        <v>16127</v>
      </c>
      <c r="O740" s="1" t="s">
        <v>44</v>
      </c>
      <c r="P740" s="1" t="s">
        <v>25</v>
      </c>
      <c r="Q740" s="16">
        <v>1</v>
      </c>
      <c r="R740" s="17">
        <v>1</v>
      </c>
      <c r="S740" s="3"/>
      <c r="T740" s="1778"/>
      <c r="U740" s="1780"/>
      <c r="V740" s="1752"/>
    </row>
    <row r="741" spans="1:22" ht="12" customHeight="1">
      <c r="A741" s="1040" t="str">
        <f t="shared" si="12"/>
        <v>3701</v>
      </c>
      <c r="B741" s="1061" t="s">
        <v>15870</v>
      </c>
      <c r="C741" s="1064"/>
      <c r="D741" s="2">
        <v>1</v>
      </c>
      <c r="E741" s="4" t="s">
        <v>5999</v>
      </c>
      <c r="F741" s="1065" t="e">
        <f>IF(E741="","$",VLOOKUP(E741,'結果(小)'!$B$2:$F$1295,5,FALSE))</f>
        <v>#DIV/0!</v>
      </c>
      <c r="G741" s="1" t="s">
        <v>6052</v>
      </c>
      <c r="H741" s="6">
        <v>35</v>
      </c>
      <c r="I741" s="2" t="s">
        <v>5</v>
      </c>
      <c r="J741" s="5" t="s">
        <v>15273</v>
      </c>
      <c r="K741" s="3"/>
      <c r="L741" s="1"/>
      <c r="M741" s="1"/>
      <c r="N741" s="8" t="s">
        <v>16127</v>
      </c>
      <c r="O741" s="1" t="s">
        <v>44</v>
      </c>
      <c r="P741" s="1" t="s">
        <v>6</v>
      </c>
      <c r="Q741" s="16"/>
      <c r="R741" s="17"/>
      <c r="S741" s="3" t="s">
        <v>736</v>
      </c>
      <c r="T741" s="1778"/>
      <c r="U741" s="1780"/>
      <c r="V741" s="1752"/>
    </row>
    <row r="742" spans="1:22" ht="12" customHeight="1">
      <c r="A742" s="1040" t="str">
        <f t="shared" si="12"/>
        <v>3701</v>
      </c>
      <c r="B742" s="1061" t="s">
        <v>15871</v>
      </c>
      <c r="C742" s="1064"/>
      <c r="D742" s="2">
        <v>1</v>
      </c>
      <c r="E742" s="4" t="s">
        <v>3484</v>
      </c>
      <c r="F742" s="1065" t="e">
        <f>IF(E742="","$",VLOOKUP(E742,'結果(小)'!$B$2:$F$1295,5,FALSE))</f>
        <v>#DIV/0!</v>
      </c>
      <c r="G742" s="1" t="s">
        <v>3488</v>
      </c>
      <c r="H742" s="6">
        <v>44</v>
      </c>
      <c r="I742" s="2" t="s">
        <v>5</v>
      </c>
      <c r="J742" s="5" t="s">
        <v>15273</v>
      </c>
      <c r="K742" s="3" t="s">
        <v>3489</v>
      </c>
      <c r="L742" s="1"/>
      <c r="M742" s="1"/>
      <c r="N742" s="8" t="s">
        <v>16127</v>
      </c>
      <c r="O742" s="1" t="s">
        <v>44</v>
      </c>
      <c r="P742" s="1" t="s">
        <v>25</v>
      </c>
      <c r="Q742" s="16">
        <v>3</v>
      </c>
      <c r="R742" s="17">
        <v>3</v>
      </c>
      <c r="S742" s="3" t="s">
        <v>736</v>
      </c>
      <c r="T742" s="1778"/>
      <c r="U742" s="1780"/>
      <c r="V742" s="1752"/>
    </row>
    <row r="743" spans="1:22" ht="12" customHeight="1">
      <c r="A743" s="1040" t="str">
        <f t="shared" si="12"/>
        <v>3701</v>
      </c>
      <c r="B743" s="1061" t="s">
        <v>15872</v>
      </c>
      <c r="C743" s="1064"/>
      <c r="D743" s="2">
        <v>1</v>
      </c>
      <c r="E743" s="4" t="s">
        <v>3504</v>
      </c>
      <c r="F743" s="1065" t="e">
        <f>IF(E743="","$",VLOOKUP(E743,'結果(小)'!$B$2:$F$1295,5,FALSE))</f>
        <v>#DIV/0!</v>
      </c>
      <c r="G743" s="1" t="s">
        <v>3508</v>
      </c>
      <c r="H743" s="6">
        <v>47</v>
      </c>
      <c r="I743" s="2" t="s">
        <v>19</v>
      </c>
      <c r="J743" s="5" t="s">
        <v>15273</v>
      </c>
      <c r="K743" s="3" t="s">
        <v>3509</v>
      </c>
      <c r="L743" s="1"/>
      <c r="M743" s="1"/>
      <c r="N743" s="4" t="s">
        <v>16127</v>
      </c>
      <c r="O743" s="1" t="s">
        <v>44</v>
      </c>
      <c r="P743" s="1" t="s">
        <v>25</v>
      </c>
      <c r="Q743" s="16">
        <v>1</v>
      </c>
      <c r="R743" s="17">
        <v>1</v>
      </c>
      <c r="S743" s="3" t="s">
        <v>736</v>
      </c>
      <c r="T743" s="1778"/>
      <c r="U743" s="1780"/>
      <c r="V743" s="1752"/>
    </row>
    <row r="744" spans="1:22" ht="12" customHeight="1">
      <c r="A744" s="1040" t="str">
        <f t="shared" si="12"/>
        <v>3701</v>
      </c>
      <c r="B744" s="1061" t="s">
        <v>15873</v>
      </c>
      <c r="C744" s="1064"/>
      <c r="D744" s="2">
        <v>1</v>
      </c>
      <c r="E744" s="4" t="s">
        <v>3521</v>
      </c>
      <c r="F744" s="1065" t="e">
        <f>IF(E744="","$",VLOOKUP(E744,'結果(小)'!$B$2:$F$1295,5,FALSE))</f>
        <v>#DIV/0!</v>
      </c>
      <c r="G744" s="1" t="s">
        <v>3524</v>
      </c>
      <c r="H744" s="6">
        <v>55</v>
      </c>
      <c r="I744" s="2" t="s">
        <v>5</v>
      </c>
      <c r="J744" s="5" t="s">
        <v>15273</v>
      </c>
      <c r="K744" s="3" t="s">
        <v>3525</v>
      </c>
      <c r="L744" s="1"/>
      <c r="M744" s="1"/>
      <c r="N744" s="8" t="s">
        <v>16126</v>
      </c>
      <c r="O744" s="1" t="s">
        <v>681</v>
      </c>
      <c r="P744" s="1" t="s">
        <v>25</v>
      </c>
      <c r="Q744" s="16">
        <v>1</v>
      </c>
      <c r="R744" s="17">
        <v>1</v>
      </c>
      <c r="S744" s="3"/>
      <c r="T744" s="1778"/>
      <c r="U744" s="1780"/>
      <c r="V744" s="1752"/>
    </row>
    <row r="745" spans="1:22" ht="12" customHeight="1">
      <c r="A745" s="1040" t="str">
        <f t="shared" si="12"/>
        <v>3701</v>
      </c>
      <c r="B745" s="1061" t="s">
        <v>15874</v>
      </c>
      <c r="C745" s="1064"/>
      <c r="D745" s="2">
        <v>1</v>
      </c>
      <c r="E745" s="4" t="s">
        <v>3534</v>
      </c>
      <c r="F745" s="1065" t="e">
        <f>IF(E745="","$",VLOOKUP(E745,'結果(小)'!$B$2:$F$1295,5,FALSE))</f>
        <v>#DIV/0!</v>
      </c>
      <c r="G745" s="1" t="s">
        <v>3538</v>
      </c>
      <c r="H745" s="6">
        <v>41</v>
      </c>
      <c r="I745" s="2" t="s">
        <v>5</v>
      </c>
      <c r="J745" s="5" t="s">
        <v>15273</v>
      </c>
      <c r="K745" s="3"/>
      <c r="L745" s="1"/>
      <c r="M745" s="1"/>
      <c r="N745" s="8" t="s">
        <v>16127</v>
      </c>
      <c r="O745" s="1" t="s">
        <v>44</v>
      </c>
      <c r="P745" s="1" t="s">
        <v>6</v>
      </c>
      <c r="Q745" s="16"/>
      <c r="R745" s="17"/>
      <c r="S745" s="3" t="s">
        <v>736</v>
      </c>
      <c r="T745" s="1778"/>
      <c r="U745" s="1780"/>
      <c r="V745" s="1752"/>
    </row>
    <row r="746" spans="1:22" ht="12" customHeight="1">
      <c r="A746" s="1040" t="str">
        <f t="shared" si="12"/>
        <v>3701</v>
      </c>
      <c r="B746" s="1061" t="s">
        <v>15875</v>
      </c>
      <c r="C746" s="1064"/>
      <c r="D746" s="2">
        <v>1</v>
      </c>
      <c r="E746" s="4" t="s">
        <v>3546</v>
      </c>
      <c r="F746" s="1065" t="e">
        <f>IF(E746="","$",VLOOKUP(E746,'結果(小)'!$B$2:$F$1295,5,FALSE))</f>
        <v>#DIV/0!</v>
      </c>
      <c r="G746" s="1" t="s">
        <v>3549</v>
      </c>
      <c r="H746" s="6">
        <v>48</v>
      </c>
      <c r="I746" s="2" t="s">
        <v>5</v>
      </c>
      <c r="J746" s="5" t="s">
        <v>15273</v>
      </c>
      <c r="K746" s="3" t="s">
        <v>3550</v>
      </c>
      <c r="L746" s="1"/>
      <c r="M746" s="1"/>
      <c r="N746" s="8" t="s">
        <v>16127</v>
      </c>
      <c r="O746" s="1" t="s">
        <v>655</v>
      </c>
      <c r="P746" s="1" t="s">
        <v>25</v>
      </c>
      <c r="Q746" s="16">
        <v>1</v>
      </c>
      <c r="R746" s="17">
        <v>1</v>
      </c>
      <c r="S746" s="3" t="s">
        <v>736</v>
      </c>
      <c r="T746" s="1778"/>
      <c r="U746" s="1780"/>
      <c r="V746" s="1752"/>
    </row>
    <row r="747" spans="1:22" ht="12" customHeight="1">
      <c r="A747" s="1040" t="str">
        <f t="shared" si="12"/>
        <v>3701</v>
      </c>
      <c r="B747" s="1061" t="s">
        <v>15876</v>
      </c>
      <c r="C747" s="1064"/>
      <c r="D747" s="2">
        <v>1</v>
      </c>
      <c r="E747" s="4" t="s">
        <v>3563</v>
      </c>
      <c r="F747" s="1065" t="e">
        <f>IF(E747="","$",VLOOKUP(E747,'結果(小)'!$B$2:$F$1295,5,FALSE))</f>
        <v>#DIV/0!</v>
      </c>
      <c r="G747" s="1" t="s">
        <v>3566</v>
      </c>
      <c r="H747" s="6">
        <v>56</v>
      </c>
      <c r="I747" s="2" t="s">
        <v>5</v>
      </c>
      <c r="J747" s="5" t="s">
        <v>15273</v>
      </c>
      <c r="K747" s="3" t="s">
        <v>3567</v>
      </c>
      <c r="L747" s="1"/>
      <c r="M747" s="1"/>
      <c r="N747" s="8" t="s">
        <v>16127</v>
      </c>
      <c r="O747" s="1" t="s">
        <v>737</v>
      </c>
      <c r="P747" s="1" t="s">
        <v>25</v>
      </c>
      <c r="Q747" s="16">
        <v>2</v>
      </c>
      <c r="R747" s="17">
        <v>2</v>
      </c>
      <c r="S747" s="3" t="s">
        <v>736</v>
      </c>
      <c r="T747" s="1778"/>
      <c r="U747" s="1780"/>
      <c r="V747" s="1752"/>
    </row>
    <row r="748" spans="1:22" ht="12" customHeight="1">
      <c r="A748" s="1040" t="str">
        <f t="shared" si="12"/>
        <v>3701</v>
      </c>
      <c r="B748" s="1061" t="s">
        <v>15877</v>
      </c>
      <c r="C748" s="1064"/>
      <c r="D748" s="2">
        <v>1</v>
      </c>
      <c r="E748" s="4" t="s">
        <v>3581</v>
      </c>
      <c r="F748" s="1065" t="e">
        <f>IF(E748="","$",VLOOKUP(E748,'結果(小)'!$B$2:$F$1295,5,FALSE))</f>
        <v>#DIV/0!</v>
      </c>
      <c r="G748" s="1" t="s">
        <v>3585</v>
      </c>
      <c r="H748" s="6">
        <v>48</v>
      </c>
      <c r="I748" s="2" t="s">
        <v>5</v>
      </c>
      <c r="J748" s="5" t="s">
        <v>15273</v>
      </c>
      <c r="K748" s="3" t="s">
        <v>3586</v>
      </c>
      <c r="L748" s="1"/>
      <c r="M748" s="1"/>
      <c r="N748" s="4" t="s">
        <v>16127</v>
      </c>
      <c r="O748" s="1" t="s">
        <v>604</v>
      </c>
      <c r="P748" s="1" t="s">
        <v>25</v>
      </c>
      <c r="Q748" s="16">
        <v>3</v>
      </c>
      <c r="R748" s="17">
        <v>3</v>
      </c>
      <c r="S748" s="3" t="s">
        <v>736</v>
      </c>
      <c r="T748" s="1778"/>
      <c r="U748" s="1780"/>
      <c r="V748" s="1752"/>
    </row>
    <row r="749" spans="1:22" ht="12" customHeight="1">
      <c r="A749" s="1040" t="str">
        <f t="shared" si="12"/>
        <v>3701</v>
      </c>
      <c r="B749" s="1061" t="s">
        <v>15878</v>
      </c>
      <c r="C749" s="1064"/>
      <c r="D749" s="2">
        <v>1</v>
      </c>
      <c r="E749" s="4" t="s">
        <v>3598</v>
      </c>
      <c r="F749" s="1065" t="e">
        <f>IF(E749="","$",VLOOKUP(E749,'結果(小)'!$B$2:$F$1295,5,FALSE))</f>
        <v>#DIV/0!</v>
      </c>
      <c r="G749" s="1" t="s">
        <v>3602</v>
      </c>
      <c r="H749" s="6">
        <v>41</v>
      </c>
      <c r="I749" s="2" t="s">
        <v>5</v>
      </c>
      <c r="J749" s="5" t="s">
        <v>15273</v>
      </c>
      <c r="K749" s="3" t="s">
        <v>3603</v>
      </c>
      <c r="L749" s="1"/>
      <c r="M749" s="1"/>
      <c r="N749" s="8" t="s">
        <v>16126</v>
      </c>
      <c r="O749" s="1" t="s">
        <v>44</v>
      </c>
      <c r="P749" s="1" t="s">
        <v>25</v>
      </c>
      <c r="Q749" s="16">
        <v>1</v>
      </c>
      <c r="R749" s="17">
        <v>1</v>
      </c>
      <c r="S749" s="3" t="s">
        <v>736</v>
      </c>
      <c r="T749" s="1778"/>
      <c r="U749" s="1780"/>
      <c r="V749" s="1752"/>
    </row>
    <row r="750" spans="1:22" ht="12" customHeight="1">
      <c r="A750" s="1040" t="str">
        <f t="shared" si="12"/>
        <v>3701</v>
      </c>
      <c r="B750" s="1061" t="s">
        <v>15879</v>
      </c>
      <c r="C750" s="1064"/>
      <c r="D750" s="2">
        <v>1</v>
      </c>
      <c r="E750" s="4" t="s">
        <v>3610</v>
      </c>
      <c r="F750" s="1065" t="e">
        <f>IF(E750="","$",VLOOKUP(E750,'結果(小)'!$B$2:$F$1295,5,FALSE))</f>
        <v>#DIV/0!</v>
      </c>
      <c r="G750" s="1" t="s">
        <v>3771</v>
      </c>
      <c r="H750" s="6">
        <v>57</v>
      </c>
      <c r="I750" s="2" t="s">
        <v>19</v>
      </c>
      <c r="J750" s="5" t="s">
        <v>15273</v>
      </c>
      <c r="K750" s="3" t="s">
        <v>4196</v>
      </c>
      <c r="L750" s="1"/>
      <c r="M750" s="1"/>
      <c r="N750" s="8" t="s">
        <v>16127</v>
      </c>
      <c r="O750" s="1" t="s">
        <v>44</v>
      </c>
      <c r="P750" s="1" t="s">
        <v>25</v>
      </c>
      <c r="Q750" s="16">
        <v>1</v>
      </c>
      <c r="R750" s="17">
        <v>1</v>
      </c>
      <c r="S750" s="3"/>
      <c r="T750" s="1778"/>
      <c r="U750" s="1780"/>
      <c r="V750" s="1752"/>
    </row>
    <row r="751" spans="1:22" ht="12" customHeight="1">
      <c r="A751" s="1040" t="str">
        <f t="shared" si="12"/>
        <v>3701</v>
      </c>
      <c r="B751" s="1061" t="s">
        <v>15880</v>
      </c>
      <c r="C751" s="1064"/>
      <c r="D751" s="2">
        <v>1</v>
      </c>
      <c r="E751" s="4" t="s">
        <v>3629</v>
      </c>
      <c r="F751" s="1065" t="e">
        <f>IF(E751="","$",VLOOKUP(E751,'結果(小)'!$B$2:$F$1295,5,FALSE))</f>
        <v>#DIV/0!</v>
      </c>
      <c r="G751" s="1" t="s">
        <v>3775</v>
      </c>
      <c r="H751" s="6">
        <v>60</v>
      </c>
      <c r="I751" s="2" t="s">
        <v>5</v>
      </c>
      <c r="J751" s="5" t="s">
        <v>15273</v>
      </c>
      <c r="K751" s="3" t="s">
        <v>5207</v>
      </c>
      <c r="L751" s="1"/>
      <c r="M751" s="1"/>
      <c r="N751" s="8" t="s">
        <v>16127</v>
      </c>
      <c r="O751" s="1" t="s">
        <v>44</v>
      </c>
      <c r="P751" s="1" t="s">
        <v>25</v>
      </c>
      <c r="Q751" s="16">
        <v>1</v>
      </c>
      <c r="R751" s="17">
        <v>1</v>
      </c>
      <c r="S751" s="3" t="s">
        <v>736</v>
      </c>
      <c r="T751" s="1778"/>
      <c r="U751" s="1780"/>
      <c r="V751" s="1752"/>
    </row>
    <row r="752" spans="1:22" ht="12" customHeight="1">
      <c r="A752" s="1040" t="str">
        <f t="shared" si="12"/>
        <v>3701</v>
      </c>
      <c r="B752" s="1061" t="s">
        <v>15881</v>
      </c>
      <c r="C752" s="1064"/>
      <c r="D752" s="2">
        <v>1</v>
      </c>
      <c r="E752" s="4" t="s">
        <v>3640</v>
      </c>
      <c r="F752" s="1065" t="e">
        <f>IF(E752="","$",VLOOKUP(E752,'結果(小)'!$B$2:$F$1295,5,FALSE))</f>
        <v>#DIV/0!</v>
      </c>
      <c r="G752" s="1" t="s">
        <v>3643</v>
      </c>
      <c r="H752" s="6">
        <v>37</v>
      </c>
      <c r="I752" s="2" t="s">
        <v>5</v>
      </c>
      <c r="J752" s="5" t="s">
        <v>15273</v>
      </c>
      <c r="K752" s="3" t="s">
        <v>3644</v>
      </c>
      <c r="L752" s="1"/>
      <c r="M752" s="1"/>
      <c r="N752" s="8" t="s">
        <v>16127</v>
      </c>
      <c r="O752" s="1" t="s">
        <v>44</v>
      </c>
      <c r="P752" s="1" t="s">
        <v>25</v>
      </c>
      <c r="Q752" s="16">
        <v>1</v>
      </c>
      <c r="R752" s="17">
        <v>1</v>
      </c>
      <c r="S752" s="3" t="s">
        <v>736</v>
      </c>
      <c r="T752" s="1778"/>
      <c r="U752" s="1780"/>
      <c r="V752" s="1752"/>
    </row>
    <row r="753" spans="1:22" ht="12" customHeight="1">
      <c r="A753" s="1040" t="str">
        <f t="shared" si="12"/>
        <v>3701</v>
      </c>
      <c r="B753" s="1061" t="s">
        <v>15882</v>
      </c>
      <c r="C753" s="1064"/>
      <c r="D753" s="2">
        <v>1</v>
      </c>
      <c r="E753" s="4" t="s">
        <v>3653</v>
      </c>
      <c r="F753" s="1065" t="e">
        <f>IF(E753="","$",VLOOKUP(E753,'結果(小)'!$B$2:$F$1295,5,FALSE))</f>
        <v>#DIV/0!</v>
      </c>
      <c r="G753" s="1" t="s">
        <v>3656</v>
      </c>
      <c r="H753" s="6">
        <v>53</v>
      </c>
      <c r="I753" s="2" t="s">
        <v>5</v>
      </c>
      <c r="J753" s="5" t="s">
        <v>15273</v>
      </c>
      <c r="K753" s="3" t="s">
        <v>3657</v>
      </c>
      <c r="L753" s="1"/>
      <c r="M753" s="1"/>
      <c r="N753" s="4" t="s">
        <v>16127</v>
      </c>
      <c r="O753" s="1" t="s">
        <v>604</v>
      </c>
      <c r="P753" s="1" t="s">
        <v>25</v>
      </c>
      <c r="Q753" s="16">
        <v>4</v>
      </c>
      <c r="R753" s="17">
        <v>4</v>
      </c>
      <c r="S753" s="3" t="s">
        <v>736</v>
      </c>
      <c r="T753" s="1778"/>
      <c r="U753" s="1780"/>
      <c r="V753" s="1752"/>
    </row>
    <row r="754" spans="1:22" ht="12" customHeight="1">
      <c r="A754" s="1040" t="str">
        <f t="shared" si="12"/>
        <v>3701</v>
      </c>
      <c r="B754" s="1061" t="s">
        <v>15883</v>
      </c>
      <c r="C754" s="1064"/>
      <c r="D754" s="2">
        <v>1</v>
      </c>
      <c r="E754" s="4" t="s">
        <v>3666</v>
      </c>
      <c r="F754" s="1065" t="e">
        <f>IF(E754="","$",VLOOKUP(E754,'結果(小)'!$B$2:$F$1295,5,FALSE))</f>
        <v>#DIV/0!</v>
      </c>
      <c r="G754" s="1" t="s">
        <v>3669</v>
      </c>
      <c r="H754" s="6">
        <v>58</v>
      </c>
      <c r="I754" s="2" t="s">
        <v>5</v>
      </c>
      <c r="J754" s="5" t="s">
        <v>15273</v>
      </c>
      <c r="K754" s="3" t="s">
        <v>3670</v>
      </c>
      <c r="L754" s="1"/>
      <c r="M754" s="1"/>
      <c r="N754" s="8" t="s">
        <v>16126</v>
      </c>
      <c r="O754" s="1" t="s">
        <v>604</v>
      </c>
      <c r="P754" s="1" t="s">
        <v>25</v>
      </c>
      <c r="Q754" s="16">
        <v>3</v>
      </c>
      <c r="R754" s="17">
        <v>3</v>
      </c>
      <c r="S754" s="3" t="s">
        <v>736</v>
      </c>
      <c r="T754" s="1778"/>
      <c r="U754" s="1780"/>
      <c r="V754" s="1752"/>
    </row>
    <row r="755" spans="1:22" ht="12" customHeight="1">
      <c r="A755" s="1040" t="str">
        <f t="shared" si="12"/>
        <v>3701</v>
      </c>
      <c r="B755" s="1061" t="s">
        <v>15884</v>
      </c>
      <c r="C755" s="1064"/>
      <c r="D755" s="2">
        <v>1</v>
      </c>
      <c r="E755" s="4" t="s">
        <v>3677</v>
      </c>
      <c r="F755" s="1065" t="e">
        <f>IF(E755="","$",VLOOKUP(E755,'結果(小)'!$B$2:$F$1295,5,FALSE))</f>
        <v>#DIV/0!</v>
      </c>
      <c r="G755" s="1" t="s">
        <v>3680</v>
      </c>
      <c r="H755" s="6">
        <v>52</v>
      </c>
      <c r="I755" s="2" t="s">
        <v>5</v>
      </c>
      <c r="J755" s="5" t="s">
        <v>15273</v>
      </c>
      <c r="K755" s="3" t="s">
        <v>3681</v>
      </c>
      <c r="L755" s="1"/>
      <c r="M755" s="1"/>
      <c r="N755" s="8" t="s">
        <v>16127</v>
      </c>
      <c r="O755" s="1" t="s">
        <v>44</v>
      </c>
      <c r="P755" s="1" t="s">
        <v>25</v>
      </c>
      <c r="Q755" s="16">
        <v>3</v>
      </c>
      <c r="R755" s="17">
        <v>3</v>
      </c>
      <c r="S755" s="3" t="s">
        <v>736</v>
      </c>
      <c r="T755" s="1778"/>
      <c r="U755" s="1780"/>
      <c r="V755" s="1752"/>
    </row>
    <row r="756" spans="1:22" ht="12" customHeight="1">
      <c r="A756" s="1040" t="str">
        <f t="shared" si="12"/>
        <v>3701</v>
      </c>
      <c r="B756" s="1061" t="s">
        <v>15885</v>
      </c>
      <c r="C756" s="1064"/>
      <c r="D756" s="2">
        <v>1</v>
      </c>
      <c r="E756" s="4" t="s">
        <v>3689</v>
      </c>
      <c r="F756" s="1065" t="e">
        <f>IF(E756="","$",VLOOKUP(E756,'結果(小)'!$B$2:$F$1295,5,FALSE))</f>
        <v>#DIV/0!</v>
      </c>
      <c r="G756" s="1" t="s">
        <v>3692</v>
      </c>
      <c r="H756" s="6">
        <v>37</v>
      </c>
      <c r="I756" s="2" t="s">
        <v>5</v>
      </c>
      <c r="J756" s="5" t="s">
        <v>15273</v>
      </c>
      <c r="K756" s="3"/>
      <c r="L756" s="1"/>
      <c r="M756" s="1"/>
      <c r="N756" s="8" t="s">
        <v>16127</v>
      </c>
      <c r="O756" s="1" t="s">
        <v>44</v>
      </c>
      <c r="P756" s="1" t="s">
        <v>6</v>
      </c>
      <c r="Q756" s="16"/>
      <c r="R756" s="17"/>
      <c r="S756" s="3" t="s">
        <v>736</v>
      </c>
      <c r="T756" s="1778"/>
      <c r="U756" s="1780"/>
      <c r="V756" s="1752"/>
    </row>
    <row r="757" spans="1:22" ht="12" customHeight="1">
      <c r="A757" s="1040" t="str">
        <f t="shared" si="12"/>
        <v>3701</v>
      </c>
      <c r="B757" s="1061" t="s">
        <v>15886</v>
      </c>
      <c r="C757" s="1064"/>
      <c r="D757" s="2">
        <v>1</v>
      </c>
      <c r="E757" s="4" t="s">
        <v>3707</v>
      </c>
      <c r="F757" s="1065" t="e">
        <f>IF(E757="","$",VLOOKUP(E757,'結果(小)'!$B$2:$F$1295,5,FALSE))</f>
        <v>#DIV/0!</v>
      </c>
      <c r="G757" s="1" t="s">
        <v>3710</v>
      </c>
      <c r="H757" s="6">
        <v>49</v>
      </c>
      <c r="I757" s="2" t="s">
        <v>5</v>
      </c>
      <c r="J757" s="5" t="s">
        <v>15273</v>
      </c>
      <c r="K757" s="3" t="s">
        <v>3711</v>
      </c>
      <c r="L757" s="1"/>
      <c r="M757" s="1"/>
      <c r="N757" s="8" t="s">
        <v>16127</v>
      </c>
      <c r="O757" s="1" t="s">
        <v>44</v>
      </c>
      <c r="P757" s="1" t="s">
        <v>25</v>
      </c>
      <c r="Q757" s="16">
        <v>1</v>
      </c>
      <c r="R757" s="17">
        <v>1</v>
      </c>
      <c r="S757" s="3" t="s">
        <v>736</v>
      </c>
      <c r="T757" s="1778"/>
      <c r="U757" s="1780"/>
      <c r="V757" s="1752"/>
    </row>
    <row r="758" spans="1:22" ht="12" customHeight="1">
      <c r="A758" s="1040" t="str">
        <f t="shared" si="12"/>
        <v>3701</v>
      </c>
      <c r="B758" s="1061" t="s">
        <v>15887</v>
      </c>
      <c r="C758" s="1064"/>
      <c r="D758" s="2">
        <v>1</v>
      </c>
      <c r="E758" s="4" t="s">
        <v>3718</v>
      </c>
      <c r="F758" s="1065" t="e">
        <f>IF(E758="","$",VLOOKUP(E758,'結果(小)'!$B$2:$F$1295,5,FALSE))</f>
        <v>#DIV/0!</v>
      </c>
      <c r="G758" s="1" t="s">
        <v>3721</v>
      </c>
      <c r="H758" s="6">
        <v>56</v>
      </c>
      <c r="I758" s="2" t="s">
        <v>5</v>
      </c>
      <c r="J758" s="5" t="s">
        <v>15273</v>
      </c>
      <c r="K758" s="3" t="s">
        <v>3722</v>
      </c>
      <c r="L758" s="1"/>
      <c r="M758" s="1"/>
      <c r="N758" s="4" t="s">
        <v>16127</v>
      </c>
      <c r="O758" s="1" t="s">
        <v>44</v>
      </c>
      <c r="P758" s="1" t="s">
        <v>25</v>
      </c>
      <c r="Q758" s="16">
        <v>1</v>
      </c>
      <c r="R758" s="17">
        <v>1</v>
      </c>
      <c r="S758" s="3"/>
      <c r="T758" s="1778"/>
      <c r="U758" s="1780"/>
      <c r="V758" s="1752"/>
    </row>
    <row r="759" spans="1:22" ht="12" customHeight="1">
      <c r="A759" s="1040" t="str">
        <f t="shared" si="12"/>
        <v>3701</v>
      </c>
      <c r="B759" s="1061" t="s">
        <v>15888</v>
      </c>
      <c r="C759" s="1064"/>
      <c r="D759" s="2">
        <v>1</v>
      </c>
      <c r="E759" s="4" t="s">
        <v>3729</v>
      </c>
      <c r="F759" s="1065" t="e">
        <f>IF(E759="","$",VLOOKUP(E759,'結果(小)'!$B$2:$F$1295,5,FALSE))</f>
        <v>#DIV/0!</v>
      </c>
      <c r="G759" s="1" t="s">
        <v>3732</v>
      </c>
      <c r="H759" s="6">
        <v>56</v>
      </c>
      <c r="I759" s="2" t="s">
        <v>5</v>
      </c>
      <c r="J759" s="5" t="s">
        <v>15273</v>
      </c>
      <c r="K759" s="3" t="s">
        <v>3733</v>
      </c>
      <c r="L759" s="1"/>
      <c r="M759" s="1"/>
      <c r="N759" s="8" t="s">
        <v>16126</v>
      </c>
      <c r="O759" s="1" t="s">
        <v>44</v>
      </c>
      <c r="P759" s="1" t="s">
        <v>25</v>
      </c>
      <c r="Q759" s="16">
        <v>1</v>
      </c>
      <c r="R759" s="17">
        <v>1</v>
      </c>
      <c r="S759" s="3" t="s">
        <v>736</v>
      </c>
      <c r="T759" s="1778"/>
      <c r="U759" s="1780"/>
      <c r="V759" s="1752"/>
    </row>
    <row r="760" spans="1:22" ht="12" customHeight="1" thickBot="1">
      <c r="A760" s="916" t="str">
        <f t="shared" si="12"/>
        <v>3701</v>
      </c>
      <c r="B760" s="1096" t="s">
        <v>15889</v>
      </c>
      <c r="C760" s="1075"/>
      <c r="D760" s="702">
        <v>1</v>
      </c>
      <c r="E760" s="700" t="s">
        <v>3743</v>
      </c>
      <c r="F760" s="1071" t="e">
        <f>IF(E760="","$",VLOOKUP(E760,'結果(小)'!$B$2:$F$1295,5,FALSE))</f>
        <v>#DIV/0!</v>
      </c>
      <c r="G760" s="906" t="s">
        <v>5693</v>
      </c>
      <c r="H760" s="701">
        <v>52</v>
      </c>
      <c r="I760" s="702" t="s">
        <v>5</v>
      </c>
      <c r="J760" s="356" t="s">
        <v>15273</v>
      </c>
      <c r="K760" s="703"/>
      <c r="L760" s="906"/>
      <c r="M760" s="906"/>
      <c r="N760" s="704" t="s">
        <v>16127</v>
      </c>
      <c r="O760" s="906" t="s">
        <v>44</v>
      </c>
      <c r="P760" s="906" t="s">
        <v>6</v>
      </c>
      <c r="Q760" s="705"/>
      <c r="R760" s="903"/>
      <c r="S760" s="703"/>
      <c r="T760" s="1779"/>
      <c r="U760" s="1776"/>
      <c r="V760" s="1753"/>
    </row>
    <row r="761" spans="1:22" ht="12" customHeight="1">
      <c r="A761" s="1038" t="str">
        <f t="shared" si="12"/>
        <v>3702</v>
      </c>
      <c r="B761" s="1072" t="s">
        <v>5256</v>
      </c>
      <c r="C761" s="1073"/>
      <c r="D761" s="696">
        <v>1</v>
      </c>
      <c r="E761" s="688" t="s">
        <v>3026</v>
      </c>
      <c r="F761" s="1068" t="e">
        <f>IF(E761="","$",VLOOKUP(E761,'結果(小)'!$B$2:$F$1295,5,FALSE))</f>
        <v>#DIV/0!</v>
      </c>
      <c r="G761" s="687" t="s">
        <v>3034</v>
      </c>
      <c r="H761" s="690">
        <v>40</v>
      </c>
      <c r="I761" s="696" t="s">
        <v>5</v>
      </c>
      <c r="J761" s="687" t="s">
        <v>15273</v>
      </c>
      <c r="K761" s="747"/>
      <c r="L761" s="687"/>
      <c r="M761" s="687"/>
      <c r="N761" s="688" t="s">
        <v>16120</v>
      </c>
      <c r="O761" s="687" t="s">
        <v>30</v>
      </c>
      <c r="P761" s="687" t="s">
        <v>6</v>
      </c>
      <c r="Q761" s="748"/>
      <c r="R761" s="749"/>
      <c r="S761" s="747" t="s">
        <v>5457</v>
      </c>
      <c r="T761" s="1769"/>
      <c r="U761" s="1775"/>
      <c r="V761" s="1751" t="e">
        <f>U761/SUM(U718:U882)</f>
        <v>#DIV/0!</v>
      </c>
    </row>
    <row r="762" spans="1:22" ht="12" customHeight="1">
      <c r="A762" s="1040" t="str">
        <f t="shared" si="12"/>
        <v>3702</v>
      </c>
      <c r="B762" s="1053" t="s">
        <v>5938</v>
      </c>
      <c r="C762" s="1064"/>
      <c r="D762" s="2">
        <v>1</v>
      </c>
      <c r="E762" s="4" t="s">
        <v>3041</v>
      </c>
      <c r="F762" s="1065" t="e">
        <f>IF(E762="","$",VLOOKUP(E762,'結果(小)'!$B$2:$F$1295,5,FALSE))</f>
        <v>#DIV/0!</v>
      </c>
      <c r="G762" s="1" t="s">
        <v>3050</v>
      </c>
      <c r="H762" s="6">
        <v>47</v>
      </c>
      <c r="I762" s="2" t="s">
        <v>5</v>
      </c>
      <c r="J762" s="1" t="s">
        <v>15273</v>
      </c>
      <c r="K762" s="3"/>
      <c r="L762" s="1"/>
      <c r="M762" s="1"/>
      <c r="N762" s="4" t="s">
        <v>16120</v>
      </c>
      <c r="O762" s="1" t="s">
        <v>934</v>
      </c>
      <c r="P762" s="1" t="s">
        <v>14</v>
      </c>
      <c r="Q762" s="16">
        <v>1</v>
      </c>
      <c r="R762" s="17">
        <v>1</v>
      </c>
      <c r="S762" s="3" t="s">
        <v>5457</v>
      </c>
      <c r="T762" s="1770"/>
      <c r="U762" s="1780"/>
      <c r="V762" s="1752"/>
    </row>
    <row r="763" spans="1:22" ht="12" customHeight="1">
      <c r="A763" s="1040" t="str">
        <f t="shared" si="12"/>
        <v>3702</v>
      </c>
      <c r="B763" s="1053" t="s">
        <v>6099</v>
      </c>
      <c r="C763" s="1064"/>
      <c r="D763" s="2">
        <v>1</v>
      </c>
      <c r="E763" s="4" t="s">
        <v>3060</v>
      </c>
      <c r="F763" s="1065" t="e">
        <f>IF(E763="","$",VLOOKUP(E763,'結果(小)'!$B$2:$F$1295,5,FALSE))</f>
        <v>#DIV/0!</v>
      </c>
      <c r="G763" s="1" t="s">
        <v>3067</v>
      </c>
      <c r="H763" s="6">
        <v>40</v>
      </c>
      <c r="I763" s="2" t="s">
        <v>5</v>
      </c>
      <c r="J763" s="1" t="s">
        <v>15273</v>
      </c>
      <c r="K763" s="3"/>
      <c r="L763" s="1"/>
      <c r="M763" s="1"/>
      <c r="N763" s="8" t="s">
        <v>16120</v>
      </c>
      <c r="O763" s="1" t="s">
        <v>30</v>
      </c>
      <c r="P763" s="1" t="s">
        <v>6</v>
      </c>
      <c r="Q763" s="16"/>
      <c r="R763" s="17"/>
      <c r="S763" s="3" t="s">
        <v>5457</v>
      </c>
      <c r="T763" s="1770"/>
      <c r="U763" s="1780"/>
      <c r="V763" s="1752"/>
    </row>
    <row r="764" spans="1:22" ht="12" customHeight="1">
      <c r="A764" s="1040" t="str">
        <f t="shared" si="12"/>
        <v>3702</v>
      </c>
      <c r="B764" s="1053" t="s">
        <v>15461</v>
      </c>
      <c r="C764" s="1064"/>
      <c r="D764" s="2">
        <v>1</v>
      </c>
      <c r="E764" s="4" t="s">
        <v>3074</v>
      </c>
      <c r="F764" s="1065" t="e">
        <f>IF(E764="","$",VLOOKUP(E764,'結果(小)'!$B$2:$F$1295,5,FALSE))</f>
        <v>#DIV/0!</v>
      </c>
      <c r="G764" s="1" t="s">
        <v>3083</v>
      </c>
      <c r="H764" s="6">
        <v>33</v>
      </c>
      <c r="I764" s="2" t="s">
        <v>5</v>
      </c>
      <c r="J764" s="1" t="s">
        <v>15273</v>
      </c>
      <c r="K764" s="3"/>
      <c r="L764" s="1"/>
      <c r="M764" s="1"/>
      <c r="N764" s="23" t="s">
        <v>16120</v>
      </c>
      <c r="O764" s="1" t="s">
        <v>30</v>
      </c>
      <c r="P764" s="1" t="s">
        <v>6</v>
      </c>
      <c r="Q764" s="16"/>
      <c r="R764" s="17"/>
      <c r="S764" s="3" t="s">
        <v>5457</v>
      </c>
      <c r="T764" s="1770"/>
      <c r="U764" s="1780"/>
      <c r="V764" s="1752"/>
    </row>
    <row r="765" spans="1:22" ht="12" customHeight="1">
      <c r="A765" s="1040" t="str">
        <f t="shared" si="12"/>
        <v>3702</v>
      </c>
      <c r="B765" s="1053" t="s">
        <v>15462</v>
      </c>
      <c r="C765" s="1064"/>
      <c r="D765" s="2">
        <v>1</v>
      </c>
      <c r="E765" s="4" t="s">
        <v>3118</v>
      </c>
      <c r="F765" s="1065" t="e">
        <f>IF(E765="","$",VLOOKUP(E765,'結果(小)'!$B$2:$F$1295,5,FALSE))</f>
        <v>#DIV/0!</v>
      </c>
      <c r="G765" s="1" t="s">
        <v>3124</v>
      </c>
      <c r="H765" s="6">
        <v>50</v>
      </c>
      <c r="I765" s="2" t="s">
        <v>5</v>
      </c>
      <c r="J765" s="1" t="s">
        <v>15273</v>
      </c>
      <c r="K765" s="3"/>
      <c r="L765" s="1"/>
      <c r="M765" s="1"/>
      <c r="N765" s="8" t="s">
        <v>16120</v>
      </c>
      <c r="O765" s="1" t="s">
        <v>30</v>
      </c>
      <c r="P765" s="1" t="s">
        <v>6</v>
      </c>
      <c r="Q765" s="16"/>
      <c r="R765" s="17"/>
      <c r="S765" s="3"/>
      <c r="T765" s="1770"/>
      <c r="U765" s="1780"/>
      <c r="V765" s="1752"/>
    </row>
    <row r="766" spans="1:22" ht="12" customHeight="1">
      <c r="A766" s="1040" t="str">
        <f t="shared" si="12"/>
        <v>3702</v>
      </c>
      <c r="B766" s="1053" t="s">
        <v>15463</v>
      </c>
      <c r="C766" s="1064"/>
      <c r="D766" s="2">
        <v>1</v>
      </c>
      <c r="E766" s="4" t="s">
        <v>3129</v>
      </c>
      <c r="F766" s="1065" t="e">
        <f>IF(E766="","$",VLOOKUP(E766,'結果(小)'!$B$2:$F$1295,5,FALSE))</f>
        <v>#DIV/0!</v>
      </c>
      <c r="G766" s="1" t="s">
        <v>3136</v>
      </c>
      <c r="H766" s="6">
        <v>31</v>
      </c>
      <c r="I766" s="2" t="s">
        <v>5</v>
      </c>
      <c r="J766" s="1" t="s">
        <v>15273</v>
      </c>
      <c r="K766" s="3"/>
      <c r="L766" s="1"/>
      <c r="M766" s="1"/>
      <c r="N766" s="4" t="s">
        <v>16120</v>
      </c>
      <c r="O766" s="1" t="s">
        <v>30</v>
      </c>
      <c r="P766" s="1" t="s">
        <v>6</v>
      </c>
      <c r="Q766" s="16"/>
      <c r="R766" s="17"/>
      <c r="S766" s="3"/>
      <c r="T766" s="1770"/>
      <c r="U766" s="1780"/>
      <c r="V766" s="1752"/>
    </row>
    <row r="767" spans="1:22" ht="12" customHeight="1">
      <c r="A767" s="1040" t="str">
        <f t="shared" si="12"/>
        <v>3702</v>
      </c>
      <c r="B767" s="1053" t="s">
        <v>15464</v>
      </c>
      <c r="C767" s="1064"/>
      <c r="D767" s="2">
        <v>1</v>
      </c>
      <c r="E767" s="4" t="s">
        <v>3142</v>
      </c>
      <c r="F767" s="1065" t="e">
        <f>IF(E767="","$",VLOOKUP(E767,'結果(小)'!$B$2:$F$1295,5,FALSE))</f>
        <v>#DIV/0!</v>
      </c>
      <c r="G767" s="1" t="s">
        <v>3152</v>
      </c>
      <c r="H767" s="6">
        <v>42</v>
      </c>
      <c r="I767" s="2" t="s">
        <v>5</v>
      </c>
      <c r="J767" s="1" t="s">
        <v>15273</v>
      </c>
      <c r="K767" s="3"/>
      <c r="L767" s="1"/>
      <c r="M767" s="1"/>
      <c r="N767" s="4" t="s">
        <v>16120</v>
      </c>
      <c r="O767" s="1" t="s">
        <v>30</v>
      </c>
      <c r="P767" s="1" t="s">
        <v>6</v>
      </c>
      <c r="Q767" s="16"/>
      <c r="R767" s="17"/>
      <c r="S767" s="3" t="s">
        <v>5457</v>
      </c>
      <c r="T767" s="1770"/>
      <c r="U767" s="1780"/>
      <c r="V767" s="1752"/>
    </row>
    <row r="768" spans="1:22" ht="12" customHeight="1">
      <c r="A768" s="1040" t="str">
        <f t="shared" si="12"/>
        <v>3702</v>
      </c>
      <c r="B768" s="1053" t="s">
        <v>15465</v>
      </c>
      <c r="C768" s="1064"/>
      <c r="D768" s="2">
        <v>1</v>
      </c>
      <c r="E768" s="4" t="s">
        <v>3173</v>
      </c>
      <c r="F768" s="1065" t="e">
        <f>IF(E768="","$",VLOOKUP(E768,'結果(小)'!$B$2:$F$1295,5,FALSE))</f>
        <v>#DIV/0!</v>
      </c>
      <c r="G768" s="1" t="s">
        <v>3177</v>
      </c>
      <c r="H768" s="6">
        <v>67</v>
      </c>
      <c r="I768" s="2" t="s">
        <v>5</v>
      </c>
      <c r="J768" s="1" t="s">
        <v>15273</v>
      </c>
      <c r="K768" s="3" t="s">
        <v>3178</v>
      </c>
      <c r="L768" s="1"/>
      <c r="M768" s="1"/>
      <c r="N768" s="8" t="s">
        <v>16120</v>
      </c>
      <c r="O768" s="1" t="s">
        <v>30</v>
      </c>
      <c r="P768" s="1" t="s">
        <v>25</v>
      </c>
      <c r="Q768" s="16">
        <v>10</v>
      </c>
      <c r="R768" s="17">
        <v>10</v>
      </c>
      <c r="S768" s="3" t="s">
        <v>5457</v>
      </c>
      <c r="T768" s="1770"/>
      <c r="U768" s="1780"/>
      <c r="V768" s="1752"/>
    </row>
    <row r="769" spans="1:22" ht="12" customHeight="1">
      <c r="A769" s="1040" t="str">
        <f t="shared" si="12"/>
        <v>3702</v>
      </c>
      <c r="B769" s="1053" t="s">
        <v>15466</v>
      </c>
      <c r="C769" s="1064"/>
      <c r="D769" s="2">
        <v>1</v>
      </c>
      <c r="E769" s="4" t="s">
        <v>3187</v>
      </c>
      <c r="F769" s="1065" t="e">
        <f>IF(E769="","$",VLOOKUP(E769,'結果(小)'!$B$2:$F$1295,5,FALSE))</f>
        <v>#DIV/0!</v>
      </c>
      <c r="G769" s="1" t="s">
        <v>3192</v>
      </c>
      <c r="H769" s="6">
        <v>47</v>
      </c>
      <c r="I769" s="2" t="s">
        <v>5</v>
      </c>
      <c r="J769" s="1" t="s">
        <v>15273</v>
      </c>
      <c r="K769" s="3"/>
      <c r="L769" s="1"/>
      <c r="M769" s="1"/>
      <c r="N769" s="23" t="s">
        <v>16120</v>
      </c>
      <c r="O769" s="1" t="s">
        <v>30</v>
      </c>
      <c r="P769" s="1" t="s">
        <v>6</v>
      </c>
      <c r="Q769" s="16"/>
      <c r="R769" s="17"/>
      <c r="S769" s="3"/>
      <c r="T769" s="1770"/>
      <c r="U769" s="1780"/>
      <c r="V769" s="1752"/>
    </row>
    <row r="770" spans="1:22" ht="12" customHeight="1">
      <c r="A770" s="1040" t="str">
        <f t="shared" si="12"/>
        <v>3702</v>
      </c>
      <c r="B770" s="1053" t="s">
        <v>15467</v>
      </c>
      <c r="C770" s="1064"/>
      <c r="D770" s="2">
        <v>1</v>
      </c>
      <c r="E770" s="4" t="s">
        <v>3200</v>
      </c>
      <c r="F770" s="1065" t="e">
        <f>IF(E770="","$",VLOOKUP(E770,'結果(小)'!$B$2:$F$1295,5,FALSE))</f>
        <v>#DIV/0!</v>
      </c>
      <c r="G770" s="1" t="s">
        <v>3208</v>
      </c>
      <c r="H770" s="6">
        <v>45</v>
      </c>
      <c r="I770" s="2" t="s">
        <v>5</v>
      </c>
      <c r="J770" s="1" t="s">
        <v>15273</v>
      </c>
      <c r="K770" s="3"/>
      <c r="L770" s="1"/>
      <c r="M770" s="1"/>
      <c r="N770" s="8" t="s">
        <v>16120</v>
      </c>
      <c r="O770" s="1" t="s">
        <v>30</v>
      </c>
      <c r="P770" s="1" t="s">
        <v>6</v>
      </c>
      <c r="Q770" s="16"/>
      <c r="R770" s="17"/>
      <c r="S770" s="3"/>
      <c r="T770" s="1770"/>
      <c r="U770" s="1780"/>
      <c r="V770" s="1752"/>
    </row>
    <row r="771" spans="1:22" ht="12" customHeight="1">
      <c r="A771" s="1040" t="str">
        <f t="shared" ref="A771:A834" si="13">MIDB(B771,1,4)</f>
        <v>3702</v>
      </c>
      <c r="B771" s="1053" t="s">
        <v>15468</v>
      </c>
      <c r="C771" s="1064"/>
      <c r="D771" s="2">
        <v>1</v>
      </c>
      <c r="E771" s="4" t="s">
        <v>3226</v>
      </c>
      <c r="F771" s="1065" t="e">
        <f>IF(E771="","$",VLOOKUP(E771,'結果(小)'!$B$2:$F$1295,5,FALSE))</f>
        <v>#DIV/0!</v>
      </c>
      <c r="G771" s="1" t="s">
        <v>3230</v>
      </c>
      <c r="H771" s="6">
        <v>61</v>
      </c>
      <c r="I771" s="2" t="s">
        <v>5</v>
      </c>
      <c r="J771" s="1" t="s">
        <v>15273</v>
      </c>
      <c r="K771" s="3"/>
      <c r="L771" s="1"/>
      <c r="M771" s="1"/>
      <c r="N771" s="4" t="s">
        <v>16120</v>
      </c>
      <c r="O771" s="1" t="s">
        <v>476</v>
      </c>
      <c r="P771" s="1" t="s">
        <v>14</v>
      </c>
      <c r="Q771" s="16">
        <v>2</v>
      </c>
      <c r="R771" s="17">
        <v>2</v>
      </c>
      <c r="S771" s="3" t="s">
        <v>5457</v>
      </c>
      <c r="T771" s="1770"/>
      <c r="U771" s="1780"/>
      <c r="V771" s="1752"/>
    </row>
    <row r="772" spans="1:22" ht="12" customHeight="1">
      <c r="A772" s="1040" t="str">
        <f t="shared" si="13"/>
        <v>3702</v>
      </c>
      <c r="B772" s="1053" t="s">
        <v>15469</v>
      </c>
      <c r="C772" s="1064"/>
      <c r="D772" s="2">
        <v>1</v>
      </c>
      <c r="E772" s="4" t="s">
        <v>3259</v>
      </c>
      <c r="F772" s="1065" t="e">
        <f>IF(E772="","$",VLOOKUP(E772,'結果(小)'!$B$2:$F$1295,5,FALSE))</f>
        <v>#DIV/0!</v>
      </c>
      <c r="G772" s="1" t="s">
        <v>3268</v>
      </c>
      <c r="H772" s="6">
        <v>42</v>
      </c>
      <c r="I772" s="2" t="s">
        <v>5</v>
      </c>
      <c r="J772" s="1" t="s">
        <v>15273</v>
      </c>
      <c r="K772" s="3"/>
      <c r="L772" s="1"/>
      <c r="M772" s="1"/>
      <c r="N772" s="4" t="s">
        <v>16120</v>
      </c>
      <c r="O772" s="1" t="s">
        <v>48</v>
      </c>
      <c r="P772" s="1" t="s">
        <v>14</v>
      </c>
      <c r="Q772" s="16">
        <v>2</v>
      </c>
      <c r="R772" s="17">
        <v>2</v>
      </c>
      <c r="S772" s="3" t="s">
        <v>5457</v>
      </c>
      <c r="T772" s="1770"/>
      <c r="U772" s="1780"/>
      <c r="V772" s="1752"/>
    </row>
    <row r="773" spans="1:22" ht="12" customHeight="1">
      <c r="A773" s="1040" t="str">
        <f t="shared" si="13"/>
        <v>3702</v>
      </c>
      <c r="B773" s="1053" t="s">
        <v>15470</v>
      </c>
      <c r="C773" s="1064"/>
      <c r="D773" s="2">
        <v>1</v>
      </c>
      <c r="E773" s="4" t="s">
        <v>3300</v>
      </c>
      <c r="F773" s="1065" t="e">
        <f>IF(E773="","$",VLOOKUP(E773,'結果(小)'!$B$2:$F$1295,5,FALSE))</f>
        <v>#DIV/0!</v>
      </c>
      <c r="G773" s="1" t="s">
        <v>3309</v>
      </c>
      <c r="H773" s="6">
        <v>50</v>
      </c>
      <c r="I773" s="2" t="s">
        <v>19</v>
      </c>
      <c r="J773" s="1" t="s">
        <v>15273</v>
      </c>
      <c r="K773" s="3"/>
      <c r="L773" s="1"/>
      <c r="M773" s="1"/>
      <c r="N773" s="8" t="s">
        <v>16120</v>
      </c>
      <c r="O773" s="1" t="s">
        <v>13</v>
      </c>
      <c r="P773" s="1" t="s">
        <v>14</v>
      </c>
      <c r="Q773" s="16">
        <v>1</v>
      </c>
      <c r="R773" s="17">
        <v>1</v>
      </c>
      <c r="S773" s="3" t="s">
        <v>5457</v>
      </c>
      <c r="T773" s="1770"/>
      <c r="U773" s="1780"/>
      <c r="V773" s="1752"/>
    </row>
    <row r="774" spans="1:22" ht="12" customHeight="1">
      <c r="A774" s="1040" t="str">
        <f t="shared" si="13"/>
        <v>3702</v>
      </c>
      <c r="B774" s="1053" t="s">
        <v>15471</v>
      </c>
      <c r="C774" s="1064"/>
      <c r="D774" s="2">
        <v>1</v>
      </c>
      <c r="E774" s="4" t="s">
        <v>3317</v>
      </c>
      <c r="F774" s="1065" t="e">
        <f>IF(E774="","$",VLOOKUP(E774,'結果(小)'!$B$2:$F$1295,5,FALSE))</f>
        <v>#DIV/0!</v>
      </c>
      <c r="G774" s="1" t="s">
        <v>3321</v>
      </c>
      <c r="H774" s="6">
        <v>48</v>
      </c>
      <c r="I774" s="2" t="s">
        <v>5</v>
      </c>
      <c r="J774" s="1" t="s">
        <v>15273</v>
      </c>
      <c r="K774" s="3"/>
      <c r="L774" s="1"/>
      <c r="M774" s="1"/>
      <c r="N774" s="23" t="s">
        <v>16120</v>
      </c>
      <c r="O774" s="1" t="s">
        <v>13</v>
      </c>
      <c r="P774" s="1" t="s">
        <v>14</v>
      </c>
      <c r="Q774" s="16">
        <v>1</v>
      </c>
      <c r="R774" s="17">
        <v>1</v>
      </c>
      <c r="S774" s="3" t="s">
        <v>5457</v>
      </c>
      <c r="T774" s="1770"/>
      <c r="U774" s="1780"/>
      <c r="V774" s="1752"/>
    </row>
    <row r="775" spans="1:22" ht="12" customHeight="1">
      <c r="A775" s="1040" t="str">
        <f t="shared" si="13"/>
        <v>3702</v>
      </c>
      <c r="B775" s="1053" t="s">
        <v>15472</v>
      </c>
      <c r="C775" s="1064"/>
      <c r="D775" s="2">
        <v>1</v>
      </c>
      <c r="E775" s="4" t="s">
        <v>3328</v>
      </c>
      <c r="F775" s="1065" t="e">
        <f>IF(E775="","$",VLOOKUP(E775,'結果(小)'!$B$2:$F$1295,5,FALSE))</f>
        <v>#DIV/0!</v>
      </c>
      <c r="G775" s="1" t="s">
        <v>3336</v>
      </c>
      <c r="H775" s="6">
        <v>64</v>
      </c>
      <c r="I775" s="2" t="s">
        <v>5</v>
      </c>
      <c r="J775" s="1" t="s">
        <v>15273</v>
      </c>
      <c r="K775" s="3"/>
      <c r="L775" s="1"/>
      <c r="M775" s="1"/>
      <c r="N775" s="8" t="s">
        <v>16120</v>
      </c>
      <c r="O775" s="1" t="s">
        <v>13</v>
      </c>
      <c r="P775" s="1" t="s">
        <v>14</v>
      </c>
      <c r="Q775" s="16">
        <v>1</v>
      </c>
      <c r="R775" s="17">
        <v>1</v>
      </c>
      <c r="S775" s="3" t="s">
        <v>5457</v>
      </c>
      <c r="T775" s="1770"/>
      <c r="U775" s="1780"/>
      <c r="V775" s="1752"/>
    </row>
    <row r="776" spans="1:22" ht="12" customHeight="1">
      <c r="A776" s="1040" t="str">
        <f t="shared" si="13"/>
        <v>3702</v>
      </c>
      <c r="B776" s="1053" t="s">
        <v>15473</v>
      </c>
      <c r="C776" s="1064"/>
      <c r="D776" s="2">
        <v>1</v>
      </c>
      <c r="E776" s="4" t="s">
        <v>3346</v>
      </c>
      <c r="F776" s="1065" t="e">
        <f>IF(E776="","$",VLOOKUP(E776,'結果(小)'!$B$2:$F$1295,5,FALSE))</f>
        <v>#DIV/0!</v>
      </c>
      <c r="G776" s="1" t="s">
        <v>4635</v>
      </c>
      <c r="H776" s="6">
        <v>43</v>
      </c>
      <c r="I776" s="2" t="s">
        <v>5</v>
      </c>
      <c r="J776" s="1" t="s">
        <v>15273</v>
      </c>
      <c r="K776" s="3"/>
      <c r="L776" s="1"/>
      <c r="M776" s="1"/>
      <c r="N776" s="4" t="s">
        <v>16120</v>
      </c>
      <c r="O776" s="1" t="s">
        <v>30</v>
      </c>
      <c r="P776" s="1" t="s">
        <v>6</v>
      </c>
      <c r="Q776" s="16"/>
      <c r="R776" s="17"/>
      <c r="S776" s="3"/>
      <c r="T776" s="1770"/>
      <c r="U776" s="1780"/>
      <c r="V776" s="1752"/>
    </row>
    <row r="777" spans="1:22" ht="12" customHeight="1">
      <c r="A777" s="1040" t="str">
        <f t="shared" si="13"/>
        <v>3702</v>
      </c>
      <c r="B777" s="1053" t="s">
        <v>15474</v>
      </c>
      <c r="C777" s="1064"/>
      <c r="D777" s="2">
        <v>1</v>
      </c>
      <c r="E777" s="4" t="s">
        <v>3363</v>
      </c>
      <c r="F777" s="1065" t="e">
        <f>IF(E777="","$",VLOOKUP(E777,'結果(小)'!$B$2:$F$1295,5,FALSE))</f>
        <v>#DIV/0!</v>
      </c>
      <c r="G777" s="1" t="s">
        <v>3370</v>
      </c>
      <c r="H777" s="6">
        <v>66</v>
      </c>
      <c r="I777" s="2" t="s">
        <v>19</v>
      </c>
      <c r="J777" s="1" t="s">
        <v>15273</v>
      </c>
      <c r="K777" s="3"/>
      <c r="L777" s="1"/>
      <c r="M777" s="1"/>
      <c r="N777" s="4" t="s">
        <v>16120</v>
      </c>
      <c r="O777" s="1" t="s">
        <v>65</v>
      </c>
      <c r="P777" s="1" t="s">
        <v>14</v>
      </c>
      <c r="Q777" s="16">
        <v>1</v>
      </c>
      <c r="R777" s="17">
        <v>1</v>
      </c>
      <c r="S777" s="3"/>
      <c r="T777" s="1770"/>
      <c r="U777" s="1780"/>
      <c r="V777" s="1752"/>
    </row>
    <row r="778" spans="1:22" ht="12" customHeight="1">
      <c r="A778" s="1040" t="str">
        <f t="shared" si="13"/>
        <v>3702</v>
      </c>
      <c r="B778" s="1053" t="s">
        <v>15475</v>
      </c>
      <c r="C778" s="1064"/>
      <c r="D778" s="2">
        <v>1</v>
      </c>
      <c r="E778" s="4" t="s">
        <v>3377</v>
      </c>
      <c r="F778" s="1065" t="e">
        <f>IF(E778="","$",VLOOKUP(E778,'結果(小)'!$B$2:$F$1295,5,FALSE))</f>
        <v>#DIV/0!</v>
      </c>
      <c r="G778" s="1" t="s">
        <v>3384</v>
      </c>
      <c r="H778" s="6">
        <v>61</v>
      </c>
      <c r="I778" s="2" t="s">
        <v>5</v>
      </c>
      <c r="J778" s="1" t="s">
        <v>15273</v>
      </c>
      <c r="K778" s="3"/>
      <c r="L778" s="1"/>
      <c r="M778" s="1"/>
      <c r="N778" s="8" t="s">
        <v>16120</v>
      </c>
      <c r="O778" s="1" t="s">
        <v>475</v>
      </c>
      <c r="P778" s="1" t="s">
        <v>14</v>
      </c>
      <c r="Q778" s="16">
        <v>3</v>
      </c>
      <c r="R778" s="17">
        <v>3</v>
      </c>
      <c r="S778" s="3" t="s">
        <v>5457</v>
      </c>
      <c r="T778" s="1770"/>
      <c r="U778" s="1780"/>
      <c r="V778" s="1752"/>
    </row>
    <row r="779" spans="1:22" ht="12" customHeight="1">
      <c r="A779" s="1040" t="str">
        <f t="shared" si="13"/>
        <v>3702</v>
      </c>
      <c r="B779" s="1053" t="s">
        <v>15476</v>
      </c>
      <c r="C779" s="1064"/>
      <c r="D779" s="2">
        <v>1</v>
      </c>
      <c r="E779" s="4" t="s">
        <v>3390</v>
      </c>
      <c r="F779" s="1065" t="e">
        <f>IF(E779="","$",VLOOKUP(E779,'結果(小)'!$B$2:$F$1295,5,FALSE))</f>
        <v>#DIV/0!</v>
      </c>
      <c r="G779" s="1" t="s">
        <v>5576</v>
      </c>
      <c r="H779" s="6">
        <v>35</v>
      </c>
      <c r="I779" s="2" t="s">
        <v>5</v>
      </c>
      <c r="J779" s="1" t="s">
        <v>15273</v>
      </c>
      <c r="K779" s="3"/>
      <c r="L779" s="1"/>
      <c r="M779" s="1"/>
      <c r="N779" s="23" t="s">
        <v>16120</v>
      </c>
      <c r="O779" s="1" t="s">
        <v>30</v>
      </c>
      <c r="P779" s="1" t="s">
        <v>6</v>
      </c>
      <c r="Q779" s="16"/>
      <c r="R779" s="17"/>
      <c r="S779" s="3"/>
      <c r="T779" s="1770"/>
      <c r="U779" s="1780"/>
      <c r="V779" s="1752"/>
    </row>
    <row r="780" spans="1:22" ht="12" customHeight="1">
      <c r="A780" s="1040" t="str">
        <f t="shared" si="13"/>
        <v>3702</v>
      </c>
      <c r="B780" s="1053" t="s">
        <v>15477</v>
      </c>
      <c r="C780" s="1064"/>
      <c r="D780" s="2">
        <v>1</v>
      </c>
      <c r="E780" s="4" t="s">
        <v>3418</v>
      </c>
      <c r="F780" s="1065" t="e">
        <f>IF(E780="","$",VLOOKUP(E780,'結果(小)'!$B$2:$F$1295,5,FALSE))</f>
        <v>#DIV/0!</v>
      </c>
      <c r="G780" s="1" t="s">
        <v>3421</v>
      </c>
      <c r="H780" s="6">
        <v>72</v>
      </c>
      <c r="I780" s="2" t="s">
        <v>5</v>
      </c>
      <c r="J780" s="1" t="s">
        <v>15273</v>
      </c>
      <c r="K780" s="3" t="s">
        <v>3422</v>
      </c>
      <c r="L780" s="1"/>
      <c r="M780" s="1"/>
      <c r="N780" s="8" t="s">
        <v>16120</v>
      </c>
      <c r="O780" s="1" t="s">
        <v>476</v>
      </c>
      <c r="P780" s="1" t="s">
        <v>25</v>
      </c>
      <c r="Q780" s="16">
        <v>5</v>
      </c>
      <c r="R780" s="17">
        <v>5</v>
      </c>
      <c r="S780" s="3" t="s">
        <v>5457</v>
      </c>
      <c r="T780" s="1770"/>
      <c r="U780" s="1780"/>
      <c r="V780" s="1752"/>
    </row>
    <row r="781" spans="1:22" ht="12" customHeight="1">
      <c r="A781" s="1040" t="str">
        <f t="shared" si="13"/>
        <v>3702</v>
      </c>
      <c r="B781" s="1053" t="s">
        <v>15478</v>
      </c>
      <c r="C781" s="1064"/>
      <c r="D781" s="2">
        <v>1</v>
      </c>
      <c r="E781" s="4" t="s">
        <v>3465</v>
      </c>
      <c r="F781" s="1065" t="e">
        <f>IF(E781="","$",VLOOKUP(E781,'結果(小)'!$B$2:$F$1295,5,FALSE))</f>
        <v>#DIV/0!</v>
      </c>
      <c r="G781" s="1" t="s">
        <v>3476</v>
      </c>
      <c r="H781" s="6">
        <v>63</v>
      </c>
      <c r="I781" s="2" t="s">
        <v>5</v>
      </c>
      <c r="J781" s="1" t="s">
        <v>15273</v>
      </c>
      <c r="K781" s="3"/>
      <c r="L781" s="1"/>
      <c r="M781" s="1"/>
      <c r="N781" s="4" t="s">
        <v>16120</v>
      </c>
      <c r="O781" s="1" t="s">
        <v>30</v>
      </c>
      <c r="P781" s="1" t="s">
        <v>6</v>
      </c>
      <c r="Q781" s="16"/>
      <c r="R781" s="17"/>
      <c r="S781" s="3" t="s">
        <v>5457</v>
      </c>
      <c r="T781" s="1770"/>
      <c r="U781" s="1780"/>
      <c r="V781" s="1752"/>
    </row>
    <row r="782" spans="1:22" ht="12" customHeight="1">
      <c r="A782" s="1040" t="str">
        <f t="shared" si="13"/>
        <v>3702</v>
      </c>
      <c r="B782" s="1053" t="s">
        <v>15479</v>
      </c>
      <c r="C782" s="1064"/>
      <c r="D782" s="2">
        <v>1</v>
      </c>
      <c r="E782" s="4" t="s">
        <v>3485</v>
      </c>
      <c r="F782" s="1065" t="e">
        <f>IF(E782="","$",VLOOKUP(E782,'結果(小)'!$B$2:$F$1295,5,FALSE))</f>
        <v>#DIV/0!</v>
      </c>
      <c r="G782" s="1" t="s">
        <v>3493</v>
      </c>
      <c r="H782" s="6">
        <v>36</v>
      </c>
      <c r="I782" s="2" t="s">
        <v>5</v>
      </c>
      <c r="J782" s="1" t="s">
        <v>15273</v>
      </c>
      <c r="K782" s="3"/>
      <c r="L782" s="1"/>
      <c r="M782" s="1"/>
      <c r="N782" s="4" t="s">
        <v>16120</v>
      </c>
      <c r="O782" s="1" t="s">
        <v>48</v>
      </c>
      <c r="P782" s="1" t="s">
        <v>6</v>
      </c>
      <c r="Q782" s="16"/>
      <c r="R782" s="17"/>
      <c r="S782" s="3" t="s">
        <v>5457</v>
      </c>
      <c r="T782" s="1770"/>
      <c r="U782" s="1780"/>
      <c r="V782" s="1752"/>
    </row>
    <row r="783" spans="1:22" ht="12" customHeight="1">
      <c r="A783" s="1040" t="str">
        <f t="shared" si="13"/>
        <v>3702</v>
      </c>
      <c r="B783" s="1053" t="s">
        <v>15480</v>
      </c>
      <c r="C783" s="1064"/>
      <c r="D783" s="2">
        <v>1</v>
      </c>
      <c r="E783" s="4" t="s">
        <v>3505</v>
      </c>
      <c r="F783" s="1065" t="e">
        <f>IF(E783="","$",VLOOKUP(E783,'結果(小)'!$B$2:$F$1295,5,FALSE))</f>
        <v>#DIV/0!</v>
      </c>
      <c r="G783" s="1" t="s">
        <v>3514</v>
      </c>
      <c r="H783" s="6">
        <v>59</v>
      </c>
      <c r="I783" s="2" t="s">
        <v>5</v>
      </c>
      <c r="J783" s="1" t="s">
        <v>15273</v>
      </c>
      <c r="K783" s="3"/>
      <c r="L783" s="1"/>
      <c r="M783" s="1"/>
      <c r="N783" s="8" t="s">
        <v>16120</v>
      </c>
      <c r="O783" s="1" t="s">
        <v>476</v>
      </c>
      <c r="P783" s="1" t="s">
        <v>14</v>
      </c>
      <c r="Q783" s="16">
        <v>1</v>
      </c>
      <c r="R783" s="17">
        <v>1</v>
      </c>
      <c r="S783" s="3" t="s">
        <v>5457</v>
      </c>
      <c r="T783" s="1770"/>
      <c r="U783" s="1780"/>
      <c r="V783" s="1752"/>
    </row>
    <row r="784" spans="1:22" ht="12" customHeight="1">
      <c r="A784" s="1040" t="str">
        <f t="shared" si="13"/>
        <v>3702</v>
      </c>
      <c r="B784" s="1053" t="s">
        <v>15481</v>
      </c>
      <c r="C784" s="1064"/>
      <c r="D784" s="2">
        <v>1</v>
      </c>
      <c r="E784" s="4" t="s">
        <v>3535</v>
      </c>
      <c r="F784" s="1065" t="e">
        <f>IF(E784="","$",VLOOKUP(E784,'結果(小)'!$B$2:$F$1295,5,FALSE))</f>
        <v>#DIV/0!</v>
      </c>
      <c r="G784" s="1" t="s">
        <v>3541</v>
      </c>
      <c r="H784" s="6">
        <v>47</v>
      </c>
      <c r="I784" s="2" t="s">
        <v>5</v>
      </c>
      <c r="J784" s="1" t="s">
        <v>15273</v>
      </c>
      <c r="K784" s="3"/>
      <c r="L784" s="1"/>
      <c r="M784" s="1"/>
      <c r="N784" s="23" t="s">
        <v>16120</v>
      </c>
      <c r="O784" s="1" t="s">
        <v>48</v>
      </c>
      <c r="P784" s="1" t="s">
        <v>14</v>
      </c>
      <c r="Q784" s="16">
        <v>1</v>
      </c>
      <c r="R784" s="17">
        <v>1</v>
      </c>
      <c r="S784" s="3" t="s">
        <v>5457</v>
      </c>
      <c r="T784" s="1770"/>
      <c r="U784" s="1780"/>
      <c r="V784" s="1752"/>
    </row>
    <row r="785" spans="1:22" ht="12" customHeight="1">
      <c r="A785" s="1040" t="str">
        <f t="shared" si="13"/>
        <v>3702</v>
      </c>
      <c r="B785" s="1053" t="s">
        <v>15482</v>
      </c>
      <c r="C785" s="1064"/>
      <c r="D785" s="2">
        <v>1</v>
      </c>
      <c r="E785" s="4" t="s">
        <v>3547</v>
      </c>
      <c r="F785" s="1065" t="e">
        <f>IF(E785="","$",VLOOKUP(E785,'結果(小)'!$B$2:$F$1295,5,FALSE))</f>
        <v>#DIV/0!</v>
      </c>
      <c r="G785" s="1" t="s">
        <v>3554</v>
      </c>
      <c r="H785" s="6">
        <v>41</v>
      </c>
      <c r="I785" s="2" t="s">
        <v>5</v>
      </c>
      <c r="J785" s="1" t="s">
        <v>15273</v>
      </c>
      <c r="K785" s="3"/>
      <c r="L785" s="1"/>
      <c r="M785" s="1"/>
      <c r="N785" s="8" t="s">
        <v>16120</v>
      </c>
      <c r="O785" s="1" t="s">
        <v>30</v>
      </c>
      <c r="P785" s="1" t="s">
        <v>6</v>
      </c>
      <c r="Q785" s="16"/>
      <c r="R785" s="17"/>
      <c r="S785" s="3" t="s">
        <v>5457</v>
      </c>
      <c r="T785" s="1770"/>
      <c r="U785" s="1780"/>
      <c r="V785" s="1752"/>
    </row>
    <row r="786" spans="1:22" ht="12" customHeight="1">
      <c r="A786" s="1040" t="str">
        <f t="shared" si="13"/>
        <v>3702</v>
      </c>
      <c r="B786" s="1053" t="s">
        <v>15483</v>
      </c>
      <c r="C786" s="1064"/>
      <c r="D786" s="2">
        <v>1</v>
      </c>
      <c r="E786" s="4" t="s">
        <v>3564</v>
      </c>
      <c r="F786" s="1065" t="e">
        <f>IF(E786="","$",VLOOKUP(E786,'結果(小)'!$B$2:$F$1295,5,FALSE))</f>
        <v>#DIV/0!</v>
      </c>
      <c r="G786" s="1" t="s">
        <v>3572</v>
      </c>
      <c r="H786" s="6">
        <v>60</v>
      </c>
      <c r="I786" s="2" t="s">
        <v>5</v>
      </c>
      <c r="J786" s="1" t="s">
        <v>15273</v>
      </c>
      <c r="K786" s="3" t="s">
        <v>3573</v>
      </c>
      <c r="L786" s="1"/>
      <c r="M786" s="1"/>
      <c r="N786" s="4" t="s">
        <v>16120</v>
      </c>
      <c r="O786" s="1" t="s">
        <v>65</v>
      </c>
      <c r="P786" s="1" t="s">
        <v>25</v>
      </c>
      <c r="Q786" s="16">
        <v>3</v>
      </c>
      <c r="R786" s="17">
        <v>3</v>
      </c>
      <c r="S786" s="3" t="s">
        <v>5457</v>
      </c>
      <c r="T786" s="1770"/>
      <c r="U786" s="1780"/>
      <c r="V786" s="1752"/>
    </row>
    <row r="787" spans="1:22" ht="12" customHeight="1">
      <c r="A787" s="1040" t="str">
        <f t="shared" si="13"/>
        <v>3702</v>
      </c>
      <c r="B787" s="1053" t="s">
        <v>15484</v>
      </c>
      <c r="C787" s="1064"/>
      <c r="D787" s="2">
        <v>1</v>
      </c>
      <c r="E787" s="4" t="s">
        <v>3582</v>
      </c>
      <c r="F787" s="1065" t="e">
        <f>IF(E787="","$",VLOOKUP(E787,'結果(小)'!$B$2:$F$1295,5,FALSE))</f>
        <v>#DIV/0!</v>
      </c>
      <c r="G787" s="1" t="s">
        <v>3589</v>
      </c>
      <c r="H787" s="6">
        <v>46</v>
      </c>
      <c r="I787" s="2" t="s">
        <v>5</v>
      </c>
      <c r="J787" s="1" t="s">
        <v>15273</v>
      </c>
      <c r="K787" s="3"/>
      <c r="L787" s="1"/>
      <c r="M787" s="1"/>
      <c r="N787" s="4" t="s">
        <v>16120</v>
      </c>
      <c r="O787" s="1" t="s">
        <v>30</v>
      </c>
      <c r="P787" s="1" t="s">
        <v>6</v>
      </c>
      <c r="Q787" s="16"/>
      <c r="R787" s="17"/>
      <c r="S787" s="3" t="s">
        <v>5457</v>
      </c>
      <c r="T787" s="1770"/>
      <c r="U787" s="1780"/>
      <c r="V787" s="1752"/>
    </row>
    <row r="788" spans="1:22" ht="12" customHeight="1">
      <c r="A788" s="1040" t="str">
        <f t="shared" si="13"/>
        <v>3702</v>
      </c>
      <c r="B788" s="1053" t="s">
        <v>15485</v>
      </c>
      <c r="C788" s="1064"/>
      <c r="D788" s="2">
        <v>1</v>
      </c>
      <c r="E788" s="4" t="s">
        <v>3599</v>
      </c>
      <c r="F788" s="1065" t="e">
        <f>IF(E788="","$",VLOOKUP(E788,'結果(小)'!$B$2:$F$1295,5,FALSE))</f>
        <v>#DIV/0!</v>
      </c>
      <c r="G788" s="1" t="s">
        <v>3606</v>
      </c>
      <c r="H788" s="6">
        <v>46</v>
      </c>
      <c r="I788" s="2" t="s">
        <v>5</v>
      </c>
      <c r="J788" s="1" t="s">
        <v>15273</v>
      </c>
      <c r="K788" s="3"/>
      <c r="L788" s="1"/>
      <c r="M788" s="1"/>
      <c r="N788" s="8" t="s">
        <v>16120</v>
      </c>
      <c r="O788" s="1" t="s">
        <v>445</v>
      </c>
      <c r="P788" s="1" t="s">
        <v>6</v>
      </c>
      <c r="Q788" s="16"/>
      <c r="R788" s="17"/>
      <c r="S788" s="3" t="s">
        <v>5457</v>
      </c>
      <c r="T788" s="1770"/>
      <c r="U788" s="1780"/>
      <c r="V788" s="1752"/>
    </row>
    <row r="789" spans="1:22" ht="12" customHeight="1">
      <c r="A789" s="1040" t="str">
        <f t="shared" si="13"/>
        <v>3702</v>
      </c>
      <c r="B789" s="1053" t="s">
        <v>15486</v>
      </c>
      <c r="C789" s="1064"/>
      <c r="D789" s="2">
        <v>1</v>
      </c>
      <c r="E789" s="4" t="s">
        <v>3630</v>
      </c>
      <c r="F789" s="1065" t="e">
        <f>IF(E789="","$",VLOOKUP(E789,'結果(小)'!$B$2:$F$1295,5,FALSE))</f>
        <v>#DIV/0!</v>
      </c>
      <c r="G789" s="1" t="s">
        <v>3632</v>
      </c>
      <c r="H789" s="6">
        <v>50</v>
      </c>
      <c r="I789" s="2" t="s">
        <v>5</v>
      </c>
      <c r="J789" s="1" t="s">
        <v>15273</v>
      </c>
      <c r="K789" s="3" t="s">
        <v>3633</v>
      </c>
      <c r="L789" s="1"/>
      <c r="M789" s="1"/>
      <c r="N789" s="23" t="s">
        <v>16120</v>
      </c>
      <c r="O789" s="1" t="s">
        <v>30</v>
      </c>
      <c r="P789" s="1" t="s">
        <v>25</v>
      </c>
      <c r="Q789" s="16">
        <v>3</v>
      </c>
      <c r="R789" s="17">
        <v>3</v>
      </c>
      <c r="S789" s="3" t="s">
        <v>5457</v>
      </c>
      <c r="T789" s="1770"/>
      <c r="U789" s="1780"/>
      <c r="V789" s="1752"/>
    </row>
    <row r="790" spans="1:22" ht="12" customHeight="1">
      <c r="A790" s="1040" t="str">
        <f t="shared" si="13"/>
        <v>3702</v>
      </c>
      <c r="B790" s="1053" t="s">
        <v>15487</v>
      </c>
      <c r="C790" s="1064"/>
      <c r="D790" s="2">
        <v>1</v>
      </c>
      <c r="E790" s="4" t="s">
        <v>3641</v>
      </c>
      <c r="F790" s="1065" t="e">
        <f>IF(E790="","$",VLOOKUP(E790,'結果(小)'!$B$2:$F$1295,5,FALSE))</f>
        <v>#DIV/0!</v>
      </c>
      <c r="G790" s="1" t="s">
        <v>3647</v>
      </c>
      <c r="H790" s="6">
        <v>64</v>
      </c>
      <c r="I790" s="2" t="s">
        <v>5</v>
      </c>
      <c r="J790" s="1" t="s">
        <v>15273</v>
      </c>
      <c r="K790" s="3"/>
      <c r="L790" s="1"/>
      <c r="M790" s="1"/>
      <c r="N790" s="8" t="s">
        <v>16120</v>
      </c>
      <c r="O790" s="1" t="s">
        <v>30</v>
      </c>
      <c r="P790" s="1" t="s">
        <v>14</v>
      </c>
      <c r="Q790" s="16">
        <v>6</v>
      </c>
      <c r="R790" s="17">
        <v>6</v>
      </c>
      <c r="S790" s="3" t="s">
        <v>5457</v>
      </c>
      <c r="T790" s="1770"/>
      <c r="U790" s="1780"/>
      <c r="V790" s="1752"/>
    </row>
    <row r="791" spans="1:22" ht="12" customHeight="1">
      <c r="A791" s="1040" t="str">
        <f t="shared" si="13"/>
        <v>3702</v>
      </c>
      <c r="B791" s="1053" t="s">
        <v>15488</v>
      </c>
      <c r="C791" s="1064"/>
      <c r="D791" s="2">
        <v>1</v>
      </c>
      <c r="E791" s="4" t="s">
        <v>3654</v>
      </c>
      <c r="F791" s="1065" t="e">
        <f>IF(E791="","$",VLOOKUP(E791,'結果(小)'!$B$2:$F$1295,5,FALSE))</f>
        <v>#DIV/0!</v>
      </c>
      <c r="G791" s="1" t="s">
        <v>3660</v>
      </c>
      <c r="H791" s="6">
        <v>42</v>
      </c>
      <c r="I791" s="2" t="s">
        <v>5</v>
      </c>
      <c r="J791" s="1" t="s">
        <v>15273</v>
      </c>
      <c r="K791" s="3"/>
      <c r="L791" s="1"/>
      <c r="M791" s="1"/>
      <c r="N791" s="4" t="s">
        <v>16120</v>
      </c>
      <c r="O791" s="1" t="s">
        <v>30</v>
      </c>
      <c r="P791" s="1" t="s">
        <v>6</v>
      </c>
      <c r="Q791" s="16"/>
      <c r="R791" s="17"/>
      <c r="S791" s="3" t="s">
        <v>5457</v>
      </c>
      <c r="T791" s="1770"/>
      <c r="U791" s="1780"/>
      <c r="V791" s="1752"/>
    </row>
    <row r="792" spans="1:22" ht="12" customHeight="1">
      <c r="A792" s="1040" t="str">
        <f t="shared" si="13"/>
        <v>3702</v>
      </c>
      <c r="B792" s="1053" t="s">
        <v>15489</v>
      </c>
      <c r="C792" s="1064"/>
      <c r="D792" s="2">
        <v>1</v>
      </c>
      <c r="E792" s="4" t="s">
        <v>3667</v>
      </c>
      <c r="F792" s="1065" t="e">
        <f>IF(E792="","$",VLOOKUP(E792,'結果(小)'!$B$2:$F$1295,5,FALSE))</f>
        <v>#DIV/0!</v>
      </c>
      <c r="G792" s="1" t="s">
        <v>3674</v>
      </c>
      <c r="H792" s="6">
        <v>48</v>
      </c>
      <c r="I792" s="2" t="s">
        <v>5</v>
      </c>
      <c r="J792" s="1" t="s">
        <v>15273</v>
      </c>
      <c r="K792" s="3"/>
      <c r="L792" s="1"/>
      <c r="M792" s="1"/>
      <c r="N792" s="4" t="s">
        <v>16120</v>
      </c>
      <c r="O792" s="1" t="s">
        <v>30</v>
      </c>
      <c r="P792" s="1" t="s">
        <v>6</v>
      </c>
      <c r="Q792" s="16"/>
      <c r="R792" s="17"/>
      <c r="S792" s="3" t="s">
        <v>5457</v>
      </c>
      <c r="T792" s="1770"/>
      <c r="U792" s="1780"/>
      <c r="V792" s="1752"/>
    </row>
    <row r="793" spans="1:22" ht="12" customHeight="1">
      <c r="A793" s="1040" t="str">
        <f t="shared" si="13"/>
        <v>3702</v>
      </c>
      <c r="B793" s="1053" t="s">
        <v>15490</v>
      </c>
      <c r="C793" s="1064"/>
      <c r="D793" s="2">
        <v>1</v>
      </c>
      <c r="E793" s="4" t="s">
        <v>3678</v>
      </c>
      <c r="F793" s="1065" t="e">
        <f>IF(E793="","$",VLOOKUP(E793,'結果(小)'!$B$2:$F$1295,5,FALSE))</f>
        <v>#DIV/0!</v>
      </c>
      <c r="G793" s="1" t="s">
        <v>3684</v>
      </c>
      <c r="H793" s="6">
        <v>48</v>
      </c>
      <c r="I793" s="2" t="s">
        <v>5</v>
      </c>
      <c r="J793" s="1" t="s">
        <v>15273</v>
      </c>
      <c r="K793" s="3"/>
      <c r="L793" s="1"/>
      <c r="M793" s="1"/>
      <c r="N793" s="8" t="s">
        <v>16120</v>
      </c>
      <c r="O793" s="1" t="s">
        <v>30</v>
      </c>
      <c r="P793" s="1" t="s">
        <v>6</v>
      </c>
      <c r="Q793" s="16"/>
      <c r="R793" s="17"/>
      <c r="S793" s="3" t="s">
        <v>5457</v>
      </c>
      <c r="T793" s="1770"/>
      <c r="U793" s="1780"/>
      <c r="V793" s="1752"/>
    </row>
    <row r="794" spans="1:22" ht="12" customHeight="1">
      <c r="A794" s="1040" t="str">
        <f t="shared" si="13"/>
        <v>3702</v>
      </c>
      <c r="B794" s="1053" t="s">
        <v>15491</v>
      </c>
      <c r="C794" s="1064"/>
      <c r="D794" s="2">
        <v>1</v>
      </c>
      <c r="E794" s="4" t="s">
        <v>3690</v>
      </c>
      <c r="F794" s="1065" t="e">
        <f>IF(E794="","$",VLOOKUP(E794,'結果(小)'!$B$2:$F$1295,5,FALSE))</f>
        <v>#DIV/0!</v>
      </c>
      <c r="G794" s="1" t="s">
        <v>3695</v>
      </c>
      <c r="H794" s="6">
        <v>51</v>
      </c>
      <c r="I794" s="2" t="s">
        <v>19</v>
      </c>
      <c r="J794" s="1" t="s">
        <v>15273</v>
      </c>
      <c r="K794" s="3" t="s">
        <v>3696</v>
      </c>
      <c r="L794" s="1"/>
      <c r="M794" s="1"/>
      <c r="N794" s="23" t="s">
        <v>16120</v>
      </c>
      <c r="O794" s="1" t="s">
        <v>30</v>
      </c>
      <c r="P794" s="1" t="s">
        <v>25</v>
      </c>
      <c r="Q794" s="16">
        <v>5</v>
      </c>
      <c r="R794" s="17">
        <v>5</v>
      </c>
      <c r="S794" s="3" t="s">
        <v>5457</v>
      </c>
      <c r="T794" s="1770"/>
      <c r="U794" s="1780"/>
      <c r="V794" s="1752"/>
    </row>
    <row r="795" spans="1:22" ht="12" customHeight="1">
      <c r="A795" s="1040" t="str">
        <f t="shared" si="13"/>
        <v>3702</v>
      </c>
      <c r="B795" s="1053" t="s">
        <v>15492</v>
      </c>
      <c r="C795" s="1064"/>
      <c r="D795" s="2">
        <v>1</v>
      </c>
      <c r="E795" s="4" t="s">
        <v>3708</v>
      </c>
      <c r="F795" s="1065" t="e">
        <f>IF(E795="","$",VLOOKUP(E795,'結果(小)'!$B$2:$F$1295,5,FALSE))</f>
        <v>#DIV/0!</v>
      </c>
      <c r="G795" s="1" t="s">
        <v>3713</v>
      </c>
      <c r="H795" s="6">
        <v>68</v>
      </c>
      <c r="I795" s="2" t="s">
        <v>5</v>
      </c>
      <c r="J795" s="1" t="s">
        <v>15273</v>
      </c>
      <c r="K795" s="3"/>
      <c r="L795" s="1"/>
      <c r="M795" s="1"/>
      <c r="N795" s="8" t="s">
        <v>16120</v>
      </c>
      <c r="O795" s="1" t="s">
        <v>48</v>
      </c>
      <c r="P795" s="1" t="s">
        <v>14</v>
      </c>
      <c r="Q795" s="16">
        <v>2</v>
      </c>
      <c r="R795" s="17">
        <v>2</v>
      </c>
      <c r="S795" s="3" t="s">
        <v>5457</v>
      </c>
      <c r="T795" s="1770"/>
      <c r="U795" s="1780"/>
      <c r="V795" s="1752"/>
    </row>
    <row r="796" spans="1:22" ht="12" customHeight="1">
      <c r="A796" s="1040" t="str">
        <f t="shared" si="13"/>
        <v>3702</v>
      </c>
      <c r="B796" s="1053" t="s">
        <v>15493</v>
      </c>
      <c r="C796" s="1064"/>
      <c r="D796" s="2">
        <v>1</v>
      </c>
      <c r="E796" s="4" t="s">
        <v>3719</v>
      </c>
      <c r="F796" s="1065" t="e">
        <f>IF(E796="","$",VLOOKUP(E796,'結果(小)'!$B$2:$F$1295,5,FALSE))</f>
        <v>#DIV/0!</v>
      </c>
      <c r="G796" s="1" t="s">
        <v>3724</v>
      </c>
      <c r="H796" s="6">
        <v>38</v>
      </c>
      <c r="I796" s="2" t="s">
        <v>5</v>
      </c>
      <c r="J796" s="1" t="s">
        <v>15273</v>
      </c>
      <c r="K796" s="3"/>
      <c r="L796" s="1"/>
      <c r="M796" s="1"/>
      <c r="N796" s="4" t="s">
        <v>16120</v>
      </c>
      <c r="O796" s="1" t="s">
        <v>934</v>
      </c>
      <c r="P796" s="1" t="s">
        <v>6</v>
      </c>
      <c r="Q796" s="16"/>
      <c r="R796" s="17"/>
      <c r="S796" s="3" t="s">
        <v>5457</v>
      </c>
      <c r="T796" s="1770"/>
      <c r="U796" s="1780"/>
      <c r="V796" s="1752"/>
    </row>
    <row r="797" spans="1:22" ht="12" customHeight="1">
      <c r="A797" s="1040" t="str">
        <f t="shared" si="13"/>
        <v>3702</v>
      </c>
      <c r="B797" s="1053" t="s">
        <v>15494</v>
      </c>
      <c r="C797" s="1064"/>
      <c r="D797" s="2">
        <v>1</v>
      </c>
      <c r="E797" s="4" t="s">
        <v>3730</v>
      </c>
      <c r="F797" s="1065" t="e">
        <f>IF(E797="","$",VLOOKUP(E797,'結果(小)'!$B$2:$F$1295,5,FALSE))</f>
        <v>#DIV/0!</v>
      </c>
      <c r="G797" s="1" t="s">
        <v>3738</v>
      </c>
      <c r="H797" s="6">
        <v>47</v>
      </c>
      <c r="I797" s="2" t="s">
        <v>5</v>
      </c>
      <c r="J797" s="1" t="s">
        <v>15273</v>
      </c>
      <c r="K797" s="3"/>
      <c r="L797" s="1"/>
      <c r="M797" s="1"/>
      <c r="N797" s="4" t="s">
        <v>16120</v>
      </c>
      <c r="O797" s="1" t="s">
        <v>30</v>
      </c>
      <c r="P797" s="1" t="s">
        <v>6</v>
      </c>
      <c r="Q797" s="16"/>
      <c r="R797" s="17"/>
      <c r="S797" s="3" t="s">
        <v>5457</v>
      </c>
      <c r="T797" s="1770"/>
      <c r="U797" s="1780"/>
      <c r="V797" s="1752"/>
    </row>
    <row r="798" spans="1:22" ht="12" customHeight="1">
      <c r="A798" s="1040" t="str">
        <f t="shared" si="13"/>
        <v>3702</v>
      </c>
      <c r="B798" s="1053" t="s">
        <v>15495</v>
      </c>
      <c r="C798" s="1064"/>
      <c r="D798" s="2">
        <v>1</v>
      </c>
      <c r="E798" s="4" t="s">
        <v>3744</v>
      </c>
      <c r="F798" s="1065" t="e">
        <f>IF(E798="","$",VLOOKUP(E798,'結果(小)'!$B$2:$F$1295,5,FALSE))</f>
        <v>#DIV/0!</v>
      </c>
      <c r="G798" s="1" t="s">
        <v>3750</v>
      </c>
      <c r="H798" s="6">
        <v>60</v>
      </c>
      <c r="I798" s="2" t="s">
        <v>5</v>
      </c>
      <c r="J798" s="1" t="s">
        <v>15273</v>
      </c>
      <c r="K798" s="3" t="s">
        <v>3751</v>
      </c>
      <c r="L798" s="1"/>
      <c r="M798" s="1"/>
      <c r="N798" s="8" t="s">
        <v>16120</v>
      </c>
      <c r="O798" s="1" t="s">
        <v>934</v>
      </c>
      <c r="P798" s="1" t="s">
        <v>25</v>
      </c>
      <c r="Q798" s="16">
        <v>4</v>
      </c>
      <c r="R798" s="17">
        <v>4</v>
      </c>
      <c r="S798" s="3" t="s">
        <v>5457</v>
      </c>
      <c r="T798" s="1770"/>
      <c r="U798" s="1780"/>
      <c r="V798" s="1752"/>
    </row>
    <row r="799" spans="1:22" ht="12" customHeight="1" thickBot="1">
      <c r="A799" s="916" t="str">
        <f t="shared" si="13"/>
        <v>3702</v>
      </c>
      <c r="B799" s="1074" t="s">
        <v>15496</v>
      </c>
      <c r="C799" s="1075"/>
      <c r="D799" s="702">
        <v>39</v>
      </c>
      <c r="E799" s="702"/>
      <c r="F799" s="1071" t="str">
        <f>IF(E799="","$",VLOOKUP(E799,'結果(小)'!$B$2:$F$1295,5,FALSE))</f>
        <v>$</v>
      </c>
      <c r="G799" s="702" t="s">
        <v>6100</v>
      </c>
      <c r="H799" s="701">
        <v>66</v>
      </c>
      <c r="I799" s="702" t="s">
        <v>5</v>
      </c>
      <c r="J799" s="702" t="s">
        <v>6067</v>
      </c>
      <c r="K799" s="720"/>
      <c r="L799" s="702"/>
      <c r="M799" s="702"/>
      <c r="N799" s="704" t="s">
        <v>16120</v>
      </c>
      <c r="O799" s="702" t="s">
        <v>5247</v>
      </c>
      <c r="P799" s="702" t="s">
        <v>6</v>
      </c>
      <c r="Q799" s="721"/>
      <c r="R799" s="722"/>
      <c r="S799" s="720"/>
      <c r="T799" s="1771"/>
      <c r="U799" s="1776"/>
      <c r="V799" s="1753"/>
    </row>
    <row r="800" spans="1:22" ht="12" customHeight="1">
      <c r="A800" s="1038" t="str">
        <f t="shared" si="13"/>
        <v>3703</v>
      </c>
      <c r="B800" s="1097" t="s">
        <v>16470</v>
      </c>
      <c r="C800" s="1073"/>
      <c r="D800" s="696">
        <v>1</v>
      </c>
      <c r="E800" s="688" t="s">
        <v>3143</v>
      </c>
      <c r="F800" s="1068" t="e">
        <f>IF(E800="","$",VLOOKUP(E800,'結果(小)'!$B$2:$F$1295,5,FALSE))</f>
        <v>#DIV/0!</v>
      </c>
      <c r="G800" s="687" t="s">
        <v>3160</v>
      </c>
      <c r="H800" s="690">
        <v>63</v>
      </c>
      <c r="I800" s="696" t="s">
        <v>5</v>
      </c>
      <c r="J800" s="687" t="s">
        <v>15273</v>
      </c>
      <c r="K800" s="747" t="s">
        <v>3161</v>
      </c>
      <c r="L800" s="687"/>
      <c r="M800" s="687"/>
      <c r="N800" s="688" t="s">
        <v>16125</v>
      </c>
      <c r="O800" s="687"/>
      <c r="P800" s="687" t="s">
        <v>25</v>
      </c>
      <c r="Q800" s="748">
        <v>2</v>
      </c>
      <c r="R800" s="749">
        <v>2</v>
      </c>
      <c r="S800" s="747" t="s">
        <v>5561</v>
      </c>
      <c r="T800" s="1772"/>
      <c r="U800" s="1775"/>
      <c r="V800" s="1751" t="e">
        <f>U800/SUM(U718:U882)</f>
        <v>#DIV/0!</v>
      </c>
    </row>
    <row r="801" spans="1:22" ht="12" customHeight="1">
      <c r="A801" s="1040" t="str">
        <f t="shared" si="13"/>
        <v>3703</v>
      </c>
      <c r="B801" s="1054" t="s">
        <v>16471</v>
      </c>
      <c r="C801" s="1064"/>
      <c r="D801" s="2">
        <v>1</v>
      </c>
      <c r="E801" s="4" t="s">
        <v>3174</v>
      </c>
      <c r="F801" s="1065" t="e">
        <f>IF(E801="","$",VLOOKUP(E801,'結果(小)'!$B$2:$F$1295,5,FALSE))</f>
        <v>#DIV/0!</v>
      </c>
      <c r="G801" s="1" t="s">
        <v>5800</v>
      </c>
      <c r="H801" s="6">
        <v>65</v>
      </c>
      <c r="I801" s="2" t="s">
        <v>5</v>
      </c>
      <c r="J801" s="1" t="s">
        <v>15273</v>
      </c>
      <c r="K801" s="3"/>
      <c r="L801" s="1"/>
      <c r="M801" s="1"/>
      <c r="N801" s="4" t="s">
        <v>16125</v>
      </c>
      <c r="O801" s="1"/>
      <c r="P801" s="1" t="s">
        <v>6</v>
      </c>
      <c r="Q801" s="16"/>
      <c r="R801" s="17"/>
      <c r="S801" s="3" t="s">
        <v>5561</v>
      </c>
      <c r="T801" s="1773"/>
      <c r="U801" s="1780"/>
      <c r="V801" s="1752"/>
    </row>
    <row r="802" spans="1:22" ht="12" customHeight="1">
      <c r="A802" s="1040" t="str">
        <f t="shared" si="13"/>
        <v>3703</v>
      </c>
      <c r="B802" s="1054" t="s">
        <v>16472</v>
      </c>
      <c r="C802" s="1064"/>
      <c r="D802" s="2">
        <v>1</v>
      </c>
      <c r="E802" s="4" t="s">
        <v>3201</v>
      </c>
      <c r="F802" s="1065" t="e">
        <f>IF(E802="","$",VLOOKUP(E802,'結果(小)'!$B$2:$F$1295,5,FALSE))</f>
        <v>#DIV/0!</v>
      </c>
      <c r="G802" s="1" t="s">
        <v>3217</v>
      </c>
      <c r="H802" s="6">
        <v>41</v>
      </c>
      <c r="I802" s="2" t="s">
        <v>5</v>
      </c>
      <c r="J802" s="1" t="s">
        <v>15273</v>
      </c>
      <c r="K802" s="3" t="s">
        <v>3218</v>
      </c>
      <c r="L802" s="1"/>
      <c r="M802" s="1"/>
      <c r="N802" s="4" t="s">
        <v>16125</v>
      </c>
      <c r="O802" s="1"/>
      <c r="P802" s="1" t="s">
        <v>25</v>
      </c>
      <c r="Q802" s="16">
        <v>1</v>
      </c>
      <c r="R802" s="17">
        <v>1</v>
      </c>
      <c r="S802" s="3" t="s">
        <v>5561</v>
      </c>
      <c r="T802" s="1773"/>
      <c r="U802" s="1780"/>
      <c r="V802" s="1752"/>
    </row>
    <row r="803" spans="1:22" ht="12" customHeight="1">
      <c r="A803" s="1040" t="str">
        <f t="shared" si="13"/>
        <v>3703</v>
      </c>
      <c r="B803" s="1054" t="s">
        <v>16473</v>
      </c>
      <c r="C803" s="1064"/>
      <c r="D803" s="2">
        <v>1</v>
      </c>
      <c r="E803" s="4" t="s">
        <v>3226</v>
      </c>
      <c r="F803" s="1065" t="e">
        <f>IF(E803="","$",VLOOKUP(E803,'結果(小)'!$B$2:$F$1295,5,FALSE))</f>
        <v>#DIV/0!</v>
      </c>
      <c r="G803" s="1" t="s">
        <v>3233</v>
      </c>
      <c r="H803" s="6">
        <v>45</v>
      </c>
      <c r="I803" s="2" t="s">
        <v>5</v>
      </c>
      <c r="J803" s="1" t="s">
        <v>15273</v>
      </c>
      <c r="K803" s="3" t="s">
        <v>3234</v>
      </c>
      <c r="L803" s="1"/>
      <c r="M803" s="1"/>
      <c r="N803" s="4" t="s">
        <v>16125</v>
      </c>
      <c r="O803" s="1"/>
      <c r="P803" s="1" t="s">
        <v>25</v>
      </c>
      <c r="Q803" s="16">
        <v>1</v>
      </c>
      <c r="R803" s="17">
        <v>1</v>
      </c>
      <c r="S803" s="3" t="s">
        <v>5561</v>
      </c>
      <c r="T803" s="1773"/>
      <c r="U803" s="1780"/>
      <c r="V803" s="1752"/>
    </row>
    <row r="804" spans="1:22" ht="12" customHeight="1">
      <c r="A804" s="1040" t="str">
        <f t="shared" si="13"/>
        <v>3703</v>
      </c>
      <c r="B804" s="1054" t="s">
        <v>16474</v>
      </c>
      <c r="C804" s="1064"/>
      <c r="D804" s="2">
        <v>1</v>
      </c>
      <c r="E804" s="4" t="s">
        <v>3286</v>
      </c>
      <c r="F804" s="1065" t="e">
        <f>IF(E804="","$",VLOOKUP(E804,'結果(小)'!$B$2:$F$1295,5,FALSE))</f>
        <v>#DIV/0!</v>
      </c>
      <c r="G804" s="1" t="s">
        <v>3289</v>
      </c>
      <c r="H804" s="6">
        <v>60</v>
      </c>
      <c r="I804" s="2" t="s">
        <v>5</v>
      </c>
      <c r="J804" s="1" t="s">
        <v>15273</v>
      </c>
      <c r="K804" s="3" t="s">
        <v>3290</v>
      </c>
      <c r="L804" s="1"/>
      <c r="M804" s="1"/>
      <c r="N804" s="4" t="s">
        <v>16125</v>
      </c>
      <c r="O804" s="1"/>
      <c r="P804" s="1" t="s">
        <v>25</v>
      </c>
      <c r="Q804" s="16">
        <v>1</v>
      </c>
      <c r="R804" s="17">
        <v>1</v>
      </c>
      <c r="S804" s="3" t="s">
        <v>5561</v>
      </c>
      <c r="T804" s="1773"/>
      <c r="U804" s="1780"/>
      <c r="V804" s="1752"/>
    </row>
    <row r="805" spans="1:22" ht="12" customHeight="1">
      <c r="A805" s="1040" t="str">
        <f t="shared" si="13"/>
        <v>3703</v>
      </c>
      <c r="B805" s="1054" t="s">
        <v>16475</v>
      </c>
      <c r="C805" s="1064"/>
      <c r="D805" s="2">
        <v>1</v>
      </c>
      <c r="E805" s="4" t="s">
        <v>3301</v>
      </c>
      <c r="F805" s="1065" t="e">
        <f>IF(E805="","$",VLOOKUP(E805,'結果(小)'!$B$2:$F$1295,5,FALSE))</f>
        <v>#DIV/0!</v>
      </c>
      <c r="G805" s="1" t="s">
        <v>4645</v>
      </c>
      <c r="H805" s="6">
        <v>56</v>
      </c>
      <c r="I805" s="2" t="s">
        <v>5</v>
      </c>
      <c r="J805" s="1" t="s">
        <v>15273</v>
      </c>
      <c r="K805" s="3" t="s">
        <v>4646</v>
      </c>
      <c r="L805" s="1"/>
      <c r="M805" s="1"/>
      <c r="N805" s="4" t="s">
        <v>16125</v>
      </c>
      <c r="O805" s="1"/>
      <c r="P805" s="1" t="s">
        <v>25</v>
      </c>
      <c r="Q805" s="16">
        <v>1</v>
      </c>
      <c r="R805" s="17">
        <v>1</v>
      </c>
      <c r="S805" s="3" t="s">
        <v>5561</v>
      </c>
      <c r="T805" s="1773"/>
      <c r="U805" s="1780"/>
      <c r="V805" s="1752"/>
    </row>
    <row r="806" spans="1:22" ht="12" customHeight="1">
      <c r="A806" s="1040" t="str">
        <f t="shared" si="13"/>
        <v>3703</v>
      </c>
      <c r="B806" s="1054" t="s">
        <v>16476</v>
      </c>
      <c r="C806" s="1064"/>
      <c r="D806" s="2">
        <v>1</v>
      </c>
      <c r="E806" s="4" t="s">
        <v>3418</v>
      </c>
      <c r="F806" s="1065" t="e">
        <f>IF(E806="","$",VLOOKUP(E806,'結果(小)'!$B$2:$F$1295,5,FALSE))</f>
        <v>#DIV/0!</v>
      </c>
      <c r="G806" s="1" t="s">
        <v>3428</v>
      </c>
      <c r="H806" s="6">
        <v>42</v>
      </c>
      <c r="I806" s="2" t="s">
        <v>5</v>
      </c>
      <c r="J806" s="1" t="s">
        <v>15273</v>
      </c>
      <c r="K806" s="3" t="s">
        <v>3429</v>
      </c>
      <c r="L806" s="1"/>
      <c r="M806" s="1"/>
      <c r="N806" s="4" t="s">
        <v>16125</v>
      </c>
      <c r="O806" s="1"/>
      <c r="P806" s="1" t="s">
        <v>25</v>
      </c>
      <c r="Q806" s="16">
        <v>1</v>
      </c>
      <c r="R806" s="17">
        <v>1</v>
      </c>
      <c r="S806" s="3" t="s">
        <v>5561</v>
      </c>
      <c r="T806" s="1773"/>
      <c r="U806" s="1780"/>
      <c r="V806" s="1752"/>
    </row>
    <row r="807" spans="1:22" ht="12" customHeight="1">
      <c r="A807" s="1040" t="str">
        <f t="shared" si="13"/>
        <v>3703</v>
      </c>
      <c r="B807" s="1054" t="s">
        <v>16477</v>
      </c>
      <c r="C807" s="1064"/>
      <c r="D807" s="2">
        <v>1</v>
      </c>
      <c r="E807" s="4" t="s">
        <v>3454</v>
      </c>
      <c r="F807" s="1065" t="e">
        <f>IF(E807="","$",VLOOKUP(E807,'結果(小)'!$B$2:$F$1295,5,FALSE))</f>
        <v>#DIV/0!</v>
      </c>
      <c r="G807" s="1" t="s">
        <v>3456</v>
      </c>
      <c r="H807" s="6">
        <v>64</v>
      </c>
      <c r="I807" s="2" t="s">
        <v>5</v>
      </c>
      <c r="J807" s="1" t="s">
        <v>15273</v>
      </c>
      <c r="K807" s="3" t="s">
        <v>3457</v>
      </c>
      <c r="L807" s="1"/>
      <c r="M807" s="1"/>
      <c r="N807" s="4" t="s">
        <v>16125</v>
      </c>
      <c r="O807" s="1"/>
      <c r="P807" s="1" t="s">
        <v>25</v>
      </c>
      <c r="Q807" s="16">
        <v>2</v>
      </c>
      <c r="R807" s="17">
        <v>2</v>
      </c>
      <c r="S807" s="3" t="s">
        <v>5561</v>
      </c>
      <c r="T807" s="1773"/>
      <c r="U807" s="1780"/>
      <c r="V807" s="1752"/>
    </row>
    <row r="808" spans="1:22" ht="12" customHeight="1">
      <c r="A808" s="1040" t="str">
        <f t="shared" si="13"/>
        <v>3703</v>
      </c>
      <c r="B808" s="1054" t="s">
        <v>16478</v>
      </c>
      <c r="C808" s="1064"/>
      <c r="D808" s="2">
        <v>1</v>
      </c>
      <c r="E808" s="4" t="s">
        <v>3465</v>
      </c>
      <c r="F808" s="1065" t="e">
        <f>IF(E808="","$",VLOOKUP(E808,'結果(小)'!$B$2:$F$1295,5,FALSE))</f>
        <v>#DIV/0!</v>
      </c>
      <c r="G808" s="1" t="s">
        <v>3468</v>
      </c>
      <c r="H808" s="6">
        <v>61</v>
      </c>
      <c r="I808" s="2" t="s">
        <v>5</v>
      </c>
      <c r="J808" s="1" t="s">
        <v>15273</v>
      </c>
      <c r="K808" s="3" t="s">
        <v>3469</v>
      </c>
      <c r="L808" s="1"/>
      <c r="M808" s="1"/>
      <c r="N808" s="4" t="s">
        <v>16125</v>
      </c>
      <c r="O808" s="1"/>
      <c r="P808" s="1" t="s">
        <v>25</v>
      </c>
      <c r="Q808" s="16">
        <v>2</v>
      </c>
      <c r="R808" s="17">
        <v>2</v>
      </c>
      <c r="S808" s="3" t="s">
        <v>5561</v>
      </c>
      <c r="T808" s="1773"/>
      <c r="U808" s="1780"/>
      <c r="V808" s="1752"/>
    </row>
    <row r="809" spans="1:22" ht="12" customHeight="1">
      <c r="A809" s="1040" t="str">
        <f t="shared" si="13"/>
        <v>3703</v>
      </c>
      <c r="B809" s="1054" t="s">
        <v>16479</v>
      </c>
      <c r="C809" s="1064"/>
      <c r="D809" s="2">
        <v>1</v>
      </c>
      <c r="E809" s="4" t="s">
        <v>3536</v>
      </c>
      <c r="F809" s="1065" t="e">
        <f>IF(E809="","$",VLOOKUP(E809,'結果(小)'!$B$2:$F$1295,5,FALSE))</f>
        <v>#DIV/0!</v>
      </c>
      <c r="G809" s="1" t="s">
        <v>5084</v>
      </c>
      <c r="H809" s="6">
        <v>35</v>
      </c>
      <c r="I809" s="2" t="s">
        <v>19</v>
      </c>
      <c r="J809" s="1" t="s">
        <v>15273</v>
      </c>
      <c r="K809" s="3"/>
      <c r="L809" s="1"/>
      <c r="M809" s="1"/>
      <c r="N809" s="4" t="s">
        <v>16125</v>
      </c>
      <c r="O809" s="1"/>
      <c r="P809" s="1" t="s">
        <v>6</v>
      </c>
      <c r="Q809" s="16"/>
      <c r="R809" s="17"/>
      <c r="S809" s="3" t="s">
        <v>5561</v>
      </c>
      <c r="T809" s="1773"/>
      <c r="U809" s="1780"/>
      <c r="V809" s="1752"/>
    </row>
    <row r="810" spans="1:22" ht="12" customHeight="1">
      <c r="A810" s="1040" t="str">
        <f t="shared" si="13"/>
        <v>3703</v>
      </c>
      <c r="B810" s="1054" t="s">
        <v>16480</v>
      </c>
      <c r="C810" s="1064"/>
      <c r="D810" s="2">
        <v>1</v>
      </c>
      <c r="E810" s="4" t="s">
        <v>3583</v>
      </c>
      <c r="F810" s="1065" t="e">
        <f>IF(E810="","$",VLOOKUP(E810,'結果(小)'!$B$2:$F$1295,5,FALSE))</f>
        <v>#DIV/0!</v>
      </c>
      <c r="G810" s="1" t="s">
        <v>6202</v>
      </c>
      <c r="H810" s="6">
        <v>57</v>
      </c>
      <c r="I810" s="2" t="s">
        <v>5</v>
      </c>
      <c r="J810" s="1" t="s">
        <v>15273</v>
      </c>
      <c r="K810" s="3"/>
      <c r="L810" s="1"/>
      <c r="M810" s="1"/>
      <c r="N810" s="4" t="s">
        <v>16125</v>
      </c>
      <c r="O810" s="1"/>
      <c r="P810" s="1" t="s">
        <v>6</v>
      </c>
      <c r="Q810" s="16"/>
      <c r="R810" s="17"/>
      <c r="S810" s="3" t="s">
        <v>5561</v>
      </c>
      <c r="T810" s="1773"/>
      <c r="U810" s="1780"/>
      <c r="V810" s="1752"/>
    </row>
    <row r="811" spans="1:22" ht="12" customHeight="1">
      <c r="A811" s="1040" t="str">
        <f t="shared" si="13"/>
        <v>3703</v>
      </c>
      <c r="B811" s="1054" t="s">
        <v>16481</v>
      </c>
      <c r="C811" s="1064"/>
      <c r="D811" s="2">
        <v>1</v>
      </c>
      <c r="E811" s="4" t="s">
        <v>3691</v>
      </c>
      <c r="F811" s="1065" t="e">
        <f>IF(E811="","$",VLOOKUP(E811,'結果(小)'!$B$2:$F$1295,5,FALSE))</f>
        <v>#DIV/0!</v>
      </c>
      <c r="G811" s="1" t="s">
        <v>3700</v>
      </c>
      <c r="H811" s="6">
        <v>41</v>
      </c>
      <c r="I811" s="2" t="s">
        <v>5</v>
      </c>
      <c r="J811" s="1" t="s">
        <v>15273</v>
      </c>
      <c r="K811" s="3"/>
      <c r="L811" s="1" t="s">
        <v>373</v>
      </c>
      <c r="M811" s="1"/>
      <c r="N811" s="4" t="s">
        <v>16125</v>
      </c>
      <c r="O811" s="1"/>
      <c r="P811" s="1" t="s">
        <v>14</v>
      </c>
      <c r="Q811" s="16">
        <v>2</v>
      </c>
      <c r="R811" s="17">
        <v>4</v>
      </c>
      <c r="S811" s="3" t="s">
        <v>5561</v>
      </c>
      <c r="T811" s="1773"/>
      <c r="U811" s="1780"/>
      <c r="V811" s="1752"/>
    </row>
    <row r="812" spans="1:22" ht="12" customHeight="1">
      <c r="A812" s="1040" t="str">
        <f t="shared" si="13"/>
        <v>3703</v>
      </c>
      <c r="B812" s="1054" t="s">
        <v>16482</v>
      </c>
      <c r="C812" s="1064"/>
      <c r="D812" s="2">
        <v>13</v>
      </c>
      <c r="E812" s="2"/>
      <c r="F812" s="1065" t="str">
        <f>IF(E812="","$",VLOOKUP(E812,'結果(小)'!$B$2:$F$1295,5,FALSE))</f>
        <v>$</v>
      </c>
      <c r="G812" s="6" t="s">
        <v>3778</v>
      </c>
      <c r="H812" s="6">
        <v>67</v>
      </c>
      <c r="I812" s="6" t="s">
        <v>5</v>
      </c>
      <c r="J812" s="2" t="s">
        <v>6067</v>
      </c>
      <c r="K812" s="12" t="s">
        <v>3779</v>
      </c>
      <c r="L812" s="6"/>
      <c r="M812" s="19"/>
      <c r="N812" s="8" t="s">
        <v>16125</v>
      </c>
      <c r="O812" s="6"/>
      <c r="P812" s="6" t="s">
        <v>25</v>
      </c>
      <c r="Q812" s="13">
        <v>1</v>
      </c>
      <c r="R812" s="14">
        <v>1</v>
      </c>
      <c r="S812" s="12"/>
      <c r="T812" s="1773"/>
      <c r="U812" s="1780"/>
      <c r="V812" s="1752"/>
    </row>
    <row r="813" spans="1:22" ht="12" customHeight="1" thickBot="1">
      <c r="A813" s="916" t="str">
        <f t="shared" si="13"/>
        <v>3703</v>
      </c>
      <c r="B813" s="1098" t="s">
        <v>16483</v>
      </c>
      <c r="C813" s="1075"/>
      <c r="D813" s="702">
        <v>14</v>
      </c>
      <c r="E813" s="702"/>
      <c r="F813" s="1071" t="str">
        <f>IF(E813="","$",VLOOKUP(E813,'結果(小)'!$B$2:$F$1295,5,FALSE))</f>
        <v>$</v>
      </c>
      <c r="G813" s="702" t="s">
        <v>5584</v>
      </c>
      <c r="H813" s="701">
        <v>32</v>
      </c>
      <c r="I813" s="702" t="s">
        <v>19</v>
      </c>
      <c r="J813" s="702" t="s">
        <v>6067</v>
      </c>
      <c r="K813" s="720" t="s">
        <v>5585</v>
      </c>
      <c r="L813" s="702"/>
      <c r="M813" s="702"/>
      <c r="N813" s="770" t="s">
        <v>16125</v>
      </c>
      <c r="O813" s="702"/>
      <c r="P813" s="702" t="s">
        <v>25</v>
      </c>
      <c r="Q813" s="721">
        <v>1</v>
      </c>
      <c r="R813" s="722">
        <v>1</v>
      </c>
      <c r="S813" s="720"/>
      <c r="T813" s="1774"/>
      <c r="U813" s="1776"/>
      <c r="V813" s="1753"/>
    </row>
    <row r="814" spans="1:22" ht="12" customHeight="1">
      <c r="A814" s="1038" t="str">
        <f t="shared" si="13"/>
        <v>3704</v>
      </c>
      <c r="B814" s="1081" t="s">
        <v>3782</v>
      </c>
      <c r="C814" s="1073"/>
      <c r="D814" s="696">
        <v>1</v>
      </c>
      <c r="E814" s="696"/>
      <c r="F814" s="1068" t="str">
        <f>IF(E814="","$",VLOOKUP(E814,'結果(小)'!$B$2:$F$1295,5,FALSE))</f>
        <v>$</v>
      </c>
      <c r="G814" s="690" t="s">
        <v>3786</v>
      </c>
      <c r="H814" s="690">
        <v>54</v>
      </c>
      <c r="I814" s="690" t="s">
        <v>5</v>
      </c>
      <c r="J814" s="696" t="s">
        <v>6067</v>
      </c>
      <c r="K814" s="735" t="s">
        <v>3787</v>
      </c>
      <c r="L814" s="690"/>
      <c r="M814" s="736"/>
      <c r="N814" s="692" t="s">
        <v>16118</v>
      </c>
      <c r="O814" s="690"/>
      <c r="P814" s="690" t="s">
        <v>25</v>
      </c>
      <c r="Q814" s="737">
        <v>2</v>
      </c>
      <c r="R814" s="738">
        <v>2</v>
      </c>
      <c r="S814" s="735"/>
      <c r="T814" s="1763"/>
      <c r="U814" s="1775"/>
      <c r="V814" s="1751" t="e">
        <f>U814/SUM(U718:U882)</f>
        <v>#DIV/0!</v>
      </c>
    </row>
    <row r="815" spans="1:22" ht="12" customHeight="1">
      <c r="A815" s="1040" t="str">
        <f t="shared" si="13"/>
        <v>3704</v>
      </c>
      <c r="B815" s="1055" t="s">
        <v>3783</v>
      </c>
      <c r="C815" s="1064"/>
      <c r="D815" s="2">
        <v>2</v>
      </c>
      <c r="E815" s="2"/>
      <c r="F815" s="1065" t="str">
        <f>IF(E815="","$",VLOOKUP(E815,'結果(小)'!$B$2:$F$1295,5,FALSE))</f>
        <v>$</v>
      </c>
      <c r="G815" s="2" t="s">
        <v>3790</v>
      </c>
      <c r="H815" s="6">
        <v>49</v>
      </c>
      <c r="I815" s="2" t="s">
        <v>19</v>
      </c>
      <c r="J815" s="2" t="s">
        <v>6067</v>
      </c>
      <c r="K815" s="22"/>
      <c r="L815" s="2"/>
      <c r="M815" s="2"/>
      <c r="N815" s="23" t="s">
        <v>16118</v>
      </c>
      <c r="O815" s="2"/>
      <c r="P815" s="2" t="s">
        <v>6</v>
      </c>
      <c r="Q815" s="24"/>
      <c r="R815" s="25">
        <v>2</v>
      </c>
      <c r="S815" s="22"/>
      <c r="T815" s="1764"/>
      <c r="U815" s="1780"/>
      <c r="V815" s="1752"/>
    </row>
    <row r="816" spans="1:22" ht="12" customHeight="1">
      <c r="A816" s="1040" t="str">
        <f t="shared" si="13"/>
        <v>3704</v>
      </c>
      <c r="B816" s="1055" t="s">
        <v>3784</v>
      </c>
      <c r="C816" s="1064"/>
      <c r="D816" s="2">
        <v>3</v>
      </c>
      <c r="E816" s="2"/>
      <c r="F816" s="1065" t="str">
        <f>IF(E816="","$",VLOOKUP(E816,'結果(小)'!$B$2:$F$1295,5,FALSE))</f>
        <v>$</v>
      </c>
      <c r="G816" s="6" t="s">
        <v>3797</v>
      </c>
      <c r="H816" s="6">
        <v>41</v>
      </c>
      <c r="I816" s="6" t="s">
        <v>5</v>
      </c>
      <c r="J816" s="2" t="s">
        <v>6067</v>
      </c>
      <c r="K816" s="12"/>
      <c r="L816" s="6"/>
      <c r="M816" s="19"/>
      <c r="N816" s="8" t="s">
        <v>16118</v>
      </c>
      <c r="O816" s="6"/>
      <c r="P816" s="6" t="s">
        <v>6</v>
      </c>
      <c r="Q816" s="13"/>
      <c r="R816" s="14"/>
      <c r="S816" s="12"/>
      <c r="T816" s="1764"/>
      <c r="U816" s="1780"/>
      <c r="V816" s="1752"/>
    </row>
    <row r="817" spans="1:22" ht="12" customHeight="1">
      <c r="A817" s="1040" t="str">
        <f t="shared" si="13"/>
        <v>3704</v>
      </c>
      <c r="B817" s="1055" t="s">
        <v>3785</v>
      </c>
      <c r="C817" s="1064"/>
      <c r="D817" s="2">
        <v>4</v>
      </c>
      <c r="E817" s="2"/>
      <c r="F817" s="1065" t="str">
        <f>IF(E817="","$",VLOOKUP(E817,'結果(小)'!$B$2:$F$1295,5,FALSE))</f>
        <v>$</v>
      </c>
      <c r="G817" s="2" t="s">
        <v>3799</v>
      </c>
      <c r="H817" s="6">
        <v>37</v>
      </c>
      <c r="I817" s="2" t="s">
        <v>5</v>
      </c>
      <c r="J817" s="2" t="s">
        <v>6067</v>
      </c>
      <c r="K817" s="22"/>
      <c r="L817" s="2"/>
      <c r="M817" s="2"/>
      <c r="N817" s="23" t="s">
        <v>16118</v>
      </c>
      <c r="O817" s="2"/>
      <c r="P817" s="2" t="s">
        <v>6</v>
      </c>
      <c r="Q817" s="24"/>
      <c r="R817" s="25"/>
      <c r="S817" s="22"/>
      <c r="T817" s="1764"/>
      <c r="U817" s="1780"/>
      <c r="V817" s="1752"/>
    </row>
    <row r="818" spans="1:22" ht="12" customHeight="1">
      <c r="A818" s="1040" t="str">
        <f t="shared" si="13"/>
        <v>3704</v>
      </c>
      <c r="B818" s="1055" t="s">
        <v>5918</v>
      </c>
      <c r="C818" s="1064"/>
      <c r="D818" s="2">
        <v>5</v>
      </c>
      <c r="E818" s="2"/>
      <c r="F818" s="1065" t="str">
        <f>IF(E818="","$",VLOOKUP(E818,'結果(小)'!$B$2:$F$1295,5,FALSE))</f>
        <v>$</v>
      </c>
      <c r="G818" s="2" t="s">
        <v>5921</v>
      </c>
      <c r="H818" s="6">
        <v>53</v>
      </c>
      <c r="I818" s="2" t="s">
        <v>5</v>
      </c>
      <c r="J818" s="2" t="s">
        <v>6067</v>
      </c>
      <c r="K818" s="22"/>
      <c r="L818" s="2"/>
      <c r="M818" s="2"/>
      <c r="N818" s="8" t="s">
        <v>16118</v>
      </c>
      <c r="O818" s="2"/>
      <c r="P818" s="2" t="s">
        <v>6</v>
      </c>
      <c r="Q818" s="24"/>
      <c r="R818" s="25"/>
      <c r="S818" s="22"/>
      <c r="T818" s="1764"/>
      <c r="U818" s="1780"/>
      <c r="V818" s="1752"/>
    </row>
    <row r="819" spans="1:22" ht="12" customHeight="1">
      <c r="A819" s="1040" t="str">
        <f t="shared" si="13"/>
        <v>3704</v>
      </c>
      <c r="B819" s="1055" t="s">
        <v>5919</v>
      </c>
      <c r="C819" s="1064"/>
      <c r="D819" s="2">
        <v>6</v>
      </c>
      <c r="E819" s="2"/>
      <c r="F819" s="1065" t="str">
        <f>IF(E819="","$",VLOOKUP(E819,'結果(小)'!$B$2:$F$1295,5,FALSE))</f>
        <v>$</v>
      </c>
      <c r="G819" s="2" t="s">
        <v>5922</v>
      </c>
      <c r="H819" s="6">
        <v>56</v>
      </c>
      <c r="I819" s="2" t="s">
        <v>5</v>
      </c>
      <c r="J819" s="2" t="s">
        <v>6067</v>
      </c>
      <c r="K819" s="22"/>
      <c r="L819" s="2"/>
      <c r="M819" s="2"/>
      <c r="N819" s="8" t="s">
        <v>16118</v>
      </c>
      <c r="O819" s="2"/>
      <c r="P819" s="2" t="s">
        <v>6</v>
      </c>
      <c r="Q819" s="24"/>
      <c r="R819" s="25"/>
      <c r="S819" s="22"/>
      <c r="T819" s="1764"/>
      <c r="U819" s="1780"/>
      <c r="V819" s="1752"/>
    </row>
    <row r="820" spans="1:22" ht="12" customHeight="1" thickBot="1">
      <c r="A820" s="916" t="str">
        <f t="shared" si="13"/>
        <v>3704</v>
      </c>
      <c r="B820" s="1082" t="s">
        <v>5920</v>
      </c>
      <c r="C820" s="1075"/>
      <c r="D820" s="702">
        <v>7</v>
      </c>
      <c r="E820" s="702"/>
      <c r="F820" s="1071" t="str">
        <f>IF(E820="","$",VLOOKUP(E820,'結果(小)'!$B$2:$F$1295,5,FALSE))</f>
        <v>$</v>
      </c>
      <c r="G820" s="702" t="s">
        <v>5924</v>
      </c>
      <c r="H820" s="701">
        <v>54</v>
      </c>
      <c r="I820" s="702" t="s">
        <v>5</v>
      </c>
      <c r="J820" s="702" t="s">
        <v>6067</v>
      </c>
      <c r="K820" s="720"/>
      <c r="L820" s="702"/>
      <c r="M820" s="702"/>
      <c r="N820" s="770" t="s">
        <v>16118</v>
      </c>
      <c r="O820" s="702"/>
      <c r="P820" s="702" t="s">
        <v>6</v>
      </c>
      <c r="Q820" s="721"/>
      <c r="R820" s="722"/>
      <c r="S820" s="720"/>
      <c r="T820" s="1765"/>
      <c r="U820" s="1776"/>
      <c r="V820" s="1753"/>
    </row>
    <row r="821" spans="1:22" ht="12" customHeight="1">
      <c r="A821" s="1038" t="str">
        <f t="shared" si="13"/>
        <v>3705</v>
      </c>
      <c r="B821" s="1083" t="s">
        <v>5680</v>
      </c>
      <c r="C821" s="1073"/>
      <c r="D821" s="696">
        <v>1</v>
      </c>
      <c r="E821" s="696"/>
      <c r="F821" s="1068" t="str">
        <f>IF(E821="","$",VLOOKUP(E821,'結果(小)'!$B$2:$F$1295,5,FALSE))</f>
        <v>$</v>
      </c>
      <c r="G821" s="696" t="s">
        <v>5806</v>
      </c>
      <c r="H821" s="690">
        <v>55</v>
      </c>
      <c r="I821" s="696" t="s">
        <v>5</v>
      </c>
      <c r="J821" s="696" t="s">
        <v>6067</v>
      </c>
      <c r="K821" s="715"/>
      <c r="L821" s="696"/>
      <c r="M821" s="696"/>
      <c r="N821" s="736" t="s">
        <v>16130</v>
      </c>
      <c r="O821" s="696" t="s">
        <v>4997</v>
      </c>
      <c r="P821" s="696" t="s">
        <v>6</v>
      </c>
      <c r="Q821" s="717"/>
      <c r="R821" s="718">
        <v>2</v>
      </c>
      <c r="S821" s="715"/>
      <c r="T821" s="1766"/>
      <c r="U821" s="1775"/>
      <c r="V821" s="1751" t="e">
        <f>U821/SUM(U718:U882)</f>
        <v>#DIV/0!</v>
      </c>
    </row>
    <row r="822" spans="1:22" ht="12" customHeight="1">
      <c r="A822" s="1040" t="str">
        <f t="shared" si="13"/>
        <v>3705</v>
      </c>
      <c r="B822" s="1056" t="s">
        <v>5805</v>
      </c>
      <c r="C822" s="1064"/>
      <c r="D822" s="2">
        <v>2</v>
      </c>
      <c r="E822" s="2"/>
      <c r="F822" s="1065" t="str">
        <f>IF(E822="","$",VLOOKUP(E822,'結果(小)'!$B$2:$F$1295,5,FALSE))</f>
        <v>$</v>
      </c>
      <c r="G822" s="2" t="s">
        <v>5288</v>
      </c>
      <c r="H822" s="6">
        <v>64</v>
      </c>
      <c r="I822" s="2" t="s">
        <v>5</v>
      </c>
      <c r="J822" s="2" t="s">
        <v>6067</v>
      </c>
      <c r="K822" s="22"/>
      <c r="L822" s="2"/>
      <c r="M822" s="2"/>
      <c r="N822" s="19" t="s">
        <v>16130</v>
      </c>
      <c r="O822" s="2" t="s">
        <v>4993</v>
      </c>
      <c r="P822" s="2" t="s">
        <v>14</v>
      </c>
      <c r="Q822" s="24">
        <v>5</v>
      </c>
      <c r="R822" s="25">
        <v>5</v>
      </c>
      <c r="S822" s="22"/>
      <c r="T822" s="1767"/>
      <c r="U822" s="1780"/>
      <c r="V822" s="1752"/>
    </row>
    <row r="823" spans="1:22" ht="12" customHeight="1">
      <c r="A823" s="1040" t="str">
        <f t="shared" si="13"/>
        <v>3705</v>
      </c>
      <c r="B823" s="1056" t="s">
        <v>16486</v>
      </c>
      <c r="C823" s="1064"/>
      <c r="D823" s="2">
        <v>3</v>
      </c>
      <c r="E823" s="4" t="s">
        <v>3202</v>
      </c>
      <c r="F823" s="1065" t="e">
        <f>IF(E823="","$",VLOOKUP(E823,'結果(小)'!$B$2:$F$1295,5,FALSE))</f>
        <v>#DIV/0!</v>
      </c>
      <c r="G823" s="1" t="s">
        <v>4413</v>
      </c>
      <c r="H823" s="6">
        <v>41</v>
      </c>
      <c r="I823" s="2" t="s">
        <v>5</v>
      </c>
      <c r="J823" s="1" t="s">
        <v>15273</v>
      </c>
      <c r="K823" s="3"/>
      <c r="L823" s="1"/>
      <c r="M823" s="1"/>
      <c r="N823" s="4" t="s">
        <v>16116</v>
      </c>
      <c r="O823" s="1" t="s">
        <v>276</v>
      </c>
      <c r="P823" s="1" t="s">
        <v>6</v>
      </c>
      <c r="Q823" s="16"/>
      <c r="R823" s="17"/>
      <c r="S823" s="3"/>
      <c r="T823" s="1767"/>
      <c r="U823" s="1780"/>
      <c r="V823" s="1752"/>
    </row>
    <row r="824" spans="1:22" ht="12" customHeight="1">
      <c r="A824" s="1040" t="str">
        <f t="shared" si="13"/>
        <v>3705</v>
      </c>
      <c r="B824" s="1056" t="s">
        <v>16487</v>
      </c>
      <c r="C824" s="1064"/>
      <c r="D824" s="2">
        <v>3</v>
      </c>
      <c r="E824" s="4" t="s">
        <v>3347</v>
      </c>
      <c r="F824" s="1065" t="e">
        <f>IF(E824="","$",VLOOKUP(E824,'結果(小)'!$B$2:$F$1295,5,FALSE))</f>
        <v>#DIV/0!</v>
      </c>
      <c r="G824" s="1" t="s">
        <v>3355</v>
      </c>
      <c r="H824" s="6">
        <v>41</v>
      </c>
      <c r="I824" s="2" t="s">
        <v>5</v>
      </c>
      <c r="J824" s="1" t="s">
        <v>15273</v>
      </c>
      <c r="K824" s="3" t="s">
        <v>3356</v>
      </c>
      <c r="L824" s="1"/>
      <c r="M824" s="1"/>
      <c r="N824" s="4" t="s">
        <v>16116</v>
      </c>
      <c r="O824" s="1" t="s">
        <v>276</v>
      </c>
      <c r="P824" s="1" t="s">
        <v>25</v>
      </c>
      <c r="Q824" s="16">
        <v>3</v>
      </c>
      <c r="R824" s="17">
        <v>3</v>
      </c>
      <c r="S824" s="3" t="s">
        <v>18564</v>
      </c>
      <c r="T824" s="1767"/>
      <c r="U824" s="1780"/>
      <c r="V824" s="1752"/>
    </row>
    <row r="825" spans="1:22" ht="12" customHeight="1">
      <c r="A825" s="1040" t="str">
        <f t="shared" si="13"/>
        <v>3705</v>
      </c>
      <c r="B825" s="1056" t="s">
        <v>16488</v>
      </c>
      <c r="C825" s="1064"/>
      <c r="D825" s="2">
        <v>3</v>
      </c>
      <c r="E825" s="4" t="s">
        <v>3391</v>
      </c>
      <c r="F825" s="1065" t="e">
        <f>IF(E825="","$",VLOOKUP(E825,'結果(小)'!$B$2:$F$1295,5,FALSE))</f>
        <v>#DIV/0!</v>
      </c>
      <c r="G825" s="1" t="s">
        <v>5331</v>
      </c>
      <c r="H825" s="6">
        <v>43</v>
      </c>
      <c r="I825" s="2" t="s">
        <v>5</v>
      </c>
      <c r="J825" s="1" t="s">
        <v>15273</v>
      </c>
      <c r="K825" s="3"/>
      <c r="L825" s="1"/>
      <c r="M825" s="1"/>
      <c r="N825" s="4" t="s">
        <v>16116</v>
      </c>
      <c r="O825" s="1" t="s">
        <v>276</v>
      </c>
      <c r="P825" s="1" t="s">
        <v>6</v>
      </c>
      <c r="Q825" s="16"/>
      <c r="R825" s="17"/>
      <c r="S825" s="3"/>
      <c r="T825" s="1767"/>
      <c r="U825" s="1780"/>
      <c r="V825" s="1752"/>
    </row>
    <row r="826" spans="1:22" ht="12" customHeight="1">
      <c r="A826" s="1040" t="str">
        <f t="shared" si="13"/>
        <v>3705</v>
      </c>
      <c r="B826" s="1056" t="s">
        <v>16489</v>
      </c>
      <c r="C826" s="1064"/>
      <c r="D826" s="2">
        <v>3</v>
      </c>
      <c r="E826" s="4" t="s">
        <v>3402</v>
      </c>
      <c r="F826" s="1065" t="e">
        <f>IF(E826="","$",VLOOKUP(E826,'結果(小)'!$B$2:$F$1295,5,FALSE))</f>
        <v>#DIV/0!</v>
      </c>
      <c r="G826" s="1" t="s">
        <v>3411</v>
      </c>
      <c r="H826" s="6">
        <v>65</v>
      </c>
      <c r="I826" s="2" t="s">
        <v>5</v>
      </c>
      <c r="J826" s="1" t="s">
        <v>15273</v>
      </c>
      <c r="K826" s="3" t="s">
        <v>3412</v>
      </c>
      <c r="L826" s="1"/>
      <c r="M826" s="1"/>
      <c r="N826" s="4" t="s">
        <v>16116</v>
      </c>
      <c r="O826" s="1" t="s">
        <v>276</v>
      </c>
      <c r="P826" s="1" t="s">
        <v>25</v>
      </c>
      <c r="Q826" s="16">
        <v>5</v>
      </c>
      <c r="R826" s="17">
        <v>7</v>
      </c>
      <c r="S826" s="3" t="s">
        <v>18564</v>
      </c>
      <c r="T826" s="1767"/>
      <c r="U826" s="1780"/>
      <c r="V826" s="1752"/>
    </row>
    <row r="827" spans="1:22" ht="12" customHeight="1">
      <c r="A827" s="1040" t="str">
        <f t="shared" si="13"/>
        <v>3705</v>
      </c>
      <c r="B827" s="1056" t="s">
        <v>16490</v>
      </c>
      <c r="C827" s="1064"/>
      <c r="D827" s="2">
        <v>3</v>
      </c>
      <c r="E827" s="4" t="s">
        <v>3419</v>
      </c>
      <c r="F827" s="1065" t="e">
        <f>IF(E827="","$",VLOOKUP(E827,'結果(小)'!$B$2:$F$1295,5,FALSE))</f>
        <v>#DIV/0!</v>
      </c>
      <c r="G827" s="1" t="s">
        <v>4414</v>
      </c>
      <c r="H827" s="6">
        <v>39</v>
      </c>
      <c r="I827" s="2" t="s">
        <v>5</v>
      </c>
      <c r="J827" s="1" t="s">
        <v>15273</v>
      </c>
      <c r="K827" s="3"/>
      <c r="L827" s="1"/>
      <c r="M827" s="1"/>
      <c r="N827" s="4" t="s">
        <v>16116</v>
      </c>
      <c r="O827" s="1" t="s">
        <v>276</v>
      </c>
      <c r="P827" s="1" t="s">
        <v>6</v>
      </c>
      <c r="Q827" s="16"/>
      <c r="R827" s="17"/>
      <c r="S827" s="3"/>
      <c r="T827" s="1767"/>
      <c r="U827" s="1780"/>
      <c r="V827" s="1752"/>
    </row>
    <row r="828" spans="1:22" ht="12" customHeight="1">
      <c r="A828" s="1040" t="str">
        <f t="shared" si="13"/>
        <v>3705</v>
      </c>
      <c r="B828" s="1056" t="s">
        <v>16491</v>
      </c>
      <c r="C828" s="1064"/>
      <c r="D828" s="2">
        <v>3</v>
      </c>
      <c r="E828" s="4" t="s">
        <v>3455</v>
      </c>
      <c r="F828" s="1065" t="e">
        <f>IF(E828="","$",VLOOKUP(E828,'結果(小)'!$B$2:$F$1295,5,FALSE))</f>
        <v>#DIV/0!</v>
      </c>
      <c r="G828" s="1" t="s">
        <v>4417</v>
      </c>
      <c r="H828" s="6">
        <v>47</v>
      </c>
      <c r="I828" s="2" t="s">
        <v>5</v>
      </c>
      <c r="J828" s="1" t="s">
        <v>15273</v>
      </c>
      <c r="K828" s="3"/>
      <c r="L828" s="1"/>
      <c r="M828" s="1"/>
      <c r="N828" s="4" t="s">
        <v>16116</v>
      </c>
      <c r="O828" s="1" t="s">
        <v>276</v>
      </c>
      <c r="P828" s="1" t="s">
        <v>6</v>
      </c>
      <c r="Q828" s="16"/>
      <c r="R828" s="17"/>
      <c r="S828" s="3"/>
      <c r="T828" s="1767"/>
      <c r="U828" s="1780"/>
      <c r="V828" s="1752"/>
    </row>
    <row r="829" spans="1:22" ht="12" customHeight="1">
      <c r="A829" s="1040" t="str">
        <f t="shared" si="13"/>
        <v>3705</v>
      </c>
      <c r="B829" s="1056" t="s">
        <v>16492</v>
      </c>
      <c r="C829" s="1064"/>
      <c r="D829" s="2">
        <v>3</v>
      </c>
      <c r="E829" s="4" t="s">
        <v>3565</v>
      </c>
      <c r="F829" s="1065" t="e">
        <f>IF(E829="","$",VLOOKUP(E829,'結果(小)'!$B$2:$F$1295,5,FALSE))</f>
        <v>#DIV/0!</v>
      </c>
      <c r="G829" s="1" t="s">
        <v>5098</v>
      </c>
      <c r="H829" s="6">
        <v>46</v>
      </c>
      <c r="I829" s="2" t="s">
        <v>19</v>
      </c>
      <c r="J829" s="1" t="s">
        <v>15273</v>
      </c>
      <c r="K829" s="3"/>
      <c r="L829" s="1"/>
      <c r="M829" s="1"/>
      <c r="N829" s="4" t="s">
        <v>16116</v>
      </c>
      <c r="O829" s="1" t="s">
        <v>4993</v>
      </c>
      <c r="P829" s="1" t="s">
        <v>6</v>
      </c>
      <c r="Q829" s="16"/>
      <c r="R829" s="17"/>
      <c r="S829" s="3" t="s">
        <v>469</v>
      </c>
      <c r="T829" s="1767"/>
      <c r="U829" s="1780"/>
      <c r="V829" s="1752"/>
    </row>
    <row r="830" spans="1:22" ht="12" customHeight="1">
      <c r="A830" s="1040" t="str">
        <f t="shared" si="13"/>
        <v>3705</v>
      </c>
      <c r="B830" s="1056" t="s">
        <v>16493</v>
      </c>
      <c r="C830" s="1064"/>
      <c r="D830" s="2">
        <v>3</v>
      </c>
      <c r="E830" s="4" t="s">
        <v>3745</v>
      </c>
      <c r="F830" s="1065" t="e">
        <f>IF(E830="","$",VLOOKUP(E830,'結果(小)'!$B$2:$F$1295,5,FALSE))</f>
        <v>#DIV/0!</v>
      </c>
      <c r="G830" s="1" t="s">
        <v>3746</v>
      </c>
      <c r="H830" s="6">
        <v>49</v>
      </c>
      <c r="I830" s="2" t="s">
        <v>5</v>
      </c>
      <c r="J830" s="1" t="s">
        <v>15273</v>
      </c>
      <c r="K830" s="3" t="s">
        <v>3747</v>
      </c>
      <c r="L830" s="1"/>
      <c r="M830" s="1"/>
      <c r="N830" s="4" t="s">
        <v>16116</v>
      </c>
      <c r="O830" s="1" t="s">
        <v>4422</v>
      </c>
      <c r="P830" s="1" t="s">
        <v>25</v>
      </c>
      <c r="Q830" s="16">
        <v>1</v>
      </c>
      <c r="R830" s="17">
        <v>1</v>
      </c>
      <c r="S830" s="3" t="s">
        <v>18564</v>
      </c>
      <c r="T830" s="1767"/>
      <c r="U830" s="1780"/>
      <c r="V830" s="1752"/>
    </row>
    <row r="831" spans="1:22" ht="12" customHeight="1">
      <c r="A831" s="1040" t="str">
        <f t="shared" si="13"/>
        <v>3705</v>
      </c>
      <c r="B831" s="1056" t="s">
        <v>15660</v>
      </c>
      <c r="C831" s="1064"/>
      <c r="D831" s="2">
        <v>11</v>
      </c>
      <c r="E831" s="2"/>
      <c r="F831" s="1065" t="str">
        <f>IF(E831="","$",VLOOKUP(E831,'結果(小)'!$B$2:$F$1295,5,FALSE))</f>
        <v>$</v>
      </c>
      <c r="G831" s="6" t="s">
        <v>6015</v>
      </c>
      <c r="H831" s="6">
        <v>62</v>
      </c>
      <c r="I831" s="6" t="s">
        <v>5</v>
      </c>
      <c r="J831" s="2" t="s">
        <v>6067</v>
      </c>
      <c r="K831" s="19"/>
      <c r="L831" s="6"/>
      <c r="M831" s="19"/>
      <c r="N831" s="19" t="s">
        <v>16130</v>
      </c>
      <c r="O831" s="6" t="s">
        <v>4993</v>
      </c>
      <c r="P831" s="6" t="s">
        <v>6</v>
      </c>
      <c r="Q831" s="13"/>
      <c r="R831" s="14"/>
      <c r="S831" s="12"/>
      <c r="T831" s="1767"/>
      <c r="U831" s="1780"/>
      <c r="V831" s="1752"/>
    </row>
    <row r="832" spans="1:22" ht="12" customHeight="1">
      <c r="A832" s="1040" t="str">
        <f t="shared" si="13"/>
        <v>3705</v>
      </c>
      <c r="B832" s="1056" t="s">
        <v>16494</v>
      </c>
      <c r="C832" s="1064"/>
      <c r="D832" s="2">
        <v>12</v>
      </c>
      <c r="E832" s="4" t="s">
        <v>3027</v>
      </c>
      <c r="F832" s="1065" t="e">
        <f>IF(E832="","$",VLOOKUP(E832,'結果(小)'!$B$2:$F$1295,5,FALSE))</f>
        <v>#DIV/0!</v>
      </c>
      <c r="G832" s="1" t="s">
        <v>5027</v>
      </c>
      <c r="H832" s="6">
        <v>49</v>
      </c>
      <c r="I832" s="2" t="s">
        <v>5</v>
      </c>
      <c r="J832" s="1" t="s">
        <v>15273</v>
      </c>
      <c r="K832" s="3"/>
      <c r="L832" s="1"/>
      <c r="M832" s="1"/>
      <c r="N832" s="4" t="s">
        <v>16116</v>
      </c>
      <c r="O832" s="1" t="s">
        <v>4997</v>
      </c>
      <c r="P832" s="1" t="s">
        <v>6</v>
      </c>
      <c r="Q832" s="16"/>
      <c r="R832" s="17"/>
      <c r="S832" s="3" t="s">
        <v>469</v>
      </c>
      <c r="T832" s="1767"/>
      <c r="U832" s="1780"/>
      <c r="V832" s="1752"/>
    </row>
    <row r="833" spans="1:22" ht="12" customHeight="1">
      <c r="A833" s="1040" t="str">
        <f t="shared" si="13"/>
        <v>3705</v>
      </c>
      <c r="B833" s="1056" t="s">
        <v>16495</v>
      </c>
      <c r="C833" s="1064"/>
      <c r="D833" s="2">
        <v>12</v>
      </c>
      <c r="E833" s="4" t="s">
        <v>3061</v>
      </c>
      <c r="F833" s="1065" t="e">
        <f>IF(E833="","$",VLOOKUP(E833,'結果(小)'!$B$2:$F$1295,5,FALSE))</f>
        <v>#DIV/0!</v>
      </c>
      <c r="G833" s="1" t="s">
        <v>5419</v>
      </c>
      <c r="H833" s="6">
        <v>44</v>
      </c>
      <c r="I833" s="2" t="s">
        <v>5</v>
      </c>
      <c r="J833" s="1" t="s">
        <v>15273</v>
      </c>
      <c r="K833" s="3"/>
      <c r="L833" s="1"/>
      <c r="M833" s="1"/>
      <c r="N833" s="4" t="s">
        <v>16116</v>
      </c>
      <c r="O833" s="1" t="s">
        <v>4997</v>
      </c>
      <c r="P833" s="1" t="s">
        <v>6</v>
      </c>
      <c r="Q833" s="16"/>
      <c r="R833" s="17"/>
      <c r="S833" s="3" t="s">
        <v>469</v>
      </c>
      <c r="T833" s="1767"/>
      <c r="U833" s="1780"/>
      <c r="V833" s="1752"/>
    </row>
    <row r="834" spans="1:22" ht="12" customHeight="1">
      <c r="A834" s="1040" t="str">
        <f t="shared" si="13"/>
        <v>3705</v>
      </c>
      <c r="B834" s="1056" t="s">
        <v>16496</v>
      </c>
      <c r="C834" s="1064"/>
      <c r="D834" s="2">
        <v>12</v>
      </c>
      <c r="E834" s="4" t="s">
        <v>3075</v>
      </c>
      <c r="F834" s="1065" t="e">
        <f>IF(E834="","$",VLOOKUP(E834,'結果(小)'!$B$2:$F$1295,5,FALSE))</f>
        <v>#DIV/0!</v>
      </c>
      <c r="G834" s="1" t="s">
        <v>5030</v>
      </c>
      <c r="H834" s="6">
        <v>39</v>
      </c>
      <c r="I834" s="2" t="s">
        <v>5</v>
      </c>
      <c r="J834" s="1" t="s">
        <v>15273</v>
      </c>
      <c r="K834" s="3"/>
      <c r="L834" s="1"/>
      <c r="M834" s="1"/>
      <c r="N834" s="4" t="s">
        <v>16116</v>
      </c>
      <c r="O834" s="1" t="s">
        <v>276</v>
      </c>
      <c r="P834" s="1" t="s">
        <v>6</v>
      </c>
      <c r="Q834" s="16"/>
      <c r="R834" s="17"/>
      <c r="S834" s="3" t="s">
        <v>469</v>
      </c>
      <c r="T834" s="1767"/>
      <c r="U834" s="1780"/>
      <c r="V834" s="1752"/>
    </row>
    <row r="835" spans="1:22" ht="12" customHeight="1">
      <c r="A835" s="1040" t="str">
        <f t="shared" ref="A835:A898" si="14">MIDB(B835,1,4)</f>
        <v>3705</v>
      </c>
      <c r="B835" s="1056" t="s">
        <v>16497</v>
      </c>
      <c r="C835" s="1064"/>
      <c r="D835" s="2">
        <v>12</v>
      </c>
      <c r="E835" s="4" t="s">
        <v>3096</v>
      </c>
      <c r="F835" s="1065" t="e">
        <f>IF(E835="","$",VLOOKUP(E835,'結果(小)'!$B$2:$F$1295,5,FALSE))</f>
        <v>#DIV/0!</v>
      </c>
      <c r="G835" s="1" t="s">
        <v>5627</v>
      </c>
      <c r="H835" s="6">
        <v>60</v>
      </c>
      <c r="I835" s="2" t="s">
        <v>5</v>
      </c>
      <c r="J835" s="1" t="s">
        <v>15273</v>
      </c>
      <c r="K835" s="3"/>
      <c r="L835" s="1"/>
      <c r="M835" s="1"/>
      <c r="N835" s="4" t="s">
        <v>16116</v>
      </c>
      <c r="O835" s="1" t="s">
        <v>276</v>
      </c>
      <c r="P835" s="1" t="s">
        <v>6</v>
      </c>
      <c r="Q835" s="16"/>
      <c r="R835" s="17"/>
      <c r="S835" s="3"/>
      <c r="T835" s="1767"/>
      <c r="U835" s="1780"/>
      <c r="V835" s="1752"/>
    </row>
    <row r="836" spans="1:22" ht="12" customHeight="1">
      <c r="A836" s="1040" t="str">
        <f t="shared" si="14"/>
        <v>3705</v>
      </c>
      <c r="B836" s="1056" t="s">
        <v>16498</v>
      </c>
      <c r="C836" s="1064"/>
      <c r="D836" s="2">
        <v>12</v>
      </c>
      <c r="E836" s="4" t="s">
        <v>3130</v>
      </c>
      <c r="F836" s="1065" t="e">
        <f>IF(E836="","$",VLOOKUP(E836,'結果(小)'!$B$2:$F$1295,5,FALSE))</f>
        <v>#DIV/0!</v>
      </c>
      <c r="G836" s="1" t="s">
        <v>5522</v>
      </c>
      <c r="H836" s="6">
        <v>47</v>
      </c>
      <c r="I836" s="2" t="s">
        <v>5</v>
      </c>
      <c r="J836" s="1" t="s">
        <v>15273</v>
      </c>
      <c r="K836" s="3"/>
      <c r="L836" s="1"/>
      <c r="M836" s="1"/>
      <c r="N836" s="4" t="s">
        <v>16116</v>
      </c>
      <c r="O836" s="1" t="s">
        <v>4997</v>
      </c>
      <c r="P836" s="1" t="s">
        <v>6</v>
      </c>
      <c r="Q836" s="16"/>
      <c r="R836" s="17"/>
      <c r="S836" s="3" t="s">
        <v>469</v>
      </c>
      <c r="T836" s="1767"/>
      <c r="U836" s="1780"/>
      <c r="V836" s="1752"/>
    </row>
    <row r="837" spans="1:22" ht="12" customHeight="1">
      <c r="A837" s="1040" t="str">
        <f t="shared" si="14"/>
        <v>3705</v>
      </c>
      <c r="B837" s="1056" t="s">
        <v>16499</v>
      </c>
      <c r="C837" s="1064"/>
      <c r="D837" s="2">
        <v>12</v>
      </c>
      <c r="E837" s="4" t="s">
        <v>3144</v>
      </c>
      <c r="F837" s="1065" t="e">
        <f>IF(E837="","$",VLOOKUP(E837,'結果(小)'!$B$2:$F$1295,5,FALSE))</f>
        <v>#DIV/0!</v>
      </c>
      <c r="G837" s="1" t="s">
        <v>5630</v>
      </c>
      <c r="H837" s="6">
        <v>58</v>
      </c>
      <c r="I837" s="2" t="s">
        <v>19</v>
      </c>
      <c r="J837" s="1" t="s">
        <v>15273</v>
      </c>
      <c r="K837" s="3"/>
      <c r="L837" s="1"/>
      <c r="M837" s="1"/>
      <c r="N837" s="4" t="s">
        <v>16116</v>
      </c>
      <c r="O837" s="1" t="s">
        <v>4997</v>
      </c>
      <c r="P837" s="1" t="s">
        <v>6</v>
      </c>
      <c r="Q837" s="16"/>
      <c r="R837" s="17"/>
      <c r="S837" s="3"/>
      <c r="T837" s="1767"/>
      <c r="U837" s="1780"/>
      <c r="V837" s="1752"/>
    </row>
    <row r="838" spans="1:22" ht="12" customHeight="1">
      <c r="A838" s="1040" t="str">
        <f t="shared" si="14"/>
        <v>3705</v>
      </c>
      <c r="B838" s="1056" t="s">
        <v>16500</v>
      </c>
      <c r="C838" s="1064"/>
      <c r="D838" s="2">
        <v>12</v>
      </c>
      <c r="E838" s="4" t="s">
        <v>3188</v>
      </c>
      <c r="F838" s="1065" t="e">
        <f>IF(E838="","$",VLOOKUP(E838,'結果(小)'!$B$2:$F$1295,5,FALSE))</f>
        <v>#DIV/0!</v>
      </c>
      <c r="G838" s="1" t="s">
        <v>5510</v>
      </c>
      <c r="H838" s="6">
        <v>66</v>
      </c>
      <c r="I838" s="2" t="s">
        <v>5</v>
      </c>
      <c r="J838" s="1" t="s">
        <v>15273</v>
      </c>
      <c r="K838" s="3"/>
      <c r="L838" s="1"/>
      <c r="M838" s="1"/>
      <c r="N838" s="4" t="s">
        <v>16116</v>
      </c>
      <c r="O838" s="1" t="s">
        <v>276</v>
      </c>
      <c r="P838" s="1" t="s">
        <v>14</v>
      </c>
      <c r="Q838" s="16">
        <v>1</v>
      </c>
      <c r="R838" s="17">
        <v>1</v>
      </c>
      <c r="S838" s="3"/>
      <c r="T838" s="1767"/>
      <c r="U838" s="1780"/>
      <c r="V838" s="1752"/>
    </row>
    <row r="839" spans="1:22" ht="12" customHeight="1">
      <c r="A839" s="1040" t="str">
        <f t="shared" si="14"/>
        <v>3705</v>
      </c>
      <c r="B839" s="1056" t="s">
        <v>16501</v>
      </c>
      <c r="C839" s="1064"/>
      <c r="D839" s="2">
        <v>12</v>
      </c>
      <c r="E839" s="4" t="s">
        <v>3227</v>
      </c>
      <c r="F839" s="1065" t="e">
        <f>IF(E839="","$",VLOOKUP(E839,'結果(小)'!$B$2:$F$1295,5,FALSE))</f>
        <v>#DIV/0!</v>
      </c>
      <c r="G839" s="1" t="s">
        <v>5422</v>
      </c>
      <c r="H839" s="6">
        <v>37</v>
      </c>
      <c r="I839" s="2" t="s">
        <v>19</v>
      </c>
      <c r="J839" s="1" t="s">
        <v>15273</v>
      </c>
      <c r="K839" s="3"/>
      <c r="L839" s="1"/>
      <c r="M839" s="1"/>
      <c r="N839" s="4" t="s">
        <v>16116</v>
      </c>
      <c r="O839" s="1"/>
      <c r="P839" s="1" t="s">
        <v>6</v>
      </c>
      <c r="Q839" s="16"/>
      <c r="R839" s="17"/>
      <c r="S839" s="3" t="s">
        <v>469</v>
      </c>
      <c r="T839" s="1767"/>
      <c r="U839" s="1780"/>
      <c r="V839" s="1752"/>
    </row>
    <row r="840" spans="1:22" ht="12" customHeight="1">
      <c r="A840" s="1040" t="str">
        <f t="shared" si="14"/>
        <v>3705</v>
      </c>
      <c r="B840" s="1056" t="s">
        <v>16502</v>
      </c>
      <c r="C840" s="1064"/>
      <c r="D840" s="2">
        <v>12</v>
      </c>
      <c r="E840" s="4" t="s">
        <v>3260</v>
      </c>
      <c r="F840" s="1065" t="e">
        <f>IF(E840="","$",VLOOKUP(E840,'結果(小)'!$B$2:$F$1295,5,FALSE))</f>
        <v>#DIV/0!</v>
      </c>
      <c r="G840" s="1" t="s">
        <v>5033</v>
      </c>
      <c r="H840" s="6">
        <v>29</v>
      </c>
      <c r="I840" s="2" t="s">
        <v>5</v>
      </c>
      <c r="J840" s="1" t="s">
        <v>15273</v>
      </c>
      <c r="K840" s="3"/>
      <c r="L840" s="1"/>
      <c r="M840" s="1"/>
      <c r="N840" s="4" t="s">
        <v>16116</v>
      </c>
      <c r="O840" s="1" t="s">
        <v>4997</v>
      </c>
      <c r="P840" s="1" t="s">
        <v>6</v>
      </c>
      <c r="Q840" s="16"/>
      <c r="R840" s="17"/>
      <c r="S840" s="3" t="s">
        <v>469</v>
      </c>
      <c r="T840" s="1767"/>
      <c r="U840" s="1780"/>
      <c r="V840" s="1752"/>
    </row>
    <row r="841" spans="1:22" ht="12" customHeight="1">
      <c r="A841" s="1040" t="str">
        <f t="shared" si="14"/>
        <v>3705</v>
      </c>
      <c r="B841" s="1056" t="s">
        <v>16503</v>
      </c>
      <c r="C841" s="1064"/>
      <c r="D841" s="2">
        <v>12</v>
      </c>
      <c r="E841" s="4" t="s">
        <v>3302</v>
      </c>
      <c r="F841" s="1065" t="e">
        <f>IF(E841="","$",VLOOKUP(E841,'結果(小)'!$B$2:$F$1295,5,FALSE))</f>
        <v>#DIV/0!</v>
      </c>
      <c r="G841" s="1" t="s">
        <v>5034</v>
      </c>
      <c r="H841" s="6">
        <v>29</v>
      </c>
      <c r="I841" s="2" t="s">
        <v>19</v>
      </c>
      <c r="J841" s="1" t="s">
        <v>15273</v>
      </c>
      <c r="K841" s="3"/>
      <c r="L841" s="1"/>
      <c r="M841" s="1"/>
      <c r="N841" s="4" t="s">
        <v>16116</v>
      </c>
      <c r="O841" s="1" t="s">
        <v>4997</v>
      </c>
      <c r="P841" s="1" t="s">
        <v>6</v>
      </c>
      <c r="Q841" s="16"/>
      <c r="R841" s="17"/>
      <c r="S841" s="3" t="s">
        <v>469</v>
      </c>
      <c r="T841" s="1767"/>
      <c r="U841" s="1780"/>
      <c r="V841" s="1752"/>
    </row>
    <row r="842" spans="1:22" ht="12" customHeight="1">
      <c r="A842" s="1040" t="str">
        <f t="shared" si="14"/>
        <v>3705</v>
      </c>
      <c r="B842" s="1056" t="s">
        <v>16504</v>
      </c>
      <c r="C842" s="1064"/>
      <c r="D842" s="2">
        <v>12</v>
      </c>
      <c r="E842" s="4" t="s">
        <v>3318</v>
      </c>
      <c r="F842" s="1065" t="e">
        <f>IF(E842="","$",VLOOKUP(E842,'結果(小)'!$B$2:$F$1295,5,FALSE))</f>
        <v>#DIV/0!</v>
      </c>
      <c r="G842" s="1" t="s">
        <v>5035</v>
      </c>
      <c r="H842" s="6">
        <v>43</v>
      </c>
      <c r="I842" s="2" t="s">
        <v>5</v>
      </c>
      <c r="J842" s="1" t="s">
        <v>15273</v>
      </c>
      <c r="K842" s="3"/>
      <c r="L842" s="1"/>
      <c r="M842" s="1"/>
      <c r="N842" s="4" t="s">
        <v>16116</v>
      </c>
      <c r="O842" s="1" t="s">
        <v>4997</v>
      </c>
      <c r="P842" s="1" t="s">
        <v>6</v>
      </c>
      <c r="Q842" s="16"/>
      <c r="R842" s="17"/>
      <c r="S842" s="3" t="s">
        <v>469</v>
      </c>
      <c r="T842" s="1767"/>
      <c r="U842" s="1780"/>
      <c r="V842" s="1752"/>
    </row>
    <row r="843" spans="1:22" ht="12" customHeight="1">
      <c r="A843" s="1040" t="str">
        <f t="shared" si="14"/>
        <v>3705</v>
      </c>
      <c r="B843" s="1056" t="s">
        <v>16505</v>
      </c>
      <c r="C843" s="1064"/>
      <c r="D843" s="2">
        <v>12</v>
      </c>
      <c r="E843" s="4" t="s">
        <v>3329</v>
      </c>
      <c r="F843" s="1065" t="e">
        <f>IF(E843="","$",VLOOKUP(E843,'結果(小)'!$B$2:$F$1295,5,FALSE))</f>
        <v>#DIV/0!</v>
      </c>
      <c r="G843" s="1" t="s">
        <v>5036</v>
      </c>
      <c r="H843" s="6">
        <v>47</v>
      </c>
      <c r="I843" s="2" t="s">
        <v>5</v>
      </c>
      <c r="J843" s="1" t="s">
        <v>15273</v>
      </c>
      <c r="K843" s="3"/>
      <c r="L843" s="1"/>
      <c r="M843" s="1"/>
      <c r="N843" s="4" t="s">
        <v>16116</v>
      </c>
      <c r="O843" s="1" t="s">
        <v>4997</v>
      </c>
      <c r="P843" s="1" t="s">
        <v>6</v>
      </c>
      <c r="Q843" s="16"/>
      <c r="R843" s="17"/>
      <c r="S843" s="3"/>
      <c r="T843" s="1767"/>
      <c r="U843" s="1780"/>
      <c r="V843" s="1752"/>
    </row>
    <row r="844" spans="1:22" ht="12" customHeight="1">
      <c r="A844" s="1040" t="str">
        <f t="shared" si="14"/>
        <v>3705</v>
      </c>
      <c r="B844" s="1056" t="s">
        <v>16506</v>
      </c>
      <c r="C844" s="1064"/>
      <c r="D844" s="2">
        <v>12</v>
      </c>
      <c r="E844" s="4" t="s">
        <v>3364</v>
      </c>
      <c r="F844" s="1065" t="e">
        <f>IF(E844="","$",VLOOKUP(E844,'結果(小)'!$B$2:$F$1295,5,FALSE))</f>
        <v>#DIV/0!</v>
      </c>
      <c r="G844" s="1" t="s">
        <v>5038</v>
      </c>
      <c r="H844" s="6">
        <v>48</v>
      </c>
      <c r="I844" s="2" t="s">
        <v>5</v>
      </c>
      <c r="J844" s="1" t="s">
        <v>15273</v>
      </c>
      <c r="K844" s="3"/>
      <c r="L844" s="1"/>
      <c r="M844" s="1"/>
      <c r="N844" s="4" t="s">
        <v>16116</v>
      </c>
      <c r="O844" s="1" t="s">
        <v>4997</v>
      </c>
      <c r="P844" s="1" t="s">
        <v>6</v>
      </c>
      <c r="Q844" s="16"/>
      <c r="R844" s="17"/>
      <c r="S844" s="3" t="s">
        <v>469</v>
      </c>
      <c r="T844" s="1767"/>
      <c r="U844" s="1780"/>
      <c r="V844" s="1752"/>
    </row>
    <row r="845" spans="1:22" ht="12" customHeight="1">
      <c r="A845" s="1040" t="str">
        <f t="shared" si="14"/>
        <v>3705</v>
      </c>
      <c r="B845" s="1056" t="s">
        <v>16507</v>
      </c>
      <c r="C845" s="1064"/>
      <c r="D845" s="2">
        <v>12</v>
      </c>
      <c r="E845" s="4" t="s">
        <v>3466</v>
      </c>
      <c r="F845" s="1065" t="e">
        <f>IF(E845="","$",VLOOKUP(E845,'結果(小)'!$B$2:$F$1295,5,FALSE))</f>
        <v>#DIV/0!</v>
      </c>
      <c r="G845" s="1" t="s">
        <v>3481</v>
      </c>
      <c r="H845" s="6">
        <v>44</v>
      </c>
      <c r="I845" s="2" t="s">
        <v>5</v>
      </c>
      <c r="J845" s="1" t="s">
        <v>15273</v>
      </c>
      <c r="K845" s="3"/>
      <c r="L845" s="1"/>
      <c r="M845" s="1"/>
      <c r="N845" s="4" t="s">
        <v>16116</v>
      </c>
      <c r="O845" s="1" t="s">
        <v>276</v>
      </c>
      <c r="P845" s="1" t="s">
        <v>6</v>
      </c>
      <c r="Q845" s="16"/>
      <c r="R845" s="17"/>
      <c r="S845" s="3" t="s">
        <v>469</v>
      </c>
      <c r="T845" s="1767"/>
      <c r="U845" s="1780"/>
      <c r="V845" s="1752"/>
    </row>
    <row r="846" spans="1:22" ht="12" customHeight="1">
      <c r="A846" s="1040" t="str">
        <f t="shared" si="14"/>
        <v>3705</v>
      </c>
      <c r="B846" s="1056" t="s">
        <v>16508</v>
      </c>
      <c r="C846" s="1064"/>
      <c r="D846" s="2">
        <v>12</v>
      </c>
      <c r="E846" s="4" t="s">
        <v>3486</v>
      </c>
      <c r="F846" s="1065" t="e">
        <f>IF(E846="","$",VLOOKUP(E846,'結果(小)'!$B$2:$F$1295,5,FALSE))</f>
        <v>#DIV/0!</v>
      </c>
      <c r="G846" s="1" t="s">
        <v>5039</v>
      </c>
      <c r="H846" s="6">
        <v>28</v>
      </c>
      <c r="I846" s="2" t="s">
        <v>5</v>
      </c>
      <c r="J846" s="1" t="s">
        <v>15273</v>
      </c>
      <c r="K846" s="3"/>
      <c r="L846" s="1"/>
      <c r="M846" s="1"/>
      <c r="N846" s="4" t="s">
        <v>16116</v>
      </c>
      <c r="O846" s="1" t="s">
        <v>4997</v>
      </c>
      <c r="P846" s="1" t="s">
        <v>6</v>
      </c>
      <c r="Q846" s="16"/>
      <c r="R846" s="17"/>
      <c r="S846" s="3" t="s">
        <v>469</v>
      </c>
      <c r="T846" s="1767"/>
      <c r="U846" s="1780"/>
      <c r="V846" s="1752"/>
    </row>
    <row r="847" spans="1:22" ht="12" customHeight="1">
      <c r="A847" s="1040" t="str">
        <f t="shared" si="14"/>
        <v>3705</v>
      </c>
      <c r="B847" s="1056" t="s">
        <v>16509</v>
      </c>
      <c r="C847" s="1064"/>
      <c r="D847" s="2">
        <v>12</v>
      </c>
      <c r="E847" s="4" t="s">
        <v>3537</v>
      </c>
      <c r="F847" s="1065" t="e">
        <f>IF(E847="","$",VLOOKUP(E847,'結果(小)'!$B$2:$F$1295,5,FALSE))</f>
        <v>#DIV/0!</v>
      </c>
      <c r="G847" s="1" t="s">
        <v>5041</v>
      </c>
      <c r="H847" s="6">
        <v>50</v>
      </c>
      <c r="I847" s="2" t="s">
        <v>5</v>
      </c>
      <c r="J847" s="1" t="s">
        <v>15273</v>
      </c>
      <c r="K847" s="3"/>
      <c r="L847" s="1"/>
      <c r="M847" s="1"/>
      <c r="N847" s="4" t="s">
        <v>16116</v>
      </c>
      <c r="O847" s="1" t="s">
        <v>276</v>
      </c>
      <c r="P847" s="1" t="s">
        <v>6</v>
      </c>
      <c r="Q847" s="16"/>
      <c r="R847" s="17"/>
      <c r="S847" s="3" t="s">
        <v>469</v>
      </c>
      <c r="T847" s="1767"/>
      <c r="U847" s="1780"/>
      <c r="V847" s="1752"/>
    </row>
    <row r="848" spans="1:22" ht="12" customHeight="1">
      <c r="A848" s="1040" t="str">
        <f t="shared" si="14"/>
        <v>3705</v>
      </c>
      <c r="B848" s="1056" t="s">
        <v>16510</v>
      </c>
      <c r="C848" s="1064"/>
      <c r="D848" s="2">
        <v>12</v>
      </c>
      <c r="E848" s="4" t="s">
        <v>3548</v>
      </c>
      <c r="F848" s="1065" t="e">
        <f>IF(E848="","$",VLOOKUP(E848,'結果(小)'!$B$2:$F$1295,5,FALSE))</f>
        <v>#DIV/0!</v>
      </c>
      <c r="G848" s="1" t="s">
        <v>5424</v>
      </c>
      <c r="H848" s="6">
        <v>38</v>
      </c>
      <c r="I848" s="2" t="s">
        <v>5</v>
      </c>
      <c r="J848" s="1" t="s">
        <v>15273</v>
      </c>
      <c r="K848" s="3"/>
      <c r="L848" s="1"/>
      <c r="M848" s="1"/>
      <c r="N848" s="4" t="s">
        <v>16116</v>
      </c>
      <c r="O848" s="1" t="s">
        <v>4997</v>
      </c>
      <c r="P848" s="1" t="s">
        <v>6</v>
      </c>
      <c r="Q848" s="16"/>
      <c r="R848" s="17"/>
      <c r="S848" s="3" t="s">
        <v>469</v>
      </c>
      <c r="T848" s="1767"/>
      <c r="U848" s="1780"/>
      <c r="V848" s="1752"/>
    </row>
    <row r="849" spans="1:22" ht="12" customHeight="1">
      <c r="A849" s="1040" t="str">
        <f t="shared" si="14"/>
        <v>3705</v>
      </c>
      <c r="B849" s="1056" t="s">
        <v>16511</v>
      </c>
      <c r="C849" s="1064"/>
      <c r="D849" s="2">
        <v>12</v>
      </c>
      <c r="E849" s="4" t="s">
        <v>3584</v>
      </c>
      <c r="F849" s="1065" t="e">
        <f>IF(E849="","$",VLOOKUP(E849,'結果(小)'!$B$2:$F$1295,5,FALSE))</f>
        <v>#DIV/0!</v>
      </c>
      <c r="G849" s="1" t="s">
        <v>3595</v>
      </c>
      <c r="H849" s="6">
        <v>45</v>
      </c>
      <c r="I849" s="2" t="s">
        <v>19</v>
      </c>
      <c r="J849" s="1" t="s">
        <v>15273</v>
      </c>
      <c r="K849" s="3"/>
      <c r="L849" s="1"/>
      <c r="M849" s="1"/>
      <c r="N849" s="4" t="s">
        <v>16116</v>
      </c>
      <c r="O849" s="1" t="s">
        <v>469</v>
      </c>
      <c r="P849" s="1" t="s">
        <v>6</v>
      </c>
      <c r="Q849" s="16"/>
      <c r="R849" s="17"/>
      <c r="S849" s="3"/>
      <c r="T849" s="1767"/>
      <c r="U849" s="1780"/>
      <c r="V849" s="1752"/>
    </row>
    <row r="850" spans="1:22" ht="12" customHeight="1">
      <c r="A850" s="1040" t="str">
        <f t="shared" si="14"/>
        <v>3705</v>
      </c>
      <c r="B850" s="1056" t="s">
        <v>16512</v>
      </c>
      <c r="C850" s="1064"/>
      <c r="D850" s="2">
        <v>12</v>
      </c>
      <c r="E850" s="4" t="s">
        <v>3631</v>
      </c>
      <c r="F850" s="1065" t="e">
        <f>IF(E850="","$",VLOOKUP(E850,'結果(小)'!$B$2:$F$1295,5,FALSE))</f>
        <v>#DIV/0!</v>
      </c>
      <c r="G850" s="1" t="s">
        <v>5428</v>
      </c>
      <c r="H850" s="6">
        <v>45</v>
      </c>
      <c r="I850" s="2" t="s">
        <v>5</v>
      </c>
      <c r="J850" s="1" t="s">
        <v>15273</v>
      </c>
      <c r="K850" s="3"/>
      <c r="L850" s="1"/>
      <c r="M850" s="1"/>
      <c r="N850" s="4" t="s">
        <v>16116</v>
      </c>
      <c r="O850" s="1" t="s">
        <v>4997</v>
      </c>
      <c r="P850" s="1" t="s">
        <v>6</v>
      </c>
      <c r="Q850" s="16"/>
      <c r="R850" s="17"/>
      <c r="S850" s="3" t="s">
        <v>469</v>
      </c>
      <c r="T850" s="1767"/>
      <c r="U850" s="1780"/>
      <c r="V850" s="1752"/>
    </row>
    <row r="851" spans="1:22" ht="12" customHeight="1">
      <c r="A851" s="1040" t="str">
        <f t="shared" si="14"/>
        <v>3705</v>
      </c>
      <c r="B851" s="1056" t="s">
        <v>16513</v>
      </c>
      <c r="C851" s="1064"/>
      <c r="D851" s="2">
        <v>12</v>
      </c>
      <c r="E851" s="4" t="s">
        <v>3642</v>
      </c>
      <c r="F851" s="1065" t="e">
        <f>IF(E851="","$",VLOOKUP(E851,'結果(小)'!$B$2:$F$1295,5,FALSE))</f>
        <v>#DIV/0!</v>
      </c>
      <c r="G851" s="1" t="s">
        <v>5045</v>
      </c>
      <c r="H851" s="6">
        <v>30</v>
      </c>
      <c r="I851" s="2" t="s">
        <v>5</v>
      </c>
      <c r="J851" s="1" t="s">
        <v>15273</v>
      </c>
      <c r="K851" s="3"/>
      <c r="L851" s="1"/>
      <c r="M851" s="1"/>
      <c r="N851" s="4" t="s">
        <v>16116</v>
      </c>
      <c r="O851" s="1" t="s">
        <v>4997</v>
      </c>
      <c r="P851" s="1" t="s">
        <v>6</v>
      </c>
      <c r="Q851" s="16"/>
      <c r="R851" s="17"/>
      <c r="S851" s="3" t="s">
        <v>469</v>
      </c>
      <c r="T851" s="1767"/>
      <c r="U851" s="1780"/>
      <c r="V851" s="1752"/>
    </row>
    <row r="852" spans="1:22" ht="12" customHeight="1">
      <c r="A852" s="1040" t="str">
        <f t="shared" si="14"/>
        <v>3705</v>
      </c>
      <c r="B852" s="1056" t="s">
        <v>16514</v>
      </c>
      <c r="C852" s="1064"/>
      <c r="D852" s="2">
        <v>12</v>
      </c>
      <c r="E852" s="4" t="s">
        <v>3655</v>
      </c>
      <c r="F852" s="1065" t="e">
        <f>IF(E852="","$",VLOOKUP(E852,'結果(小)'!$B$2:$F$1295,5,FALSE))</f>
        <v>#DIV/0!</v>
      </c>
      <c r="G852" s="1" t="s">
        <v>5430</v>
      </c>
      <c r="H852" s="6">
        <v>26</v>
      </c>
      <c r="I852" s="2" t="s">
        <v>5</v>
      </c>
      <c r="J852" s="1" t="s">
        <v>15273</v>
      </c>
      <c r="K852" s="3"/>
      <c r="L852" s="1"/>
      <c r="M852" s="1"/>
      <c r="N852" s="4" t="s">
        <v>16116</v>
      </c>
      <c r="O852" s="1" t="s">
        <v>4997</v>
      </c>
      <c r="P852" s="1" t="s">
        <v>6</v>
      </c>
      <c r="Q852" s="16"/>
      <c r="R852" s="17"/>
      <c r="S852" s="3" t="s">
        <v>469</v>
      </c>
      <c r="T852" s="1767"/>
      <c r="U852" s="1780"/>
      <c r="V852" s="1752"/>
    </row>
    <row r="853" spans="1:22" ht="12" customHeight="1">
      <c r="A853" s="1040" t="str">
        <f t="shared" si="14"/>
        <v>3705</v>
      </c>
      <c r="B853" s="1056" t="s">
        <v>16515</v>
      </c>
      <c r="C853" s="1064"/>
      <c r="D853" s="2">
        <v>12</v>
      </c>
      <c r="E853" s="4" t="s">
        <v>3668</v>
      </c>
      <c r="F853" s="1065" t="e">
        <f>IF(E853="","$",VLOOKUP(E853,'結果(小)'!$B$2:$F$1295,5,FALSE))</f>
        <v>#DIV/0!</v>
      </c>
      <c r="G853" s="1" t="s">
        <v>5633</v>
      </c>
      <c r="H853" s="6">
        <v>46</v>
      </c>
      <c r="I853" s="2" t="s">
        <v>5</v>
      </c>
      <c r="J853" s="1" t="s">
        <v>15273</v>
      </c>
      <c r="K853" s="3"/>
      <c r="L853" s="1"/>
      <c r="M853" s="1"/>
      <c r="N853" s="4" t="s">
        <v>16116</v>
      </c>
      <c r="O853" s="1" t="s">
        <v>4997</v>
      </c>
      <c r="P853" s="1" t="s">
        <v>6</v>
      </c>
      <c r="Q853" s="16"/>
      <c r="R853" s="17"/>
      <c r="S853" s="3" t="s">
        <v>469</v>
      </c>
      <c r="T853" s="1767"/>
      <c r="U853" s="1780"/>
      <c r="V853" s="1752"/>
    </row>
    <row r="854" spans="1:22" ht="12" customHeight="1">
      <c r="A854" s="1040" t="str">
        <f t="shared" si="14"/>
        <v>3705</v>
      </c>
      <c r="B854" s="1056" t="s">
        <v>16516</v>
      </c>
      <c r="C854" s="1064"/>
      <c r="D854" s="2">
        <v>12</v>
      </c>
      <c r="E854" s="4" t="s">
        <v>3679</v>
      </c>
      <c r="F854" s="1065" t="e">
        <f>IF(E854="","$",VLOOKUP(E854,'結果(小)'!$B$2:$F$1295,5,FALSE))</f>
        <v>#DIV/0!</v>
      </c>
      <c r="G854" s="1" t="s">
        <v>5047</v>
      </c>
      <c r="H854" s="6">
        <v>52</v>
      </c>
      <c r="I854" s="2" t="s">
        <v>5</v>
      </c>
      <c r="J854" s="1" t="s">
        <v>15273</v>
      </c>
      <c r="K854" s="3"/>
      <c r="L854" s="1"/>
      <c r="M854" s="1"/>
      <c r="N854" s="4" t="s">
        <v>16116</v>
      </c>
      <c r="O854" s="1" t="s">
        <v>4997</v>
      </c>
      <c r="P854" s="1" t="s">
        <v>6</v>
      </c>
      <c r="Q854" s="16"/>
      <c r="R854" s="17"/>
      <c r="S854" s="3" t="s">
        <v>469</v>
      </c>
      <c r="T854" s="1767"/>
      <c r="U854" s="1780"/>
      <c r="V854" s="1752"/>
    </row>
    <row r="855" spans="1:22" ht="12" customHeight="1">
      <c r="A855" s="1040" t="str">
        <f t="shared" si="14"/>
        <v>3705</v>
      </c>
      <c r="B855" s="1056" t="s">
        <v>16517</v>
      </c>
      <c r="C855" s="1064"/>
      <c r="D855" s="2">
        <v>12</v>
      </c>
      <c r="E855" s="4" t="s">
        <v>3699</v>
      </c>
      <c r="F855" s="1065" t="e">
        <f>IF(E855="","$",VLOOKUP(E855,'結果(小)'!$B$2:$F$1295,5,FALSE))</f>
        <v>#DIV/0!</v>
      </c>
      <c r="G855" s="1" t="s">
        <v>5051</v>
      </c>
      <c r="H855" s="6">
        <v>33</v>
      </c>
      <c r="I855" s="2" t="s">
        <v>5</v>
      </c>
      <c r="J855" s="1" t="s">
        <v>15273</v>
      </c>
      <c r="K855" s="3"/>
      <c r="L855" s="1"/>
      <c r="M855" s="1"/>
      <c r="N855" s="4" t="s">
        <v>16116</v>
      </c>
      <c r="O855" s="1" t="s">
        <v>4997</v>
      </c>
      <c r="P855" s="1" t="s">
        <v>6</v>
      </c>
      <c r="Q855" s="16"/>
      <c r="R855" s="17"/>
      <c r="S855" s="3" t="s">
        <v>469</v>
      </c>
      <c r="T855" s="1767"/>
      <c r="U855" s="1780"/>
      <c r="V855" s="1752"/>
    </row>
    <row r="856" spans="1:22" ht="12" customHeight="1">
      <c r="A856" s="1040" t="str">
        <f t="shared" si="14"/>
        <v>3705</v>
      </c>
      <c r="B856" s="1056" t="s">
        <v>16518</v>
      </c>
      <c r="C856" s="1064"/>
      <c r="D856" s="2">
        <v>12</v>
      </c>
      <c r="E856" s="4" t="s">
        <v>3709</v>
      </c>
      <c r="F856" s="1065" t="e">
        <f>IF(E856="","$",VLOOKUP(E856,'結果(小)'!$B$2:$F$1295,5,FALSE))</f>
        <v>#DIV/0!</v>
      </c>
      <c r="G856" s="1" t="s">
        <v>5053</v>
      </c>
      <c r="H856" s="6">
        <v>45</v>
      </c>
      <c r="I856" s="2" t="s">
        <v>5</v>
      </c>
      <c r="J856" s="1" t="s">
        <v>15273</v>
      </c>
      <c r="K856" s="3"/>
      <c r="L856" s="1"/>
      <c r="M856" s="1"/>
      <c r="N856" s="4" t="s">
        <v>16116</v>
      </c>
      <c r="O856" s="1" t="s">
        <v>4997</v>
      </c>
      <c r="P856" s="1" t="s">
        <v>6</v>
      </c>
      <c r="Q856" s="16"/>
      <c r="R856" s="17"/>
      <c r="S856" s="3" t="s">
        <v>469</v>
      </c>
      <c r="T856" s="1767"/>
      <c r="U856" s="1780"/>
      <c r="V856" s="1752"/>
    </row>
    <row r="857" spans="1:22" ht="12" customHeight="1">
      <c r="A857" s="1040" t="str">
        <f t="shared" si="14"/>
        <v>3705</v>
      </c>
      <c r="B857" s="1056" t="s">
        <v>16519</v>
      </c>
      <c r="C857" s="1064"/>
      <c r="D857" s="2">
        <v>12</v>
      </c>
      <c r="E857" s="4" t="s">
        <v>3720</v>
      </c>
      <c r="F857" s="1065" t="e">
        <f>IF(E857="","$",VLOOKUP(E857,'結果(小)'!$B$2:$F$1295,5,FALSE))</f>
        <v>#DIV/0!</v>
      </c>
      <c r="G857" s="1" t="s">
        <v>5525</v>
      </c>
      <c r="H857" s="6">
        <v>45</v>
      </c>
      <c r="I857" s="2" t="s">
        <v>5</v>
      </c>
      <c r="J857" s="1" t="s">
        <v>15273</v>
      </c>
      <c r="K857" s="3"/>
      <c r="L857" s="1"/>
      <c r="M857" s="1"/>
      <c r="N857" s="4" t="s">
        <v>16116</v>
      </c>
      <c r="O857" s="1" t="s">
        <v>4997</v>
      </c>
      <c r="P857" s="1" t="s">
        <v>6</v>
      </c>
      <c r="Q857" s="16"/>
      <c r="R857" s="17"/>
      <c r="S857" s="3" t="s">
        <v>469</v>
      </c>
      <c r="T857" s="1767"/>
      <c r="U857" s="1780"/>
      <c r="V857" s="1752"/>
    </row>
    <row r="858" spans="1:22" ht="12" customHeight="1">
      <c r="A858" s="1040" t="str">
        <f t="shared" si="14"/>
        <v>3705</v>
      </c>
      <c r="B858" s="1056" t="s">
        <v>16520</v>
      </c>
      <c r="C858" s="1064"/>
      <c r="D858" s="2">
        <v>12</v>
      </c>
      <c r="E858" s="4" t="s">
        <v>3731</v>
      </c>
      <c r="F858" s="1065" t="e">
        <f>IF(E858="","$",VLOOKUP(E858,'結果(小)'!$B$2:$F$1295,5,FALSE))</f>
        <v>#DIV/0!</v>
      </c>
      <c r="G858" s="1" t="s">
        <v>1293</v>
      </c>
      <c r="H858" s="6">
        <v>40</v>
      </c>
      <c r="I858" s="2" t="s">
        <v>5</v>
      </c>
      <c r="J858" s="1" t="s">
        <v>15273</v>
      </c>
      <c r="K858" s="3"/>
      <c r="L858" s="1"/>
      <c r="M858" s="1"/>
      <c r="N858" s="4" t="s">
        <v>16116</v>
      </c>
      <c r="O858" s="1" t="s">
        <v>276</v>
      </c>
      <c r="P858" s="1" t="s">
        <v>14</v>
      </c>
      <c r="Q858" s="16">
        <v>1</v>
      </c>
      <c r="R858" s="17">
        <v>1</v>
      </c>
      <c r="S858" s="3"/>
      <c r="T858" s="1767"/>
      <c r="U858" s="1780"/>
      <c r="V858" s="1752"/>
    </row>
    <row r="859" spans="1:22" ht="12" customHeight="1">
      <c r="A859" s="1040" t="str">
        <f t="shared" si="14"/>
        <v>3705</v>
      </c>
      <c r="B859" s="1056" t="s">
        <v>16521</v>
      </c>
      <c r="C859" s="1064"/>
      <c r="D859" s="2">
        <v>12</v>
      </c>
      <c r="E859" s="4" t="s">
        <v>3760</v>
      </c>
      <c r="F859" s="1065" t="e">
        <f>IF(E859="","$",VLOOKUP(E859,'結果(小)'!$B$2:$F$1295,5,FALSE))</f>
        <v>#DIV/0!</v>
      </c>
      <c r="G859" s="1" t="s">
        <v>5303</v>
      </c>
      <c r="H859" s="6">
        <v>45</v>
      </c>
      <c r="I859" s="2" t="s">
        <v>5</v>
      </c>
      <c r="J859" s="1" t="s">
        <v>15273</v>
      </c>
      <c r="K859" s="3"/>
      <c r="L859" s="1"/>
      <c r="M859" s="1"/>
      <c r="N859" s="4" t="s">
        <v>16116</v>
      </c>
      <c r="O859" s="1" t="s">
        <v>4422</v>
      </c>
      <c r="P859" s="1" t="s">
        <v>6</v>
      </c>
      <c r="Q859" s="16"/>
      <c r="R859" s="17"/>
      <c r="S859" s="3" t="s">
        <v>469</v>
      </c>
      <c r="T859" s="1767"/>
      <c r="U859" s="1780"/>
      <c r="V859" s="1752"/>
    </row>
    <row r="860" spans="1:22" ht="12" customHeight="1" thickBot="1">
      <c r="A860" s="916" t="str">
        <f t="shared" si="14"/>
        <v>3705</v>
      </c>
      <c r="B860" s="1084" t="s">
        <v>15667</v>
      </c>
      <c r="C860" s="1075"/>
      <c r="D860" s="702">
        <v>40</v>
      </c>
      <c r="E860" s="702"/>
      <c r="F860" s="1071" t="str">
        <f>IF(E860="","$",VLOOKUP(E860,'結果(小)'!$B$2:$F$1295,5,FALSE))</f>
        <v>$</v>
      </c>
      <c r="G860" s="701" t="s">
        <v>15668</v>
      </c>
      <c r="H860" s="701">
        <v>46</v>
      </c>
      <c r="I860" s="701" t="s">
        <v>5</v>
      </c>
      <c r="J860" s="702" t="s">
        <v>6067</v>
      </c>
      <c r="K860" s="741"/>
      <c r="L860" s="701"/>
      <c r="M860" s="741"/>
      <c r="N860" s="704" t="s">
        <v>16130</v>
      </c>
      <c r="O860" s="701" t="s">
        <v>4997</v>
      </c>
      <c r="P860" s="701" t="s">
        <v>6</v>
      </c>
      <c r="Q860" s="742"/>
      <c r="R860" s="743"/>
      <c r="S860" s="740"/>
      <c r="T860" s="1768"/>
      <c r="U860" s="1776"/>
      <c r="V860" s="1753"/>
    </row>
    <row r="861" spans="1:22" ht="12" customHeight="1">
      <c r="A861" s="1038" t="str">
        <f t="shared" si="14"/>
        <v>3706</v>
      </c>
      <c r="B861" s="1085" t="s">
        <v>16524</v>
      </c>
      <c r="C861" s="1073"/>
      <c r="D861" s="696">
        <v>1</v>
      </c>
      <c r="E861" s="688" t="s">
        <v>3042</v>
      </c>
      <c r="F861" s="1068" t="e">
        <f>IF(E861="","$",VLOOKUP(E861,'結果(小)'!$B$2:$F$1295,5,FALSE))</f>
        <v>#DIV/0!</v>
      </c>
      <c r="G861" s="687" t="s">
        <v>3057</v>
      </c>
      <c r="H861" s="690">
        <v>52</v>
      </c>
      <c r="I861" s="696" t="s">
        <v>5</v>
      </c>
      <c r="J861" s="687" t="s">
        <v>15273</v>
      </c>
      <c r="K861" s="747"/>
      <c r="L861" s="687"/>
      <c r="M861" s="687"/>
      <c r="N861" s="688" t="s">
        <v>16128</v>
      </c>
      <c r="O861" s="687"/>
      <c r="P861" s="687" t="s">
        <v>6</v>
      </c>
      <c r="Q861" s="748"/>
      <c r="R861" s="749"/>
      <c r="S861" s="747" t="s">
        <v>6031</v>
      </c>
      <c r="T861" s="1757"/>
      <c r="U861" s="1775"/>
      <c r="V861" s="1751" t="e">
        <f>U861/SUM(U718:U882)</f>
        <v>#DIV/0!</v>
      </c>
    </row>
    <row r="862" spans="1:22" ht="12" customHeight="1">
      <c r="A862" s="1040" t="str">
        <f t="shared" si="14"/>
        <v>3706</v>
      </c>
      <c r="B862" s="1057" t="s">
        <v>16525</v>
      </c>
      <c r="C862" s="1064"/>
      <c r="D862" s="2">
        <v>1</v>
      </c>
      <c r="E862" s="4" t="s">
        <v>3097</v>
      </c>
      <c r="F862" s="1065" t="e">
        <f>IF(E862="","$",VLOOKUP(E862,'結果(小)'!$B$2:$F$1295,5,FALSE))</f>
        <v>#DIV/0!</v>
      </c>
      <c r="G862" s="1" t="s">
        <v>3112</v>
      </c>
      <c r="H862" s="6">
        <v>53</v>
      </c>
      <c r="I862" s="2" t="s">
        <v>5</v>
      </c>
      <c r="J862" s="1" t="s">
        <v>15273</v>
      </c>
      <c r="K862" s="3" t="s">
        <v>3113</v>
      </c>
      <c r="L862" s="1"/>
      <c r="M862" s="1"/>
      <c r="N862" s="4" t="s">
        <v>16128</v>
      </c>
      <c r="O862" s="1"/>
      <c r="P862" s="1" t="s">
        <v>25</v>
      </c>
      <c r="Q862" s="16">
        <v>1</v>
      </c>
      <c r="R862" s="17">
        <v>1</v>
      </c>
      <c r="S862" s="3"/>
      <c r="T862" s="1758"/>
      <c r="U862" s="1780"/>
      <c r="V862" s="1752"/>
    </row>
    <row r="863" spans="1:22" ht="12" customHeight="1">
      <c r="A863" s="1040" t="str">
        <f t="shared" si="14"/>
        <v>3706</v>
      </c>
      <c r="B863" s="1057" t="s">
        <v>16526</v>
      </c>
      <c r="C863" s="1064"/>
      <c r="D863" s="2">
        <v>1</v>
      </c>
      <c r="E863" s="4" t="s">
        <v>3145</v>
      </c>
      <c r="F863" s="1065" t="e">
        <f>IF(E863="","$",VLOOKUP(E863,'結果(小)'!$B$2:$F$1295,5,FALSE))</f>
        <v>#DIV/0!</v>
      </c>
      <c r="G863" s="1" t="s">
        <v>3157</v>
      </c>
      <c r="H863" s="6">
        <v>62</v>
      </c>
      <c r="I863" s="2" t="s">
        <v>5</v>
      </c>
      <c r="J863" s="1" t="s">
        <v>15273</v>
      </c>
      <c r="K863" s="3"/>
      <c r="L863" s="1"/>
      <c r="M863" s="1"/>
      <c r="N863" s="4" t="s">
        <v>16128</v>
      </c>
      <c r="O863" s="1"/>
      <c r="P863" s="1" t="s">
        <v>6</v>
      </c>
      <c r="Q863" s="16"/>
      <c r="R863" s="17"/>
      <c r="S863" s="3"/>
      <c r="T863" s="1758"/>
      <c r="U863" s="1780"/>
      <c r="V863" s="1752"/>
    </row>
    <row r="864" spans="1:22" ht="12" customHeight="1">
      <c r="A864" s="1040" t="str">
        <f t="shared" si="14"/>
        <v>3706</v>
      </c>
      <c r="B864" s="1057" t="s">
        <v>16527</v>
      </c>
      <c r="C864" s="1064"/>
      <c r="D864" s="2">
        <v>1</v>
      </c>
      <c r="E864" s="4" t="s">
        <v>3378</v>
      </c>
      <c r="F864" s="1065" t="e">
        <f>IF(E864="","$",VLOOKUP(E864,'結果(小)'!$B$2:$F$1295,5,FALSE))</f>
        <v>#DIV/0!</v>
      </c>
      <c r="G864" s="1" t="s">
        <v>3242</v>
      </c>
      <c r="H864" s="6">
        <v>43</v>
      </c>
      <c r="I864" s="2" t="s">
        <v>5</v>
      </c>
      <c r="J864" s="1" t="s">
        <v>15273</v>
      </c>
      <c r="K864" s="3"/>
      <c r="L864" s="1"/>
      <c r="M864" s="1"/>
      <c r="N864" s="4" t="s">
        <v>16128</v>
      </c>
      <c r="O864" s="1"/>
      <c r="P864" s="1" t="s">
        <v>6</v>
      </c>
      <c r="Q864" s="16"/>
      <c r="R864" s="17"/>
      <c r="S864" s="3" t="s">
        <v>5092</v>
      </c>
      <c r="T864" s="1758"/>
      <c r="U864" s="1780"/>
      <c r="V864" s="1752"/>
    </row>
    <row r="865" spans="1:22" ht="12" customHeight="1">
      <c r="A865" s="1040" t="str">
        <f t="shared" si="14"/>
        <v>3706</v>
      </c>
      <c r="B865" s="1057" t="s">
        <v>16528</v>
      </c>
      <c r="C865" s="1064"/>
      <c r="D865" s="2">
        <v>1</v>
      </c>
      <c r="E865" s="4" t="s">
        <v>3506</v>
      </c>
      <c r="F865" s="1065" t="e">
        <f>IF(E865="","$",VLOOKUP(E865,'結果(小)'!$B$2:$F$1295,5,FALSE))</f>
        <v>#DIV/0!</v>
      </c>
      <c r="G865" s="1" t="s">
        <v>3519</v>
      </c>
      <c r="H865" s="6">
        <v>38</v>
      </c>
      <c r="I865" s="2" t="s">
        <v>5</v>
      </c>
      <c r="J865" s="1" t="s">
        <v>15273</v>
      </c>
      <c r="K865" s="3"/>
      <c r="L865" s="1"/>
      <c r="M865" s="1"/>
      <c r="N865" s="8" t="s">
        <v>16128</v>
      </c>
      <c r="O865" s="1"/>
      <c r="P865" s="1" t="s">
        <v>6</v>
      </c>
      <c r="Q865" s="16"/>
      <c r="R865" s="17"/>
      <c r="S865" s="3" t="s">
        <v>6031</v>
      </c>
      <c r="T865" s="1758"/>
      <c r="U865" s="1780"/>
      <c r="V865" s="1752"/>
    </row>
    <row r="866" spans="1:22" ht="12" customHeight="1" thickBot="1">
      <c r="A866" s="916" t="str">
        <f t="shared" si="14"/>
        <v>3706</v>
      </c>
      <c r="B866" s="1086" t="s">
        <v>16529</v>
      </c>
      <c r="C866" s="1075"/>
      <c r="D866" s="702">
        <v>1</v>
      </c>
      <c r="E866" s="700" t="s">
        <v>3600</v>
      </c>
      <c r="F866" s="1071" t="e">
        <f>IF(E866="","$",VLOOKUP(E866,'結果(小)'!$B$2:$F$1295,5,FALSE))</f>
        <v>#DIV/0!</v>
      </c>
      <c r="G866" s="906" t="s">
        <v>3609</v>
      </c>
      <c r="H866" s="701">
        <v>40</v>
      </c>
      <c r="I866" s="702" t="s">
        <v>5</v>
      </c>
      <c r="J866" s="906" t="s">
        <v>15273</v>
      </c>
      <c r="K866" s="703"/>
      <c r="L866" s="906"/>
      <c r="M866" s="906"/>
      <c r="N866" s="700" t="s">
        <v>16128</v>
      </c>
      <c r="O866" s="906"/>
      <c r="P866" s="906" t="s">
        <v>6</v>
      </c>
      <c r="Q866" s="705"/>
      <c r="R866" s="903"/>
      <c r="S866" s="703" t="s">
        <v>6031</v>
      </c>
      <c r="T866" s="1759"/>
      <c r="U866" s="1776"/>
      <c r="V866" s="1753"/>
    </row>
    <row r="867" spans="1:22" ht="12" customHeight="1">
      <c r="A867" s="1038" t="str">
        <f t="shared" si="14"/>
        <v>3707</v>
      </c>
      <c r="B867" s="1087" t="s">
        <v>5677</v>
      </c>
      <c r="C867" s="1073"/>
      <c r="D867" s="696">
        <v>1</v>
      </c>
      <c r="E867" s="688" t="s">
        <v>3098</v>
      </c>
      <c r="F867" s="1068" t="e">
        <f>IF(E867="","$",VLOOKUP(E867,'結果(小)'!$B$2:$F$1295,5,FALSE))</f>
        <v>#DIV/0!</v>
      </c>
      <c r="G867" s="687" t="s">
        <v>3106</v>
      </c>
      <c r="H867" s="690">
        <v>65</v>
      </c>
      <c r="I867" s="696" t="s">
        <v>5</v>
      </c>
      <c r="J867" s="687" t="s">
        <v>15273</v>
      </c>
      <c r="K867" s="747" t="s">
        <v>3107</v>
      </c>
      <c r="L867" s="687"/>
      <c r="M867" s="687"/>
      <c r="N867" s="688" t="s">
        <v>16117</v>
      </c>
      <c r="O867" s="687"/>
      <c r="P867" s="687" t="s">
        <v>25</v>
      </c>
      <c r="Q867" s="748">
        <v>6</v>
      </c>
      <c r="R867" s="749">
        <v>6</v>
      </c>
      <c r="S867" s="747"/>
      <c r="T867" s="1760"/>
      <c r="U867" s="1775"/>
      <c r="V867" s="1751" t="e">
        <f>U867/SUM(U718:U882)</f>
        <v>#DIV/0!</v>
      </c>
    </row>
    <row r="868" spans="1:22" ht="12" customHeight="1">
      <c r="A868" s="1040" t="str">
        <f t="shared" si="14"/>
        <v>3707</v>
      </c>
      <c r="B868" s="1058" t="s">
        <v>5678</v>
      </c>
      <c r="C868" s="1064"/>
      <c r="D868" s="2">
        <v>2</v>
      </c>
      <c r="E868" s="2"/>
      <c r="F868" s="1065" t="str">
        <f>IF(E868="","$",VLOOKUP(E868,'結果(小)'!$B$2:$F$1295,5,FALSE))</f>
        <v>$</v>
      </c>
      <c r="G868" s="2" t="s">
        <v>3802</v>
      </c>
      <c r="H868" s="6">
        <v>52</v>
      </c>
      <c r="I868" s="2" t="s">
        <v>5</v>
      </c>
      <c r="J868" s="2" t="s">
        <v>6067</v>
      </c>
      <c r="K868" s="22" t="s">
        <v>3803</v>
      </c>
      <c r="L868" s="2"/>
      <c r="M868" s="2"/>
      <c r="N868" s="8" t="s">
        <v>16117</v>
      </c>
      <c r="O868" s="2"/>
      <c r="P868" s="2" t="s">
        <v>25</v>
      </c>
      <c r="Q868" s="24">
        <v>1</v>
      </c>
      <c r="R868" s="25">
        <v>3</v>
      </c>
      <c r="S868" s="22"/>
      <c r="T868" s="1761"/>
      <c r="U868" s="1780"/>
      <c r="V868" s="1752"/>
    </row>
    <row r="869" spans="1:22" ht="12" customHeight="1">
      <c r="A869" s="1040" t="str">
        <f t="shared" si="14"/>
        <v>3707</v>
      </c>
      <c r="B869" s="1058" t="s">
        <v>16530</v>
      </c>
      <c r="C869" s="1064"/>
      <c r="D869" s="2">
        <v>3</v>
      </c>
      <c r="E869" s="4" t="s">
        <v>3261</v>
      </c>
      <c r="F869" s="1065" t="e">
        <f>IF(E869="","$",VLOOKUP(E869,'結果(小)'!$B$2:$F$1295,5,FALSE))</f>
        <v>#DIV/0!</v>
      </c>
      <c r="G869" s="1" t="s">
        <v>3270</v>
      </c>
      <c r="H869" s="6">
        <v>44</v>
      </c>
      <c r="I869" s="2" t="s">
        <v>5</v>
      </c>
      <c r="J869" s="1" t="s">
        <v>15273</v>
      </c>
      <c r="K869" s="3"/>
      <c r="L869" s="1"/>
      <c r="M869" s="1"/>
      <c r="N869" s="4" t="s">
        <v>16117</v>
      </c>
      <c r="O869" s="1"/>
      <c r="P869" s="1" t="s">
        <v>6</v>
      </c>
      <c r="Q869" s="16"/>
      <c r="R869" s="17"/>
      <c r="S869" s="3"/>
      <c r="T869" s="1761"/>
      <c r="U869" s="1780"/>
      <c r="V869" s="1752"/>
    </row>
    <row r="870" spans="1:22" ht="12" customHeight="1">
      <c r="A870" s="1040" t="str">
        <f t="shared" si="14"/>
        <v>3707</v>
      </c>
      <c r="B870" s="1058" t="s">
        <v>16531</v>
      </c>
      <c r="C870" s="1064"/>
      <c r="D870" s="2">
        <v>4</v>
      </c>
      <c r="E870" s="2"/>
      <c r="F870" s="1065" t="str">
        <f>IF(E870="","$",VLOOKUP(E870,'結果(小)'!$B$2:$F$1295,5,FALSE))</f>
        <v>$</v>
      </c>
      <c r="G870" s="2" t="s">
        <v>3806</v>
      </c>
      <c r="H870" s="6">
        <v>40</v>
      </c>
      <c r="I870" s="2" t="s">
        <v>5</v>
      </c>
      <c r="J870" s="2" t="s">
        <v>6067</v>
      </c>
      <c r="K870" s="22"/>
      <c r="L870" s="2"/>
      <c r="M870" s="2"/>
      <c r="N870" s="8" t="s">
        <v>16117</v>
      </c>
      <c r="O870" s="2"/>
      <c r="P870" s="2" t="s">
        <v>6</v>
      </c>
      <c r="Q870" s="24"/>
      <c r="R870" s="25"/>
      <c r="S870" s="22"/>
      <c r="T870" s="1761"/>
      <c r="U870" s="1780"/>
      <c r="V870" s="1752"/>
    </row>
    <row r="871" spans="1:22" ht="12" customHeight="1">
      <c r="A871" s="1040" t="str">
        <f t="shared" si="14"/>
        <v>3707</v>
      </c>
      <c r="B871" s="1058" t="s">
        <v>16532</v>
      </c>
      <c r="C871" s="1064"/>
      <c r="D871" s="2">
        <v>5</v>
      </c>
      <c r="E871" s="4" t="s">
        <v>5026</v>
      </c>
      <c r="F871" s="1065" t="e">
        <f>IF(E871="","$",VLOOKUP(E871,'結果(小)'!$B$2:$F$1295,5,FALSE))</f>
        <v>#DIV/0!</v>
      </c>
      <c r="G871" s="1" t="s">
        <v>3037</v>
      </c>
      <c r="H871" s="6">
        <v>54</v>
      </c>
      <c r="I871" s="2" t="s">
        <v>19</v>
      </c>
      <c r="J871" s="1" t="s">
        <v>15273</v>
      </c>
      <c r="K871" s="3"/>
      <c r="L871" s="1"/>
      <c r="M871" s="1"/>
      <c r="N871" s="4" t="s">
        <v>16117</v>
      </c>
      <c r="O871" s="1"/>
      <c r="P871" s="1" t="s">
        <v>6</v>
      </c>
      <c r="Q871" s="16"/>
      <c r="R871" s="17"/>
      <c r="S871" s="3"/>
      <c r="T871" s="1761"/>
      <c r="U871" s="1780"/>
      <c r="V871" s="1752"/>
    </row>
    <row r="872" spans="1:22" ht="12" customHeight="1">
      <c r="A872" s="1040" t="str">
        <f t="shared" si="14"/>
        <v>3707</v>
      </c>
      <c r="B872" s="1058" t="s">
        <v>16533</v>
      </c>
      <c r="C872" s="1064"/>
      <c r="D872" s="2">
        <v>5</v>
      </c>
      <c r="E872" s="4" t="s">
        <v>5050</v>
      </c>
      <c r="F872" s="1065" t="e">
        <f>IF(E872="","$",VLOOKUP(E872,'結果(小)'!$B$2:$F$1295,5,FALSE))</f>
        <v>#DIV/0!</v>
      </c>
      <c r="G872" s="1" t="s">
        <v>3704</v>
      </c>
      <c r="H872" s="6">
        <v>64</v>
      </c>
      <c r="I872" s="2" t="s">
        <v>19</v>
      </c>
      <c r="J872" s="1" t="s">
        <v>15273</v>
      </c>
      <c r="K872" s="3"/>
      <c r="L872" s="1"/>
      <c r="M872" s="1"/>
      <c r="N872" s="4" t="s">
        <v>16117</v>
      </c>
      <c r="O872" s="1"/>
      <c r="P872" s="1" t="s">
        <v>6</v>
      </c>
      <c r="Q872" s="16"/>
      <c r="R872" s="17"/>
      <c r="S872" s="3"/>
      <c r="T872" s="1761"/>
      <c r="U872" s="1780"/>
      <c r="V872" s="1752"/>
    </row>
    <row r="873" spans="1:22" ht="12" customHeight="1" thickBot="1">
      <c r="A873" s="916" t="str">
        <f t="shared" si="14"/>
        <v>3707</v>
      </c>
      <c r="B873" s="1088" t="s">
        <v>16534</v>
      </c>
      <c r="C873" s="1075"/>
      <c r="D873" s="702">
        <v>5</v>
      </c>
      <c r="E873" s="700" t="s">
        <v>3761</v>
      </c>
      <c r="F873" s="1071" t="e">
        <f>IF(E873="","$",VLOOKUP(E873,'結果(小)'!$B$2:$F$1295,5,FALSE))</f>
        <v>#DIV/0!</v>
      </c>
      <c r="G873" s="906" t="s">
        <v>3767</v>
      </c>
      <c r="H873" s="701">
        <v>61</v>
      </c>
      <c r="I873" s="702" t="s">
        <v>5</v>
      </c>
      <c r="J873" s="906" t="s">
        <v>15273</v>
      </c>
      <c r="K873" s="703"/>
      <c r="L873" s="906"/>
      <c r="M873" s="906"/>
      <c r="N873" s="700" t="s">
        <v>16117</v>
      </c>
      <c r="O873" s="906"/>
      <c r="P873" s="906" t="s">
        <v>6</v>
      </c>
      <c r="Q873" s="705"/>
      <c r="R873" s="903"/>
      <c r="S873" s="703"/>
      <c r="T873" s="1762"/>
      <c r="U873" s="1776"/>
      <c r="V873" s="1753"/>
    </row>
    <row r="874" spans="1:22" ht="12" customHeight="1">
      <c r="A874" s="1038" t="str">
        <f t="shared" si="14"/>
        <v>3708</v>
      </c>
      <c r="B874" s="1099" t="s">
        <v>5679</v>
      </c>
      <c r="C874" s="1073"/>
      <c r="D874" s="696">
        <v>1</v>
      </c>
      <c r="E874" s="688" t="s">
        <v>5466</v>
      </c>
      <c r="F874" s="1068" t="e">
        <f>IF(E874="","$",VLOOKUP(E874,'結果(小)'!$B$2:$F$1295,5,FALSE))</f>
        <v>#DIV/0!</v>
      </c>
      <c r="G874" s="687" t="s">
        <v>5467</v>
      </c>
      <c r="H874" s="690">
        <v>33</v>
      </c>
      <c r="I874" s="696" t="s">
        <v>5</v>
      </c>
      <c r="J874" s="687" t="s">
        <v>15273</v>
      </c>
      <c r="K874" s="747"/>
      <c r="L874" s="687"/>
      <c r="M874" s="687"/>
      <c r="N874" s="692" t="s">
        <v>16121</v>
      </c>
      <c r="O874" s="687"/>
      <c r="P874" s="687" t="s">
        <v>6</v>
      </c>
      <c r="Q874" s="748"/>
      <c r="R874" s="749"/>
      <c r="S874" s="747"/>
      <c r="T874" s="1745"/>
      <c r="U874" s="1775"/>
      <c r="V874" s="1751" t="e">
        <f>U874/SUM(U718:U882)</f>
        <v>#DIV/0!</v>
      </c>
    </row>
    <row r="875" spans="1:22" ht="12" customHeight="1">
      <c r="A875" s="1040" t="str">
        <f t="shared" si="14"/>
        <v>3708</v>
      </c>
      <c r="B875" s="1062" t="s">
        <v>16536</v>
      </c>
      <c r="C875" s="1064"/>
      <c r="D875" s="2">
        <v>1</v>
      </c>
      <c r="E875" s="4" t="s">
        <v>3262</v>
      </c>
      <c r="F875" s="1065" t="e">
        <f>IF(E875="","$",VLOOKUP(E875,'結果(小)'!$B$2:$F$1295,5,FALSE))</f>
        <v>#DIV/0!</v>
      </c>
      <c r="G875" s="1" t="s">
        <v>3274</v>
      </c>
      <c r="H875" s="6">
        <v>63</v>
      </c>
      <c r="I875" s="2" t="s">
        <v>5</v>
      </c>
      <c r="J875" s="1" t="s">
        <v>15273</v>
      </c>
      <c r="K875" s="3"/>
      <c r="L875" s="1"/>
      <c r="M875" s="1"/>
      <c r="N875" s="4" t="s">
        <v>16121</v>
      </c>
      <c r="O875" s="1"/>
      <c r="P875" s="1" t="s">
        <v>6</v>
      </c>
      <c r="Q875" s="16"/>
      <c r="R875" s="17"/>
      <c r="S875" s="3"/>
      <c r="T875" s="1746"/>
      <c r="U875" s="1780"/>
      <c r="V875" s="1752"/>
    </row>
    <row r="876" spans="1:22" ht="12" customHeight="1" thickBot="1">
      <c r="A876" s="916" t="str">
        <f t="shared" si="14"/>
        <v>3708</v>
      </c>
      <c r="B876" s="1100" t="s">
        <v>16535</v>
      </c>
      <c r="C876" s="1075"/>
      <c r="D876" s="702">
        <v>3</v>
      </c>
      <c r="E876" s="702"/>
      <c r="F876" s="1071" t="str">
        <f>IF(E876="","$",VLOOKUP(E876,'結果(小)'!$B$2:$F$1295,5,FALSE))</f>
        <v>$</v>
      </c>
      <c r="G876" s="702" t="s">
        <v>5475</v>
      </c>
      <c r="H876" s="701">
        <v>62</v>
      </c>
      <c r="I876" s="702" t="s">
        <v>5</v>
      </c>
      <c r="J876" s="702" t="s">
        <v>6067</v>
      </c>
      <c r="K876" s="720"/>
      <c r="L876" s="702"/>
      <c r="M876" s="702"/>
      <c r="N876" s="704" t="s">
        <v>16121</v>
      </c>
      <c r="O876" s="702"/>
      <c r="P876" s="702" t="s">
        <v>25</v>
      </c>
      <c r="Q876" s="721">
        <v>1</v>
      </c>
      <c r="R876" s="722">
        <v>1</v>
      </c>
      <c r="S876" s="720"/>
      <c r="T876" s="1747"/>
      <c r="U876" s="1776"/>
      <c r="V876" s="1753"/>
    </row>
    <row r="877" spans="1:22" ht="12" customHeight="1">
      <c r="A877" s="1038" t="str">
        <f t="shared" si="14"/>
        <v>3713</v>
      </c>
      <c r="B877" s="1093" t="s">
        <v>16560</v>
      </c>
      <c r="C877" s="1073"/>
      <c r="D877" s="696">
        <v>1</v>
      </c>
      <c r="E877" s="696"/>
      <c r="F877" s="1068" t="str">
        <f>IF(E877="","$",VLOOKUP(E877,'結果(小)'!$B$2:$F$1295,5,FALSE))</f>
        <v>$</v>
      </c>
      <c r="G877" s="696" t="s">
        <v>3809</v>
      </c>
      <c r="H877" s="690">
        <v>41</v>
      </c>
      <c r="I877" s="696" t="s">
        <v>5</v>
      </c>
      <c r="J877" s="696" t="s">
        <v>6067</v>
      </c>
      <c r="K877" s="715"/>
      <c r="L877" s="696"/>
      <c r="M877" s="696"/>
      <c r="N877" s="716" t="s">
        <v>16122</v>
      </c>
      <c r="O877" s="696" t="s">
        <v>22</v>
      </c>
      <c r="P877" s="696" t="s">
        <v>6</v>
      </c>
      <c r="Q877" s="717"/>
      <c r="R877" s="718"/>
      <c r="S877" s="715"/>
      <c r="T877" s="1754"/>
      <c r="U877" s="1775"/>
      <c r="V877" s="1751" t="e">
        <f>U877/SUM(U718:U882)</f>
        <v>#DIV/0!</v>
      </c>
    </row>
    <row r="878" spans="1:22" ht="12" customHeight="1">
      <c r="A878" s="1040" t="str">
        <f t="shared" si="14"/>
        <v>3713</v>
      </c>
      <c r="B878" s="1060" t="s">
        <v>16561</v>
      </c>
      <c r="C878" s="1064"/>
      <c r="D878" s="2">
        <v>2</v>
      </c>
      <c r="E878" s="2"/>
      <c r="F878" s="1065" t="str">
        <f>IF(E878="","$",VLOOKUP(E878,'結果(小)'!$B$2:$F$1295,5,FALSE))</f>
        <v>$</v>
      </c>
      <c r="G878" s="2" t="s">
        <v>5141</v>
      </c>
      <c r="H878" s="6">
        <v>29</v>
      </c>
      <c r="I878" s="2" t="s">
        <v>19</v>
      </c>
      <c r="J878" s="2" t="s">
        <v>6067</v>
      </c>
      <c r="K878" s="22"/>
      <c r="L878" s="2"/>
      <c r="M878" s="2"/>
      <c r="N878" s="23" t="s">
        <v>16122</v>
      </c>
      <c r="O878" s="2" t="s">
        <v>22</v>
      </c>
      <c r="P878" s="2" t="s">
        <v>6</v>
      </c>
      <c r="Q878" s="24"/>
      <c r="R878" s="25"/>
      <c r="S878" s="22"/>
      <c r="T878" s="1755"/>
      <c r="U878" s="1780"/>
      <c r="V878" s="1752"/>
    </row>
    <row r="879" spans="1:22" ht="12" customHeight="1">
      <c r="A879" s="1040" t="str">
        <f t="shared" si="14"/>
        <v>3713</v>
      </c>
      <c r="B879" s="1060" t="s">
        <v>16562</v>
      </c>
      <c r="C879" s="1064"/>
      <c r="D879" s="2">
        <v>3</v>
      </c>
      <c r="E879" s="2"/>
      <c r="F879" s="1065" t="str">
        <f>IF(E879="","$",VLOOKUP(E879,'結果(小)'!$B$2:$F$1295,5,FALSE))</f>
        <v>$</v>
      </c>
      <c r="G879" s="2" t="s">
        <v>4621</v>
      </c>
      <c r="H879" s="6">
        <v>54</v>
      </c>
      <c r="I879" s="2" t="s">
        <v>5</v>
      </c>
      <c r="J879" s="2" t="s">
        <v>6067</v>
      </c>
      <c r="K879" s="22"/>
      <c r="L879" s="2"/>
      <c r="M879" s="2"/>
      <c r="N879" s="23" t="s">
        <v>16122</v>
      </c>
      <c r="O879" s="2" t="s">
        <v>22</v>
      </c>
      <c r="P879" s="2" t="s">
        <v>6</v>
      </c>
      <c r="Q879" s="24"/>
      <c r="R879" s="25"/>
      <c r="S879" s="22"/>
      <c r="T879" s="1755"/>
      <c r="U879" s="1780"/>
      <c r="V879" s="1752"/>
    </row>
    <row r="880" spans="1:22" ht="12" customHeight="1">
      <c r="A880" s="1040" t="str">
        <f t="shared" si="14"/>
        <v>3713</v>
      </c>
      <c r="B880" s="1060" t="s">
        <v>16563</v>
      </c>
      <c r="C880" s="1064"/>
      <c r="D880" s="2">
        <v>4</v>
      </c>
      <c r="E880" s="2"/>
      <c r="F880" s="1065" t="str">
        <f>IF(E880="","$",VLOOKUP(E880,'結果(小)'!$B$2:$F$1295,5,FALSE))</f>
        <v>$</v>
      </c>
      <c r="G880" s="2" t="s">
        <v>4627</v>
      </c>
      <c r="H880" s="6">
        <v>41</v>
      </c>
      <c r="I880" s="2" t="s">
        <v>19</v>
      </c>
      <c r="J880" s="2" t="s">
        <v>6067</v>
      </c>
      <c r="K880" s="22"/>
      <c r="L880" s="2"/>
      <c r="M880" s="2"/>
      <c r="N880" s="23" t="s">
        <v>16122</v>
      </c>
      <c r="O880" s="2" t="s">
        <v>22</v>
      </c>
      <c r="P880" s="2" t="s">
        <v>6</v>
      </c>
      <c r="Q880" s="24"/>
      <c r="R880" s="25"/>
      <c r="S880" s="22"/>
      <c r="T880" s="1755"/>
      <c r="U880" s="1780"/>
      <c r="V880" s="1752"/>
    </row>
    <row r="881" spans="1:22" ht="12" customHeight="1">
      <c r="A881" s="1040" t="str">
        <f t="shared" si="14"/>
        <v>3713</v>
      </c>
      <c r="B881" s="1060" t="s">
        <v>16564</v>
      </c>
      <c r="C881" s="1064"/>
      <c r="D881" s="2">
        <v>5</v>
      </c>
      <c r="E881" s="2"/>
      <c r="F881" s="1065" t="str">
        <f>IF(E881="","$",VLOOKUP(E881,'結果(小)'!$B$2:$F$1295,5,FALSE))</f>
        <v>$</v>
      </c>
      <c r="G881" s="2" t="s">
        <v>4630</v>
      </c>
      <c r="H881" s="6">
        <v>49</v>
      </c>
      <c r="I881" s="2" t="s">
        <v>19</v>
      </c>
      <c r="J881" s="2" t="s">
        <v>6067</v>
      </c>
      <c r="K881" s="22"/>
      <c r="L881" s="2"/>
      <c r="M881" s="2"/>
      <c r="N881" s="23" t="s">
        <v>16122</v>
      </c>
      <c r="O881" s="2" t="s">
        <v>22</v>
      </c>
      <c r="P881" s="2" t="s">
        <v>6</v>
      </c>
      <c r="Q881" s="24"/>
      <c r="R881" s="25"/>
      <c r="S881" s="22"/>
      <c r="T881" s="1755"/>
      <c r="U881" s="1780"/>
      <c r="V881" s="1752"/>
    </row>
    <row r="882" spans="1:22" ht="12" customHeight="1" thickBot="1">
      <c r="A882" s="916" t="str">
        <f t="shared" si="14"/>
        <v>3713</v>
      </c>
      <c r="B882" s="1094" t="s">
        <v>16565</v>
      </c>
      <c r="C882" s="1075"/>
      <c r="D882" s="702">
        <v>6</v>
      </c>
      <c r="E882" s="702"/>
      <c r="F882" s="1071" t="str">
        <f>IF(E882="","$",VLOOKUP(E882,'結果(小)'!$B$2:$F$1295,5,FALSE))</f>
        <v>$</v>
      </c>
      <c r="G882" s="702" t="s">
        <v>4624</v>
      </c>
      <c r="H882" s="701">
        <v>52</v>
      </c>
      <c r="I882" s="702" t="s">
        <v>5</v>
      </c>
      <c r="J882" s="702" t="s">
        <v>6067</v>
      </c>
      <c r="K882" s="720"/>
      <c r="L882" s="702"/>
      <c r="M882" s="702"/>
      <c r="N882" s="770" t="s">
        <v>16122</v>
      </c>
      <c r="O882" s="702" t="s">
        <v>22</v>
      </c>
      <c r="P882" s="702" t="s">
        <v>6</v>
      </c>
      <c r="Q882" s="721"/>
      <c r="R882" s="722"/>
      <c r="S882" s="720"/>
      <c r="T882" s="1756"/>
      <c r="U882" s="1776"/>
      <c r="V882" s="1753"/>
    </row>
    <row r="883" spans="1:22" ht="12" customHeight="1">
      <c r="A883" s="1038" t="str">
        <f t="shared" si="14"/>
        <v>3801</v>
      </c>
      <c r="B883" s="1095" t="s">
        <v>15890</v>
      </c>
      <c r="C883" s="1073"/>
      <c r="D883" s="696">
        <v>1</v>
      </c>
      <c r="E883" s="688" t="s">
        <v>3822</v>
      </c>
      <c r="F883" s="1068" t="e">
        <f>IF(E883="","$",VLOOKUP(E883,'結果(小)'!$B$2:$F$1295,5,FALSE))</f>
        <v>#DIV/0!</v>
      </c>
      <c r="G883" s="687" t="s">
        <v>3825</v>
      </c>
      <c r="H883" s="690">
        <v>50</v>
      </c>
      <c r="I883" s="696" t="s">
        <v>5</v>
      </c>
      <c r="J883" s="689" t="s">
        <v>15273</v>
      </c>
      <c r="K883" s="747" t="s">
        <v>3826</v>
      </c>
      <c r="L883" s="687"/>
      <c r="M883" s="687"/>
      <c r="N883" s="692" t="s">
        <v>16127</v>
      </c>
      <c r="O883" s="687" t="s">
        <v>44</v>
      </c>
      <c r="P883" s="687" t="s">
        <v>25</v>
      </c>
      <c r="Q883" s="748">
        <v>1</v>
      </c>
      <c r="R883" s="749">
        <v>1</v>
      </c>
      <c r="S883" s="747"/>
      <c r="T883" s="1777"/>
      <c r="U883" s="1748"/>
      <c r="V883" s="1751" t="e">
        <f>U883/SUM(U883:U950)</f>
        <v>#DIV/0!</v>
      </c>
    </row>
    <row r="884" spans="1:22" ht="12" customHeight="1">
      <c r="A884" s="1040" t="str">
        <f t="shared" si="14"/>
        <v>3801</v>
      </c>
      <c r="B884" s="1061" t="s">
        <v>15891</v>
      </c>
      <c r="C884" s="1064"/>
      <c r="D884" s="2">
        <v>1</v>
      </c>
      <c r="E884" s="4" t="s">
        <v>3834</v>
      </c>
      <c r="F884" s="1065" t="e">
        <f>IF(E884="","$",VLOOKUP(E884,'結果(小)'!$B$2:$F$1295,5,FALSE))</f>
        <v>#DIV/0!</v>
      </c>
      <c r="G884" s="1" t="s">
        <v>3837</v>
      </c>
      <c r="H884" s="6">
        <v>52</v>
      </c>
      <c r="I884" s="2" t="s">
        <v>5</v>
      </c>
      <c r="J884" s="5" t="s">
        <v>15273</v>
      </c>
      <c r="K884" s="3" t="s">
        <v>3838</v>
      </c>
      <c r="L884" s="1"/>
      <c r="M884" s="1"/>
      <c r="N884" s="8" t="s">
        <v>16127</v>
      </c>
      <c r="O884" s="1" t="s">
        <v>45</v>
      </c>
      <c r="P884" s="1" t="s">
        <v>25</v>
      </c>
      <c r="Q884" s="16">
        <v>1</v>
      </c>
      <c r="R884" s="17">
        <v>1</v>
      </c>
      <c r="S884" s="3"/>
      <c r="T884" s="1778"/>
      <c r="U884" s="1749"/>
      <c r="V884" s="1752"/>
    </row>
    <row r="885" spans="1:22" ht="12" customHeight="1">
      <c r="A885" s="1040" t="str">
        <f t="shared" si="14"/>
        <v>3801</v>
      </c>
      <c r="B885" s="1061" t="s">
        <v>15892</v>
      </c>
      <c r="C885" s="1064"/>
      <c r="D885" s="2">
        <v>1</v>
      </c>
      <c r="E885" s="4" t="s">
        <v>3855</v>
      </c>
      <c r="F885" s="1065" t="e">
        <f>IF(E885="","$",VLOOKUP(E885,'結果(小)'!$B$2:$F$1295,5,FALSE))</f>
        <v>#DIV/0!</v>
      </c>
      <c r="G885" s="1" t="s">
        <v>5088</v>
      </c>
      <c r="H885" s="6">
        <v>32</v>
      </c>
      <c r="I885" s="2" t="s">
        <v>5</v>
      </c>
      <c r="J885" s="5" t="s">
        <v>15273</v>
      </c>
      <c r="K885" s="3"/>
      <c r="L885" s="1"/>
      <c r="M885" s="1"/>
      <c r="N885" s="4" t="s">
        <v>16127</v>
      </c>
      <c r="O885" s="1" t="s">
        <v>44</v>
      </c>
      <c r="P885" s="1" t="s">
        <v>6</v>
      </c>
      <c r="Q885" s="16"/>
      <c r="R885" s="17"/>
      <c r="S885" s="3"/>
      <c r="T885" s="1778"/>
      <c r="U885" s="1749"/>
      <c r="V885" s="1752"/>
    </row>
    <row r="886" spans="1:22" ht="12" customHeight="1">
      <c r="A886" s="1040" t="str">
        <f t="shared" si="14"/>
        <v>3801</v>
      </c>
      <c r="B886" s="1061" t="s">
        <v>15893</v>
      </c>
      <c r="C886" s="1064"/>
      <c r="D886" s="2">
        <v>1</v>
      </c>
      <c r="E886" s="4" t="s">
        <v>3867</v>
      </c>
      <c r="F886" s="1065" t="e">
        <f>IF(E886="","$",VLOOKUP(E886,'結果(小)'!$B$2:$F$1295,5,FALSE))</f>
        <v>#DIV/0!</v>
      </c>
      <c r="G886" s="1" t="s">
        <v>3871</v>
      </c>
      <c r="H886" s="6">
        <v>43</v>
      </c>
      <c r="I886" s="2" t="s">
        <v>5</v>
      </c>
      <c r="J886" s="5" t="s">
        <v>15273</v>
      </c>
      <c r="K886" s="3" t="s">
        <v>3872</v>
      </c>
      <c r="L886" s="1"/>
      <c r="M886" s="1"/>
      <c r="N886" s="8" t="s">
        <v>16126</v>
      </c>
      <c r="O886" s="1" t="s">
        <v>44</v>
      </c>
      <c r="P886" s="1" t="s">
        <v>25</v>
      </c>
      <c r="Q886" s="16">
        <v>1</v>
      </c>
      <c r="R886" s="17">
        <v>1</v>
      </c>
      <c r="S886" s="3" t="s">
        <v>736</v>
      </c>
      <c r="T886" s="1778"/>
      <c r="U886" s="1749"/>
      <c r="V886" s="1752"/>
    </row>
    <row r="887" spans="1:22" ht="12" customHeight="1">
      <c r="A887" s="1040" t="str">
        <f t="shared" si="14"/>
        <v>3801</v>
      </c>
      <c r="B887" s="1061" t="s">
        <v>15894</v>
      </c>
      <c r="C887" s="1064"/>
      <c r="D887" s="2">
        <v>1</v>
      </c>
      <c r="E887" s="4" t="s">
        <v>3887</v>
      </c>
      <c r="F887" s="1065" t="e">
        <f>IF(E887="","$",VLOOKUP(E887,'結果(小)'!$B$2:$F$1295,5,FALSE))</f>
        <v>#DIV/0!</v>
      </c>
      <c r="G887" s="1" t="s">
        <v>3890</v>
      </c>
      <c r="H887" s="6">
        <v>41</v>
      </c>
      <c r="I887" s="2" t="s">
        <v>5</v>
      </c>
      <c r="J887" s="5" t="s">
        <v>15273</v>
      </c>
      <c r="K887" s="3" t="s">
        <v>3891</v>
      </c>
      <c r="L887" s="1"/>
      <c r="M887" s="1"/>
      <c r="N887" s="8" t="s">
        <v>16127</v>
      </c>
      <c r="O887" s="1" t="s">
        <v>44</v>
      </c>
      <c r="P887" s="1" t="s">
        <v>25</v>
      </c>
      <c r="Q887" s="16">
        <v>3</v>
      </c>
      <c r="R887" s="17">
        <v>3</v>
      </c>
      <c r="S887" s="3" t="s">
        <v>736</v>
      </c>
      <c r="T887" s="1778"/>
      <c r="U887" s="1749"/>
      <c r="V887" s="1752"/>
    </row>
    <row r="888" spans="1:22" ht="12" customHeight="1">
      <c r="A888" s="1040" t="str">
        <f t="shared" si="14"/>
        <v>3801</v>
      </c>
      <c r="B888" s="1061" t="s">
        <v>15895</v>
      </c>
      <c r="C888" s="1064"/>
      <c r="D888" s="2">
        <v>1</v>
      </c>
      <c r="E888" s="4" t="s">
        <v>3901</v>
      </c>
      <c r="F888" s="1065" t="e">
        <f>IF(E888="","$",VLOOKUP(E888,'結果(小)'!$B$2:$F$1295,5,FALSE))</f>
        <v>#DIV/0!</v>
      </c>
      <c r="G888" s="1" t="s">
        <v>3905</v>
      </c>
      <c r="H888" s="6">
        <v>37</v>
      </c>
      <c r="I888" s="2" t="s">
        <v>5</v>
      </c>
      <c r="J888" s="5" t="s">
        <v>15273</v>
      </c>
      <c r="K888" s="3"/>
      <c r="L888" s="1"/>
      <c r="M888" s="1"/>
      <c r="N888" s="8" t="s">
        <v>16127</v>
      </c>
      <c r="O888" s="1" t="s">
        <v>44</v>
      </c>
      <c r="P888" s="1" t="s">
        <v>6</v>
      </c>
      <c r="Q888" s="16"/>
      <c r="R888" s="17"/>
      <c r="S888" s="3" t="s">
        <v>736</v>
      </c>
      <c r="T888" s="1778"/>
      <c r="U888" s="1749"/>
      <c r="V888" s="1752"/>
    </row>
    <row r="889" spans="1:22" ht="12" customHeight="1">
      <c r="A889" s="1040" t="str">
        <f t="shared" si="14"/>
        <v>3801</v>
      </c>
      <c r="B889" s="1061" t="s">
        <v>15896</v>
      </c>
      <c r="C889" s="1064"/>
      <c r="D889" s="2">
        <v>1</v>
      </c>
      <c r="E889" s="4" t="s">
        <v>3918</v>
      </c>
      <c r="F889" s="1065" t="e">
        <f>IF(E889="","$",VLOOKUP(E889,'結果(小)'!$B$2:$F$1295,5,FALSE))</f>
        <v>#DIV/0!</v>
      </c>
      <c r="G889" s="1" t="s">
        <v>3921</v>
      </c>
      <c r="H889" s="6">
        <v>40</v>
      </c>
      <c r="I889" s="2" t="s">
        <v>5</v>
      </c>
      <c r="J889" s="5" t="s">
        <v>15273</v>
      </c>
      <c r="K889" s="3" t="s">
        <v>3922</v>
      </c>
      <c r="L889" s="1"/>
      <c r="M889" s="1"/>
      <c r="N889" s="8" t="s">
        <v>16127</v>
      </c>
      <c r="O889" s="1" t="s">
        <v>44</v>
      </c>
      <c r="P889" s="1" t="s">
        <v>25</v>
      </c>
      <c r="Q889" s="16">
        <v>2</v>
      </c>
      <c r="R889" s="17">
        <v>2</v>
      </c>
      <c r="S889" s="3" t="s">
        <v>736</v>
      </c>
      <c r="T889" s="1778"/>
      <c r="U889" s="1749"/>
      <c r="V889" s="1752"/>
    </row>
    <row r="890" spans="1:22" ht="12" customHeight="1">
      <c r="A890" s="1040" t="str">
        <f t="shared" si="14"/>
        <v>3801</v>
      </c>
      <c r="B890" s="1061" t="s">
        <v>15897</v>
      </c>
      <c r="C890" s="1064"/>
      <c r="D890" s="2">
        <v>1</v>
      </c>
      <c r="E890" s="4" t="s">
        <v>3929</v>
      </c>
      <c r="F890" s="1065" t="e">
        <f>IF(E890="","$",VLOOKUP(E890,'結果(小)'!$B$2:$F$1295,5,FALSE))</f>
        <v>#DIV/0!</v>
      </c>
      <c r="G890" s="1" t="s">
        <v>3932</v>
      </c>
      <c r="H890" s="6">
        <v>46</v>
      </c>
      <c r="I890" s="2" t="s">
        <v>5</v>
      </c>
      <c r="J890" s="5" t="s">
        <v>15273</v>
      </c>
      <c r="K890" s="3" t="s">
        <v>3933</v>
      </c>
      <c r="L890" s="1"/>
      <c r="M890" s="1"/>
      <c r="N890" s="4" t="s">
        <v>16127</v>
      </c>
      <c r="O890" s="1" t="s">
        <v>44</v>
      </c>
      <c r="P890" s="1" t="s">
        <v>25</v>
      </c>
      <c r="Q890" s="16">
        <v>1</v>
      </c>
      <c r="R890" s="17">
        <v>1</v>
      </c>
      <c r="S890" s="3" t="s">
        <v>736</v>
      </c>
      <c r="T890" s="1778"/>
      <c r="U890" s="1749"/>
      <c r="V890" s="1752"/>
    </row>
    <row r="891" spans="1:22" ht="12" customHeight="1">
      <c r="A891" s="1040" t="str">
        <f t="shared" si="14"/>
        <v>3801</v>
      </c>
      <c r="B891" s="1061" t="s">
        <v>15898</v>
      </c>
      <c r="C891" s="1064"/>
      <c r="D891" s="2">
        <v>1</v>
      </c>
      <c r="E891" s="4" t="s">
        <v>3938</v>
      </c>
      <c r="F891" s="1065" t="e">
        <f>IF(E891="","$",VLOOKUP(E891,'結果(小)'!$B$2:$F$1295,5,FALSE))</f>
        <v>#DIV/0!</v>
      </c>
      <c r="G891" s="1" t="s">
        <v>5602</v>
      </c>
      <c r="H891" s="6">
        <v>49</v>
      </c>
      <c r="I891" s="2" t="s">
        <v>5</v>
      </c>
      <c r="J891" s="5" t="s">
        <v>15273</v>
      </c>
      <c r="K891" s="3"/>
      <c r="L891" s="1"/>
      <c r="M891" s="1"/>
      <c r="N891" s="8" t="s">
        <v>16126</v>
      </c>
      <c r="O891" s="1" t="s">
        <v>44</v>
      </c>
      <c r="P891" s="1" t="s">
        <v>6</v>
      </c>
      <c r="Q891" s="16"/>
      <c r="R891" s="17"/>
      <c r="S891" s="3"/>
      <c r="T891" s="1778"/>
      <c r="U891" s="1749"/>
      <c r="V891" s="1752"/>
    </row>
    <row r="892" spans="1:22" ht="12" customHeight="1">
      <c r="A892" s="1040" t="str">
        <f t="shared" si="14"/>
        <v>3801</v>
      </c>
      <c r="B892" s="1061" t="s">
        <v>15899</v>
      </c>
      <c r="C892" s="1064"/>
      <c r="D892" s="2">
        <v>1</v>
      </c>
      <c r="E892" s="4" t="s">
        <v>3953</v>
      </c>
      <c r="F892" s="1065" t="e">
        <f>IF(E892="","$",VLOOKUP(E892,'結果(小)'!$B$2:$F$1295,5,FALSE))</f>
        <v>#DIV/0!</v>
      </c>
      <c r="G892" s="1" t="s">
        <v>3956</v>
      </c>
      <c r="H892" s="6">
        <v>41</v>
      </c>
      <c r="I892" s="2" t="s">
        <v>5</v>
      </c>
      <c r="J892" s="5" t="s">
        <v>15273</v>
      </c>
      <c r="K892" s="3" t="s">
        <v>3957</v>
      </c>
      <c r="L892" s="1"/>
      <c r="M892" s="1"/>
      <c r="N892" s="8" t="s">
        <v>16127</v>
      </c>
      <c r="O892" s="1" t="s">
        <v>44</v>
      </c>
      <c r="P892" s="1" t="s">
        <v>25</v>
      </c>
      <c r="Q892" s="16">
        <v>3</v>
      </c>
      <c r="R892" s="17">
        <v>3</v>
      </c>
      <c r="S892" s="3" t="s">
        <v>736</v>
      </c>
      <c r="T892" s="1778"/>
      <c r="U892" s="1749"/>
      <c r="V892" s="1752"/>
    </row>
    <row r="893" spans="1:22" ht="12" customHeight="1">
      <c r="A893" s="1040" t="str">
        <f t="shared" si="14"/>
        <v>3801</v>
      </c>
      <c r="B893" s="1061" t="s">
        <v>15900</v>
      </c>
      <c r="C893" s="1064"/>
      <c r="D893" s="2">
        <v>1</v>
      </c>
      <c r="E893" s="4" t="s">
        <v>3964</v>
      </c>
      <c r="F893" s="1065" t="e">
        <f>IF(E893="","$",VLOOKUP(E893,'結果(小)'!$B$2:$F$1295,5,FALSE))</f>
        <v>#DIV/0!</v>
      </c>
      <c r="G893" s="1" t="s">
        <v>3967</v>
      </c>
      <c r="H893" s="6">
        <v>42</v>
      </c>
      <c r="I893" s="2" t="s">
        <v>5</v>
      </c>
      <c r="J893" s="5" t="s">
        <v>15273</v>
      </c>
      <c r="K893" s="3" t="s">
        <v>3968</v>
      </c>
      <c r="L893" s="1"/>
      <c r="M893" s="1"/>
      <c r="N893" s="8" t="s">
        <v>16127</v>
      </c>
      <c r="O893" s="1" t="s">
        <v>44</v>
      </c>
      <c r="P893" s="1" t="s">
        <v>25</v>
      </c>
      <c r="Q893" s="16">
        <v>1</v>
      </c>
      <c r="R893" s="17">
        <v>1</v>
      </c>
      <c r="S893" s="3"/>
      <c r="T893" s="1778"/>
      <c r="U893" s="1749"/>
      <c r="V893" s="1752"/>
    </row>
    <row r="894" spans="1:22" ht="12" customHeight="1">
      <c r="A894" s="1040" t="str">
        <f t="shared" si="14"/>
        <v>3801</v>
      </c>
      <c r="B894" s="1061" t="s">
        <v>15901</v>
      </c>
      <c r="C894" s="1064"/>
      <c r="D894" s="2">
        <v>1</v>
      </c>
      <c r="E894" s="4" t="s">
        <v>3976</v>
      </c>
      <c r="F894" s="1065" t="e">
        <f>IF(E894="","$",VLOOKUP(E894,'結果(小)'!$B$2:$F$1295,5,FALSE))</f>
        <v>#DIV/0!</v>
      </c>
      <c r="G894" s="1" t="s">
        <v>3979</v>
      </c>
      <c r="H894" s="6">
        <v>48</v>
      </c>
      <c r="I894" s="2" t="s">
        <v>5</v>
      </c>
      <c r="J894" s="5" t="s">
        <v>15273</v>
      </c>
      <c r="K894" s="3" t="s">
        <v>3980</v>
      </c>
      <c r="L894" s="1"/>
      <c r="M894" s="1"/>
      <c r="N894" s="8" t="s">
        <v>16127</v>
      </c>
      <c r="O894" s="1" t="s">
        <v>737</v>
      </c>
      <c r="P894" s="1" t="s">
        <v>25</v>
      </c>
      <c r="Q894" s="16">
        <v>1</v>
      </c>
      <c r="R894" s="17">
        <v>1</v>
      </c>
      <c r="S894" s="3" t="s">
        <v>736</v>
      </c>
      <c r="T894" s="1778"/>
      <c r="U894" s="1749"/>
      <c r="V894" s="1752"/>
    </row>
    <row r="895" spans="1:22" ht="12" customHeight="1">
      <c r="A895" s="1040" t="str">
        <f t="shared" si="14"/>
        <v>3801</v>
      </c>
      <c r="B895" s="1061" t="s">
        <v>15902</v>
      </c>
      <c r="C895" s="1064"/>
      <c r="D895" s="2">
        <v>1</v>
      </c>
      <c r="E895" s="4" t="s">
        <v>3990</v>
      </c>
      <c r="F895" s="1065" t="e">
        <f>IF(E895="","$",VLOOKUP(E895,'結果(小)'!$B$2:$F$1295,5,FALSE))</f>
        <v>#DIV/0!</v>
      </c>
      <c r="G895" s="1" t="s">
        <v>4000</v>
      </c>
      <c r="H895" s="6">
        <v>53</v>
      </c>
      <c r="I895" s="2" t="s">
        <v>5</v>
      </c>
      <c r="J895" s="5" t="s">
        <v>15273</v>
      </c>
      <c r="K895" s="3" t="s">
        <v>4001</v>
      </c>
      <c r="L895" s="1"/>
      <c r="M895" s="1"/>
      <c r="N895" s="4" t="s">
        <v>16127</v>
      </c>
      <c r="O895" s="1" t="s">
        <v>44</v>
      </c>
      <c r="P895" s="1" t="s">
        <v>25</v>
      </c>
      <c r="Q895" s="16">
        <v>2</v>
      </c>
      <c r="R895" s="17">
        <v>2</v>
      </c>
      <c r="S895" s="3" t="s">
        <v>736</v>
      </c>
      <c r="T895" s="1778"/>
      <c r="U895" s="1749"/>
      <c r="V895" s="1752"/>
    </row>
    <row r="896" spans="1:22" ht="12" customHeight="1">
      <c r="A896" s="1040" t="str">
        <f t="shared" si="14"/>
        <v>3801</v>
      </c>
      <c r="B896" s="1061" t="s">
        <v>15903</v>
      </c>
      <c r="C896" s="1064"/>
      <c r="D896" s="2">
        <v>1</v>
      </c>
      <c r="E896" s="4" t="s">
        <v>4022</v>
      </c>
      <c r="F896" s="1065" t="e">
        <f>IF(E896="","$",VLOOKUP(E896,'結果(小)'!$B$2:$F$1295,5,FALSE))</f>
        <v>#DIV/0!</v>
      </c>
      <c r="G896" s="1" t="s">
        <v>4029</v>
      </c>
      <c r="H896" s="6">
        <v>49</v>
      </c>
      <c r="I896" s="2" t="s">
        <v>5</v>
      </c>
      <c r="J896" s="5" t="s">
        <v>15273</v>
      </c>
      <c r="K896" s="3" t="s">
        <v>4030</v>
      </c>
      <c r="L896" s="1"/>
      <c r="M896" s="1"/>
      <c r="N896" s="8" t="s">
        <v>16126</v>
      </c>
      <c r="O896" s="1" t="s">
        <v>44</v>
      </c>
      <c r="P896" s="1" t="s">
        <v>25</v>
      </c>
      <c r="Q896" s="16">
        <v>3</v>
      </c>
      <c r="R896" s="17">
        <v>3</v>
      </c>
      <c r="S896" s="3" t="s">
        <v>736</v>
      </c>
      <c r="T896" s="1778"/>
      <c r="U896" s="1749"/>
      <c r="V896" s="1752"/>
    </row>
    <row r="897" spans="1:22" ht="12" customHeight="1">
      <c r="A897" s="1040" t="str">
        <f t="shared" si="14"/>
        <v>3801</v>
      </c>
      <c r="B897" s="1061" t="s">
        <v>15904</v>
      </c>
      <c r="C897" s="1064"/>
      <c r="D897" s="2">
        <v>1</v>
      </c>
      <c r="E897" s="4" t="s">
        <v>4037</v>
      </c>
      <c r="F897" s="1065" t="e">
        <f>IF(E897="","$",VLOOKUP(E897,'結果(小)'!$B$2:$F$1295,5,FALSE))</f>
        <v>#DIV/0!</v>
      </c>
      <c r="G897" s="1" t="s">
        <v>4040</v>
      </c>
      <c r="H897" s="6">
        <v>29</v>
      </c>
      <c r="I897" s="2" t="s">
        <v>5</v>
      </c>
      <c r="J897" s="5" t="s">
        <v>15273</v>
      </c>
      <c r="K897" s="3"/>
      <c r="L897" s="1"/>
      <c r="M897" s="1"/>
      <c r="N897" s="8" t="s">
        <v>16127</v>
      </c>
      <c r="O897" s="1" t="s">
        <v>44</v>
      </c>
      <c r="P897" s="1" t="s">
        <v>6</v>
      </c>
      <c r="Q897" s="16"/>
      <c r="R897" s="17"/>
      <c r="S897" s="3"/>
      <c r="T897" s="1778"/>
      <c r="U897" s="1749"/>
      <c r="V897" s="1752"/>
    </row>
    <row r="898" spans="1:22" ht="12" customHeight="1">
      <c r="A898" s="1040" t="str">
        <f t="shared" si="14"/>
        <v>3801</v>
      </c>
      <c r="B898" s="1061" t="s">
        <v>15905</v>
      </c>
      <c r="C898" s="1064"/>
      <c r="D898" s="2">
        <v>1</v>
      </c>
      <c r="E898" s="4" t="s">
        <v>4049</v>
      </c>
      <c r="F898" s="1065" t="e">
        <f>IF(E898="","$",VLOOKUP(E898,'結果(小)'!$B$2:$F$1295,5,FALSE))</f>
        <v>#DIV/0!</v>
      </c>
      <c r="G898" s="1" t="s">
        <v>4052</v>
      </c>
      <c r="H898" s="6">
        <v>58</v>
      </c>
      <c r="I898" s="2" t="s">
        <v>5</v>
      </c>
      <c r="J898" s="5" t="s">
        <v>15273</v>
      </c>
      <c r="K898" s="3" t="s">
        <v>4053</v>
      </c>
      <c r="L898" s="1"/>
      <c r="M898" s="1"/>
      <c r="N898" s="8" t="s">
        <v>16127</v>
      </c>
      <c r="O898" s="1" t="s">
        <v>44</v>
      </c>
      <c r="P898" s="1" t="s">
        <v>25</v>
      </c>
      <c r="Q898" s="16">
        <v>5</v>
      </c>
      <c r="R898" s="17">
        <v>5</v>
      </c>
      <c r="S898" s="3" t="s">
        <v>736</v>
      </c>
      <c r="T898" s="1778"/>
      <c r="U898" s="1749"/>
      <c r="V898" s="1752"/>
    </row>
    <row r="899" spans="1:22" ht="12" customHeight="1">
      <c r="A899" s="1040" t="str">
        <f t="shared" ref="A899:A962" si="15">MIDB(B899,1,4)</f>
        <v>3801</v>
      </c>
      <c r="B899" s="1061" t="s">
        <v>15906</v>
      </c>
      <c r="C899" s="1064"/>
      <c r="D899" s="2">
        <v>1</v>
      </c>
      <c r="E899" s="4" t="s">
        <v>4065</v>
      </c>
      <c r="F899" s="1065" t="e">
        <f>IF(E899="","$",VLOOKUP(E899,'結果(小)'!$B$2:$F$1295,5,FALSE))</f>
        <v>#DIV/0!</v>
      </c>
      <c r="G899" s="1" t="s">
        <v>4068</v>
      </c>
      <c r="H899" s="6">
        <v>34</v>
      </c>
      <c r="I899" s="2" t="s">
        <v>5</v>
      </c>
      <c r="J899" s="5" t="s">
        <v>15273</v>
      </c>
      <c r="K899" s="3" t="s">
        <v>4069</v>
      </c>
      <c r="L899" s="1"/>
      <c r="M899" s="1"/>
      <c r="N899" s="8" t="s">
        <v>16127</v>
      </c>
      <c r="O899" s="1" t="s">
        <v>44</v>
      </c>
      <c r="P899" s="1" t="s">
        <v>25</v>
      </c>
      <c r="Q899" s="16">
        <v>1</v>
      </c>
      <c r="R899" s="17">
        <v>1</v>
      </c>
      <c r="S899" s="3" t="s">
        <v>736</v>
      </c>
      <c r="T899" s="1778"/>
      <c r="U899" s="1749"/>
      <c r="V899" s="1752"/>
    </row>
    <row r="900" spans="1:22" ht="12" customHeight="1">
      <c r="A900" s="1040" t="str">
        <f t="shared" si="15"/>
        <v>3801</v>
      </c>
      <c r="B900" s="1061" t="s">
        <v>15907</v>
      </c>
      <c r="C900" s="1064"/>
      <c r="D900" s="2">
        <v>1</v>
      </c>
      <c r="E900" s="4" t="s">
        <v>4080</v>
      </c>
      <c r="F900" s="1065" t="e">
        <f>IF(E900="","$",VLOOKUP(E900,'結果(小)'!$B$2:$F$1295,5,FALSE))</f>
        <v>#DIV/0!</v>
      </c>
      <c r="G900" s="1" t="s">
        <v>5697</v>
      </c>
      <c r="H900" s="6">
        <v>45</v>
      </c>
      <c r="I900" s="2" t="s">
        <v>5</v>
      </c>
      <c r="J900" s="5" t="s">
        <v>15273</v>
      </c>
      <c r="K900" s="3"/>
      <c r="L900" s="1"/>
      <c r="M900" s="1"/>
      <c r="N900" s="4" t="s">
        <v>16127</v>
      </c>
      <c r="O900" s="1" t="s">
        <v>44</v>
      </c>
      <c r="P900" s="1" t="s">
        <v>6</v>
      </c>
      <c r="Q900" s="16"/>
      <c r="R900" s="17"/>
      <c r="S900" s="3"/>
      <c r="T900" s="1778"/>
      <c r="U900" s="1749"/>
      <c r="V900" s="1752"/>
    </row>
    <row r="901" spans="1:22" ht="12" customHeight="1" thickBot="1">
      <c r="A901" s="916" t="str">
        <f t="shared" si="15"/>
        <v>3801</v>
      </c>
      <c r="B901" s="1096" t="s">
        <v>15908</v>
      </c>
      <c r="C901" s="1075"/>
      <c r="D901" s="702">
        <v>19</v>
      </c>
      <c r="E901" s="702"/>
      <c r="F901" s="1071" t="str">
        <f>IF(E901="","$",VLOOKUP(E901,'結果(小)'!$B$2:$F$1295,5,FALSE))</f>
        <v>$</v>
      </c>
      <c r="G901" s="702" t="s">
        <v>4091</v>
      </c>
      <c r="H901" s="701">
        <v>42</v>
      </c>
      <c r="I901" s="702" t="s">
        <v>5</v>
      </c>
      <c r="J901" s="702" t="s">
        <v>6067</v>
      </c>
      <c r="K901" s="720" t="s">
        <v>4092</v>
      </c>
      <c r="L901" s="702"/>
      <c r="M901" s="702"/>
      <c r="N901" s="704" t="s">
        <v>16126</v>
      </c>
      <c r="O901" s="702" t="s">
        <v>737</v>
      </c>
      <c r="P901" s="702" t="s">
        <v>25</v>
      </c>
      <c r="Q901" s="721">
        <v>1</v>
      </c>
      <c r="R901" s="722">
        <v>1</v>
      </c>
      <c r="S901" s="720"/>
      <c r="T901" s="1779"/>
      <c r="U901" s="1750"/>
      <c r="V901" s="1753"/>
    </row>
    <row r="902" spans="1:22" ht="12" customHeight="1">
      <c r="A902" s="1038" t="str">
        <f t="shared" si="15"/>
        <v>3802</v>
      </c>
      <c r="B902" s="1072" t="s">
        <v>5970</v>
      </c>
      <c r="C902" s="1073"/>
      <c r="D902" s="696">
        <v>1</v>
      </c>
      <c r="E902" s="688" t="s">
        <v>3823</v>
      </c>
      <c r="F902" s="1068" t="e">
        <f>IF(E902="","$",VLOOKUP(E902,'結果(小)'!$B$2:$F$1295,5,FALSE))</f>
        <v>#DIV/0!</v>
      </c>
      <c r="G902" s="687" t="s">
        <v>3828</v>
      </c>
      <c r="H902" s="690">
        <v>51</v>
      </c>
      <c r="I902" s="696" t="s">
        <v>5</v>
      </c>
      <c r="J902" s="687" t="s">
        <v>15273</v>
      </c>
      <c r="K902" s="747" t="s">
        <v>3829</v>
      </c>
      <c r="L902" s="687"/>
      <c r="M902" s="687"/>
      <c r="N902" s="688" t="s">
        <v>16120</v>
      </c>
      <c r="O902" s="687" t="s">
        <v>30</v>
      </c>
      <c r="P902" s="687" t="s">
        <v>25</v>
      </c>
      <c r="Q902" s="748">
        <v>2</v>
      </c>
      <c r="R902" s="749">
        <v>2</v>
      </c>
      <c r="S902" s="747" t="s">
        <v>5457</v>
      </c>
      <c r="T902" s="1769"/>
      <c r="U902" s="1748"/>
      <c r="V902" s="1751" t="e">
        <f>U902/SUM(U883:U950)</f>
        <v>#DIV/0!</v>
      </c>
    </row>
    <row r="903" spans="1:22" ht="12" customHeight="1">
      <c r="A903" s="1040" t="str">
        <f t="shared" si="15"/>
        <v>3802</v>
      </c>
      <c r="B903" s="1053" t="s">
        <v>6101</v>
      </c>
      <c r="C903" s="1064"/>
      <c r="D903" s="2">
        <v>1</v>
      </c>
      <c r="E903" s="4" t="s">
        <v>3835</v>
      </c>
      <c r="F903" s="1065" t="e">
        <f>IF(E903="","$",VLOOKUP(E903,'結果(小)'!$B$2:$F$1295,5,FALSE))</f>
        <v>#DIV/0!</v>
      </c>
      <c r="G903" s="1" t="s">
        <v>3844</v>
      </c>
      <c r="H903" s="6">
        <v>68</v>
      </c>
      <c r="I903" s="2" t="s">
        <v>5</v>
      </c>
      <c r="J903" s="1" t="s">
        <v>15273</v>
      </c>
      <c r="K903" s="3" t="s">
        <v>3845</v>
      </c>
      <c r="L903" s="1"/>
      <c r="M903" s="1"/>
      <c r="N903" s="4" t="s">
        <v>16120</v>
      </c>
      <c r="O903" s="1" t="s">
        <v>48</v>
      </c>
      <c r="P903" s="1" t="s">
        <v>25</v>
      </c>
      <c r="Q903" s="16">
        <v>7</v>
      </c>
      <c r="R903" s="17">
        <v>7</v>
      </c>
      <c r="S903" s="3" t="s">
        <v>5457</v>
      </c>
      <c r="T903" s="1770"/>
      <c r="U903" s="1749"/>
      <c r="V903" s="1752"/>
    </row>
    <row r="904" spans="1:22" ht="12" customHeight="1">
      <c r="A904" s="1040" t="str">
        <f t="shared" si="15"/>
        <v>3802</v>
      </c>
      <c r="B904" s="1053" t="s">
        <v>6102</v>
      </c>
      <c r="C904" s="1064"/>
      <c r="D904" s="2">
        <v>1</v>
      </c>
      <c r="E904" s="4" t="s">
        <v>3856</v>
      </c>
      <c r="F904" s="1065" t="e">
        <f>IF(E904="","$",VLOOKUP(E904,'結果(小)'!$B$2:$F$1295,5,FALSE))</f>
        <v>#DIV/0!</v>
      </c>
      <c r="G904" s="1" t="s">
        <v>3858</v>
      </c>
      <c r="H904" s="6">
        <v>66</v>
      </c>
      <c r="I904" s="2" t="s">
        <v>5</v>
      </c>
      <c r="J904" s="1" t="s">
        <v>15273</v>
      </c>
      <c r="K904" s="3" t="s">
        <v>3859</v>
      </c>
      <c r="L904" s="1"/>
      <c r="M904" s="1"/>
      <c r="N904" s="8" t="s">
        <v>16120</v>
      </c>
      <c r="O904" s="1" t="s">
        <v>13</v>
      </c>
      <c r="P904" s="1" t="s">
        <v>25</v>
      </c>
      <c r="Q904" s="16">
        <v>4</v>
      </c>
      <c r="R904" s="17">
        <v>4</v>
      </c>
      <c r="S904" s="3" t="s">
        <v>5457</v>
      </c>
      <c r="T904" s="1770"/>
      <c r="U904" s="1749"/>
      <c r="V904" s="1752"/>
    </row>
    <row r="905" spans="1:22" ht="12" customHeight="1">
      <c r="A905" s="1040" t="str">
        <f t="shared" si="15"/>
        <v>3802</v>
      </c>
      <c r="B905" s="1053" t="s">
        <v>6103</v>
      </c>
      <c r="C905" s="1064"/>
      <c r="D905" s="2">
        <v>1</v>
      </c>
      <c r="E905" s="4" t="s">
        <v>3868</v>
      </c>
      <c r="F905" s="1065" t="e">
        <f>IF(E905="","$",VLOOKUP(E905,'結果(小)'!$B$2:$F$1295,5,FALSE))</f>
        <v>#DIV/0!</v>
      </c>
      <c r="G905" s="1" t="s">
        <v>3874</v>
      </c>
      <c r="H905" s="6">
        <v>58</v>
      </c>
      <c r="I905" s="2" t="s">
        <v>5</v>
      </c>
      <c r="J905" s="1" t="s">
        <v>15273</v>
      </c>
      <c r="K905" s="3" t="s">
        <v>3875</v>
      </c>
      <c r="L905" s="1"/>
      <c r="M905" s="1"/>
      <c r="N905" s="23" t="s">
        <v>16120</v>
      </c>
      <c r="O905" s="1" t="s">
        <v>30</v>
      </c>
      <c r="P905" s="1" t="s">
        <v>25</v>
      </c>
      <c r="Q905" s="16">
        <v>8</v>
      </c>
      <c r="R905" s="17">
        <v>8</v>
      </c>
      <c r="S905" s="3" t="s">
        <v>5457</v>
      </c>
      <c r="T905" s="1770"/>
      <c r="U905" s="1749"/>
      <c r="V905" s="1752"/>
    </row>
    <row r="906" spans="1:22" ht="12" customHeight="1">
      <c r="A906" s="1040" t="str">
        <f t="shared" si="15"/>
        <v>3802</v>
      </c>
      <c r="B906" s="1053" t="s">
        <v>6104</v>
      </c>
      <c r="C906" s="1064"/>
      <c r="D906" s="2">
        <v>1</v>
      </c>
      <c r="E906" s="4" t="s">
        <v>3888</v>
      </c>
      <c r="F906" s="1065" t="e">
        <f>IF(E906="","$",VLOOKUP(E906,'結果(小)'!$B$2:$F$1295,5,FALSE))</f>
        <v>#DIV/0!</v>
      </c>
      <c r="G906" s="1" t="s">
        <v>3894</v>
      </c>
      <c r="H906" s="6">
        <v>47</v>
      </c>
      <c r="I906" s="2" t="s">
        <v>5</v>
      </c>
      <c r="J906" s="1" t="s">
        <v>15273</v>
      </c>
      <c r="K906" s="3"/>
      <c r="L906" s="1"/>
      <c r="M906" s="1"/>
      <c r="N906" s="8" t="s">
        <v>16120</v>
      </c>
      <c r="O906" s="1" t="s">
        <v>30</v>
      </c>
      <c r="P906" s="1" t="s">
        <v>6</v>
      </c>
      <c r="Q906" s="16"/>
      <c r="R906" s="17"/>
      <c r="S906" s="3" t="s">
        <v>5457</v>
      </c>
      <c r="T906" s="1770"/>
      <c r="U906" s="1749"/>
      <c r="V906" s="1752"/>
    </row>
    <row r="907" spans="1:22" ht="12" customHeight="1">
      <c r="A907" s="1040" t="str">
        <f t="shared" si="15"/>
        <v>3802</v>
      </c>
      <c r="B907" s="1053" t="s">
        <v>6105</v>
      </c>
      <c r="C907" s="1064"/>
      <c r="D907" s="2">
        <v>1</v>
      </c>
      <c r="E907" s="4" t="s">
        <v>3902</v>
      </c>
      <c r="F907" s="1065" t="e">
        <f>IF(E907="","$",VLOOKUP(E907,'結果(小)'!$B$2:$F$1295,5,FALSE))</f>
        <v>#DIV/0!</v>
      </c>
      <c r="G907" s="1" t="s">
        <v>3907</v>
      </c>
      <c r="H907" s="6">
        <v>53</v>
      </c>
      <c r="I907" s="2" t="s">
        <v>19</v>
      </c>
      <c r="J907" s="1" t="s">
        <v>15273</v>
      </c>
      <c r="K907" s="3" t="s">
        <v>3908</v>
      </c>
      <c r="L907" s="1"/>
      <c r="M907" s="1"/>
      <c r="N907" s="4" t="s">
        <v>16120</v>
      </c>
      <c r="O907" s="1" t="s">
        <v>30</v>
      </c>
      <c r="P907" s="1" t="s">
        <v>25</v>
      </c>
      <c r="Q907" s="16">
        <v>2</v>
      </c>
      <c r="R907" s="17">
        <v>2</v>
      </c>
      <c r="S907" s="3" t="s">
        <v>5457</v>
      </c>
      <c r="T907" s="1770"/>
      <c r="U907" s="1749"/>
      <c r="V907" s="1752"/>
    </row>
    <row r="908" spans="1:22" ht="12" customHeight="1">
      <c r="A908" s="1040" t="str">
        <f t="shared" si="15"/>
        <v>3802</v>
      </c>
      <c r="B908" s="1053" t="s">
        <v>6111</v>
      </c>
      <c r="C908" s="1064"/>
      <c r="D908" s="2">
        <v>1</v>
      </c>
      <c r="E908" s="4" t="s">
        <v>3919</v>
      </c>
      <c r="F908" s="1065" t="e">
        <f>IF(E908="","$",VLOOKUP(E908,'結果(小)'!$B$2:$F$1295,5,FALSE))</f>
        <v>#DIV/0!</v>
      </c>
      <c r="G908" s="1" t="s">
        <v>3925</v>
      </c>
      <c r="H908" s="6">
        <v>38</v>
      </c>
      <c r="I908" s="2" t="s">
        <v>5</v>
      </c>
      <c r="J908" s="1" t="s">
        <v>15273</v>
      </c>
      <c r="K908" s="3"/>
      <c r="L908" s="1"/>
      <c r="M908" s="1"/>
      <c r="N908" s="4" t="s">
        <v>16120</v>
      </c>
      <c r="O908" s="1" t="s">
        <v>13</v>
      </c>
      <c r="P908" s="1" t="s">
        <v>14</v>
      </c>
      <c r="Q908" s="16">
        <v>1</v>
      </c>
      <c r="R908" s="17">
        <v>1</v>
      </c>
      <c r="S908" s="3" t="s">
        <v>5457</v>
      </c>
      <c r="T908" s="1770"/>
      <c r="U908" s="1749"/>
      <c r="V908" s="1752"/>
    </row>
    <row r="909" spans="1:22" ht="12" customHeight="1">
      <c r="A909" s="1040" t="str">
        <f t="shared" si="15"/>
        <v>3802</v>
      </c>
      <c r="B909" s="1053" t="s">
        <v>15497</v>
      </c>
      <c r="C909" s="1064"/>
      <c r="D909" s="2">
        <v>1</v>
      </c>
      <c r="E909" s="4" t="s">
        <v>3930</v>
      </c>
      <c r="F909" s="1065" t="e">
        <f>IF(E909="","$",VLOOKUP(E909,'結果(小)'!$B$2:$F$1295,5,FALSE))</f>
        <v>#DIV/0!</v>
      </c>
      <c r="G909" s="1" t="s">
        <v>4095</v>
      </c>
      <c r="H909" s="6">
        <v>57</v>
      </c>
      <c r="I909" s="2" t="s">
        <v>5</v>
      </c>
      <c r="J909" s="1" t="s">
        <v>15273</v>
      </c>
      <c r="K909" s="3" t="s">
        <v>4654</v>
      </c>
      <c r="L909" s="1"/>
      <c r="M909" s="1"/>
      <c r="N909" s="8" t="s">
        <v>16120</v>
      </c>
      <c r="O909" s="1" t="s">
        <v>13</v>
      </c>
      <c r="P909" s="1" t="s">
        <v>25</v>
      </c>
      <c r="Q909" s="16">
        <v>3</v>
      </c>
      <c r="R909" s="17">
        <v>3</v>
      </c>
      <c r="S909" s="3" t="s">
        <v>5457</v>
      </c>
      <c r="T909" s="1770"/>
      <c r="U909" s="1749"/>
      <c r="V909" s="1752"/>
    </row>
    <row r="910" spans="1:22" ht="12" customHeight="1">
      <c r="A910" s="1040" t="str">
        <f t="shared" si="15"/>
        <v>3802</v>
      </c>
      <c r="B910" s="1053" t="s">
        <v>15498</v>
      </c>
      <c r="C910" s="1064"/>
      <c r="D910" s="2">
        <v>1</v>
      </c>
      <c r="E910" s="4" t="s">
        <v>3939</v>
      </c>
      <c r="F910" s="1065" t="e">
        <f>IF(E910="","$",VLOOKUP(E910,'結果(小)'!$B$2:$F$1295,5,FALSE))</f>
        <v>#DIV/0!</v>
      </c>
      <c r="G910" s="1" t="s">
        <v>3942</v>
      </c>
      <c r="H910" s="6">
        <v>55</v>
      </c>
      <c r="I910" s="2" t="s">
        <v>5</v>
      </c>
      <c r="J910" s="1" t="s">
        <v>15273</v>
      </c>
      <c r="K910" s="3" t="s">
        <v>3943</v>
      </c>
      <c r="L910" s="1"/>
      <c r="M910" s="1"/>
      <c r="N910" s="23" t="s">
        <v>16120</v>
      </c>
      <c r="O910" s="1" t="s">
        <v>476</v>
      </c>
      <c r="P910" s="1" t="s">
        <v>25</v>
      </c>
      <c r="Q910" s="16">
        <v>6</v>
      </c>
      <c r="R910" s="17">
        <v>6</v>
      </c>
      <c r="S910" s="3" t="s">
        <v>5457</v>
      </c>
      <c r="T910" s="1770"/>
      <c r="U910" s="1749"/>
      <c r="V910" s="1752"/>
    </row>
    <row r="911" spans="1:22" ht="12" customHeight="1">
      <c r="A911" s="1040" t="str">
        <f t="shared" si="15"/>
        <v>3802</v>
      </c>
      <c r="B911" s="1053" t="s">
        <v>15499</v>
      </c>
      <c r="C911" s="1064"/>
      <c r="D911" s="2">
        <v>1</v>
      </c>
      <c r="E911" s="4" t="s">
        <v>3954</v>
      </c>
      <c r="F911" s="1065" t="e">
        <f>IF(E911="","$",VLOOKUP(E911,'結果(小)'!$B$2:$F$1295,5,FALSE))</f>
        <v>#DIV/0!</v>
      </c>
      <c r="G911" s="1" t="s">
        <v>3959</v>
      </c>
      <c r="H911" s="6">
        <v>64</v>
      </c>
      <c r="I911" s="2" t="s">
        <v>5</v>
      </c>
      <c r="J911" s="1" t="s">
        <v>15273</v>
      </c>
      <c r="K911" s="3"/>
      <c r="L911" s="1"/>
      <c r="M911" s="1"/>
      <c r="N911" s="8" t="s">
        <v>16120</v>
      </c>
      <c r="O911" s="1" t="s">
        <v>13</v>
      </c>
      <c r="P911" s="1" t="s">
        <v>14</v>
      </c>
      <c r="Q911" s="16">
        <v>1</v>
      </c>
      <c r="R911" s="17">
        <v>1</v>
      </c>
      <c r="S911" s="3" t="s">
        <v>5457</v>
      </c>
      <c r="T911" s="1770"/>
      <c r="U911" s="1749"/>
      <c r="V911" s="1752"/>
    </row>
    <row r="912" spans="1:22" ht="12" customHeight="1">
      <c r="A912" s="1040" t="str">
        <f t="shared" si="15"/>
        <v>3802</v>
      </c>
      <c r="B912" s="1053" t="s">
        <v>15500</v>
      </c>
      <c r="C912" s="1064"/>
      <c r="D912" s="2">
        <v>1</v>
      </c>
      <c r="E912" s="4" t="s">
        <v>3965</v>
      </c>
      <c r="F912" s="1065" t="e">
        <f>IF(E912="","$",VLOOKUP(E912,'結果(小)'!$B$2:$F$1295,5,FALSE))</f>
        <v>#DIV/0!</v>
      </c>
      <c r="G912" s="1" t="s">
        <v>3971</v>
      </c>
      <c r="H912" s="6">
        <v>49</v>
      </c>
      <c r="I912" s="2" t="s">
        <v>5</v>
      </c>
      <c r="J912" s="1" t="s">
        <v>15273</v>
      </c>
      <c r="K912" s="3" t="s">
        <v>3972</v>
      </c>
      <c r="L912" s="1"/>
      <c r="M912" s="1"/>
      <c r="N912" s="4" t="s">
        <v>16120</v>
      </c>
      <c r="O912" s="1" t="s">
        <v>30</v>
      </c>
      <c r="P912" s="1" t="s">
        <v>25</v>
      </c>
      <c r="Q912" s="16">
        <v>4</v>
      </c>
      <c r="R912" s="17">
        <v>4</v>
      </c>
      <c r="S912" s="3" t="s">
        <v>5457</v>
      </c>
      <c r="T912" s="1770"/>
      <c r="U912" s="1749"/>
      <c r="V912" s="1752"/>
    </row>
    <row r="913" spans="1:22" ht="12" customHeight="1">
      <c r="A913" s="1040" t="str">
        <f t="shared" si="15"/>
        <v>3802</v>
      </c>
      <c r="B913" s="1053" t="s">
        <v>15501</v>
      </c>
      <c r="C913" s="1064"/>
      <c r="D913" s="2">
        <v>1</v>
      </c>
      <c r="E913" s="4" t="s">
        <v>3977</v>
      </c>
      <c r="F913" s="1065" t="e">
        <f>IF(E913="","$",VLOOKUP(E913,'結果(小)'!$B$2:$F$1295,5,FALSE))</f>
        <v>#DIV/0!</v>
      </c>
      <c r="G913" s="1" t="s">
        <v>3984</v>
      </c>
      <c r="H913" s="6">
        <v>42</v>
      </c>
      <c r="I913" s="2" t="s">
        <v>5</v>
      </c>
      <c r="J913" s="1" t="s">
        <v>15273</v>
      </c>
      <c r="K913" s="3"/>
      <c r="L913" s="1"/>
      <c r="M913" s="1"/>
      <c r="N913" s="4" t="s">
        <v>16120</v>
      </c>
      <c r="O913" s="1" t="s">
        <v>30</v>
      </c>
      <c r="P913" s="1" t="s">
        <v>6</v>
      </c>
      <c r="Q913" s="16"/>
      <c r="R913" s="17"/>
      <c r="S913" s="3" t="s">
        <v>5457</v>
      </c>
      <c r="T913" s="1770"/>
      <c r="U913" s="1749"/>
      <c r="V913" s="1752"/>
    </row>
    <row r="914" spans="1:22" ht="12" customHeight="1">
      <c r="A914" s="1040" t="str">
        <f t="shared" si="15"/>
        <v>3802</v>
      </c>
      <c r="B914" s="1053" t="s">
        <v>15502</v>
      </c>
      <c r="C914" s="1064"/>
      <c r="D914" s="2">
        <v>1</v>
      </c>
      <c r="E914" s="4" t="s">
        <v>3991</v>
      </c>
      <c r="F914" s="1065" t="e">
        <f>IF(E914="","$",VLOOKUP(E914,'結果(小)'!$B$2:$F$1295,5,FALSE))</f>
        <v>#DIV/0!</v>
      </c>
      <c r="G914" s="1" t="s">
        <v>4005</v>
      </c>
      <c r="H914" s="6">
        <v>54</v>
      </c>
      <c r="I914" s="2" t="s">
        <v>5</v>
      </c>
      <c r="J914" s="1" t="s">
        <v>15273</v>
      </c>
      <c r="K914" s="3"/>
      <c r="L914" s="1"/>
      <c r="M914" s="1"/>
      <c r="N914" s="8" t="s">
        <v>16120</v>
      </c>
      <c r="O914" s="1" t="s">
        <v>476</v>
      </c>
      <c r="P914" s="1" t="s">
        <v>14</v>
      </c>
      <c r="Q914" s="16">
        <v>2</v>
      </c>
      <c r="R914" s="17">
        <v>2</v>
      </c>
      <c r="S914" s="3" t="s">
        <v>5457</v>
      </c>
      <c r="T914" s="1770"/>
      <c r="U914" s="1749"/>
      <c r="V914" s="1752"/>
    </row>
    <row r="915" spans="1:22" ht="12" customHeight="1">
      <c r="A915" s="1040" t="str">
        <f t="shared" si="15"/>
        <v>3802</v>
      </c>
      <c r="B915" s="1053" t="s">
        <v>15503</v>
      </c>
      <c r="C915" s="1064"/>
      <c r="D915" s="2">
        <v>1</v>
      </c>
      <c r="E915" s="4" t="s">
        <v>4012</v>
      </c>
      <c r="F915" s="1065" t="e">
        <f>IF(E915="","$",VLOOKUP(E915,'結果(小)'!$B$2:$F$1295,5,FALSE))</f>
        <v>#DIV/0!</v>
      </c>
      <c r="G915" s="1" t="s">
        <v>4014</v>
      </c>
      <c r="H915" s="6">
        <v>62</v>
      </c>
      <c r="I915" s="2" t="s">
        <v>5</v>
      </c>
      <c r="J915" s="1" t="s">
        <v>15273</v>
      </c>
      <c r="K915" s="3"/>
      <c r="L915" s="1"/>
      <c r="M915" s="1"/>
      <c r="N915" s="23" t="s">
        <v>16120</v>
      </c>
      <c r="O915" s="1" t="s">
        <v>476</v>
      </c>
      <c r="P915" s="1" t="s">
        <v>6</v>
      </c>
      <c r="Q915" s="16"/>
      <c r="R915" s="17"/>
      <c r="S915" s="3"/>
      <c r="T915" s="1770"/>
      <c r="U915" s="1749"/>
      <c r="V915" s="1752"/>
    </row>
    <row r="916" spans="1:22" ht="12" customHeight="1">
      <c r="A916" s="1040" t="str">
        <f t="shared" si="15"/>
        <v>3802</v>
      </c>
      <c r="B916" s="1053" t="s">
        <v>15504</v>
      </c>
      <c r="C916" s="1064"/>
      <c r="D916" s="2">
        <v>1</v>
      </c>
      <c r="E916" s="4" t="s">
        <v>4023</v>
      </c>
      <c r="F916" s="1065" t="e">
        <f>IF(E916="","$",VLOOKUP(E916,'結果(小)'!$B$2:$F$1295,5,FALSE))</f>
        <v>#DIV/0!</v>
      </c>
      <c r="G916" s="1" t="s">
        <v>4032</v>
      </c>
      <c r="H916" s="6">
        <v>29</v>
      </c>
      <c r="I916" s="2" t="s">
        <v>5</v>
      </c>
      <c r="J916" s="1" t="s">
        <v>15273</v>
      </c>
      <c r="K916" s="3"/>
      <c r="L916" s="1"/>
      <c r="M916" s="1"/>
      <c r="N916" s="8" t="s">
        <v>16120</v>
      </c>
      <c r="O916" s="1" t="s">
        <v>30</v>
      </c>
      <c r="P916" s="1" t="s">
        <v>6</v>
      </c>
      <c r="Q916" s="16"/>
      <c r="R916" s="17"/>
      <c r="S916" s="3" t="s">
        <v>5457</v>
      </c>
      <c r="T916" s="1770"/>
      <c r="U916" s="1749"/>
      <c r="V916" s="1752"/>
    </row>
    <row r="917" spans="1:22" ht="12" customHeight="1">
      <c r="A917" s="1040" t="str">
        <f t="shared" si="15"/>
        <v>3802</v>
      </c>
      <c r="B917" s="1053" t="s">
        <v>15505</v>
      </c>
      <c r="C917" s="1064"/>
      <c r="D917" s="2">
        <v>1</v>
      </c>
      <c r="E917" s="4" t="s">
        <v>4038</v>
      </c>
      <c r="F917" s="1065" t="e">
        <f>IF(E917="","$",VLOOKUP(E917,'結果(小)'!$B$2:$F$1295,5,FALSE))</f>
        <v>#DIV/0!</v>
      </c>
      <c r="G917" s="1" t="s">
        <v>4043</v>
      </c>
      <c r="H917" s="6">
        <v>70</v>
      </c>
      <c r="I917" s="2" t="s">
        <v>5</v>
      </c>
      <c r="J917" s="1" t="s">
        <v>15273</v>
      </c>
      <c r="K917" s="3" t="s">
        <v>4044</v>
      </c>
      <c r="L917" s="1"/>
      <c r="M917" s="1"/>
      <c r="N917" s="4" t="s">
        <v>16120</v>
      </c>
      <c r="O917" s="1" t="s">
        <v>30</v>
      </c>
      <c r="P917" s="1" t="s">
        <v>25</v>
      </c>
      <c r="Q917" s="16">
        <v>10</v>
      </c>
      <c r="R917" s="17">
        <v>10</v>
      </c>
      <c r="S917" s="3" t="s">
        <v>5457</v>
      </c>
      <c r="T917" s="1770"/>
      <c r="U917" s="1749"/>
      <c r="V917" s="1752"/>
    </row>
    <row r="918" spans="1:22" ht="12" customHeight="1">
      <c r="A918" s="1040" t="str">
        <f t="shared" si="15"/>
        <v>3802</v>
      </c>
      <c r="B918" s="1053" t="s">
        <v>15506</v>
      </c>
      <c r="C918" s="1064"/>
      <c r="D918" s="2">
        <v>1</v>
      </c>
      <c r="E918" s="4" t="s">
        <v>4050</v>
      </c>
      <c r="F918" s="1065" t="e">
        <f>IF(E918="","$",VLOOKUP(E918,'結果(小)'!$B$2:$F$1295,5,FALSE))</f>
        <v>#DIV/0!</v>
      </c>
      <c r="G918" s="1" t="s">
        <v>4057</v>
      </c>
      <c r="H918" s="6">
        <v>53</v>
      </c>
      <c r="I918" s="2" t="s">
        <v>5</v>
      </c>
      <c r="J918" s="1" t="s">
        <v>15273</v>
      </c>
      <c r="K918" s="3" t="s">
        <v>4058</v>
      </c>
      <c r="L918" s="1" t="s">
        <v>373</v>
      </c>
      <c r="M918" s="1"/>
      <c r="N918" s="4" t="s">
        <v>16120</v>
      </c>
      <c r="O918" s="1" t="s">
        <v>48</v>
      </c>
      <c r="P918" s="1" t="s">
        <v>6</v>
      </c>
      <c r="Q918" s="16"/>
      <c r="R918" s="17">
        <v>3</v>
      </c>
      <c r="S918" s="3" t="s">
        <v>5457</v>
      </c>
      <c r="T918" s="1770"/>
      <c r="U918" s="1749"/>
      <c r="V918" s="1752"/>
    </row>
    <row r="919" spans="1:22" ht="12" customHeight="1">
      <c r="A919" s="1040" t="str">
        <f t="shared" si="15"/>
        <v>3802</v>
      </c>
      <c r="B919" s="1053" t="s">
        <v>15507</v>
      </c>
      <c r="C919" s="1064"/>
      <c r="D919" s="2">
        <v>1</v>
      </c>
      <c r="E919" s="4" t="s">
        <v>4066</v>
      </c>
      <c r="F919" s="1065" t="e">
        <f>IF(E919="","$",VLOOKUP(E919,'結果(小)'!$B$2:$F$1295,5,FALSE))</f>
        <v>#DIV/0!</v>
      </c>
      <c r="G919" s="1" t="s">
        <v>4072</v>
      </c>
      <c r="H919" s="6">
        <v>70</v>
      </c>
      <c r="I919" s="2" t="s">
        <v>5</v>
      </c>
      <c r="J919" s="1" t="s">
        <v>15273</v>
      </c>
      <c r="K919" s="3" t="s">
        <v>4073</v>
      </c>
      <c r="L919" s="1"/>
      <c r="M919" s="1"/>
      <c r="N919" s="8" t="s">
        <v>16120</v>
      </c>
      <c r="O919" s="1" t="s">
        <v>65</v>
      </c>
      <c r="P919" s="1" t="s">
        <v>25</v>
      </c>
      <c r="Q919" s="16">
        <v>7</v>
      </c>
      <c r="R919" s="17">
        <v>7</v>
      </c>
      <c r="S919" s="3" t="s">
        <v>5457</v>
      </c>
      <c r="T919" s="1770"/>
      <c r="U919" s="1749"/>
      <c r="V919" s="1752"/>
    </row>
    <row r="920" spans="1:22" ht="12" customHeight="1">
      <c r="A920" s="1040" t="str">
        <f t="shared" si="15"/>
        <v>3802</v>
      </c>
      <c r="B920" s="1053" t="s">
        <v>15508</v>
      </c>
      <c r="C920" s="1064"/>
      <c r="D920" s="2">
        <v>19</v>
      </c>
      <c r="E920" s="2"/>
      <c r="F920" s="1065" t="str">
        <f>IF(E920="","$",VLOOKUP(E920,'結果(小)'!$B$2:$F$1295,5,FALSE))</f>
        <v>$</v>
      </c>
      <c r="G920" s="2" t="s">
        <v>5935</v>
      </c>
      <c r="H920" s="6">
        <v>64</v>
      </c>
      <c r="I920" s="2" t="s">
        <v>5</v>
      </c>
      <c r="J920" s="2" t="s">
        <v>6067</v>
      </c>
      <c r="K920" s="22" t="s">
        <v>5939</v>
      </c>
      <c r="L920" s="2"/>
      <c r="M920" s="2"/>
      <c r="N920" s="23" t="s">
        <v>16120</v>
      </c>
      <c r="O920" s="2" t="s">
        <v>48</v>
      </c>
      <c r="P920" s="2" t="s">
        <v>25</v>
      </c>
      <c r="Q920" s="24">
        <v>4</v>
      </c>
      <c r="R920" s="25">
        <v>4</v>
      </c>
      <c r="S920" s="22"/>
      <c r="T920" s="1770"/>
      <c r="U920" s="1749"/>
      <c r="V920" s="1752"/>
    </row>
    <row r="921" spans="1:22" ht="12" customHeight="1">
      <c r="A921" s="1040" t="str">
        <f t="shared" si="15"/>
        <v>3802</v>
      </c>
      <c r="B921" s="1053" t="s">
        <v>15509</v>
      </c>
      <c r="C921" s="1064"/>
      <c r="D921" s="2">
        <v>20</v>
      </c>
      <c r="E921" s="2"/>
      <c r="F921" s="1065" t="str">
        <f>IF(E921="","$",VLOOKUP(E921,'結果(小)'!$B$2:$F$1295,5,FALSE))</f>
        <v>$</v>
      </c>
      <c r="G921" s="2" t="s">
        <v>5261</v>
      </c>
      <c r="H921" s="6">
        <v>70</v>
      </c>
      <c r="I921" s="2" t="s">
        <v>5</v>
      </c>
      <c r="J921" s="2" t="s">
        <v>6067</v>
      </c>
      <c r="K921" s="22"/>
      <c r="L921" s="2"/>
      <c r="M921" s="2"/>
      <c r="N921" s="8" t="s">
        <v>16120</v>
      </c>
      <c r="O921" s="2" t="s">
        <v>48</v>
      </c>
      <c r="P921" s="2" t="s">
        <v>6</v>
      </c>
      <c r="Q921" s="24"/>
      <c r="R921" s="25">
        <v>6</v>
      </c>
      <c r="S921" s="22"/>
      <c r="T921" s="1770"/>
      <c r="U921" s="1749"/>
      <c r="V921" s="1752"/>
    </row>
    <row r="922" spans="1:22" ht="12" customHeight="1">
      <c r="A922" s="1040" t="str">
        <f t="shared" si="15"/>
        <v>3802</v>
      </c>
      <c r="B922" s="1053" t="s">
        <v>15510</v>
      </c>
      <c r="C922" s="1064"/>
      <c r="D922" s="2">
        <v>21</v>
      </c>
      <c r="E922" s="2"/>
      <c r="F922" s="1065" t="str">
        <f>IF(E922="","$",VLOOKUP(E922,'結果(小)'!$B$2:$F$1295,5,FALSE))</f>
        <v>$</v>
      </c>
      <c r="G922" s="2" t="s">
        <v>6106</v>
      </c>
      <c r="H922" s="6">
        <v>65</v>
      </c>
      <c r="I922" s="2" t="s">
        <v>5</v>
      </c>
      <c r="J922" s="2" t="s">
        <v>6067</v>
      </c>
      <c r="K922" s="22"/>
      <c r="L922" s="2"/>
      <c r="M922" s="2"/>
      <c r="N922" s="4" t="s">
        <v>16120</v>
      </c>
      <c r="O922" s="2" t="s">
        <v>5247</v>
      </c>
      <c r="P922" s="2" t="s">
        <v>6</v>
      </c>
      <c r="Q922" s="24"/>
      <c r="R922" s="25"/>
      <c r="S922" s="22"/>
      <c r="T922" s="1770"/>
      <c r="U922" s="1749"/>
      <c r="V922" s="1752"/>
    </row>
    <row r="923" spans="1:22" ht="12" customHeight="1">
      <c r="A923" s="1040" t="str">
        <f t="shared" si="15"/>
        <v>3802</v>
      </c>
      <c r="B923" s="1053" t="s">
        <v>15511</v>
      </c>
      <c r="C923" s="1064"/>
      <c r="D923" s="2">
        <v>22</v>
      </c>
      <c r="E923" s="2"/>
      <c r="F923" s="1065" t="str">
        <f>IF(E923="","$",VLOOKUP(E923,'結果(小)'!$B$2:$F$1295,5,FALSE))</f>
        <v>$</v>
      </c>
      <c r="G923" s="2" t="s">
        <v>6107</v>
      </c>
      <c r="H923" s="6">
        <v>39</v>
      </c>
      <c r="I923" s="2" t="s">
        <v>5</v>
      </c>
      <c r="J923" s="2" t="s">
        <v>6067</v>
      </c>
      <c r="K923" s="22"/>
      <c r="L923" s="2"/>
      <c r="M923" s="2"/>
      <c r="N923" s="4" t="s">
        <v>16120</v>
      </c>
      <c r="O923" s="2" t="s">
        <v>5247</v>
      </c>
      <c r="P923" s="2" t="s">
        <v>6</v>
      </c>
      <c r="Q923" s="24"/>
      <c r="R923" s="25"/>
      <c r="S923" s="22"/>
      <c r="T923" s="1770"/>
      <c r="U923" s="1749"/>
      <c r="V923" s="1752"/>
    </row>
    <row r="924" spans="1:22" ht="12" customHeight="1">
      <c r="A924" s="1040" t="str">
        <f t="shared" si="15"/>
        <v>3802</v>
      </c>
      <c r="B924" s="1053" t="s">
        <v>15512</v>
      </c>
      <c r="C924" s="1064"/>
      <c r="D924" s="2">
        <v>23</v>
      </c>
      <c r="E924" s="2"/>
      <c r="F924" s="1065" t="str">
        <f>IF(E924="","$",VLOOKUP(E924,'結果(小)'!$B$2:$F$1295,5,FALSE))</f>
        <v>$</v>
      </c>
      <c r="G924" s="2" t="s">
        <v>6108</v>
      </c>
      <c r="H924" s="6">
        <v>47</v>
      </c>
      <c r="I924" s="2" t="s">
        <v>5</v>
      </c>
      <c r="J924" s="2" t="s">
        <v>6067</v>
      </c>
      <c r="K924" s="22"/>
      <c r="L924" s="2"/>
      <c r="M924" s="2"/>
      <c r="N924" s="8" t="s">
        <v>16120</v>
      </c>
      <c r="O924" s="2" t="s">
        <v>5247</v>
      </c>
      <c r="P924" s="2" t="s">
        <v>6</v>
      </c>
      <c r="Q924" s="24"/>
      <c r="R924" s="25"/>
      <c r="S924" s="22"/>
      <c r="T924" s="1770"/>
      <c r="U924" s="1749"/>
      <c r="V924" s="1752"/>
    </row>
    <row r="925" spans="1:22" ht="12" customHeight="1">
      <c r="A925" s="1040" t="str">
        <f t="shared" si="15"/>
        <v>3802</v>
      </c>
      <c r="B925" s="1053" t="s">
        <v>15513</v>
      </c>
      <c r="C925" s="1064"/>
      <c r="D925" s="2">
        <v>24</v>
      </c>
      <c r="E925" s="2"/>
      <c r="F925" s="1065" t="str">
        <f>IF(E925="","$",VLOOKUP(E925,'結果(小)'!$B$2:$F$1295,5,FALSE))</f>
        <v>$</v>
      </c>
      <c r="G925" s="2" t="s">
        <v>6109</v>
      </c>
      <c r="H925" s="6">
        <v>54</v>
      </c>
      <c r="I925" s="2" t="s">
        <v>5</v>
      </c>
      <c r="J925" s="2" t="s">
        <v>6067</v>
      </c>
      <c r="K925" s="22"/>
      <c r="L925" s="2"/>
      <c r="M925" s="2"/>
      <c r="N925" s="23" t="s">
        <v>16120</v>
      </c>
      <c r="O925" s="2" t="s">
        <v>5247</v>
      </c>
      <c r="P925" s="2" t="s">
        <v>6</v>
      </c>
      <c r="Q925" s="24"/>
      <c r="R925" s="25"/>
      <c r="S925" s="22"/>
      <c r="T925" s="1770"/>
      <c r="U925" s="1749"/>
      <c r="V925" s="1752"/>
    </row>
    <row r="926" spans="1:22" ht="12" customHeight="1">
      <c r="A926" s="1040" t="str">
        <f t="shared" si="15"/>
        <v>3802</v>
      </c>
      <c r="B926" s="1053" t="s">
        <v>15514</v>
      </c>
      <c r="C926" s="1064"/>
      <c r="D926" s="2">
        <v>25</v>
      </c>
      <c r="E926" s="2"/>
      <c r="F926" s="1065" t="str">
        <f>IF(E926="","$",VLOOKUP(E926,'結果(小)'!$B$2:$F$1295,5,FALSE))</f>
        <v>$</v>
      </c>
      <c r="G926" s="2" t="s">
        <v>6112</v>
      </c>
      <c r="H926" s="6">
        <v>50</v>
      </c>
      <c r="I926" s="2" t="s">
        <v>5</v>
      </c>
      <c r="J926" s="2" t="s">
        <v>6067</v>
      </c>
      <c r="K926" s="22"/>
      <c r="L926" s="2"/>
      <c r="M926" s="2"/>
      <c r="N926" s="8" t="s">
        <v>16120</v>
      </c>
      <c r="O926" s="2" t="s">
        <v>5247</v>
      </c>
      <c r="P926" s="2" t="s">
        <v>6</v>
      </c>
      <c r="Q926" s="24"/>
      <c r="R926" s="25"/>
      <c r="S926" s="22"/>
      <c r="T926" s="1770"/>
      <c r="U926" s="1749"/>
      <c r="V926" s="1752"/>
    </row>
    <row r="927" spans="1:22" ht="12" customHeight="1" thickBot="1">
      <c r="A927" s="916" t="str">
        <f t="shared" si="15"/>
        <v>3802</v>
      </c>
      <c r="B927" s="1074" t="s">
        <v>15515</v>
      </c>
      <c r="C927" s="1075"/>
      <c r="D927" s="702">
        <v>26</v>
      </c>
      <c r="E927" s="702"/>
      <c r="F927" s="1071" t="str">
        <f>IF(E927="","$",VLOOKUP(E927,'結果(小)'!$B$2:$F$1295,5,FALSE))</f>
        <v>$</v>
      </c>
      <c r="G927" s="702" t="s">
        <v>6113</v>
      </c>
      <c r="H927" s="701">
        <v>39</v>
      </c>
      <c r="I927" s="702" t="s">
        <v>5</v>
      </c>
      <c r="J927" s="702" t="s">
        <v>6067</v>
      </c>
      <c r="K927" s="720"/>
      <c r="L927" s="702"/>
      <c r="M927" s="702"/>
      <c r="N927" s="700" t="s">
        <v>16120</v>
      </c>
      <c r="O927" s="702" t="s">
        <v>5247</v>
      </c>
      <c r="P927" s="702" t="s">
        <v>6</v>
      </c>
      <c r="Q927" s="721"/>
      <c r="R927" s="722"/>
      <c r="S927" s="720"/>
      <c r="T927" s="1771"/>
      <c r="U927" s="1750"/>
      <c r="V927" s="1753"/>
    </row>
    <row r="928" spans="1:22" ht="12" customHeight="1">
      <c r="A928" s="1038" t="str">
        <f t="shared" si="15"/>
        <v>3803</v>
      </c>
      <c r="B928" s="1097" t="s">
        <v>16646</v>
      </c>
      <c r="C928" s="1073"/>
      <c r="D928" s="696">
        <v>1</v>
      </c>
      <c r="E928" s="688" t="s">
        <v>3940</v>
      </c>
      <c r="F928" s="1068" t="e">
        <f>IF(E928="","$",VLOOKUP(E928,'結果(小)'!$B$2:$F$1295,5,FALSE))</f>
        <v>#DIV/0!</v>
      </c>
      <c r="G928" s="687" t="s">
        <v>3946</v>
      </c>
      <c r="H928" s="690">
        <v>44</v>
      </c>
      <c r="I928" s="696" t="s">
        <v>5</v>
      </c>
      <c r="J928" s="687" t="s">
        <v>15273</v>
      </c>
      <c r="K928" s="747" t="s">
        <v>3947</v>
      </c>
      <c r="L928" s="687"/>
      <c r="M928" s="687"/>
      <c r="N928" s="688" t="s">
        <v>16125</v>
      </c>
      <c r="O928" s="687"/>
      <c r="P928" s="687" t="s">
        <v>25</v>
      </c>
      <c r="Q928" s="748">
        <v>1</v>
      </c>
      <c r="R928" s="749">
        <v>1</v>
      </c>
      <c r="S928" s="747" t="s">
        <v>5561</v>
      </c>
      <c r="T928" s="1772"/>
      <c r="U928" s="1748"/>
      <c r="V928" s="1751" t="e">
        <f>U928/SUM(U883:U950)</f>
        <v>#DIV/0!</v>
      </c>
    </row>
    <row r="929" spans="1:22" ht="12" customHeight="1">
      <c r="A929" s="1040" t="str">
        <f t="shared" si="15"/>
        <v>3803</v>
      </c>
      <c r="B929" s="1054" t="s">
        <v>16647</v>
      </c>
      <c r="C929" s="1064"/>
      <c r="D929" s="2">
        <v>1</v>
      </c>
      <c r="E929" s="4" t="s">
        <v>4012</v>
      </c>
      <c r="F929" s="1065" t="e">
        <f>IF(E929="","$",VLOOKUP(E929,'結果(小)'!$B$2:$F$1295,5,FALSE))</f>
        <v>#DIV/0!</v>
      </c>
      <c r="G929" s="1" t="s">
        <v>4019</v>
      </c>
      <c r="H929" s="6">
        <v>76</v>
      </c>
      <c r="I929" s="2" t="s">
        <v>5</v>
      </c>
      <c r="J929" s="1" t="s">
        <v>15273</v>
      </c>
      <c r="K929" s="3" t="s">
        <v>4020</v>
      </c>
      <c r="L929" s="1"/>
      <c r="M929" s="1"/>
      <c r="N929" s="4" t="s">
        <v>16125</v>
      </c>
      <c r="O929" s="1"/>
      <c r="P929" s="1" t="s">
        <v>25</v>
      </c>
      <c r="Q929" s="16">
        <v>11</v>
      </c>
      <c r="R929" s="17">
        <v>11</v>
      </c>
      <c r="S929" s="3" t="s">
        <v>5561</v>
      </c>
      <c r="T929" s="1773"/>
      <c r="U929" s="1749"/>
      <c r="V929" s="1752"/>
    </row>
    <row r="930" spans="1:22" ht="12" customHeight="1" thickBot="1">
      <c r="A930" s="916" t="str">
        <f t="shared" si="15"/>
        <v>3803</v>
      </c>
      <c r="B930" s="1098" t="s">
        <v>16648</v>
      </c>
      <c r="C930" s="1075"/>
      <c r="D930" s="702">
        <v>1</v>
      </c>
      <c r="E930" s="700" t="s">
        <v>4039</v>
      </c>
      <c r="F930" s="1071" t="e">
        <f>IF(E930="","$",VLOOKUP(E930,'結果(小)'!$B$2:$F$1295,5,FALSE))</f>
        <v>#DIV/0!</v>
      </c>
      <c r="G930" s="906" t="s">
        <v>6136</v>
      </c>
      <c r="H930" s="701">
        <v>53</v>
      </c>
      <c r="I930" s="702" t="s">
        <v>5</v>
      </c>
      <c r="J930" s="906" t="s">
        <v>15273</v>
      </c>
      <c r="K930" s="703"/>
      <c r="L930" s="906"/>
      <c r="M930" s="906"/>
      <c r="N930" s="700" t="s">
        <v>16125</v>
      </c>
      <c r="O930" s="906"/>
      <c r="P930" s="906" t="s">
        <v>6</v>
      </c>
      <c r="Q930" s="705"/>
      <c r="R930" s="903"/>
      <c r="S930" s="703" t="s">
        <v>5561</v>
      </c>
      <c r="T930" s="1774"/>
      <c r="U930" s="1750"/>
      <c r="V930" s="1753"/>
    </row>
    <row r="931" spans="1:22" ht="12" customHeight="1">
      <c r="A931" s="1038" t="str">
        <f t="shared" si="15"/>
        <v>3804</v>
      </c>
      <c r="B931" s="1081" t="s">
        <v>4099</v>
      </c>
      <c r="C931" s="1073"/>
      <c r="D931" s="696">
        <v>1</v>
      </c>
      <c r="E931" s="696"/>
      <c r="F931" s="1068" t="str">
        <f>IF(E931="","$",VLOOKUP(E931,'結果(小)'!$B$2:$F$1295,5,FALSE))</f>
        <v>$</v>
      </c>
      <c r="G931" s="696" t="s">
        <v>4101</v>
      </c>
      <c r="H931" s="690">
        <v>60</v>
      </c>
      <c r="I931" s="696" t="s">
        <v>5</v>
      </c>
      <c r="J931" s="696" t="s">
        <v>6067</v>
      </c>
      <c r="K931" s="715" t="s">
        <v>4102</v>
      </c>
      <c r="L931" s="696"/>
      <c r="M931" s="696"/>
      <c r="N931" s="692" t="s">
        <v>16118</v>
      </c>
      <c r="O931" s="696"/>
      <c r="P931" s="696" t="s">
        <v>25</v>
      </c>
      <c r="Q931" s="717">
        <v>6</v>
      </c>
      <c r="R931" s="718">
        <v>6</v>
      </c>
      <c r="S931" s="715"/>
      <c r="T931" s="1763"/>
      <c r="U931" s="1748"/>
      <c r="V931" s="1751" t="e">
        <f>U931/SUM(U883:U950)</f>
        <v>#DIV/0!</v>
      </c>
    </row>
    <row r="932" spans="1:22" ht="12" customHeight="1">
      <c r="A932" s="1040" t="str">
        <f t="shared" si="15"/>
        <v>3804</v>
      </c>
      <c r="B932" s="1055" t="s">
        <v>4100</v>
      </c>
      <c r="C932" s="1064"/>
      <c r="D932" s="2">
        <v>2</v>
      </c>
      <c r="E932" s="2"/>
      <c r="F932" s="1065" t="str">
        <f>IF(E932="","$",VLOOKUP(E932,'結果(小)'!$B$2:$F$1295,5,FALSE))</f>
        <v>$</v>
      </c>
      <c r="G932" s="6" t="s">
        <v>4106</v>
      </c>
      <c r="H932" s="6">
        <v>61</v>
      </c>
      <c r="I932" s="6" t="s">
        <v>5</v>
      </c>
      <c r="J932" s="2" t="s">
        <v>6067</v>
      </c>
      <c r="K932" s="12"/>
      <c r="L932" s="6"/>
      <c r="M932" s="19"/>
      <c r="N932" s="23" t="s">
        <v>16118</v>
      </c>
      <c r="O932" s="6"/>
      <c r="P932" s="6" t="s">
        <v>14</v>
      </c>
      <c r="Q932" s="13">
        <v>5</v>
      </c>
      <c r="R932" s="14">
        <v>5</v>
      </c>
      <c r="S932" s="12"/>
      <c r="T932" s="1764"/>
      <c r="U932" s="1749"/>
      <c r="V932" s="1752"/>
    </row>
    <row r="933" spans="1:22" ht="12" customHeight="1">
      <c r="A933" s="1040" t="str">
        <f t="shared" si="15"/>
        <v>3804</v>
      </c>
      <c r="B933" s="1055" t="s">
        <v>5925</v>
      </c>
      <c r="C933" s="1064"/>
      <c r="D933" s="2">
        <v>3</v>
      </c>
      <c r="E933" s="2"/>
      <c r="F933" s="1065" t="str">
        <f>IF(E933="","$",VLOOKUP(E933,'結果(小)'!$B$2:$F$1295,5,FALSE))</f>
        <v>$</v>
      </c>
      <c r="G933" s="6" t="s">
        <v>16547</v>
      </c>
      <c r="H933" s="6">
        <v>37</v>
      </c>
      <c r="I933" s="6" t="s">
        <v>5</v>
      </c>
      <c r="J933" s="2" t="s">
        <v>6067</v>
      </c>
      <c r="K933" s="12"/>
      <c r="L933" s="6"/>
      <c r="M933" s="19"/>
      <c r="N933" s="8" t="s">
        <v>16118</v>
      </c>
      <c r="O933" s="6"/>
      <c r="P933" s="6" t="s">
        <v>6</v>
      </c>
      <c r="Q933" s="13"/>
      <c r="R933" s="14"/>
      <c r="S933" s="12"/>
      <c r="T933" s="1764"/>
      <c r="U933" s="1749"/>
      <c r="V933" s="1752"/>
    </row>
    <row r="934" spans="1:22" ht="12" customHeight="1" thickBot="1">
      <c r="A934" s="916" t="str">
        <f t="shared" si="15"/>
        <v>3804</v>
      </c>
      <c r="B934" s="1082" t="s">
        <v>5926</v>
      </c>
      <c r="C934" s="1075"/>
      <c r="D934" s="702">
        <v>4</v>
      </c>
      <c r="E934" s="702"/>
      <c r="F934" s="1071" t="str">
        <f>IF(E934="","$",VLOOKUP(E934,'結果(小)'!$B$2:$F$1295,5,FALSE))</f>
        <v>$</v>
      </c>
      <c r="G934" s="701" t="s">
        <v>5927</v>
      </c>
      <c r="H934" s="701">
        <v>45</v>
      </c>
      <c r="I934" s="701" t="s">
        <v>5</v>
      </c>
      <c r="J934" s="702" t="s">
        <v>6067</v>
      </c>
      <c r="K934" s="740"/>
      <c r="L934" s="701"/>
      <c r="M934" s="741"/>
      <c r="N934" s="704" t="s">
        <v>16118</v>
      </c>
      <c r="O934" s="701"/>
      <c r="P934" s="701" t="s">
        <v>6</v>
      </c>
      <c r="Q934" s="742"/>
      <c r="R934" s="743"/>
      <c r="S934" s="740"/>
      <c r="T934" s="1765"/>
      <c r="U934" s="1750"/>
      <c r="V934" s="1753"/>
    </row>
    <row r="935" spans="1:22" ht="12" customHeight="1">
      <c r="A935" s="1038" t="str">
        <f t="shared" si="15"/>
        <v>3805</v>
      </c>
      <c r="B935" s="1083" t="s">
        <v>16552</v>
      </c>
      <c r="C935" s="1073"/>
      <c r="D935" s="696">
        <v>1</v>
      </c>
      <c r="E935" s="688" t="s">
        <v>3903</v>
      </c>
      <c r="F935" s="1068" t="e">
        <f>IF(E935="","$",VLOOKUP(E935,'結果(小)'!$B$2:$F$1295,5,FALSE))</f>
        <v>#DIV/0!</v>
      </c>
      <c r="G935" s="687" t="s">
        <v>3914</v>
      </c>
      <c r="H935" s="690">
        <v>73</v>
      </c>
      <c r="I935" s="696" t="s">
        <v>5</v>
      </c>
      <c r="J935" s="687" t="s">
        <v>15273</v>
      </c>
      <c r="K935" s="747" t="s">
        <v>3915</v>
      </c>
      <c r="L935" s="687"/>
      <c r="M935" s="687"/>
      <c r="N935" s="688" t="s">
        <v>16116</v>
      </c>
      <c r="O935" s="687" t="s">
        <v>4993</v>
      </c>
      <c r="P935" s="687" t="s">
        <v>25</v>
      </c>
      <c r="Q935" s="748">
        <v>10</v>
      </c>
      <c r="R935" s="749">
        <v>10</v>
      </c>
      <c r="S935" s="747"/>
      <c r="T935" s="1766"/>
      <c r="U935" s="1748"/>
      <c r="V935" s="1751" t="e">
        <f>U935/SUM(U883:U950)</f>
        <v>#DIV/0!</v>
      </c>
    </row>
    <row r="936" spans="1:22" ht="12" customHeight="1">
      <c r="A936" s="1040" t="str">
        <f t="shared" si="15"/>
        <v>3805</v>
      </c>
      <c r="B936" s="1056" t="s">
        <v>16553</v>
      </c>
      <c r="C936" s="1064"/>
      <c r="D936" s="2">
        <v>1</v>
      </c>
      <c r="E936" s="4" t="s">
        <v>3920</v>
      </c>
      <c r="F936" s="1065" t="e">
        <f>IF(E936="","$",VLOOKUP(E936,'結果(小)'!$B$2:$F$1295,5,FALSE))</f>
        <v>#DIV/0!</v>
      </c>
      <c r="G936" s="1" t="s">
        <v>5056</v>
      </c>
      <c r="H936" s="6">
        <v>51</v>
      </c>
      <c r="I936" s="2" t="s">
        <v>5</v>
      </c>
      <c r="J936" s="1" t="s">
        <v>15273</v>
      </c>
      <c r="K936" s="3"/>
      <c r="L936" s="1"/>
      <c r="M936" s="1"/>
      <c r="N936" s="4" t="s">
        <v>16116</v>
      </c>
      <c r="O936" s="1" t="s">
        <v>276</v>
      </c>
      <c r="P936" s="1" t="s">
        <v>6</v>
      </c>
      <c r="Q936" s="16"/>
      <c r="R936" s="17"/>
      <c r="S936" s="3"/>
      <c r="T936" s="1767"/>
      <c r="U936" s="1749"/>
      <c r="V936" s="1752"/>
    </row>
    <row r="937" spans="1:22" ht="12" customHeight="1">
      <c r="A937" s="1040" t="str">
        <f t="shared" si="15"/>
        <v>3805</v>
      </c>
      <c r="B937" s="1056" t="s">
        <v>16554</v>
      </c>
      <c r="C937" s="1064"/>
      <c r="D937" s="2">
        <v>1</v>
      </c>
      <c r="E937" s="4" t="s">
        <v>3955</v>
      </c>
      <c r="F937" s="1065" t="e">
        <f>IF(E937="","$",VLOOKUP(E937,'結果(小)'!$B$2:$F$1295,5,FALSE))</f>
        <v>#DIV/0!</v>
      </c>
      <c r="G937" s="1" t="s">
        <v>5861</v>
      </c>
      <c r="H937" s="6">
        <v>43</v>
      </c>
      <c r="I937" s="2" t="s">
        <v>5</v>
      </c>
      <c r="J937" s="1" t="s">
        <v>15273</v>
      </c>
      <c r="K937" s="3"/>
      <c r="L937" s="1"/>
      <c r="M937" s="1"/>
      <c r="N937" s="4" t="s">
        <v>16116</v>
      </c>
      <c r="O937" s="1" t="s">
        <v>4997</v>
      </c>
      <c r="P937" s="1" t="s">
        <v>6</v>
      </c>
      <c r="Q937" s="16"/>
      <c r="R937" s="17"/>
      <c r="S937" s="3" t="s">
        <v>469</v>
      </c>
      <c r="T937" s="1767"/>
      <c r="U937" s="1749"/>
      <c r="V937" s="1752"/>
    </row>
    <row r="938" spans="1:22" ht="12" customHeight="1">
      <c r="A938" s="1040" t="str">
        <f t="shared" si="15"/>
        <v>3805</v>
      </c>
      <c r="B938" s="1056" t="s">
        <v>16555</v>
      </c>
      <c r="C938" s="1064"/>
      <c r="D938" s="2">
        <v>1</v>
      </c>
      <c r="E938" s="4" t="s">
        <v>3966</v>
      </c>
      <c r="F938" s="1065" t="e">
        <f>IF(E938="","$",VLOOKUP(E938,'結果(小)'!$B$2:$F$1295,5,FALSE))</f>
        <v>#DIV/0!</v>
      </c>
      <c r="G938" s="1" t="s">
        <v>5233</v>
      </c>
      <c r="H938" s="6">
        <v>49</v>
      </c>
      <c r="I938" s="2" t="s">
        <v>5</v>
      </c>
      <c r="J938" s="1" t="s">
        <v>15273</v>
      </c>
      <c r="K938" s="3"/>
      <c r="L938" s="1"/>
      <c r="M938" s="1"/>
      <c r="N938" s="4" t="s">
        <v>16116</v>
      </c>
      <c r="O938" s="1" t="s">
        <v>4993</v>
      </c>
      <c r="P938" s="1" t="s">
        <v>6</v>
      </c>
      <c r="Q938" s="16"/>
      <c r="R938" s="17"/>
      <c r="S938" s="3"/>
      <c r="T938" s="1767"/>
      <c r="U938" s="1749"/>
      <c r="V938" s="1752"/>
    </row>
    <row r="939" spans="1:22" ht="12" customHeight="1">
      <c r="A939" s="1040" t="str">
        <f t="shared" si="15"/>
        <v>3805</v>
      </c>
      <c r="B939" s="1056" t="s">
        <v>16556</v>
      </c>
      <c r="C939" s="1064"/>
      <c r="D939" s="2">
        <v>1</v>
      </c>
      <c r="E939" s="4" t="s">
        <v>4024</v>
      </c>
      <c r="F939" s="1065" t="e">
        <f>IF(E939="","$",VLOOKUP(E939,'結果(小)'!$B$2:$F$1295,5,FALSE))</f>
        <v>#DIV/0!</v>
      </c>
      <c r="G939" s="1" t="s">
        <v>5235</v>
      </c>
      <c r="H939" s="6">
        <v>30</v>
      </c>
      <c r="I939" s="2" t="s">
        <v>5</v>
      </c>
      <c r="J939" s="1" t="s">
        <v>15273</v>
      </c>
      <c r="K939" s="3"/>
      <c r="L939" s="1"/>
      <c r="M939" s="1"/>
      <c r="N939" s="4" t="s">
        <v>16116</v>
      </c>
      <c r="O939" s="1" t="s">
        <v>4997</v>
      </c>
      <c r="P939" s="1" t="s">
        <v>6</v>
      </c>
      <c r="Q939" s="16"/>
      <c r="R939" s="17"/>
      <c r="S939" s="3" t="s">
        <v>469</v>
      </c>
      <c r="T939" s="1767"/>
      <c r="U939" s="1749"/>
      <c r="V939" s="1752"/>
    </row>
    <row r="940" spans="1:22" ht="12" customHeight="1">
      <c r="A940" s="1040" t="str">
        <f t="shared" si="15"/>
        <v>3805</v>
      </c>
      <c r="B940" s="1056" t="s">
        <v>16557</v>
      </c>
      <c r="C940" s="1064"/>
      <c r="D940" s="2">
        <v>1</v>
      </c>
      <c r="E940" s="4" t="s">
        <v>4051</v>
      </c>
      <c r="F940" s="1065" t="e">
        <f>IF(E940="","$",VLOOKUP(E940,'結果(小)'!$B$2:$F$1295,5,FALSE))</f>
        <v>#DIV/0!</v>
      </c>
      <c r="G940" s="1" t="s">
        <v>5432</v>
      </c>
      <c r="H940" s="6">
        <v>29</v>
      </c>
      <c r="I940" s="2" t="s">
        <v>19</v>
      </c>
      <c r="J940" s="1" t="s">
        <v>15273</v>
      </c>
      <c r="K940" s="3"/>
      <c r="L940" s="1"/>
      <c r="M940" s="1"/>
      <c r="N940" s="4" t="s">
        <v>16116</v>
      </c>
      <c r="O940" s="1" t="s">
        <v>4997</v>
      </c>
      <c r="P940" s="1" t="s">
        <v>6</v>
      </c>
      <c r="Q940" s="16"/>
      <c r="R940" s="17"/>
      <c r="S940" s="3" t="s">
        <v>469</v>
      </c>
      <c r="T940" s="1767"/>
      <c r="U940" s="1749"/>
      <c r="V940" s="1752"/>
    </row>
    <row r="941" spans="1:22" ht="12" customHeight="1">
      <c r="A941" s="1040" t="str">
        <f t="shared" si="15"/>
        <v>3805</v>
      </c>
      <c r="B941" s="1056" t="s">
        <v>15670</v>
      </c>
      <c r="C941" s="1064"/>
      <c r="D941" s="2">
        <v>7</v>
      </c>
      <c r="E941" s="2"/>
      <c r="F941" s="1065" t="str">
        <f>IF(E941="","$",VLOOKUP(E941,'結果(小)'!$B$2:$F$1295,5,FALSE))</f>
        <v>$</v>
      </c>
      <c r="G941" s="6" t="s">
        <v>15946</v>
      </c>
      <c r="H941" s="6">
        <v>60</v>
      </c>
      <c r="I941" s="6" t="s">
        <v>5</v>
      </c>
      <c r="J941" s="2" t="s">
        <v>6067</v>
      </c>
      <c r="K941" s="12"/>
      <c r="L941" s="6"/>
      <c r="M941" s="19"/>
      <c r="N941" s="23" t="s">
        <v>16130</v>
      </c>
      <c r="O941" s="6" t="s">
        <v>4993</v>
      </c>
      <c r="P941" s="6" t="s">
        <v>6</v>
      </c>
      <c r="Q941" s="13"/>
      <c r="R941" s="14"/>
      <c r="S941" s="12"/>
      <c r="T941" s="1767"/>
      <c r="U941" s="1749"/>
      <c r="V941" s="1752"/>
    </row>
    <row r="942" spans="1:22" ht="12" customHeight="1" thickBot="1">
      <c r="A942" s="916" t="str">
        <f t="shared" si="15"/>
        <v>3805</v>
      </c>
      <c r="B942" s="1084" t="s">
        <v>15671</v>
      </c>
      <c r="C942" s="1075"/>
      <c r="D942" s="702">
        <v>8</v>
      </c>
      <c r="E942" s="702"/>
      <c r="F942" s="1071" t="str">
        <f>IF(E942="","$",VLOOKUP(E942,'結果(小)'!$B$2:$F$1295,5,FALSE))</f>
        <v>$</v>
      </c>
      <c r="G942" s="701" t="s">
        <v>15945</v>
      </c>
      <c r="H942" s="701">
        <v>45</v>
      </c>
      <c r="I942" s="701" t="s">
        <v>5</v>
      </c>
      <c r="J942" s="702" t="s">
        <v>6067</v>
      </c>
      <c r="K942" s="740"/>
      <c r="L942" s="701"/>
      <c r="M942" s="741"/>
      <c r="N942" s="741" t="s">
        <v>16130</v>
      </c>
      <c r="O942" s="701" t="s">
        <v>4993</v>
      </c>
      <c r="P942" s="701" t="s">
        <v>6</v>
      </c>
      <c r="Q942" s="742"/>
      <c r="R942" s="743"/>
      <c r="S942" s="740"/>
      <c r="T942" s="1768"/>
      <c r="U942" s="1750"/>
      <c r="V942" s="1753"/>
    </row>
    <row r="943" spans="1:22" ht="12" customHeight="1">
      <c r="A943" s="1038" t="str">
        <f t="shared" si="15"/>
        <v>3806</v>
      </c>
      <c r="B943" s="1085" t="s">
        <v>15646</v>
      </c>
      <c r="C943" s="1073"/>
      <c r="D943" s="696">
        <v>1</v>
      </c>
      <c r="E943" s="688" t="s">
        <v>5687</v>
      </c>
      <c r="F943" s="1068" t="e">
        <f>IF(E943="","$",VLOOKUP(E943,'結果(小)'!$B$2:$F$1295,5,FALSE))</f>
        <v>#DIV/0!</v>
      </c>
      <c r="G943" s="687" t="s">
        <v>3882</v>
      </c>
      <c r="H943" s="690">
        <v>37</v>
      </c>
      <c r="I943" s="696" t="s">
        <v>5</v>
      </c>
      <c r="J943" s="687" t="s">
        <v>15273</v>
      </c>
      <c r="K943" s="747"/>
      <c r="L943" s="687"/>
      <c r="M943" s="687"/>
      <c r="N943" s="688" t="s">
        <v>16128</v>
      </c>
      <c r="O943" s="687"/>
      <c r="P943" s="687" t="s">
        <v>6</v>
      </c>
      <c r="Q943" s="748"/>
      <c r="R943" s="749"/>
      <c r="S943" s="747" t="s">
        <v>6031</v>
      </c>
      <c r="T943" s="1757"/>
      <c r="U943" s="1748"/>
      <c r="V943" s="1751" t="e">
        <f>U943/SUM(U883:U950)</f>
        <v>#DIV/0!</v>
      </c>
    </row>
    <row r="944" spans="1:22" ht="12" customHeight="1" thickBot="1">
      <c r="A944" s="916" t="str">
        <f t="shared" si="15"/>
        <v>3806</v>
      </c>
      <c r="B944" s="1086" t="s">
        <v>16559</v>
      </c>
      <c r="C944" s="1075"/>
      <c r="D944" s="702">
        <v>2</v>
      </c>
      <c r="E944" s="702"/>
      <c r="F944" s="1071" t="str">
        <f>IF(E944="","$",VLOOKUP(E944,'結果(小)'!$B$2:$F$1295,5,FALSE))</f>
        <v>$</v>
      </c>
      <c r="G944" s="701" t="s">
        <v>15647</v>
      </c>
      <c r="H944" s="701">
        <v>47</v>
      </c>
      <c r="I944" s="701" t="s">
        <v>5</v>
      </c>
      <c r="J944" s="702" t="s">
        <v>6067</v>
      </c>
      <c r="K944" s="740"/>
      <c r="L944" s="701"/>
      <c r="M944" s="741"/>
      <c r="N944" s="704" t="s">
        <v>16128</v>
      </c>
      <c r="O944" s="701"/>
      <c r="P944" s="701" t="s">
        <v>6</v>
      </c>
      <c r="Q944" s="742"/>
      <c r="R944" s="743"/>
      <c r="S944" s="740"/>
      <c r="T944" s="1759"/>
      <c r="U944" s="1750"/>
      <c r="V944" s="1753"/>
    </row>
    <row r="945" spans="1:22" ht="12" customHeight="1">
      <c r="A945" s="1038" t="str">
        <f t="shared" si="15"/>
        <v>3807</v>
      </c>
      <c r="B945" s="1087" t="s">
        <v>5681</v>
      </c>
      <c r="C945" s="1073"/>
      <c r="D945" s="696">
        <v>1</v>
      </c>
      <c r="E945" s="696"/>
      <c r="F945" s="1068" t="str">
        <f>IF(E945="","$",VLOOKUP(E945,'結果(小)'!$B$2:$F$1295,5,FALSE))</f>
        <v>$</v>
      </c>
      <c r="G945" s="696" t="s">
        <v>4109</v>
      </c>
      <c r="H945" s="690">
        <v>37</v>
      </c>
      <c r="I945" s="696" t="s">
        <v>19</v>
      </c>
      <c r="J945" s="696" t="s">
        <v>6067</v>
      </c>
      <c r="K945" s="715"/>
      <c r="L945" s="696"/>
      <c r="M945" s="696"/>
      <c r="N945" s="716" t="s">
        <v>16117</v>
      </c>
      <c r="O945" s="696"/>
      <c r="P945" s="696" t="s">
        <v>6</v>
      </c>
      <c r="Q945" s="717"/>
      <c r="R945" s="718"/>
      <c r="S945" s="715"/>
      <c r="T945" s="1760"/>
      <c r="U945" s="1748"/>
      <c r="V945" s="1751" t="e">
        <f>U945/SUM(U883:U950)</f>
        <v>#DIV/0!</v>
      </c>
    </row>
    <row r="946" spans="1:22" ht="12" customHeight="1" thickBot="1">
      <c r="A946" s="916" t="str">
        <f t="shared" si="15"/>
        <v>3807</v>
      </c>
      <c r="B946" s="1088" t="s">
        <v>5682</v>
      </c>
      <c r="C946" s="1075"/>
      <c r="D946" s="702">
        <v>2</v>
      </c>
      <c r="E946" s="702"/>
      <c r="F946" s="1071" t="str">
        <f>IF(E946="","$",VLOOKUP(E946,'結果(小)'!$B$2:$F$1295,5,FALSE))</f>
        <v>$</v>
      </c>
      <c r="G946" s="702" t="s">
        <v>5495</v>
      </c>
      <c r="H946" s="701">
        <v>34</v>
      </c>
      <c r="I946" s="702" t="s">
        <v>5</v>
      </c>
      <c r="J946" s="702" t="s">
        <v>6067</v>
      </c>
      <c r="K946" s="720"/>
      <c r="L946" s="702"/>
      <c r="M946" s="702"/>
      <c r="N946" s="704" t="s">
        <v>16117</v>
      </c>
      <c r="O946" s="702"/>
      <c r="P946" s="702" t="s">
        <v>6</v>
      </c>
      <c r="Q946" s="721"/>
      <c r="R946" s="722"/>
      <c r="S946" s="720"/>
      <c r="T946" s="1762"/>
      <c r="U946" s="1750"/>
      <c r="V946" s="1753"/>
    </row>
    <row r="947" spans="1:22" ht="12" customHeight="1" thickBot="1">
      <c r="A947" s="658" t="str">
        <f t="shared" si="15"/>
        <v>3808</v>
      </c>
      <c r="B947" s="1103" t="s">
        <v>5683</v>
      </c>
      <c r="C947" s="1077"/>
      <c r="D947" s="660">
        <v>1</v>
      </c>
      <c r="E947" s="660"/>
      <c r="F947" s="1078" t="str">
        <f>IF(E947="","$",VLOOKUP(E947,'結果(小)'!$B$2:$F$1295,5,FALSE))</f>
        <v>$</v>
      </c>
      <c r="G947" s="728" t="s">
        <v>4112</v>
      </c>
      <c r="H947" s="728">
        <v>64</v>
      </c>
      <c r="I947" s="728" t="s">
        <v>5</v>
      </c>
      <c r="J947" s="660" t="s">
        <v>6067</v>
      </c>
      <c r="K947" s="808"/>
      <c r="L947" s="728"/>
      <c r="M947" s="809"/>
      <c r="N947" s="762" t="s">
        <v>16121</v>
      </c>
      <c r="O947" s="728"/>
      <c r="P947" s="728" t="s">
        <v>14</v>
      </c>
      <c r="Q947" s="810">
        <v>1</v>
      </c>
      <c r="R947" s="811">
        <v>1</v>
      </c>
      <c r="S947" s="808"/>
      <c r="T947" s="1090"/>
      <c r="U947" s="1152"/>
      <c r="V947" s="1080" t="e">
        <f>U947/SUM(U883:U950)</f>
        <v>#DIV/0!</v>
      </c>
    </row>
    <row r="948" spans="1:22" ht="12" customHeight="1">
      <c r="A948" s="1038" t="str">
        <f t="shared" si="15"/>
        <v>3813</v>
      </c>
      <c r="B948" s="1093" t="s">
        <v>16566</v>
      </c>
      <c r="C948" s="1073"/>
      <c r="D948" s="696">
        <v>1</v>
      </c>
      <c r="E948" s="696"/>
      <c r="F948" s="1068" t="str">
        <f>IF(E948="","$",VLOOKUP(E948,'結果(小)'!$B$2:$F$1295,5,FALSE))</f>
        <v>$</v>
      </c>
      <c r="G948" s="690" t="s">
        <v>5143</v>
      </c>
      <c r="H948" s="690">
        <v>46</v>
      </c>
      <c r="I948" s="690" t="s">
        <v>5</v>
      </c>
      <c r="J948" s="696" t="s">
        <v>6067</v>
      </c>
      <c r="K948" s="735"/>
      <c r="L948" s="690"/>
      <c r="M948" s="736"/>
      <c r="N948" s="716" t="s">
        <v>16122</v>
      </c>
      <c r="O948" s="690" t="s">
        <v>22</v>
      </c>
      <c r="P948" s="690" t="s">
        <v>6</v>
      </c>
      <c r="Q948" s="737"/>
      <c r="R948" s="738"/>
      <c r="S948" s="735"/>
      <c r="T948" s="1754"/>
      <c r="U948" s="1748"/>
      <c r="V948" s="1751" t="e">
        <f>U948/SUM(U883:U950)</f>
        <v>#DIV/0!</v>
      </c>
    </row>
    <row r="949" spans="1:22" ht="12" customHeight="1">
      <c r="A949" s="1040" t="str">
        <f t="shared" si="15"/>
        <v>3813</v>
      </c>
      <c r="B949" s="1060" t="s">
        <v>16567</v>
      </c>
      <c r="C949" s="1064"/>
      <c r="D949" s="2">
        <v>2</v>
      </c>
      <c r="E949" s="2"/>
      <c r="F949" s="1065" t="str">
        <f>IF(E949="","$",VLOOKUP(E949,'結果(小)'!$B$2:$F$1295,5,FALSE))</f>
        <v>$</v>
      </c>
      <c r="G949" s="6" t="s">
        <v>4632</v>
      </c>
      <c r="H949" s="6">
        <v>51</v>
      </c>
      <c r="I949" s="6" t="s">
        <v>19</v>
      </c>
      <c r="J949" s="2" t="s">
        <v>6067</v>
      </c>
      <c r="K949" s="12"/>
      <c r="L949" s="6"/>
      <c r="M949" s="19"/>
      <c r="N949" s="23" t="s">
        <v>16122</v>
      </c>
      <c r="O949" s="6" t="s">
        <v>22</v>
      </c>
      <c r="P949" s="6" t="s">
        <v>6</v>
      </c>
      <c r="Q949" s="13"/>
      <c r="R949" s="14"/>
      <c r="S949" s="12"/>
      <c r="T949" s="1755"/>
      <c r="U949" s="1749"/>
      <c r="V949" s="1752"/>
    </row>
    <row r="950" spans="1:22" ht="12" customHeight="1" thickBot="1">
      <c r="A950" s="916" t="str">
        <f t="shared" si="15"/>
        <v>3813</v>
      </c>
      <c r="B950" s="1094" t="s">
        <v>16568</v>
      </c>
      <c r="C950" s="1075"/>
      <c r="D950" s="702">
        <v>3</v>
      </c>
      <c r="E950" s="702"/>
      <c r="F950" s="1071" t="str">
        <f>IF(E950="","$",VLOOKUP(E950,'結果(小)'!$B$2:$F$1295,5,FALSE))</f>
        <v>$</v>
      </c>
      <c r="G950" s="701" t="s">
        <v>5145</v>
      </c>
      <c r="H950" s="701">
        <v>64</v>
      </c>
      <c r="I950" s="701" t="s">
        <v>5</v>
      </c>
      <c r="J950" s="702" t="s">
        <v>6067</v>
      </c>
      <c r="K950" s="740"/>
      <c r="L950" s="701"/>
      <c r="M950" s="741"/>
      <c r="N950" s="770" t="s">
        <v>16122</v>
      </c>
      <c r="O950" s="701" t="s">
        <v>22</v>
      </c>
      <c r="P950" s="701" t="s">
        <v>6</v>
      </c>
      <c r="Q950" s="742"/>
      <c r="R950" s="743"/>
      <c r="S950" s="740"/>
      <c r="T950" s="1756"/>
      <c r="U950" s="1750"/>
      <c r="V950" s="1753"/>
    </row>
    <row r="951" spans="1:22" ht="12" customHeight="1">
      <c r="A951" s="1038" t="str">
        <f t="shared" si="15"/>
        <v>3901</v>
      </c>
      <c r="B951" s="1095" t="s">
        <v>15909</v>
      </c>
      <c r="C951" s="1073"/>
      <c r="D951" s="696">
        <v>1</v>
      </c>
      <c r="E951" s="688" t="s">
        <v>4116</v>
      </c>
      <c r="F951" s="1068" t="e">
        <f>IF(E951="","$",VLOOKUP(E951,'結果(小)'!$B$2:$F$1295,5,FALSE))</f>
        <v>#DIV/0!</v>
      </c>
      <c r="G951" s="687" t="s">
        <v>4119</v>
      </c>
      <c r="H951" s="690">
        <v>66</v>
      </c>
      <c r="I951" s="696" t="s">
        <v>5</v>
      </c>
      <c r="J951" s="689" t="s">
        <v>15273</v>
      </c>
      <c r="K951" s="747" t="s">
        <v>4120</v>
      </c>
      <c r="L951" s="687"/>
      <c r="M951" s="687"/>
      <c r="N951" s="692" t="s">
        <v>16127</v>
      </c>
      <c r="O951" s="687" t="s">
        <v>45</v>
      </c>
      <c r="P951" s="687" t="s">
        <v>25</v>
      </c>
      <c r="Q951" s="748">
        <v>6</v>
      </c>
      <c r="R951" s="749">
        <v>6</v>
      </c>
      <c r="S951" s="747" t="s">
        <v>736</v>
      </c>
      <c r="T951" s="1777"/>
      <c r="U951" s="1775"/>
      <c r="V951" s="1751" t="e">
        <f>U951/SUM(U951:U994)</f>
        <v>#DIV/0!</v>
      </c>
    </row>
    <row r="952" spans="1:22" ht="12" customHeight="1">
      <c r="A952" s="1040" t="str">
        <f t="shared" si="15"/>
        <v>3901</v>
      </c>
      <c r="B952" s="1061" t="s">
        <v>15910</v>
      </c>
      <c r="C952" s="1064"/>
      <c r="D952" s="2">
        <v>1</v>
      </c>
      <c r="E952" s="4" t="s">
        <v>4127</v>
      </c>
      <c r="F952" s="1065" t="e">
        <f>IF(E952="","$",VLOOKUP(E952,'結果(小)'!$B$2:$F$1295,5,FALSE))</f>
        <v>#DIV/0!</v>
      </c>
      <c r="G952" s="1" t="s">
        <v>4131</v>
      </c>
      <c r="H952" s="6">
        <v>41</v>
      </c>
      <c r="I952" s="2" t="s">
        <v>19</v>
      </c>
      <c r="J952" s="5" t="s">
        <v>15273</v>
      </c>
      <c r="K952" s="3" t="s">
        <v>4132</v>
      </c>
      <c r="L952" s="1"/>
      <c r="M952" s="1"/>
      <c r="N952" s="8" t="s">
        <v>16127</v>
      </c>
      <c r="O952" s="1" t="s">
        <v>44</v>
      </c>
      <c r="P952" s="1" t="s">
        <v>25</v>
      </c>
      <c r="Q952" s="16">
        <v>3</v>
      </c>
      <c r="R952" s="17">
        <v>3</v>
      </c>
      <c r="S952" s="3"/>
      <c r="T952" s="1778"/>
      <c r="U952" s="1780"/>
      <c r="V952" s="1752"/>
    </row>
    <row r="953" spans="1:22" ht="12" customHeight="1">
      <c r="A953" s="1040" t="str">
        <f t="shared" si="15"/>
        <v>3901</v>
      </c>
      <c r="B953" s="1061" t="s">
        <v>15911</v>
      </c>
      <c r="C953" s="1064"/>
      <c r="D953" s="2">
        <v>1</v>
      </c>
      <c r="E953" s="4" t="s">
        <v>4144</v>
      </c>
      <c r="F953" s="1065" t="e">
        <f>IF(E953="","$",VLOOKUP(E953,'結果(小)'!$B$2:$F$1295,5,FALSE))</f>
        <v>#DIV/0!</v>
      </c>
      <c r="G953" s="1" t="s">
        <v>4148</v>
      </c>
      <c r="H953" s="6">
        <v>46</v>
      </c>
      <c r="I953" s="2" t="s">
        <v>5</v>
      </c>
      <c r="J953" s="5" t="s">
        <v>15273</v>
      </c>
      <c r="K953" s="3" t="s">
        <v>4149</v>
      </c>
      <c r="L953" s="1"/>
      <c r="M953" s="1"/>
      <c r="N953" s="8" t="s">
        <v>16127</v>
      </c>
      <c r="O953" s="1" t="s">
        <v>44</v>
      </c>
      <c r="P953" s="1" t="s">
        <v>25</v>
      </c>
      <c r="Q953" s="16">
        <v>1</v>
      </c>
      <c r="R953" s="17">
        <v>1</v>
      </c>
      <c r="S953" s="3" t="s">
        <v>736</v>
      </c>
      <c r="T953" s="1778"/>
      <c r="U953" s="1780"/>
      <c r="V953" s="1752"/>
    </row>
    <row r="954" spans="1:22" ht="12" customHeight="1">
      <c r="A954" s="1040" t="str">
        <f t="shared" si="15"/>
        <v>3901</v>
      </c>
      <c r="B954" s="1061" t="s">
        <v>15912</v>
      </c>
      <c r="C954" s="1064"/>
      <c r="D954" s="2">
        <v>1</v>
      </c>
      <c r="E954" s="4" t="s">
        <v>4160</v>
      </c>
      <c r="F954" s="1065" t="e">
        <f>IF(E954="","$",VLOOKUP(E954,'結果(小)'!$B$2:$F$1295,5,FALSE))</f>
        <v>#DIV/0!</v>
      </c>
      <c r="G954" s="1" t="s">
        <v>4163</v>
      </c>
      <c r="H954" s="6">
        <v>41</v>
      </c>
      <c r="I954" s="2" t="s">
        <v>5</v>
      </c>
      <c r="J954" s="5" t="s">
        <v>15273</v>
      </c>
      <c r="K954" s="3" t="s">
        <v>4164</v>
      </c>
      <c r="L954" s="1"/>
      <c r="M954" s="1"/>
      <c r="N954" s="4" t="s">
        <v>16127</v>
      </c>
      <c r="O954" s="1" t="s">
        <v>44</v>
      </c>
      <c r="P954" s="1" t="s">
        <v>25</v>
      </c>
      <c r="Q954" s="16">
        <v>2</v>
      </c>
      <c r="R954" s="17">
        <v>2</v>
      </c>
      <c r="S954" s="3" t="s">
        <v>736</v>
      </c>
      <c r="T954" s="1778"/>
      <c r="U954" s="1780"/>
      <c r="V954" s="1752"/>
    </row>
    <row r="955" spans="1:22" ht="12" customHeight="1">
      <c r="A955" s="1040" t="str">
        <f t="shared" si="15"/>
        <v>3901</v>
      </c>
      <c r="B955" s="1061" t="s">
        <v>15913</v>
      </c>
      <c r="C955" s="1064"/>
      <c r="D955" s="2">
        <v>1</v>
      </c>
      <c r="E955" s="4" t="s">
        <v>4174</v>
      </c>
      <c r="F955" s="1065" t="e">
        <f>IF(E955="","$",VLOOKUP(E955,'結果(小)'!$B$2:$F$1295,5,FALSE))</f>
        <v>#DIV/0!</v>
      </c>
      <c r="G955" s="1" t="s">
        <v>4177</v>
      </c>
      <c r="H955" s="6">
        <v>43</v>
      </c>
      <c r="I955" s="2" t="s">
        <v>5</v>
      </c>
      <c r="J955" s="5" t="s">
        <v>15273</v>
      </c>
      <c r="K955" s="3" t="s">
        <v>4178</v>
      </c>
      <c r="L955" s="1"/>
      <c r="M955" s="1"/>
      <c r="N955" s="8" t="s">
        <v>16126</v>
      </c>
      <c r="O955" s="1" t="s">
        <v>44</v>
      </c>
      <c r="P955" s="1" t="s">
        <v>25</v>
      </c>
      <c r="Q955" s="16">
        <v>1</v>
      </c>
      <c r="R955" s="17">
        <v>1</v>
      </c>
      <c r="S955" s="3" t="s">
        <v>736</v>
      </c>
      <c r="T955" s="1778"/>
      <c r="U955" s="1780"/>
      <c r="V955" s="1752"/>
    </row>
    <row r="956" spans="1:22" ht="12" customHeight="1">
      <c r="A956" s="1040" t="str">
        <f t="shared" si="15"/>
        <v>3901</v>
      </c>
      <c r="B956" s="1061" t="s">
        <v>15914</v>
      </c>
      <c r="C956" s="1064"/>
      <c r="D956" s="2">
        <v>1</v>
      </c>
      <c r="E956" s="4" t="s">
        <v>4192</v>
      </c>
      <c r="F956" s="1065" t="e">
        <f>IF(E956="","$",VLOOKUP(E956,'結果(小)'!$B$2:$F$1295,5,FALSE))</f>
        <v>#DIV/0!</v>
      </c>
      <c r="G956" s="1" t="s">
        <v>4198</v>
      </c>
      <c r="H956" s="6">
        <v>52</v>
      </c>
      <c r="I956" s="2" t="s">
        <v>19</v>
      </c>
      <c r="J956" s="5" t="s">
        <v>15273</v>
      </c>
      <c r="K956" s="3" t="s">
        <v>4199</v>
      </c>
      <c r="L956" s="1"/>
      <c r="M956" s="1"/>
      <c r="N956" s="8" t="s">
        <v>16127</v>
      </c>
      <c r="O956" s="1" t="s">
        <v>44</v>
      </c>
      <c r="P956" s="1" t="s">
        <v>25</v>
      </c>
      <c r="Q956" s="16">
        <v>1</v>
      </c>
      <c r="R956" s="17">
        <v>1</v>
      </c>
      <c r="S956" s="3" t="s">
        <v>736</v>
      </c>
      <c r="T956" s="1778"/>
      <c r="U956" s="1780"/>
      <c r="V956" s="1752"/>
    </row>
    <row r="957" spans="1:22" ht="12" customHeight="1">
      <c r="A957" s="1040" t="str">
        <f t="shared" si="15"/>
        <v>3901</v>
      </c>
      <c r="B957" s="1061" t="s">
        <v>15915</v>
      </c>
      <c r="C957" s="1064"/>
      <c r="D957" s="2">
        <v>1</v>
      </c>
      <c r="E957" s="4" t="s">
        <v>4220</v>
      </c>
      <c r="F957" s="1065" t="e">
        <f>IF(E957="","$",VLOOKUP(E957,'結果(小)'!$B$2:$F$1295,5,FALSE))</f>
        <v>#DIV/0!</v>
      </c>
      <c r="G957" s="1" t="s">
        <v>4223</v>
      </c>
      <c r="H957" s="6">
        <v>49</v>
      </c>
      <c r="I957" s="2" t="s">
        <v>5</v>
      </c>
      <c r="J957" s="5" t="s">
        <v>15273</v>
      </c>
      <c r="K957" s="3" t="s">
        <v>4224</v>
      </c>
      <c r="L957" s="1"/>
      <c r="M957" s="1"/>
      <c r="N957" s="8" t="s">
        <v>16127</v>
      </c>
      <c r="O957" s="1" t="s">
        <v>44</v>
      </c>
      <c r="P957" s="1" t="s">
        <v>25</v>
      </c>
      <c r="Q957" s="16">
        <v>1</v>
      </c>
      <c r="R957" s="17">
        <v>1</v>
      </c>
      <c r="S957" s="3" t="s">
        <v>736</v>
      </c>
      <c r="T957" s="1778"/>
      <c r="U957" s="1780"/>
      <c r="V957" s="1752"/>
    </row>
    <row r="958" spans="1:22" ht="12" customHeight="1">
      <c r="A958" s="1040" t="str">
        <f t="shared" si="15"/>
        <v>3901</v>
      </c>
      <c r="B958" s="1061" t="s">
        <v>15916</v>
      </c>
      <c r="C958" s="1064"/>
      <c r="D958" s="2">
        <v>1</v>
      </c>
      <c r="E958" s="4" t="s">
        <v>4233</v>
      </c>
      <c r="F958" s="1065" t="e">
        <f>IF(E958="","$",VLOOKUP(E958,'結果(小)'!$B$2:$F$1295,5,FALSE))</f>
        <v>#DIV/0!</v>
      </c>
      <c r="G958" s="1" t="s">
        <v>4241</v>
      </c>
      <c r="H958" s="6">
        <v>40</v>
      </c>
      <c r="I958" s="2" t="s">
        <v>5</v>
      </c>
      <c r="J958" s="5" t="s">
        <v>15273</v>
      </c>
      <c r="K958" s="3" t="s">
        <v>4242</v>
      </c>
      <c r="L958" s="1"/>
      <c r="M958" s="1"/>
      <c r="N958" s="8" t="s">
        <v>16127</v>
      </c>
      <c r="O958" s="1" t="s">
        <v>44</v>
      </c>
      <c r="P958" s="1" t="s">
        <v>25</v>
      </c>
      <c r="Q958" s="16">
        <v>1</v>
      </c>
      <c r="R958" s="17">
        <v>1</v>
      </c>
      <c r="S958" s="3" t="s">
        <v>736</v>
      </c>
      <c r="T958" s="1778"/>
      <c r="U958" s="1780"/>
      <c r="V958" s="1752"/>
    </row>
    <row r="959" spans="1:22" ht="12" customHeight="1" thickBot="1">
      <c r="A959" s="916" t="str">
        <f t="shared" si="15"/>
        <v>3901</v>
      </c>
      <c r="B959" s="1096" t="s">
        <v>15917</v>
      </c>
      <c r="C959" s="1075"/>
      <c r="D959" s="702">
        <v>1</v>
      </c>
      <c r="E959" s="700" t="s">
        <v>4254</v>
      </c>
      <c r="F959" s="1071" t="e">
        <f>IF(E959="","$",VLOOKUP(E959,'結果(小)'!$B$2:$F$1295,5,FALSE))</f>
        <v>#DIV/0!</v>
      </c>
      <c r="G959" s="906" t="s">
        <v>4257</v>
      </c>
      <c r="H959" s="701">
        <v>32</v>
      </c>
      <c r="I959" s="702" t="s">
        <v>5</v>
      </c>
      <c r="J959" s="356" t="s">
        <v>15273</v>
      </c>
      <c r="K959" s="703"/>
      <c r="L959" s="906"/>
      <c r="M959" s="906"/>
      <c r="N959" s="700" t="s">
        <v>16127</v>
      </c>
      <c r="O959" s="906" t="s">
        <v>44</v>
      </c>
      <c r="P959" s="906" t="s">
        <v>6</v>
      </c>
      <c r="Q959" s="705"/>
      <c r="R959" s="903"/>
      <c r="S959" s="703" t="s">
        <v>736</v>
      </c>
      <c r="T959" s="1779"/>
      <c r="U959" s="1776"/>
      <c r="V959" s="1753"/>
    </row>
    <row r="960" spans="1:22" ht="12" customHeight="1">
      <c r="A960" s="1038" t="str">
        <f t="shared" si="15"/>
        <v>3902</v>
      </c>
      <c r="B960" s="1072" t="s">
        <v>15516</v>
      </c>
      <c r="C960" s="1073"/>
      <c r="D960" s="696">
        <v>1</v>
      </c>
      <c r="E960" s="688" t="s">
        <v>4117</v>
      </c>
      <c r="F960" s="1068" t="e">
        <f>IF(E960="","$",VLOOKUP(E960,'結果(小)'!$B$2:$F$1295,5,FALSE))</f>
        <v>#DIV/0!</v>
      </c>
      <c r="G960" s="687" t="s">
        <v>4122</v>
      </c>
      <c r="H960" s="690">
        <v>59</v>
      </c>
      <c r="I960" s="696" t="s">
        <v>5</v>
      </c>
      <c r="J960" s="687" t="s">
        <v>15273</v>
      </c>
      <c r="K960" s="747"/>
      <c r="L960" s="687"/>
      <c r="M960" s="687"/>
      <c r="N960" s="688" t="s">
        <v>16120</v>
      </c>
      <c r="O960" s="687" t="s">
        <v>30</v>
      </c>
      <c r="P960" s="687" t="s">
        <v>6</v>
      </c>
      <c r="Q960" s="748"/>
      <c r="R960" s="749"/>
      <c r="S960" s="747" t="s">
        <v>5457</v>
      </c>
      <c r="T960" s="1769"/>
      <c r="U960" s="1775"/>
      <c r="V960" s="1751" t="e">
        <f>U960/SUM(U951:U994)</f>
        <v>#DIV/0!</v>
      </c>
    </row>
    <row r="961" spans="1:22" ht="12" customHeight="1">
      <c r="A961" s="1040" t="str">
        <f t="shared" si="15"/>
        <v>3902</v>
      </c>
      <c r="B961" s="1053" t="s">
        <v>15517</v>
      </c>
      <c r="C961" s="1064"/>
      <c r="D961" s="2">
        <v>1</v>
      </c>
      <c r="E961" s="4" t="s">
        <v>4129</v>
      </c>
      <c r="F961" s="1065" t="e">
        <f>IF(E961="","$",VLOOKUP(E961,'結果(小)'!$B$2:$F$1295,5,FALSE))</f>
        <v>#DIV/0!</v>
      </c>
      <c r="G961" s="1" t="s">
        <v>4135</v>
      </c>
      <c r="H961" s="6">
        <v>62</v>
      </c>
      <c r="I961" s="2" t="s">
        <v>5</v>
      </c>
      <c r="J961" s="1" t="s">
        <v>15273</v>
      </c>
      <c r="K961" s="3" t="s">
        <v>4140</v>
      </c>
      <c r="L961" s="1"/>
      <c r="M961" s="1"/>
      <c r="N961" s="8" t="s">
        <v>16120</v>
      </c>
      <c r="O961" s="1" t="s">
        <v>445</v>
      </c>
      <c r="P961" s="1" t="s">
        <v>25</v>
      </c>
      <c r="Q961" s="16">
        <v>7</v>
      </c>
      <c r="R961" s="17">
        <v>7</v>
      </c>
      <c r="S961" s="3" t="s">
        <v>5457</v>
      </c>
      <c r="T961" s="1770"/>
      <c r="U961" s="1780"/>
      <c r="V961" s="1752"/>
    </row>
    <row r="962" spans="1:22" ht="12" customHeight="1">
      <c r="A962" s="1040" t="str">
        <f t="shared" si="15"/>
        <v>3902</v>
      </c>
      <c r="B962" s="1053" t="s">
        <v>15518</v>
      </c>
      <c r="C962" s="1064"/>
      <c r="D962" s="2">
        <v>1</v>
      </c>
      <c r="E962" s="4" t="s">
        <v>4145</v>
      </c>
      <c r="F962" s="1065" t="e">
        <f>IF(E962="","$",VLOOKUP(E962,'結果(小)'!$B$2:$F$1295,5,FALSE))</f>
        <v>#DIV/0!</v>
      </c>
      <c r="G962" s="1" t="s">
        <v>4151</v>
      </c>
      <c r="H962" s="6">
        <v>43</v>
      </c>
      <c r="I962" s="2" t="s">
        <v>5</v>
      </c>
      <c r="J962" s="1" t="s">
        <v>15273</v>
      </c>
      <c r="K962" s="3" t="s">
        <v>4152</v>
      </c>
      <c r="L962" s="1"/>
      <c r="M962" s="1"/>
      <c r="N962" s="23" t="s">
        <v>16120</v>
      </c>
      <c r="O962" s="1" t="s">
        <v>30</v>
      </c>
      <c r="P962" s="1" t="s">
        <v>25</v>
      </c>
      <c r="Q962" s="16">
        <v>4</v>
      </c>
      <c r="R962" s="17">
        <v>4</v>
      </c>
      <c r="S962" s="3" t="s">
        <v>5457</v>
      </c>
      <c r="T962" s="1770"/>
      <c r="U962" s="1780"/>
      <c r="V962" s="1752"/>
    </row>
    <row r="963" spans="1:22" ht="12" customHeight="1">
      <c r="A963" s="1040" t="str">
        <f t="shared" ref="A963:A1026" si="16">MIDB(B963,1,4)</f>
        <v>3902</v>
      </c>
      <c r="B963" s="1053" t="s">
        <v>15519</v>
      </c>
      <c r="C963" s="1064"/>
      <c r="D963" s="2">
        <v>1</v>
      </c>
      <c r="E963" s="4" t="s">
        <v>4161</v>
      </c>
      <c r="F963" s="1065" t="e">
        <f>IF(E963="","$",VLOOKUP(E963,'結果(小)'!$B$2:$F$1295,5,FALSE))</f>
        <v>#DIV/0!</v>
      </c>
      <c r="G963" s="1" t="s">
        <v>4168</v>
      </c>
      <c r="H963" s="6">
        <v>54</v>
      </c>
      <c r="I963" s="2" t="s">
        <v>5</v>
      </c>
      <c r="J963" s="1" t="s">
        <v>15273</v>
      </c>
      <c r="K963" s="3" t="s">
        <v>4169</v>
      </c>
      <c r="L963" s="1"/>
      <c r="M963" s="1"/>
      <c r="N963" s="8" t="s">
        <v>16120</v>
      </c>
      <c r="O963" s="1" t="s">
        <v>30</v>
      </c>
      <c r="P963" s="1" t="s">
        <v>25</v>
      </c>
      <c r="Q963" s="16">
        <v>4</v>
      </c>
      <c r="R963" s="17">
        <v>4</v>
      </c>
      <c r="S963" s="3" t="s">
        <v>5457</v>
      </c>
      <c r="T963" s="1770"/>
      <c r="U963" s="1780"/>
      <c r="V963" s="1752"/>
    </row>
    <row r="964" spans="1:22" ht="12" customHeight="1">
      <c r="A964" s="1040" t="str">
        <f t="shared" si="16"/>
        <v>3902</v>
      </c>
      <c r="B964" s="1053" t="s">
        <v>15520</v>
      </c>
      <c r="C964" s="1064"/>
      <c r="D964" s="2">
        <v>1</v>
      </c>
      <c r="E964" s="4" t="s">
        <v>4175</v>
      </c>
      <c r="F964" s="1065" t="e">
        <f>IF(E964="","$",VLOOKUP(E964,'結果(小)'!$B$2:$F$1295,5,FALSE))</f>
        <v>#DIV/0!</v>
      </c>
      <c r="G964" s="1" t="s">
        <v>4179</v>
      </c>
      <c r="H964" s="6">
        <v>47</v>
      </c>
      <c r="I964" s="2" t="s">
        <v>5</v>
      </c>
      <c r="J964" s="1" t="s">
        <v>15273</v>
      </c>
      <c r="K964" s="3"/>
      <c r="L964" s="1"/>
      <c r="M964" s="1"/>
      <c r="N964" s="4" t="s">
        <v>16120</v>
      </c>
      <c r="O964" s="1" t="s">
        <v>30</v>
      </c>
      <c r="P964" s="1" t="s">
        <v>6</v>
      </c>
      <c r="Q964" s="16"/>
      <c r="R964" s="17"/>
      <c r="S964" s="3" t="s">
        <v>5457</v>
      </c>
      <c r="T964" s="1770"/>
      <c r="U964" s="1780"/>
      <c r="V964" s="1752"/>
    </row>
    <row r="965" spans="1:22" ht="12" customHeight="1">
      <c r="A965" s="1040" t="str">
        <f t="shared" si="16"/>
        <v>3902</v>
      </c>
      <c r="B965" s="1053" t="s">
        <v>15521</v>
      </c>
      <c r="C965" s="1064"/>
      <c r="D965" s="2">
        <v>1</v>
      </c>
      <c r="E965" s="4" t="s">
        <v>4185</v>
      </c>
      <c r="F965" s="1065" t="str">
        <f>IF(E965="","$",VLOOKUP(E965,'結果(小)'!$B$2:$F$1295,5,FALSE))</f>
        <v>$</v>
      </c>
      <c r="G965" s="1" t="s">
        <v>4187</v>
      </c>
      <c r="H965" s="6">
        <v>44</v>
      </c>
      <c r="I965" s="2" t="s">
        <v>5</v>
      </c>
      <c r="J965" s="1" t="s">
        <v>15273</v>
      </c>
      <c r="K965" s="3"/>
      <c r="L965" s="1"/>
      <c r="M965" s="1"/>
      <c r="N965" s="4" t="s">
        <v>16120</v>
      </c>
      <c r="O965" s="1" t="s">
        <v>934</v>
      </c>
      <c r="P965" s="1" t="s">
        <v>6</v>
      </c>
      <c r="Q965" s="16"/>
      <c r="R965" s="17"/>
      <c r="S965" s="3" t="s">
        <v>5457</v>
      </c>
      <c r="T965" s="1770"/>
      <c r="U965" s="1780"/>
      <c r="V965" s="1752"/>
    </row>
    <row r="966" spans="1:22" ht="12" customHeight="1">
      <c r="A966" s="1040" t="str">
        <f t="shared" si="16"/>
        <v>3902</v>
      </c>
      <c r="B966" s="1053" t="s">
        <v>15522</v>
      </c>
      <c r="C966" s="1064"/>
      <c r="D966" s="2">
        <v>1</v>
      </c>
      <c r="E966" s="4" t="s">
        <v>4193</v>
      </c>
      <c r="F966" s="1065" t="e">
        <f>IF(E966="","$",VLOOKUP(E966,'結果(小)'!$B$2:$F$1295,5,FALSE))</f>
        <v>#DIV/0!</v>
      </c>
      <c r="G966" s="1" t="s">
        <v>4202</v>
      </c>
      <c r="H966" s="6">
        <v>62</v>
      </c>
      <c r="I966" s="2" t="s">
        <v>5</v>
      </c>
      <c r="J966" s="1" t="s">
        <v>15273</v>
      </c>
      <c r="K966" s="3" t="s">
        <v>4203</v>
      </c>
      <c r="L966" s="1"/>
      <c r="M966" s="1"/>
      <c r="N966" s="8" t="s">
        <v>16120</v>
      </c>
      <c r="O966" s="1" t="s">
        <v>476</v>
      </c>
      <c r="P966" s="1" t="s">
        <v>25</v>
      </c>
      <c r="Q966" s="16">
        <v>5</v>
      </c>
      <c r="R966" s="17">
        <v>6</v>
      </c>
      <c r="S966" s="3"/>
      <c r="T966" s="1770"/>
      <c r="U966" s="1780"/>
      <c r="V966" s="1752"/>
    </row>
    <row r="967" spans="1:22" ht="12" customHeight="1">
      <c r="A967" s="1040" t="str">
        <f t="shared" si="16"/>
        <v>3902</v>
      </c>
      <c r="B967" s="1053" t="s">
        <v>15523</v>
      </c>
      <c r="C967" s="1064"/>
      <c r="D967" s="2">
        <v>1</v>
      </c>
      <c r="E967" s="4" t="s">
        <v>4214</v>
      </c>
      <c r="F967" s="1065" t="e">
        <f>IF(E967="","$",VLOOKUP(E967,'結果(小)'!$B$2:$F$1295,5,FALSE))</f>
        <v>#DIV/0!</v>
      </c>
      <c r="G967" s="1" t="s">
        <v>4216</v>
      </c>
      <c r="H967" s="6">
        <v>60</v>
      </c>
      <c r="I967" s="2" t="s">
        <v>5</v>
      </c>
      <c r="J967" s="1" t="s">
        <v>15273</v>
      </c>
      <c r="K967" s="3" t="s">
        <v>4217</v>
      </c>
      <c r="L967" s="1"/>
      <c r="M967" s="1"/>
      <c r="N967" s="23" t="s">
        <v>16120</v>
      </c>
      <c r="O967" s="1" t="s">
        <v>30</v>
      </c>
      <c r="P967" s="1" t="s">
        <v>25</v>
      </c>
      <c r="Q967" s="16">
        <v>8</v>
      </c>
      <c r="R967" s="17">
        <v>8</v>
      </c>
      <c r="S967" s="3"/>
      <c r="T967" s="1770"/>
      <c r="U967" s="1780"/>
      <c r="V967" s="1752"/>
    </row>
    <row r="968" spans="1:22" ht="12" customHeight="1">
      <c r="A968" s="1040" t="str">
        <f t="shared" si="16"/>
        <v>3902</v>
      </c>
      <c r="B968" s="1053" t="s">
        <v>15524</v>
      </c>
      <c r="C968" s="1064"/>
      <c r="D968" s="2">
        <v>1</v>
      </c>
      <c r="E968" s="4" t="s">
        <v>4221</v>
      </c>
      <c r="F968" s="1065" t="e">
        <f>IF(E968="","$",VLOOKUP(E968,'結果(小)'!$B$2:$F$1295,5,FALSE))</f>
        <v>#DIV/0!</v>
      </c>
      <c r="G968" s="1" t="s">
        <v>4227</v>
      </c>
      <c r="H968" s="6">
        <v>56</v>
      </c>
      <c r="I968" s="2" t="s">
        <v>5</v>
      </c>
      <c r="J968" s="1" t="s">
        <v>15273</v>
      </c>
      <c r="K968" s="3"/>
      <c r="L968" s="1"/>
      <c r="M968" s="1"/>
      <c r="N968" s="8" t="s">
        <v>16120</v>
      </c>
      <c r="O968" s="1" t="s">
        <v>30</v>
      </c>
      <c r="P968" s="1" t="s">
        <v>6</v>
      </c>
      <c r="Q968" s="16"/>
      <c r="R968" s="17"/>
      <c r="S968" s="3"/>
      <c r="T968" s="1770"/>
      <c r="U968" s="1780"/>
      <c r="V968" s="1752"/>
    </row>
    <row r="969" spans="1:22" ht="12" customHeight="1">
      <c r="A969" s="1040" t="str">
        <f t="shared" si="16"/>
        <v>3902</v>
      </c>
      <c r="B969" s="1053" t="s">
        <v>15525</v>
      </c>
      <c r="C969" s="1064"/>
      <c r="D969" s="2">
        <v>1</v>
      </c>
      <c r="E969" s="4" t="s">
        <v>4234</v>
      </c>
      <c r="F969" s="1065" t="e">
        <f>IF(E969="","$",VLOOKUP(E969,'結果(小)'!$B$2:$F$1295,5,FALSE))</f>
        <v>#DIV/0!</v>
      </c>
      <c r="G969" s="1" t="s">
        <v>4237</v>
      </c>
      <c r="H969" s="6">
        <v>65</v>
      </c>
      <c r="I969" s="2" t="s">
        <v>5</v>
      </c>
      <c r="J969" s="1" t="s">
        <v>15273</v>
      </c>
      <c r="K969" s="3" t="s">
        <v>4238</v>
      </c>
      <c r="L969" s="1"/>
      <c r="M969" s="1"/>
      <c r="N969" s="4" t="s">
        <v>16120</v>
      </c>
      <c r="O969" s="1" t="s">
        <v>30</v>
      </c>
      <c r="P969" s="1" t="s">
        <v>25</v>
      </c>
      <c r="Q969" s="16">
        <v>6</v>
      </c>
      <c r="R969" s="17">
        <v>6</v>
      </c>
      <c r="S969" s="3" t="s">
        <v>5457</v>
      </c>
      <c r="T969" s="1770"/>
      <c r="U969" s="1780"/>
      <c r="V969" s="1752"/>
    </row>
    <row r="970" spans="1:22" ht="12" customHeight="1">
      <c r="A970" s="1040" t="str">
        <f t="shared" si="16"/>
        <v>3902</v>
      </c>
      <c r="B970" s="1053" t="s">
        <v>15526</v>
      </c>
      <c r="C970" s="1064"/>
      <c r="D970" s="2">
        <v>1</v>
      </c>
      <c r="E970" s="4" t="s">
        <v>4255</v>
      </c>
      <c r="F970" s="1065" t="e">
        <f>IF(E970="","$",VLOOKUP(E970,'結果(小)'!$B$2:$F$1295,5,FALSE))</f>
        <v>#DIV/0!</v>
      </c>
      <c r="G970" s="1" t="s">
        <v>4260</v>
      </c>
      <c r="H970" s="6">
        <v>59</v>
      </c>
      <c r="I970" s="2" t="s">
        <v>5</v>
      </c>
      <c r="J970" s="1" t="s">
        <v>15273</v>
      </c>
      <c r="K970" s="3" t="s">
        <v>4261</v>
      </c>
      <c r="L970" s="1"/>
      <c r="M970" s="1"/>
      <c r="N970" s="4" t="s">
        <v>16120</v>
      </c>
      <c r="O970" s="1" t="s">
        <v>476</v>
      </c>
      <c r="P970" s="1" t="s">
        <v>25</v>
      </c>
      <c r="Q970" s="16">
        <v>4</v>
      </c>
      <c r="R970" s="17">
        <v>4</v>
      </c>
      <c r="S970" s="3" t="s">
        <v>5457</v>
      </c>
      <c r="T970" s="1770"/>
      <c r="U970" s="1780"/>
      <c r="V970" s="1752"/>
    </row>
    <row r="971" spans="1:22" ht="12" customHeight="1">
      <c r="A971" s="1040" t="str">
        <f t="shared" si="16"/>
        <v>3902</v>
      </c>
      <c r="B971" s="1053" t="s">
        <v>15527</v>
      </c>
      <c r="C971" s="1064"/>
      <c r="D971" s="2">
        <v>1</v>
      </c>
      <c r="E971" s="4" t="s">
        <v>4267</v>
      </c>
      <c r="F971" s="1065" t="str">
        <f>IF(E971="","$",VLOOKUP(E971,'結果(小)'!$B$2:$F$1295,5,FALSE))</f>
        <v>$</v>
      </c>
      <c r="G971" s="1" t="s">
        <v>4268</v>
      </c>
      <c r="H971" s="6">
        <v>55</v>
      </c>
      <c r="I971" s="2" t="s">
        <v>5</v>
      </c>
      <c r="J971" s="1" t="s">
        <v>15273</v>
      </c>
      <c r="K971" s="3" t="s">
        <v>4269</v>
      </c>
      <c r="L971" s="1"/>
      <c r="M971" s="1"/>
      <c r="N971" s="8" t="s">
        <v>16120</v>
      </c>
      <c r="O971" s="1" t="s">
        <v>30</v>
      </c>
      <c r="P971" s="1" t="s">
        <v>25</v>
      </c>
      <c r="Q971" s="16">
        <v>7</v>
      </c>
      <c r="R971" s="17">
        <v>7</v>
      </c>
      <c r="S971" s="3" t="s">
        <v>5457</v>
      </c>
      <c r="T971" s="1770"/>
      <c r="U971" s="1780"/>
      <c r="V971" s="1752"/>
    </row>
    <row r="972" spans="1:22" ht="12" customHeight="1">
      <c r="A972" s="1040" t="str">
        <f t="shared" si="16"/>
        <v>3902</v>
      </c>
      <c r="B972" s="1053" t="s">
        <v>15528</v>
      </c>
      <c r="C972" s="1064"/>
      <c r="D972" s="2">
        <v>1</v>
      </c>
      <c r="E972" s="4" t="s">
        <v>4276</v>
      </c>
      <c r="F972" s="1065" t="str">
        <f>IF(E972="","$",VLOOKUP(E972,'結果(小)'!$B$2:$F$1295,5,FALSE))</f>
        <v>$</v>
      </c>
      <c r="G972" s="1" t="s">
        <v>4277</v>
      </c>
      <c r="H972" s="6">
        <v>60</v>
      </c>
      <c r="I972" s="2" t="s">
        <v>5</v>
      </c>
      <c r="J972" s="1" t="s">
        <v>15273</v>
      </c>
      <c r="K972" s="3" t="s">
        <v>4278</v>
      </c>
      <c r="L972" s="1"/>
      <c r="M972" s="1"/>
      <c r="N972" s="23" t="s">
        <v>16120</v>
      </c>
      <c r="O972" s="1" t="s">
        <v>30</v>
      </c>
      <c r="P972" s="1" t="s">
        <v>25</v>
      </c>
      <c r="Q972" s="16">
        <v>7</v>
      </c>
      <c r="R972" s="17">
        <v>7</v>
      </c>
      <c r="S972" s="3" t="s">
        <v>5457</v>
      </c>
      <c r="T972" s="1770"/>
      <c r="U972" s="1780"/>
      <c r="V972" s="1752"/>
    </row>
    <row r="973" spans="1:22" ht="12" customHeight="1">
      <c r="A973" s="1040" t="str">
        <f t="shared" si="16"/>
        <v>3902</v>
      </c>
      <c r="B973" s="1053" t="s">
        <v>15529</v>
      </c>
      <c r="C973" s="1064"/>
      <c r="D973" s="2">
        <v>14</v>
      </c>
      <c r="E973" s="2"/>
      <c r="F973" s="1065" t="str">
        <f>IF(E973="","$",VLOOKUP(E973,'結果(小)'!$B$2:$F$1295,5,FALSE))</f>
        <v>$</v>
      </c>
      <c r="G973" s="2" t="s">
        <v>5257</v>
      </c>
      <c r="H973" s="6">
        <v>71</v>
      </c>
      <c r="I973" s="2" t="s">
        <v>5</v>
      </c>
      <c r="J973" s="2" t="s">
        <v>6067</v>
      </c>
      <c r="K973" s="22"/>
      <c r="L973" s="2"/>
      <c r="M973" s="2"/>
      <c r="N973" s="23" t="s">
        <v>16120</v>
      </c>
      <c r="O973" s="2" t="s">
        <v>5247</v>
      </c>
      <c r="P973" s="2" t="s">
        <v>14</v>
      </c>
      <c r="Q973" s="24">
        <v>1</v>
      </c>
      <c r="R973" s="25">
        <v>1</v>
      </c>
      <c r="S973" s="22"/>
      <c r="T973" s="1770"/>
      <c r="U973" s="1780"/>
      <c r="V973" s="1752"/>
    </row>
    <row r="974" spans="1:22" ht="12" customHeight="1">
      <c r="A974" s="1040" t="str">
        <f t="shared" si="16"/>
        <v>3902</v>
      </c>
      <c r="B974" s="1053" t="s">
        <v>15530</v>
      </c>
      <c r="C974" s="1064"/>
      <c r="D974" s="2">
        <v>15</v>
      </c>
      <c r="E974" s="2"/>
      <c r="F974" s="1065" t="str">
        <f>IF(E974="","$",VLOOKUP(E974,'結果(小)'!$B$2:$F$1295,5,FALSE))</f>
        <v>$</v>
      </c>
      <c r="G974" s="6" t="s">
        <v>6114</v>
      </c>
      <c r="H974" s="6">
        <v>57</v>
      </c>
      <c r="I974" s="6" t="s">
        <v>5</v>
      </c>
      <c r="J974" s="2" t="s">
        <v>6067</v>
      </c>
      <c r="K974" s="12"/>
      <c r="L974" s="6"/>
      <c r="M974" s="19"/>
      <c r="N974" s="8" t="s">
        <v>16120</v>
      </c>
      <c r="O974" s="6" t="s">
        <v>5247</v>
      </c>
      <c r="P974" s="6" t="s">
        <v>6</v>
      </c>
      <c r="Q974" s="13"/>
      <c r="R974" s="14"/>
      <c r="S974" s="12"/>
      <c r="T974" s="1770"/>
      <c r="U974" s="1780"/>
      <c r="V974" s="1752"/>
    </row>
    <row r="975" spans="1:22" ht="12" customHeight="1">
      <c r="A975" s="1040" t="str">
        <f t="shared" si="16"/>
        <v>3902</v>
      </c>
      <c r="B975" s="1053" t="s">
        <v>15531</v>
      </c>
      <c r="C975" s="1064"/>
      <c r="D975" s="2">
        <v>16</v>
      </c>
      <c r="E975" s="2"/>
      <c r="F975" s="1065" t="str">
        <f>IF(E975="","$",VLOOKUP(E975,'結果(小)'!$B$2:$F$1295,5,FALSE))</f>
        <v>$</v>
      </c>
      <c r="G975" s="6" t="s">
        <v>15259</v>
      </c>
      <c r="H975" s="6">
        <v>45</v>
      </c>
      <c r="I975" s="6" t="s">
        <v>5</v>
      </c>
      <c r="J975" s="2" t="s">
        <v>6067</v>
      </c>
      <c r="K975" s="12"/>
      <c r="L975" s="6"/>
      <c r="M975" s="19"/>
      <c r="N975" s="4" t="s">
        <v>16120</v>
      </c>
      <c r="O975" s="6" t="s">
        <v>5247</v>
      </c>
      <c r="P975" s="6" t="s">
        <v>6</v>
      </c>
      <c r="Q975" s="13"/>
      <c r="R975" s="14"/>
      <c r="S975" s="12"/>
      <c r="T975" s="1770"/>
      <c r="U975" s="1780"/>
      <c r="V975" s="1752"/>
    </row>
    <row r="976" spans="1:22" ht="12" customHeight="1">
      <c r="A976" s="1040" t="str">
        <f t="shared" si="16"/>
        <v>3902</v>
      </c>
      <c r="B976" s="1053" t="s">
        <v>15532</v>
      </c>
      <c r="C976" s="1064"/>
      <c r="D976" s="2">
        <v>17</v>
      </c>
      <c r="E976" s="2"/>
      <c r="F976" s="1065" t="str">
        <f>IF(E976="","$",VLOOKUP(E976,'結果(小)'!$B$2:$F$1295,5,FALSE))</f>
        <v>$</v>
      </c>
      <c r="G976" s="6" t="s">
        <v>15260</v>
      </c>
      <c r="H976" s="6">
        <v>61</v>
      </c>
      <c r="I976" s="6" t="s">
        <v>5</v>
      </c>
      <c r="J976" s="2" t="s">
        <v>6067</v>
      </c>
      <c r="K976" s="12"/>
      <c r="L976" s="6"/>
      <c r="M976" s="19"/>
      <c r="N976" s="4" t="s">
        <v>16120</v>
      </c>
      <c r="O976" s="6" t="s">
        <v>5247</v>
      </c>
      <c r="P976" s="6" t="s">
        <v>6</v>
      </c>
      <c r="Q976" s="13"/>
      <c r="R976" s="14"/>
      <c r="S976" s="12"/>
      <c r="T976" s="1770"/>
      <c r="U976" s="1780"/>
      <c r="V976" s="1752"/>
    </row>
    <row r="977" spans="1:22" ht="12" customHeight="1" thickBot="1">
      <c r="A977" s="916" t="str">
        <f t="shared" si="16"/>
        <v>3902</v>
      </c>
      <c r="B977" s="1074" t="s">
        <v>16467</v>
      </c>
      <c r="C977" s="1075"/>
      <c r="D977" s="702">
        <v>18</v>
      </c>
      <c r="E977" s="702"/>
      <c r="F977" s="1071" t="str">
        <f>IF(E977="","$",VLOOKUP(E977,'結果(小)'!$B$2:$F$1295,5,FALSE))</f>
        <v>$</v>
      </c>
      <c r="G977" s="701" t="s">
        <v>15261</v>
      </c>
      <c r="H977" s="701">
        <v>50</v>
      </c>
      <c r="I977" s="701" t="s">
        <v>19</v>
      </c>
      <c r="J977" s="702" t="s">
        <v>6067</v>
      </c>
      <c r="K977" s="740"/>
      <c r="L977" s="701"/>
      <c r="M977" s="741"/>
      <c r="N977" s="704" t="s">
        <v>16120</v>
      </c>
      <c r="O977" s="701" t="s">
        <v>5247</v>
      </c>
      <c r="P977" s="701" t="s">
        <v>6</v>
      </c>
      <c r="Q977" s="742"/>
      <c r="R977" s="743"/>
      <c r="S977" s="740"/>
      <c r="T977" s="1771"/>
      <c r="U977" s="1776"/>
      <c r="V977" s="1753"/>
    </row>
    <row r="978" spans="1:22" ht="12" customHeight="1">
      <c r="A978" s="1038" t="str">
        <f t="shared" si="16"/>
        <v>3903</v>
      </c>
      <c r="B978" s="1097" t="s">
        <v>15639</v>
      </c>
      <c r="C978" s="1073"/>
      <c r="D978" s="696">
        <v>1</v>
      </c>
      <c r="E978" s="688" t="s">
        <v>4214</v>
      </c>
      <c r="F978" s="1068" t="e">
        <f>IF(E978="","$",VLOOKUP(E978,'結果(小)'!$B$2:$F$1295,5,FALSE))</f>
        <v>#DIV/0!</v>
      </c>
      <c r="G978" s="687" t="s">
        <v>4208</v>
      </c>
      <c r="H978" s="690">
        <v>37</v>
      </c>
      <c r="I978" s="696" t="s">
        <v>5</v>
      </c>
      <c r="J978" s="687" t="s">
        <v>15273</v>
      </c>
      <c r="K978" s="747" t="s">
        <v>4638</v>
      </c>
      <c r="L978" s="687" t="s">
        <v>373</v>
      </c>
      <c r="M978" s="687"/>
      <c r="N978" s="688" t="s">
        <v>16125</v>
      </c>
      <c r="O978" s="687"/>
      <c r="P978" s="687" t="s">
        <v>6</v>
      </c>
      <c r="Q978" s="748"/>
      <c r="R978" s="749">
        <v>2</v>
      </c>
      <c r="S978" s="747" t="s">
        <v>5561</v>
      </c>
      <c r="T978" s="1772"/>
      <c r="U978" s="1775"/>
      <c r="V978" s="1751" t="e">
        <f>U978/SUM(U951:U994)</f>
        <v>#DIV/0!</v>
      </c>
    </row>
    <row r="979" spans="1:22" ht="12" customHeight="1" thickBot="1">
      <c r="A979" s="916" t="str">
        <f t="shared" si="16"/>
        <v>3903</v>
      </c>
      <c r="B979" s="1098" t="s">
        <v>16575</v>
      </c>
      <c r="C979" s="1075"/>
      <c r="D979" s="702">
        <v>2</v>
      </c>
      <c r="E979" s="702"/>
      <c r="F979" s="1071" t="str">
        <f>IF(E979="","$",VLOOKUP(E979,'結果(小)'!$B$2:$F$1295,5,FALSE))</f>
        <v>$</v>
      </c>
      <c r="G979" s="701" t="s">
        <v>15640</v>
      </c>
      <c r="H979" s="701">
        <v>49</v>
      </c>
      <c r="I979" s="701" t="s">
        <v>19</v>
      </c>
      <c r="J979" s="702" t="s">
        <v>6067</v>
      </c>
      <c r="K979" s="740"/>
      <c r="L979" s="701"/>
      <c r="M979" s="741"/>
      <c r="N979" s="704" t="s">
        <v>16125</v>
      </c>
      <c r="O979" s="701"/>
      <c r="P979" s="701" t="s">
        <v>6</v>
      </c>
      <c r="Q979" s="742"/>
      <c r="R979" s="743"/>
      <c r="S979" s="740"/>
      <c r="T979" s="1774"/>
      <c r="U979" s="1776"/>
      <c r="V979" s="1753"/>
    </row>
    <row r="980" spans="1:22" ht="12" customHeight="1">
      <c r="A980" s="1038" t="str">
        <f t="shared" si="16"/>
        <v>3904</v>
      </c>
      <c r="B980" s="1081" t="s">
        <v>4284</v>
      </c>
      <c r="C980" s="1073"/>
      <c r="D980" s="696">
        <v>1</v>
      </c>
      <c r="E980" s="696"/>
      <c r="F980" s="1068" t="str">
        <f>IF(E980="","$",VLOOKUP(E980,'結果(小)'!$B$2:$F$1295,5,FALSE))</f>
        <v>$</v>
      </c>
      <c r="G980" s="696" t="s">
        <v>4285</v>
      </c>
      <c r="H980" s="690">
        <v>61</v>
      </c>
      <c r="I980" s="696" t="s">
        <v>5</v>
      </c>
      <c r="J980" s="696" t="s">
        <v>6067</v>
      </c>
      <c r="K980" s="715" t="s">
        <v>4286</v>
      </c>
      <c r="L980" s="696"/>
      <c r="M980" s="696"/>
      <c r="N980" s="716" t="s">
        <v>16118</v>
      </c>
      <c r="O980" s="696"/>
      <c r="P980" s="696" t="s">
        <v>25</v>
      </c>
      <c r="Q980" s="717">
        <v>5</v>
      </c>
      <c r="R980" s="718">
        <v>5</v>
      </c>
      <c r="S980" s="715"/>
      <c r="T980" s="1763"/>
      <c r="U980" s="1775"/>
      <c r="V980" s="1751" t="e">
        <f>U980/SUM(U951:U994)</f>
        <v>#DIV/0!</v>
      </c>
    </row>
    <row r="981" spans="1:22" ht="12" customHeight="1" thickBot="1">
      <c r="A981" s="916" t="str">
        <f t="shared" si="16"/>
        <v>3904</v>
      </c>
      <c r="B981" s="1082" t="s">
        <v>5928</v>
      </c>
      <c r="C981" s="1075"/>
      <c r="D981" s="702">
        <v>2</v>
      </c>
      <c r="E981" s="702"/>
      <c r="F981" s="1071" t="str">
        <f>IF(E981="","$",VLOOKUP(E981,'結果(小)'!$B$2:$F$1295,5,FALSE))</f>
        <v>$</v>
      </c>
      <c r="G981" s="702" t="s">
        <v>5929</v>
      </c>
      <c r="H981" s="701">
        <v>46</v>
      </c>
      <c r="I981" s="702" t="s">
        <v>5</v>
      </c>
      <c r="J981" s="702" t="s">
        <v>6067</v>
      </c>
      <c r="K981" s="720"/>
      <c r="L981" s="702"/>
      <c r="M981" s="702"/>
      <c r="N981" s="704" t="s">
        <v>16118</v>
      </c>
      <c r="O981" s="702"/>
      <c r="P981" s="702" t="s">
        <v>6</v>
      </c>
      <c r="Q981" s="721"/>
      <c r="R981" s="722"/>
      <c r="S981" s="720"/>
      <c r="T981" s="1765"/>
      <c r="U981" s="1776"/>
      <c r="V981" s="1753"/>
    </row>
    <row r="982" spans="1:22" ht="12" customHeight="1">
      <c r="A982" s="1038" t="str">
        <f t="shared" si="16"/>
        <v>3905</v>
      </c>
      <c r="B982" s="1083" t="s">
        <v>16579</v>
      </c>
      <c r="C982" s="1073"/>
      <c r="D982" s="696">
        <v>1</v>
      </c>
      <c r="E982" s="688" t="s">
        <v>4194</v>
      </c>
      <c r="F982" s="1068" t="e">
        <f>IF(E982="","$",VLOOKUP(E982,'結果(小)'!$B$2:$F$1295,5,FALSE))</f>
        <v>#DIV/0!</v>
      </c>
      <c r="G982" s="687" t="s">
        <v>5196</v>
      </c>
      <c r="H982" s="690">
        <v>54</v>
      </c>
      <c r="I982" s="696" t="s">
        <v>5</v>
      </c>
      <c r="J982" s="687" t="s">
        <v>15273</v>
      </c>
      <c r="K982" s="747"/>
      <c r="L982" s="687"/>
      <c r="M982" s="687"/>
      <c r="N982" s="688" t="s">
        <v>16116</v>
      </c>
      <c r="O982" s="687" t="s">
        <v>276</v>
      </c>
      <c r="P982" s="687" t="s">
        <v>6</v>
      </c>
      <c r="Q982" s="748"/>
      <c r="R982" s="749"/>
      <c r="S982" s="747"/>
      <c r="T982" s="1766"/>
      <c r="U982" s="1775"/>
      <c r="V982" s="1751" t="e">
        <f>U982/SUM(U951:U994)</f>
        <v>#DIV/0!</v>
      </c>
    </row>
    <row r="983" spans="1:22" ht="12" customHeight="1">
      <c r="A983" s="1040" t="str">
        <f t="shared" si="16"/>
        <v>3905</v>
      </c>
      <c r="B983" s="1056" t="s">
        <v>16580</v>
      </c>
      <c r="C983" s="1064"/>
      <c r="D983" s="2">
        <v>1</v>
      </c>
      <c r="E983" s="4" t="s">
        <v>4215</v>
      </c>
      <c r="F983" s="1065" t="e">
        <f>IF(E983="","$",VLOOKUP(E983,'結果(小)'!$B$2:$F$1295,5,FALSE))</f>
        <v>#DIV/0!</v>
      </c>
      <c r="G983" s="1" t="s">
        <v>5307</v>
      </c>
      <c r="H983" s="6">
        <v>39</v>
      </c>
      <c r="I983" s="2" t="s">
        <v>5</v>
      </c>
      <c r="J983" s="1" t="s">
        <v>15273</v>
      </c>
      <c r="K983" s="3"/>
      <c r="L983" s="1"/>
      <c r="M983" s="1"/>
      <c r="N983" s="4" t="s">
        <v>16116</v>
      </c>
      <c r="O983" s="1" t="s">
        <v>4997</v>
      </c>
      <c r="P983" s="1" t="s">
        <v>6</v>
      </c>
      <c r="Q983" s="16"/>
      <c r="R983" s="17"/>
      <c r="S983" s="3" t="s">
        <v>469</v>
      </c>
      <c r="T983" s="1767"/>
      <c r="U983" s="1780"/>
      <c r="V983" s="1752"/>
    </row>
    <row r="984" spans="1:22" ht="12" customHeight="1">
      <c r="A984" s="1040" t="str">
        <f t="shared" si="16"/>
        <v>3905</v>
      </c>
      <c r="B984" s="1056" t="s">
        <v>16581</v>
      </c>
      <c r="C984" s="1064"/>
      <c r="D984" s="2">
        <v>1</v>
      </c>
      <c r="E984" s="4" t="s">
        <v>4222</v>
      </c>
      <c r="F984" s="1065" t="e">
        <f>IF(E984="","$",VLOOKUP(E984,'結果(小)'!$B$2:$F$1295,5,FALSE))</f>
        <v>#DIV/0!</v>
      </c>
      <c r="G984" s="1" t="s">
        <v>5203</v>
      </c>
      <c r="H984" s="6">
        <v>31</v>
      </c>
      <c r="I984" s="2" t="s">
        <v>19</v>
      </c>
      <c r="J984" s="1" t="s">
        <v>15273</v>
      </c>
      <c r="K984" s="3"/>
      <c r="L984" s="1"/>
      <c r="M984" s="1"/>
      <c r="N984" s="4" t="s">
        <v>16116</v>
      </c>
      <c r="O984" s="1" t="s">
        <v>4997</v>
      </c>
      <c r="P984" s="1" t="s">
        <v>6</v>
      </c>
      <c r="Q984" s="16"/>
      <c r="R984" s="17"/>
      <c r="S984" s="3" t="s">
        <v>469</v>
      </c>
      <c r="T984" s="1767"/>
      <c r="U984" s="1780"/>
      <c r="V984" s="1752"/>
    </row>
    <row r="985" spans="1:22" ht="12" customHeight="1">
      <c r="A985" s="1040" t="str">
        <f t="shared" si="16"/>
        <v>3905</v>
      </c>
      <c r="B985" s="1056" t="s">
        <v>16582</v>
      </c>
      <c r="C985" s="1064"/>
      <c r="D985" s="2">
        <v>1</v>
      </c>
      <c r="E985" s="4" t="s">
        <v>4235</v>
      </c>
      <c r="F985" s="1065" t="e">
        <f>IF(E985="","$",VLOOKUP(E985,'結果(小)'!$B$2:$F$1295,5,FALSE))</f>
        <v>#DIV/0!</v>
      </c>
      <c r="G985" s="1" t="s">
        <v>4248</v>
      </c>
      <c r="H985" s="6">
        <v>47</v>
      </c>
      <c r="I985" s="2" t="s">
        <v>5</v>
      </c>
      <c r="J985" s="1" t="s">
        <v>15273</v>
      </c>
      <c r="K985" s="3" t="s">
        <v>4249</v>
      </c>
      <c r="L985" s="1" t="s">
        <v>373</v>
      </c>
      <c r="M985" s="1"/>
      <c r="N985" s="4" t="s">
        <v>16116</v>
      </c>
      <c r="O985" s="1" t="s">
        <v>469</v>
      </c>
      <c r="P985" s="1" t="s">
        <v>6</v>
      </c>
      <c r="Q985" s="16"/>
      <c r="R985" s="17">
        <v>1</v>
      </c>
      <c r="S985" s="3" t="s">
        <v>469</v>
      </c>
      <c r="T985" s="1767"/>
      <c r="U985" s="1780"/>
      <c r="V985" s="1752"/>
    </row>
    <row r="986" spans="1:22" ht="12" customHeight="1">
      <c r="A986" s="1040" t="str">
        <f t="shared" si="16"/>
        <v>3905</v>
      </c>
      <c r="B986" s="1056" t="s">
        <v>16583</v>
      </c>
      <c r="C986" s="1064"/>
      <c r="D986" s="2">
        <v>5</v>
      </c>
      <c r="E986" s="4" t="s">
        <v>4162</v>
      </c>
      <c r="F986" s="1065" t="e">
        <f>IF(E986="","$",VLOOKUP(E986,'結果(小)'!$B$2:$F$1295,5,FALSE))</f>
        <v>#DIV/0!</v>
      </c>
      <c r="G986" s="1" t="s">
        <v>5862</v>
      </c>
      <c r="H986" s="6">
        <v>66</v>
      </c>
      <c r="I986" s="2" t="s">
        <v>5</v>
      </c>
      <c r="J986" s="1" t="s">
        <v>15273</v>
      </c>
      <c r="K986" s="3"/>
      <c r="L986" s="1"/>
      <c r="M986" s="1"/>
      <c r="N986" s="4" t="s">
        <v>16116</v>
      </c>
      <c r="O986" s="1" t="s">
        <v>4997</v>
      </c>
      <c r="P986" s="1" t="s">
        <v>6</v>
      </c>
      <c r="Q986" s="16"/>
      <c r="R986" s="17"/>
      <c r="S986" s="3"/>
      <c r="T986" s="1767"/>
      <c r="U986" s="1780"/>
      <c r="V986" s="1752"/>
    </row>
    <row r="987" spans="1:22" ht="12" customHeight="1">
      <c r="A987" s="1040" t="str">
        <f t="shared" si="16"/>
        <v>3905</v>
      </c>
      <c r="B987" s="1056" t="s">
        <v>16584</v>
      </c>
      <c r="C987" s="1064"/>
      <c r="D987" s="2">
        <v>6</v>
      </c>
      <c r="E987" s="4" t="s">
        <v>4256</v>
      </c>
      <c r="F987" s="1065" t="e">
        <f>IF(E987="","$",VLOOKUP(E987,'結果(小)'!$B$2:$F$1295,5,FALSE))</f>
        <v>#DIV/0!</v>
      </c>
      <c r="G987" s="1" t="s">
        <v>5437</v>
      </c>
      <c r="H987" s="6">
        <v>35</v>
      </c>
      <c r="I987" s="2" t="s">
        <v>5</v>
      </c>
      <c r="J987" s="1" t="s">
        <v>15273</v>
      </c>
      <c r="K987" s="3"/>
      <c r="L987" s="1"/>
      <c r="M987" s="1"/>
      <c r="N987" s="4" t="s">
        <v>16116</v>
      </c>
      <c r="O987" s="1" t="s">
        <v>4997</v>
      </c>
      <c r="P987" s="1" t="s">
        <v>6</v>
      </c>
      <c r="Q987" s="16"/>
      <c r="R987" s="17"/>
      <c r="S987" s="3" t="s">
        <v>469</v>
      </c>
      <c r="T987" s="1767"/>
      <c r="U987" s="1780"/>
      <c r="V987" s="1752"/>
    </row>
    <row r="988" spans="1:22" ht="12" customHeight="1" thickBot="1">
      <c r="A988" s="916" t="str">
        <f t="shared" si="16"/>
        <v>3905</v>
      </c>
      <c r="B988" s="1084" t="s">
        <v>15673</v>
      </c>
      <c r="C988" s="1075"/>
      <c r="D988" s="702">
        <v>7</v>
      </c>
      <c r="E988" s="702"/>
      <c r="F988" s="1071" t="str">
        <f>IF(E988="","$",VLOOKUP(E988,'結果(小)'!$B$2:$F$1295,5,FALSE))</f>
        <v>$</v>
      </c>
      <c r="G988" s="702" t="s">
        <v>15674</v>
      </c>
      <c r="H988" s="701">
        <v>38</v>
      </c>
      <c r="I988" s="702" t="s">
        <v>5</v>
      </c>
      <c r="J988" s="702" t="s">
        <v>6067</v>
      </c>
      <c r="K988" s="720"/>
      <c r="L988" s="702"/>
      <c r="M988" s="702"/>
      <c r="N988" s="741" t="s">
        <v>16130</v>
      </c>
      <c r="O988" s="702" t="s">
        <v>4993</v>
      </c>
      <c r="P988" s="702" t="s">
        <v>6</v>
      </c>
      <c r="Q988" s="721"/>
      <c r="R988" s="722"/>
      <c r="S988" s="720"/>
      <c r="T988" s="1768"/>
      <c r="U988" s="1776"/>
      <c r="V988" s="1753"/>
    </row>
    <row r="989" spans="1:22" ht="12" customHeight="1" thickBot="1">
      <c r="A989" s="658" t="str">
        <f t="shared" si="16"/>
        <v>3906</v>
      </c>
      <c r="B989" s="1108" t="s">
        <v>15651</v>
      </c>
      <c r="C989" s="1077"/>
      <c r="D989" s="660">
        <v>1</v>
      </c>
      <c r="E989" s="660"/>
      <c r="F989" s="1078" t="str">
        <f>IF(E989="","$",VLOOKUP(E989,'結果(小)'!$B$2:$F$1295,5,FALSE))</f>
        <v>$</v>
      </c>
      <c r="G989" s="660" t="s">
        <v>15652</v>
      </c>
      <c r="H989" s="728">
        <v>30</v>
      </c>
      <c r="I989" s="660" t="s">
        <v>5</v>
      </c>
      <c r="J989" s="660" t="s">
        <v>6067</v>
      </c>
      <c r="K989" s="733"/>
      <c r="L989" s="660"/>
      <c r="M989" s="660"/>
      <c r="N989" s="762" t="s">
        <v>16128</v>
      </c>
      <c r="O989" s="660"/>
      <c r="P989" s="660" t="s">
        <v>6</v>
      </c>
      <c r="Q989" s="763"/>
      <c r="R989" s="764"/>
      <c r="S989" s="733"/>
      <c r="T989" s="1109"/>
      <c r="U989" s="1153"/>
      <c r="V989" s="1080" t="e">
        <f>U989/SUM(U951:U994)</f>
        <v>#DIV/0!</v>
      </c>
    </row>
    <row r="990" spans="1:22" ht="12" customHeight="1">
      <c r="A990" s="1038" t="str">
        <f t="shared" si="16"/>
        <v>3907</v>
      </c>
      <c r="B990" s="1087" t="s">
        <v>5684</v>
      </c>
      <c r="C990" s="1073"/>
      <c r="D990" s="696">
        <v>1</v>
      </c>
      <c r="E990" s="696"/>
      <c r="F990" s="1068" t="str">
        <f>IF(E990="","$",VLOOKUP(E990,'結果(小)'!$B$2:$F$1295,5,FALSE))</f>
        <v>$</v>
      </c>
      <c r="G990" s="696" t="s">
        <v>4289</v>
      </c>
      <c r="H990" s="690">
        <v>60</v>
      </c>
      <c r="I990" s="696" t="s">
        <v>5</v>
      </c>
      <c r="J990" s="696" t="s">
        <v>6067</v>
      </c>
      <c r="K990" s="715"/>
      <c r="L990" s="696"/>
      <c r="M990" s="696"/>
      <c r="N990" s="716" t="s">
        <v>16117</v>
      </c>
      <c r="O990" s="696"/>
      <c r="P990" s="696" t="s">
        <v>6</v>
      </c>
      <c r="Q990" s="717"/>
      <c r="R990" s="718"/>
      <c r="S990" s="715"/>
      <c r="T990" s="1760"/>
      <c r="U990" s="1775"/>
      <c r="V990" s="1751" t="e">
        <f>U990/SUM(U951:U994)</f>
        <v>#DIV/0!</v>
      </c>
    </row>
    <row r="991" spans="1:22" ht="12" customHeight="1" thickBot="1">
      <c r="A991" s="916" t="str">
        <f t="shared" si="16"/>
        <v>3907</v>
      </c>
      <c r="B991" s="1088" t="s">
        <v>16586</v>
      </c>
      <c r="C991" s="1075"/>
      <c r="D991" s="702">
        <v>2</v>
      </c>
      <c r="E991" s="700" t="s">
        <v>5436</v>
      </c>
      <c r="F991" s="1071" t="e">
        <f>IF(E991="","$",VLOOKUP(E991,'結果(小)'!$B$2:$F$1295,5,FALSE))</f>
        <v>#DIV/0!</v>
      </c>
      <c r="G991" s="906" t="s">
        <v>4264</v>
      </c>
      <c r="H991" s="701">
        <v>53</v>
      </c>
      <c r="I991" s="702" t="s">
        <v>5</v>
      </c>
      <c r="J991" s="906" t="s">
        <v>15273</v>
      </c>
      <c r="K991" s="703"/>
      <c r="L991" s="906"/>
      <c r="M991" s="906"/>
      <c r="N991" s="700" t="s">
        <v>16117</v>
      </c>
      <c r="O991" s="906"/>
      <c r="P991" s="906" t="s">
        <v>14</v>
      </c>
      <c r="Q991" s="705">
        <v>2</v>
      </c>
      <c r="R991" s="903">
        <v>2</v>
      </c>
      <c r="S991" s="703"/>
      <c r="T991" s="1762"/>
      <c r="U991" s="1776"/>
      <c r="V991" s="1753"/>
    </row>
    <row r="992" spans="1:22" ht="12" customHeight="1" thickBot="1">
      <c r="A992" s="658" t="str">
        <f t="shared" si="16"/>
        <v>3908</v>
      </c>
      <c r="B992" s="1103" t="s">
        <v>16587</v>
      </c>
      <c r="C992" s="1077"/>
      <c r="D992" s="660">
        <v>1</v>
      </c>
      <c r="E992" s="727" t="s">
        <v>4186</v>
      </c>
      <c r="F992" s="1078" t="e">
        <f>IF(E992="","$",VLOOKUP(E992,'結果(小)'!$B$2:$F$1295,5,FALSE))</f>
        <v>#DIV/0!</v>
      </c>
      <c r="G992" s="659" t="s">
        <v>4190</v>
      </c>
      <c r="H992" s="728">
        <v>54</v>
      </c>
      <c r="I992" s="660" t="s">
        <v>5</v>
      </c>
      <c r="J992" s="659" t="s">
        <v>15273</v>
      </c>
      <c r="K992" s="729"/>
      <c r="L992" s="659"/>
      <c r="M992" s="659"/>
      <c r="N992" s="727" t="s">
        <v>16121</v>
      </c>
      <c r="O992" s="659"/>
      <c r="P992" s="659" t="s">
        <v>6</v>
      </c>
      <c r="Q992" s="730"/>
      <c r="R992" s="731"/>
      <c r="S992" s="729"/>
      <c r="T992" s="1090"/>
      <c r="U992" s="1153"/>
      <c r="V992" s="1080" t="e">
        <f>U992/SUM(U951:U994)</f>
        <v>#DIV/0!</v>
      </c>
    </row>
    <row r="993" spans="1:22" ht="12" customHeight="1">
      <c r="A993" s="1038" t="str">
        <f t="shared" si="16"/>
        <v>3913</v>
      </c>
      <c r="B993" s="1093" t="s">
        <v>16588</v>
      </c>
      <c r="C993" s="1073"/>
      <c r="D993" s="696">
        <v>1</v>
      </c>
      <c r="E993" s="696"/>
      <c r="F993" s="1068" t="str">
        <f>IF(E993="","$",VLOOKUP(E993,'結果(小)'!$B$2:$F$1295,5,FALSE))</f>
        <v>$</v>
      </c>
      <c r="G993" s="696" t="s">
        <v>5147</v>
      </c>
      <c r="H993" s="690">
        <v>45</v>
      </c>
      <c r="I993" s="696" t="s">
        <v>5</v>
      </c>
      <c r="J993" s="696" t="s">
        <v>6067</v>
      </c>
      <c r="K993" s="715"/>
      <c r="L993" s="696"/>
      <c r="M993" s="696"/>
      <c r="N993" s="716" t="s">
        <v>16122</v>
      </c>
      <c r="O993" s="696" t="s">
        <v>22</v>
      </c>
      <c r="P993" s="696" t="s">
        <v>6</v>
      </c>
      <c r="Q993" s="717"/>
      <c r="R993" s="718"/>
      <c r="S993" s="715"/>
      <c r="T993" s="1754"/>
      <c r="U993" s="1775"/>
      <c r="V993" s="1751" t="e">
        <f>U993/SUM(U951:U994)</f>
        <v>#DIV/0!</v>
      </c>
    </row>
    <row r="994" spans="1:22" ht="12" customHeight="1" thickBot="1">
      <c r="A994" s="916" t="str">
        <f t="shared" si="16"/>
        <v>3913</v>
      </c>
      <c r="B994" s="1094" t="s">
        <v>16589</v>
      </c>
      <c r="C994" s="1075"/>
      <c r="D994" s="702">
        <v>2</v>
      </c>
      <c r="E994" s="702"/>
      <c r="F994" s="1071" t="str">
        <f>IF(E994="","$",VLOOKUP(E994,'結果(小)'!$B$2:$F$1295,5,FALSE))</f>
        <v>$</v>
      </c>
      <c r="G994" s="702" t="s">
        <v>5149</v>
      </c>
      <c r="H994" s="701">
        <v>58</v>
      </c>
      <c r="I994" s="702" t="s">
        <v>19</v>
      </c>
      <c r="J994" s="702" t="s">
        <v>6067</v>
      </c>
      <c r="K994" s="720"/>
      <c r="L994" s="702"/>
      <c r="M994" s="702"/>
      <c r="N994" s="770" t="s">
        <v>16122</v>
      </c>
      <c r="O994" s="702" t="s">
        <v>22</v>
      </c>
      <c r="P994" s="702" t="s">
        <v>6</v>
      </c>
      <c r="Q994" s="721"/>
      <c r="R994" s="722"/>
      <c r="S994" s="720"/>
      <c r="T994" s="1756"/>
      <c r="U994" s="1776"/>
      <c r="V994" s="1753"/>
    </row>
    <row r="995" spans="1:22" ht="12" customHeight="1">
      <c r="A995" s="1038" t="str">
        <f t="shared" si="16"/>
        <v>4001</v>
      </c>
      <c r="B995" s="1095" t="s">
        <v>15918</v>
      </c>
      <c r="C995" s="1073"/>
      <c r="D995" s="696">
        <v>1</v>
      </c>
      <c r="E995" s="688" t="s">
        <v>4292</v>
      </c>
      <c r="F995" s="1068" t="e">
        <f>IF(E995="","$",VLOOKUP(E995,'結果(小)'!$B$2:$F$1295,5,FALSE))</f>
        <v>#DIV/0!</v>
      </c>
      <c r="G995" s="687" t="s">
        <v>4296</v>
      </c>
      <c r="H995" s="690">
        <v>61</v>
      </c>
      <c r="I995" s="696" t="s">
        <v>5</v>
      </c>
      <c r="J995" s="689" t="s">
        <v>15273</v>
      </c>
      <c r="K995" s="747" t="s">
        <v>4297</v>
      </c>
      <c r="L995" s="687"/>
      <c r="M995" s="687"/>
      <c r="N995" s="692" t="s">
        <v>16126</v>
      </c>
      <c r="O995" s="687" t="s">
        <v>45</v>
      </c>
      <c r="P995" s="687" t="s">
        <v>25</v>
      </c>
      <c r="Q995" s="748">
        <v>7</v>
      </c>
      <c r="R995" s="749">
        <v>7</v>
      </c>
      <c r="S995" s="747" t="s">
        <v>736</v>
      </c>
      <c r="T995" s="1777"/>
      <c r="U995" s="1748"/>
      <c r="V995" s="1751" t="e">
        <f>U995/SUM(U995:U1118)</f>
        <v>#DIV/0!</v>
      </c>
    </row>
    <row r="996" spans="1:22" ht="12" customHeight="1">
      <c r="A996" s="1040" t="str">
        <f t="shared" si="16"/>
        <v>4001</v>
      </c>
      <c r="B996" s="1061" t="s">
        <v>15919</v>
      </c>
      <c r="C996" s="1064"/>
      <c r="D996" s="2">
        <v>1</v>
      </c>
      <c r="E996" s="4" t="s">
        <v>4305</v>
      </c>
      <c r="F996" s="1065" t="e">
        <f>IF(E996="","$",VLOOKUP(E996,'結果(小)'!$B$2:$F$1295,5,FALSE))</f>
        <v>#DIV/0!</v>
      </c>
      <c r="G996" s="1" t="s">
        <v>4308</v>
      </c>
      <c r="H996" s="6">
        <v>42</v>
      </c>
      <c r="I996" s="2" t="s">
        <v>5</v>
      </c>
      <c r="J996" s="5" t="s">
        <v>15273</v>
      </c>
      <c r="K996" s="3" t="s">
        <v>4309</v>
      </c>
      <c r="L996" s="1"/>
      <c r="M996" s="1"/>
      <c r="N996" s="8" t="s">
        <v>16127</v>
      </c>
      <c r="O996" s="1" t="s">
        <v>44</v>
      </c>
      <c r="P996" s="1" t="s">
        <v>25</v>
      </c>
      <c r="Q996" s="16">
        <v>1</v>
      </c>
      <c r="R996" s="17">
        <v>1</v>
      </c>
      <c r="S996" s="3" t="s">
        <v>736</v>
      </c>
      <c r="T996" s="1778"/>
      <c r="U996" s="1749"/>
      <c r="V996" s="1752"/>
    </row>
    <row r="997" spans="1:22" ht="12" customHeight="1">
      <c r="A997" s="1040" t="str">
        <f t="shared" si="16"/>
        <v>4001</v>
      </c>
      <c r="B997" s="1061" t="s">
        <v>15920</v>
      </c>
      <c r="C997" s="1064"/>
      <c r="D997" s="2">
        <v>1</v>
      </c>
      <c r="E997" s="4" t="s">
        <v>4316</v>
      </c>
      <c r="F997" s="1065" t="e">
        <f>IF(E997="","$",VLOOKUP(E997,'結果(小)'!$B$2:$F$1295,5,FALSE))</f>
        <v>#DIV/0!</v>
      </c>
      <c r="G997" s="1" t="s">
        <v>4320</v>
      </c>
      <c r="H997" s="6">
        <v>63</v>
      </c>
      <c r="I997" s="2" t="s">
        <v>19</v>
      </c>
      <c r="J997" s="5" t="s">
        <v>15273</v>
      </c>
      <c r="K997" s="3" t="s">
        <v>4321</v>
      </c>
      <c r="L997" s="1"/>
      <c r="M997" s="1"/>
      <c r="N997" s="8" t="s">
        <v>16127</v>
      </c>
      <c r="O997" s="1" t="s">
        <v>45</v>
      </c>
      <c r="P997" s="1" t="s">
        <v>25</v>
      </c>
      <c r="Q997" s="16">
        <v>2</v>
      </c>
      <c r="R997" s="17">
        <v>2</v>
      </c>
      <c r="S997" s="3" t="s">
        <v>736</v>
      </c>
      <c r="T997" s="1778"/>
      <c r="U997" s="1749"/>
      <c r="V997" s="1752"/>
    </row>
    <row r="998" spans="1:22" ht="12" customHeight="1">
      <c r="A998" s="1040" t="str">
        <f t="shared" si="16"/>
        <v>4001</v>
      </c>
      <c r="B998" s="1061" t="s">
        <v>15921</v>
      </c>
      <c r="C998" s="1064"/>
      <c r="D998" s="2">
        <v>1</v>
      </c>
      <c r="E998" s="4" t="s">
        <v>4332</v>
      </c>
      <c r="F998" s="1065" t="e">
        <f>IF(E998="","$",VLOOKUP(E998,'結果(小)'!$B$2:$F$1295,5,FALSE))</f>
        <v>#DIV/0!</v>
      </c>
      <c r="G998" s="1" t="s">
        <v>5227</v>
      </c>
      <c r="H998" s="6">
        <v>38</v>
      </c>
      <c r="I998" s="2" t="s">
        <v>5</v>
      </c>
      <c r="J998" s="5" t="s">
        <v>15273</v>
      </c>
      <c r="K998" s="3"/>
      <c r="L998" s="1"/>
      <c r="M998" s="1"/>
      <c r="N998" s="8" t="s">
        <v>16127</v>
      </c>
      <c r="O998" s="1" t="s">
        <v>44</v>
      </c>
      <c r="P998" s="1" t="s">
        <v>6</v>
      </c>
      <c r="Q998" s="16"/>
      <c r="R998" s="17"/>
      <c r="S998" s="3" t="s">
        <v>736</v>
      </c>
      <c r="T998" s="1778"/>
      <c r="U998" s="1749"/>
      <c r="V998" s="1752"/>
    </row>
    <row r="999" spans="1:22" ht="12" customHeight="1">
      <c r="A999" s="1040" t="str">
        <f t="shared" si="16"/>
        <v>4001</v>
      </c>
      <c r="B999" s="1061" t="s">
        <v>15922</v>
      </c>
      <c r="C999" s="1064"/>
      <c r="D999" s="2">
        <v>1</v>
      </c>
      <c r="E999" s="4" t="s">
        <v>4384</v>
      </c>
      <c r="F999" s="1065" t="e">
        <f>IF(E999="","$",VLOOKUP(E999,'結果(小)'!$B$2:$F$1295,5,FALSE))</f>
        <v>#DIV/0!</v>
      </c>
      <c r="G999" s="1" t="s">
        <v>4357</v>
      </c>
      <c r="H999" s="6">
        <v>37</v>
      </c>
      <c r="I999" s="2" t="s">
        <v>5</v>
      </c>
      <c r="J999" s="5" t="s">
        <v>15273</v>
      </c>
      <c r="K999" s="3" t="s">
        <v>4358</v>
      </c>
      <c r="L999" s="1"/>
      <c r="M999" s="1"/>
      <c r="N999" s="4" t="s">
        <v>16127</v>
      </c>
      <c r="O999" s="1" t="s">
        <v>44</v>
      </c>
      <c r="P999" s="1" t="s">
        <v>25</v>
      </c>
      <c r="Q999" s="16">
        <v>3</v>
      </c>
      <c r="R999" s="17">
        <v>3</v>
      </c>
      <c r="S999" s="3" t="s">
        <v>736</v>
      </c>
      <c r="T999" s="1778"/>
      <c r="U999" s="1749"/>
      <c r="V999" s="1752"/>
    </row>
    <row r="1000" spans="1:22" ht="12" customHeight="1">
      <c r="A1000" s="1040" t="str">
        <f t="shared" si="16"/>
        <v>4001</v>
      </c>
      <c r="B1000" s="1061" t="s">
        <v>15923</v>
      </c>
      <c r="C1000" s="1064"/>
      <c r="D1000" s="2">
        <v>1</v>
      </c>
      <c r="E1000" s="4" t="s">
        <v>4387</v>
      </c>
      <c r="F1000" s="1065" t="e">
        <f>IF(E1000="","$",VLOOKUP(E1000,'結果(小)'!$B$2:$F$1295,5,FALSE))</f>
        <v>#DIV/0!</v>
      </c>
      <c r="G1000" s="1" t="s">
        <v>4368</v>
      </c>
      <c r="H1000" s="6">
        <v>65</v>
      </c>
      <c r="I1000" s="2" t="s">
        <v>5</v>
      </c>
      <c r="J1000" s="5" t="s">
        <v>15273</v>
      </c>
      <c r="K1000" s="3" t="s">
        <v>4369</v>
      </c>
      <c r="L1000" s="1"/>
      <c r="M1000" s="1"/>
      <c r="N1000" s="8" t="s">
        <v>16126</v>
      </c>
      <c r="O1000" s="1" t="s">
        <v>604</v>
      </c>
      <c r="P1000" s="1" t="s">
        <v>25</v>
      </c>
      <c r="Q1000" s="16">
        <v>7</v>
      </c>
      <c r="R1000" s="17">
        <v>7</v>
      </c>
      <c r="S1000" s="3" t="s">
        <v>736</v>
      </c>
      <c r="T1000" s="1778"/>
      <c r="U1000" s="1749"/>
      <c r="V1000" s="1752"/>
    </row>
    <row r="1001" spans="1:22" ht="12" customHeight="1">
      <c r="A1001" s="1040" t="str">
        <f t="shared" si="16"/>
        <v>4001</v>
      </c>
      <c r="B1001" s="1061" t="s">
        <v>15924</v>
      </c>
      <c r="C1001" s="1064"/>
      <c r="D1001" s="2">
        <v>1</v>
      </c>
      <c r="E1001" s="4" t="s">
        <v>4391</v>
      </c>
      <c r="F1001" s="1065" t="e">
        <f>IF(E1001="","$",VLOOKUP(E1001,'結果(小)'!$B$2:$F$1295,5,FALSE))</f>
        <v>#DIV/0!</v>
      </c>
      <c r="G1001" s="1" t="s">
        <v>4379</v>
      </c>
      <c r="H1001" s="6">
        <v>54</v>
      </c>
      <c r="I1001" s="2" t="s">
        <v>5</v>
      </c>
      <c r="J1001" s="5" t="s">
        <v>15273</v>
      </c>
      <c r="K1001" s="3" t="s">
        <v>4380</v>
      </c>
      <c r="L1001" s="1"/>
      <c r="M1001" s="1"/>
      <c r="N1001" s="8" t="s">
        <v>16127</v>
      </c>
      <c r="O1001" s="1" t="s">
        <v>44</v>
      </c>
      <c r="P1001" s="1" t="s">
        <v>25</v>
      </c>
      <c r="Q1001" s="16">
        <v>1</v>
      </c>
      <c r="R1001" s="17">
        <v>1</v>
      </c>
      <c r="S1001" s="3" t="s">
        <v>736</v>
      </c>
      <c r="T1001" s="1778"/>
      <c r="U1001" s="1749"/>
      <c r="V1001" s="1752"/>
    </row>
    <row r="1002" spans="1:22" ht="12" customHeight="1">
      <c r="A1002" s="1040" t="str">
        <f t="shared" si="16"/>
        <v>4001</v>
      </c>
      <c r="B1002" s="1061" t="s">
        <v>15925</v>
      </c>
      <c r="C1002" s="1064"/>
      <c r="D1002" s="2">
        <v>1</v>
      </c>
      <c r="E1002" s="4" t="s">
        <v>4396</v>
      </c>
      <c r="F1002" s="1065" t="e">
        <f>IF(E1002="","$",VLOOKUP(E1002,'結果(小)'!$B$2:$F$1295,5,FALSE))</f>
        <v>#DIV/0!</v>
      </c>
      <c r="G1002" s="1" t="s">
        <v>4399</v>
      </c>
      <c r="H1002" s="6">
        <v>40</v>
      </c>
      <c r="I1002" s="2" t="s">
        <v>5</v>
      </c>
      <c r="J1002" s="5" t="s">
        <v>15273</v>
      </c>
      <c r="K1002" s="3" t="s">
        <v>4400</v>
      </c>
      <c r="L1002" s="1"/>
      <c r="M1002" s="1"/>
      <c r="N1002" s="8" t="s">
        <v>16127</v>
      </c>
      <c r="O1002" s="1" t="s">
        <v>44</v>
      </c>
      <c r="P1002" s="1" t="s">
        <v>25</v>
      </c>
      <c r="Q1002" s="16">
        <v>1</v>
      </c>
      <c r="R1002" s="17">
        <v>1</v>
      </c>
      <c r="S1002" s="3"/>
      <c r="T1002" s="1778"/>
      <c r="U1002" s="1749"/>
      <c r="V1002" s="1752"/>
    </row>
    <row r="1003" spans="1:22" ht="12" customHeight="1">
      <c r="A1003" s="1040" t="str">
        <f t="shared" si="16"/>
        <v>4001</v>
      </c>
      <c r="B1003" s="1061" t="s">
        <v>15926</v>
      </c>
      <c r="C1003" s="1064"/>
      <c r="D1003" s="2">
        <v>1</v>
      </c>
      <c r="E1003" s="4" t="s">
        <v>4435</v>
      </c>
      <c r="F1003" s="1065" t="e">
        <f>IF(E1003="","$",VLOOKUP(E1003,'結果(小)'!$B$2:$F$1295,5,FALSE))</f>
        <v>#DIV/0!</v>
      </c>
      <c r="G1003" s="1" t="s">
        <v>4438</v>
      </c>
      <c r="H1003" s="6">
        <v>39</v>
      </c>
      <c r="I1003" s="2" t="s">
        <v>5</v>
      </c>
      <c r="J1003" s="5" t="s">
        <v>15273</v>
      </c>
      <c r="K1003" s="3" t="s">
        <v>4439</v>
      </c>
      <c r="L1003" s="1"/>
      <c r="M1003" s="1"/>
      <c r="N1003" s="8" t="s">
        <v>16127</v>
      </c>
      <c r="O1003" s="1" t="s">
        <v>44</v>
      </c>
      <c r="P1003" s="1" t="s">
        <v>25</v>
      </c>
      <c r="Q1003" s="16">
        <v>1</v>
      </c>
      <c r="R1003" s="17">
        <v>1</v>
      </c>
      <c r="S1003" s="3" t="s">
        <v>736</v>
      </c>
      <c r="T1003" s="1778"/>
      <c r="U1003" s="1749"/>
      <c r="V1003" s="1752"/>
    </row>
    <row r="1004" spans="1:22" ht="12" customHeight="1">
      <c r="A1004" s="1040" t="str">
        <f t="shared" si="16"/>
        <v>4001</v>
      </c>
      <c r="B1004" s="1061" t="s">
        <v>15927</v>
      </c>
      <c r="C1004" s="1064"/>
      <c r="D1004" s="2">
        <v>1</v>
      </c>
      <c r="E1004" s="4" t="s">
        <v>4452</v>
      </c>
      <c r="F1004" s="1065" t="e">
        <f>IF(E1004="","$",VLOOKUP(E1004,'結果(小)'!$B$2:$F$1295,5,FALSE))</f>
        <v>#DIV/0!</v>
      </c>
      <c r="G1004" s="1" t="s">
        <v>4456</v>
      </c>
      <c r="H1004" s="6">
        <v>39</v>
      </c>
      <c r="I1004" s="2" t="s">
        <v>5</v>
      </c>
      <c r="J1004" s="5" t="s">
        <v>15273</v>
      </c>
      <c r="K1004" s="3" t="s">
        <v>4457</v>
      </c>
      <c r="L1004" s="1"/>
      <c r="M1004" s="1"/>
      <c r="N1004" s="4" t="s">
        <v>16127</v>
      </c>
      <c r="O1004" s="1" t="s">
        <v>44</v>
      </c>
      <c r="P1004" s="1" t="s">
        <v>25</v>
      </c>
      <c r="Q1004" s="16">
        <v>2</v>
      </c>
      <c r="R1004" s="17">
        <v>2</v>
      </c>
      <c r="S1004" s="3" t="s">
        <v>736</v>
      </c>
      <c r="T1004" s="1778"/>
      <c r="U1004" s="1749"/>
      <c r="V1004" s="1752"/>
    </row>
    <row r="1005" spans="1:22" ht="12" customHeight="1">
      <c r="A1005" s="1040" t="str">
        <f t="shared" si="16"/>
        <v>4001</v>
      </c>
      <c r="B1005" s="1061" t="s">
        <v>15928</v>
      </c>
      <c r="C1005" s="1064"/>
      <c r="D1005" s="2">
        <v>1</v>
      </c>
      <c r="E1005" s="4" t="s">
        <v>4480</v>
      </c>
      <c r="F1005" s="1065" t="e">
        <f>IF(E1005="","$",VLOOKUP(E1005,'結果(小)'!$B$2:$F$1295,5,FALSE))</f>
        <v>#DIV/0!</v>
      </c>
      <c r="G1005" s="1" t="s">
        <v>4483</v>
      </c>
      <c r="H1005" s="6">
        <v>53</v>
      </c>
      <c r="I1005" s="2" t="s">
        <v>5</v>
      </c>
      <c r="J1005" s="5" t="s">
        <v>15273</v>
      </c>
      <c r="K1005" s="3" t="s">
        <v>4484</v>
      </c>
      <c r="L1005" s="1"/>
      <c r="M1005" s="1"/>
      <c r="N1005" s="8" t="s">
        <v>16126</v>
      </c>
      <c r="O1005" s="1" t="s">
        <v>604</v>
      </c>
      <c r="P1005" s="1" t="s">
        <v>25</v>
      </c>
      <c r="Q1005" s="16">
        <v>5</v>
      </c>
      <c r="R1005" s="17">
        <v>5</v>
      </c>
      <c r="S1005" s="3" t="s">
        <v>736</v>
      </c>
      <c r="T1005" s="1778"/>
      <c r="U1005" s="1749"/>
      <c r="V1005" s="1752"/>
    </row>
    <row r="1006" spans="1:22" ht="12" customHeight="1">
      <c r="A1006" s="1040" t="str">
        <f t="shared" si="16"/>
        <v>4001</v>
      </c>
      <c r="B1006" s="1061" t="s">
        <v>15929</v>
      </c>
      <c r="C1006" s="1064"/>
      <c r="D1006" s="2">
        <v>1</v>
      </c>
      <c r="E1006" s="4" t="s">
        <v>4494</v>
      </c>
      <c r="F1006" s="1065" t="e">
        <f>IF(E1006="","$",VLOOKUP(E1006,'結果(小)'!$B$2:$F$1295,5,FALSE))</f>
        <v>#DIV/0!</v>
      </c>
      <c r="G1006" s="1" t="s">
        <v>4497</v>
      </c>
      <c r="H1006" s="6">
        <v>47</v>
      </c>
      <c r="I1006" s="2" t="s">
        <v>5</v>
      </c>
      <c r="J1006" s="5" t="s">
        <v>15273</v>
      </c>
      <c r="K1006" s="3" t="s">
        <v>4498</v>
      </c>
      <c r="L1006" s="1"/>
      <c r="M1006" s="1"/>
      <c r="N1006" s="8" t="s">
        <v>16127</v>
      </c>
      <c r="O1006" s="1" t="s">
        <v>44</v>
      </c>
      <c r="P1006" s="1" t="s">
        <v>25</v>
      </c>
      <c r="Q1006" s="16">
        <v>2</v>
      </c>
      <c r="R1006" s="17">
        <v>2</v>
      </c>
      <c r="S1006" s="3"/>
      <c r="T1006" s="1778"/>
      <c r="U1006" s="1749"/>
      <c r="V1006" s="1752"/>
    </row>
    <row r="1007" spans="1:22" ht="12" customHeight="1">
      <c r="A1007" s="1040" t="str">
        <f t="shared" si="16"/>
        <v>4001</v>
      </c>
      <c r="B1007" s="1061" t="s">
        <v>15930</v>
      </c>
      <c r="C1007" s="1064"/>
      <c r="D1007" s="2">
        <v>1</v>
      </c>
      <c r="E1007" s="4" t="s">
        <v>4514</v>
      </c>
      <c r="F1007" s="1065" t="e">
        <f>IF(E1007="","$",VLOOKUP(E1007,'結果(小)'!$B$2:$F$1295,5,FALSE))</f>
        <v>#DIV/0!</v>
      </c>
      <c r="G1007" s="1" t="s">
        <v>4517</v>
      </c>
      <c r="H1007" s="6">
        <v>66</v>
      </c>
      <c r="I1007" s="2" t="s">
        <v>5</v>
      </c>
      <c r="J1007" s="5" t="s">
        <v>15273</v>
      </c>
      <c r="K1007" s="3" t="s">
        <v>4518</v>
      </c>
      <c r="L1007" s="1"/>
      <c r="M1007" s="1"/>
      <c r="N1007" s="8" t="s">
        <v>16127</v>
      </c>
      <c r="O1007" s="1" t="s">
        <v>681</v>
      </c>
      <c r="P1007" s="1" t="s">
        <v>25</v>
      </c>
      <c r="Q1007" s="16">
        <v>7</v>
      </c>
      <c r="R1007" s="17">
        <v>7</v>
      </c>
      <c r="S1007" s="3" t="s">
        <v>736</v>
      </c>
      <c r="T1007" s="1778"/>
      <c r="U1007" s="1749"/>
      <c r="V1007" s="1752"/>
    </row>
    <row r="1008" spans="1:22" ht="12" customHeight="1">
      <c r="A1008" s="1040" t="str">
        <f t="shared" si="16"/>
        <v>4001</v>
      </c>
      <c r="B1008" s="1061" t="s">
        <v>15931</v>
      </c>
      <c r="C1008" s="1064"/>
      <c r="D1008" s="2">
        <v>1</v>
      </c>
      <c r="E1008" s="4" t="s">
        <v>4530</v>
      </c>
      <c r="F1008" s="1065" t="e">
        <f>IF(E1008="","$",VLOOKUP(E1008,'結果(小)'!$B$2:$F$1295,5,FALSE))</f>
        <v>#DIV/0!</v>
      </c>
      <c r="G1008" s="1" t="s">
        <v>5549</v>
      </c>
      <c r="H1008" s="6">
        <v>69</v>
      </c>
      <c r="I1008" s="2" t="s">
        <v>5</v>
      </c>
      <c r="J1008" s="5" t="s">
        <v>15273</v>
      </c>
      <c r="K1008" s="3" t="s">
        <v>5550</v>
      </c>
      <c r="L1008" s="1"/>
      <c r="M1008" s="1"/>
      <c r="N1008" s="8" t="s">
        <v>16127</v>
      </c>
      <c r="O1008" s="1" t="s">
        <v>44</v>
      </c>
      <c r="P1008" s="1" t="s">
        <v>25</v>
      </c>
      <c r="Q1008" s="16">
        <v>1</v>
      </c>
      <c r="R1008" s="17">
        <v>1</v>
      </c>
      <c r="S1008" s="3" t="s">
        <v>736</v>
      </c>
      <c r="T1008" s="1778"/>
      <c r="U1008" s="1749"/>
      <c r="V1008" s="1752"/>
    </row>
    <row r="1009" spans="1:22" ht="12" customHeight="1">
      <c r="A1009" s="1040" t="str">
        <f t="shared" si="16"/>
        <v>4001</v>
      </c>
      <c r="B1009" s="1061" t="s">
        <v>15932</v>
      </c>
      <c r="C1009" s="1064"/>
      <c r="D1009" s="2">
        <v>1</v>
      </c>
      <c r="E1009" s="4" t="s">
        <v>4547</v>
      </c>
      <c r="F1009" s="1065" t="e">
        <f>IF(E1009="","$",VLOOKUP(E1009,'結果(小)'!$B$2:$F$1295,5,FALSE))</f>
        <v>#DIV/0!</v>
      </c>
      <c r="G1009" s="1" t="s">
        <v>4551</v>
      </c>
      <c r="H1009" s="6">
        <v>49</v>
      </c>
      <c r="I1009" s="2" t="s">
        <v>5</v>
      </c>
      <c r="J1009" s="5" t="s">
        <v>15273</v>
      </c>
      <c r="K1009" s="3" t="s">
        <v>4552</v>
      </c>
      <c r="L1009" s="1"/>
      <c r="M1009" s="1"/>
      <c r="N1009" s="4" t="s">
        <v>16127</v>
      </c>
      <c r="O1009" s="1" t="s">
        <v>276</v>
      </c>
      <c r="P1009" s="1" t="s">
        <v>25</v>
      </c>
      <c r="Q1009" s="16">
        <v>2</v>
      </c>
      <c r="R1009" s="17">
        <v>2</v>
      </c>
      <c r="S1009" s="3" t="s">
        <v>736</v>
      </c>
      <c r="T1009" s="1778"/>
      <c r="U1009" s="1749"/>
      <c r="V1009" s="1752"/>
    </row>
    <row r="1010" spans="1:22" ht="12" customHeight="1">
      <c r="A1010" s="1040" t="str">
        <f t="shared" si="16"/>
        <v>4001</v>
      </c>
      <c r="B1010" s="1061" t="s">
        <v>15933</v>
      </c>
      <c r="C1010" s="1064"/>
      <c r="D1010" s="2">
        <v>1</v>
      </c>
      <c r="E1010" s="4" t="s">
        <v>4664</v>
      </c>
      <c r="F1010" s="1065" t="e">
        <f>IF(E1010="","$",VLOOKUP(E1010,'結果(小)'!$B$2:$F$1295,5,FALSE))</f>
        <v>#DIV/0!</v>
      </c>
      <c r="G1010" s="1" t="s">
        <v>4668</v>
      </c>
      <c r="H1010" s="6">
        <v>60</v>
      </c>
      <c r="I1010" s="2" t="s">
        <v>5</v>
      </c>
      <c r="J1010" s="5" t="s">
        <v>15273</v>
      </c>
      <c r="K1010" s="3"/>
      <c r="L1010" s="1"/>
      <c r="M1010" s="1"/>
      <c r="N1010" s="8" t="s">
        <v>16126</v>
      </c>
      <c r="O1010" s="1" t="s">
        <v>44</v>
      </c>
      <c r="P1010" s="1" t="s">
        <v>6</v>
      </c>
      <c r="Q1010" s="16"/>
      <c r="R1010" s="17"/>
      <c r="S1010" s="3"/>
      <c r="T1010" s="1778"/>
      <c r="U1010" s="1749"/>
      <c r="V1010" s="1752"/>
    </row>
    <row r="1011" spans="1:22" ht="12" customHeight="1">
      <c r="A1011" s="1040" t="str">
        <f t="shared" si="16"/>
        <v>4001</v>
      </c>
      <c r="B1011" s="1061" t="s">
        <v>15934</v>
      </c>
      <c r="C1011" s="1064"/>
      <c r="D1011" s="2">
        <v>1</v>
      </c>
      <c r="E1011" s="4" t="s">
        <v>4679</v>
      </c>
      <c r="F1011" s="1065" t="e">
        <f>IF(E1011="","$",VLOOKUP(E1011,'結果(小)'!$B$2:$F$1295,5,FALSE))</f>
        <v>#DIV/0!</v>
      </c>
      <c r="G1011" s="1" t="s">
        <v>4684</v>
      </c>
      <c r="H1011" s="6">
        <v>42</v>
      </c>
      <c r="I1011" s="2" t="s">
        <v>5</v>
      </c>
      <c r="J1011" s="5" t="s">
        <v>15273</v>
      </c>
      <c r="K1011" s="3"/>
      <c r="L1011" s="1"/>
      <c r="M1011" s="1"/>
      <c r="N1011" s="8" t="s">
        <v>16127</v>
      </c>
      <c r="O1011" s="1" t="s">
        <v>44</v>
      </c>
      <c r="P1011" s="1" t="s">
        <v>6</v>
      </c>
      <c r="Q1011" s="16"/>
      <c r="R1011" s="17"/>
      <c r="S1011" s="3"/>
      <c r="T1011" s="1778"/>
      <c r="U1011" s="1749"/>
      <c r="V1011" s="1752"/>
    </row>
    <row r="1012" spans="1:22" ht="12" customHeight="1">
      <c r="A1012" s="1040" t="str">
        <f t="shared" si="16"/>
        <v>4001</v>
      </c>
      <c r="B1012" s="1061" t="s">
        <v>15935</v>
      </c>
      <c r="C1012" s="1064"/>
      <c r="D1012" s="2">
        <v>1</v>
      </c>
      <c r="E1012" s="4" t="s">
        <v>4702</v>
      </c>
      <c r="F1012" s="1065" t="e">
        <f>IF(E1012="","$",VLOOKUP(E1012,'結果(小)'!$B$2:$F$1295,5,FALSE))</f>
        <v>#DIV/0!</v>
      </c>
      <c r="G1012" s="1" t="s">
        <v>5502</v>
      </c>
      <c r="H1012" s="6">
        <v>34</v>
      </c>
      <c r="I1012" s="2" t="s">
        <v>5</v>
      </c>
      <c r="J1012" s="5" t="s">
        <v>15273</v>
      </c>
      <c r="K1012" s="3"/>
      <c r="L1012" s="1"/>
      <c r="M1012" s="1"/>
      <c r="N1012" s="8" t="s">
        <v>16127</v>
      </c>
      <c r="O1012" s="1" t="s">
        <v>44</v>
      </c>
      <c r="P1012" s="1" t="s">
        <v>6</v>
      </c>
      <c r="Q1012" s="16"/>
      <c r="R1012" s="17"/>
      <c r="S1012" s="3" t="s">
        <v>736</v>
      </c>
      <c r="T1012" s="1778"/>
      <c r="U1012" s="1749"/>
      <c r="V1012" s="1752"/>
    </row>
    <row r="1013" spans="1:22" ht="12" customHeight="1">
      <c r="A1013" s="1040" t="str">
        <f t="shared" si="16"/>
        <v>4001</v>
      </c>
      <c r="B1013" s="1061" t="s">
        <v>15936</v>
      </c>
      <c r="C1013" s="1064"/>
      <c r="D1013" s="2">
        <v>1</v>
      </c>
      <c r="E1013" s="4" t="s">
        <v>4743</v>
      </c>
      <c r="F1013" s="1065" t="e">
        <f>IF(E1013="","$",VLOOKUP(E1013,'結果(小)'!$B$2:$F$1295,5,FALSE))</f>
        <v>#DIV/0!</v>
      </c>
      <c r="G1013" s="1" t="s">
        <v>4748</v>
      </c>
      <c r="H1013" s="6">
        <v>54</v>
      </c>
      <c r="I1013" s="2" t="s">
        <v>5</v>
      </c>
      <c r="J1013" s="5" t="s">
        <v>15273</v>
      </c>
      <c r="K1013" s="3" t="s">
        <v>4749</v>
      </c>
      <c r="L1013" s="1"/>
      <c r="M1013" s="1"/>
      <c r="N1013" s="8" t="s">
        <v>16127</v>
      </c>
      <c r="O1013" s="1" t="s">
        <v>44</v>
      </c>
      <c r="P1013" s="1" t="s">
        <v>25</v>
      </c>
      <c r="Q1013" s="16">
        <v>3</v>
      </c>
      <c r="R1013" s="17">
        <v>3</v>
      </c>
      <c r="S1013" s="3" t="s">
        <v>736</v>
      </c>
      <c r="T1013" s="1778"/>
      <c r="U1013" s="1749"/>
      <c r="V1013" s="1752"/>
    </row>
    <row r="1014" spans="1:22" ht="12" customHeight="1">
      <c r="A1014" s="1040" t="str">
        <f t="shared" si="16"/>
        <v>4001</v>
      </c>
      <c r="B1014" s="1061" t="s">
        <v>15937</v>
      </c>
      <c r="C1014" s="1064"/>
      <c r="D1014" s="2">
        <v>1</v>
      </c>
      <c r="E1014" s="4" t="s">
        <v>4766</v>
      </c>
      <c r="F1014" s="1065" t="e">
        <f>IF(E1014="","$",VLOOKUP(E1014,'結果(小)'!$B$2:$F$1295,5,FALSE))</f>
        <v>#DIV/0!</v>
      </c>
      <c r="G1014" s="1" t="s">
        <v>4770</v>
      </c>
      <c r="H1014" s="6">
        <v>69</v>
      </c>
      <c r="I1014" s="2" t="s">
        <v>5</v>
      </c>
      <c r="J1014" s="5" t="s">
        <v>15273</v>
      </c>
      <c r="K1014" s="3" t="s">
        <v>4771</v>
      </c>
      <c r="L1014" s="1"/>
      <c r="M1014" s="1"/>
      <c r="N1014" s="4" t="s">
        <v>16127</v>
      </c>
      <c r="O1014" s="1" t="s">
        <v>45</v>
      </c>
      <c r="P1014" s="1" t="s">
        <v>25</v>
      </c>
      <c r="Q1014" s="16">
        <v>6</v>
      </c>
      <c r="R1014" s="17">
        <v>6</v>
      </c>
      <c r="S1014" s="3" t="s">
        <v>736</v>
      </c>
      <c r="T1014" s="1778"/>
      <c r="U1014" s="1749"/>
      <c r="V1014" s="1752"/>
    </row>
    <row r="1015" spans="1:22" ht="12" customHeight="1">
      <c r="A1015" s="1040" t="str">
        <f t="shared" si="16"/>
        <v>4001</v>
      </c>
      <c r="B1015" s="1061" t="s">
        <v>15938</v>
      </c>
      <c r="C1015" s="1064"/>
      <c r="D1015" s="2">
        <v>1</v>
      </c>
      <c r="E1015" s="4" t="s">
        <v>4784</v>
      </c>
      <c r="F1015" s="1065" t="e">
        <f>IF(E1015="","$",VLOOKUP(E1015,'結果(小)'!$B$2:$F$1295,5,FALSE))</f>
        <v>#DIV/0!</v>
      </c>
      <c r="G1015" s="1" t="s">
        <v>4788</v>
      </c>
      <c r="H1015" s="6">
        <v>63</v>
      </c>
      <c r="I1015" s="2" t="s">
        <v>5</v>
      </c>
      <c r="J1015" s="5" t="s">
        <v>15273</v>
      </c>
      <c r="K1015" s="3" t="s">
        <v>4789</v>
      </c>
      <c r="L1015" s="1"/>
      <c r="M1015" s="1"/>
      <c r="N1015" s="4" t="s">
        <v>16127</v>
      </c>
      <c r="O1015" s="1" t="s">
        <v>44</v>
      </c>
      <c r="P1015" s="1" t="s">
        <v>25</v>
      </c>
      <c r="Q1015" s="16">
        <v>1</v>
      </c>
      <c r="R1015" s="17">
        <v>1</v>
      </c>
      <c r="S1015" s="3" t="s">
        <v>736</v>
      </c>
      <c r="T1015" s="1778"/>
      <c r="U1015" s="1749"/>
      <c r="V1015" s="1752"/>
    </row>
    <row r="1016" spans="1:22" ht="12" customHeight="1">
      <c r="A1016" s="1040" t="str">
        <f t="shared" si="16"/>
        <v>4001</v>
      </c>
      <c r="B1016" s="1061" t="s">
        <v>15939</v>
      </c>
      <c r="C1016" s="1064"/>
      <c r="D1016" s="2">
        <v>1</v>
      </c>
      <c r="E1016" s="4" t="s">
        <v>4805</v>
      </c>
      <c r="F1016" s="1065" t="e">
        <f>IF(E1016="","$",VLOOKUP(E1016,'結果(小)'!$B$2:$F$1295,5,FALSE))</f>
        <v>#DIV/0!</v>
      </c>
      <c r="G1016" s="1" t="s">
        <v>4808</v>
      </c>
      <c r="H1016" s="6">
        <v>59</v>
      </c>
      <c r="I1016" s="2" t="s">
        <v>5</v>
      </c>
      <c r="J1016" s="5" t="s">
        <v>15273</v>
      </c>
      <c r="K1016" s="3" t="s">
        <v>4809</v>
      </c>
      <c r="L1016" s="1"/>
      <c r="M1016" s="1"/>
      <c r="N1016" s="4" t="s">
        <v>16127</v>
      </c>
      <c r="O1016" s="1" t="s">
        <v>44</v>
      </c>
      <c r="P1016" s="1" t="s">
        <v>25</v>
      </c>
      <c r="Q1016" s="16">
        <v>1</v>
      </c>
      <c r="R1016" s="17">
        <v>1</v>
      </c>
      <c r="S1016" s="3"/>
      <c r="T1016" s="1778"/>
      <c r="U1016" s="1749"/>
      <c r="V1016" s="1752"/>
    </row>
    <row r="1017" spans="1:22" ht="12" customHeight="1">
      <c r="A1017" s="1040" t="str">
        <f t="shared" si="16"/>
        <v>4001</v>
      </c>
      <c r="B1017" s="1061" t="s">
        <v>15940</v>
      </c>
      <c r="C1017" s="1064"/>
      <c r="D1017" s="2">
        <v>1</v>
      </c>
      <c r="E1017" s="4" t="s">
        <v>4822</v>
      </c>
      <c r="F1017" s="1065" t="e">
        <f>IF(E1017="","$",VLOOKUP(E1017,'結果(小)'!$B$2:$F$1295,5,FALSE))</f>
        <v>#DIV/0!</v>
      </c>
      <c r="G1017" s="1" t="s">
        <v>4825</v>
      </c>
      <c r="H1017" s="6">
        <v>51</v>
      </c>
      <c r="I1017" s="2" t="s">
        <v>5</v>
      </c>
      <c r="J1017" s="5" t="s">
        <v>15273</v>
      </c>
      <c r="K1017" s="3" t="s">
        <v>4826</v>
      </c>
      <c r="L1017" s="1"/>
      <c r="M1017" s="1"/>
      <c r="N1017" s="4" t="s">
        <v>16127</v>
      </c>
      <c r="O1017" s="1" t="s">
        <v>655</v>
      </c>
      <c r="P1017" s="1" t="s">
        <v>25</v>
      </c>
      <c r="Q1017" s="16">
        <v>5</v>
      </c>
      <c r="R1017" s="17">
        <v>5</v>
      </c>
      <c r="S1017" s="3" t="s">
        <v>736</v>
      </c>
      <c r="T1017" s="1778"/>
      <c r="U1017" s="1749"/>
      <c r="V1017" s="1752"/>
    </row>
    <row r="1018" spans="1:22" ht="12" customHeight="1">
      <c r="A1018" s="1040" t="str">
        <f t="shared" si="16"/>
        <v>4001</v>
      </c>
      <c r="B1018" s="1061" t="s">
        <v>15941</v>
      </c>
      <c r="C1018" s="1064"/>
      <c r="D1018" s="2">
        <v>1</v>
      </c>
      <c r="E1018" s="4" t="s">
        <v>4837</v>
      </c>
      <c r="F1018" s="1065" t="e">
        <f>IF(E1018="","$",VLOOKUP(E1018,'結果(小)'!$B$2:$F$1295,5,FALSE))</f>
        <v>#DIV/0!</v>
      </c>
      <c r="G1018" s="1" t="s">
        <v>4840</v>
      </c>
      <c r="H1018" s="6">
        <v>54</v>
      </c>
      <c r="I1018" s="2" t="s">
        <v>5</v>
      </c>
      <c r="J1018" s="5" t="s">
        <v>15273</v>
      </c>
      <c r="K1018" s="3" t="s">
        <v>4841</v>
      </c>
      <c r="L1018" s="1"/>
      <c r="M1018" s="1"/>
      <c r="N1018" s="4" t="s">
        <v>16127</v>
      </c>
      <c r="O1018" s="1" t="s">
        <v>276</v>
      </c>
      <c r="P1018" s="1" t="s">
        <v>25</v>
      </c>
      <c r="Q1018" s="16">
        <v>1</v>
      </c>
      <c r="R1018" s="17">
        <v>1</v>
      </c>
      <c r="S1018" s="3" t="s">
        <v>736</v>
      </c>
      <c r="T1018" s="1778"/>
      <c r="U1018" s="1749"/>
      <c r="V1018" s="1752"/>
    </row>
    <row r="1019" spans="1:22" ht="12" customHeight="1">
      <c r="A1019" s="1040" t="str">
        <f t="shared" si="16"/>
        <v>4001</v>
      </c>
      <c r="B1019" s="1061" t="s">
        <v>15942</v>
      </c>
      <c r="C1019" s="1064"/>
      <c r="D1019" s="2">
        <v>1</v>
      </c>
      <c r="E1019" s="4" t="s">
        <v>4868</v>
      </c>
      <c r="F1019" s="1065" t="e">
        <f>IF(E1019="","$",VLOOKUP(E1019,'結果(小)'!$B$2:$F$1295,5,FALSE))</f>
        <v>#DIV/0!</v>
      </c>
      <c r="G1019" s="1" t="s">
        <v>4871</v>
      </c>
      <c r="H1019" s="6">
        <v>62</v>
      </c>
      <c r="I1019" s="2" t="s">
        <v>5</v>
      </c>
      <c r="J1019" s="5" t="s">
        <v>15273</v>
      </c>
      <c r="K1019" s="3" t="s">
        <v>4872</v>
      </c>
      <c r="L1019" s="1"/>
      <c r="M1019" s="1"/>
      <c r="N1019" s="4" t="s">
        <v>16127</v>
      </c>
      <c r="O1019" s="1" t="s">
        <v>45</v>
      </c>
      <c r="P1019" s="1" t="s">
        <v>25</v>
      </c>
      <c r="Q1019" s="16">
        <v>1</v>
      </c>
      <c r="R1019" s="17">
        <v>1</v>
      </c>
      <c r="S1019" s="3" t="s">
        <v>736</v>
      </c>
      <c r="T1019" s="1778"/>
      <c r="U1019" s="1749"/>
      <c r="V1019" s="1752"/>
    </row>
    <row r="1020" spans="1:22" ht="12" customHeight="1">
      <c r="A1020" s="1040" t="str">
        <f t="shared" si="16"/>
        <v>4001</v>
      </c>
      <c r="B1020" s="1061" t="s">
        <v>15943</v>
      </c>
      <c r="C1020" s="1064"/>
      <c r="D1020" s="2">
        <v>1</v>
      </c>
      <c r="E1020" s="4" t="s">
        <v>4912</v>
      </c>
      <c r="F1020" s="1065" t="e">
        <f>IF(E1020="","$",VLOOKUP(E1020,'結果(小)'!$B$2:$F$1295,5,FALSE))</f>
        <v>#DIV/0!</v>
      </c>
      <c r="G1020" s="1" t="s">
        <v>4916</v>
      </c>
      <c r="H1020" s="6">
        <v>56</v>
      </c>
      <c r="I1020" s="2" t="s">
        <v>5</v>
      </c>
      <c r="J1020" s="5" t="s">
        <v>15273</v>
      </c>
      <c r="K1020" s="3"/>
      <c r="L1020" s="1"/>
      <c r="M1020" s="1"/>
      <c r="N1020" s="4" t="s">
        <v>16127</v>
      </c>
      <c r="O1020" s="1" t="s">
        <v>44</v>
      </c>
      <c r="P1020" s="1" t="s">
        <v>6</v>
      </c>
      <c r="Q1020" s="16"/>
      <c r="R1020" s="17"/>
      <c r="S1020" s="3" t="s">
        <v>736</v>
      </c>
      <c r="T1020" s="1778"/>
      <c r="U1020" s="1749"/>
      <c r="V1020" s="1752"/>
    </row>
    <row r="1021" spans="1:22" ht="12" customHeight="1" thickBot="1">
      <c r="A1021" s="916" t="str">
        <f t="shared" si="16"/>
        <v>4001</v>
      </c>
      <c r="B1021" s="1096" t="s">
        <v>15944</v>
      </c>
      <c r="C1021" s="1075"/>
      <c r="D1021" s="702">
        <v>1</v>
      </c>
      <c r="E1021" s="700" t="s">
        <v>4927</v>
      </c>
      <c r="F1021" s="1071" t="e">
        <f>IF(E1021="","$",VLOOKUP(E1021,'結果(小)'!$B$2:$F$1295,5,FALSE))</f>
        <v>#DIV/0!</v>
      </c>
      <c r="G1021" s="906" t="s">
        <v>4931</v>
      </c>
      <c r="H1021" s="701">
        <v>45</v>
      </c>
      <c r="I1021" s="702" t="s">
        <v>5</v>
      </c>
      <c r="J1021" s="356" t="s">
        <v>15273</v>
      </c>
      <c r="K1021" s="703"/>
      <c r="L1021" s="906"/>
      <c r="M1021" s="906"/>
      <c r="N1021" s="700" t="s">
        <v>16127</v>
      </c>
      <c r="O1021" s="906" t="s">
        <v>44</v>
      </c>
      <c r="P1021" s="906" t="s">
        <v>6</v>
      </c>
      <c r="Q1021" s="705"/>
      <c r="R1021" s="903"/>
      <c r="S1021" s="703"/>
      <c r="T1021" s="1779"/>
      <c r="U1021" s="1750"/>
      <c r="V1021" s="1753"/>
    </row>
    <row r="1022" spans="1:22" ht="12" customHeight="1">
      <c r="A1022" s="1038" t="str">
        <f t="shared" si="16"/>
        <v>4002</v>
      </c>
      <c r="B1022" s="1072" t="s">
        <v>15948</v>
      </c>
      <c r="C1022" s="1073"/>
      <c r="D1022" s="696">
        <v>1</v>
      </c>
      <c r="E1022" s="688" t="s">
        <v>4293</v>
      </c>
      <c r="F1022" s="1068" t="e">
        <f>IF(E1022="","$",VLOOKUP(E1022,'結果(小)'!$B$2:$F$1295,5,FALSE))</f>
        <v>#DIV/0!</v>
      </c>
      <c r="G1022" s="687" t="s">
        <v>5967</v>
      </c>
      <c r="H1022" s="690">
        <v>50</v>
      </c>
      <c r="I1022" s="696" t="s">
        <v>5</v>
      </c>
      <c r="J1022" s="687" t="s">
        <v>15273</v>
      </c>
      <c r="K1022" s="747"/>
      <c r="L1022" s="687"/>
      <c r="M1022" s="687"/>
      <c r="N1022" s="688" t="s">
        <v>16120</v>
      </c>
      <c r="O1022" s="687" t="s">
        <v>445</v>
      </c>
      <c r="P1022" s="687" t="s">
        <v>6</v>
      </c>
      <c r="Q1022" s="748"/>
      <c r="R1022" s="749"/>
      <c r="S1022" s="747"/>
      <c r="T1022" s="1769"/>
      <c r="U1022" s="1748"/>
      <c r="V1022" s="1751" t="e">
        <f>U1022/SUM(U995:U1118)</f>
        <v>#DIV/0!</v>
      </c>
    </row>
    <row r="1023" spans="1:22" ht="12" customHeight="1">
      <c r="A1023" s="1040" t="str">
        <f t="shared" si="16"/>
        <v>4002</v>
      </c>
      <c r="B1023" s="1053" t="s">
        <v>5260</v>
      </c>
      <c r="C1023" s="1064"/>
      <c r="D1023" s="2">
        <v>1</v>
      </c>
      <c r="E1023" s="4" t="s">
        <v>4306</v>
      </c>
      <c r="F1023" s="1065" t="e">
        <f>IF(E1023="","$",VLOOKUP(E1023,'結果(小)'!$B$2:$F$1295,5,FALSE))</f>
        <v>#DIV/0!</v>
      </c>
      <c r="G1023" s="1" t="s">
        <v>4311</v>
      </c>
      <c r="H1023" s="6">
        <v>40</v>
      </c>
      <c r="I1023" s="2" t="s">
        <v>5</v>
      </c>
      <c r="J1023" s="1" t="s">
        <v>15273</v>
      </c>
      <c r="K1023" s="3"/>
      <c r="L1023" s="1"/>
      <c r="M1023" s="1"/>
      <c r="N1023" s="8" t="s">
        <v>16120</v>
      </c>
      <c r="O1023" s="1" t="s">
        <v>30</v>
      </c>
      <c r="P1023" s="1" t="s">
        <v>6</v>
      </c>
      <c r="Q1023" s="16"/>
      <c r="R1023" s="17"/>
      <c r="S1023" s="3"/>
      <c r="T1023" s="1770"/>
      <c r="U1023" s="1749"/>
      <c r="V1023" s="1752"/>
    </row>
    <row r="1024" spans="1:22" ht="12" customHeight="1">
      <c r="A1024" s="1040" t="str">
        <f t="shared" si="16"/>
        <v>4002</v>
      </c>
      <c r="B1024" s="1053" t="s">
        <v>5962</v>
      </c>
      <c r="C1024" s="1064"/>
      <c r="D1024" s="2">
        <v>1</v>
      </c>
      <c r="E1024" s="4" t="s">
        <v>4317</v>
      </c>
      <c r="F1024" s="1065" t="e">
        <f>IF(E1024="","$",VLOOKUP(E1024,'結果(小)'!$B$2:$F$1295,5,FALSE))</f>
        <v>#DIV/0!</v>
      </c>
      <c r="G1024" s="1" t="s">
        <v>4325</v>
      </c>
      <c r="H1024" s="6">
        <v>40</v>
      </c>
      <c r="I1024" s="2" t="s">
        <v>5</v>
      </c>
      <c r="J1024" s="1" t="s">
        <v>15273</v>
      </c>
      <c r="K1024" s="3"/>
      <c r="L1024" s="1"/>
      <c r="M1024" s="1"/>
      <c r="N1024" s="23" t="s">
        <v>16120</v>
      </c>
      <c r="O1024" s="1" t="s">
        <v>30</v>
      </c>
      <c r="P1024" s="1" t="s">
        <v>6</v>
      </c>
      <c r="Q1024" s="16"/>
      <c r="R1024" s="17"/>
      <c r="S1024" s="3" t="s">
        <v>5457</v>
      </c>
      <c r="T1024" s="1770"/>
      <c r="U1024" s="1749"/>
      <c r="V1024" s="1752"/>
    </row>
    <row r="1025" spans="1:22" ht="12" customHeight="1">
      <c r="A1025" s="1040" t="str">
        <f t="shared" si="16"/>
        <v>4002</v>
      </c>
      <c r="B1025" s="1053" t="s">
        <v>6117</v>
      </c>
      <c r="C1025" s="1064"/>
      <c r="D1025" s="2">
        <v>1</v>
      </c>
      <c r="E1025" s="4" t="s">
        <v>4333</v>
      </c>
      <c r="F1025" s="1065" t="e">
        <f>IF(E1025="","$",VLOOKUP(E1025,'結果(小)'!$B$2:$F$1295,5,FALSE))</f>
        <v>#DIV/0!</v>
      </c>
      <c r="G1025" s="1" t="s">
        <v>4338</v>
      </c>
      <c r="H1025" s="6">
        <v>50</v>
      </c>
      <c r="I1025" s="2" t="s">
        <v>5</v>
      </c>
      <c r="J1025" s="1" t="s">
        <v>15273</v>
      </c>
      <c r="K1025" s="3"/>
      <c r="L1025" s="1"/>
      <c r="M1025" s="1"/>
      <c r="N1025" s="8" t="s">
        <v>16120</v>
      </c>
      <c r="O1025" s="1" t="s">
        <v>30</v>
      </c>
      <c r="P1025" s="1" t="s">
        <v>6</v>
      </c>
      <c r="Q1025" s="16"/>
      <c r="R1025" s="17"/>
      <c r="S1025" s="3" t="s">
        <v>5457</v>
      </c>
      <c r="T1025" s="1770"/>
      <c r="U1025" s="1749"/>
      <c r="V1025" s="1752"/>
    </row>
    <row r="1026" spans="1:22" ht="12" customHeight="1">
      <c r="A1026" s="1040" t="str">
        <f t="shared" si="16"/>
        <v>4002</v>
      </c>
      <c r="B1026" s="1053" t="s">
        <v>6118</v>
      </c>
      <c r="C1026" s="1064"/>
      <c r="D1026" s="2">
        <v>1</v>
      </c>
      <c r="E1026" s="4" t="s">
        <v>4385</v>
      </c>
      <c r="F1026" s="1065" t="e">
        <f>IF(E1026="","$",VLOOKUP(E1026,'結果(小)'!$B$2:$F$1295,5,FALSE))</f>
        <v>#DIV/0!</v>
      </c>
      <c r="G1026" s="1" t="s">
        <v>4361</v>
      </c>
      <c r="H1026" s="6">
        <v>68</v>
      </c>
      <c r="I1026" s="2" t="s">
        <v>5</v>
      </c>
      <c r="J1026" s="1" t="s">
        <v>15273</v>
      </c>
      <c r="K1026" s="3"/>
      <c r="L1026" s="1"/>
      <c r="M1026" s="1"/>
      <c r="N1026" s="4" t="s">
        <v>16120</v>
      </c>
      <c r="O1026" s="1" t="s">
        <v>934</v>
      </c>
      <c r="P1026" s="1" t="s">
        <v>14</v>
      </c>
      <c r="Q1026" s="16">
        <v>5</v>
      </c>
      <c r="R1026" s="17">
        <v>5</v>
      </c>
      <c r="S1026" s="3" t="s">
        <v>5457</v>
      </c>
      <c r="T1026" s="1770"/>
      <c r="U1026" s="1749"/>
      <c r="V1026" s="1752"/>
    </row>
    <row r="1027" spans="1:22" ht="12" customHeight="1">
      <c r="A1027" s="1040" t="str">
        <f t="shared" ref="A1027:A1090" si="17">MIDB(B1027,1,4)</f>
        <v>4002</v>
      </c>
      <c r="B1027" s="1053" t="s">
        <v>6119</v>
      </c>
      <c r="C1027" s="1064"/>
      <c r="D1027" s="2">
        <v>1</v>
      </c>
      <c r="E1027" s="4" t="s">
        <v>4392</v>
      </c>
      <c r="F1027" s="1065" t="e">
        <f>IF(E1027="","$",VLOOKUP(E1027,'結果(小)'!$B$2:$F$1295,5,FALSE))</f>
        <v>#DIV/0!</v>
      </c>
      <c r="G1027" s="1" t="s">
        <v>5482</v>
      </c>
      <c r="H1027" s="6">
        <v>52</v>
      </c>
      <c r="I1027" s="2" t="s">
        <v>5</v>
      </c>
      <c r="J1027" s="1" t="s">
        <v>15273</v>
      </c>
      <c r="K1027" s="3"/>
      <c r="L1027" s="1"/>
      <c r="M1027" s="1"/>
      <c r="N1027" s="4" t="s">
        <v>16120</v>
      </c>
      <c r="O1027" s="1" t="s">
        <v>476</v>
      </c>
      <c r="P1027" s="1" t="s">
        <v>6</v>
      </c>
      <c r="Q1027" s="16"/>
      <c r="R1027" s="17"/>
      <c r="S1027" s="3" t="s">
        <v>5457</v>
      </c>
      <c r="T1027" s="1770"/>
      <c r="U1027" s="1749"/>
      <c r="V1027" s="1752"/>
    </row>
    <row r="1028" spans="1:22" ht="12" customHeight="1">
      <c r="A1028" s="1040" t="str">
        <f t="shared" si="17"/>
        <v>4002</v>
      </c>
      <c r="B1028" s="1053" t="s">
        <v>6120</v>
      </c>
      <c r="C1028" s="1064"/>
      <c r="D1028" s="2">
        <v>1</v>
      </c>
      <c r="E1028" s="4" t="s">
        <v>4397</v>
      </c>
      <c r="F1028" s="1065" t="e">
        <f>IF(E1028="","$",VLOOKUP(E1028,'結果(小)'!$B$2:$F$1295,5,FALSE))</f>
        <v>#DIV/0!</v>
      </c>
      <c r="G1028" s="1" t="s">
        <v>4402</v>
      </c>
      <c r="H1028" s="6">
        <v>72</v>
      </c>
      <c r="I1028" s="2" t="s">
        <v>5</v>
      </c>
      <c r="J1028" s="1" t="s">
        <v>15273</v>
      </c>
      <c r="K1028" s="3" t="s">
        <v>4403</v>
      </c>
      <c r="L1028" s="1"/>
      <c r="M1028" s="1"/>
      <c r="N1028" s="8" t="s">
        <v>16120</v>
      </c>
      <c r="O1028" s="1" t="s">
        <v>445</v>
      </c>
      <c r="P1028" s="1" t="s">
        <v>25</v>
      </c>
      <c r="Q1028" s="16">
        <v>10</v>
      </c>
      <c r="R1028" s="17">
        <v>10</v>
      </c>
      <c r="S1028" s="3"/>
      <c r="T1028" s="1770"/>
      <c r="U1028" s="1749"/>
      <c r="V1028" s="1752"/>
    </row>
    <row r="1029" spans="1:22" ht="12" customHeight="1">
      <c r="A1029" s="1040" t="str">
        <f t="shared" si="17"/>
        <v>4002</v>
      </c>
      <c r="B1029" s="1053" t="s">
        <v>6121</v>
      </c>
      <c r="C1029" s="1064"/>
      <c r="D1029" s="2">
        <v>1</v>
      </c>
      <c r="E1029" s="4" t="s">
        <v>4436</v>
      </c>
      <c r="F1029" s="1065" t="e">
        <f>IF(E1029="","$",VLOOKUP(E1029,'結果(小)'!$B$2:$F$1295,5,FALSE))</f>
        <v>#DIV/0!</v>
      </c>
      <c r="G1029" s="1" t="s">
        <v>4443</v>
      </c>
      <c r="H1029" s="6">
        <v>65</v>
      </c>
      <c r="I1029" s="2" t="s">
        <v>5</v>
      </c>
      <c r="J1029" s="1" t="s">
        <v>15273</v>
      </c>
      <c r="K1029" s="3"/>
      <c r="L1029" s="1"/>
      <c r="M1029" s="1"/>
      <c r="N1029" s="23" t="s">
        <v>16120</v>
      </c>
      <c r="O1029" s="1" t="s">
        <v>13</v>
      </c>
      <c r="P1029" s="1" t="s">
        <v>14</v>
      </c>
      <c r="Q1029" s="16">
        <v>5</v>
      </c>
      <c r="R1029" s="17">
        <v>5</v>
      </c>
      <c r="S1029" s="3" t="s">
        <v>5457</v>
      </c>
      <c r="T1029" s="1770"/>
      <c r="U1029" s="1749"/>
      <c r="V1029" s="1752"/>
    </row>
    <row r="1030" spans="1:22" ht="12" customHeight="1">
      <c r="A1030" s="1040" t="str">
        <f t="shared" si="17"/>
        <v>4002</v>
      </c>
      <c r="B1030" s="1053" t="s">
        <v>15533</v>
      </c>
      <c r="C1030" s="1064"/>
      <c r="D1030" s="2">
        <v>1</v>
      </c>
      <c r="E1030" s="4" t="s">
        <v>4471</v>
      </c>
      <c r="F1030" s="1065" t="e">
        <f>IF(E1030="","$",VLOOKUP(E1030,'結果(小)'!$B$2:$F$1295,5,FALSE))</f>
        <v>#DIV/0!</v>
      </c>
      <c r="G1030" s="1" t="s">
        <v>4473</v>
      </c>
      <c r="H1030" s="6">
        <v>44</v>
      </c>
      <c r="I1030" s="2" t="s">
        <v>5</v>
      </c>
      <c r="J1030" s="1" t="s">
        <v>15273</v>
      </c>
      <c r="K1030" s="3" t="s">
        <v>4474</v>
      </c>
      <c r="L1030" s="1"/>
      <c r="M1030" s="1"/>
      <c r="N1030" s="8" t="s">
        <v>16120</v>
      </c>
      <c r="O1030" s="1" t="s">
        <v>5247</v>
      </c>
      <c r="P1030" s="1" t="s">
        <v>25</v>
      </c>
      <c r="Q1030" s="16">
        <v>3</v>
      </c>
      <c r="R1030" s="17">
        <v>3</v>
      </c>
      <c r="S1030" s="3" t="s">
        <v>5457</v>
      </c>
      <c r="T1030" s="1770"/>
      <c r="U1030" s="1749"/>
      <c r="V1030" s="1752"/>
    </row>
    <row r="1031" spans="1:22" ht="12" customHeight="1">
      <c r="A1031" s="1040" t="str">
        <f t="shared" si="17"/>
        <v>4002</v>
      </c>
      <c r="B1031" s="1053" t="s">
        <v>15534</v>
      </c>
      <c r="C1031" s="1064"/>
      <c r="D1031" s="2">
        <v>1</v>
      </c>
      <c r="E1031" s="4" t="s">
        <v>4481</v>
      </c>
      <c r="F1031" s="1065" t="e">
        <f>IF(E1031="","$",VLOOKUP(E1031,'結果(小)'!$B$2:$F$1295,5,FALSE))</f>
        <v>#DIV/0!</v>
      </c>
      <c r="G1031" s="1" t="s">
        <v>4487</v>
      </c>
      <c r="H1031" s="6">
        <v>39</v>
      </c>
      <c r="I1031" s="2" t="s">
        <v>5</v>
      </c>
      <c r="J1031" s="1" t="s">
        <v>15273</v>
      </c>
      <c r="K1031" s="3"/>
      <c r="L1031" s="1"/>
      <c r="M1031" s="1"/>
      <c r="N1031" s="4" t="s">
        <v>16120</v>
      </c>
      <c r="O1031" s="1" t="s">
        <v>30</v>
      </c>
      <c r="P1031" s="1" t="s">
        <v>6</v>
      </c>
      <c r="Q1031" s="16"/>
      <c r="R1031" s="17"/>
      <c r="S1031" s="3" t="s">
        <v>5457</v>
      </c>
      <c r="T1031" s="1770"/>
      <c r="U1031" s="1749"/>
      <c r="V1031" s="1752"/>
    </row>
    <row r="1032" spans="1:22" ht="12" customHeight="1">
      <c r="A1032" s="1040" t="str">
        <f t="shared" si="17"/>
        <v>4002</v>
      </c>
      <c r="B1032" s="1053" t="s">
        <v>15535</v>
      </c>
      <c r="C1032" s="1064"/>
      <c r="D1032" s="2">
        <v>1</v>
      </c>
      <c r="E1032" s="4" t="s">
        <v>4495</v>
      </c>
      <c r="F1032" s="1065" t="e">
        <f>IF(E1032="","$",VLOOKUP(E1032,'結果(小)'!$B$2:$F$1295,5,FALSE))</f>
        <v>#DIV/0!</v>
      </c>
      <c r="G1032" s="1" t="s">
        <v>4501</v>
      </c>
      <c r="H1032" s="6">
        <v>65</v>
      </c>
      <c r="I1032" s="2" t="s">
        <v>5</v>
      </c>
      <c r="J1032" s="1" t="s">
        <v>15273</v>
      </c>
      <c r="K1032" s="3" t="s">
        <v>4502</v>
      </c>
      <c r="L1032" s="1"/>
      <c r="M1032" s="1"/>
      <c r="N1032" s="4" t="s">
        <v>16120</v>
      </c>
      <c r="O1032" s="1" t="s">
        <v>30</v>
      </c>
      <c r="P1032" s="1" t="s">
        <v>25</v>
      </c>
      <c r="Q1032" s="16">
        <v>5</v>
      </c>
      <c r="R1032" s="17">
        <v>5</v>
      </c>
      <c r="S1032" s="3" t="s">
        <v>5457</v>
      </c>
      <c r="T1032" s="1770"/>
      <c r="U1032" s="1749"/>
      <c r="V1032" s="1752"/>
    </row>
    <row r="1033" spans="1:22" ht="12" customHeight="1">
      <c r="A1033" s="1040" t="str">
        <f t="shared" si="17"/>
        <v>4002</v>
      </c>
      <c r="B1033" s="1053" t="s">
        <v>15536</v>
      </c>
      <c r="C1033" s="1064"/>
      <c r="D1033" s="2">
        <v>1</v>
      </c>
      <c r="E1033" s="4" t="s">
        <v>4515</v>
      </c>
      <c r="F1033" s="1065" t="e">
        <f>IF(E1033="","$",VLOOKUP(E1033,'結果(小)'!$B$2:$F$1295,5,FALSE))</f>
        <v>#DIV/0!</v>
      </c>
      <c r="G1033" s="1" t="s">
        <v>4525</v>
      </c>
      <c r="H1033" s="6">
        <v>64</v>
      </c>
      <c r="I1033" s="2" t="s">
        <v>5</v>
      </c>
      <c r="J1033" s="1" t="s">
        <v>15273</v>
      </c>
      <c r="K1033" s="3"/>
      <c r="L1033" s="1"/>
      <c r="M1033" s="1"/>
      <c r="N1033" s="8" t="s">
        <v>16120</v>
      </c>
      <c r="O1033" s="1" t="s">
        <v>934</v>
      </c>
      <c r="P1033" s="1" t="s">
        <v>14</v>
      </c>
      <c r="Q1033" s="16">
        <v>1</v>
      </c>
      <c r="R1033" s="17">
        <v>1</v>
      </c>
      <c r="S1033" s="3" t="s">
        <v>5457</v>
      </c>
      <c r="T1033" s="1770"/>
      <c r="U1033" s="1749"/>
      <c r="V1033" s="1752"/>
    </row>
    <row r="1034" spans="1:22" ht="12" customHeight="1">
      <c r="A1034" s="1040" t="str">
        <f t="shared" si="17"/>
        <v>4002</v>
      </c>
      <c r="B1034" s="1053" t="s">
        <v>15537</v>
      </c>
      <c r="C1034" s="1064"/>
      <c r="D1034" s="2">
        <v>1</v>
      </c>
      <c r="E1034" s="4" t="s">
        <v>4531</v>
      </c>
      <c r="F1034" s="1065" t="e">
        <f>IF(E1034="","$",VLOOKUP(E1034,'結果(小)'!$B$2:$F$1295,5,FALSE))</f>
        <v>#DIV/0!</v>
      </c>
      <c r="G1034" s="1" t="s">
        <v>4533</v>
      </c>
      <c r="H1034" s="6">
        <v>66</v>
      </c>
      <c r="I1034" s="2" t="s">
        <v>5</v>
      </c>
      <c r="J1034" s="1" t="s">
        <v>15273</v>
      </c>
      <c r="K1034" s="3"/>
      <c r="L1034" s="1"/>
      <c r="M1034" s="1"/>
      <c r="N1034" s="23" t="s">
        <v>16120</v>
      </c>
      <c r="O1034" s="1" t="s">
        <v>30</v>
      </c>
      <c r="P1034" s="1" t="s">
        <v>6</v>
      </c>
      <c r="Q1034" s="16"/>
      <c r="R1034" s="17"/>
      <c r="S1034" s="3" t="s">
        <v>5457</v>
      </c>
      <c r="T1034" s="1770"/>
      <c r="U1034" s="1749"/>
      <c r="V1034" s="1752"/>
    </row>
    <row r="1035" spans="1:22" ht="12" customHeight="1">
      <c r="A1035" s="1040" t="str">
        <f t="shared" si="17"/>
        <v>4002</v>
      </c>
      <c r="B1035" s="1053" t="s">
        <v>15538</v>
      </c>
      <c r="C1035" s="1064"/>
      <c r="D1035" s="2">
        <v>1</v>
      </c>
      <c r="E1035" s="4" t="s">
        <v>4536</v>
      </c>
      <c r="F1035" s="1065" t="e">
        <f>IF(E1035="","$",VLOOKUP(E1035,'結果(小)'!$B$2:$F$1295,5,FALSE))</f>
        <v>#DIV/0!</v>
      </c>
      <c r="G1035" s="1" t="s">
        <v>4542</v>
      </c>
      <c r="H1035" s="6">
        <v>71</v>
      </c>
      <c r="I1035" s="2" t="s">
        <v>5</v>
      </c>
      <c r="J1035" s="1" t="s">
        <v>15273</v>
      </c>
      <c r="K1035" s="3" t="s">
        <v>4543</v>
      </c>
      <c r="L1035" s="1"/>
      <c r="M1035" s="1"/>
      <c r="N1035" s="8" t="s">
        <v>16120</v>
      </c>
      <c r="O1035" s="1" t="s">
        <v>48</v>
      </c>
      <c r="P1035" s="1" t="s">
        <v>25</v>
      </c>
      <c r="Q1035" s="16">
        <v>3</v>
      </c>
      <c r="R1035" s="17">
        <v>3</v>
      </c>
      <c r="S1035" s="3" t="s">
        <v>5457</v>
      </c>
      <c r="T1035" s="1770"/>
      <c r="U1035" s="1749"/>
      <c r="V1035" s="1752"/>
    </row>
    <row r="1036" spans="1:22" ht="12" customHeight="1">
      <c r="A1036" s="1040" t="str">
        <f t="shared" si="17"/>
        <v>4002</v>
      </c>
      <c r="B1036" s="1053" t="s">
        <v>15539</v>
      </c>
      <c r="C1036" s="1064"/>
      <c r="D1036" s="2">
        <v>1</v>
      </c>
      <c r="E1036" s="4" t="s">
        <v>4548</v>
      </c>
      <c r="F1036" s="1065" t="e">
        <f>IF(E1036="","$",VLOOKUP(E1036,'結果(小)'!$B$2:$F$1295,5,FALSE))</f>
        <v>#DIV/0!</v>
      </c>
      <c r="G1036" s="1" t="s">
        <v>4557</v>
      </c>
      <c r="H1036" s="6">
        <v>65</v>
      </c>
      <c r="I1036" s="2" t="s">
        <v>5</v>
      </c>
      <c r="J1036" s="1" t="s">
        <v>15273</v>
      </c>
      <c r="K1036" s="3" t="s">
        <v>4558</v>
      </c>
      <c r="L1036" s="1"/>
      <c r="M1036" s="1"/>
      <c r="N1036" s="4" t="s">
        <v>16120</v>
      </c>
      <c r="O1036" s="1" t="s">
        <v>476</v>
      </c>
      <c r="P1036" s="1" t="s">
        <v>25</v>
      </c>
      <c r="Q1036" s="16">
        <v>4</v>
      </c>
      <c r="R1036" s="17">
        <v>4</v>
      </c>
      <c r="S1036" s="3" t="s">
        <v>5457</v>
      </c>
      <c r="T1036" s="1770"/>
      <c r="U1036" s="1749"/>
      <c r="V1036" s="1752"/>
    </row>
    <row r="1037" spans="1:22" ht="12" customHeight="1">
      <c r="A1037" s="1040" t="str">
        <f t="shared" si="17"/>
        <v>4002</v>
      </c>
      <c r="B1037" s="1053" t="s">
        <v>15540</v>
      </c>
      <c r="C1037" s="1064"/>
      <c r="D1037" s="2">
        <v>1</v>
      </c>
      <c r="E1037" s="4" t="s">
        <v>4665</v>
      </c>
      <c r="F1037" s="1065" t="e">
        <f>IF(E1037="","$",VLOOKUP(E1037,'結果(小)'!$B$2:$F$1295,5,FALSE))</f>
        <v>#DIV/0!</v>
      </c>
      <c r="G1037" s="1" t="s">
        <v>4670</v>
      </c>
      <c r="H1037" s="6">
        <v>43</v>
      </c>
      <c r="I1037" s="2" t="s">
        <v>5</v>
      </c>
      <c r="J1037" s="1" t="s">
        <v>15273</v>
      </c>
      <c r="K1037" s="3"/>
      <c r="L1037" s="1"/>
      <c r="M1037" s="1"/>
      <c r="N1037" s="4" t="s">
        <v>16120</v>
      </c>
      <c r="O1037" s="1" t="s">
        <v>13</v>
      </c>
      <c r="P1037" s="1" t="s">
        <v>14</v>
      </c>
      <c r="Q1037" s="16">
        <v>1</v>
      </c>
      <c r="R1037" s="17">
        <v>1</v>
      </c>
      <c r="S1037" s="3"/>
      <c r="T1037" s="1770"/>
      <c r="U1037" s="1749"/>
      <c r="V1037" s="1752"/>
    </row>
    <row r="1038" spans="1:22" ht="12" customHeight="1">
      <c r="A1038" s="1040" t="str">
        <f t="shared" si="17"/>
        <v>4002</v>
      </c>
      <c r="B1038" s="1053" t="s">
        <v>15541</v>
      </c>
      <c r="C1038" s="1064"/>
      <c r="D1038" s="2">
        <v>1</v>
      </c>
      <c r="E1038" s="4" t="s">
        <v>4680</v>
      </c>
      <c r="F1038" s="1065" t="e">
        <f>IF(E1038="","$",VLOOKUP(E1038,'結果(小)'!$B$2:$F$1295,5,FALSE))</f>
        <v>#DIV/0!</v>
      </c>
      <c r="G1038" s="1" t="s">
        <v>4687</v>
      </c>
      <c r="H1038" s="6">
        <v>71</v>
      </c>
      <c r="I1038" s="2" t="s">
        <v>5</v>
      </c>
      <c r="J1038" s="1" t="s">
        <v>15273</v>
      </c>
      <c r="K1038" s="3" t="s">
        <v>4688</v>
      </c>
      <c r="L1038" s="1"/>
      <c r="M1038" s="1"/>
      <c r="N1038" s="8" t="s">
        <v>16120</v>
      </c>
      <c r="O1038" s="1" t="s">
        <v>934</v>
      </c>
      <c r="P1038" s="1" t="s">
        <v>25</v>
      </c>
      <c r="Q1038" s="16">
        <v>13</v>
      </c>
      <c r="R1038" s="17">
        <v>13</v>
      </c>
      <c r="S1038" s="3" t="s">
        <v>5457</v>
      </c>
      <c r="T1038" s="1770"/>
      <c r="U1038" s="1749"/>
      <c r="V1038" s="1752"/>
    </row>
    <row r="1039" spans="1:22" ht="12" customHeight="1">
      <c r="A1039" s="1040" t="str">
        <f t="shared" si="17"/>
        <v>4002</v>
      </c>
      <c r="B1039" s="1053" t="s">
        <v>15542</v>
      </c>
      <c r="C1039" s="1064"/>
      <c r="D1039" s="2">
        <v>1</v>
      </c>
      <c r="E1039" s="4" t="s">
        <v>4703</v>
      </c>
      <c r="F1039" s="1065" t="e">
        <f>IF(E1039="","$",VLOOKUP(E1039,'結果(小)'!$B$2:$F$1295,5,FALSE))</f>
        <v>#DIV/0!</v>
      </c>
      <c r="G1039" s="1" t="s">
        <v>4707</v>
      </c>
      <c r="H1039" s="6">
        <v>62</v>
      </c>
      <c r="I1039" s="2" t="s">
        <v>5</v>
      </c>
      <c r="J1039" s="1" t="s">
        <v>15273</v>
      </c>
      <c r="K1039" s="3" t="s">
        <v>4708</v>
      </c>
      <c r="L1039" s="1"/>
      <c r="M1039" s="1"/>
      <c r="N1039" s="23" t="s">
        <v>16120</v>
      </c>
      <c r="O1039" s="1" t="s">
        <v>934</v>
      </c>
      <c r="P1039" s="1" t="s">
        <v>25</v>
      </c>
      <c r="Q1039" s="16">
        <v>3</v>
      </c>
      <c r="R1039" s="17">
        <v>3</v>
      </c>
      <c r="S1039" s="3" t="s">
        <v>5457</v>
      </c>
      <c r="T1039" s="1770"/>
      <c r="U1039" s="1749"/>
      <c r="V1039" s="1752"/>
    </row>
    <row r="1040" spans="1:22" ht="12" customHeight="1">
      <c r="A1040" s="1040" t="str">
        <f t="shared" si="17"/>
        <v>4002</v>
      </c>
      <c r="B1040" s="1053" t="s">
        <v>15543</v>
      </c>
      <c r="C1040" s="1064"/>
      <c r="D1040" s="2">
        <v>1</v>
      </c>
      <c r="E1040" s="4" t="s">
        <v>4729</v>
      </c>
      <c r="F1040" s="1065" t="str">
        <f>IF(E1040="","$",VLOOKUP(E1040,'結果(小)'!$B$2:$F$1295,5,FALSE))</f>
        <v>$</v>
      </c>
      <c r="G1040" s="1" t="s">
        <v>4731</v>
      </c>
      <c r="H1040" s="6">
        <v>51</v>
      </c>
      <c r="I1040" s="2" t="s">
        <v>5</v>
      </c>
      <c r="J1040" s="1" t="s">
        <v>15273</v>
      </c>
      <c r="K1040" s="3" t="s">
        <v>4732</v>
      </c>
      <c r="L1040" s="1"/>
      <c r="M1040" s="1"/>
      <c r="N1040" s="8" t="s">
        <v>16120</v>
      </c>
      <c r="O1040" s="1" t="s">
        <v>934</v>
      </c>
      <c r="P1040" s="1" t="s">
        <v>25</v>
      </c>
      <c r="Q1040" s="16">
        <v>4</v>
      </c>
      <c r="R1040" s="17">
        <v>4</v>
      </c>
      <c r="S1040" s="3" t="s">
        <v>5457</v>
      </c>
      <c r="T1040" s="1770"/>
      <c r="U1040" s="1749"/>
      <c r="V1040" s="1752"/>
    </row>
    <row r="1041" spans="1:22" ht="12" customHeight="1">
      <c r="A1041" s="1040" t="str">
        <f t="shared" si="17"/>
        <v>4002</v>
      </c>
      <c r="B1041" s="1053" t="s">
        <v>15544</v>
      </c>
      <c r="C1041" s="1064"/>
      <c r="D1041" s="2">
        <v>1</v>
      </c>
      <c r="E1041" s="4" t="s">
        <v>4744</v>
      </c>
      <c r="F1041" s="1065" t="e">
        <f>IF(E1041="","$",VLOOKUP(E1041,'結果(小)'!$B$2:$F$1295,5,FALSE))</f>
        <v>#DIV/0!</v>
      </c>
      <c r="G1041" s="1" t="s">
        <v>4752</v>
      </c>
      <c r="H1041" s="6">
        <v>43</v>
      </c>
      <c r="I1041" s="2" t="s">
        <v>5</v>
      </c>
      <c r="J1041" s="1" t="s">
        <v>15273</v>
      </c>
      <c r="K1041" s="3"/>
      <c r="L1041" s="1"/>
      <c r="M1041" s="1"/>
      <c r="N1041" s="4" t="s">
        <v>16120</v>
      </c>
      <c r="O1041" s="1" t="s">
        <v>48</v>
      </c>
      <c r="P1041" s="1" t="s">
        <v>6</v>
      </c>
      <c r="Q1041" s="16"/>
      <c r="R1041" s="17"/>
      <c r="S1041" s="3" t="s">
        <v>5457</v>
      </c>
      <c r="T1041" s="1770"/>
      <c r="U1041" s="1749"/>
      <c r="V1041" s="1752"/>
    </row>
    <row r="1042" spans="1:22" ht="12" customHeight="1">
      <c r="A1042" s="1040" t="str">
        <f t="shared" si="17"/>
        <v>4002</v>
      </c>
      <c r="B1042" s="1053" t="s">
        <v>15545</v>
      </c>
      <c r="C1042" s="1064"/>
      <c r="D1042" s="2">
        <v>1</v>
      </c>
      <c r="E1042" s="4" t="s">
        <v>4758</v>
      </c>
      <c r="F1042" s="1065" t="e">
        <f>IF(E1042="","$",VLOOKUP(E1042,'結果(小)'!$B$2:$F$1295,5,FALSE))</f>
        <v>#DIV/0!</v>
      </c>
      <c r="G1042" s="1" t="s">
        <v>4760</v>
      </c>
      <c r="H1042" s="6">
        <v>71</v>
      </c>
      <c r="I1042" s="2" t="s">
        <v>5</v>
      </c>
      <c r="J1042" s="1" t="s">
        <v>15273</v>
      </c>
      <c r="K1042" s="3" t="s">
        <v>4761</v>
      </c>
      <c r="L1042" s="1"/>
      <c r="M1042" s="1"/>
      <c r="N1042" s="4" t="s">
        <v>16120</v>
      </c>
      <c r="O1042" s="1" t="s">
        <v>48</v>
      </c>
      <c r="P1042" s="1" t="s">
        <v>25</v>
      </c>
      <c r="Q1042" s="16">
        <v>9</v>
      </c>
      <c r="R1042" s="17">
        <v>11</v>
      </c>
      <c r="S1042" s="3" t="s">
        <v>5457</v>
      </c>
      <c r="T1042" s="1770"/>
      <c r="U1042" s="1749"/>
      <c r="V1042" s="1752"/>
    </row>
    <row r="1043" spans="1:22" ht="12" customHeight="1">
      <c r="A1043" s="1040" t="str">
        <f t="shared" si="17"/>
        <v>4002</v>
      </c>
      <c r="B1043" s="1053" t="s">
        <v>15546</v>
      </c>
      <c r="C1043" s="1064"/>
      <c r="D1043" s="2">
        <v>1</v>
      </c>
      <c r="E1043" s="4" t="s">
        <v>4767</v>
      </c>
      <c r="F1043" s="1065" t="e">
        <f>IF(E1043="","$",VLOOKUP(E1043,'結果(小)'!$B$2:$F$1295,5,FALSE))</f>
        <v>#DIV/0!</v>
      </c>
      <c r="G1043" s="1" t="s">
        <v>4776</v>
      </c>
      <c r="H1043" s="6">
        <v>55</v>
      </c>
      <c r="I1043" s="2" t="s">
        <v>5</v>
      </c>
      <c r="J1043" s="1" t="s">
        <v>15273</v>
      </c>
      <c r="K1043" s="3" t="s">
        <v>4777</v>
      </c>
      <c r="L1043" s="1"/>
      <c r="M1043" s="1"/>
      <c r="N1043" s="8" t="s">
        <v>16120</v>
      </c>
      <c r="O1043" s="1" t="s">
        <v>445</v>
      </c>
      <c r="P1043" s="1" t="s">
        <v>25</v>
      </c>
      <c r="Q1043" s="16">
        <v>5</v>
      </c>
      <c r="R1043" s="17">
        <v>5</v>
      </c>
      <c r="S1043" s="3" t="s">
        <v>5457</v>
      </c>
      <c r="T1043" s="1770"/>
      <c r="U1043" s="1749"/>
      <c r="V1043" s="1752"/>
    </row>
    <row r="1044" spans="1:22" ht="12" customHeight="1">
      <c r="A1044" s="1040" t="str">
        <f t="shared" si="17"/>
        <v>4002</v>
      </c>
      <c r="B1044" s="1053" t="s">
        <v>15547</v>
      </c>
      <c r="C1044" s="1064"/>
      <c r="D1044" s="2">
        <v>1</v>
      </c>
      <c r="E1044" s="4" t="s">
        <v>4785</v>
      </c>
      <c r="F1044" s="1065" t="e">
        <f>IF(E1044="","$",VLOOKUP(E1044,'結果(小)'!$B$2:$F$1295,5,FALSE))</f>
        <v>#DIV/0!</v>
      </c>
      <c r="G1044" s="1" t="s">
        <v>4792</v>
      </c>
      <c r="H1044" s="6">
        <v>37</v>
      </c>
      <c r="I1044" s="2" t="s">
        <v>5</v>
      </c>
      <c r="J1044" s="1" t="s">
        <v>15273</v>
      </c>
      <c r="K1044" s="3"/>
      <c r="L1044" s="1"/>
      <c r="M1044" s="1"/>
      <c r="N1044" s="23" t="s">
        <v>16120</v>
      </c>
      <c r="O1044" s="1" t="s">
        <v>30</v>
      </c>
      <c r="P1044" s="1" t="s">
        <v>6</v>
      </c>
      <c r="Q1044" s="16"/>
      <c r="R1044" s="17"/>
      <c r="S1044" s="3"/>
      <c r="T1044" s="1770"/>
      <c r="U1044" s="1749"/>
      <c r="V1044" s="1752"/>
    </row>
    <row r="1045" spans="1:22" ht="12" customHeight="1">
      <c r="A1045" s="1040" t="str">
        <f t="shared" si="17"/>
        <v>4002</v>
      </c>
      <c r="B1045" s="1053" t="s">
        <v>15548</v>
      </c>
      <c r="C1045" s="1064"/>
      <c r="D1045" s="2">
        <v>1</v>
      </c>
      <c r="E1045" s="4" t="s">
        <v>4806</v>
      </c>
      <c r="F1045" s="1065" t="e">
        <f>IF(E1045="","$",VLOOKUP(E1045,'結果(小)'!$B$2:$F$1295,5,FALSE))</f>
        <v>#DIV/0!</v>
      </c>
      <c r="G1045" s="1" t="s">
        <v>4811</v>
      </c>
      <c r="H1045" s="6">
        <v>52</v>
      </c>
      <c r="I1045" s="2" t="s">
        <v>5</v>
      </c>
      <c r="J1045" s="1" t="s">
        <v>15273</v>
      </c>
      <c r="K1045" s="3" t="s">
        <v>4812</v>
      </c>
      <c r="L1045" s="1"/>
      <c r="M1045" s="1"/>
      <c r="N1045" s="8" t="s">
        <v>16120</v>
      </c>
      <c r="O1045" s="1" t="s">
        <v>30</v>
      </c>
      <c r="P1045" s="1" t="s">
        <v>25</v>
      </c>
      <c r="Q1045" s="16">
        <v>3</v>
      </c>
      <c r="R1045" s="17">
        <v>3</v>
      </c>
      <c r="S1045" s="3" t="s">
        <v>5457</v>
      </c>
      <c r="T1045" s="1770"/>
      <c r="U1045" s="1749"/>
      <c r="V1045" s="1752"/>
    </row>
    <row r="1046" spans="1:22" ht="12" customHeight="1">
      <c r="A1046" s="1040" t="str">
        <f t="shared" si="17"/>
        <v>4002</v>
      </c>
      <c r="B1046" s="1053" t="s">
        <v>15549</v>
      </c>
      <c r="C1046" s="1064"/>
      <c r="D1046" s="2">
        <v>1</v>
      </c>
      <c r="E1046" s="4" t="s">
        <v>4815</v>
      </c>
      <c r="F1046" s="1065" t="str">
        <f>IF(E1046="","$",VLOOKUP(E1046,'結果(小)'!$B$2:$F$1295,5,FALSE))</f>
        <v>$</v>
      </c>
      <c r="G1046" s="1" t="s">
        <v>4816</v>
      </c>
      <c r="H1046" s="6">
        <v>47</v>
      </c>
      <c r="I1046" s="2" t="s">
        <v>5</v>
      </c>
      <c r="J1046" s="1" t="s">
        <v>15273</v>
      </c>
      <c r="K1046" s="3" t="s">
        <v>4817</v>
      </c>
      <c r="L1046" s="1"/>
      <c r="M1046" s="1"/>
      <c r="N1046" s="4" t="s">
        <v>16120</v>
      </c>
      <c r="O1046" s="1" t="s">
        <v>30</v>
      </c>
      <c r="P1046" s="1" t="s">
        <v>25</v>
      </c>
      <c r="Q1046" s="16">
        <v>3</v>
      </c>
      <c r="R1046" s="17">
        <v>3</v>
      </c>
      <c r="S1046" s="3" t="s">
        <v>5457</v>
      </c>
      <c r="T1046" s="1770"/>
      <c r="U1046" s="1749"/>
      <c r="V1046" s="1752"/>
    </row>
    <row r="1047" spans="1:22" ht="12" customHeight="1">
      <c r="A1047" s="1040" t="str">
        <f t="shared" si="17"/>
        <v>4002</v>
      </c>
      <c r="B1047" s="1053" t="s">
        <v>15550</v>
      </c>
      <c r="C1047" s="1064"/>
      <c r="D1047" s="2">
        <v>1</v>
      </c>
      <c r="E1047" s="4" t="s">
        <v>4838</v>
      </c>
      <c r="F1047" s="1065" t="e">
        <f>IF(E1047="","$",VLOOKUP(E1047,'結果(小)'!$B$2:$F$1295,5,FALSE))</f>
        <v>#DIV/0!</v>
      </c>
      <c r="G1047" s="1" t="s">
        <v>4845</v>
      </c>
      <c r="H1047" s="6">
        <v>41</v>
      </c>
      <c r="I1047" s="2" t="s">
        <v>5</v>
      </c>
      <c r="J1047" s="1" t="s">
        <v>15273</v>
      </c>
      <c r="K1047" s="3" t="s">
        <v>4846</v>
      </c>
      <c r="L1047" s="1"/>
      <c r="M1047" s="1"/>
      <c r="N1047" s="4" t="s">
        <v>16120</v>
      </c>
      <c r="O1047" s="1" t="s">
        <v>30</v>
      </c>
      <c r="P1047" s="1" t="s">
        <v>25</v>
      </c>
      <c r="Q1047" s="16">
        <v>2</v>
      </c>
      <c r="R1047" s="17">
        <v>2</v>
      </c>
      <c r="S1047" s="3" t="s">
        <v>5457</v>
      </c>
      <c r="T1047" s="1770"/>
      <c r="U1047" s="1749"/>
      <c r="V1047" s="1752"/>
    </row>
    <row r="1048" spans="1:22" ht="12" customHeight="1">
      <c r="A1048" s="1040" t="str">
        <f t="shared" si="17"/>
        <v>4002</v>
      </c>
      <c r="B1048" s="1053" t="s">
        <v>15551</v>
      </c>
      <c r="C1048" s="1064"/>
      <c r="D1048" s="2">
        <v>1</v>
      </c>
      <c r="E1048" s="4" t="s">
        <v>4850</v>
      </c>
      <c r="F1048" s="1065" t="e">
        <f>IF(E1048="","$",VLOOKUP(E1048,'結果(小)'!$B$2:$F$1295,5,FALSE))</f>
        <v>#DIV/0!</v>
      </c>
      <c r="G1048" s="1" t="s">
        <v>4855</v>
      </c>
      <c r="H1048" s="6">
        <v>72</v>
      </c>
      <c r="I1048" s="2" t="s">
        <v>5</v>
      </c>
      <c r="J1048" s="1" t="s">
        <v>15273</v>
      </c>
      <c r="K1048" s="3" t="s">
        <v>4856</v>
      </c>
      <c r="L1048" s="1"/>
      <c r="M1048" s="1"/>
      <c r="N1048" s="8" t="s">
        <v>16120</v>
      </c>
      <c r="O1048" s="1" t="s">
        <v>48</v>
      </c>
      <c r="P1048" s="1" t="s">
        <v>25</v>
      </c>
      <c r="Q1048" s="16">
        <v>7</v>
      </c>
      <c r="R1048" s="17">
        <v>7</v>
      </c>
      <c r="S1048" s="3" t="s">
        <v>5457</v>
      </c>
      <c r="T1048" s="1770"/>
      <c r="U1048" s="1749"/>
      <c r="V1048" s="1752"/>
    </row>
    <row r="1049" spans="1:22" ht="12" customHeight="1">
      <c r="A1049" s="1040" t="str">
        <f t="shared" si="17"/>
        <v>4002</v>
      </c>
      <c r="B1049" s="1053" t="s">
        <v>15552</v>
      </c>
      <c r="C1049" s="1064"/>
      <c r="D1049" s="2">
        <v>1</v>
      </c>
      <c r="E1049" s="4" t="s">
        <v>4869</v>
      </c>
      <c r="F1049" s="1065" t="e">
        <f>IF(E1049="","$",VLOOKUP(E1049,'結果(小)'!$B$2:$F$1295,5,FALSE))</f>
        <v>#DIV/0!</v>
      </c>
      <c r="G1049" s="1" t="s">
        <v>4874</v>
      </c>
      <c r="H1049" s="6">
        <v>54</v>
      </c>
      <c r="I1049" s="2" t="s">
        <v>5</v>
      </c>
      <c r="J1049" s="1" t="s">
        <v>15273</v>
      </c>
      <c r="K1049" s="3" t="s">
        <v>4867</v>
      </c>
      <c r="L1049" s="1"/>
      <c r="M1049" s="1"/>
      <c r="N1049" s="23" t="s">
        <v>16120</v>
      </c>
      <c r="O1049" s="1" t="s">
        <v>30</v>
      </c>
      <c r="P1049" s="1" t="s">
        <v>25</v>
      </c>
      <c r="Q1049" s="16">
        <v>2</v>
      </c>
      <c r="R1049" s="17">
        <v>2</v>
      </c>
      <c r="S1049" s="3" t="s">
        <v>5457</v>
      </c>
      <c r="T1049" s="1770"/>
      <c r="U1049" s="1749"/>
      <c r="V1049" s="1752"/>
    </row>
    <row r="1050" spans="1:22" ht="12" customHeight="1">
      <c r="A1050" s="1040" t="str">
        <f t="shared" si="17"/>
        <v>4002</v>
      </c>
      <c r="B1050" s="1053" t="s">
        <v>15553</v>
      </c>
      <c r="C1050" s="1064"/>
      <c r="D1050" s="2">
        <v>1</v>
      </c>
      <c r="E1050" s="4" t="s">
        <v>4879</v>
      </c>
      <c r="F1050" s="1065" t="str">
        <f>IF(E1050="","$",VLOOKUP(E1050,'結果(小)'!$B$2:$F$1295,5,FALSE))</f>
        <v>$</v>
      </c>
      <c r="G1050" s="1" t="s">
        <v>4883</v>
      </c>
      <c r="H1050" s="6">
        <v>67</v>
      </c>
      <c r="I1050" s="2" t="s">
        <v>5</v>
      </c>
      <c r="J1050" s="1" t="s">
        <v>15273</v>
      </c>
      <c r="K1050" s="3" t="s">
        <v>4884</v>
      </c>
      <c r="L1050" s="1"/>
      <c r="M1050" s="1"/>
      <c r="N1050" s="8" t="s">
        <v>16120</v>
      </c>
      <c r="O1050" s="1" t="s">
        <v>934</v>
      </c>
      <c r="P1050" s="1" t="s">
        <v>25</v>
      </c>
      <c r="Q1050" s="16">
        <v>3</v>
      </c>
      <c r="R1050" s="17">
        <v>5</v>
      </c>
      <c r="S1050" s="3" t="s">
        <v>5457</v>
      </c>
      <c r="T1050" s="1770"/>
      <c r="U1050" s="1749"/>
      <c r="V1050" s="1752"/>
    </row>
    <row r="1051" spans="1:22" ht="12" customHeight="1">
      <c r="A1051" s="1040" t="str">
        <f t="shared" si="17"/>
        <v>4002</v>
      </c>
      <c r="B1051" s="1053" t="s">
        <v>15554</v>
      </c>
      <c r="C1051" s="1064"/>
      <c r="D1051" s="2">
        <v>1</v>
      </c>
      <c r="E1051" s="4" t="s">
        <v>4889</v>
      </c>
      <c r="F1051" s="1065" t="e">
        <f>IF(E1051="","$",VLOOKUP(E1051,'結果(小)'!$B$2:$F$1295,5,FALSE))</f>
        <v>#DIV/0!</v>
      </c>
      <c r="G1051" s="1" t="s">
        <v>4892</v>
      </c>
      <c r="H1051" s="6">
        <v>39</v>
      </c>
      <c r="I1051" s="2" t="s">
        <v>5</v>
      </c>
      <c r="J1051" s="1" t="s">
        <v>15273</v>
      </c>
      <c r="K1051" s="3"/>
      <c r="L1051" s="1"/>
      <c r="M1051" s="1"/>
      <c r="N1051" s="4" t="s">
        <v>16120</v>
      </c>
      <c r="O1051" s="1" t="s">
        <v>30</v>
      </c>
      <c r="P1051" s="1" t="s">
        <v>6</v>
      </c>
      <c r="Q1051" s="16"/>
      <c r="R1051" s="17"/>
      <c r="S1051" s="3" t="s">
        <v>5457</v>
      </c>
      <c r="T1051" s="1770"/>
      <c r="U1051" s="1749"/>
      <c r="V1051" s="1752"/>
    </row>
    <row r="1052" spans="1:22" ht="12" customHeight="1">
      <c r="A1052" s="1040" t="str">
        <f t="shared" si="17"/>
        <v>4002</v>
      </c>
      <c r="B1052" s="1053" t="s">
        <v>15555</v>
      </c>
      <c r="C1052" s="1064"/>
      <c r="D1052" s="2">
        <v>1</v>
      </c>
      <c r="E1052" s="4" t="s">
        <v>4903</v>
      </c>
      <c r="F1052" s="1065" t="e">
        <f>IF(E1052="","$",VLOOKUP(E1052,'結果(小)'!$B$2:$F$1295,5,FALSE))</f>
        <v>#DIV/0!</v>
      </c>
      <c r="G1052" s="1" t="s">
        <v>4905</v>
      </c>
      <c r="H1052" s="6">
        <v>47</v>
      </c>
      <c r="I1052" s="2" t="s">
        <v>5</v>
      </c>
      <c r="J1052" s="1" t="s">
        <v>15273</v>
      </c>
      <c r="K1052" s="3"/>
      <c r="L1052" s="1"/>
      <c r="M1052" s="1"/>
      <c r="N1052" s="4" t="s">
        <v>16120</v>
      </c>
      <c r="O1052" s="1" t="s">
        <v>30</v>
      </c>
      <c r="P1052" s="1" t="s">
        <v>6</v>
      </c>
      <c r="Q1052" s="16"/>
      <c r="R1052" s="17"/>
      <c r="S1052" s="3" t="s">
        <v>5457</v>
      </c>
      <c r="T1052" s="1770"/>
      <c r="U1052" s="1749"/>
      <c r="V1052" s="1752"/>
    </row>
    <row r="1053" spans="1:22" ht="12" customHeight="1">
      <c r="A1053" s="1040" t="str">
        <f t="shared" si="17"/>
        <v>4002</v>
      </c>
      <c r="B1053" s="1053" t="s">
        <v>15556</v>
      </c>
      <c r="C1053" s="1064"/>
      <c r="D1053" s="2">
        <v>1</v>
      </c>
      <c r="E1053" s="4" t="s">
        <v>4913</v>
      </c>
      <c r="F1053" s="1065" t="e">
        <f>IF(E1053="","$",VLOOKUP(E1053,'結果(小)'!$B$2:$F$1295,5,FALSE))</f>
        <v>#DIV/0!</v>
      </c>
      <c r="G1053" s="1" t="s">
        <v>4917</v>
      </c>
      <c r="H1053" s="6">
        <v>54</v>
      </c>
      <c r="I1053" s="2" t="s">
        <v>19</v>
      </c>
      <c r="J1053" s="1" t="s">
        <v>15273</v>
      </c>
      <c r="K1053" s="3"/>
      <c r="L1053" s="1"/>
      <c r="M1053" s="1"/>
      <c r="N1053" s="8" t="s">
        <v>16120</v>
      </c>
      <c r="O1053" s="1" t="s">
        <v>30</v>
      </c>
      <c r="P1053" s="1" t="s">
        <v>6</v>
      </c>
      <c r="Q1053" s="16"/>
      <c r="R1053" s="17"/>
      <c r="S1053" s="3" t="s">
        <v>5457</v>
      </c>
      <c r="T1053" s="1770"/>
      <c r="U1053" s="1749"/>
      <c r="V1053" s="1752"/>
    </row>
    <row r="1054" spans="1:22" ht="12" customHeight="1">
      <c r="A1054" s="1040" t="str">
        <f t="shared" si="17"/>
        <v>4002</v>
      </c>
      <c r="B1054" s="1053" t="s">
        <v>15557</v>
      </c>
      <c r="C1054" s="1064"/>
      <c r="D1054" s="2">
        <v>1</v>
      </c>
      <c r="E1054" s="4" t="s">
        <v>4928</v>
      </c>
      <c r="F1054" s="1065" t="e">
        <f>IF(E1054="","$",VLOOKUP(E1054,'結果(小)'!$B$2:$F$1295,5,FALSE))</f>
        <v>#DIV/0!</v>
      </c>
      <c r="G1054" s="1" t="s">
        <v>4934</v>
      </c>
      <c r="H1054" s="6">
        <v>58</v>
      </c>
      <c r="I1054" s="2" t="s">
        <v>5</v>
      </c>
      <c r="J1054" s="1" t="s">
        <v>15273</v>
      </c>
      <c r="K1054" s="3"/>
      <c r="L1054" s="1"/>
      <c r="M1054" s="1"/>
      <c r="N1054" s="4" t="s">
        <v>16120</v>
      </c>
      <c r="O1054" s="1" t="s">
        <v>13</v>
      </c>
      <c r="P1054" s="1" t="s">
        <v>14</v>
      </c>
      <c r="Q1054" s="16">
        <v>2</v>
      </c>
      <c r="R1054" s="17">
        <v>2</v>
      </c>
      <c r="S1054" s="3" t="s">
        <v>5457</v>
      </c>
      <c r="T1054" s="1770"/>
      <c r="U1054" s="1749"/>
      <c r="V1054" s="1752"/>
    </row>
    <row r="1055" spans="1:22" ht="12" customHeight="1">
      <c r="A1055" s="1040" t="str">
        <f t="shared" si="17"/>
        <v>4002</v>
      </c>
      <c r="B1055" s="1053" t="s">
        <v>15558</v>
      </c>
      <c r="C1055" s="1064"/>
      <c r="D1055" s="2">
        <v>34</v>
      </c>
      <c r="E1055" s="4"/>
      <c r="F1055" s="1065" t="str">
        <f>IF(E1055="","$",VLOOKUP(E1055,'結果(小)'!$B$2:$F$1295,5,FALSE))</f>
        <v>$</v>
      </c>
      <c r="G1055" s="1" t="s">
        <v>15949</v>
      </c>
      <c r="H1055" s="6">
        <v>67</v>
      </c>
      <c r="I1055" s="2" t="s">
        <v>19</v>
      </c>
      <c r="J1055" s="5" t="s">
        <v>6067</v>
      </c>
      <c r="K1055" s="3"/>
      <c r="L1055" s="1"/>
      <c r="M1055" s="1"/>
      <c r="N1055" s="23" t="s">
        <v>16120</v>
      </c>
      <c r="O1055" s="1" t="s">
        <v>65</v>
      </c>
      <c r="P1055" s="1" t="s">
        <v>14</v>
      </c>
      <c r="Q1055" s="16">
        <v>3</v>
      </c>
      <c r="R1055" s="17">
        <v>3</v>
      </c>
      <c r="S1055" s="3"/>
      <c r="T1055" s="1770"/>
      <c r="U1055" s="1749"/>
      <c r="V1055" s="1752"/>
    </row>
    <row r="1056" spans="1:22" ht="12" customHeight="1">
      <c r="A1056" s="1040" t="str">
        <f t="shared" si="17"/>
        <v>4002</v>
      </c>
      <c r="B1056" s="1053" t="s">
        <v>15559</v>
      </c>
      <c r="C1056" s="1064"/>
      <c r="D1056" s="2">
        <v>35</v>
      </c>
      <c r="E1056" s="2"/>
      <c r="F1056" s="1065" t="str">
        <f>IF(E1056="","$",VLOOKUP(E1056,'結果(小)'!$B$2:$F$1295,5,FALSE))</f>
        <v>$</v>
      </c>
      <c r="G1056" s="2" t="s">
        <v>4946</v>
      </c>
      <c r="H1056" s="6">
        <v>68</v>
      </c>
      <c r="I1056" s="2" t="s">
        <v>5</v>
      </c>
      <c r="J1056" s="2" t="s">
        <v>6067</v>
      </c>
      <c r="K1056" s="22"/>
      <c r="L1056" s="2"/>
      <c r="M1056" s="2"/>
      <c r="N1056" s="8" t="s">
        <v>16120</v>
      </c>
      <c r="O1056" s="2" t="s">
        <v>13</v>
      </c>
      <c r="P1056" s="2" t="s">
        <v>14</v>
      </c>
      <c r="Q1056" s="24">
        <v>4</v>
      </c>
      <c r="R1056" s="25">
        <v>4</v>
      </c>
      <c r="S1056" s="22"/>
      <c r="T1056" s="1770"/>
      <c r="U1056" s="1749"/>
      <c r="V1056" s="1752"/>
    </row>
    <row r="1057" spans="1:22" ht="12" customHeight="1">
      <c r="A1057" s="1040" t="str">
        <f t="shared" si="17"/>
        <v>4002</v>
      </c>
      <c r="B1057" s="1053" t="s">
        <v>15560</v>
      </c>
      <c r="C1057" s="1064"/>
      <c r="D1057" s="2">
        <v>36</v>
      </c>
      <c r="E1057" s="2"/>
      <c r="F1057" s="1065" t="str">
        <f>IF(E1057="","$",VLOOKUP(E1057,'結果(小)'!$B$2:$F$1295,5,FALSE))</f>
        <v>$</v>
      </c>
      <c r="G1057" s="2" t="s">
        <v>5963</v>
      </c>
      <c r="H1057" s="6">
        <v>44</v>
      </c>
      <c r="I1057" s="2" t="s">
        <v>5</v>
      </c>
      <c r="J1057" s="2" t="s">
        <v>6067</v>
      </c>
      <c r="K1057" s="22"/>
      <c r="L1057" s="2"/>
      <c r="M1057" s="2"/>
      <c r="N1057" s="4" t="s">
        <v>16120</v>
      </c>
      <c r="O1057" s="2" t="s">
        <v>476</v>
      </c>
      <c r="P1057" s="2" t="s">
        <v>6</v>
      </c>
      <c r="Q1057" s="24"/>
      <c r="R1057" s="25"/>
      <c r="S1057" s="22"/>
      <c r="T1057" s="1770"/>
      <c r="U1057" s="1749"/>
      <c r="V1057" s="1752"/>
    </row>
    <row r="1058" spans="1:22" ht="12" customHeight="1">
      <c r="A1058" s="1040" t="str">
        <f t="shared" si="17"/>
        <v>4002</v>
      </c>
      <c r="B1058" s="1053" t="s">
        <v>15561</v>
      </c>
      <c r="C1058" s="1064"/>
      <c r="D1058" s="2">
        <v>37</v>
      </c>
      <c r="E1058" s="2"/>
      <c r="F1058" s="1065" t="str">
        <f>IF(E1058="","$",VLOOKUP(E1058,'結果(小)'!$B$2:$F$1295,5,FALSE))</f>
        <v>$</v>
      </c>
      <c r="G1058" s="2" t="s">
        <v>6122</v>
      </c>
      <c r="H1058" s="6">
        <v>66</v>
      </c>
      <c r="I1058" s="2" t="s">
        <v>5</v>
      </c>
      <c r="J1058" s="2" t="s">
        <v>6067</v>
      </c>
      <c r="K1058" s="22"/>
      <c r="L1058" s="2"/>
      <c r="M1058" s="2"/>
      <c r="N1058" s="23" t="s">
        <v>16120</v>
      </c>
      <c r="O1058" s="2" t="s">
        <v>5247</v>
      </c>
      <c r="P1058" s="2" t="s">
        <v>6</v>
      </c>
      <c r="Q1058" s="24"/>
      <c r="R1058" s="25"/>
      <c r="S1058" s="22"/>
      <c r="T1058" s="1770"/>
      <c r="U1058" s="1749"/>
      <c r="V1058" s="1752"/>
    </row>
    <row r="1059" spans="1:22" ht="12" customHeight="1">
      <c r="A1059" s="1040" t="str">
        <f t="shared" si="17"/>
        <v>4002</v>
      </c>
      <c r="B1059" s="1053" t="s">
        <v>15562</v>
      </c>
      <c r="C1059" s="1064"/>
      <c r="D1059" s="2">
        <v>38</v>
      </c>
      <c r="E1059" s="2"/>
      <c r="F1059" s="1065" t="str">
        <f>IF(E1059="","$",VLOOKUP(E1059,'結果(小)'!$B$2:$F$1295,5,FALSE))</f>
        <v>$</v>
      </c>
      <c r="G1059" s="2" t="s">
        <v>6125</v>
      </c>
      <c r="H1059" s="6">
        <v>63</v>
      </c>
      <c r="I1059" s="2" t="s">
        <v>5</v>
      </c>
      <c r="J1059" s="2" t="s">
        <v>6067</v>
      </c>
      <c r="K1059" s="22"/>
      <c r="L1059" s="2"/>
      <c r="M1059" s="2"/>
      <c r="N1059" s="23" t="s">
        <v>16120</v>
      </c>
      <c r="O1059" s="2" t="s">
        <v>5247</v>
      </c>
      <c r="P1059" s="2" t="s">
        <v>6</v>
      </c>
      <c r="Q1059" s="24"/>
      <c r="R1059" s="25"/>
      <c r="S1059" s="22"/>
      <c r="T1059" s="1770"/>
      <c r="U1059" s="1749"/>
      <c r="V1059" s="1752"/>
    </row>
    <row r="1060" spans="1:22" ht="12" customHeight="1">
      <c r="A1060" s="1040" t="str">
        <f t="shared" si="17"/>
        <v>4002</v>
      </c>
      <c r="B1060" s="1053" t="s">
        <v>15563</v>
      </c>
      <c r="C1060" s="1064"/>
      <c r="D1060" s="2">
        <v>39</v>
      </c>
      <c r="E1060" s="2"/>
      <c r="F1060" s="1065" t="str">
        <f>IF(E1060="","$",VLOOKUP(E1060,'結果(小)'!$B$2:$F$1295,5,FALSE))</f>
        <v>$</v>
      </c>
      <c r="G1060" s="2" t="s">
        <v>6127</v>
      </c>
      <c r="H1060" s="6">
        <v>63</v>
      </c>
      <c r="I1060" s="2" t="s">
        <v>5</v>
      </c>
      <c r="J1060" s="2" t="s">
        <v>6067</v>
      </c>
      <c r="K1060" s="22"/>
      <c r="L1060" s="2"/>
      <c r="M1060" s="2"/>
      <c r="N1060" s="23" t="s">
        <v>16120</v>
      </c>
      <c r="O1060" s="2" t="s">
        <v>5247</v>
      </c>
      <c r="P1060" s="2" t="s">
        <v>6</v>
      </c>
      <c r="Q1060" s="24"/>
      <c r="R1060" s="25"/>
      <c r="S1060" s="22"/>
      <c r="T1060" s="1770"/>
      <c r="U1060" s="1749"/>
      <c r="V1060" s="1752"/>
    </row>
    <row r="1061" spans="1:22" ht="12" customHeight="1">
      <c r="A1061" s="1040" t="str">
        <f t="shared" si="17"/>
        <v>4002</v>
      </c>
      <c r="B1061" s="1053" t="s">
        <v>15564</v>
      </c>
      <c r="C1061" s="1064"/>
      <c r="D1061" s="2">
        <v>40</v>
      </c>
      <c r="E1061" s="2"/>
      <c r="F1061" s="1065" t="str">
        <f>IF(E1061="","$",VLOOKUP(E1061,'結果(小)'!$B$2:$F$1295,5,FALSE))</f>
        <v>$</v>
      </c>
      <c r="G1061" s="2" t="s">
        <v>6130</v>
      </c>
      <c r="H1061" s="6">
        <v>60</v>
      </c>
      <c r="I1061" s="2" t="s">
        <v>5</v>
      </c>
      <c r="J1061" s="2" t="s">
        <v>6067</v>
      </c>
      <c r="K1061" s="22"/>
      <c r="L1061" s="2"/>
      <c r="M1061" s="2"/>
      <c r="N1061" s="23" t="s">
        <v>16120</v>
      </c>
      <c r="O1061" s="2" t="s">
        <v>5247</v>
      </c>
      <c r="P1061" s="2" t="s">
        <v>6</v>
      </c>
      <c r="Q1061" s="24"/>
      <c r="R1061" s="25"/>
      <c r="S1061" s="22"/>
      <c r="T1061" s="1770"/>
      <c r="U1061" s="1749"/>
      <c r="V1061" s="1752"/>
    </row>
    <row r="1062" spans="1:22" ht="12" customHeight="1" thickBot="1">
      <c r="A1062" s="916" t="str">
        <f t="shared" si="17"/>
        <v>4002</v>
      </c>
      <c r="B1062" s="1074" t="s">
        <v>15565</v>
      </c>
      <c r="C1062" s="1075"/>
      <c r="D1062" s="702">
        <v>41</v>
      </c>
      <c r="E1062" s="702"/>
      <c r="F1062" s="1071" t="str">
        <f>IF(E1062="","$",VLOOKUP(E1062,'結果(小)'!$B$2:$F$1295,5,FALSE))</f>
        <v>$</v>
      </c>
      <c r="G1062" s="702" t="s">
        <v>6132</v>
      </c>
      <c r="H1062" s="701">
        <v>30</v>
      </c>
      <c r="I1062" s="702" t="s">
        <v>5</v>
      </c>
      <c r="J1062" s="702" t="s">
        <v>6067</v>
      </c>
      <c r="K1062" s="720"/>
      <c r="L1062" s="702"/>
      <c r="M1062" s="702"/>
      <c r="N1062" s="770" t="s">
        <v>16120</v>
      </c>
      <c r="O1062" s="702" t="s">
        <v>5247</v>
      </c>
      <c r="P1062" s="702" t="s">
        <v>6</v>
      </c>
      <c r="Q1062" s="721"/>
      <c r="R1062" s="722"/>
      <c r="S1062" s="720"/>
      <c r="T1062" s="1771"/>
      <c r="U1062" s="1750"/>
      <c r="V1062" s="1753"/>
    </row>
    <row r="1063" spans="1:22" ht="12" customHeight="1">
      <c r="A1063" s="1038" t="str">
        <f t="shared" si="17"/>
        <v>4003</v>
      </c>
      <c r="B1063" s="1097" t="s">
        <v>16592</v>
      </c>
      <c r="C1063" s="1073"/>
      <c r="D1063" s="696">
        <v>1</v>
      </c>
      <c r="E1063" s="688" t="s">
        <v>4334</v>
      </c>
      <c r="F1063" s="1068" t="e">
        <f>IF(E1063="","$",VLOOKUP(E1063,'結果(小)'!$B$2:$F$1295,5,FALSE))</f>
        <v>#DIV/0!</v>
      </c>
      <c r="G1063" s="687" t="s">
        <v>4343</v>
      </c>
      <c r="H1063" s="690">
        <v>59</v>
      </c>
      <c r="I1063" s="696" t="s">
        <v>5</v>
      </c>
      <c r="J1063" s="687" t="s">
        <v>15273</v>
      </c>
      <c r="K1063" s="747" t="s">
        <v>4344</v>
      </c>
      <c r="L1063" s="687"/>
      <c r="M1063" s="687"/>
      <c r="N1063" s="688" t="s">
        <v>16125</v>
      </c>
      <c r="O1063" s="687"/>
      <c r="P1063" s="687" t="s">
        <v>25</v>
      </c>
      <c r="Q1063" s="748">
        <v>2</v>
      </c>
      <c r="R1063" s="749">
        <v>2</v>
      </c>
      <c r="S1063" s="747" t="s">
        <v>5561</v>
      </c>
      <c r="T1063" s="1772"/>
      <c r="U1063" s="1748"/>
      <c r="V1063" s="1751" t="e">
        <f>U1063/SUM(U995:U1118)</f>
        <v>#DIV/0!</v>
      </c>
    </row>
    <row r="1064" spans="1:22" ht="12" customHeight="1">
      <c r="A1064" s="1040" t="str">
        <f t="shared" si="17"/>
        <v>4003</v>
      </c>
      <c r="B1064" s="1054" t="s">
        <v>16593</v>
      </c>
      <c r="C1064" s="1064"/>
      <c r="D1064" s="2">
        <v>1</v>
      </c>
      <c r="E1064" s="4" t="s">
        <v>4536</v>
      </c>
      <c r="F1064" s="1065" t="e">
        <f>IF(E1064="","$",VLOOKUP(E1064,'結果(小)'!$B$2:$F$1295,5,FALSE))</f>
        <v>#DIV/0!</v>
      </c>
      <c r="G1064" s="1" t="s">
        <v>4538</v>
      </c>
      <c r="H1064" s="6">
        <v>70</v>
      </c>
      <c r="I1064" s="2" t="s">
        <v>5</v>
      </c>
      <c r="J1064" s="1" t="s">
        <v>15273</v>
      </c>
      <c r="K1064" s="3" t="s">
        <v>4539</v>
      </c>
      <c r="L1064" s="1"/>
      <c r="M1064" s="1"/>
      <c r="N1064" s="4" t="s">
        <v>16125</v>
      </c>
      <c r="O1064" s="1"/>
      <c r="P1064" s="1" t="s">
        <v>25</v>
      </c>
      <c r="Q1064" s="16">
        <v>5</v>
      </c>
      <c r="R1064" s="17">
        <v>5</v>
      </c>
      <c r="S1064" s="3" t="s">
        <v>5561</v>
      </c>
      <c r="T1064" s="1773"/>
      <c r="U1064" s="1749"/>
      <c r="V1064" s="1752"/>
    </row>
    <row r="1065" spans="1:22" ht="12" customHeight="1">
      <c r="A1065" s="1040" t="str">
        <f t="shared" si="17"/>
        <v>4003</v>
      </c>
      <c r="B1065" s="1054" t="s">
        <v>16594</v>
      </c>
      <c r="C1065" s="1064"/>
      <c r="D1065" s="2">
        <v>1</v>
      </c>
      <c r="E1065" s="4" t="s">
        <v>4681</v>
      </c>
      <c r="F1065" s="1065" t="e">
        <f>IF(E1065="","$",VLOOKUP(E1065,'結果(小)'!$B$2:$F$1295,5,FALSE))</f>
        <v>#DIV/0!</v>
      </c>
      <c r="G1065" s="1" t="s">
        <v>4692</v>
      </c>
      <c r="H1065" s="6">
        <v>46</v>
      </c>
      <c r="I1065" s="2" t="s">
        <v>5</v>
      </c>
      <c r="J1065" s="1" t="s">
        <v>15273</v>
      </c>
      <c r="K1065" s="3" t="s">
        <v>4693</v>
      </c>
      <c r="L1065" s="1"/>
      <c r="M1065" s="1"/>
      <c r="N1065" s="4" t="s">
        <v>16125</v>
      </c>
      <c r="O1065" s="1"/>
      <c r="P1065" s="1" t="s">
        <v>25</v>
      </c>
      <c r="Q1065" s="16">
        <v>1</v>
      </c>
      <c r="R1065" s="17">
        <v>1</v>
      </c>
      <c r="S1065" s="3" t="s">
        <v>5561</v>
      </c>
      <c r="T1065" s="1773"/>
      <c r="U1065" s="1749"/>
      <c r="V1065" s="1752"/>
    </row>
    <row r="1066" spans="1:22" ht="12" customHeight="1">
      <c r="A1066" s="1040" t="str">
        <f t="shared" si="17"/>
        <v>4003</v>
      </c>
      <c r="B1066" s="1054" t="s">
        <v>16595</v>
      </c>
      <c r="C1066" s="1064"/>
      <c r="D1066" s="2">
        <v>1</v>
      </c>
      <c r="E1066" s="4" t="s">
        <v>4786</v>
      </c>
      <c r="F1066" s="1065" t="e">
        <f>IF(E1066="","$",VLOOKUP(E1066,'結果(小)'!$B$2:$F$1295,5,FALSE))</f>
        <v>#DIV/0!</v>
      </c>
      <c r="G1066" s="1" t="s">
        <v>4800</v>
      </c>
      <c r="H1066" s="6">
        <v>36</v>
      </c>
      <c r="I1066" s="2" t="s">
        <v>5</v>
      </c>
      <c r="J1066" s="1" t="s">
        <v>15273</v>
      </c>
      <c r="K1066" s="3" t="s">
        <v>4801</v>
      </c>
      <c r="L1066" s="1" t="s">
        <v>373</v>
      </c>
      <c r="M1066" s="1"/>
      <c r="N1066" s="4" t="s">
        <v>16125</v>
      </c>
      <c r="O1066" s="1"/>
      <c r="P1066" s="1" t="s">
        <v>6</v>
      </c>
      <c r="Q1066" s="16"/>
      <c r="R1066" s="17">
        <v>2</v>
      </c>
      <c r="S1066" s="3" t="s">
        <v>5561</v>
      </c>
      <c r="T1066" s="1773"/>
      <c r="U1066" s="1749"/>
      <c r="V1066" s="1752"/>
    </row>
    <row r="1067" spans="1:22" ht="12" customHeight="1">
      <c r="A1067" s="1040" t="str">
        <f t="shared" si="17"/>
        <v>4003</v>
      </c>
      <c r="B1067" s="1054" t="s">
        <v>16596</v>
      </c>
      <c r="C1067" s="1064"/>
      <c r="D1067" s="2">
        <v>1</v>
      </c>
      <c r="E1067" s="4" t="s">
        <v>4914</v>
      </c>
      <c r="F1067" s="1065" t="e">
        <f>IF(E1067="","$",VLOOKUP(E1067,'結果(小)'!$B$2:$F$1295,5,FALSE))</f>
        <v>#DIV/0!</v>
      </c>
      <c r="G1067" s="1" t="s">
        <v>4920</v>
      </c>
      <c r="H1067" s="6">
        <v>53</v>
      </c>
      <c r="I1067" s="2" t="s">
        <v>5</v>
      </c>
      <c r="J1067" s="1" t="s">
        <v>15273</v>
      </c>
      <c r="K1067" s="3" t="s">
        <v>4921</v>
      </c>
      <c r="L1067" s="1"/>
      <c r="M1067" s="1"/>
      <c r="N1067" s="4" t="s">
        <v>16125</v>
      </c>
      <c r="O1067" s="1"/>
      <c r="P1067" s="1" t="s">
        <v>25</v>
      </c>
      <c r="Q1067" s="16">
        <v>1</v>
      </c>
      <c r="R1067" s="17">
        <v>1</v>
      </c>
      <c r="S1067" s="3" t="s">
        <v>16653</v>
      </c>
      <c r="T1067" s="1773"/>
      <c r="U1067" s="1749"/>
      <c r="V1067" s="1752"/>
    </row>
    <row r="1068" spans="1:22" ht="12" customHeight="1">
      <c r="A1068" s="1040" t="str">
        <f t="shared" si="17"/>
        <v>4003</v>
      </c>
      <c r="B1068" s="1054" t="s">
        <v>16597</v>
      </c>
      <c r="C1068" s="1064"/>
      <c r="D1068" s="2">
        <v>6</v>
      </c>
      <c r="E1068" s="4" t="s">
        <v>4307</v>
      </c>
      <c r="F1068" s="1065" t="e">
        <f>IF(E1068="","$",VLOOKUP(E1068,'結果(小)'!$B$2:$F$1295,5,FALSE))</f>
        <v>#DIV/0!</v>
      </c>
      <c r="G1068" s="1" t="s">
        <v>4424</v>
      </c>
      <c r="H1068" s="6">
        <v>39</v>
      </c>
      <c r="I1068" s="2" t="s">
        <v>5</v>
      </c>
      <c r="J1068" s="1" t="s">
        <v>15273</v>
      </c>
      <c r="K1068" s="3"/>
      <c r="L1068" s="1"/>
      <c r="M1068" s="1"/>
      <c r="N1068" s="4" t="s">
        <v>16125</v>
      </c>
      <c r="O1068" s="1"/>
      <c r="P1068" s="1" t="s">
        <v>6</v>
      </c>
      <c r="Q1068" s="16"/>
      <c r="R1068" s="17"/>
      <c r="S1068" s="3" t="s">
        <v>5561</v>
      </c>
      <c r="T1068" s="1773"/>
      <c r="U1068" s="1749"/>
      <c r="V1068" s="1752"/>
    </row>
    <row r="1069" spans="1:22" ht="12" customHeight="1">
      <c r="A1069" s="1040" t="str">
        <f t="shared" si="17"/>
        <v>4003</v>
      </c>
      <c r="B1069" s="1054" t="s">
        <v>16598</v>
      </c>
      <c r="C1069" s="1064"/>
      <c r="D1069" s="2">
        <v>6</v>
      </c>
      <c r="E1069" s="4" t="s">
        <v>4386</v>
      </c>
      <c r="F1069" s="1065" t="e">
        <f>IF(E1069="","$",VLOOKUP(E1069,'結果(小)'!$B$2:$F$1295,5,FALSE))</f>
        <v>#DIV/0!</v>
      </c>
      <c r="G1069" s="1" t="s">
        <v>5796</v>
      </c>
      <c r="H1069" s="6">
        <v>47</v>
      </c>
      <c r="I1069" s="2" t="s">
        <v>5</v>
      </c>
      <c r="J1069" s="1" t="s">
        <v>15273</v>
      </c>
      <c r="K1069" s="3"/>
      <c r="L1069" s="1"/>
      <c r="M1069" s="1"/>
      <c r="N1069" s="4" t="s">
        <v>16125</v>
      </c>
      <c r="O1069" s="1"/>
      <c r="P1069" s="1" t="s">
        <v>6</v>
      </c>
      <c r="Q1069" s="16"/>
      <c r="R1069" s="17"/>
      <c r="S1069" s="3" t="s">
        <v>5561</v>
      </c>
      <c r="T1069" s="1773"/>
      <c r="U1069" s="1749"/>
      <c r="V1069" s="1752"/>
    </row>
    <row r="1070" spans="1:22" ht="12" customHeight="1">
      <c r="A1070" s="1040" t="str">
        <f t="shared" si="17"/>
        <v>4003</v>
      </c>
      <c r="B1070" s="1054" t="s">
        <v>16599</v>
      </c>
      <c r="C1070" s="1064"/>
      <c r="D1070" s="2">
        <v>6</v>
      </c>
      <c r="E1070" s="4" t="s">
        <v>4549</v>
      </c>
      <c r="F1070" s="1065" t="e">
        <f>IF(E1070="","$",VLOOKUP(E1070,'結果(小)'!$B$2:$F$1295,5,FALSE))</f>
        <v>#DIV/0!</v>
      </c>
      <c r="G1070" s="1" t="s">
        <v>4561</v>
      </c>
      <c r="H1070" s="6">
        <v>50</v>
      </c>
      <c r="I1070" s="2" t="s">
        <v>5</v>
      </c>
      <c r="J1070" s="1" t="s">
        <v>15273</v>
      </c>
      <c r="K1070" s="3"/>
      <c r="L1070" s="1"/>
      <c r="M1070" s="1"/>
      <c r="N1070" s="4" t="s">
        <v>16125</v>
      </c>
      <c r="O1070" s="1"/>
      <c r="P1070" s="1" t="s">
        <v>6</v>
      </c>
      <c r="Q1070" s="16"/>
      <c r="R1070" s="17"/>
      <c r="S1070" s="3" t="s">
        <v>5561</v>
      </c>
      <c r="T1070" s="1773"/>
      <c r="U1070" s="1749"/>
      <c r="V1070" s="1752"/>
    </row>
    <row r="1071" spans="1:22" ht="12" customHeight="1">
      <c r="A1071" s="1040" t="str">
        <f t="shared" si="17"/>
        <v>4003</v>
      </c>
      <c r="B1071" s="1054" t="s">
        <v>16600</v>
      </c>
      <c r="C1071" s="1064"/>
      <c r="D1071" s="2">
        <v>6</v>
      </c>
      <c r="E1071" s="4" t="s">
        <v>4745</v>
      </c>
      <c r="F1071" s="1065" t="e">
        <f>IF(E1071="","$",VLOOKUP(E1071,'結果(小)'!$B$2:$F$1295,5,FALSE))</f>
        <v>#DIV/0!</v>
      </c>
      <c r="G1071" s="1" t="s">
        <v>5749</v>
      </c>
      <c r="H1071" s="6">
        <v>45</v>
      </c>
      <c r="I1071" s="2" t="s">
        <v>5</v>
      </c>
      <c r="J1071" s="1" t="s">
        <v>15273</v>
      </c>
      <c r="K1071" s="3"/>
      <c r="L1071" s="1"/>
      <c r="M1071" s="1"/>
      <c r="N1071" s="4" t="s">
        <v>16125</v>
      </c>
      <c r="O1071" s="1"/>
      <c r="P1071" s="1" t="s">
        <v>6</v>
      </c>
      <c r="Q1071" s="16"/>
      <c r="R1071" s="17"/>
      <c r="S1071" s="3" t="s">
        <v>5561</v>
      </c>
      <c r="T1071" s="1773"/>
      <c r="U1071" s="1749"/>
      <c r="V1071" s="1752"/>
    </row>
    <row r="1072" spans="1:22" ht="12" customHeight="1" thickBot="1">
      <c r="A1072" s="916" t="str">
        <f t="shared" si="17"/>
        <v>4003</v>
      </c>
      <c r="B1072" s="1098" t="s">
        <v>16601</v>
      </c>
      <c r="C1072" s="1075"/>
      <c r="D1072" s="702">
        <v>6</v>
      </c>
      <c r="E1072" s="700" t="s">
        <v>4824</v>
      </c>
      <c r="F1072" s="1071" t="e">
        <f>IF(E1072="","$",VLOOKUP(E1072,'結果(小)'!$B$2:$F$1295,5,FALSE))</f>
        <v>#DIV/0!</v>
      </c>
      <c r="G1072" s="906" t="s">
        <v>6134</v>
      </c>
      <c r="H1072" s="701">
        <v>55</v>
      </c>
      <c r="I1072" s="702" t="s">
        <v>5</v>
      </c>
      <c r="J1072" s="906" t="s">
        <v>15273</v>
      </c>
      <c r="K1072" s="703"/>
      <c r="L1072" s="906"/>
      <c r="M1072" s="906"/>
      <c r="N1072" s="700" t="s">
        <v>16125</v>
      </c>
      <c r="O1072" s="906"/>
      <c r="P1072" s="906" t="s">
        <v>6</v>
      </c>
      <c r="Q1072" s="705"/>
      <c r="R1072" s="903"/>
      <c r="S1072" s="703" t="s">
        <v>5561</v>
      </c>
      <c r="T1072" s="1774"/>
      <c r="U1072" s="1750"/>
      <c r="V1072" s="1753"/>
    </row>
    <row r="1073" spans="1:22" ht="12" customHeight="1">
      <c r="A1073" s="1038" t="str">
        <f t="shared" si="17"/>
        <v>4004</v>
      </c>
      <c r="B1073" s="1081" t="s">
        <v>4952</v>
      </c>
      <c r="C1073" s="1073"/>
      <c r="D1073" s="696">
        <v>1</v>
      </c>
      <c r="E1073" s="696"/>
      <c r="F1073" s="1068" t="str">
        <f>IF(E1073="","$",VLOOKUP(E1073,'結果(小)'!$B$2:$F$1295,5,FALSE))</f>
        <v>$</v>
      </c>
      <c r="G1073" s="696" t="s">
        <v>4956</v>
      </c>
      <c r="H1073" s="690">
        <v>56</v>
      </c>
      <c r="I1073" s="696" t="s">
        <v>5</v>
      </c>
      <c r="J1073" s="696" t="s">
        <v>6067</v>
      </c>
      <c r="K1073" s="715" t="s">
        <v>4957</v>
      </c>
      <c r="L1073" s="696"/>
      <c r="M1073" s="696"/>
      <c r="N1073" s="716" t="s">
        <v>16118</v>
      </c>
      <c r="O1073" s="696"/>
      <c r="P1073" s="696" t="s">
        <v>25</v>
      </c>
      <c r="Q1073" s="717">
        <v>4</v>
      </c>
      <c r="R1073" s="718">
        <v>4</v>
      </c>
      <c r="S1073" s="715"/>
      <c r="T1073" s="1763"/>
      <c r="U1073" s="1748"/>
      <c r="V1073" s="1751" t="e">
        <f>U1073/SUM(U995:U1118)</f>
        <v>#DIV/0!</v>
      </c>
    </row>
    <row r="1074" spans="1:22" ht="12" customHeight="1">
      <c r="A1074" s="1040" t="str">
        <f t="shared" si="17"/>
        <v>4004</v>
      </c>
      <c r="B1074" s="1055" t="s">
        <v>4953</v>
      </c>
      <c r="C1074" s="1064"/>
      <c r="D1074" s="2">
        <v>2</v>
      </c>
      <c r="E1074" s="2"/>
      <c r="F1074" s="1065" t="str">
        <f>IF(E1074="","$",VLOOKUP(E1074,'結果(小)'!$B$2:$F$1295,5,FALSE))</f>
        <v>$</v>
      </c>
      <c r="G1074" s="2" t="s">
        <v>4961</v>
      </c>
      <c r="H1074" s="6">
        <v>43</v>
      </c>
      <c r="I1074" s="2" t="s">
        <v>5</v>
      </c>
      <c r="J1074" s="2" t="s">
        <v>6067</v>
      </c>
      <c r="K1074" s="22" t="s">
        <v>4962</v>
      </c>
      <c r="L1074" s="2"/>
      <c r="M1074" s="2"/>
      <c r="N1074" s="8" t="s">
        <v>16118</v>
      </c>
      <c r="O1074" s="2"/>
      <c r="P1074" s="2" t="s">
        <v>25</v>
      </c>
      <c r="Q1074" s="24">
        <v>1</v>
      </c>
      <c r="R1074" s="25">
        <v>5</v>
      </c>
      <c r="S1074" s="22"/>
      <c r="T1074" s="1764"/>
      <c r="U1074" s="1749"/>
      <c r="V1074" s="1752"/>
    </row>
    <row r="1075" spans="1:22" ht="12" customHeight="1">
      <c r="A1075" s="1040" t="str">
        <f t="shared" si="17"/>
        <v>4004</v>
      </c>
      <c r="B1075" s="1055" t="s">
        <v>4954</v>
      </c>
      <c r="C1075" s="1064"/>
      <c r="D1075" s="2">
        <v>3</v>
      </c>
      <c r="E1075" s="2"/>
      <c r="F1075" s="1065" t="str">
        <f>IF(E1075="","$",VLOOKUP(E1075,'結果(小)'!$B$2:$F$1295,5,FALSE))</f>
        <v>$</v>
      </c>
      <c r="G1075" s="6" t="s">
        <v>4967</v>
      </c>
      <c r="H1075" s="6">
        <v>42</v>
      </c>
      <c r="I1075" s="6" t="s">
        <v>5</v>
      </c>
      <c r="J1075" s="2" t="s">
        <v>6067</v>
      </c>
      <c r="K1075" s="12"/>
      <c r="L1075" s="6"/>
      <c r="M1075" s="19"/>
      <c r="N1075" s="8" t="s">
        <v>16118</v>
      </c>
      <c r="O1075" s="6"/>
      <c r="P1075" s="6" t="s">
        <v>6</v>
      </c>
      <c r="Q1075" s="13"/>
      <c r="R1075" s="14"/>
      <c r="S1075" s="12"/>
      <c r="T1075" s="1764"/>
      <c r="U1075" s="1749"/>
      <c r="V1075" s="1752"/>
    </row>
    <row r="1076" spans="1:22" ht="12" customHeight="1">
      <c r="A1076" s="1040" t="str">
        <f t="shared" si="17"/>
        <v>4004</v>
      </c>
      <c r="B1076" s="1055" t="s">
        <v>4955</v>
      </c>
      <c r="C1076" s="1064"/>
      <c r="D1076" s="2">
        <v>4</v>
      </c>
      <c r="E1076" s="2"/>
      <c r="F1076" s="1065" t="str">
        <f>IF(E1076="","$",VLOOKUP(E1076,'結果(小)'!$B$2:$F$1295,5,FALSE))</f>
        <v>$</v>
      </c>
      <c r="G1076" s="2" t="s">
        <v>4970</v>
      </c>
      <c r="H1076" s="6">
        <v>53</v>
      </c>
      <c r="I1076" s="2" t="s">
        <v>19</v>
      </c>
      <c r="J1076" s="2" t="s">
        <v>6067</v>
      </c>
      <c r="K1076" s="22"/>
      <c r="L1076" s="2"/>
      <c r="M1076" s="2"/>
      <c r="N1076" s="23" t="s">
        <v>16118</v>
      </c>
      <c r="O1076" s="2"/>
      <c r="P1076" s="2" t="s">
        <v>6</v>
      </c>
      <c r="Q1076" s="24"/>
      <c r="R1076" s="25"/>
      <c r="S1076" s="22"/>
      <c r="T1076" s="1764"/>
      <c r="U1076" s="1749"/>
      <c r="V1076" s="1752"/>
    </row>
    <row r="1077" spans="1:22" ht="12" customHeight="1">
      <c r="A1077" s="1040" t="str">
        <f t="shared" si="17"/>
        <v>4004</v>
      </c>
      <c r="B1077" s="1055" t="s">
        <v>5930</v>
      </c>
      <c r="C1077" s="1064"/>
      <c r="D1077" s="2">
        <v>5</v>
      </c>
      <c r="E1077" s="2"/>
      <c r="F1077" s="1065" t="str">
        <f>IF(E1077="","$",VLOOKUP(E1077,'結果(小)'!$B$2:$F$1295,5,FALSE))</f>
        <v>$</v>
      </c>
      <c r="G1077" s="2" t="s">
        <v>5932</v>
      </c>
      <c r="H1077" s="6">
        <v>36</v>
      </c>
      <c r="I1077" s="2" t="s">
        <v>5</v>
      </c>
      <c r="J1077" s="2" t="s">
        <v>6067</v>
      </c>
      <c r="K1077" s="22"/>
      <c r="L1077" s="2"/>
      <c r="M1077" s="2"/>
      <c r="N1077" s="8" t="s">
        <v>16118</v>
      </c>
      <c r="O1077" s="2"/>
      <c r="P1077" s="2" t="s">
        <v>6</v>
      </c>
      <c r="Q1077" s="24"/>
      <c r="R1077" s="25"/>
      <c r="S1077" s="22"/>
      <c r="T1077" s="1764"/>
      <c r="U1077" s="1749"/>
      <c r="V1077" s="1752"/>
    </row>
    <row r="1078" spans="1:22" ht="12" customHeight="1" thickBot="1">
      <c r="A1078" s="916" t="str">
        <f t="shared" si="17"/>
        <v>4004</v>
      </c>
      <c r="B1078" s="1082" t="s">
        <v>5931</v>
      </c>
      <c r="C1078" s="1075"/>
      <c r="D1078" s="702">
        <v>6</v>
      </c>
      <c r="E1078" s="702"/>
      <c r="F1078" s="1071" t="str">
        <f>IF(E1078="","$",VLOOKUP(E1078,'結果(小)'!$B$2:$F$1295,5,FALSE))</f>
        <v>$</v>
      </c>
      <c r="G1078" s="702" t="s">
        <v>5934</v>
      </c>
      <c r="H1078" s="701">
        <v>36</v>
      </c>
      <c r="I1078" s="702" t="s">
        <v>5</v>
      </c>
      <c r="J1078" s="702" t="s">
        <v>6067</v>
      </c>
      <c r="K1078" s="720"/>
      <c r="L1078" s="702"/>
      <c r="M1078" s="702"/>
      <c r="N1078" s="770" t="s">
        <v>16118</v>
      </c>
      <c r="O1078" s="702"/>
      <c r="P1078" s="702" t="s">
        <v>6</v>
      </c>
      <c r="Q1078" s="721"/>
      <c r="R1078" s="722"/>
      <c r="S1078" s="720"/>
      <c r="T1078" s="1765"/>
      <c r="U1078" s="1750"/>
      <c r="V1078" s="1753"/>
    </row>
    <row r="1079" spans="1:22" ht="12" customHeight="1">
      <c r="A1079" s="1038" t="str">
        <f t="shared" si="17"/>
        <v>4005</v>
      </c>
      <c r="B1079" s="1083" t="s">
        <v>16613</v>
      </c>
      <c r="C1079" s="1073"/>
      <c r="D1079" s="696">
        <v>1</v>
      </c>
      <c r="E1079" s="688" t="s">
        <v>4666</v>
      </c>
      <c r="F1079" s="1068" t="e">
        <f>IF(E1079="","$",VLOOKUP(E1079,'結果(小)'!$B$2:$F$1295,5,FALSE))</f>
        <v>#DIV/0!</v>
      </c>
      <c r="G1079" s="687" t="s">
        <v>4675</v>
      </c>
      <c r="H1079" s="690">
        <v>52</v>
      </c>
      <c r="I1079" s="696" t="s">
        <v>5</v>
      </c>
      <c r="J1079" s="687" t="s">
        <v>15273</v>
      </c>
      <c r="K1079" s="747" t="s">
        <v>4676</v>
      </c>
      <c r="L1079" s="687"/>
      <c r="M1079" s="687"/>
      <c r="N1079" s="688" t="s">
        <v>16116</v>
      </c>
      <c r="O1079" s="687" t="s">
        <v>564</v>
      </c>
      <c r="P1079" s="687" t="s">
        <v>25</v>
      </c>
      <c r="Q1079" s="748">
        <v>4</v>
      </c>
      <c r="R1079" s="749">
        <v>4</v>
      </c>
      <c r="S1079" s="747" t="s">
        <v>18564</v>
      </c>
      <c r="T1079" s="1766"/>
      <c r="U1079" s="1748"/>
      <c r="V1079" s="1751" t="e">
        <f>U1079/SUM(U995:U1118)</f>
        <v>#DIV/0!</v>
      </c>
    </row>
    <row r="1080" spans="1:22" ht="12" customHeight="1">
      <c r="A1080" s="1040" t="str">
        <f t="shared" si="17"/>
        <v>4005</v>
      </c>
      <c r="B1080" s="1056" t="s">
        <v>16614</v>
      </c>
      <c r="C1080" s="1064"/>
      <c r="D1080" s="2">
        <v>2</v>
      </c>
      <c r="E1080" s="4" t="s">
        <v>4423</v>
      </c>
      <c r="F1080" s="1065" t="e">
        <f>IF(E1080="","$",VLOOKUP(E1080,'結果(小)'!$B$2:$F$1295,5,FALSE))</f>
        <v>#DIV/0!</v>
      </c>
      <c r="G1080" s="1" t="s">
        <v>5529</v>
      </c>
      <c r="H1080" s="6">
        <v>35</v>
      </c>
      <c r="I1080" s="2" t="s">
        <v>5</v>
      </c>
      <c r="J1080" s="1" t="s">
        <v>15273</v>
      </c>
      <c r="K1080" s="3"/>
      <c r="L1080" s="1"/>
      <c r="M1080" s="1"/>
      <c r="N1080" s="4" t="s">
        <v>16116</v>
      </c>
      <c r="O1080" s="1" t="s">
        <v>4993</v>
      </c>
      <c r="P1080" s="1" t="s">
        <v>6</v>
      </c>
      <c r="Q1080" s="16"/>
      <c r="R1080" s="17"/>
      <c r="S1080" s="3"/>
      <c r="T1080" s="1767"/>
      <c r="U1080" s="1749"/>
      <c r="V1080" s="1752"/>
    </row>
    <row r="1081" spans="1:22" ht="12" customHeight="1">
      <c r="A1081" s="1040" t="str">
        <f t="shared" si="17"/>
        <v>4005</v>
      </c>
      <c r="B1081" s="1056" t="s">
        <v>16615</v>
      </c>
      <c r="C1081" s="1064"/>
      <c r="D1081" s="2">
        <v>2</v>
      </c>
      <c r="E1081" s="4" t="s">
        <v>4335</v>
      </c>
      <c r="F1081" s="1065" t="e">
        <f>IF(E1081="","$",VLOOKUP(E1081,'結果(小)'!$B$2:$F$1295,5,FALSE))</f>
        <v>#DIV/0!</v>
      </c>
      <c r="G1081" s="1" t="s">
        <v>4351</v>
      </c>
      <c r="H1081" s="6">
        <v>51</v>
      </c>
      <c r="I1081" s="2" t="s">
        <v>5</v>
      </c>
      <c r="J1081" s="1" t="s">
        <v>15273</v>
      </c>
      <c r="K1081" s="3"/>
      <c r="L1081" s="1"/>
      <c r="M1081" s="1"/>
      <c r="N1081" s="4" t="s">
        <v>16116</v>
      </c>
      <c r="O1081" s="1" t="s">
        <v>4993</v>
      </c>
      <c r="P1081" s="1" t="s">
        <v>6</v>
      </c>
      <c r="Q1081" s="16"/>
      <c r="R1081" s="17"/>
      <c r="S1081" s="3"/>
      <c r="T1081" s="1767"/>
      <c r="U1081" s="1749"/>
      <c r="V1081" s="1752"/>
    </row>
    <row r="1082" spans="1:22" ht="12" customHeight="1">
      <c r="A1082" s="1040" t="str">
        <f t="shared" si="17"/>
        <v>4005</v>
      </c>
      <c r="B1082" s="1056" t="s">
        <v>16616</v>
      </c>
      <c r="C1082" s="1064"/>
      <c r="D1082" s="2">
        <v>2</v>
      </c>
      <c r="E1082" s="4" t="s">
        <v>5438</v>
      </c>
      <c r="F1082" s="1065" t="e">
        <f>IF(E1082="","$",VLOOKUP(E1082,'結果(小)'!$B$2:$F$1295,5,FALSE))</f>
        <v>#DIV/0!</v>
      </c>
      <c r="G1082" s="1" t="s">
        <v>5439</v>
      </c>
      <c r="H1082" s="6">
        <v>56</v>
      </c>
      <c r="I1082" s="2" t="s">
        <v>5</v>
      </c>
      <c r="J1082" s="1" t="s">
        <v>15273</v>
      </c>
      <c r="K1082" s="3"/>
      <c r="L1082" s="1"/>
      <c r="M1082" s="1"/>
      <c r="N1082" s="4" t="s">
        <v>16116</v>
      </c>
      <c r="O1082" s="1" t="s">
        <v>4997</v>
      </c>
      <c r="P1082" s="1" t="s">
        <v>6</v>
      </c>
      <c r="Q1082" s="16"/>
      <c r="R1082" s="17"/>
      <c r="S1082" s="3" t="s">
        <v>469</v>
      </c>
      <c r="T1082" s="1767"/>
      <c r="U1082" s="1749"/>
      <c r="V1082" s="1752"/>
    </row>
    <row r="1083" spans="1:22" ht="12" customHeight="1">
      <c r="A1083" s="1040" t="str">
        <f t="shared" si="17"/>
        <v>4005</v>
      </c>
      <c r="B1083" s="1056" t="s">
        <v>16617</v>
      </c>
      <c r="C1083" s="1064"/>
      <c r="D1083" s="2">
        <v>2</v>
      </c>
      <c r="E1083" s="4" t="s">
        <v>4388</v>
      </c>
      <c r="F1083" s="1065" t="e">
        <f>IF(E1083="","$",VLOOKUP(E1083,'結果(小)'!$B$2:$F$1295,5,FALSE))</f>
        <v>#DIV/0!</v>
      </c>
      <c r="G1083" s="1" t="s">
        <v>5864</v>
      </c>
      <c r="H1083" s="6">
        <v>36</v>
      </c>
      <c r="I1083" s="2" t="s">
        <v>5</v>
      </c>
      <c r="J1083" s="1" t="s">
        <v>15273</v>
      </c>
      <c r="K1083" s="3"/>
      <c r="L1083" s="1"/>
      <c r="M1083" s="1"/>
      <c r="N1083" s="4" t="s">
        <v>16116</v>
      </c>
      <c r="O1083" s="1" t="s">
        <v>4997</v>
      </c>
      <c r="P1083" s="1" t="s">
        <v>6</v>
      </c>
      <c r="Q1083" s="16"/>
      <c r="R1083" s="17"/>
      <c r="S1083" s="3" t="s">
        <v>469</v>
      </c>
      <c r="T1083" s="1767"/>
      <c r="U1083" s="1749"/>
      <c r="V1083" s="1752"/>
    </row>
    <row r="1084" spans="1:22" ht="12" customHeight="1">
      <c r="A1084" s="1040" t="str">
        <f t="shared" si="17"/>
        <v>4005</v>
      </c>
      <c r="B1084" s="1056" t="s">
        <v>16618</v>
      </c>
      <c r="C1084" s="1064"/>
      <c r="D1084" s="2">
        <v>2</v>
      </c>
      <c r="E1084" s="4" t="s">
        <v>4437</v>
      </c>
      <c r="F1084" s="1065" t="e">
        <f>IF(E1084="","$",VLOOKUP(E1084,'結果(小)'!$B$2:$F$1295,5,FALSE))</f>
        <v>#DIV/0!</v>
      </c>
      <c r="G1084" s="1" t="s">
        <v>6153</v>
      </c>
      <c r="H1084" s="6">
        <v>47</v>
      </c>
      <c r="I1084" s="2" t="s">
        <v>5</v>
      </c>
      <c r="J1084" s="1" t="s">
        <v>15273</v>
      </c>
      <c r="K1084" s="3"/>
      <c r="L1084" s="1"/>
      <c r="M1084" s="1"/>
      <c r="N1084" s="4" t="s">
        <v>16116</v>
      </c>
      <c r="O1084" s="1" t="s">
        <v>469</v>
      </c>
      <c r="P1084" s="1" t="s">
        <v>6</v>
      </c>
      <c r="Q1084" s="16"/>
      <c r="R1084" s="17"/>
      <c r="S1084" s="3" t="s">
        <v>469</v>
      </c>
      <c r="T1084" s="1767"/>
      <c r="U1084" s="1749"/>
      <c r="V1084" s="1752"/>
    </row>
    <row r="1085" spans="1:22" ht="12" customHeight="1">
      <c r="A1085" s="1040" t="str">
        <f t="shared" si="17"/>
        <v>4005</v>
      </c>
      <c r="B1085" s="1056" t="s">
        <v>16619</v>
      </c>
      <c r="C1085" s="1064"/>
      <c r="D1085" s="2">
        <v>2</v>
      </c>
      <c r="E1085" s="4" t="s">
        <v>4471</v>
      </c>
      <c r="F1085" s="1065" t="e">
        <f>IF(E1085="","$",VLOOKUP(E1085,'結果(小)'!$B$2:$F$1295,5,FALSE))</f>
        <v>#DIV/0!</v>
      </c>
      <c r="G1085" s="1" t="s">
        <v>5782</v>
      </c>
      <c r="H1085" s="6">
        <v>33</v>
      </c>
      <c r="I1085" s="2" t="s">
        <v>5</v>
      </c>
      <c r="J1085" s="1" t="s">
        <v>15273</v>
      </c>
      <c r="K1085" s="3"/>
      <c r="L1085" s="1"/>
      <c r="M1085" s="1"/>
      <c r="N1085" s="4" t="s">
        <v>16116</v>
      </c>
      <c r="O1085" s="1" t="s">
        <v>4997</v>
      </c>
      <c r="P1085" s="1" t="s">
        <v>6</v>
      </c>
      <c r="Q1085" s="16"/>
      <c r="R1085" s="17"/>
      <c r="S1085" s="3" t="s">
        <v>469</v>
      </c>
      <c r="T1085" s="1767"/>
      <c r="U1085" s="1749"/>
      <c r="V1085" s="1752"/>
    </row>
    <row r="1086" spans="1:22" ht="12" customHeight="1">
      <c r="A1086" s="1040" t="str">
        <f t="shared" si="17"/>
        <v>4005</v>
      </c>
      <c r="B1086" s="1056" t="s">
        <v>16620</v>
      </c>
      <c r="C1086" s="1064"/>
      <c r="D1086" s="2">
        <v>2</v>
      </c>
      <c r="E1086" s="4" t="s">
        <v>4704</v>
      </c>
      <c r="F1086" s="1065" t="e">
        <f>IF(E1086="","$",VLOOKUP(E1086,'結果(小)'!$B$2:$F$1295,5,FALSE))</f>
        <v>#DIV/0!</v>
      </c>
      <c r="G1086" s="1" t="s">
        <v>4705</v>
      </c>
      <c r="H1086" s="6">
        <v>45</v>
      </c>
      <c r="I1086" s="2" t="s">
        <v>5</v>
      </c>
      <c r="J1086" s="1" t="s">
        <v>15273</v>
      </c>
      <c r="K1086" s="3"/>
      <c r="L1086" s="1"/>
      <c r="M1086" s="1"/>
      <c r="N1086" s="4" t="s">
        <v>16116</v>
      </c>
      <c r="O1086" s="1" t="s">
        <v>4422</v>
      </c>
      <c r="P1086" s="1" t="s">
        <v>6</v>
      </c>
      <c r="Q1086" s="16"/>
      <c r="R1086" s="17"/>
      <c r="S1086" s="3"/>
      <c r="T1086" s="1767"/>
      <c r="U1086" s="1749"/>
      <c r="V1086" s="1752"/>
    </row>
    <row r="1087" spans="1:22" ht="12" customHeight="1">
      <c r="A1087" s="1040" t="str">
        <f t="shared" si="17"/>
        <v>4005</v>
      </c>
      <c r="B1087" s="1056" t="s">
        <v>16621</v>
      </c>
      <c r="C1087" s="1064"/>
      <c r="D1087" s="2">
        <v>2</v>
      </c>
      <c r="E1087" s="4" t="s">
        <v>4715</v>
      </c>
      <c r="F1087" s="1065" t="e">
        <f>IF(E1087="","$",VLOOKUP(E1087,'結果(小)'!$B$2:$F$1295,5,FALSE))</f>
        <v>#DIV/0!</v>
      </c>
      <c r="G1087" s="1" t="s">
        <v>4720</v>
      </c>
      <c r="H1087" s="6">
        <v>70</v>
      </c>
      <c r="I1087" s="2" t="s">
        <v>5</v>
      </c>
      <c r="J1087" s="1" t="s">
        <v>15273</v>
      </c>
      <c r="K1087" s="3" t="s">
        <v>4721</v>
      </c>
      <c r="L1087" s="1"/>
      <c r="M1087" s="1"/>
      <c r="N1087" s="4" t="s">
        <v>16116</v>
      </c>
      <c r="O1087" s="1" t="s">
        <v>4993</v>
      </c>
      <c r="P1087" s="1" t="s">
        <v>25</v>
      </c>
      <c r="Q1087" s="16">
        <v>8</v>
      </c>
      <c r="R1087" s="17">
        <v>8</v>
      </c>
      <c r="S1087" s="3"/>
      <c r="T1087" s="1767"/>
      <c r="U1087" s="1749"/>
      <c r="V1087" s="1752"/>
    </row>
    <row r="1088" spans="1:22" ht="12" customHeight="1">
      <c r="A1088" s="1040" t="str">
        <f t="shared" si="17"/>
        <v>4005</v>
      </c>
      <c r="B1088" s="1056" t="s">
        <v>16604</v>
      </c>
      <c r="C1088" s="1064"/>
      <c r="D1088" s="2">
        <v>2</v>
      </c>
      <c r="E1088" s="4" t="s">
        <v>5057</v>
      </c>
      <c r="F1088" s="1065" t="e">
        <f>IF(E1088="","$",VLOOKUP(E1088,'結果(小)'!$B$2:$F$1295,5,FALSE))</f>
        <v>#DIV/0!</v>
      </c>
      <c r="G1088" s="1" t="s">
        <v>5058</v>
      </c>
      <c r="H1088" s="6">
        <v>42</v>
      </c>
      <c r="I1088" s="2" t="s">
        <v>5</v>
      </c>
      <c r="J1088" s="1" t="s">
        <v>15273</v>
      </c>
      <c r="K1088" s="3"/>
      <c r="L1088" s="1"/>
      <c r="M1088" s="1"/>
      <c r="N1088" s="4" t="s">
        <v>16116</v>
      </c>
      <c r="O1088" s="1" t="s">
        <v>4997</v>
      </c>
      <c r="P1088" s="1" t="s">
        <v>6</v>
      </c>
      <c r="Q1088" s="16"/>
      <c r="R1088" s="17"/>
      <c r="S1088" s="3" t="s">
        <v>469</v>
      </c>
      <c r="T1088" s="1767"/>
      <c r="U1088" s="1749"/>
      <c r="V1088" s="1752"/>
    </row>
    <row r="1089" spans="1:22" ht="12" customHeight="1">
      <c r="A1089" s="1040" t="str">
        <f t="shared" si="17"/>
        <v>4005</v>
      </c>
      <c r="B1089" s="1056" t="s">
        <v>16605</v>
      </c>
      <c r="C1089" s="1064"/>
      <c r="D1089" s="2">
        <v>2</v>
      </c>
      <c r="E1089" s="4" t="s">
        <v>4758</v>
      </c>
      <c r="F1089" s="1065" t="e">
        <f>IF(E1089="","$",VLOOKUP(E1089,'結果(小)'!$B$2:$F$1295,5,FALSE))</f>
        <v>#DIV/0!</v>
      </c>
      <c r="G1089" s="1" t="s">
        <v>5441</v>
      </c>
      <c r="H1089" s="6">
        <v>43</v>
      </c>
      <c r="I1089" s="2" t="s">
        <v>5</v>
      </c>
      <c r="J1089" s="1" t="s">
        <v>15273</v>
      </c>
      <c r="K1089" s="3"/>
      <c r="L1089" s="1"/>
      <c r="M1089" s="1"/>
      <c r="N1089" s="4" t="s">
        <v>16116</v>
      </c>
      <c r="O1089" s="1" t="s">
        <v>4997</v>
      </c>
      <c r="P1089" s="1" t="s">
        <v>6</v>
      </c>
      <c r="Q1089" s="16"/>
      <c r="R1089" s="17"/>
      <c r="S1089" s="3" t="s">
        <v>469</v>
      </c>
      <c r="T1089" s="1767"/>
      <c r="U1089" s="1749"/>
      <c r="V1089" s="1752"/>
    </row>
    <row r="1090" spans="1:22" ht="12" customHeight="1">
      <c r="A1090" s="1040" t="str">
        <f t="shared" si="17"/>
        <v>4005</v>
      </c>
      <c r="B1090" s="1056" t="s">
        <v>16606</v>
      </c>
      <c r="C1090" s="1064"/>
      <c r="D1090" s="2">
        <v>2</v>
      </c>
      <c r="E1090" s="4" t="s">
        <v>4787</v>
      </c>
      <c r="F1090" s="1065" t="e">
        <f>IF(E1090="","$",VLOOKUP(E1090,'結果(小)'!$B$2:$F$1295,5,FALSE))</f>
        <v>#DIV/0!</v>
      </c>
      <c r="G1090" s="1" t="s">
        <v>4797</v>
      </c>
      <c r="H1090" s="6">
        <v>69</v>
      </c>
      <c r="I1090" s="2" t="s">
        <v>5</v>
      </c>
      <c r="J1090" s="1" t="s">
        <v>15273</v>
      </c>
      <c r="K1090" s="3"/>
      <c r="L1090" s="1"/>
      <c r="M1090" s="1"/>
      <c r="N1090" s="4" t="s">
        <v>16116</v>
      </c>
      <c r="O1090" s="1" t="s">
        <v>4993</v>
      </c>
      <c r="P1090" s="1" t="s">
        <v>14</v>
      </c>
      <c r="Q1090" s="16">
        <v>6</v>
      </c>
      <c r="R1090" s="17">
        <v>6</v>
      </c>
      <c r="S1090" s="3"/>
      <c r="T1090" s="1767"/>
      <c r="U1090" s="1749"/>
      <c r="V1090" s="1752"/>
    </row>
    <row r="1091" spans="1:22" ht="12" customHeight="1">
      <c r="A1091" s="1040" t="str">
        <f t="shared" ref="A1091:A1118" si="18">MIDB(B1091,1,4)</f>
        <v>4005</v>
      </c>
      <c r="B1091" s="1056" t="s">
        <v>16607</v>
      </c>
      <c r="C1091" s="1064"/>
      <c r="D1091" s="2">
        <v>2</v>
      </c>
      <c r="E1091" s="4" t="s">
        <v>5530</v>
      </c>
      <c r="F1091" s="1065" t="e">
        <f>IF(E1091="","$",VLOOKUP(E1091,'結果(小)'!$B$2:$F$1295,5,FALSE))</f>
        <v>#DIV/0!</v>
      </c>
      <c r="G1091" s="1" t="s">
        <v>5531</v>
      </c>
      <c r="H1091" s="6">
        <v>31</v>
      </c>
      <c r="I1091" s="2" t="s">
        <v>5</v>
      </c>
      <c r="J1091" s="1" t="s">
        <v>15273</v>
      </c>
      <c r="K1091" s="3"/>
      <c r="L1091" s="1"/>
      <c r="M1091" s="1"/>
      <c r="N1091" s="4" t="s">
        <v>16116</v>
      </c>
      <c r="O1091" s="1" t="s">
        <v>4997</v>
      </c>
      <c r="P1091" s="1" t="s">
        <v>6</v>
      </c>
      <c r="Q1091" s="16"/>
      <c r="R1091" s="17"/>
      <c r="S1091" s="3"/>
      <c r="T1091" s="1767"/>
      <c r="U1091" s="1749"/>
      <c r="V1091" s="1752"/>
    </row>
    <row r="1092" spans="1:22" ht="12" customHeight="1">
      <c r="A1092" s="1040" t="str">
        <f t="shared" si="18"/>
        <v>4005</v>
      </c>
      <c r="B1092" s="1056" t="s">
        <v>16608</v>
      </c>
      <c r="C1092" s="1064"/>
      <c r="D1092" s="2">
        <v>2</v>
      </c>
      <c r="E1092" s="4" t="s">
        <v>4851</v>
      </c>
      <c r="F1092" s="1065" t="e">
        <f>IF(E1092="","$",VLOOKUP(E1092,'結果(小)'!$B$2:$F$1295,5,FALSE))</f>
        <v>#DIV/0!</v>
      </c>
      <c r="G1092" s="1" t="s">
        <v>4861</v>
      </c>
      <c r="H1092" s="6">
        <v>36</v>
      </c>
      <c r="I1092" s="2" t="s">
        <v>5</v>
      </c>
      <c r="J1092" s="1" t="s">
        <v>15273</v>
      </c>
      <c r="K1092" s="3"/>
      <c r="L1092" s="1"/>
      <c r="M1092" s="1"/>
      <c r="N1092" s="4" t="s">
        <v>16116</v>
      </c>
      <c r="O1092" s="1" t="s">
        <v>4997</v>
      </c>
      <c r="P1092" s="1" t="s">
        <v>6</v>
      </c>
      <c r="Q1092" s="16"/>
      <c r="R1092" s="17"/>
      <c r="S1092" s="3" t="s">
        <v>469</v>
      </c>
      <c r="T1092" s="1767"/>
      <c r="U1092" s="1749"/>
      <c r="V1092" s="1752"/>
    </row>
    <row r="1093" spans="1:22" ht="12" customHeight="1">
      <c r="A1093" s="1040" t="str">
        <f t="shared" si="18"/>
        <v>4005</v>
      </c>
      <c r="B1093" s="1056" t="s">
        <v>16609</v>
      </c>
      <c r="C1093" s="1064"/>
      <c r="D1093" s="2">
        <v>2</v>
      </c>
      <c r="E1093" s="4" t="s">
        <v>4890</v>
      </c>
      <c r="F1093" s="1065" t="e">
        <f>IF(E1093="","$",VLOOKUP(E1093,'結果(小)'!$B$2:$F$1295,5,FALSE))</f>
        <v>#DIV/0!</v>
      </c>
      <c r="G1093" s="1" t="s">
        <v>5783</v>
      </c>
      <c r="H1093" s="6">
        <v>67</v>
      </c>
      <c r="I1093" s="2" t="s">
        <v>5</v>
      </c>
      <c r="J1093" s="1" t="s">
        <v>15273</v>
      </c>
      <c r="K1093" s="3"/>
      <c r="L1093" s="1"/>
      <c r="M1093" s="1"/>
      <c r="N1093" s="4" t="s">
        <v>16116</v>
      </c>
      <c r="O1093" s="1" t="s">
        <v>4997</v>
      </c>
      <c r="P1093" s="1" t="s">
        <v>6</v>
      </c>
      <c r="Q1093" s="16"/>
      <c r="R1093" s="17"/>
      <c r="S1093" s="3" t="s">
        <v>469</v>
      </c>
      <c r="T1093" s="1767"/>
      <c r="U1093" s="1749"/>
      <c r="V1093" s="1752"/>
    </row>
    <row r="1094" spans="1:22" ht="12" customHeight="1">
      <c r="A1094" s="1040" t="str">
        <f t="shared" si="18"/>
        <v>4005</v>
      </c>
      <c r="B1094" s="1056" t="s">
        <v>16610</v>
      </c>
      <c r="C1094" s="1064"/>
      <c r="D1094" s="2">
        <v>2</v>
      </c>
      <c r="E1094" s="4" t="s">
        <v>4903</v>
      </c>
      <c r="F1094" s="1065" t="e">
        <f>IF(E1094="","$",VLOOKUP(E1094,'結果(小)'!$B$2:$F$1295,5,FALSE))</f>
        <v>#DIV/0!</v>
      </c>
      <c r="G1094" s="1" t="s">
        <v>5784</v>
      </c>
      <c r="H1094" s="6">
        <v>58</v>
      </c>
      <c r="I1094" s="2" t="s">
        <v>5</v>
      </c>
      <c r="J1094" s="1" t="s">
        <v>15273</v>
      </c>
      <c r="K1094" s="3"/>
      <c r="L1094" s="1"/>
      <c r="M1094" s="1"/>
      <c r="N1094" s="4" t="s">
        <v>16116</v>
      </c>
      <c r="O1094" s="1" t="s">
        <v>4997</v>
      </c>
      <c r="P1094" s="1" t="s">
        <v>6</v>
      </c>
      <c r="Q1094" s="16"/>
      <c r="R1094" s="17"/>
      <c r="S1094" s="3" t="s">
        <v>469</v>
      </c>
      <c r="T1094" s="1767"/>
      <c r="U1094" s="1749"/>
      <c r="V1094" s="1752"/>
    </row>
    <row r="1095" spans="1:22" ht="12" customHeight="1">
      <c r="A1095" s="1040" t="str">
        <f t="shared" si="18"/>
        <v>4005</v>
      </c>
      <c r="B1095" s="1056" t="s">
        <v>16611</v>
      </c>
      <c r="C1095" s="1064"/>
      <c r="D1095" s="2">
        <v>2</v>
      </c>
      <c r="E1095" s="4" t="s">
        <v>4915</v>
      </c>
      <c r="F1095" s="1065" t="e">
        <f>IF(E1095="","$",VLOOKUP(E1095,'結果(小)'!$B$2:$F$1295,5,FALSE))</f>
        <v>#DIV/0!</v>
      </c>
      <c r="G1095" s="1" t="s">
        <v>5786</v>
      </c>
      <c r="H1095" s="6">
        <v>45</v>
      </c>
      <c r="I1095" s="2" t="s">
        <v>5</v>
      </c>
      <c r="J1095" s="1" t="s">
        <v>15273</v>
      </c>
      <c r="K1095" s="3"/>
      <c r="L1095" s="1"/>
      <c r="M1095" s="1"/>
      <c r="N1095" s="4" t="s">
        <v>16116</v>
      </c>
      <c r="O1095" s="1" t="s">
        <v>4997</v>
      </c>
      <c r="P1095" s="1" t="s">
        <v>6</v>
      </c>
      <c r="Q1095" s="16"/>
      <c r="R1095" s="17"/>
      <c r="S1095" s="3" t="s">
        <v>469</v>
      </c>
      <c r="T1095" s="1767"/>
      <c r="U1095" s="1749"/>
      <c r="V1095" s="1752"/>
    </row>
    <row r="1096" spans="1:22" ht="12" customHeight="1">
      <c r="A1096" s="1040" t="str">
        <f t="shared" si="18"/>
        <v>4005</v>
      </c>
      <c r="B1096" s="1056" t="s">
        <v>16612</v>
      </c>
      <c r="C1096" s="1064"/>
      <c r="D1096" s="2">
        <v>2</v>
      </c>
      <c r="E1096" s="4" t="s">
        <v>4929</v>
      </c>
      <c r="F1096" s="1065" t="e">
        <f>IF(E1096="","$",VLOOKUP(E1096,'結果(小)'!$B$2:$F$1295,5,FALSE))</f>
        <v>#DIV/0!</v>
      </c>
      <c r="G1096" s="1" t="s">
        <v>5445</v>
      </c>
      <c r="H1096" s="6">
        <v>34</v>
      </c>
      <c r="I1096" s="2" t="s">
        <v>5</v>
      </c>
      <c r="J1096" s="1" t="s">
        <v>15273</v>
      </c>
      <c r="K1096" s="3"/>
      <c r="L1096" s="1"/>
      <c r="M1096" s="1"/>
      <c r="N1096" s="4" t="s">
        <v>16116</v>
      </c>
      <c r="O1096" s="1" t="s">
        <v>4997</v>
      </c>
      <c r="P1096" s="1" t="s">
        <v>6</v>
      </c>
      <c r="Q1096" s="16"/>
      <c r="R1096" s="17"/>
      <c r="S1096" s="3" t="s">
        <v>469</v>
      </c>
      <c r="T1096" s="1767"/>
      <c r="U1096" s="1749"/>
      <c r="V1096" s="1752"/>
    </row>
    <row r="1097" spans="1:22" ht="12" customHeight="1" thickBot="1">
      <c r="A1097" s="916" t="str">
        <f t="shared" si="18"/>
        <v>4005</v>
      </c>
      <c r="B1097" s="1084" t="s">
        <v>15658</v>
      </c>
      <c r="C1097" s="1075"/>
      <c r="D1097" s="702">
        <v>19</v>
      </c>
      <c r="E1097" s="702"/>
      <c r="F1097" s="1071" t="str">
        <f>IF(E1097="","$",VLOOKUP(E1097,'結果(小)'!$B$2:$F$1295,5,FALSE))</f>
        <v>$</v>
      </c>
      <c r="G1097" s="701" t="s">
        <v>16624</v>
      </c>
      <c r="H1097" s="701">
        <v>54</v>
      </c>
      <c r="I1097" s="701" t="s">
        <v>5</v>
      </c>
      <c r="J1097" s="702" t="s">
        <v>6067</v>
      </c>
      <c r="K1097" s="741"/>
      <c r="L1097" s="701"/>
      <c r="M1097" s="741"/>
      <c r="N1097" s="704" t="s">
        <v>16130</v>
      </c>
      <c r="O1097" s="701" t="s">
        <v>4997</v>
      </c>
      <c r="P1097" s="701" t="s">
        <v>6</v>
      </c>
      <c r="Q1097" s="742"/>
      <c r="R1097" s="743"/>
      <c r="S1097" s="740"/>
      <c r="T1097" s="1768"/>
      <c r="U1097" s="1750"/>
      <c r="V1097" s="1753"/>
    </row>
    <row r="1098" spans="1:22" ht="12" customHeight="1">
      <c r="A1098" s="1038" t="str">
        <f t="shared" si="18"/>
        <v>4006</v>
      </c>
      <c r="B1098" s="1085" t="s">
        <v>16626</v>
      </c>
      <c r="C1098" s="1073"/>
      <c r="D1098" s="696">
        <v>1</v>
      </c>
      <c r="E1098" s="688" t="s">
        <v>4294</v>
      </c>
      <c r="F1098" s="1068" t="e">
        <f>IF(E1098="","$",VLOOKUP(E1098,'結果(小)'!$B$2:$F$1295,5,FALSE))</f>
        <v>#DIV/0!</v>
      </c>
      <c r="G1098" s="687" t="s">
        <v>4303</v>
      </c>
      <c r="H1098" s="690">
        <v>38</v>
      </c>
      <c r="I1098" s="696" t="s">
        <v>5</v>
      </c>
      <c r="J1098" s="687" t="s">
        <v>15273</v>
      </c>
      <c r="K1098" s="747"/>
      <c r="L1098" s="687"/>
      <c r="M1098" s="687"/>
      <c r="N1098" s="688" t="s">
        <v>16128</v>
      </c>
      <c r="O1098" s="687"/>
      <c r="P1098" s="687" t="s">
        <v>6</v>
      </c>
      <c r="Q1098" s="748"/>
      <c r="R1098" s="749"/>
      <c r="S1098" s="747" t="s">
        <v>6031</v>
      </c>
      <c r="T1098" s="1757"/>
      <c r="U1098" s="1748"/>
      <c r="V1098" s="1751" t="e">
        <f>U1098/SUM(U995:U1118)</f>
        <v>#DIV/0!</v>
      </c>
    </row>
    <row r="1099" spans="1:22" ht="12" customHeight="1">
      <c r="A1099" s="1040" t="str">
        <f t="shared" si="18"/>
        <v>4006</v>
      </c>
      <c r="B1099" s="1057" t="s">
        <v>16627</v>
      </c>
      <c r="C1099" s="1064"/>
      <c r="D1099" s="2">
        <v>1</v>
      </c>
      <c r="E1099" s="4" t="s">
        <v>4318</v>
      </c>
      <c r="F1099" s="1065" t="e">
        <f>IF(E1099="","$",VLOOKUP(E1099,'結果(小)'!$B$2:$F$1295,5,FALSE))</f>
        <v>#DIV/0!</v>
      </c>
      <c r="G1099" s="1" t="s">
        <v>4330</v>
      </c>
      <c r="H1099" s="6">
        <v>51</v>
      </c>
      <c r="I1099" s="2" t="s">
        <v>5</v>
      </c>
      <c r="J1099" s="1" t="s">
        <v>15273</v>
      </c>
      <c r="K1099" s="3"/>
      <c r="L1099" s="1"/>
      <c r="M1099" s="1"/>
      <c r="N1099" s="4" t="s">
        <v>16128</v>
      </c>
      <c r="O1099" s="1"/>
      <c r="P1099" s="1" t="s">
        <v>6</v>
      </c>
      <c r="Q1099" s="16"/>
      <c r="R1099" s="17"/>
      <c r="S1099" s="3" t="s">
        <v>6031</v>
      </c>
      <c r="T1099" s="1758"/>
      <c r="U1099" s="1749"/>
      <c r="V1099" s="1752"/>
    </row>
    <row r="1100" spans="1:22" ht="12" customHeight="1">
      <c r="A1100" s="1040" t="str">
        <f t="shared" si="18"/>
        <v>4006</v>
      </c>
      <c r="B1100" s="1057" t="s">
        <v>16628</v>
      </c>
      <c r="C1100" s="1064"/>
      <c r="D1100" s="2">
        <v>1</v>
      </c>
      <c r="E1100" s="4" t="s">
        <v>4393</v>
      </c>
      <c r="F1100" s="1065" t="e">
        <f>IF(E1100="","$",VLOOKUP(E1100,'結果(小)'!$B$2:$F$1295,5,FALSE))</f>
        <v>#DIV/0!</v>
      </c>
      <c r="G1100" s="1" t="s">
        <v>5646</v>
      </c>
      <c r="H1100" s="6">
        <v>49</v>
      </c>
      <c r="I1100" s="2" t="s">
        <v>5</v>
      </c>
      <c r="J1100" s="1" t="s">
        <v>15273</v>
      </c>
      <c r="K1100" s="3"/>
      <c r="L1100" s="1"/>
      <c r="M1100" s="1"/>
      <c r="N1100" s="4" t="s">
        <v>16128</v>
      </c>
      <c r="O1100" s="1"/>
      <c r="P1100" s="1" t="s">
        <v>6</v>
      </c>
      <c r="Q1100" s="16"/>
      <c r="R1100" s="17"/>
      <c r="S1100" s="3" t="s">
        <v>6031</v>
      </c>
      <c r="T1100" s="1758"/>
      <c r="U1100" s="1749"/>
      <c r="V1100" s="1752"/>
    </row>
    <row r="1101" spans="1:22" ht="12" customHeight="1">
      <c r="A1101" s="1040" t="str">
        <f t="shared" si="18"/>
        <v>4006</v>
      </c>
      <c r="B1101" s="1057" t="s">
        <v>16629</v>
      </c>
      <c r="C1101" s="1064"/>
      <c r="D1101" s="2">
        <v>1</v>
      </c>
      <c r="E1101" s="4" t="s">
        <v>4454</v>
      </c>
      <c r="F1101" s="1065" t="e">
        <f>IF(E1101="","$",VLOOKUP(E1101,'結果(小)'!$B$2:$F$1295,5,FALSE))</f>
        <v>#DIV/0!</v>
      </c>
      <c r="G1101" s="1" t="s">
        <v>4467</v>
      </c>
      <c r="H1101" s="6">
        <v>57</v>
      </c>
      <c r="I1101" s="2" t="s">
        <v>5</v>
      </c>
      <c r="J1101" s="1" t="s">
        <v>15273</v>
      </c>
      <c r="K1101" s="3"/>
      <c r="L1101" s="1"/>
      <c r="M1101" s="1"/>
      <c r="N1101" s="4" t="s">
        <v>16128</v>
      </c>
      <c r="O1101" s="1"/>
      <c r="P1101" s="1" t="s">
        <v>6</v>
      </c>
      <c r="Q1101" s="16"/>
      <c r="R1101" s="17"/>
      <c r="S1101" s="3" t="s">
        <v>6031</v>
      </c>
      <c r="T1101" s="1758"/>
      <c r="U1101" s="1749"/>
      <c r="V1101" s="1752"/>
    </row>
    <row r="1102" spans="1:22" ht="12" customHeight="1">
      <c r="A1102" s="1040" t="str">
        <f t="shared" si="18"/>
        <v>4006</v>
      </c>
      <c r="B1102" s="1057" t="s">
        <v>16630</v>
      </c>
      <c r="C1102" s="1064"/>
      <c r="D1102" s="2">
        <v>1</v>
      </c>
      <c r="E1102" s="4" t="s">
        <v>4682</v>
      </c>
      <c r="F1102" s="1065" t="e">
        <f>IF(E1102="","$",VLOOKUP(E1102,'結果(小)'!$B$2:$F$1295,5,FALSE))</f>
        <v>#DIV/0!</v>
      </c>
      <c r="G1102" s="1" t="s">
        <v>4699</v>
      </c>
      <c r="H1102" s="6">
        <v>41</v>
      </c>
      <c r="I1102" s="2" t="s">
        <v>19</v>
      </c>
      <c r="J1102" s="1" t="s">
        <v>15273</v>
      </c>
      <c r="K1102" s="3"/>
      <c r="L1102" s="1"/>
      <c r="M1102" s="1"/>
      <c r="N1102" s="4" t="s">
        <v>16128</v>
      </c>
      <c r="O1102" s="1"/>
      <c r="P1102" s="1" t="s">
        <v>6</v>
      </c>
      <c r="Q1102" s="16"/>
      <c r="R1102" s="17"/>
      <c r="S1102" s="3" t="s">
        <v>6031</v>
      </c>
      <c r="T1102" s="1758"/>
      <c r="U1102" s="1749"/>
      <c r="V1102" s="1752"/>
    </row>
    <row r="1103" spans="1:22" ht="12" customHeight="1" thickBot="1">
      <c r="A1103" s="916" t="str">
        <f t="shared" si="18"/>
        <v>4006</v>
      </c>
      <c r="B1103" s="1086" t="s">
        <v>16631</v>
      </c>
      <c r="C1103" s="1075"/>
      <c r="D1103" s="702">
        <v>1</v>
      </c>
      <c r="E1103" s="700" t="s">
        <v>4768</v>
      </c>
      <c r="F1103" s="1071" t="e">
        <f>IF(E1103="","$",VLOOKUP(E1103,'結果(小)'!$B$2:$F$1295,5,FALSE))</f>
        <v>#DIV/0!</v>
      </c>
      <c r="G1103" s="906" t="s">
        <v>4782</v>
      </c>
      <c r="H1103" s="701">
        <v>36</v>
      </c>
      <c r="I1103" s="702" t="s">
        <v>5</v>
      </c>
      <c r="J1103" s="906" t="s">
        <v>15273</v>
      </c>
      <c r="K1103" s="703"/>
      <c r="L1103" s="906"/>
      <c r="M1103" s="906"/>
      <c r="N1103" s="700" t="s">
        <v>16128</v>
      </c>
      <c r="O1103" s="906"/>
      <c r="P1103" s="906" t="s">
        <v>6</v>
      </c>
      <c r="Q1103" s="705"/>
      <c r="R1103" s="903"/>
      <c r="S1103" s="703" t="s">
        <v>6031</v>
      </c>
      <c r="T1103" s="1759"/>
      <c r="U1103" s="1750"/>
      <c r="V1103" s="1753"/>
    </row>
    <row r="1104" spans="1:22" ht="12" customHeight="1">
      <c r="A1104" s="1038" t="str">
        <f t="shared" si="18"/>
        <v>4007</v>
      </c>
      <c r="B1104" s="1087" t="s">
        <v>15614</v>
      </c>
      <c r="C1104" s="1073"/>
      <c r="D1104" s="696">
        <v>1</v>
      </c>
      <c r="E1104" s="688" t="s">
        <v>4891</v>
      </c>
      <c r="F1104" s="1068" t="e">
        <f>IF(E1104="","$",VLOOKUP(E1104,'結果(小)'!$B$2:$F$1295,5,FALSE))</f>
        <v>#DIV/0!</v>
      </c>
      <c r="G1104" s="687" t="s">
        <v>4894</v>
      </c>
      <c r="H1104" s="690">
        <v>64</v>
      </c>
      <c r="I1104" s="696" t="s">
        <v>5</v>
      </c>
      <c r="J1104" s="687" t="s">
        <v>15273</v>
      </c>
      <c r="K1104" s="747" t="s">
        <v>4895</v>
      </c>
      <c r="L1104" s="687"/>
      <c r="M1104" s="687"/>
      <c r="N1104" s="688" t="s">
        <v>16117</v>
      </c>
      <c r="O1104" s="687"/>
      <c r="P1104" s="687" t="s">
        <v>25</v>
      </c>
      <c r="Q1104" s="748">
        <v>4</v>
      </c>
      <c r="R1104" s="749">
        <v>4</v>
      </c>
      <c r="S1104" s="747" t="s">
        <v>16652</v>
      </c>
      <c r="T1104" s="1760"/>
      <c r="U1104" s="1748"/>
      <c r="V1104" s="1751" t="e">
        <f>U1104/SUM(U995:U1118)</f>
        <v>#DIV/0!</v>
      </c>
    </row>
    <row r="1105" spans="1:22" ht="12" customHeight="1">
      <c r="A1105" s="1040" t="str">
        <f t="shared" si="18"/>
        <v>4007</v>
      </c>
      <c r="B1105" s="1058" t="s">
        <v>5685</v>
      </c>
      <c r="C1105" s="1064"/>
      <c r="D1105" s="2">
        <v>2</v>
      </c>
      <c r="E1105" s="2"/>
      <c r="F1105" s="1065" t="str">
        <f>IF(E1105="","$",VLOOKUP(E1105,'結果(小)'!$B$2:$F$1295,5,FALSE))</f>
        <v>$</v>
      </c>
      <c r="G1105" s="6" t="s">
        <v>4973</v>
      </c>
      <c r="H1105" s="6">
        <v>51</v>
      </c>
      <c r="I1105" s="6" t="s">
        <v>5</v>
      </c>
      <c r="J1105" s="2" t="s">
        <v>6067</v>
      </c>
      <c r="K1105" s="12"/>
      <c r="L1105" s="6"/>
      <c r="M1105" s="19"/>
      <c r="N1105" s="8" t="s">
        <v>16117</v>
      </c>
      <c r="O1105" s="6"/>
      <c r="P1105" s="6" t="s">
        <v>6</v>
      </c>
      <c r="Q1105" s="13"/>
      <c r="R1105" s="14"/>
      <c r="S1105" s="12"/>
      <c r="T1105" s="1761"/>
      <c r="U1105" s="1749"/>
      <c r="V1105" s="1752"/>
    </row>
    <row r="1106" spans="1:22" ht="12" customHeight="1">
      <c r="A1106" s="1040" t="str">
        <f t="shared" si="18"/>
        <v>4007</v>
      </c>
      <c r="B1106" s="1058" t="s">
        <v>16632</v>
      </c>
      <c r="C1106" s="1064"/>
      <c r="D1106" s="2">
        <v>3</v>
      </c>
      <c r="E1106" s="4" t="s">
        <v>5440</v>
      </c>
      <c r="F1106" s="1065" t="e">
        <f>IF(E1106="","$",VLOOKUP(E1106,'結果(小)'!$B$2:$F$1295,5,FALSE))</f>
        <v>#DIV/0!</v>
      </c>
      <c r="G1106" s="1" t="s">
        <v>4448</v>
      </c>
      <c r="H1106" s="6">
        <v>49</v>
      </c>
      <c r="I1106" s="2" t="s">
        <v>5</v>
      </c>
      <c r="J1106" s="1" t="s">
        <v>15273</v>
      </c>
      <c r="K1106" s="3"/>
      <c r="L1106" s="1"/>
      <c r="M1106" s="1"/>
      <c r="N1106" s="4" t="s">
        <v>16117</v>
      </c>
      <c r="O1106" s="1"/>
      <c r="P1106" s="1" t="s">
        <v>6</v>
      </c>
      <c r="Q1106" s="16"/>
      <c r="R1106" s="17"/>
      <c r="S1106" s="3"/>
      <c r="T1106" s="1761"/>
      <c r="U1106" s="1749"/>
      <c r="V1106" s="1752"/>
    </row>
    <row r="1107" spans="1:22" ht="12" customHeight="1" thickBot="1">
      <c r="A1107" s="916" t="str">
        <f t="shared" si="18"/>
        <v>4007</v>
      </c>
      <c r="B1107" s="1088" t="s">
        <v>16633</v>
      </c>
      <c r="C1107" s="1075"/>
      <c r="D1107" s="702">
        <v>4</v>
      </c>
      <c r="E1107" s="702"/>
      <c r="F1107" s="1071" t="str">
        <f>IF(E1107="","$",VLOOKUP(E1107,'結果(小)'!$B$2:$F$1295,5,FALSE))</f>
        <v>$</v>
      </c>
      <c r="G1107" s="701" t="s">
        <v>5498</v>
      </c>
      <c r="H1107" s="701">
        <v>46</v>
      </c>
      <c r="I1107" s="701" t="s">
        <v>5</v>
      </c>
      <c r="J1107" s="702" t="s">
        <v>6067</v>
      </c>
      <c r="K1107" s="740"/>
      <c r="L1107" s="701"/>
      <c r="M1107" s="741"/>
      <c r="N1107" s="704" t="s">
        <v>16117</v>
      </c>
      <c r="O1107" s="701"/>
      <c r="P1107" s="701" t="s">
        <v>6</v>
      </c>
      <c r="Q1107" s="742"/>
      <c r="R1107" s="743"/>
      <c r="S1107" s="740"/>
      <c r="T1107" s="1762"/>
      <c r="U1107" s="1750"/>
      <c r="V1107" s="1753"/>
    </row>
    <row r="1108" spans="1:22" ht="12" customHeight="1">
      <c r="A1108" s="1038" t="str">
        <f t="shared" si="18"/>
        <v>4008</v>
      </c>
      <c r="B1108" s="1099" t="s">
        <v>16635</v>
      </c>
      <c r="C1108" s="1073"/>
      <c r="D1108" s="696">
        <v>1</v>
      </c>
      <c r="E1108" s="688" t="s">
        <v>5343</v>
      </c>
      <c r="F1108" s="1068" t="e">
        <f>IF(E1108="","$",VLOOKUP(E1108,'結果(小)'!$B$2:$F$1295,5,FALSE))</f>
        <v>#DIV/0!</v>
      </c>
      <c r="G1108" s="687" t="s">
        <v>5344</v>
      </c>
      <c r="H1108" s="690">
        <v>36</v>
      </c>
      <c r="I1108" s="696" t="s">
        <v>19</v>
      </c>
      <c r="J1108" s="687" t="s">
        <v>15273</v>
      </c>
      <c r="K1108" s="747"/>
      <c r="L1108" s="687"/>
      <c r="M1108" s="687"/>
      <c r="N1108" s="688" t="s">
        <v>16121</v>
      </c>
      <c r="O1108" s="687"/>
      <c r="P1108" s="687" t="s">
        <v>6</v>
      </c>
      <c r="Q1108" s="748"/>
      <c r="R1108" s="749"/>
      <c r="S1108" s="747"/>
      <c r="T1108" s="1745"/>
      <c r="U1108" s="1748"/>
      <c r="V1108" s="1751" t="e">
        <f>U1108/SUM(U995:U1118)</f>
        <v>#DIV/0!</v>
      </c>
    </row>
    <row r="1109" spans="1:22" ht="12" customHeight="1">
      <c r="A1109" s="1040" t="str">
        <f t="shared" si="18"/>
        <v>4008</v>
      </c>
      <c r="B1109" s="1062" t="s">
        <v>16636</v>
      </c>
      <c r="C1109" s="1064"/>
      <c r="D1109" s="2">
        <v>1</v>
      </c>
      <c r="E1109" s="4" t="s">
        <v>4730</v>
      </c>
      <c r="F1109" s="1065" t="e">
        <f>IF(E1109="","$",VLOOKUP(E1109,'結果(小)'!$B$2:$F$1295,5,FALSE))</f>
        <v>#DIV/0!</v>
      </c>
      <c r="G1109" s="1" t="s">
        <v>4738</v>
      </c>
      <c r="H1109" s="6">
        <v>69</v>
      </c>
      <c r="I1109" s="2" t="s">
        <v>5</v>
      </c>
      <c r="J1109" s="1" t="s">
        <v>15273</v>
      </c>
      <c r="K1109" s="3"/>
      <c r="L1109" s="1"/>
      <c r="M1109" s="1"/>
      <c r="N1109" s="8" t="s">
        <v>16121</v>
      </c>
      <c r="O1109" s="1"/>
      <c r="P1109" s="1" t="s">
        <v>25</v>
      </c>
      <c r="Q1109" s="16">
        <v>1</v>
      </c>
      <c r="R1109" s="17">
        <v>1</v>
      </c>
      <c r="S1109" s="3"/>
      <c r="T1109" s="1746"/>
      <c r="U1109" s="1749"/>
      <c r="V1109" s="1752"/>
    </row>
    <row r="1110" spans="1:22" ht="12" customHeight="1">
      <c r="A1110" s="1040" t="str">
        <f t="shared" si="18"/>
        <v>4008</v>
      </c>
      <c r="B1110" s="1062" t="s">
        <v>16637</v>
      </c>
      <c r="C1110" s="1064"/>
      <c r="D1110" s="2">
        <v>1</v>
      </c>
      <c r="E1110" s="4" t="s">
        <v>16076</v>
      </c>
      <c r="F1110" s="1065" t="e">
        <f>IF(E1110="","$",VLOOKUP(E1110,'結果(小)'!$B$2:$F$1295,5,FALSE))</f>
        <v>#DIV/0!</v>
      </c>
      <c r="G1110" s="1" t="s">
        <v>5345</v>
      </c>
      <c r="H1110" s="6">
        <v>46</v>
      </c>
      <c r="I1110" s="2" t="s">
        <v>5</v>
      </c>
      <c r="J1110" s="1" t="s">
        <v>15273</v>
      </c>
      <c r="K1110" s="3"/>
      <c r="L1110" s="1"/>
      <c r="M1110" s="1"/>
      <c r="N1110" s="4" t="s">
        <v>16121</v>
      </c>
      <c r="O1110" s="1"/>
      <c r="P1110" s="1" t="s">
        <v>6</v>
      </c>
      <c r="Q1110" s="16"/>
      <c r="R1110" s="17"/>
      <c r="S1110" s="3"/>
      <c r="T1110" s="1746"/>
      <c r="U1110" s="1749"/>
      <c r="V1110" s="1752"/>
    </row>
    <row r="1111" spans="1:22" ht="12" customHeight="1">
      <c r="A1111" s="1040" t="str">
        <f t="shared" si="18"/>
        <v>4008</v>
      </c>
      <c r="B1111" s="1062" t="s">
        <v>16638</v>
      </c>
      <c r="C1111" s="1064"/>
      <c r="D1111" s="2">
        <v>1</v>
      </c>
      <c r="E1111" s="4" t="s">
        <v>5705</v>
      </c>
      <c r="F1111" s="1065" t="e">
        <f>IF(E1111="","$",VLOOKUP(E1111,'結果(小)'!$B$2:$F$1295,5,FALSE))</f>
        <v>#DIV/0!</v>
      </c>
      <c r="G1111" s="1" t="s">
        <v>5706</v>
      </c>
      <c r="H1111" s="6">
        <v>56</v>
      </c>
      <c r="I1111" s="2" t="s">
        <v>5</v>
      </c>
      <c r="J1111" s="1" t="s">
        <v>15273</v>
      </c>
      <c r="K1111" s="3"/>
      <c r="L1111" s="1"/>
      <c r="M1111" s="1"/>
      <c r="N1111" s="4" t="s">
        <v>16121</v>
      </c>
      <c r="O1111" s="1"/>
      <c r="P1111" s="1" t="s">
        <v>6</v>
      </c>
      <c r="Q1111" s="16"/>
      <c r="R1111" s="17"/>
      <c r="S1111" s="3"/>
      <c r="T1111" s="1746"/>
      <c r="U1111" s="1749"/>
      <c r="V1111" s="1752"/>
    </row>
    <row r="1112" spans="1:22" ht="12" customHeight="1" thickBot="1">
      <c r="A1112" s="916" t="str">
        <f t="shared" si="18"/>
        <v>4008</v>
      </c>
      <c r="B1112" s="1100" t="s">
        <v>16639</v>
      </c>
      <c r="C1112" s="1075"/>
      <c r="D1112" s="702">
        <v>1</v>
      </c>
      <c r="E1112" s="700" t="s">
        <v>4904</v>
      </c>
      <c r="F1112" s="1071" t="e">
        <f>IF(E1112="","$",VLOOKUP(E1112,'結果(小)'!$B$2:$F$1295,5,FALSE))</f>
        <v>#DIV/0!</v>
      </c>
      <c r="G1112" s="906" t="s">
        <v>4907</v>
      </c>
      <c r="H1112" s="701">
        <v>67</v>
      </c>
      <c r="I1112" s="702" t="s">
        <v>5</v>
      </c>
      <c r="J1112" s="906" t="s">
        <v>15273</v>
      </c>
      <c r="K1112" s="703" t="s">
        <v>4908</v>
      </c>
      <c r="L1112" s="906"/>
      <c r="M1112" s="906"/>
      <c r="N1112" s="700" t="s">
        <v>16121</v>
      </c>
      <c r="O1112" s="906"/>
      <c r="P1112" s="906" t="s">
        <v>25</v>
      </c>
      <c r="Q1112" s="705">
        <v>3</v>
      </c>
      <c r="R1112" s="903">
        <v>5</v>
      </c>
      <c r="S1112" s="703" t="s">
        <v>16652</v>
      </c>
      <c r="T1112" s="1747"/>
      <c r="U1112" s="1750"/>
      <c r="V1112" s="1753"/>
    </row>
    <row r="1113" spans="1:22" ht="12" customHeight="1" thickBot="1">
      <c r="A1113" s="658" t="str">
        <f t="shared" si="18"/>
        <v>4009</v>
      </c>
      <c r="B1113" s="1110" t="s">
        <v>15617</v>
      </c>
      <c r="C1113" s="1077"/>
      <c r="D1113" s="660">
        <v>1</v>
      </c>
      <c r="E1113" s="660"/>
      <c r="F1113" s="1078" t="str">
        <f>IF(E1113="","$",VLOOKUP(E1113,'結果(小)'!$B$2:$F$1295,5,FALSE))</f>
        <v>$</v>
      </c>
      <c r="G1113" s="660" t="s">
        <v>15618</v>
      </c>
      <c r="H1113" s="728">
        <v>43</v>
      </c>
      <c r="I1113" s="660" t="s">
        <v>5</v>
      </c>
      <c r="J1113" s="660" t="s">
        <v>6067</v>
      </c>
      <c r="K1113" s="733" t="s">
        <v>15622</v>
      </c>
      <c r="L1113" s="660"/>
      <c r="M1113" s="660"/>
      <c r="N1113" s="762" t="s">
        <v>16119</v>
      </c>
      <c r="O1113" s="660"/>
      <c r="P1113" s="660" t="s">
        <v>25</v>
      </c>
      <c r="Q1113" s="763">
        <v>1</v>
      </c>
      <c r="R1113" s="764">
        <v>1</v>
      </c>
      <c r="S1113" s="733"/>
      <c r="T1113" s="1111"/>
      <c r="U1113" s="1152"/>
      <c r="V1113" s="1080" t="e">
        <f>U1113/SUM(U995:U1118)</f>
        <v>#DIV/0!</v>
      </c>
    </row>
    <row r="1114" spans="1:22" ht="12" customHeight="1">
      <c r="A1114" s="1038" t="str">
        <f t="shared" si="18"/>
        <v>4013</v>
      </c>
      <c r="B1114" s="1093" t="s">
        <v>16641</v>
      </c>
      <c r="C1114" s="1073"/>
      <c r="D1114" s="696">
        <v>1</v>
      </c>
      <c r="E1114" s="696"/>
      <c r="F1114" s="1068" t="str">
        <f>IF(E1114="","$",VLOOKUP(E1114,'結果(小)'!$B$2:$F$1295,5,FALSE))</f>
        <v>$</v>
      </c>
      <c r="G1114" s="690" t="s">
        <v>5152</v>
      </c>
      <c r="H1114" s="690">
        <v>51</v>
      </c>
      <c r="I1114" s="690" t="s">
        <v>5</v>
      </c>
      <c r="J1114" s="696" t="s">
        <v>6067</v>
      </c>
      <c r="K1114" s="735"/>
      <c r="L1114" s="690"/>
      <c r="M1114" s="736"/>
      <c r="N1114" s="716" t="s">
        <v>16122</v>
      </c>
      <c r="O1114" s="690" t="s">
        <v>22</v>
      </c>
      <c r="P1114" s="690" t="s">
        <v>6</v>
      </c>
      <c r="Q1114" s="737"/>
      <c r="R1114" s="738"/>
      <c r="S1114" s="735"/>
      <c r="T1114" s="1754"/>
      <c r="U1114" s="1748"/>
      <c r="V1114" s="1751" t="e">
        <f>U1114/SUM(U995:U1118)</f>
        <v>#DIV/0!</v>
      </c>
    </row>
    <row r="1115" spans="1:22" ht="12" customHeight="1">
      <c r="A1115" s="1040" t="str">
        <f t="shared" si="18"/>
        <v>4013</v>
      </c>
      <c r="B1115" s="1060" t="s">
        <v>16642</v>
      </c>
      <c r="C1115" s="1064"/>
      <c r="D1115" s="2">
        <v>2</v>
      </c>
      <c r="E1115" s="2"/>
      <c r="F1115" s="1065" t="str">
        <f>IF(E1115="","$",VLOOKUP(E1115,'結果(小)'!$B$2:$F$1295,5,FALSE))</f>
        <v>$</v>
      </c>
      <c r="G1115" s="2" t="s">
        <v>16640</v>
      </c>
      <c r="H1115" s="6">
        <v>53</v>
      </c>
      <c r="I1115" s="2" t="s">
        <v>19</v>
      </c>
      <c r="J1115" s="2" t="s">
        <v>6067</v>
      </c>
      <c r="K1115" s="22"/>
      <c r="L1115" s="2"/>
      <c r="M1115" s="2"/>
      <c r="N1115" s="23" t="s">
        <v>16122</v>
      </c>
      <c r="O1115" s="2" t="s">
        <v>22</v>
      </c>
      <c r="P1115" s="2" t="s">
        <v>6</v>
      </c>
      <c r="Q1115" s="24"/>
      <c r="R1115" s="25"/>
      <c r="S1115" s="22"/>
      <c r="T1115" s="1755"/>
      <c r="U1115" s="1749"/>
      <c r="V1115" s="1752"/>
    </row>
    <row r="1116" spans="1:22" ht="12" customHeight="1">
      <c r="A1116" s="1040" t="str">
        <f t="shared" si="18"/>
        <v>4013</v>
      </c>
      <c r="B1116" s="1060" t="s">
        <v>16643</v>
      </c>
      <c r="C1116" s="1064"/>
      <c r="D1116" s="2">
        <v>3</v>
      </c>
      <c r="E1116" s="2"/>
      <c r="F1116" s="1065" t="str">
        <f>IF(E1116="","$",VLOOKUP(E1116,'結果(小)'!$B$2:$F$1295,5,FALSE))</f>
        <v>$</v>
      </c>
      <c r="G1116" s="2" t="s">
        <v>4978</v>
      </c>
      <c r="H1116" s="6">
        <v>34</v>
      </c>
      <c r="I1116" s="2" t="s">
        <v>5</v>
      </c>
      <c r="J1116" s="2" t="s">
        <v>6067</v>
      </c>
      <c r="K1116" s="22"/>
      <c r="L1116" s="2"/>
      <c r="M1116" s="2"/>
      <c r="N1116" s="23" t="s">
        <v>16122</v>
      </c>
      <c r="O1116" s="2" t="s">
        <v>22</v>
      </c>
      <c r="P1116" s="2" t="s">
        <v>6</v>
      </c>
      <c r="Q1116" s="24"/>
      <c r="R1116" s="25"/>
      <c r="S1116" s="22"/>
      <c r="T1116" s="1755"/>
      <c r="U1116" s="1749"/>
      <c r="V1116" s="1752"/>
    </row>
    <row r="1117" spans="1:22" ht="12" customHeight="1">
      <c r="A1117" s="1040" t="str">
        <f t="shared" si="18"/>
        <v>4013</v>
      </c>
      <c r="B1117" s="1060" t="s">
        <v>16644</v>
      </c>
      <c r="C1117" s="1064"/>
      <c r="D1117" s="2">
        <v>4</v>
      </c>
      <c r="E1117" s="2"/>
      <c r="F1117" s="1065" t="str">
        <f>IF(E1117="","$",VLOOKUP(E1117,'結果(小)'!$B$2:$F$1295,5,FALSE))</f>
        <v>$</v>
      </c>
      <c r="G1117" s="2" t="s">
        <v>5156</v>
      </c>
      <c r="H1117" s="6">
        <v>58</v>
      </c>
      <c r="I1117" s="2" t="s">
        <v>5</v>
      </c>
      <c r="J1117" s="2" t="s">
        <v>6067</v>
      </c>
      <c r="K1117" s="22"/>
      <c r="L1117" s="2"/>
      <c r="M1117" s="2"/>
      <c r="N1117" s="23" t="s">
        <v>16122</v>
      </c>
      <c r="O1117" s="2" t="s">
        <v>22</v>
      </c>
      <c r="P1117" s="2" t="s">
        <v>6</v>
      </c>
      <c r="Q1117" s="24"/>
      <c r="R1117" s="25"/>
      <c r="S1117" s="22"/>
      <c r="T1117" s="1755"/>
      <c r="U1117" s="1749"/>
      <c r="V1117" s="1752"/>
    </row>
    <row r="1118" spans="1:22" ht="12" customHeight="1" thickBot="1">
      <c r="A1118" s="916" t="str">
        <f t="shared" si="18"/>
        <v>4013</v>
      </c>
      <c r="B1118" s="1094" t="s">
        <v>16645</v>
      </c>
      <c r="C1118" s="1075"/>
      <c r="D1118" s="702">
        <v>5</v>
      </c>
      <c r="E1118" s="702"/>
      <c r="F1118" s="1071" t="str">
        <f>IF(E1118="","$",VLOOKUP(E1118,'結果(小)'!$B$2:$F$1295,5,FALSE))</f>
        <v>$</v>
      </c>
      <c r="G1118" s="701" t="s">
        <v>5159</v>
      </c>
      <c r="H1118" s="701">
        <v>52</v>
      </c>
      <c r="I1118" s="701" t="s">
        <v>5</v>
      </c>
      <c r="J1118" s="702" t="s">
        <v>6067</v>
      </c>
      <c r="K1118" s="741"/>
      <c r="L1118" s="701"/>
      <c r="M1118" s="741"/>
      <c r="N1118" s="741" t="s">
        <v>16122</v>
      </c>
      <c r="O1118" s="701" t="s">
        <v>22</v>
      </c>
      <c r="P1118" s="701" t="s">
        <v>6</v>
      </c>
      <c r="Q1118" s="742"/>
      <c r="R1118" s="743"/>
      <c r="S1118" s="740"/>
      <c r="T1118" s="1756"/>
      <c r="U1118" s="1750"/>
      <c r="V1118" s="1753"/>
    </row>
    <row r="1121" spans="5:11" ht="15" thickBot="1">
      <c r="E1121" s="1742" t="s">
        <v>18521</v>
      </c>
      <c r="F1121" s="1742"/>
      <c r="G1121" s="1742"/>
      <c r="H1121" s="1742"/>
      <c r="I1121" s="1742"/>
      <c r="J1121" s="1742"/>
      <c r="K1121" s="1742"/>
    </row>
    <row r="1122" spans="5:11" ht="15" customHeight="1" thickBot="1">
      <c r="E1122" s="893" t="s">
        <v>18214</v>
      </c>
      <c r="F1122" s="888" t="s">
        <v>18504</v>
      </c>
      <c r="G1122" s="1248" t="s">
        <v>18517</v>
      </c>
      <c r="H1122" s="1249"/>
      <c r="I1122" s="1249"/>
      <c r="J1122" s="1322"/>
      <c r="K1122" s="920" t="s">
        <v>18518</v>
      </c>
    </row>
    <row r="1123" spans="5:11" ht="15" customHeight="1">
      <c r="E1123" s="1021" t="s">
        <v>15568</v>
      </c>
      <c r="F1123" s="1010">
        <f>T2+T50+T142+T265+T404+T522+T595+T718+T883+T951+T995</f>
        <v>0</v>
      </c>
      <c r="G1123" s="1743">
        <f>U2+U50+U142+U265+U404+U522+U595+U718+U883+U951+U995</f>
        <v>0</v>
      </c>
      <c r="H1123" s="1744"/>
      <c r="I1123" s="1744"/>
      <c r="J1123" s="889" t="s">
        <v>18520</v>
      </c>
      <c r="K1123" s="1115" t="e">
        <f>G1123/$G$1137</f>
        <v>#DIV/0!</v>
      </c>
    </row>
    <row r="1124" spans="5:11" ht="15" customHeight="1">
      <c r="E1124" s="1022" t="s">
        <v>15582</v>
      </c>
      <c r="F1124" s="1011">
        <f>T13+T72+T169+T296+T429+T542+T628+T761+T902+T960+T1022</f>
        <v>0</v>
      </c>
      <c r="G1124" s="1736">
        <f>U13+U72+U169+U296+U429+U542+U628+U761+U902+U960+U1022</f>
        <v>0</v>
      </c>
      <c r="H1124" s="1737"/>
      <c r="I1124" s="1737"/>
      <c r="J1124" s="890" t="s">
        <v>18520</v>
      </c>
      <c r="K1124" s="1116" t="e">
        <f t="shared" ref="K1124:K1136" si="19">G1124/$G$1137</f>
        <v>#DIV/0!</v>
      </c>
    </row>
    <row r="1125" spans="5:11" ht="15" customHeight="1">
      <c r="E1125" s="1023" t="s">
        <v>15584</v>
      </c>
      <c r="F1125" s="1011">
        <f>T28+T98+T205+T331+T458+T567+T664+T800+T928+T978+T1063</f>
        <v>0</v>
      </c>
      <c r="G1125" s="1736">
        <f>U28+U98+U205+U331+U458+U567+U664+U800+U928+U978+U1063</f>
        <v>0</v>
      </c>
      <c r="H1125" s="1737"/>
      <c r="I1125" s="1737"/>
      <c r="J1125" s="890" t="s">
        <v>18520</v>
      </c>
      <c r="K1125" s="1116" t="e">
        <f t="shared" si="19"/>
        <v>#DIV/0!</v>
      </c>
    </row>
    <row r="1126" spans="5:11" ht="15" customHeight="1">
      <c r="E1126" s="1024" t="s">
        <v>15571</v>
      </c>
      <c r="F1126" s="1011">
        <f>T29+T114+T219+T348+T476+T570+T685+T814+T931+T980+T1073</f>
        <v>0</v>
      </c>
      <c r="G1126" s="1736">
        <f>U29+U114+U219+U348+U476+U570+U685+U814+U931+U980+U1073</f>
        <v>0</v>
      </c>
      <c r="H1126" s="1737"/>
      <c r="I1126" s="1737"/>
      <c r="J1126" s="890" t="s">
        <v>18520</v>
      </c>
      <c r="K1126" s="1116" t="e">
        <f t="shared" si="19"/>
        <v>#DIV/0!</v>
      </c>
    </row>
    <row r="1127" spans="5:11" ht="15" customHeight="1">
      <c r="E1127" s="1025" t="s">
        <v>15587</v>
      </c>
      <c r="F1127" s="1011">
        <f>T31+T116+T225+T353+T480+T572+T690+T821+T935+T982+T1079</f>
        <v>0</v>
      </c>
      <c r="G1127" s="1736">
        <f>U31+U116+U225+U353+U480+U572+U690+U821+U935+U982+U1079</f>
        <v>0</v>
      </c>
      <c r="H1127" s="1737"/>
      <c r="I1127" s="1737"/>
      <c r="J1127" s="890" t="s">
        <v>18520</v>
      </c>
      <c r="K1127" s="1116" t="e">
        <f t="shared" si="19"/>
        <v>#DIV/0!</v>
      </c>
    </row>
    <row r="1128" spans="5:11" ht="15" customHeight="1">
      <c r="E1128" s="1026" t="s">
        <v>15589</v>
      </c>
      <c r="F1128" s="1011">
        <f>T35+T126+T243+T373+T502+T582+T704+T861+T943+T989+T1098</f>
        <v>0</v>
      </c>
      <c r="G1128" s="1736">
        <f>U35+U126+U243+U373+U502+U582+U704+U861+U943+U989+U1098</f>
        <v>0</v>
      </c>
      <c r="H1128" s="1737"/>
      <c r="I1128" s="1737"/>
      <c r="J1128" s="890" t="s">
        <v>18520</v>
      </c>
      <c r="K1128" s="1116" t="e">
        <f t="shared" si="19"/>
        <v>#DIV/0!</v>
      </c>
    </row>
    <row r="1129" spans="5:11" ht="15" customHeight="1">
      <c r="E1129" s="1027" t="s">
        <v>15591</v>
      </c>
      <c r="F1129" s="1011">
        <f>T38+T129+T255+T392+T512+T584+T708+T867+T945+T990+T1104</f>
        <v>0</v>
      </c>
      <c r="G1129" s="1736">
        <f>U38+U129+U255+U392+U512+U584+U708+U867+U945+U990+U1104</f>
        <v>0</v>
      </c>
      <c r="H1129" s="1737"/>
      <c r="I1129" s="1737"/>
      <c r="J1129" s="890" t="s">
        <v>18520</v>
      </c>
      <c r="K1129" s="1116" t="e">
        <f t="shared" si="19"/>
        <v>#DIV/0!</v>
      </c>
    </row>
    <row r="1130" spans="5:11" ht="15" customHeight="1">
      <c r="E1130" s="1028" t="s">
        <v>15593</v>
      </c>
      <c r="F1130" s="1011">
        <f>T40+T131+T258+T396+T516+T586+T711+T874+T947+T992+T1108</f>
        <v>0</v>
      </c>
      <c r="G1130" s="1736">
        <f>U40+U131+U258+U396+U516+U586+U711+U874+U947+U992+U1108</f>
        <v>0</v>
      </c>
      <c r="H1130" s="1737"/>
      <c r="I1130" s="1737"/>
      <c r="J1130" s="890" t="s">
        <v>18520</v>
      </c>
      <c r="K1130" s="1116" t="e">
        <f t="shared" si="19"/>
        <v>#DIV/0!</v>
      </c>
    </row>
    <row r="1131" spans="5:11" ht="15" customHeight="1">
      <c r="E1131" s="1029" t="s">
        <v>18232</v>
      </c>
      <c r="F1131" s="1011">
        <f>T1113</f>
        <v>0</v>
      </c>
      <c r="G1131" s="1736">
        <f>U1113</f>
        <v>0</v>
      </c>
      <c r="H1131" s="1737"/>
      <c r="I1131" s="1737"/>
      <c r="J1131" s="890" t="s">
        <v>18520</v>
      </c>
      <c r="K1131" s="1116" t="e">
        <f t="shared" si="19"/>
        <v>#DIV/0!</v>
      </c>
    </row>
    <row r="1132" spans="5:11" ht="15" customHeight="1">
      <c r="E1132" s="1030" t="s">
        <v>15597</v>
      </c>
      <c r="F1132" s="1011">
        <f>T41</f>
        <v>0</v>
      </c>
      <c r="G1132" s="1736">
        <f>U41</f>
        <v>0</v>
      </c>
      <c r="H1132" s="1737"/>
      <c r="I1132" s="1737"/>
      <c r="J1132" s="890" t="s">
        <v>18520</v>
      </c>
      <c r="K1132" s="1116" t="e">
        <f t="shared" si="19"/>
        <v>#DIV/0!</v>
      </c>
    </row>
    <row r="1133" spans="5:11" ht="15" customHeight="1">
      <c r="E1133" s="1031" t="s">
        <v>15599</v>
      </c>
      <c r="F1133" s="1011">
        <f>T138+T517</f>
        <v>0</v>
      </c>
      <c r="G1133" s="1736">
        <f>U138+U517</f>
        <v>0</v>
      </c>
      <c r="H1133" s="1737"/>
      <c r="I1133" s="1737"/>
      <c r="J1133" s="890" t="s">
        <v>18520</v>
      </c>
      <c r="K1133" s="1116" t="e">
        <f t="shared" si="19"/>
        <v>#DIV/0!</v>
      </c>
    </row>
    <row r="1134" spans="5:11" ht="15" customHeight="1">
      <c r="E1134" s="1032" t="s">
        <v>18502</v>
      </c>
      <c r="F1134" s="1011">
        <f>SUMPRODUCT(($C$2:$C$1295="当選")*($N$2:$N$1295="１２新日本"))</f>
        <v>0</v>
      </c>
      <c r="G1134" s="1736">
        <v>0</v>
      </c>
      <c r="H1134" s="1737"/>
      <c r="I1134" s="1737"/>
      <c r="J1134" s="890" t="s">
        <v>18520</v>
      </c>
      <c r="K1134" s="1116" t="e">
        <f t="shared" si="19"/>
        <v>#DIV/0!</v>
      </c>
    </row>
    <row r="1135" spans="5:11" ht="15" customHeight="1">
      <c r="E1135" s="1033" t="s">
        <v>15609</v>
      </c>
      <c r="F1135" s="1011">
        <f>T48+T139+T261+T399+T518+T592+T713+T877+T948+T993+T1114</f>
        <v>0</v>
      </c>
      <c r="G1135" s="1736">
        <f>U48+U139+U261+U399+U518+U592+U713+U877+U948+U993+U1114</f>
        <v>0</v>
      </c>
      <c r="H1135" s="1737"/>
      <c r="I1135" s="1737"/>
      <c r="J1135" s="890" t="s">
        <v>18520</v>
      </c>
      <c r="K1135" s="1116" t="e">
        <f t="shared" si="19"/>
        <v>#DIV/0!</v>
      </c>
    </row>
    <row r="1136" spans="5:11" ht="15" customHeight="1" thickBot="1">
      <c r="E1136" s="1034" t="s">
        <v>15611</v>
      </c>
      <c r="F1136" s="1013">
        <v>0</v>
      </c>
      <c r="G1136" s="1738">
        <v>0</v>
      </c>
      <c r="H1136" s="1739"/>
      <c r="I1136" s="1739"/>
      <c r="J1136" s="1020" t="s">
        <v>18520</v>
      </c>
      <c r="K1136" s="1117" t="e">
        <f t="shared" si="19"/>
        <v>#DIV/0!</v>
      </c>
    </row>
    <row r="1137" spans="5:11" ht="15" customHeight="1" thickBot="1">
      <c r="E1137" s="892" t="s">
        <v>18242</v>
      </c>
      <c r="F1137" s="1014">
        <f>SUM(F1123:F1136)</f>
        <v>0</v>
      </c>
      <c r="G1137" s="1740">
        <f>SUM(G1123:G1136)</f>
        <v>0</v>
      </c>
      <c r="H1137" s="1741"/>
      <c r="I1137" s="1741"/>
      <c r="J1137" s="888" t="s">
        <v>18520</v>
      </c>
      <c r="K1137" s="1114"/>
    </row>
    <row r="1138" spans="5:11" ht="15" customHeight="1" thickBot="1">
      <c r="E1138" s="1112" t="s">
        <v>18503</v>
      </c>
      <c r="F1138" s="1113">
        <f>180-F1137</f>
        <v>180</v>
      </c>
    </row>
  </sheetData>
  <mergeCells count="299">
    <mergeCell ref="T29:T30"/>
    <mergeCell ref="U29:U30"/>
    <mergeCell ref="V29:V30"/>
    <mergeCell ref="T31:T34"/>
    <mergeCell ref="U31:U34"/>
    <mergeCell ref="V31:V34"/>
    <mergeCell ref="T2:T12"/>
    <mergeCell ref="T13:T27"/>
    <mergeCell ref="U2:U12"/>
    <mergeCell ref="V2:V12"/>
    <mergeCell ref="U13:U27"/>
    <mergeCell ref="V13:V27"/>
    <mergeCell ref="T41:T47"/>
    <mergeCell ref="U41:U47"/>
    <mergeCell ref="V41:V47"/>
    <mergeCell ref="T48:T49"/>
    <mergeCell ref="U48:U49"/>
    <mergeCell ref="V48:V49"/>
    <mergeCell ref="T35:T37"/>
    <mergeCell ref="U35:U37"/>
    <mergeCell ref="V35:V37"/>
    <mergeCell ref="T38:T39"/>
    <mergeCell ref="U38:U39"/>
    <mergeCell ref="V38:V39"/>
    <mergeCell ref="U50:U71"/>
    <mergeCell ref="V50:V71"/>
    <mergeCell ref="U72:U97"/>
    <mergeCell ref="V72:V97"/>
    <mergeCell ref="U98:U113"/>
    <mergeCell ref="V98:V113"/>
    <mergeCell ref="U114:U115"/>
    <mergeCell ref="T50:T71"/>
    <mergeCell ref="T72:T97"/>
    <mergeCell ref="T98:T113"/>
    <mergeCell ref="T114:T115"/>
    <mergeCell ref="U131:U137"/>
    <mergeCell ref="V131:V137"/>
    <mergeCell ref="U139:U141"/>
    <mergeCell ref="V139:V141"/>
    <mergeCell ref="T142:T168"/>
    <mergeCell ref="T169:T204"/>
    <mergeCell ref="V114:V115"/>
    <mergeCell ref="U116:U125"/>
    <mergeCell ref="V116:V125"/>
    <mergeCell ref="U126:U128"/>
    <mergeCell ref="V126:V128"/>
    <mergeCell ref="U129:U130"/>
    <mergeCell ref="V129:V130"/>
    <mergeCell ref="T129:T130"/>
    <mergeCell ref="T131:T137"/>
    <mergeCell ref="T139:T141"/>
    <mergeCell ref="T116:T125"/>
    <mergeCell ref="T126:T128"/>
    <mergeCell ref="U169:U204"/>
    <mergeCell ref="V169:V204"/>
    <mergeCell ref="U142:U168"/>
    <mergeCell ref="V142:V168"/>
    <mergeCell ref="T261:T264"/>
    <mergeCell ref="U261:U264"/>
    <mergeCell ref="V261:V264"/>
    <mergeCell ref="U258:U260"/>
    <mergeCell ref="V258:V260"/>
    <mergeCell ref="U255:U257"/>
    <mergeCell ref="V255:V257"/>
    <mergeCell ref="T205:T218"/>
    <mergeCell ref="T219:T224"/>
    <mergeCell ref="T225:T242"/>
    <mergeCell ref="T243:T254"/>
    <mergeCell ref="T255:T257"/>
    <mergeCell ref="T258:T260"/>
    <mergeCell ref="U205:U218"/>
    <mergeCell ref="V205:V218"/>
    <mergeCell ref="U243:U254"/>
    <mergeCell ref="V243:V254"/>
    <mergeCell ref="U225:U242"/>
    <mergeCell ref="V225:V242"/>
    <mergeCell ref="U219:U224"/>
    <mergeCell ref="V219:V224"/>
    <mergeCell ref="T331:T347"/>
    <mergeCell ref="U331:U347"/>
    <mergeCell ref="V331:V347"/>
    <mergeCell ref="T348:T352"/>
    <mergeCell ref="U348:U352"/>
    <mergeCell ref="V348:V352"/>
    <mergeCell ref="T265:T295"/>
    <mergeCell ref="U265:U295"/>
    <mergeCell ref="V265:V295"/>
    <mergeCell ref="T296:T330"/>
    <mergeCell ref="U296:U330"/>
    <mergeCell ref="V296:V330"/>
    <mergeCell ref="T392:T395"/>
    <mergeCell ref="U392:U395"/>
    <mergeCell ref="V392:V395"/>
    <mergeCell ref="T396:T398"/>
    <mergeCell ref="U396:U398"/>
    <mergeCell ref="V396:V398"/>
    <mergeCell ref="T353:T372"/>
    <mergeCell ref="U353:U372"/>
    <mergeCell ref="V353:V372"/>
    <mergeCell ref="T373:T391"/>
    <mergeCell ref="U373:U391"/>
    <mergeCell ref="V373:V391"/>
    <mergeCell ref="U404:U428"/>
    <mergeCell ref="U429:U457"/>
    <mergeCell ref="U458:U475"/>
    <mergeCell ref="U476:U479"/>
    <mergeCell ref="U518:U521"/>
    <mergeCell ref="T399:T403"/>
    <mergeCell ref="U399:U403"/>
    <mergeCell ref="V399:V403"/>
    <mergeCell ref="T404:T428"/>
    <mergeCell ref="T429:T457"/>
    <mergeCell ref="T458:T475"/>
    <mergeCell ref="V404:V428"/>
    <mergeCell ref="V429:V457"/>
    <mergeCell ref="V458:V475"/>
    <mergeCell ref="V476:V479"/>
    <mergeCell ref="U480:U501"/>
    <mergeCell ref="V480:V501"/>
    <mergeCell ref="U502:U511"/>
    <mergeCell ref="V502:V511"/>
    <mergeCell ref="U512:U515"/>
    <mergeCell ref="V512:V515"/>
    <mergeCell ref="T476:T479"/>
    <mergeCell ref="T480:T501"/>
    <mergeCell ref="T502:T511"/>
    <mergeCell ref="T512:T515"/>
    <mergeCell ref="T567:T569"/>
    <mergeCell ref="U567:U569"/>
    <mergeCell ref="V567:V569"/>
    <mergeCell ref="T570:T571"/>
    <mergeCell ref="U570:U571"/>
    <mergeCell ref="V570:V571"/>
    <mergeCell ref="V518:V521"/>
    <mergeCell ref="T522:T541"/>
    <mergeCell ref="U522:U541"/>
    <mergeCell ref="V522:V541"/>
    <mergeCell ref="T542:T566"/>
    <mergeCell ref="U542:U566"/>
    <mergeCell ref="V542:V566"/>
    <mergeCell ref="T518:T521"/>
    <mergeCell ref="T584:T585"/>
    <mergeCell ref="U584:U585"/>
    <mergeCell ref="V584:V585"/>
    <mergeCell ref="T586:T591"/>
    <mergeCell ref="U586:U591"/>
    <mergeCell ref="V586:V591"/>
    <mergeCell ref="T572:T581"/>
    <mergeCell ref="U572:U581"/>
    <mergeCell ref="V572:V581"/>
    <mergeCell ref="T582:T583"/>
    <mergeCell ref="U582:U583"/>
    <mergeCell ref="V582:V583"/>
    <mergeCell ref="T685:T689"/>
    <mergeCell ref="T690:T703"/>
    <mergeCell ref="T704:T707"/>
    <mergeCell ref="T708:T710"/>
    <mergeCell ref="T711:T712"/>
    <mergeCell ref="T713:T717"/>
    <mergeCell ref="T592:T594"/>
    <mergeCell ref="U592:U594"/>
    <mergeCell ref="V592:V594"/>
    <mergeCell ref="T595:T627"/>
    <mergeCell ref="T628:T663"/>
    <mergeCell ref="T664:T684"/>
    <mergeCell ref="U595:U627"/>
    <mergeCell ref="V595:V627"/>
    <mergeCell ref="U628:U663"/>
    <mergeCell ref="V628:V663"/>
    <mergeCell ref="U704:U707"/>
    <mergeCell ref="V704:V707"/>
    <mergeCell ref="U708:U710"/>
    <mergeCell ref="V708:V710"/>
    <mergeCell ref="U711:U712"/>
    <mergeCell ref="V711:V712"/>
    <mergeCell ref="U664:U684"/>
    <mergeCell ref="V664:V684"/>
    <mergeCell ref="V718:V760"/>
    <mergeCell ref="V761:V799"/>
    <mergeCell ref="V800:V813"/>
    <mergeCell ref="V814:V820"/>
    <mergeCell ref="V821:V860"/>
    <mergeCell ref="U685:U689"/>
    <mergeCell ref="V685:V689"/>
    <mergeCell ref="U690:U703"/>
    <mergeCell ref="V690:V703"/>
    <mergeCell ref="U718:U760"/>
    <mergeCell ref="U761:U799"/>
    <mergeCell ref="U800:U813"/>
    <mergeCell ref="U814:U820"/>
    <mergeCell ref="U821:U860"/>
    <mergeCell ref="U713:U717"/>
    <mergeCell ref="V713:V717"/>
    <mergeCell ref="T821:T860"/>
    <mergeCell ref="T861:T866"/>
    <mergeCell ref="T867:T873"/>
    <mergeCell ref="T874:T876"/>
    <mergeCell ref="T928:T930"/>
    <mergeCell ref="T718:T760"/>
    <mergeCell ref="T761:T799"/>
    <mergeCell ref="T800:T813"/>
    <mergeCell ref="T814:T820"/>
    <mergeCell ref="V945:V946"/>
    <mergeCell ref="U948:U950"/>
    <mergeCell ref="V948:V950"/>
    <mergeCell ref="U928:U930"/>
    <mergeCell ref="V928:V930"/>
    <mergeCell ref="U861:U866"/>
    <mergeCell ref="V861:V866"/>
    <mergeCell ref="U867:U873"/>
    <mergeCell ref="V867:V873"/>
    <mergeCell ref="U874:U876"/>
    <mergeCell ref="V874:V876"/>
    <mergeCell ref="U877:U882"/>
    <mergeCell ref="V877:V882"/>
    <mergeCell ref="T883:T901"/>
    <mergeCell ref="T902:T927"/>
    <mergeCell ref="U883:U901"/>
    <mergeCell ref="V883:V901"/>
    <mergeCell ref="U902:U927"/>
    <mergeCell ref="V902:V927"/>
    <mergeCell ref="T877:T882"/>
    <mergeCell ref="U931:U934"/>
    <mergeCell ref="V931:V934"/>
    <mergeCell ref="U935:U942"/>
    <mergeCell ref="V935:V942"/>
    <mergeCell ref="T978:T979"/>
    <mergeCell ref="U978:U979"/>
    <mergeCell ref="V978:V979"/>
    <mergeCell ref="T980:T981"/>
    <mergeCell ref="U980:U981"/>
    <mergeCell ref="V980:V981"/>
    <mergeCell ref="T951:T959"/>
    <mergeCell ref="U951:U959"/>
    <mergeCell ref="V951:V959"/>
    <mergeCell ref="T960:T977"/>
    <mergeCell ref="U960:U977"/>
    <mergeCell ref="V960:V977"/>
    <mergeCell ref="T931:T934"/>
    <mergeCell ref="T935:T942"/>
    <mergeCell ref="T943:T944"/>
    <mergeCell ref="T945:T946"/>
    <mergeCell ref="T948:T950"/>
    <mergeCell ref="U943:U944"/>
    <mergeCell ref="V943:V944"/>
    <mergeCell ref="U945:U946"/>
    <mergeCell ref="T993:T994"/>
    <mergeCell ref="U993:U994"/>
    <mergeCell ref="V993:V994"/>
    <mergeCell ref="T995:T1021"/>
    <mergeCell ref="U995:U1021"/>
    <mergeCell ref="V995:V1021"/>
    <mergeCell ref="T982:T988"/>
    <mergeCell ref="U982:U988"/>
    <mergeCell ref="V982:V988"/>
    <mergeCell ref="T990:T991"/>
    <mergeCell ref="U990:U991"/>
    <mergeCell ref="V990:V991"/>
    <mergeCell ref="T1073:T1078"/>
    <mergeCell ref="U1073:U1078"/>
    <mergeCell ref="V1073:V1078"/>
    <mergeCell ref="T1079:T1097"/>
    <mergeCell ref="U1079:U1097"/>
    <mergeCell ref="V1079:V1097"/>
    <mergeCell ref="T1022:T1062"/>
    <mergeCell ref="U1022:U1062"/>
    <mergeCell ref="V1022:V1062"/>
    <mergeCell ref="T1063:T1072"/>
    <mergeCell ref="U1063:U1072"/>
    <mergeCell ref="V1063:V1072"/>
    <mergeCell ref="T1108:T1112"/>
    <mergeCell ref="U1108:U1112"/>
    <mergeCell ref="V1108:V1112"/>
    <mergeCell ref="T1114:T1118"/>
    <mergeCell ref="U1114:U1118"/>
    <mergeCell ref="V1114:V1118"/>
    <mergeCell ref="T1098:T1103"/>
    <mergeCell ref="U1098:U1103"/>
    <mergeCell ref="V1098:V1103"/>
    <mergeCell ref="T1104:T1107"/>
    <mergeCell ref="U1104:U1107"/>
    <mergeCell ref="V1104:V1107"/>
    <mergeCell ref="G1135:I1135"/>
    <mergeCell ref="G1136:I1136"/>
    <mergeCell ref="G1137:I1137"/>
    <mergeCell ref="G1122:J1122"/>
    <mergeCell ref="E1121:K1121"/>
    <mergeCell ref="G1129:I1129"/>
    <mergeCell ref="G1130:I1130"/>
    <mergeCell ref="G1131:I1131"/>
    <mergeCell ref="G1132:I1132"/>
    <mergeCell ref="G1133:I1133"/>
    <mergeCell ref="G1134:I1134"/>
    <mergeCell ref="G1123:I1123"/>
    <mergeCell ref="G1124:I1124"/>
    <mergeCell ref="G1125:I1125"/>
    <mergeCell ref="G1126:I1126"/>
    <mergeCell ref="G1127:I1127"/>
    <mergeCell ref="G1128:I1128"/>
  </mergeCells>
  <phoneticPr fontId="3"/>
  <conditionalFormatting sqref="B2:D12 B50:D71 T50:XFD50 T142:XFD142 I169:M169 B142:D168 B265:D295 I296:M296 H265:H296 B404:D427 I428:M428 H404:H428 B522:D540 I541:M541 H522:H541 B595:D627 T595:XFD595 H595:H647 B718:D760 T718:XFD718 I761:M761 H718:H761 B884:D901 I902:M902 H884:H902 B951:D959 I960:M974 H951:H974 B994:D1021 I1022:M1022 I72:M98 I644:M647 B28:D28 B29:E30 B31:D33 B34:E34 B35:D37 B38:E38 B39:D39 B40:E40 B41:D47 H28:H48 B72:E98 B99:D112 H50:H112 B113:E115 I114:M115 B116:D128 I129:M130 B129:E130 B136:E141 B131:D135 I136:M139 H114:H169 B207:D218 I219:M221 B169:E206 I205:M206 H205:H221 B219:E224 B225:D240 I241:M242 H225:H242 B241:E243 B244:D254 B255:E256 B261:E264 I255:M256 B257:D258 D259 B259:C260 D260:E260 I260:M260 H244:H260 B296:E330 B331:D346 I347:M347 H331:H347 B347:E355 I355:M355 B356:D391 H355:H391 B392:E393 B394:D394 B395:E395 B396:D397 B398:E403 I398:M398 H396:H398 B428:E457 B458:D474 I475:M475 H458:H475 B475:E481 I481:M481 B482:D500 B514:D514 B515:E521 I515:M516 I501:M501 B501:E501 B512:E513 B502:D511 I512:M513 H481:H516 B541:E566 B567:D569 I570:M570 H567:H570 B570:E572 B573:D580 I581:M581 B581:E581 B582:D583 I584:M584 H573:H584 B584:E585 B586:D590 B591:E594 I591:M591 H586:H591 B664:D683 B691:D702 B704:D706 B711:D711 B761:E799 B800:D811 I812:M812 H800:H812 B812:E822 B823:D830 B831:E831 I831:M831 D860:E860 D832:D859 I860:M860 D861:D867 D868:E868 D870:E870 D869 D871:D875 I870:M870 I868:M868 B832:C875 B876:E883 I876:M876 H823:H876 B935:D940 I941:M941 H935:H941 B941:E942 B943:D943 B944:E950 I944:M944 H943:H944 B960:E977 B978:D978 I979:M979 H978:H979 B979:E981 B982:D987 I988:M989 H982:H989 B988:E990 B993:E993 B991:D992 I993:M993 H991:H1022 N1048:N1062 B1022:E1062 B1063:D1072 B1079:D1096 B1097:E1097 B1098:D1104 B1105:E1105 B1106:D1106 B1107:E1107 B1108:D1112 B902:E927 B928:D930 B931:E934 I931:M931 H928:H931 O515:R521 I60:S67 O50:S59 I718:S747 A1:XFD1 O72:XFD72 O169:XFD169 O261:XFD261 O399:XFD399 O522:XFD522 S628:XFD628 O761:XFD761 O877:XFD877 O945:XFD945 B13:E27 B48:E49 I28:XFD28 I40:XFD40 O114:XFD114 O129:XFD129 I140:S145 O138:XFD139 O219:XFD219 O243:XFD243 O255:XFD255 O348:XFD348 O392:XFD392 O395:S395 O476:XFD476 O501:S501 S516:XFD518 O512:XFD512 O570:XFD570 O581:S581 S592:XFD592 B628:E663 H664:XFD664 B684:E690 B703:E703 B707:E710 O814:XFD814 O831:S831 O860:S860 O868:S868 O870:S870 O980:XFD980 O993:XFD993 H1063:XFD1063 B1073:E1078 H1079:XFD1079 A1119:XFD1120 O931:XFD931 O584:XFD584 O644:S648 B712:E717 H711:XFD711 O941:S942 O989:XFD990 I99:S112 I116:XFD116 I131:XFD131 I207:S218 I225:XFD225 I244:S254 I258:XFD258 I331:XFD331 I373:XFD373 H394:S394 I396:XFD396 I458:XFD458 I482:S500 I502:XFD502 I567:XFD567 I573:S580 I582:XFD582 I586:XFD586 H691:S702 H704:XFD704 I800:XFD800 I823:S830 I832:S859 I861:XFD861 I869:S869 I874:XFD874 I935:XFD935 I943:XFD943 I978:XFD978 I982:XFD982 I992:XFD992 I928:XFD928 B1113:E1118 G714:S717 G708:XFD708 G703:S703 G685:XFD685 G649:S663 G49:S49 G24:S27 G931 G932:M934 G903:M927 G1107 G1105 G1097 G1023:M1062 G993 G990:M990 G988:G989 G980:M981 G979 G975:M977 G944 G945:M950 G942:M942 G941 G876 G870 G868 G877:M883 G860 G831 G813:M822 G812 G762:M799 G712:G713 G684 G591 G592:M594 G585:M585 G584 G581 G571:M572 G570 G542:M566 G512:G513 G501 G515:G516 G517:M521 G481 G476:M480 G475 G429:M457 G398 G399:M403 G395:M395 G392:M393 G355 G348:M354 G347 G297:M330 G260 G261:M264 G255:G256 G243:M243 G241:G242 G222:M224 G205:G206 G219:G221 G170:M204 G136:G141 G129:G130 G114:G115 G113:M113 G72:G98 G48 G40 G38 G34 G29:G30 G648:M648 G13:M23 G1022 G960:G974 G902 G761 G628:G647 G541 G428 G296 G169 H3:S12 O14:S23 H2:V2 W2:XFD27 O13:V13 I30:S30 I29:V29 I32:S34 I31:V31 I36:S37 I35:V35 S39 W29:XFD39 I38:V38 I42:S47 I41:V41 W41:XFD49 I48:V48 W51:XFD71 O98:XFD98 O68:S97 W73:XFD97 O113:S113 W99:XFD113 O115:S115 W115:XFD115 I126:XFD126 I117:S125 W117:XFD125 I127:S128 W127:XFD128 O130:S130 W130:XFD130 I132:S135 O136:S137 W132:XFD137 W140:XFD141 W143:XFD168 O205:XFD205 O146:S204 W170:XFD204 O206:S206 W206:XFD218 O220:S224 W220:XFD224 I226:S240 O241:S242 W226:XFD242 W244:XFD254 I257:S257 O256:S256 W256:XFD257 I259:S259 O260:S260 W259:XFD260 O265:XFD265 O262:S264 W262:XFD264 O296:XFD296 O266:S295 W266:XFD295 O297:S330 W297:XFD330 I332:S346 O347:S347 W332:XFD347 O353:XFD353 O349:S352 W349:XFD352 O354:S355 I356:S372 W354:XFD372 I374:S391 W374:XFD391 O393:S393 W393:XFD395 I397:S397 O398:S398 W397:XFD398 O404:XFD404 O400:S403 W400:XFD403 O429:XFD429 O405:S428 W405:XFD428 O430:S457 W430:XFD457 I459:S474 O475:S475 W459:XFD475 O480:XFD480 O477:S479 W477:XFD479 O481:S481 W481:XFD501 I503:S511 W503:XFD511 O513:S513 S514:S515 W513:XFD515 S519:S521 W519:XFD521 O542:XFD542 O523:S541 W523:XFD541 O543:S566 W543:XFD566 I568:S569 W568:XFD569 O572:XFD572 O571:S571 W571:XFD571 W573:XFD581 I583:S583 W583:XFD583 O585:S585 W585:XFD585 I587:S590 W587:XFD591 O591:S622 W593:XFD594 W596:XFD627 I623:S643 W629:XFD663 H665:S684 W665:XFD684 G690:XFD690 G686:S689 W686:XFD689 W691:XFD703 G707:S707 H705:S706 W705:XFD707 G709:S710 W709:XFD710 H713:XFD713 H712:S712 W712:XFD712 W714:XFD717 W719:XFD760 O748:S799 W762:XFD799 I801:S811 O812:S813 W801:XFD813 O821:XFD821 O815:S820 W815:XFD820 O822:S822 W822:XFD860 I867:XFD867 I862:S866 W862:XFD866 I871:S873 W868:XFD873 I875:S875 O876:S876 W875:XFD876 O883:XFD883 O878:S882 W878:XFD882 O902:XFD902 O884:S901 W884:XFD901 O903:S927 W903:XFD927 I929:S930 W929:XFD930 O932:S934 W932:XFD934 I936:S940 W936:XFD942 O944:S944 W944:XFD944 O947:XFD948 O946:S946 W946:XFD946 O951:XFD951 O949:S950 W949:XFD950 O960:XFD960 O952:S959 W952:XFD959 O961:S977 W961:XFD977 O979:S979 W979:XFD979 O981:S981 W981:XFD981 I983:S987 O988:S988 W983:XFD988 I991:S991 W991:XFD991 O995:XFD995 O994:S994 W994:XFD994 O1022:XFD1022 O996:S1021 W996:XFD1021 O1023:S1062 W1023:XFD1062 G1073:XFD1073 H1064:S1072 W1064:XFD1072 G1074:S1078 W1074:XFD1078 H1098:XFD1098 H1080:S1097 W1080:XFD1097 H1104:XFD1104 H1099:S1103 W1099:XFD1103 H1108:XFD1108 H1105:S1107 W1105:XFD1107 G1113:XFD1114 H1109:S1112 W1109:XFD1112 G1115:S1118 W1115:XFD1118 A1139:XFD1048576 A1122:D1138 G1122 G1138:XFD1138 K1122:XFD1122 J1123:XFD1137 A1121:E1121 L1121:XFD1121">
    <cfRule type="containsText" dxfId="420" priority="422" operator="containsText" text="？">
      <formula>NOT(ISERROR(SEARCH("？",A1)))</formula>
    </cfRule>
  </conditionalFormatting>
  <conditionalFormatting sqref="I1 I13:I27 I72:I98 I169:I206 I428:I457 I541:I566 I761:I799 I960:I977 I296:I330 I628:I663 I902:I927 I29:I30 I34 I38 I40 I48:I49 I113:I115 I129:I130 I136:I141 I219:I224 I241:I243 I255:I256 I260:I264 I347:I355 I392:I393 I395 I398:I403 I475:I481 I501 I515:I521 I512:I513 I570:I572 I581 I584:I585 I591:I594 I684:I690 I703 I707:I710 I712:I717 I812:I822 I831 I860 I868 I870 I876:I883 I941:I942 I944:I950 I979:I981 I988:I990 I993 I1022:I1062 I1073:I1078 I1097 I1105 I1107 I931:I934 I1113:I1120 I1138:I1048576">
    <cfRule type="containsText" dxfId="419" priority="421" operator="containsText" text="女">
      <formula>NOT(ISERROR(SEARCH("女",I1)))</formula>
    </cfRule>
  </conditionalFormatting>
  <conditionalFormatting sqref="E14:E23 G14:M23">
    <cfRule type="containsText" dxfId="418" priority="419" operator="containsText" text="？">
      <formula>NOT(ISERROR(SEARCH("？",E14)))</formula>
    </cfRule>
  </conditionalFormatting>
  <conditionalFormatting sqref="I14:I24">
    <cfRule type="containsText" dxfId="417" priority="418" operator="containsText" text="女">
      <formula>NOT(ISERROR(SEARCH("女",I14)))</formula>
    </cfRule>
  </conditionalFormatting>
  <conditionalFormatting sqref="I91:I95">
    <cfRule type="containsText" dxfId="416" priority="414" operator="containsText" text="女">
      <formula>NOT(ISERROR(SEARCH("女",I91)))</formula>
    </cfRule>
  </conditionalFormatting>
  <conditionalFormatting sqref="E72:E90 I72:M90 G72:G90">
    <cfRule type="containsText" dxfId="415" priority="417" operator="containsText" text="？">
      <formula>NOT(ISERROR(SEARCH("？",E72)))</formula>
    </cfRule>
  </conditionalFormatting>
  <conditionalFormatting sqref="I72:I90">
    <cfRule type="containsText" dxfId="414" priority="416" operator="containsText" text="女">
      <formula>NOT(ISERROR(SEARCH("女",I72)))</formula>
    </cfRule>
  </conditionalFormatting>
  <conditionalFormatting sqref="E91:E95 I91:M95 G91:G95">
    <cfRule type="containsText" dxfId="413" priority="415" operator="containsText" text="？">
      <formula>NOT(ISERROR(SEARCH("？",E91)))</formula>
    </cfRule>
  </conditionalFormatting>
  <conditionalFormatting sqref="I169:M169 E169:E200 G170:M200 G169">
    <cfRule type="containsText" dxfId="412" priority="413" operator="containsText" text="？">
      <formula>NOT(ISERROR(SEARCH("？",E169)))</formula>
    </cfRule>
  </conditionalFormatting>
  <conditionalFormatting sqref="I169:I200">
    <cfRule type="containsText" dxfId="411" priority="412" operator="containsText" text="女">
      <formula>NOT(ISERROR(SEARCH("女",I169)))</formula>
    </cfRule>
  </conditionalFormatting>
  <conditionalFormatting sqref="E400:E403 I428:M428 H404:H428 E428:E447 G429:M447 G428 G400:M403">
    <cfRule type="containsText" dxfId="410" priority="411" operator="containsText" text="？">
      <formula>NOT(ISERROR(SEARCH("？",E400)))</formula>
    </cfRule>
  </conditionalFormatting>
  <conditionalFormatting sqref="I400:I403 I428:I447">
    <cfRule type="containsText" dxfId="409" priority="410" operator="containsText" text="女">
      <formula>NOT(ISERROR(SEARCH("女",I400)))</formula>
    </cfRule>
  </conditionalFormatting>
  <conditionalFormatting sqref="H595:H647 I644:M647 E628:E648 N655:N658 E584:E585 I584:M584 E591:E594 I591:M591 H586:H591 G591 G592:M594 G584 G648:M648 G628:G647 G585:M585">
    <cfRule type="containsText" dxfId="408" priority="409" operator="containsText" text="？">
      <formula>NOT(ISERROR(SEARCH("？",E584)))</formula>
    </cfRule>
  </conditionalFormatting>
  <conditionalFormatting sqref="I584:I585 I628:I654 I591:I594">
    <cfRule type="containsText" dxfId="407" priority="408" operator="containsText" text="女">
      <formula>NOT(ISERROR(SEARCH("女",I584)))</formula>
    </cfRule>
  </conditionalFormatting>
  <conditionalFormatting sqref="E712:E713 G712:G713">
    <cfRule type="containsText" dxfId="406" priority="407" operator="containsText" text="？">
      <formula>NOT(ISERROR(SEARCH("？",E712)))</formula>
    </cfRule>
  </conditionalFormatting>
  <conditionalFormatting sqref="I712:I715">
    <cfRule type="containsText" dxfId="405" priority="406" operator="containsText" text="女">
      <formula>NOT(ISERROR(SEARCH("女",I712)))</formula>
    </cfRule>
  </conditionalFormatting>
  <conditionalFormatting sqref="I761:M761 H718:H761 E761:E774 G762:M774 G761">
    <cfRule type="containsText" dxfId="404" priority="405" operator="containsText" text="？">
      <formula>NOT(ISERROR(SEARCH("？",E718)))</formula>
    </cfRule>
  </conditionalFormatting>
  <conditionalFormatting sqref="I716:I717 I761:I774">
    <cfRule type="containsText" dxfId="403" priority="404" operator="containsText" text="女">
      <formula>NOT(ISERROR(SEARCH("女",I716)))</formula>
    </cfRule>
  </conditionalFormatting>
  <conditionalFormatting sqref="E775:E792 G775:M792">
    <cfRule type="containsText" dxfId="402" priority="403" operator="containsText" text="？">
      <formula>NOT(ISERROR(SEARCH("？",E775)))</formula>
    </cfRule>
  </conditionalFormatting>
  <conditionalFormatting sqref="I775:I792">
    <cfRule type="containsText" dxfId="401" priority="402" operator="containsText" text="女">
      <formula>NOT(ISERROR(SEARCH("女",I775)))</formula>
    </cfRule>
  </conditionalFormatting>
  <conditionalFormatting sqref="E902 I902:M902 H884:H902 E878:E883 I878:M879 G878:G879 G902 G880:M883">
    <cfRule type="containsText" dxfId="400" priority="401" operator="containsText" text="？">
      <formula>NOT(ISERROR(SEARCH("？",E878)))</formula>
    </cfRule>
  </conditionalFormatting>
  <conditionalFormatting sqref="I878:I883">
    <cfRule type="containsText" dxfId="399" priority="400" operator="containsText" text="女">
      <formula>NOT(ISERROR(SEARCH("女",I878)))</formula>
    </cfRule>
  </conditionalFormatting>
  <conditionalFormatting sqref="E934 E960:E964 I960:M964 H951:H974 E941:E942 I941:M941 H935:H941 E944:E950 I944:M944 H943:H944 G944 G945:M950 G941 G942:M942 G960:G964 G934:M934">
    <cfRule type="containsText" dxfId="398" priority="399" operator="containsText" text="？">
      <formula>NOT(ISERROR(SEARCH("？",E934)))</formula>
    </cfRule>
  </conditionalFormatting>
  <conditionalFormatting sqref="I934 I960:I964 I941:I942 I944:I950">
    <cfRule type="containsText" dxfId="397" priority="398" operator="containsText" text="女">
      <formula>NOT(ISERROR(SEARCH("女",I934)))</formula>
    </cfRule>
  </conditionalFormatting>
  <conditionalFormatting sqref="E980:E981 I1022:M1022 E1022:E1028 E988:E990 I988:M989 H982:H989 E993 I993:M993 H991:H1022 G993 G988:G989 G990:M990 G1023:M1028 G1022 G980:M981">
    <cfRule type="containsText" dxfId="396" priority="397" operator="containsText" text="？">
      <formula>NOT(ISERROR(SEARCH("？",E980)))</formula>
    </cfRule>
  </conditionalFormatting>
  <conditionalFormatting sqref="I980:I981 I1022:I1028 I988:I990 I993">
    <cfRule type="containsText" dxfId="395" priority="396" operator="containsText" text="女">
      <formula>NOT(ISERROR(SEARCH("女",I980)))</formula>
    </cfRule>
  </conditionalFormatting>
  <conditionalFormatting sqref="E1035:E1041 G1035:M1041">
    <cfRule type="containsText" dxfId="394" priority="395" operator="containsText" text="？">
      <formula>NOT(ISERROR(SEARCH("？",E1035)))</formula>
    </cfRule>
  </conditionalFormatting>
  <conditionalFormatting sqref="I1035:I1041">
    <cfRule type="containsText" dxfId="393" priority="394" operator="containsText" text="女">
      <formula>NOT(ISERROR(SEARCH("女",I1035)))</formula>
    </cfRule>
  </conditionalFormatting>
  <conditionalFormatting sqref="E1042:E1049 G1042:M1049">
    <cfRule type="containsText" dxfId="392" priority="393" operator="containsText" text="？">
      <formula>NOT(ISERROR(SEARCH("？",E1042)))</formula>
    </cfRule>
  </conditionalFormatting>
  <conditionalFormatting sqref="I1042:I1049">
    <cfRule type="containsText" dxfId="391" priority="392" operator="containsText" text="女">
      <formula>NOT(ISERROR(SEARCH("女",I1042)))</formula>
    </cfRule>
  </conditionalFormatting>
  <conditionalFormatting sqref="I2:I12">
    <cfRule type="containsText" dxfId="390" priority="390" operator="containsText" text="女">
      <formula>NOT(ISERROR(SEARCH("女",I2)))</formula>
    </cfRule>
  </conditionalFormatting>
  <conditionalFormatting sqref="E2:G2 E3:E12 G3:G12 F3:F1118">
    <cfRule type="containsText" dxfId="389" priority="391" operator="containsText" text="？">
      <formula>NOT(ISERROR(SEARCH("？",E2)))</formula>
    </cfRule>
  </conditionalFormatting>
  <conditionalFormatting sqref="I50:I71">
    <cfRule type="containsText" dxfId="388" priority="388" operator="containsText" text="女">
      <formula>NOT(ISERROR(SEARCH("女",I50)))</formula>
    </cfRule>
  </conditionalFormatting>
  <conditionalFormatting sqref="E50:E71 I50:M59 I68:M71 G50:G71">
    <cfRule type="containsText" dxfId="387" priority="389" operator="containsText" text="？">
      <formula>NOT(ISERROR(SEARCH("？",E50)))</formula>
    </cfRule>
  </conditionalFormatting>
  <conditionalFormatting sqref="I142:I168">
    <cfRule type="containsText" dxfId="386" priority="386" operator="containsText" text="女">
      <formula>NOT(ISERROR(SEARCH("女",I142)))</formula>
    </cfRule>
  </conditionalFormatting>
  <conditionalFormatting sqref="E142:E168 I146:M168 G142:G168">
    <cfRule type="containsText" dxfId="385" priority="387" operator="containsText" text="？">
      <formula>NOT(ISERROR(SEARCH("？",E142)))</formula>
    </cfRule>
  </conditionalFormatting>
  <conditionalFormatting sqref="E265:E295 I265:M295 G265:G295">
    <cfRule type="containsText" dxfId="384" priority="385" operator="containsText" text="？">
      <formula>NOT(ISERROR(SEARCH("？",E265)))</formula>
    </cfRule>
  </conditionalFormatting>
  <conditionalFormatting sqref="I265:I295">
    <cfRule type="containsText" dxfId="383" priority="384" operator="containsText" text="女">
      <formula>NOT(ISERROR(SEARCH("女",I265)))</formula>
    </cfRule>
  </conditionalFormatting>
  <conditionalFormatting sqref="E404:E427 I404:M427 G404:G427">
    <cfRule type="containsText" dxfId="382" priority="383" operator="containsText" text="？">
      <formula>NOT(ISERROR(SEARCH("？",E404)))</formula>
    </cfRule>
  </conditionalFormatting>
  <conditionalFormatting sqref="I404:I427">
    <cfRule type="containsText" dxfId="381" priority="382" operator="containsText" text="女">
      <formula>NOT(ISERROR(SEARCH("女",I404)))</formula>
    </cfRule>
  </conditionalFormatting>
  <conditionalFormatting sqref="E522:E540 I522:M540 G522:G540">
    <cfRule type="containsText" dxfId="380" priority="381" operator="containsText" text="？">
      <formula>NOT(ISERROR(SEARCH("？",E522)))</formula>
    </cfRule>
  </conditionalFormatting>
  <conditionalFormatting sqref="I522:I540">
    <cfRule type="containsText" dxfId="379" priority="380" operator="containsText" text="女">
      <formula>NOT(ISERROR(SEARCH("女",I522)))</formula>
    </cfRule>
  </conditionalFormatting>
  <conditionalFormatting sqref="E595:E627 I595:M622 G595:G627">
    <cfRule type="containsText" dxfId="378" priority="379" operator="containsText" text="？">
      <formula>NOT(ISERROR(SEARCH("？",E595)))</formula>
    </cfRule>
  </conditionalFormatting>
  <conditionalFormatting sqref="I595:I627">
    <cfRule type="containsText" dxfId="377" priority="378" operator="containsText" text="女">
      <formula>NOT(ISERROR(SEARCH("女",I595)))</formula>
    </cfRule>
  </conditionalFormatting>
  <conditionalFormatting sqref="E718:E760 I748:M760 G718:G760">
    <cfRule type="containsText" dxfId="376" priority="377" operator="containsText" text="？">
      <formula>NOT(ISERROR(SEARCH("？",E718)))</formula>
    </cfRule>
  </conditionalFormatting>
  <conditionalFormatting sqref="I718:I760">
    <cfRule type="containsText" dxfId="375" priority="376" operator="containsText" text="女">
      <formula>NOT(ISERROR(SEARCH("女",I718)))</formula>
    </cfRule>
  </conditionalFormatting>
  <conditionalFormatting sqref="E884:E901 I884:M901 G884:G901">
    <cfRule type="containsText" dxfId="374" priority="375" operator="containsText" text="？">
      <formula>NOT(ISERROR(SEARCH("？",E884)))</formula>
    </cfRule>
  </conditionalFormatting>
  <conditionalFormatting sqref="I884:I901">
    <cfRule type="containsText" dxfId="373" priority="374" operator="containsText" text="女">
      <formula>NOT(ISERROR(SEARCH("女",I884)))</formula>
    </cfRule>
  </conditionalFormatting>
  <conditionalFormatting sqref="E951:E959 I951:M959 G951:G959">
    <cfRule type="containsText" dxfId="372" priority="373" operator="containsText" text="？">
      <formula>NOT(ISERROR(SEARCH("？",E951)))</formula>
    </cfRule>
  </conditionalFormatting>
  <conditionalFormatting sqref="I951:I959">
    <cfRule type="containsText" dxfId="371" priority="372" operator="containsText" text="女">
      <formula>NOT(ISERROR(SEARCH("女",I951)))</formula>
    </cfRule>
  </conditionalFormatting>
  <conditionalFormatting sqref="E994:E1021 I994:M1021 G994:G1021">
    <cfRule type="containsText" dxfId="370" priority="371" operator="containsText" text="？">
      <formula>NOT(ISERROR(SEARCH("？",E994)))</formula>
    </cfRule>
  </conditionalFormatting>
  <conditionalFormatting sqref="I994:I1021">
    <cfRule type="containsText" dxfId="369" priority="370" operator="containsText" text="女">
      <formula>NOT(ISERROR(SEARCH("女",I994)))</formula>
    </cfRule>
  </conditionalFormatting>
  <conditionalFormatting sqref="N13:N23">
    <cfRule type="containsText" dxfId="368" priority="369" operator="containsText" text="？">
      <formula>NOT(ISERROR(SEARCH("？",N13)))</formula>
    </cfRule>
  </conditionalFormatting>
  <conditionalFormatting sqref="N50:N54">
    <cfRule type="containsText" dxfId="367" priority="368" operator="containsText" text="？">
      <formula>NOT(ISERROR(SEARCH("？",N50)))</formula>
    </cfRule>
  </conditionalFormatting>
  <conditionalFormatting sqref="N55:N59">
    <cfRule type="containsText" dxfId="366" priority="367" operator="containsText" text="？">
      <formula>NOT(ISERROR(SEARCH("？",N55)))</formula>
    </cfRule>
  </conditionalFormatting>
  <conditionalFormatting sqref="N68:N72">
    <cfRule type="containsText" dxfId="365" priority="366" operator="containsText" text="？">
      <formula>NOT(ISERROR(SEARCH("？",N68)))</formula>
    </cfRule>
  </conditionalFormatting>
  <conditionalFormatting sqref="N73:N77">
    <cfRule type="containsText" dxfId="364" priority="365" operator="containsText" text="？">
      <formula>NOT(ISERROR(SEARCH("？",N73)))</formula>
    </cfRule>
  </conditionalFormatting>
  <conditionalFormatting sqref="N78:N82">
    <cfRule type="containsText" dxfId="363" priority="364" operator="containsText" text="？">
      <formula>NOT(ISERROR(SEARCH("？",N78)))</formula>
    </cfRule>
  </conditionalFormatting>
  <conditionalFormatting sqref="N83:N87">
    <cfRule type="containsText" dxfId="362" priority="363" operator="containsText" text="？">
      <formula>NOT(ISERROR(SEARCH("？",N83)))</formula>
    </cfRule>
  </conditionalFormatting>
  <conditionalFormatting sqref="N88:N92">
    <cfRule type="containsText" dxfId="361" priority="362" operator="containsText" text="？">
      <formula>NOT(ISERROR(SEARCH("？",N88)))</formula>
    </cfRule>
  </conditionalFormatting>
  <conditionalFormatting sqref="N93:N97">
    <cfRule type="containsText" dxfId="360" priority="361" operator="containsText" text="？">
      <formula>NOT(ISERROR(SEARCH("？",N93)))</formula>
    </cfRule>
  </conditionalFormatting>
  <conditionalFormatting sqref="N98 N113:N115 N129">
    <cfRule type="containsText" dxfId="359" priority="360" operator="containsText" text="？">
      <formula>NOT(ISERROR(SEARCH("？",N98)))</formula>
    </cfRule>
  </conditionalFormatting>
  <conditionalFormatting sqref="N130 N136:N139">
    <cfRule type="containsText" dxfId="358" priority="359" operator="containsText" text="？">
      <formula>NOT(ISERROR(SEARCH("？",N130)))</formula>
    </cfRule>
  </conditionalFormatting>
  <conditionalFormatting sqref="N146">
    <cfRule type="containsText" dxfId="357" priority="358" operator="containsText" text="？">
      <formula>NOT(ISERROR(SEARCH("？",N146)))</formula>
    </cfRule>
  </conditionalFormatting>
  <conditionalFormatting sqref="N147:N150">
    <cfRule type="containsText" dxfId="356" priority="357" operator="containsText" text="？">
      <formula>NOT(ISERROR(SEARCH("？",N147)))</formula>
    </cfRule>
  </conditionalFormatting>
  <conditionalFormatting sqref="N151">
    <cfRule type="containsText" dxfId="355" priority="356" operator="containsText" text="？">
      <formula>NOT(ISERROR(SEARCH("？",N151)))</formula>
    </cfRule>
  </conditionalFormatting>
  <conditionalFormatting sqref="N152:N155">
    <cfRule type="containsText" dxfId="354" priority="355" operator="containsText" text="？">
      <formula>NOT(ISERROR(SEARCH("？",N152)))</formula>
    </cfRule>
  </conditionalFormatting>
  <conditionalFormatting sqref="N156">
    <cfRule type="containsText" dxfId="353" priority="354" operator="containsText" text="？">
      <formula>NOT(ISERROR(SEARCH("？",N156)))</formula>
    </cfRule>
  </conditionalFormatting>
  <conditionalFormatting sqref="N157:N160">
    <cfRule type="containsText" dxfId="352" priority="353" operator="containsText" text="？">
      <formula>NOT(ISERROR(SEARCH("？",N157)))</formula>
    </cfRule>
  </conditionalFormatting>
  <conditionalFormatting sqref="N161">
    <cfRule type="containsText" dxfId="351" priority="352" operator="containsText" text="？">
      <formula>NOT(ISERROR(SEARCH("？",N161)))</formula>
    </cfRule>
  </conditionalFormatting>
  <conditionalFormatting sqref="N162:N165">
    <cfRule type="containsText" dxfId="350" priority="351" operator="containsText" text="？">
      <formula>NOT(ISERROR(SEARCH("？",N162)))</formula>
    </cfRule>
  </conditionalFormatting>
  <conditionalFormatting sqref="N166">
    <cfRule type="containsText" dxfId="349" priority="350" operator="containsText" text="？">
      <formula>NOT(ISERROR(SEARCH("？",N166)))</formula>
    </cfRule>
  </conditionalFormatting>
  <conditionalFormatting sqref="N167:N170">
    <cfRule type="containsText" dxfId="348" priority="349" operator="containsText" text="？">
      <formula>NOT(ISERROR(SEARCH("？",N167)))</formula>
    </cfRule>
  </conditionalFormatting>
  <conditionalFormatting sqref="N171">
    <cfRule type="containsText" dxfId="347" priority="348" operator="containsText" text="？">
      <formula>NOT(ISERROR(SEARCH("？",N171)))</formula>
    </cfRule>
  </conditionalFormatting>
  <conditionalFormatting sqref="N172:N175">
    <cfRule type="containsText" dxfId="346" priority="347" operator="containsText" text="？">
      <formula>NOT(ISERROR(SEARCH("？",N172)))</formula>
    </cfRule>
  </conditionalFormatting>
  <conditionalFormatting sqref="N176">
    <cfRule type="containsText" dxfId="345" priority="346" operator="containsText" text="？">
      <formula>NOT(ISERROR(SEARCH("？",N176)))</formula>
    </cfRule>
  </conditionalFormatting>
  <conditionalFormatting sqref="N177:N180">
    <cfRule type="containsText" dxfId="344" priority="345" operator="containsText" text="？">
      <formula>NOT(ISERROR(SEARCH("？",N177)))</formula>
    </cfRule>
  </conditionalFormatting>
  <conditionalFormatting sqref="N181">
    <cfRule type="containsText" dxfId="343" priority="344" operator="containsText" text="？">
      <formula>NOT(ISERROR(SEARCH("？",N181)))</formula>
    </cfRule>
  </conditionalFormatting>
  <conditionalFormatting sqref="N182:N185">
    <cfRule type="containsText" dxfId="342" priority="343" operator="containsText" text="？">
      <formula>NOT(ISERROR(SEARCH("？",N182)))</formula>
    </cfRule>
  </conditionalFormatting>
  <conditionalFormatting sqref="N186">
    <cfRule type="containsText" dxfId="341" priority="342" operator="containsText" text="？">
      <formula>NOT(ISERROR(SEARCH("？",N186)))</formula>
    </cfRule>
  </conditionalFormatting>
  <conditionalFormatting sqref="N187:N190">
    <cfRule type="containsText" dxfId="340" priority="341" operator="containsText" text="？">
      <formula>NOT(ISERROR(SEARCH("？",N187)))</formula>
    </cfRule>
  </conditionalFormatting>
  <conditionalFormatting sqref="N191">
    <cfRule type="containsText" dxfId="339" priority="340" operator="containsText" text="？">
      <formula>NOT(ISERROR(SEARCH("？",N191)))</formula>
    </cfRule>
  </conditionalFormatting>
  <conditionalFormatting sqref="N192:N195">
    <cfRule type="containsText" dxfId="338" priority="339" operator="containsText" text="？">
      <formula>NOT(ISERROR(SEARCH("？",N192)))</formula>
    </cfRule>
  </conditionalFormatting>
  <conditionalFormatting sqref="N196">
    <cfRule type="containsText" dxfId="337" priority="338" operator="containsText" text="？">
      <formula>NOT(ISERROR(SEARCH("？",N196)))</formula>
    </cfRule>
  </conditionalFormatting>
  <conditionalFormatting sqref="N197:N200">
    <cfRule type="containsText" dxfId="336" priority="337" operator="containsText" text="？">
      <formula>NOT(ISERROR(SEARCH("？",N197)))</formula>
    </cfRule>
  </conditionalFormatting>
  <conditionalFormatting sqref="N201">
    <cfRule type="containsText" dxfId="335" priority="336" operator="containsText" text="？">
      <formula>NOT(ISERROR(SEARCH("？",N201)))</formula>
    </cfRule>
  </conditionalFormatting>
  <conditionalFormatting sqref="N202:N205">
    <cfRule type="containsText" dxfId="334" priority="335" operator="containsText" text="？">
      <formula>NOT(ISERROR(SEARCH("？",N202)))</formula>
    </cfRule>
  </conditionalFormatting>
  <conditionalFormatting sqref="N206">
    <cfRule type="containsText" dxfId="333" priority="334" operator="containsText" text="？">
      <formula>NOT(ISERROR(SEARCH("？",N206)))</formula>
    </cfRule>
  </conditionalFormatting>
  <conditionalFormatting sqref="N219:N222">
    <cfRule type="containsText" dxfId="332" priority="333" operator="containsText" text="？">
      <formula>NOT(ISERROR(SEARCH("？",N219)))</formula>
    </cfRule>
  </conditionalFormatting>
  <conditionalFormatting sqref="N223">
    <cfRule type="containsText" dxfId="331" priority="332" operator="containsText" text="？">
      <formula>NOT(ISERROR(SEARCH("？",N223)))</formula>
    </cfRule>
  </conditionalFormatting>
  <conditionalFormatting sqref="N224 N241:N243">
    <cfRule type="containsText" dxfId="330" priority="331" operator="containsText" text="？">
      <formula>NOT(ISERROR(SEARCH("？",N224)))</formula>
    </cfRule>
  </conditionalFormatting>
  <conditionalFormatting sqref="N255">
    <cfRule type="containsText" dxfId="329" priority="330" operator="containsText" text="？">
      <formula>NOT(ISERROR(SEARCH("？",N255)))</formula>
    </cfRule>
  </conditionalFormatting>
  <conditionalFormatting sqref="N256 N260:N262">
    <cfRule type="containsText" dxfId="328" priority="329" operator="containsText" text="？">
      <formula>NOT(ISERROR(SEARCH("？",N256)))</formula>
    </cfRule>
  </conditionalFormatting>
  <conditionalFormatting sqref="N263">
    <cfRule type="containsText" dxfId="327" priority="328" operator="containsText" text="？">
      <formula>NOT(ISERROR(SEARCH("？",N263)))</formula>
    </cfRule>
  </conditionalFormatting>
  <conditionalFormatting sqref="N264:N267">
    <cfRule type="containsText" dxfId="326" priority="327" operator="containsText" text="？">
      <formula>NOT(ISERROR(SEARCH("？",N264)))</formula>
    </cfRule>
  </conditionalFormatting>
  <conditionalFormatting sqref="N268">
    <cfRule type="containsText" dxfId="325" priority="326" operator="containsText" text="？">
      <formula>NOT(ISERROR(SEARCH("？",N268)))</formula>
    </cfRule>
  </conditionalFormatting>
  <conditionalFormatting sqref="N269:N272">
    <cfRule type="containsText" dxfId="324" priority="325" operator="containsText" text="？">
      <formula>NOT(ISERROR(SEARCH("？",N269)))</formula>
    </cfRule>
  </conditionalFormatting>
  <conditionalFormatting sqref="N273">
    <cfRule type="containsText" dxfId="323" priority="324" operator="containsText" text="？">
      <formula>NOT(ISERROR(SEARCH("？",N273)))</formula>
    </cfRule>
  </conditionalFormatting>
  <conditionalFormatting sqref="N274:N277">
    <cfRule type="containsText" dxfId="322" priority="323" operator="containsText" text="？">
      <formula>NOT(ISERROR(SEARCH("？",N274)))</formula>
    </cfRule>
  </conditionalFormatting>
  <conditionalFormatting sqref="N278">
    <cfRule type="containsText" dxfId="321" priority="322" operator="containsText" text="？">
      <formula>NOT(ISERROR(SEARCH("？",N278)))</formula>
    </cfRule>
  </conditionalFormatting>
  <conditionalFormatting sqref="N279:N282">
    <cfRule type="containsText" dxfId="320" priority="321" operator="containsText" text="？">
      <formula>NOT(ISERROR(SEARCH("？",N279)))</formula>
    </cfRule>
  </conditionalFormatting>
  <conditionalFormatting sqref="N283">
    <cfRule type="containsText" dxfId="319" priority="320" operator="containsText" text="？">
      <formula>NOT(ISERROR(SEARCH("？",N283)))</formula>
    </cfRule>
  </conditionalFormatting>
  <conditionalFormatting sqref="N284:N287">
    <cfRule type="containsText" dxfId="318" priority="319" operator="containsText" text="？">
      <formula>NOT(ISERROR(SEARCH("？",N284)))</formula>
    </cfRule>
  </conditionalFormatting>
  <conditionalFormatting sqref="N288">
    <cfRule type="containsText" dxfId="317" priority="318" operator="containsText" text="？">
      <formula>NOT(ISERROR(SEARCH("？",N288)))</formula>
    </cfRule>
  </conditionalFormatting>
  <conditionalFormatting sqref="N289:N292">
    <cfRule type="containsText" dxfId="316" priority="317" operator="containsText" text="？">
      <formula>NOT(ISERROR(SEARCH("？",N289)))</formula>
    </cfRule>
  </conditionalFormatting>
  <conditionalFormatting sqref="N293">
    <cfRule type="containsText" dxfId="315" priority="316" operator="containsText" text="？">
      <formula>NOT(ISERROR(SEARCH("？",N293)))</formula>
    </cfRule>
  </conditionalFormatting>
  <conditionalFormatting sqref="N294:N297">
    <cfRule type="containsText" dxfId="314" priority="315" operator="containsText" text="？">
      <formula>NOT(ISERROR(SEARCH("？",N294)))</formula>
    </cfRule>
  </conditionalFormatting>
  <conditionalFormatting sqref="N298">
    <cfRule type="containsText" dxfId="313" priority="314" operator="containsText" text="？">
      <formula>NOT(ISERROR(SEARCH("？",N298)))</formula>
    </cfRule>
  </conditionalFormatting>
  <conditionalFormatting sqref="N299:N302">
    <cfRule type="containsText" dxfId="312" priority="313" operator="containsText" text="？">
      <formula>NOT(ISERROR(SEARCH("？",N299)))</formula>
    </cfRule>
  </conditionalFormatting>
  <conditionalFormatting sqref="N303">
    <cfRule type="containsText" dxfId="311" priority="312" operator="containsText" text="？">
      <formula>NOT(ISERROR(SEARCH("？",N303)))</formula>
    </cfRule>
  </conditionalFormatting>
  <conditionalFormatting sqref="N304:N307">
    <cfRule type="containsText" dxfId="310" priority="311" operator="containsText" text="？">
      <formula>NOT(ISERROR(SEARCH("？",N304)))</formula>
    </cfRule>
  </conditionalFormatting>
  <conditionalFormatting sqref="N308">
    <cfRule type="containsText" dxfId="309" priority="310" operator="containsText" text="？">
      <formula>NOT(ISERROR(SEARCH("？",N308)))</formula>
    </cfRule>
  </conditionalFormatting>
  <conditionalFormatting sqref="N309:N312">
    <cfRule type="containsText" dxfId="308" priority="309" operator="containsText" text="？">
      <formula>NOT(ISERROR(SEARCH("？",N309)))</formula>
    </cfRule>
  </conditionalFormatting>
  <conditionalFormatting sqref="N313">
    <cfRule type="containsText" dxfId="307" priority="308" operator="containsText" text="？">
      <formula>NOT(ISERROR(SEARCH("？",N313)))</formula>
    </cfRule>
  </conditionalFormatting>
  <conditionalFormatting sqref="N314:N317">
    <cfRule type="containsText" dxfId="306" priority="307" operator="containsText" text="？">
      <formula>NOT(ISERROR(SEARCH("？",N314)))</formula>
    </cfRule>
  </conditionalFormatting>
  <conditionalFormatting sqref="N318">
    <cfRule type="containsText" dxfId="305" priority="306" operator="containsText" text="？">
      <formula>NOT(ISERROR(SEARCH("？",N318)))</formula>
    </cfRule>
  </conditionalFormatting>
  <conditionalFormatting sqref="N319:N322">
    <cfRule type="containsText" dxfId="304" priority="305" operator="containsText" text="？">
      <formula>NOT(ISERROR(SEARCH("？",N319)))</formula>
    </cfRule>
  </conditionalFormatting>
  <conditionalFormatting sqref="N323">
    <cfRule type="containsText" dxfId="303" priority="304" operator="containsText" text="？">
      <formula>NOT(ISERROR(SEARCH("？",N323)))</formula>
    </cfRule>
  </conditionalFormatting>
  <conditionalFormatting sqref="N324:N327">
    <cfRule type="containsText" dxfId="302" priority="303" operator="containsText" text="？">
      <formula>NOT(ISERROR(SEARCH("？",N324)))</formula>
    </cfRule>
  </conditionalFormatting>
  <conditionalFormatting sqref="N328">
    <cfRule type="containsText" dxfId="301" priority="302" operator="containsText" text="？">
      <formula>NOT(ISERROR(SEARCH("？",N328)))</formula>
    </cfRule>
  </conditionalFormatting>
  <conditionalFormatting sqref="N329:N330 N347:N348">
    <cfRule type="containsText" dxfId="300" priority="301" operator="containsText" text="？">
      <formula>NOT(ISERROR(SEARCH("？",N329)))</formula>
    </cfRule>
  </conditionalFormatting>
  <conditionalFormatting sqref="N349">
    <cfRule type="containsText" dxfId="299" priority="300" operator="containsText" text="？">
      <formula>NOT(ISERROR(SEARCH("？",N349)))</formula>
    </cfRule>
  </conditionalFormatting>
  <conditionalFormatting sqref="N350:N353">
    <cfRule type="containsText" dxfId="298" priority="299" operator="containsText" text="？">
      <formula>NOT(ISERROR(SEARCH("？",N350)))</formula>
    </cfRule>
  </conditionalFormatting>
  <conditionalFormatting sqref="N354">
    <cfRule type="containsText" dxfId="297" priority="298" operator="containsText" text="？">
      <formula>NOT(ISERROR(SEARCH("？",N354)))</formula>
    </cfRule>
  </conditionalFormatting>
  <conditionalFormatting sqref="N355 N392:N393 N395">
    <cfRule type="containsText" dxfId="296" priority="297" operator="containsText" text="？">
      <formula>NOT(ISERROR(SEARCH("？",N355)))</formula>
    </cfRule>
  </conditionalFormatting>
  <conditionalFormatting sqref="N398">
    <cfRule type="containsText" dxfId="295" priority="296" operator="containsText" text="？">
      <formula>NOT(ISERROR(SEARCH("？",N398)))</formula>
    </cfRule>
  </conditionalFormatting>
  <conditionalFormatting sqref="N399:N402">
    <cfRule type="containsText" dxfId="294" priority="295" operator="containsText" text="？">
      <formula>NOT(ISERROR(SEARCH("？",N399)))</formula>
    </cfRule>
  </conditionalFormatting>
  <conditionalFormatting sqref="N403">
    <cfRule type="containsText" dxfId="293" priority="294" operator="containsText" text="？">
      <formula>NOT(ISERROR(SEARCH("？",N403)))</formula>
    </cfRule>
  </conditionalFormatting>
  <conditionalFormatting sqref="N404:N407">
    <cfRule type="containsText" dxfId="292" priority="293" operator="containsText" text="？">
      <formula>NOT(ISERROR(SEARCH("？",N404)))</formula>
    </cfRule>
  </conditionalFormatting>
  <conditionalFormatting sqref="N408">
    <cfRule type="containsText" dxfId="291" priority="292" operator="containsText" text="？">
      <formula>NOT(ISERROR(SEARCH("？",N408)))</formula>
    </cfRule>
  </conditionalFormatting>
  <conditionalFormatting sqref="N409:N412">
    <cfRule type="containsText" dxfId="290" priority="291" operator="containsText" text="？">
      <formula>NOT(ISERROR(SEARCH("？",N409)))</formula>
    </cfRule>
  </conditionalFormatting>
  <conditionalFormatting sqref="N413">
    <cfRule type="containsText" dxfId="289" priority="290" operator="containsText" text="？">
      <formula>NOT(ISERROR(SEARCH("？",N413)))</formula>
    </cfRule>
  </conditionalFormatting>
  <conditionalFormatting sqref="N414:N417">
    <cfRule type="containsText" dxfId="288" priority="289" operator="containsText" text="？">
      <formula>NOT(ISERROR(SEARCH("？",N414)))</formula>
    </cfRule>
  </conditionalFormatting>
  <conditionalFormatting sqref="N418">
    <cfRule type="containsText" dxfId="287" priority="288" operator="containsText" text="？">
      <formula>NOT(ISERROR(SEARCH("？",N418)))</formula>
    </cfRule>
  </conditionalFormatting>
  <conditionalFormatting sqref="N419:N422">
    <cfRule type="containsText" dxfId="286" priority="287" operator="containsText" text="？">
      <formula>NOT(ISERROR(SEARCH("？",N419)))</formula>
    </cfRule>
  </conditionalFormatting>
  <conditionalFormatting sqref="N423">
    <cfRule type="containsText" dxfId="285" priority="286" operator="containsText" text="？">
      <formula>NOT(ISERROR(SEARCH("？",N423)))</formula>
    </cfRule>
  </conditionalFormatting>
  <conditionalFormatting sqref="N424:N427">
    <cfRule type="containsText" dxfId="284" priority="285" operator="containsText" text="？">
      <formula>NOT(ISERROR(SEARCH("？",N424)))</formula>
    </cfRule>
  </conditionalFormatting>
  <conditionalFormatting sqref="N428">
    <cfRule type="containsText" dxfId="283" priority="284" operator="containsText" text="？">
      <formula>NOT(ISERROR(SEARCH("？",N428)))</formula>
    </cfRule>
  </conditionalFormatting>
  <conditionalFormatting sqref="N429:N432">
    <cfRule type="containsText" dxfId="282" priority="283" operator="containsText" text="？">
      <formula>NOT(ISERROR(SEARCH("？",N429)))</formula>
    </cfRule>
  </conditionalFormatting>
  <conditionalFormatting sqref="N433">
    <cfRule type="containsText" dxfId="281" priority="282" operator="containsText" text="？">
      <formula>NOT(ISERROR(SEARCH("？",N433)))</formula>
    </cfRule>
  </conditionalFormatting>
  <conditionalFormatting sqref="N434:N437">
    <cfRule type="containsText" dxfId="280" priority="281" operator="containsText" text="？">
      <formula>NOT(ISERROR(SEARCH("？",N434)))</formula>
    </cfRule>
  </conditionalFormatting>
  <conditionalFormatting sqref="N438">
    <cfRule type="containsText" dxfId="279" priority="280" operator="containsText" text="？">
      <formula>NOT(ISERROR(SEARCH("？",N438)))</formula>
    </cfRule>
  </conditionalFormatting>
  <conditionalFormatting sqref="N439:N442">
    <cfRule type="containsText" dxfId="278" priority="279" operator="containsText" text="？">
      <formula>NOT(ISERROR(SEARCH("？",N439)))</formula>
    </cfRule>
  </conditionalFormatting>
  <conditionalFormatting sqref="N443">
    <cfRule type="containsText" dxfId="277" priority="278" operator="containsText" text="？">
      <formula>NOT(ISERROR(SEARCH("？",N443)))</formula>
    </cfRule>
  </conditionalFormatting>
  <conditionalFormatting sqref="N444:N447">
    <cfRule type="containsText" dxfId="276" priority="277" operator="containsText" text="？">
      <formula>NOT(ISERROR(SEARCH("？",N444)))</formula>
    </cfRule>
  </conditionalFormatting>
  <conditionalFormatting sqref="N448">
    <cfRule type="containsText" dxfId="275" priority="276" operator="containsText" text="？">
      <formula>NOT(ISERROR(SEARCH("？",N448)))</formula>
    </cfRule>
  </conditionalFormatting>
  <conditionalFormatting sqref="N449:N452">
    <cfRule type="containsText" dxfId="274" priority="275" operator="containsText" text="？">
      <formula>NOT(ISERROR(SEARCH("？",N449)))</formula>
    </cfRule>
  </conditionalFormatting>
  <conditionalFormatting sqref="N453">
    <cfRule type="containsText" dxfId="273" priority="274" operator="containsText" text="？">
      <formula>NOT(ISERROR(SEARCH("？",N453)))</formula>
    </cfRule>
  </conditionalFormatting>
  <conditionalFormatting sqref="N454:N457">
    <cfRule type="containsText" dxfId="272" priority="273" operator="containsText" text="？">
      <formula>NOT(ISERROR(SEARCH("？",N454)))</formula>
    </cfRule>
  </conditionalFormatting>
  <conditionalFormatting sqref="N475">
    <cfRule type="containsText" dxfId="271" priority="272" operator="containsText" text="？">
      <formula>NOT(ISERROR(SEARCH("？",N475)))</formula>
    </cfRule>
  </conditionalFormatting>
  <conditionalFormatting sqref="N476:N479">
    <cfRule type="containsText" dxfId="270" priority="271" operator="containsText" text="？">
      <formula>NOT(ISERROR(SEARCH("？",N476)))</formula>
    </cfRule>
  </conditionalFormatting>
  <conditionalFormatting sqref="N480">
    <cfRule type="containsText" dxfId="269" priority="270" operator="containsText" text="？">
      <formula>NOT(ISERROR(SEARCH("？",N480)))</formula>
    </cfRule>
  </conditionalFormatting>
  <conditionalFormatting sqref="N481 N501 N512:N513">
    <cfRule type="containsText" dxfId="268" priority="269" operator="containsText" text="？">
      <formula>NOT(ISERROR(SEARCH("？",N481)))</formula>
    </cfRule>
  </conditionalFormatting>
  <conditionalFormatting sqref="N515">
    <cfRule type="containsText" dxfId="267" priority="268" operator="containsText" text="？">
      <formula>NOT(ISERROR(SEARCH("？",N515)))</formula>
    </cfRule>
  </conditionalFormatting>
  <conditionalFormatting sqref="N516:N519">
    <cfRule type="containsText" dxfId="266" priority="267" operator="containsText" text="？">
      <formula>NOT(ISERROR(SEARCH("？",N516)))</formula>
    </cfRule>
  </conditionalFormatting>
  <conditionalFormatting sqref="N520">
    <cfRule type="containsText" dxfId="265" priority="266" operator="containsText" text="？">
      <formula>NOT(ISERROR(SEARCH("？",N520)))</formula>
    </cfRule>
  </conditionalFormatting>
  <conditionalFormatting sqref="N521:N524">
    <cfRule type="containsText" dxfId="264" priority="265" operator="containsText" text="？">
      <formula>NOT(ISERROR(SEARCH("？",N521)))</formula>
    </cfRule>
  </conditionalFormatting>
  <conditionalFormatting sqref="N525">
    <cfRule type="containsText" dxfId="263" priority="264" operator="containsText" text="？">
      <formula>NOT(ISERROR(SEARCH("？",N525)))</formula>
    </cfRule>
  </conditionalFormatting>
  <conditionalFormatting sqref="N526:N529">
    <cfRule type="containsText" dxfId="262" priority="263" operator="containsText" text="？">
      <formula>NOT(ISERROR(SEARCH("？",N526)))</formula>
    </cfRule>
  </conditionalFormatting>
  <conditionalFormatting sqref="N530">
    <cfRule type="containsText" dxfId="261" priority="262" operator="containsText" text="？">
      <formula>NOT(ISERROR(SEARCH("？",N530)))</formula>
    </cfRule>
  </conditionalFormatting>
  <conditionalFormatting sqref="N531:N534">
    <cfRule type="containsText" dxfId="260" priority="261" operator="containsText" text="？">
      <formula>NOT(ISERROR(SEARCH("？",N531)))</formula>
    </cfRule>
  </conditionalFormatting>
  <conditionalFormatting sqref="N535">
    <cfRule type="containsText" dxfId="259" priority="260" operator="containsText" text="？">
      <formula>NOT(ISERROR(SEARCH("？",N535)))</formula>
    </cfRule>
  </conditionalFormatting>
  <conditionalFormatting sqref="N536:N539">
    <cfRule type="containsText" dxfId="258" priority="259" operator="containsText" text="？">
      <formula>NOT(ISERROR(SEARCH("？",N536)))</formula>
    </cfRule>
  </conditionalFormatting>
  <conditionalFormatting sqref="N540">
    <cfRule type="containsText" dxfId="257" priority="258" operator="containsText" text="？">
      <formula>NOT(ISERROR(SEARCH("？",N540)))</formula>
    </cfRule>
  </conditionalFormatting>
  <conditionalFormatting sqref="N541:N544">
    <cfRule type="containsText" dxfId="256" priority="257" operator="containsText" text="？">
      <formula>NOT(ISERROR(SEARCH("？",N541)))</formula>
    </cfRule>
  </conditionalFormatting>
  <conditionalFormatting sqref="N545">
    <cfRule type="containsText" dxfId="255" priority="256" operator="containsText" text="？">
      <formula>NOT(ISERROR(SEARCH("？",N545)))</formula>
    </cfRule>
  </conditionalFormatting>
  <conditionalFormatting sqref="N546:N549">
    <cfRule type="containsText" dxfId="254" priority="255" operator="containsText" text="？">
      <formula>NOT(ISERROR(SEARCH("？",N546)))</formula>
    </cfRule>
  </conditionalFormatting>
  <conditionalFormatting sqref="N550">
    <cfRule type="containsText" dxfId="253" priority="254" operator="containsText" text="？">
      <formula>NOT(ISERROR(SEARCH("？",N550)))</formula>
    </cfRule>
  </conditionalFormatting>
  <conditionalFormatting sqref="N551:N554">
    <cfRule type="containsText" dxfId="252" priority="253" operator="containsText" text="？">
      <formula>NOT(ISERROR(SEARCH("？",N551)))</formula>
    </cfRule>
  </conditionalFormatting>
  <conditionalFormatting sqref="N555">
    <cfRule type="containsText" dxfId="251" priority="252" operator="containsText" text="？">
      <formula>NOT(ISERROR(SEARCH("？",N555)))</formula>
    </cfRule>
  </conditionalFormatting>
  <conditionalFormatting sqref="N556:N559">
    <cfRule type="containsText" dxfId="250" priority="251" operator="containsText" text="？">
      <formula>NOT(ISERROR(SEARCH("？",N556)))</formula>
    </cfRule>
  </conditionalFormatting>
  <conditionalFormatting sqref="N560">
    <cfRule type="containsText" dxfId="249" priority="250" operator="containsText" text="？">
      <formula>NOT(ISERROR(SEARCH("？",N560)))</formula>
    </cfRule>
  </conditionalFormatting>
  <conditionalFormatting sqref="N561:N564">
    <cfRule type="containsText" dxfId="248" priority="249" operator="containsText" text="？">
      <formula>NOT(ISERROR(SEARCH("？",N561)))</formula>
    </cfRule>
  </conditionalFormatting>
  <conditionalFormatting sqref="N565">
    <cfRule type="containsText" dxfId="247" priority="248" operator="containsText" text="？">
      <formula>NOT(ISERROR(SEARCH("？",N565)))</formula>
    </cfRule>
  </conditionalFormatting>
  <conditionalFormatting sqref="N566 N570:N572">
    <cfRule type="containsText" dxfId="246" priority="247" operator="containsText" text="？">
      <formula>NOT(ISERROR(SEARCH("？",N566)))</formula>
    </cfRule>
  </conditionalFormatting>
  <conditionalFormatting sqref="N581">
    <cfRule type="containsText" dxfId="245" priority="246" operator="containsText" text="？">
      <formula>NOT(ISERROR(SEARCH("？",N581)))</formula>
    </cfRule>
  </conditionalFormatting>
  <conditionalFormatting sqref="N584:N585 N591:N592">
    <cfRule type="containsText" dxfId="244" priority="245" operator="containsText" text="？">
      <formula>NOT(ISERROR(SEARCH("？",N584)))</formula>
    </cfRule>
  </conditionalFormatting>
  <conditionalFormatting sqref="N593">
    <cfRule type="containsText" dxfId="243" priority="244" operator="containsText" text="？">
      <formula>NOT(ISERROR(SEARCH("？",N593)))</formula>
    </cfRule>
  </conditionalFormatting>
  <conditionalFormatting sqref="N594:N597">
    <cfRule type="containsText" dxfId="242" priority="243" operator="containsText" text="？">
      <formula>NOT(ISERROR(SEARCH("？",N594)))</formula>
    </cfRule>
  </conditionalFormatting>
  <conditionalFormatting sqref="N598">
    <cfRule type="containsText" dxfId="241" priority="242" operator="containsText" text="？">
      <formula>NOT(ISERROR(SEARCH("？",N598)))</formula>
    </cfRule>
  </conditionalFormatting>
  <conditionalFormatting sqref="N599:N602">
    <cfRule type="containsText" dxfId="240" priority="241" operator="containsText" text="？">
      <formula>NOT(ISERROR(SEARCH("？",N599)))</formula>
    </cfRule>
  </conditionalFormatting>
  <conditionalFormatting sqref="N603">
    <cfRule type="containsText" dxfId="239" priority="240" operator="containsText" text="？">
      <formula>NOT(ISERROR(SEARCH("？",N603)))</formula>
    </cfRule>
  </conditionalFormatting>
  <conditionalFormatting sqref="N604:N607">
    <cfRule type="containsText" dxfId="238" priority="239" operator="containsText" text="？">
      <formula>NOT(ISERROR(SEARCH("？",N604)))</formula>
    </cfRule>
  </conditionalFormatting>
  <conditionalFormatting sqref="N608">
    <cfRule type="containsText" dxfId="237" priority="238" operator="containsText" text="？">
      <formula>NOT(ISERROR(SEARCH("？",N608)))</formula>
    </cfRule>
  </conditionalFormatting>
  <conditionalFormatting sqref="N609:N612">
    <cfRule type="containsText" dxfId="236" priority="237" operator="containsText" text="？">
      <formula>NOT(ISERROR(SEARCH("？",N609)))</formula>
    </cfRule>
  </conditionalFormatting>
  <conditionalFormatting sqref="N613">
    <cfRule type="containsText" dxfId="235" priority="236" operator="containsText" text="？">
      <formula>NOT(ISERROR(SEARCH("？",N613)))</formula>
    </cfRule>
  </conditionalFormatting>
  <conditionalFormatting sqref="N614:N617">
    <cfRule type="containsText" dxfId="234" priority="235" operator="containsText" text="？">
      <formula>NOT(ISERROR(SEARCH("？",N614)))</formula>
    </cfRule>
  </conditionalFormatting>
  <conditionalFormatting sqref="N618">
    <cfRule type="containsText" dxfId="233" priority="234" operator="containsText" text="？">
      <formula>NOT(ISERROR(SEARCH("？",N618)))</formula>
    </cfRule>
  </conditionalFormatting>
  <conditionalFormatting sqref="N619:N622">
    <cfRule type="containsText" dxfId="232" priority="233" operator="containsText" text="？">
      <formula>NOT(ISERROR(SEARCH("？",N619)))</formula>
    </cfRule>
  </conditionalFormatting>
  <conditionalFormatting sqref="N644:N648">
    <cfRule type="containsText" dxfId="231" priority="232" operator="containsText" text="？">
      <formula>NOT(ISERROR(SEARCH("？",N644)))</formula>
    </cfRule>
  </conditionalFormatting>
  <conditionalFormatting sqref="N644:N648">
    <cfRule type="containsText" dxfId="230" priority="231" operator="containsText" text="？">
      <formula>NOT(ISERROR(SEARCH("？",N644)))</formula>
    </cfRule>
  </conditionalFormatting>
  <conditionalFormatting sqref="N659:N663">
    <cfRule type="containsText" dxfId="229" priority="230" operator="containsText" text="？">
      <formula>NOT(ISERROR(SEARCH("？",N659)))</formula>
    </cfRule>
  </conditionalFormatting>
  <conditionalFormatting sqref="N684:N688">
    <cfRule type="containsText" dxfId="228" priority="229" operator="containsText" text="？">
      <formula>NOT(ISERROR(SEARCH("？",N684)))</formula>
    </cfRule>
  </conditionalFormatting>
  <conditionalFormatting sqref="N689:N690 N703 N707:N708">
    <cfRule type="containsText" dxfId="227" priority="228" operator="containsText" text="？">
      <formula>NOT(ISERROR(SEARCH("？",N689)))</formula>
    </cfRule>
  </conditionalFormatting>
  <conditionalFormatting sqref="N709:N710 N712:N714">
    <cfRule type="containsText" dxfId="226" priority="227" operator="containsText" text="？">
      <formula>NOT(ISERROR(SEARCH("？",N709)))</formula>
    </cfRule>
  </conditionalFormatting>
  <conditionalFormatting sqref="N748:N767">
    <cfRule type="containsText" dxfId="225" priority="226" operator="containsText" text="？">
      <formula>NOT(ISERROR(SEARCH("？",N748)))</formula>
    </cfRule>
  </conditionalFormatting>
  <conditionalFormatting sqref="N768:N787">
    <cfRule type="containsText" dxfId="224" priority="225" operator="containsText" text="？">
      <formula>NOT(ISERROR(SEARCH("？",N768)))</formula>
    </cfRule>
  </conditionalFormatting>
  <conditionalFormatting sqref="N788:N799 N812:N819">
    <cfRule type="containsText" dxfId="223" priority="224" operator="containsText" text="？">
      <formula>NOT(ISERROR(SEARCH("？",N788)))</formula>
    </cfRule>
  </conditionalFormatting>
  <conditionalFormatting sqref="N820:N822 N831 N860 N868 N870 N876:N888">
    <cfRule type="containsText" dxfId="222" priority="223" operator="containsText" text="？">
      <formula>NOT(ISERROR(SEARCH("？",N820)))</formula>
    </cfRule>
  </conditionalFormatting>
  <conditionalFormatting sqref="N889:N908">
    <cfRule type="containsText" dxfId="221" priority="222" operator="containsText" text="？">
      <formula>NOT(ISERROR(SEARCH("？",N889)))</formula>
    </cfRule>
  </conditionalFormatting>
  <conditionalFormatting sqref="N909:N927 N931">
    <cfRule type="containsText" dxfId="220" priority="221" operator="containsText" text="？">
      <formula>NOT(ISERROR(SEARCH("？",N909)))</formula>
    </cfRule>
  </conditionalFormatting>
  <conditionalFormatting sqref="N932:N934 N941:N942 N944:N958">
    <cfRule type="containsText" dxfId="219" priority="220" operator="containsText" text="？">
      <formula>NOT(ISERROR(SEARCH("？",N932)))</formula>
    </cfRule>
  </conditionalFormatting>
  <conditionalFormatting sqref="N959:N977 N979">
    <cfRule type="containsText" dxfId="218" priority="219" operator="containsText" text="？">
      <formula>NOT(ISERROR(SEARCH("？",N959)))</formula>
    </cfRule>
  </conditionalFormatting>
  <conditionalFormatting sqref="N980:N981 N988:N990 N993:N1007">
    <cfRule type="containsText" dxfId="217" priority="218" operator="containsText" text="？">
      <formula>NOT(ISERROR(SEARCH("？",N980)))</formula>
    </cfRule>
  </conditionalFormatting>
  <conditionalFormatting sqref="N1008:N1027">
    <cfRule type="containsText" dxfId="216" priority="217" operator="containsText" text="？">
      <formula>NOT(ISERROR(SEARCH("？",N1008)))</formula>
    </cfRule>
  </conditionalFormatting>
  <conditionalFormatting sqref="N1028:N1047">
    <cfRule type="containsText" dxfId="215" priority="216" operator="containsText" text="？">
      <formula>NOT(ISERROR(SEARCH("？",N1028)))</formula>
    </cfRule>
  </conditionalFormatting>
  <conditionalFormatting sqref="E28 G28">
    <cfRule type="containsText" dxfId="214" priority="215" operator="containsText" text="？">
      <formula>NOT(ISERROR(SEARCH("？",E28)))</formula>
    </cfRule>
  </conditionalFormatting>
  <conditionalFormatting sqref="I28">
    <cfRule type="containsText" dxfId="213" priority="214" operator="containsText" text="女">
      <formula>NOT(ISERROR(SEARCH("女",I28)))</formula>
    </cfRule>
  </conditionalFormatting>
  <conditionalFormatting sqref="E31:E33 G31:G33">
    <cfRule type="containsText" dxfId="212" priority="213" operator="containsText" text="？">
      <formula>NOT(ISERROR(SEARCH("？",E31)))</formula>
    </cfRule>
  </conditionalFormatting>
  <conditionalFormatting sqref="I31:I33">
    <cfRule type="containsText" dxfId="211" priority="212" operator="containsText" text="女">
      <formula>NOT(ISERROR(SEARCH("女",I31)))</formula>
    </cfRule>
  </conditionalFormatting>
  <conditionalFormatting sqref="E35:E37 G35:G37">
    <cfRule type="containsText" dxfId="210" priority="211" operator="containsText" text="？">
      <formula>NOT(ISERROR(SEARCH("？",E35)))</formula>
    </cfRule>
  </conditionalFormatting>
  <conditionalFormatting sqref="I35:I37">
    <cfRule type="containsText" dxfId="209" priority="210" operator="containsText" text="女">
      <formula>NOT(ISERROR(SEARCH("女",I35)))</formula>
    </cfRule>
  </conditionalFormatting>
  <conditionalFormatting sqref="E39 I39:R39 G39">
    <cfRule type="containsText" dxfId="208" priority="209" operator="containsText" text="？">
      <formula>NOT(ISERROR(SEARCH("？",E39)))</formula>
    </cfRule>
  </conditionalFormatting>
  <conditionalFormatting sqref="I39">
    <cfRule type="containsText" dxfId="207" priority="208" operator="containsText" text="女">
      <formula>NOT(ISERROR(SEARCH("女",I39)))</formula>
    </cfRule>
  </conditionalFormatting>
  <conditionalFormatting sqref="E41:E47 G41:G47">
    <cfRule type="containsText" dxfId="206" priority="207" operator="containsText" text="？">
      <formula>NOT(ISERROR(SEARCH("？",E41)))</formula>
    </cfRule>
  </conditionalFormatting>
  <conditionalFormatting sqref="I41:I47">
    <cfRule type="containsText" dxfId="205" priority="206" operator="containsText" text="女">
      <formula>NOT(ISERROR(SEARCH("女",I41)))</formula>
    </cfRule>
  </conditionalFormatting>
  <conditionalFormatting sqref="J2:J98 J113:J115 J129:J130 J136:J206 J219:J224 J241:J243 J255:J256 J260:J330 J347:J355 J392:J393 J395 J398:J457 J475:J481 J501 J515:J566 J512:J513 J570:J572 J581 J584:J585 J591:J663 J684:J690 J703 J707:J710 J712:J799 J812:J822 J831 J860 J868 J870 J876:J927 J941:J942 J944:J977 J979:J981 J988:J990 J993:J1062 J1073:J1078 J1097 J1105 J1107 J1113:J1118 J931:J934">
    <cfRule type="containsText" dxfId="204" priority="204" operator="containsText" text="単">
      <formula>NOT(ISERROR(SEARCH("単",J2)))</formula>
    </cfRule>
    <cfRule type="cellIs" dxfId="203" priority="205" operator="equal">
      <formula>"男"</formula>
    </cfRule>
  </conditionalFormatting>
  <conditionalFormatting sqref="E99 G99">
    <cfRule type="containsText" dxfId="202" priority="203" operator="containsText" text="？">
      <formula>NOT(ISERROR(SEARCH("？",E99)))</formula>
    </cfRule>
  </conditionalFormatting>
  <conditionalFormatting sqref="I99">
    <cfRule type="containsText" dxfId="201" priority="202" operator="containsText" text="女">
      <formula>NOT(ISERROR(SEARCH("女",I99)))</formula>
    </cfRule>
  </conditionalFormatting>
  <conditionalFormatting sqref="E100 G100">
    <cfRule type="containsText" dxfId="200" priority="201" operator="containsText" text="？">
      <formula>NOT(ISERROR(SEARCH("？",E100)))</formula>
    </cfRule>
  </conditionalFormatting>
  <conditionalFormatting sqref="I100">
    <cfRule type="containsText" dxfId="199" priority="200" operator="containsText" text="女">
      <formula>NOT(ISERROR(SEARCH("女",I100)))</formula>
    </cfRule>
  </conditionalFormatting>
  <conditionalFormatting sqref="E101 G101">
    <cfRule type="containsText" dxfId="198" priority="199" operator="containsText" text="？">
      <formula>NOT(ISERROR(SEARCH("？",E101)))</formula>
    </cfRule>
  </conditionalFormatting>
  <conditionalFormatting sqref="I101">
    <cfRule type="containsText" dxfId="197" priority="198" operator="containsText" text="女">
      <formula>NOT(ISERROR(SEARCH("女",I101)))</formula>
    </cfRule>
  </conditionalFormatting>
  <conditionalFormatting sqref="E102:E105 G102:G105">
    <cfRule type="containsText" dxfId="196" priority="197" operator="containsText" text="？">
      <formula>NOT(ISERROR(SEARCH("？",E102)))</formula>
    </cfRule>
  </conditionalFormatting>
  <conditionalFormatting sqref="I102:I105">
    <cfRule type="containsText" dxfId="195" priority="196" operator="containsText" text="女">
      <formula>NOT(ISERROR(SEARCH("女",I102)))</formula>
    </cfRule>
  </conditionalFormatting>
  <conditionalFormatting sqref="I112">
    <cfRule type="containsText" dxfId="194" priority="184" operator="containsText" text="女">
      <formula>NOT(ISERROR(SEARCH("女",I112)))</formula>
    </cfRule>
  </conditionalFormatting>
  <conditionalFormatting sqref="E106 G106">
    <cfRule type="containsText" dxfId="193" priority="195" operator="containsText" text="？">
      <formula>NOT(ISERROR(SEARCH("？",E106)))</formula>
    </cfRule>
  </conditionalFormatting>
  <conditionalFormatting sqref="I106">
    <cfRule type="containsText" dxfId="192" priority="194" operator="containsText" text="女">
      <formula>NOT(ISERROR(SEARCH("女",I106)))</formula>
    </cfRule>
  </conditionalFormatting>
  <conditionalFormatting sqref="E107:E108 G107:G108">
    <cfRule type="containsText" dxfId="191" priority="193" operator="containsText" text="？">
      <formula>NOT(ISERROR(SEARCH("？",E107)))</formula>
    </cfRule>
  </conditionalFormatting>
  <conditionalFormatting sqref="I107:I108">
    <cfRule type="containsText" dxfId="190" priority="192" operator="containsText" text="女">
      <formula>NOT(ISERROR(SEARCH("女",I107)))</formula>
    </cfRule>
  </conditionalFormatting>
  <conditionalFormatting sqref="E109 G109">
    <cfRule type="containsText" dxfId="189" priority="191" operator="containsText" text="？">
      <formula>NOT(ISERROR(SEARCH("？",E109)))</formula>
    </cfRule>
  </conditionalFormatting>
  <conditionalFormatting sqref="I109">
    <cfRule type="containsText" dxfId="188" priority="190" operator="containsText" text="女">
      <formula>NOT(ISERROR(SEARCH("女",I109)))</formula>
    </cfRule>
  </conditionalFormatting>
  <conditionalFormatting sqref="E110 G110">
    <cfRule type="containsText" dxfId="187" priority="189" operator="containsText" text="？">
      <formula>NOT(ISERROR(SEARCH("？",E110)))</formula>
    </cfRule>
  </conditionalFormatting>
  <conditionalFormatting sqref="I110">
    <cfRule type="containsText" dxfId="186" priority="188" operator="containsText" text="女">
      <formula>NOT(ISERROR(SEARCH("女",I110)))</formula>
    </cfRule>
  </conditionalFormatting>
  <conditionalFormatting sqref="E111 G111">
    <cfRule type="containsText" dxfId="185" priority="187" operator="containsText" text="？">
      <formula>NOT(ISERROR(SEARCH("？",E111)))</formula>
    </cfRule>
  </conditionalFormatting>
  <conditionalFormatting sqref="I111">
    <cfRule type="containsText" dxfId="184" priority="186" operator="containsText" text="女">
      <formula>NOT(ISERROR(SEARCH("女",I111)))</formula>
    </cfRule>
  </conditionalFormatting>
  <conditionalFormatting sqref="I125">
    <cfRule type="containsText" dxfId="183" priority="172" operator="containsText" text="女">
      <formula>NOT(ISERROR(SEARCH("女",I125)))</formula>
    </cfRule>
  </conditionalFormatting>
  <conditionalFormatting sqref="E112 G112">
    <cfRule type="containsText" dxfId="182" priority="185" operator="containsText" text="？">
      <formula>NOT(ISERROR(SEARCH("？",E112)))</formula>
    </cfRule>
  </conditionalFormatting>
  <conditionalFormatting sqref="I126:I128">
    <cfRule type="containsText" dxfId="181" priority="170" operator="containsText" text="女">
      <formula>NOT(ISERROR(SEARCH("女",I126)))</formula>
    </cfRule>
  </conditionalFormatting>
  <conditionalFormatting sqref="E116 G116">
    <cfRule type="containsText" dxfId="180" priority="183" operator="containsText" text="？">
      <formula>NOT(ISERROR(SEARCH("？",E116)))</formula>
    </cfRule>
  </conditionalFormatting>
  <conditionalFormatting sqref="I116">
    <cfRule type="containsText" dxfId="179" priority="182" operator="containsText" text="女">
      <formula>NOT(ISERROR(SEARCH("女",I116)))</formula>
    </cfRule>
  </conditionalFormatting>
  <conditionalFormatting sqref="E125 G125">
    <cfRule type="containsText" dxfId="178" priority="173" operator="containsText" text="？">
      <formula>NOT(ISERROR(SEARCH("？",E125)))</formula>
    </cfRule>
  </conditionalFormatting>
  <conditionalFormatting sqref="I131:I135">
    <cfRule type="containsText" dxfId="177" priority="168" operator="containsText" text="女">
      <formula>NOT(ISERROR(SEARCH("女",I131)))</formula>
    </cfRule>
  </conditionalFormatting>
  <conditionalFormatting sqref="E117 G117">
    <cfRule type="containsText" dxfId="176" priority="181" operator="containsText" text="？">
      <formula>NOT(ISERROR(SEARCH("？",E117)))</formula>
    </cfRule>
  </conditionalFormatting>
  <conditionalFormatting sqref="I117">
    <cfRule type="containsText" dxfId="175" priority="180" operator="containsText" text="女">
      <formula>NOT(ISERROR(SEARCH("女",I117)))</formula>
    </cfRule>
  </conditionalFormatting>
  <conditionalFormatting sqref="E118 G118">
    <cfRule type="containsText" dxfId="174" priority="179" operator="containsText" text="？">
      <formula>NOT(ISERROR(SEARCH("？",E118)))</formula>
    </cfRule>
  </conditionalFormatting>
  <conditionalFormatting sqref="I118">
    <cfRule type="containsText" dxfId="173" priority="178" operator="containsText" text="女">
      <formula>NOT(ISERROR(SEARCH("女",I118)))</formula>
    </cfRule>
  </conditionalFormatting>
  <conditionalFormatting sqref="E119:E121 G119:G121">
    <cfRule type="containsText" dxfId="172" priority="177" operator="containsText" text="？">
      <formula>NOT(ISERROR(SEARCH("？",E119)))</formula>
    </cfRule>
  </conditionalFormatting>
  <conditionalFormatting sqref="I119:I121">
    <cfRule type="containsText" dxfId="171" priority="176" operator="containsText" text="女">
      <formula>NOT(ISERROR(SEARCH("女",I119)))</formula>
    </cfRule>
  </conditionalFormatting>
  <conditionalFormatting sqref="I218">
    <cfRule type="containsText" dxfId="170" priority="150" operator="containsText" text="女">
      <formula>NOT(ISERROR(SEARCH("女",I218)))</formula>
    </cfRule>
  </conditionalFormatting>
  <conditionalFormatting sqref="E122:E124 G122:G124">
    <cfRule type="containsText" dxfId="169" priority="175" operator="containsText" text="？">
      <formula>NOT(ISERROR(SEARCH("？",E122)))</formula>
    </cfRule>
  </conditionalFormatting>
  <conditionalFormatting sqref="I122:I124">
    <cfRule type="containsText" dxfId="168" priority="174" operator="containsText" text="女">
      <formula>NOT(ISERROR(SEARCH("女",I122)))</formula>
    </cfRule>
  </conditionalFormatting>
  <conditionalFormatting sqref="E126:E128 G126:G128">
    <cfRule type="containsText" dxfId="167" priority="171" operator="containsText" text="？">
      <formula>NOT(ISERROR(SEARCH("？",E126)))</formula>
    </cfRule>
  </conditionalFormatting>
  <conditionalFormatting sqref="I231:I240">
    <cfRule type="containsText" dxfId="166" priority="144" operator="containsText" text="女">
      <formula>NOT(ISERROR(SEARCH("女",I231)))</formula>
    </cfRule>
  </conditionalFormatting>
  <conditionalFormatting sqref="E131:E135 G131:G135">
    <cfRule type="containsText" dxfId="165" priority="169" operator="containsText" text="？">
      <formula>NOT(ISERROR(SEARCH("？",E131)))</formula>
    </cfRule>
  </conditionalFormatting>
  <conditionalFormatting sqref="I247:I254">
    <cfRule type="containsText" dxfId="164" priority="140" operator="containsText" text="女">
      <formula>NOT(ISERROR(SEARCH("女",I247)))</formula>
    </cfRule>
  </conditionalFormatting>
  <conditionalFormatting sqref="E218 G218">
    <cfRule type="containsText" dxfId="163" priority="151" operator="containsText" text="？">
      <formula>NOT(ISERROR(SEARCH("？",E218)))</formula>
    </cfRule>
  </conditionalFormatting>
  <conditionalFormatting sqref="I257">
    <cfRule type="containsText" dxfId="162" priority="138" operator="containsText" text="女">
      <formula>NOT(ISERROR(SEARCH("女",I257)))</formula>
    </cfRule>
  </conditionalFormatting>
  <conditionalFormatting sqref="I258:I259">
    <cfRule type="containsText" dxfId="161" priority="136" operator="containsText" text="女">
      <formula>NOT(ISERROR(SEARCH("女",I258)))</formula>
    </cfRule>
  </conditionalFormatting>
  <conditionalFormatting sqref="E207 G207">
    <cfRule type="containsText" dxfId="160" priority="167" operator="containsText" text="？">
      <formula>NOT(ISERROR(SEARCH("？",E207)))</formula>
    </cfRule>
  </conditionalFormatting>
  <conditionalFormatting sqref="I207">
    <cfRule type="containsText" dxfId="159" priority="166" operator="containsText" text="女">
      <formula>NOT(ISERROR(SEARCH("女",I207)))</formula>
    </cfRule>
  </conditionalFormatting>
  <conditionalFormatting sqref="E208 G208">
    <cfRule type="containsText" dxfId="158" priority="165" operator="containsText" text="？">
      <formula>NOT(ISERROR(SEARCH("？",E208)))</formula>
    </cfRule>
  </conditionalFormatting>
  <conditionalFormatting sqref="I208">
    <cfRule type="containsText" dxfId="157" priority="164" operator="containsText" text="女">
      <formula>NOT(ISERROR(SEARCH("女",I208)))</formula>
    </cfRule>
  </conditionalFormatting>
  <conditionalFormatting sqref="I331:I346">
    <cfRule type="containsText" dxfId="156" priority="134" operator="containsText" text="女">
      <formula>NOT(ISERROR(SEARCH("女",I331)))</formula>
    </cfRule>
  </conditionalFormatting>
  <conditionalFormatting sqref="E209 G209">
    <cfRule type="containsText" dxfId="155" priority="163" operator="containsText" text="？">
      <formula>NOT(ISERROR(SEARCH("？",E209)))</formula>
    </cfRule>
  </conditionalFormatting>
  <conditionalFormatting sqref="I209">
    <cfRule type="containsText" dxfId="154" priority="162" operator="containsText" text="女">
      <formula>NOT(ISERROR(SEARCH("女",I209)))</formula>
    </cfRule>
  </conditionalFormatting>
  <conditionalFormatting sqref="E210 G210">
    <cfRule type="containsText" dxfId="153" priority="161" operator="containsText" text="？">
      <formula>NOT(ISERROR(SEARCH("？",E210)))</formula>
    </cfRule>
  </conditionalFormatting>
  <conditionalFormatting sqref="I210">
    <cfRule type="containsText" dxfId="152" priority="160" operator="containsText" text="女">
      <formula>NOT(ISERROR(SEARCH("女",I210)))</formula>
    </cfRule>
  </conditionalFormatting>
  <conditionalFormatting sqref="E211 G211">
    <cfRule type="containsText" dxfId="151" priority="159" operator="containsText" text="？">
      <formula>NOT(ISERROR(SEARCH("？",E211)))</formula>
    </cfRule>
  </conditionalFormatting>
  <conditionalFormatting sqref="I211">
    <cfRule type="containsText" dxfId="150" priority="158" operator="containsText" text="女">
      <formula>NOT(ISERROR(SEARCH("女",I211)))</formula>
    </cfRule>
  </conditionalFormatting>
  <conditionalFormatting sqref="I357:I372">
    <cfRule type="containsText" dxfId="149" priority="130" operator="containsText" text="女">
      <formula>NOT(ISERROR(SEARCH("女",I357)))</formula>
    </cfRule>
  </conditionalFormatting>
  <conditionalFormatting sqref="E212 G212">
    <cfRule type="containsText" dxfId="148" priority="157" operator="containsText" text="？">
      <formula>NOT(ISERROR(SEARCH("？",E212)))</formula>
    </cfRule>
  </conditionalFormatting>
  <conditionalFormatting sqref="I212">
    <cfRule type="containsText" dxfId="147" priority="156" operator="containsText" text="女">
      <formula>NOT(ISERROR(SEARCH("女",I212)))</formula>
    </cfRule>
  </conditionalFormatting>
  <conditionalFormatting sqref="I373:I391">
    <cfRule type="containsText" dxfId="146" priority="128" operator="containsText" text="女">
      <formula>NOT(ISERROR(SEARCH("女",I373)))</formula>
    </cfRule>
  </conditionalFormatting>
  <conditionalFormatting sqref="E213:E215 G213:G215">
    <cfRule type="containsText" dxfId="145" priority="155" operator="containsText" text="？">
      <formula>NOT(ISERROR(SEARCH("？",E213)))</formula>
    </cfRule>
  </conditionalFormatting>
  <conditionalFormatting sqref="I213:I215">
    <cfRule type="containsText" dxfId="144" priority="154" operator="containsText" text="女">
      <formula>NOT(ISERROR(SEARCH("女",I213)))</formula>
    </cfRule>
  </conditionalFormatting>
  <conditionalFormatting sqref="E216:E217 G216:G217">
    <cfRule type="containsText" dxfId="143" priority="153" operator="containsText" text="？">
      <formula>NOT(ISERROR(SEARCH("？",E216)))</formula>
    </cfRule>
  </conditionalFormatting>
  <conditionalFormatting sqref="I216:I217">
    <cfRule type="containsText" dxfId="142" priority="152" operator="containsText" text="女">
      <formula>NOT(ISERROR(SEARCH("女",I216)))</formula>
    </cfRule>
  </conditionalFormatting>
  <conditionalFormatting sqref="E231:E240 G231:G240">
    <cfRule type="containsText" dxfId="141" priority="145" operator="containsText" text="？">
      <formula>NOT(ISERROR(SEARCH("？",E231)))</formula>
    </cfRule>
  </conditionalFormatting>
  <conditionalFormatting sqref="I394">
    <cfRule type="containsText" dxfId="140" priority="126" operator="containsText" text="女">
      <formula>NOT(ISERROR(SEARCH("女",I394)))</formula>
    </cfRule>
  </conditionalFormatting>
  <conditionalFormatting sqref="I396:I397">
    <cfRule type="containsText" dxfId="139" priority="124" operator="containsText" text="女">
      <formula>NOT(ISERROR(SEARCH("女",I396)))</formula>
    </cfRule>
  </conditionalFormatting>
  <conditionalFormatting sqref="E225:E226 G225:G226">
    <cfRule type="containsText" dxfId="138" priority="149" operator="containsText" text="？">
      <formula>NOT(ISERROR(SEARCH("？",E225)))</formula>
    </cfRule>
  </conditionalFormatting>
  <conditionalFormatting sqref="I225:I226">
    <cfRule type="containsText" dxfId="137" priority="148" operator="containsText" text="女">
      <formula>NOT(ISERROR(SEARCH("女",I225)))</formula>
    </cfRule>
  </conditionalFormatting>
  <conditionalFormatting sqref="I458:I474">
    <cfRule type="containsText" dxfId="136" priority="122" operator="containsText" text="女">
      <formula>NOT(ISERROR(SEARCH("女",I458)))</formula>
    </cfRule>
  </conditionalFormatting>
  <conditionalFormatting sqref="E227:E230 G227:G230">
    <cfRule type="containsText" dxfId="135" priority="147" operator="containsText" text="？">
      <formula>NOT(ISERROR(SEARCH("？",E227)))</formula>
    </cfRule>
  </conditionalFormatting>
  <conditionalFormatting sqref="I227:I230">
    <cfRule type="containsText" dxfId="134" priority="146" operator="containsText" text="女">
      <formula>NOT(ISERROR(SEARCH("女",I227)))</formula>
    </cfRule>
  </conditionalFormatting>
  <conditionalFormatting sqref="E247:E254 G247:G254">
    <cfRule type="containsText" dxfId="133" priority="141" operator="containsText" text="？">
      <formula>NOT(ISERROR(SEARCH("？",E247)))</formula>
    </cfRule>
  </conditionalFormatting>
  <conditionalFormatting sqref="I495:I500">
    <cfRule type="containsText" dxfId="132" priority="116" operator="containsText" text="女">
      <formula>NOT(ISERROR(SEARCH("女",I495)))</formula>
    </cfRule>
  </conditionalFormatting>
  <conditionalFormatting sqref="I514">
    <cfRule type="containsText" dxfId="131" priority="114" operator="containsText" text="女">
      <formula>NOT(ISERROR(SEARCH("女",I514)))</formula>
    </cfRule>
  </conditionalFormatting>
  <conditionalFormatting sqref="E244:E246 G244:G246">
    <cfRule type="containsText" dxfId="130" priority="143" operator="containsText" text="？">
      <formula>NOT(ISERROR(SEARCH("？",E244)))</formula>
    </cfRule>
  </conditionalFormatting>
  <conditionalFormatting sqref="I244:I246">
    <cfRule type="containsText" dxfId="129" priority="142" operator="containsText" text="女">
      <formula>NOT(ISERROR(SEARCH("女",I244)))</formula>
    </cfRule>
  </conditionalFormatting>
  <conditionalFormatting sqref="E257 G257">
    <cfRule type="containsText" dxfId="128" priority="139" operator="containsText" text="？">
      <formula>NOT(ISERROR(SEARCH("？",E257)))</formula>
    </cfRule>
  </conditionalFormatting>
  <conditionalFormatting sqref="I502:I511">
    <cfRule type="containsText" dxfId="127" priority="112" operator="containsText" text="女">
      <formula>NOT(ISERROR(SEARCH("女",I502)))</formula>
    </cfRule>
  </conditionalFormatting>
  <conditionalFormatting sqref="E258:E259 G258:G259">
    <cfRule type="containsText" dxfId="126" priority="137" operator="containsText" text="？">
      <formula>NOT(ISERROR(SEARCH("？",E258)))</formula>
    </cfRule>
  </conditionalFormatting>
  <conditionalFormatting sqref="I568:I569">
    <cfRule type="containsText" dxfId="125" priority="108" operator="containsText" text="女">
      <formula>NOT(ISERROR(SEARCH("女",I568)))</formula>
    </cfRule>
  </conditionalFormatting>
  <conditionalFormatting sqref="E331:E346 G331:G346">
    <cfRule type="containsText" dxfId="124" priority="135" operator="containsText" text="？">
      <formula>NOT(ISERROR(SEARCH("？",E331)))</formula>
    </cfRule>
  </conditionalFormatting>
  <conditionalFormatting sqref="I573:I580">
    <cfRule type="containsText" dxfId="123" priority="106" operator="containsText" text="女">
      <formula>NOT(ISERROR(SEARCH("女",I573)))</formula>
    </cfRule>
  </conditionalFormatting>
  <conditionalFormatting sqref="E357:E372 G357:G372">
    <cfRule type="containsText" dxfId="122" priority="131" operator="containsText" text="？">
      <formula>NOT(ISERROR(SEARCH("？",E357)))</formula>
    </cfRule>
  </conditionalFormatting>
  <conditionalFormatting sqref="I582:I583">
    <cfRule type="containsText" dxfId="121" priority="104" operator="containsText" text="女">
      <formula>NOT(ISERROR(SEARCH("女",I582)))</formula>
    </cfRule>
  </conditionalFormatting>
  <conditionalFormatting sqref="E356 G356">
    <cfRule type="containsText" dxfId="120" priority="133" operator="containsText" text="？">
      <formula>NOT(ISERROR(SEARCH("？",E356)))</formula>
    </cfRule>
  </conditionalFormatting>
  <conditionalFormatting sqref="I356">
    <cfRule type="containsText" dxfId="119" priority="132" operator="containsText" text="女">
      <formula>NOT(ISERROR(SEARCH("女",I356)))</formula>
    </cfRule>
  </conditionalFormatting>
  <conditionalFormatting sqref="I586:I590">
    <cfRule type="containsText" dxfId="118" priority="102" operator="containsText" text="女">
      <formula>NOT(ISERROR(SEARCH("女",I586)))</formula>
    </cfRule>
  </conditionalFormatting>
  <conditionalFormatting sqref="E373:E391 G373:G391">
    <cfRule type="containsText" dxfId="117" priority="129" operator="containsText" text="？">
      <formula>NOT(ISERROR(SEARCH("？",E373)))</formula>
    </cfRule>
  </conditionalFormatting>
  <conditionalFormatting sqref="I664:I683">
    <cfRule type="containsText" dxfId="116" priority="100" operator="containsText" text="女">
      <formula>NOT(ISERROR(SEARCH("女",I664)))</formula>
    </cfRule>
  </conditionalFormatting>
  <conditionalFormatting sqref="E394 G394">
    <cfRule type="containsText" dxfId="115" priority="127" operator="containsText" text="？">
      <formula>NOT(ISERROR(SEARCH("？",E394)))</formula>
    </cfRule>
  </conditionalFormatting>
  <conditionalFormatting sqref="I692:I702">
    <cfRule type="containsText" dxfId="114" priority="96" operator="containsText" text="女">
      <formula>NOT(ISERROR(SEARCH("女",I692)))</formula>
    </cfRule>
  </conditionalFormatting>
  <conditionalFormatting sqref="E396:E397 G396:G397">
    <cfRule type="containsText" dxfId="113" priority="125" operator="containsText" text="？">
      <formula>NOT(ISERROR(SEARCH("？",E396)))</formula>
    </cfRule>
  </conditionalFormatting>
  <conditionalFormatting sqref="I704:I706">
    <cfRule type="containsText" dxfId="112" priority="94" operator="containsText" text="女">
      <formula>NOT(ISERROR(SEARCH("女",I704)))</formula>
    </cfRule>
  </conditionalFormatting>
  <conditionalFormatting sqref="E458:E474 G458:G474">
    <cfRule type="containsText" dxfId="111" priority="123" operator="containsText" text="？">
      <formula>NOT(ISERROR(SEARCH("？",E458)))</formula>
    </cfRule>
  </conditionalFormatting>
  <conditionalFormatting sqref="E495:E500 G495:G500">
    <cfRule type="containsText" dxfId="110" priority="117" operator="containsText" text="？">
      <formula>NOT(ISERROR(SEARCH("？",E495)))</formula>
    </cfRule>
  </conditionalFormatting>
  <conditionalFormatting sqref="E482 G482">
    <cfRule type="containsText" dxfId="109" priority="121" operator="containsText" text="？">
      <formula>NOT(ISERROR(SEARCH("？",E482)))</formula>
    </cfRule>
  </conditionalFormatting>
  <conditionalFormatting sqref="I482">
    <cfRule type="containsText" dxfId="108" priority="120" operator="containsText" text="女">
      <formula>NOT(ISERROR(SEARCH("女",I482)))</formula>
    </cfRule>
  </conditionalFormatting>
  <conditionalFormatting sqref="E483:E494 G483:G494">
    <cfRule type="containsText" dxfId="107" priority="119" operator="containsText" text="？">
      <formula>NOT(ISERROR(SEARCH("？",E483)))</formula>
    </cfRule>
  </conditionalFormatting>
  <conditionalFormatting sqref="I483:I494">
    <cfRule type="containsText" dxfId="106" priority="118" operator="containsText" text="女">
      <formula>NOT(ISERROR(SEARCH("女",I483)))</formula>
    </cfRule>
  </conditionalFormatting>
  <conditionalFormatting sqref="E514 I514:R514 G514">
    <cfRule type="containsText" dxfId="105" priority="115" operator="containsText" text="？">
      <formula>NOT(ISERROR(SEARCH("？",E514)))</formula>
    </cfRule>
  </conditionalFormatting>
  <conditionalFormatting sqref="E502:E511 G502:G511">
    <cfRule type="containsText" dxfId="104" priority="113" operator="containsText" text="？">
      <formula>NOT(ISERROR(SEARCH("？",E502)))</formula>
    </cfRule>
  </conditionalFormatting>
  <conditionalFormatting sqref="E568:E569 G568:G569">
    <cfRule type="containsText" dxfId="103" priority="109" operator="containsText" text="？">
      <formula>NOT(ISERROR(SEARCH("？",E568)))</formula>
    </cfRule>
  </conditionalFormatting>
  <conditionalFormatting sqref="E567 G567">
    <cfRule type="containsText" dxfId="102" priority="111" operator="containsText" text="？">
      <formula>NOT(ISERROR(SEARCH("？",E567)))</formula>
    </cfRule>
  </conditionalFormatting>
  <conditionalFormatting sqref="I567">
    <cfRule type="containsText" dxfId="101" priority="110" operator="containsText" text="女">
      <formula>NOT(ISERROR(SEARCH("女",I567)))</formula>
    </cfRule>
  </conditionalFormatting>
  <conditionalFormatting sqref="E573:E580 G573:G580">
    <cfRule type="containsText" dxfId="100" priority="107" operator="containsText" text="？">
      <formula>NOT(ISERROR(SEARCH("？",E573)))</formula>
    </cfRule>
  </conditionalFormatting>
  <conditionalFormatting sqref="E582:E583 G582:G583">
    <cfRule type="containsText" dxfId="99" priority="105" operator="containsText" text="？">
      <formula>NOT(ISERROR(SEARCH("？",E582)))</formula>
    </cfRule>
  </conditionalFormatting>
  <conditionalFormatting sqref="E586:E590 G586:G590">
    <cfRule type="containsText" dxfId="98" priority="103" operator="containsText" text="？">
      <formula>NOT(ISERROR(SEARCH("？",E586)))</formula>
    </cfRule>
  </conditionalFormatting>
  <conditionalFormatting sqref="E664:E683 G664:G683">
    <cfRule type="containsText" dxfId="97" priority="101" operator="containsText" text="？">
      <formula>NOT(ISERROR(SEARCH("？",E664)))</formula>
    </cfRule>
  </conditionalFormatting>
  <conditionalFormatting sqref="E692:E702 G692:G702">
    <cfRule type="containsText" dxfId="96" priority="97" operator="containsText" text="？">
      <formula>NOT(ISERROR(SEARCH("？",E692)))</formula>
    </cfRule>
  </conditionalFormatting>
  <conditionalFormatting sqref="E691 G691">
    <cfRule type="containsText" dxfId="95" priority="99" operator="containsText" text="？">
      <formula>NOT(ISERROR(SEARCH("？",E691)))</formula>
    </cfRule>
  </conditionalFormatting>
  <conditionalFormatting sqref="I691">
    <cfRule type="containsText" dxfId="94" priority="98" operator="containsText" text="女">
      <formula>NOT(ISERROR(SEARCH("女",I691)))</formula>
    </cfRule>
  </conditionalFormatting>
  <conditionalFormatting sqref="E704:E706 G704:G706">
    <cfRule type="containsText" dxfId="93" priority="95" operator="containsText" text="？">
      <formula>NOT(ISERROR(SEARCH("？",E704)))</formula>
    </cfRule>
  </conditionalFormatting>
  <conditionalFormatting sqref="E711 G711">
    <cfRule type="containsText" dxfId="92" priority="93" operator="containsText" text="？">
      <formula>NOT(ISERROR(SEARCH("？",E711)))</formula>
    </cfRule>
  </conditionalFormatting>
  <conditionalFormatting sqref="I711">
    <cfRule type="containsText" dxfId="91" priority="92" operator="containsText" text="女">
      <formula>NOT(ISERROR(SEARCH("女",I711)))</formula>
    </cfRule>
  </conditionalFormatting>
  <conditionalFormatting sqref="E800:E811 G800:G811">
    <cfRule type="containsText" dxfId="90" priority="91" operator="containsText" text="？">
      <formula>NOT(ISERROR(SEARCH("？",E800)))</formula>
    </cfRule>
  </conditionalFormatting>
  <conditionalFormatting sqref="I800:I811">
    <cfRule type="containsText" dxfId="89" priority="90" operator="containsText" text="女">
      <formula>NOT(ISERROR(SEARCH("女",I800)))</formula>
    </cfRule>
  </conditionalFormatting>
  <conditionalFormatting sqref="E823 G823">
    <cfRule type="containsText" dxfId="88" priority="89" operator="containsText" text="？">
      <formula>NOT(ISERROR(SEARCH("？",E823)))</formula>
    </cfRule>
  </conditionalFormatting>
  <conditionalFormatting sqref="I823">
    <cfRule type="containsText" dxfId="87" priority="88" operator="containsText" text="女">
      <formula>NOT(ISERROR(SEARCH("女",I823)))</formula>
    </cfRule>
  </conditionalFormatting>
  <conditionalFormatting sqref="E824 G824">
    <cfRule type="containsText" dxfId="86" priority="87" operator="containsText" text="？">
      <formula>NOT(ISERROR(SEARCH("？",E824)))</formula>
    </cfRule>
  </conditionalFormatting>
  <conditionalFormatting sqref="I824">
    <cfRule type="containsText" dxfId="85" priority="86" operator="containsText" text="女">
      <formula>NOT(ISERROR(SEARCH("女",I824)))</formula>
    </cfRule>
  </conditionalFormatting>
  <conditionalFormatting sqref="I830">
    <cfRule type="containsText" dxfId="84" priority="80" operator="containsText" text="女">
      <formula>NOT(ISERROR(SEARCH("女",I830)))</formula>
    </cfRule>
  </conditionalFormatting>
  <conditionalFormatting sqref="E825:E828 G825:G828">
    <cfRule type="containsText" dxfId="83" priority="85" operator="containsText" text="？">
      <formula>NOT(ISERROR(SEARCH("？",E825)))</formula>
    </cfRule>
  </conditionalFormatting>
  <conditionalFormatting sqref="I825:I828">
    <cfRule type="containsText" dxfId="82" priority="84" operator="containsText" text="女">
      <formula>NOT(ISERROR(SEARCH("女",I825)))</formula>
    </cfRule>
  </conditionalFormatting>
  <conditionalFormatting sqref="E829 G829">
    <cfRule type="containsText" dxfId="81" priority="83" operator="containsText" text="？">
      <formula>NOT(ISERROR(SEARCH("？",E829)))</formula>
    </cfRule>
  </conditionalFormatting>
  <conditionalFormatting sqref="I829">
    <cfRule type="containsText" dxfId="80" priority="82" operator="containsText" text="女">
      <formula>NOT(ISERROR(SEARCH("女",I829)))</formula>
    </cfRule>
  </conditionalFormatting>
  <conditionalFormatting sqref="E830 G830">
    <cfRule type="containsText" dxfId="79" priority="81" operator="containsText" text="？">
      <formula>NOT(ISERROR(SEARCH("？",E830)))</formula>
    </cfRule>
  </conditionalFormatting>
  <conditionalFormatting sqref="I859">
    <cfRule type="containsText" dxfId="78" priority="68" operator="containsText" text="女">
      <formula>NOT(ISERROR(SEARCH("女",I859)))</formula>
    </cfRule>
  </conditionalFormatting>
  <conditionalFormatting sqref="I861:I866">
    <cfRule type="containsText" dxfId="77" priority="66" operator="containsText" text="女">
      <formula>NOT(ISERROR(SEARCH("女",I861)))</formula>
    </cfRule>
  </conditionalFormatting>
  <conditionalFormatting sqref="E832:E838 G832:G838">
    <cfRule type="containsText" dxfId="76" priority="79" operator="containsText" text="？">
      <formula>NOT(ISERROR(SEARCH("？",E832)))</formula>
    </cfRule>
  </conditionalFormatting>
  <conditionalFormatting sqref="I832:I838">
    <cfRule type="containsText" dxfId="75" priority="78" operator="containsText" text="女">
      <formula>NOT(ISERROR(SEARCH("女",I832)))</formula>
    </cfRule>
  </conditionalFormatting>
  <conditionalFormatting sqref="E839:E843 G839:G843">
    <cfRule type="containsText" dxfId="74" priority="77" operator="containsText" text="？">
      <formula>NOT(ISERROR(SEARCH("？",E839)))</formula>
    </cfRule>
  </conditionalFormatting>
  <conditionalFormatting sqref="I839:I843">
    <cfRule type="containsText" dxfId="73" priority="76" operator="containsText" text="女">
      <formula>NOT(ISERROR(SEARCH("女",I839)))</formula>
    </cfRule>
  </conditionalFormatting>
  <conditionalFormatting sqref="E844 G844">
    <cfRule type="containsText" dxfId="72" priority="75" operator="containsText" text="？">
      <formula>NOT(ISERROR(SEARCH("？",E844)))</formula>
    </cfRule>
  </conditionalFormatting>
  <conditionalFormatting sqref="I844">
    <cfRule type="containsText" dxfId="71" priority="74" operator="containsText" text="女">
      <formula>NOT(ISERROR(SEARCH("女",I844)))</formula>
    </cfRule>
  </conditionalFormatting>
  <conditionalFormatting sqref="E845:E848 G845:G848">
    <cfRule type="containsText" dxfId="70" priority="73" operator="containsText" text="？">
      <formula>NOT(ISERROR(SEARCH("？",E845)))</formula>
    </cfRule>
  </conditionalFormatting>
  <conditionalFormatting sqref="I845:I848">
    <cfRule type="containsText" dxfId="69" priority="72" operator="containsText" text="女">
      <formula>NOT(ISERROR(SEARCH("女",I845)))</formula>
    </cfRule>
  </conditionalFormatting>
  <conditionalFormatting sqref="E849:E858 G849:G858">
    <cfRule type="containsText" dxfId="68" priority="71" operator="containsText" text="？">
      <formula>NOT(ISERROR(SEARCH("？",E849)))</formula>
    </cfRule>
  </conditionalFormatting>
  <conditionalFormatting sqref="I849:I858">
    <cfRule type="containsText" dxfId="67" priority="70" operator="containsText" text="女">
      <formula>NOT(ISERROR(SEARCH("女",I849)))</formula>
    </cfRule>
  </conditionalFormatting>
  <conditionalFormatting sqref="E859 G859">
    <cfRule type="containsText" dxfId="66" priority="69" operator="containsText" text="？">
      <formula>NOT(ISERROR(SEARCH("？",E859)))</formula>
    </cfRule>
  </conditionalFormatting>
  <conditionalFormatting sqref="I873">
    <cfRule type="containsText" dxfId="65" priority="56" operator="containsText" text="女">
      <formula>NOT(ISERROR(SEARCH("女",I873)))</formula>
    </cfRule>
  </conditionalFormatting>
  <conditionalFormatting sqref="E861:E866 G861:G866">
    <cfRule type="containsText" dxfId="64" priority="67" operator="containsText" text="？">
      <formula>NOT(ISERROR(SEARCH("？",E861)))</formula>
    </cfRule>
  </conditionalFormatting>
  <conditionalFormatting sqref="I874:I875">
    <cfRule type="containsText" dxfId="63" priority="54" operator="containsText" text="女">
      <formula>NOT(ISERROR(SEARCH("女",I874)))</formula>
    </cfRule>
  </conditionalFormatting>
  <conditionalFormatting sqref="E867 G867">
    <cfRule type="containsText" dxfId="62" priority="65" operator="containsText" text="？">
      <formula>NOT(ISERROR(SEARCH("？",E867)))</formula>
    </cfRule>
  </conditionalFormatting>
  <conditionalFormatting sqref="I867">
    <cfRule type="containsText" dxfId="61" priority="64" operator="containsText" text="女">
      <formula>NOT(ISERROR(SEARCH("女",I867)))</formula>
    </cfRule>
  </conditionalFormatting>
  <conditionalFormatting sqref="I935:I940">
    <cfRule type="containsText" dxfId="60" priority="52" operator="containsText" text="女">
      <formula>NOT(ISERROR(SEARCH("女",I935)))</formula>
    </cfRule>
  </conditionalFormatting>
  <conditionalFormatting sqref="E869 G869">
    <cfRule type="containsText" dxfId="59" priority="63" operator="containsText" text="？">
      <formula>NOT(ISERROR(SEARCH("？",E869)))</formula>
    </cfRule>
  </conditionalFormatting>
  <conditionalFormatting sqref="I869">
    <cfRule type="containsText" dxfId="58" priority="62" operator="containsText" text="女">
      <formula>NOT(ISERROR(SEARCH("女",I869)))</formula>
    </cfRule>
  </conditionalFormatting>
  <conditionalFormatting sqref="E871 G871">
    <cfRule type="containsText" dxfId="57" priority="61" operator="containsText" text="？">
      <formula>NOT(ISERROR(SEARCH("？",E871)))</formula>
    </cfRule>
  </conditionalFormatting>
  <conditionalFormatting sqref="I871">
    <cfRule type="containsText" dxfId="56" priority="60" operator="containsText" text="女">
      <formula>NOT(ISERROR(SEARCH("女",I871)))</formula>
    </cfRule>
  </conditionalFormatting>
  <conditionalFormatting sqref="E872 G872">
    <cfRule type="containsText" dxfId="55" priority="59" operator="containsText" text="？">
      <formula>NOT(ISERROR(SEARCH("？",E872)))</formula>
    </cfRule>
  </conditionalFormatting>
  <conditionalFormatting sqref="I872">
    <cfRule type="containsText" dxfId="54" priority="58" operator="containsText" text="女">
      <formula>NOT(ISERROR(SEARCH("女",I872)))</formula>
    </cfRule>
  </conditionalFormatting>
  <conditionalFormatting sqref="I943">
    <cfRule type="containsText" dxfId="53" priority="50" operator="containsText" text="女">
      <formula>NOT(ISERROR(SEARCH("女",I943)))</formula>
    </cfRule>
  </conditionalFormatting>
  <conditionalFormatting sqref="E873 G873">
    <cfRule type="containsText" dxfId="52" priority="57" operator="containsText" text="？">
      <formula>NOT(ISERROR(SEARCH("？",E873)))</formula>
    </cfRule>
  </conditionalFormatting>
  <conditionalFormatting sqref="I978">
    <cfRule type="containsText" dxfId="51" priority="48" operator="containsText" text="女">
      <formula>NOT(ISERROR(SEARCH("女",I978)))</formula>
    </cfRule>
  </conditionalFormatting>
  <conditionalFormatting sqref="E874:E875 G874:G875">
    <cfRule type="containsText" dxfId="50" priority="55" operator="containsText" text="？">
      <formula>NOT(ISERROR(SEARCH("？",E874)))</formula>
    </cfRule>
  </conditionalFormatting>
  <conditionalFormatting sqref="I987">
    <cfRule type="containsText" dxfId="49" priority="42" operator="containsText" text="女">
      <formula>NOT(ISERROR(SEARCH("女",I987)))</formula>
    </cfRule>
  </conditionalFormatting>
  <conditionalFormatting sqref="E935:E940 G935:G940">
    <cfRule type="containsText" dxfId="48" priority="53" operator="containsText" text="？">
      <formula>NOT(ISERROR(SEARCH("？",E935)))</formula>
    </cfRule>
  </conditionalFormatting>
  <conditionalFormatting sqref="I991">
    <cfRule type="containsText" dxfId="47" priority="40" operator="containsText" text="女">
      <formula>NOT(ISERROR(SEARCH("女",I991)))</formula>
    </cfRule>
  </conditionalFormatting>
  <conditionalFormatting sqref="E943 G943">
    <cfRule type="containsText" dxfId="46" priority="51" operator="containsText" text="？">
      <formula>NOT(ISERROR(SEARCH("？",E943)))</formula>
    </cfRule>
  </conditionalFormatting>
  <conditionalFormatting sqref="I992">
    <cfRule type="containsText" dxfId="45" priority="38" operator="containsText" text="女">
      <formula>NOT(ISERROR(SEARCH("女",I992)))</formula>
    </cfRule>
  </conditionalFormatting>
  <conditionalFormatting sqref="E978 G978">
    <cfRule type="containsText" dxfId="44" priority="49" operator="containsText" text="？">
      <formula>NOT(ISERROR(SEARCH("？",E978)))</formula>
    </cfRule>
  </conditionalFormatting>
  <conditionalFormatting sqref="E982:E985 G982:G985">
    <cfRule type="containsText" dxfId="43" priority="47" operator="containsText" text="？">
      <formula>NOT(ISERROR(SEARCH("？",E982)))</formula>
    </cfRule>
  </conditionalFormatting>
  <conditionalFormatting sqref="I982:I985">
    <cfRule type="containsText" dxfId="42" priority="46" operator="containsText" text="女">
      <formula>NOT(ISERROR(SEARCH("女",I982)))</formula>
    </cfRule>
  </conditionalFormatting>
  <conditionalFormatting sqref="E986 G986">
    <cfRule type="containsText" dxfId="41" priority="45" operator="containsText" text="？">
      <formula>NOT(ISERROR(SEARCH("？",E986)))</formula>
    </cfRule>
  </conditionalFormatting>
  <conditionalFormatting sqref="I986">
    <cfRule type="containsText" dxfId="40" priority="44" operator="containsText" text="女">
      <formula>NOT(ISERROR(SEARCH("女",I986)))</formula>
    </cfRule>
  </conditionalFormatting>
  <conditionalFormatting sqref="E987 G987">
    <cfRule type="containsText" dxfId="39" priority="43" operator="containsText" text="？">
      <formula>NOT(ISERROR(SEARCH("？",E987)))</formula>
    </cfRule>
  </conditionalFormatting>
  <conditionalFormatting sqref="E991 G991">
    <cfRule type="containsText" dxfId="38" priority="41" operator="containsText" text="？">
      <formula>NOT(ISERROR(SEARCH("？",E991)))</formula>
    </cfRule>
  </conditionalFormatting>
  <conditionalFormatting sqref="E992 G992">
    <cfRule type="containsText" dxfId="37" priority="39" operator="containsText" text="？">
      <formula>NOT(ISERROR(SEARCH("？",E992)))</formula>
    </cfRule>
  </conditionalFormatting>
  <conditionalFormatting sqref="E1063 G1063">
    <cfRule type="containsText" dxfId="36" priority="37" operator="containsText" text="？">
      <formula>NOT(ISERROR(SEARCH("？",E1063)))</formula>
    </cfRule>
  </conditionalFormatting>
  <conditionalFormatting sqref="I1063">
    <cfRule type="containsText" dxfId="35" priority="36" operator="containsText" text="女">
      <formula>NOT(ISERROR(SEARCH("女",I1063)))</formula>
    </cfRule>
  </conditionalFormatting>
  <conditionalFormatting sqref="I1072">
    <cfRule type="containsText" dxfId="34" priority="18" operator="containsText" text="女">
      <formula>NOT(ISERROR(SEARCH("女",I1072)))</formula>
    </cfRule>
  </conditionalFormatting>
  <conditionalFormatting sqref="E1064 G1064">
    <cfRule type="containsText" dxfId="33" priority="35" operator="containsText" text="？">
      <formula>NOT(ISERROR(SEARCH("？",E1064)))</formula>
    </cfRule>
  </conditionalFormatting>
  <conditionalFormatting sqref="I1064">
    <cfRule type="containsText" dxfId="32" priority="34" operator="containsText" text="女">
      <formula>NOT(ISERROR(SEARCH("女",I1064)))</formula>
    </cfRule>
  </conditionalFormatting>
  <conditionalFormatting sqref="E1065 G1065">
    <cfRule type="containsText" dxfId="31" priority="33" operator="containsText" text="？">
      <formula>NOT(ISERROR(SEARCH("？",E1065)))</formula>
    </cfRule>
  </conditionalFormatting>
  <conditionalFormatting sqref="I1065">
    <cfRule type="containsText" dxfId="30" priority="32" operator="containsText" text="女">
      <formula>NOT(ISERROR(SEARCH("女",I1065)))</formula>
    </cfRule>
  </conditionalFormatting>
  <conditionalFormatting sqref="I1086:I1096">
    <cfRule type="containsText" dxfId="29" priority="12" operator="containsText" text="女">
      <formula>NOT(ISERROR(SEARCH("女",I1086)))</formula>
    </cfRule>
  </conditionalFormatting>
  <conditionalFormatting sqref="E1066 G1066">
    <cfRule type="containsText" dxfId="28" priority="31" operator="containsText" text="？">
      <formula>NOT(ISERROR(SEARCH("？",E1066)))</formula>
    </cfRule>
  </conditionalFormatting>
  <conditionalFormatting sqref="I1066">
    <cfRule type="containsText" dxfId="27" priority="30" operator="containsText" text="女">
      <formula>NOT(ISERROR(SEARCH("女",I1066)))</formula>
    </cfRule>
  </conditionalFormatting>
  <conditionalFormatting sqref="I1098:I1103">
    <cfRule type="containsText" dxfId="26" priority="10" operator="containsText" text="女">
      <formula>NOT(ISERROR(SEARCH("女",I1098)))</formula>
    </cfRule>
  </conditionalFormatting>
  <conditionalFormatting sqref="E1067 G1067">
    <cfRule type="containsText" dxfId="25" priority="29" operator="containsText" text="？">
      <formula>NOT(ISERROR(SEARCH("？",E1067)))</formula>
    </cfRule>
  </conditionalFormatting>
  <conditionalFormatting sqref="I1067">
    <cfRule type="containsText" dxfId="24" priority="28" operator="containsText" text="女">
      <formula>NOT(ISERROR(SEARCH("女",I1067)))</formula>
    </cfRule>
  </conditionalFormatting>
  <conditionalFormatting sqref="E1068 G1068">
    <cfRule type="containsText" dxfId="23" priority="27" operator="containsText" text="？">
      <formula>NOT(ISERROR(SEARCH("？",E1068)))</formula>
    </cfRule>
  </conditionalFormatting>
  <conditionalFormatting sqref="I1068">
    <cfRule type="containsText" dxfId="22" priority="26" operator="containsText" text="女">
      <formula>NOT(ISERROR(SEARCH("女",I1068)))</formula>
    </cfRule>
  </conditionalFormatting>
  <conditionalFormatting sqref="I1106">
    <cfRule type="containsText" dxfId="21" priority="6" operator="containsText" text="女">
      <formula>NOT(ISERROR(SEARCH("女",I1106)))</formula>
    </cfRule>
  </conditionalFormatting>
  <conditionalFormatting sqref="E1069 G1069">
    <cfRule type="containsText" dxfId="20" priority="25" operator="containsText" text="？">
      <formula>NOT(ISERROR(SEARCH("？",E1069)))</formula>
    </cfRule>
  </conditionalFormatting>
  <conditionalFormatting sqref="I1069">
    <cfRule type="containsText" dxfId="19" priority="24" operator="containsText" text="女">
      <formula>NOT(ISERROR(SEARCH("女",I1069)))</formula>
    </cfRule>
  </conditionalFormatting>
  <conditionalFormatting sqref="E1070 G1070">
    <cfRule type="containsText" dxfId="18" priority="23" operator="containsText" text="？">
      <formula>NOT(ISERROR(SEARCH("？",E1070)))</formula>
    </cfRule>
  </conditionalFormatting>
  <conditionalFormatting sqref="I1070">
    <cfRule type="containsText" dxfId="17" priority="22" operator="containsText" text="女">
      <formula>NOT(ISERROR(SEARCH("女",I1070)))</formula>
    </cfRule>
  </conditionalFormatting>
  <conditionalFormatting sqref="E1071 G1071">
    <cfRule type="containsText" dxfId="16" priority="21" operator="containsText" text="？">
      <formula>NOT(ISERROR(SEARCH("？",E1071)))</formula>
    </cfRule>
  </conditionalFormatting>
  <conditionalFormatting sqref="I1071">
    <cfRule type="containsText" dxfId="15" priority="20" operator="containsText" text="女">
      <formula>NOT(ISERROR(SEARCH("女",I1071)))</formula>
    </cfRule>
  </conditionalFormatting>
  <conditionalFormatting sqref="E1072 G1072">
    <cfRule type="containsText" dxfId="14" priority="19" operator="containsText" text="？">
      <formula>NOT(ISERROR(SEARCH("？",E1072)))</formula>
    </cfRule>
  </conditionalFormatting>
  <conditionalFormatting sqref="I1108:I1112">
    <cfRule type="containsText" dxfId="13" priority="4" operator="containsText" text="女">
      <formula>NOT(ISERROR(SEARCH("女",I1108)))</formula>
    </cfRule>
  </conditionalFormatting>
  <conditionalFormatting sqref="E1079 G1079">
    <cfRule type="containsText" dxfId="12" priority="17" operator="containsText" text="？">
      <formula>NOT(ISERROR(SEARCH("？",E1079)))</formula>
    </cfRule>
  </conditionalFormatting>
  <conditionalFormatting sqref="I1079">
    <cfRule type="containsText" dxfId="11" priority="16" operator="containsText" text="女">
      <formula>NOT(ISERROR(SEARCH("女",I1079)))</formula>
    </cfRule>
  </conditionalFormatting>
  <conditionalFormatting sqref="E1080:E1085 G1080:G1085">
    <cfRule type="containsText" dxfId="10" priority="15" operator="containsText" text="？">
      <formula>NOT(ISERROR(SEARCH("？",E1080)))</formula>
    </cfRule>
  </conditionalFormatting>
  <conditionalFormatting sqref="I1080:I1085">
    <cfRule type="containsText" dxfId="9" priority="14" operator="containsText" text="女">
      <formula>NOT(ISERROR(SEARCH("女",I1080)))</formula>
    </cfRule>
  </conditionalFormatting>
  <conditionalFormatting sqref="E1086:E1096 G1086:G1096">
    <cfRule type="containsText" dxfId="8" priority="13" operator="containsText" text="？">
      <formula>NOT(ISERROR(SEARCH("？",E1086)))</formula>
    </cfRule>
  </conditionalFormatting>
  <conditionalFormatting sqref="I928:I930">
    <cfRule type="containsText" dxfId="7" priority="2" operator="containsText" text="女">
      <formula>NOT(ISERROR(SEARCH("女",I928)))</formula>
    </cfRule>
  </conditionalFormatting>
  <conditionalFormatting sqref="E1098:E1103 G1098:G1103">
    <cfRule type="containsText" dxfId="6" priority="11" operator="containsText" text="？">
      <formula>NOT(ISERROR(SEARCH("？",E1098)))</formula>
    </cfRule>
  </conditionalFormatting>
  <conditionalFormatting sqref="E1104 G1104">
    <cfRule type="containsText" dxfId="5" priority="9" operator="containsText" text="？">
      <formula>NOT(ISERROR(SEARCH("？",E1104)))</formula>
    </cfRule>
  </conditionalFormatting>
  <conditionalFormatting sqref="I1104">
    <cfRule type="containsText" dxfId="4" priority="8" operator="containsText" text="女">
      <formula>NOT(ISERROR(SEARCH("女",I1104)))</formula>
    </cfRule>
  </conditionalFormatting>
  <conditionalFormatting sqref="E1106 G1106">
    <cfRule type="containsText" dxfId="3" priority="7" operator="containsText" text="？">
      <formula>NOT(ISERROR(SEARCH("？",E1106)))</formula>
    </cfRule>
  </conditionalFormatting>
  <conditionalFormatting sqref="E1108:E1112 G1108:G1112">
    <cfRule type="containsText" dxfId="2" priority="5" operator="containsText" text="？">
      <formula>NOT(ISERROR(SEARCH("？",E1108)))</formula>
    </cfRule>
  </conditionalFormatting>
  <conditionalFormatting sqref="E928:E930 G928:G930">
    <cfRule type="containsText" dxfId="1" priority="3" operator="containsText" text="？">
      <formula>NOT(ISERROR(SEARCH("？",E928)))</formula>
    </cfRule>
  </conditionalFormatting>
  <conditionalFormatting sqref="C2:C1118">
    <cfRule type="containsText" dxfId="0" priority="1" operator="containsText" text="当">
      <formula>NOT(ISERROR(SEARCH("当",C2)))</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AT25"/>
  <sheetViews>
    <sheetView workbookViewId="0">
      <selection sqref="A1:E1"/>
    </sheetView>
  </sheetViews>
  <sheetFormatPr defaultRowHeight="13.5"/>
  <cols>
    <col min="1" max="1" width="13.625" style="665" customWidth="1"/>
    <col min="2" max="3" width="8.125" style="665" customWidth="1"/>
    <col min="4" max="4" width="9.625" style="665" customWidth="1"/>
    <col min="5" max="5" width="6.625" style="665" customWidth="1"/>
    <col min="6" max="6" width="2.625" style="665" customWidth="1"/>
    <col min="7" max="7" width="5.625" style="665" customWidth="1"/>
    <col min="8" max="8" width="4.125" style="665" customWidth="1"/>
    <col min="9" max="9" width="1.625" style="665" customWidth="1"/>
    <col min="10" max="11" width="4.125" style="665" customWidth="1"/>
    <col min="12" max="12" width="1.625" style="665" customWidth="1"/>
    <col min="13" max="13" width="4.125" style="665" customWidth="1"/>
    <col min="14" max="14" width="3.125" style="665" customWidth="1"/>
    <col min="15" max="15" width="1.625" style="665" customWidth="1"/>
    <col min="16" max="17" width="3.125" style="665" customWidth="1"/>
    <col min="18" max="18" width="1.625" style="665" customWidth="1"/>
    <col min="19" max="20" width="3.125" style="665" customWidth="1"/>
    <col min="21" max="21" width="1.625" style="665" customWidth="1"/>
    <col min="22" max="23" width="3.125" style="665" customWidth="1"/>
    <col min="24" max="24" width="1.625" style="665" customWidth="1"/>
    <col min="25" max="26" width="3.125" style="665" customWidth="1"/>
    <col min="27" max="27" width="1.625" style="665" customWidth="1"/>
    <col min="28" max="29" width="3.125" style="665" customWidth="1"/>
    <col min="30" max="30" width="1.625" style="665" customWidth="1"/>
    <col min="31" max="32" width="3.125" style="665" customWidth="1"/>
    <col min="33" max="33" width="1.625" style="665" customWidth="1"/>
    <col min="34" max="35" width="3.125" style="665" customWidth="1"/>
    <col min="36" max="36" width="1.625" style="665" customWidth="1"/>
    <col min="37" max="38" width="3.125" style="665" customWidth="1"/>
    <col min="39" max="39" width="1.625" style="665" customWidth="1"/>
    <col min="40" max="41" width="3.125" style="665" customWidth="1"/>
    <col min="42" max="42" width="1.625" style="665" customWidth="1"/>
    <col min="43" max="44" width="3.125" style="665" customWidth="1"/>
    <col min="45" max="45" width="1.625" style="665" customWidth="1"/>
    <col min="46" max="46" width="3.125" style="665" customWidth="1"/>
    <col min="47" max="16384" width="9" style="665"/>
  </cols>
  <sheetData>
    <row r="1" spans="1:5" ht="24.95" customHeight="1" thickBot="1">
      <c r="A1" s="1812" t="s">
        <v>18542</v>
      </c>
      <c r="B1" s="1812"/>
      <c r="C1" s="1812"/>
      <c r="D1" s="1812"/>
      <c r="E1" s="1812"/>
    </row>
    <row r="2" spans="1:5" ht="14.25" thickBot="1">
      <c r="A2" s="893" t="s">
        <v>18522</v>
      </c>
      <c r="B2" s="888" t="s">
        <v>18523</v>
      </c>
      <c r="C2" s="886" t="s">
        <v>18524</v>
      </c>
      <c r="D2" s="893" t="s">
        <v>18525</v>
      </c>
      <c r="E2" s="982" t="s">
        <v>18526</v>
      </c>
    </row>
    <row r="3" spans="1:5" ht="20.100000000000001" customHeight="1">
      <c r="A3" s="955" t="s">
        <v>18527</v>
      </c>
      <c r="B3" s="1118">
        <f>'結果(小)'!E1300</f>
        <v>0</v>
      </c>
      <c r="C3" s="1124">
        <f>'結果(比)'!F1123</f>
        <v>0</v>
      </c>
      <c r="D3" s="1135">
        <f>B3+C3</f>
        <v>0</v>
      </c>
      <c r="E3" s="1129">
        <f>D3-230</f>
        <v>-230</v>
      </c>
    </row>
    <row r="4" spans="1:5" ht="20.100000000000001" customHeight="1" thickBot="1">
      <c r="A4" s="1136" t="s">
        <v>18528</v>
      </c>
      <c r="B4" s="1119">
        <f>'結果(小)'!E1308</f>
        <v>0</v>
      </c>
      <c r="C4" s="1125">
        <f>'結果(比)'!F1131</f>
        <v>0</v>
      </c>
      <c r="D4" s="1137">
        <f>B4+C4</f>
        <v>0</v>
      </c>
      <c r="E4" s="1130">
        <f>D4-2</f>
        <v>-2</v>
      </c>
    </row>
    <row r="5" spans="1:5" ht="20.100000000000001" customHeight="1" thickBot="1">
      <c r="A5" s="1123" t="s">
        <v>18529</v>
      </c>
      <c r="B5" s="1120">
        <f>300-SUM(B3:B4)-SUM(B6:B17)</f>
        <v>300</v>
      </c>
      <c r="C5" s="1126">
        <f>180-SUM(C3:C4)-SUM(C6:C17)</f>
        <v>180</v>
      </c>
      <c r="D5" s="1134">
        <f>480-SUM(D3:D4)-SUM(D6:D17)</f>
        <v>480</v>
      </c>
      <c r="E5" s="1131"/>
    </row>
    <row r="6" spans="1:5" ht="20.100000000000001" customHeight="1">
      <c r="A6" s="1138" t="s">
        <v>18530</v>
      </c>
      <c r="B6" s="1118">
        <f>'結果(小)'!E1313</f>
        <v>0</v>
      </c>
      <c r="C6" s="1124">
        <f>'結果(比)'!F1136</f>
        <v>0</v>
      </c>
      <c r="D6" s="1139">
        <f>B6+C6</f>
        <v>0</v>
      </c>
      <c r="E6" s="1129">
        <f>D6-9</f>
        <v>-9</v>
      </c>
    </row>
    <row r="7" spans="1:5" ht="20.100000000000001" customHeight="1">
      <c r="A7" s="965" t="s">
        <v>18531</v>
      </c>
      <c r="B7" s="1121">
        <f>'結果(小)'!E1312</f>
        <v>0</v>
      </c>
      <c r="C7" s="1127">
        <f>'結果(比)'!F1135</f>
        <v>0</v>
      </c>
      <c r="D7" s="1140">
        <f t="shared" ref="D7:D17" si="0">B7+C7</f>
        <v>0</v>
      </c>
      <c r="E7" s="1132">
        <f>D7-0</f>
        <v>0</v>
      </c>
    </row>
    <row r="8" spans="1:5" ht="20.100000000000001" customHeight="1">
      <c r="A8" s="964" t="s">
        <v>18532</v>
      </c>
      <c r="B8" s="1121">
        <f>'結果(小)'!E1311</f>
        <v>0</v>
      </c>
      <c r="C8" s="1127">
        <f>'結果(比)'!F1134</f>
        <v>0</v>
      </c>
      <c r="D8" s="1141">
        <f t="shared" si="0"/>
        <v>0</v>
      </c>
      <c r="E8" s="1132">
        <f>D8-1</f>
        <v>-1</v>
      </c>
    </row>
    <row r="9" spans="1:5" ht="20.100000000000001" customHeight="1">
      <c r="A9" s="963" t="s">
        <v>18533</v>
      </c>
      <c r="B9" s="1121">
        <f>'結果(小)'!E1310</f>
        <v>0</v>
      </c>
      <c r="C9" s="1127">
        <f>'結果(比)'!F1133</f>
        <v>0</v>
      </c>
      <c r="D9" s="1142">
        <f t="shared" si="0"/>
        <v>0</v>
      </c>
      <c r="E9" s="1132">
        <f>D9-0</f>
        <v>0</v>
      </c>
    </row>
    <row r="10" spans="1:5" ht="20.100000000000001" customHeight="1">
      <c r="A10" s="962" t="s">
        <v>18534</v>
      </c>
      <c r="B10" s="1121">
        <f>'結果(小)'!E1309</f>
        <v>0</v>
      </c>
      <c r="C10" s="1127">
        <f>'結果(比)'!F1132</f>
        <v>0</v>
      </c>
      <c r="D10" s="1143">
        <f t="shared" si="0"/>
        <v>0</v>
      </c>
      <c r="E10" s="1132">
        <f>D10-3</f>
        <v>-3</v>
      </c>
    </row>
    <row r="11" spans="1:5" ht="20.100000000000001" customHeight="1">
      <c r="A11" s="961" t="s">
        <v>18535</v>
      </c>
      <c r="B11" s="1121">
        <f>'結果(小)'!E1307</f>
        <v>0</v>
      </c>
      <c r="C11" s="1127">
        <f>'結果(比)'!F1130</f>
        <v>0</v>
      </c>
      <c r="D11" s="1144">
        <f t="shared" si="0"/>
        <v>0</v>
      </c>
      <c r="E11" s="1132">
        <f>D11-5</f>
        <v>-5</v>
      </c>
    </row>
    <row r="12" spans="1:5" ht="20.100000000000001" customHeight="1">
      <c r="A12" s="960" t="s">
        <v>18536</v>
      </c>
      <c r="B12" s="1121">
        <f>'結果(小)'!E1306</f>
        <v>0</v>
      </c>
      <c r="C12" s="1127">
        <f>'結果(比)'!F1129</f>
        <v>0</v>
      </c>
      <c r="D12" s="1145">
        <f t="shared" si="0"/>
        <v>0</v>
      </c>
      <c r="E12" s="1132">
        <f>D12-9</f>
        <v>-9</v>
      </c>
    </row>
    <row r="13" spans="1:5" ht="20.100000000000001" customHeight="1">
      <c r="A13" s="959" t="s">
        <v>18537</v>
      </c>
      <c r="B13" s="1121">
        <f>'結果(小)'!E1305</f>
        <v>0</v>
      </c>
      <c r="C13" s="1127">
        <f>'結果(比)'!F1128</f>
        <v>0</v>
      </c>
      <c r="D13" s="1146">
        <f t="shared" si="0"/>
        <v>0</v>
      </c>
      <c r="E13" s="1132">
        <f>D13-8</f>
        <v>-8</v>
      </c>
    </row>
    <row r="14" spans="1:5" ht="20.100000000000001" customHeight="1">
      <c r="A14" s="958" t="s">
        <v>18538</v>
      </c>
      <c r="B14" s="1121">
        <f>'結果(小)'!E1304</f>
        <v>0</v>
      </c>
      <c r="C14" s="1127">
        <f>'結果(比)'!F1127</f>
        <v>0</v>
      </c>
      <c r="D14" s="1147">
        <f t="shared" si="0"/>
        <v>0</v>
      </c>
      <c r="E14" s="1132">
        <f>D14-11</f>
        <v>-11</v>
      </c>
    </row>
    <row r="15" spans="1:5" ht="20.100000000000001" customHeight="1">
      <c r="A15" s="956" t="s">
        <v>18539</v>
      </c>
      <c r="B15" s="1121">
        <f>'結果(小)'!E1302</f>
        <v>0</v>
      </c>
      <c r="C15" s="1127">
        <f>'結果(比)'!F1125</f>
        <v>0</v>
      </c>
      <c r="D15" s="1148">
        <f t="shared" si="0"/>
        <v>0</v>
      </c>
      <c r="E15" s="1132">
        <f>D15-62</f>
        <v>-62</v>
      </c>
    </row>
    <row r="16" spans="1:5" ht="20.100000000000001" customHeight="1">
      <c r="A16" s="957" t="s">
        <v>18540</v>
      </c>
      <c r="B16" s="1121">
        <f>'結果(小)'!E1303</f>
        <v>0</v>
      </c>
      <c r="C16" s="1127">
        <f>'結果(比)'!F1126</f>
        <v>0</v>
      </c>
      <c r="D16" s="1149">
        <f t="shared" si="0"/>
        <v>0</v>
      </c>
      <c r="E16" s="1132">
        <f>D16-21</f>
        <v>-21</v>
      </c>
    </row>
    <row r="17" spans="1:46" ht="20.100000000000001" customHeight="1" thickBot="1">
      <c r="A17" s="1150" t="s">
        <v>18541</v>
      </c>
      <c r="B17" s="1122">
        <f>'結果(小)'!E1301</f>
        <v>0</v>
      </c>
      <c r="C17" s="1128">
        <f>'結果(比)'!F1124</f>
        <v>0</v>
      </c>
      <c r="D17" s="1151">
        <f t="shared" si="0"/>
        <v>0</v>
      </c>
      <c r="E17" s="1133">
        <f>D17-118</f>
        <v>-118</v>
      </c>
    </row>
    <row r="19" spans="1:46" ht="14.25" thickBot="1">
      <c r="G19" s="953" t="s">
        <v>18563</v>
      </c>
    </row>
    <row r="20" spans="1:46" ht="14.25" thickBot="1">
      <c r="G20" s="1161"/>
      <c r="H20" s="1813" t="s">
        <v>18548</v>
      </c>
      <c r="I20" s="1814"/>
      <c r="J20" s="1814"/>
      <c r="K20" s="1815" t="s">
        <v>18549</v>
      </c>
      <c r="L20" s="1815"/>
      <c r="M20" s="1815"/>
      <c r="N20" s="1816" t="s">
        <v>18551</v>
      </c>
      <c r="O20" s="1816"/>
      <c r="P20" s="1816"/>
      <c r="Q20" s="1817" t="s">
        <v>18550</v>
      </c>
      <c r="R20" s="1817"/>
      <c r="S20" s="1817"/>
      <c r="T20" s="1811" t="s">
        <v>18554</v>
      </c>
      <c r="U20" s="1811"/>
      <c r="V20" s="1811"/>
      <c r="W20" s="1805" t="s">
        <v>18555</v>
      </c>
      <c r="X20" s="1805"/>
      <c r="Y20" s="1805"/>
      <c r="Z20" s="1806" t="s">
        <v>18556</v>
      </c>
      <c r="AA20" s="1806"/>
      <c r="AB20" s="1806"/>
      <c r="AC20" s="1807" t="s">
        <v>18557</v>
      </c>
      <c r="AD20" s="1807"/>
      <c r="AE20" s="1807"/>
      <c r="AF20" s="1808" t="s">
        <v>18558</v>
      </c>
      <c r="AG20" s="1808"/>
      <c r="AH20" s="1808"/>
      <c r="AI20" s="1809" t="s">
        <v>18559</v>
      </c>
      <c r="AJ20" s="1809"/>
      <c r="AK20" s="1809"/>
      <c r="AL20" s="1810" t="s">
        <v>18560</v>
      </c>
      <c r="AM20" s="1810"/>
      <c r="AN20" s="1810"/>
      <c r="AO20" s="1802" t="s">
        <v>18561</v>
      </c>
      <c r="AP20" s="1802"/>
      <c r="AQ20" s="1802"/>
      <c r="AR20" s="1803" t="s">
        <v>18562</v>
      </c>
      <c r="AS20" s="1803"/>
      <c r="AT20" s="1804"/>
    </row>
    <row r="21" spans="1:46">
      <c r="G21" s="1156" t="s">
        <v>18543</v>
      </c>
      <c r="H21" s="1157"/>
      <c r="I21" s="1157" t="s">
        <v>18552</v>
      </c>
      <c r="J21" s="1158"/>
      <c r="K21" s="1159"/>
      <c r="L21" s="1157" t="s">
        <v>18553</v>
      </c>
      <c r="M21" s="1158"/>
      <c r="N21" s="1159"/>
      <c r="O21" s="1157" t="s">
        <v>18553</v>
      </c>
      <c r="P21" s="1158"/>
      <c r="Q21" s="1159"/>
      <c r="R21" s="1157" t="s">
        <v>18553</v>
      </c>
      <c r="S21" s="1158"/>
      <c r="T21" s="1159"/>
      <c r="U21" s="1157" t="s">
        <v>18553</v>
      </c>
      <c r="V21" s="1158"/>
      <c r="W21" s="1159"/>
      <c r="X21" s="1157" t="s">
        <v>18553</v>
      </c>
      <c r="Y21" s="1158"/>
      <c r="Z21" s="1159"/>
      <c r="AA21" s="1157" t="s">
        <v>18553</v>
      </c>
      <c r="AB21" s="1158"/>
      <c r="AC21" s="1159"/>
      <c r="AD21" s="1157" t="s">
        <v>18553</v>
      </c>
      <c r="AE21" s="1158"/>
      <c r="AF21" s="1159"/>
      <c r="AG21" s="1157" t="s">
        <v>18553</v>
      </c>
      <c r="AH21" s="1158"/>
      <c r="AI21" s="1159"/>
      <c r="AJ21" s="1157" t="s">
        <v>18553</v>
      </c>
      <c r="AK21" s="1158"/>
      <c r="AL21" s="1159"/>
      <c r="AM21" s="1157" t="s">
        <v>18553</v>
      </c>
      <c r="AN21" s="1158"/>
      <c r="AO21" s="1159"/>
      <c r="AP21" s="1157" t="s">
        <v>18553</v>
      </c>
      <c r="AQ21" s="1158"/>
      <c r="AR21" s="1159"/>
      <c r="AS21" s="1157" t="s">
        <v>18553</v>
      </c>
      <c r="AT21" s="1160"/>
    </row>
    <row r="22" spans="1:46">
      <c r="G22" s="1154" t="s">
        <v>18544</v>
      </c>
      <c r="H22" s="1801"/>
      <c r="I22" s="1798"/>
      <c r="J22" s="1798"/>
      <c r="K22" s="1798"/>
      <c r="L22" s="1798"/>
      <c r="M22" s="1798"/>
      <c r="N22" s="1798"/>
      <c r="O22" s="1798"/>
      <c r="P22" s="1798"/>
      <c r="Q22" s="1798"/>
      <c r="R22" s="1798"/>
      <c r="S22" s="1798"/>
      <c r="T22" s="1798"/>
      <c r="U22" s="1798"/>
      <c r="V22" s="1798"/>
      <c r="W22" s="1798"/>
      <c r="X22" s="1798"/>
      <c r="Y22" s="1798"/>
      <c r="Z22" s="1798"/>
      <c r="AA22" s="1798"/>
      <c r="AB22" s="1798"/>
      <c r="AC22" s="1798"/>
      <c r="AD22" s="1798"/>
      <c r="AE22" s="1798"/>
      <c r="AF22" s="1798"/>
      <c r="AG22" s="1798"/>
      <c r="AH22" s="1798"/>
      <c r="AI22" s="1798"/>
      <c r="AJ22" s="1798"/>
      <c r="AK22" s="1798"/>
      <c r="AL22" s="1798"/>
      <c r="AM22" s="1798"/>
      <c r="AN22" s="1798"/>
      <c r="AO22" s="1798"/>
      <c r="AP22" s="1798"/>
      <c r="AQ22" s="1798"/>
      <c r="AR22" s="1798"/>
      <c r="AS22" s="1798"/>
      <c r="AT22" s="1799"/>
    </row>
    <row r="23" spans="1:46">
      <c r="G23" s="1154" t="s">
        <v>18546</v>
      </c>
      <c r="H23" s="1801"/>
      <c r="I23" s="1798"/>
      <c r="J23" s="1798"/>
      <c r="K23" s="1798"/>
      <c r="L23" s="1798"/>
      <c r="M23" s="1798"/>
      <c r="N23" s="1798"/>
      <c r="O23" s="1798"/>
      <c r="P23" s="1798"/>
      <c r="Q23" s="1798"/>
      <c r="R23" s="1798"/>
      <c r="S23" s="1798"/>
      <c r="T23" s="1798"/>
      <c r="U23" s="1798"/>
      <c r="V23" s="1798"/>
      <c r="W23" s="1798"/>
      <c r="X23" s="1798"/>
      <c r="Y23" s="1798"/>
      <c r="Z23" s="1798"/>
      <c r="AA23" s="1798"/>
      <c r="AB23" s="1798"/>
      <c r="AC23" s="1798"/>
      <c r="AD23" s="1798"/>
      <c r="AE23" s="1798"/>
      <c r="AF23" s="1798"/>
      <c r="AG23" s="1798"/>
      <c r="AH23" s="1798"/>
      <c r="AI23" s="1798"/>
      <c r="AJ23" s="1798"/>
      <c r="AK23" s="1798"/>
      <c r="AL23" s="1798"/>
      <c r="AM23" s="1798"/>
      <c r="AN23" s="1798"/>
      <c r="AO23" s="1798"/>
      <c r="AP23" s="1798"/>
      <c r="AQ23" s="1798"/>
      <c r="AR23" s="1798"/>
      <c r="AS23" s="1798"/>
      <c r="AT23" s="1799"/>
    </row>
    <row r="24" spans="1:46">
      <c r="G24" s="1154" t="s">
        <v>18547</v>
      </c>
      <c r="H24" s="1801"/>
      <c r="I24" s="1798"/>
      <c r="J24" s="1798"/>
      <c r="K24" s="1798"/>
      <c r="L24" s="1798"/>
      <c r="M24" s="1798"/>
      <c r="N24" s="1798"/>
      <c r="O24" s="1798"/>
      <c r="P24" s="1798"/>
      <c r="Q24" s="1798"/>
      <c r="R24" s="1798"/>
      <c r="S24" s="1798"/>
      <c r="T24" s="1798"/>
      <c r="U24" s="1798"/>
      <c r="V24" s="1798"/>
      <c r="W24" s="1798"/>
      <c r="X24" s="1798"/>
      <c r="Y24" s="1798"/>
      <c r="Z24" s="1798"/>
      <c r="AA24" s="1798"/>
      <c r="AB24" s="1798"/>
      <c r="AC24" s="1798"/>
      <c r="AD24" s="1798"/>
      <c r="AE24" s="1798"/>
      <c r="AF24" s="1798"/>
      <c r="AG24" s="1798"/>
      <c r="AH24" s="1798"/>
      <c r="AI24" s="1798"/>
      <c r="AJ24" s="1798"/>
      <c r="AK24" s="1798"/>
      <c r="AL24" s="1798"/>
      <c r="AM24" s="1798"/>
      <c r="AN24" s="1798"/>
      <c r="AO24" s="1798"/>
      <c r="AP24" s="1798"/>
      <c r="AQ24" s="1798"/>
      <c r="AR24" s="1798"/>
      <c r="AS24" s="1798"/>
      <c r="AT24" s="1799"/>
    </row>
    <row r="25" spans="1:46" ht="14.25" thickBot="1">
      <c r="G25" s="1155" t="s">
        <v>18545</v>
      </c>
      <c r="H25" s="1800"/>
      <c r="I25" s="1796"/>
      <c r="J25" s="1796"/>
      <c r="K25" s="1796"/>
      <c r="L25" s="1796"/>
      <c r="M25" s="1796"/>
      <c r="N25" s="1796"/>
      <c r="O25" s="1796"/>
      <c r="P25" s="1796"/>
      <c r="Q25" s="1796"/>
      <c r="R25" s="1796"/>
      <c r="S25" s="1796"/>
      <c r="T25" s="1796"/>
      <c r="U25" s="1796"/>
      <c r="V25" s="1796"/>
      <c r="W25" s="1796"/>
      <c r="X25" s="1796"/>
      <c r="Y25" s="1796"/>
      <c r="Z25" s="1796"/>
      <c r="AA25" s="1796"/>
      <c r="AB25" s="1796"/>
      <c r="AC25" s="1796"/>
      <c r="AD25" s="1796"/>
      <c r="AE25" s="1796"/>
      <c r="AF25" s="1796"/>
      <c r="AG25" s="1796"/>
      <c r="AH25" s="1796"/>
      <c r="AI25" s="1796"/>
      <c r="AJ25" s="1796"/>
      <c r="AK25" s="1796"/>
      <c r="AL25" s="1796"/>
      <c r="AM25" s="1796"/>
      <c r="AN25" s="1796"/>
      <c r="AO25" s="1796"/>
      <c r="AP25" s="1796"/>
      <c r="AQ25" s="1796"/>
      <c r="AR25" s="1796"/>
      <c r="AS25" s="1796"/>
      <c r="AT25" s="1797"/>
    </row>
  </sheetData>
  <mergeCells count="66">
    <mergeCell ref="T20:V20"/>
    <mergeCell ref="A1:E1"/>
    <mergeCell ref="H20:J20"/>
    <mergeCell ref="K20:M20"/>
    <mergeCell ref="N20:P20"/>
    <mergeCell ref="Q20:S20"/>
    <mergeCell ref="AO20:AQ20"/>
    <mergeCell ref="AR20:AT20"/>
    <mergeCell ref="H22:J22"/>
    <mergeCell ref="K22:M22"/>
    <mergeCell ref="N22:P22"/>
    <mergeCell ref="Q22:S22"/>
    <mergeCell ref="T22:V22"/>
    <mergeCell ref="W22:Y22"/>
    <mergeCell ref="Z22:AB22"/>
    <mergeCell ref="AC22:AE22"/>
    <mergeCell ref="W20:Y20"/>
    <mergeCell ref="Z20:AB20"/>
    <mergeCell ref="AC20:AE20"/>
    <mergeCell ref="AF20:AH20"/>
    <mergeCell ref="AI20:AK20"/>
    <mergeCell ref="AL20:AN20"/>
    <mergeCell ref="H23:J23"/>
    <mergeCell ref="K23:M23"/>
    <mergeCell ref="N23:P23"/>
    <mergeCell ref="Q23:S23"/>
    <mergeCell ref="T23:V23"/>
    <mergeCell ref="AF22:AH22"/>
    <mergeCell ref="AI22:AK22"/>
    <mergeCell ref="AL22:AN22"/>
    <mergeCell ref="AO22:AQ22"/>
    <mergeCell ref="AR22:AT22"/>
    <mergeCell ref="AO23:AQ23"/>
    <mergeCell ref="AR23:AT23"/>
    <mergeCell ref="H24:J24"/>
    <mergeCell ref="K24:M24"/>
    <mergeCell ref="N24:P24"/>
    <mergeCell ref="Q24:S24"/>
    <mergeCell ref="T24:V24"/>
    <mergeCell ref="W24:Y24"/>
    <mergeCell ref="Z24:AB24"/>
    <mergeCell ref="AC24:AE24"/>
    <mergeCell ref="W23:Y23"/>
    <mergeCell ref="Z23:AB23"/>
    <mergeCell ref="AC23:AE23"/>
    <mergeCell ref="AF23:AH23"/>
    <mergeCell ref="AI23:AK23"/>
    <mergeCell ref="AL23:AN23"/>
    <mergeCell ref="H25:J25"/>
    <mergeCell ref="K25:M25"/>
    <mergeCell ref="N25:P25"/>
    <mergeCell ref="Q25:S25"/>
    <mergeCell ref="T25:V25"/>
    <mergeCell ref="AF24:AH24"/>
    <mergeCell ref="AI24:AK24"/>
    <mergeCell ref="AL24:AN24"/>
    <mergeCell ref="AO24:AQ24"/>
    <mergeCell ref="AR24:AT24"/>
    <mergeCell ref="AO25:AQ25"/>
    <mergeCell ref="AR25:AT25"/>
    <mergeCell ref="W25:Y25"/>
    <mergeCell ref="Z25:AB25"/>
    <mergeCell ref="AC25:AE25"/>
    <mergeCell ref="AF25:AH25"/>
    <mergeCell ref="AI25:AK25"/>
    <mergeCell ref="AL25:AN25"/>
  </mergeCells>
  <phoneticPr fontId="3"/>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C46"/>
  <sheetViews>
    <sheetView workbookViewId="0"/>
  </sheetViews>
  <sheetFormatPr defaultRowHeight="13.5"/>
  <cols>
    <col min="1" max="1" width="13.625" style="653" customWidth="1"/>
    <col min="2" max="2" width="6.625" style="653" customWidth="1"/>
    <col min="3" max="11" width="6.625" style="665" customWidth="1"/>
    <col min="12" max="12" width="9" style="653" customWidth="1"/>
    <col min="13" max="13" width="1.625" style="653" customWidth="1"/>
    <col min="14" max="14" width="9" style="951"/>
    <col min="15" max="15" width="2.75" style="653" customWidth="1"/>
    <col min="16" max="17" width="2.625" style="653" customWidth="1"/>
    <col min="18" max="18" width="9" style="653"/>
    <col min="19" max="19" width="5.625" style="665" customWidth="1"/>
    <col min="20" max="23" width="2.625" style="653" customWidth="1"/>
    <col min="24" max="24" width="9" style="653"/>
    <col min="25" max="25" width="11.375" style="653" customWidth="1"/>
    <col min="26" max="26" width="15.125" style="653" customWidth="1"/>
    <col min="27" max="27" width="17.625" style="653" customWidth="1"/>
    <col min="28" max="29" width="2.625" style="653" customWidth="1"/>
    <col min="30" max="16384" width="9" style="653"/>
  </cols>
  <sheetData>
    <row r="1" spans="1:29" ht="17.25">
      <c r="A1" s="654" t="s">
        <v>15566</v>
      </c>
    </row>
    <row r="2" spans="1:29" ht="14.25" thickBot="1">
      <c r="A2" s="653" t="s">
        <v>15567</v>
      </c>
      <c r="N2" s="952" t="s">
        <v>18297</v>
      </c>
    </row>
    <row r="3" spans="1:29">
      <c r="A3" s="1215"/>
      <c r="B3" s="1217" t="s">
        <v>15580</v>
      </c>
      <c r="C3" s="1219" t="s">
        <v>15603</v>
      </c>
      <c r="D3" s="1220"/>
      <c r="E3" s="1220"/>
      <c r="F3" s="1220" t="s">
        <v>15604</v>
      </c>
      <c r="G3" s="1220"/>
      <c r="H3" s="1233"/>
      <c r="I3" s="1234" t="s">
        <v>15605</v>
      </c>
      <c r="J3" s="1235"/>
      <c r="K3" s="1236"/>
      <c r="L3" s="832" t="s">
        <v>15952</v>
      </c>
      <c r="N3" s="983" t="s">
        <v>6539</v>
      </c>
      <c r="O3" s="984">
        <f>DATEDIF(Y3,$Y$46,"Y")</f>
        <v>80</v>
      </c>
      <c r="P3" s="984" t="s">
        <v>0</v>
      </c>
      <c r="Q3" s="984"/>
      <c r="R3" s="985" t="s">
        <v>18298</v>
      </c>
      <c r="S3" s="986" t="s">
        <v>18302</v>
      </c>
      <c r="T3" s="984" t="s">
        <v>6207</v>
      </c>
      <c r="U3" s="984" t="s">
        <v>6209</v>
      </c>
      <c r="V3" s="984" t="s">
        <v>18299</v>
      </c>
      <c r="W3" s="984">
        <v>14</v>
      </c>
      <c r="X3" s="985" t="s">
        <v>18300</v>
      </c>
      <c r="Y3" s="987">
        <v>11833</v>
      </c>
      <c r="Z3" s="985" t="s">
        <v>18301</v>
      </c>
      <c r="AA3" s="985" t="s">
        <v>18303</v>
      </c>
      <c r="AB3" s="985"/>
      <c r="AC3" s="985" t="s">
        <v>6213</v>
      </c>
    </row>
    <row r="4" spans="1:29" ht="14.25" thickBot="1">
      <c r="A4" s="1216"/>
      <c r="B4" s="1218"/>
      <c r="C4" s="667" t="s">
        <v>15606</v>
      </c>
      <c r="D4" s="666" t="s">
        <v>15607</v>
      </c>
      <c r="E4" s="666" t="s">
        <v>15608</v>
      </c>
      <c r="F4" s="666" t="s">
        <v>15606</v>
      </c>
      <c r="G4" s="666" t="s">
        <v>15607</v>
      </c>
      <c r="H4" s="671" t="s">
        <v>15608</v>
      </c>
      <c r="I4" s="682" t="s">
        <v>15606</v>
      </c>
      <c r="J4" s="683" t="s">
        <v>15607</v>
      </c>
      <c r="K4" s="840" t="s">
        <v>15608</v>
      </c>
      <c r="L4" s="833" t="s">
        <v>15613</v>
      </c>
      <c r="N4" s="983" t="s">
        <v>7418</v>
      </c>
      <c r="O4" s="984">
        <f t="shared" ref="O4:O45" si="0">DATEDIF(Y4,$Y$46,"Y")</f>
        <v>77</v>
      </c>
      <c r="P4" s="984" t="s">
        <v>0</v>
      </c>
      <c r="Q4" s="984"/>
      <c r="R4" s="985" t="s">
        <v>18304</v>
      </c>
      <c r="S4" s="986" t="s">
        <v>18302</v>
      </c>
      <c r="T4" s="984" t="s">
        <v>6207</v>
      </c>
      <c r="U4" s="984" t="s">
        <v>6209</v>
      </c>
      <c r="V4" s="984" t="s">
        <v>18299</v>
      </c>
      <c r="W4" s="984">
        <v>14</v>
      </c>
      <c r="X4" s="985" t="s">
        <v>18305</v>
      </c>
      <c r="Y4" s="987">
        <v>13020</v>
      </c>
      <c r="Z4" s="985" t="s">
        <v>18306</v>
      </c>
      <c r="AA4" s="985" t="s">
        <v>18307</v>
      </c>
      <c r="AB4" s="985" t="s">
        <v>18308</v>
      </c>
      <c r="AC4" s="985" t="s">
        <v>6213</v>
      </c>
    </row>
    <row r="5" spans="1:29">
      <c r="A5" s="1244" t="s">
        <v>15568</v>
      </c>
      <c r="B5" s="673" t="s">
        <v>15568</v>
      </c>
      <c r="C5" s="674">
        <f>SUMPRODUCT((小選挙区!$J$2:$J$1295="０１民主党")*(小選挙区!$L$2:$L$1295="前"))</f>
        <v>209</v>
      </c>
      <c r="D5" s="675">
        <f>SUMPRODUCT((小選挙区!$J$2:$J$1295="０１民主党")*(小選挙区!$L$2:$L$1295="元"))</f>
        <v>2</v>
      </c>
      <c r="E5" s="675">
        <f>SUMPRODUCT((小選挙区!$J$2:$J$1295="０１民主党")*(小選挙区!$L$2:$L$1295="新"))</f>
        <v>53</v>
      </c>
      <c r="F5" s="675">
        <f>SUMPRODUCT((比例区!$K$2:$K$1118="０１民主党")*(比例区!$M$2:$M$1118="前")*(比例区!$G$2:$G$1118="単"))</f>
        <v>3</v>
      </c>
      <c r="G5" s="675">
        <f>SUMPRODUCT((比例区!$K$2:$K$1118="０１民主党")*(比例区!$M$2:$M$1118="元")*(比例区!$G$2:$G$1118="単"))</f>
        <v>0</v>
      </c>
      <c r="H5" s="676">
        <f>SUMPRODUCT((比例区!$K$2:$K$1118="０１民主党")*(比例区!$M$2:$M$1118="新")*(比例区!$G$2:$G$1118="単"))</f>
        <v>0</v>
      </c>
      <c r="I5" s="842">
        <f t="shared" ref="I5:I32" si="1">C5+F5</f>
        <v>212</v>
      </c>
      <c r="J5" s="843">
        <f t="shared" ref="J5:K5" si="2">D5+G5</f>
        <v>2</v>
      </c>
      <c r="K5" s="844">
        <f t="shared" si="2"/>
        <v>53</v>
      </c>
      <c r="L5" s="834">
        <v>230</v>
      </c>
      <c r="N5" s="983" t="s">
        <v>9010</v>
      </c>
      <c r="O5" s="984">
        <f t="shared" si="0"/>
        <v>80</v>
      </c>
      <c r="P5" s="984" t="s">
        <v>0</v>
      </c>
      <c r="Q5" s="984" t="s">
        <v>18309</v>
      </c>
      <c r="R5" s="985" t="s">
        <v>18310</v>
      </c>
      <c r="S5" s="986" t="s">
        <v>18302</v>
      </c>
      <c r="T5" s="984" t="s">
        <v>6035</v>
      </c>
      <c r="U5" s="984" t="s">
        <v>6209</v>
      </c>
      <c r="V5" s="984" t="s">
        <v>18311</v>
      </c>
      <c r="W5" s="984">
        <v>11</v>
      </c>
      <c r="X5" s="988" t="s">
        <v>18312</v>
      </c>
      <c r="Y5" s="987">
        <v>11864</v>
      </c>
      <c r="Z5" s="985" t="s">
        <v>18313</v>
      </c>
      <c r="AA5" s="985" t="s">
        <v>18314</v>
      </c>
      <c r="AB5" s="988" t="s">
        <v>18315</v>
      </c>
      <c r="AC5" s="988"/>
    </row>
    <row r="6" spans="1:29">
      <c r="A6" s="1245"/>
      <c r="B6" s="668" t="s">
        <v>15581</v>
      </c>
      <c r="C6" s="1173">
        <f>SUM(C5:E5)</f>
        <v>264</v>
      </c>
      <c r="D6" s="1173"/>
      <c r="E6" s="1214"/>
      <c r="F6" s="1172">
        <f>SUM(F5:H5)</f>
        <v>3</v>
      </c>
      <c r="G6" s="1173"/>
      <c r="H6" s="1173"/>
      <c r="I6" s="1193">
        <f t="shared" si="1"/>
        <v>267</v>
      </c>
      <c r="J6" s="1194"/>
      <c r="K6" s="1195"/>
      <c r="L6" s="835">
        <v>87</v>
      </c>
      <c r="N6" s="983" t="s">
        <v>7808</v>
      </c>
      <c r="O6" s="984">
        <f t="shared" si="0"/>
        <v>72</v>
      </c>
      <c r="P6" s="984" t="s">
        <v>0</v>
      </c>
      <c r="Q6" s="984"/>
      <c r="R6" s="985" t="s">
        <v>18316</v>
      </c>
      <c r="S6" s="986" t="s">
        <v>18302</v>
      </c>
      <c r="T6" s="984" t="s">
        <v>6918</v>
      </c>
      <c r="U6" s="984" t="s">
        <v>6283</v>
      </c>
      <c r="V6" s="984" t="s">
        <v>18317</v>
      </c>
      <c r="W6" s="984">
        <v>11</v>
      </c>
      <c r="X6" s="985" t="s">
        <v>18318</v>
      </c>
      <c r="Y6" s="987">
        <v>14941</v>
      </c>
      <c r="Z6" s="985" t="s">
        <v>18319</v>
      </c>
      <c r="AA6" s="985" t="s">
        <v>18320</v>
      </c>
      <c r="AB6" s="985"/>
      <c r="AC6" s="985" t="s">
        <v>6213</v>
      </c>
    </row>
    <row r="7" spans="1:29">
      <c r="A7" s="1246" t="s">
        <v>15569</v>
      </c>
      <c r="B7" s="677" t="s">
        <v>15582</v>
      </c>
      <c r="C7" s="678">
        <f>SUMPRODUCT((小選挙区!$J$2:$J$1295="０２自民党")*(小選挙区!$L$2:$L$1295="前"))</f>
        <v>105</v>
      </c>
      <c r="D7" s="679">
        <f>SUMPRODUCT((小選挙区!$J$2:$J$1295="０２自民党")*(小選挙区!$L$2:$L$1295="元"))</f>
        <v>70</v>
      </c>
      <c r="E7" s="679">
        <f>SUMPRODUCT((小選挙区!$J$2:$J$1295="０２自民党")*(小選挙区!$L$2:$L$1295="新"))</f>
        <v>113</v>
      </c>
      <c r="F7" s="679">
        <f>SUMPRODUCT((比例区!$K$2:$K$1118="０２自民党")*(比例区!$M$2:$M$1118="前")*(比例区!$G$2:$G$1118="単"))</f>
        <v>1</v>
      </c>
      <c r="G7" s="679">
        <f>SUMPRODUCT((比例区!$K$2:$K$1118="０２自民党")*(比例区!$M$2:$M$1118="元")*(比例区!$G$2:$G$1118="単"))</f>
        <v>3</v>
      </c>
      <c r="H7" s="680">
        <f>SUMPRODUCT((比例区!$K$2:$K$1118="０２自民党")*(比例区!$M$2:$M$1118="新")*(比例区!$G$2:$G$1118="単"))</f>
        <v>45</v>
      </c>
      <c r="I7" s="845">
        <f t="shared" si="1"/>
        <v>106</v>
      </c>
      <c r="J7" s="846">
        <f t="shared" ref="J7" si="3">D7+G7</f>
        <v>73</v>
      </c>
      <c r="K7" s="847">
        <f t="shared" ref="K7" si="4">E7+H7</f>
        <v>158</v>
      </c>
      <c r="L7" s="836">
        <v>118</v>
      </c>
      <c r="N7" s="983" t="s">
        <v>7636</v>
      </c>
      <c r="O7" s="984">
        <f t="shared" si="0"/>
        <v>70</v>
      </c>
      <c r="P7" s="984" t="s">
        <v>0</v>
      </c>
      <c r="Q7" s="984"/>
      <c r="R7" s="985" t="s">
        <v>18321</v>
      </c>
      <c r="S7" s="986" t="s">
        <v>18302</v>
      </c>
      <c r="T7" s="984" t="s">
        <v>6035</v>
      </c>
      <c r="U7" s="984" t="s">
        <v>6209</v>
      </c>
      <c r="V7" s="984" t="s">
        <v>18317</v>
      </c>
      <c r="W7" s="984">
        <v>11</v>
      </c>
      <c r="X7" s="985" t="s">
        <v>16590</v>
      </c>
      <c r="Y7" s="987">
        <v>15502</v>
      </c>
      <c r="Z7" s="985" t="s">
        <v>18322</v>
      </c>
      <c r="AA7" s="985" t="s">
        <v>18323</v>
      </c>
      <c r="AB7" s="985" t="s">
        <v>18308</v>
      </c>
      <c r="AC7" s="985" t="s">
        <v>6213</v>
      </c>
    </row>
    <row r="8" spans="1:29">
      <c r="A8" s="1246"/>
      <c r="B8" s="668" t="s">
        <v>15583</v>
      </c>
      <c r="C8" s="1173">
        <f>SUM(C7:E7)</f>
        <v>288</v>
      </c>
      <c r="D8" s="1173"/>
      <c r="E8" s="1214"/>
      <c r="F8" s="1172">
        <f>SUM(F7:H7)</f>
        <v>49</v>
      </c>
      <c r="G8" s="1173"/>
      <c r="H8" s="1173"/>
      <c r="I8" s="1196">
        <f t="shared" si="1"/>
        <v>337</v>
      </c>
      <c r="J8" s="1197"/>
      <c r="K8" s="1198"/>
      <c r="L8" s="835">
        <v>80</v>
      </c>
      <c r="N8" s="983" t="s">
        <v>18324</v>
      </c>
      <c r="O8" s="984">
        <f t="shared" si="0"/>
        <v>83</v>
      </c>
      <c r="P8" s="984" t="s">
        <v>0</v>
      </c>
      <c r="Q8" s="984" t="s">
        <v>18309</v>
      </c>
      <c r="R8" s="985" t="s">
        <v>18325</v>
      </c>
      <c r="S8" s="986" t="s">
        <v>18302</v>
      </c>
      <c r="T8" s="984" t="s">
        <v>7394</v>
      </c>
      <c r="U8" s="984" t="s">
        <v>6036</v>
      </c>
      <c r="V8" s="984" t="s">
        <v>18326</v>
      </c>
      <c r="W8" s="984">
        <v>9</v>
      </c>
      <c r="X8" s="988" t="s">
        <v>18312</v>
      </c>
      <c r="Y8" s="987">
        <v>10848</v>
      </c>
      <c r="Z8" s="988" t="s">
        <v>18327</v>
      </c>
      <c r="AA8" s="988" t="s">
        <v>18328</v>
      </c>
      <c r="AB8" s="988" t="s">
        <v>18315</v>
      </c>
      <c r="AC8" s="988"/>
    </row>
    <row r="9" spans="1:29">
      <c r="A9" s="1247" t="s">
        <v>15570</v>
      </c>
      <c r="B9" s="677" t="s">
        <v>15584</v>
      </c>
      <c r="C9" s="678">
        <f>SUMPRODUCT((小選挙区!$J$2:$J$1295="０３未来")*(小選挙区!$L$2:$L$1295="前"))</f>
        <v>53</v>
      </c>
      <c r="D9" s="679">
        <f>SUMPRODUCT((小選挙区!$J$2:$J$1295="０３未来")*(小選挙区!$L$2:$L$1295="元"))</f>
        <v>4</v>
      </c>
      <c r="E9" s="679">
        <f>SUMPRODUCT((小選挙区!$J$2:$J$1295="０３未来")*(小選挙区!$L$2:$L$1295="新"))</f>
        <v>54</v>
      </c>
      <c r="F9" s="679">
        <f>SUMPRODUCT((比例区!$K$2:$K$1118="０３未来")*(比例区!$M$2:$M$1118="前")*(比例区!$G$2:$G$1118="単"))</f>
        <v>7</v>
      </c>
      <c r="G9" s="679">
        <f>SUMPRODUCT((比例区!$K$2:$K$1118="０３未来")*(比例区!$M$2:$M$1118="元")*(比例区!$G$2:$G$1118="単"))</f>
        <v>0</v>
      </c>
      <c r="H9" s="680">
        <f>SUMPRODUCT((比例区!$K$2:$K$1118="０３未来")*(比例区!$M$2:$M$1118="新")*(比例区!$G$2:$G$1118="単"))</f>
        <v>3</v>
      </c>
      <c r="I9" s="851">
        <f t="shared" si="1"/>
        <v>60</v>
      </c>
      <c r="J9" s="852">
        <f t="shared" ref="J9" si="5">D9+G9</f>
        <v>4</v>
      </c>
      <c r="K9" s="853">
        <f t="shared" ref="K9" si="6">E9+H9</f>
        <v>57</v>
      </c>
      <c r="L9" s="836">
        <v>62</v>
      </c>
      <c r="N9" s="983" t="s">
        <v>6327</v>
      </c>
      <c r="O9" s="984">
        <f t="shared" si="0"/>
        <v>65</v>
      </c>
      <c r="P9" s="984" t="s">
        <v>0</v>
      </c>
      <c r="Q9" s="984"/>
      <c r="R9" s="985" t="s">
        <v>18329</v>
      </c>
      <c r="S9" s="986" t="s">
        <v>18302</v>
      </c>
      <c r="T9" s="984" t="s">
        <v>24</v>
      </c>
      <c r="U9" s="984" t="s">
        <v>6209</v>
      </c>
      <c r="V9" s="984" t="s">
        <v>18330</v>
      </c>
      <c r="W9" s="984">
        <v>8</v>
      </c>
      <c r="X9" s="985" t="s">
        <v>18312</v>
      </c>
      <c r="Y9" s="987">
        <v>17209</v>
      </c>
      <c r="Z9" s="985" t="s">
        <v>18331</v>
      </c>
      <c r="AA9" s="989" t="s">
        <v>18332</v>
      </c>
      <c r="AB9" s="985" t="s">
        <v>18333</v>
      </c>
      <c r="AC9" s="985" t="s">
        <v>6213</v>
      </c>
    </row>
    <row r="10" spans="1:29">
      <c r="A10" s="1247"/>
      <c r="B10" s="668" t="s">
        <v>15585</v>
      </c>
      <c r="C10" s="1173">
        <f>SUM(C9:E9)</f>
        <v>111</v>
      </c>
      <c r="D10" s="1173"/>
      <c r="E10" s="1214"/>
      <c r="F10" s="1172">
        <f>SUM(F9:H9)</f>
        <v>10</v>
      </c>
      <c r="G10" s="1173"/>
      <c r="H10" s="1173"/>
      <c r="I10" s="1199">
        <f t="shared" si="1"/>
        <v>121</v>
      </c>
      <c r="J10" s="1200"/>
      <c r="K10" s="1201"/>
      <c r="L10" s="835">
        <v>12</v>
      </c>
      <c r="N10" s="983" t="s">
        <v>8017</v>
      </c>
      <c r="O10" s="984">
        <f t="shared" si="0"/>
        <v>74</v>
      </c>
      <c r="P10" s="984" t="s">
        <v>0</v>
      </c>
      <c r="Q10" s="984"/>
      <c r="R10" s="985" t="s">
        <v>18334</v>
      </c>
      <c r="S10" s="986" t="s">
        <v>18302</v>
      </c>
      <c r="T10" s="984" t="s">
        <v>8018</v>
      </c>
      <c r="U10" s="984" t="s">
        <v>6209</v>
      </c>
      <c r="V10" s="984" t="s">
        <v>18335</v>
      </c>
      <c r="W10" s="984">
        <v>5</v>
      </c>
      <c r="X10" s="985" t="s">
        <v>18312</v>
      </c>
      <c r="Y10" s="987">
        <v>14138</v>
      </c>
      <c r="Z10" s="985" t="s">
        <v>18336</v>
      </c>
      <c r="AA10" s="985" t="s">
        <v>18337</v>
      </c>
      <c r="AB10" s="985" t="s">
        <v>16550</v>
      </c>
      <c r="AC10" s="985" t="s">
        <v>6213</v>
      </c>
    </row>
    <row r="11" spans="1:29">
      <c r="A11" s="1221" t="s">
        <v>15571</v>
      </c>
      <c r="B11" s="677" t="s">
        <v>15571</v>
      </c>
      <c r="C11" s="678">
        <f>SUMPRODUCT((小選挙区!$J$2:$J$1295="０４公明党")*(小選挙区!$L$2:$L$1295="前"))</f>
        <v>2</v>
      </c>
      <c r="D11" s="679">
        <f>SUMPRODUCT((小選挙区!$J$2:$J$1295="０４公明党")*(小選挙区!$L$2:$L$1295="元"))</f>
        <v>4</v>
      </c>
      <c r="E11" s="679">
        <f>SUMPRODUCT((小選挙区!$J$2:$J$1295="０４公明党")*(小選挙区!$L$2:$L$1295="新"))</f>
        <v>3</v>
      </c>
      <c r="F11" s="679">
        <f>SUMPRODUCT((比例区!$K$2:$K$1118="０４公明党")*(比例区!$M$2:$M$1118="前")*(比例区!$G$2:$G$1118="単"))</f>
        <v>13</v>
      </c>
      <c r="G11" s="679">
        <f>SUMPRODUCT((比例区!$K$2:$K$1118="０４公明党")*(比例区!$M$2:$M$1118="元")*(比例区!$G$2:$G$1118="単"))</f>
        <v>2</v>
      </c>
      <c r="H11" s="680">
        <f>SUMPRODUCT((比例区!$K$2:$K$1118="０４公明党")*(比例区!$M$2:$M$1118="新")*(比例区!$G$2:$G$1118="単"))</f>
        <v>30</v>
      </c>
      <c r="I11" s="848">
        <f t="shared" si="1"/>
        <v>15</v>
      </c>
      <c r="J11" s="849">
        <f t="shared" ref="J11" si="7">D11+G11</f>
        <v>6</v>
      </c>
      <c r="K11" s="850">
        <f t="shared" ref="K11" si="8">E11+H11</f>
        <v>33</v>
      </c>
      <c r="L11" s="836">
        <v>21</v>
      </c>
      <c r="N11" s="983" t="s">
        <v>9163</v>
      </c>
      <c r="O11" s="984">
        <f t="shared" si="0"/>
        <v>74</v>
      </c>
      <c r="P11" s="984" t="s">
        <v>6049</v>
      </c>
      <c r="Q11" s="984" t="s">
        <v>18309</v>
      </c>
      <c r="R11" s="985" t="s">
        <v>18338</v>
      </c>
      <c r="S11" s="986" t="s">
        <v>18302</v>
      </c>
      <c r="T11" s="984" t="s">
        <v>6053</v>
      </c>
      <c r="U11" s="984" t="s">
        <v>6283</v>
      </c>
      <c r="V11" s="984" t="s">
        <v>18339</v>
      </c>
      <c r="W11" s="984">
        <v>4</v>
      </c>
      <c r="X11" s="988" t="s">
        <v>18340</v>
      </c>
      <c r="Y11" s="987">
        <v>14104</v>
      </c>
      <c r="Z11" s="985" t="s">
        <v>18341</v>
      </c>
      <c r="AA11" s="985" t="s">
        <v>18342</v>
      </c>
      <c r="AB11" s="985"/>
      <c r="AC11" s="988"/>
    </row>
    <row r="12" spans="1:29">
      <c r="A12" s="1221"/>
      <c r="B12" s="668" t="s">
        <v>15586</v>
      </c>
      <c r="C12" s="1173">
        <f>SUM(C11:E11)</f>
        <v>9</v>
      </c>
      <c r="D12" s="1173"/>
      <c r="E12" s="1214"/>
      <c r="F12" s="1172">
        <f>SUM(F11:H11)</f>
        <v>45</v>
      </c>
      <c r="G12" s="1173"/>
      <c r="H12" s="1173"/>
      <c r="I12" s="1202">
        <f t="shared" si="1"/>
        <v>54</v>
      </c>
      <c r="J12" s="1203"/>
      <c r="K12" s="1204"/>
      <c r="L12" s="835">
        <v>19</v>
      </c>
      <c r="N12" s="983" t="s">
        <v>7784</v>
      </c>
      <c r="O12" s="984">
        <f t="shared" si="0"/>
        <v>64</v>
      </c>
      <c r="P12" s="984" t="s">
        <v>0</v>
      </c>
      <c r="Q12" s="984"/>
      <c r="R12" s="985" t="s">
        <v>18370</v>
      </c>
      <c r="S12" s="986" t="s">
        <v>18302</v>
      </c>
      <c r="T12" s="984" t="s">
        <v>6254</v>
      </c>
      <c r="U12" s="984" t="s">
        <v>6283</v>
      </c>
      <c r="V12" s="984" t="s">
        <v>18371</v>
      </c>
      <c r="W12" s="984">
        <v>2</v>
      </c>
      <c r="X12" s="985" t="s">
        <v>18372</v>
      </c>
      <c r="Y12" s="987">
        <v>17734</v>
      </c>
      <c r="Z12" s="985" t="s">
        <v>18373</v>
      </c>
      <c r="AA12" s="985" t="s">
        <v>18374</v>
      </c>
      <c r="AB12" s="985" t="s">
        <v>18375</v>
      </c>
      <c r="AC12" s="985" t="s">
        <v>6213</v>
      </c>
    </row>
    <row r="13" spans="1:29">
      <c r="A13" s="1222" t="s">
        <v>15572</v>
      </c>
      <c r="B13" s="677" t="s">
        <v>15587</v>
      </c>
      <c r="C13" s="678">
        <f>SUMPRODUCT((小選挙区!$J$2:$J$1295="０５維新")*(小選挙区!$L$2:$L$1295="前"))</f>
        <v>11</v>
      </c>
      <c r="D13" s="679">
        <f>SUMPRODUCT((小選挙区!$J$2:$J$1295="０５維新")*(小選挙区!$L$2:$L$1295="元"))</f>
        <v>12</v>
      </c>
      <c r="E13" s="679">
        <f>SUMPRODUCT((小選挙区!$J$2:$J$1295="０５維新")*(小選挙区!$L$2:$L$1295="新"))</f>
        <v>128</v>
      </c>
      <c r="F13" s="679">
        <f>SUMPRODUCT((比例区!$K$2:$K$1118="０５維新")*(比例区!$M$2:$M$1118="前")*(比例区!$G$2:$G$1118="単"))</f>
        <v>0</v>
      </c>
      <c r="G13" s="679">
        <f>SUMPRODUCT((比例区!$K$2:$K$1118="０５維新")*(比例区!$M$2:$M$1118="元")*(比例区!$G$2:$G$1118="単"))</f>
        <v>6</v>
      </c>
      <c r="H13" s="680">
        <f>SUMPRODUCT((比例区!$K$2:$K$1118="０５維新")*(比例区!$M$2:$M$1118="新")*(比例区!$G$2:$G$1118="単"))</f>
        <v>15</v>
      </c>
      <c r="I13" s="854">
        <f t="shared" si="1"/>
        <v>11</v>
      </c>
      <c r="J13" s="855">
        <f t="shared" ref="J13" si="9">D13+G13</f>
        <v>18</v>
      </c>
      <c r="K13" s="856">
        <f t="shared" ref="K13" si="10">E13+H13</f>
        <v>143</v>
      </c>
      <c r="L13" s="836">
        <v>11</v>
      </c>
      <c r="N13" s="983" t="s">
        <v>9400</v>
      </c>
      <c r="O13" s="984">
        <f t="shared" si="0"/>
        <v>75</v>
      </c>
      <c r="P13" s="984" t="s">
        <v>0</v>
      </c>
      <c r="Q13" s="984" t="s">
        <v>18309</v>
      </c>
      <c r="R13" s="985" t="s">
        <v>18343</v>
      </c>
      <c r="S13" s="986" t="s">
        <v>18302</v>
      </c>
      <c r="T13" s="984" t="s">
        <v>6053</v>
      </c>
      <c r="U13" s="984" t="s">
        <v>6036</v>
      </c>
      <c r="V13" s="984" t="s">
        <v>18326</v>
      </c>
      <c r="W13" s="984">
        <v>1</v>
      </c>
      <c r="X13" s="985" t="s">
        <v>18344</v>
      </c>
      <c r="Y13" s="987">
        <v>13793</v>
      </c>
      <c r="Z13" s="985" t="s">
        <v>18345</v>
      </c>
      <c r="AA13" s="985"/>
      <c r="AB13" s="985" t="s">
        <v>18346</v>
      </c>
      <c r="AC13" s="988"/>
    </row>
    <row r="14" spans="1:29">
      <c r="A14" s="1222"/>
      <c r="B14" s="668" t="s">
        <v>15588</v>
      </c>
      <c r="C14" s="1173">
        <f>SUM(C13:E13)</f>
        <v>151</v>
      </c>
      <c r="D14" s="1173"/>
      <c r="E14" s="1214"/>
      <c r="F14" s="1172">
        <f>SUM(F13:H13)</f>
        <v>21</v>
      </c>
      <c r="G14" s="1173"/>
      <c r="H14" s="1173"/>
      <c r="I14" s="1205">
        <f t="shared" si="1"/>
        <v>172</v>
      </c>
      <c r="J14" s="1206"/>
      <c r="K14" s="1207"/>
      <c r="L14" s="835">
        <v>7</v>
      </c>
      <c r="N14" s="983" t="s">
        <v>8856</v>
      </c>
      <c r="O14" s="984">
        <f t="shared" si="0"/>
        <v>71</v>
      </c>
      <c r="P14" s="984" t="s">
        <v>0</v>
      </c>
      <c r="Q14" s="984" t="s">
        <v>18309</v>
      </c>
      <c r="R14" s="985" t="s">
        <v>18347</v>
      </c>
      <c r="S14" s="986" t="s">
        <v>18302</v>
      </c>
      <c r="T14" s="984" t="s">
        <v>6918</v>
      </c>
      <c r="U14" s="984" t="s">
        <v>6036</v>
      </c>
      <c r="V14" s="984" t="s">
        <v>18326</v>
      </c>
      <c r="W14" s="984">
        <v>1</v>
      </c>
      <c r="X14" s="983" t="s">
        <v>18300</v>
      </c>
      <c r="Y14" s="990">
        <v>15239</v>
      </c>
      <c r="Z14" s="989" t="s">
        <v>18348</v>
      </c>
      <c r="AA14" s="988"/>
      <c r="AB14" s="988" t="s">
        <v>18349</v>
      </c>
      <c r="AC14" s="985"/>
    </row>
    <row r="15" spans="1:29">
      <c r="A15" s="1223" t="s">
        <v>15573</v>
      </c>
      <c r="B15" s="677" t="s">
        <v>15589</v>
      </c>
      <c r="C15" s="678">
        <f>SUMPRODUCT((小選挙区!$J$2:$J$1295="０６みんな")*(小選挙区!$L$2:$L$1295="前"))</f>
        <v>7</v>
      </c>
      <c r="D15" s="679">
        <f>SUMPRODUCT((小選挙区!$J$2:$J$1295="０６みんな")*(小選挙区!$L$2:$L$1295="元"))</f>
        <v>0</v>
      </c>
      <c r="E15" s="679">
        <f>SUMPRODUCT((小選挙区!$J$2:$J$1295="０６みんな")*(小選挙区!$L$2:$L$1295="新"))</f>
        <v>58</v>
      </c>
      <c r="F15" s="679">
        <f>SUMPRODUCT((比例区!$K$2:$K$1118="０６みんな")*(比例区!$M$2:$M$1118="前")*(比例区!$G$2:$G$1118="単"))</f>
        <v>1</v>
      </c>
      <c r="G15" s="679">
        <f>SUMPRODUCT((比例区!$K$2:$K$1118="０６みんな")*(比例区!$M$2:$M$1118="元")*(比例区!$G$2:$G$1118="単"))</f>
        <v>0</v>
      </c>
      <c r="H15" s="680">
        <f>SUMPRODUCT((比例区!$K$2:$K$1118="０６みんな")*(比例区!$M$2:$M$1118="新")*(比例区!$G$2:$G$1118="単"))</f>
        <v>3</v>
      </c>
      <c r="I15" s="857">
        <f t="shared" si="1"/>
        <v>8</v>
      </c>
      <c r="J15" s="858">
        <f t="shared" ref="J15" si="11">D15+G15</f>
        <v>0</v>
      </c>
      <c r="K15" s="859">
        <f t="shared" ref="K15" si="12">E15+H15</f>
        <v>61</v>
      </c>
      <c r="L15" s="836">
        <v>8</v>
      </c>
      <c r="N15" s="983" t="s">
        <v>18350</v>
      </c>
      <c r="O15" s="984">
        <f t="shared" si="0"/>
        <v>64</v>
      </c>
      <c r="P15" s="984" t="s">
        <v>0</v>
      </c>
      <c r="Q15" s="984" t="s">
        <v>18309</v>
      </c>
      <c r="R15" s="985" t="s">
        <v>18351</v>
      </c>
      <c r="S15" s="986" t="s">
        <v>18302</v>
      </c>
      <c r="T15" s="984" t="s">
        <v>6053</v>
      </c>
      <c r="U15" s="984" t="s">
        <v>6036</v>
      </c>
      <c r="V15" s="984" t="s">
        <v>18326</v>
      </c>
      <c r="W15" s="984">
        <v>1</v>
      </c>
      <c r="X15" s="988" t="s">
        <v>18352</v>
      </c>
      <c r="Y15" s="987">
        <v>17670</v>
      </c>
      <c r="Z15" s="988" t="s">
        <v>18353</v>
      </c>
      <c r="AA15" s="985"/>
      <c r="AB15" s="988" t="s">
        <v>18346</v>
      </c>
      <c r="AC15" s="988"/>
    </row>
    <row r="16" spans="1:29">
      <c r="A16" s="1223"/>
      <c r="B16" s="668" t="s">
        <v>15590</v>
      </c>
      <c r="C16" s="1173">
        <f>SUM(C15:E15)</f>
        <v>65</v>
      </c>
      <c r="D16" s="1173"/>
      <c r="E16" s="1214"/>
      <c r="F16" s="1172">
        <f>SUM(F15:H15)</f>
        <v>4</v>
      </c>
      <c r="G16" s="1173"/>
      <c r="H16" s="1173"/>
      <c r="I16" s="1208">
        <f t="shared" si="1"/>
        <v>69</v>
      </c>
      <c r="J16" s="1209"/>
      <c r="K16" s="1210"/>
      <c r="L16" s="835">
        <v>8</v>
      </c>
      <c r="N16" s="983" t="s">
        <v>8862</v>
      </c>
      <c r="O16" s="984">
        <f t="shared" si="0"/>
        <v>60</v>
      </c>
      <c r="P16" s="984" t="s">
        <v>6049</v>
      </c>
      <c r="Q16" s="984" t="s">
        <v>18309</v>
      </c>
      <c r="R16" s="985" t="s">
        <v>18354</v>
      </c>
      <c r="S16" s="986" t="s">
        <v>18302</v>
      </c>
      <c r="T16" s="984" t="s">
        <v>6053</v>
      </c>
      <c r="U16" s="984" t="s">
        <v>6036</v>
      </c>
      <c r="V16" s="984" t="s">
        <v>18326</v>
      </c>
      <c r="W16" s="984">
        <v>1</v>
      </c>
      <c r="X16" s="983" t="s">
        <v>18355</v>
      </c>
      <c r="Y16" s="990">
        <v>19036</v>
      </c>
      <c r="Z16" s="989" t="s">
        <v>18356</v>
      </c>
      <c r="AA16" s="988"/>
      <c r="AB16" s="988"/>
      <c r="AC16" s="985"/>
    </row>
    <row r="17" spans="1:29">
      <c r="A17" s="1238" t="s">
        <v>15574</v>
      </c>
      <c r="B17" s="677" t="s">
        <v>15591</v>
      </c>
      <c r="C17" s="678">
        <f>SUMPRODUCT((小選挙区!$J$2:$J$1295="０７共産党")*(小選挙区!$L$2:$L$1295="前"))</f>
        <v>2</v>
      </c>
      <c r="D17" s="679">
        <f>SUMPRODUCT((小選挙区!$J$2:$J$1295="０７共産党")*(小選挙区!$L$2:$L$1295="元"))</f>
        <v>2</v>
      </c>
      <c r="E17" s="679">
        <f>SUMPRODUCT((小選挙区!$J$2:$J$1295="０７共産党")*(小選挙区!$L$2:$L$1295="新"))</f>
        <v>295</v>
      </c>
      <c r="F17" s="679">
        <f>SUMPRODUCT((比例区!$K$2:$K$1118="０７共産党")*(比例区!$M$2:$M$1118="前")*(比例区!$G$2:$G$1118="単"))</f>
        <v>6</v>
      </c>
      <c r="G17" s="679">
        <f>SUMPRODUCT((比例区!$K$2:$K$1118="０７共産党")*(比例区!$M$2:$M$1118="元")*(比例区!$G$2:$G$1118="単"))</f>
        <v>0</v>
      </c>
      <c r="H17" s="680">
        <f>SUMPRODUCT((比例区!$K$2:$K$1118="０７共産党")*(比例区!$M$2:$M$1118="新")*(比例区!$G$2:$G$1118="単"))</f>
        <v>17</v>
      </c>
      <c r="I17" s="860">
        <f t="shared" si="1"/>
        <v>8</v>
      </c>
      <c r="J17" s="861">
        <f t="shared" ref="J17" si="13">D17+G17</f>
        <v>2</v>
      </c>
      <c r="K17" s="862">
        <f t="shared" ref="K17" si="14">E17+H17</f>
        <v>312</v>
      </c>
      <c r="L17" s="836">
        <v>9</v>
      </c>
      <c r="N17" s="983" t="s">
        <v>8056</v>
      </c>
      <c r="O17" s="984">
        <f t="shared" si="0"/>
        <v>58</v>
      </c>
      <c r="P17" s="984" t="s">
        <v>0</v>
      </c>
      <c r="Q17" s="984" t="s">
        <v>8586</v>
      </c>
      <c r="R17" s="985" t="s">
        <v>18357</v>
      </c>
      <c r="S17" s="986" t="s">
        <v>18302</v>
      </c>
      <c r="T17" s="984" t="s">
        <v>6254</v>
      </c>
      <c r="U17" s="984" t="s">
        <v>6036</v>
      </c>
      <c r="V17" s="984" t="s">
        <v>18326</v>
      </c>
      <c r="W17" s="984">
        <v>1</v>
      </c>
      <c r="X17" s="985" t="s">
        <v>18358</v>
      </c>
      <c r="Y17" s="987">
        <v>20033</v>
      </c>
      <c r="Z17" s="985" t="s">
        <v>18359</v>
      </c>
      <c r="AA17" s="985"/>
      <c r="AB17" s="985" t="s">
        <v>18346</v>
      </c>
      <c r="AC17" s="985" t="s">
        <v>6213</v>
      </c>
    </row>
    <row r="18" spans="1:29">
      <c r="A18" s="1238"/>
      <c r="B18" s="668" t="s">
        <v>15592</v>
      </c>
      <c r="C18" s="1173">
        <f>SUM(C17:E17)</f>
        <v>299</v>
      </c>
      <c r="D18" s="1173"/>
      <c r="E18" s="1214"/>
      <c r="F18" s="1172">
        <f>SUM(F17:H17)</f>
        <v>23</v>
      </c>
      <c r="G18" s="1173"/>
      <c r="H18" s="1173"/>
      <c r="I18" s="1211">
        <f t="shared" si="1"/>
        <v>322</v>
      </c>
      <c r="J18" s="1212"/>
      <c r="K18" s="1213"/>
      <c r="L18" s="835">
        <v>6</v>
      </c>
      <c r="N18" s="983" t="s">
        <v>8733</v>
      </c>
      <c r="O18" s="984">
        <f t="shared" si="0"/>
        <v>56</v>
      </c>
      <c r="P18" s="984" t="s">
        <v>0</v>
      </c>
      <c r="Q18" s="984" t="s">
        <v>18309</v>
      </c>
      <c r="R18" s="985" t="s">
        <v>18360</v>
      </c>
      <c r="S18" s="986" t="s">
        <v>18302</v>
      </c>
      <c r="T18" s="984" t="s">
        <v>6053</v>
      </c>
      <c r="U18" s="984" t="s">
        <v>6036</v>
      </c>
      <c r="V18" s="984" t="s">
        <v>18326</v>
      </c>
      <c r="W18" s="984">
        <v>1</v>
      </c>
      <c r="X18" s="988" t="s">
        <v>18361</v>
      </c>
      <c r="Y18" s="987">
        <v>20552</v>
      </c>
      <c r="Z18" s="988" t="s">
        <v>18362</v>
      </c>
      <c r="AA18" s="985"/>
      <c r="AB18" s="988"/>
      <c r="AC18" s="988"/>
    </row>
    <row r="19" spans="1:29">
      <c r="A19" s="1239" t="s">
        <v>15575</v>
      </c>
      <c r="B19" s="677" t="s">
        <v>15593</v>
      </c>
      <c r="C19" s="678">
        <f>SUMPRODUCT((小選挙区!$J$2:$J$1295="０８社民党")*(小選挙区!$L$2:$L$1295="前"))</f>
        <v>3</v>
      </c>
      <c r="D19" s="679">
        <f>SUMPRODUCT((小選挙区!$J$2:$J$1295="０８社民党")*(小選挙区!$L$2:$L$1295="元"))</f>
        <v>0</v>
      </c>
      <c r="E19" s="679">
        <f>SUMPRODUCT((小選挙区!$J$2:$J$1295="０８社民党")*(小選挙区!$L$2:$L$1295="新"))</f>
        <v>20</v>
      </c>
      <c r="F19" s="679">
        <f>SUMPRODUCT((比例区!$K$2:$K$1118="０８社民党")*(比例区!$M$2:$M$1118="前")*(比例区!$G$2:$G$1118="単"))</f>
        <v>1</v>
      </c>
      <c r="G19" s="679">
        <f>SUMPRODUCT((比例区!$K$2:$K$1118="０８社民党")*(比例区!$M$2:$M$1118="元")*(比例区!$G$2:$G$1118="単"))</f>
        <v>2</v>
      </c>
      <c r="H19" s="680">
        <f>SUMPRODUCT((比例区!$K$2:$K$1118="０８社民党")*(比例区!$M$2:$M$1118="新")*(比例区!$G$2:$G$1118="単"))</f>
        <v>7</v>
      </c>
      <c r="I19" s="863">
        <f t="shared" si="1"/>
        <v>4</v>
      </c>
      <c r="J19" s="864">
        <f t="shared" ref="J19" si="15">D19+G19</f>
        <v>2</v>
      </c>
      <c r="K19" s="865">
        <f t="shared" ref="K19" si="16">E19+H19</f>
        <v>27</v>
      </c>
      <c r="L19" s="836">
        <v>5</v>
      </c>
      <c r="N19" s="983" t="s">
        <v>9402</v>
      </c>
      <c r="O19" s="984">
        <f t="shared" si="0"/>
        <v>52</v>
      </c>
      <c r="P19" s="984" t="s">
        <v>0</v>
      </c>
      <c r="Q19" s="984" t="s">
        <v>18309</v>
      </c>
      <c r="R19" s="985" t="s">
        <v>18363</v>
      </c>
      <c r="S19" s="986" t="s">
        <v>18302</v>
      </c>
      <c r="T19" s="984" t="s">
        <v>6053</v>
      </c>
      <c r="U19" s="984" t="s">
        <v>6036</v>
      </c>
      <c r="V19" s="984" t="s">
        <v>18326</v>
      </c>
      <c r="W19" s="984">
        <v>1</v>
      </c>
      <c r="X19" s="985" t="s">
        <v>18364</v>
      </c>
      <c r="Y19" s="987">
        <v>22194</v>
      </c>
      <c r="Z19" s="985" t="s">
        <v>18365</v>
      </c>
      <c r="AA19" s="985"/>
      <c r="AB19" s="985" t="s">
        <v>18349</v>
      </c>
      <c r="AC19" s="988"/>
    </row>
    <row r="20" spans="1:29">
      <c r="A20" s="1239"/>
      <c r="B20" s="668" t="s">
        <v>15594</v>
      </c>
      <c r="C20" s="1173">
        <f>SUM(C19:E19)</f>
        <v>23</v>
      </c>
      <c r="D20" s="1173"/>
      <c r="E20" s="1214"/>
      <c r="F20" s="1172">
        <f>SUM(F19:H19)</f>
        <v>10</v>
      </c>
      <c r="G20" s="1173"/>
      <c r="H20" s="1173"/>
      <c r="I20" s="1183">
        <f t="shared" si="1"/>
        <v>33</v>
      </c>
      <c r="J20" s="1184"/>
      <c r="K20" s="1185"/>
      <c r="L20" s="835">
        <v>4</v>
      </c>
      <c r="N20" s="983" t="s">
        <v>6907</v>
      </c>
      <c r="O20" s="984">
        <f t="shared" si="0"/>
        <v>45</v>
      </c>
      <c r="P20" s="991" t="s">
        <v>0</v>
      </c>
      <c r="Q20" s="984"/>
      <c r="R20" s="985" t="s">
        <v>18366</v>
      </c>
      <c r="S20" s="986" t="s">
        <v>18302</v>
      </c>
      <c r="T20" s="991" t="s">
        <v>6053</v>
      </c>
      <c r="U20" s="984" t="s">
        <v>6036</v>
      </c>
      <c r="V20" s="984" t="s">
        <v>18326</v>
      </c>
      <c r="W20" s="984">
        <v>1</v>
      </c>
      <c r="X20" s="989" t="s">
        <v>18367</v>
      </c>
      <c r="Y20" s="990">
        <v>24490</v>
      </c>
      <c r="Z20" s="989" t="s">
        <v>18368</v>
      </c>
      <c r="AA20" s="985"/>
      <c r="AB20" s="985" t="s">
        <v>18369</v>
      </c>
      <c r="AC20" s="985" t="s">
        <v>6213</v>
      </c>
    </row>
    <row r="21" spans="1:29">
      <c r="A21" s="1240" t="s">
        <v>15576</v>
      </c>
      <c r="B21" s="677" t="s">
        <v>15595</v>
      </c>
      <c r="C21" s="678">
        <f>SUMPRODUCT((小選挙区!$J$2:$J$1295="０９国民新")*(小選挙区!$L$2:$L$1295="前"))</f>
        <v>1</v>
      </c>
      <c r="D21" s="679">
        <f>SUMPRODUCT((小選挙区!$J$2:$J$1295="０９国民新")*(小選挙区!$L$2:$L$1295="元"))</f>
        <v>0</v>
      </c>
      <c r="E21" s="679">
        <f>SUMPRODUCT((小選挙区!$J$2:$J$1295="０９国民新")*(小選挙区!$L$2:$L$1295="新"))</f>
        <v>1</v>
      </c>
      <c r="F21" s="679">
        <f>SUMPRODUCT((比例区!$K$2:$K$1118="０９国民新")*(比例区!$M$2:$M$1118="前")*(比例区!$G$2:$G$1118="単"))</f>
        <v>1</v>
      </c>
      <c r="G21" s="679">
        <f>SUMPRODUCT((比例区!$K$2:$K$1118="０９国民新")*(比例区!$M$2:$M$1118="元")*(比例区!$G$2:$G$1118="単"))</f>
        <v>0</v>
      </c>
      <c r="H21" s="680">
        <f>SUMPRODUCT((比例区!$K$2:$K$1118="０９国民新")*(比例区!$M$2:$M$1118="新")*(比例区!$G$2:$G$1118="単"))</f>
        <v>0</v>
      </c>
      <c r="I21" s="866">
        <f t="shared" si="1"/>
        <v>2</v>
      </c>
      <c r="J21" s="867">
        <f t="shared" ref="J21" si="17">D21+G21</f>
        <v>0</v>
      </c>
      <c r="K21" s="868">
        <f t="shared" ref="K21" si="18">E21+H21</f>
        <v>1</v>
      </c>
      <c r="L21" s="836">
        <v>2</v>
      </c>
      <c r="N21" s="983" t="s">
        <v>7367</v>
      </c>
      <c r="O21" s="984">
        <f t="shared" si="0"/>
        <v>75</v>
      </c>
      <c r="P21" s="984" t="s">
        <v>0</v>
      </c>
      <c r="Q21" s="984"/>
      <c r="R21" s="985" t="s">
        <v>18376</v>
      </c>
      <c r="S21" s="992" t="s">
        <v>18469</v>
      </c>
      <c r="T21" s="984" t="s">
        <v>18507</v>
      </c>
      <c r="U21" s="984" t="s">
        <v>6209</v>
      </c>
      <c r="V21" s="984" t="s">
        <v>18299</v>
      </c>
      <c r="W21" s="984">
        <v>14</v>
      </c>
      <c r="X21" s="985" t="s">
        <v>18300</v>
      </c>
      <c r="Y21" s="987">
        <v>13710</v>
      </c>
      <c r="Z21" s="985" t="s">
        <v>18377</v>
      </c>
      <c r="AA21" s="985" t="s">
        <v>18378</v>
      </c>
      <c r="AB21" s="985" t="s">
        <v>16544</v>
      </c>
      <c r="AC21" s="985" t="s">
        <v>6260</v>
      </c>
    </row>
    <row r="22" spans="1:29">
      <c r="A22" s="1240"/>
      <c r="B22" s="668" t="s">
        <v>15596</v>
      </c>
      <c r="C22" s="1173">
        <f>SUM(C21:E21)</f>
        <v>2</v>
      </c>
      <c r="D22" s="1173"/>
      <c r="E22" s="1214"/>
      <c r="F22" s="1172">
        <f>SUM(F21:H21)</f>
        <v>1</v>
      </c>
      <c r="G22" s="1173"/>
      <c r="H22" s="1173"/>
      <c r="I22" s="1186">
        <f t="shared" si="1"/>
        <v>3</v>
      </c>
      <c r="J22" s="1187"/>
      <c r="K22" s="1188"/>
      <c r="L22" s="835">
        <v>3</v>
      </c>
      <c r="N22" s="983" t="s">
        <v>8348</v>
      </c>
      <c r="O22" s="984">
        <f t="shared" si="0"/>
        <v>72</v>
      </c>
      <c r="P22" s="984" t="s">
        <v>0</v>
      </c>
      <c r="Q22" s="984"/>
      <c r="R22" s="985" t="s">
        <v>18379</v>
      </c>
      <c r="S22" s="992" t="s">
        <v>18469</v>
      </c>
      <c r="T22" s="984" t="s">
        <v>18508</v>
      </c>
      <c r="U22" s="984" t="s">
        <v>6209</v>
      </c>
      <c r="V22" s="984" t="s">
        <v>18380</v>
      </c>
      <c r="W22" s="984">
        <v>10</v>
      </c>
      <c r="X22" s="985" t="s">
        <v>18381</v>
      </c>
      <c r="Y22" s="987">
        <v>14828</v>
      </c>
      <c r="Z22" s="985" t="s">
        <v>18382</v>
      </c>
      <c r="AA22" s="985" t="s">
        <v>18383</v>
      </c>
      <c r="AB22" s="985"/>
      <c r="AC22" s="985"/>
    </row>
    <row r="23" spans="1:29">
      <c r="A23" s="1241" t="s">
        <v>15577</v>
      </c>
      <c r="B23" s="677" t="s">
        <v>15597</v>
      </c>
      <c r="C23" s="678">
        <f>SUMPRODUCT((小選挙区!$J$2:$J$1295="１０大地")*(小選挙区!$L$2:$L$1295="前"))</f>
        <v>3</v>
      </c>
      <c r="D23" s="679">
        <f>SUMPRODUCT((小選挙区!$J$2:$J$1295="１０大地")*(小選挙区!$L$2:$L$1295="元"))</f>
        <v>0</v>
      </c>
      <c r="E23" s="679">
        <f>SUMPRODUCT((小選挙区!$J$2:$J$1295="１０大地")*(小選挙区!$L$2:$L$1295="新"))</f>
        <v>4</v>
      </c>
      <c r="F23" s="679">
        <f>SUMPRODUCT((比例区!$K$2:$K$1118="１０大地")*(比例区!$M$2:$M$1118="前")*(比例区!$G$2:$G$1118="単"))</f>
        <v>0</v>
      </c>
      <c r="G23" s="679">
        <f>SUMPRODUCT((比例区!$K$2:$K$1118="１０大地")*(比例区!$M$2:$M$1118="元")*(比例区!$G$2:$G$1118="単"))</f>
        <v>0</v>
      </c>
      <c r="H23" s="680">
        <f>SUMPRODUCT((比例区!$K$2:$K$1118="１０大地")*(比例区!$M$2:$M$1118="新")*(比例区!$G$2:$G$1118="単"))</f>
        <v>0</v>
      </c>
      <c r="I23" s="869">
        <f t="shared" si="1"/>
        <v>3</v>
      </c>
      <c r="J23" s="870">
        <f t="shared" ref="J23" si="19">D23+G23</f>
        <v>0</v>
      </c>
      <c r="K23" s="871">
        <f t="shared" ref="K23" si="20">E23+H23</f>
        <v>4</v>
      </c>
      <c r="L23" s="836">
        <v>3</v>
      </c>
      <c r="N23" s="983" t="s">
        <v>8152</v>
      </c>
      <c r="O23" s="984">
        <f t="shared" si="0"/>
        <v>68</v>
      </c>
      <c r="P23" s="984" t="s">
        <v>0</v>
      </c>
      <c r="Q23" s="984" t="s">
        <v>8586</v>
      </c>
      <c r="R23" s="985" t="s">
        <v>18384</v>
      </c>
      <c r="S23" s="992" t="s">
        <v>18469</v>
      </c>
      <c r="T23" s="984" t="s">
        <v>18509</v>
      </c>
      <c r="U23" s="984" t="s">
        <v>6209</v>
      </c>
      <c r="V23" s="984" t="s">
        <v>18380</v>
      </c>
      <c r="W23" s="984">
        <v>10</v>
      </c>
      <c r="X23" s="985" t="s">
        <v>16590</v>
      </c>
      <c r="Y23" s="987">
        <v>16104</v>
      </c>
      <c r="Z23" s="985" t="s">
        <v>18385</v>
      </c>
      <c r="AA23" s="985" t="s">
        <v>18386</v>
      </c>
      <c r="AB23" s="985" t="s">
        <v>18387</v>
      </c>
      <c r="AC23" s="985" t="s">
        <v>6260</v>
      </c>
    </row>
    <row r="24" spans="1:29">
      <c r="A24" s="1241"/>
      <c r="B24" s="668" t="s">
        <v>15598</v>
      </c>
      <c r="C24" s="1173">
        <f>SUM(C23:E23)</f>
        <v>7</v>
      </c>
      <c r="D24" s="1173"/>
      <c r="E24" s="1214"/>
      <c r="F24" s="1172">
        <f>SUM(F23:H23)</f>
        <v>0</v>
      </c>
      <c r="G24" s="1173"/>
      <c r="H24" s="1173"/>
      <c r="I24" s="1189">
        <f t="shared" si="1"/>
        <v>7</v>
      </c>
      <c r="J24" s="1190"/>
      <c r="K24" s="1191"/>
      <c r="L24" s="835">
        <v>2</v>
      </c>
      <c r="N24" s="983" t="s">
        <v>18388</v>
      </c>
      <c r="O24" s="984">
        <f t="shared" si="0"/>
        <v>77</v>
      </c>
      <c r="P24" s="984" t="s">
        <v>0</v>
      </c>
      <c r="Q24" s="984"/>
      <c r="R24" s="985" t="s">
        <v>18389</v>
      </c>
      <c r="S24" s="992" t="s">
        <v>18469</v>
      </c>
      <c r="T24" s="984" t="s">
        <v>18510</v>
      </c>
      <c r="U24" s="984" t="s">
        <v>6209</v>
      </c>
      <c r="V24" s="984" t="s">
        <v>18330</v>
      </c>
      <c r="W24" s="984">
        <v>8</v>
      </c>
      <c r="X24" s="985" t="s">
        <v>18312</v>
      </c>
      <c r="Y24" s="987">
        <v>13073</v>
      </c>
      <c r="Z24" s="985" t="s">
        <v>18390</v>
      </c>
      <c r="AA24" s="985" t="s">
        <v>18391</v>
      </c>
      <c r="AB24" s="985" t="s">
        <v>18392</v>
      </c>
      <c r="AC24" s="985" t="s">
        <v>6260</v>
      </c>
    </row>
    <row r="25" spans="1:29">
      <c r="A25" s="1242" t="s">
        <v>15578</v>
      </c>
      <c r="B25" s="677" t="s">
        <v>15599</v>
      </c>
      <c r="C25" s="678"/>
      <c r="D25" s="679"/>
      <c r="E25" s="679"/>
      <c r="F25" s="679">
        <f>SUMPRODUCT((比例区!$K$2:$K$1118="１１改革")*(比例区!$M$2:$M$1118="前")*(比例区!$G$2:$G$1118="単"))</f>
        <v>0</v>
      </c>
      <c r="G25" s="679">
        <f>SUMPRODUCT((比例区!$K$2:$K$1118="１１改革")*(比例区!$M$2:$M$1118="元")*(比例区!$G$2:$G$1118="単"))</f>
        <v>0</v>
      </c>
      <c r="H25" s="680">
        <f>SUMPRODUCT((比例区!$K$2:$K$1118="１１改革")*(比例区!$M$2:$M$1118="新")*(比例区!$G$2:$G$1118="単"))</f>
        <v>2</v>
      </c>
      <c r="I25" s="872">
        <f t="shared" si="1"/>
        <v>0</v>
      </c>
      <c r="J25" s="873">
        <f t="shared" ref="J25" si="21">D25+G25</f>
        <v>0</v>
      </c>
      <c r="K25" s="874">
        <f t="shared" ref="K25" si="22">E25+H25</f>
        <v>2</v>
      </c>
      <c r="L25" s="836">
        <v>0</v>
      </c>
      <c r="N25" s="983" t="s">
        <v>18393</v>
      </c>
      <c r="O25" s="984">
        <f t="shared" si="0"/>
        <v>71</v>
      </c>
      <c r="P25" s="984" t="s">
        <v>0</v>
      </c>
      <c r="Q25" s="984" t="s">
        <v>8586</v>
      </c>
      <c r="R25" s="985" t="s">
        <v>18394</v>
      </c>
      <c r="S25" s="992" t="s">
        <v>18469</v>
      </c>
      <c r="T25" s="984" t="s">
        <v>18510</v>
      </c>
      <c r="U25" s="984" t="s">
        <v>6209</v>
      </c>
      <c r="V25" s="984" t="s">
        <v>18330</v>
      </c>
      <c r="W25" s="984">
        <v>8</v>
      </c>
      <c r="X25" s="985" t="s">
        <v>18300</v>
      </c>
      <c r="Y25" s="987">
        <v>15097</v>
      </c>
      <c r="Z25" s="985" t="s">
        <v>18395</v>
      </c>
      <c r="AA25" s="985" t="s">
        <v>18396</v>
      </c>
      <c r="AB25" s="985"/>
      <c r="AC25" s="985" t="s">
        <v>6260</v>
      </c>
    </row>
    <row r="26" spans="1:29">
      <c r="A26" s="1242"/>
      <c r="B26" s="668" t="s">
        <v>15600</v>
      </c>
      <c r="C26" s="1173"/>
      <c r="D26" s="1173"/>
      <c r="E26" s="1214"/>
      <c r="F26" s="1172">
        <f>SUM(F25:H25)</f>
        <v>2</v>
      </c>
      <c r="G26" s="1173"/>
      <c r="H26" s="1173"/>
      <c r="I26" s="1174">
        <f t="shared" si="1"/>
        <v>2</v>
      </c>
      <c r="J26" s="1175"/>
      <c r="K26" s="1176"/>
      <c r="L26" s="835">
        <v>2</v>
      </c>
      <c r="N26" s="983" t="s">
        <v>6656</v>
      </c>
      <c r="O26" s="984">
        <f t="shared" si="0"/>
        <v>76</v>
      </c>
      <c r="P26" s="984" t="s">
        <v>0</v>
      </c>
      <c r="Q26" s="984"/>
      <c r="R26" s="985" t="s">
        <v>18397</v>
      </c>
      <c r="S26" s="992" t="s">
        <v>18469</v>
      </c>
      <c r="T26" s="984" t="s">
        <v>18509</v>
      </c>
      <c r="U26" s="984" t="s">
        <v>6209</v>
      </c>
      <c r="V26" s="984" t="s">
        <v>18311</v>
      </c>
      <c r="W26" s="984">
        <v>7</v>
      </c>
      <c r="X26" s="985" t="s">
        <v>18300</v>
      </c>
      <c r="Y26" s="987">
        <v>13347</v>
      </c>
      <c r="Z26" s="985" t="s">
        <v>18398</v>
      </c>
      <c r="AA26" s="985" t="s">
        <v>18399</v>
      </c>
      <c r="AB26" s="985" t="s">
        <v>18308</v>
      </c>
      <c r="AC26" s="985" t="s">
        <v>6260</v>
      </c>
    </row>
    <row r="27" spans="1:29">
      <c r="A27" s="1243" t="s">
        <v>15579</v>
      </c>
      <c r="B27" s="677" t="s">
        <v>15601</v>
      </c>
      <c r="C27" s="678">
        <f>SUMPRODUCT((小選挙区!$J$2:$J$1295="１２新日本")*(小選挙区!$L$2:$L$1295="前"))</f>
        <v>1</v>
      </c>
      <c r="D27" s="679">
        <f>SUMPRODUCT((小選挙区!$J$2:$J$1295="１２新日本")*(小選挙区!$L$2:$L$1295="元"))</f>
        <v>0</v>
      </c>
      <c r="E27" s="679">
        <f>SUMPRODUCT((小選挙区!$J$2:$J$1295="１２新日本")*(小選挙区!$L$2:$L$1295="新"))</f>
        <v>0</v>
      </c>
      <c r="F27" s="679"/>
      <c r="G27" s="679"/>
      <c r="H27" s="680"/>
      <c r="I27" s="875">
        <f t="shared" si="1"/>
        <v>1</v>
      </c>
      <c r="J27" s="876">
        <f t="shared" ref="J27" si="23">D27+G27</f>
        <v>0</v>
      </c>
      <c r="K27" s="877">
        <f t="shared" ref="K27" si="24">E27+H27</f>
        <v>0</v>
      </c>
      <c r="L27" s="836">
        <v>1</v>
      </c>
      <c r="N27" s="983" t="s">
        <v>7337</v>
      </c>
      <c r="O27" s="984">
        <f t="shared" si="0"/>
        <v>69</v>
      </c>
      <c r="P27" s="984" t="s">
        <v>0</v>
      </c>
      <c r="Q27" s="984" t="s">
        <v>8586</v>
      </c>
      <c r="R27" s="985" t="s">
        <v>18400</v>
      </c>
      <c r="S27" s="992" t="s">
        <v>18469</v>
      </c>
      <c r="T27" s="984" t="s">
        <v>18507</v>
      </c>
      <c r="U27" s="984" t="s">
        <v>6209</v>
      </c>
      <c r="V27" s="984" t="s">
        <v>18311</v>
      </c>
      <c r="W27" s="984">
        <v>7</v>
      </c>
      <c r="X27" s="985" t="s">
        <v>18312</v>
      </c>
      <c r="Y27" s="987">
        <v>15982</v>
      </c>
      <c r="Z27" s="985" t="s">
        <v>18401</v>
      </c>
      <c r="AA27" s="985" t="s">
        <v>18402</v>
      </c>
      <c r="AB27" s="985" t="s">
        <v>16550</v>
      </c>
      <c r="AC27" s="985" t="s">
        <v>6260</v>
      </c>
    </row>
    <row r="28" spans="1:29">
      <c r="A28" s="1243"/>
      <c r="B28" s="668" t="s">
        <v>15602</v>
      </c>
      <c r="C28" s="1173">
        <f>SUM(C27:E27)</f>
        <v>1</v>
      </c>
      <c r="D28" s="1173"/>
      <c r="E28" s="1214"/>
      <c r="F28" s="1172"/>
      <c r="G28" s="1173"/>
      <c r="H28" s="1173"/>
      <c r="I28" s="1177">
        <f t="shared" si="1"/>
        <v>1</v>
      </c>
      <c r="J28" s="1178"/>
      <c r="K28" s="1179"/>
      <c r="L28" s="835">
        <v>0</v>
      </c>
      <c r="N28" s="983" t="s">
        <v>9697</v>
      </c>
      <c r="O28" s="984">
        <f t="shared" si="0"/>
        <v>68</v>
      </c>
      <c r="P28" s="984" t="s">
        <v>0</v>
      </c>
      <c r="Q28" s="984" t="s">
        <v>18309</v>
      </c>
      <c r="R28" s="985" t="s">
        <v>18403</v>
      </c>
      <c r="S28" s="992" t="s">
        <v>18469</v>
      </c>
      <c r="T28" s="984" t="s">
        <v>18508</v>
      </c>
      <c r="U28" s="984" t="s">
        <v>6209</v>
      </c>
      <c r="V28" s="984" t="s">
        <v>18311</v>
      </c>
      <c r="W28" s="984">
        <v>7</v>
      </c>
      <c r="X28" s="988" t="s">
        <v>18404</v>
      </c>
      <c r="Y28" s="987">
        <v>16283</v>
      </c>
      <c r="Z28" s="985" t="s">
        <v>18405</v>
      </c>
      <c r="AA28" s="985" t="s">
        <v>18406</v>
      </c>
      <c r="AB28" s="988" t="s">
        <v>18392</v>
      </c>
      <c r="AC28" s="988"/>
    </row>
    <row r="29" spans="1:29">
      <c r="A29" s="1237" t="s">
        <v>15609</v>
      </c>
      <c r="B29" s="677" t="s">
        <v>15609</v>
      </c>
      <c r="C29" s="678">
        <f>SUMPRODUCT((小選挙区!$J$2:$J$1295="１３諸派")*(小選挙区!$L$2:$L$1295="前"))</f>
        <v>0</v>
      </c>
      <c r="D29" s="679">
        <f>SUMPRODUCT((小選挙区!$J$2:$J$1295="１３諸派")*(小選挙区!$L$2:$L$1295="元"))</f>
        <v>0</v>
      </c>
      <c r="E29" s="679">
        <f>SUMPRODUCT((小選挙区!$J$2:$J$1295="１３諸派")*(小選挙区!$L$2:$L$1295="新"))</f>
        <v>25</v>
      </c>
      <c r="F29" s="679">
        <f>SUMPRODUCT((比例区!$K$2:$K$1118="１３諸派")*(比例区!$M$2:$M$1118="前")*(比例区!$G$2:$G$1118="単"))</f>
        <v>0</v>
      </c>
      <c r="G29" s="679">
        <f>SUMPRODUCT((比例区!$K$2:$K$1118="１３諸派")*(比例区!$M$2:$M$1118="元")*(比例区!$G$2:$G$1118="単"))</f>
        <v>0</v>
      </c>
      <c r="H29" s="680">
        <f>SUMPRODUCT((比例区!$K$2:$K$1118="１３諸派")*(比例区!$M$2:$M$1118="新")*(比例区!$G$2:$G$1118="単"))</f>
        <v>42</v>
      </c>
      <c r="I29" s="878">
        <f t="shared" si="1"/>
        <v>0</v>
      </c>
      <c r="J29" s="879">
        <f t="shared" ref="J29" si="25">D29+G29</f>
        <v>0</v>
      </c>
      <c r="K29" s="880">
        <f t="shared" ref="K29" si="26">E29+H29</f>
        <v>67</v>
      </c>
      <c r="L29" s="836">
        <v>0</v>
      </c>
      <c r="N29" s="983" t="s">
        <v>8034</v>
      </c>
      <c r="O29" s="984">
        <f t="shared" si="0"/>
        <v>69</v>
      </c>
      <c r="P29" s="984" t="s">
        <v>0</v>
      </c>
      <c r="Q29" s="984"/>
      <c r="R29" s="985" t="s">
        <v>18407</v>
      </c>
      <c r="S29" s="992" t="s">
        <v>18469</v>
      </c>
      <c r="T29" s="984" t="s">
        <v>18510</v>
      </c>
      <c r="U29" s="984" t="s">
        <v>6209</v>
      </c>
      <c r="V29" s="984" t="s">
        <v>18408</v>
      </c>
      <c r="W29" s="984">
        <v>6</v>
      </c>
      <c r="X29" s="985" t="s">
        <v>18409</v>
      </c>
      <c r="Y29" s="987">
        <v>16010</v>
      </c>
      <c r="Z29" s="985" t="s">
        <v>18410</v>
      </c>
      <c r="AA29" s="985" t="s">
        <v>18411</v>
      </c>
      <c r="AB29" s="985"/>
      <c r="AC29" s="985" t="s">
        <v>6260</v>
      </c>
    </row>
    <row r="30" spans="1:29">
      <c r="A30" s="1237"/>
      <c r="B30" s="668" t="s">
        <v>15610</v>
      </c>
      <c r="C30" s="1173">
        <f>SUM(C29:E29)</f>
        <v>25</v>
      </c>
      <c r="D30" s="1173"/>
      <c r="E30" s="1214"/>
      <c r="F30" s="1172">
        <f>SUM(F29:H29)</f>
        <v>42</v>
      </c>
      <c r="G30" s="1173"/>
      <c r="H30" s="1173"/>
      <c r="I30" s="1180">
        <f t="shared" si="1"/>
        <v>67</v>
      </c>
      <c r="J30" s="1181"/>
      <c r="K30" s="1182"/>
      <c r="L30" s="835">
        <v>5</v>
      </c>
      <c r="N30" s="983" t="s">
        <v>9487</v>
      </c>
      <c r="O30" s="984">
        <f t="shared" si="0"/>
        <v>68</v>
      </c>
      <c r="P30" s="984" t="s">
        <v>0</v>
      </c>
      <c r="Q30" s="984" t="s">
        <v>18309</v>
      </c>
      <c r="R30" s="985" t="s">
        <v>18412</v>
      </c>
      <c r="S30" s="992" t="s">
        <v>18469</v>
      </c>
      <c r="T30" s="984" t="s">
        <v>18511</v>
      </c>
      <c r="U30" s="984" t="s">
        <v>6209</v>
      </c>
      <c r="V30" s="984" t="s">
        <v>18408</v>
      </c>
      <c r="W30" s="984">
        <v>6</v>
      </c>
      <c r="X30" s="988" t="s">
        <v>18413</v>
      </c>
      <c r="Y30" s="987">
        <v>16387</v>
      </c>
      <c r="Z30" s="988" t="s">
        <v>18414</v>
      </c>
      <c r="AA30" s="988" t="s">
        <v>18415</v>
      </c>
      <c r="AB30" s="988"/>
      <c r="AC30" s="988"/>
    </row>
    <row r="31" spans="1:29">
      <c r="A31" s="1224" t="s">
        <v>15611</v>
      </c>
      <c r="B31" s="677" t="s">
        <v>15611</v>
      </c>
      <c r="C31" s="678">
        <f>SUMPRODUCT((小選挙区!$J$2:$J$1295="１４無所属")*(小選挙区!$L$2:$L$1295="前"))</f>
        <v>6</v>
      </c>
      <c r="D31" s="679">
        <f>SUMPRODUCT((小選挙区!$J$2:$J$1295="１４無所属")*(小選挙区!$L$2:$L$1295="元"))</f>
        <v>8</v>
      </c>
      <c r="E31" s="679">
        <f>SUMPRODUCT((小選挙区!$J$2:$J$1295="１４無所属")*(小選挙区!$L$2:$L$1295="新"))</f>
        <v>35</v>
      </c>
      <c r="F31" s="679"/>
      <c r="G31" s="679"/>
      <c r="H31" s="680"/>
      <c r="I31" s="881">
        <f t="shared" si="1"/>
        <v>6</v>
      </c>
      <c r="J31" s="882">
        <f t="shared" ref="J31" si="27">D31+G31</f>
        <v>8</v>
      </c>
      <c r="K31" s="883">
        <f t="shared" ref="K31" si="28">E31+H31</f>
        <v>35</v>
      </c>
      <c r="L31" s="836">
        <v>9</v>
      </c>
      <c r="N31" s="983" t="s">
        <v>7850</v>
      </c>
      <c r="O31" s="984">
        <f t="shared" si="0"/>
        <v>72</v>
      </c>
      <c r="P31" s="984" t="s">
        <v>0</v>
      </c>
      <c r="Q31" s="984"/>
      <c r="R31" s="985" t="s">
        <v>15148</v>
      </c>
      <c r="S31" s="992" t="s">
        <v>18469</v>
      </c>
      <c r="T31" s="984" t="s">
        <v>18508</v>
      </c>
      <c r="U31" s="984" t="s">
        <v>6209</v>
      </c>
      <c r="V31" s="984" t="s">
        <v>18335</v>
      </c>
      <c r="W31" s="984">
        <v>5</v>
      </c>
      <c r="X31" s="985" t="s">
        <v>18318</v>
      </c>
      <c r="Y31" s="987">
        <v>14625</v>
      </c>
      <c r="Z31" s="985" t="s">
        <v>18416</v>
      </c>
      <c r="AA31" s="985" t="s">
        <v>18417</v>
      </c>
      <c r="AB31" s="985"/>
      <c r="AC31" s="985" t="s">
        <v>6260</v>
      </c>
    </row>
    <row r="32" spans="1:29" ht="14.25" thickBot="1">
      <c r="A32" s="1225"/>
      <c r="B32" s="681" t="s">
        <v>15612</v>
      </c>
      <c r="C32" s="1163">
        <f>SUM(C31:E31)</f>
        <v>49</v>
      </c>
      <c r="D32" s="1163"/>
      <c r="E32" s="1226"/>
      <c r="F32" s="1162"/>
      <c r="G32" s="1163"/>
      <c r="H32" s="1163"/>
      <c r="I32" s="1164">
        <f t="shared" si="1"/>
        <v>49</v>
      </c>
      <c r="J32" s="1165"/>
      <c r="K32" s="1166"/>
      <c r="L32" s="837">
        <v>5</v>
      </c>
      <c r="N32" s="983" t="s">
        <v>9485</v>
      </c>
      <c r="O32" s="984">
        <f t="shared" si="0"/>
        <v>59</v>
      </c>
      <c r="P32" s="984" t="s">
        <v>6049</v>
      </c>
      <c r="Q32" s="984" t="s">
        <v>18309</v>
      </c>
      <c r="R32" s="985" t="s">
        <v>18418</v>
      </c>
      <c r="S32" s="992" t="s">
        <v>18469</v>
      </c>
      <c r="T32" s="984" t="s">
        <v>18509</v>
      </c>
      <c r="U32" s="984" t="s">
        <v>6209</v>
      </c>
      <c r="V32" s="984" t="s">
        <v>18371</v>
      </c>
      <c r="W32" s="984">
        <v>2</v>
      </c>
      <c r="X32" s="988" t="s">
        <v>18419</v>
      </c>
      <c r="Y32" s="987">
        <v>19524</v>
      </c>
      <c r="Z32" s="988" t="s">
        <v>18420</v>
      </c>
      <c r="AA32" s="988"/>
      <c r="AB32" s="988" t="s">
        <v>16544</v>
      </c>
      <c r="AC32" s="988"/>
    </row>
    <row r="33" spans="1:29">
      <c r="A33" s="1229" t="s">
        <v>15605</v>
      </c>
      <c r="B33" s="1230"/>
      <c r="C33" s="669">
        <f>C5+C7+C9+C11+C13+C15+C17+C19+C21+C23+C25+C27+C29+C31</f>
        <v>403</v>
      </c>
      <c r="D33" s="670">
        <f t="shared" ref="D33:E33" si="29">D5+D7+D9+D11+D13+D15+D17+D19+D21+D23+D25+D27+D29+D31</f>
        <v>102</v>
      </c>
      <c r="E33" s="670">
        <f t="shared" si="29"/>
        <v>789</v>
      </c>
      <c r="F33" s="670">
        <f>F5+F7+F9+F11+F13+F15+F17+F19+F21+F23+F25+F27+F29+F31</f>
        <v>33</v>
      </c>
      <c r="G33" s="670">
        <f t="shared" ref="G33:H33" si="30">G5+G7+G9+G11+G13+G15+G17+G19+G21+G23+G25+G27+G29+G31</f>
        <v>13</v>
      </c>
      <c r="H33" s="672">
        <f t="shared" si="30"/>
        <v>164</v>
      </c>
      <c r="I33" s="815">
        <f>I5+I7+I9+I11+I13+I15+I17+I19+I21+I23+I25+I27+I29+I31</f>
        <v>436</v>
      </c>
      <c r="J33" s="816">
        <f t="shared" ref="J33:K33" si="31">J5+J7+J9+J11+J13+J15+J17+J19+J21+J23+J25+J27+J29+J31</f>
        <v>115</v>
      </c>
      <c r="K33" s="841">
        <f t="shared" si="31"/>
        <v>953</v>
      </c>
      <c r="L33" s="838">
        <f>L5+L7+L9+L11+L13+L15+L17+L19+L21+L23+L25+L27+L29+L31</f>
        <v>479</v>
      </c>
      <c r="N33" s="983" t="s">
        <v>9014</v>
      </c>
      <c r="O33" s="984">
        <f t="shared" si="0"/>
        <v>60</v>
      </c>
      <c r="P33" s="984" t="s">
        <v>0</v>
      </c>
      <c r="Q33" s="984" t="s">
        <v>18309</v>
      </c>
      <c r="R33" s="985" t="s">
        <v>18421</v>
      </c>
      <c r="S33" s="993" t="s">
        <v>18470</v>
      </c>
      <c r="T33" s="984"/>
      <c r="U33" s="984" t="s">
        <v>6036</v>
      </c>
      <c r="V33" s="984" t="s">
        <v>18326</v>
      </c>
      <c r="W33" s="984">
        <v>1</v>
      </c>
      <c r="X33" s="988" t="s">
        <v>18422</v>
      </c>
      <c r="Y33" s="987">
        <v>19020</v>
      </c>
      <c r="Z33" s="985" t="s">
        <v>18423</v>
      </c>
      <c r="AA33" s="985"/>
      <c r="AB33" s="988"/>
      <c r="AC33" s="988"/>
    </row>
    <row r="34" spans="1:29" ht="14.25" thickBot="1">
      <c r="A34" s="1231"/>
      <c r="B34" s="1232"/>
      <c r="C34" s="1168">
        <f>SUM(C33:E33)</f>
        <v>1294</v>
      </c>
      <c r="D34" s="1168"/>
      <c r="E34" s="1192"/>
      <c r="F34" s="1167">
        <f>SUM(F33:H33)</f>
        <v>210</v>
      </c>
      <c r="G34" s="1168"/>
      <c r="H34" s="1168"/>
      <c r="I34" s="1169">
        <f>SUM(I33:K33)</f>
        <v>1504</v>
      </c>
      <c r="J34" s="1170"/>
      <c r="K34" s="1171"/>
      <c r="L34" s="839">
        <f>L6+L8+L10+L12+L14+L16+L18+L20+L22+L24+L26+L28+L30+L32</f>
        <v>240</v>
      </c>
      <c r="N34" s="983" t="s">
        <v>7178</v>
      </c>
      <c r="O34" s="984">
        <f t="shared" si="0"/>
        <v>41</v>
      </c>
      <c r="P34" s="984" t="s">
        <v>0</v>
      </c>
      <c r="Q34" s="984"/>
      <c r="R34" s="985" t="s">
        <v>15057</v>
      </c>
      <c r="S34" s="993" t="s">
        <v>18470</v>
      </c>
      <c r="T34" s="984"/>
      <c r="U34" s="984" t="s">
        <v>6036</v>
      </c>
      <c r="V34" s="984" t="s">
        <v>18326</v>
      </c>
      <c r="W34" s="984">
        <v>1</v>
      </c>
      <c r="X34" s="985" t="s">
        <v>18300</v>
      </c>
      <c r="Y34" s="987">
        <v>26200</v>
      </c>
      <c r="Z34" s="985" t="s">
        <v>18424</v>
      </c>
      <c r="AA34" s="985" t="s">
        <v>18425</v>
      </c>
      <c r="AB34" s="985"/>
      <c r="AC34" s="985" t="s">
        <v>6779</v>
      </c>
    </row>
    <row r="35" spans="1:29">
      <c r="A35" s="1227" t="s">
        <v>18295</v>
      </c>
      <c r="B35" s="1227"/>
      <c r="C35" s="1227"/>
      <c r="D35" s="1227"/>
      <c r="E35" s="1227"/>
      <c r="F35" s="1227"/>
      <c r="G35" s="1227"/>
      <c r="H35" s="1227"/>
      <c r="I35" s="1227"/>
      <c r="J35" s="1227"/>
      <c r="K35" s="1227"/>
      <c r="L35" s="1227"/>
      <c r="N35" s="983" t="s">
        <v>9446</v>
      </c>
      <c r="O35" s="984">
        <f t="shared" si="0"/>
        <v>78</v>
      </c>
      <c r="P35" s="984" t="s">
        <v>0</v>
      </c>
      <c r="Q35" s="984" t="s">
        <v>18309</v>
      </c>
      <c r="R35" s="985" t="s">
        <v>18426</v>
      </c>
      <c r="S35" s="994" t="s">
        <v>11977</v>
      </c>
      <c r="T35" s="984"/>
      <c r="U35" s="984" t="s">
        <v>6209</v>
      </c>
      <c r="V35" s="984" t="s">
        <v>18317</v>
      </c>
      <c r="W35" s="984">
        <v>11</v>
      </c>
      <c r="X35" s="988" t="s">
        <v>18427</v>
      </c>
      <c r="Y35" s="987">
        <v>12510</v>
      </c>
      <c r="Z35" s="988" t="s">
        <v>18428</v>
      </c>
      <c r="AA35" s="988" t="s">
        <v>18429</v>
      </c>
      <c r="AB35" s="988"/>
      <c r="AC35" s="988"/>
    </row>
    <row r="36" spans="1:29">
      <c r="A36" s="1228" t="s">
        <v>18294</v>
      </c>
      <c r="B36" s="1228"/>
      <c r="C36" s="1228"/>
      <c r="D36" s="1228"/>
      <c r="E36" s="1228"/>
      <c r="F36" s="1228"/>
      <c r="G36" s="1228"/>
      <c r="H36" s="1228"/>
      <c r="I36" s="1228"/>
      <c r="J36" s="1228"/>
      <c r="K36" s="1228"/>
      <c r="L36" s="1228"/>
      <c r="N36" s="983" t="s">
        <v>9966</v>
      </c>
      <c r="O36" s="984">
        <f t="shared" si="0"/>
        <v>66</v>
      </c>
      <c r="P36" s="984" t="s">
        <v>0</v>
      </c>
      <c r="Q36" s="984" t="s">
        <v>18309</v>
      </c>
      <c r="R36" s="985" t="s">
        <v>18430</v>
      </c>
      <c r="S36" s="994" t="s">
        <v>11977</v>
      </c>
      <c r="T36" s="984"/>
      <c r="U36" s="984" t="s">
        <v>6209</v>
      </c>
      <c r="V36" s="984" t="s">
        <v>18311</v>
      </c>
      <c r="W36" s="984">
        <v>7</v>
      </c>
      <c r="X36" s="988" t="s">
        <v>18431</v>
      </c>
      <c r="Y36" s="987">
        <v>17081</v>
      </c>
      <c r="Z36" s="988" t="s">
        <v>18432</v>
      </c>
      <c r="AA36" s="988" t="s">
        <v>18433</v>
      </c>
      <c r="AB36" s="988"/>
      <c r="AC36" s="988"/>
    </row>
    <row r="37" spans="1:29">
      <c r="A37" s="1228" t="s">
        <v>18296</v>
      </c>
      <c r="B37" s="1228"/>
      <c r="C37" s="1228"/>
      <c r="D37" s="1228"/>
      <c r="E37" s="1228"/>
      <c r="F37" s="1228"/>
      <c r="G37" s="1228"/>
      <c r="H37" s="1228"/>
      <c r="I37" s="1228"/>
      <c r="J37" s="1228"/>
      <c r="K37" s="1228"/>
      <c r="L37" s="1228"/>
      <c r="N37" s="983" t="s">
        <v>9650</v>
      </c>
      <c r="O37" s="984">
        <f t="shared" si="0"/>
        <v>67</v>
      </c>
      <c r="P37" s="984" t="s">
        <v>0</v>
      </c>
      <c r="Q37" s="984" t="s">
        <v>18309</v>
      </c>
      <c r="R37" s="985" t="s">
        <v>18434</v>
      </c>
      <c r="S37" s="994" t="s">
        <v>11977</v>
      </c>
      <c r="T37" s="984"/>
      <c r="U37" s="984" t="s">
        <v>6209</v>
      </c>
      <c r="V37" s="984" t="s">
        <v>18408</v>
      </c>
      <c r="W37" s="984">
        <v>6</v>
      </c>
      <c r="X37" s="988" t="s">
        <v>16590</v>
      </c>
      <c r="Y37" s="987">
        <v>16767</v>
      </c>
      <c r="Z37" s="988" t="s">
        <v>18435</v>
      </c>
      <c r="AA37" s="988" t="s">
        <v>18436</v>
      </c>
      <c r="AB37" s="988"/>
      <c r="AC37" s="988"/>
    </row>
    <row r="38" spans="1:29">
      <c r="N38" s="983" t="s">
        <v>8897</v>
      </c>
      <c r="O38" s="984">
        <f t="shared" si="0"/>
        <v>65</v>
      </c>
      <c r="P38" s="984" t="s">
        <v>0</v>
      </c>
      <c r="Q38" s="984" t="s">
        <v>18309</v>
      </c>
      <c r="R38" s="985" t="s">
        <v>18437</v>
      </c>
      <c r="S38" s="994" t="s">
        <v>11977</v>
      </c>
      <c r="T38" s="984"/>
      <c r="U38" s="984" t="s">
        <v>6209</v>
      </c>
      <c r="V38" s="984" t="s">
        <v>18408</v>
      </c>
      <c r="W38" s="984">
        <v>6</v>
      </c>
      <c r="X38" s="988" t="s">
        <v>18438</v>
      </c>
      <c r="Y38" s="987">
        <v>17199</v>
      </c>
      <c r="Z38" s="988" t="s">
        <v>18439</v>
      </c>
      <c r="AA38" s="988" t="s">
        <v>18440</v>
      </c>
      <c r="AB38" s="988" t="s">
        <v>16550</v>
      </c>
      <c r="AC38" s="988"/>
    </row>
    <row r="39" spans="1:29">
      <c r="N39" s="983" t="s">
        <v>9644</v>
      </c>
      <c r="O39" s="984">
        <f t="shared" si="0"/>
        <v>64</v>
      </c>
      <c r="P39" s="984" t="s">
        <v>0</v>
      </c>
      <c r="Q39" s="984" t="s">
        <v>18309</v>
      </c>
      <c r="R39" s="985" t="s">
        <v>18441</v>
      </c>
      <c r="S39" s="994" t="s">
        <v>11977</v>
      </c>
      <c r="T39" s="984"/>
      <c r="U39" s="984" t="s">
        <v>6209</v>
      </c>
      <c r="V39" s="984" t="s">
        <v>18408</v>
      </c>
      <c r="W39" s="984">
        <v>6</v>
      </c>
      <c r="X39" s="988" t="s">
        <v>18442</v>
      </c>
      <c r="Y39" s="987">
        <v>17809</v>
      </c>
      <c r="Z39" s="988" t="s">
        <v>18443</v>
      </c>
      <c r="AA39" s="988" t="s">
        <v>18444</v>
      </c>
      <c r="AB39" s="988"/>
      <c r="AC39" s="988"/>
    </row>
    <row r="40" spans="1:29">
      <c r="N40" s="983" t="s">
        <v>9642</v>
      </c>
      <c r="O40" s="984">
        <f t="shared" si="0"/>
        <v>70</v>
      </c>
      <c r="P40" s="984" t="s">
        <v>6049</v>
      </c>
      <c r="Q40" s="984" t="s">
        <v>18309</v>
      </c>
      <c r="R40" s="985" t="s">
        <v>18445</v>
      </c>
      <c r="S40" s="994" t="s">
        <v>11977</v>
      </c>
      <c r="T40" s="984"/>
      <c r="U40" s="984" t="s">
        <v>6209</v>
      </c>
      <c r="V40" s="984" t="s">
        <v>18335</v>
      </c>
      <c r="W40" s="984">
        <v>5</v>
      </c>
      <c r="X40" s="988" t="s">
        <v>18446</v>
      </c>
      <c r="Y40" s="987">
        <v>15449</v>
      </c>
      <c r="Z40" s="988" t="s">
        <v>18447</v>
      </c>
      <c r="AA40" s="988" t="s">
        <v>18448</v>
      </c>
      <c r="AB40" s="988" t="s">
        <v>18308</v>
      </c>
      <c r="AC40" s="988"/>
    </row>
    <row r="41" spans="1:29">
      <c r="N41" s="983" t="s">
        <v>7855</v>
      </c>
      <c r="O41" s="984">
        <f t="shared" si="0"/>
        <v>69</v>
      </c>
      <c r="P41" s="984" t="s">
        <v>0</v>
      </c>
      <c r="Q41" s="984" t="s">
        <v>8586</v>
      </c>
      <c r="R41" s="985" t="s">
        <v>18449</v>
      </c>
      <c r="S41" s="995" t="s">
        <v>11978</v>
      </c>
      <c r="T41" s="984"/>
      <c r="U41" s="984" t="s">
        <v>6209</v>
      </c>
      <c r="V41" s="984" t="s">
        <v>18311</v>
      </c>
      <c r="W41" s="984">
        <v>8</v>
      </c>
      <c r="X41" s="985" t="s">
        <v>18404</v>
      </c>
      <c r="Y41" s="987">
        <v>15694</v>
      </c>
      <c r="Z41" s="985" t="s">
        <v>18450</v>
      </c>
      <c r="AA41" s="985" t="s">
        <v>18451</v>
      </c>
      <c r="AB41" s="985" t="s">
        <v>18452</v>
      </c>
      <c r="AC41" s="988"/>
    </row>
    <row r="42" spans="1:29">
      <c r="N42" s="983" t="s">
        <v>8479</v>
      </c>
      <c r="O42" s="984">
        <f t="shared" si="0"/>
        <v>71</v>
      </c>
      <c r="P42" s="991" t="s">
        <v>0</v>
      </c>
      <c r="Q42" s="991"/>
      <c r="R42" s="989" t="s">
        <v>18453</v>
      </c>
      <c r="S42" s="996" t="s">
        <v>11979</v>
      </c>
      <c r="T42" s="991"/>
      <c r="U42" s="991" t="s">
        <v>6209</v>
      </c>
      <c r="V42" s="991" t="s">
        <v>18454</v>
      </c>
      <c r="W42" s="991">
        <v>3</v>
      </c>
      <c r="X42" s="989" t="s">
        <v>18455</v>
      </c>
      <c r="Y42" s="990">
        <v>15311</v>
      </c>
      <c r="Z42" s="989" t="s">
        <v>18456</v>
      </c>
      <c r="AA42" s="989" t="s">
        <v>18457</v>
      </c>
      <c r="AB42" s="989" t="s">
        <v>18375</v>
      </c>
      <c r="AC42" s="985" t="s">
        <v>6515</v>
      </c>
    </row>
    <row r="43" spans="1:29">
      <c r="N43" s="983" t="s">
        <v>7064</v>
      </c>
      <c r="O43" s="984">
        <f t="shared" si="0"/>
        <v>74</v>
      </c>
      <c r="P43" s="984" t="s">
        <v>0</v>
      </c>
      <c r="Q43" s="984" t="s">
        <v>8586</v>
      </c>
      <c r="R43" s="985" t="s">
        <v>18458</v>
      </c>
      <c r="S43" s="997" t="s">
        <v>11988</v>
      </c>
      <c r="T43" s="984"/>
      <c r="U43" s="984" t="s">
        <v>6209</v>
      </c>
      <c r="V43" s="984" t="s">
        <v>18380</v>
      </c>
      <c r="W43" s="984">
        <v>10</v>
      </c>
      <c r="X43" s="985" t="s">
        <v>18312</v>
      </c>
      <c r="Y43" s="987">
        <v>14114</v>
      </c>
      <c r="Z43" s="985" t="s">
        <v>18459</v>
      </c>
      <c r="AA43" s="985" t="s">
        <v>18460</v>
      </c>
      <c r="AB43" s="985"/>
      <c r="AC43" s="985" t="s">
        <v>6260</v>
      </c>
    </row>
    <row r="44" spans="1:29">
      <c r="N44" s="983" t="s">
        <v>7930</v>
      </c>
      <c r="O44" s="984">
        <f t="shared" si="0"/>
        <v>73</v>
      </c>
      <c r="P44" s="984" t="s">
        <v>0</v>
      </c>
      <c r="Q44" s="984"/>
      <c r="R44" s="985" t="s">
        <v>18461</v>
      </c>
      <c r="S44" s="997" t="s">
        <v>11988</v>
      </c>
      <c r="T44" s="984" t="s">
        <v>18462</v>
      </c>
      <c r="U44" s="984" t="s">
        <v>6209</v>
      </c>
      <c r="V44" s="984" t="s">
        <v>18311</v>
      </c>
      <c r="W44" s="984">
        <v>7</v>
      </c>
      <c r="X44" s="985" t="s">
        <v>18463</v>
      </c>
      <c r="Y44" s="987">
        <v>14287</v>
      </c>
      <c r="Z44" s="985" t="s">
        <v>18464</v>
      </c>
      <c r="AA44" s="985" t="s">
        <v>18465</v>
      </c>
      <c r="AB44" s="985"/>
      <c r="AC44" s="985" t="s">
        <v>6213</v>
      </c>
    </row>
    <row r="45" spans="1:29">
      <c r="N45" s="983" t="s">
        <v>8858</v>
      </c>
      <c r="O45" s="984">
        <f t="shared" si="0"/>
        <v>59</v>
      </c>
      <c r="P45" s="984" t="s">
        <v>0</v>
      </c>
      <c r="Q45" s="984" t="s">
        <v>18309</v>
      </c>
      <c r="R45" s="985" t="s">
        <v>18466</v>
      </c>
      <c r="S45" s="997" t="s">
        <v>11988</v>
      </c>
      <c r="T45" s="984" t="s">
        <v>18467</v>
      </c>
      <c r="U45" s="984" t="s">
        <v>6036</v>
      </c>
      <c r="V45" s="984" t="s">
        <v>18326</v>
      </c>
      <c r="W45" s="984">
        <v>1</v>
      </c>
      <c r="X45" s="983" t="s">
        <v>18413</v>
      </c>
      <c r="Y45" s="990">
        <v>19584</v>
      </c>
      <c r="Z45" s="989" t="s">
        <v>18468</v>
      </c>
      <c r="AA45" s="988"/>
      <c r="AB45" s="988"/>
      <c r="AC45" s="985"/>
    </row>
    <row r="46" spans="1:29">
      <c r="N46" s="998"/>
      <c r="O46" s="999"/>
      <c r="P46" s="999"/>
      <c r="Q46" s="999"/>
      <c r="R46" s="999"/>
      <c r="S46" s="1000"/>
      <c r="T46" s="999"/>
      <c r="U46" s="999"/>
      <c r="V46" s="999"/>
      <c r="W46" s="999"/>
      <c r="X46" s="999"/>
      <c r="Y46" s="950">
        <v>41259</v>
      </c>
      <c r="Z46" s="999"/>
      <c r="AA46" s="999"/>
      <c r="AB46" s="999"/>
      <c r="AC46" s="999"/>
    </row>
  </sheetData>
  <mergeCells count="68">
    <mergeCell ref="A35:L35"/>
    <mergeCell ref="A36:L36"/>
    <mergeCell ref="A37:L37"/>
    <mergeCell ref="A33:B34"/>
    <mergeCell ref="F3:H3"/>
    <mergeCell ref="I3:K3"/>
    <mergeCell ref="A29:A30"/>
    <mergeCell ref="A17:A18"/>
    <mergeCell ref="A19:A20"/>
    <mergeCell ref="A21:A22"/>
    <mergeCell ref="A23:A24"/>
    <mergeCell ref="A25:A26"/>
    <mergeCell ref="A27:A28"/>
    <mergeCell ref="A5:A6"/>
    <mergeCell ref="A7:A8"/>
    <mergeCell ref="A9:A10"/>
    <mergeCell ref="A11:A12"/>
    <mergeCell ref="A13:A14"/>
    <mergeCell ref="A15:A16"/>
    <mergeCell ref="C28:E28"/>
    <mergeCell ref="A31:A32"/>
    <mergeCell ref="C20:E20"/>
    <mergeCell ref="C22:E22"/>
    <mergeCell ref="C24:E24"/>
    <mergeCell ref="C26:E26"/>
    <mergeCell ref="C30:E30"/>
    <mergeCell ref="C32:E32"/>
    <mergeCell ref="A3:A4"/>
    <mergeCell ref="B3:B4"/>
    <mergeCell ref="C3:E3"/>
    <mergeCell ref="C6:E6"/>
    <mergeCell ref="C8:E8"/>
    <mergeCell ref="C10:E10"/>
    <mergeCell ref="C12:E12"/>
    <mergeCell ref="C14:E14"/>
    <mergeCell ref="C16:E16"/>
    <mergeCell ref="C18:E18"/>
    <mergeCell ref="C34:E34"/>
    <mergeCell ref="F6:H6"/>
    <mergeCell ref="I6:K6"/>
    <mergeCell ref="F8:H8"/>
    <mergeCell ref="I8:K8"/>
    <mergeCell ref="F10:H10"/>
    <mergeCell ref="I10:K10"/>
    <mergeCell ref="F12:H12"/>
    <mergeCell ref="I12:K12"/>
    <mergeCell ref="F14:H14"/>
    <mergeCell ref="I14:K14"/>
    <mergeCell ref="F16:H16"/>
    <mergeCell ref="I16:K16"/>
    <mergeCell ref="F18:H18"/>
    <mergeCell ref="I18:K18"/>
    <mergeCell ref="F20:H20"/>
    <mergeCell ref="I20:K20"/>
    <mergeCell ref="F22:H22"/>
    <mergeCell ref="I22:K22"/>
    <mergeCell ref="F24:H24"/>
    <mergeCell ref="I24:K24"/>
    <mergeCell ref="F32:H32"/>
    <mergeCell ref="I32:K32"/>
    <mergeCell ref="F34:H34"/>
    <mergeCell ref="I34:K34"/>
    <mergeCell ref="F26:H26"/>
    <mergeCell ref="I26:K26"/>
    <mergeCell ref="F28:H28"/>
    <mergeCell ref="I28:K28"/>
    <mergeCell ref="F30:H30"/>
    <mergeCell ref="I30:K30"/>
  </mergeCells>
  <phoneticPr fontId="3"/>
  <conditionalFormatting sqref="R3:AC3 N3:O3 O4:O45 S4:S20">
    <cfRule type="cellIs" dxfId="1087" priority="252" stopIfTrue="1" operator="equal">
      <formula>"？"</formula>
    </cfRule>
  </conditionalFormatting>
  <conditionalFormatting sqref="P3">
    <cfRule type="cellIs" dxfId="1086" priority="253" stopIfTrue="1" operator="equal">
      <formula>"？"</formula>
    </cfRule>
    <cfRule type="cellIs" dxfId="1085" priority="254" stopIfTrue="1" operator="equal">
      <formula>"女"</formula>
    </cfRule>
  </conditionalFormatting>
  <conditionalFormatting sqref="Q3">
    <cfRule type="cellIs" dxfId="1084" priority="255" stopIfTrue="1" operator="equal">
      <formula>"単"</formula>
    </cfRule>
    <cfRule type="cellIs" dxfId="1083" priority="256" stopIfTrue="1" operator="equal">
      <formula>"重"</formula>
    </cfRule>
  </conditionalFormatting>
  <conditionalFormatting sqref="R4:R6 N4:N6 T4:AC6">
    <cfRule type="cellIs" dxfId="1082" priority="246" stopIfTrue="1" operator="equal">
      <formula>"？"</formula>
    </cfRule>
  </conditionalFormatting>
  <conditionalFormatting sqref="P4:P6">
    <cfRule type="cellIs" dxfId="1081" priority="247" stopIfTrue="1" operator="equal">
      <formula>"？"</formula>
    </cfRule>
    <cfRule type="cellIs" dxfId="1080" priority="248" stopIfTrue="1" operator="equal">
      <formula>"女"</formula>
    </cfRule>
  </conditionalFormatting>
  <conditionalFormatting sqref="Q4:Q6">
    <cfRule type="cellIs" dxfId="1079" priority="249" stopIfTrue="1" operator="equal">
      <formula>"単"</formula>
    </cfRule>
    <cfRule type="cellIs" dxfId="1078" priority="250" stopIfTrue="1" operator="equal">
      <formula>"重"</formula>
    </cfRule>
  </conditionalFormatting>
  <conditionalFormatting sqref="R7 N7 T7:AC7">
    <cfRule type="cellIs" dxfId="1077" priority="239" stopIfTrue="1" operator="equal">
      <formula>"？"</formula>
    </cfRule>
  </conditionalFormatting>
  <conditionalFormatting sqref="P7">
    <cfRule type="cellIs" dxfId="1076" priority="240" stopIfTrue="1" operator="equal">
      <formula>"？"</formula>
    </cfRule>
    <cfRule type="cellIs" dxfId="1075" priority="241" stopIfTrue="1" operator="equal">
      <formula>"女"</formula>
    </cfRule>
  </conditionalFormatting>
  <conditionalFormatting sqref="Q7">
    <cfRule type="cellIs" dxfId="1074" priority="242" stopIfTrue="1" operator="equal">
      <formula>"単"</formula>
    </cfRule>
    <cfRule type="cellIs" dxfId="1073" priority="243" stopIfTrue="1" operator="equal">
      <formula>"重"</formula>
    </cfRule>
  </conditionalFormatting>
  <conditionalFormatting sqref="R8 N8 T8:AC8">
    <cfRule type="cellIs" dxfId="1072" priority="233" stopIfTrue="1" operator="equal">
      <formula>"？"</formula>
    </cfRule>
  </conditionalFormatting>
  <conditionalFormatting sqref="P8">
    <cfRule type="cellIs" dxfId="1071" priority="234" stopIfTrue="1" operator="equal">
      <formula>"？"</formula>
    </cfRule>
    <cfRule type="cellIs" dxfId="1070" priority="235" stopIfTrue="1" operator="equal">
      <formula>"女"</formula>
    </cfRule>
  </conditionalFormatting>
  <conditionalFormatting sqref="Q8">
    <cfRule type="cellIs" dxfId="1069" priority="236" stopIfTrue="1" operator="equal">
      <formula>"単"</formula>
    </cfRule>
    <cfRule type="cellIs" dxfId="1068" priority="237" stopIfTrue="1" operator="equal">
      <formula>"重"</formula>
    </cfRule>
  </conditionalFormatting>
  <conditionalFormatting sqref="R9 N9 T9:AC9">
    <cfRule type="cellIs" dxfId="1067" priority="227" stopIfTrue="1" operator="equal">
      <formula>"？"</formula>
    </cfRule>
  </conditionalFormatting>
  <conditionalFormatting sqref="P9">
    <cfRule type="cellIs" dxfId="1066" priority="228" stopIfTrue="1" operator="equal">
      <formula>"？"</formula>
    </cfRule>
    <cfRule type="cellIs" dxfId="1065" priority="229" stopIfTrue="1" operator="equal">
      <formula>"女"</formula>
    </cfRule>
  </conditionalFormatting>
  <conditionalFormatting sqref="Q9">
    <cfRule type="cellIs" dxfId="1064" priority="230" stopIfTrue="1" operator="equal">
      <formula>"単"</formula>
    </cfRule>
    <cfRule type="cellIs" dxfId="1063" priority="231" stopIfTrue="1" operator="equal">
      <formula>"重"</formula>
    </cfRule>
  </conditionalFormatting>
  <conditionalFormatting sqref="R10 N10 T10:AC10">
    <cfRule type="cellIs" dxfId="1062" priority="221" stopIfTrue="1" operator="equal">
      <formula>"？"</formula>
    </cfRule>
  </conditionalFormatting>
  <conditionalFormatting sqref="P10">
    <cfRule type="cellIs" dxfId="1061" priority="222" stopIfTrue="1" operator="equal">
      <formula>"？"</formula>
    </cfRule>
    <cfRule type="cellIs" dxfId="1060" priority="223" stopIfTrue="1" operator="equal">
      <formula>"女"</formula>
    </cfRule>
  </conditionalFormatting>
  <conditionalFormatting sqref="Q10">
    <cfRule type="cellIs" dxfId="1059" priority="224" stopIfTrue="1" operator="equal">
      <formula>"単"</formula>
    </cfRule>
    <cfRule type="cellIs" dxfId="1058" priority="225" stopIfTrue="1" operator="equal">
      <formula>"重"</formula>
    </cfRule>
  </conditionalFormatting>
  <conditionalFormatting sqref="R11 N11 T11:AC11">
    <cfRule type="cellIs" dxfId="1057" priority="215" stopIfTrue="1" operator="equal">
      <formula>"？"</formula>
    </cfRule>
  </conditionalFormatting>
  <conditionalFormatting sqref="P11">
    <cfRule type="cellIs" dxfId="1056" priority="216" stopIfTrue="1" operator="equal">
      <formula>"？"</formula>
    </cfRule>
    <cfRule type="cellIs" dxfId="1055" priority="217" stopIfTrue="1" operator="equal">
      <formula>"女"</formula>
    </cfRule>
  </conditionalFormatting>
  <conditionalFormatting sqref="Q11">
    <cfRule type="cellIs" dxfId="1054" priority="218" stopIfTrue="1" operator="equal">
      <formula>"単"</formula>
    </cfRule>
    <cfRule type="cellIs" dxfId="1053" priority="219" stopIfTrue="1" operator="equal">
      <formula>"重"</formula>
    </cfRule>
  </conditionalFormatting>
  <conditionalFormatting sqref="R13:R14 N13:N14 T13:AC14">
    <cfRule type="cellIs" dxfId="1052" priority="209" stopIfTrue="1" operator="equal">
      <formula>"？"</formula>
    </cfRule>
  </conditionalFormatting>
  <conditionalFormatting sqref="P13:P14">
    <cfRule type="cellIs" dxfId="1051" priority="210" stopIfTrue="1" operator="equal">
      <formula>"？"</formula>
    </cfRule>
    <cfRule type="cellIs" dxfId="1050" priority="211" stopIfTrue="1" operator="equal">
      <formula>"女"</formula>
    </cfRule>
  </conditionalFormatting>
  <conditionalFormatting sqref="Q13:Q14">
    <cfRule type="cellIs" dxfId="1049" priority="212" stopIfTrue="1" operator="equal">
      <formula>"単"</formula>
    </cfRule>
    <cfRule type="cellIs" dxfId="1048" priority="213" stopIfTrue="1" operator="equal">
      <formula>"重"</formula>
    </cfRule>
  </conditionalFormatting>
  <conditionalFormatting sqref="R14 N14 T14:AC14">
    <cfRule type="cellIs" dxfId="1047" priority="203" stopIfTrue="1" operator="equal">
      <formula>"？"</formula>
    </cfRule>
  </conditionalFormatting>
  <conditionalFormatting sqref="P14">
    <cfRule type="cellIs" dxfId="1046" priority="204" stopIfTrue="1" operator="equal">
      <formula>"？"</formula>
    </cfRule>
    <cfRule type="cellIs" dxfId="1045" priority="205" stopIfTrue="1" operator="equal">
      <formula>"女"</formula>
    </cfRule>
  </conditionalFormatting>
  <conditionalFormatting sqref="Q14">
    <cfRule type="cellIs" dxfId="1044" priority="206" stopIfTrue="1" operator="equal">
      <formula>"単"</formula>
    </cfRule>
    <cfRule type="cellIs" dxfId="1043" priority="207" stopIfTrue="1" operator="equal">
      <formula>"重"</formula>
    </cfRule>
  </conditionalFormatting>
  <conditionalFormatting sqref="R15 N15 T15:AC15">
    <cfRule type="cellIs" dxfId="1042" priority="197" stopIfTrue="1" operator="equal">
      <formula>"？"</formula>
    </cfRule>
  </conditionalFormatting>
  <conditionalFormatting sqref="P15">
    <cfRule type="cellIs" dxfId="1041" priority="198" stopIfTrue="1" operator="equal">
      <formula>"？"</formula>
    </cfRule>
    <cfRule type="cellIs" dxfId="1040" priority="199" stopIfTrue="1" operator="equal">
      <formula>"女"</formula>
    </cfRule>
  </conditionalFormatting>
  <conditionalFormatting sqref="Q15">
    <cfRule type="cellIs" dxfId="1039" priority="200" stopIfTrue="1" operator="equal">
      <formula>"単"</formula>
    </cfRule>
    <cfRule type="cellIs" dxfId="1038" priority="201" stopIfTrue="1" operator="equal">
      <formula>"重"</formula>
    </cfRule>
  </conditionalFormatting>
  <conditionalFormatting sqref="R16 N16 T16:AC16">
    <cfRule type="cellIs" dxfId="1037" priority="191" stopIfTrue="1" operator="equal">
      <formula>"？"</formula>
    </cfRule>
  </conditionalFormatting>
  <conditionalFormatting sqref="P16">
    <cfRule type="cellIs" dxfId="1036" priority="192" stopIfTrue="1" operator="equal">
      <formula>"？"</formula>
    </cfRule>
    <cfRule type="cellIs" dxfId="1035" priority="193" stopIfTrue="1" operator="equal">
      <formula>"女"</formula>
    </cfRule>
  </conditionalFormatting>
  <conditionalFormatting sqref="Q16">
    <cfRule type="cellIs" dxfId="1034" priority="194" stopIfTrue="1" operator="equal">
      <formula>"単"</formula>
    </cfRule>
    <cfRule type="cellIs" dxfId="1033" priority="195" stopIfTrue="1" operator="equal">
      <formula>"重"</formula>
    </cfRule>
  </conditionalFormatting>
  <conditionalFormatting sqref="R17 N17 T17:AC17">
    <cfRule type="cellIs" dxfId="1032" priority="185" stopIfTrue="1" operator="equal">
      <formula>"？"</formula>
    </cfRule>
  </conditionalFormatting>
  <conditionalFormatting sqref="P17">
    <cfRule type="cellIs" dxfId="1031" priority="186" stopIfTrue="1" operator="equal">
      <formula>"？"</formula>
    </cfRule>
    <cfRule type="cellIs" dxfId="1030" priority="187" stopIfTrue="1" operator="equal">
      <formula>"女"</formula>
    </cfRule>
  </conditionalFormatting>
  <conditionalFormatting sqref="Q17">
    <cfRule type="cellIs" dxfId="1029" priority="188" stopIfTrue="1" operator="equal">
      <formula>"単"</formula>
    </cfRule>
    <cfRule type="cellIs" dxfId="1028" priority="189" stopIfTrue="1" operator="equal">
      <formula>"重"</formula>
    </cfRule>
  </conditionalFormatting>
  <conditionalFormatting sqref="R18 N18 T18:AC18">
    <cfRule type="cellIs" dxfId="1027" priority="179" stopIfTrue="1" operator="equal">
      <formula>"？"</formula>
    </cfRule>
  </conditionalFormatting>
  <conditionalFormatting sqref="P18">
    <cfRule type="cellIs" dxfId="1026" priority="180" stopIfTrue="1" operator="equal">
      <formula>"？"</formula>
    </cfRule>
    <cfRule type="cellIs" dxfId="1025" priority="181" stopIfTrue="1" operator="equal">
      <formula>"女"</formula>
    </cfRule>
  </conditionalFormatting>
  <conditionalFormatting sqref="Q18">
    <cfRule type="cellIs" dxfId="1024" priority="182" stopIfTrue="1" operator="equal">
      <formula>"単"</formula>
    </cfRule>
    <cfRule type="cellIs" dxfId="1023" priority="183" stopIfTrue="1" operator="equal">
      <formula>"重"</formula>
    </cfRule>
  </conditionalFormatting>
  <conditionalFormatting sqref="R19 N19 T19:AC19">
    <cfRule type="cellIs" dxfId="1022" priority="173" stopIfTrue="1" operator="equal">
      <formula>"？"</formula>
    </cfRule>
  </conditionalFormatting>
  <conditionalFormatting sqref="P19">
    <cfRule type="cellIs" dxfId="1021" priority="174" stopIfTrue="1" operator="equal">
      <formula>"？"</formula>
    </cfRule>
    <cfRule type="cellIs" dxfId="1020" priority="175" stopIfTrue="1" operator="equal">
      <formula>"女"</formula>
    </cfRule>
  </conditionalFormatting>
  <conditionalFormatting sqref="Q19">
    <cfRule type="cellIs" dxfId="1019" priority="176" stopIfTrue="1" operator="equal">
      <formula>"単"</formula>
    </cfRule>
    <cfRule type="cellIs" dxfId="1018" priority="177" stopIfTrue="1" operator="equal">
      <formula>"重"</formula>
    </cfRule>
  </conditionalFormatting>
  <conditionalFormatting sqref="R15 N15 T15:AC15">
    <cfRule type="cellIs" dxfId="1017" priority="167" stopIfTrue="1" operator="equal">
      <formula>"？"</formula>
    </cfRule>
  </conditionalFormatting>
  <conditionalFormatting sqref="P15">
    <cfRule type="cellIs" dxfId="1016" priority="168" stopIfTrue="1" operator="equal">
      <formula>"？"</formula>
    </cfRule>
    <cfRule type="cellIs" dxfId="1015" priority="169" stopIfTrue="1" operator="equal">
      <formula>"女"</formula>
    </cfRule>
  </conditionalFormatting>
  <conditionalFormatting sqref="Q15">
    <cfRule type="cellIs" dxfId="1014" priority="170" stopIfTrue="1" operator="equal">
      <formula>"単"</formula>
    </cfRule>
    <cfRule type="cellIs" dxfId="1013" priority="171" stopIfTrue="1" operator="equal">
      <formula>"重"</formula>
    </cfRule>
  </conditionalFormatting>
  <conditionalFormatting sqref="R16 N16 T16:AC16">
    <cfRule type="cellIs" dxfId="1012" priority="161" stopIfTrue="1" operator="equal">
      <formula>"？"</formula>
    </cfRule>
  </conditionalFormatting>
  <conditionalFormatting sqref="P16">
    <cfRule type="cellIs" dxfId="1011" priority="162" stopIfTrue="1" operator="equal">
      <formula>"？"</formula>
    </cfRule>
    <cfRule type="cellIs" dxfId="1010" priority="163" stopIfTrue="1" operator="equal">
      <formula>"女"</formula>
    </cfRule>
  </conditionalFormatting>
  <conditionalFormatting sqref="Q16">
    <cfRule type="cellIs" dxfId="1009" priority="164" stopIfTrue="1" operator="equal">
      <formula>"単"</formula>
    </cfRule>
    <cfRule type="cellIs" dxfId="1008" priority="165" stopIfTrue="1" operator="equal">
      <formula>"重"</formula>
    </cfRule>
  </conditionalFormatting>
  <conditionalFormatting sqref="R17 N17 T17:AC17">
    <cfRule type="cellIs" dxfId="1007" priority="155" stopIfTrue="1" operator="equal">
      <formula>"？"</formula>
    </cfRule>
  </conditionalFormatting>
  <conditionalFormatting sqref="P17">
    <cfRule type="cellIs" dxfId="1006" priority="156" stopIfTrue="1" operator="equal">
      <formula>"？"</formula>
    </cfRule>
    <cfRule type="cellIs" dxfId="1005" priority="157" stopIfTrue="1" operator="equal">
      <formula>"女"</formula>
    </cfRule>
  </conditionalFormatting>
  <conditionalFormatting sqref="Q17">
    <cfRule type="cellIs" dxfId="1004" priority="158" stopIfTrue="1" operator="equal">
      <formula>"単"</formula>
    </cfRule>
    <cfRule type="cellIs" dxfId="1003" priority="159" stopIfTrue="1" operator="equal">
      <formula>"重"</formula>
    </cfRule>
  </conditionalFormatting>
  <conditionalFormatting sqref="R18 N18 T18:AC18">
    <cfRule type="cellIs" dxfId="1002" priority="149" stopIfTrue="1" operator="equal">
      <formula>"？"</formula>
    </cfRule>
  </conditionalFormatting>
  <conditionalFormatting sqref="P18">
    <cfRule type="cellIs" dxfId="1001" priority="150" stopIfTrue="1" operator="equal">
      <formula>"？"</formula>
    </cfRule>
    <cfRule type="cellIs" dxfId="1000" priority="151" stopIfTrue="1" operator="equal">
      <formula>"女"</formula>
    </cfRule>
  </conditionalFormatting>
  <conditionalFormatting sqref="Q18">
    <cfRule type="cellIs" dxfId="999" priority="152" stopIfTrue="1" operator="equal">
      <formula>"単"</formula>
    </cfRule>
    <cfRule type="cellIs" dxfId="998" priority="153" stopIfTrue="1" operator="equal">
      <formula>"重"</formula>
    </cfRule>
  </conditionalFormatting>
  <conditionalFormatting sqref="R19 N19 T19:AC19">
    <cfRule type="cellIs" dxfId="997" priority="143" stopIfTrue="1" operator="equal">
      <formula>"？"</formula>
    </cfRule>
  </conditionalFormatting>
  <conditionalFormatting sqref="P19">
    <cfRule type="cellIs" dxfId="996" priority="144" stopIfTrue="1" operator="equal">
      <formula>"？"</formula>
    </cfRule>
    <cfRule type="cellIs" dxfId="995" priority="145" stopIfTrue="1" operator="equal">
      <formula>"女"</formula>
    </cfRule>
  </conditionalFormatting>
  <conditionalFormatting sqref="Q19">
    <cfRule type="cellIs" dxfId="994" priority="146" stopIfTrue="1" operator="equal">
      <formula>"単"</formula>
    </cfRule>
    <cfRule type="cellIs" dxfId="993" priority="147" stopIfTrue="1" operator="equal">
      <formula>"重"</formula>
    </cfRule>
  </conditionalFormatting>
  <conditionalFormatting sqref="R20 N20 T20:AC20">
    <cfRule type="cellIs" dxfId="992" priority="137" stopIfTrue="1" operator="equal">
      <formula>"？"</formula>
    </cfRule>
  </conditionalFormatting>
  <conditionalFormatting sqref="P20">
    <cfRule type="cellIs" dxfId="991" priority="138" stopIfTrue="1" operator="equal">
      <formula>"？"</formula>
    </cfRule>
    <cfRule type="cellIs" dxfId="990" priority="139" stopIfTrue="1" operator="equal">
      <formula>"女"</formula>
    </cfRule>
  </conditionalFormatting>
  <conditionalFormatting sqref="Q20">
    <cfRule type="cellIs" dxfId="989" priority="140" stopIfTrue="1" operator="equal">
      <formula>"単"</formula>
    </cfRule>
    <cfRule type="cellIs" dxfId="988" priority="141" stopIfTrue="1" operator="equal">
      <formula>"重"</formula>
    </cfRule>
  </conditionalFormatting>
  <conditionalFormatting sqref="R12 N12 T12:AC12">
    <cfRule type="cellIs" dxfId="987" priority="131" stopIfTrue="1" operator="equal">
      <formula>"？"</formula>
    </cfRule>
  </conditionalFormatting>
  <conditionalFormatting sqref="P12">
    <cfRule type="cellIs" dxfId="986" priority="132" stopIfTrue="1" operator="equal">
      <formula>"？"</formula>
    </cfRule>
    <cfRule type="cellIs" dxfId="985" priority="133" stopIfTrue="1" operator="equal">
      <formula>"女"</formula>
    </cfRule>
  </conditionalFormatting>
  <conditionalFormatting sqref="Q12">
    <cfRule type="cellIs" dxfId="984" priority="134" stopIfTrue="1" operator="equal">
      <formula>"単"</formula>
    </cfRule>
    <cfRule type="cellIs" dxfId="983" priority="135" stopIfTrue="1" operator="equal">
      <formula>"重"</formula>
    </cfRule>
  </conditionalFormatting>
  <conditionalFormatting sqref="R21:AC21 N21 S22:S32">
    <cfRule type="cellIs" dxfId="982" priority="124" stopIfTrue="1" operator="equal">
      <formula>"？"</formula>
    </cfRule>
  </conditionalFormatting>
  <conditionalFormatting sqref="P21">
    <cfRule type="cellIs" dxfId="981" priority="125" stopIfTrue="1" operator="equal">
      <formula>"？"</formula>
    </cfRule>
    <cfRule type="cellIs" dxfId="980" priority="126" stopIfTrue="1" operator="equal">
      <formula>"女"</formula>
    </cfRule>
  </conditionalFormatting>
  <conditionalFormatting sqref="Q21">
    <cfRule type="cellIs" dxfId="979" priority="127" stopIfTrue="1" operator="equal">
      <formula>"単"</formula>
    </cfRule>
    <cfRule type="cellIs" dxfId="978" priority="128" stopIfTrue="1" operator="equal">
      <formula>"重"</formula>
    </cfRule>
  </conditionalFormatting>
  <conditionalFormatting sqref="R22 N22 T22:AC22">
    <cfRule type="cellIs" dxfId="977" priority="118" stopIfTrue="1" operator="equal">
      <formula>"？"</formula>
    </cfRule>
  </conditionalFormatting>
  <conditionalFormatting sqref="P22">
    <cfRule type="cellIs" dxfId="976" priority="119" stopIfTrue="1" operator="equal">
      <formula>"？"</formula>
    </cfRule>
    <cfRule type="cellIs" dxfId="975" priority="120" stopIfTrue="1" operator="equal">
      <formula>"女"</formula>
    </cfRule>
  </conditionalFormatting>
  <conditionalFormatting sqref="Q22">
    <cfRule type="cellIs" dxfId="974" priority="121" stopIfTrue="1" operator="equal">
      <formula>"単"</formula>
    </cfRule>
    <cfRule type="cellIs" dxfId="973" priority="122" stopIfTrue="1" operator="equal">
      <formula>"重"</formula>
    </cfRule>
  </conditionalFormatting>
  <conditionalFormatting sqref="R23 N23 T23:AC23">
    <cfRule type="cellIs" dxfId="972" priority="112" stopIfTrue="1" operator="equal">
      <formula>"？"</formula>
    </cfRule>
  </conditionalFormatting>
  <conditionalFormatting sqref="P23">
    <cfRule type="cellIs" dxfId="971" priority="113" stopIfTrue="1" operator="equal">
      <formula>"？"</formula>
    </cfRule>
    <cfRule type="cellIs" dxfId="970" priority="114" stopIfTrue="1" operator="equal">
      <formula>"女"</formula>
    </cfRule>
  </conditionalFormatting>
  <conditionalFormatting sqref="Q23">
    <cfRule type="cellIs" dxfId="969" priority="115" stopIfTrue="1" operator="equal">
      <formula>"単"</formula>
    </cfRule>
    <cfRule type="cellIs" dxfId="968" priority="116" stopIfTrue="1" operator="equal">
      <formula>"重"</formula>
    </cfRule>
  </conditionalFormatting>
  <conditionalFormatting sqref="R24 N24 T24:AC24">
    <cfRule type="cellIs" dxfId="967" priority="106" stopIfTrue="1" operator="equal">
      <formula>"？"</formula>
    </cfRule>
  </conditionalFormatting>
  <conditionalFormatting sqref="P24">
    <cfRule type="cellIs" dxfId="966" priority="107" stopIfTrue="1" operator="equal">
      <formula>"？"</formula>
    </cfRule>
    <cfRule type="cellIs" dxfId="965" priority="108" stopIfTrue="1" operator="equal">
      <formula>"女"</formula>
    </cfRule>
  </conditionalFormatting>
  <conditionalFormatting sqref="Q24">
    <cfRule type="cellIs" dxfId="964" priority="109" stopIfTrue="1" operator="equal">
      <formula>"単"</formula>
    </cfRule>
    <cfRule type="cellIs" dxfId="963" priority="110" stopIfTrue="1" operator="equal">
      <formula>"重"</formula>
    </cfRule>
  </conditionalFormatting>
  <conditionalFormatting sqref="R25 N25 T25:AC25">
    <cfRule type="cellIs" dxfId="962" priority="100" stopIfTrue="1" operator="equal">
      <formula>"？"</formula>
    </cfRule>
  </conditionalFormatting>
  <conditionalFormatting sqref="P25">
    <cfRule type="cellIs" dxfId="961" priority="101" stopIfTrue="1" operator="equal">
      <formula>"？"</formula>
    </cfRule>
    <cfRule type="cellIs" dxfId="960" priority="102" stopIfTrue="1" operator="equal">
      <formula>"女"</formula>
    </cfRule>
  </conditionalFormatting>
  <conditionalFormatting sqref="Q25">
    <cfRule type="cellIs" dxfId="959" priority="103" stopIfTrue="1" operator="equal">
      <formula>"単"</formula>
    </cfRule>
    <cfRule type="cellIs" dxfId="958" priority="104" stopIfTrue="1" operator="equal">
      <formula>"重"</formula>
    </cfRule>
  </conditionalFormatting>
  <conditionalFormatting sqref="R26 N26 T26:AC26">
    <cfRule type="cellIs" dxfId="957" priority="94" stopIfTrue="1" operator="equal">
      <formula>"？"</formula>
    </cfRule>
  </conditionalFormatting>
  <conditionalFormatting sqref="P26">
    <cfRule type="cellIs" dxfId="956" priority="95" stopIfTrue="1" operator="equal">
      <formula>"？"</formula>
    </cfRule>
    <cfRule type="cellIs" dxfId="955" priority="96" stopIfTrue="1" operator="equal">
      <formula>"女"</formula>
    </cfRule>
  </conditionalFormatting>
  <conditionalFormatting sqref="Q26">
    <cfRule type="cellIs" dxfId="954" priority="97" stopIfTrue="1" operator="equal">
      <formula>"単"</formula>
    </cfRule>
    <cfRule type="cellIs" dxfId="953" priority="98" stopIfTrue="1" operator="equal">
      <formula>"重"</formula>
    </cfRule>
  </conditionalFormatting>
  <conditionalFormatting sqref="R27 N27 T27:AC27">
    <cfRule type="cellIs" dxfId="952" priority="88" stopIfTrue="1" operator="equal">
      <formula>"？"</formula>
    </cfRule>
  </conditionalFormatting>
  <conditionalFormatting sqref="P27">
    <cfRule type="cellIs" dxfId="951" priority="89" stopIfTrue="1" operator="equal">
      <formula>"？"</formula>
    </cfRule>
    <cfRule type="cellIs" dxfId="950" priority="90" stopIfTrue="1" operator="equal">
      <formula>"女"</formula>
    </cfRule>
  </conditionalFormatting>
  <conditionalFormatting sqref="Q27">
    <cfRule type="cellIs" dxfId="949" priority="91" stopIfTrue="1" operator="equal">
      <formula>"単"</formula>
    </cfRule>
    <cfRule type="cellIs" dxfId="948" priority="92" stopIfTrue="1" operator="equal">
      <formula>"重"</formula>
    </cfRule>
  </conditionalFormatting>
  <conditionalFormatting sqref="R28 N28 T28:AC28">
    <cfRule type="cellIs" dxfId="947" priority="82" stopIfTrue="1" operator="equal">
      <formula>"？"</formula>
    </cfRule>
  </conditionalFormatting>
  <conditionalFormatting sqref="P28">
    <cfRule type="cellIs" dxfId="946" priority="83" stopIfTrue="1" operator="equal">
      <formula>"？"</formula>
    </cfRule>
    <cfRule type="cellIs" dxfId="945" priority="84" stopIfTrue="1" operator="equal">
      <formula>"女"</formula>
    </cfRule>
  </conditionalFormatting>
  <conditionalFormatting sqref="Q28">
    <cfRule type="cellIs" dxfId="944" priority="85" stopIfTrue="1" operator="equal">
      <formula>"単"</formula>
    </cfRule>
    <cfRule type="cellIs" dxfId="943" priority="86" stopIfTrue="1" operator="equal">
      <formula>"重"</formula>
    </cfRule>
  </conditionalFormatting>
  <conditionalFormatting sqref="R29:R30 N29:N30 T29:AC30">
    <cfRule type="cellIs" dxfId="942" priority="76" stopIfTrue="1" operator="equal">
      <formula>"？"</formula>
    </cfRule>
  </conditionalFormatting>
  <conditionalFormatting sqref="P29:P30">
    <cfRule type="cellIs" dxfId="941" priority="77" stopIfTrue="1" operator="equal">
      <formula>"？"</formula>
    </cfRule>
    <cfRule type="cellIs" dxfId="940" priority="78" stopIfTrue="1" operator="equal">
      <formula>"女"</formula>
    </cfRule>
  </conditionalFormatting>
  <conditionalFormatting sqref="Q29:Q30">
    <cfRule type="cellIs" dxfId="939" priority="79" stopIfTrue="1" operator="equal">
      <formula>"単"</formula>
    </cfRule>
    <cfRule type="cellIs" dxfId="938" priority="80" stopIfTrue="1" operator="equal">
      <formula>"重"</formula>
    </cfRule>
  </conditionalFormatting>
  <conditionalFormatting sqref="R31 N31 T31:AC31">
    <cfRule type="cellIs" dxfId="937" priority="70" stopIfTrue="1" operator="equal">
      <formula>"？"</formula>
    </cfRule>
  </conditionalFormatting>
  <conditionalFormatting sqref="P31">
    <cfRule type="cellIs" dxfId="936" priority="71" stopIfTrue="1" operator="equal">
      <formula>"？"</formula>
    </cfRule>
    <cfRule type="cellIs" dxfId="935" priority="72" stopIfTrue="1" operator="equal">
      <formula>"女"</formula>
    </cfRule>
  </conditionalFormatting>
  <conditionalFormatting sqref="Q31">
    <cfRule type="cellIs" dxfId="934" priority="73" stopIfTrue="1" operator="equal">
      <formula>"単"</formula>
    </cfRule>
    <cfRule type="cellIs" dxfId="933" priority="74" stopIfTrue="1" operator="equal">
      <formula>"重"</formula>
    </cfRule>
  </conditionalFormatting>
  <conditionalFormatting sqref="V32:W32">
    <cfRule type="cellIs" dxfId="932" priority="64" stopIfTrue="1" operator="equal">
      <formula>"？"</formula>
    </cfRule>
  </conditionalFormatting>
  <conditionalFormatting sqref="X32:AC32 P32 N32 T32:U32 S43:AC43">
    <cfRule type="cellIs" dxfId="931" priority="65" stopIfTrue="1" operator="equal">
      <formula>"女"</formula>
    </cfRule>
    <cfRule type="cellIs" dxfId="930" priority="66" stopIfTrue="1" operator="equal">
      <formula>"？"</formula>
    </cfRule>
  </conditionalFormatting>
  <conditionalFormatting sqref="Q32">
    <cfRule type="cellIs" dxfId="929" priority="67" stopIfTrue="1" operator="equal">
      <formula>"単"</formula>
    </cfRule>
    <cfRule type="cellIs" dxfId="928" priority="68" stopIfTrue="1" operator="equal">
      <formula>"重"</formula>
    </cfRule>
  </conditionalFormatting>
  <conditionalFormatting sqref="V33:W33 S33">
    <cfRule type="cellIs" dxfId="927" priority="58" stopIfTrue="1" operator="equal">
      <formula>"？"</formula>
    </cfRule>
  </conditionalFormatting>
  <conditionalFormatting sqref="X33:AC33 P33 N33 T33:U33">
    <cfRule type="cellIs" dxfId="926" priority="59" stopIfTrue="1" operator="equal">
      <formula>"女"</formula>
    </cfRule>
    <cfRule type="cellIs" dxfId="925" priority="60" stopIfTrue="1" operator="equal">
      <formula>"？"</formula>
    </cfRule>
  </conditionalFormatting>
  <conditionalFormatting sqref="Q33">
    <cfRule type="cellIs" dxfId="924" priority="61" stopIfTrue="1" operator="equal">
      <formula>"単"</formula>
    </cfRule>
    <cfRule type="cellIs" dxfId="923" priority="62" stopIfTrue="1" operator="equal">
      <formula>"重"</formula>
    </cfRule>
  </conditionalFormatting>
  <conditionalFormatting sqref="R34:AC34 N34">
    <cfRule type="cellIs" dxfId="922" priority="53" stopIfTrue="1" operator="equal">
      <formula>"？"</formula>
    </cfRule>
  </conditionalFormatting>
  <conditionalFormatting sqref="P34">
    <cfRule type="cellIs" dxfId="921" priority="54" stopIfTrue="1" operator="equal">
      <formula>"？"</formula>
    </cfRule>
    <cfRule type="cellIs" dxfId="920" priority="55" stopIfTrue="1" operator="equal">
      <formula>"女"</formula>
    </cfRule>
  </conditionalFormatting>
  <conditionalFormatting sqref="Q34">
    <cfRule type="cellIs" dxfId="919" priority="56" stopIfTrue="1" operator="equal">
      <formula>"単"</formula>
    </cfRule>
    <cfRule type="cellIs" dxfId="918" priority="57" stopIfTrue="1" operator="equal">
      <formula>"重"</formula>
    </cfRule>
  </conditionalFormatting>
  <conditionalFormatting sqref="V35:W38 S35:S40">
    <cfRule type="cellIs" dxfId="917" priority="46" stopIfTrue="1" operator="equal">
      <formula>"？"</formula>
    </cfRule>
  </conditionalFormatting>
  <conditionalFormatting sqref="X35:AC38 P35:P38 N35:N38 T35:U38">
    <cfRule type="cellIs" dxfId="916" priority="47" stopIfTrue="1" operator="equal">
      <formula>"女"</formula>
    </cfRule>
    <cfRule type="cellIs" dxfId="915" priority="48" stopIfTrue="1" operator="equal">
      <formula>"？"</formula>
    </cfRule>
  </conditionalFormatting>
  <conditionalFormatting sqref="Q35:Q38">
    <cfRule type="cellIs" dxfId="914" priority="49" stopIfTrue="1" operator="equal">
      <formula>"単"</formula>
    </cfRule>
    <cfRule type="cellIs" dxfId="913" priority="50" stopIfTrue="1" operator="equal">
      <formula>"重"</formula>
    </cfRule>
  </conditionalFormatting>
  <conditionalFormatting sqref="V39:W39">
    <cfRule type="cellIs" dxfId="912" priority="40" stopIfTrue="1" operator="equal">
      <formula>"？"</formula>
    </cfRule>
  </conditionalFormatting>
  <conditionalFormatting sqref="X39:AC39 P39 N39 T39:U39">
    <cfRule type="cellIs" dxfId="911" priority="41" stopIfTrue="1" operator="equal">
      <formula>"女"</formula>
    </cfRule>
    <cfRule type="cellIs" dxfId="910" priority="42" stopIfTrue="1" operator="equal">
      <formula>"？"</formula>
    </cfRule>
  </conditionalFormatting>
  <conditionalFormatting sqref="Q39">
    <cfRule type="cellIs" dxfId="909" priority="43" stopIfTrue="1" operator="equal">
      <formula>"単"</formula>
    </cfRule>
    <cfRule type="cellIs" dxfId="908" priority="44" stopIfTrue="1" operator="equal">
      <formula>"重"</formula>
    </cfRule>
  </conditionalFormatting>
  <conditionalFormatting sqref="V40:W40">
    <cfRule type="cellIs" dxfId="907" priority="33" stopIfTrue="1" operator="equal">
      <formula>"？"</formula>
    </cfRule>
  </conditionalFormatting>
  <conditionalFormatting sqref="X40:AC40 P40 N40 T40:U40">
    <cfRule type="cellIs" dxfId="906" priority="34" stopIfTrue="1" operator="equal">
      <formula>"女"</formula>
    </cfRule>
    <cfRule type="cellIs" dxfId="905" priority="35" stopIfTrue="1" operator="equal">
      <formula>"？"</formula>
    </cfRule>
  </conditionalFormatting>
  <conditionalFormatting sqref="Q40">
    <cfRule type="cellIs" dxfId="904" priority="36" stopIfTrue="1" operator="equal">
      <formula>"単"</formula>
    </cfRule>
    <cfRule type="cellIs" dxfId="903" priority="37" stopIfTrue="1" operator="equal">
      <formula>"重"</formula>
    </cfRule>
  </conditionalFormatting>
  <conditionalFormatting sqref="P41 N41 S41:AC41">
    <cfRule type="cellIs" dxfId="902" priority="27" stopIfTrue="1" operator="equal">
      <formula>"女"</formula>
    </cfRule>
    <cfRule type="cellIs" dxfId="901" priority="28" stopIfTrue="1" operator="equal">
      <formula>"？"</formula>
    </cfRule>
  </conditionalFormatting>
  <conditionalFormatting sqref="Q41">
    <cfRule type="cellIs" dxfId="900" priority="29" stopIfTrue="1" operator="equal">
      <formula>"単"</formula>
    </cfRule>
    <cfRule type="cellIs" dxfId="899" priority="30" stopIfTrue="1" operator="equal">
      <formula>"重"</formula>
    </cfRule>
  </conditionalFormatting>
  <conditionalFormatting sqref="P42 N42 S42:AC42">
    <cfRule type="cellIs" dxfId="898" priority="20" stopIfTrue="1" operator="equal">
      <formula>"女"</formula>
    </cfRule>
    <cfRule type="cellIs" dxfId="897" priority="21" stopIfTrue="1" operator="equal">
      <formula>"？"</formula>
    </cfRule>
  </conditionalFormatting>
  <conditionalFormatting sqref="Q42">
    <cfRule type="cellIs" dxfId="896" priority="22" stopIfTrue="1" operator="equal">
      <formula>"単"</formula>
    </cfRule>
    <cfRule type="cellIs" dxfId="895" priority="23" stopIfTrue="1" operator="equal">
      <formula>"重"</formula>
    </cfRule>
  </conditionalFormatting>
  <conditionalFormatting sqref="P43 N43">
    <cfRule type="cellIs" dxfId="894" priority="15" stopIfTrue="1" operator="equal">
      <formula>"女"</formula>
    </cfRule>
    <cfRule type="cellIs" dxfId="893" priority="16" stopIfTrue="1" operator="equal">
      <formula>"？"</formula>
    </cfRule>
  </conditionalFormatting>
  <conditionalFormatting sqref="Q43">
    <cfRule type="cellIs" dxfId="892" priority="17" stopIfTrue="1" operator="equal">
      <formula>"単"</formula>
    </cfRule>
    <cfRule type="cellIs" dxfId="891" priority="18" stopIfTrue="1" operator="equal">
      <formula>"重"</formula>
    </cfRule>
  </conditionalFormatting>
  <conditionalFormatting sqref="R44:AC44 N44">
    <cfRule type="cellIs" dxfId="890" priority="9" stopIfTrue="1" operator="equal">
      <formula>"？"</formula>
    </cfRule>
  </conditionalFormatting>
  <conditionalFormatting sqref="P44">
    <cfRule type="cellIs" dxfId="889" priority="10" stopIfTrue="1" operator="equal">
      <formula>"？"</formula>
    </cfRule>
    <cfRule type="cellIs" dxfId="888" priority="11" stopIfTrue="1" operator="equal">
      <formula>"女"</formula>
    </cfRule>
  </conditionalFormatting>
  <conditionalFormatting sqref="Q44">
    <cfRule type="cellIs" dxfId="887" priority="12" stopIfTrue="1" operator="equal">
      <formula>"単"</formula>
    </cfRule>
    <cfRule type="cellIs" dxfId="886" priority="13" stopIfTrue="1" operator="equal">
      <formula>"重"</formula>
    </cfRule>
  </conditionalFormatting>
  <conditionalFormatting sqref="P45 N45 S45:AC45">
    <cfRule type="cellIs" dxfId="885" priority="2" stopIfTrue="1" operator="equal">
      <formula>"女"</formula>
    </cfRule>
    <cfRule type="cellIs" dxfId="884" priority="3" stopIfTrue="1" operator="equal">
      <formula>"？"</formula>
    </cfRule>
  </conditionalFormatting>
  <conditionalFormatting sqref="Q45">
    <cfRule type="cellIs" dxfId="883" priority="4" stopIfTrue="1" operator="equal">
      <formula>"単"</formula>
    </cfRule>
    <cfRule type="cellIs" dxfId="882" priority="5" stopIfTrue="1" operator="equal">
      <formula>"重"</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dimension ref="A1:AE1408"/>
  <sheetViews>
    <sheetView workbookViewId="0">
      <pane xSplit="3" ySplit="1" topLeftCell="D1251" activePane="bottomRight" state="frozen"/>
      <selection pane="topRight" activeCell="C1" sqref="C1"/>
      <selection pane="bottomLeft" activeCell="A2" sqref="A2"/>
      <selection pane="bottomRight"/>
    </sheetView>
  </sheetViews>
  <sheetFormatPr defaultRowHeight="12" customHeight="1"/>
  <cols>
    <col min="1" max="1" width="2.625" style="1" customWidth="1"/>
    <col min="2" max="2" width="9" style="4"/>
    <col min="3" max="3" width="10.625" style="1" customWidth="1"/>
    <col min="4" max="4" width="2.625" style="1" customWidth="1"/>
    <col min="5" max="5" width="2.625" style="2" customWidth="1"/>
    <col min="6" max="6" width="2.625" style="1" customWidth="1"/>
    <col min="7" max="7" width="9.625" style="3" customWidth="1"/>
    <col min="8" max="9" width="1.625" style="1" customWidth="1"/>
    <col min="10" max="10" width="5.625" style="4" customWidth="1"/>
    <col min="11" max="11" width="5.125" style="1" customWidth="1"/>
    <col min="12" max="12" width="2.625" style="1" customWidth="1"/>
    <col min="13" max="13" width="2.625" style="16" customWidth="1"/>
    <col min="14" max="14" width="2.625" style="17" customWidth="1"/>
    <col min="15" max="15" width="8.625" style="3" customWidth="1"/>
    <col min="16" max="16" width="8.125" style="20" customWidth="1"/>
    <col min="17" max="17" width="23.625" style="3" customWidth="1"/>
    <col min="18" max="18" width="27.625" style="3" customWidth="1"/>
    <col min="19" max="19" width="5.625" style="3" customWidth="1"/>
    <col min="20" max="20" width="4.625" style="3" customWidth="1"/>
    <col min="21" max="30" width="2" style="2" customWidth="1"/>
    <col min="31" max="16384" width="9" style="3"/>
  </cols>
  <sheetData>
    <row r="1" spans="1:31" ht="12" customHeight="1" thickBot="1">
      <c r="A1" s="658" t="s">
        <v>6215</v>
      </c>
      <c r="B1" s="659" t="s">
        <v>132</v>
      </c>
      <c r="C1" s="659" t="s">
        <v>133</v>
      </c>
      <c r="D1" s="659" t="s">
        <v>134</v>
      </c>
      <c r="E1" s="660" t="s">
        <v>135</v>
      </c>
      <c r="F1" s="659" t="s">
        <v>136</v>
      </c>
      <c r="G1" s="659" t="s">
        <v>15250</v>
      </c>
      <c r="H1" s="659" t="s">
        <v>15251</v>
      </c>
      <c r="I1" s="659"/>
      <c r="J1" s="659" t="s">
        <v>137</v>
      </c>
      <c r="K1" s="659" t="s">
        <v>138</v>
      </c>
      <c r="L1" s="659" t="s">
        <v>25</v>
      </c>
      <c r="M1" s="661" t="s">
        <v>139</v>
      </c>
      <c r="N1" s="662" t="s">
        <v>140</v>
      </c>
      <c r="O1" s="659" t="s">
        <v>141</v>
      </c>
      <c r="P1" s="663" t="s">
        <v>142</v>
      </c>
      <c r="Q1" s="659" t="s">
        <v>143</v>
      </c>
      <c r="R1" s="659" t="s">
        <v>144</v>
      </c>
      <c r="S1" s="659" t="s">
        <v>5090</v>
      </c>
      <c r="T1" s="659" t="s">
        <v>1005</v>
      </c>
      <c r="U1" s="660" t="s">
        <v>47</v>
      </c>
      <c r="V1" s="660" t="s">
        <v>145</v>
      </c>
      <c r="W1" s="660" t="s">
        <v>75</v>
      </c>
      <c r="X1" s="660" t="s">
        <v>229</v>
      </c>
      <c r="Y1" s="660" t="s">
        <v>155</v>
      </c>
      <c r="Z1" s="660" t="s">
        <v>85</v>
      </c>
      <c r="AA1" s="660" t="s">
        <v>104</v>
      </c>
      <c r="AB1" s="660" t="s">
        <v>147</v>
      </c>
      <c r="AC1" s="660" t="s">
        <v>146</v>
      </c>
      <c r="AD1" s="664" t="s">
        <v>69</v>
      </c>
      <c r="AE1" s="655"/>
    </row>
    <row r="2" spans="1:31" ht="12" customHeight="1">
      <c r="A2" s="936" t="s">
        <v>18220</v>
      </c>
      <c r="B2" s="688" t="s">
        <v>1</v>
      </c>
      <c r="C2" s="689" t="s">
        <v>852</v>
      </c>
      <c r="D2" s="689">
        <f t="shared" ref="D2:D65" si="0">DATEDIF(P2,$P$1298,"Y")</f>
        <v>71</v>
      </c>
      <c r="E2" s="690" t="s">
        <v>5</v>
      </c>
      <c r="F2" s="689" t="s">
        <v>15273</v>
      </c>
      <c r="G2" s="691" t="s">
        <v>1317</v>
      </c>
      <c r="H2" s="689"/>
      <c r="I2" s="690"/>
      <c r="J2" s="692" t="s">
        <v>16126</v>
      </c>
      <c r="K2" s="689" t="s">
        <v>45</v>
      </c>
      <c r="L2" s="689" t="s">
        <v>25</v>
      </c>
      <c r="M2" s="693">
        <v>10</v>
      </c>
      <c r="N2" s="694">
        <v>13</v>
      </c>
      <c r="O2" s="691" t="s">
        <v>454</v>
      </c>
      <c r="P2" s="695">
        <v>14979</v>
      </c>
      <c r="Q2" s="691" t="s">
        <v>727</v>
      </c>
      <c r="R2" s="691" t="s">
        <v>803</v>
      </c>
      <c r="S2" s="691" t="s">
        <v>6214</v>
      </c>
      <c r="T2" s="691" t="s">
        <v>634</v>
      </c>
      <c r="U2" s="690"/>
      <c r="V2" s="696"/>
      <c r="W2" s="696" t="s">
        <v>75</v>
      </c>
      <c r="X2" s="696"/>
      <c r="Y2" s="696"/>
      <c r="Z2" s="696"/>
      <c r="AA2" s="696" t="s">
        <v>104</v>
      </c>
      <c r="AB2" s="696" t="s">
        <v>147</v>
      </c>
      <c r="AC2" s="696"/>
      <c r="AD2" s="697"/>
      <c r="AE2" s="655"/>
    </row>
    <row r="3" spans="1:31" ht="12" customHeight="1">
      <c r="A3" s="937" t="s">
        <v>18246</v>
      </c>
      <c r="B3" s="4" t="s">
        <v>3</v>
      </c>
      <c r="C3" s="6" t="s">
        <v>929</v>
      </c>
      <c r="D3" s="5">
        <f t="shared" si="0"/>
        <v>52</v>
      </c>
      <c r="E3" s="6" t="s">
        <v>5</v>
      </c>
      <c r="F3" s="6" t="s">
        <v>15273</v>
      </c>
      <c r="G3" s="12"/>
      <c r="H3" s="6"/>
      <c r="I3" s="6"/>
      <c r="J3" s="8" t="s">
        <v>16120</v>
      </c>
      <c r="K3" s="6" t="s">
        <v>30</v>
      </c>
      <c r="L3" s="6" t="s">
        <v>6</v>
      </c>
      <c r="M3" s="13"/>
      <c r="N3" s="14"/>
      <c r="O3" s="12" t="s">
        <v>930</v>
      </c>
      <c r="P3" s="15">
        <v>22240</v>
      </c>
      <c r="Q3" s="12" t="s">
        <v>931</v>
      </c>
      <c r="R3" s="7"/>
      <c r="S3" s="7" t="s">
        <v>5457</v>
      </c>
      <c r="T3" s="7" t="s">
        <v>932</v>
      </c>
      <c r="U3" s="6"/>
      <c r="V3" s="2" t="s">
        <v>145</v>
      </c>
      <c r="AD3" s="698"/>
      <c r="AE3" s="655"/>
    </row>
    <row r="4" spans="1:31" ht="12" customHeight="1">
      <c r="A4" s="937" t="s">
        <v>18223</v>
      </c>
      <c r="B4" s="4" t="s">
        <v>54</v>
      </c>
      <c r="C4" s="1" t="s">
        <v>4989</v>
      </c>
      <c r="D4" s="5">
        <f t="shared" si="0"/>
        <v>35</v>
      </c>
      <c r="E4" s="2" t="s">
        <v>5</v>
      </c>
      <c r="F4" s="1" t="s">
        <v>15273</v>
      </c>
      <c r="J4" s="4" t="s">
        <v>16116</v>
      </c>
      <c r="K4" s="1" t="s">
        <v>4997</v>
      </c>
      <c r="L4" s="1" t="s">
        <v>6</v>
      </c>
      <c r="O4" s="3" t="s">
        <v>23</v>
      </c>
      <c r="P4" s="21">
        <v>28233</v>
      </c>
      <c r="Q4" s="3" t="s">
        <v>5613</v>
      </c>
      <c r="S4" s="3" t="s">
        <v>6029</v>
      </c>
      <c r="T4" s="3" t="s">
        <v>5583</v>
      </c>
      <c r="Y4" s="2" t="s">
        <v>5583</v>
      </c>
      <c r="AD4" s="698"/>
      <c r="AE4" s="655"/>
    </row>
    <row r="5" spans="1:31" ht="12" customHeight="1">
      <c r="A5" s="937"/>
      <c r="B5" s="4" t="s">
        <v>4988</v>
      </c>
      <c r="C5" s="1" t="s">
        <v>4</v>
      </c>
      <c r="D5" s="5">
        <f t="shared" si="0"/>
        <v>54</v>
      </c>
      <c r="E5" s="2" t="s">
        <v>5</v>
      </c>
      <c r="F5" s="1" t="s">
        <v>15273</v>
      </c>
      <c r="J5" s="4" t="s">
        <v>16117</v>
      </c>
      <c r="L5" s="1" t="s">
        <v>6</v>
      </c>
      <c r="O5" s="3" t="s">
        <v>7</v>
      </c>
      <c r="P5" s="21">
        <v>21361</v>
      </c>
      <c r="Q5" s="3" t="s">
        <v>16087</v>
      </c>
      <c r="AD5" s="698"/>
      <c r="AE5" s="655"/>
    </row>
    <row r="6" spans="1:31" ht="12" customHeight="1" thickBot="1">
      <c r="A6" s="938" t="s">
        <v>18223</v>
      </c>
      <c r="B6" s="700" t="s">
        <v>5556</v>
      </c>
      <c r="C6" s="699" t="s">
        <v>5557</v>
      </c>
      <c r="D6" s="356">
        <f t="shared" si="0"/>
        <v>38</v>
      </c>
      <c r="E6" s="702" t="s">
        <v>5</v>
      </c>
      <c r="F6" s="699" t="s">
        <v>15273</v>
      </c>
      <c r="G6" s="703"/>
      <c r="H6" s="699"/>
      <c r="I6" s="699"/>
      <c r="J6" s="700" t="s">
        <v>16124</v>
      </c>
      <c r="K6" s="699"/>
      <c r="L6" s="699" t="s">
        <v>6</v>
      </c>
      <c r="M6" s="705"/>
      <c r="N6" s="706"/>
      <c r="O6" s="703" t="s">
        <v>5559</v>
      </c>
      <c r="P6" s="723">
        <v>27087</v>
      </c>
      <c r="Q6" s="703" t="s">
        <v>5560</v>
      </c>
      <c r="R6" s="703"/>
      <c r="S6" s="703" t="s">
        <v>16089</v>
      </c>
      <c r="T6" s="703" t="s">
        <v>5521</v>
      </c>
      <c r="U6" s="702"/>
      <c r="V6" s="702"/>
      <c r="W6" s="702"/>
      <c r="X6" s="702"/>
      <c r="Y6" s="702"/>
      <c r="Z6" s="702" t="s">
        <v>5521</v>
      </c>
      <c r="AA6" s="702"/>
      <c r="AB6" s="702"/>
      <c r="AC6" s="702"/>
      <c r="AD6" s="708"/>
      <c r="AE6" s="655"/>
    </row>
    <row r="7" spans="1:31" ht="12" customHeight="1">
      <c r="A7" s="936" t="s">
        <v>18245</v>
      </c>
      <c r="B7" s="688" t="s">
        <v>8</v>
      </c>
      <c r="C7" s="689" t="s">
        <v>3559</v>
      </c>
      <c r="D7" s="689">
        <f t="shared" si="0"/>
        <v>70</v>
      </c>
      <c r="E7" s="690" t="s">
        <v>5</v>
      </c>
      <c r="F7" s="689" t="s">
        <v>15273</v>
      </c>
      <c r="G7" s="691" t="s">
        <v>1318</v>
      </c>
      <c r="H7" s="689"/>
      <c r="I7" s="736"/>
      <c r="J7" s="692" t="s">
        <v>16127</v>
      </c>
      <c r="K7" s="689" t="s">
        <v>604</v>
      </c>
      <c r="L7" s="689" t="s">
        <v>25</v>
      </c>
      <c r="M7" s="693">
        <v>4</v>
      </c>
      <c r="N7" s="694">
        <v>4</v>
      </c>
      <c r="O7" s="691" t="s">
        <v>449</v>
      </c>
      <c r="P7" s="695">
        <v>15669</v>
      </c>
      <c r="Q7" s="691" t="s">
        <v>738</v>
      </c>
      <c r="R7" s="691" t="s">
        <v>823</v>
      </c>
      <c r="S7" s="691" t="s">
        <v>6214</v>
      </c>
      <c r="T7" s="691"/>
      <c r="U7" s="690"/>
      <c r="V7" s="696"/>
      <c r="W7" s="696"/>
      <c r="X7" s="696"/>
      <c r="Y7" s="696"/>
      <c r="Z7" s="696"/>
      <c r="AA7" s="696"/>
      <c r="AB7" s="696"/>
      <c r="AC7" s="696"/>
      <c r="AD7" s="697"/>
      <c r="AE7" s="655"/>
    </row>
    <row r="8" spans="1:31" ht="12" customHeight="1">
      <c r="A8" s="937" t="s">
        <v>18219</v>
      </c>
      <c r="B8" s="4" t="s">
        <v>9</v>
      </c>
      <c r="C8" s="1" t="s">
        <v>12</v>
      </c>
      <c r="D8" s="5">
        <f t="shared" si="0"/>
        <v>62</v>
      </c>
      <c r="E8" s="2" t="s">
        <v>5</v>
      </c>
      <c r="F8" s="1" t="s">
        <v>15273</v>
      </c>
      <c r="J8" s="4" t="s">
        <v>16120</v>
      </c>
      <c r="K8" s="1" t="s">
        <v>30</v>
      </c>
      <c r="L8" s="1" t="s">
        <v>14</v>
      </c>
      <c r="M8" s="16">
        <v>3</v>
      </c>
      <c r="N8" s="17">
        <v>3</v>
      </c>
      <c r="O8" s="3" t="s">
        <v>15</v>
      </c>
      <c r="P8" s="20">
        <v>18556</v>
      </c>
      <c r="Q8" s="3" t="s">
        <v>16</v>
      </c>
      <c r="R8" s="3" t="s">
        <v>17</v>
      </c>
      <c r="S8" s="3" t="s">
        <v>5457</v>
      </c>
      <c r="T8" s="3" t="s">
        <v>145</v>
      </c>
      <c r="V8" s="2" t="s">
        <v>145</v>
      </c>
      <c r="AD8" s="698"/>
      <c r="AE8" s="655"/>
    </row>
    <row r="9" spans="1:31" ht="12" customHeight="1">
      <c r="A9" s="937" t="s">
        <v>18223</v>
      </c>
      <c r="B9" s="4" t="s">
        <v>10</v>
      </c>
      <c r="C9" s="1" t="s">
        <v>4991</v>
      </c>
      <c r="D9" s="5">
        <f t="shared" si="0"/>
        <v>47</v>
      </c>
      <c r="E9" s="2" t="s">
        <v>19</v>
      </c>
      <c r="F9" s="1" t="s">
        <v>15273</v>
      </c>
      <c r="J9" s="4" t="s">
        <v>16116</v>
      </c>
      <c r="K9" s="1" t="s">
        <v>4997</v>
      </c>
      <c r="L9" s="1" t="s">
        <v>6</v>
      </c>
      <c r="O9" s="3" t="s">
        <v>15</v>
      </c>
      <c r="P9" s="21">
        <v>23850</v>
      </c>
      <c r="Q9" s="3" t="s">
        <v>16407</v>
      </c>
      <c r="AD9" s="698"/>
      <c r="AE9" s="655"/>
    </row>
    <row r="10" spans="1:31" ht="12" customHeight="1">
      <c r="A10" s="937"/>
      <c r="B10" s="4" t="s">
        <v>11</v>
      </c>
      <c r="C10" s="1" t="s">
        <v>4588</v>
      </c>
      <c r="D10" s="5">
        <f t="shared" si="0"/>
        <v>42</v>
      </c>
      <c r="E10" s="2" t="s">
        <v>5</v>
      </c>
      <c r="F10" s="1" t="s">
        <v>15273</v>
      </c>
      <c r="J10" s="4" t="s">
        <v>16128</v>
      </c>
      <c r="L10" s="1" t="s">
        <v>6</v>
      </c>
      <c r="O10" s="3" t="s">
        <v>4589</v>
      </c>
      <c r="P10" s="21">
        <v>25910</v>
      </c>
      <c r="Q10" s="3" t="s">
        <v>4590</v>
      </c>
      <c r="AD10" s="698"/>
      <c r="AE10" s="655"/>
    </row>
    <row r="11" spans="1:31" ht="12" customHeight="1" thickBot="1">
      <c r="A11" s="938"/>
      <c r="B11" s="700" t="s">
        <v>4990</v>
      </c>
      <c r="C11" s="699" t="s">
        <v>18</v>
      </c>
      <c r="D11" s="356">
        <f t="shared" si="0"/>
        <v>55</v>
      </c>
      <c r="E11" s="702" t="s">
        <v>19</v>
      </c>
      <c r="F11" s="699"/>
      <c r="G11" s="703"/>
      <c r="H11" s="699"/>
      <c r="I11" s="699"/>
      <c r="J11" s="700" t="s">
        <v>16117</v>
      </c>
      <c r="K11" s="699"/>
      <c r="L11" s="699" t="s">
        <v>6</v>
      </c>
      <c r="M11" s="705"/>
      <c r="N11" s="706"/>
      <c r="O11" s="703" t="s">
        <v>20</v>
      </c>
      <c r="P11" s="723">
        <v>21153</v>
      </c>
      <c r="Q11" s="703" t="s">
        <v>21</v>
      </c>
      <c r="R11" s="703"/>
      <c r="S11" s="703"/>
      <c r="T11" s="703"/>
      <c r="U11" s="702"/>
      <c r="V11" s="702"/>
      <c r="W11" s="702"/>
      <c r="X11" s="702"/>
      <c r="Y11" s="702"/>
      <c r="Z11" s="702"/>
      <c r="AA11" s="702"/>
      <c r="AB11" s="702"/>
      <c r="AC11" s="702"/>
      <c r="AD11" s="708"/>
      <c r="AE11" s="655"/>
    </row>
    <row r="12" spans="1:31" ht="12" customHeight="1">
      <c r="A12" s="936" t="s">
        <v>18220</v>
      </c>
      <c r="B12" s="688" t="s">
        <v>26</v>
      </c>
      <c r="C12" s="689" t="s">
        <v>870</v>
      </c>
      <c r="D12" s="689">
        <f t="shared" si="0"/>
        <v>66</v>
      </c>
      <c r="E12" s="690" t="s">
        <v>5</v>
      </c>
      <c r="F12" s="689" t="s">
        <v>15273</v>
      </c>
      <c r="G12" s="691" t="s">
        <v>1319</v>
      </c>
      <c r="H12" s="689"/>
      <c r="I12" s="736"/>
      <c r="J12" s="692" t="s">
        <v>16127</v>
      </c>
      <c r="K12" s="689" t="s">
        <v>24</v>
      </c>
      <c r="L12" s="689" t="s">
        <v>25</v>
      </c>
      <c r="M12" s="693">
        <v>5</v>
      </c>
      <c r="N12" s="694">
        <v>5</v>
      </c>
      <c r="O12" s="691" t="s">
        <v>454</v>
      </c>
      <c r="P12" s="695">
        <v>16949</v>
      </c>
      <c r="Q12" s="691" t="s">
        <v>799</v>
      </c>
      <c r="R12" s="691" t="s">
        <v>2527</v>
      </c>
      <c r="S12" s="691" t="s">
        <v>6214</v>
      </c>
      <c r="T12" s="691" t="s">
        <v>521</v>
      </c>
      <c r="U12" s="696" t="s">
        <v>47</v>
      </c>
      <c r="V12" s="696"/>
      <c r="W12" s="696"/>
      <c r="X12" s="696"/>
      <c r="Y12" s="696"/>
      <c r="Z12" s="696"/>
      <c r="AA12" s="696"/>
      <c r="AB12" s="696"/>
      <c r="AC12" s="696"/>
      <c r="AD12" s="697"/>
      <c r="AE12" s="655"/>
    </row>
    <row r="13" spans="1:31" ht="12" customHeight="1">
      <c r="A13" s="937" t="s">
        <v>18246</v>
      </c>
      <c r="B13" s="4" t="s">
        <v>27</v>
      </c>
      <c r="C13" s="1" t="s">
        <v>29</v>
      </c>
      <c r="D13" s="5">
        <f t="shared" si="0"/>
        <v>52</v>
      </c>
      <c r="E13" s="2" t="s">
        <v>5</v>
      </c>
      <c r="F13" s="1" t="s">
        <v>15273</v>
      </c>
      <c r="J13" s="4" t="s">
        <v>16120</v>
      </c>
      <c r="K13" s="1" t="s">
        <v>30</v>
      </c>
      <c r="L13" s="1" t="s">
        <v>6</v>
      </c>
      <c r="O13" s="3" t="s">
        <v>31</v>
      </c>
      <c r="P13" s="20">
        <v>22015</v>
      </c>
      <c r="Q13" s="3" t="s">
        <v>32</v>
      </c>
      <c r="S13" s="3" t="s">
        <v>5457</v>
      </c>
      <c r="T13" s="3" t="s">
        <v>145</v>
      </c>
      <c r="V13" s="2" t="s">
        <v>145</v>
      </c>
      <c r="AD13" s="698"/>
      <c r="AE13" s="655"/>
    </row>
    <row r="14" spans="1:31" ht="12" customHeight="1">
      <c r="A14" s="937" t="s">
        <v>18223</v>
      </c>
      <c r="B14" s="4" t="s">
        <v>28</v>
      </c>
      <c r="C14" s="1" t="s">
        <v>6138</v>
      </c>
      <c r="D14" s="5">
        <f t="shared" si="0"/>
        <v>42</v>
      </c>
      <c r="E14" s="2" t="s">
        <v>5</v>
      </c>
      <c r="F14" s="1" t="s">
        <v>15273</v>
      </c>
      <c r="J14" s="4" t="s">
        <v>16116</v>
      </c>
      <c r="K14" s="1" t="s">
        <v>5515</v>
      </c>
      <c r="L14" s="1" t="s">
        <v>6</v>
      </c>
      <c r="O14" s="3" t="s">
        <v>695</v>
      </c>
      <c r="P14" s="21">
        <v>25807</v>
      </c>
      <c r="Q14" s="3" t="s">
        <v>6139</v>
      </c>
      <c r="S14" s="3" t="s">
        <v>5948</v>
      </c>
      <c r="T14" s="3" t="s">
        <v>6140</v>
      </c>
      <c r="U14" s="2" t="s">
        <v>47</v>
      </c>
      <c r="AD14" s="698"/>
      <c r="AE14" s="655"/>
    </row>
    <row r="15" spans="1:31" ht="12" customHeight="1">
      <c r="A15" s="937"/>
      <c r="B15" s="4" t="s">
        <v>5562</v>
      </c>
      <c r="C15" s="1" t="s">
        <v>16086</v>
      </c>
      <c r="D15" s="5">
        <f t="shared" si="0"/>
        <v>34</v>
      </c>
      <c r="E15" s="2" t="s">
        <v>5</v>
      </c>
      <c r="J15" s="4" t="s">
        <v>16117</v>
      </c>
      <c r="L15" s="1" t="s">
        <v>6</v>
      </c>
      <c r="O15" s="3" t="s">
        <v>34</v>
      </c>
      <c r="P15" s="21">
        <v>28510</v>
      </c>
      <c r="Q15" s="3" t="s">
        <v>33</v>
      </c>
      <c r="AD15" s="698"/>
      <c r="AE15" s="655"/>
    </row>
    <row r="16" spans="1:31" ht="12" customHeight="1" thickBot="1">
      <c r="A16" s="938"/>
      <c r="B16" s="700" t="s">
        <v>5620</v>
      </c>
      <c r="C16" s="699" t="s">
        <v>5563</v>
      </c>
      <c r="D16" s="356">
        <f t="shared" si="0"/>
        <v>53</v>
      </c>
      <c r="E16" s="702" t="s">
        <v>19</v>
      </c>
      <c r="F16" s="699" t="s">
        <v>15273</v>
      </c>
      <c r="G16" s="703"/>
      <c r="H16" s="699"/>
      <c r="I16" s="699"/>
      <c r="J16" s="700" t="s">
        <v>16124</v>
      </c>
      <c r="K16" s="699"/>
      <c r="L16" s="699" t="s">
        <v>6</v>
      </c>
      <c r="M16" s="705"/>
      <c r="N16" s="706"/>
      <c r="O16" s="703" t="s">
        <v>5564</v>
      </c>
      <c r="P16" s="723">
        <v>21650</v>
      </c>
      <c r="Q16" s="703" t="s">
        <v>5565</v>
      </c>
      <c r="R16" s="703"/>
      <c r="S16" s="703" t="s">
        <v>16089</v>
      </c>
      <c r="T16" s="703" t="s">
        <v>5521</v>
      </c>
      <c r="U16" s="702"/>
      <c r="V16" s="702"/>
      <c r="W16" s="702"/>
      <c r="X16" s="702"/>
      <c r="Y16" s="702"/>
      <c r="Z16" s="702" t="s">
        <v>5521</v>
      </c>
      <c r="AA16" s="702"/>
      <c r="AB16" s="702"/>
      <c r="AC16" s="702"/>
      <c r="AD16" s="708"/>
      <c r="AE16" s="655"/>
    </row>
    <row r="17" spans="1:31" ht="12" customHeight="1">
      <c r="A17" s="936" t="s">
        <v>18220</v>
      </c>
      <c r="B17" s="688" t="s">
        <v>35</v>
      </c>
      <c r="C17" s="689" t="s">
        <v>921</v>
      </c>
      <c r="D17" s="689">
        <f t="shared" si="0"/>
        <v>64</v>
      </c>
      <c r="E17" s="690" t="s">
        <v>5</v>
      </c>
      <c r="F17" s="689" t="s">
        <v>15273</v>
      </c>
      <c r="G17" s="691" t="s">
        <v>1320</v>
      </c>
      <c r="H17" s="689"/>
      <c r="I17" s="736"/>
      <c r="J17" s="692" t="s">
        <v>16126</v>
      </c>
      <c r="K17" s="689" t="s">
        <v>45</v>
      </c>
      <c r="L17" s="689" t="s">
        <v>25</v>
      </c>
      <c r="M17" s="693">
        <v>7</v>
      </c>
      <c r="N17" s="694">
        <v>7</v>
      </c>
      <c r="O17" s="691" t="s">
        <v>457</v>
      </c>
      <c r="P17" s="695">
        <v>17557</v>
      </c>
      <c r="Q17" s="691" t="s">
        <v>763</v>
      </c>
      <c r="R17" s="691" t="s">
        <v>831</v>
      </c>
      <c r="S17" s="691" t="s">
        <v>6214</v>
      </c>
      <c r="T17" s="747"/>
      <c r="U17" s="696"/>
      <c r="V17" s="696"/>
      <c r="W17" s="696"/>
      <c r="X17" s="696"/>
      <c r="Y17" s="696"/>
      <c r="Z17" s="696"/>
      <c r="AA17" s="696"/>
      <c r="AB17" s="696"/>
      <c r="AC17" s="696"/>
      <c r="AD17" s="697"/>
      <c r="AE17" s="655"/>
    </row>
    <row r="18" spans="1:31" ht="12" customHeight="1">
      <c r="A18" s="937" t="s">
        <v>18246</v>
      </c>
      <c r="B18" s="4" t="s">
        <v>36</v>
      </c>
      <c r="C18" s="5" t="s">
        <v>5268</v>
      </c>
      <c r="D18" s="5">
        <f t="shared" si="0"/>
        <v>51</v>
      </c>
      <c r="E18" s="6" t="s">
        <v>5</v>
      </c>
      <c r="F18" s="5" t="s">
        <v>15273</v>
      </c>
      <c r="G18" s="7"/>
      <c r="H18" s="5"/>
      <c r="I18" s="19"/>
      <c r="J18" s="8" t="s">
        <v>16120</v>
      </c>
      <c r="K18" s="5" t="s">
        <v>30</v>
      </c>
      <c r="L18" s="5" t="s">
        <v>6</v>
      </c>
      <c r="M18" s="9"/>
      <c r="N18" s="10"/>
      <c r="O18" s="7" t="s">
        <v>930</v>
      </c>
      <c r="P18" s="11">
        <v>22335</v>
      </c>
      <c r="Q18" s="7" t="s">
        <v>5269</v>
      </c>
      <c r="R18" s="7"/>
      <c r="S18" s="7" t="s">
        <v>5457</v>
      </c>
      <c r="T18" s="3" t="s">
        <v>4669</v>
      </c>
      <c r="V18" s="2" t="s">
        <v>145</v>
      </c>
      <c r="AD18" s="698"/>
      <c r="AE18" s="655"/>
    </row>
    <row r="19" spans="1:31" ht="12" customHeight="1">
      <c r="A19" s="937"/>
      <c r="B19" s="4" t="s">
        <v>55</v>
      </c>
      <c r="C19" s="1" t="s">
        <v>37</v>
      </c>
      <c r="D19" s="5">
        <f t="shared" si="0"/>
        <v>61</v>
      </c>
      <c r="E19" s="2" t="s">
        <v>19</v>
      </c>
      <c r="J19" s="4" t="s">
        <v>16117</v>
      </c>
      <c r="L19" s="1" t="s">
        <v>6</v>
      </c>
      <c r="O19" s="3" t="s">
        <v>38</v>
      </c>
      <c r="P19" s="21">
        <v>18866</v>
      </c>
      <c r="Q19" s="3" t="s">
        <v>89</v>
      </c>
      <c r="T19" s="3" t="s">
        <v>145</v>
      </c>
      <c r="V19" s="2" t="s">
        <v>145</v>
      </c>
      <c r="AD19" s="698"/>
      <c r="AE19" s="655"/>
    </row>
    <row r="20" spans="1:31" ht="12" customHeight="1" thickBot="1">
      <c r="A20" s="938"/>
      <c r="B20" s="700" t="s">
        <v>5566</v>
      </c>
      <c r="C20" s="699" t="s">
        <v>5567</v>
      </c>
      <c r="D20" s="356">
        <f t="shared" si="0"/>
        <v>53</v>
      </c>
      <c r="E20" s="702" t="s">
        <v>5</v>
      </c>
      <c r="F20" s="699" t="s">
        <v>15273</v>
      </c>
      <c r="G20" s="703"/>
      <c r="H20" s="699"/>
      <c r="I20" s="699"/>
      <c r="J20" s="700" t="s">
        <v>16124</v>
      </c>
      <c r="K20" s="699"/>
      <c r="L20" s="699" t="s">
        <v>6</v>
      </c>
      <c r="M20" s="705"/>
      <c r="N20" s="706"/>
      <c r="O20" s="703" t="s">
        <v>5568</v>
      </c>
      <c r="P20" s="723">
        <v>21800</v>
      </c>
      <c r="Q20" s="703" t="s">
        <v>5569</v>
      </c>
      <c r="R20" s="703"/>
      <c r="S20" s="703" t="s">
        <v>16089</v>
      </c>
      <c r="T20" s="703" t="s">
        <v>104</v>
      </c>
      <c r="U20" s="702"/>
      <c r="V20" s="702"/>
      <c r="W20" s="702"/>
      <c r="X20" s="702"/>
      <c r="Y20" s="702"/>
      <c r="Z20" s="702"/>
      <c r="AA20" s="702" t="s">
        <v>5527</v>
      </c>
      <c r="AB20" s="702"/>
      <c r="AC20" s="702"/>
      <c r="AD20" s="708"/>
      <c r="AE20" s="655"/>
    </row>
    <row r="21" spans="1:31" ht="12" customHeight="1">
      <c r="A21" s="936" t="s">
        <v>18245</v>
      </c>
      <c r="B21" s="688" t="s">
        <v>39</v>
      </c>
      <c r="C21" s="687" t="s">
        <v>43</v>
      </c>
      <c r="D21" s="689">
        <f t="shared" si="0"/>
        <v>40</v>
      </c>
      <c r="E21" s="696" t="s">
        <v>5</v>
      </c>
      <c r="F21" s="689" t="s">
        <v>15273</v>
      </c>
      <c r="G21" s="747"/>
      <c r="H21" s="687"/>
      <c r="I21" s="687"/>
      <c r="J21" s="692" t="s">
        <v>16127</v>
      </c>
      <c r="K21" s="687" t="s">
        <v>44</v>
      </c>
      <c r="L21" s="687" t="s">
        <v>6</v>
      </c>
      <c r="M21" s="748"/>
      <c r="N21" s="749"/>
      <c r="O21" s="747" t="s">
        <v>23</v>
      </c>
      <c r="P21" s="773">
        <v>26331</v>
      </c>
      <c r="Q21" s="747" t="s">
        <v>46</v>
      </c>
      <c r="R21" s="747"/>
      <c r="S21" s="747"/>
      <c r="T21" s="747" t="s">
        <v>47</v>
      </c>
      <c r="U21" s="696" t="s">
        <v>47</v>
      </c>
      <c r="V21" s="696"/>
      <c r="W21" s="696"/>
      <c r="X21" s="696"/>
      <c r="Y21" s="696"/>
      <c r="Z21" s="696"/>
      <c r="AA21" s="696"/>
      <c r="AB21" s="696"/>
      <c r="AC21" s="696"/>
      <c r="AD21" s="697"/>
      <c r="AE21" s="655"/>
    </row>
    <row r="22" spans="1:31" ht="12" customHeight="1">
      <c r="A22" s="937" t="s">
        <v>18219</v>
      </c>
      <c r="B22" s="4" t="s">
        <v>40</v>
      </c>
      <c r="C22" s="5" t="s">
        <v>916</v>
      </c>
      <c r="D22" s="5">
        <f t="shared" si="0"/>
        <v>68</v>
      </c>
      <c r="E22" s="6" t="s">
        <v>5</v>
      </c>
      <c r="F22" s="5" t="s">
        <v>15273</v>
      </c>
      <c r="G22" s="7" t="s">
        <v>1321</v>
      </c>
      <c r="H22" s="5"/>
      <c r="I22" s="19"/>
      <c r="J22" s="4" t="s">
        <v>16120</v>
      </c>
      <c r="K22" s="5" t="s">
        <v>48</v>
      </c>
      <c r="L22" s="5" t="s">
        <v>25</v>
      </c>
      <c r="M22" s="9">
        <v>10</v>
      </c>
      <c r="N22" s="10">
        <v>9</v>
      </c>
      <c r="O22" s="7" t="s">
        <v>454</v>
      </c>
      <c r="P22" s="11">
        <v>16362</v>
      </c>
      <c r="Q22" s="7" t="s">
        <v>782</v>
      </c>
      <c r="R22" s="7" t="s">
        <v>813</v>
      </c>
      <c r="S22" s="7" t="s">
        <v>5457</v>
      </c>
      <c r="T22" s="7" t="s">
        <v>355</v>
      </c>
      <c r="U22" s="2" t="s">
        <v>47</v>
      </c>
      <c r="AA22" s="2" t="s">
        <v>104</v>
      </c>
      <c r="AD22" s="698"/>
      <c r="AE22" s="655"/>
    </row>
    <row r="23" spans="1:31" ht="12" customHeight="1">
      <c r="A23" s="937" t="s">
        <v>18223</v>
      </c>
      <c r="B23" s="4" t="s">
        <v>41</v>
      </c>
      <c r="C23" s="1" t="s">
        <v>49</v>
      </c>
      <c r="D23" s="5">
        <f t="shared" si="0"/>
        <v>49</v>
      </c>
      <c r="E23" s="2" t="s">
        <v>5</v>
      </c>
      <c r="F23" s="1" t="s">
        <v>15273</v>
      </c>
      <c r="J23" s="4" t="s">
        <v>16128</v>
      </c>
      <c r="L23" s="1" t="s">
        <v>6</v>
      </c>
      <c r="O23" s="3" t="s">
        <v>7</v>
      </c>
      <c r="P23" s="20">
        <v>23319</v>
      </c>
      <c r="Q23" s="3" t="s">
        <v>50</v>
      </c>
      <c r="S23" s="3" t="s">
        <v>6031</v>
      </c>
      <c r="AD23" s="698"/>
      <c r="AE23" s="655"/>
    </row>
    <row r="24" spans="1:31" ht="12" customHeight="1">
      <c r="A24" s="937"/>
      <c r="B24" s="4" t="s">
        <v>42</v>
      </c>
      <c r="C24" s="1" t="s">
        <v>51</v>
      </c>
      <c r="D24" s="5">
        <f t="shared" si="0"/>
        <v>52</v>
      </c>
      <c r="E24" s="2" t="s">
        <v>5</v>
      </c>
      <c r="J24" s="4" t="s">
        <v>16117</v>
      </c>
      <c r="L24" s="1" t="s">
        <v>6</v>
      </c>
      <c r="O24" s="3" t="s">
        <v>52</v>
      </c>
      <c r="P24" s="21">
        <v>22026</v>
      </c>
      <c r="Q24" s="3" t="s">
        <v>16088</v>
      </c>
      <c r="R24" s="7"/>
      <c r="S24" s="7"/>
      <c r="T24" s="7"/>
      <c r="AD24" s="698"/>
      <c r="AE24" s="655"/>
    </row>
    <row r="25" spans="1:31" ht="12" customHeight="1" thickBot="1">
      <c r="A25" s="938"/>
      <c r="B25" s="700" t="s">
        <v>5161</v>
      </c>
      <c r="C25" s="699" t="s">
        <v>5162</v>
      </c>
      <c r="D25" s="356">
        <f t="shared" si="0"/>
        <v>45</v>
      </c>
      <c r="E25" s="702" t="s">
        <v>5</v>
      </c>
      <c r="F25" s="699"/>
      <c r="G25" s="703"/>
      <c r="H25" s="699"/>
      <c r="I25" s="699"/>
      <c r="J25" s="700" t="s">
        <v>16122</v>
      </c>
      <c r="K25" s="699" t="s">
        <v>22</v>
      </c>
      <c r="L25" s="699" t="s">
        <v>6</v>
      </c>
      <c r="M25" s="705"/>
      <c r="N25" s="706"/>
      <c r="O25" s="703" t="s">
        <v>381</v>
      </c>
      <c r="P25" s="707">
        <v>24458</v>
      </c>
      <c r="Q25" s="703" t="s">
        <v>5163</v>
      </c>
      <c r="R25" s="703"/>
      <c r="S25" s="703"/>
      <c r="T25" s="703"/>
      <c r="U25" s="702"/>
      <c r="V25" s="702"/>
      <c r="W25" s="702"/>
      <c r="X25" s="702"/>
      <c r="Y25" s="702"/>
      <c r="Z25" s="702"/>
      <c r="AA25" s="702"/>
      <c r="AB25" s="702"/>
      <c r="AC25" s="702"/>
      <c r="AD25" s="708"/>
      <c r="AE25" s="655"/>
    </row>
    <row r="26" spans="1:31" ht="12" customHeight="1">
      <c r="A26" s="936" t="s">
        <v>18246</v>
      </c>
      <c r="B26" s="688" t="s">
        <v>56</v>
      </c>
      <c r="C26" s="689" t="s">
        <v>874</v>
      </c>
      <c r="D26" s="689">
        <f t="shared" si="0"/>
        <v>63</v>
      </c>
      <c r="E26" s="690" t="s">
        <v>5</v>
      </c>
      <c r="F26" s="689" t="s">
        <v>15273</v>
      </c>
      <c r="G26" s="691" t="s">
        <v>1322</v>
      </c>
      <c r="H26" s="689"/>
      <c r="I26" s="736"/>
      <c r="J26" s="692" t="s">
        <v>16127</v>
      </c>
      <c r="K26" s="689" t="s">
        <v>45</v>
      </c>
      <c r="L26" s="689" t="s">
        <v>25</v>
      </c>
      <c r="M26" s="693">
        <v>2</v>
      </c>
      <c r="N26" s="694">
        <v>2</v>
      </c>
      <c r="O26" s="691" t="s">
        <v>1434</v>
      </c>
      <c r="P26" s="695">
        <v>17967</v>
      </c>
      <c r="Q26" s="691" t="s">
        <v>798</v>
      </c>
      <c r="R26" s="691" t="s">
        <v>826</v>
      </c>
      <c r="S26" s="691" t="s">
        <v>6214</v>
      </c>
      <c r="T26" s="691" t="s">
        <v>148</v>
      </c>
      <c r="U26" s="696"/>
      <c r="V26" s="696" t="s">
        <v>145</v>
      </c>
      <c r="W26" s="696"/>
      <c r="X26" s="696"/>
      <c r="Y26" s="696"/>
      <c r="Z26" s="696"/>
      <c r="AA26" s="696"/>
      <c r="AB26" s="696"/>
      <c r="AC26" s="696"/>
      <c r="AD26" s="697" t="s">
        <v>69</v>
      </c>
      <c r="AE26" s="655"/>
    </row>
    <row r="27" spans="1:31" ht="12" customHeight="1">
      <c r="A27" s="937" t="s">
        <v>18220</v>
      </c>
      <c r="B27" s="4" t="s">
        <v>57</v>
      </c>
      <c r="C27" s="5" t="s">
        <v>872</v>
      </c>
      <c r="D27" s="5">
        <f t="shared" si="0"/>
        <v>66</v>
      </c>
      <c r="E27" s="6" t="s">
        <v>5</v>
      </c>
      <c r="F27" s="6" t="s">
        <v>15273</v>
      </c>
      <c r="G27" s="7" t="s">
        <v>1308</v>
      </c>
      <c r="H27" s="5"/>
      <c r="I27" s="19"/>
      <c r="J27" s="4" t="s">
        <v>16120</v>
      </c>
      <c r="K27" s="5" t="s">
        <v>13</v>
      </c>
      <c r="L27" s="5" t="s">
        <v>25</v>
      </c>
      <c r="M27" s="9">
        <v>5</v>
      </c>
      <c r="N27" s="10">
        <v>5</v>
      </c>
      <c r="O27" s="7" t="s">
        <v>381</v>
      </c>
      <c r="P27" s="11">
        <v>17075</v>
      </c>
      <c r="Q27" s="7" t="s">
        <v>796</v>
      </c>
      <c r="R27" s="7" t="s">
        <v>804</v>
      </c>
      <c r="S27" s="7" t="s">
        <v>5457</v>
      </c>
      <c r="T27" s="3" t="s">
        <v>145</v>
      </c>
      <c r="V27" s="2" t="s">
        <v>145</v>
      </c>
      <c r="AD27" s="698"/>
      <c r="AE27" s="655"/>
    </row>
    <row r="28" spans="1:31" ht="12" customHeight="1">
      <c r="A28" s="937" t="s">
        <v>18223</v>
      </c>
      <c r="B28" s="4" t="s">
        <v>58</v>
      </c>
      <c r="C28" s="5" t="s">
        <v>5874</v>
      </c>
      <c r="D28" s="5">
        <f t="shared" si="0"/>
        <v>42</v>
      </c>
      <c r="E28" s="6" t="s">
        <v>5</v>
      </c>
      <c r="F28" s="1" t="s">
        <v>15273</v>
      </c>
      <c r="G28" s="7"/>
      <c r="H28" s="5"/>
      <c r="I28" s="19"/>
      <c r="J28" s="8" t="s">
        <v>16128</v>
      </c>
      <c r="K28" s="5"/>
      <c r="L28" s="5" t="s">
        <v>6</v>
      </c>
      <c r="M28" s="9"/>
      <c r="N28" s="10"/>
      <c r="O28" s="7" t="s">
        <v>31</v>
      </c>
      <c r="P28" s="11">
        <v>25659</v>
      </c>
      <c r="Q28" s="7" t="s">
        <v>5875</v>
      </c>
      <c r="R28" s="7"/>
      <c r="S28" s="7" t="s">
        <v>6031</v>
      </c>
      <c r="T28" s="3" t="s">
        <v>5845</v>
      </c>
      <c r="V28" s="2" t="s">
        <v>145</v>
      </c>
      <c r="AD28" s="698"/>
      <c r="AE28" s="655"/>
    </row>
    <row r="29" spans="1:31" ht="12" customHeight="1" thickBot="1">
      <c r="A29" s="938"/>
      <c r="B29" s="700" t="s">
        <v>5873</v>
      </c>
      <c r="C29" s="699" t="s">
        <v>59</v>
      </c>
      <c r="D29" s="356">
        <f t="shared" si="0"/>
        <v>63</v>
      </c>
      <c r="E29" s="702" t="s">
        <v>5</v>
      </c>
      <c r="F29" s="699"/>
      <c r="G29" s="703"/>
      <c r="H29" s="699"/>
      <c r="I29" s="699"/>
      <c r="J29" s="700" t="s">
        <v>16117</v>
      </c>
      <c r="K29" s="699"/>
      <c r="L29" s="699" t="s">
        <v>6</v>
      </c>
      <c r="M29" s="705"/>
      <c r="N29" s="706"/>
      <c r="O29" s="703" t="s">
        <v>60</v>
      </c>
      <c r="P29" s="707">
        <v>18221</v>
      </c>
      <c r="Q29" s="703" t="s">
        <v>53</v>
      </c>
      <c r="R29" s="703"/>
      <c r="S29" s="703"/>
      <c r="T29" s="703"/>
      <c r="U29" s="702"/>
      <c r="V29" s="702"/>
      <c r="W29" s="702"/>
      <c r="X29" s="702"/>
      <c r="Y29" s="702"/>
      <c r="Z29" s="702"/>
      <c r="AA29" s="702"/>
      <c r="AB29" s="702"/>
      <c r="AC29" s="702"/>
      <c r="AD29" s="708"/>
      <c r="AE29" s="655"/>
    </row>
    <row r="30" spans="1:31" ht="12" customHeight="1">
      <c r="A30" s="936" t="s">
        <v>18245</v>
      </c>
      <c r="B30" s="688" t="s">
        <v>61</v>
      </c>
      <c r="C30" s="689" t="s">
        <v>915</v>
      </c>
      <c r="D30" s="689">
        <f t="shared" si="0"/>
        <v>53</v>
      </c>
      <c r="E30" s="690" t="s">
        <v>19</v>
      </c>
      <c r="F30" s="689" t="s">
        <v>15273</v>
      </c>
      <c r="G30" s="691" t="s">
        <v>1307</v>
      </c>
      <c r="H30" s="689"/>
      <c r="I30" s="736"/>
      <c r="J30" s="692" t="s">
        <v>16126</v>
      </c>
      <c r="K30" s="689" t="s">
        <v>45</v>
      </c>
      <c r="L30" s="689" t="s">
        <v>25</v>
      </c>
      <c r="M30" s="693">
        <v>3</v>
      </c>
      <c r="N30" s="694">
        <v>3</v>
      </c>
      <c r="O30" s="691" t="s">
        <v>448</v>
      </c>
      <c r="P30" s="695">
        <v>21612</v>
      </c>
      <c r="Q30" s="691" t="s">
        <v>795</v>
      </c>
      <c r="R30" s="691" t="s">
        <v>347</v>
      </c>
      <c r="S30" s="691" t="s">
        <v>6214</v>
      </c>
      <c r="T30" s="747" t="s">
        <v>145</v>
      </c>
      <c r="U30" s="696"/>
      <c r="V30" s="696" t="s">
        <v>145</v>
      </c>
      <c r="W30" s="696"/>
      <c r="X30" s="696"/>
      <c r="Y30" s="696"/>
      <c r="Z30" s="696"/>
      <c r="AA30" s="696"/>
      <c r="AB30" s="696"/>
      <c r="AC30" s="696"/>
      <c r="AD30" s="697"/>
      <c r="AE30" s="655"/>
    </row>
    <row r="31" spans="1:31" ht="12" customHeight="1">
      <c r="A31" s="937" t="s">
        <v>18219</v>
      </c>
      <c r="B31" s="4" t="s">
        <v>62</v>
      </c>
      <c r="C31" s="5" t="s">
        <v>847</v>
      </c>
      <c r="D31" s="5">
        <f t="shared" si="0"/>
        <v>64</v>
      </c>
      <c r="E31" s="5" t="s">
        <v>5</v>
      </c>
      <c r="F31" s="5" t="s">
        <v>15273</v>
      </c>
      <c r="G31" s="7" t="s">
        <v>1323</v>
      </c>
      <c r="H31" s="5"/>
      <c r="I31" s="19"/>
      <c r="J31" s="8" t="s">
        <v>16120</v>
      </c>
      <c r="K31" s="5" t="s">
        <v>65</v>
      </c>
      <c r="L31" s="5" t="s">
        <v>25</v>
      </c>
      <c r="M31" s="9">
        <v>1</v>
      </c>
      <c r="N31" s="10">
        <v>1</v>
      </c>
      <c r="O31" s="12" t="s">
        <v>458</v>
      </c>
      <c r="P31" s="15">
        <v>17861</v>
      </c>
      <c r="Q31" s="7" t="s">
        <v>794</v>
      </c>
      <c r="R31" s="7"/>
      <c r="S31" s="7" t="s">
        <v>5457</v>
      </c>
      <c r="T31" s="7" t="s">
        <v>371</v>
      </c>
      <c r="V31" s="2" t="s">
        <v>145</v>
      </c>
      <c r="W31" s="2" t="s">
        <v>75</v>
      </c>
      <c r="AD31" s="698"/>
      <c r="AE31" s="655"/>
    </row>
    <row r="32" spans="1:31" ht="12" customHeight="1">
      <c r="A32" s="937"/>
      <c r="B32" s="4" t="s">
        <v>63</v>
      </c>
      <c r="C32" s="1" t="s">
        <v>66</v>
      </c>
      <c r="D32" s="5">
        <f t="shared" si="0"/>
        <v>52</v>
      </c>
      <c r="E32" s="2" t="s">
        <v>19</v>
      </c>
      <c r="J32" s="4" t="s">
        <v>16117</v>
      </c>
      <c r="L32" s="1" t="s">
        <v>6</v>
      </c>
      <c r="O32" s="3" t="s">
        <v>67</v>
      </c>
      <c r="P32" s="21">
        <v>22053</v>
      </c>
      <c r="Q32" s="3" t="s">
        <v>68</v>
      </c>
      <c r="T32" s="3" t="s">
        <v>148</v>
      </c>
      <c r="V32" s="2" t="s">
        <v>145</v>
      </c>
      <c r="AD32" s="698" t="s">
        <v>69</v>
      </c>
      <c r="AE32" s="655"/>
    </row>
    <row r="33" spans="1:31" ht="12" customHeight="1" thickBot="1">
      <c r="A33" s="938" t="s">
        <v>18245</v>
      </c>
      <c r="B33" s="700" t="s">
        <v>64</v>
      </c>
      <c r="C33" s="699" t="s">
        <v>5578</v>
      </c>
      <c r="D33" s="356">
        <f t="shared" si="0"/>
        <v>26</v>
      </c>
      <c r="E33" s="702" t="s">
        <v>19</v>
      </c>
      <c r="F33" s="699" t="s">
        <v>15273</v>
      </c>
      <c r="G33" s="703"/>
      <c r="H33" s="699"/>
      <c r="I33" s="699"/>
      <c r="J33" s="700" t="s">
        <v>16124</v>
      </c>
      <c r="K33" s="699"/>
      <c r="L33" s="699" t="s">
        <v>6</v>
      </c>
      <c r="M33" s="705"/>
      <c r="N33" s="706"/>
      <c r="O33" s="703" t="s">
        <v>5816</v>
      </c>
      <c r="P33" s="723">
        <v>31417</v>
      </c>
      <c r="Q33" s="703" t="s">
        <v>5579</v>
      </c>
      <c r="R33" s="703"/>
      <c r="S33" s="703" t="s">
        <v>16089</v>
      </c>
      <c r="T33" s="703" t="s">
        <v>5640</v>
      </c>
      <c r="U33" s="702"/>
      <c r="V33" s="702"/>
      <c r="W33" s="702"/>
      <c r="X33" s="702"/>
      <c r="Y33" s="702" t="s">
        <v>5583</v>
      </c>
      <c r="Z33" s="702"/>
      <c r="AA33" s="702" t="s">
        <v>5527</v>
      </c>
      <c r="AB33" s="702"/>
      <c r="AC33" s="702"/>
      <c r="AD33" s="708"/>
      <c r="AE33" s="655"/>
    </row>
    <row r="34" spans="1:31" ht="12" customHeight="1">
      <c r="A34" s="936" t="s">
        <v>18219</v>
      </c>
      <c r="B34" s="688" t="s">
        <v>70</v>
      </c>
      <c r="C34" s="689" t="s">
        <v>845</v>
      </c>
      <c r="D34" s="689">
        <f t="shared" si="0"/>
        <v>53</v>
      </c>
      <c r="E34" s="689" t="s">
        <v>5</v>
      </c>
      <c r="F34" s="689" t="s">
        <v>15273</v>
      </c>
      <c r="G34" s="691" t="s">
        <v>1324</v>
      </c>
      <c r="H34" s="689"/>
      <c r="I34" s="736"/>
      <c r="J34" s="692" t="s">
        <v>16127</v>
      </c>
      <c r="K34" s="689" t="s">
        <v>44</v>
      </c>
      <c r="L34" s="689" t="s">
        <v>25</v>
      </c>
      <c r="M34" s="693">
        <v>2</v>
      </c>
      <c r="N34" s="694">
        <v>2</v>
      </c>
      <c r="O34" s="691" t="s">
        <v>457</v>
      </c>
      <c r="P34" s="695">
        <v>21664</v>
      </c>
      <c r="Q34" s="691" t="s">
        <v>793</v>
      </c>
      <c r="R34" s="691" t="s">
        <v>811</v>
      </c>
      <c r="S34" s="691" t="s">
        <v>6214</v>
      </c>
      <c r="T34" s="691" t="s">
        <v>491</v>
      </c>
      <c r="U34" s="696"/>
      <c r="V34" s="696"/>
      <c r="W34" s="696" t="s">
        <v>75</v>
      </c>
      <c r="X34" s="696"/>
      <c r="Y34" s="696"/>
      <c r="Z34" s="696"/>
      <c r="AA34" s="696"/>
      <c r="AB34" s="696"/>
      <c r="AC34" s="696"/>
      <c r="AD34" s="697"/>
      <c r="AE34" s="655"/>
    </row>
    <row r="35" spans="1:31" ht="12" customHeight="1">
      <c r="A35" s="937" t="s">
        <v>18245</v>
      </c>
      <c r="B35" s="4" t="s">
        <v>71</v>
      </c>
      <c r="C35" s="1" t="s">
        <v>73</v>
      </c>
      <c r="D35" s="5">
        <f t="shared" si="0"/>
        <v>46</v>
      </c>
      <c r="E35" s="2" t="s">
        <v>5</v>
      </c>
      <c r="F35" s="1" t="s">
        <v>15273</v>
      </c>
      <c r="J35" s="4" t="s">
        <v>16120</v>
      </c>
      <c r="K35" s="1" t="s">
        <v>30</v>
      </c>
      <c r="L35" s="1" t="s">
        <v>6</v>
      </c>
      <c r="O35" s="3" t="s">
        <v>23</v>
      </c>
      <c r="P35" s="20">
        <v>24254</v>
      </c>
      <c r="Q35" s="3" t="s">
        <v>74</v>
      </c>
      <c r="S35" s="3" t="s">
        <v>5457</v>
      </c>
      <c r="T35" s="3" t="s">
        <v>75</v>
      </c>
      <c r="W35" s="2" t="s">
        <v>75</v>
      </c>
      <c r="AD35" s="698"/>
      <c r="AE35" s="655"/>
    </row>
    <row r="36" spans="1:31" ht="12" customHeight="1">
      <c r="A36" s="937"/>
      <c r="B36" s="4" t="s">
        <v>72</v>
      </c>
      <c r="C36" s="1" t="s">
        <v>5070</v>
      </c>
      <c r="D36" s="5">
        <f t="shared" si="0"/>
        <v>26</v>
      </c>
      <c r="E36" s="2" t="s">
        <v>19</v>
      </c>
      <c r="F36" s="1" t="s">
        <v>15273</v>
      </c>
      <c r="J36" s="4" t="s">
        <v>16125</v>
      </c>
      <c r="L36" s="1" t="s">
        <v>6</v>
      </c>
      <c r="O36" s="3" t="s">
        <v>31</v>
      </c>
      <c r="P36" s="20">
        <v>31504</v>
      </c>
      <c r="Q36" s="3" t="s">
        <v>750</v>
      </c>
      <c r="S36" s="3" t="s">
        <v>5561</v>
      </c>
      <c r="AD36" s="698"/>
      <c r="AE36" s="655"/>
    </row>
    <row r="37" spans="1:31" ht="12" customHeight="1" thickBot="1">
      <c r="A37" s="938"/>
      <c r="B37" s="700" t="s">
        <v>2933</v>
      </c>
      <c r="C37" s="699" t="s">
        <v>76</v>
      </c>
      <c r="D37" s="356">
        <f t="shared" si="0"/>
        <v>53</v>
      </c>
      <c r="E37" s="702" t="s">
        <v>5</v>
      </c>
      <c r="F37" s="699"/>
      <c r="G37" s="703"/>
      <c r="H37" s="699"/>
      <c r="I37" s="699"/>
      <c r="J37" s="700" t="s">
        <v>16117</v>
      </c>
      <c r="K37" s="699"/>
      <c r="L37" s="699" t="s">
        <v>6</v>
      </c>
      <c r="M37" s="705"/>
      <c r="N37" s="706"/>
      <c r="O37" s="703" t="s">
        <v>77</v>
      </c>
      <c r="P37" s="723">
        <v>21738</v>
      </c>
      <c r="Q37" s="703" t="s">
        <v>78</v>
      </c>
      <c r="R37" s="703"/>
      <c r="S37" s="703"/>
      <c r="T37" s="703" t="s">
        <v>145</v>
      </c>
      <c r="U37" s="702"/>
      <c r="V37" s="702" t="s">
        <v>145</v>
      </c>
      <c r="W37" s="702"/>
      <c r="X37" s="702"/>
      <c r="Y37" s="702"/>
      <c r="Z37" s="702"/>
      <c r="AA37" s="702"/>
      <c r="AB37" s="702"/>
      <c r="AC37" s="702"/>
      <c r="AD37" s="708"/>
      <c r="AE37" s="655"/>
    </row>
    <row r="38" spans="1:31" ht="12" customHeight="1">
      <c r="A38" s="936" t="s">
        <v>18245</v>
      </c>
      <c r="B38" s="688" t="s">
        <v>79</v>
      </c>
      <c r="C38" s="689" t="s">
        <v>2068</v>
      </c>
      <c r="D38" s="689">
        <f t="shared" si="0"/>
        <v>33</v>
      </c>
      <c r="E38" s="689" t="s">
        <v>5</v>
      </c>
      <c r="F38" s="689" t="s">
        <v>15273</v>
      </c>
      <c r="G38" s="691"/>
      <c r="H38" s="689"/>
      <c r="I38" s="736"/>
      <c r="J38" s="692" t="s">
        <v>16127</v>
      </c>
      <c r="K38" s="689" t="s">
        <v>737</v>
      </c>
      <c r="L38" s="689" t="s">
        <v>25</v>
      </c>
      <c r="M38" s="693">
        <v>1</v>
      </c>
      <c r="N38" s="694">
        <v>1</v>
      </c>
      <c r="O38" s="691" t="s">
        <v>31</v>
      </c>
      <c r="P38" s="695">
        <v>29058</v>
      </c>
      <c r="Q38" s="691" t="s">
        <v>1050</v>
      </c>
      <c r="R38" s="735"/>
      <c r="S38" s="735" t="s">
        <v>6214</v>
      </c>
      <c r="T38" s="691" t="s">
        <v>5725</v>
      </c>
      <c r="U38" s="696"/>
      <c r="V38" s="696"/>
      <c r="W38" s="696"/>
      <c r="X38" s="696"/>
      <c r="Y38" s="696" t="s">
        <v>5694</v>
      </c>
      <c r="Z38" s="696"/>
      <c r="AA38" s="696" t="s">
        <v>5722</v>
      </c>
      <c r="AB38" s="696"/>
      <c r="AC38" s="696"/>
      <c r="AD38" s="697"/>
      <c r="AE38" s="655"/>
    </row>
    <row r="39" spans="1:31" ht="12" customHeight="1">
      <c r="A39" s="937" t="s">
        <v>18219</v>
      </c>
      <c r="B39" s="4" t="s">
        <v>80</v>
      </c>
      <c r="C39" s="1" t="s">
        <v>82</v>
      </c>
      <c r="D39" s="5">
        <f t="shared" si="0"/>
        <v>40</v>
      </c>
      <c r="E39" s="2" t="s">
        <v>5</v>
      </c>
      <c r="F39" s="1" t="s">
        <v>15273</v>
      </c>
      <c r="J39" s="4" t="s">
        <v>16120</v>
      </c>
      <c r="K39" s="1" t="s">
        <v>30</v>
      </c>
      <c r="L39" s="1" t="s">
        <v>6</v>
      </c>
      <c r="O39" s="3" t="s">
        <v>83</v>
      </c>
      <c r="P39" s="20">
        <v>26348</v>
      </c>
      <c r="Q39" s="3" t="s">
        <v>84</v>
      </c>
      <c r="S39" s="3" t="s">
        <v>5457</v>
      </c>
      <c r="T39" s="3" t="s">
        <v>149</v>
      </c>
      <c r="V39" s="2" t="s">
        <v>145</v>
      </c>
      <c r="Z39" s="2" t="s">
        <v>85</v>
      </c>
      <c r="AD39" s="698"/>
      <c r="AE39" s="655"/>
    </row>
    <row r="40" spans="1:31" ht="12" customHeight="1">
      <c r="A40" s="937"/>
      <c r="B40" s="4" t="s">
        <v>81</v>
      </c>
      <c r="C40" s="1" t="s">
        <v>86</v>
      </c>
      <c r="D40" s="5">
        <f t="shared" si="0"/>
        <v>69</v>
      </c>
      <c r="E40" s="2" t="s">
        <v>19</v>
      </c>
      <c r="J40" s="4" t="s">
        <v>16117</v>
      </c>
      <c r="L40" s="1" t="s">
        <v>6</v>
      </c>
      <c r="O40" s="3" t="s">
        <v>87</v>
      </c>
      <c r="P40" s="21">
        <v>15972</v>
      </c>
      <c r="Q40" s="3" t="s">
        <v>88</v>
      </c>
      <c r="T40" s="3" t="s">
        <v>145</v>
      </c>
      <c r="V40" s="2" t="s">
        <v>145</v>
      </c>
      <c r="AD40" s="698"/>
      <c r="AE40" s="655"/>
    </row>
    <row r="41" spans="1:31" ht="12" customHeight="1" thickBot="1">
      <c r="A41" s="938"/>
      <c r="B41" s="700" t="s">
        <v>5710</v>
      </c>
      <c r="C41" s="699" t="s">
        <v>5711</v>
      </c>
      <c r="D41" s="356">
        <f t="shared" si="0"/>
        <v>53</v>
      </c>
      <c r="E41" s="702" t="s">
        <v>19</v>
      </c>
      <c r="F41" s="699"/>
      <c r="G41" s="703"/>
      <c r="H41" s="699"/>
      <c r="I41" s="699"/>
      <c r="J41" s="700" t="s">
        <v>16122</v>
      </c>
      <c r="K41" s="699" t="s">
        <v>5712</v>
      </c>
      <c r="L41" s="699" t="s">
        <v>6</v>
      </c>
      <c r="M41" s="705"/>
      <c r="N41" s="706"/>
      <c r="O41" s="703" t="s">
        <v>5714</v>
      </c>
      <c r="P41" s="723">
        <v>21680</v>
      </c>
      <c r="Q41" s="703" t="s">
        <v>5713</v>
      </c>
      <c r="R41" s="703"/>
      <c r="S41" s="703"/>
      <c r="T41" s="703"/>
      <c r="U41" s="702"/>
      <c r="V41" s="702"/>
      <c r="W41" s="702"/>
      <c r="X41" s="702"/>
      <c r="Y41" s="702"/>
      <c r="Z41" s="702"/>
      <c r="AA41" s="702"/>
      <c r="AB41" s="702"/>
      <c r="AC41" s="702"/>
      <c r="AD41" s="708"/>
      <c r="AE41" s="655"/>
    </row>
    <row r="42" spans="1:31" ht="12" customHeight="1">
      <c r="A42" s="936" t="s">
        <v>18246</v>
      </c>
      <c r="B42" s="688" t="s">
        <v>90</v>
      </c>
      <c r="C42" s="689" t="s">
        <v>891</v>
      </c>
      <c r="D42" s="689">
        <f t="shared" si="0"/>
        <v>70</v>
      </c>
      <c r="E42" s="689" t="s">
        <v>5</v>
      </c>
      <c r="F42" s="689" t="s">
        <v>15273</v>
      </c>
      <c r="G42" s="691" t="s">
        <v>1325</v>
      </c>
      <c r="H42" s="689"/>
      <c r="I42" s="736"/>
      <c r="J42" s="692" t="s">
        <v>16126</v>
      </c>
      <c r="K42" s="689" t="s">
        <v>24</v>
      </c>
      <c r="L42" s="689" t="s">
        <v>25</v>
      </c>
      <c r="M42" s="693">
        <v>7</v>
      </c>
      <c r="N42" s="694">
        <v>7</v>
      </c>
      <c r="O42" s="691" t="s">
        <v>31</v>
      </c>
      <c r="P42" s="695">
        <v>15418</v>
      </c>
      <c r="Q42" s="691" t="s">
        <v>800</v>
      </c>
      <c r="R42" s="691" t="s">
        <v>824</v>
      </c>
      <c r="S42" s="691" t="s">
        <v>6214</v>
      </c>
      <c r="T42" s="691" t="s">
        <v>104</v>
      </c>
      <c r="U42" s="696"/>
      <c r="V42" s="696"/>
      <c r="W42" s="696"/>
      <c r="X42" s="696"/>
      <c r="Y42" s="696"/>
      <c r="Z42" s="696"/>
      <c r="AA42" s="696" t="s">
        <v>479</v>
      </c>
      <c r="AB42" s="696"/>
      <c r="AC42" s="696"/>
      <c r="AD42" s="697"/>
      <c r="AE42" s="655"/>
    </row>
    <row r="43" spans="1:31" ht="12" customHeight="1">
      <c r="A43" s="937" t="s">
        <v>18220</v>
      </c>
      <c r="B43" s="4" t="s">
        <v>91</v>
      </c>
      <c r="C43" s="5" t="s">
        <v>848</v>
      </c>
      <c r="D43" s="5">
        <f t="shared" si="0"/>
        <v>54</v>
      </c>
      <c r="E43" s="5" t="s">
        <v>5</v>
      </c>
      <c r="F43" s="5"/>
      <c r="G43" s="7" t="s">
        <v>1309</v>
      </c>
      <c r="H43" s="5"/>
      <c r="I43" s="19"/>
      <c r="J43" s="8" t="s">
        <v>16118</v>
      </c>
      <c r="K43" s="5"/>
      <c r="L43" s="5" t="s">
        <v>25</v>
      </c>
      <c r="M43" s="9">
        <v>1</v>
      </c>
      <c r="N43" s="10">
        <v>1</v>
      </c>
      <c r="O43" s="18" t="s">
        <v>453</v>
      </c>
      <c r="P43" s="15">
        <v>21225</v>
      </c>
      <c r="Q43" s="18" t="s">
        <v>797</v>
      </c>
      <c r="R43" s="18" t="s">
        <v>839</v>
      </c>
      <c r="S43" s="18" t="s">
        <v>5091</v>
      </c>
      <c r="T43" s="3" t="s">
        <v>145</v>
      </c>
      <c r="V43" s="2" t="s">
        <v>145</v>
      </c>
      <c r="AD43" s="698"/>
      <c r="AE43" s="655"/>
    </row>
    <row r="44" spans="1:31" ht="12" customHeight="1">
      <c r="A44" s="937"/>
      <c r="B44" s="4" t="s">
        <v>92</v>
      </c>
      <c r="C44" s="1" t="s">
        <v>94</v>
      </c>
      <c r="D44" s="5">
        <f t="shared" si="0"/>
        <v>61</v>
      </c>
      <c r="E44" s="2" t="s">
        <v>5</v>
      </c>
      <c r="J44" s="4" t="s">
        <v>16117</v>
      </c>
      <c r="L44" s="1" t="s">
        <v>6</v>
      </c>
      <c r="O44" s="3" t="s">
        <v>95</v>
      </c>
      <c r="P44" s="21">
        <v>18718</v>
      </c>
      <c r="Q44" s="3" t="s">
        <v>96</v>
      </c>
      <c r="T44" s="3" t="s">
        <v>69</v>
      </c>
      <c r="AD44" s="698" t="s">
        <v>69</v>
      </c>
      <c r="AE44" s="655"/>
    </row>
    <row r="45" spans="1:31" ht="12" customHeight="1" thickBot="1">
      <c r="A45" s="938" t="s">
        <v>18223</v>
      </c>
      <c r="B45" s="700" t="s">
        <v>93</v>
      </c>
      <c r="C45" s="699" t="s">
        <v>5251</v>
      </c>
      <c r="D45" s="356">
        <f t="shared" si="0"/>
        <v>34</v>
      </c>
      <c r="E45" s="702" t="s">
        <v>5</v>
      </c>
      <c r="F45" s="699" t="s">
        <v>15273</v>
      </c>
      <c r="G45" s="703" t="s">
        <v>5252</v>
      </c>
      <c r="H45" s="699"/>
      <c r="I45" s="699"/>
      <c r="J45" s="700" t="s">
        <v>16124</v>
      </c>
      <c r="K45" s="699"/>
      <c r="L45" s="699" t="s">
        <v>25</v>
      </c>
      <c r="M45" s="705">
        <v>1</v>
      </c>
      <c r="N45" s="706">
        <v>1</v>
      </c>
      <c r="O45" s="703" t="s">
        <v>2085</v>
      </c>
      <c r="P45" s="723">
        <v>28585</v>
      </c>
      <c r="Q45" s="703" t="s">
        <v>5253</v>
      </c>
      <c r="R45" s="703" t="s">
        <v>5254</v>
      </c>
      <c r="S45" s="703" t="s">
        <v>16089</v>
      </c>
      <c r="T45" s="703"/>
      <c r="U45" s="702"/>
      <c r="V45" s="702"/>
      <c r="W45" s="702"/>
      <c r="X45" s="702"/>
      <c r="Y45" s="702"/>
      <c r="Z45" s="702"/>
      <c r="AA45" s="702"/>
      <c r="AB45" s="702"/>
      <c r="AC45" s="702"/>
      <c r="AD45" s="708"/>
      <c r="AE45" s="655"/>
    </row>
    <row r="46" spans="1:31" ht="12" customHeight="1">
      <c r="A46" s="936" t="s">
        <v>18219</v>
      </c>
      <c r="B46" s="688" t="s">
        <v>98</v>
      </c>
      <c r="C46" s="687" t="s">
        <v>101</v>
      </c>
      <c r="D46" s="689">
        <f t="shared" si="0"/>
        <v>53</v>
      </c>
      <c r="E46" s="696" t="s">
        <v>19</v>
      </c>
      <c r="F46" s="687" t="s">
        <v>15273</v>
      </c>
      <c r="G46" s="747"/>
      <c r="H46" s="687"/>
      <c r="I46" s="687"/>
      <c r="J46" s="692" t="s">
        <v>16120</v>
      </c>
      <c r="K46" s="687" t="s">
        <v>65</v>
      </c>
      <c r="L46" s="687" t="s">
        <v>6</v>
      </c>
      <c r="M46" s="748"/>
      <c r="N46" s="749"/>
      <c r="O46" s="747" t="s">
        <v>102</v>
      </c>
      <c r="P46" s="773">
        <v>21541</v>
      </c>
      <c r="Q46" s="747" t="s">
        <v>103</v>
      </c>
      <c r="R46" s="747"/>
      <c r="S46" s="747" t="s">
        <v>6051</v>
      </c>
      <c r="T46" s="747" t="s">
        <v>104</v>
      </c>
      <c r="U46" s="696"/>
      <c r="V46" s="696"/>
      <c r="W46" s="696"/>
      <c r="X46" s="696"/>
      <c r="Y46" s="696"/>
      <c r="Z46" s="696"/>
      <c r="AA46" s="696" t="s">
        <v>104</v>
      </c>
      <c r="AB46" s="696"/>
      <c r="AC46" s="696"/>
      <c r="AD46" s="697"/>
      <c r="AE46" s="655"/>
    </row>
    <row r="47" spans="1:31" ht="12" customHeight="1">
      <c r="A47" s="937"/>
      <c r="B47" s="4" t="s">
        <v>99</v>
      </c>
      <c r="C47" s="1" t="s">
        <v>105</v>
      </c>
      <c r="D47" s="5">
        <f t="shared" si="0"/>
        <v>64</v>
      </c>
      <c r="E47" s="2" t="s">
        <v>19</v>
      </c>
      <c r="J47" s="4" t="s">
        <v>16117</v>
      </c>
      <c r="L47" s="1" t="s">
        <v>6</v>
      </c>
      <c r="O47" s="3" t="s">
        <v>106</v>
      </c>
      <c r="P47" s="20">
        <v>17787</v>
      </c>
      <c r="Q47" s="3" t="s">
        <v>107</v>
      </c>
      <c r="T47" s="3" t="s">
        <v>145</v>
      </c>
      <c r="V47" s="2" t="s">
        <v>145</v>
      </c>
      <c r="AD47" s="698"/>
      <c r="AE47" s="655"/>
    </row>
    <row r="48" spans="1:31" ht="12" customHeight="1" thickBot="1">
      <c r="A48" s="938" t="s">
        <v>18245</v>
      </c>
      <c r="B48" s="700" t="s">
        <v>100</v>
      </c>
      <c r="C48" s="356" t="s">
        <v>904</v>
      </c>
      <c r="D48" s="356">
        <f t="shared" si="0"/>
        <v>39</v>
      </c>
      <c r="E48" s="356" t="s">
        <v>5</v>
      </c>
      <c r="F48" s="699" t="s">
        <v>15273</v>
      </c>
      <c r="G48" s="753" t="s">
        <v>1326</v>
      </c>
      <c r="H48" s="356"/>
      <c r="I48" s="741"/>
      <c r="J48" s="704" t="s">
        <v>16124</v>
      </c>
      <c r="K48" s="356"/>
      <c r="L48" s="356" t="s">
        <v>25</v>
      </c>
      <c r="M48" s="754">
        <v>2</v>
      </c>
      <c r="N48" s="755">
        <v>2</v>
      </c>
      <c r="O48" s="753" t="s">
        <v>188</v>
      </c>
      <c r="P48" s="756">
        <v>26833</v>
      </c>
      <c r="Q48" s="753" t="s">
        <v>750</v>
      </c>
      <c r="R48" s="703"/>
      <c r="S48" s="703" t="s">
        <v>16089</v>
      </c>
      <c r="T48" s="703"/>
      <c r="U48" s="702"/>
      <c r="V48" s="702"/>
      <c r="W48" s="702"/>
      <c r="X48" s="702"/>
      <c r="Y48" s="702"/>
      <c r="Z48" s="702"/>
      <c r="AA48" s="702"/>
      <c r="AB48" s="702"/>
      <c r="AC48" s="702"/>
      <c r="AD48" s="708"/>
      <c r="AE48" s="655"/>
    </row>
    <row r="49" spans="1:31" ht="12" customHeight="1">
      <c r="A49" s="936" t="s">
        <v>18223</v>
      </c>
      <c r="B49" s="688" t="s">
        <v>109</v>
      </c>
      <c r="C49" s="687" t="s">
        <v>2063</v>
      </c>
      <c r="D49" s="689">
        <f t="shared" si="0"/>
        <v>65</v>
      </c>
      <c r="E49" s="696" t="s">
        <v>19</v>
      </c>
      <c r="F49" s="689" t="s">
        <v>15273</v>
      </c>
      <c r="G49" s="747" t="s">
        <v>5846</v>
      </c>
      <c r="H49" s="687"/>
      <c r="I49" s="687"/>
      <c r="J49" s="692" t="s">
        <v>16127</v>
      </c>
      <c r="K49" s="687" t="s">
        <v>44</v>
      </c>
      <c r="L49" s="687" t="s">
        <v>25</v>
      </c>
      <c r="M49" s="748">
        <v>1</v>
      </c>
      <c r="N49" s="749">
        <v>1</v>
      </c>
      <c r="O49" s="747" t="s">
        <v>2066</v>
      </c>
      <c r="P49" s="773">
        <v>17176</v>
      </c>
      <c r="Q49" s="747" t="s">
        <v>2067</v>
      </c>
      <c r="R49" s="747"/>
      <c r="S49" s="747" t="s">
        <v>6214</v>
      </c>
      <c r="T49" s="747"/>
      <c r="U49" s="696"/>
      <c r="V49" s="696"/>
      <c r="W49" s="696"/>
      <c r="X49" s="696"/>
      <c r="Y49" s="696"/>
      <c r="Z49" s="696"/>
      <c r="AA49" s="696"/>
      <c r="AB49" s="696"/>
      <c r="AC49" s="696"/>
      <c r="AD49" s="697"/>
      <c r="AE49" s="655"/>
    </row>
    <row r="50" spans="1:31" ht="12" customHeight="1">
      <c r="A50" s="937" t="s">
        <v>18219</v>
      </c>
      <c r="B50" s="4" t="s">
        <v>110</v>
      </c>
      <c r="C50" s="1" t="s">
        <v>933</v>
      </c>
      <c r="D50" s="5">
        <f t="shared" si="0"/>
        <v>42</v>
      </c>
      <c r="E50" s="2" t="s">
        <v>5</v>
      </c>
      <c r="F50" s="1" t="s">
        <v>15273</v>
      </c>
      <c r="J50" s="4" t="s">
        <v>16120</v>
      </c>
      <c r="K50" s="1" t="s">
        <v>934</v>
      </c>
      <c r="L50" s="1" t="s">
        <v>6</v>
      </c>
      <c r="O50" s="3" t="s">
        <v>935</v>
      </c>
      <c r="P50" s="20">
        <v>25769</v>
      </c>
      <c r="Q50" s="3" t="s">
        <v>936</v>
      </c>
      <c r="S50" s="3" t="s">
        <v>5457</v>
      </c>
      <c r="T50" s="3" t="s">
        <v>937</v>
      </c>
      <c r="AA50" s="2" t="s">
        <v>937</v>
      </c>
      <c r="AD50" s="698"/>
      <c r="AE50" s="655"/>
    </row>
    <row r="51" spans="1:31" ht="12" customHeight="1">
      <c r="A51" s="937"/>
      <c r="B51" s="4" t="s">
        <v>111</v>
      </c>
      <c r="C51" s="1" t="s">
        <v>113</v>
      </c>
      <c r="D51" s="5">
        <f t="shared" si="0"/>
        <v>39</v>
      </c>
      <c r="E51" s="2" t="s">
        <v>5</v>
      </c>
      <c r="J51" s="4" t="s">
        <v>16117</v>
      </c>
      <c r="L51" s="1" t="s">
        <v>6</v>
      </c>
      <c r="O51" s="3" t="s">
        <v>1073</v>
      </c>
      <c r="P51" s="20">
        <v>26876</v>
      </c>
      <c r="Q51" s="3" t="s">
        <v>114</v>
      </c>
      <c r="AD51" s="698"/>
      <c r="AE51" s="655"/>
    </row>
    <row r="52" spans="1:31" ht="12" customHeight="1" thickBot="1">
      <c r="A52" s="938" t="s">
        <v>18245</v>
      </c>
      <c r="B52" s="700" t="s">
        <v>112</v>
      </c>
      <c r="C52" s="701" t="s">
        <v>896</v>
      </c>
      <c r="D52" s="356">
        <f t="shared" si="0"/>
        <v>53</v>
      </c>
      <c r="E52" s="701" t="s">
        <v>5</v>
      </c>
      <c r="F52" s="699" t="s">
        <v>15273</v>
      </c>
      <c r="G52" s="740" t="s">
        <v>1327</v>
      </c>
      <c r="H52" s="701"/>
      <c r="I52" s="741"/>
      <c r="J52" s="704" t="s">
        <v>16124</v>
      </c>
      <c r="K52" s="701"/>
      <c r="L52" s="701" t="s">
        <v>25</v>
      </c>
      <c r="M52" s="742">
        <v>3</v>
      </c>
      <c r="N52" s="743">
        <v>3</v>
      </c>
      <c r="O52" s="740" t="s">
        <v>452</v>
      </c>
      <c r="P52" s="744">
        <v>21603</v>
      </c>
      <c r="Q52" s="740" t="s">
        <v>115</v>
      </c>
      <c r="R52" s="740" t="s">
        <v>5255</v>
      </c>
      <c r="S52" s="740" t="s">
        <v>16089</v>
      </c>
      <c r="T52" s="703"/>
      <c r="U52" s="702"/>
      <c r="V52" s="702"/>
      <c r="W52" s="702"/>
      <c r="X52" s="702"/>
      <c r="Y52" s="702"/>
      <c r="Z52" s="702"/>
      <c r="AA52" s="702"/>
      <c r="AB52" s="702"/>
      <c r="AC52" s="702"/>
      <c r="AD52" s="708"/>
      <c r="AE52" s="655"/>
    </row>
    <row r="53" spans="1:31" ht="12" customHeight="1">
      <c r="A53" s="936" t="s">
        <v>18245</v>
      </c>
      <c r="B53" s="688" t="s">
        <v>116</v>
      </c>
      <c r="C53" s="687" t="s">
        <v>4181</v>
      </c>
      <c r="D53" s="689">
        <f t="shared" si="0"/>
        <v>39</v>
      </c>
      <c r="E53" s="696" t="s">
        <v>19</v>
      </c>
      <c r="F53" s="689" t="s">
        <v>15273</v>
      </c>
      <c r="G53" s="747"/>
      <c r="H53" s="687"/>
      <c r="I53" s="687"/>
      <c r="J53" s="692" t="s">
        <v>16127</v>
      </c>
      <c r="K53" s="687" t="s">
        <v>44</v>
      </c>
      <c r="L53" s="687" t="s">
        <v>6</v>
      </c>
      <c r="M53" s="748"/>
      <c r="N53" s="749"/>
      <c r="O53" s="747" t="s">
        <v>557</v>
      </c>
      <c r="P53" s="773">
        <v>26710</v>
      </c>
      <c r="Q53" s="747" t="s">
        <v>4182</v>
      </c>
      <c r="R53" s="747"/>
      <c r="S53" s="747"/>
      <c r="T53" s="747" t="s">
        <v>4183</v>
      </c>
      <c r="U53" s="696"/>
      <c r="V53" s="696"/>
      <c r="W53" s="696"/>
      <c r="X53" s="696"/>
      <c r="Y53" s="696" t="s">
        <v>4183</v>
      </c>
      <c r="Z53" s="696"/>
      <c r="AA53" s="696"/>
      <c r="AB53" s="696"/>
      <c r="AC53" s="696"/>
      <c r="AD53" s="697"/>
      <c r="AE53" s="655"/>
    </row>
    <row r="54" spans="1:31" ht="12" customHeight="1">
      <c r="A54" s="937" t="s">
        <v>18219</v>
      </c>
      <c r="B54" s="4" t="s">
        <v>117</v>
      </c>
      <c r="C54" s="1" t="s">
        <v>121</v>
      </c>
      <c r="D54" s="5">
        <f t="shared" si="0"/>
        <v>46</v>
      </c>
      <c r="E54" s="2" t="s">
        <v>5</v>
      </c>
      <c r="F54" s="1" t="s">
        <v>15273</v>
      </c>
      <c r="J54" s="4" t="s">
        <v>16120</v>
      </c>
      <c r="K54" s="1" t="s">
        <v>13</v>
      </c>
      <c r="L54" s="1" t="s">
        <v>6</v>
      </c>
      <c r="O54" s="3" t="s">
        <v>123</v>
      </c>
      <c r="P54" s="20">
        <v>24398</v>
      </c>
      <c r="Q54" s="3" t="s">
        <v>122</v>
      </c>
      <c r="S54" s="3" t="s">
        <v>5457</v>
      </c>
      <c r="T54" s="3" t="s">
        <v>104</v>
      </c>
      <c r="AA54" s="2" t="s">
        <v>104</v>
      </c>
      <c r="AD54" s="698"/>
      <c r="AE54" s="655"/>
    </row>
    <row r="55" spans="1:31" ht="12" customHeight="1">
      <c r="A55" s="937" t="s">
        <v>18245</v>
      </c>
      <c r="B55" s="4" t="s">
        <v>118</v>
      </c>
      <c r="C55" s="6" t="s">
        <v>851</v>
      </c>
      <c r="D55" s="5">
        <f t="shared" si="0"/>
        <v>49</v>
      </c>
      <c r="E55" s="6" t="s">
        <v>5</v>
      </c>
      <c r="F55" s="1" t="s">
        <v>15273</v>
      </c>
      <c r="G55" s="12" t="s">
        <v>1328</v>
      </c>
      <c r="H55" s="6"/>
      <c r="I55" s="19"/>
      <c r="J55" s="4" t="s">
        <v>16125</v>
      </c>
      <c r="K55" s="6"/>
      <c r="L55" s="6" t="s">
        <v>25</v>
      </c>
      <c r="M55" s="13">
        <v>2</v>
      </c>
      <c r="N55" s="14">
        <v>2</v>
      </c>
      <c r="O55" s="12" t="s">
        <v>461</v>
      </c>
      <c r="P55" s="15">
        <v>23309</v>
      </c>
      <c r="Q55" s="12" t="s">
        <v>777</v>
      </c>
      <c r="S55" s="3" t="s">
        <v>5561</v>
      </c>
      <c r="AD55" s="698"/>
      <c r="AE55" s="655"/>
    </row>
    <row r="56" spans="1:31" ht="12" customHeight="1">
      <c r="A56" s="937" t="s">
        <v>18245</v>
      </c>
      <c r="B56" s="4" t="s">
        <v>119</v>
      </c>
      <c r="C56" s="1" t="s">
        <v>124</v>
      </c>
      <c r="D56" s="5">
        <f t="shared" si="0"/>
        <v>55</v>
      </c>
      <c r="E56" s="2" t="s">
        <v>5</v>
      </c>
      <c r="F56" s="1" t="s">
        <v>15273</v>
      </c>
      <c r="J56" s="4" t="s">
        <v>16116</v>
      </c>
      <c r="K56" s="1" t="s">
        <v>4993</v>
      </c>
      <c r="L56" s="1" t="s">
        <v>6</v>
      </c>
      <c r="O56" s="3" t="s">
        <v>125</v>
      </c>
      <c r="P56" s="20">
        <v>20976</v>
      </c>
      <c r="Q56" s="3" t="s">
        <v>126</v>
      </c>
      <c r="T56" s="3" t="s">
        <v>145</v>
      </c>
      <c r="V56" s="2" t="s">
        <v>145</v>
      </c>
      <c r="AD56" s="698"/>
      <c r="AE56" s="655"/>
    </row>
    <row r="57" spans="1:31" ht="12" customHeight="1" thickBot="1">
      <c r="A57" s="938"/>
      <c r="B57" s="700" t="s">
        <v>120</v>
      </c>
      <c r="C57" s="699" t="s">
        <v>348</v>
      </c>
      <c r="D57" s="356">
        <f t="shared" si="0"/>
        <v>32</v>
      </c>
      <c r="E57" s="702" t="s">
        <v>19</v>
      </c>
      <c r="F57" s="699"/>
      <c r="G57" s="703"/>
      <c r="H57" s="699"/>
      <c r="I57" s="699"/>
      <c r="J57" s="700" t="s">
        <v>16117</v>
      </c>
      <c r="K57" s="699"/>
      <c r="L57" s="699" t="s">
        <v>6</v>
      </c>
      <c r="M57" s="705"/>
      <c r="N57" s="706"/>
      <c r="O57" s="703" t="s">
        <v>349</v>
      </c>
      <c r="P57" s="723">
        <v>29250</v>
      </c>
      <c r="Q57" s="703" t="s">
        <v>16090</v>
      </c>
      <c r="R57" s="703"/>
      <c r="S57" s="703"/>
      <c r="T57" s="703"/>
      <c r="U57" s="702"/>
      <c r="V57" s="702"/>
      <c r="W57" s="702"/>
      <c r="X57" s="702"/>
      <c r="Y57" s="702"/>
      <c r="Z57" s="702"/>
      <c r="AA57" s="702"/>
      <c r="AB57" s="702"/>
      <c r="AC57" s="702"/>
      <c r="AD57" s="708"/>
      <c r="AE57" s="655"/>
    </row>
    <row r="58" spans="1:31" ht="12" customHeight="1">
      <c r="A58" s="936" t="s">
        <v>18223</v>
      </c>
      <c r="B58" s="688" t="s">
        <v>127</v>
      </c>
      <c r="C58" s="687" t="s">
        <v>3502</v>
      </c>
      <c r="D58" s="689">
        <f t="shared" si="0"/>
        <v>57</v>
      </c>
      <c r="E58" s="696" t="s">
        <v>5</v>
      </c>
      <c r="F58" s="689" t="s">
        <v>15273</v>
      </c>
      <c r="G58" s="747"/>
      <c r="H58" s="687"/>
      <c r="I58" s="687"/>
      <c r="J58" s="692" t="s">
        <v>16126</v>
      </c>
      <c r="K58" s="687" t="s">
        <v>44</v>
      </c>
      <c r="L58" s="687" t="s">
        <v>6</v>
      </c>
      <c r="M58" s="748"/>
      <c r="N58" s="749"/>
      <c r="O58" s="747" t="s">
        <v>381</v>
      </c>
      <c r="P58" s="773">
        <v>20164</v>
      </c>
      <c r="Q58" s="747" t="s">
        <v>3503</v>
      </c>
      <c r="R58" s="747"/>
      <c r="S58" s="747"/>
      <c r="T58" s="747" t="s">
        <v>3442</v>
      </c>
      <c r="U58" s="696"/>
      <c r="V58" s="696" t="s">
        <v>145</v>
      </c>
      <c r="W58" s="696"/>
      <c r="X58" s="696"/>
      <c r="Y58" s="696"/>
      <c r="Z58" s="696"/>
      <c r="AA58" s="696"/>
      <c r="AB58" s="696"/>
      <c r="AC58" s="747"/>
      <c r="AD58" s="805"/>
      <c r="AE58" s="655"/>
    </row>
    <row r="59" spans="1:31" ht="12" customHeight="1">
      <c r="A59" s="937" t="s">
        <v>18218</v>
      </c>
      <c r="B59" s="4" t="s">
        <v>128</v>
      </c>
      <c r="C59" s="6" t="s">
        <v>869</v>
      </c>
      <c r="D59" s="5">
        <f t="shared" si="0"/>
        <v>57</v>
      </c>
      <c r="E59" s="6" t="s">
        <v>5</v>
      </c>
      <c r="F59" s="6" t="s">
        <v>15273</v>
      </c>
      <c r="G59" s="12" t="s">
        <v>1329</v>
      </c>
      <c r="H59" s="6"/>
      <c r="I59" s="19"/>
      <c r="J59" s="8" t="s">
        <v>16120</v>
      </c>
      <c r="K59" s="6" t="s">
        <v>475</v>
      </c>
      <c r="L59" s="6" t="s">
        <v>25</v>
      </c>
      <c r="M59" s="13">
        <v>4</v>
      </c>
      <c r="N59" s="14">
        <v>4</v>
      </c>
      <c r="O59" s="12" t="s">
        <v>464</v>
      </c>
      <c r="P59" s="15">
        <v>20374</v>
      </c>
      <c r="Q59" s="12" t="s">
        <v>131</v>
      </c>
      <c r="R59" s="12" t="s">
        <v>821</v>
      </c>
      <c r="S59" s="12" t="s">
        <v>5457</v>
      </c>
      <c r="T59" s="12" t="s">
        <v>104</v>
      </c>
      <c r="AA59" s="2" t="s">
        <v>104</v>
      </c>
      <c r="AC59" s="3"/>
      <c r="AD59" s="774"/>
      <c r="AE59" s="655"/>
    </row>
    <row r="60" spans="1:31" ht="12" customHeight="1">
      <c r="A60" s="937" t="s">
        <v>18223</v>
      </c>
      <c r="B60" s="4" t="s">
        <v>129</v>
      </c>
      <c r="C60" s="6" t="s">
        <v>914</v>
      </c>
      <c r="D60" s="5">
        <f t="shared" si="0"/>
        <v>42</v>
      </c>
      <c r="E60" s="6" t="s">
        <v>19</v>
      </c>
      <c r="F60" s="1" t="s">
        <v>15273</v>
      </c>
      <c r="G60" s="12" t="s">
        <v>1312</v>
      </c>
      <c r="H60" s="6"/>
      <c r="I60" s="19"/>
      <c r="J60" s="4" t="s">
        <v>16125</v>
      </c>
      <c r="K60" s="6"/>
      <c r="L60" s="6" t="s">
        <v>25</v>
      </c>
      <c r="M60" s="13">
        <v>1</v>
      </c>
      <c r="N60" s="14">
        <v>1</v>
      </c>
      <c r="O60" s="12" t="s">
        <v>460</v>
      </c>
      <c r="P60" s="15">
        <v>25913</v>
      </c>
      <c r="Q60" s="12" t="s">
        <v>744</v>
      </c>
      <c r="S60" s="3" t="s">
        <v>5561</v>
      </c>
      <c r="AC60" s="3"/>
      <c r="AD60" s="774"/>
      <c r="AE60" s="655"/>
    </row>
    <row r="61" spans="1:31" ht="12" customHeight="1" thickBot="1">
      <c r="A61" s="938"/>
      <c r="B61" s="700" t="s">
        <v>130</v>
      </c>
      <c r="C61" s="699" t="s">
        <v>15959</v>
      </c>
      <c r="D61" s="356">
        <f t="shared" si="0"/>
        <v>63</v>
      </c>
      <c r="E61" s="702" t="s">
        <v>19</v>
      </c>
      <c r="F61" s="699"/>
      <c r="G61" s="703"/>
      <c r="H61" s="699"/>
      <c r="I61" s="699"/>
      <c r="J61" s="700" t="s">
        <v>16117</v>
      </c>
      <c r="K61" s="699"/>
      <c r="L61" s="699" t="s">
        <v>6</v>
      </c>
      <c r="M61" s="705"/>
      <c r="N61" s="706"/>
      <c r="O61" s="703" t="s">
        <v>5649</v>
      </c>
      <c r="P61" s="707">
        <v>18131</v>
      </c>
      <c r="Q61" s="703" t="s">
        <v>5650</v>
      </c>
      <c r="R61" s="703"/>
      <c r="S61" s="703"/>
      <c r="T61" s="703"/>
      <c r="U61" s="702"/>
      <c r="V61" s="702"/>
      <c r="W61" s="702"/>
      <c r="X61" s="702"/>
      <c r="Y61" s="702"/>
      <c r="Z61" s="702"/>
      <c r="AA61" s="702"/>
      <c r="AB61" s="702"/>
      <c r="AC61" s="703"/>
      <c r="AD61" s="793"/>
      <c r="AE61" s="655"/>
    </row>
    <row r="62" spans="1:31" ht="12" customHeight="1">
      <c r="A62" s="936" t="s">
        <v>18245</v>
      </c>
      <c r="B62" s="688" t="s">
        <v>152</v>
      </c>
      <c r="C62" s="689" t="s">
        <v>918</v>
      </c>
      <c r="D62" s="689">
        <f t="shared" si="0"/>
        <v>43</v>
      </c>
      <c r="E62" s="689" t="s">
        <v>19</v>
      </c>
      <c r="F62" s="689" t="s">
        <v>15273</v>
      </c>
      <c r="G62" s="691" t="s">
        <v>1310</v>
      </c>
      <c r="H62" s="689"/>
      <c r="I62" s="736"/>
      <c r="J62" s="692" t="s">
        <v>16127</v>
      </c>
      <c r="K62" s="689" t="s">
        <v>1152</v>
      </c>
      <c r="L62" s="689" t="s">
        <v>25</v>
      </c>
      <c r="M62" s="693">
        <v>3</v>
      </c>
      <c r="N62" s="694">
        <v>3</v>
      </c>
      <c r="O62" s="691" t="s">
        <v>468</v>
      </c>
      <c r="P62" s="695">
        <v>25394</v>
      </c>
      <c r="Q62" s="691" t="s">
        <v>754</v>
      </c>
      <c r="R62" s="691" t="s">
        <v>812</v>
      </c>
      <c r="S62" s="691"/>
      <c r="T62" s="691" t="s">
        <v>104</v>
      </c>
      <c r="U62" s="696"/>
      <c r="V62" s="696"/>
      <c r="W62" s="696"/>
      <c r="X62" s="696"/>
      <c r="Y62" s="696"/>
      <c r="Z62" s="696"/>
      <c r="AA62" s="696" t="s">
        <v>151</v>
      </c>
      <c r="AB62" s="696"/>
      <c r="AC62" s="747"/>
      <c r="AD62" s="805"/>
      <c r="AE62" s="655"/>
    </row>
    <row r="63" spans="1:31" ht="12" customHeight="1">
      <c r="A63" s="937" t="s">
        <v>18219</v>
      </c>
      <c r="B63" s="4" t="s">
        <v>153</v>
      </c>
      <c r="C63" s="5" t="s">
        <v>911</v>
      </c>
      <c r="D63" s="5">
        <f t="shared" si="0"/>
        <v>66</v>
      </c>
      <c r="E63" s="5" t="s">
        <v>5</v>
      </c>
      <c r="F63" s="5" t="s">
        <v>15273</v>
      </c>
      <c r="G63" s="7" t="s">
        <v>1330</v>
      </c>
      <c r="H63" s="5"/>
      <c r="I63" s="19"/>
      <c r="J63" s="4" t="s">
        <v>16120</v>
      </c>
      <c r="K63" s="5" t="s">
        <v>475</v>
      </c>
      <c r="L63" s="5" t="s">
        <v>25</v>
      </c>
      <c r="M63" s="9">
        <v>9</v>
      </c>
      <c r="N63" s="10">
        <v>9</v>
      </c>
      <c r="O63" s="7" t="s">
        <v>31</v>
      </c>
      <c r="P63" s="11">
        <v>17051</v>
      </c>
      <c r="Q63" s="7" t="s">
        <v>775</v>
      </c>
      <c r="R63" s="7" t="s">
        <v>820</v>
      </c>
      <c r="S63" s="7" t="s">
        <v>5457</v>
      </c>
      <c r="T63" s="7" t="s">
        <v>637</v>
      </c>
      <c r="Y63" s="2" t="s">
        <v>155</v>
      </c>
      <c r="AA63" s="2" t="s">
        <v>151</v>
      </c>
      <c r="AC63" s="3"/>
      <c r="AD63" s="774"/>
      <c r="AE63" s="655"/>
    </row>
    <row r="64" spans="1:31" ht="12" customHeight="1">
      <c r="A64" s="937" t="s">
        <v>18223</v>
      </c>
      <c r="B64" s="4" t="s">
        <v>154</v>
      </c>
      <c r="C64" s="5" t="s">
        <v>5072</v>
      </c>
      <c r="D64" s="5">
        <f t="shared" si="0"/>
        <v>34</v>
      </c>
      <c r="E64" s="5" t="s">
        <v>5</v>
      </c>
      <c r="F64" s="1" t="s">
        <v>15273</v>
      </c>
      <c r="G64" s="7"/>
      <c r="H64" s="5"/>
      <c r="I64" s="19"/>
      <c r="J64" s="4" t="s">
        <v>16125</v>
      </c>
      <c r="K64" s="5"/>
      <c r="L64" s="5" t="s">
        <v>6</v>
      </c>
      <c r="M64" s="9"/>
      <c r="N64" s="10"/>
      <c r="O64" s="7" t="s">
        <v>31</v>
      </c>
      <c r="P64" s="11">
        <v>28583</v>
      </c>
      <c r="Q64" s="7" t="s">
        <v>5536</v>
      </c>
      <c r="R64" s="7"/>
      <c r="S64" s="7" t="s">
        <v>5561</v>
      </c>
      <c r="T64" s="7"/>
      <c r="AC64" s="3"/>
      <c r="AD64" s="774"/>
      <c r="AE64" s="655"/>
    </row>
    <row r="65" spans="1:31" ht="12" customHeight="1" thickBot="1">
      <c r="A65" s="938"/>
      <c r="B65" s="700" t="s">
        <v>5071</v>
      </c>
      <c r="C65" s="699" t="s">
        <v>156</v>
      </c>
      <c r="D65" s="356">
        <f t="shared" si="0"/>
        <v>63</v>
      </c>
      <c r="E65" s="702" t="s">
        <v>5</v>
      </c>
      <c r="F65" s="699"/>
      <c r="G65" s="703"/>
      <c r="H65" s="699"/>
      <c r="I65" s="699"/>
      <c r="J65" s="700" t="s">
        <v>16117</v>
      </c>
      <c r="K65" s="699"/>
      <c r="L65" s="699" t="s">
        <v>6</v>
      </c>
      <c r="M65" s="705"/>
      <c r="N65" s="706"/>
      <c r="O65" s="703" t="s">
        <v>158</v>
      </c>
      <c r="P65" s="707">
        <v>18093</v>
      </c>
      <c r="Q65" s="703" t="s">
        <v>157</v>
      </c>
      <c r="R65" s="703"/>
      <c r="S65" s="703"/>
      <c r="T65" s="703"/>
      <c r="U65" s="702"/>
      <c r="V65" s="702"/>
      <c r="W65" s="702"/>
      <c r="X65" s="702"/>
      <c r="Y65" s="702"/>
      <c r="Z65" s="702"/>
      <c r="AA65" s="702"/>
      <c r="AB65" s="702"/>
      <c r="AC65" s="703"/>
      <c r="AD65" s="793"/>
      <c r="AE65" s="655"/>
    </row>
    <row r="66" spans="1:31" ht="12" customHeight="1">
      <c r="A66" s="936" t="s">
        <v>18245</v>
      </c>
      <c r="B66" s="688" t="s">
        <v>160</v>
      </c>
      <c r="C66" s="689" t="s">
        <v>917</v>
      </c>
      <c r="D66" s="689">
        <f t="shared" ref="D66:D129" si="1">DATEDIF(P66,$P$1298,"Y")</f>
        <v>58</v>
      </c>
      <c r="E66" s="689" t="s">
        <v>5</v>
      </c>
      <c r="F66" s="689" t="s">
        <v>15273</v>
      </c>
      <c r="G66" s="691" t="s">
        <v>1311</v>
      </c>
      <c r="H66" s="689"/>
      <c r="I66" s="736"/>
      <c r="J66" s="692" t="s">
        <v>16127</v>
      </c>
      <c r="K66" s="689" t="s">
        <v>736</v>
      </c>
      <c r="L66" s="689" t="s">
        <v>25</v>
      </c>
      <c r="M66" s="693">
        <v>3</v>
      </c>
      <c r="N66" s="694">
        <v>3</v>
      </c>
      <c r="O66" s="691" t="s">
        <v>456</v>
      </c>
      <c r="P66" s="695">
        <v>19759</v>
      </c>
      <c r="Q66" s="691" t="s">
        <v>755</v>
      </c>
      <c r="R66" s="691" t="s">
        <v>836</v>
      </c>
      <c r="S66" s="691" t="s">
        <v>6214</v>
      </c>
      <c r="T66" s="691" t="s">
        <v>104</v>
      </c>
      <c r="U66" s="696"/>
      <c r="V66" s="696"/>
      <c r="W66" s="696"/>
      <c r="X66" s="696"/>
      <c r="Y66" s="696"/>
      <c r="Z66" s="696"/>
      <c r="AA66" s="696" t="s">
        <v>151</v>
      </c>
      <c r="AB66" s="696"/>
      <c r="AC66" s="747"/>
      <c r="AD66" s="805"/>
      <c r="AE66" s="655"/>
    </row>
    <row r="67" spans="1:31" ht="12" customHeight="1">
      <c r="A67" s="937" t="s">
        <v>18219</v>
      </c>
      <c r="B67" s="4" t="s">
        <v>161</v>
      </c>
      <c r="C67" s="5" t="s">
        <v>927</v>
      </c>
      <c r="D67" s="5">
        <f t="shared" si="1"/>
        <v>47</v>
      </c>
      <c r="E67" s="5" t="s">
        <v>5</v>
      </c>
      <c r="F67" s="5" t="s">
        <v>15273</v>
      </c>
      <c r="G67" s="7" t="s">
        <v>1331</v>
      </c>
      <c r="H67" s="5"/>
      <c r="I67" s="19"/>
      <c r="J67" s="4" t="s">
        <v>16120</v>
      </c>
      <c r="K67" s="5" t="s">
        <v>48</v>
      </c>
      <c r="L67" s="5" t="s">
        <v>25</v>
      </c>
      <c r="M67" s="9">
        <v>5</v>
      </c>
      <c r="N67" s="10">
        <v>5</v>
      </c>
      <c r="O67" s="7" t="s">
        <v>455</v>
      </c>
      <c r="P67" s="11">
        <v>23943</v>
      </c>
      <c r="Q67" s="12" t="s">
        <v>774</v>
      </c>
      <c r="R67" s="7" t="s">
        <v>805</v>
      </c>
      <c r="S67" s="7" t="s">
        <v>5457</v>
      </c>
      <c r="T67" s="7" t="s">
        <v>572</v>
      </c>
      <c r="V67" s="2" t="s">
        <v>163</v>
      </c>
      <c r="AA67" s="2" t="s">
        <v>151</v>
      </c>
      <c r="AC67" s="3"/>
      <c r="AD67" s="774"/>
      <c r="AE67" s="655"/>
    </row>
    <row r="68" spans="1:31" ht="12" customHeight="1" thickBot="1">
      <c r="A68" s="938"/>
      <c r="B68" s="700" t="s">
        <v>162</v>
      </c>
      <c r="C68" s="699" t="s">
        <v>16091</v>
      </c>
      <c r="D68" s="356">
        <f t="shared" si="1"/>
        <v>51</v>
      </c>
      <c r="E68" s="702" t="s">
        <v>5</v>
      </c>
      <c r="F68" s="699"/>
      <c r="G68" s="703"/>
      <c r="H68" s="699"/>
      <c r="I68" s="699"/>
      <c r="J68" s="700" t="s">
        <v>16117</v>
      </c>
      <c r="K68" s="699"/>
      <c r="L68" s="699" t="s">
        <v>6</v>
      </c>
      <c r="M68" s="705"/>
      <c r="N68" s="706"/>
      <c r="O68" s="703" t="s">
        <v>164</v>
      </c>
      <c r="P68" s="723">
        <v>22407</v>
      </c>
      <c r="Q68" s="703" t="s">
        <v>16088</v>
      </c>
      <c r="R68" s="703"/>
      <c r="S68" s="703"/>
      <c r="T68" s="703"/>
      <c r="U68" s="702"/>
      <c r="V68" s="702"/>
      <c r="W68" s="702"/>
      <c r="X68" s="702"/>
      <c r="Y68" s="702"/>
      <c r="Z68" s="702"/>
      <c r="AA68" s="702"/>
      <c r="AB68" s="702"/>
      <c r="AC68" s="703"/>
      <c r="AD68" s="793"/>
      <c r="AE68" s="655"/>
    </row>
    <row r="69" spans="1:31" ht="12" customHeight="1">
      <c r="A69" s="936" t="s">
        <v>18220</v>
      </c>
      <c r="B69" s="688" t="s">
        <v>165</v>
      </c>
      <c r="C69" s="689" t="s">
        <v>855</v>
      </c>
      <c r="D69" s="689">
        <f t="shared" si="1"/>
        <v>46</v>
      </c>
      <c r="E69" s="689" t="s">
        <v>5</v>
      </c>
      <c r="F69" s="689" t="s">
        <v>15273</v>
      </c>
      <c r="G69" s="691" t="s">
        <v>1332</v>
      </c>
      <c r="H69" s="689"/>
      <c r="I69" s="736"/>
      <c r="J69" s="692" t="s">
        <v>16126</v>
      </c>
      <c r="K69" s="689" t="s">
        <v>44</v>
      </c>
      <c r="L69" s="689" t="s">
        <v>25</v>
      </c>
      <c r="M69" s="693">
        <v>2</v>
      </c>
      <c r="N69" s="694">
        <v>2</v>
      </c>
      <c r="O69" s="691" t="s">
        <v>454</v>
      </c>
      <c r="P69" s="695">
        <v>24387</v>
      </c>
      <c r="Q69" s="691" t="s">
        <v>760</v>
      </c>
      <c r="R69" s="691" t="s">
        <v>810</v>
      </c>
      <c r="S69" s="691" t="s">
        <v>6214</v>
      </c>
      <c r="T69" s="691" t="s">
        <v>147</v>
      </c>
      <c r="U69" s="696"/>
      <c r="V69" s="696"/>
      <c r="W69" s="696"/>
      <c r="X69" s="696"/>
      <c r="Y69" s="696"/>
      <c r="Z69" s="696"/>
      <c r="AA69" s="696"/>
      <c r="AB69" s="696" t="s">
        <v>170</v>
      </c>
      <c r="AC69" s="747"/>
      <c r="AD69" s="805"/>
      <c r="AE69" s="655"/>
    </row>
    <row r="70" spans="1:31" ht="12" customHeight="1">
      <c r="A70" s="937" t="s">
        <v>18246</v>
      </c>
      <c r="B70" s="4" t="s">
        <v>166</v>
      </c>
      <c r="C70" s="1" t="s">
        <v>171</v>
      </c>
      <c r="D70" s="5">
        <f t="shared" si="1"/>
        <v>54</v>
      </c>
      <c r="E70" s="2" t="s">
        <v>19</v>
      </c>
      <c r="F70" s="1" t="s">
        <v>15273</v>
      </c>
      <c r="J70" s="8" t="s">
        <v>16120</v>
      </c>
      <c r="K70" s="1" t="s">
        <v>30</v>
      </c>
      <c r="L70" s="1" t="s">
        <v>6</v>
      </c>
      <c r="O70" s="3" t="s">
        <v>172</v>
      </c>
      <c r="P70" s="20">
        <v>21204</v>
      </c>
      <c r="Q70" s="3" t="s">
        <v>212</v>
      </c>
      <c r="T70" s="3" t="s">
        <v>173</v>
      </c>
      <c r="V70" s="2" t="s">
        <v>163</v>
      </c>
      <c r="Y70" s="2" t="s">
        <v>155</v>
      </c>
      <c r="AC70" s="3"/>
      <c r="AD70" s="774"/>
      <c r="AE70" s="655"/>
    </row>
    <row r="71" spans="1:31" ht="12" customHeight="1">
      <c r="A71" s="937" t="s">
        <v>18245</v>
      </c>
      <c r="B71" s="4" t="s">
        <v>167</v>
      </c>
      <c r="C71" s="1" t="s">
        <v>5990</v>
      </c>
      <c r="D71" s="5">
        <f t="shared" si="1"/>
        <v>47</v>
      </c>
      <c r="E71" s="2" t="s">
        <v>19</v>
      </c>
      <c r="F71" s="1" t="s">
        <v>15273</v>
      </c>
      <c r="J71" s="4" t="s">
        <v>16125</v>
      </c>
      <c r="L71" s="1" t="s">
        <v>6</v>
      </c>
      <c r="O71" s="3" t="s">
        <v>5991</v>
      </c>
      <c r="P71" s="20">
        <v>23779</v>
      </c>
      <c r="Q71" s="3" t="s">
        <v>5992</v>
      </c>
      <c r="S71" s="3" t="s">
        <v>5561</v>
      </c>
      <c r="T71" s="3" t="s">
        <v>5993</v>
      </c>
      <c r="AA71" s="2" t="s">
        <v>5993</v>
      </c>
      <c r="AC71" s="3"/>
      <c r="AD71" s="774"/>
      <c r="AE71" s="655"/>
    </row>
    <row r="72" spans="1:31" ht="12" customHeight="1">
      <c r="A72" s="937"/>
      <c r="B72" s="4" t="s">
        <v>168</v>
      </c>
      <c r="C72" s="1" t="s">
        <v>174</v>
      </c>
      <c r="D72" s="5">
        <f t="shared" si="1"/>
        <v>30</v>
      </c>
      <c r="E72" s="2" t="s">
        <v>19</v>
      </c>
      <c r="J72" s="4" t="s">
        <v>16117</v>
      </c>
      <c r="L72" s="1" t="s">
        <v>6</v>
      </c>
      <c r="O72" s="3" t="s">
        <v>175</v>
      </c>
      <c r="P72" s="21">
        <v>30261</v>
      </c>
      <c r="Q72" s="3" t="s">
        <v>176</v>
      </c>
      <c r="AC72" s="3"/>
      <c r="AD72" s="774"/>
      <c r="AE72" s="655"/>
    </row>
    <row r="73" spans="1:31" ht="12" customHeight="1" thickBot="1">
      <c r="A73" s="938"/>
      <c r="B73" s="700" t="s">
        <v>169</v>
      </c>
      <c r="C73" s="699" t="s">
        <v>177</v>
      </c>
      <c r="D73" s="356">
        <f t="shared" si="1"/>
        <v>65</v>
      </c>
      <c r="E73" s="702" t="s">
        <v>5</v>
      </c>
      <c r="F73" s="699" t="s">
        <v>15273</v>
      </c>
      <c r="G73" s="703"/>
      <c r="H73" s="699"/>
      <c r="I73" s="699"/>
      <c r="J73" s="700" t="s">
        <v>16121</v>
      </c>
      <c r="K73" s="699"/>
      <c r="L73" s="699" t="s">
        <v>6</v>
      </c>
      <c r="M73" s="705"/>
      <c r="N73" s="706"/>
      <c r="O73" s="703" t="s">
        <v>178</v>
      </c>
      <c r="P73" s="707">
        <v>17332</v>
      </c>
      <c r="Q73" s="703" t="s">
        <v>179</v>
      </c>
      <c r="R73" s="703"/>
      <c r="S73" s="703"/>
      <c r="T73" s="703" t="s">
        <v>180</v>
      </c>
      <c r="U73" s="702"/>
      <c r="V73" s="702" t="s">
        <v>163</v>
      </c>
      <c r="W73" s="702"/>
      <c r="X73" s="702"/>
      <c r="Y73" s="702"/>
      <c r="Z73" s="702"/>
      <c r="AA73" s="702"/>
      <c r="AB73" s="702"/>
      <c r="AC73" s="702"/>
      <c r="AD73" s="708" t="s">
        <v>181</v>
      </c>
      <c r="AE73" s="655"/>
    </row>
    <row r="74" spans="1:31" ht="12" customHeight="1">
      <c r="A74" s="936" t="s">
        <v>18219</v>
      </c>
      <c r="B74" s="688" t="s">
        <v>183</v>
      </c>
      <c r="C74" s="687" t="s">
        <v>186</v>
      </c>
      <c r="D74" s="689">
        <f t="shared" si="1"/>
        <v>59</v>
      </c>
      <c r="E74" s="696" t="s">
        <v>5</v>
      </c>
      <c r="F74" s="687" t="s">
        <v>15273</v>
      </c>
      <c r="G74" s="747"/>
      <c r="H74" s="687"/>
      <c r="I74" s="687"/>
      <c r="J74" s="688" t="s">
        <v>16120</v>
      </c>
      <c r="K74" s="687" t="s">
        <v>476</v>
      </c>
      <c r="L74" s="687" t="s">
        <v>14</v>
      </c>
      <c r="M74" s="748">
        <v>6</v>
      </c>
      <c r="N74" s="749">
        <v>6</v>
      </c>
      <c r="O74" s="747" t="s">
        <v>188</v>
      </c>
      <c r="P74" s="773">
        <v>19462</v>
      </c>
      <c r="Q74" s="747" t="s">
        <v>189</v>
      </c>
      <c r="R74" s="747" t="s">
        <v>532</v>
      </c>
      <c r="S74" s="747" t="s">
        <v>6051</v>
      </c>
      <c r="T74" s="747" t="s">
        <v>104</v>
      </c>
      <c r="U74" s="696"/>
      <c r="V74" s="696"/>
      <c r="W74" s="696"/>
      <c r="X74" s="696"/>
      <c r="Y74" s="696"/>
      <c r="Z74" s="696"/>
      <c r="AA74" s="696" t="s">
        <v>151</v>
      </c>
      <c r="AB74" s="696"/>
      <c r="AC74" s="696"/>
      <c r="AD74" s="697"/>
      <c r="AE74" s="655"/>
    </row>
    <row r="75" spans="1:31" ht="12" customHeight="1">
      <c r="A75" s="937" t="s">
        <v>18245</v>
      </c>
      <c r="B75" s="4" t="s">
        <v>184</v>
      </c>
      <c r="C75" s="5" t="s">
        <v>920</v>
      </c>
      <c r="D75" s="5">
        <f t="shared" si="1"/>
        <v>49</v>
      </c>
      <c r="E75" s="5" t="s">
        <v>5</v>
      </c>
      <c r="F75" s="1" t="s">
        <v>15273</v>
      </c>
      <c r="G75" s="7" t="s">
        <v>1333</v>
      </c>
      <c r="H75" s="5"/>
      <c r="I75" s="19"/>
      <c r="J75" s="4" t="s">
        <v>16125</v>
      </c>
      <c r="K75" s="5"/>
      <c r="L75" s="5" t="s">
        <v>25</v>
      </c>
      <c r="M75" s="9">
        <v>1</v>
      </c>
      <c r="N75" s="10">
        <v>1</v>
      </c>
      <c r="O75" s="7" t="s">
        <v>188</v>
      </c>
      <c r="P75" s="11">
        <v>23282</v>
      </c>
      <c r="Q75" s="7" t="s">
        <v>783</v>
      </c>
      <c r="R75" s="7"/>
      <c r="S75" s="7" t="s">
        <v>5561</v>
      </c>
      <c r="T75" s="7" t="s">
        <v>521</v>
      </c>
      <c r="U75" s="2" t="s">
        <v>47</v>
      </c>
      <c r="AD75" s="698"/>
      <c r="AE75" s="655"/>
    </row>
    <row r="76" spans="1:31" ht="12" customHeight="1" thickBot="1">
      <c r="A76" s="938"/>
      <c r="B76" s="700" t="s">
        <v>185</v>
      </c>
      <c r="C76" s="699" t="s">
        <v>5230</v>
      </c>
      <c r="D76" s="356">
        <f t="shared" si="1"/>
        <v>64</v>
      </c>
      <c r="E76" s="702" t="s">
        <v>5</v>
      </c>
      <c r="F76" s="699"/>
      <c r="G76" s="703"/>
      <c r="H76" s="699"/>
      <c r="I76" s="699"/>
      <c r="J76" s="700" t="s">
        <v>16117</v>
      </c>
      <c r="K76" s="699"/>
      <c r="L76" s="699" t="s">
        <v>6</v>
      </c>
      <c r="M76" s="705"/>
      <c r="N76" s="706"/>
      <c r="O76" s="703" t="s">
        <v>178</v>
      </c>
      <c r="P76" s="707">
        <v>17863</v>
      </c>
      <c r="Q76" s="703" t="s">
        <v>16092</v>
      </c>
      <c r="R76" s="703"/>
      <c r="S76" s="703"/>
      <c r="T76" s="703"/>
      <c r="U76" s="702"/>
      <c r="V76" s="702"/>
      <c r="W76" s="702"/>
      <c r="X76" s="702"/>
      <c r="Y76" s="702"/>
      <c r="Z76" s="702"/>
      <c r="AA76" s="702"/>
      <c r="AB76" s="702"/>
      <c r="AC76" s="702"/>
      <c r="AD76" s="708"/>
      <c r="AE76" s="655"/>
    </row>
    <row r="77" spans="1:31" ht="12" customHeight="1">
      <c r="A77" s="936" t="s">
        <v>18219</v>
      </c>
      <c r="B77" s="688" t="s">
        <v>190</v>
      </c>
      <c r="C77" s="689" t="s">
        <v>853</v>
      </c>
      <c r="D77" s="689">
        <f t="shared" si="1"/>
        <v>59</v>
      </c>
      <c r="E77" s="689" t="s">
        <v>5</v>
      </c>
      <c r="F77" s="689" t="s">
        <v>15273</v>
      </c>
      <c r="G77" s="691" t="s">
        <v>1334</v>
      </c>
      <c r="H77" s="689"/>
      <c r="I77" s="736"/>
      <c r="J77" s="692" t="s">
        <v>16127</v>
      </c>
      <c r="K77" s="689" t="s">
        <v>737</v>
      </c>
      <c r="L77" s="689" t="s">
        <v>25</v>
      </c>
      <c r="M77" s="693">
        <v>4</v>
      </c>
      <c r="N77" s="694">
        <v>4</v>
      </c>
      <c r="O77" s="691" t="s">
        <v>188</v>
      </c>
      <c r="P77" s="695">
        <v>19646</v>
      </c>
      <c r="Q77" s="691" t="s">
        <v>746</v>
      </c>
      <c r="R77" s="691" t="s">
        <v>828</v>
      </c>
      <c r="S77" s="691" t="s">
        <v>6214</v>
      </c>
      <c r="T77" s="747" t="s">
        <v>163</v>
      </c>
      <c r="U77" s="696"/>
      <c r="V77" s="696" t="s">
        <v>145</v>
      </c>
      <c r="W77" s="696"/>
      <c r="X77" s="696"/>
      <c r="Y77" s="696"/>
      <c r="Z77" s="696"/>
      <c r="AA77" s="696"/>
      <c r="AB77" s="696"/>
      <c r="AC77" s="696"/>
      <c r="AD77" s="697"/>
      <c r="AE77" s="655"/>
    </row>
    <row r="78" spans="1:31" ht="12" customHeight="1">
      <c r="A78" s="937" t="s">
        <v>18245</v>
      </c>
      <c r="B78" s="4" t="s">
        <v>191</v>
      </c>
      <c r="C78" s="1" t="s">
        <v>194</v>
      </c>
      <c r="D78" s="5">
        <f t="shared" si="1"/>
        <v>45</v>
      </c>
      <c r="E78" s="2" t="s">
        <v>5</v>
      </c>
      <c r="F78" s="1" t="s">
        <v>15273</v>
      </c>
      <c r="J78" s="4" t="s">
        <v>16120</v>
      </c>
      <c r="K78" s="1" t="s">
        <v>48</v>
      </c>
      <c r="L78" s="1" t="s">
        <v>6</v>
      </c>
      <c r="O78" s="3" t="s">
        <v>31</v>
      </c>
      <c r="P78" s="20">
        <v>24712</v>
      </c>
      <c r="Q78" s="3" t="s">
        <v>195</v>
      </c>
      <c r="AD78" s="698"/>
      <c r="AE78" s="655"/>
    </row>
    <row r="79" spans="1:31" ht="12" customHeight="1">
      <c r="A79" s="937" t="s">
        <v>18223</v>
      </c>
      <c r="B79" s="4" t="s">
        <v>192</v>
      </c>
      <c r="C79" s="1" t="s">
        <v>3205</v>
      </c>
      <c r="D79" s="5">
        <f t="shared" si="1"/>
        <v>46</v>
      </c>
      <c r="E79" s="2" t="s">
        <v>19</v>
      </c>
      <c r="F79" s="1" t="s">
        <v>15273</v>
      </c>
      <c r="J79" s="4" t="s">
        <v>16125</v>
      </c>
      <c r="L79" s="1" t="s">
        <v>6</v>
      </c>
      <c r="O79" s="3" t="s">
        <v>3206</v>
      </c>
      <c r="P79" s="20">
        <v>24308</v>
      </c>
      <c r="Q79" s="3" t="s">
        <v>3207</v>
      </c>
      <c r="S79" s="3" t="s">
        <v>16093</v>
      </c>
      <c r="T79" s="3" t="s">
        <v>2706</v>
      </c>
      <c r="AA79" s="2" t="s">
        <v>2706</v>
      </c>
      <c r="AD79" s="698"/>
      <c r="AE79" s="655"/>
    </row>
    <row r="80" spans="1:31" ht="12" customHeight="1" thickBot="1">
      <c r="A80" s="938"/>
      <c r="B80" s="700" t="s">
        <v>193</v>
      </c>
      <c r="C80" s="699" t="s">
        <v>196</v>
      </c>
      <c r="D80" s="356">
        <f t="shared" si="1"/>
        <v>53</v>
      </c>
      <c r="E80" s="702" t="s">
        <v>5</v>
      </c>
      <c r="F80" s="699"/>
      <c r="G80" s="703"/>
      <c r="H80" s="699"/>
      <c r="I80" s="699"/>
      <c r="J80" s="700" t="s">
        <v>16117</v>
      </c>
      <c r="K80" s="699"/>
      <c r="L80" s="699" t="s">
        <v>6</v>
      </c>
      <c r="M80" s="705"/>
      <c r="N80" s="706"/>
      <c r="O80" s="703" t="s">
        <v>197</v>
      </c>
      <c r="P80" s="707">
        <v>21553</v>
      </c>
      <c r="Q80" s="703" t="s">
        <v>16094</v>
      </c>
      <c r="R80" s="703"/>
      <c r="S80" s="703"/>
      <c r="T80" s="703"/>
      <c r="U80" s="702"/>
      <c r="V80" s="702"/>
      <c r="W80" s="702"/>
      <c r="X80" s="702"/>
      <c r="Y80" s="702"/>
      <c r="Z80" s="702"/>
      <c r="AA80" s="702"/>
      <c r="AB80" s="702"/>
      <c r="AC80" s="702"/>
      <c r="AD80" s="708"/>
      <c r="AE80" s="655"/>
    </row>
    <row r="81" spans="1:31" ht="12" customHeight="1">
      <c r="A81" s="936" t="s">
        <v>18223</v>
      </c>
      <c r="B81" s="688" t="s">
        <v>198</v>
      </c>
      <c r="C81" s="687" t="s">
        <v>6034</v>
      </c>
      <c r="D81" s="689">
        <f t="shared" si="1"/>
        <v>56</v>
      </c>
      <c r="E81" s="696" t="s">
        <v>5</v>
      </c>
      <c r="F81" s="689" t="s">
        <v>15273</v>
      </c>
      <c r="G81" s="747"/>
      <c r="H81" s="687"/>
      <c r="I81" s="687"/>
      <c r="J81" s="692" t="s">
        <v>16127</v>
      </c>
      <c r="K81" s="687" t="s">
        <v>737</v>
      </c>
      <c r="L81" s="687" t="s">
        <v>6</v>
      </c>
      <c r="M81" s="748"/>
      <c r="N81" s="749"/>
      <c r="O81" s="747" t="s">
        <v>2214</v>
      </c>
      <c r="P81" s="773">
        <v>20737</v>
      </c>
      <c r="Q81" s="747" t="s">
        <v>6037</v>
      </c>
      <c r="R81" s="747"/>
      <c r="S81" s="747"/>
      <c r="T81" s="747"/>
      <c r="U81" s="696"/>
      <c r="V81" s="696"/>
      <c r="W81" s="696"/>
      <c r="X81" s="696"/>
      <c r="Y81" s="696"/>
      <c r="Z81" s="696"/>
      <c r="AA81" s="696"/>
      <c r="AB81" s="696"/>
      <c r="AC81" s="696"/>
      <c r="AD81" s="697"/>
      <c r="AE81" s="655"/>
    </row>
    <row r="82" spans="1:31" ht="12" customHeight="1">
      <c r="A82" s="937" t="s">
        <v>18245</v>
      </c>
      <c r="B82" s="4" t="s">
        <v>199</v>
      </c>
      <c r="C82" s="1" t="s">
        <v>202</v>
      </c>
      <c r="D82" s="5">
        <f t="shared" si="1"/>
        <v>29</v>
      </c>
      <c r="E82" s="2" t="s">
        <v>5</v>
      </c>
      <c r="F82" s="1" t="s">
        <v>15273</v>
      </c>
      <c r="J82" s="8" t="s">
        <v>16120</v>
      </c>
      <c r="K82" s="1" t="s">
        <v>30</v>
      </c>
      <c r="L82" s="1" t="s">
        <v>6</v>
      </c>
      <c r="O82" s="3" t="s">
        <v>203</v>
      </c>
      <c r="P82" s="20">
        <v>30530</v>
      </c>
      <c r="Q82" s="3" t="s">
        <v>204</v>
      </c>
      <c r="T82" s="3" t="s">
        <v>147</v>
      </c>
      <c r="AB82" s="2" t="s">
        <v>170</v>
      </c>
      <c r="AD82" s="698"/>
      <c r="AE82" s="655"/>
    </row>
    <row r="83" spans="1:31" ht="12" customHeight="1">
      <c r="A83" s="937" t="s">
        <v>18219</v>
      </c>
      <c r="B83" s="4" t="s">
        <v>200</v>
      </c>
      <c r="C83" s="5" t="s">
        <v>890</v>
      </c>
      <c r="D83" s="5">
        <f t="shared" si="1"/>
        <v>70</v>
      </c>
      <c r="E83" s="5" t="s">
        <v>5</v>
      </c>
      <c r="G83" s="7" t="s">
        <v>1335</v>
      </c>
      <c r="H83" s="5"/>
      <c r="I83" s="19"/>
      <c r="J83" s="4" t="s">
        <v>16125</v>
      </c>
      <c r="K83" s="5"/>
      <c r="L83" s="5" t="s">
        <v>25</v>
      </c>
      <c r="M83" s="9">
        <v>14</v>
      </c>
      <c r="N83" s="10">
        <v>14</v>
      </c>
      <c r="O83" s="7" t="s">
        <v>31</v>
      </c>
      <c r="P83" s="11">
        <v>15485</v>
      </c>
      <c r="Q83" s="7" t="s">
        <v>779</v>
      </c>
      <c r="R83" s="12" t="s">
        <v>16684</v>
      </c>
      <c r="S83" s="12" t="s">
        <v>5561</v>
      </c>
      <c r="T83" s="7" t="s">
        <v>104</v>
      </c>
      <c r="AA83" s="2" t="s">
        <v>151</v>
      </c>
      <c r="AD83" s="698"/>
      <c r="AE83" s="655"/>
    </row>
    <row r="84" spans="1:31" ht="12" customHeight="1" thickBot="1">
      <c r="A84" s="938"/>
      <c r="B84" s="700" t="s">
        <v>201</v>
      </c>
      <c r="C84" s="699" t="s">
        <v>205</v>
      </c>
      <c r="D84" s="356">
        <f t="shared" si="1"/>
        <v>65</v>
      </c>
      <c r="E84" s="702" t="s">
        <v>5</v>
      </c>
      <c r="F84" s="699"/>
      <c r="G84" s="703"/>
      <c r="H84" s="699"/>
      <c r="I84" s="699"/>
      <c r="J84" s="700" t="s">
        <v>16117</v>
      </c>
      <c r="K84" s="699"/>
      <c r="L84" s="699" t="s">
        <v>6</v>
      </c>
      <c r="M84" s="705"/>
      <c r="N84" s="706"/>
      <c r="O84" s="703" t="s">
        <v>178</v>
      </c>
      <c r="P84" s="707">
        <v>17506</v>
      </c>
      <c r="Q84" s="703" t="s">
        <v>206</v>
      </c>
      <c r="R84" s="703"/>
      <c r="S84" s="703"/>
      <c r="T84" s="703" t="s">
        <v>163</v>
      </c>
      <c r="U84" s="702"/>
      <c r="V84" s="702" t="s">
        <v>163</v>
      </c>
      <c r="W84" s="702"/>
      <c r="X84" s="702"/>
      <c r="Y84" s="702"/>
      <c r="Z84" s="702"/>
      <c r="AA84" s="702"/>
      <c r="AB84" s="702"/>
      <c r="AC84" s="702"/>
      <c r="AD84" s="708"/>
      <c r="AE84" s="655"/>
    </row>
    <row r="85" spans="1:31" ht="12" customHeight="1">
      <c r="A85" s="936" t="s">
        <v>18245</v>
      </c>
      <c r="B85" s="688" t="s">
        <v>207</v>
      </c>
      <c r="C85" s="689" t="s">
        <v>866</v>
      </c>
      <c r="D85" s="689">
        <f t="shared" si="1"/>
        <v>55</v>
      </c>
      <c r="E85" s="689" t="s">
        <v>19</v>
      </c>
      <c r="F85" s="689" t="s">
        <v>15273</v>
      </c>
      <c r="G85" s="691" t="s">
        <v>1336</v>
      </c>
      <c r="H85" s="689"/>
      <c r="I85" s="736"/>
      <c r="J85" s="692" t="s">
        <v>16126</v>
      </c>
      <c r="K85" s="689" t="s">
        <v>44</v>
      </c>
      <c r="L85" s="689" t="s">
        <v>25</v>
      </c>
      <c r="M85" s="693">
        <v>2</v>
      </c>
      <c r="N85" s="694">
        <v>2</v>
      </c>
      <c r="O85" s="691" t="s">
        <v>214</v>
      </c>
      <c r="P85" s="695">
        <v>20910</v>
      </c>
      <c r="Q85" s="691" t="s">
        <v>211</v>
      </c>
      <c r="R85" s="691" t="s">
        <v>841</v>
      </c>
      <c r="S85" s="691" t="s">
        <v>6214</v>
      </c>
      <c r="T85" s="691" t="s">
        <v>528</v>
      </c>
      <c r="U85" s="696"/>
      <c r="V85" s="696"/>
      <c r="W85" s="696"/>
      <c r="X85" s="696"/>
      <c r="Y85" s="696" t="s">
        <v>155</v>
      </c>
      <c r="Z85" s="696"/>
      <c r="AA85" s="696"/>
      <c r="AB85" s="696"/>
      <c r="AC85" s="696"/>
      <c r="AD85" s="697"/>
      <c r="AE85" s="655"/>
    </row>
    <row r="86" spans="1:31" ht="12" customHeight="1">
      <c r="A86" s="937" t="s">
        <v>18219</v>
      </c>
      <c r="B86" s="4" t="s">
        <v>208</v>
      </c>
      <c r="C86" s="1" t="s">
        <v>213</v>
      </c>
      <c r="D86" s="5">
        <f t="shared" si="1"/>
        <v>54</v>
      </c>
      <c r="E86" s="2" t="s">
        <v>5</v>
      </c>
      <c r="F86" s="1" t="s">
        <v>15273</v>
      </c>
      <c r="J86" s="4" t="s">
        <v>16120</v>
      </c>
      <c r="K86" s="1" t="s">
        <v>48</v>
      </c>
      <c r="L86" s="1" t="s">
        <v>14</v>
      </c>
      <c r="M86" s="16">
        <v>1</v>
      </c>
      <c r="N86" s="17">
        <v>1</v>
      </c>
      <c r="O86" s="3" t="s">
        <v>214</v>
      </c>
      <c r="P86" s="20">
        <v>21409</v>
      </c>
      <c r="Q86" s="3" t="s">
        <v>215</v>
      </c>
      <c r="T86" s="3" t="s">
        <v>163</v>
      </c>
      <c r="V86" s="2" t="s">
        <v>163</v>
      </c>
      <c r="AD86" s="698"/>
      <c r="AE86" s="655"/>
    </row>
    <row r="87" spans="1:31" ht="12" customHeight="1">
      <c r="A87" s="937" t="s">
        <v>18223</v>
      </c>
      <c r="B87" s="4" t="s">
        <v>209</v>
      </c>
      <c r="C87" s="1" t="s">
        <v>2540</v>
      </c>
      <c r="D87" s="5">
        <f t="shared" si="1"/>
        <v>47</v>
      </c>
      <c r="E87" s="2" t="s">
        <v>5</v>
      </c>
      <c r="F87" s="1" t="s">
        <v>15273</v>
      </c>
      <c r="J87" s="4" t="s">
        <v>16125</v>
      </c>
      <c r="L87" s="1" t="s">
        <v>6</v>
      </c>
      <c r="O87" s="3" t="s">
        <v>2543</v>
      </c>
      <c r="P87" s="20">
        <v>23970</v>
      </c>
      <c r="Q87" s="3" t="s">
        <v>2541</v>
      </c>
      <c r="S87" s="3" t="s">
        <v>5561</v>
      </c>
      <c r="T87" s="3" t="s">
        <v>2542</v>
      </c>
      <c r="V87" s="2" t="s">
        <v>145</v>
      </c>
      <c r="AD87" s="698"/>
      <c r="AE87" s="655"/>
    </row>
    <row r="88" spans="1:31" ht="12" customHeight="1">
      <c r="A88" s="937" t="s">
        <v>18245</v>
      </c>
      <c r="B88" s="4" t="s">
        <v>210</v>
      </c>
      <c r="C88" s="1" t="s">
        <v>16095</v>
      </c>
      <c r="D88" s="5">
        <f t="shared" si="1"/>
        <v>35</v>
      </c>
      <c r="E88" s="2" t="s">
        <v>216</v>
      </c>
      <c r="F88" s="1" t="s">
        <v>15273</v>
      </c>
      <c r="J88" s="4" t="s">
        <v>16128</v>
      </c>
      <c r="L88" s="1" t="s">
        <v>217</v>
      </c>
      <c r="O88" s="3" t="s">
        <v>218</v>
      </c>
      <c r="P88" s="20">
        <v>28442</v>
      </c>
      <c r="Q88" s="3" t="s">
        <v>219</v>
      </c>
      <c r="S88" s="3" t="s">
        <v>16132</v>
      </c>
      <c r="T88" s="3" t="s">
        <v>630</v>
      </c>
      <c r="Y88" s="2" t="s">
        <v>155</v>
      </c>
      <c r="AD88" s="774"/>
      <c r="AE88" s="655"/>
    </row>
    <row r="89" spans="1:31" ht="12" customHeight="1">
      <c r="A89" s="937"/>
      <c r="B89" s="4" t="s">
        <v>2539</v>
      </c>
      <c r="C89" s="1" t="s">
        <v>220</v>
      </c>
      <c r="D89" s="5">
        <f t="shared" si="1"/>
        <v>53</v>
      </c>
      <c r="E89" s="2" t="s">
        <v>5</v>
      </c>
      <c r="J89" s="4" t="s">
        <v>16117</v>
      </c>
      <c r="L89" s="1" t="s">
        <v>6</v>
      </c>
      <c r="O89" s="3" t="s">
        <v>221</v>
      </c>
      <c r="P89" s="20">
        <v>21553</v>
      </c>
      <c r="Q89" s="3" t="s">
        <v>222</v>
      </c>
      <c r="AD89" s="774"/>
      <c r="AE89" s="655"/>
    </row>
    <row r="90" spans="1:31" ht="12" customHeight="1" thickBot="1">
      <c r="A90" s="938"/>
      <c r="B90" s="700" t="s">
        <v>4658</v>
      </c>
      <c r="C90" s="699" t="s">
        <v>4659</v>
      </c>
      <c r="D90" s="356">
        <f t="shared" si="1"/>
        <v>33</v>
      </c>
      <c r="E90" s="702" t="s">
        <v>5</v>
      </c>
      <c r="F90" s="699" t="s">
        <v>15273</v>
      </c>
      <c r="G90" s="703"/>
      <c r="H90" s="699"/>
      <c r="I90" s="699"/>
      <c r="J90" s="700" t="s">
        <v>16121</v>
      </c>
      <c r="K90" s="699"/>
      <c r="L90" s="699" t="s">
        <v>6</v>
      </c>
      <c r="M90" s="705"/>
      <c r="N90" s="706"/>
      <c r="O90" s="703" t="s">
        <v>4660</v>
      </c>
      <c r="P90" s="707">
        <v>28926</v>
      </c>
      <c r="Q90" s="703" t="s">
        <v>5471</v>
      </c>
      <c r="R90" s="703"/>
      <c r="S90" s="703"/>
      <c r="T90" s="703"/>
      <c r="U90" s="702"/>
      <c r="V90" s="702"/>
      <c r="W90" s="702"/>
      <c r="X90" s="702"/>
      <c r="Y90" s="702"/>
      <c r="Z90" s="702"/>
      <c r="AA90" s="702"/>
      <c r="AB90" s="702"/>
      <c r="AC90" s="702"/>
      <c r="AD90" s="793"/>
      <c r="AE90" s="655"/>
    </row>
    <row r="91" spans="1:31" ht="12" customHeight="1">
      <c r="A91" s="936" t="s">
        <v>18245</v>
      </c>
      <c r="B91" s="688" t="s">
        <v>223</v>
      </c>
      <c r="C91" s="690" t="s">
        <v>873</v>
      </c>
      <c r="D91" s="689">
        <f t="shared" si="1"/>
        <v>64</v>
      </c>
      <c r="E91" s="690" t="s">
        <v>5</v>
      </c>
      <c r="F91" s="689" t="s">
        <v>15273</v>
      </c>
      <c r="G91" s="783" t="s">
        <v>1337</v>
      </c>
      <c r="H91" s="689" t="s">
        <v>373</v>
      </c>
      <c r="I91" s="736"/>
      <c r="J91" s="692" t="s">
        <v>16127</v>
      </c>
      <c r="K91" s="690" t="s">
        <v>45</v>
      </c>
      <c r="L91" s="690" t="s">
        <v>14</v>
      </c>
      <c r="M91" s="737">
        <v>2</v>
      </c>
      <c r="N91" s="738">
        <v>4</v>
      </c>
      <c r="O91" s="735" t="s">
        <v>459</v>
      </c>
      <c r="P91" s="739">
        <v>17518</v>
      </c>
      <c r="Q91" s="735" t="s">
        <v>219</v>
      </c>
      <c r="R91" s="735" t="s">
        <v>827</v>
      </c>
      <c r="S91" s="735" t="s">
        <v>6214</v>
      </c>
      <c r="T91" s="736" t="s">
        <v>631</v>
      </c>
      <c r="U91" s="696"/>
      <c r="V91" s="696"/>
      <c r="W91" s="696"/>
      <c r="X91" s="696" t="s">
        <v>229</v>
      </c>
      <c r="Y91" s="696" t="s">
        <v>155</v>
      </c>
      <c r="Z91" s="696"/>
      <c r="AA91" s="696"/>
      <c r="AB91" s="696"/>
      <c r="AC91" s="696"/>
      <c r="AD91" s="805"/>
      <c r="AE91" s="655"/>
    </row>
    <row r="92" spans="1:31" ht="12" customHeight="1">
      <c r="A92" s="937" t="s">
        <v>18219</v>
      </c>
      <c r="B92" s="4" t="s">
        <v>224</v>
      </c>
      <c r="C92" s="5" t="s">
        <v>885</v>
      </c>
      <c r="D92" s="5">
        <f t="shared" si="1"/>
        <v>50</v>
      </c>
      <c r="E92" s="5" t="s">
        <v>5</v>
      </c>
      <c r="F92" s="5" t="s">
        <v>15273</v>
      </c>
      <c r="G92" s="7" t="s">
        <v>1313</v>
      </c>
      <c r="H92" s="5"/>
      <c r="I92" s="19"/>
      <c r="J92" s="4" t="s">
        <v>16120</v>
      </c>
      <c r="K92" s="5" t="s">
        <v>30</v>
      </c>
      <c r="L92" s="5" t="s">
        <v>25</v>
      </c>
      <c r="M92" s="9">
        <v>3</v>
      </c>
      <c r="N92" s="10">
        <v>3</v>
      </c>
      <c r="O92" s="7" t="s">
        <v>463</v>
      </c>
      <c r="P92" s="11">
        <v>22830</v>
      </c>
      <c r="Q92" s="7" t="s">
        <v>758</v>
      </c>
      <c r="R92" s="7" t="s">
        <v>810</v>
      </c>
      <c r="S92" s="7"/>
      <c r="T92" s="18" t="s">
        <v>635</v>
      </c>
      <c r="V92" s="2" t="s">
        <v>163</v>
      </c>
      <c r="AC92" s="2" t="s">
        <v>230</v>
      </c>
      <c r="AD92" s="774"/>
      <c r="AE92" s="655"/>
    </row>
    <row r="93" spans="1:31" ht="12" customHeight="1">
      <c r="A93" s="937" t="s">
        <v>18245</v>
      </c>
      <c r="B93" s="4" t="s">
        <v>225</v>
      </c>
      <c r="C93" s="5" t="s">
        <v>877</v>
      </c>
      <c r="D93" s="5">
        <f t="shared" si="1"/>
        <v>43</v>
      </c>
      <c r="E93" s="5" t="s">
        <v>5</v>
      </c>
      <c r="F93" s="1" t="s">
        <v>15273</v>
      </c>
      <c r="G93" s="7" t="s">
        <v>1338</v>
      </c>
      <c r="H93" s="5"/>
      <c r="I93" s="19"/>
      <c r="J93" s="4" t="s">
        <v>16125</v>
      </c>
      <c r="K93" s="5"/>
      <c r="L93" s="5" t="s">
        <v>25</v>
      </c>
      <c r="M93" s="9">
        <v>1</v>
      </c>
      <c r="N93" s="10">
        <v>1</v>
      </c>
      <c r="O93" s="12" t="s">
        <v>172</v>
      </c>
      <c r="P93" s="15">
        <v>25256</v>
      </c>
      <c r="Q93" s="7" t="s">
        <v>747</v>
      </c>
      <c r="R93" s="7" t="s">
        <v>4571</v>
      </c>
      <c r="S93" s="7" t="s">
        <v>5561</v>
      </c>
      <c r="T93" s="3" t="s">
        <v>630</v>
      </c>
      <c r="Y93" s="2" t="s">
        <v>155</v>
      </c>
      <c r="AD93" s="774"/>
      <c r="AE93" s="655"/>
    </row>
    <row r="94" spans="1:31" ht="12" customHeight="1">
      <c r="A94" s="937" t="s">
        <v>18245</v>
      </c>
      <c r="B94" s="4" t="s">
        <v>226</v>
      </c>
      <c r="C94" s="1" t="s">
        <v>238</v>
      </c>
      <c r="D94" s="5">
        <f t="shared" si="1"/>
        <v>64</v>
      </c>
      <c r="E94" s="2" t="s">
        <v>5</v>
      </c>
      <c r="F94" s="1" t="s">
        <v>15273</v>
      </c>
      <c r="J94" s="4" t="s">
        <v>16116</v>
      </c>
      <c r="K94" s="1" t="s">
        <v>4993</v>
      </c>
      <c r="L94" s="1" t="s">
        <v>14</v>
      </c>
      <c r="M94" s="16">
        <v>3</v>
      </c>
      <c r="N94" s="17">
        <v>3</v>
      </c>
      <c r="O94" s="3" t="s">
        <v>214</v>
      </c>
      <c r="P94" s="20">
        <v>17592</v>
      </c>
      <c r="Q94" s="3" t="s">
        <v>240</v>
      </c>
      <c r="R94" s="3" t="s">
        <v>239</v>
      </c>
      <c r="T94" s="3" t="s">
        <v>163</v>
      </c>
      <c r="V94" s="2" t="s">
        <v>163</v>
      </c>
      <c r="AD94" s="774"/>
      <c r="AE94" s="655"/>
    </row>
    <row r="95" spans="1:31" ht="12" customHeight="1">
      <c r="A95" s="937" t="s">
        <v>18245</v>
      </c>
      <c r="B95" s="4" t="s">
        <v>227</v>
      </c>
      <c r="C95" s="1" t="s">
        <v>235</v>
      </c>
      <c r="D95" s="5">
        <f t="shared" si="1"/>
        <v>52</v>
      </c>
      <c r="E95" s="2" t="s">
        <v>5</v>
      </c>
      <c r="F95" s="1" t="s">
        <v>15273</v>
      </c>
      <c r="J95" s="4" t="s">
        <v>16128</v>
      </c>
      <c r="L95" s="1" t="s">
        <v>6</v>
      </c>
      <c r="O95" s="3" t="s">
        <v>236</v>
      </c>
      <c r="P95" s="20">
        <v>22015</v>
      </c>
      <c r="Q95" s="3" t="s">
        <v>237</v>
      </c>
      <c r="T95" s="3" t="s">
        <v>163</v>
      </c>
      <c r="V95" s="2" t="s">
        <v>163</v>
      </c>
      <c r="AD95" s="774"/>
      <c r="AE95" s="655"/>
    </row>
    <row r="96" spans="1:31" ht="12" customHeight="1" thickBot="1">
      <c r="A96" s="938"/>
      <c r="B96" s="700" t="s">
        <v>228</v>
      </c>
      <c r="C96" s="699" t="s">
        <v>231</v>
      </c>
      <c r="D96" s="356">
        <f t="shared" si="1"/>
        <v>52</v>
      </c>
      <c r="E96" s="702" t="s">
        <v>19</v>
      </c>
      <c r="F96" s="699"/>
      <c r="G96" s="703"/>
      <c r="H96" s="699"/>
      <c r="I96" s="699"/>
      <c r="J96" s="700" t="s">
        <v>16117</v>
      </c>
      <c r="K96" s="699"/>
      <c r="L96" s="699" t="s">
        <v>6</v>
      </c>
      <c r="M96" s="705"/>
      <c r="N96" s="706"/>
      <c r="O96" s="703" t="s">
        <v>232</v>
      </c>
      <c r="P96" s="723">
        <v>22230</v>
      </c>
      <c r="Q96" s="703" t="s">
        <v>234</v>
      </c>
      <c r="R96" s="703"/>
      <c r="S96" s="703"/>
      <c r="T96" s="703" t="s">
        <v>163</v>
      </c>
      <c r="U96" s="702"/>
      <c r="V96" s="702" t="s">
        <v>163</v>
      </c>
      <c r="W96" s="702"/>
      <c r="X96" s="702"/>
      <c r="Y96" s="702"/>
      <c r="Z96" s="702"/>
      <c r="AA96" s="702"/>
      <c r="AB96" s="702"/>
      <c r="AC96" s="702"/>
      <c r="AD96" s="793"/>
      <c r="AE96" s="655"/>
    </row>
    <row r="97" spans="1:31" ht="12" customHeight="1">
      <c r="A97" s="936" t="s">
        <v>18245</v>
      </c>
      <c r="B97" s="688" t="s">
        <v>241</v>
      </c>
      <c r="C97" s="689" t="s">
        <v>863</v>
      </c>
      <c r="D97" s="689">
        <f t="shared" si="1"/>
        <v>41</v>
      </c>
      <c r="E97" s="689" t="s">
        <v>5</v>
      </c>
      <c r="F97" s="689" t="s">
        <v>15273</v>
      </c>
      <c r="G97" s="691" t="s">
        <v>1339</v>
      </c>
      <c r="H97" s="689"/>
      <c r="I97" s="736"/>
      <c r="J97" s="692" t="s">
        <v>16127</v>
      </c>
      <c r="K97" s="689" t="s">
        <v>604</v>
      </c>
      <c r="L97" s="689" t="s">
        <v>25</v>
      </c>
      <c r="M97" s="693">
        <v>2</v>
      </c>
      <c r="N97" s="694">
        <v>2</v>
      </c>
      <c r="O97" s="691" t="s">
        <v>188</v>
      </c>
      <c r="P97" s="695">
        <v>26061</v>
      </c>
      <c r="Q97" s="691" t="s">
        <v>748</v>
      </c>
      <c r="R97" s="747" t="s">
        <v>346</v>
      </c>
      <c r="S97" s="747" t="s">
        <v>6214</v>
      </c>
      <c r="T97" s="747"/>
      <c r="U97" s="696"/>
      <c r="V97" s="696"/>
      <c r="W97" s="696"/>
      <c r="X97" s="696"/>
      <c r="Y97" s="696"/>
      <c r="Z97" s="696"/>
      <c r="AA97" s="696"/>
      <c r="AB97" s="696"/>
      <c r="AC97" s="696"/>
      <c r="AD97" s="805"/>
      <c r="AE97" s="655"/>
    </row>
    <row r="98" spans="1:31" ht="12" customHeight="1">
      <c r="A98" s="937" t="s">
        <v>18219</v>
      </c>
      <c r="B98" s="4" t="s">
        <v>242</v>
      </c>
      <c r="C98" s="1" t="s">
        <v>244</v>
      </c>
      <c r="D98" s="5">
        <f t="shared" si="1"/>
        <v>52</v>
      </c>
      <c r="E98" s="2" t="s">
        <v>5</v>
      </c>
      <c r="F98" s="1" t="s">
        <v>15273</v>
      </c>
      <c r="J98" s="8" t="s">
        <v>16120</v>
      </c>
      <c r="K98" s="1" t="s">
        <v>48</v>
      </c>
      <c r="L98" s="1" t="s">
        <v>14</v>
      </c>
      <c r="M98" s="16">
        <v>2</v>
      </c>
      <c r="N98" s="17">
        <v>2</v>
      </c>
      <c r="O98" s="3" t="s">
        <v>245</v>
      </c>
      <c r="P98" s="20">
        <v>22113</v>
      </c>
      <c r="Q98" s="3" t="s">
        <v>246</v>
      </c>
      <c r="R98" s="3" t="s">
        <v>247</v>
      </c>
      <c r="S98" s="3" t="s">
        <v>6051</v>
      </c>
      <c r="AD98" s="774"/>
      <c r="AE98" s="655"/>
    </row>
    <row r="99" spans="1:31" ht="12" customHeight="1" thickBot="1">
      <c r="A99" s="938"/>
      <c r="B99" s="700" t="s">
        <v>243</v>
      </c>
      <c r="C99" s="699" t="s">
        <v>248</v>
      </c>
      <c r="D99" s="356">
        <f t="shared" si="1"/>
        <v>31</v>
      </c>
      <c r="E99" s="702" t="s">
        <v>5</v>
      </c>
      <c r="F99" s="699"/>
      <c r="G99" s="703"/>
      <c r="H99" s="699"/>
      <c r="I99" s="699"/>
      <c r="J99" s="700" t="s">
        <v>16117</v>
      </c>
      <c r="K99" s="699"/>
      <c r="L99" s="699" t="s">
        <v>6</v>
      </c>
      <c r="M99" s="705"/>
      <c r="N99" s="706"/>
      <c r="O99" s="703" t="s">
        <v>249</v>
      </c>
      <c r="P99" s="723">
        <v>29905</v>
      </c>
      <c r="Q99" s="703" t="s">
        <v>259</v>
      </c>
      <c r="R99" s="703"/>
      <c r="S99" s="703"/>
      <c r="T99" s="703"/>
      <c r="U99" s="702"/>
      <c r="V99" s="702"/>
      <c r="W99" s="702"/>
      <c r="X99" s="702"/>
      <c r="Y99" s="702"/>
      <c r="Z99" s="702"/>
      <c r="AA99" s="702"/>
      <c r="AB99" s="702"/>
      <c r="AC99" s="702"/>
      <c r="AD99" s="793"/>
      <c r="AE99" s="655"/>
    </row>
    <row r="100" spans="1:31" ht="12" customHeight="1">
      <c r="A100" s="936" t="s">
        <v>18245</v>
      </c>
      <c r="B100" s="688" t="s">
        <v>250</v>
      </c>
      <c r="C100" s="689" t="s">
        <v>902</v>
      </c>
      <c r="D100" s="689">
        <f t="shared" si="1"/>
        <v>42</v>
      </c>
      <c r="E100" s="689" t="s">
        <v>5</v>
      </c>
      <c r="F100" s="689" t="s">
        <v>15273</v>
      </c>
      <c r="G100" s="691" t="s">
        <v>1340</v>
      </c>
      <c r="H100" s="689"/>
      <c r="I100" s="736"/>
      <c r="J100" s="692" t="s">
        <v>16126</v>
      </c>
      <c r="K100" s="689" t="s">
        <v>44</v>
      </c>
      <c r="L100" s="689" t="s">
        <v>25</v>
      </c>
      <c r="M100" s="693">
        <v>1</v>
      </c>
      <c r="N100" s="694">
        <v>1</v>
      </c>
      <c r="O100" s="691" t="s">
        <v>463</v>
      </c>
      <c r="P100" s="695">
        <v>25555</v>
      </c>
      <c r="Q100" s="691" t="s">
        <v>802</v>
      </c>
      <c r="R100" s="747"/>
      <c r="S100" s="747" t="s">
        <v>6214</v>
      </c>
      <c r="T100" s="747"/>
      <c r="U100" s="696"/>
      <c r="V100" s="696"/>
      <c r="W100" s="696"/>
      <c r="X100" s="696"/>
      <c r="Y100" s="696"/>
      <c r="Z100" s="696"/>
      <c r="AA100" s="696"/>
      <c r="AB100" s="696"/>
      <c r="AC100" s="696"/>
      <c r="AD100" s="805"/>
      <c r="AE100" s="655"/>
    </row>
    <row r="101" spans="1:31" ht="12" customHeight="1">
      <c r="A101" s="937" t="s">
        <v>18219</v>
      </c>
      <c r="B101" s="4" t="s">
        <v>251</v>
      </c>
      <c r="C101" s="1" t="s">
        <v>254</v>
      </c>
      <c r="D101" s="5">
        <f t="shared" si="1"/>
        <v>59</v>
      </c>
      <c r="E101" s="2" t="s">
        <v>5</v>
      </c>
      <c r="F101" s="1" t="s">
        <v>15273</v>
      </c>
      <c r="J101" s="4" t="s">
        <v>16120</v>
      </c>
      <c r="K101" s="1" t="s">
        <v>475</v>
      </c>
      <c r="L101" s="1" t="s">
        <v>14</v>
      </c>
      <c r="M101" s="16">
        <v>3</v>
      </c>
      <c r="N101" s="17">
        <v>3</v>
      </c>
      <c r="O101" s="3" t="s">
        <v>255</v>
      </c>
      <c r="P101" s="20">
        <v>19485</v>
      </c>
      <c r="Q101" s="3" t="s">
        <v>257</v>
      </c>
      <c r="R101" s="3" t="s">
        <v>256</v>
      </c>
      <c r="S101" s="3" t="s">
        <v>5457</v>
      </c>
      <c r="T101" s="3" t="s">
        <v>258</v>
      </c>
      <c r="Y101" s="2" t="s">
        <v>155</v>
      </c>
      <c r="AA101" s="2" t="s">
        <v>151</v>
      </c>
      <c r="AD101" s="774"/>
      <c r="AE101" s="655"/>
    </row>
    <row r="102" spans="1:31" ht="12" customHeight="1">
      <c r="A102" s="937" t="s">
        <v>18223</v>
      </c>
      <c r="B102" s="4" t="s">
        <v>252</v>
      </c>
      <c r="C102" s="1" t="s">
        <v>5224</v>
      </c>
      <c r="D102" s="5">
        <f t="shared" si="1"/>
        <v>38</v>
      </c>
      <c r="E102" s="2" t="s">
        <v>5</v>
      </c>
      <c r="F102" s="1" t="s">
        <v>15273</v>
      </c>
      <c r="J102" s="4" t="s">
        <v>16116</v>
      </c>
      <c r="K102" s="1" t="s">
        <v>5198</v>
      </c>
      <c r="L102" s="1" t="s">
        <v>6</v>
      </c>
      <c r="O102" s="3" t="s">
        <v>5225</v>
      </c>
      <c r="P102" s="21">
        <v>27109</v>
      </c>
      <c r="Q102" s="3" t="s">
        <v>5226</v>
      </c>
      <c r="S102" s="3" t="s">
        <v>6029</v>
      </c>
      <c r="AD102" s="774"/>
      <c r="AE102" s="655"/>
    </row>
    <row r="103" spans="1:31" ht="12" customHeight="1">
      <c r="A103" s="937"/>
      <c r="B103" s="4" t="s">
        <v>253</v>
      </c>
      <c r="C103" s="1" t="s">
        <v>16097</v>
      </c>
      <c r="D103" s="5">
        <f t="shared" si="1"/>
        <v>30</v>
      </c>
      <c r="E103" s="2" t="s">
        <v>5</v>
      </c>
      <c r="J103" s="4" t="s">
        <v>16117</v>
      </c>
      <c r="L103" s="1" t="s">
        <v>6</v>
      </c>
      <c r="O103" s="3" t="s">
        <v>261</v>
      </c>
      <c r="P103" s="21">
        <v>29939</v>
      </c>
      <c r="Q103" s="3" t="s">
        <v>260</v>
      </c>
      <c r="AD103" s="774"/>
      <c r="AE103" s="655"/>
    </row>
    <row r="104" spans="1:31" ht="12" customHeight="1" thickBot="1">
      <c r="A104" s="938"/>
      <c r="B104" s="700" t="s">
        <v>5223</v>
      </c>
      <c r="C104" s="699" t="s">
        <v>262</v>
      </c>
      <c r="D104" s="356">
        <f t="shared" si="1"/>
        <v>40</v>
      </c>
      <c r="E104" s="702" t="s">
        <v>5</v>
      </c>
      <c r="F104" s="699"/>
      <c r="G104" s="703"/>
      <c r="H104" s="699"/>
      <c r="I104" s="699"/>
      <c r="J104" s="700" t="s">
        <v>16122</v>
      </c>
      <c r="K104" s="699" t="s">
        <v>22</v>
      </c>
      <c r="L104" s="699" t="s">
        <v>6</v>
      </c>
      <c r="M104" s="705"/>
      <c r="N104" s="706"/>
      <c r="O104" s="703" t="s">
        <v>221</v>
      </c>
      <c r="P104" s="707">
        <v>26627</v>
      </c>
      <c r="Q104" s="703" t="s">
        <v>1811</v>
      </c>
      <c r="R104" s="703"/>
      <c r="S104" s="703"/>
      <c r="T104" s="703"/>
      <c r="U104" s="702"/>
      <c r="V104" s="702"/>
      <c r="W104" s="702"/>
      <c r="X104" s="702"/>
      <c r="Y104" s="702"/>
      <c r="Z104" s="702"/>
      <c r="AA104" s="702"/>
      <c r="AB104" s="702"/>
      <c r="AC104" s="702"/>
      <c r="AD104" s="793"/>
      <c r="AE104" s="655"/>
    </row>
    <row r="105" spans="1:31" ht="12" customHeight="1">
      <c r="A105" s="936" t="s">
        <v>18219</v>
      </c>
      <c r="B105" s="688" t="s">
        <v>263</v>
      </c>
      <c r="C105" s="689" t="s">
        <v>846</v>
      </c>
      <c r="D105" s="689">
        <f t="shared" si="1"/>
        <v>50</v>
      </c>
      <c r="E105" s="689" t="s">
        <v>5</v>
      </c>
      <c r="F105" s="689" t="s">
        <v>15273</v>
      </c>
      <c r="G105" s="691" t="s">
        <v>1341</v>
      </c>
      <c r="H105" s="689"/>
      <c r="I105" s="736"/>
      <c r="J105" s="692" t="s">
        <v>16127</v>
      </c>
      <c r="K105" s="689" t="s">
        <v>24</v>
      </c>
      <c r="L105" s="689" t="s">
        <v>25</v>
      </c>
      <c r="M105" s="693">
        <v>5</v>
      </c>
      <c r="N105" s="694">
        <v>5</v>
      </c>
      <c r="O105" s="691" t="s">
        <v>188</v>
      </c>
      <c r="P105" s="695">
        <v>22663</v>
      </c>
      <c r="Q105" s="691" t="s">
        <v>2741</v>
      </c>
      <c r="R105" s="691" t="s">
        <v>829</v>
      </c>
      <c r="S105" s="691" t="s">
        <v>6214</v>
      </c>
      <c r="T105" s="691" t="s">
        <v>528</v>
      </c>
      <c r="U105" s="696"/>
      <c r="V105" s="696"/>
      <c r="W105" s="696"/>
      <c r="X105" s="696"/>
      <c r="Y105" s="696" t="s">
        <v>630</v>
      </c>
      <c r="Z105" s="696"/>
      <c r="AA105" s="696"/>
      <c r="AB105" s="696"/>
      <c r="AC105" s="696"/>
      <c r="AD105" s="805"/>
      <c r="AE105" s="655"/>
    </row>
    <row r="106" spans="1:31" ht="12" customHeight="1">
      <c r="A106" s="937" t="s">
        <v>18245</v>
      </c>
      <c r="B106" s="4" t="s">
        <v>264</v>
      </c>
      <c r="C106" s="1" t="s">
        <v>266</v>
      </c>
      <c r="D106" s="5">
        <f t="shared" si="1"/>
        <v>36</v>
      </c>
      <c r="E106" s="2" t="s">
        <v>19</v>
      </c>
      <c r="F106" s="1" t="s">
        <v>15273</v>
      </c>
      <c r="J106" s="4" t="s">
        <v>16120</v>
      </c>
      <c r="K106" s="1" t="s">
        <v>30</v>
      </c>
      <c r="L106" s="1" t="s">
        <v>6</v>
      </c>
      <c r="O106" s="3" t="s">
        <v>267</v>
      </c>
      <c r="P106" s="20">
        <v>27968</v>
      </c>
      <c r="Q106" s="3" t="s">
        <v>268</v>
      </c>
      <c r="T106" s="3" t="s">
        <v>630</v>
      </c>
      <c r="Y106" s="2" t="s">
        <v>155</v>
      </c>
      <c r="AD106" s="698"/>
      <c r="AE106" s="655"/>
    </row>
    <row r="107" spans="1:31" ht="12" customHeight="1">
      <c r="A107" s="937" t="s">
        <v>18223</v>
      </c>
      <c r="B107" s="4" t="s">
        <v>265</v>
      </c>
      <c r="C107" s="1" t="s">
        <v>6165</v>
      </c>
      <c r="D107" s="5">
        <f t="shared" si="1"/>
        <v>49</v>
      </c>
      <c r="E107" s="2" t="s">
        <v>19</v>
      </c>
      <c r="F107" s="1" t="s">
        <v>15273</v>
      </c>
      <c r="J107" s="4" t="s">
        <v>16125</v>
      </c>
      <c r="L107" s="1" t="s">
        <v>6</v>
      </c>
      <c r="O107" s="3" t="s">
        <v>267</v>
      </c>
      <c r="P107" s="20">
        <v>23012</v>
      </c>
      <c r="Q107" s="3" t="s">
        <v>16408</v>
      </c>
      <c r="S107" s="3" t="s">
        <v>5561</v>
      </c>
      <c r="AD107" s="698"/>
      <c r="AE107" s="655"/>
    </row>
    <row r="108" spans="1:31" ht="12" customHeight="1">
      <c r="A108" s="937"/>
      <c r="B108" s="4" t="s">
        <v>6164</v>
      </c>
      <c r="C108" s="1" t="s">
        <v>269</v>
      </c>
      <c r="D108" s="5">
        <f t="shared" si="1"/>
        <v>59</v>
      </c>
      <c r="E108" s="2" t="s">
        <v>5</v>
      </c>
      <c r="J108" s="4" t="s">
        <v>16117</v>
      </c>
      <c r="L108" s="1" t="s">
        <v>6</v>
      </c>
      <c r="O108" s="3" t="s">
        <v>271</v>
      </c>
      <c r="P108" s="21">
        <v>19463</v>
      </c>
      <c r="Q108" s="3" t="s">
        <v>16098</v>
      </c>
      <c r="AD108" s="698"/>
      <c r="AE108" s="655"/>
    </row>
    <row r="109" spans="1:31" ht="12" customHeight="1" thickBot="1">
      <c r="A109" s="938"/>
      <c r="B109" s="700" t="s">
        <v>15960</v>
      </c>
      <c r="C109" s="699" t="s">
        <v>15961</v>
      </c>
      <c r="D109" s="356">
        <f t="shared" si="1"/>
        <v>53</v>
      </c>
      <c r="E109" s="702" t="s">
        <v>5</v>
      </c>
      <c r="F109" s="699"/>
      <c r="G109" s="703"/>
      <c r="H109" s="699"/>
      <c r="I109" s="699"/>
      <c r="J109" s="700" t="s">
        <v>16129</v>
      </c>
      <c r="K109" s="699"/>
      <c r="L109" s="699" t="s">
        <v>6</v>
      </c>
      <c r="M109" s="705"/>
      <c r="N109" s="706"/>
      <c r="O109" s="703" t="s">
        <v>15962</v>
      </c>
      <c r="P109" s="723">
        <v>21556</v>
      </c>
      <c r="Q109" s="703" t="s">
        <v>15963</v>
      </c>
      <c r="R109" s="703"/>
      <c r="S109" s="703"/>
      <c r="T109" s="703"/>
      <c r="U109" s="702"/>
      <c r="V109" s="702"/>
      <c r="W109" s="702"/>
      <c r="X109" s="702"/>
      <c r="Y109" s="702"/>
      <c r="Z109" s="702"/>
      <c r="AA109" s="702"/>
      <c r="AB109" s="702"/>
      <c r="AC109" s="702"/>
      <c r="AD109" s="708"/>
      <c r="AE109" s="655"/>
    </row>
    <row r="110" spans="1:31" ht="12" customHeight="1">
      <c r="A110" s="936" t="s">
        <v>18245</v>
      </c>
      <c r="B110" s="688" t="s">
        <v>272</v>
      </c>
      <c r="C110" s="687" t="s">
        <v>275</v>
      </c>
      <c r="D110" s="689">
        <f t="shared" si="1"/>
        <v>47</v>
      </c>
      <c r="E110" s="696" t="s">
        <v>19</v>
      </c>
      <c r="F110" s="689" t="s">
        <v>15273</v>
      </c>
      <c r="G110" s="747"/>
      <c r="H110" s="687"/>
      <c r="I110" s="687"/>
      <c r="J110" s="692" t="s">
        <v>16127</v>
      </c>
      <c r="K110" s="687" t="s">
        <v>276</v>
      </c>
      <c r="L110" s="687" t="s">
        <v>14</v>
      </c>
      <c r="M110" s="748">
        <v>2</v>
      </c>
      <c r="N110" s="749">
        <v>2</v>
      </c>
      <c r="O110" s="747" t="s">
        <v>277</v>
      </c>
      <c r="P110" s="773">
        <v>23750</v>
      </c>
      <c r="Q110" s="747" t="s">
        <v>233</v>
      </c>
      <c r="R110" s="747"/>
      <c r="S110" s="747" t="s">
        <v>6214</v>
      </c>
      <c r="T110" s="747" t="s">
        <v>163</v>
      </c>
      <c r="U110" s="696"/>
      <c r="V110" s="696" t="s">
        <v>163</v>
      </c>
      <c r="W110" s="696"/>
      <c r="X110" s="696"/>
      <c r="Y110" s="696"/>
      <c r="Z110" s="696"/>
      <c r="AA110" s="696"/>
      <c r="AB110" s="696"/>
      <c r="AC110" s="696"/>
      <c r="AD110" s="697"/>
      <c r="AE110" s="655"/>
    </row>
    <row r="111" spans="1:31" ht="12" customHeight="1">
      <c r="A111" s="937" t="s">
        <v>18219</v>
      </c>
      <c r="B111" s="4" t="s">
        <v>273</v>
      </c>
      <c r="C111" s="5" t="s">
        <v>892</v>
      </c>
      <c r="D111" s="5">
        <f t="shared" si="1"/>
        <v>52</v>
      </c>
      <c r="E111" s="5" t="s">
        <v>5</v>
      </c>
      <c r="F111" s="5" t="s">
        <v>15273</v>
      </c>
      <c r="G111" s="7" t="s">
        <v>1342</v>
      </c>
      <c r="H111" s="5"/>
      <c r="I111" s="19"/>
      <c r="J111" s="8" t="s">
        <v>16120</v>
      </c>
      <c r="K111" s="5" t="s">
        <v>476</v>
      </c>
      <c r="L111" s="5" t="s">
        <v>25</v>
      </c>
      <c r="M111" s="9">
        <v>4</v>
      </c>
      <c r="N111" s="10">
        <v>4</v>
      </c>
      <c r="O111" s="7" t="s">
        <v>462</v>
      </c>
      <c r="P111" s="11">
        <v>22041</v>
      </c>
      <c r="Q111" s="7" t="s">
        <v>778</v>
      </c>
      <c r="R111" s="7" t="s">
        <v>2529</v>
      </c>
      <c r="S111" s="7" t="s">
        <v>5457</v>
      </c>
      <c r="T111" s="7" t="s">
        <v>605</v>
      </c>
      <c r="AC111" s="2" t="s">
        <v>230</v>
      </c>
      <c r="AD111" s="698"/>
      <c r="AE111" s="655"/>
    </row>
    <row r="112" spans="1:31" ht="12" customHeight="1" thickBot="1">
      <c r="A112" s="938"/>
      <c r="B112" s="700" t="s">
        <v>274</v>
      </c>
      <c r="C112" s="699" t="s">
        <v>5342</v>
      </c>
      <c r="D112" s="356">
        <f t="shared" si="1"/>
        <v>29</v>
      </c>
      <c r="E112" s="702" t="s">
        <v>5</v>
      </c>
      <c r="F112" s="699"/>
      <c r="G112" s="703"/>
      <c r="H112" s="699"/>
      <c r="I112" s="699"/>
      <c r="J112" s="700" t="s">
        <v>16117</v>
      </c>
      <c r="K112" s="699"/>
      <c r="L112" s="699" t="s">
        <v>6</v>
      </c>
      <c r="M112" s="705"/>
      <c r="N112" s="706"/>
      <c r="O112" s="703" t="s">
        <v>463</v>
      </c>
      <c r="P112" s="707">
        <v>30575</v>
      </c>
      <c r="Q112" s="703" t="s">
        <v>259</v>
      </c>
      <c r="R112" s="703"/>
      <c r="S112" s="703"/>
      <c r="T112" s="703"/>
      <c r="U112" s="702"/>
      <c r="V112" s="702"/>
      <c r="W112" s="702"/>
      <c r="X112" s="702"/>
      <c r="Y112" s="702"/>
      <c r="Z112" s="702"/>
      <c r="AA112" s="702"/>
      <c r="AB112" s="702"/>
      <c r="AC112" s="702"/>
      <c r="AD112" s="708"/>
      <c r="AE112" s="655"/>
    </row>
    <row r="113" spans="1:31" ht="12" customHeight="1">
      <c r="A113" s="936" t="s">
        <v>18246</v>
      </c>
      <c r="B113" s="688" t="s">
        <v>278</v>
      </c>
      <c r="C113" s="689" t="s">
        <v>882</v>
      </c>
      <c r="D113" s="689">
        <f t="shared" si="1"/>
        <v>36</v>
      </c>
      <c r="E113" s="689" t="s">
        <v>5</v>
      </c>
      <c r="F113" s="689" t="s">
        <v>15273</v>
      </c>
      <c r="G113" s="691" t="s">
        <v>1343</v>
      </c>
      <c r="H113" s="689"/>
      <c r="I113" s="736"/>
      <c r="J113" s="692" t="s">
        <v>16126</v>
      </c>
      <c r="K113" s="689" t="s">
        <v>44</v>
      </c>
      <c r="L113" s="689" t="s">
        <v>25</v>
      </c>
      <c r="M113" s="693">
        <v>3</v>
      </c>
      <c r="N113" s="694">
        <v>3</v>
      </c>
      <c r="O113" s="691" t="s">
        <v>381</v>
      </c>
      <c r="P113" s="695">
        <v>28023</v>
      </c>
      <c r="Q113" s="691" t="s">
        <v>743</v>
      </c>
      <c r="R113" s="691" t="s">
        <v>837</v>
      </c>
      <c r="S113" s="691"/>
      <c r="T113" s="747"/>
      <c r="U113" s="696"/>
      <c r="V113" s="696"/>
      <c r="W113" s="696"/>
      <c r="X113" s="696"/>
      <c r="Y113" s="696"/>
      <c r="Z113" s="696"/>
      <c r="AA113" s="696"/>
      <c r="AB113" s="696"/>
      <c r="AC113" s="696"/>
      <c r="AD113" s="697"/>
      <c r="AE113" s="655"/>
    </row>
    <row r="114" spans="1:31" ht="12" customHeight="1">
      <c r="A114" s="937" t="s">
        <v>18220</v>
      </c>
      <c r="B114" s="4" t="s">
        <v>279</v>
      </c>
      <c r="C114" s="1" t="s">
        <v>281</v>
      </c>
      <c r="D114" s="5">
        <f t="shared" si="1"/>
        <v>57</v>
      </c>
      <c r="E114" s="2" t="s">
        <v>5</v>
      </c>
      <c r="F114" s="1" t="s">
        <v>15273</v>
      </c>
      <c r="J114" s="4" t="s">
        <v>16120</v>
      </c>
      <c r="K114" s="1" t="s">
        <v>30</v>
      </c>
      <c r="L114" s="1" t="s">
        <v>6</v>
      </c>
      <c r="O114" s="3" t="s">
        <v>283</v>
      </c>
      <c r="P114" s="20">
        <v>20206</v>
      </c>
      <c r="Q114" s="3" t="s">
        <v>282</v>
      </c>
      <c r="S114" s="3" t="s">
        <v>5457</v>
      </c>
      <c r="T114" s="3" t="s">
        <v>163</v>
      </c>
      <c r="V114" s="2" t="s">
        <v>163</v>
      </c>
      <c r="AD114" s="698"/>
      <c r="AE114" s="655"/>
    </row>
    <row r="115" spans="1:31" ht="12" customHeight="1">
      <c r="A115" s="937" t="s">
        <v>18223</v>
      </c>
      <c r="B115" s="4" t="s">
        <v>280</v>
      </c>
      <c r="C115" s="1" t="s">
        <v>1372</v>
      </c>
      <c r="D115" s="5">
        <f t="shared" si="1"/>
        <v>70</v>
      </c>
      <c r="E115" s="2" t="s">
        <v>5</v>
      </c>
      <c r="F115" s="1" t="s">
        <v>15273</v>
      </c>
      <c r="G115" s="3" t="s">
        <v>1373</v>
      </c>
      <c r="J115" s="4" t="s">
        <v>16125</v>
      </c>
      <c r="L115" s="1" t="s">
        <v>25</v>
      </c>
      <c r="M115" s="16">
        <v>1</v>
      </c>
      <c r="N115" s="17">
        <v>1</v>
      </c>
      <c r="O115" s="3" t="s">
        <v>1374</v>
      </c>
      <c r="P115" s="20">
        <v>15441</v>
      </c>
      <c r="Q115" s="3" t="s">
        <v>1375</v>
      </c>
      <c r="S115" s="3" t="s">
        <v>5561</v>
      </c>
      <c r="T115" s="3" t="s">
        <v>1376</v>
      </c>
      <c r="V115" s="2" t="s">
        <v>145</v>
      </c>
      <c r="AD115" s="698"/>
      <c r="AE115" s="655"/>
    </row>
    <row r="116" spans="1:31" ht="12" customHeight="1">
      <c r="A116" s="937" t="s">
        <v>18223</v>
      </c>
      <c r="B116" s="4" t="s">
        <v>1371</v>
      </c>
      <c r="C116" s="1" t="s">
        <v>5976</v>
      </c>
      <c r="D116" s="5">
        <f t="shared" si="1"/>
        <v>63</v>
      </c>
      <c r="E116" s="2" t="s">
        <v>5</v>
      </c>
      <c r="F116" s="1" t="s">
        <v>15273</v>
      </c>
      <c r="J116" s="4" t="s">
        <v>16116</v>
      </c>
      <c r="K116" s="1" t="s">
        <v>5969</v>
      </c>
      <c r="L116" s="1" t="s">
        <v>14</v>
      </c>
      <c r="M116" s="16">
        <v>1</v>
      </c>
      <c r="N116" s="17">
        <v>1</v>
      </c>
      <c r="O116" s="3" t="s">
        <v>381</v>
      </c>
      <c r="P116" s="20">
        <v>18186</v>
      </c>
      <c r="Q116" s="3" t="s">
        <v>5977</v>
      </c>
      <c r="AD116" s="698"/>
      <c r="AE116" s="655"/>
    </row>
    <row r="117" spans="1:31" ht="12" customHeight="1" thickBot="1">
      <c r="A117" s="938"/>
      <c r="B117" s="700" t="s">
        <v>5975</v>
      </c>
      <c r="C117" s="699" t="s">
        <v>284</v>
      </c>
      <c r="D117" s="356">
        <f t="shared" si="1"/>
        <v>62</v>
      </c>
      <c r="E117" s="702" t="s">
        <v>5</v>
      </c>
      <c r="F117" s="699"/>
      <c r="G117" s="703"/>
      <c r="H117" s="699"/>
      <c r="I117" s="699"/>
      <c r="J117" s="700" t="s">
        <v>16117</v>
      </c>
      <c r="K117" s="699"/>
      <c r="L117" s="699" t="s">
        <v>6</v>
      </c>
      <c r="M117" s="705"/>
      <c r="N117" s="706"/>
      <c r="O117" s="703" t="s">
        <v>285</v>
      </c>
      <c r="P117" s="723">
        <v>18496</v>
      </c>
      <c r="Q117" s="703" t="s">
        <v>286</v>
      </c>
      <c r="R117" s="703"/>
      <c r="S117" s="703"/>
      <c r="T117" s="703" t="s">
        <v>69</v>
      </c>
      <c r="U117" s="702"/>
      <c r="V117" s="702"/>
      <c r="W117" s="702"/>
      <c r="X117" s="702"/>
      <c r="Y117" s="702"/>
      <c r="Z117" s="702"/>
      <c r="AA117" s="702"/>
      <c r="AB117" s="702"/>
      <c r="AC117" s="702"/>
      <c r="AD117" s="708" t="s">
        <v>181</v>
      </c>
      <c r="AE117" s="655"/>
    </row>
    <row r="118" spans="1:31" ht="12" customHeight="1">
      <c r="A118" s="936" t="s">
        <v>18245</v>
      </c>
      <c r="B118" s="688" t="s">
        <v>287</v>
      </c>
      <c r="C118" s="689" t="s">
        <v>907</v>
      </c>
      <c r="D118" s="689">
        <f t="shared" si="1"/>
        <v>65</v>
      </c>
      <c r="E118" s="689" t="s">
        <v>5</v>
      </c>
      <c r="F118" s="689" t="s">
        <v>15273</v>
      </c>
      <c r="G118" s="691" t="s">
        <v>1344</v>
      </c>
      <c r="H118" s="689"/>
      <c r="I118" s="736"/>
      <c r="J118" s="692" t="s">
        <v>16127</v>
      </c>
      <c r="K118" s="689" t="s">
        <v>44</v>
      </c>
      <c r="L118" s="689" t="s">
        <v>25</v>
      </c>
      <c r="M118" s="693">
        <v>1</v>
      </c>
      <c r="N118" s="694">
        <v>1</v>
      </c>
      <c r="O118" s="691" t="s">
        <v>95</v>
      </c>
      <c r="P118" s="695">
        <v>17383</v>
      </c>
      <c r="Q118" s="735" t="s">
        <v>770</v>
      </c>
      <c r="R118" s="691"/>
      <c r="S118" s="691" t="s">
        <v>6214</v>
      </c>
      <c r="T118" s="691" t="s">
        <v>371</v>
      </c>
      <c r="U118" s="696"/>
      <c r="V118" s="696" t="s">
        <v>163</v>
      </c>
      <c r="W118" s="696" t="s">
        <v>291</v>
      </c>
      <c r="X118" s="696"/>
      <c r="Y118" s="696"/>
      <c r="Z118" s="696"/>
      <c r="AA118" s="696"/>
      <c r="AB118" s="696"/>
      <c r="AC118" s="696"/>
      <c r="AD118" s="697"/>
      <c r="AE118" s="655"/>
    </row>
    <row r="119" spans="1:31" ht="12" customHeight="1">
      <c r="A119" s="937" t="s">
        <v>18219</v>
      </c>
      <c r="B119" s="4" t="s">
        <v>288</v>
      </c>
      <c r="C119" s="6" t="s">
        <v>865</v>
      </c>
      <c r="D119" s="5">
        <f t="shared" si="1"/>
        <v>63</v>
      </c>
      <c r="E119" s="5" t="s">
        <v>5</v>
      </c>
      <c r="F119" s="6" t="s">
        <v>15273</v>
      </c>
      <c r="G119" s="7" t="s">
        <v>1315</v>
      </c>
      <c r="H119" s="5"/>
      <c r="I119" s="19"/>
      <c r="J119" s="4" t="s">
        <v>16120</v>
      </c>
      <c r="K119" s="5" t="s">
        <v>13</v>
      </c>
      <c r="L119" s="5" t="s">
        <v>25</v>
      </c>
      <c r="M119" s="9">
        <v>1</v>
      </c>
      <c r="N119" s="10">
        <v>5</v>
      </c>
      <c r="O119" s="7" t="s">
        <v>447</v>
      </c>
      <c r="P119" s="11">
        <v>18175</v>
      </c>
      <c r="Q119" s="7" t="s">
        <v>780</v>
      </c>
      <c r="R119" s="7" t="s">
        <v>806</v>
      </c>
      <c r="S119" s="7" t="s">
        <v>5457</v>
      </c>
      <c r="T119" s="7" t="s">
        <v>632</v>
      </c>
      <c r="U119" s="2" t="s">
        <v>47</v>
      </c>
      <c r="X119" s="2" t="s">
        <v>229</v>
      </c>
      <c r="AD119" s="698"/>
      <c r="AE119" s="655"/>
    </row>
    <row r="120" spans="1:31" ht="12" customHeight="1">
      <c r="A120" s="937"/>
      <c r="B120" s="4" t="s">
        <v>289</v>
      </c>
      <c r="C120" s="1" t="s">
        <v>292</v>
      </c>
      <c r="D120" s="5">
        <f t="shared" si="1"/>
        <v>57</v>
      </c>
      <c r="E120" s="2" t="s">
        <v>5</v>
      </c>
      <c r="J120" s="4" t="s">
        <v>16117</v>
      </c>
      <c r="L120" s="1" t="s">
        <v>6</v>
      </c>
      <c r="O120" s="3" t="s">
        <v>293</v>
      </c>
      <c r="P120" s="21">
        <v>20122</v>
      </c>
      <c r="Q120" s="3" t="s">
        <v>294</v>
      </c>
      <c r="AD120" s="698"/>
      <c r="AE120" s="655"/>
    </row>
    <row r="121" spans="1:31" ht="12" customHeight="1" thickBot="1">
      <c r="A121" s="938" t="s">
        <v>18223</v>
      </c>
      <c r="B121" s="700" t="s">
        <v>290</v>
      </c>
      <c r="C121" s="699" t="s">
        <v>295</v>
      </c>
      <c r="D121" s="356">
        <f t="shared" si="1"/>
        <v>65</v>
      </c>
      <c r="E121" s="702" t="s">
        <v>5</v>
      </c>
      <c r="F121" s="699" t="s">
        <v>15273</v>
      </c>
      <c r="G121" s="703"/>
      <c r="H121" s="699"/>
      <c r="I121" s="699"/>
      <c r="J121" s="700" t="s">
        <v>16121</v>
      </c>
      <c r="K121" s="699"/>
      <c r="L121" s="699" t="s">
        <v>6</v>
      </c>
      <c r="M121" s="705"/>
      <c r="N121" s="706"/>
      <c r="O121" s="703" t="s">
        <v>172</v>
      </c>
      <c r="P121" s="707">
        <v>17226</v>
      </c>
      <c r="Q121" s="703" t="s">
        <v>296</v>
      </c>
      <c r="R121" s="703"/>
      <c r="S121" s="703"/>
      <c r="T121" s="703" t="s">
        <v>163</v>
      </c>
      <c r="U121" s="702"/>
      <c r="V121" s="702" t="s">
        <v>163</v>
      </c>
      <c r="W121" s="702"/>
      <c r="X121" s="702"/>
      <c r="Y121" s="702"/>
      <c r="Z121" s="702"/>
      <c r="AA121" s="702"/>
      <c r="AB121" s="702"/>
      <c r="AC121" s="702"/>
      <c r="AD121" s="708"/>
      <c r="AE121" s="655"/>
    </row>
    <row r="122" spans="1:31" ht="12" customHeight="1">
      <c r="A122" s="936" t="s">
        <v>18245</v>
      </c>
      <c r="B122" s="688" t="s">
        <v>297</v>
      </c>
      <c r="C122" s="687" t="s">
        <v>1007</v>
      </c>
      <c r="D122" s="689">
        <f t="shared" si="1"/>
        <v>64</v>
      </c>
      <c r="E122" s="696" t="s">
        <v>19</v>
      </c>
      <c r="F122" s="689" t="s">
        <v>15273</v>
      </c>
      <c r="G122" s="747"/>
      <c r="H122" s="687"/>
      <c r="I122" s="687"/>
      <c r="J122" s="692" t="s">
        <v>16127</v>
      </c>
      <c r="K122" s="687" t="s">
        <v>45</v>
      </c>
      <c r="L122" s="687" t="s">
        <v>6</v>
      </c>
      <c r="M122" s="748"/>
      <c r="N122" s="749"/>
      <c r="O122" s="747" t="s">
        <v>302</v>
      </c>
      <c r="P122" s="773">
        <v>17674</v>
      </c>
      <c r="Q122" s="747" t="s">
        <v>1009</v>
      </c>
      <c r="R122" s="747"/>
      <c r="S122" s="747" t="s">
        <v>6214</v>
      </c>
      <c r="T122" s="747" t="s">
        <v>1008</v>
      </c>
      <c r="U122" s="696"/>
      <c r="V122" s="696" t="s">
        <v>145</v>
      </c>
      <c r="W122" s="696"/>
      <c r="X122" s="696"/>
      <c r="Y122" s="696"/>
      <c r="Z122" s="696"/>
      <c r="AA122" s="696"/>
      <c r="AB122" s="696"/>
      <c r="AC122" s="696"/>
      <c r="AD122" s="697"/>
      <c r="AE122" s="655"/>
    </row>
    <row r="123" spans="1:31" ht="12" customHeight="1">
      <c r="A123" s="937" t="s">
        <v>18219</v>
      </c>
      <c r="B123" s="4" t="s">
        <v>298</v>
      </c>
      <c r="C123" s="1" t="s">
        <v>301</v>
      </c>
      <c r="D123" s="5">
        <f t="shared" si="1"/>
        <v>48</v>
      </c>
      <c r="E123" s="2" t="s">
        <v>5</v>
      </c>
      <c r="F123" s="1" t="s">
        <v>15273</v>
      </c>
      <c r="J123" s="8" t="s">
        <v>16120</v>
      </c>
      <c r="K123" s="1" t="s">
        <v>30</v>
      </c>
      <c r="L123" s="1" t="s">
        <v>14</v>
      </c>
      <c r="M123" s="16">
        <v>2</v>
      </c>
      <c r="N123" s="17">
        <v>2</v>
      </c>
      <c r="O123" s="3" t="s">
        <v>302</v>
      </c>
      <c r="P123" s="20">
        <v>23522</v>
      </c>
      <c r="Q123" s="3" t="s">
        <v>303</v>
      </c>
      <c r="R123" s="3" t="s">
        <v>304</v>
      </c>
      <c r="T123" s="3" t="s">
        <v>104</v>
      </c>
      <c r="AA123" s="2" t="s">
        <v>151</v>
      </c>
      <c r="AD123" s="698"/>
      <c r="AE123" s="655"/>
    </row>
    <row r="124" spans="1:31" ht="12" customHeight="1">
      <c r="A124" s="937" t="s">
        <v>18245</v>
      </c>
      <c r="B124" s="4" t="s">
        <v>299</v>
      </c>
      <c r="C124" s="5" t="s">
        <v>862</v>
      </c>
      <c r="D124" s="5">
        <f t="shared" si="1"/>
        <v>62</v>
      </c>
      <c r="E124" s="5" t="s">
        <v>19</v>
      </c>
      <c r="F124" s="1" t="s">
        <v>15273</v>
      </c>
      <c r="G124" s="7" t="s">
        <v>1345</v>
      </c>
      <c r="H124" s="5"/>
      <c r="I124" s="19"/>
      <c r="J124" s="4" t="s">
        <v>16125</v>
      </c>
      <c r="K124" s="5"/>
      <c r="L124" s="5" t="s">
        <v>25</v>
      </c>
      <c r="M124" s="9">
        <v>1</v>
      </c>
      <c r="N124" s="10">
        <v>1</v>
      </c>
      <c r="O124" s="7" t="s">
        <v>467</v>
      </c>
      <c r="P124" s="11">
        <v>18257</v>
      </c>
      <c r="Q124" s="7" t="s">
        <v>771</v>
      </c>
      <c r="S124" s="3" t="s">
        <v>5561</v>
      </c>
      <c r="T124" s="3" t="s">
        <v>163</v>
      </c>
      <c r="V124" s="2" t="s">
        <v>163</v>
      </c>
      <c r="AD124" s="698"/>
      <c r="AE124" s="655"/>
    </row>
    <row r="125" spans="1:31" ht="12" customHeight="1">
      <c r="A125" s="937" t="s">
        <v>18245</v>
      </c>
      <c r="B125" s="4" t="s">
        <v>300</v>
      </c>
      <c r="C125" s="1" t="s">
        <v>4586</v>
      </c>
      <c r="D125" s="5">
        <f t="shared" si="1"/>
        <v>52</v>
      </c>
      <c r="E125" s="2" t="s">
        <v>5</v>
      </c>
      <c r="F125" s="1" t="s">
        <v>15273</v>
      </c>
      <c r="J125" s="4" t="s">
        <v>16116</v>
      </c>
      <c r="K125" s="1" t="s">
        <v>4993</v>
      </c>
      <c r="L125" s="1" t="s">
        <v>6</v>
      </c>
      <c r="O125" s="3" t="s">
        <v>4577</v>
      </c>
      <c r="P125" s="20">
        <v>22122</v>
      </c>
      <c r="Q125" s="3" t="s">
        <v>4587</v>
      </c>
      <c r="T125" s="3" t="s">
        <v>104</v>
      </c>
      <c r="AA125" s="2" t="s">
        <v>104</v>
      </c>
      <c r="AD125" s="698"/>
      <c r="AE125" s="655"/>
    </row>
    <row r="126" spans="1:31" ht="12" customHeight="1" thickBot="1">
      <c r="A126" s="938"/>
      <c r="B126" s="700" t="s">
        <v>4585</v>
      </c>
      <c r="C126" s="699" t="s">
        <v>305</v>
      </c>
      <c r="D126" s="356">
        <f t="shared" si="1"/>
        <v>68</v>
      </c>
      <c r="E126" s="702" t="s">
        <v>5</v>
      </c>
      <c r="F126" s="699"/>
      <c r="G126" s="703"/>
      <c r="H126" s="699"/>
      <c r="I126" s="699"/>
      <c r="J126" s="700" t="s">
        <v>16117</v>
      </c>
      <c r="K126" s="699"/>
      <c r="L126" s="699" t="s">
        <v>6</v>
      </c>
      <c r="M126" s="705"/>
      <c r="N126" s="706"/>
      <c r="O126" s="703" t="s">
        <v>306</v>
      </c>
      <c r="P126" s="707">
        <v>16099</v>
      </c>
      <c r="Q126" s="703" t="s">
        <v>307</v>
      </c>
      <c r="R126" s="703"/>
      <c r="S126" s="703"/>
      <c r="T126" s="703" t="s">
        <v>69</v>
      </c>
      <c r="U126" s="702"/>
      <c r="V126" s="702"/>
      <c r="W126" s="702"/>
      <c r="X126" s="702"/>
      <c r="Y126" s="702"/>
      <c r="Z126" s="702"/>
      <c r="AA126" s="702"/>
      <c r="AB126" s="702"/>
      <c r="AC126" s="702"/>
      <c r="AD126" s="708" t="s">
        <v>181</v>
      </c>
      <c r="AE126" s="655"/>
    </row>
    <row r="127" spans="1:31" ht="12" customHeight="1">
      <c r="A127" s="936" t="s">
        <v>18245</v>
      </c>
      <c r="B127" s="688" t="s">
        <v>308</v>
      </c>
      <c r="C127" s="689" t="s">
        <v>883</v>
      </c>
      <c r="D127" s="689">
        <f t="shared" si="1"/>
        <v>70</v>
      </c>
      <c r="E127" s="689" t="s">
        <v>5</v>
      </c>
      <c r="F127" s="689" t="s">
        <v>15273</v>
      </c>
      <c r="G127" s="691" t="s">
        <v>1346</v>
      </c>
      <c r="H127" s="689"/>
      <c r="I127" s="736"/>
      <c r="J127" s="692" t="s">
        <v>16126</v>
      </c>
      <c r="K127" s="689" t="s">
        <v>604</v>
      </c>
      <c r="L127" s="689" t="s">
        <v>25</v>
      </c>
      <c r="M127" s="693">
        <v>11</v>
      </c>
      <c r="N127" s="694">
        <v>11</v>
      </c>
      <c r="O127" s="691" t="s">
        <v>123</v>
      </c>
      <c r="P127" s="695">
        <v>15365</v>
      </c>
      <c r="Q127" s="691" t="s">
        <v>749</v>
      </c>
      <c r="R127" s="691" t="s">
        <v>832</v>
      </c>
      <c r="S127" s="691" t="s">
        <v>6214</v>
      </c>
      <c r="T127" s="691" t="s">
        <v>104</v>
      </c>
      <c r="U127" s="696"/>
      <c r="V127" s="696"/>
      <c r="W127" s="696"/>
      <c r="X127" s="696"/>
      <c r="Y127" s="696"/>
      <c r="Z127" s="696"/>
      <c r="AA127" s="696" t="s">
        <v>151</v>
      </c>
      <c r="AB127" s="696"/>
      <c r="AC127" s="696"/>
      <c r="AD127" s="697"/>
      <c r="AE127" s="655"/>
    </row>
    <row r="128" spans="1:31" ht="12" customHeight="1">
      <c r="A128" s="937" t="s">
        <v>18219</v>
      </c>
      <c r="B128" s="4" t="s">
        <v>309</v>
      </c>
      <c r="C128" s="5" t="s">
        <v>850</v>
      </c>
      <c r="D128" s="5">
        <f t="shared" si="1"/>
        <v>62</v>
      </c>
      <c r="E128" s="5" t="s">
        <v>5</v>
      </c>
      <c r="F128" s="6" t="s">
        <v>15273</v>
      </c>
      <c r="G128" s="7" t="s">
        <v>1314</v>
      </c>
      <c r="H128" s="5"/>
      <c r="I128" s="19"/>
      <c r="J128" s="4" t="s">
        <v>16120</v>
      </c>
      <c r="K128" s="5" t="s">
        <v>30</v>
      </c>
      <c r="L128" s="5" t="s">
        <v>25</v>
      </c>
      <c r="M128" s="9">
        <v>5</v>
      </c>
      <c r="N128" s="10">
        <v>5</v>
      </c>
      <c r="O128" s="7" t="s">
        <v>381</v>
      </c>
      <c r="P128" s="11">
        <v>18280</v>
      </c>
      <c r="Q128" s="7" t="s">
        <v>842</v>
      </c>
      <c r="R128" s="7" t="s">
        <v>807</v>
      </c>
      <c r="S128" s="7" t="s">
        <v>5457</v>
      </c>
      <c r="T128" s="3" t="s">
        <v>163</v>
      </c>
      <c r="V128" s="2" t="s">
        <v>163</v>
      </c>
      <c r="AD128" s="698"/>
      <c r="AE128" s="655"/>
    </row>
    <row r="129" spans="1:31" ht="12" customHeight="1" thickBot="1">
      <c r="A129" s="938"/>
      <c r="B129" s="700" t="s">
        <v>310</v>
      </c>
      <c r="C129" s="699" t="s">
        <v>16099</v>
      </c>
      <c r="D129" s="356">
        <f t="shared" si="1"/>
        <v>39</v>
      </c>
      <c r="E129" s="702" t="s">
        <v>5</v>
      </c>
      <c r="F129" s="699"/>
      <c r="G129" s="703"/>
      <c r="H129" s="699"/>
      <c r="I129" s="699"/>
      <c r="J129" s="700" t="s">
        <v>16117</v>
      </c>
      <c r="K129" s="699"/>
      <c r="L129" s="699" t="s">
        <v>6</v>
      </c>
      <c r="M129" s="705"/>
      <c r="N129" s="706"/>
      <c r="O129" s="703" t="s">
        <v>311</v>
      </c>
      <c r="P129" s="707">
        <v>27011</v>
      </c>
      <c r="Q129" s="703" t="s">
        <v>16100</v>
      </c>
      <c r="R129" s="703"/>
      <c r="S129" s="703"/>
      <c r="T129" s="703"/>
      <c r="U129" s="702"/>
      <c r="V129" s="702"/>
      <c r="W129" s="702"/>
      <c r="X129" s="702"/>
      <c r="Y129" s="702"/>
      <c r="Z129" s="702"/>
      <c r="AA129" s="702"/>
      <c r="AB129" s="702"/>
      <c r="AC129" s="702"/>
      <c r="AD129" s="708"/>
      <c r="AE129" s="655"/>
    </row>
    <row r="130" spans="1:31" ht="12" customHeight="1">
      <c r="A130" s="936" t="s">
        <v>18246</v>
      </c>
      <c r="B130" s="688" t="s">
        <v>312</v>
      </c>
      <c r="C130" s="689" t="s">
        <v>864</v>
      </c>
      <c r="D130" s="689">
        <f t="shared" ref="D130:D193" si="2">DATEDIF(P130,$P$1298,"Y")</f>
        <v>47</v>
      </c>
      <c r="E130" s="689" t="s">
        <v>5</v>
      </c>
      <c r="F130" s="689" t="s">
        <v>15273</v>
      </c>
      <c r="G130" s="691" t="s">
        <v>1347</v>
      </c>
      <c r="H130" s="689"/>
      <c r="I130" s="736"/>
      <c r="J130" s="692" t="s">
        <v>16127</v>
      </c>
      <c r="K130" s="689" t="s">
        <v>44</v>
      </c>
      <c r="L130" s="689" t="s">
        <v>25</v>
      </c>
      <c r="M130" s="693">
        <v>3</v>
      </c>
      <c r="N130" s="694">
        <v>3</v>
      </c>
      <c r="O130" s="691" t="s">
        <v>31</v>
      </c>
      <c r="P130" s="695">
        <v>23881</v>
      </c>
      <c r="Q130" s="691" t="s">
        <v>773</v>
      </c>
      <c r="R130" s="691" t="s">
        <v>822</v>
      </c>
      <c r="S130" s="691" t="s">
        <v>6214</v>
      </c>
      <c r="T130" s="691" t="s">
        <v>637</v>
      </c>
      <c r="U130" s="696"/>
      <c r="V130" s="696"/>
      <c r="W130" s="696"/>
      <c r="X130" s="696"/>
      <c r="Y130" s="696" t="s">
        <v>155</v>
      </c>
      <c r="Z130" s="696"/>
      <c r="AA130" s="696" t="s">
        <v>151</v>
      </c>
      <c r="AB130" s="696"/>
      <c r="AC130" s="696"/>
      <c r="AD130" s="697"/>
      <c r="AE130" s="655"/>
    </row>
    <row r="131" spans="1:31" ht="12" customHeight="1">
      <c r="A131" s="937" t="s">
        <v>18220</v>
      </c>
      <c r="B131" s="4" t="s">
        <v>313</v>
      </c>
      <c r="C131" s="1" t="s">
        <v>316</v>
      </c>
      <c r="D131" s="5">
        <f t="shared" si="2"/>
        <v>30</v>
      </c>
      <c r="E131" s="2" t="s">
        <v>5</v>
      </c>
      <c r="F131" s="1" t="s">
        <v>15273</v>
      </c>
      <c r="J131" s="4" t="s">
        <v>16120</v>
      </c>
      <c r="K131" s="1" t="s">
        <v>30</v>
      </c>
      <c r="L131" s="1" t="s">
        <v>6</v>
      </c>
      <c r="O131" s="3" t="s">
        <v>317</v>
      </c>
      <c r="P131" s="20">
        <v>29981</v>
      </c>
      <c r="Q131" s="3" t="s">
        <v>318</v>
      </c>
      <c r="S131" s="3" t="s">
        <v>15615</v>
      </c>
      <c r="T131" s="3" t="s">
        <v>47</v>
      </c>
      <c r="U131" s="2" t="s">
        <v>47</v>
      </c>
      <c r="AD131" s="698"/>
      <c r="AE131" s="655"/>
    </row>
    <row r="132" spans="1:31" ht="12" customHeight="1">
      <c r="A132" s="937" t="s">
        <v>18223</v>
      </c>
      <c r="B132" s="4" t="s">
        <v>314</v>
      </c>
      <c r="C132" s="1" t="s">
        <v>320</v>
      </c>
      <c r="D132" s="5">
        <f t="shared" si="2"/>
        <v>53</v>
      </c>
      <c r="E132" s="2" t="s">
        <v>5</v>
      </c>
      <c r="F132" s="1" t="s">
        <v>15273</v>
      </c>
      <c r="J132" s="4" t="s">
        <v>16116</v>
      </c>
      <c r="K132" s="1" t="s">
        <v>5242</v>
      </c>
      <c r="L132" s="1" t="s">
        <v>6</v>
      </c>
      <c r="O132" s="3" t="s">
        <v>321</v>
      </c>
      <c r="P132" s="20">
        <v>21743</v>
      </c>
      <c r="Q132" s="3" t="s">
        <v>322</v>
      </c>
      <c r="T132" s="3" t="s">
        <v>163</v>
      </c>
      <c r="V132" s="2" t="s">
        <v>163</v>
      </c>
      <c r="AD132" s="698"/>
      <c r="AE132" s="655"/>
    </row>
    <row r="133" spans="1:31" ht="12" customHeight="1" thickBot="1">
      <c r="A133" s="938"/>
      <c r="B133" s="700" t="s">
        <v>315</v>
      </c>
      <c r="C133" s="699" t="s">
        <v>319</v>
      </c>
      <c r="D133" s="356">
        <f t="shared" si="2"/>
        <v>47</v>
      </c>
      <c r="E133" s="702" t="s">
        <v>5</v>
      </c>
      <c r="F133" s="699"/>
      <c r="G133" s="703"/>
      <c r="H133" s="699"/>
      <c r="I133" s="699"/>
      <c r="J133" s="700" t="s">
        <v>16117</v>
      </c>
      <c r="K133" s="699"/>
      <c r="L133" s="699" t="s">
        <v>6</v>
      </c>
      <c r="M133" s="705"/>
      <c r="N133" s="706"/>
      <c r="O133" s="703" t="s">
        <v>311</v>
      </c>
      <c r="P133" s="707">
        <v>23801</v>
      </c>
      <c r="Q133" s="703" t="s">
        <v>16101</v>
      </c>
      <c r="R133" s="703"/>
      <c r="S133" s="703"/>
      <c r="T133" s="703"/>
      <c r="U133" s="702"/>
      <c r="V133" s="702"/>
      <c r="W133" s="702"/>
      <c r="X133" s="702"/>
      <c r="Y133" s="702"/>
      <c r="Z133" s="702"/>
      <c r="AA133" s="702"/>
      <c r="AB133" s="702"/>
      <c r="AC133" s="702"/>
      <c r="AD133" s="708"/>
      <c r="AE133" s="655"/>
    </row>
    <row r="134" spans="1:31" ht="12" customHeight="1">
      <c r="A134" s="936" t="s">
        <v>18220</v>
      </c>
      <c r="B134" s="688" t="s">
        <v>323</v>
      </c>
      <c r="C134" s="689" t="s">
        <v>854</v>
      </c>
      <c r="D134" s="689">
        <f t="shared" si="2"/>
        <v>73</v>
      </c>
      <c r="E134" s="689" t="s">
        <v>5</v>
      </c>
      <c r="F134" s="689"/>
      <c r="G134" s="691" t="s">
        <v>1348</v>
      </c>
      <c r="H134" s="689"/>
      <c r="I134" s="736"/>
      <c r="J134" s="692" t="s">
        <v>16120</v>
      </c>
      <c r="K134" s="689" t="s">
        <v>30</v>
      </c>
      <c r="L134" s="689" t="s">
        <v>25</v>
      </c>
      <c r="M134" s="693">
        <v>13</v>
      </c>
      <c r="N134" s="694">
        <v>13</v>
      </c>
      <c r="O134" s="691" t="s">
        <v>454</v>
      </c>
      <c r="P134" s="695">
        <v>14413</v>
      </c>
      <c r="Q134" s="691" t="s">
        <v>745</v>
      </c>
      <c r="R134" s="691" t="s">
        <v>814</v>
      </c>
      <c r="S134" s="691" t="s">
        <v>5457</v>
      </c>
      <c r="T134" s="691" t="s">
        <v>633</v>
      </c>
      <c r="U134" s="696" t="s">
        <v>47</v>
      </c>
      <c r="V134" s="696"/>
      <c r="W134" s="696"/>
      <c r="X134" s="696"/>
      <c r="Y134" s="696"/>
      <c r="Z134" s="696"/>
      <c r="AA134" s="696" t="s">
        <v>151</v>
      </c>
      <c r="AB134" s="696"/>
      <c r="AC134" s="696"/>
      <c r="AD134" s="697"/>
      <c r="AE134" s="655"/>
    </row>
    <row r="135" spans="1:31" ht="12" customHeight="1">
      <c r="A135" s="937" t="s">
        <v>18223</v>
      </c>
      <c r="B135" s="4" t="s">
        <v>324</v>
      </c>
      <c r="C135" s="1" t="s">
        <v>330</v>
      </c>
      <c r="D135" s="5">
        <f t="shared" si="2"/>
        <v>45</v>
      </c>
      <c r="E135" s="2" t="s">
        <v>5</v>
      </c>
      <c r="F135" s="1" t="s">
        <v>15273</v>
      </c>
      <c r="J135" s="4" t="s">
        <v>16116</v>
      </c>
      <c r="K135" s="1" t="s">
        <v>4992</v>
      </c>
      <c r="L135" s="1" t="s">
        <v>6</v>
      </c>
      <c r="O135" s="3" t="s">
        <v>311</v>
      </c>
      <c r="P135" s="20">
        <v>24584</v>
      </c>
      <c r="Q135" s="3" t="s">
        <v>331</v>
      </c>
      <c r="T135" s="3" t="s">
        <v>163</v>
      </c>
      <c r="V135" s="2" t="s">
        <v>163</v>
      </c>
      <c r="AD135" s="698"/>
      <c r="AE135" s="655"/>
    </row>
    <row r="136" spans="1:31" ht="12" customHeight="1">
      <c r="A136" s="937"/>
      <c r="B136" s="4" t="s">
        <v>325</v>
      </c>
      <c r="C136" s="1" t="s">
        <v>328</v>
      </c>
      <c r="D136" s="5">
        <f t="shared" si="2"/>
        <v>34</v>
      </c>
      <c r="E136" s="2" t="s">
        <v>5</v>
      </c>
      <c r="J136" s="4" t="s">
        <v>16117</v>
      </c>
      <c r="L136" s="1" t="s">
        <v>6</v>
      </c>
      <c r="O136" s="3" t="s">
        <v>329</v>
      </c>
      <c r="P136" s="20">
        <v>28586</v>
      </c>
      <c r="Q136" s="3" t="s">
        <v>53</v>
      </c>
      <c r="AD136" s="698"/>
      <c r="AE136" s="655"/>
    </row>
    <row r="137" spans="1:31" ht="12" customHeight="1">
      <c r="A137" s="937" t="s">
        <v>18223</v>
      </c>
      <c r="B137" s="4" t="s">
        <v>326</v>
      </c>
      <c r="C137" s="6" t="s">
        <v>859</v>
      </c>
      <c r="D137" s="5">
        <f t="shared" si="2"/>
        <v>64</v>
      </c>
      <c r="E137" s="6" t="s">
        <v>5</v>
      </c>
      <c r="F137" s="1" t="s">
        <v>15273</v>
      </c>
      <c r="G137" s="12" t="s">
        <v>1316</v>
      </c>
      <c r="H137" s="6"/>
      <c r="I137" s="19"/>
      <c r="J137" s="8" t="s">
        <v>16121</v>
      </c>
      <c r="K137" s="6"/>
      <c r="L137" s="6" t="s">
        <v>25</v>
      </c>
      <c r="M137" s="13">
        <v>1</v>
      </c>
      <c r="N137" s="14">
        <v>1</v>
      </c>
      <c r="O137" s="12" t="s">
        <v>1435</v>
      </c>
      <c r="P137" s="15">
        <v>17742</v>
      </c>
      <c r="Q137" s="12" t="s">
        <v>843</v>
      </c>
      <c r="R137" s="12"/>
      <c r="S137" s="12"/>
      <c r="T137" s="12" t="s">
        <v>148</v>
      </c>
      <c r="V137" s="2" t="s">
        <v>163</v>
      </c>
      <c r="AD137" s="698" t="s">
        <v>69</v>
      </c>
      <c r="AE137" s="655"/>
    </row>
    <row r="138" spans="1:31" ht="12" customHeight="1" thickBot="1">
      <c r="A138" s="938" t="s">
        <v>18246</v>
      </c>
      <c r="B138" s="700" t="s">
        <v>327</v>
      </c>
      <c r="C138" s="699" t="s">
        <v>332</v>
      </c>
      <c r="D138" s="356">
        <f t="shared" si="2"/>
        <v>53</v>
      </c>
      <c r="E138" s="702" t="s">
        <v>5</v>
      </c>
      <c r="F138" s="699"/>
      <c r="G138" s="703"/>
      <c r="H138" s="699"/>
      <c r="I138" s="699"/>
      <c r="J138" s="700" t="s">
        <v>16129</v>
      </c>
      <c r="K138" s="699"/>
      <c r="L138" s="699" t="s">
        <v>6</v>
      </c>
      <c r="M138" s="705"/>
      <c r="N138" s="706"/>
      <c r="O138" s="703" t="s">
        <v>317</v>
      </c>
      <c r="P138" s="707">
        <v>21779</v>
      </c>
      <c r="Q138" s="703" t="s">
        <v>2928</v>
      </c>
      <c r="R138" s="703"/>
      <c r="S138" s="703"/>
      <c r="T138" s="703" t="s">
        <v>333</v>
      </c>
      <c r="U138" s="702" t="s">
        <v>334</v>
      </c>
      <c r="V138" s="702"/>
      <c r="W138" s="702" t="s">
        <v>291</v>
      </c>
      <c r="X138" s="702"/>
      <c r="Y138" s="702"/>
      <c r="Z138" s="702"/>
      <c r="AA138" s="702"/>
      <c r="AB138" s="702"/>
      <c r="AC138" s="702"/>
      <c r="AD138" s="708"/>
      <c r="AE138" s="655"/>
    </row>
    <row r="139" spans="1:31" ht="12" customHeight="1">
      <c r="A139" s="936" t="s">
        <v>18223</v>
      </c>
      <c r="B139" s="688" t="s">
        <v>335</v>
      </c>
      <c r="C139" s="687" t="s">
        <v>5538</v>
      </c>
      <c r="D139" s="689">
        <f t="shared" si="2"/>
        <v>43</v>
      </c>
      <c r="E139" s="696" t="s">
        <v>5</v>
      </c>
      <c r="F139" s="689" t="s">
        <v>15273</v>
      </c>
      <c r="G139" s="747"/>
      <c r="H139" s="687"/>
      <c r="I139" s="687"/>
      <c r="J139" s="692" t="s">
        <v>16127</v>
      </c>
      <c r="K139" s="687" t="s">
        <v>44</v>
      </c>
      <c r="L139" s="687" t="s">
        <v>6</v>
      </c>
      <c r="M139" s="748"/>
      <c r="N139" s="749"/>
      <c r="O139" s="747" t="s">
        <v>5539</v>
      </c>
      <c r="P139" s="719">
        <v>25514</v>
      </c>
      <c r="Q139" s="747" t="s">
        <v>5540</v>
      </c>
      <c r="R139" s="747"/>
      <c r="S139" s="747"/>
      <c r="T139" s="747" t="s">
        <v>635</v>
      </c>
      <c r="U139" s="696"/>
      <c r="V139" s="696" t="s">
        <v>145</v>
      </c>
      <c r="W139" s="696"/>
      <c r="X139" s="696"/>
      <c r="Y139" s="696"/>
      <c r="Z139" s="696"/>
      <c r="AA139" s="696"/>
      <c r="AB139" s="696"/>
      <c r="AC139" s="696" t="s">
        <v>5541</v>
      </c>
      <c r="AD139" s="697"/>
      <c r="AE139" s="655"/>
    </row>
    <row r="140" spans="1:31" ht="12" customHeight="1">
      <c r="A140" s="937" t="s">
        <v>18219</v>
      </c>
      <c r="B140" s="4" t="s">
        <v>336</v>
      </c>
      <c r="C140" s="1" t="s">
        <v>339</v>
      </c>
      <c r="D140" s="5">
        <f t="shared" si="2"/>
        <v>57</v>
      </c>
      <c r="E140" s="2" t="s">
        <v>5</v>
      </c>
      <c r="F140" s="1" t="s">
        <v>15273</v>
      </c>
      <c r="J140" s="4" t="s">
        <v>16120</v>
      </c>
      <c r="K140" s="1" t="s">
        <v>48</v>
      </c>
      <c r="L140" s="1" t="s">
        <v>14</v>
      </c>
      <c r="M140" s="16">
        <v>1</v>
      </c>
      <c r="N140" s="17">
        <v>1</v>
      </c>
      <c r="O140" s="3" t="s">
        <v>188</v>
      </c>
      <c r="P140" s="20">
        <v>20342</v>
      </c>
      <c r="Q140" s="3" t="s">
        <v>340</v>
      </c>
      <c r="S140" s="3" t="s">
        <v>5457</v>
      </c>
      <c r="T140" s="3" t="s">
        <v>104</v>
      </c>
      <c r="AA140" s="2" t="s">
        <v>151</v>
      </c>
      <c r="AD140" s="698"/>
      <c r="AE140" s="655"/>
    </row>
    <row r="141" spans="1:31" ht="12" customHeight="1">
      <c r="A141" s="937" t="s">
        <v>18245</v>
      </c>
      <c r="B141" s="4" t="s">
        <v>337</v>
      </c>
      <c r="C141" s="5" t="s">
        <v>901</v>
      </c>
      <c r="D141" s="5">
        <f t="shared" si="2"/>
        <v>39</v>
      </c>
      <c r="E141" s="5" t="s">
        <v>5</v>
      </c>
      <c r="F141" s="1" t="s">
        <v>15273</v>
      </c>
      <c r="G141" s="7" t="s">
        <v>1349</v>
      </c>
      <c r="H141" s="5"/>
      <c r="I141" s="19"/>
      <c r="J141" s="4" t="s">
        <v>16125</v>
      </c>
      <c r="K141" s="5"/>
      <c r="L141" s="5" t="s">
        <v>25</v>
      </c>
      <c r="M141" s="9">
        <v>1</v>
      </c>
      <c r="N141" s="10">
        <v>1</v>
      </c>
      <c r="O141" s="7" t="s">
        <v>31</v>
      </c>
      <c r="P141" s="11">
        <v>26745</v>
      </c>
      <c r="Q141" s="7" t="s">
        <v>790</v>
      </c>
      <c r="R141" s="7"/>
      <c r="S141" s="7" t="s">
        <v>5561</v>
      </c>
      <c r="T141" s="7" t="s">
        <v>572</v>
      </c>
      <c r="V141" s="2" t="s">
        <v>163</v>
      </c>
      <c r="AA141" s="2" t="s">
        <v>151</v>
      </c>
      <c r="AD141" s="698"/>
      <c r="AE141" s="655"/>
    </row>
    <row r="142" spans="1:31" ht="12" customHeight="1" thickBot="1">
      <c r="A142" s="938"/>
      <c r="B142" s="700" t="s">
        <v>338</v>
      </c>
      <c r="C142" s="699" t="s">
        <v>341</v>
      </c>
      <c r="D142" s="356">
        <f t="shared" si="2"/>
        <v>59</v>
      </c>
      <c r="E142" s="702" t="s">
        <v>19</v>
      </c>
      <c r="F142" s="699"/>
      <c r="G142" s="703"/>
      <c r="H142" s="699"/>
      <c r="I142" s="699"/>
      <c r="J142" s="700" t="s">
        <v>16117</v>
      </c>
      <c r="K142" s="699"/>
      <c r="L142" s="699" t="s">
        <v>6</v>
      </c>
      <c r="M142" s="705"/>
      <c r="N142" s="706"/>
      <c r="O142" s="703" t="s">
        <v>1603</v>
      </c>
      <c r="P142" s="723">
        <v>19371</v>
      </c>
      <c r="Q142" s="703" t="s">
        <v>16102</v>
      </c>
      <c r="R142" s="703"/>
      <c r="S142" s="703"/>
      <c r="T142" s="703" t="s">
        <v>69</v>
      </c>
      <c r="U142" s="702"/>
      <c r="V142" s="702"/>
      <c r="W142" s="702"/>
      <c r="X142" s="702"/>
      <c r="Y142" s="702"/>
      <c r="Z142" s="702"/>
      <c r="AA142" s="702"/>
      <c r="AB142" s="702"/>
      <c r="AC142" s="702"/>
      <c r="AD142" s="708" t="s">
        <v>181</v>
      </c>
      <c r="AE142" s="655"/>
    </row>
    <row r="143" spans="1:31" ht="12" customHeight="1">
      <c r="A143" s="936" t="s">
        <v>18223</v>
      </c>
      <c r="B143" s="688" t="s">
        <v>342</v>
      </c>
      <c r="C143" s="687" t="s">
        <v>5651</v>
      </c>
      <c r="D143" s="689">
        <f t="shared" si="2"/>
        <v>63</v>
      </c>
      <c r="E143" s="696" t="s">
        <v>5</v>
      </c>
      <c r="F143" s="689" t="s">
        <v>15273</v>
      </c>
      <c r="G143" s="747"/>
      <c r="H143" s="687"/>
      <c r="I143" s="687"/>
      <c r="J143" s="692" t="s">
        <v>16126</v>
      </c>
      <c r="K143" s="687" t="s">
        <v>44</v>
      </c>
      <c r="L143" s="687" t="s">
        <v>6</v>
      </c>
      <c r="M143" s="748"/>
      <c r="N143" s="749"/>
      <c r="O143" s="747" t="s">
        <v>5688</v>
      </c>
      <c r="P143" s="773">
        <v>18025</v>
      </c>
      <c r="Q143" s="747" t="s">
        <v>5689</v>
      </c>
      <c r="R143" s="747"/>
      <c r="S143" s="747"/>
      <c r="T143" s="747" t="s">
        <v>5690</v>
      </c>
      <c r="U143" s="696"/>
      <c r="V143" s="696" t="s">
        <v>145</v>
      </c>
      <c r="W143" s="696"/>
      <c r="X143" s="696"/>
      <c r="Y143" s="696"/>
      <c r="Z143" s="696"/>
      <c r="AA143" s="696"/>
      <c r="AB143" s="696"/>
      <c r="AC143" s="696"/>
      <c r="AD143" s="697"/>
      <c r="AE143" s="655"/>
    </row>
    <row r="144" spans="1:31" ht="12" customHeight="1">
      <c r="A144" s="937" t="s">
        <v>18219</v>
      </c>
      <c r="B144" s="4" t="s">
        <v>343</v>
      </c>
      <c r="C144" s="1" t="s">
        <v>350</v>
      </c>
      <c r="D144" s="5">
        <f t="shared" si="2"/>
        <v>61</v>
      </c>
      <c r="E144" s="2" t="s">
        <v>5</v>
      </c>
      <c r="F144" s="1" t="s">
        <v>15273</v>
      </c>
      <c r="J144" s="4" t="s">
        <v>16120</v>
      </c>
      <c r="K144" s="1" t="s">
        <v>476</v>
      </c>
      <c r="L144" s="1" t="s">
        <v>14</v>
      </c>
      <c r="M144" s="16">
        <v>5</v>
      </c>
      <c r="N144" s="17">
        <v>5</v>
      </c>
      <c r="O144" s="3" t="s">
        <v>352</v>
      </c>
      <c r="P144" s="20">
        <v>18694</v>
      </c>
      <c r="Q144" s="3" t="s">
        <v>351</v>
      </c>
      <c r="R144" s="3" t="s">
        <v>353</v>
      </c>
      <c r="S144" s="3" t="s">
        <v>5457</v>
      </c>
      <c r="T144" s="3" t="s">
        <v>355</v>
      </c>
      <c r="U144" s="2" t="s">
        <v>47</v>
      </c>
      <c r="AA144" s="2" t="s">
        <v>356</v>
      </c>
      <c r="AD144" s="698"/>
      <c r="AE144" s="655"/>
    </row>
    <row r="145" spans="1:31" ht="12" customHeight="1">
      <c r="A145" s="937" t="s">
        <v>18245</v>
      </c>
      <c r="B145" s="4" t="s">
        <v>344</v>
      </c>
      <c r="C145" s="5" t="s">
        <v>908</v>
      </c>
      <c r="D145" s="5">
        <f t="shared" si="2"/>
        <v>33</v>
      </c>
      <c r="E145" s="5" t="s">
        <v>19</v>
      </c>
      <c r="F145" s="1" t="s">
        <v>15273</v>
      </c>
      <c r="G145" s="7" t="s">
        <v>1350</v>
      </c>
      <c r="H145" s="5"/>
      <c r="I145" s="19"/>
      <c r="J145" s="4" t="s">
        <v>16125</v>
      </c>
      <c r="K145" s="5"/>
      <c r="L145" s="5" t="s">
        <v>25</v>
      </c>
      <c r="M145" s="9">
        <v>2</v>
      </c>
      <c r="N145" s="10">
        <v>2</v>
      </c>
      <c r="O145" s="7" t="s">
        <v>1436</v>
      </c>
      <c r="P145" s="11">
        <v>29095</v>
      </c>
      <c r="Q145" s="7" t="s">
        <v>776</v>
      </c>
      <c r="S145" s="3" t="s">
        <v>5561</v>
      </c>
      <c r="T145" s="3" t="s">
        <v>357</v>
      </c>
      <c r="V145" s="2" t="s">
        <v>145</v>
      </c>
      <c r="AD145" s="698"/>
      <c r="AE145" s="655"/>
    </row>
    <row r="146" spans="1:31" ht="12" customHeight="1">
      <c r="A146" s="937"/>
      <c r="B146" s="4" t="s">
        <v>345</v>
      </c>
      <c r="C146" s="1" t="s">
        <v>5348</v>
      </c>
      <c r="D146" s="5">
        <f t="shared" si="2"/>
        <v>31</v>
      </c>
      <c r="E146" s="2" t="s">
        <v>5</v>
      </c>
      <c r="F146" s="1" t="s">
        <v>15273</v>
      </c>
      <c r="J146" s="4" t="s">
        <v>16116</v>
      </c>
      <c r="K146" s="1" t="s">
        <v>5298</v>
      </c>
      <c r="L146" s="1" t="s">
        <v>6</v>
      </c>
      <c r="O146" s="3" t="s">
        <v>455</v>
      </c>
      <c r="P146" s="20">
        <v>29583</v>
      </c>
      <c r="Q146" s="3" t="s">
        <v>16304</v>
      </c>
      <c r="S146" s="3" t="s">
        <v>6029</v>
      </c>
      <c r="AD146" s="698"/>
      <c r="AE146" s="655"/>
    </row>
    <row r="147" spans="1:31" ht="12" customHeight="1" thickBot="1">
      <c r="A147" s="938"/>
      <c r="B147" s="700" t="s">
        <v>5347</v>
      </c>
      <c r="C147" s="699" t="s">
        <v>5504</v>
      </c>
      <c r="D147" s="356">
        <f t="shared" si="2"/>
        <v>60</v>
      </c>
      <c r="E147" s="702" t="s">
        <v>5</v>
      </c>
      <c r="F147" s="699"/>
      <c r="G147" s="703"/>
      <c r="H147" s="699"/>
      <c r="I147" s="699"/>
      <c r="J147" s="700" t="s">
        <v>16117</v>
      </c>
      <c r="K147" s="699"/>
      <c r="L147" s="699" t="s">
        <v>6</v>
      </c>
      <c r="M147" s="705"/>
      <c r="N147" s="706"/>
      <c r="O147" s="703" t="s">
        <v>5505</v>
      </c>
      <c r="P147" s="723">
        <v>19120</v>
      </c>
      <c r="Q147" s="703" t="s">
        <v>531</v>
      </c>
      <c r="R147" s="703"/>
      <c r="S147" s="703"/>
      <c r="T147" s="703"/>
      <c r="U147" s="702"/>
      <c r="V147" s="702"/>
      <c r="W147" s="702"/>
      <c r="X147" s="702"/>
      <c r="Y147" s="702"/>
      <c r="Z147" s="702"/>
      <c r="AA147" s="702"/>
      <c r="AB147" s="702"/>
      <c r="AC147" s="702"/>
      <c r="AD147" s="708"/>
      <c r="AE147" s="655"/>
    </row>
    <row r="148" spans="1:31" ht="12" customHeight="1">
      <c r="A148" s="936" t="s">
        <v>18219</v>
      </c>
      <c r="B148" s="688" t="s">
        <v>360</v>
      </c>
      <c r="C148" s="689" t="s">
        <v>867</v>
      </c>
      <c r="D148" s="689">
        <f t="shared" si="2"/>
        <v>48</v>
      </c>
      <c r="E148" s="689" t="s">
        <v>5</v>
      </c>
      <c r="F148" s="689" t="s">
        <v>15273</v>
      </c>
      <c r="G148" s="691" t="s">
        <v>1351</v>
      </c>
      <c r="H148" s="689"/>
      <c r="I148" s="736"/>
      <c r="J148" s="692" t="s">
        <v>16127</v>
      </c>
      <c r="K148" s="689" t="s">
        <v>24</v>
      </c>
      <c r="L148" s="689" t="s">
        <v>25</v>
      </c>
      <c r="M148" s="693">
        <v>6</v>
      </c>
      <c r="N148" s="694">
        <v>6</v>
      </c>
      <c r="O148" s="691" t="s">
        <v>450</v>
      </c>
      <c r="P148" s="695">
        <v>23517</v>
      </c>
      <c r="Q148" s="691" t="s">
        <v>792</v>
      </c>
      <c r="R148" s="691" t="s">
        <v>834</v>
      </c>
      <c r="S148" s="691" t="s">
        <v>6214</v>
      </c>
      <c r="T148" s="691" t="s">
        <v>636</v>
      </c>
      <c r="U148" s="696"/>
      <c r="V148" s="696" t="s">
        <v>357</v>
      </c>
      <c r="W148" s="696"/>
      <c r="X148" s="696"/>
      <c r="Y148" s="696"/>
      <c r="Z148" s="696"/>
      <c r="AA148" s="696" t="s">
        <v>356</v>
      </c>
      <c r="AB148" s="696"/>
      <c r="AC148" s="696" t="s">
        <v>363</v>
      </c>
      <c r="AD148" s="697"/>
      <c r="AE148" s="655"/>
    </row>
    <row r="149" spans="1:31" ht="12" customHeight="1">
      <c r="A149" s="937" t="s">
        <v>18245</v>
      </c>
      <c r="B149" s="4" t="s">
        <v>361</v>
      </c>
      <c r="C149" s="1" t="s">
        <v>5206</v>
      </c>
      <c r="D149" s="5">
        <f t="shared" si="2"/>
        <v>59</v>
      </c>
      <c r="E149" s="2" t="s">
        <v>19</v>
      </c>
      <c r="F149" s="1" t="s">
        <v>15273</v>
      </c>
      <c r="J149" s="8" t="s">
        <v>16120</v>
      </c>
      <c r="K149" s="1" t="s">
        <v>30</v>
      </c>
      <c r="L149" s="1" t="s">
        <v>6</v>
      </c>
      <c r="O149" s="3" t="s">
        <v>5336</v>
      </c>
      <c r="P149" s="20">
        <v>19506</v>
      </c>
      <c r="Q149" s="3" t="s">
        <v>5337</v>
      </c>
      <c r="S149" s="3" t="s">
        <v>5480</v>
      </c>
      <c r="AD149" s="698"/>
      <c r="AE149" s="655"/>
    </row>
    <row r="150" spans="1:31" ht="12" customHeight="1" thickBot="1">
      <c r="A150" s="938"/>
      <c r="B150" s="700" t="s">
        <v>362</v>
      </c>
      <c r="C150" s="699" t="s">
        <v>16103</v>
      </c>
      <c r="D150" s="356">
        <f t="shared" si="2"/>
        <v>43</v>
      </c>
      <c r="E150" s="702" t="s">
        <v>19</v>
      </c>
      <c r="F150" s="699"/>
      <c r="G150" s="703"/>
      <c r="H150" s="699"/>
      <c r="I150" s="699"/>
      <c r="J150" s="700" t="s">
        <v>16117</v>
      </c>
      <c r="K150" s="699"/>
      <c r="L150" s="699" t="s">
        <v>6</v>
      </c>
      <c r="M150" s="705"/>
      <c r="N150" s="706"/>
      <c r="O150" s="703" t="s">
        <v>15964</v>
      </c>
      <c r="P150" s="723">
        <v>25477</v>
      </c>
      <c r="Q150" s="703" t="s">
        <v>364</v>
      </c>
      <c r="R150" s="703"/>
      <c r="S150" s="703"/>
      <c r="T150" s="703"/>
      <c r="U150" s="702"/>
      <c r="V150" s="702"/>
      <c r="W150" s="702"/>
      <c r="X150" s="702"/>
      <c r="Y150" s="702"/>
      <c r="Z150" s="702"/>
      <c r="AA150" s="702"/>
      <c r="AB150" s="702"/>
      <c r="AC150" s="702"/>
      <c r="AD150" s="708"/>
      <c r="AE150" s="655"/>
    </row>
    <row r="151" spans="1:31" ht="12" customHeight="1">
      <c r="A151" s="936" t="s">
        <v>18220</v>
      </c>
      <c r="B151" s="688" t="s">
        <v>365</v>
      </c>
      <c r="C151" s="687" t="s">
        <v>369</v>
      </c>
      <c r="D151" s="689">
        <f t="shared" si="2"/>
        <v>57</v>
      </c>
      <c r="E151" s="696" t="s">
        <v>5</v>
      </c>
      <c r="F151" s="687" t="s">
        <v>15273</v>
      </c>
      <c r="G151" s="747"/>
      <c r="H151" s="687"/>
      <c r="I151" s="687"/>
      <c r="J151" s="688" t="s">
        <v>16120</v>
      </c>
      <c r="K151" s="687" t="s">
        <v>48</v>
      </c>
      <c r="L151" s="687" t="s">
        <v>6</v>
      </c>
      <c r="M151" s="748"/>
      <c r="N151" s="749"/>
      <c r="O151" s="747" t="s">
        <v>188</v>
      </c>
      <c r="P151" s="773">
        <v>20229</v>
      </c>
      <c r="Q151" s="747" t="s">
        <v>370</v>
      </c>
      <c r="R151" s="747"/>
      <c r="S151" s="747" t="s">
        <v>5457</v>
      </c>
      <c r="T151" s="747" t="s">
        <v>371</v>
      </c>
      <c r="U151" s="696"/>
      <c r="V151" s="696" t="s">
        <v>357</v>
      </c>
      <c r="W151" s="696" t="s">
        <v>372</v>
      </c>
      <c r="X151" s="696"/>
      <c r="Y151" s="696"/>
      <c r="Z151" s="696"/>
      <c r="AA151" s="696"/>
      <c r="AB151" s="696"/>
      <c r="AC151" s="696"/>
      <c r="AD151" s="697"/>
      <c r="AE151" s="655"/>
    </row>
    <row r="152" spans="1:31" ht="12" customHeight="1">
      <c r="A152" s="937" t="s">
        <v>18246</v>
      </c>
      <c r="B152" s="4" t="s">
        <v>366</v>
      </c>
      <c r="C152" s="6" t="s">
        <v>887</v>
      </c>
      <c r="D152" s="5">
        <f t="shared" si="2"/>
        <v>44</v>
      </c>
      <c r="E152" s="6" t="s">
        <v>5</v>
      </c>
      <c r="F152" s="1" t="s">
        <v>15273</v>
      </c>
      <c r="G152" s="7" t="s">
        <v>1352</v>
      </c>
      <c r="H152" s="5" t="s">
        <v>373</v>
      </c>
      <c r="I152" s="19"/>
      <c r="J152" s="4" t="s">
        <v>16116</v>
      </c>
      <c r="K152" s="6" t="s">
        <v>469</v>
      </c>
      <c r="L152" s="6" t="s">
        <v>6</v>
      </c>
      <c r="M152" s="9"/>
      <c r="N152" s="10">
        <v>1</v>
      </c>
      <c r="O152" s="18" t="s">
        <v>453</v>
      </c>
      <c r="P152" s="15">
        <v>25005</v>
      </c>
      <c r="Q152" s="12" t="s">
        <v>791</v>
      </c>
      <c r="R152" s="3" t="s">
        <v>374</v>
      </c>
      <c r="T152" s="3" t="s">
        <v>375</v>
      </c>
      <c r="V152" s="2" t="s">
        <v>357</v>
      </c>
      <c r="X152" s="2" t="s">
        <v>517</v>
      </c>
      <c r="AD152" s="698"/>
      <c r="AE152" s="655"/>
    </row>
    <row r="153" spans="1:31" ht="12" customHeight="1">
      <c r="A153" s="937"/>
      <c r="B153" s="4" t="s">
        <v>367</v>
      </c>
      <c r="C153" s="1" t="s">
        <v>5506</v>
      </c>
      <c r="D153" s="5">
        <f t="shared" si="2"/>
        <v>53</v>
      </c>
      <c r="E153" s="2" t="s">
        <v>5</v>
      </c>
      <c r="J153" s="4" t="s">
        <v>16117</v>
      </c>
      <c r="L153" s="1" t="s">
        <v>6</v>
      </c>
      <c r="O153" s="3" t="s">
        <v>5507</v>
      </c>
      <c r="P153" s="20">
        <v>21770</v>
      </c>
      <c r="Q153" s="3" t="s">
        <v>5508</v>
      </c>
      <c r="AD153" s="698"/>
      <c r="AE153" s="655"/>
    </row>
    <row r="154" spans="1:31" ht="12" customHeight="1" thickBot="1">
      <c r="A154" s="938"/>
      <c r="B154" s="700" t="s">
        <v>368</v>
      </c>
      <c r="C154" s="699" t="s">
        <v>4647</v>
      </c>
      <c r="D154" s="356">
        <f t="shared" si="2"/>
        <v>63</v>
      </c>
      <c r="E154" s="702" t="s">
        <v>5</v>
      </c>
      <c r="F154" s="699" t="s">
        <v>15273</v>
      </c>
      <c r="G154" s="703"/>
      <c r="H154" s="699"/>
      <c r="I154" s="699"/>
      <c r="J154" s="700" t="s">
        <v>16121</v>
      </c>
      <c r="K154" s="699"/>
      <c r="L154" s="699" t="s">
        <v>6</v>
      </c>
      <c r="M154" s="705"/>
      <c r="N154" s="706"/>
      <c r="O154" s="703" t="s">
        <v>4648</v>
      </c>
      <c r="P154" s="707">
        <v>18138</v>
      </c>
      <c r="Q154" s="703" t="s">
        <v>4649</v>
      </c>
      <c r="R154" s="703"/>
      <c r="S154" s="703"/>
      <c r="T154" s="703" t="s">
        <v>4650</v>
      </c>
      <c r="U154" s="702"/>
      <c r="V154" s="702" t="s">
        <v>4581</v>
      </c>
      <c r="W154" s="702"/>
      <c r="X154" s="702"/>
      <c r="Y154" s="702"/>
      <c r="Z154" s="702"/>
      <c r="AA154" s="702"/>
      <c r="AB154" s="702"/>
      <c r="AC154" s="702"/>
      <c r="AD154" s="708" t="s">
        <v>4651</v>
      </c>
      <c r="AE154" s="655"/>
    </row>
    <row r="155" spans="1:31" ht="12" customHeight="1">
      <c r="A155" s="936" t="s">
        <v>18245</v>
      </c>
      <c r="B155" s="688" t="s">
        <v>376</v>
      </c>
      <c r="C155" s="689" t="s">
        <v>860</v>
      </c>
      <c r="D155" s="689">
        <f t="shared" si="2"/>
        <v>63</v>
      </c>
      <c r="E155" s="689" t="s">
        <v>5</v>
      </c>
      <c r="F155" s="689" t="s">
        <v>15273</v>
      </c>
      <c r="G155" s="691" t="s">
        <v>1353</v>
      </c>
      <c r="H155" s="783"/>
      <c r="I155" s="736"/>
      <c r="J155" s="692" t="s">
        <v>16127</v>
      </c>
      <c r="K155" s="689" t="s">
        <v>44</v>
      </c>
      <c r="L155" s="689" t="s">
        <v>25</v>
      </c>
      <c r="M155" s="693">
        <v>3</v>
      </c>
      <c r="N155" s="694">
        <v>3</v>
      </c>
      <c r="O155" s="691" t="s">
        <v>454</v>
      </c>
      <c r="P155" s="695">
        <v>17955</v>
      </c>
      <c r="Q155" s="691" t="s">
        <v>789</v>
      </c>
      <c r="R155" s="691" t="s">
        <v>379</v>
      </c>
      <c r="S155" s="691" t="s">
        <v>6214</v>
      </c>
      <c r="T155" s="747" t="s">
        <v>357</v>
      </c>
      <c r="U155" s="696"/>
      <c r="V155" s="696" t="s">
        <v>357</v>
      </c>
      <c r="W155" s="696"/>
      <c r="X155" s="696"/>
      <c r="Y155" s="696"/>
      <c r="Z155" s="696"/>
      <c r="AA155" s="696"/>
      <c r="AB155" s="696"/>
      <c r="AC155" s="696"/>
      <c r="AD155" s="697"/>
      <c r="AE155" s="655"/>
    </row>
    <row r="156" spans="1:31" ht="12" customHeight="1">
      <c r="A156" s="937" t="s">
        <v>18219</v>
      </c>
      <c r="B156" s="4" t="s">
        <v>377</v>
      </c>
      <c r="C156" s="1" t="s">
        <v>380</v>
      </c>
      <c r="D156" s="5">
        <f t="shared" si="2"/>
        <v>68</v>
      </c>
      <c r="E156" s="2" t="s">
        <v>5</v>
      </c>
      <c r="F156" s="1" t="s">
        <v>15273</v>
      </c>
      <c r="J156" s="4" t="s">
        <v>16120</v>
      </c>
      <c r="K156" s="1" t="s">
        <v>48</v>
      </c>
      <c r="L156" s="1" t="s">
        <v>14</v>
      </c>
      <c r="M156" s="16">
        <v>6</v>
      </c>
      <c r="N156" s="17">
        <v>6</v>
      </c>
      <c r="O156" s="3" t="s">
        <v>381</v>
      </c>
      <c r="P156" s="20">
        <v>16378</v>
      </c>
      <c r="Q156" s="3" t="s">
        <v>383</v>
      </c>
      <c r="R156" s="3" t="s">
        <v>382</v>
      </c>
      <c r="S156" s="3" t="s">
        <v>5457</v>
      </c>
      <c r="T156" s="3" t="s">
        <v>357</v>
      </c>
      <c r="V156" s="2" t="s">
        <v>145</v>
      </c>
      <c r="AD156" s="698"/>
      <c r="AE156" s="655"/>
    </row>
    <row r="157" spans="1:31" ht="12" customHeight="1">
      <c r="A157" s="937" t="s">
        <v>18223</v>
      </c>
      <c r="B157" s="4" t="s">
        <v>378</v>
      </c>
      <c r="C157" s="1" t="s">
        <v>6167</v>
      </c>
      <c r="D157" s="5">
        <f t="shared" si="2"/>
        <v>64</v>
      </c>
      <c r="E157" s="2" t="s">
        <v>5</v>
      </c>
      <c r="F157" s="1" t="s">
        <v>15273</v>
      </c>
      <c r="J157" s="4" t="s">
        <v>16125</v>
      </c>
      <c r="L157" s="1" t="s">
        <v>6</v>
      </c>
      <c r="O157" s="3" t="s">
        <v>6168</v>
      </c>
      <c r="P157" s="20">
        <v>17531</v>
      </c>
      <c r="Q157" s="3" t="s">
        <v>6169</v>
      </c>
      <c r="S157" s="3" t="s">
        <v>5561</v>
      </c>
      <c r="T157" s="3" t="s">
        <v>6044</v>
      </c>
      <c r="V157" s="2" t="s">
        <v>6044</v>
      </c>
      <c r="AD157" s="698"/>
      <c r="AE157" s="655"/>
    </row>
    <row r="158" spans="1:31" ht="12" customHeight="1">
      <c r="A158" s="937" t="s">
        <v>18223</v>
      </c>
      <c r="B158" s="4" t="s">
        <v>5349</v>
      </c>
      <c r="C158" s="1" t="s">
        <v>5350</v>
      </c>
      <c r="D158" s="5">
        <f t="shared" si="2"/>
        <v>45</v>
      </c>
      <c r="E158" s="2" t="s">
        <v>5</v>
      </c>
      <c r="F158" s="1" t="s">
        <v>15273</v>
      </c>
      <c r="J158" s="4" t="s">
        <v>16116</v>
      </c>
      <c r="K158" s="1" t="s">
        <v>5306</v>
      </c>
      <c r="L158" s="1" t="s">
        <v>14</v>
      </c>
      <c r="M158" s="16">
        <v>2</v>
      </c>
      <c r="N158" s="17">
        <v>2</v>
      </c>
      <c r="O158" s="3" t="s">
        <v>188</v>
      </c>
      <c r="P158" s="20">
        <v>24519</v>
      </c>
      <c r="Q158" s="3" t="s">
        <v>16104</v>
      </c>
      <c r="T158" s="3" t="s">
        <v>5351</v>
      </c>
      <c r="AC158" s="2" t="s">
        <v>5351</v>
      </c>
      <c r="AD158" s="698"/>
      <c r="AE158" s="655"/>
    </row>
    <row r="159" spans="1:31" ht="12" customHeight="1">
      <c r="A159" s="937" t="s">
        <v>18223</v>
      </c>
      <c r="B159" s="4" t="s">
        <v>5876</v>
      </c>
      <c r="C159" s="1" t="s">
        <v>5877</v>
      </c>
      <c r="D159" s="5">
        <f t="shared" si="2"/>
        <v>45</v>
      </c>
      <c r="E159" s="2" t="s">
        <v>5</v>
      </c>
      <c r="F159" s="1" t="s">
        <v>15273</v>
      </c>
      <c r="J159" s="4" t="s">
        <v>16128</v>
      </c>
      <c r="L159" s="1" t="s">
        <v>6</v>
      </c>
      <c r="O159" s="3" t="s">
        <v>5878</v>
      </c>
      <c r="P159" s="20">
        <v>24768</v>
      </c>
      <c r="Q159" s="3" t="s">
        <v>5879</v>
      </c>
      <c r="AD159" s="698"/>
      <c r="AE159" s="655"/>
    </row>
    <row r="160" spans="1:31" ht="12" customHeight="1" thickBot="1">
      <c r="A160" s="938"/>
      <c r="B160" s="700" t="s">
        <v>6166</v>
      </c>
      <c r="C160" s="699" t="s">
        <v>384</v>
      </c>
      <c r="D160" s="356">
        <f t="shared" si="2"/>
        <v>53</v>
      </c>
      <c r="E160" s="702" t="s">
        <v>5</v>
      </c>
      <c r="F160" s="699"/>
      <c r="G160" s="703"/>
      <c r="H160" s="699"/>
      <c r="I160" s="699"/>
      <c r="J160" s="700" t="s">
        <v>16117</v>
      </c>
      <c r="K160" s="699"/>
      <c r="L160" s="699" t="s">
        <v>6</v>
      </c>
      <c r="M160" s="705"/>
      <c r="N160" s="706"/>
      <c r="O160" s="703" t="s">
        <v>385</v>
      </c>
      <c r="P160" s="707">
        <v>21540</v>
      </c>
      <c r="Q160" s="703" t="s">
        <v>386</v>
      </c>
      <c r="R160" s="703"/>
      <c r="S160" s="703"/>
      <c r="T160" s="703"/>
      <c r="U160" s="702"/>
      <c r="V160" s="702"/>
      <c r="W160" s="702"/>
      <c r="X160" s="702"/>
      <c r="Y160" s="702"/>
      <c r="Z160" s="702"/>
      <c r="AA160" s="702"/>
      <c r="AB160" s="702"/>
      <c r="AC160" s="702"/>
      <c r="AD160" s="708"/>
      <c r="AE160" s="655"/>
    </row>
    <row r="161" spans="1:31" ht="12" customHeight="1">
      <c r="A161" s="936" t="s">
        <v>18245</v>
      </c>
      <c r="B161" s="688" t="s">
        <v>387</v>
      </c>
      <c r="C161" s="689" t="s">
        <v>925</v>
      </c>
      <c r="D161" s="689">
        <f t="shared" si="2"/>
        <v>42</v>
      </c>
      <c r="E161" s="689" t="s">
        <v>5</v>
      </c>
      <c r="F161" s="689" t="s">
        <v>15273</v>
      </c>
      <c r="G161" s="691" t="s">
        <v>1354</v>
      </c>
      <c r="H161" s="783"/>
      <c r="I161" s="736"/>
      <c r="J161" s="692" t="s">
        <v>16126</v>
      </c>
      <c r="K161" s="689" t="s">
        <v>44</v>
      </c>
      <c r="L161" s="689" t="s">
        <v>25</v>
      </c>
      <c r="M161" s="693">
        <v>1</v>
      </c>
      <c r="N161" s="694">
        <v>1</v>
      </c>
      <c r="O161" s="691" t="s">
        <v>454</v>
      </c>
      <c r="P161" s="695">
        <v>25788</v>
      </c>
      <c r="Q161" s="691" t="s">
        <v>786</v>
      </c>
      <c r="R161" s="691"/>
      <c r="S161" s="691" t="s">
        <v>6214</v>
      </c>
      <c r="T161" s="691" t="s">
        <v>521</v>
      </c>
      <c r="U161" s="696" t="s">
        <v>354</v>
      </c>
      <c r="V161" s="696"/>
      <c r="W161" s="696"/>
      <c r="X161" s="696"/>
      <c r="Y161" s="696"/>
      <c r="Z161" s="696"/>
      <c r="AA161" s="696"/>
      <c r="AB161" s="696"/>
      <c r="AC161" s="696"/>
      <c r="AD161" s="697"/>
      <c r="AE161" s="655"/>
    </row>
    <row r="162" spans="1:31" ht="12" customHeight="1">
      <c r="A162" s="937" t="s">
        <v>18219</v>
      </c>
      <c r="B162" s="4" t="s">
        <v>388</v>
      </c>
      <c r="C162" s="1" t="s">
        <v>390</v>
      </c>
      <c r="D162" s="5">
        <f t="shared" si="2"/>
        <v>58</v>
      </c>
      <c r="E162" s="2" t="s">
        <v>5</v>
      </c>
      <c r="F162" s="1" t="s">
        <v>15273</v>
      </c>
      <c r="J162" s="8" t="s">
        <v>16120</v>
      </c>
      <c r="K162" s="1" t="s">
        <v>30</v>
      </c>
      <c r="L162" s="1" t="s">
        <v>6</v>
      </c>
      <c r="O162" s="3" t="s">
        <v>391</v>
      </c>
      <c r="P162" s="20">
        <v>19743</v>
      </c>
      <c r="Q162" s="3" t="s">
        <v>392</v>
      </c>
      <c r="S162" s="3" t="s">
        <v>5889</v>
      </c>
      <c r="T162" s="3" t="s">
        <v>357</v>
      </c>
      <c r="V162" s="2" t="s">
        <v>357</v>
      </c>
      <c r="AD162" s="698"/>
      <c r="AE162" s="655"/>
    </row>
    <row r="163" spans="1:31" ht="12" customHeight="1">
      <c r="A163" s="937"/>
      <c r="B163" s="4" t="s">
        <v>389</v>
      </c>
      <c r="C163" s="1" t="s">
        <v>5730</v>
      </c>
      <c r="D163" s="5">
        <f t="shared" si="2"/>
        <v>48</v>
      </c>
      <c r="E163" s="2" t="s">
        <v>19</v>
      </c>
      <c r="F163" s="1" t="s">
        <v>15273</v>
      </c>
      <c r="J163" s="4" t="s">
        <v>16125</v>
      </c>
      <c r="L163" s="1" t="s">
        <v>6</v>
      </c>
      <c r="O163" s="3" t="s">
        <v>188</v>
      </c>
      <c r="P163" s="20">
        <v>23647</v>
      </c>
      <c r="Q163" s="3" t="s">
        <v>16409</v>
      </c>
      <c r="S163" s="3" t="s">
        <v>5561</v>
      </c>
      <c r="AD163" s="698"/>
      <c r="AE163" s="655"/>
    </row>
    <row r="164" spans="1:31" ht="12" customHeight="1">
      <c r="A164" s="937" t="s">
        <v>18223</v>
      </c>
      <c r="B164" s="4" t="s">
        <v>5313</v>
      </c>
      <c r="C164" s="1" t="s">
        <v>5314</v>
      </c>
      <c r="D164" s="5">
        <f t="shared" si="2"/>
        <v>38</v>
      </c>
      <c r="E164" s="2" t="s">
        <v>19</v>
      </c>
      <c r="F164" s="1" t="s">
        <v>15273</v>
      </c>
      <c r="J164" s="4" t="s">
        <v>16116</v>
      </c>
      <c r="K164" s="1" t="s">
        <v>5298</v>
      </c>
      <c r="L164" s="1" t="s">
        <v>6</v>
      </c>
      <c r="O164" s="3" t="s">
        <v>6141</v>
      </c>
      <c r="P164" s="20">
        <v>27068</v>
      </c>
      <c r="Q164" s="3" t="s">
        <v>5315</v>
      </c>
      <c r="S164" s="3" t="s">
        <v>6029</v>
      </c>
      <c r="T164" s="3" t="s">
        <v>5316</v>
      </c>
      <c r="Z164" s="2" t="s">
        <v>5316</v>
      </c>
      <c r="AD164" s="698"/>
      <c r="AE164" s="655"/>
    </row>
    <row r="165" spans="1:31" ht="12" customHeight="1" thickBot="1">
      <c r="A165" s="938"/>
      <c r="B165" s="700" t="s">
        <v>5729</v>
      </c>
      <c r="C165" s="699" t="s">
        <v>393</v>
      </c>
      <c r="D165" s="356">
        <f t="shared" si="2"/>
        <v>61</v>
      </c>
      <c r="E165" s="702" t="s">
        <v>5</v>
      </c>
      <c r="F165" s="699"/>
      <c r="G165" s="703"/>
      <c r="H165" s="699"/>
      <c r="I165" s="699"/>
      <c r="J165" s="700" t="s">
        <v>16117</v>
      </c>
      <c r="K165" s="699"/>
      <c r="L165" s="699" t="s">
        <v>6</v>
      </c>
      <c r="M165" s="705"/>
      <c r="N165" s="706"/>
      <c r="O165" s="703" t="s">
        <v>394</v>
      </c>
      <c r="P165" s="707">
        <v>18844</v>
      </c>
      <c r="Q165" s="703" t="s">
        <v>395</v>
      </c>
      <c r="R165" s="703"/>
      <c r="S165" s="703"/>
      <c r="T165" s="703" t="s">
        <v>357</v>
      </c>
      <c r="U165" s="702"/>
      <c r="V165" s="702" t="s">
        <v>357</v>
      </c>
      <c r="W165" s="702"/>
      <c r="X165" s="702"/>
      <c r="Y165" s="702"/>
      <c r="Z165" s="702"/>
      <c r="AA165" s="702"/>
      <c r="AB165" s="702"/>
      <c r="AC165" s="702"/>
      <c r="AD165" s="708"/>
      <c r="AE165" s="655"/>
    </row>
    <row r="166" spans="1:31" ht="12" customHeight="1">
      <c r="A166" s="936" t="s">
        <v>18245</v>
      </c>
      <c r="B166" s="688" t="s">
        <v>396</v>
      </c>
      <c r="C166" s="689" t="s">
        <v>905</v>
      </c>
      <c r="D166" s="689">
        <f t="shared" si="2"/>
        <v>65</v>
      </c>
      <c r="E166" s="689" t="s">
        <v>5</v>
      </c>
      <c r="F166" s="689" t="s">
        <v>15273</v>
      </c>
      <c r="G166" s="691" t="s">
        <v>1355</v>
      </c>
      <c r="H166" s="783"/>
      <c r="I166" s="736"/>
      <c r="J166" s="692" t="s">
        <v>16127</v>
      </c>
      <c r="K166" s="689" t="s">
        <v>44</v>
      </c>
      <c r="L166" s="689" t="s">
        <v>25</v>
      </c>
      <c r="M166" s="693">
        <v>1</v>
      </c>
      <c r="N166" s="694">
        <v>1</v>
      </c>
      <c r="O166" s="735" t="s">
        <v>464</v>
      </c>
      <c r="P166" s="695">
        <v>17236</v>
      </c>
      <c r="Q166" s="691" t="s">
        <v>741</v>
      </c>
      <c r="R166" s="691" t="s">
        <v>400</v>
      </c>
      <c r="S166" s="691"/>
      <c r="T166" s="691" t="s">
        <v>491</v>
      </c>
      <c r="U166" s="696"/>
      <c r="V166" s="696"/>
      <c r="W166" s="696" t="s">
        <v>372</v>
      </c>
      <c r="X166" s="696"/>
      <c r="Y166" s="696"/>
      <c r="Z166" s="696"/>
      <c r="AA166" s="696"/>
      <c r="AB166" s="696"/>
      <c r="AC166" s="696"/>
      <c r="AD166" s="697"/>
      <c r="AE166" s="655"/>
    </row>
    <row r="167" spans="1:31" ht="12" customHeight="1">
      <c r="A167" s="937" t="s">
        <v>18219</v>
      </c>
      <c r="B167" s="4" t="s">
        <v>397</v>
      </c>
      <c r="C167" s="5" t="s">
        <v>857</v>
      </c>
      <c r="D167" s="5">
        <f t="shared" si="2"/>
        <v>68</v>
      </c>
      <c r="E167" s="5" t="s">
        <v>5</v>
      </c>
      <c r="F167" s="5" t="s">
        <v>15273</v>
      </c>
      <c r="G167" s="12" t="s">
        <v>1302</v>
      </c>
      <c r="H167" s="18"/>
      <c r="I167" s="19"/>
      <c r="J167" s="4" t="s">
        <v>16120</v>
      </c>
      <c r="K167" s="5" t="s">
        <v>13</v>
      </c>
      <c r="L167" s="5" t="s">
        <v>25</v>
      </c>
      <c r="M167" s="9">
        <v>9</v>
      </c>
      <c r="N167" s="10">
        <v>9</v>
      </c>
      <c r="O167" s="7" t="s">
        <v>188</v>
      </c>
      <c r="P167" s="11">
        <v>16082</v>
      </c>
      <c r="Q167" s="7" t="s">
        <v>742</v>
      </c>
      <c r="R167" s="7" t="s">
        <v>817</v>
      </c>
      <c r="S167" s="7" t="s">
        <v>5457</v>
      </c>
      <c r="T167" s="7" t="s">
        <v>401</v>
      </c>
      <c r="V167" s="2" t="s">
        <v>145</v>
      </c>
      <c r="Y167" s="2" t="s">
        <v>402</v>
      </c>
      <c r="AD167" s="698"/>
      <c r="AE167" s="655"/>
    </row>
    <row r="168" spans="1:31" ht="12" customHeight="1">
      <c r="A168" s="937" t="s">
        <v>18223</v>
      </c>
      <c r="B168" s="4" t="s">
        <v>398</v>
      </c>
      <c r="C168" s="1" t="s">
        <v>406</v>
      </c>
      <c r="D168" s="5">
        <f t="shared" si="2"/>
        <v>43</v>
      </c>
      <c r="E168" s="2" t="s">
        <v>5</v>
      </c>
      <c r="F168" s="1" t="s">
        <v>15273</v>
      </c>
      <c r="J168" s="4" t="s">
        <v>16128</v>
      </c>
      <c r="L168" s="1" t="s">
        <v>6</v>
      </c>
      <c r="O168" s="3" t="s">
        <v>188</v>
      </c>
      <c r="P168" s="20">
        <v>25446</v>
      </c>
      <c r="Q168" s="3" t="s">
        <v>407</v>
      </c>
      <c r="S168" s="3" t="s">
        <v>6031</v>
      </c>
      <c r="T168" s="3" t="s">
        <v>357</v>
      </c>
      <c r="V168" s="2" t="s">
        <v>145</v>
      </c>
      <c r="AD168" s="698"/>
      <c r="AE168" s="655"/>
    </row>
    <row r="169" spans="1:31" ht="12" customHeight="1" thickBot="1">
      <c r="A169" s="938"/>
      <c r="B169" s="700" t="s">
        <v>399</v>
      </c>
      <c r="C169" s="699" t="s">
        <v>403</v>
      </c>
      <c r="D169" s="356">
        <f t="shared" si="2"/>
        <v>56</v>
      </c>
      <c r="E169" s="702" t="s">
        <v>19</v>
      </c>
      <c r="F169" s="699"/>
      <c r="G169" s="703"/>
      <c r="H169" s="699"/>
      <c r="I169" s="699"/>
      <c r="J169" s="700" t="s">
        <v>16117</v>
      </c>
      <c r="K169" s="699"/>
      <c r="L169" s="699" t="s">
        <v>6</v>
      </c>
      <c r="M169" s="705"/>
      <c r="N169" s="706"/>
      <c r="O169" s="703" t="s">
        <v>404</v>
      </c>
      <c r="P169" s="723">
        <v>20631</v>
      </c>
      <c r="Q169" s="703" t="s">
        <v>405</v>
      </c>
      <c r="R169" s="703"/>
      <c r="S169" s="703"/>
      <c r="T169" s="703" t="s">
        <v>357</v>
      </c>
      <c r="U169" s="702"/>
      <c r="V169" s="702" t="s">
        <v>145</v>
      </c>
      <c r="W169" s="702"/>
      <c r="X169" s="702"/>
      <c r="Y169" s="702"/>
      <c r="Z169" s="702"/>
      <c r="AA169" s="702"/>
      <c r="AB169" s="702"/>
      <c r="AC169" s="702"/>
      <c r="AD169" s="708"/>
      <c r="AE169" s="655"/>
    </row>
    <row r="170" spans="1:31" ht="12" customHeight="1">
      <c r="A170" s="936" t="s">
        <v>18219</v>
      </c>
      <c r="B170" s="688" t="s">
        <v>408</v>
      </c>
      <c r="C170" s="687" t="s">
        <v>412</v>
      </c>
      <c r="D170" s="689">
        <f t="shared" si="2"/>
        <v>53</v>
      </c>
      <c r="E170" s="696" t="s">
        <v>5</v>
      </c>
      <c r="F170" s="687" t="s">
        <v>15273</v>
      </c>
      <c r="G170" s="747"/>
      <c r="H170" s="687"/>
      <c r="I170" s="687"/>
      <c r="J170" s="688" t="s">
        <v>16120</v>
      </c>
      <c r="K170" s="687" t="s">
        <v>476</v>
      </c>
      <c r="L170" s="687" t="s">
        <v>14</v>
      </c>
      <c r="M170" s="748">
        <v>2</v>
      </c>
      <c r="N170" s="749">
        <v>2</v>
      </c>
      <c r="O170" s="747" t="s">
        <v>352</v>
      </c>
      <c r="P170" s="773">
        <v>21835</v>
      </c>
      <c r="Q170" s="747" t="s">
        <v>413</v>
      </c>
      <c r="R170" s="747"/>
      <c r="S170" s="747" t="s">
        <v>5457</v>
      </c>
      <c r="T170" s="747" t="s">
        <v>355</v>
      </c>
      <c r="U170" s="696" t="s">
        <v>354</v>
      </c>
      <c r="V170" s="696"/>
      <c r="W170" s="696"/>
      <c r="X170" s="696"/>
      <c r="Y170" s="696"/>
      <c r="Z170" s="696"/>
      <c r="AA170" s="696" t="s">
        <v>356</v>
      </c>
      <c r="AB170" s="696"/>
      <c r="AC170" s="696"/>
      <c r="AD170" s="697"/>
      <c r="AE170" s="655"/>
    </row>
    <row r="171" spans="1:31" ht="12" customHeight="1">
      <c r="A171" s="937" t="s">
        <v>18245</v>
      </c>
      <c r="B171" s="4" t="s">
        <v>409</v>
      </c>
      <c r="C171" s="5" t="s">
        <v>888</v>
      </c>
      <c r="D171" s="5">
        <f t="shared" si="2"/>
        <v>55</v>
      </c>
      <c r="E171" s="5" t="s">
        <v>5</v>
      </c>
      <c r="F171" s="1" t="s">
        <v>15273</v>
      </c>
      <c r="G171" s="7" t="s">
        <v>1356</v>
      </c>
      <c r="H171" s="18"/>
      <c r="I171" s="19"/>
      <c r="J171" s="4" t="s">
        <v>16125</v>
      </c>
      <c r="K171" s="5"/>
      <c r="L171" s="5" t="s">
        <v>25</v>
      </c>
      <c r="M171" s="9">
        <v>3</v>
      </c>
      <c r="N171" s="10">
        <v>3</v>
      </c>
      <c r="O171" s="7" t="s">
        <v>188</v>
      </c>
      <c r="P171" s="11">
        <v>20936</v>
      </c>
      <c r="Q171" s="7" t="s">
        <v>739</v>
      </c>
      <c r="R171" s="7" t="s">
        <v>5543</v>
      </c>
      <c r="S171" s="7" t="s">
        <v>5561</v>
      </c>
      <c r="T171" s="3" t="s">
        <v>357</v>
      </c>
      <c r="V171" s="2" t="s">
        <v>357</v>
      </c>
      <c r="AD171" s="698"/>
      <c r="AE171" s="655"/>
    </row>
    <row r="172" spans="1:31" ht="12" customHeight="1">
      <c r="A172" s="937" t="s">
        <v>18223</v>
      </c>
      <c r="B172" s="4" t="s">
        <v>410</v>
      </c>
      <c r="C172" s="1" t="s">
        <v>5317</v>
      </c>
      <c r="D172" s="5">
        <f t="shared" si="2"/>
        <v>45</v>
      </c>
      <c r="E172" s="2" t="s">
        <v>5</v>
      </c>
      <c r="F172" s="1" t="s">
        <v>15273</v>
      </c>
      <c r="J172" s="4" t="s">
        <v>16116</v>
      </c>
      <c r="K172" s="1" t="s">
        <v>5298</v>
      </c>
      <c r="L172" s="1" t="s">
        <v>6</v>
      </c>
      <c r="O172" s="3" t="s">
        <v>15965</v>
      </c>
      <c r="P172" s="21">
        <v>24705</v>
      </c>
      <c r="Q172" s="3" t="s">
        <v>5318</v>
      </c>
      <c r="S172" s="3" t="s">
        <v>6029</v>
      </c>
      <c r="T172" s="3" t="s">
        <v>145</v>
      </c>
      <c r="V172" s="2" t="s">
        <v>145</v>
      </c>
      <c r="AD172" s="698"/>
      <c r="AE172" s="655"/>
    </row>
    <row r="173" spans="1:31" ht="12" customHeight="1" thickBot="1">
      <c r="A173" s="938"/>
      <c r="B173" s="700" t="s">
        <v>411</v>
      </c>
      <c r="C173" s="699" t="s">
        <v>414</v>
      </c>
      <c r="D173" s="356">
        <f t="shared" si="2"/>
        <v>62</v>
      </c>
      <c r="E173" s="702" t="s">
        <v>19</v>
      </c>
      <c r="F173" s="699"/>
      <c r="G173" s="703"/>
      <c r="H173" s="699"/>
      <c r="I173" s="699"/>
      <c r="J173" s="700" t="s">
        <v>16117</v>
      </c>
      <c r="K173" s="699"/>
      <c r="L173" s="699" t="s">
        <v>6</v>
      </c>
      <c r="M173" s="705"/>
      <c r="N173" s="706"/>
      <c r="O173" s="703" t="s">
        <v>417</v>
      </c>
      <c r="P173" s="707">
        <v>18579</v>
      </c>
      <c r="Q173" s="703" t="s">
        <v>415</v>
      </c>
      <c r="R173" s="703"/>
      <c r="S173" s="703"/>
      <c r="T173" s="703" t="s">
        <v>69</v>
      </c>
      <c r="U173" s="702"/>
      <c r="V173" s="702"/>
      <c r="W173" s="702"/>
      <c r="X173" s="702"/>
      <c r="Y173" s="702"/>
      <c r="Z173" s="702"/>
      <c r="AA173" s="702"/>
      <c r="AB173" s="702"/>
      <c r="AC173" s="702"/>
      <c r="AD173" s="708" t="s">
        <v>416</v>
      </c>
      <c r="AE173" s="655"/>
    </row>
    <row r="174" spans="1:31" ht="12" customHeight="1">
      <c r="A174" s="936" t="s">
        <v>18245</v>
      </c>
      <c r="B174" s="688" t="s">
        <v>418</v>
      </c>
      <c r="C174" s="690" t="s">
        <v>871</v>
      </c>
      <c r="D174" s="689">
        <f t="shared" si="2"/>
        <v>53</v>
      </c>
      <c r="E174" s="690" t="s">
        <v>5</v>
      </c>
      <c r="F174" s="689" t="s">
        <v>15273</v>
      </c>
      <c r="G174" s="735" t="s">
        <v>1297</v>
      </c>
      <c r="H174" s="736"/>
      <c r="I174" s="736"/>
      <c r="J174" s="692" t="s">
        <v>16127</v>
      </c>
      <c r="K174" s="690" t="s">
        <v>44</v>
      </c>
      <c r="L174" s="690" t="s">
        <v>25</v>
      </c>
      <c r="M174" s="737">
        <v>1</v>
      </c>
      <c r="N174" s="738">
        <v>1</v>
      </c>
      <c r="O174" s="735" t="s">
        <v>451</v>
      </c>
      <c r="P174" s="739">
        <v>21753</v>
      </c>
      <c r="Q174" s="735" t="s">
        <v>752</v>
      </c>
      <c r="R174" s="747"/>
      <c r="S174" s="747"/>
      <c r="T174" s="747"/>
      <c r="U174" s="696"/>
      <c r="V174" s="696"/>
      <c r="W174" s="696"/>
      <c r="X174" s="696"/>
      <c r="Y174" s="696"/>
      <c r="Z174" s="696"/>
      <c r="AA174" s="696"/>
      <c r="AB174" s="696"/>
      <c r="AC174" s="696"/>
      <c r="AD174" s="697"/>
      <c r="AE174" s="655"/>
    </row>
    <row r="175" spans="1:31" ht="12" customHeight="1">
      <c r="A175" s="937" t="s">
        <v>18219</v>
      </c>
      <c r="B175" s="4" t="s">
        <v>419</v>
      </c>
      <c r="C175" s="6" t="s">
        <v>858</v>
      </c>
      <c r="D175" s="5">
        <f t="shared" si="2"/>
        <v>57</v>
      </c>
      <c r="E175" s="6" t="s">
        <v>5</v>
      </c>
      <c r="F175" s="6" t="s">
        <v>15273</v>
      </c>
      <c r="G175" s="12" t="s">
        <v>1357</v>
      </c>
      <c r="H175" s="19"/>
      <c r="I175" s="19"/>
      <c r="J175" s="8" t="s">
        <v>16120</v>
      </c>
      <c r="K175" s="6" t="s">
        <v>30</v>
      </c>
      <c r="L175" s="6" t="s">
        <v>25</v>
      </c>
      <c r="M175" s="13">
        <v>4</v>
      </c>
      <c r="N175" s="14">
        <v>4</v>
      </c>
      <c r="O175" s="12" t="s">
        <v>172</v>
      </c>
      <c r="P175" s="15">
        <v>20380</v>
      </c>
      <c r="Q175" s="12" t="s">
        <v>762</v>
      </c>
      <c r="R175" s="12" t="s">
        <v>809</v>
      </c>
      <c r="S175" s="12" t="s">
        <v>5457</v>
      </c>
      <c r="T175" s="12" t="s">
        <v>104</v>
      </c>
      <c r="AA175" s="2" t="s">
        <v>356</v>
      </c>
      <c r="AD175" s="698"/>
      <c r="AE175" s="655"/>
    </row>
    <row r="176" spans="1:31" ht="12" customHeight="1" thickBot="1">
      <c r="A176" s="938"/>
      <c r="B176" s="700" t="s">
        <v>420</v>
      </c>
      <c r="C176" s="699" t="s">
        <v>421</v>
      </c>
      <c r="D176" s="356">
        <f t="shared" si="2"/>
        <v>62</v>
      </c>
      <c r="E176" s="702" t="s">
        <v>5</v>
      </c>
      <c r="F176" s="699"/>
      <c r="G176" s="703"/>
      <c r="H176" s="699"/>
      <c r="I176" s="699"/>
      <c r="J176" s="700" t="s">
        <v>16117</v>
      </c>
      <c r="K176" s="699"/>
      <c r="L176" s="699" t="s">
        <v>6</v>
      </c>
      <c r="M176" s="705"/>
      <c r="N176" s="706"/>
      <c r="O176" s="703" t="s">
        <v>422</v>
      </c>
      <c r="P176" s="707">
        <v>18453</v>
      </c>
      <c r="Q176" s="703" t="s">
        <v>423</v>
      </c>
      <c r="R176" s="703"/>
      <c r="S176" s="703"/>
      <c r="T176" s="703"/>
      <c r="U176" s="702"/>
      <c r="V176" s="702"/>
      <c r="W176" s="702"/>
      <c r="X176" s="702"/>
      <c r="Y176" s="702"/>
      <c r="Z176" s="702"/>
      <c r="AA176" s="702"/>
      <c r="AB176" s="702"/>
      <c r="AC176" s="702"/>
      <c r="AD176" s="708"/>
      <c r="AE176" s="655"/>
    </row>
    <row r="177" spans="1:31" ht="12" customHeight="1">
      <c r="A177" s="936" t="s">
        <v>18220</v>
      </c>
      <c r="B177" s="688" t="s">
        <v>424</v>
      </c>
      <c r="C177" s="690" t="s">
        <v>912</v>
      </c>
      <c r="D177" s="689">
        <f t="shared" si="2"/>
        <v>65</v>
      </c>
      <c r="E177" s="690" t="s">
        <v>5</v>
      </c>
      <c r="F177" s="689" t="s">
        <v>15273</v>
      </c>
      <c r="G177" s="735" t="s">
        <v>1358</v>
      </c>
      <c r="H177" s="736"/>
      <c r="I177" s="736"/>
      <c r="J177" s="692" t="s">
        <v>16126</v>
      </c>
      <c r="K177" s="690" t="s">
        <v>45</v>
      </c>
      <c r="L177" s="690" t="s">
        <v>25</v>
      </c>
      <c r="M177" s="737">
        <v>7</v>
      </c>
      <c r="N177" s="738">
        <v>7</v>
      </c>
      <c r="O177" s="735" t="s">
        <v>465</v>
      </c>
      <c r="P177" s="739">
        <v>17445</v>
      </c>
      <c r="Q177" s="735" t="s">
        <v>740</v>
      </c>
      <c r="R177" s="735" t="s">
        <v>838</v>
      </c>
      <c r="S177" s="735" t="s">
        <v>6214</v>
      </c>
      <c r="T177" s="735" t="s">
        <v>148</v>
      </c>
      <c r="U177" s="696"/>
      <c r="V177" s="696" t="s">
        <v>357</v>
      </c>
      <c r="W177" s="696"/>
      <c r="X177" s="696"/>
      <c r="Y177" s="696"/>
      <c r="Z177" s="696"/>
      <c r="AA177" s="696"/>
      <c r="AB177" s="696"/>
      <c r="AC177" s="696"/>
      <c r="AD177" s="697" t="s">
        <v>416</v>
      </c>
      <c r="AE177" s="655"/>
    </row>
    <row r="178" spans="1:31" ht="12" customHeight="1">
      <c r="A178" s="937" t="s">
        <v>18246</v>
      </c>
      <c r="B178" s="4" t="s">
        <v>425</v>
      </c>
      <c r="C178" s="1" t="s">
        <v>427</v>
      </c>
      <c r="D178" s="5">
        <f t="shared" si="2"/>
        <v>40</v>
      </c>
      <c r="E178" s="2" t="s">
        <v>5</v>
      </c>
      <c r="F178" s="1" t="s">
        <v>15273</v>
      </c>
      <c r="J178" s="4" t="s">
        <v>16120</v>
      </c>
      <c r="K178" s="1" t="s">
        <v>30</v>
      </c>
      <c r="L178" s="1" t="s">
        <v>6</v>
      </c>
      <c r="O178" s="3" t="s">
        <v>428</v>
      </c>
      <c r="P178" s="20">
        <v>26560</v>
      </c>
      <c r="Q178" s="3" t="s">
        <v>429</v>
      </c>
      <c r="AD178" s="698"/>
      <c r="AE178" s="655"/>
    </row>
    <row r="179" spans="1:31" ht="12" customHeight="1" thickBot="1">
      <c r="A179" s="938"/>
      <c r="B179" s="700" t="s">
        <v>426</v>
      </c>
      <c r="C179" s="699" t="s">
        <v>430</v>
      </c>
      <c r="D179" s="356">
        <f t="shared" si="2"/>
        <v>56</v>
      </c>
      <c r="E179" s="702" t="s">
        <v>5</v>
      </c>
      <c r="F179" s="699"/>
      <c r="G179" s="703"/>
      <c r="H179" s="699"/>
      <c r="I179" s="699"/>
      <c r="J179" s="700" t="s">
        <v>16117</v>
      </c>
      <c r="K179" s="699"/>
      <c r="L179" s="699" t="s">
        <v>6</v>
      </c>
      <c r="M179" s="705"/>
      <c r="N179" s="706"/>
      <c r="O179" s="703" t="s">
        <v>431</v>
      </c>
      <c r="P179" s="707">
        <v>20709</v>
      </c>
      <c r="Q179" s="703" t="s">
        <v>432</v>
      </c>
      <c r="R179" s="703"/>
      <c r="S179" s="703"/>
      <c r="T179" s="703" t="s">
        <v>495</v>
      </c>
      <c r="U179" s="702"/>
      <c r="V179" s="702" t="s">
        <v>357</v>
      </c>
      <c r="W179" s="702"/>
      <c r="X179" s="702"/>
      <c r="Y179" s="702"/>
      <c r="Z179" s="702"/>
      <c r="AA179" s="702"/>
      <c r="AB179" s="702"/>
      <c r="AC179" s="702"/>
      <c r="AD179" s="708"/>
      <c r="AE179" s="655"/>
    </row>
    <row r="180" spans="1:31" ht="12" customHeight="1">
      <c r="A180" s="936" t="s">
        <v>18245</v>
      </c>
      <c r="B180" s="688" t="s">
        <v>433</v>
      </c>
      <c r="C180" s="690" t="s">
        <v>909</v>
      </c>
      <c r="D180" s="689">
        <f t="shared" si="2"/>
        <v>62</v>
      </c>
      <c r="E180" s="690" t="s">
        <v>19</v>
      </c>
      <c r="F180" s="689" t="s">
        <v>15273</v>
      </c>
      <c r="G180" s="735" t="s">
        <v>1359</v>
      </c>
      <c r="H180" s="736"/>
      <c r="I180" s="736"/>
      <c r="J180" s="692" t="s">
        <v>16127</v>
      </c>
      <c r="K180" s="690" t="s">
        <v>44</v>
      </c>
      <c r="L180" s="690" t="s">
        <v>25</v>
      </c>
      <c r="M180" s="737">
        <v>1</v>
      </c>
      <c r="N180" s="738">
        <v>1</v>
      </c>
      <c r="O180" s="735" t="s">
        <v>466</v>
      </c>
      <c r="P180" s="739">
        <v>18283</v>
      </c>
      <c r="Q180" s="735" t="s">
        <v>844</v>
      </c>
      <c r="R180" s="735"/>
      <c r="S180" s="735" t="s">
        <v>6214</v>
      </c>
      <c r="T180" s="735" t="s">
        <v>521</v>
      </c>
      <c r="U180" s="696" t="s">
        <v>354</v>
      </c>
      <c r="V180" s="696"/>
      <c r="W180" s="696"/>
      <c r="X180" s="696"/>
      <c r="Y180" s="696"/>
      <c r="Z180" s="696"/>
      <c r="AA180" s="696"/>
      <c r="AB180" s="696"/>
      <c r="AC180" s="696"/>
      <c r="AD180" s="697"/>
      <c r="AE180" s="655"/>
    </row>
    <row r="181" spans="1:31" ht="12" customHeight="1">
      <c r="A181" s="937" t="s">
        <v>18219</v>
      </c>
      <c r="B181" s="4" t="s">
        <v>434</v>
      </c>
      <c r="C181" s="1" t="s">
        <v>436</v>
      </c>
      <c r="D181" s="5">
        <f t="shared" si="2"/>
        <v>68</v>
      </c>
      <c r="E181" s="2" t="s">
        <v>5</v>
      </c>
      <c r="F181" s="1" t="s">
        <v>15273</v>
      </c>
      <c r="J181" s="4" t="s">
        <v>16120</v>
      </c>
      <c r="K181" s="1" t="s">
        <v>30</v>
      </c>
      <c r="L181" s="1" t="s">
        <v>14</v>
      </c>
      <c r="M181" s="16">
        <v>10</v>
      </c>
      <c r="N181" s="17">
        <v>10</v>
      </c>
      <c r="O181" s="3" t="s">
        <v>31</v>
      </c>
      <c r="P181" s="20">
        <v>16182</v>
      </c>
      <c r="Q181" s="3" t="s">
        <v>437</v>
      </c>
      <c r="R181" s="3" t="s">
        <v>533</v>
      </c>
      <c r="S181" s="3" t="s">
        <v>15615</v>
      </c>
      <c r="T181" s="3" t="s">
        <v>258</v>
      </c>
      <c r="Y181" s="2" t="s">
        <v>402</v>
      </c>
      <c r="AA181" s="2" t="s">
        <v>356</v>
      </c>
      <c r="AD181" s="698"/>
      <c r="AE181" s="655"/>
    </row>
    <row r="182" spans="1:31" ht="12" customHeight="1">
      <c r="A182" s="937"/>
      <c r="B182" s="4" t="s">
        <v>435</v>
      </c>
      <c r="C182" s="1" t="s">
        <v>5983</v>
      </c>
      <c r="D182" s="5">
        <f t="shared" si="2"/>
        <v>54</v>
      </c>
      <c r="E182" s="2" t="s">
        <v>5</v>
      </c>
      <c r="F182" s="1" t="s">
        <v>15273</v>
      </c>
      <c r="J182" s="4" t="s">
        <v>16125</v>
      </c>
      <c r="L182" s="1" t="s">
        <v>6</v>
      </c>
      <c r="O182" s="3" t="s">
        <v>15966</v>
      </c>
      <c r="P182" s="20">
        <v>21325</v>
      </c>
      <c r="Q182" s="3" t="s">
        <v>5984</v>
      </c>
      <c r="S182" s="3" t="s">
        <v>5561</v>
      </c>
      <c r="AD182" s="698"/>
      <c r="AE182" s="655"/>
    </row>
    <row r="183" spans="1:31" ht="12" customHeight="1">
      <c r="A183" s="937" t="s">
        <v>18223</v>
      </c>
      <c r="B183" s="4" t="s">
        <v>4994</v>
      </c>
      <c r="C183" s="1" t="s">
        <v>4996</v>
      </c>
      <c r="D183" s="5">
        <f t="shared" si="2"/>
        <v>41</v>
      </c>
      <c r="E183" s="2" t="s">
        <v>5</v>
      </c>
      <c r="F183" s="1" t="s">
        <v>15273</v>
      </c>
      <c r="J183" s="4" t="s">
        <v>16116</v>
      </c>
      <c r="K183" s="1" t="s">
        <v>4997</v>
      </c>
      <c r="L183" s="1" t="s">
        <v>6</v>
      </c>
      <c r="O183" s="3" t="s">
        <v>15</v>
      </c>
      <c r="P183" s="21">
        <v>25966</v>
      </c>
      <c r="Q183" s="3" t="s">
        <v>5001</v>
      </c>
      <c r="S183" s="3" t="s">
        <v>6029</v>
      </c>
      <c r="AD183" s="698"/>
      <c r="AE183" s="655"/>
    </row>
    <row r="184" spans="1:31" ht="12" customHeight="1">
      <c r="A184" s="937"/>
      <c r="B184" s="4" t="s">
        <v>4995</v>
      </c>
      <c r="C184" s="1" t="s">
        <v>438</v>
      </c>
      <c r="D184" s="5">
        <f t="shared" si="2"/>
        <v>62</v>
      </c>
      <c r="E184" s="2" t="s">
        <v>19</v>
      </c>
      <c r="J184" s="4" t="s">
        <v>16117</v>
      </c>
      <c r="L184" s="1" t="s">
        <v>6</v>
      </c>
      <c r="O184" s="3" t="s">
        <v>439</v>
      </c>
      <c r="P184" s="20">
        <v>18544</v>
      </c>
      <c r="Q184" s="3" t="s">
        <v>440</v>
      </c>
      <c r="AD184" s="698"/>
      <c r="AE184" s="655"/>
    </row>
    <row r="185" spans="1:31" ht="12" customHeight="1" thickBot="1">
      <c r="A185" s="938" t="s">
        <v>18245</v>
      </c>
      <c r="B185" s="700" t="s">
        <v>5982</v>
      </c>
      <c r="C185" s="699" t="s">
        <v>4998</v>
      </c>
      <c r="D185" s="356">
        <f t="shared" si="2"/>
        <v>48</v>
      </c>
      <c r="E185" s="702" t="s">
        <v>5</v>
      </c>
      <c r="F185" s="699"/>
      <c r="G185" s="703"/>
      <c r="H185" s="699"/>
      <c r="I185" s="699"/>
      <c r="J185" s="700" t="s">
        <v>16129</v>
      </c>
      <c r="K185" s="699" t="s">
        <v>97</v>
      </c>
      <c r="L185" s="699" t="s">
        <v>6</v>
      </c>
      <c r="M185" s="705"/>
      <c r="N185" s="706"/>
      <c r="O185" s="703" t="s">
        <v>4999</v>
      </c>
      <c r="P185" s="707">
        <v>23639</v>
      </c>
      <c r="Q185" s="703" t="s">
        <v>5000</v>
      </c>
      <c r="R185" s="703"/>
      <c r="S185" s="703"/>
      <c r="T185" s="703" t="s">
        <v>4936</v>
      </c>
      <c r="U185" s="702"/>
      <c r="V185" s="702" t="s">
        <v>4925</v>
      </c>
      <c r="W185" s="702"/>
      <c r="X185" s="702"/>
      <c r="Y185" s="702"/>
      <c r="Z185" s="702"/>
      <c r="AA185" s="702" t="s">
        <v>4935</v>
      </c>
      <c r="AB185" s="702"/>
      <c r="AC185" s="702"/>
      <c r="AD185" s="708"/>
      <c r="AE185" s="655"/>
    </row>
    <row r="186" spans="1:31" ht="12" customHeight="1">
      <c r="A186" s="936" t="s">
        <v>18245</v>
      </c>
      <c r="B186" s="688" t="s">
        <v>441</v>
      </c>
      <c r="C186" s="690" t="s">
        <v>928</v>
      </c>
      <c r="D186" s="689">
        <f t="shared" si="2"/>
        <v>62</v>
      </c>
      <c r="E186" s="690" t="s">
        <v>5</v>
      </c>
      <c r="F186" s="689" t="s">
        <v>15273</v>
      </c>
      <c r="G186" s="735" t="s">
        <v>1300</v>
      </c>
      <c r="H186" s="736"/>
      <c r="I186" s="736"/>
      <c r="J186" s="692" t="s">
        <v>16127</v>
      </c>
      <c r="K186" s="690" t="s">
        <v>44</v>
      </c>
      <c r="L186" s="690" t="s">
        <v>25</v>
      </c>
      <c r="M186" s="737">
        <v>1</v>
      </c>
      <c r="N186" s="738">
        <v>1</v>
      </c>
      <c r="O186" s="735" t="s">
        <v>172</v>
      </c>
      <c r="P186" s="739">
        <v>18352</v>
      </c>
      <c r="Q186" s="735" t="s">
        <v>759</v>
      </c>
      <c r="R186" s="747"/>
      <c r="S186" s="747" t="s">
        <v>6214</v>
      </c>
      <c r="T186" s="747"/>
      <c r="U186" s="696"/>
      <c r="V186" s="696"/>
      <c r="W186" s="696"/>
      <c r="X186" s="696"/>
      <c r="Y186" s="696"/>
      <c r="Z186" s="696"/>
      <c r="AA186" s="696"/>
      <c r="AB186" s="696"/>
      <c r="AC186" s="696"/>
      <c r="AD186" s="697"/>
      <c r="AE186" s="655"/>
    </row>
    <row r="187" spans="1:31" ht="12" customHeight="1">
      <c r="A187" s="937" t="s">
        <v>18245</v>
      </c>
      <c r="B187" s="4" t="s">
        <v>442</v>
      </c>
      <c r="C187" s="6" t="s">
        <v>849</v>
      </c>
      <c r="D187" s="5">
        <f t="shared" si="2"/>
        <v>59</v>
      </c>
      <c r="E187" s="6" t="s">
        <v>19</v>
      </c>
      <c r="F187" s="6" t="s">
        <v>15273</v>
      </c>
      <c r="G187" s="12" t="s">
        <v>1303</v>
      </c>
      <c r="H187" s="19"/>
      <c r="I187" s="19"/>
      <c r="J187" s="8" t="s">
        <v>16120</v>
      </c>
      <c r="K187" s="6" t="s">
        <v>445</v>
      </c>
      <c r="L187" s="6" t="s">
        <v>25</v>
      </c>
      <c r="M187" s="13">
        <v>2</v>
      </c>
      <c r="N187" s="14">
        <v>2</v>
      </c>
      <c r="O187" s="7" t="s">
        <v>123</v>
      </c>
      <c r="P187" s="15">
        <v>19701</v>
      </c>
      <c r="Q187" s="12" t="s">
        <v>769</v>
      </c>
      <c r="R187" s="12" t="s">
        <v>812</v>
      </c>
      <c r="S187" s="12"/>
      <c r="T187" s="12" t="s">
        <v>104</v>
      </c>
      <c r="AA187" s="2" t="s">
        <v>356</v>
      </c>
      <c r="AD187" s="698"/>
      <c r="AE187" s="655"/>
    </row>
    <row r="188" spans="1:31" ht="12" customHeight="1">
      <c r="A188" s="937"/>
      <c r="B188" s="4" t="s">
        <v>443</v>
      </c>
      <c r="C188" s="1" t="s">
        <v>5353</v>
      </c>
      <c r="D188" s="5">
        <f t="shared" si="2"/>
        <v>33</v>
      </c>
      <c r="E188" s="2" t="s">
        <v>5</v>
      </c>
      <c r="F188" s="1" t="s">
        <v>15273</v>
      </c>
      <c r="J188" s="4" t="s">
        <v>16116</v>
      </c>
      <c r="K188" s="1" t="s">
        <v>5298</v>
      </c>
      <c r="L188" s="1" t="s">
        <v>6</v>
      </c>
      <c r="O188" s="3" t="s">
        <v>159</v>
      </c>
      <c r="P188" s="20">
        <v>29057</v>
      </c>
      <c r="Q188" s="3" t="s">
        <v>5536</v>
      </c>
      <c r="S188" s="3" t="s">
        <v>6029</v>
      </c>
      <c r="AD188" s="698"/>
      <c r="AE188" s="655"/>
    </row>
    <row r="189" spans="1:31" ht="12" customHeight="1">
      <c r="A189" s="937"/>
      <c r="B189" s="4" t="s">
        <v>444</v>
      </c>
      <c r="C189" s="1" t="s">
        <v>15953</v>
      </c>
      <c r="D189" s="5">
        <f t="shared" si="2"/>
        <v>60</v>
      </c>
      <c r="E189" s="2" t="s">
        <v>5</v>
      </c>
      <c r="J189" s="4" t="s">
        <v>16117</v>
      </c>
      <c r="L189" s="1" t="s">
        <v>6</v>
      </c>
      <c r="O189" s="3" t="s">
        <v>15954</v>
      </c>
      <c r="P189" s="21">
        <v>19117</v>
      </c>
      <c r="Q189" s="3" t="s">
        <v>15955</v>
      </c>
      <c r="AD189" s="698"/>
      <c r="AE189" s="655"/>
    </row>
    <row r="190" spans="1:31" ht="12" customHeight="1" thickBot="1">
      <c r="A190" s="938" t="s">
        <v>18219</v>
      </c>
      <c r="B190" s="700" t="s">
        <v>5352</v>
      </c>
      <c r="C190" s="701" t="s">
        <v>913</v>
      </c>
      <c r="D190" s="356">
        <f t="shared" si="2"/>
        <v>63</v>
      </c>
      <c r="E190" s="701" t="s">
        <v>5</v>
      </c>
      <c r="F190" s="701"/>
      <c r="G190" s="740" t="s">
        <v>1360</v>
      </c>
      <c r="H190" s="741"/>
      <c r="I190" s="741"/>
      <c r="J190" s="704" t="s">
        <v>16129</v>
      </c>
      <c r="K190" s="701" t="s">
        <v>446</v>
      </c>
      <c r="L190" s="701" t="s">
        <v>25</v>
      </c>
      <c r="M190" s="742">
        <v>11</v>
      </c>
      <c r="N190" s="743">
        <v>11</v>
      </c>
      <c r="O190" s="740" t="s">
        <v>172</v>
      </c>
      <c r="P190" s="744">
        <v>17998</v>
      </c>
      <c r="Q190" s="740" t="s">
        <v>753</v>
      </c>
      <c r="R190" s="740" t="s">
        <v>3986</v>
      </c>
      <c r="S190" s="740" t="s">
        <v>5457</v>
      </c>
      <c r="T190" s="740" t="s">
        <v>104</v>
      </c>
      <c r="U190" s="702"/>
      <c r="V190" s="702"/>
      <c r="W190" s="702"/>
      <c r="X190" s="702"/>
      <c r="Y190" s="702"/>
      <c r="Z190" s="702"/>
      <c r="AA190" s="702" t="s">
        <v>356</v>
      </c>
      <c r="AB190" s="702"/>
      <c r="AC190" s="702"/>
      <c r="AD190" s="708"/>
      <c r="AE190" s="655"/>
    </row>
    <row r="191" spans="1:31" ht="12" customHeight="1">
      <c r="A191" s="936" t="s">
        <v>18245</v>
      </c>
      <c r="B191" s="688" t="s">
        <v>470</v>
      </c>
      <c r="C191" s="689" t="s">
        <v>903</v>
      </c>
      <c r="D191" s="689">
        <f t="shared" si="2"/>
        <v>50</v>
      </c>
      <c r="E191" s="689" t="s">
        <v>5</v>
      </c>
      <c r="F191" s="689" t="s">
        <v>15273</v>
      </c>
      <c r="G191" s="691" t="s">
        <v>1361</v>
      </c>
      <c r="H191" s="783"/>
      <c r="I191" s="736"/>
      <c r="J191" s="692" t="s">
        <v>16126</v>
      </c>
      <c r="K191" s="689" t="s">
        <v>44</v>
      </c>
      <c r="L191" s="689" t="s">
        <v>25</v>
      </c>
      <c r="M191" s="693">
        <v>1</v>
      </c>
      <c r="N191" s="694">
        <v>1</v>
      </c>
      <c r="O191" s="691" t="s">
        <v>474</v>
      </c>
      <c r="P191" s="695">
        <v>22769</v>
      </c>
      <c r="Q191" s="691" t="s">
        <v>1503</v>
      </c>
      <c r="R191" s="747"/>
      <c r="S191" s="747" t="s">
        <v>6214</v>
      </c>
      <c r="T191" s="747"/>
      <c r="U191" s="696"/>
      <c r="V191" s="696"/>
      <c r="W191" s="696"/>
      <c r="X191" s="696"/>
      <c r="Y191" s="696"/>
      <c r="Z191" s="696"/>
      <c r="AA191" s="696"/>
      <c r="AB191" s="696"/>
      <c r="AC191" s="696"/>
      <c r="AD191" s="697"/>
      <c r="AE191" s="655"/>
    </row>
    <row r="192" spans="1:31" ht="12" customHeight="1">
      <c r="A192" s="937" t="s">
        <v>18219</v>
      </c>
      <c r="B192" s="4" t="s">
        <v>471</v>
      </c>
      <c r="C192" s="1" t="s">
        <v>477</v>
      </c>
      <c r="D192" s="5">
        <f t="shared" si="2"/>
        <v>59</v>
      </c>
      <c r="E192" s="2" t="s">
        <v>5</v>
      </c>
      <c r="F192" s="1" t="s">
        <v>15273</v>
      </c>
      <c r="J192" s="4" t="s">
        <v>16120</v>
      </c>
      <c r="K192" s="1" t="s">
        <v>13</v>
      </c>
      <c r="L192" s="1" t="s">
        <v>14</v>
      </c>
      <c r="M192" s="16">
        <v>9</v>
      </c>
      <c r="N192" s="17">
        <v>9</v>
      </c>
      <c r="O192" s="3" t="s">
        <v>31</v>
      </c>
      <c r="P192" s="20">
        <v>19685</v>
      </c>
      <c r="Q192" s="3" t="s">
        <v>478</v>
      </c>
      <c r="R192" s="3" t="s">
        <v>534</v>
      </c>
      <c r="S192" s="3" t="s">
        <v>5457</v>
      </c>
      <c r="T192" s="3" t="s">
        <v>104</v>
      </c>
      <c r="AA192" s="2" t="s">
        <v>479</v>
      </c>
      <c r="AD192" s="698"/>
      <c r="AE192" s="655"/>
    </row>
    <row r="193" spans="1:31" ht="12" customHeight="1">
      <c r="A193" s="937" t="s">
        <v>18245</v>
      </c>
      <c r="B193" s="4" t="s">
        <v>472</v>
      </c>
      <c r="C193" s="1" t="s">
        <v>480</v>
      </c>
      <c r="D193" s="5">
        <f t="shared" si="2"/>
        <v>41</v>
      </c>
      <c r="E193" s="2" t="s">
        <v>5</v>
      </c>
      <c r="F193" s="1" t="s">
        <v>15273</v>
      </c>
      <c r="J193" s="4" t="s">
        <v>16128</v>
      </c>
      <c r="L193" s="1" t="s">
        <v>6</v>
      </c>
      <c r="O193" s="3" t="s">
        <v>31</v>
      </c>
      <c r="P193" s="20">
        <v>25990</v>
      </c>
      <c r="Q193" s="3" t="s">
        <v>481</v>
      </c>
      <c r="S193" s="3" t="s">
        <v>6031</v>
      </c>
      <c r="AD193" s="698"/>
      <c r="AE193" s="655"/>
    </row>
    <row r="194" spans="1:31" ht="12" customHeight="1" thickBot="1">
      <c r="A194" s="938"/>
      <c r="B194" s="700" t="s">
        <v>473</v>
      </c>
      <c r="C194" s="699" t="s">
        <v>482</v>
      </c>
      <c r="D194" s="356">
        <f t="shared" ref="D194:D257" si="3">DATEDIF(P194,$P$1298,"Y")</f>
        <v>57</v>
      </c>
      <c r="E194" s="702" t="s">
        <v>5</v>
      </c>
      <c r="F194" s="699"/>
      <c r="G194" s="703"/>
      <c r="H194" s="699"/>
      <c r="I194" s="699"/>
      <c r="J194" s="700" t="s">
        <v>16117</v>
      </c>
      <c r="K194" s="699"/>
      <c r="L194" s="699" t="s">
        <v>6</v>
      </c>
      <c r="M194" s="705"/>
      <c r="N194" s="706"/>
      <c r="O194" s="703" t="s">
        <v>483</v>
      </c>
      <c r="P194" s="707">
        <v>20091</v>
      </c>
      <c r="Q194" s="703" t="s">
        <v>484</v>
      </c>
      <c r="R194" s="703"/>
      <c r="S194" s="703"/>
      <c r="T194" s="703"/>
      <c r="U194" s="702"/>
      <c r="V194" s="702"/>
      <c r="W194" s="702"/>
      <c r="X194" s="702"/>
      <c r="Y194" s="702"/>
      <c r="Z194" s="702"/>
      <c r="AA194" s="702"/>
      <c r="AB194" s="702"/>
      <c r="AC194" s="702"/>
      <c r="AD194" s="708"/>
      <c r="AE194" s="655"/>
    </row>
    <row r="195" spans="1:31" ht="12" customHeight="1">
      <c r="A195" s="936" t="s">
        <v>18246</v>
      </c>
      <c r="B195" s="688" t="s">
        <v>485</v>
      </c>
      <c r="C195" s="689" t="s">
        <v>924</v>
      </c>
      <c r="D195" s="689">
        <f t="shared" si="3"/>
        <v>64</v>
      </c>
      <c r="E195" s="689" t="s">
        <v>5</v>
      </c>
      <c r="F195" s="689" t="s">
        <v>15273</v>
      </c>
      <c r="G195" s="691" t="s">
        <v>1362</v>
      </c>
      <c r="H195" s="783"/>
      <c r="I195" s="736"/>
      <c r="J195" s="692" t="s">
        <v>16127</v>
      </c>
      <c r="K195" s="689" t="s">
        <v>44</v>
      </c>
      <c r="L195" s="689" t="s">
        <v>25</v>
      </c>
      <c r="M195" s="693">
        <v>2</v>
      </c>
      <c r="N195" s="694">
        <v>4</v>
      </c>
      <c r="O195" s="691" t="s">
        <v>490</v>
      </c>
      <c r="P195" s="695">
        <v>17640</v>
      </c>
      <c r="Q195" s="691" t="s">
        <v>785</v>
      </c>
      <c r="R195" s="691" t="s">
        <v>489</v>
      </c>
      <c r="S195" s="691" t="s">
        <v>6214</v>
      </c>
      <c r="T195" s="691" t="s">
        <v>491</v>
      </c>
      <c r="U195" s="696"/>
      <c r="V195" s="696"/>
      <c r="W195" s="696" t="s">
        <v>491</v>
      </c>
      <c r="X195" s="696"/>
      <c r="Y195" s="696"/>
      <c r="Z195" s="696"/>
      <c r="AA195" s="696"/>
      <c r="AB195" s="696"/>
      <c r="AC195" s="696"/>
      <c r="AD195" s="697"/>
      <c r="AE195" s="655"/>
    </row>
    <row r="196" spans="1:31" ht="12" customHeight="1">
      <c r="A196" s="937" t="s">
        <v>18220</v>
      </c>
      <c r="B196" s="4" t="s">
        <v>486</v>
      </c>
      <c r="C196" s="1" t="s">
        <v>492</v>
      </c>
      <c r="D196" s="5">
        <f t="shared" si="3"/>
        <v>69</v>
      </c>
      <c r="E196" s="2" t="s">
        <v>5</v>
      </c>
      <c r="F196" s="1" t="s">
        <v>15273</v>
      </c>
      <c r="J196" s="4" t="s">
        <v>16120</v>
      </c>
      <c r="K196" s="1" t="s">
        <v>65</v>
      </c>
      <c r="L196" s="1" t="s">
        <v>14</v>
      </c>
      <c r="M196" s="16">
        <v>4</v>
      </c>
      <c r="N196" s="17">
        <v>4</v>
      </c>
      <c r="O196" s="3" t="s">
        <v>493</v>
      </c>
      <c r="P196" s="20">
        <v>15701</v>
      </c>
      <c r="Q196" s="3" t="s">
        <v>494</v>
      </c>
      <c r="R196" s="3" t="s">
        <v>496</v>
      </c>
      <c r="S196" s="3" t="s">
        <v>5457</v>
      </c>
      <c r="T196" s="3" t="s">
        <v>495</v>
      </c>
      <c r="V196" s="2" t="s">
        <v>495</v>
      </c>
      <c r="AD196" s="698"/>
      <c r="AE196" s="655"/>
    </row>
    <row r="197" spans="1:31" ht="12" customHeight="1">
      <c r="A197" s="937" t="s">
        <v>18246</v>
      </c>
      <c r="B197" s="4" t="s">
        <v>487</v>
      </c>
      <c r="C197" s="1" t="s">
        <v>500</v>
      </c>
      <c r="D197" s="5">
        <f t="shared" si="3"/>
        <v>43</v>
      </c>
      <c r="E197" s="2" t="s">
        <v>5</v>
      </c>
      <c r="F197" s="1" t="s">
        <v>15273</v>
      </c>
      <c r="J197" s="8" t="s">
        <v>16128</v>
      </c>
      <c r="L197" s="1" t="s">
        <v>6</v>
      </c>
      <c r="O197" s="3" t="s">
        <v>501</v>
      </c>
      <c r="P197" s="20">
        <v>25303</v>
      </c>
      <c r="Q197" s="3" t="s">
        <v>502</v>
      </c>
      <c r="S197" s="3" t="s">
        <v>6031</v>
      </c>
      <c r="AB197" s="3"/>
      <c r="AC197" s="3"/>
      <c r="AD197" s="774"/>
      <c r="AE197" s="655"/>
    </row>
    <row r="198" spans="1:31" ht="12" customHeight="1" thickBot="1">
      <c r="A198" s="938"/>
      <c r="B198" s="700" t="s">
        <v>488</v>
      </c>
      <c r="C198" s="699" t="s">
        <v>497</v>
      </c>
      <c r="D198" s="356">
        <f t="shared" si="3"/>
        <v>64</v>
      </c>
      <c r="E198" s="702" t="s">
        <v>5</v>
      </c>
      <c r="F198" s="699"/>
      <c r="G198" s="703"/>
      <c r="H198" s="699"/>
      <c r="I198" s="699"/>
      <c r="J198" s="700" t="s">
        <v>16117</v>
      </c>
      <c r="K198" s="699"/>
      <c r="L198" s="699" t="s">
        <v>6</v>
      </c>
      <c r="M198" s="705"/>
      <c r="N198" s="706"/>
      <c r="O198" s="703" t="s">
        <v>498</v>
      </c>
      <c r="P198" s="723">
        <v>17557</v>
      </c>
      <c r="Q198" s="703" t="s">
        <v>499</v>
      </c>
      <c r="R198" s="703"/>
      <c r="S198" s="703"/>
      <c r="T198" s="703" t="s">
        <v>495</v>
      </c>
      <c r="U198" s="702"/>
      <c r="V198" s="702" t="s">
        <v>495</v>
      </c>
      <c r="W198" s="702"/>
      <c r="X198" s="702"/>
      <c r="Y198" s="702"/>
      <c r="Z198" s="702"/>
      <c r="AA198" s="702"/>
      <c r="AB198" s="703"/>
      <c r="AC198" s="703"/>
      <c r="AD198" s="793"/>
      <c r="AE198" s="655"/>
    </row>
    <row r="199" spans="1:31" ht="12" customHeight="1">
      <c r="A199" s="936" t="s">
        <v>18245</v>
      </c>
      <c r="B199" s="688" t="s">
        <v>503</v>
      </c>
      <c r="C199" s="687" t="s">
        <v>506</v>
      </c>
      <c r="D199" s="689">
        <f t="shared" si="3"/>
        <v>33</v>
      </c>
      <c r="E199" s="696" t="s">
        <v>5</v>
      </c>
      <c r="F199" s="687" t="s">
        <v>15273</v>
      </c>
      <c r="G199" s="747"/>
      <c r="H199" s="687"/>
      <c r="I199" s="687"/>
      <c r="J199" s="692" t="s">
        <v>16120</v>
      </c>
      <c r="K199" s="687" t="s">
        <v>30</v>
      </c>
      <c r="L199" s="687" t="s">
        <v>6</v>
      </c>
      <c r="M199" s="748"/>
      <c r="N199" s="749"/>
      <c r="O199" s="747" t="s">
        <v>507</v>
      </c>
      <c r="P199" s="773">
        <v>28967</v>
      </c>
      <c r="Q199" s="747" t="s">
        <v>508</v>
      </c>
      <c r="R199" s="747"/>
      <c r="S199" s="747" t="s">
        <v>5457</v>
      </c>
      <c r="T199" s="747"/>
      <c r="U199" s="696"/>
      <c r="V199" s="696"/>
      <c r="W199" s="696"/>
      <c r="X199" s="696"/>
      <c r="Y199" s="696"/>
      <c r="Z199" s="696"/>
      <c r="AA199" s="696"/>
      <c r="AB199" s="747"/>
      <c r="AC199" s="747"/>
      <c r="AD199" s="805"/>
      <c r="AE199" s="655"/>
    </row>
    <row r="200" spans="1:31" ht="12" customHeight="1">
      <c r="A200" s="937" t="s">
        <v>18219</v>
      </c>
      <c r="B200" s="4" t="s">
        <v>504</v>
      </c>
      <c r="C200" s="5" t="s">
        <v>919</v>
      </c>
      <c r="D200" s="5">
        <f t="shared" si="3"/>
        <v>60</v>
      </c>
      <c r="E200" s="5" t="s">
        <v>5</v>
      </c>
      <c r="G200" s="7" t="s">
        <v>1363</v>
      </c>
      <c r="H200" s="18"/>
      <c r="I200" s="19"/>
      <c r="J200" s="4" t="s">
        <v>16128</v>
      </c>
      <c r="K200" s="5"/>
      <c r="L200" s="5" t="s">
        <v>25</v>
      </c>
      <c r="M200" s="9">
        <v>5</v>
      </c>
      <c r="N200" s="10">
        <v>5</v>
      </c>
      <c r="O200" s="7" t="s">
        <v>188</v>
      </c>
      <c r="P200" s="11">
        <v>19070</v>
      </c>
      <c r="Q200" s="7" t="s">
        <v>756</v>
      </c>
      <c r="R200" s="7" t="s">
        <v>833</v>
      </c>
      <c r="S200" s="7"/>
      <c r="T200" s="7" t="s">
        <v>104</v>
      </c>
      <c r="AA200" s="2" t="s">
        <v>479</v>
      </c>
      <c r="AB200" s="3"/>
      <c r="AC200" s="3"/>
      <c r="AD200" s="774"/>
      <c r="AE200" s="655"/>
    </row>
    <row r="201" spans="1:31" ht="12" customHeight="1" thickBot="1">
      <c r="A201" s="938"/>
      <c r="B201" s="700" t="s">
        <v>505</v>
      </c>
      <c r="C201" s="699" t="s">
        <v>509</v>
      </c>
      <c r="D201" s="356">
        <f t="shared" si="3"/>
        <v>61</v>
      </c>
      <c r="E201" s="702" t="s">
        <v>19</v>
      </c>
      <c r="F201" s="699"/>
      <c r="G201" s="703"/>
      <c r="H201" s="699"/>
      <c r="I201" s="699"/>
      <c r="J201" s="700" t="s">
        <v>16117</v>
      </c>
      <c r="K201" s="699"/>
      <c r="L201" s="699" t="s">
        <v>6</v>
      </c>
      <c r="M201" s="705"/>
      <c r="N201" s="706"/>
      <c r="O201" s="703" t="s">
        <v>510</v>
      </c>
      <c r="P201" s="723">
        <v>18732</v>
      </c>
      <c r="Q201" s="703" t="s">
        <v>511</v>
      </c>
      <c r="R201" s="703"/>
      <c r="S201" s="703"/>
      <c r="T201" s="703" t="s">
        <v>495</v>
      </c>
      <c r="U201" s="702"/>
      <c r="V201" s="702" t="s">
        <v>145</v>
      </c>
      <c r="W201" s="702"/>
      <c r="X201" s="702"/>
      <c r="Y201" s="702"/>
      <c r="Z201" s="702"/>
      <c r="AA201" s="702"/>
      <c r="AB201" s="703"/>
      <c r="AC201" s="703"/>
      <c r="AD201" s="793"/>
      <c r="AE201" s="655"/>
    </row>
    <row r="202" spans="1:31" ht="12" customHeight="1">
      <c r="A202" s="936" t="s">
        <v>18223</v>
      </c>
      <c r="B202" s="688" t="s">
        <v>512</v>
      </c>
      <c r="C202" s="687" t="s">
        <v>2072</v>
      </c>
      <c r="D202" s="689">
        <f t="shared" si="3"/>
        <v>57</v>
      </c>
      <c r="E202" s="696" t="s">
        <v>19</v>
      </c>
      <c r="F202" s="689" t="s">
        <v>15273</v>
      </c>
      <c r="G202" s="747" t="s">
        <v>5447</v>
      </c>
      <c r="H202" s="687"/>
      <c r="I202" s="687"/>
      <c r="J202" s="692" t="s">
        <v>16127</v>
      </c>
      <c r="K202" s="687" t="s">
        <v>45</v>
      </c>
      <c r="L202" s="687" t="s">
        <v>25</v>
      </c>
      <c r="M202" s="748">
        <v>1</v>
      </c>
      <c r="N202" s="749">
        <v>1</v>
      </c>
      <c r="O202" s="747" t="s">
        <v>2073</v>
      </c>
      <c r="P202" s="773">
        <v>20240</v>
      </c>
      <c r="Q202" s="747" t="s">
        <v>2075</v>
      </c>
      <c r="R202" s="747"/>
      <c r="S202" s="747"/>
      <c r="T202" s="747" t="s">
        <v>5448</v>
      </c>
      <c r="U202" s="696"/>
      <c r="V202" s="696"/>
      <c r="W202" s="696"/>
      <c r="X202" s="696"/>
      <c r="Y202" s="696"/>
      <c r="Z202" s="696"/>
      <c r="AA202" s="696"/>
      <c r="AB202" s="747"/>
      <c r="AC202" s="747"/>
      <c r="AD202" s="805" t="s">
        <v>5448</v>
      </c>
      <c r="AE202" s="655"/>
    </row>
    <row r="203" spans="1:31" ht="12" customHeight="1">
      <c r="A203" s="937" t="s">
        <v>18219</v>
      </c>
      <c r="B203" s="4" t="s">
        <v>513</v>
      </c>
      <c r="C203" s="5" t="s">
        <v>876</v>
      </c>
      <c r="D203" s="5">
        <f t="shared" si="3"/>
        <v>60</v>
      </c>
      <c r="E203" s="5" t="s">
        <v>5</v>
      </c>
      <c r="F203" s="5" t="s">
        <v>15273</v>
      </c>
      <c r="G203" s="12" t="s">
        <v>1306</v>
      </c>
      <c r="H203" s="18"/>
      <c r="I203" s="19"/>
      <c r="J203" s="4" t="s">
        <v>16120</v>
      </c>
      <c r="K203" s="5" t="s">
        <v>30</v>
      </c>
      <c r="L203" s="5" t="s">
        <v>25</v>
      </c>
      <c r="M203" s="9">
        <v>5</v>
      </c>
      <c r="N203" s="10">
        <v>5</v>
      </c>
      <c r="O203" s="7" t="s">
        <v>172</v>
      </c>
      <c r="P203" s="11">
        <v>19165</v>
      </c>
      <c r="Q203" s="7" t="s">
        <v>784</v>
      </c>
      <c r="R203" s="7" t="s">
        <v>819</v>
      </c>
      <c r="S203" s="7" t="s">
        <v>5889</v>
      </c>
      <c r="T203" s="3" t="s">
        <v>495</v>
      </c>
      <c r="V203" s="2" t="s">
        <v>495</v>
      </c>
      <c r="AB203" s="3"/>
      <c r="AC203" s="3"/>
      <c r="AD203" s="774"/>
      <c r="AE203" s="655"/>
    </row>
    <row r="204" spans="1:31" ht="12" customHeight="1">
      <c r="A204" s="937" t="s">
        <v>18245</v>
      </c>
      <c r="B204" s="4" t="s">
        <v>514</v>
      </c>
      <c r="C204" s="6" t="s">
        <v>880</v>
      </c>
      <c r="D204" s="5">
        <f t="shared" si="3"/>
        <v>69</v>
      </c>
      <c r="E204" s="5" t="s">
        <v>5</v>
      </c>
      <c r="F204" s="1" t="s">
        <v>15273</v>
      </c>
      <c r="G204" s="7" t="s">
        <v>1364</v>
      </c>
      <c r="H204" s="18"/>
      <c r="I204" s="19"/>
      <c r="J204" s="4" t="s">
        <v>16125</v>
      </c>
      <c r="K204" s="5"/>
      <c r="L204" s="5" t="s">
        <v>25</v>
      </c>
      <c r="M204" s="9">
        <v>5</v>
      </c>
      <c r="N204" s="10">
        <v>8</v>
      </c>
      <c r="O204" s="7" t="s">
        <v>31</v>
      </c>
      <c r="P204" s="11">
        <v>15821</v>
      </c>
      <c r="Q204" s="7" t="s">
        <v>768</v>
      </c>
      <c r="R204" s="7" t="s">
        <v>16685</v>
      </c>
      <c r="S204" s="7" t="s">
        <v>5561</v>
      </c>
      <c r="T204" s="7" t="s">
        <v>517</v>
      </c>
      <c r="X204" s="2" t="s">
        <v>517</v>
      </c>
      <c r="AB204" s="3"/>
      <c r="AC204" s="3"/>
      <c r="AD204" s="774"/>
      <c r="AE204" s="655"/>
    </row>
    <row r="205" spans="1:31" ht="12" customHeight="1">
      <c r="A205" s="937" t="s">
        <v>18245</v>
      </c>
      <c r="B205" s="4" t="s">
        <v>515</v>
      </c>
      <c r="C205" s="1" t="s">
        <v>519</v>
      </c>
      <c r="D205" s="5">
        <f t="shared" si="3"/>
        <v>35</v>
      </c>
      <c r="E205" s="2" t="s">
        <v>5</v>
      </c>
      <c r="F205" s="1" t="s">
        <v>15273</v>
      </c>
      <c r="J205" s="4" t="s">
        <v>16128</v>
      </c>
      <c r="L205" s="1" t="s">
        <v>6</v>
      </c>
      <c r="O205" s="3" t="s">
        <v>522</v>
      </c>
      <c r="P205" s="20">
        <v>28212</v>
      </c>
      <c r="Q205" s="3" t="s">
        <v>520</v>
      </c>
      <c r="S205" s="3" t="s">
        <v>6031</v>
      </c>
      <c r="T205" s="3" t="s">
        <v>521</v>
      </c>
      <c r="U205" s="2" t="s">
        <v>47</v>
      </c>
      <c r="AB205" s="3"/>
      <c r="AC205" s="3"/>
      <c r="AD205" s="774"/>
      <c r="AE205" s="655"/>
    </row>
    <row r="206" spans="1:31" ht="12" customHeight="1" thickBot="1">
      <c r="A206" s="938"/>
      <c r="B206" s="700" t="s">
        <v>516</v>
      </c>
      <c r="C206" s="699" t="s">
        <v>16105</v>
      </c>
      <c r="D206" s="356">
        <f t="shared" si="3"/>
        <v>65</v>
      </c>
      <c r="E206" s="702" t="s">
        <v>5</v>
      </c>
      <c r="F206" s="699"/>
      <c r="G206" s="703"/>
      <c r="H206" s="699"/>
      <c r="I206" s="699"/>
      <c r="J206" s="700" t="s">
        <v>16117</v>
      </c>
      <c r="K206" s="699"/>
      <c r="L206" s="699" t="s">
        <v>6</v>
      </c>
      <c r="M206" s="705"/>
      <c r="N206" s="706"/>
      <c r="O206" s="703" t="s">
        <v>95</v>
      </c>
      <c r="P206" s="723">
        <v>17243</v>
      </c>
      <c r="Q206" s="703" t="s">
        <v>518</v>
      </c>
      <c r="R206" s="703"/>
      <c r="S206" s="703"/>
      <c r="T206" s="703" t="s">
        <v>495</v>
      </c>
      <c r="U206" s="702"/>
      <c r="V206" s="702" t="s">
        <v>495</v>
      </c>
      <c r="W206" s="702"/>
      <c r="X206" s="702"/>
      <c r="Y206" s="702"/>
      <c r="Z206" s="702"/>
      <c r="AA206" s="702"/>
      <c r="AB206" s="703"/>
      <c r="AC206" s="703"/>
      <c r="AD206" s="793"/>
      <c r="AE206" s="655"/>
    </row>
    <row r="207" spans="1:31" ht="12" customHeight="1">
      <c r="A207" s="936" t="s">
        <v>18219</v>
      </c>
      <c r="B207" s="688" t="s">
        <v>524</v>
      </c>
      <c r="C207" s="690" t="s">
        <v>926</v>
      </c>
      <c r="D207" s="689">
        <f t="shared" si="3"/>
        <v>57</v>
      </c>
      <c r="E207" s="690" t="s">
        <v>5</v>
      </c>
      <c r="F207" s="690" t="s">
        <v>15273</v>
      </c>
      <c r="G207" s="735" t="s">
        <v>1365</v>
      </c>
      <c r="H207" s="736"/>
      <c r="I207" s="736"/>
      <c r="J207" s="688" t="s">
        <v>16120</v>
      </c>
      <c r="K207" s="690" t="s">
        <v>13</v>
      </c>
      <c r="L207" s="690" t="s">
        <v>25</v>
      </c>
      <c r="M207" s="737">
        <v>6</v>
      </c>
      <c r="N207" s="738">
        <v>6</v>
      </c>
      <c r="O207" s="735" t="s">
        <v>255</v>
      </c>
      <c r="P207" s="739">
        <v>20369</v>
      </c>
      <c r="Q207" s="735" t="s">
        <v>527</v>
      </c>
      <c r="R207" s="691" t="s">
        <v>815</v>
      </c>
      <c r="S207" s="691" t="s">
        <v>5889</v>
      </c>
      <c r="T207" s="735" t="s">
        <v>528</v>
      </c>
      <c r="U207" s="696"/>
      <c r="V207" s="696"/>
      <c r="W207" s="696"/>
      <c r="X207" s="696"/>
      <c r="Y207" s="696" t="s">
        <v>528</v>
      </c>
      <c r="Z207" s="696"/>
      <c r="AA207" s="696"/>
      <c r="AB207" s="747"/>
      <c r="AC207" s="747"/>
      <c r="AD207" s="805"/>
      <c r="AE207" s="655"/>
    </row>
    <row r="208" spans="1:31" ht="12" customHeight="1">
      <c r="A208" s="937" t="s">
        <v>18245</v>
      </c>
      <c r="B208" s="4" t="s">
        <v>525</v>
      </c>
      <c r="C208" s="6" t="s">
        <v>922</v>
      </c>
      <c r="D208" s="5">
        <f t="shared" si="3"/>
        <v>46</v>
      </c>
      <c r="E208" s="6" t="s">
        <v>5</v>
      </c>
      <c r="F208" s="1" t="s">
        <v>15273</v>
      </c>
      <c r="G208" s="12" t="s">
        <v>1298</v>
      </c>
      <c r="H208" s="19"/>
      <c r="I208" s="19"/>
      <c r="J208" s="4" t="s">
        <v>16128</v>
      </c>
      <c r="K208" s="6"/>
      <c r="L208" s="6" t="s">
        <v>25</v>
      </c>
      <c r="M208" s="13">
        <v>1</v>
      </c>
      <c r="N208" s="14">
        <v>1</v>
      </c>
      <c r="O208" s="12" t="s">
        <v>188</v>
      </c>
      <c r="P208" s="15">
        <v>24404</v>
      </c>
      <c r="Q208" s="12" t="s">
        <v>759</v>
      </c>
      <c r="R208" s="7"/>
      <c r="S208" s="7" t="s">
        <v>6031</v>
      </c>
      <c r="T208" s="7" t="s">
        <v>104</v>
      </c>
      <c r="AA208" s="2" t="s">
        <v>479</v>
      </c>
      <c r="AB208" s="3"/>
      <c r="AC208" s="3"/>
      <c r="AD208" s="774"/>
      <c r="AE208" s="655"/>
    </row>
    <row r="209" spans="1:31" ht="12" customHeight="1" thickBot="1">
      <c r="A209" s="938"/>
      <c r="B209" s="700" t="s">
        <v>526</v>
      </c>
      <c r="C209" s="699" t="s">
        <v>529</v>
      </c>
      <c r="D209" s="356">
        <f t="shared" si="3"/>
        <v>56</v>
      </c>
      <c r="E209" s="702" t="s">
        <v>5</v>
      </c>
      <c r="F209" s="699"/>
      <c r="G209" s="703"/>
      <c r="H209" s="699"/>
      <c r="I209" s="699"/>
      <c r="J209" s="700" t="s">
        <v>16117</v>
      </c>
      <c r="K209" s="699"/>
      <c r="L209" s="699" t="s">
        <v>6</v>
      </c>
      <c r="M209" s="705"/>
      <c r="N209" s="706"/>
      <c r="O209" s="703" t="s">
        <v>530</v>
      </c>
      <c r="P209" s="707">
        <v>20476</v>
      </c>
      <c r="Q209" s="703" t="s">
        <v>531</v>
      </c>
      <c r="R209" s="720"/>
      <c r="S209" s="720"/>
      <c r="T209" s="703"/>
      <c r="U209" s="702"/>
      <c r="V209" s="702"/>
      <c r="W209" s="702"/>
      <c r="X209" s="702"/>
      <c r="Y209" s="702"/>
      <c r="Z209" s="702"/>
      <c r="AA209" s="702"/>
      <c r="AB209" s="703"/>
      <c r="AC209" s="703"/>
      <c r="AD209" s="793"/>
      <c r="AE209" s="655"/>
    </row>
    <row r="210" spans="1:31" ht="12" customHeight="1">
      <c r="A210" s="936" t="s">
        <v>18245</v>
      </c>
      <c r="B210" s="688" t="s">
        <v>535</v>
      </c>
      <c r="C210" s="690" t="s">
        <v>861</v>
      </c>
      <c r="D210" s="689">
        <f t="shared" si="3"/>
        <v>42</v>
      </c>
      <c r="E210" s="690" t="s">
        <v>5</v>
      </c>
      <c r="F210" s="689" t="s">
        <v>15273</v>
      </c>
      <c r="G210" s="735" t="s">
        <v>1366</v>
      </c>
      <c r="H210" s="736"/>
      <c r="I210" s="736"/>
      <c r="J210" s="692" t="s">
        <v>16126</v>
      </c>
      <c r="K210" s="690" t="s">
        <v>44</v>
      </c>
      <c r="L210" s="690" t="s">
        <v>25</v>
      </c>
      <c r="M210" s="737">
        <v>1</v>
      </c>
      <c r="N210" s="738">
        <v>1</v>
      </c>
      <c r="O210" s="735" t="s">
        <v>381</v>
      </c>
      <c r="P210" s="739">
        <v>25613</v>
      </c>
      <c r="Q210" s="735" t="s">
        <v>772</v>
      </c>
      <c r="R210" s="735"/>
      <c r="S210" s="735"/>
      <c r="T210" s="735" t="s">
        <v>528</v>
      </c>
      <c r="U210" s="696"/>
      <c r="V210" s="696"/>
      <c r="W210" s="696"/>
      <c r="X210" s="696"/>
      <c r="Y210" s="696" t="s">
        <v>528</v>
      </c>
      <c r="Z210" s="696"/>
      <c r="AA210" s="696"/>
      <c r="AB210" s="696"/>
      <c r="AC210" s="696"/>
      <c r="AD210" s="697"/>
      <c r="AE210" s="655"/>
    </row>
    <row r="211" spans="1:31" ht="12" customHeight="1">
      <c r="A211" s="937" t="s">
        <v>18220</v>
      </c>
      <c r="B211" s="4" t="s">
        <v>536</v>
      </c>
      <c r="C211" s="6" t="s">
        <v>875</v>
      </c>
      <c r="D211" s="5">
        <f t="shared" si="3"/>
        <v>59</v>
      </c>
      <c r="E211" s="6" t="s">
        <v>5</v>
      </c>
      <c r="F211" s="6" t="s">
        <v>15273</v>
      </c>
      <c r="G211" s="12" t="s">
        <v>1301</v>
      </c>
      <c r="H211" s="19"/>
      <c r="I211" s="19"/>
      <c r="J211" s="8" t="s">
        <v>16120</v>
      </c>
      <c r="K211" s="6" t="s">
        <v>13</v>
      </c>
      <c r="L211" s="6" t="s">
        <v>25</v>
      </c>
      <c r="M211" s="13">
        <v>7</v>
      </c>
      <c r="N211" s="14">
        <v>7</v>
      </c>
      <c r="O211" s="19" t="s">
        <v>539</v>
      </c>
      <c r="P211" s="15">
        <v>19350</v>
      </c>
      <c r="Q211" s="12" t="s">
        <v>751</v>
      </c>
      <c r="R211" s="19" t="s">
        <v>816</v>
      </c>
      <c r="S211" s="19" t="s">
        <v>5457</v>
      </c>
      <c r="T211" s="19" t="s">
        <v>104</v>
      </c>
      <c r="AA211" s="2" t="s">
        <v>479</v>
      </c>
      <c r="AD211" s="698"/>
      <c r="AE211" s="655"/>
    </row>
    <row r="212" spans="1:31" ht="12" customHeight="1">
      <c r="A212" s="937" t="s">
        <v>18223</v>
      </c>
      <c r="B212" s="4" t="s">
        <v>537</v>
      </c>
      <c r="C212" s="1" t="s">
        <v>544</v>
      </c>
      <c r="D212" s="5">
        <f t="shared" si="3"/>
        <v>52</v>
      </c>
      <c r="E212" s="2" t="s">
        <v>5</v>
      </c>
      <c r="F212" s="1" t="s">
        <v>15273</v>
      </c>
      <c r="J212" s="4" t="s">
        <v>16125</v>
      </c>
      <c r="L212" s="1" t="s">
        <v>6</v>
      </c>
      <c r="O212" s="3" t="s">
        <v>546</v>
      </c>
      <c r="P212" s="20">
        <v>22114</v>
      </c>
      <c r="Q212" s="3" t="s">
        <v>548</v>
      </c>
      <c r="S212" s="3" t="s">
        <v>5561</v>
      </c>
      <c r="T212" s="3" t="s">
        <v>547</v>
      </c>
      <c r="U212" s="2" t="s">
        <v>47</v>
      </c>
      <c r="V212" s="2" t="s">
        <v>145</v>
      </c>
      <c r="AD212" s="698"/>
      <c r="AE212" s="655"/>
    </row>
    <row r="213" spans="1:31" ht="12" customHeight="1">
      <c r="A213" s="937" t="s">
        <v>18246</v>
      </c>
      <c r="B213" s="4" t="s">
        <v>538</v>
      </c>
      <c r="C213" s="6" t="s">
        <v>897</v>
      </c>
      <c r="D213" s="5">
        <f t="shared" si="3"/>
        <v>41</v>
      </c>
      <c r="E213" s="6" t="s">
        <v>5</v>
      </c>
      <c r="F213" s="1" t="s">
        <v>15273</v>
      </c>
      <c r="G213" s="12" t="s">
        <v>1367</v>
      </c>
      <c r="H213" s="6" t="s">
        <v>373</v>
      </c>
      <c r="I213" s="19"/>
      <c r="J213" s="4" t="s">
        <v>16116</v>
      </c>
      <c r="K213" s="6" t="s">
        <v>1071</v>
      </c>
      <c r="L213" s="6" t="s">
        <v>6</v>
      </c>
      <c r="M213" s="13"/>
      <c r="N213" s="14">
        <v>1</v>
      </c>
      <c r="O213" s="12" t="s">
        <v>255</v>
      </c>
      <c r="P213" s="15">
        <v>25987</v>
      </c>
      <c r="Q213" s="12" t="s">
        <v>787</v>
      </c>
      <c r="R213" s="12" t="s">
        <v>550</v>
      </c>
      <c r="S213" s="12" t="s">
        <v>16464</v>
      </c>
      <c r="T213" s="19" t="s">
        <v>551</v>
      </c>
      <c r="U213" s="2" t="s">
        <v>47</v>
      </c>
      <c r="X213" s="2" t="s">
        <v>517</v>
      </c>
      <c r="AA213" s="2" t="s">
        <v>479</v>
      </c>
      <c r="AD213" s="698"/>
      <c r="AE213" s="655"/>
    </row>
    <row r="214" spans="1:31" ht="12" customHeight="1" thickBot="1">
      <c r="A214" s="938"/>
      <c r="B214" s="700" t="s">
        <v>549</v>
      </c>
      <c r="C214" s="699" t="s">
        <v>540</v>
      </c>
      <c r="D214" s="356">
        <f t="shared" si="3"/>
        <v>64</v>
      </c>
      <c r="E214" s="702" t="s">
        <v>5</v>
      </c>
      <c r="F214" s="699"/>
      <c r="G214" s="703"/>
      <c r="H214" s="699"/>
      <c r="I214" s="699"/>
      <c r="J214" s="700" t="s">
        <v>16117</v>
      </c>
      <c r="K214" s="699"/>
      <c r="L214" s="699" t="s">
        <v>6</v>
      </c>
      <c r="M214" s="705"/>
      <c r="N214" s="706"/>
      <c r="O214" s="703" t="s">
        <v>541</v>
      </c>
      <c r="P214" s="723">
        <v>17572</v>
      </c>
      <c r="Q214" s="703" t="s">
        <v>542</v>
      </c>
      <c r="R214" s="703"/>
      <c r="S214" s="703"/>
      <c r="T214" s="703" t="s">
        <v>69</v>
      </c>
      <c r="U214" s="702"/>
      <c r="V214" s="702"/>
      <c r="W214" s="702"/>
      <c r="X214" s="702"/>
      <c r="Y214" s="702"/>
      <c r="Z214" s="702"/>
      <c r="AA214" s="702"/>
      <c r="AB214" s="702"/>
      <c r="AC214" s="702"/>
      <c r="AD214" s="708" t="s">
        <v>543</v>
      </c>
      <c r="AE214" s="655"/>
    </row>
    <row r="215" spans="1:31" ht="12" customHeight="1">
      <c r="A215" s="936" t="s">
        <v>18223</v>
      </c>
      <c r="B215" s="688" t="s">
        <v>552</v>
      </c>
      <c r="C215" s="687" t="s">
        <v>5847</v>
      </c>
      <c r="D215" s="689">
        <f t="shared" si="3"/>
        <v>67</v>
      </c>
      <c r="E215" s="696" t="s">
        <v>5</v>
      </c>
      <c r="F215" s="689" t="s">
        <v>15273</v>
      </c>
      <c r="G215" s="747" t="s">
        <v>5848</v>
      </c>
      <c r="H215" s="687"/>
      <c r="I215" s="687"/>
      <c r="J215" s="692" t="s">
        <v>16127</v>
      </c>
      <c r="K215" s="687" t="s">
        <v>45</v>
      </c>
      <c r="L215" s="687" t="s">
        <v>25</v>
      </c>
      <c r="M215" s="748">
        <v>1</v>
      </c>
      <c r="N215" s="749">
        <v>1</v>
      </c>
      <c r="O215" s="747" t="s">
        <v>381</v>
      </c>
      <c r="P215" s="773">
        <v>16472</v>
      </c>
      <c r="Q215" s="747" t="s">
        <v>5849</v>
      </c>
      <c r="R215" s="747"/>
      <c r="S215" s="747"/>
      <c r="T215" s="747" t="s">
        <v>5850</v>
      </c>
      <c r="U215" s="696"/>
      <c r="V215" s="696" t="s">
        <v>145</v>
      </c>
      <c r="W215" s="696"/>
      <c r="X215" s="696"/>
      <c r="Y215" s="696"/>
      <c r="Z215" s="696"/>
      <c r="AA215" s="696"/>
      <c r="AB215" s="696"/>
      <c r="AC215" s="696"/>
      <c r="AD215" s="697" t="s">
        <v>69</v>
      </c>
      <c r="AE215" s="655"/>
    </row>
    <row r="216" spans="1:31" ht="12" customHeight="1">
      <c r="A216" s="937" t="s">
        <v>18246</v>
      </c>
      <c r="B216" s="4" t="s">
        <v>553</v>
      </c>
      <c r="C216" s="1" t="s">
        <v>556</v>
      </c>
      <c r="D216" s="5">
        <f t="shared" si="3"/>
        <v>32</v>
      </c>
      <c r="E216" s="2" t="s">
        <v>5</v>
      </c>
      <c r="F216" s="1" t="s">
        <v>15273</v>
      </c>
      <c r="J216" s="4" t="s">
        <v>16120</v>
      </c>
      <c r="K216" s="1" t="s">
        <v>30</v>
      </c>
      <c r="L216" s="1" t="s">
        <v>6</v>
      </c>
      <c r="O216" s="3" t="s">
        <v>557</v>
      </c>
      <c r="P216" s="20">
        <v>29228</v>
      </c>
      <c r="Q216" s="3" t="s">
        <v>558</v>
      </c>
      <c r="S216" s="3" t="s">
        <v>5457</v>
      </c>
      <c r="T216" s="3" t="s">
        <v>559</v>
      </c>
      <c r="V216" s="2" t="s">
        <v>495</v>
      </c>
      <c r="AB216" s="2" t="s">
        <v>560</v>
      </c>
      <c r="AD216" s="698"/>
      <c r="AE216" s="655"/>
    </row>
    <row r="217" spans="1:31" ht="12" customHeight="1">
      <c r="A217" s="937" t="s">
        <v>18220</v>
      </c>
      <c r="B217" s="4" t="s">
        <v>554</v>
      </c>
      <c r="C217" s="5" t="s">
        <v>900</v>
      </c>
      <c r="D217" s="5">
        <f t="shared" si="3"/>
        <v>40</v>
      </c>
      <c r="E217" s="5" t="s">
        <v>5</v>
      </c>
      <c r="F217" s="1" t="s">
        <v>15273</v>
      </c>
      <c r="G217" s="7" t="s">
        <v>1368</v>
      </c>
      <c r="H217" s="18"/>
      <c r="I217" s="19"/>
      <c r="J217" s="4" t="s">
        <v>16116</v>
      </c>
      <c r="K217" s="6" t="s">
        <v>564</v>
      </c>
      <c r="L217" s="5" t="s">
        <v>25</v>
      </c>
      <c r="M217" s="9">
        <v>2</v>
      </c>
      <c r="N217" s="10">
        <v>2</v>
      </c>
      <c r="O217" s="7" t="s">
        <v>188</v>
      </c>
      <c r="P217" s="11">
        <v>26347</v>
      </c>
      <c r="Q217" s="7" t="s">
        <v>761</v>
      </c>
      <c r="R217" s="7"/>
      <c r="S217" s="7" t="s">
        <v>18564</v>
      </c>
      <c r="T217" s="7" t="s">
        <v>547</v>
      </c>
      <c r="U217" s="2" t="s">
        <v>521</v>
      </c>
      <c r="V217" s="2" t="s">
        <v>495</v>
      </c>
      <c r="AD217" s="698"/>
      <c r="AE217" s="655"/>
    </row>
    <row r="218" spans="1:31" ht="12" customHeight="1" thickBot="1">
      <c r="A218" s="938"/>
      <c r="B218" s="700" t="s">
        <v>555</v>
      </c>
      <c r="C218" s="699" t="s">
        <v>561</v>
      </c>
      <c r="D218" s="356">
        <f t="shared" si="3"/>
        <v>62</v>
      </c>
      <c r="E218" s="702" t="s">
        <v>5</v>
      </c>
      <c r="F218" s="699"/>
      <c r="G218" s="703"/>
      <c r="H218" s="699"/>
      <c r="I218" s="699"/>
      <c r="J218" s="700" t="s">
        <v>16117</v>
      </c>
      <c r="K218" s="699"/>
      <c r="L218" s="699" t="s">
        <v>6</v>
      </c>
      <c r="M218" s="705"/>
      <c r="N218" s="706"/>
      <c r="O218" s="703" t="s">
        <v>562</v>
      </c>
      <c r="P218" s="723">
        <v>18296</v>
      </c>
      <c r="Q218" s="703" t="s">
        <v>563</v>
      </c>
      <c r="R218" s="703"/>
      <c r="S218" s="703"/>
      <c r="T218" s="703" t="s">
        <v>495</v>
      </c>
      <c r="U218" s="702"/>
      <c r="V218" s="702" t="s">
        <v>495</v>
      </c>
      <c r="W218" s="702"/>
      <c r="X218" s="702"/>
      <c r="Y218" s="702"/>
      <c r="Z218" s="702"/>
      <c r="AA218" s="702"/>
      <c r="AB218" s="702"/>
      <c r="AC218" s="702"/>
      <c r="AD218" s="708"/>
      <c r="AE218" s="655"/>
    </row>
    <row r="219" spans="1:31" ht="12" customHeight="1">
      <c r="A219" s="936" t="s">
        <v>18245</v>
      </c>
      <c r="B219" s="688" t="s">
        <v>565</v>
      </c>
      <c r="C219" s="690" t="s">
        <v>856</v>
      </c>
      <c r="D219" s="689">
        <f t="shared" si="3"/>
        <v>47</v>
      </c>
      <c r="E219" s="690" t="s">
        <v>5</v>
      </c>
      <c r="F219" s="689" t="s">
        <v>15273</v>
      </c>
      <c r="G219" s="735" t="s">
        <v>1369</v>
      </c>
      <c r="H219" s="736"/>
      <c r="I219" s="736"/>
      <c r="J219" s="692" t="s">
        <v>16127</v>
      </c>
      <c r="K219" s="690" t="s">
        <v>44</v>
      </c>
      <c r="L219" s="690" t="s">
        <v>25</v>
      </c>
      <c r="M219" s="737">
        <v>1</v>
      </c>
      <c r="N219" s="738">
        <v>1</v>
      </c>
      <c r="O219" s="735" t="s">
        <v>447</v>
      </c>
      <c r="P219" s="739">
        <v>24011</v>
      </c>
      <c r="Q219" s="735" t="s">
        <v>759</v>
      </c>
      <c r="R219" s="747"/>
      <c r="S219" s="747"/>
      <c r="T219" s="747"/>
      <c r="U219" s="696"/>
      <c r="V219" s="696"/>
      <c r="W219" s="696"/>
      <c r="X219" s="696"/>
      <c r="Y219" s="696"/>
      <c r="Z219" s="696"/>
      <c r="AA219" s="696"/>
      <c r="AB219" s="696"/>
      <c r="AC219" s="696"/>
      <c r="AD219" s="697"/>
      <c r="AE219" s="655"/>
    </row>
    <row r="220" spans="1:31" ht="12" customHeight="1">
      <c r="A220" s="937" t="s">
        <v>18219</v>
      </c>
      <c r="B220" s="4" t="s">
        <v>566</v>
      </c>
      <c r="C220" s="1" t="s">
        <v>569</v>
      </c>
      <c r="D220" s="5">
        <f t="shared" si="3"/>
        <v>46</v>
      </c>
      <c r="E220" s="2" t="s">
        <v>5</v>
      </c>
      <c r="F220" s="1" t="s">
        <v>15273</v>
      </c>
      <c r="J220" s="4" t="s">
        <v>16120</v>
      </c>
      <c r="K220" s="1" t="s">
        <v>13</v>
      </c>
      <c r="L220" s="1" t="s">
        <v>6</v>
      </c>
      <c r="O220" s="3" t="s">
        <v>570</v>
      </c>
      <c r="P220" s="20">
        <v>24348</v>
      </c>
      <c r="Q220" s="3" t="s">
        <v>571</v>
      </c>
      <c r="S220" s="3" t="s">
        <v>5457</v>
      </c>
      <c r="T220" s="3" t="s">
        <v>572</v>
      </c>
      <c r="V220" s="2" t="s">
        <v>495</v>
      </c>
      <c r="AA220" s="2" t="s">
        <v>479</v>
      </c>
      <c r="AD220" s="698"/>
      <c r="AE220" s="655"/>
    </row>
    <row r="221" spans="1:31" ht="12" customHeight="1">
      <c r="A221" s="937" t="s">
        <v>18223</v>
      </c>
      <c r="B221" s="4" t="s">
        <v>567</v>
      </c>
      <c r="C221" s="1" t="s">
        <v>576</v>
      </c>
      <c r="D221" s="5">
        <f t="shared" si="3"/>
        <v>60</v>
      </c>
      <c r="E221" s="2" t="s">
        <v>5</v>
      </c>
      <c r="F221" s="1" t="s">
        <v>15273</v>
      </c>
      <c r="J221" s="4" t="s">
        <v>16125</v>
      </c>
      <c r="L221" s="1" t="s">
        <v>6</v>
      </c>
      <c r="O221" s="3" t="s">
        <v>577</v>
      </c>
      <c r="P221" s="20">
        <v>19304</v>
      </c>
      <c r="Q221" s="3" t="s">
        <v>578</v>
      </c>
      <c r="S221" s="3" t="s">
        <v>5561</v>
      </c>
      <c r="T221" s="3" t="s">
        <v>495</v>
      </c>
      <c r="V221" s="2" t="s">
        <v>495</v>
      </c>
      <c r="AD221" s="698"/>
      <c r="AE221" s="655"/>
    </row>
    <row r="222" spans="1:31" ht="12" customHeight="1" thickBot="1">
      <c r="A222" s="938"/>
      <c r="B222" s="700" t="s">
        <v>568</v>
      </c>
      <c r="C222" s="699" t="s">
        <v>573</v>
      </c>
      <c r="D222" s="356">
        <f t="shared" si="3"/>
        <v>53</v>
      </c>
      <c r="E222" s="702" t="s">
        <v>5</v>
      </c>
      <c r="F222" s="699"/>
      <c r="G222" s="703"/>
      <c r="H222" s="699"/>
      <c r="I222" s="699"/>
      <c r="J222" s="700" t="s">
        <v>16117</v>
      </c>
      <c r="K222" s="699"/>
      <c r="L222" s="699" t="s">
        <v>6</v>
      </c>
      <c r="M222" s="705"/>
      <c r="N222" s="706"/>
      <c r="O222" s="703" t="s">
        <v>574</v>
      </c>
      <c r="P222" s="707">
        <v>21719</v>
      </c>
      <c r="Q222" s="703" t="s">
        <v>575</v>
      </c>
      <c r="R222" s="703"/>
      <c r="S222" s="703"/>
      <c r="T222" s="703" t="s">
        <v>69</v>
      </c>
      <c r="U222" s="702"/>
      <c r="V222" s="702"/>
      <c r="W222" s="702"/>
      <c r="X222" s="702"/>
      <c r="Y222" s="702"/>
      <c r="Z222" s="702"/>
      <c r="AA222" s="702"/>
      <c r="AB222" s="702"/>
      <c r="AC222" s="702"/>
      <c r="AD222" s="708" t="s">
        <v>543</v>
      </c>
      <c r="AE222" s="655"/>
    </row>
    <row r="223" spans="1:31" ht="12" customHeight="1">
      <c r="A223" s="936" t="s">
        <v>18223</v>
      </c>
      <c r="B223" s="688" t="s">
        <v>579</v>
      </c>
      <c r="C223" s="687" t="s">
        <v>5574</v>
      </c>
      <c r="D223" s="689">
        <f t="shared" si="3"/>
        <v>25</v>
      </c>
      <c r="E223" s="696" t="s">
        <v>5</v>
      </c>
      <c r="F223" s="689" t="s">
        <v>15273</v>
      </c>
      <c r="G223" s="747"/>
      <c r="H223" s="687"/>
      <c r="I223" s="687"/>
      <c r="J223" s="692" t="s">
        <v>16126</v>
      </c>
      <c r="K223" s="687" t="s">
        <v>44</v>
      </c>
      <c r="L223" s="687" t="s">
        <v>6</v>
      </c>
      <c r="M223" s="748"/>
      <c r="N223" s="749"/>
      <c r="O223" s="747" t="s">
        <v>321</v>
      </c>
      <c r="P223" s="773">
        <v>32124</v>
      </c>
      <c r="Q223" s="747" t="s">
        <v>5575</v>
      </c>
      <c r="R223" s="747"/>
      <c r="S223" s="747"/>
      <c r="T223" s="747"/>
      <c r="U223" s="696"/>
      <c r="V223" s="696"/>
      <c r="W223" s="696"/>
      <c r="X223" s="696"/>
      <c r="Y223" s="696"/>
      <c r="Z223" s="696"/>
      <c r="AA223" s="696"/>
      <c r="AB223" s="696"/>
      <c r="AC223" s="696"/>
      <c r="AD223" s="697"/>
      <c r="AE223" s="655"/>
    </row>
    <row r="224" spans="1:31" ht="12" customHeight="1">
      <c r="A224" s="937" t="s">
        <v>18218</v>
      </c>
      <c r="B224" s="4" t="s">
        <v>580</v>
      </c>
      <c r="C224" s="1" t="s">
        <v>583</v>
      </c>
      <c r="D224" s="5">
        <f t="shared" si="3"/>
        <v>45</v>
      </c>
      <c r="E224" s="2" t="s">
        <v>5</v>
      </c>
      <c r="F224" s="1" t="s">
        <v>15273</v>
      </c>
      <c r="J224" s="8" t="s">
        <v>16120</v>
      </c>
      <c r="K224" s="1" t="s">
        <v>48</v>
      </c>
      <c r="L224" s="1" t="s">
        <v>6</v>
      </c>
      <c r="O224" s="3" t="s">
        <v>31</v>
      </c>
      <c r="P224" s="21">
        <v>24536</v>
      </c>
      <c r="Q224" s="3" t="s">
        <v>584</v>
      </c>
      <c r="S224" s="3" t="s">
        <v>5457</v>
      </c>
      <c r="T224" s="3" t="s">
        <v>104</v>
      </c>
      <c r="AA224" s="2" t="s">
        <v>479</v>
      </c>
      <c r="AD224" s="698"/>
      <c r="AE224" s="655"/>
    </row>
    <row r="225" spans="1:31" ht="12" customHeight="1">
      <c r="A225" s="937" t="s">
        <v>18223</v>
      </c>
      <c r="B225" s="4" t="s">
        <v>581</v>
      </c>
      <c r="C225" s="1" t="s">
        <v>589</v>
      </c>
      <c r="D225" s="5">
        <f t="shared" si="3"/>
        <v>28</v>
      </c>
      <c r="E225" s="2" t="s">
        <v>19</v>
      </c>
      <c r="F225" s="1" t="s">
        <v>15273</v>
      </c>
      <c r="J225" s="4" t="s">
        <v>16116</v>
      </c>
      <c r="K225" s="1" t="s">
        <v>4997</v>
      </c>
      <c r="L225" s="1" t="s">
        <v>6</v>
      </c>
      <c r="O225" s="3" t="s">
        <v>590</v>
      </c>
      <c r="P225" s="20">
        <v>30823</v>
      </c>
      <c r="Q225" s="3" t="s">
        <v>591</v>
      </c>
      <c r="T225" s="3" t="s">
        <v>592</v>
      </c>
      <c r="V225" s="2" t="s">
        <v>495</v>
      </c>
      <c r="Y225" s="2" t="s">
        <v>528</v>
      </c>
      <c r="AD225" s="698"/>
      <c r="AE225" s="655"/>
    </row>
    <row r="226" spans="1:31" ht="12" customHeight="1" thickBot="1">
      <c r="A226" s="938"/>
      <c r="B226" s="700" t="s">
        <v>582</v>
      </c>
      <c r="C226" s="699" t="s">
        <v>585</v>
      </c>
      <c r="D226" s="356">
        <f t="shared" si="3"/>
        <v>63</v>
      </c>
      <c r="E226" s="702" t="s">
        <v>5</v>
      </c>
      <c r="F226" s="699"/>
      <c r="G226" s="703"/>
      <c r="H226" s="699"/>
      <c r="I226" s="699"/>
      <c r="J226" s="700" t="s">
        <v>16117</v>
      </c>
      <c r="K226" s="699"/>
      <c r="L226" s="699" t="s">
        <v>6</v>
      </c>
      <c r="M226" s="705"/>
      <c r="N226" s="706"/>
      <c r="O226" s="703" t="s">
        <v>587</v>
      </c>
      <c r="P226" s="723">
        <v>17899</v>
      </c>
      <c r="Q226" s="703" t="s">
        <v>588</v>
      </c>
      <c r="R226" s="703"/>
      <c r="S226" s="703"/>
      <c r="T226" s="703" t="s">
        <v>69</v>
      </c>
      <c r="U226" s="702"/>
      <c r="V226" s="702"/>
      <c r="W226" s="702"/>
      <c r="X226" s="702"/>
      <c r="Y226" s="702"/>
      <c r="Z226" s="702"/>
      <c r="AA226" s="702"/>
      <c r="AB226" s="702"/>
      <c r="AC226" s="702"/>
      <c r="AD226" s="708" t="s">
        <v>543</v>
      </c>
      <c r="AE226" s="655"/>
    </row>
    <row r="227" spans="1:31" ht="12" customHeight="1">
      <c r="A227" s="936" t="s">
        <v>18218</v>
      </c>
      <c r="B227" s="688" t="s">
        <v>593</v>
      </c>
      <c r="C227" s="690" t="s">
        <v>894</v>
      </c>
      <c r="D227" s="689">
        <f t="shared" si="3"/>
        <v>39</v>
      </c>
      <c r="E227" s="690" t="s">
        <v>19</v>
      </c>
      <c r="F227" s="690" t="s">
        <v>15273</v>
      </c>
      <c r="G227" s="735" t="s">
        <v>1370</v>
      </c>
      <c r="H227" s="736"/>
      <c r="I227" s="736"/>
      <c r="J227" s="688" t="s">
        <v>16120</v>
      </c>
      <c r="K227" s="690" t="s">
        <v>13</v>
      </c>
      <c r="L227" s="690" t="s">
        <v>25</v>
      </c>
      <c r="M227" s="737">
        <v>4</v>
      </c>
      <c r="N227" s="738">
        <v>4</v>
      </c>
      <c r="O227" s="735" t="s">
        <v>245</v>
      </c>
      <c r="P227" s="739">
        <v>27009</v>
      </c>
      <c r="Q227" s="735" t="s">
        <v>5614</v>
      </c>
      <c r="R227" s="735" t="s">
        <v>818</v>
      </c>
      <c r="S227" s="735" t="s">
        <v>6051</v>
      </c>
      <c r="T227" s="735" t="s">
        <v>258</v>
      </c>
      <c r="U227" s="696"/>
      <c r="V227" s="696"/>
      <c r="W227" s="696"/>
      <c r="X227" s="696"/>
      <c r="Y227" s="696" t="s">
        <v>5583</v>
      </c>
      <c r="Z227" s="696"/>
      <c r="AA227" s="696" t="s">
        <v>479</v>
      </c>
      <c r="AB227" s="696"/>
      <c r="AC227" s="696"/>
      <c r="AD227" s="697"/>
      <c r="AE227" s="655"/>
    </row>
    <row r="228" spans="1:31" ht="12" customHeight="1">
      <c r="A228" s="937"/>
      <c r="B228" s="4" t="s">
        <v>594</v>
      </c>
      <c r="C228" s="1" t="s">
        <v>596</v>
      </c>
      <c r="D228" s="5">
        <f t="shared" si="3"/>
        <v>44</v>
      </c>
      <c r="E228" s="2" t="s">
        <v>5</v>
      </c>
      <c r="J228" s="4" t="s">
        <v>16117</v>
      </c>
      <c r="L228" s="1" t="s">
        <v>6</v>
      </c>
      <c r="O228" s="3" t="s">
        <v>597</v>
      </c>
      <c r="P228" s="21">
        <v>25149</v>
      </c>
      <c r="Q228" s="3" t="s">
        <v>531</v>
      </c>
      <c r="AD228" s="698"/>
      <c r="AE228" s="655"/>
    </row>
    <row r="229" spans="1:31" ht="12" customHeight="1" thickBot="1">
      <c r="A229" s="938" t="s">
        <v>18223</v>
      </c>
      <c r="B229" s="700" t="s">
        <v>595</v>
      </c>
      <c r="C229" s="699" t="s">
        <v>1437</v>
      </c>
      <c r="D229" s="356">
        <f t="shared" si="3"/>
        <v>61</v>
      </c>
      <c r="E229" s="702" t="s">
        <v>5</v>
      </c>
      <c r="F229" s="699" t="s">
        <v>15273</v>
      </c>
      <c r="G229" s="703"/>
      <c r="H229" s="699"/>
      <c r="I229" s="699"/>
      <c r="J229" s="700" t="s">
        <v>16121</v>
      </c>
      <c r="K229" s="699"/>
      <c r="L229" s="699" t="s">
        <v>6</v>
      </c>
      <c r="M229" s="705"/>
      <c r="N229" s="706"/>
      <c r="O229" s="703" t="s">
        <v>15967</v>
      </c>
      <c r="P229" s="723">
        <v>18941</v>
      </c>
      <c r="Q229" s="703" t="s">
        <v>15968</v>
      </c>
      <c r="R229" s="703"/>
      <c r="S229" s="703"/>
      <c r="T229" s="703" t="s">
        <v>1439</v>
      </c>
      <c r="U229" s="702"/>
      <c r="V229" s="702" t="s">
        <v>1438</v>
      </c>
      <c r="W229" s="702"/>
      <c r="X229" s="702"/>
      <c r="Y229" s="702"/>
      <c r="Z229" s="702"/>
      <c r="AA229" s="702"/>
      <c r="AB229" s="702"/>
      <c r="AC229" s="702"/>
      <c r="AD229" s="708" t="s">
        <v>1440</v>
      </c>
      <c r="AE229" s="655"/>
    </row>
    <row r="230" spans="1:31" ht="12" customHeight="1">
      <c r="A230" s="936" t="s">
        <v>18246</v>
      </c>
      <c r="B230" s="688" t="s">
        <v>598</v>
      </c>
      <c r="C230" s="690" t="s">
        <v>923</v>
      </c>
      <c r="D230" s="689">
        <f t="shared" si="3"/>
        <v>51</v>
      </c>
      <c r="E230" s="690" t="s">
        <v>5</v>
      </c>
      <c r="F230" s="689" t="s">
        <v>15273</v>
      </c>
      <c r="G230" s="735" t="s">
        <v>603</v>
      </c>
      <c r="H230" s="736"/>
      <c r="I230" s="736"/>
      <c r="J230" s="692" t="s">
        <v>16127</v>
      </c>
      <c r="K230" s="690" t="s">
        <v>604</v>
      </c>
      <c r="L230" s="690" t="s">
        <v>25</v>
      </c>
      <c r="M230" s="737">
        <v>4</v>
      </c>
      <c r="N230" s="738">
        <v>4</v>
      </c>
      <c r="O230" s="735" t="s">
        <v>31</v>
      </c>
      <c r="P230" s="739">
        <v>22363</v>
      </c>
      <c r="Q230" s="735" t="s">
        <v>765</v>
      </c>
      <c r="R230" s="735" t="s">
        <v>825</v>
      </c>
      <c r="S230" s="735" t="s">
        <v>6214</v>
      </c>
      <c r="T230" s="735" t="s">
        <v>605</v>
      </c>
      <c r="U230" s="696"/>
      <c r="V230" s="696"/>
      <c r="W230" s="696"/>
      <c r="X230" s="696"/>
      <c r="Y230" s="696"/>
      <c r="Z230" s="696"/>
      <c r="AA230" s="696"/>
      <c r="AB230" s="696"/>
      <c r="AC230" s="696" t="s">
        <v>605</v>
      </c>
      <c r="AD230" s="697"/>
      <c r="AE230" s="655"/>
    </row>
    <row r="231" spans="1:31" ht="12" customHeight="1">
      <c r="A231" s="937" t="s">
        <v>18220</v>
      </c>
      <c r="B231" s="4" t="s">
        <v>599</v>
      </c>
      <c r="C231" s="1" t="s">
        <v>606</v>
      </c>
      <c r="D231" s="5">
        <f t="shared" si="3"/>
        <v>32</v>
      </c>
      <c r="E231" s="2" t="s">
        <v>5</v>
      </c>
      <c r="F231" s="1" t="s">
        <v>15273</v>
      </c>
      <c r="J231" s="4" t="s">
        <v>16120</v>
      </c>
      <c r="K231" s="1" t="s">
        <v>30</v>
      </c>
      <c r="L231" s="1" t="s">
        <v>6</v>
      </c>
      <c r="O231" s="3" t="s">
        <v>545</v>
      </c>
      <c r="P231" s="20">
        <v>29355</v>
      </c>
      <c r="Q231" s="3" t="s">
        <v>607</v>
      </c>
      <c r="S231" s="3" t="s">
        <v>5457</v>
      </c>
      <c r="T231" s="3" t="s">
        <v>521</v>
      </c>
      <c r="U231" s="2" t="s">
        <v>47</v>
      </c>
      <c r="AD231" s="698"/>
      <c r="AE231" s="655"/>
    </row>
    <row r="232" spans="1:31" ht="12" customHeight="1">
      <c r="A232" s="937" t="s">
        <v>18223</v>
      </c>
      <c r="B232" s="4" t="s">
        <v>600</v>
      </c>
      <c r="C232" s="1" t="s">
        <v>611</v>
      </c>
      <c r="D232" s="5">
        <f t="shared" si="3"/>
        <v>47</v>
      </c>
      <c r="E232" s="2" t="s">
        <v>5</v>
      </c>
      <c r="F232" s="1" t="s">
        <v>15273</v>
      </c>
      <c r="J232" s="4" t="s">
        <v>16128</v>
      </c>
      <c r="L232" s="1" t="s">
        <v>6</v>
      </c>
      <c r="O232" s="3" t="s">
        <v>612</v>
      </c>
      <c r="P232" s="20">
        <v>23868</v>
      </c>
      <c r="Q232" s="3" t="s">
        <v>613</v>
      </c>
      <c r="S232" s="3" t="s">
        <v>6031</v>
      </c>
      <c r="AD232" s="698"/>
      <c r="AE232" s="655"/>
    </row>
    <row r="233" spans="1:31" ht="12" customHeight="1">
      <c r="A233" s="937"/>
      <c r="B233" s="4" t="s">
        <v>601</v>
      </c>
      <c r="C233" s="1" t="s">
        <v>608</v>
      </c>
      <c r="D233" s="5">
        <f t="shared" si="3"/>
        <v>65</v>
      </c>
      <c r="E233" s="2" t="s">
        <v>5</v>
      </c>
      <c r="J233" s="4" t="s">
        <v>16117</v>
      </c>
      <c r="L233" s="1" t="s">
        <v>6</v>
      </c>
      <c r="O233" s="3" t="s">
        <v>609</v>
      </c>
      <c r="P233" s="21">
        <v>17505</v>
      </c>
      <c r="Q233" s="3" t="s">
        <v>610</v>
      </c>
      <c r="T233" s="3" t="s">
        <v>495</v>
      </c>
      <c r="V233" s="2" t="s">
        <v>495</v>
      </c>
      <c r="AD233" s="698"/>
      <c r="AE233" s="655"/>
    </row>
    <row r="234" spans="1:31" ht="12" customHeight="1" thickBot="1">
      <c r="A234" s="938"/>
      <c r="B234" s="700" t="s">
        <v>602</v>
      </c>
      <c r="C234" s="699" t="s">
        <v>614</v>
      </c>
      <c r="D234" s="356">
        <f t="shared" si="3"/>
        <v>48</v>
      </c>
      <c r="E234" s="702" t="s">
        <v>5</v>
      </c>
      <c r="F234" s="699" t="s">
        <v>15273</v>
      </c>
      <c r="G234" s="703"/>
      <c r="H234" s="699"/>
      <c r="I234" s="699"/>
      <c r="J234" s="700" t="s">
        <v>16121</v>
      </c>
      <c r="K234" s="699"/>
      <c r="L234" s="699" t="s">
        <v>6</v>
      </c>
      <c r="M234" s="705"/>
      <c r="N234" s="706"/>
      <c r="O234" s="703" t="s">
        <v>615</v>
      </c>
      <c r="P234" s="707">
        <v>23716</v>
      </c>
      <c r="Q234" s="703" t="s">
        <v>5063</v>
      </c>
      <c r="R234" s="703"/>
      <c r="S234" s="703"/>
      <c r="T234" s="703"/>
      <c r="U234" s="702"/>
      <c r="V234" s="702"/>
      <c r="W234" s="702"/>
      <c r="X234" s="702"/>
      <c r="Y234" s="702"/>
      <c r="Z234" s="702"/>
      <c r="AA234" s="702"/>
      <c r="AB234" s="702"/>
      <c r="AC234" s="702"/>
      <c r="AD234" s="708"/>
      <c r="AE234" s="655"/>
    </row>
    <row r="235" spans="1:31" ht="12" customHeight="1">
      <c r="A235" s="936" t="s">
        <v>18245</v>
      </c>
      <c r="B235" s="688" t="s">
        <v>616</v>
      </c>
      <c r="C235" s="690" t="s">
        <v>906</v>
      </c>
      <c r="D235" s="689">
        <f t="shared" si="3"/>
        <v>57</v>
      </c>
      <c r="E235" s="690" t="s">
        <v>5</v>
      </c>
      <c r="F235" s="689" t="s">
        <v>15273</v>
      </c>
      <c r="G235" s="735" t="s">
        <v>620</v>
      </c>
      <c r="H235" s="736"/>
      <c r="I235" s="736"/>
      <c r="J235" s="692" t="s">
        <v>16127</v>
      </c>
      <c r="K235" s="690" t="s">
        <v>604</v>
      </c>
      <c r="L235" s="690" t="s">
        <v>25</v>
      </c>
      <c r="M235" s="737">
        <v>4</v>
      </c>
      <c r="N235" s="738">
        <v>4</v>
      </c>
      <c r="O235" s="735" t="s">
        <v>621</v>
      </c>
      <c r="P235" s="739">
        <v>20119</v>
      </c>
      <c r="Q235" s="735" t="s">
        <v>767</v>
      </c>
      <c r="R235" s="735" t="s">
        <v>1693</v>
      </c>
      <c r="S235" s="735" t="s">
        <v>6214</v>
      </c>
      <c r="T235" s="747" t="s">
        <v>495</v>
      </c>
      <c r="U235" s="696"/>
      <c r="V235" s="696" t="s">
        <v>495</v>
      </c>
      <c r="W235" s="696"/>
      <c r="X235" s="696"/>
      <c r="Y235" s="696"/>
      <c r="Z235" s="696"/>
      <c r="AA235" s="696"/>
      <c r="AB235" s="696"/>
      <c r="AC235" s="696"/>
      <c r="AD235" s="697"/>
      <c r="AE235" s="655"/>
    </row>
    <row r="236" spans="1:31" ht="12" customHeight="1">
      <c r="A236" s="937" t="s">
        <v>18219</v>
      </c>
      <c r="B236" s="4" t="s">
        <v>617</v>
      </c>
      <c r="C236" s="6" t="s">
        <v>898</v>
      </c>
      <c r="D236" s="5">
        <f t="shared" si="3"/>
        <v>54</v>
      </c>
      <c r="E236" s="6" t="s">
        <v>5</v>
      </c>
      <c r="F236" s="6" t="s">
        <v>15273</v>
      </c>
      <c r="G236" s="12" t="s">
        <v>1304</v>
      </c>
      <c r="H236" s="19"/>
      <c r="I236" s="19"/>
      <c r="J236" s="8" t="s">
        <v>16120</v>
      </c>
      <c r="K236" s="6" t="s">
        <v>13</v>
      </c>
      <c r="L236" s="6" t="s">
        <v>25</v>
      </c>
      <c r="M236" s="13">
        <v>4</v>
      </c>
      <c r="N236" s="14">
        <v>4</v>
      </c>
      <c r="O236" s="12" t="s">
        <v>557</v>
      </c>
      <c r="P236" s="15">
        <v>21205</v>
      </c>
      <c r="Q236" s="12" t="s">
        <v>764</v>
      </c>
      <c r="R236" s="12" t="s">
        <v>2525</v>
      </c>
      <c r="S236" s="12" t="s">
        <v>5457</v>
      </c>
      <c r="T236" s="3" t="s">
        <v>495</v>
      </c>
      <c r="V236" s="2" t="s">
        <v>495</v>
      </c>
      <c r="AD236" s="698"/>
      <c r="AE236" s="655"/>
    </row>
    <row r="237" spans="1:31" ht="12" customHeight="1">
      <c r="A237" s="937" t="s">
        <v>18245</v>
      </c>
      <c r="B237" s="4" t="s">
        <v>618</v>
      </c>
      <c r="C237" s="1" t="s">
        <v>625</v>
      </c>
      <c r="D237" s="5">
        <f t="shared" si="3"/>
        <v>47</v>
      </c>
      <c r="E237" s="2" t="s">
        <v>5</v>
      </c>
      <c r="F237" s="1" t="s">
        <v>15273</v>
      </c>
      <c r="J237" s="4" t="s">
        <v>16128</v>
      </c>
      <c r="L237" s="1" t="s">
        <v>6</v>
      </c>
      <c r="O237" s="3" t="s">
        <v>557</v>
      </c>
      <c r="P237" s="20">
        <v>23865</v>
      </c>
      <c r="Q237" s="3" t="s">
        <v>626</v>
      </c>
      <c r="S237" s="3" t="s">
        <v>6031</v>
      </c>
      <c r="T237" s="3" t="s">
        <v>495</v>
      </c>
      <c r="V237" s="2" t="s">
        <v>145</v>
      </c>
      <c r="AD237" s="698"/>
      <c r="AE237" s="655"/>
    </row>
    <row r="238" spans="1:31" ht="12" customHeight="1" thickBot="1">
      <c r="A238" s="938"/>
      <c r="B238" s="700" t="s">
        <v>619</v>
      </c>
      <c r="C238" s="699" t="s">
        <v>622</v>
      </c>
      <c r="D238" s="356">
        <f t="shared" si="3"/>
        <v>44</v>
      </c>
      <c r="E238" s="702" t="s">
        <v>19</v>
      </c>
      <c r="F238" s="699"/>
      <c r="G238" s="703"/>
      <c r="H238" s="699"/>
      <c r="I238" s="699"/>
      <c r="J238" s="700" t="s">
        <v>16117</v>
      </c>
      <c r="K238" s="699"/>
      <c r="L238" s="699" t="s">
        <v>6</v>
      </c>
      <c r="M238" s="705"/>
      <c r="N238" s="706"/>
      <c r="O238" s="703" t="s">
        <v>623</v>
      </c>
      <c r="P238" s="707">
        <v>25177</v>
      </c>
      <c r="Q238" s="703" t="s">
        <v>624</v>
      </c>
      <c r="R238" s="703"/>
      <c r="S238" s="703"/>
      <c r="T238" s="703" t="s">
        <v>495</v>
      </c>
      <c r="U238" s="702"/>
      <c r="V238" s="702" t="s">
        <v>495</v>
      </c>
      <c r="W238" s="702"/>
      <c r="X238" s="702"/>
      <c r="Y238" s="702"/>
      <c r="Z238" s="702"/>
      <c r="AA238" s="702"/>
      <c r="AB238" s="702"/>
      <c r="AC238" s="702"/>
      <c r="AD238" s="708"/>
      <c r="AE238" s="655"/>
    </row>
    <row r="239" spans="1:31" ht="12" customHeight="1">
      <c r="A239" s="936" t="s">
        <v>18245</v>
      </c>
      <c r="B239" s="688" t="s">
        <v>627</v>
      </c>
      <c r="C239" s="689" t="s">
        <v>878</v>
      </c>
      <c r="D239" s="689">
        <f t="shared" si="3"/>
        <v>69</v>
      </c>
      <c r="E239" s="689" t="s">
        <v>5</v>
      </c>
      <c r="F239" s="689" t="s">
        <v>15273</v>
      </c>
      <c r="G239" s="691" t="s">
        <v>638</v>
      </c>
      <c r="H239" s="783"/>
      <c r="I239" s="736"/>
      <c r="J239" s="692" t="s">
        <v>16126</v>
      </c>
      <c r="K239" s="689" t="s">
        <v>45</v>
      </c>
      <c r="L239" s="689" t="s">
        <v>25</v>
      </c>
      <c r="M239" s="693">
        <v>7</v>
      </c>
      <c r="N239" s="694">
        <v>7</v>
      </c>
      <c r="O239" s="691" t="s">
        <v>557</v>
      </c>
      <c r="P239" s="695">
        <v>15926</v>
      </c>
      <c r="Q239" s="691" t="s">
        <v>727</v>
      </c>
      <c r="R239" s="691" t="s">
        <v>830</v>
      </c>
      <c r="S239" s="691" t="s">
        <v>6214</v>
      </c>
      <c r="T239" s="691" t="s">
        <v>147</v>
      </c>
      <c r="U239" s="696"/>
      <c r="V239" s="696"/>
      <c r="W239" s="696"/>
      <c r="X239" s="696"/>
      <c r="Y239" s="696"/>
      <c r="Z239" s="696"/>
      <c r="AA239" s="696"/>
      <c r="AB239" s="696" t="s">
        <v>560</v>
      </c>
      <c r="AC239" s="696"/>
      <c r="AD239" s="697"/>
      <c r="AE239" s="655"/>
    </row>
    <row r="240" spans="1:31" ht="12" customHeight="1">
      <c r="A240" s="937" t="s">
        <v>18219</v>
      </c>
      <c r="B240" s="4" t="s">
        <v>628</v>
      </c>
      <c r="C240" s="1" t="s">
        <v>639</v>
      </c>
      <c r="D240" s="5">
        <f t="shared" si="3"/>
        <v>42</v>
      </c>
      <c r="E240" s="2" t="s">
        <v>5</v>
      </c>
      <c r="F240" s="1" t="s">
        <v>15273</v>
      </c>
      <c r="J240" s="4" t="s">
        <v>16120</v>
      </c>
      <c r="K240" s="1" t="s">
        <v>30</v>
      </c>
      <c r="L240" s="1" t="s">
        <v>6</v>
      </c>
      <c r="O240" s="3" t="s">
        <v>522</v>
      </c>
      <c r="P240" s="20">
        <v>25854</v>
      </c>
      <c r="Q240" s="3" t="s">
        <v>16654</v>
      </c>
      <c r="S240" s="3" t="s">
        <v>5457</v>
      </c>
      <c r="T240" s="3" t="s">
        <v>605</v>
      </c>
      <c r="AC240" s="2" t="s">
        <v>605</v>
      </c>
      <c r="AD240" s="774"/>
      <c r="AE240" s="655"/>
    </row>
    <row r="241" spans="1:31" ht="12" customHeight="1">
      <c r="A241" s="937" t="s">
        <v>18245</v>
      </c>
      <c r="B241" s="4" t="s">
        <v>629</v>
      </c>
      <c r="C241" s="1" t="s">
        <v>5772</v>
      </c>
      <c r="D241" s="5">
        <f t="shared" si="3"/>
        <v>62</v>
      </c>
      <c r="E241" s="2" t="s">
        <v>5</v>
      </c>
      <c r="F241" s="1" t="s">
        <v>15273</v>
      </c>
      <c r="J241" s="4" t="s">
        <v>16116</v>
      </c>
      <c r="K241" s="1" t="s">
        <v>5763</v>
      </c>
      <c r="L241" s="1" t="s">
        <v>6</v>
      </c>
      <c r="O241" s="3" t="s">
        <v>321</v>
      </c>
      <c r="P241" s="21">
        <v>18612</v>
      </c>
      <c r="Q241" s="3" t="s">
        <v>5773</v>
      </c>
      <c r="T241" s="3" t="s">
        <v>5690</v>
      </c>
      <c r="V241" s="2" t="s">
        <v>5690</v>
      </c>
      <c r="AD241" s="774"/>
      <c r="AE241" s="655"/>
    </row>
    <row r="242" spans="1:31" ht="12" customHeight="1">
      <c r="A242" s="937"/>
      <c r="B242" s="4" t="s">
        <v>4591</v>
      </c>
      <c r="C242" s="1" t="s">
        <v>4592</v>
      </c>
      <c r="D242" s="5">
        <f t="shared" si="3"/>
        <v>35</v>
      </c>
      <c r="E242" s="2" t="s">
        <v>5</v>
      </c>
      <c r="F242" s="1" t="s">
        <v>15273</v>
      </c>
      <c r="J242" s="8" t="s">
        <v>16128</v>
      </c>
      <c r="L242" s="1" t="s">
        <v>6</v>
      </c>
      <c r="O242" s="3" t="s">
        <v>188</v>
      </c>
      <c r="P242" s="20">
        <v>28157</v>
      </c>
      <c r="Q242" s="3" t="s">
        <v>4593</v>
      </c>
      <c r="AD242" s="774"/>
      <c r="AE242" s="655"/>
    </row>
    <row r="243" spans="1:31" ht="12" customHeight="1" thickBot="1">
      <c r="A243" s="938"/>
      <c r="B243" s="700" t="s">
        <v>5771</v>
      </c>
      <c r="C243" s="699" t="s">
        <v>640</v>
      </c>
      <c r="D243" s="356">
        <f t="shared" si="3"/>
        <v>56</v>
      </c>
      <c r="E243" s="702" t="s">
        <v>5</v>
      </c>
      <c r="F243" s="699"/>
      <c r="G243" s="703"/>
      <c r="H243" s="699"/>
      <c r="I243" s="699"/>
      <c r="J243" s="700" t="s">
        <v>16117</v>
      </c>
      <c r="K243" s="699"/>
      <c r="L243" s="699" t="s">
        <v>6</v>
      </c>
      <c r="M243" s="705"/>
      <c r="N243" s="706"/>
      <c r="O243" s="703" t="s">
        <v>381</v>
      </c>
      <c r="P243" s="707">
        <v>20466</v>
      </c>
      <c r="Q243" s="703" t="s">
        <v>641</v>
      </c>
      <c r="R243" s="703"/>
      <c r="S243" s="703"/>
      <c r="T243" s="703"/>
      <c r="U243" s="702"/>
      <c r="V243" s="702"/>
      <c r="W243" s="702"/>
      <c r="X243" s="702"/>
      <c r="Y243" s="702"/>
      <c r="Z243" s="702"/>
      <c r="AA243" s="702"/>
      <c r="AB243" s="702"/>
      <c r="AC243" s="702"/>
      <c r="AD243" s="793"/>
      <c r="AE243" s="655"/>
    </row>
    <row r="244" spans="1:31" ht="12" customHeight="1">
      <c r="A244" s="936" t="s">
        <v>18219</v>
      </c>
      <c r="B244" s="688" t="s">
        <v>642</v>
      </c>
      <c r="C244" s="690" t="s">
        <v>899</v>
      </c>
      <c r="D244" s="689">
        <f t="shared" si="3"/>
        <v>51</v>
      </c>
      <c r="E244" s="690" t="s">
        <v>5</v>
      </c>
      <c r="F244" s="689" t="s">
        <v>15273</v>
      </c>
      <c r="G244" s="735" t="s">
        <v>645</v>
      </c>
      <c r="H244" s="736"/>
      <c r="I244" s="736"/>
      <c r="J244" s="692" t="s">
        <v>16127</v>
      </c>
      <c r="K244" s="690" t="s">
        <v>44</v>
      </c>
      <c r="L244" s="690" t="s">
        <v>25</v>
      </c>
      <c r="M244" s="737">
        <v>3</v>
      </c>
      <c r="N244" s="738">
        <v>3</v>
      </c>
      <c r="O244" s="735" t="s">
        <v>95</v>
      </c>
      <c r="P244" s="739">
        <v>22564</v>
      </c>
      <c r="Q244" s="735" t="s">
        <v>757</v>
      </c>
      <c r="R244" s="735" t="s">
        <v>2523</v>
      </c>
      <c r="S244" s="735" t="s">
        <v>6214</v>
      </c>
      <c r="T244" s="735" t="s">
        <v>605</v>
      </c>
      <c r="U244" s="696"/>
      <c r="V244" s="696"/>
      <c r="W244" s="696"/>
      <c r="X244" s="696"/>
      <c r="Y244" s="696"/>
      <c r="Z244" s="696"/>
      <c r="AA244" s="696"/>
      <c r="AB244" s="696"/>
      <c r="AC244" s="696" t="s">
        <v>605</v>
      </c>
      <c r="AD244" s="805"/>
      <c r="AE244" s="655"/>
    </row>
    <row r="245" spans="1:31" ht="12" customHeight="1">
      <c r="A245" s="937" t="s">
        <v>18245</v>
      </c>
      <c r="B245" s="4" t="s">
        <v>643</v>
      </c>
      <c r="C245" s="1" t="s">
        <v>646</v>
      </c>
      <c r="D245" s="5">
        <f t="shared" si="3"/>
        <v>38</v>
      </c>
      <c r="E245" s="2" t="s">
        <v>19</v>
      </c>
      <c r="F245" s="1" t="s">
        <v>15273</v>
      </c>
      <c r="J245" s="4" t="s">
        <v>16120</v>
      </c>
      <c r="K245" s="1" t="s">
        <v>30</v>
      </c>
      <c r="L245" s="1" t="s">
        <v>6</v>
      </c>
      <c r="O245" s="3" t="s">
        <v>255</v>
      </c>
      <c r="P245" s="20">
        <v>27312</v>
      </c>
      <c r="Q245" s="3" t="s">
        <v>647</v>
      </c>
      <c r="S245" s="3" t="s">
        <v>5457</v>
      </c>
      <c r="T245" s="3" t="s">
        <v>521</v>
      </c>
      <c r="U245" s="2" t="s">
        <v>47</v>
      </c>
      <c r="AD245" s="774"/>
      <c r="AE245" s="655"/>
    </row>
    <row r="246" spans="1:31" ht="12" customHeight="1">
      <c r="A246" s="937" t="s">
        <v>18223</v>
      </c>
      <c r="B246" s="4" t="s">
        <v>644</v>
      </c>
      <c r="C246" s="1" t="s">
        <v>5003</v>
      </c>
      <c r="D246" s="5">
        <f t="shared" si="3"/>
        <v>34</v>
      </c>
      <c r="E246" s="2" t="s">
        <v>5</v>
      </c>
      <c r="F246" s="1" t="s">
        <v>15273</v>
      </c>
      <c r="J246" s="4" t="s">
        <v>16116</v>
      </c>
      <c r="K246" s="1" t="s">
        <v>4997</v>
      </c>
      <c r="L246" s="1" t="s">
        <v>6</v>
      </c>
      <c r="O246" s="3" t="s">
        <v>1922</v>
      </c>
      <c r="P246" s="20">
        <v>28801</v>
      </c>
      <c r="Q246" s="3" t="s">
        <v>5004</v>
      </c>
      <c r="AD246" s="774"/>
      <c r="AE246" s="655"/>
    </row>
    <row r="247" spans="1:31" ht="12" customHeight="1">
      <c r="A247" s="937"/>
      <c r="B247" s="4" t="s">
        <v>1081</v>
      </c>
      <c r="C247" s="1" t="s">
        <v>648</v>
      </c>
      <c r="D247" s="5">
        <f t="shared" si="3"/>
        <v>56</v>
      </c>
      <c r="E247" s="2" t="s">
        <v>19</v>
      </c>
      <c r="F247" s="1" t="s">
        <v>15273</v>
      </c>
      <c r="J247" s="4" t="s">
        <v>16117</v>
      </c>
      <c r="L247" s="1" t="s">
        <v>6</v>
      </c>
      <c r="O247" s="3" t="s">
        <v>649</v>
      </c>
      <c r="P247" s="20">
        <v>20663</v>
      </c>
      <c r="Q247" s="3" t="s">
        <v>650</v>
      </c>
      <c r="T247" s="3" t="s">
        <v>495</v>
      </c>
      <c r="V247" s="2" t="s">
        <v>495</v>
      </c>
      <c r="AD247" s="774"/>
      <c r="AE247" s="655"/>
    </row>
    <row r="248" spans="1:31" ht="12" customHeight="1" thickBot="1">
      <c r="A248" s="938"/>
      <c r="B248" s="700" t="s">
        <v>5002</v>
      </c>
      <c r="C248" s="702" t="s">
        <v>15969</v>
      </c>
      <c r="D248" s="356">
        <f t="shared" si="3"/>
        <v>28</v>
      </c>
      <c r="E248" s="702" t="s">
        <v>5</v>
      </c>
      <c r="F248" s="699"/>
      <c r="G248" s="703"/>
      <c r="H248" s="699"/>
      <c r="I248" s="699"/>
      <c r="J248" s="700" t="s">
        <v>16129</v>
      </c>
      <c r="K248" s="699"/>
      <c r="L248" s="699" t="s">
        <v>6</v>
      </c>
      <c r="M248" s="705"/>
      <c r="N248" s="706"/>
      <c r="O248" s="703" t="s">
        <v>16106</v>
      </c>
      <c r="P248" s="707">
        <v>30738</v>
      </c>
      <c r="Q248" s="703" t="s">
        <v>15970</v>
      </c>
      <c r="R248" s="703"/>
      <c r="S248" s="703"/>
      <c r="T248" s="703"/>
      <c r="U248" s="702"/>
      <c r="V248" s="702"/>
      <c r="W248" s="702"/>
      <c r="X248" s="702"/>
      <c r="Y248" s="702"/>
      <c r="Z248" s="702"/>
      <c r="AA248" s="702"/>
      <c r="AB248" s="702"/>
      <c r="AC248" s="702"/>
      <c r="AD248" s="793"/>
      <c r="AE248" s="655"/>
    </row>
    <row r="249" spans="1:31" ht="12" customHeight="1">
      <c r="A249" s="936" t="s">
        <v>18219</v>
      </c>
      <c r="B249" s="688" t="s">
        <v>651</v>
      </c>
      <c r="C249" s="690" t="s">
        <v>881</v>
      </c>
      <c r="D249" s="689">
        <f t="shared" si="3"/>
        <v>48</v>
      </c>
      <c r="E249" s="690" t="s">
        <v>5</v>
      </c>
      <c r="F249" s="689" t="s">
        <v>15273</v>
      </c>
      <c r="G249" s="735" t="s">
        <v>654</v>
      </c>
      <c r="H249" s="736"/>
      <c r="I249" s="736"/>
      <c r="J249" s="692" t="s">
        <v>16127</v>
      </c>
      <c r="K249" s="690" t="s">
        <v>655</v>
      </c>
      <c r="L249" s="690" t="s">
        <v>25</v>
      </c>
      <c r="M249" s="737">
        <v>6</v>
      </c>
      <c r="N249" s="738">
        <v>6</v>
      </c>
      <c r="O249" s="735" t="s">
        <v>490</v>
      </c>
      <c r="P249" s="739">
        <v>23528</v>
      </c>
      <c r="Q249" s="735" t="s">
        <v>727</v>
      </c>
      <c r="R249" s="735" t="s">
        <v>835</v>
      </c>
      <c r="S249" s="735" t="s">
        <v>6214</v>
      </c>
      <c r="T249" s="735" t="s">
        <v>147</v>
      </c>
      <c r="U249" s="696"/>
      <c r="V249" s="696"/>
      <c r="W249" s="696"/>
      <c r="X249" s="696"/>
      <c r="Y249" s="696"/>
      <c r="Z249" s="696"/>
      <c r="AA249" s="696"/>
      <c r="AB249" s="696" t="s">
        <v>560</v>
      </c>
      <c r="AC249" s="696"/>
      <c r="AD249" s="805"/>
      <c r="AE249" s="655"/>
    </row>
    <row r="250" spans="1:31" ht="12" customHeight="1">
      <c r="A250" s="937" t="s">
        <v>18245</v>
      </c>
      <c r="B250" s="4" t="s">
        <v>652</v>
      </c>
      <c r="C250" s="1" t="s">
        <v>656</v>
      </c>
      <c r="D250" s="5">
        <f t="shared" si="3"/>
        <v>41</v>
      </c>
      <c r="E250" s="2" t="s">
        <v>5</v>
      </c>
      <c r="F250" s="1" t="s">
        <v>15273</v>
      </c>
      <c r="J250" s="8" t="s">
        <v>16120</v>
      </c>
      <c r="K250" s="1" t="s">
        <v>30</v>
      </c>
      <c r="L250" s="1" t="s">
        <v>14</v>
      </c>
      <c r="M250" s="16">
        <v>1</v>
      </c>
      <c r="N250" s="17">
        <v>1</v>
      </c>
      <c r="O250" s="3" t="s">
        <v>657</v>
      </c>
      <c r="P250" s="20">
        <v>26088</v>
      </c>
      <c r="Q250" s="3" t="s">
        <v>659</v>
      </c>
      <c r="S250" s="3" t="s">
        <v>5457</v>
      </c>
      <c r="T250" s="3" t="s">
        <v>658</v>
      </c>
      <c r="U250" s="2" t="s">
        <v>47</v>
      </c>
      <c r="AB250" s="2" t="s">
        <v>560</v>
      </c>
      <c r="AD250" s="774"/>
      <c r="AE250" s="655"/>
    </row>
    <row r="251" spans="1:31" ht="12" customHeight="1">
      <c r="A251" s="937"/>
      <c r="B251" s="4" t="s">
        <v>653</v>
      </c>
      <c r="C251" s="1" t="s">
        <v>15629</v>
      </c>
      <c r="D251" s="5">
        <f t="shared" si="3"/>
        <v>50</v>
      </c>
      <c r="E251" s="2" t="s">
        <v>5</v>
      </c>
      <c r="F251" s="1" t="s">
        <v>15273</v>
      </c>
      <c r="J251" s="4" t="s">
        <v>16125</v>
      </c>
      <c r="L251" s="1" t="s">
        <v>6</v>
      </c>
      <c r="O251" s="3" t="s">
        <v>15630</v>
      </c>
      <c r="P251" s="21">
        <v>22770</v>
      </c>
      <c r="Q251" s="3" t="s">
        <v>15631</v>
      </c>
      <c r="S251" s="3" t="s">
        <v>5561</v>
      </c>
      <c r="AD251" s="774"/>
      <c r="AE251" s="655"/>
    </row>
    <row r="252" spans="1:31" ht="12" customHeight="1" thickBot="1">
      <c r="A252" s="938"/>
      <c r="B252" s="700" t="s">
        <v>15628</v>
      </c>
      <c r="C252" s="699" t="s">
        <v>660</v>
      </c>
      <c r="D252" s="356">
        <f t="shared" si="3"/>
        <v>52</v>
      </c>
      <c r="E252" s="702" t="s">
        <v>5</v>
      </c>
      <c r="F252" s="699"/>
      <c r="G252" s="703"/>
      <c r="H252" s="699"/>
      <c r="I252" s="699"/>
      <c r="J252" s="700" t="s">
        <v>16117</v>
      </c>
      <c r="K252" s="699"/>
      <c r="L252" s="699" t="s">
        <v>6</v>
      </c>
      <c r="M252" s="705"/>
      <c r="N252" s="706"/>
      <c r="O252" s="703" t="s">
        <v>661</v>
      </c>
      <c r="P252" s="707">
        <v>21917</v>
      </c>
      <c r="Q252" s="703" t="s">
        <v>662</v>
      </c>
      <c r="R252" s="703"/>
      <c r="S252" s="703"/>
      <c r="T252" s="703" t="s">
        <v>495</v>
      </c>
      <c r="U252" s="702"/>
      <c r="V252" s="702" t="s">
        <v>145</v>
      </c>
      <c r="W252" s="702"/>
      <c r="X252" s="702"/>
      <c r="Y252" s="702"/>
      <c r="Z252" s="702"/>
      <c r="AA252" s="702"/>
      <c r="AB252" s="702"/>
      <c r="AC252" s="702"/>
      <c r="AD252" s="793"/>
      <c r="AE252" s="655"/>
    </row>
    <row r="253" spans="1:31" ht="12" customHeight="1">
      <c r="A253" s="936" t="s">
        <v>18246</v>
      </c>
      <c r="B253" s="688" t="s">
        <v>663</v>
      </c>
      <c r="C253" s="690" t="s">
        <v>910</v>
      </c>
      <c r="D253" s="689">
        <f t="shared" si="3"/>
        <v>55</v>
      </c>
      <c r="E253" s="690" t="s">
        <v>5</v>
      </c>
      <c r="F253" s="689" t="s">
        <v>15273</v>
      </c>
      <c r="G253" s="735" t="s">
        <v>667</v>
      </c>
      <c r="H253" s="736"/>
      <c r="I253" s="736"/>
      <c r="J253" s="692" t="s">
        <v>16126</v>
      </c>
      <c r="K253" s="690" t="s">
        <v>44</v>
      </c>
      <c r="L253" s="690" t="s">
        <v>25</v>
      </c>
      <c r="M253" s="737">
        <v>4</v>
      </c>
      <c r="N253" s="738">
        <v>4</v>
      </c>
      <c r="O253" s="735" t="s">
        <v>188</v>
      </c>
      <c r="P253" s="739">
        <v>20810</v>
      </c>
      <c r="Q253" s="735" t="s">
        <v>801</v>
      </c>
      <c r="R253" s="735" t="s">
        <v>840</v>
      </c>
      <c r="S253" s="735" t="s">
        <v>6214</v>
      </c>
      <c r="T253" s="747"/>
      <c r="U253" s="696"/>
      <c r="V253" s="696"/>
      <c r="W253" s="696"/>
      <c r="X253" s="696"/>
      <c r="Y253" s="696"/>
      <c r="Z253" s="696"/>
      <c r="AA253" s="696"/>
      <c r="AB253" s="696"/>
      <c r="AC253" s="696"/>
      <c r="AD253" s="805"/>
      <c r="AE253" s="655"/>
    </row>
    <row r="254" spans="1:31" ht="12" customHeight="1">
      <c r="A254" s="937" t="s">
        <v>18220</v>
      </c>
      <c r="B254" s="4" t="s">
        <v>664</v>
      </c>
      <c r="C254" s="1" t="s">
        <v>668</v>
      </c>
      <c r="D254" s="5">
        <f t="shared" si="3"/>
        <v>43</v>
      </c>
      <c r="E254" s="2" t="s">
        <v>5</v>
      </c>
      <c r="F254" s="1" t="s">
        <v>15273</v>
      </c>
      <c r="J254" s="4" t="s">
        <v>16120</v>
      </c>
      <c r="K254" s="1" t="s">
        <v>48</v>
      </c>
      <c r="L254" s="1" t="s">
        <v>14</v>
      </c>
      <c r="M254" s="16">
        <v>1</v>
      </c>
      <c r="N254" s="17">
        <v>1</v>
      </c>
      <c r="O254" s="3" t="s">
        <v>669</v>
      </c>
      <c r="P254" s="20">
        <v>25395</v>
      </c>
      <c r="Q254" s="3" t="s">
        <v>670</v>
      </c>
      <c r="S254" s="3" t="s">
        <v>5889</v>
      </c>
      <c r="T254" s="3" t="s">
        <v>495</v>
      </c>
      <c r="V254" s="2" t="s">
        <v>495</v>
      </c>
      <c r="AD254" s="774"/>
      <c r="AE254" s="655"/>
    </row>
    <row r="255" spans="1:31" ht="12" customHeight="1">
      <c r="A255" s="937" t="s">
        <v>18223</v>
      </c>
      <c r="B255" s="4" t="s">
        <v>665</v>
      </c>
      <c r="C255" s="1" t="s">
        <v>5857</v>
      </c>
      <c r="D255" s="5">
        <f t="shared" si="3"/>
        <v>63</v>
      </c>
      <c r="E255" s="2" t="s">
        <v>5</v>
      </c>
      <c r="F255" s="1" t="s">
        <v>15273</v>
      </c>
      <c r="J255" s="4" t="s">
        <v>16116</v>
      </c>
      <c r="K255" s="1" t="s">
        <v>5858</v>
      </c>
      <c r="L255" s="1" t="s">
        <v>6</v>
      </c>
      <c r="O255" s="3" t="s">
        <v>15971</v>
      </c>
      <c r="P255" s="20">
        <v>18243</v>
      </c>
      <c r="Q255" s="3" t="s">
        <v>5859</v>
      </c>
      <c r="S255" s="3" t="s">
        <v>5948</v>
      </c>
      <c r="T255" s="3" t="s">
        <v>5823</v>
      </c>
      <c r="Z255" s="2" t="s">
        <v>5823</v>
      </c>
      <c r="AD255" s="774"/>
      <c r="AE255" s="655"/>
    </row>
    <row r="256" spans="1:31" ht="12" customHeight="1">
      <c r="A256" s="937"/>
      <c r="B256" s="4" t="s">
        <v>666</v>
      </c>
      <c r="C256" s="1" t="s">
        <v>671</v>
      </c>
      <c r="D256" s="5">
        <f t="shared" si="3"/>
        <v>62</v>
      </c>
      <c r="E256" s="2" t="s">
        <v>5</v>
      </c>
      <c r="J256" s="4" t="s">
        <v>16117</v>
      </c>
      <c r="L256" s="1" t="s">
        <v>6</v>
      </c>
      <c r="O256" s="3" t="s">
        <v>672</v>
      </c>
      <c r="P256" s="20">
        <v>18285</v>
      </c>
      <c r="Q256" s="3" t="s">
        <v>673</v>
      </c>
      <c r="AD256" s="774"/>
      <c r="AE256" s="655"/>
    </row>
    <row r="257" spans="1:31" ht="12" customHeight="1" thickBot="1">
      <c r="A257" s="938"/>
      <c r="B257" s="700" t="s">
        <v>5856</v>
      </c>
      <c r="C257" s="699" t="s">
        <v>674</v>
      </c>
      <c r="D257" s="356">
        <f t="shared" si="3"/>
        <v>45</v>
      </c>
      <c r="E257" s="702" t="s">
        <v>5</v>
      </c>
      <c r="F257" s="699"/>
      <c r="G257" s="703"/>
      <c r="H257" s="699"/>
      <c r="I257" s="699"/>
      <c r="J257" s="700" t="s">
        <v>16122</v>
      </c>
      <c r="K257" s="699" t="s">
        <v>22</v>
      </c>
      <c r="L257" s="699" t="s">
        <v>6</v>
      </c>
      <c r="M257" s="705"/>
      <c r="N257" s="706"/>
      <c r="O257" s="703" t="s">
        <v>675</v>
      </c>
      <c r="P257" s="707">
        <v>24631</v>
      </c>
      <c r="Q257" s="703" t="s">
        <v>5174</v>
      </c>
      <c r="R257" s="703"/>
      <c r="S257" s="703"/>
      <c r="T257" s="703"/>
      <c r="U257" s="702"/>
      <c r="V257" s="702"/>
      <c r="W257" s="702"/>
      <c r="X257" s="702"/>
      <c r="Y257" s="702"/>
      <c r="Z257" s="702"/>
      <c r="AA257" s="702"/>
      <c r="AB257" s="702"/>
      <c r="AC257" s="702"/>
      <c r="AD257" s="793"/>
      <c r="AE257" s="655"/>
    </row>
    <row r="258" spans="1:31" ht="12" customHeight="1">
      <c r="A258" s="936" t="s">
        <v>18245</v>
      </c>
      <c r="B258" s="688" t="s">
        <v>676</v>
      </c>
      <c r="C258" s="687" t="s">
        <v>680</v>
      </c>
      <c r="D258" s="689">
        <f t="shared" ref="D258:D321" si="4">DATEDIF(P258,$P$1298,"Y")</f>
        <v>50</v>
      </c>
      <c r="E258" s="696" t="s">
        <v>19</v>
      </c>
      <c r="F258" s="689" t="s">
        <v>15273</v>
      </c>
      <c r="G258" s="747"/>
      <c r="H258" s="687"/>
      <c r="I258" s="687"/>
      <c r="J258" s="692" t="s">
        <v>16127</v>
      </c>
      <c r="K258" s="687" t="s">
        <v>681</v>
      </c>
      <c r="L258" s="687" t="s">
        <v>6</v>
      </c>
      <c r="M258" s="748"/>
      <c r="N258" s="749">
        <v>2</v>
      </c>
      <c r="O258" s="747" t="s">
        <v>682</v>
      </c>
      <c r="P258" s="773">
        <v>22916</v>
      </c>
      <c r="Q258" s="747" t="s">
        <v>683</v>
      </c>
      <c r="R258" s="747" t="s">
        <v>374</v>
      </c>
      <c r="S258" s="747"/>
      <c r="T258" s="747" t="s">
        <v>517</v>
      </c>
      <c r="U258" s="696"/>
      <c r="V258" s="696"/>
      <c r="W258" s="696"/>
      <c r="X258" s="696" t="s">
        <v>517</v>
      </c>
      <c r="Y258" s="696"/>
      <c r="Z258" s="696"/>
      <c r="AA258" s="696"/>
      <c r="AB258" s="696"/>
      <c r="AC258" s="696"/>
      <c r="AD258" s="805"/>
      <c r="AE258" s="655"/>
    </row>
    <row r="259" spans="1:31" ht="12" customHeight="1">
      <c r="A259" s="937" t="s">
        <v>18219</v>
      </c>
      <c r="B259" s="4" t="s">
        <v>677</v>
      </c>
      <c r="C259" s="1" t="s">
        <v>684</v>
      </c>
      <c r="D259" s="5">
        <f t="shared" si="4"/>
        <v>58</v>
      </c>
      <c r="E259" s="2" t="s">
        <v>5</v>
      </c>
      <c r="F259" s="1" t="s">
        <v>15273</v>
      </c>
      <c r="J259" s="4" t="s">
        <v>16120</v>
      </c>
      <c r="K259" s="1" t="s">
        <v>30</v>
      </c>
      <c r="L259" s="1" t="s">
        <v>6</v>
      </c>
      <c r="O259" s="3" t="s">
        <v>685</v>
      </c>
      <c r="P259" s="20">
        <v>19953</v>
      </c>
      <c r="Q259" s="3" t="s">
        <v>686</v>
      </c>
      <c r="S259" s="3" t="s">
        <v>5457</v>
      </c>
      <c r="T259" s="3" t="s">
        <v>495</v>
      </c>
      <c r="V259" s="2" t="s">
        <v>495</v>
      </c>
      <c r="AD259" s="774"/>
      <c r="AE259" s="655"/>
    </row>
    <row r="260" spans="1:31" ht="12" customHeight="1">
      <c r="A260" s="937" t="s">
        <v>18245</v>
      </c>
      <c r="B260" s="4" t="s">
        <v>678</v>
      </c>
      <c r="C260" s="5" t="s">
        <v>886</v>
      </c>
      <c r="D260" s="5">
        <f t="shared" si="4"/>
        <v>47</v>
      </c>
      <c r="E260" s="5" t="s">
        <v>19</v>
      </c>
      <c r="F260" s="1" t="s">
        <v>15273</v>
      </c>
      <c r="G260" s="7" t="s">
        <v>687</v>
      </c>
      <c r="H260" s="18"/>
      <c r="I260" s="19"/>
      <c r="J260" s="4" t="s">
        <v>16125</v>
      </c>
      <c r="K260" s="5"/>
      <c r="L260" s="5" t="s">
        <v>25</v>
      </c>
      <c r="M260" s="9">
        <v>3</v>
      </c>
      <c r="N260" s="10">
        <v>3</v>
      </c>
      <c r="O260" s="7" t="s">
        <v>159</v>
      </c>
      <c r="P260" s="11">
        <v>23857</v>
      </c>
      <c r="Q260" s="7" t="s">
        <v>766</v>
      </c>
      <c r="R260" s="3" t="s">
        <v>2520</v>
      </c>
      <c r="S260" s="3" t="s">
        <v>5561</v>
      </c>
      <c r="T260" s="3" t="s">
        <v>572</v>
      </c>
      <c r="V260" s="2" t="s">
        <v>495</v>
      </c>
      <c r="AA260" s="2" t="s">
        <v>479</v>
      </c>
      <c r="AD260" s="774"/>
      <c r="AE260" s="655"/>
    </row>
    <row r="261" spans="1:31" ht="12" customHeight="1">
      <c r="A261" s="937" t="s">
        <v>18223</v>
      </c>
      <c r="B261" s="4" t="s">
        <v>679</v>
      </c>
      <c r="C261" s="1" t="s">
        <v>5355</v>
      </c>
      <c r="D261" s="5">
        <f t="shared" si="4"/>
        <v>40</v>
      </c>
      <c r="E261" s="2" t="s">
        <v>5</v>
      </c>
      <c r="F261" s="1" t="s">
        <v>15273</v>
      </c>
      <c r="J261" s="4" t="s">
        <v>16116</v>
      </c>
      <c r="K261" s="1" t="s">
        <v>5298</v>
      </c>
      <c r="L261" s="1" t="s">
        <v>6</v>
      </c>
      <c r="O261" s="3" t="s">
        <v>381</v>
      </c>
      <c r="P261" s="20">
        <v>26334</v>
      </c>
      <c r="Q261" s="3" t="s">
        <v>6142</v>
      </c>
      <c r="S261" s="3" t="s">
        <v>6029</v>
      </c>
      <c r="AC261" s="3"/>
      <c r="AD261" s="774"/>
      <c r="AE261" s="655"/>
    </row>
    <row r="262" spans="1:31" ht="12" customHeight="1" thickBot="1">
      <c r="A262" s="938"/>
      <c r="B262" s="700" t="s">
        <v>5354</v>
      </c>
      <c r="C262" s="699" t="s">
        <v>688</v>
      </c>
      <c r="D262" s="356">
        <f t="shared" si="4"/>
        <v>62</v>
      </c>
      <c r="E262" s="702" t="s">
        <v>19</v>
      </c>
      <c r="F262" s="699"/>
      <c r="G262" s="703"/>
      <c r="H262" s="699"/>
      <c r="I262" s="699"/>
      <c r="J262" s="700" t="s">
        <v>16117</v>
      </c>
      <c r="K262" s="699"/>
      <c r="L262" s="699" t="s">
        <v>6</v>
      </c>
      <c r="M262" s="705"/>
      <c r="N262" s="706"/>
      <c r="O262" s="703" t="s">
        <v>689</v>
      </c>
      <c r="P262" s="707">
        <v>18292</v>
      </c>
      <c r="Q262" s="703" t="s">
        <v>690</v>
      </c>
      <c r="R262" s="703"/>
      <c r="S262" s="703"/>
      <c r="T262" s="703"/>
      <c r="U262" s="702"/>
      <c r="V262" s="702"/>
      <c r="W262" s="702"/>
      <c r="X262" s="702"/>
      <c r="Y262" s="702"/>
      <c r="Z262" s="702"/>
      <c r="AA262" s="702"/>
      <c r="AB262" s="702"/>
      <c r="AC262" s="703"/>
      <c r="AD262" s="793"/>
      <c r="AE262" s="655"/>
    </row>
    <row r="263" spans="1:31" ht="12" customHeight="1">
      <c r="A263" s="936" t="s">
        <v>18245</v>
      </c>
      <c r="B263" s="688" t="s">
        <v>691</v>
      </c>
      <c r="C263" s="690" t="s">
        <v>893</v>
      </c>
      <c r="D263" s="689">
        <f t="shared" si="4"/>
        <v>40</v>
      </c>
      <c r="E263" s="690" t="s">
        <v>5</v>
      </c>
      <c r="F263" s="689" t="s">
        <v>15273</v>
      </c>
      <c r="G263" s="735" t="s">
        <v>694</v>
      </c>
      <c r="H263" s="736"/>
      <c r="I263" s="736"/>
      <c r="J263" s="692" t="s">
        <v>16127</v>
      </c>
      <c r="K263" s="690" t="s">
        <v>44</v>
      </c>
      <c r="L263" s="690" t="s">
        <v>25</v>
      </c>
      <c r="M263" s="737">
        <v>1</v>
      </c>
      <c r="N263" s="738">
        <v>1</v>
      </c>
      <c r="O263" s="735" t="s">
        <v>695</v>
      </c>
      <c r="P263" s="739">
        <v>26424</v>
      </c>
      <c r="Q263" s="735" t="s">
        <v>788</v>
      </c>
      <c r="R263" s="747"/>
      <c r="S263" s="747" t="s">
        <v>6214</v>
      </c>
      <c r="T263" s="747"/>
      <c r="U263" s="696"/>
      <c r="V263" s="696"/>
      <c r="W263" s="696"/>
      <c r="X263" s="696"/>
      <c r="Y263" s="696"/>
      <c r="Z263" s="696"/>
      <c r="AA263" s="696"/>
      <c r="AB263" s="696"/>
      <c r="AC263" s="747"/>
      <c r="AD263" s="805"/>
      <c r="AE263" s="655"/>
    </row>
    <row r="264" spans="1:31" ht="12" customHeight="1">
      <c r="A264" s="937" t="s">
        <v>18219</v>
      </c>
      <c r="B264" s="4" t="s">
        <v>692</v>
      </c>
      <c r="C264" s="6" t="s">
        <v>884</v>
      </c>
      <c r="D264" s="5">
        <f t="shared" si="4"/>
        <v>47</v>
      </c>
      <c r="E264" s="6" t="s">
        <v>5</v>
      </c>
      <c r="F264" s="6" t="s">
        <v>15273</v>
      </c>
      <c r="G264" s="12" t="s">
        <v>1305</v>
      </c>
      <c r="H264" s="19"/>
      <c r="I264" s="19"/>
      <c r="J264" s="8" t="s">
        <v>16120</v>
      </c>
      <c r="K264" s="6" t="s">
        <v>48</v>
      </c>
      <c r="L264" s="6" t="s">
        <v>25</v>
      </c>
      <c r="M264" s="13">
        <v>3</v>
      </c>
      <c r="N264" s="14">
        <v>3</v>
      </c>
      <c r="O264" s="12" t="s">
        <v>546</v>
      </c>
      <c r="P264" s="15">
        <v>24081</v>
      </c>
      <c r="Q264" s="12" t="s">
        <v>727</v>
      </c>
      <c r="R264" s="12" t="s">
        <v>808</v>
      </c>
      <c r="S264" s="12"/>
      <c r="T264" s="12" t="s">
        <v>147</v>
      </c>
      <c r="AB264" s="2" t="s">
        <v>560</v>
      </c>
      <c r="AC264" s="3"/>
      <c r="AD264" s="774"/>
      <c r="AE264" s="655"/>
    </row>
    <row r="265" spans="1:31" ht="12" customHeight="1">
      <c r="A265" s="937"/>
      <c r="B265" s="4" t="s">
        <v>693</v>
      </c>
      <c r="C265" s="1" t="s">
        <v>15973</v>
      </c>
      <c r="D265" s="5">
        <f t="shared" si="4"/>
        <v>55</v>
      </c>
      <c r="E265" s="2" t="s">
        <v>5</v>
      </c>
      <c r="F265" s="1" t="s">
        <v>15273</v>
      </c>
      <c r="J265" s="4" t="s">
        <v>16125</v>
      </c>
      <c r="L265" s="1" t="s">
        <v>6</v>
      </c>
      <c r="O265" s="3" t="s">
        <v>188</v>
      </c>
      <c r="P265" s="20">
        <v>20828</v>
      </c>
      <c r="Q265" s="3" t="s">
        <v>15972</v>
      </c>
      <c r="S265" s="3" t="s">
        <v>5561</v>
      </c>
      <c r="AC265" s="3"/>
      <c r="AD265" s="774"/>
      <c r="AE265" s="655"/>
    </row>
    <row r="266" spans="1:31" ht="12" customHeight="1">
      <c r="A266" s="937" t="s">
        <v>18245</v>
      </c>
      <c r="B266" s="4" t="s">
        <v>1074</v>
      </c>
      <c r="C266" s="1" t="s">
        <v>1075</v>
      </c>
      <c r="D266" s="5">
        <f t="shared" si="4"/>
        <v>63</v>
      </c>
      <c r="E266" s="2" t="s">
        <v>5</v>
      </c>
      <c r="F266" s="1" t="s">
        <v>15273</v>
      </c>
      <c r="J266" s="4" t="s">
        <v>16116</v>
      </c>
      <c r="K266" s="1" t="s">
        <v>1076</v>
      </c>
      <c r="L266" s="1" t="s">
        <v>1077</v>
      </c>
      <c r="M266" s="16">
        <v>2</v>
      </c>
      <c r="N266" s="17">
        <v>2</v>
      </c>
      <c r="O266" s="3" t="s">
        <v>609</v>
      </c>
      <c r="P266" s="20">
        <v>18037</v>
      </c>
      <c r="Q266" s="3" t="s">
        <v>1078</v>
      </c>
      <c r="R266" s="3" t="s">
        <v>1079</v>
      </c>
      <c r="T266" s="3" t="s">
        <v>1080</v>
      </c>
      <c r="V266" s="2" t="s">
        <v>1080</v>
      </c>
      <c r="AC266" s="3"/>
      <c r="AD266" s="774"/>
      <c r="AE266" s="655"/>
    </row>
    <row r="267" spans="1:31" ht="12" customHeight="1" thickBot="1">
      <c r="A267" s="938" t="s">
        <v>18223</v>
      </c>
      <c r="B267" s="700" t="s">
        <v>5788</v>
      </c>
      <c r="C267" s="699" t="s">
        <v>696</v>
      </c>
      <c r="D267" s="356">
        <f t="shared" si="4"/>
        <v>41</v>
      </c>
      <c r="E267" s="702" t="s">
        <v>5</v>
      </c>
      <c r="F267" s="699"/>
      <c r="G267" s="703"/>
      <c r="H267" s="699"/>
      <c r="I267" s="699"/>
      <c r="J267" s="700" t="s">
        <v>16117</v>
      </c>
      <c r="K267" s="699"/>
      <c r="L267" s="699" t="s">
        <v>6</v>
      </c>
      <c r="M267" s="705"/>
      <c r="N267" s="706"/>
      <c r="O267" s="703" t="s">
        <v>609</v>
      </c>
      <c r="P267" s="707">
        <v>26198</v>
      </c>
      <c r="Q267" s="703" t="s">
        <v>531</v>
      </c>
      <c r="R267" s="703"/>
      <c r="S267" s="703"/>
      <c r="T267" s="703"/>
      <c r="U267" s="702"/>
      <c r="V267" s="702"/>
      <c r="W267" s="702"/>
      <c r="X267" s="702"/>
      <c r="Y267" s="702"/>
      <c r="Z267" s="702"/>
      <c r="AA267" s="702"/>
      <c r="AB267" s="702"/>
      <c r="AC267" s="703"/>
      <c r="AD267" s="793"/>
      <c r="AE267" s="655"/>
    </row>
    <row r="268" spans="1:31" ht="12" customHeight="1">
      <c r="A268" s="936" t="s">
        <v>18245</v>
      </c>
      <c r="B268" s="688" t="s">
        <v>697</v>
      </c>
      <c r="C268" s="690" t="s">
        <v>868</v>
      </c>
      <c r="D268" s="689">
        <f t="shared" si="4"/>
        <v>64</v>
      </c>
      <c r="E268" s="690" t="s">
        <v>5</v>
      </c>
      <c r="F268" s="689" t="s">
        <v>15273</v>
      </c>
      <c r="G268" s="735" t="s">
        <v>700</v>
      </c>
      <c r="H268" s="736"/>
      <c r="I268" s="736"/>
      <c r="J268" s="692" t="s">
        <v>16126</v>
      </c>
      <c r="K268" s="690" t="s">
        <v>655</v>
      </c>
      <c r="L268" s="690" t="s">
        <v>25</v>
      </c>
      <c r="M268" s="737">
        <v>4</v>
      </c>
      <c r="N268" s="738">
        <v>4</v>
      </c>
      <c r="O268" s="735" t="s">
        <v>546</v>
      </c>
      <c r="P268" s="739">
        <v>17839</v>
      </c>
      <c r="Q268" s="735" t="s">
        <v>701</v>
      </c>
      <c r="R268" s="735" t="s">
        <v>2518</v>
      </c>
      <c r="S268" s="735" t="s">
        <v>6214</v>
      </c>
      <c r="T268" s="735" t="s">
        <v>528</v>
      </c>
      <c r="U268" s="696"/>
      <c r="V268" s="696"/>
      <c r="W268" s="696"/>
      <c r="X268" s="696"/>
      <c r="Y268" s="696" t="s">
        <v>528</v>
      </c>
      <c r="Z268" s="696"/>
      <c r="AA268" s="696"/>
      <c r="AB268" s="696"/>
      <c r="AC268" s="747"/>
      <c r="AD268" s="805"/>
      <c r="AE268" s="655"/>
    </row>
    <row r="269" spans="1:31" ht="12" customHeight="1">
      <c r="A269" s="937" t="s">
        <v>18219</v>
      </c>
      <c r="B269" s="4" t="s">
        <v>698</v>
      </c>
      <c r="C269" s="1" t="s">
        <v>702</v>
      </c>
      <c r="D269" s="5">
        <f t="shared" si="4"/>
        <v>39</v>
      </c>
      <c r="E269" s="2" t="s">
        <v>5</v>
      </c>
      <c r="F269" s="1" t="s">
        <v>15273</v>
      </c>
      <c r="J269" s="4" t="s">
        <v>16120</v>
      </c>
      <c r="K269" s="1" t="s">
        <v>48</v>
      </c>
      <c r="L269" s="1" t="s">
        <v>14</v>
      </c>
      <c r="M269" s="16">
        <v>1</v>
      </c>
      <c r="N269" s="17">
        <v>1</v>
      </c>
      <c r="O269" s="3" t="s">
        <v>255</v>
      </c>
      <c r="P269" s="20">
        <v>26829</v>
      </c>
      <c r="Q269" s="3" t="s">
        <v>703</v>
      </c>
      <c r="S269" s="3" t="s">
        <v>5457</v>
      </c>
      <c r="AC269" s="3"/>
      <c r="AD269" s="774"/>
      <c r="AE269" s="655"/>
    </row>
    <row r="270" spans="1:31" ht="12" customHeight="1">
      <c r="A270" s="937"/>
      <c r="B270" s="4" t="s">
        <v>699</v>
      </c>
      <c r="C270" s="1" t="s">
        <v>5074</v>
      </c>
      <c r="D270" s="5">
        <f t="shared" si="4"/>
        <v>49</v>
      </c>
      <c r="E270" s="2" t="s">
        <v>5</v>
      </c>
      <c r="F270" s="1" t="s">
        <v>15273</v>
      </c>
      <c r="J270" s="4" t="s">
        <v>16125</v>
      </c>
      <c r="L270" s="1" t="s">
        <v>6</v>
      </c>
      <c r="O270" s="3" t="s">
        <v>5075</v>
      </c>
      <c r="P270" s="20">
        <v>23066</v>
      </c>
      <c r="Q270" s="3" t="s">
        <v>5076</v>
      </c>
      <c r="S270" s="3" t="s">
        <v>5561</v>
      </c>
      <c r="AC270" s="3"/>
      <c r="AD270" s="774"/>
      <c r="AE270" s="655"/>
    </row>
    <row r="271" spans="1:31" ht="12" customHeight="1">
      <c r="A271" s="937" t="s">
        <v>18223</v>
      </c>
      <c r="B271" s="4" t="s">
        <v>5073</v>
      </c>
      <c r="C271" s="1" t="s">
        <v>6143</v>
      </c>
      <c r="D271" s="5">
        <f t="shared" si="4"/>
        <v>45</v>
      </c>
      <c r="E271" s="2" t="s">
        <v>5</v>
      </c>
      <c r="F271" s="1" t="s">
        <v>15273</v>
      </c>
      <c r="J271" s="4" t="s">
        <v>16116</v>
      </c>
      <c r="K271" s="1" t="s">
        <v>5298</v>
      </c>
      <c r="L271" s="1" t="s">
        <v>6</v>
      </c>
      <c r="O271" s="3" t="s">
        <v>6145</v>
      </c>
      <c r="P271" s="20">
        <v>24529</v>
      </c>
      <c r="Q271" s="3" t="s">
        <v>6146</v>
      </c>
      <c r="S271" s="3" t="s">
        <v>6029</v>
      </c>
      <c r="AC271" s="3"/>
      <c r="AD271" s="774"/>
      <c r="AE271" s="655"/>
    </row>
    <row r="272" spans="1:31" ht="12" customHeight="1" thickBot="1">
      <c r="A272" s="938"/>
      <c r="B272" s="700" t="s">
        <v>5356</v>
      </c>
      <c r="C272" s="699" t="s">
        <v>704</v>
      </c>
      <c r="D272" s="356">
        <f t="shared" si="4"/>
        <v>48</v>
      </c>
      <c r="E272" s="702" t="s">
        <v>5</v>
      </c>
      <c r="F272" s="699"/>
      <c r="G272" s="703"/>
      <c r="H272" s="699"/>
      <c r="I272" s="699"/>
      <c r="J272" s="700" t="s">
        <v>16117</v>
      </c>
      <c r="K272" s="699"/>
      <c r="L272" s="699" t="s">
        <v>6</v>
      </c>
      <c r="M272" s="705"/>
      <c r="N272" s="706"/>
      <c r="O272" s="703" t="s">
        <v>705</v>
      </c>
      <c r="P272" s="707">
        <v>23448</v>
      </c>
      <c r="Q272" s="703" t="s">
        <v>706</v>
      </c>
      <c r="R272" s="703"/>
      <c r="S272" s="703"/>
      <c r="T272" s="703" t="s">
        <v>495</v>
      </c>
      <c r="U272" s="702"/>
      <c r="V272" s="702" t="s">
        <v>495</v>
      </c>
      <c r="W272" s="702"/>
      <c r="X272" s="702"/>
      <c r="Y272" s="702"/>
      <c r="Z272" s="702"/>
      <c r="AA272" s="702"/>
      <c r="AB272" s="702"/>
      <c r="AC272" s="703"/>
      <c r="AD272" s="793"/>
      <c r="AE272" s="655"/>
    </row>
    <row r="273" spans="1:31" ht="12" customHeight="1">
      <c r="A273" s="936" t="s">
        <v>18245</v>
      </c>
      <c r="B273" s="688" t="s">
        <v>707</v>
      </c>
      <c r="C273" s="687" t="s">
        <v>5554</v>
      </c>
      <c r="D273" s="689">
        <f t="shared" si="4"/>
        <v>39</v>
      </c>
      <c r="E273" s="696" t="s">
        <v>5</v>
      </c>
      <c r="F273" s="689" t="s">
        <v>15273</v>
      </c>
      <c r="G273" s="747"/>
      <c r="H273" s="687"/>
      <c r="I273" s="687"/>
      <c r="J273" s="692" t="s">
        <v>16127</v>
      </c>
      <c r="K273" s="687" t="s">
        <v>44</v>
      </c>
      <c r="L273" s="687" t="s">
        <v>6</v>
      </c>
      <c r="M273" s="748"/>
      <c r="N273" s="749"/>
      <c r="O273" s="747" t="s">
        <v>459</v>
      </c>
      <c r="P273" s="773">
        <v>26960</v>
      </c>
      <c r="Q273" s="747" t="s">
        <v>5555</v>
      </c>
      <c r="R273" s="747"/>
      <c r="S273" s="747"/>
      <c r="T273" s="747"/>
      <c r="U273" s="696"/>
      <c r="V273" s="696"/>
      <c r="W273" s="696"/>
      <c r="X273" s="696"/>
      <c r="Y273" s="696"/>
      <c r="Z273" s="696"/>
      <c r="AA273" s="696"/>
      <c r="AB273" s="696"/>
      <c r="AC273" s="747"/>
      <c r="AD273" s="805"/>
      <c r="AE273" s="655"/>
    </row>
    <row r="274" spans="1:31" ht="12" customHeight="1">
      <c r="A274" s="937" t="s">
        <v>18246</v>
      </c>
      <c r="B274" s="4" t="s">
        <v>708</v>
      </c>
      <c r="C274" s="1" t="s">
        <v>712</v>
      </c>
      <c r="D274" s="5">
        <f t="shared" si="4"/>
        <v>64</v>
      </c>
      <c r="E274" s="2" t="s">
        <v>5</v>
      </c>
      <c r="F274" s="1" t="s">
        <v>15273</v>
      </c>
      <c r="J274" s="4" t="s">
        <v>16120</v>
      </c>
      <c r="K274" s="1" t="s">
        <v>13</v>
      </c>
      <c r="L274" s="1" t="s">
        <v>14</v>
      </c>
      <c r="M274" s="16">
        <v>4</v>
      </c>
      <c r="N274" s="17">
        <v>4</v>
      </c>
      <c r="O274" s="3" t="s">
        <v>621</v>
      </c>
      <c r="P274" s="20">
        <v>17847</v>
      </c>
      <c r="Q274" s="3" t="s">
        <v>713</v>
      </c>
      <c r="R274" s="3" t="s">
        <v>714</v>
      </c>
      <c r="S274" s="3" t="s">
        <v>5457</v>
      </c>
      <c r="AC274" s="3"/>
      <c r="AD274" s="774"/>
      <c r="AE274" s="655"/>
    </row>
    <row r="275" spans="1:31" ht="12" customHeight="1">
      <c r="A275" s="937" t="s">
        <v>18245</v>
      </c>
      <c r="B275" s="4" t="s">
        <v>709</v>
      </c>
      <c r="C275" s="6" t="s">
        <v>895</v>
      </c>
      <c r="D275" s="5">
        <f t="shared" si="4"/>
        <v>62</v>
      </c>
      <c r="E275" s="6" t="s">
        <v>5</v>
      </c>
      <c r="F275" s="1" t="s">
        <v>15273</v>
      </c>
      <c r="G275" s="12" t="s">
        <v>715</v>
      </c>
      <c r="H275" s="19"/>
      <c r="I275" s="19"/>
      <c r="J275" s="4" t="s">
        <v>16125</v>
      </c>
      <c r="K275" s="6"/>
      <c r="L275" s="6" t="s">
        <v>25</v>
      </c>
      <c r="M275" s="13">
        <v>2</v>
      </c>
      <c r="N275" s="14">
        <v>2</v>
      </c>
      <c r="O275" s="12" t="s">
        <v>545</v>
      </c>
      <c r="P275" s="15">
        <v>18367</v>
      </c>
      <c r="Q275" s="12" t="s">
        <v>716</v>
      </c>
      <c r="S275" s="3" t="s">
        <v>5561</v>
      </c>
      <c r="AC275" s="3"/>
      <c r="AD275" s="774"/>
      <c r="AE275" s="655"/>
    </row>
    <row r="276" spans="1:31" ht="12" customHeight="1">
      <c r="A276" s="937" t="s">
        <v>18220</v>
      </c>
      <c r="B276" s="4" t="s">
        <v>710</v>
      </c>
      <c r="C276" s="1" t="s">
        <v>720</v>
      </c>
      <c r="D276" s="5">
        <f t="shared" si="4"/>
        <v>57</v>
      </c>
      <c r="E276" s="2" t="s">
        <v>5</v>
      </c>
      <c r="F276" s="1" t="s">
        <v>15273</v>
      </c>
      <c r="J276" s="4" t="s">
        <v>16116</v>
      </c>
      <c r="K276" s="1" t="s">
        <v>4997</v>
      </c>
      <c r="L276" s="1" t="s">
        <v>6</v>
      </c>
      <c r="O276" s="3" t="s">
        <v>621</v>
      </c>
      <c r="P276" s="20">
        <v>20119</v>
      </c>
      <c r="Q276" s="3" t="s">
        <v>721</v>
      </c>
      <c r="T276" s="3" t="s">
        <v>722</v>
      </c>
      <c r="V276" s="2" t="s">
        <v>495</v>
      </c>
      <c r="W276" s="2" t="s">
        <v>491</v>
      </c>
      <c r="AC276" s="3"/>
      <c r="AD276" s="774"/>
      <c r="AE276" s="655"/>
    </row>
    <row r="277" spans="1:31" ht="12" customHeight="1" thickBot="1">
      <c r="A277" s="938"/>
      <c r="B277" s="700" t="s">
        <v>711</v>
      </c>
      <c r="C277" s="699" t="s">
        <v>717</v>
      </c>
      <c r="D277" s="356">
        <f t="shared" si="4"/>
        <v>63</v>
      </c>
      <c r="E277" s="702" t="s">
        <v>5</v>
      </c>
      <c r="F277" s="699"/>
      <c r="G277" s="703"/>
      <c r="H277" s="699"/>
      <c r="I277" s="699"/>
      <c r="J277" s="700" t="s">
        <v>16117</v>
      </c>
      <c r="K277" s="699"/>
      <c r="L277" s="699" t="s">
        <v>6</v>
      </c>
      <c r="M277" s="705"/>
      <c r="N277" s="706"/>
      <c r="O277" s="703" t="s">
        <v>718</v>
      </c>
      <c r="P277" s="707">
        <v>17956</v>
      </c>
      <c r="Q277" s="703" t="s">
        <v>719</v>
      </c>
      <c r="R277" s="703"/>
      <c r="S277" s="703"/>
      <c r="T277" s="703" t="s">
        <v>495</v>
      </c>
      <c r="U277" s="702"/>
      <c r="V277" s="702" t="s">
        <v>495</v>
      </c>
      <c r="W277" s="702"/>
      <c r="X277" s="702"/>
      <c r="Y277" s="702"/>
      <c r="Z277" s="702"/>
      <c r="AA277" s="702"/>
      <c r="AB277" s="702"/>
      <c r="AC277" s="703"/>
      <c r="AD277" s="793"/>
      <c r="AE277" s="655"/>
    </row>
    <row r="278" spans="1:31" ht="12" customHeight="1">
      <c r="A278" s="936" t="s">
        <v>18220</v>
      </c>
      <c r="B278" s="688" t="s">
        <v>723</v>
      </c>
      <c r="C278" s="687" t="s">
        <v>726</v>
      </c>
      <c r="D278" s="689">
        <f t="shared" si="4"/>
        <v>37</v>
      </c>
      <c r="E278" s="696" t="s">
        <v>5</v>
      </c>
      <c r="F278" s="687" t="s">
        <v>15273</v>
      </c>
      <c r="G278" s="747"/>
      <c r="H278" s="687"/>
      <c r="I278" s="687"/>
      <c r="J278" s="692" t="s">
        <v>16120</v>
      </c>
      <c r="K278" s="687" t="s">
        <v>30</v>
      </c>
      <c r="L278" s="687" t="s">
        <v>6</v>
      </c>
      <c r="M278" s="748"/>
      <c r="N278" s="749"/>
      <c r="O278" s="747" t="s">
        <v>188</v>
      </c>
      <c r="P278" s="773">
        <v>27600</v>
      </c>
      <c r="Q278" s="747" t="s">
        <v>727</v>
      </c>
      <c r="R278" s="747"/>
      <c r="S278" s="747"/>
      <c r="T278" s="747" t="s">
        <v>560</v>
      </c>
      <c r="U278" s="696"/>
      <c r="V278" s="696"/>
      <c r="W278" s="696"/>
      <c r="X278" s="696"/>
      <c r="Y278" s="696"/>
      <c r="Z278" s="696"/>
      <c r="AA278" s="696"/>
      <c r="AB278" s="696" t="s">
        <v>560</v>
      </c>
      <c r="AC278" s="747"/>
      <c r="AD278" s="805"/>
      <c r="AE278" s="655"/>
    </row>
    <row r="279" spans="1:31" ht="12" customHeight="1">
      <c r="A279" s="937"/>
      <c r="B279" s="4" t="s">
        <v>724</v>
      </c>
      <c r="C279" s="1" t="s">
        <v>728</v>
      </c>
      <c r="D279" s="5">
        <f t="shared" si="4"/>
        <v>28</v>
      </c>
      <c r="E279" s="2" t="s">
        <v>5</v>
      </c>
      <c r="J279" s="4" t="s">
        <v>16117</v>
      </c>
      <c r="L279" s="1" t="s">
        <v>6</v>
      </c>
      <c r="O279" s="3" t="s">
        <v>729</v>
      </c>
      <c r="P279" s="20">
        <v>30756</v>
      </c>
      <c r="Q279" s="3" t="s">
        <v>730</v>
      </c>
      <c r="AC279" s="3"/>
      <c r="AD279" s="774"/>
      <c r="AE279" s="655"/>
    </row>
    <row r="280" spans="1:31" ht="12" customHeight="1" thickBot="1">
      <c r="A280" s="938" t="s">
        <v>18246</v>
      </c>
      <c r="B280" s="700" t="s">
        <v>725</v>
      </c>
      <c r="C280" s="701" t="s">
        <v>889</v>
      </c>
      <c r="D280" s="356">
        <f t="shared" si="4"/>
        <v>60</v>
      </c>
      <c r="E280" s="701" t="s">
        <v>5</v>
      </c>
      <c r="F280" s="701"/>
      <c r="G280" s="740" t="s">
        <v>731</v>
      </c>
      <c r="H280" s="741"/>
      <c r="I280" s="741"/>
      <c r="J280" s="700" t="s">
        <v>16129</v>
      </c>
      <c r="K280" s="701" t="s">
        <v>97</v>
      </c>
      <c r="L280" s="701" t="s">
        <v>25</v>
      </c>
      <c r="M280" s="742">
        <v>3</v>
      </c>
      <c r="N280" s="743">
        <v>3</v>
      </c>
      <c r="O280" s="740" t="s">
        <v>546</v>
      </c>
      <c r="P280" s="744">
        <v>19254</v>
      </c>
      <c r="Q280" s="740" t="s">
        <v>781</v>
      </c>
      <c r="R280" s="703"/>
      <c r="S280" s="703"/>
      <c r="T280" s="703" t="s">
        <v>521</v>
      </c>
      <c r="U280" s="702" t="s">
        <v>521</v>
      </c>
      <c r="V280" s="702"/>
      <c r="W280" s="702"/>
      <c r="X280" s="702"/>
      <c r="Y280" s="702"/>
      <c r="Z280" s="702"/>
      <c r="AA280" s="702"/>
      <c r="AB280" s="702"/>
      <c r="AC280" s="702"/>
      <c r="AD280" s="708"/>
      <c r="AE280" s="655"/>
    </row>
    <row r="281" spans="1:31" ht="12" customHeight="1">
      <c r="A281" s="936" t="s">
        <v>18246</v>
      </c>
      <c r="B281" s="688" t="s">
        <v>732</v>
      </c>
      <c r="C281" s="687" t="s">
        <v>938</v>
      </c>
      <c r="D281" s="689">
        <f t="shared" si="4"/>
        <v>48</v>
      </c>
      <c r="E281" s="696" t="s">
        <v>5</v>
      </c>
      <c r="F281" s="689" t="s">
        <v>15273</v>
      </c>
      <c r="G281" s="747" t="s">
        <v>939</v>
      </c>
      <c r="H281" s="687"/>
      <c r="I281" s="687"/>
      <c r="J281" s="692" t="s">
        <v>16127</v>
      </c>
      <c r="K281" s="687" t="s">
        <v>991</v>
      </c>
      <c r="L281" s="687" t="s">
        <v>25</v>
      </c>
      <c r="M281" s="748">
        <v>2</v>
      </c>
      <c r="N281" s="749">
        <v>2</v>
      </c>
      <c r="O281" s="747" t="s">
        <v>940</v>
      </c>
      <c r="P281" s="773">
        <v>23713</v>
      </c>
      <c r="Q281" s="747" t="s">
        <v>941</v>
      </c>
      <c r="R281" s="747" t="s">
        <v>942</v>
      </c>
      <c r="S281" s="747" t="s">
        <v>6214</v>
      </c>
      <c r="T281" s="747" t="s">
        <v>146</v>
      </c>
      <c r="U281" s="696"/>
      <c r="V281" s="696"/>
      <c r="W281" s="696"/>
      <c r="X281" s="696"/>
      <c r="Y281" s="696"/>
      <c r="Z281" s="696"/>
      <c r="AA281" s="696"/>
      <c r="AB281" s="696"/>
      <c r="AC281" s="696" t="s">
        <v>943</v>
      </c>
      <c r="AD281" s="697"/>
      <c r="AE281" s="655"/>
    </row>
    <row r="282" spans="1:31" ht="12" customHeight="1">
      <c r="A282" s="937" t="s">
        <v>18220</v>
      </c>
      <c r="B282" s="4" t="s">
        <v>733</v>
      </c>
      <c r="C282" s="1" t="s">
        <v>944</v>
      </c>
      <c r="D282" s="5">
        <f t="shared" si="4"/>
        <v>36</v>
      </c>
      <c r="E282" s="2" t="s">
        <v>5</v>
      </c>
      <c r="F282" s="1" t="s">
        <v>15273</v>
      </c>
      <c r="J282" s="4" t="s">
        <v>16120</v>
      </c>
      <c r="K282" s="1" t="s">
        <v>30</v>
      </c>
      <c r="L282" s="1" t="s">
        <v>6</v>
      </c>
      <c r="O282" s="3" t="s">
        <v>31</v>
      </c>
      <c r="P282" s="21">
        <v>28081</v>
      </c>
      <c r="Q282" s="3" t="s">
        <v>950</v>
      </c>
      <c r="S282" s="3" t="s">
        <v>5457</v>
      </c>
      <c r="T282" s="3" t="s">
        <v>572</v>
      </c>
      <c r="V282" s="2" t="s">
        <v>932</v>
      </c>
      <c r="AA282" s="2" t="s">
        <v>937</v>
      </c>
      <c r="AD282" s="698"/>
      <c r="AE282" s="655"/>
    </row>
    <row r="283" spans="1:31" ht="12" customHeight="1">
      <c r="A283" s="937" t="s">
        <v>18223</v>
      </c>
      <c r="B283" s="4" t="s">
        <v>15974</v>
      </c>
      <c r="C283" s="1" t="s">
        <v>948</v>
      </c>
      <c r="D283" s="5">
        <f t="shared" si="4"/>
        <v>44</v>
      </c>
      <c r="E283" s="2" t="s">
        <v>5</v>
      </c>
      <c r="F283" s="1" t="s">
        <v>15273</v>
      </c>
      <c r="J283" s="4" t="s">
        <v>16128</v>
      </c>
      <c r="L283" s="1" t="s">
        <v>6</v>
      </c>
      <c r="O283" s="3" t="s">
        <v>188</v>
      </c>
      <c r="P283" s="20">
        <v>25026</v>
      </c>
      <c r="Q283" s="3" t="s">
        <v>949</v>
      </c>
      <c r="S283" s="3" t="s">
        <v>16096</v>
      </c>
      <c r="T283" s="3" t="s">
        <v>932</v>
      </c>
      <c r="V283" s="2" t="s">
        <v>932</v>
      </c>
      <c r="AD283" s="698"/>
      <c r="AE283" s="655"/>
    </row>
    <row r="284" spans="1:31" ht="12" customHeight="1">
      <c r="A284" s="937"/>
      <c r="B284" s="4" t="s">
        <v>734</v>
      </c>
      <c r="C284" s="1" t="s">
        <v>945</v>
      </c>
      <c r="D284" s="5">
        <f t="shared" si="4"/>
        <v>59</v>
      </c>
      <c r="E284" s="2" t="s">
        <v>5</v>
      </c>
      <c r="J284" s="4" t="s">
        <v>16117</v>
      </c>
      <c r="L284" s="1" t="s">
        <v>6</v>
      </c>
      <c r="O284" s="3" t="s">
        <v>947</v>
      </c>
      <c r="P284" s="20">
        <v>19497</v>
      </c>
      <c r="Q284" s="3" t="s">
        <v>946</v>
      </c>
      <c r="AD284" s="698"/>
      <c r="AE284" s="655"/>
    </row>
    <row r="285" spans="1:31" ht="12" customHeight="1">
      <c r="A285" s="937"/>
      <c r="B285" s="4" t="s">
        <v>735</v>
      </c>
      <c r="C285" s="1" t="s">
        <v>15975</v>
      </c>
      <c r="D285" s="5">
        <f t="shared" si="4"/>
        <v>94</v>
      </c>
      <c r="E285" s="2" t="s">
        <v>5</v>
      </c>
      <c r="J285" s="4" t="s">
        <v>16129</v>
      </c>
      <c r="L285" s="1" t="s">
        <v>6</v>
      </c>
      <c r="O285" s="3" t="s">
        <v>15976</v>
      </c>
      <c r="P285" s="20">
        <v>6788</v>
      </c>
      <c r="Q285" s="3" t="s">
        <v>15977</v>
      </c>
      <c r="AD285" s="698"/>
      <c r="AE285" s="655"/>
    </row>
    <row r="286" spans="1:31" ht="12" customHeight="1" thickBot="1">
      <c r="A286" s="938" t="s">
        <v>18245</v>
      </c>
      <c r="B286" s="700" t="s">
        <v>5789</v>
      </c>
      <c r="C286" s="699" t="s">
        <v>951</v>
      </c>
      <c r="D286" s="356">
        <f t="shared" si="4"/>
        <v>38</v>
      </c>
      <c r="E286" s="702" t="s">
        <v>5</v>
      </c>
      <c r="F286" s="699"/>
      <c r="G286" s="703"/>
      <c r="H286" s="699"/>
      <c r="I286" s="699"/>
      <c r="J286" s="700" t="s">
        <v>16129</v>
      </c>
      <c r="K286" s="699" t="s">
        <v>952</v>
      </c>
      <c r="L286" s="699" t="s">
        <v>6</v>
      </c>
      <c r="M286" s="705"/>
      <c r="N286" s="706"/>
      <c r="O286" s="703" t="s">
        <v>245</v>
      </c>
      <c r="P286" s="707">
        <v>27291</v>
      </c>
      <c r="Q286" s="703" t="s">
        <v>953</v>
      </c>
      <c r="R286" s="703"/>
      <c r="S286" s="703"/>
      <c r="T286" s="703" t="s">
        <v>932</v>
      </c>
      <c r="U286" s="702"/>
      <c r="V286" s="702" t="s">
        <v>932</v>
      </c>
      <c r="W286" s="702"/>
      <c r="X286" s="702"/>
      <c r="Y286" s="702"/>
      <c r="Z286" s="702"/>
      <c r="AA286" s="702"/>
      <c r="AB286" s="702"/>
      <c r="AC286" s="702"/>
      <c r="AD286" s="708"/>
      <c r="AE286" s="655"/>
    </row>
    <row r="287" spans="1:31" ht="12" customHeight="1">
      <c r="A287" s="936" t="s">
        <v>18245</v>
      </c>
      <c r="B287" s="688" t="s">
        <v>954</v>
      </c>
      <c r="C287" s="687" t="s">
        <v>958</v>
      </c>
      <c r="D287" s="689">
        <f t="shared" si="4"/>
        <v>37</v>
      </c>
      <c r="E287" s="696" t="s">
        <v>5</v>
      </c>
      <c r="F287" s="689" t="s">
        <v>15273</v>
      </c>
      <c r="G287" s="747" t="s">
        <v>959</v>
      </c>
      <c r="H287" s="687"/>
      <c r="I287" s="687"/>
      <c r="J287" s="692" t="s">
        <v>16126</v>
      </c>
      <c r="K287" s="687" t="s">
        <v>44</v>
      </c>
      <c r="L287" s="687" t="s">
        <v>25</v>
      </c>
      <c r="M287" s="748">
        <v>1</v>
      </c>
      <c r="N287" s="749">
        <v>1</v>
      </c>
      <c r="O287" s="747" t="s">
        <v>188</v>
      </c>
      <c r="P287" s="773">
        <v>27404</v>
      </c>
      <c r="Q287" s="747" t="s">
        <v>960</v>
      </c>
      <c r="R287" s="747"/>
      <c r="S287" s="747" t="s">
        <v>6214</v>
      </c>
      <c r="T287" s="747" t="s">
        <v>961</v>
      </c>
      <c r="U287" s="696"/>
      <c r="V287" s="696" t="s">
        <v>932</v>
      </c>
      <c r="W287" s="696"/>
      <c r="X287" s="696"/>
      <c r="Y287" s="696"/>
      <c r="Z287" s="696"/>
      <c r="AA287" s="696"/>
      <c r="AB287" s="696"/>
      <c r="AC287" s="696" t="s">
        <v>943</v>
      </c>
      <c r="AD287" s="697"/>
      <c r="AE287" s="655"/>
    </row>
    <row r="288" spans="1:31" ht="12" customHeight="1">
      <c r="A288" s="937" t="s">
        <v>18219</v>
      </c>
      <c r="B288" s="4" t="s">
        <v>955</v>
      </c>
      <c r="C288" s="1" t="s">
        <v>962</v>
      </c>
      <c r="D288" s="5">
        <f t="shared" si="4"/>
        <v>60</v>
      </c>
      <c r="E288" s="2" t="s">
        <v>19</v>
      </c>
      <c r="F288" s="1" t="s">
        <v>15273</v>
      </c>
      <c r="J288" s="4" t="s">
        <v>16120</v>
      </c>
      <c r="K288" s="1" t="s">
        <v>30</v>
      </c>
      <c r="L288" s="1" t="s">
        <v>14</v>
      </c>
      <c r="M288" s="16">
        <v>4</v>
      </c>
      <c r="N288" s="17">
        <v>4</v>
      </c>
      <c r="O288" s="3" t="s">
        <v>102</v>
      </c>
      <c r="P288" s="20">
        <v>19033</v>
      </c>
      <c r="Q288" s="3" t="s">
        <v>964</v>
      </c>
      <c r="R288" s="3" t="s">
        <v>963</v>
      </c>
      <c r="T288" s="3" t="s">
        <v>937</v>
      </c>
      <c r="AA288" s="2" t="s">
        <v>937</v>
      </c>
      <c r="AD288" s="698"/>
      <c r="AE288" s="655"/>
    </row>
    <row r="289" spans="1:31" ht="12" customHeight="1">
      <c r="A289" s="937" t="s">
        <v>18223</v>
      </c>
      <c r="B289" s="4" t="s">
        <v>956</v>
      </c>
      <c r="C289" s="1" t="s">
        <v>5358</v>
      </c>
      <c r="D289" s="5">
        <f t="shared" si="4"/>
        <v>35</v>
      </c>
      <c r="E289" s="2" t="s">
        <v>5</v>
      </c>
      <c r="F289" s="1" t="s">
        <v>15273</v>
      </c>
      <c r="J289" s="4" t="s">
        <v>16116</v>
      </c>
      <c r="K289" s="1" t="s">
        <v>5298</v>
      </c>
      <c r="L289" s="1" t="s">
        <v>6</v>
      </c>
      <c r="O289" s="3" t="s">
        <v>317</v>
      </c>
      <c r="P289" s="20">
        <v>28163</v>
      </c>
      <c r="Q289" s="3" t="s">
        <v>6147</v>
      </c>
      <c r="AD289" s="698"/>
      <c r="AE289" s="655"/>
    </row>
    <row r="290" spans="1:31" ht="12" customHeight="1">
      <c r="A290" s="937"/>
      <c r="B290" s="4" t="s">
        <v>957</v>
      </c>
      <c r="C290" s="1" t="s">
        <v>969</v>
      </c>
      <c r="D290" s="5">
        <f t="shared" si="4"/>
        <v>49</v>
      </c>
      <c r="E290" s="2" t="s">
        <v>5</v>
      </c>
      <c r="F290" s="1" t="s">
        <v>15273</v>
      </c>
      <c r="J290" s="4" t="s">
        <v>16128</v>
      </c>
      <c r="L290" s="1" t="s">
        <v>6</v>
      </c>
      <c r="O290" s="3" t="s">
        <v>188</v>
      </c>
      <c r="P290" s="20">
        <v>23159</v>
      </c>
      <c r="Q290" s="3" t="s">
        <v>970</v>
      </c>
      <c r="AD290" s="698"/>
      <c r="AE290" s="655"/>
    </row>
    <row r="291" spans="1:31" ht="12" customHeight="1" thickBot="1">
      <c r="A291" s="938"/>
      <c r="B291" s="700" t="s">
        <v>5357</v>
      </c>
      <c r="C291" s="699" t="s">
        <v>965</v>
      </c>
      <c r="D291" s="356">
        <f t="shared" si="4"/>
        <v>52</v>
      </c>
      <c r="E291" s="702" t="s">
        <v>19</v>
      </c>
      <c r="F291" s="699"/>
      <c r="G291" s="703"/>
      <c r="H291" s="699"/>
      <c r="I291" s="699"/>
      <c r="J291" s="700" t="s">
        <v>16117</v>
      </c>
      <c r="K291" s="699"/>
      <c r="L291" s="699" t="s">
        <v>6</v>
      </c>
      <c r="M291" s="705"/>
      <c r="N291" s="706"/>
      <c r="O291" s="703" t="s">
        <v>966</v>
      </c>
      <c r="P291" s="707">
        <v>22212</v>
      </c>
      <c r="Q291" s="703" t="s">
        <v>967</v>
      </c>
      <c r="R291" s="703"/>
      <c r="S291" s="703"/>
      <c r="T291" s="703" t="s">
        <v>148</v>
      </c>
      <c r="U291" s="702"/>
      <c r="V291" s="702" t="s">
        <v>932</v>
      </c>
      <c r="W291" s="702"/>
      <c r="X291" s="702"/>
      <c r="Y291" s="702"/>
      <c r="Z291" s="702"/>
      <c r="AA291" s="702"/>
      <c r="AB291" s="702"/>
      <c r="AC291" s="702"/>
      <c r="AD291" s="708" t="s">
        <v>968</v>
      </c>
      <c r="AE291" s="655"/>
    </row>
    <row r="292" spans="1:31" ht="12" customHeight="1">
      <c r="A292" s="936" t="s">
        <v>18245</v>
      </c>
      <c r="B292" s="688" t="s">
        <v>971</v>
      </c>
      <c r="C292" s="687" t="s">
        <v>975</v>
      </c>
      <c r="D292" s="689">
        <f t="shared" si="4"/>
        <v>45</v>
      </c>
      <c r="E292" s="696" t="s">
        <v>5</v>
      </c>
      <c r="F292" s="689" t="s">
        <v>15273</v>
      </c>
      <c r="G292" s="747" t="s">
        <v>976</v>
      </c>
      <c r="H292" s="687"/>
      <c r="I292" s="687"/>
      <c r="J292" s="692" t="s">
        <v>16127</v>
      </c>
      <c r="K292" s="687" t="s">
        <v>44</v>
      </c>
      <c r="L292" s="687" t="s">
        <v>25</v>
      </c>
      <c r="M292" s="748">
        <v>2</v>
      </c>
      <c r="N292" s="749">
        <v>2</v>
      </c>
      <c r="O292" s="747" t="s">
        <v>977</v>
      </c>
      <c r="P292" s="773">
        <v>24479</v>
      </c>
      <c r="Q292" s="747" t="s">
        <v>978</v>
      </c>
      <c r="R292" s="747" t="s">
        <v>304</v>
      </c>
      <c r="S292" s="747" t="s">
        <v>6214</v>
      </c>
      <c r="T292" s="747"/>
      <c r="U292" s="696"/>
      <c r="V292" s="696"/>
      <c r="W292" s="696"/>
      <c r="X292" s="696"/>
      <c r="Y292" s="696"/>
      <c r="Z292" s="696"/>
      <c r="AA292" s="696"/>
      <c r="AB292" s="696"/>
      <c r="AC292" s="696"/>
      <c r="AD292" s="697"/>
      <c r="AE292" s="655"/>
    </row>
    <row r="293" spans="1:31" ht="12" customHeight="1">
      <c r="A293" s="937" t="s">
        <v>18219</v>
      </c>
      <c r="B293" s="4" t="s">
        <v>972</v>
      </c>
      <c r="C293" s="1" t="s">
        <v>979</v>
      </c>
      <c r="D293" s="5">
        <f t="shared" si="4"/>
        <v>57</v>
      </c>
      <c r="E293" s="2" t="s">
        <v>5</v>
      </c>
      <c r="F293" s="1" t="s">
        <v>15273</v>
      </c>
      <c r="J293" s="8" t="s">
        <v>16120</v>
      </c>
      <c r="K293" s="1" t="s">
        <v>48</v>
      </c>
      <c r="L293" s="1" t="s">
        <v>6</v>
      </c>
      <c r="O293" s="3" t="s">
        <v>980</v>
      </c>
      <c r="P293" s="20">
        <v>20339</v>
      </c>
      <c r="Q293" s="3" t="s">
        <v>981</v>
      </c>
      <c r="S293" s="3" t="s">
        <v>5457</v>
      </c>
      <c r="T293" s="3" t="s">
        <v>104</v>
      </c>
      <c r="AA293" s="2" t="s">
        <v>937</v>
      </c>
      <c r="AD293" s="698"/>
      <c r="AE293" s="655"/>
    </row>
    <row r="294" spans="1:31" ht="12" customHeight="1">
      <c r="A294" s="937" t="s">
        <v>18245</v>
      </c>
      <c r="B294" s="4" t="s">
        <v>973</v>
      </c>
      <c r="C294" s="1" t="s">
        <v>985</v>
      </c>
      <c r="D294" s="5">
        <f t="shared" si="4"/>
        <v>50</v>
      </c>
      <c r="E294" s="2" t="s">
        <v>5</v>
      </c>
      <c r="F294" s="1" t="s">
        <v>15273</v>
      </c>
      <c r="J294" s="4" t="s">
        <v>16116</v>
      </c>
      <c r="K294" s="1" t="s">
        <v>276</v>
      </c>
      <c r="L294" s="1" t="s">
        <v>6</v>
      </c>
      <c r="O294" s="3" t="s">
        <v>980</v>
      </c>
      <c r="P294" s="20">
        <v>22960</v>
      </c>
      <c r="Q294" s="3" t="s">
        <v>986</v>
      </c>
      <c r="S294" s="3" t="s">
        <v>5948</v>
      </c>
      <c r="T294" s="3" t="s">
        <v>932</v>
      </c>
      <c r="V294" s="2" t="s">
        <v>932</v>
      </c>
      <c r="AD294" s="698"/>
      <c r="AE294" s="655"/>
    </row>
    <row r="295" spans="1:31" ht="12" customHeight="1">
      <c r="A295" s="937"/>
      <c r="B295" s="4" t="s">
        <v>974</v>
      </c>
      <c r="C295" s="1" t="s">
        <v>982</v>
      </c>
      <c r="D295" s="5">
        <f t="shared" si="4"/>
        <v>56</v>
      </c>
      <c r="E295" s="2" t="s">
        <v>5</v>
      </c>
      <c r="J295" s="4" t="s">
        <v>16117</v>
      </c>
      <c r="L295" s="1" t="s">
        <v>6</v>
      </c>
      <c r="O295" s="3" t="s">
        <v>983</v>
      </c>
      <c r="P295" s="20">
        <v>20468</v>
      </c>
      <c r="Q295" s="3" t="s">
        <v>984</v>
      </c>
      <c r="T295" s="3" t="s">
        <v>69</v>
      </c>
      <c r="AD295" s="698" t="s">
        <v>968</v>
      </c>
      <c r="AE295" s="655"/>
    </row>
    <row r="296" spans="1:31" ht="12" customHeight="1" thickBot="1">
      <c r="A296" s="938"/>
      <c r="B296" s="700" t="s">
        <v>15978</v>
      </c>
      <c r="C296" s="699" t="s">
        <v>15979</v>
      </c>
      <c r="D296" s="356">
        <f t="shared" si="4"/>
        <v>65</v>
      </c>
      <c r="E296" s="702" t="s">
        <v>5</v>
      </c>
      <c r="F296" s="699"/>
      <c r="G296" s="703"/>
      <c r="H296" s="699"/>
      <c r="I296" s="699"/>
      <c r="J296" s="704" t="s">
        <v>16129</v>
      </c>
      <c r="K296" s="699"/>
      <c r="L296" s="699" t="s">
        <v>6</v>
      </c>
      <c r="M296" s="705"/>
      <c r="N296" s="706"/>
      <c r="O296" s="703" t="s">
        <v>729</v>
      </c>
      <c r="P296" s="707">
        <v>17339</v>
      </c>
      <c r="Q296" s="703" t="s">
        <v>16688</v>
      </c>
      <c r="R296" s="703"/>
      <c r="S296" s="703"/>
      <c r="T296" s="703"/>
      <c r="U296" s="702"/>
      <c r="V296" s="702"/>
      <c r="W296" s="702"/>
      <c r="X296" s="702"/>
      <c r="Y296" s="702"/>
      <c r="Z296" s="702"/>
      <c r="AA296" s="702"/>
      <c r="AB296" s="702"/>
      <c r="AC296" s="702"/>
      <c r="AD296" s="708"/>
      <c r="AE296" s="655"/>
    </row>
    <row r="297" spans="1:31" ht="12" customHeight="1">
      <c r="A297" s="936" t="s">
        <v>18245</v>
      </c>
      <c r="B297" s="688" t="s">
        <v>987</v>
      </c>
      <c r="C297" s="687" t="s">
        <v>992</v>
      </c>
      <c r="D297" s="689">
        <f t="shared" si="4"/>
        <v>42</v>
      </c>
      <c r="E297" s="696" t="s">
        <v>5</v>
      </c>
      <c r="F297" s="689" t="s">
        <v>15273</v>
      </c>
      <c r="G297" s="747" t="s">
        <v>993</v>
      </c>
      <c r="H297" s="687"/>
      <c r="I297" s="687"/>
      <c r="J297" s="692" t="s">
        <v>16127</v>
      </c>
      <c r="K297" s="687" t="s">
        <v>994</v>
      </c>
      <c r="L297" s="687" t="s">
        <v>25</v>
      </c>
      <c r="M297" s="748">
        <v>3</v>
      </c>
      <c r="N297" s="749">
        <v>3</v>
      </c>
      <c r="O297" s="747" t="s">
        <v>995</v>
      </c>
      <c r="P297" s="773">
        <v>25678</v>
      </c>
      <c r="Q297" s="747" t="s">
        <v>996</v>
      </c>
      <c r="R297" s="747" t="s">
        <v>997</v>
      </c>
      <c r="S297" s="747" t="s">
        <v>6214</v>
      </c>
      <c r="T297" s="747"/>
      <c r="U297" s="696"/>
      <c r="V297" s="696"/>
      <c r="W297" s="696"/>
      <c r="X297" s="696"/>
      <c r="Y297" s="696"/>
      <c r="Z297" s="696"/>
      <c r="AA297" s="696"/>
      <c r="AB297" s="696"/>
      <c r="AC297" s="696"/>
      <c r="AD297" s="697"/>
      <c r="AE297" s="655"/>
    </row>
    <row r="298" spans="1:31" ht="12" customHeight="1">
      <c r="A298" s="937" t="s">
        <v>18219</v>
      </c>
      <c r="B298" s="4" t="s">
        <v>988</v>
      </c>
      <c r="C298" s="1" t="s">
        <v>998</v>
      </c>
      <c r="D298" s="5">
        <f t="shared" si="4"/>
        <v>49</v>
      </c>
      <c r="E298" s="2" t="s">
        <v>5</v>
      </c>
      <c r="F298" s="1" t="s">
        <v>15273</v>
      </c>
      <c r="J298" s="4" t="s">
        <v>16120</v>
      </c>
      <c r="K298" s="1" t="s">
        <v>30</v>
      </c>
      <c r="L298" s="1" t="s">
        <v>14</v>
      </c>
      <c r="M298" s="16">
        <v>1</v>
      </c>
      <c r="N298" s="17">
        <v>1</v>
      </c>
      <c r="O298" s="3" t="s">
        <v>695</v>
      </c>
      <c r="P298" s="20">
        <v>23326</v>
      </c>
      <c r="Q298" s="3" t="s">
        <v>999</v>
      </c>
      <c r="S298" s="3" t="s">
        <v>5457</v>
      </c>
      <c r="AD298" s="698"/>
      <c r="AE298" s="655"/>
    </row>
    <row r="299" spans="1:31" ht="12" customHeight="1">
      <c r="A299" s="937" t="s">
        <v>18223</v>
      </c>
      <c r="B299" s="4" t="s">
        <v>989</v>
      </c>
      <c r="C299" s="1" t="s">
        <v>5732</v>
      </c>
      <c r="D299" s="5">
        <f t="shared" si="4"/>
        <v>48</v>
      </c>
      <c r="E299" s="2" t="s">
        <v>19</v>
      </c>
      <c r="F299" s="1" t="s">
        <v>15273</v>
      </c>
      <c r="J299" s="4" t="s">
        <v>16125</v>
      </c>
      <c r="L299" s="1" t="s">
        <v>6</v>
      </c>
      <c r="O299" s="3" t="s">
        <v>15980</v>
      </c>
      <c r="P299" s="20">
        <v>23501</v>
      </c>
      <c r="Q299" s="3" t="s">
        <v>5733</v>
      </c>
      <c r="S299" s="3" t="s">
        <v>5561</v>
      </c>
      <c r="AD299" s="698"/>
      <c r="AE299" s="655"/>
    </row>
    <row r="300" spans="1:31" ht="12" customHeight="1">
      <c r="A300" s="937" t="s">
        <v>18223</v>
      </c>
      <c r="B300" s="4" t="s">
        <v>990</v>
      </c>
      <c r="C300" s="1" t="s">
        <v>1003</v>
      </c>
      <c r="D300" s="5">
        <f t="shared" si="4"/>
        <v>43</v>
      </c>
      <c r="E300" s="2" t="s">
        <v>5</v>
      </c>
      <c r="F300" s="1" t="s">
        <v>15273</v>
      </c>
      <c r="J300" s="4" t="s">
        <v>16128</v>
      </c>
      <c r="L300" s="1" t="s">
        <v>6</v>
      </c>
      <c r="O300" s="3" t="s">
        <v>1002</v>
      </c>
      <c r="P300" s="20">
        <v>25298</v>
      </c>
      <c r="Q300" s="3" t="s">
        <v>1004</v>
      </c>
      <c r="S300" s="3" t="s">
        <v>6031</v>
      </c>
      <c r="AD300" s="774"/>
      <c r="AE300" s="655"/>
    </row>
    <row r="301" spans="1:31" ht="12" customHeight="1" thickBot="1">
      <c r="A301" s="938"/>
      <c r="B301" s="700" t="s">
        <v>5731</v>
      </c>
      <c r="C301" s="699" t="s">
        <v>1000</v>
      </c>
      <c r="D301" s="356">
        <f t="shared" si="4"/>
        <v>37</v>
      </c>
      <c r="E301" s="702" t="s">
        <v>5</v>
      </c>
      <c r="F301" s="699"/>
      <c r="G301" s="703"/>
      <c r="H301" s="699"/>
      <c r="I301" s="699"/>
      <c r="J301" s="700" t="s">
        <v>16117</v>
      </c>
      <c r="K301" s="699"/>
      <c r="L301" s="699" t="s">
        <v>6</v>
      </c>
      <c r="M301" s="705"/>
      <c r="N301" s="706"/>
      <c r="O301" s="703" t="s">
        <v>995</v>
      </c>
      <c r="P301" s="707">
        <v>27445</v>
      </c>
      <c r="Q301" s="703" t="s">
        <v>1001</v>
      </c>
      <c r="R301" s="703"/>
      <c r="S301" s="703"/>
      <c r="T301" s="703"/>
      <c r="U301" s="702"/>
      <c r="V301" s="702"/>
      <c r="W301" s="702"/>
      <c r="X301" s="702"/>
      <c r="Y301" s="702"/>
      <c r="Z301" s="702"/>
      <c r="AA301" s="702"/>
      <c r="AB301" s="702"/>
      <c r="AC301" s="702"/>
      <c r="AD301" s="793"/>
      <c r="AE301" s="655"/>
    </row>
    <row r="302" spans="1:31" ht="12" customHeight="1">
      <c r="A302" s="936" t="s">
        <v>18245</v>
      </c>
      <c r="B302" s="688" t="s">
        <v>1006</v>
      </c>
      <c r="C302" s="687" t="s">
        <v>1013</v>
      </c>
      <c r="D302" s="687">
        <f t="shared" si="4"/>
        <v>51</v>
      </c>
      <c r="E302" s="696" t="s">
        <v>5</v>
      </c>
      <c r="F302" s="689" t="s">
        <v>15273</v>
      </c>
      <c r="G302" s="747" t="s">
        <v>1014</v>
      </c>
      <c r="H302" s="687"/>
      <c r="I302" s="687"/>
      <c r="J302" s="692" t="s">
        <v>16126</v>
      </c>
      <c r="K302" s="687" t="s">
        <v>44</v>
      </c>
      <c r="L302" s="687" t="s">
        <v>25</v>
      </c>
      <c r="M302" s="748">
        <v>3</v>
      </c>
      <c r="N302" s="749">
        <v>3</v>
      </c>
      <c r="O302" s="747" t="s">
        <v>1015</v>
      </c>
      <c r="P302" s="773">
        <v>22546</v>
      </c>
      <c r="Q302" s="747" t="s">
        <v>1016</v>
      </c>
      <c r="R302" s="747" t="s">
        <v>1017</v>
      </c>
      <c r="S302" s="747" t="s">
        <v>6214</v>
      </c>
      <c r="T302" s="747"/>
      <c r="U302" s="696"/>
      <c r="V302" s="696"/>
      <c r="W302" s="696"/>
      <c r="X302" s="696"/>
      <c r="Y302" s="696"/>
      <c r="Z302" s="696"/>
      <c r="AA302" s="696"/>
      <c r="AB302" s="696"/>
      <c r="AC302" s="696"/>
      <c r="AD302" s="805"/>
      <c r="AE302" s="655"/>
    </row>
    <row r="303" spans="1:31" ht="12" customHeight="1">
      <c r="A303" s="937" t="s">
        <v>18219</v>
      </c>
      <c r="B303" s="4" t="s">
        <v>1010</v>
      </c>
      <c r="C303" s="1" t="s">
        <v>1018</v>
      </c>
      <c r="D303" s="1">
        <f t="shared" si="4"/>
        <v>48</v>
      </c>
      <c r="E303" s="2" t="s">
        <v>5</v>
      </c>
      <c r="F303" s="1" t="s">
        <v>15273</v>
      </c>
      <c r="J303" s="4" t="s">
        <v>16120</v>
      </c>
      <c r="K303" s="1" t="s">
        <v>30</v>
      </c>
      <c r="L303" s="1" t="s">
        <v>6</v>
      </c>
      <c r="O303" s="3" t="s">
        <v>381</v>
      </c>
      <c r="P303" s="20">
        <v>23623</v>
      </c>
      <c r="Q303" s="3" t="s">
        <v>1019</v>
      </c>
      <c r="S303" s="3" t="s">
        <v>5889</v>
      </c>
      <c r="T303" s="3" t="s">
        <v>147</v>
      </c>
      <c r="AB303" s="2" t="s">
        <v>1020</v>
      </c>
      <c r="AD303" s="774"/>
      <c r="AE303" s="655"/>
    </row>
    <row r="304" spans="1:31" ht="12" customHeight="1">
      <c r="A304" s="937" t="s">
        <v>18245</v>
      </c>
      <c r="B304" s="4" t="s">
        <v>1011</v>
      </c>
      <c r="C304" s="1" t="s">
        <v>5360</v>
      </c>
      <c r="D304" s="1">
        <f t="shared" si="4"/>
        <v>36</v>
      </c>
      <c r="E304" s="2" t="s">
        <v>5</v>
      </c>
      <c r="F304" s="1" t="s">
        <v>15273</v>
      </c>
      <c r="J304" s="4" t="s">
        <v>16116</v>
      </c>
      <c r="K304" s="1" t="s">
        <v>5298</v>
      </c>
      <c r="L304" s="1" t="s">
        <v>6</v>
      </c>
      <c r="O304" s="3" t="s">
        <v>5361</v>
      </c>
      <c r="P304" s="20">
        <v>27754</v>
      </c>
      <c r="Q304" s="3" t="s">
        <v>5362</v>
      </c>
      <c r="T304" s="3" t="s">
        <v>5305</v>
      </c>
      <c r="V304" s="2" t="s">
        <v>5305</v>
      </c>
      <c r="AD304" s="774"/>
      <c r="AE304" s="655"/>
    </row>
    <row r="305" spans="1:31" ht="12" customHeight="1">
      <c r="A305" s="937" t="s">
        <v>18223</v>
      </c>
      <c r="B305" s="4" t="s">
        <v>1012</v>
      </c>
      <c r="C305" s="1" t="s">
        <v>1021</v>
      </c>
      <c r="D305" s="1">
        <f t="shared" si="4"/>
        <v>38</v>
      </c>
      <c r="E305" s="2" t="s">
        <v>5</v>
      </c>
      <c r="F305" s="1" t="s">
        <v>15273</v>
      </c>
      <c r="J305" s="4" t="s">
        <v>16128</v>
      </c>
      <c r="L305" s="1" t="s">
        <v>6</v>
      </c>
      <c r="O305" s="3" t="s">
        <v>1022</v>
      </c>
      <c r="P305" s="20">
        <v>27090</v>
      </c>
      <c r="Q305" s="3" t="s">
        <v>1023</v>
      </c>
      <c r="AD305" s="774"/>
      <c r="AE305" s="655"/>
    </row>
    <row r="306" spans="1:31" ht="12" customHeight="1" thickBot="1">
      <c r="A306" s="938"/>
      <c r="B306" s="700" t="s">
        <v>5359</v>
      </c>
      <c r="C306" s="699" t="s">
        <v>5179</v>
      </c>
      <c r="D306" s="699">
        <f t="shared" si="4"/>
        <v>36</v>
      </c>
      <c r="E306" s="702" t="s">
        <v>5</v>
      </c>
      <c r="F306" s="699"/>
      <c r="G306" s="703"/>
      <c r="H306" s="699"/>
      <c r="I306" s="699"/>
      <c r="J306" s="700" t="s">
        <v>16117</v>
      </c>
      <c r="K306" s="699"/>
      <c r="L306" s="699" t="s">
        <v>6</v>
      </c>
      <c r="M306" s="705"/>
      <c r="N306" s="706"/>
      <c r="O306" s="703" t="s">
        <v>5180</v>
      </c>
      <c r="P306" s="723">
        <v>27942</v>
      </c>
      <c r="Q306" s="703" t="s">
        <v>5181</v>
      </c>
      <c r="R306" s="703"/>
      <c r="S306" s="703"/>
      <c r="T306" s="703"/>
      <c r="U306" s="702"/>
      <c r="V306" s="702"/>
      <c r="W306" s="702"/>
      <c r="X306" s="702"/>
      <c r="Y306" s="702"/>
      <c r="Z306" s="702"/>
      <c r="AA306" s="702"/>
      <c r="AB306" s="702"/>
      <c r="AC306" s="702"/>
      <c r="AD306" s="793"/>
      <c r="AE306" s="655"/>
    </row>
    <row r="307" spans="1:31" ht="12" customHeight="1">
      <c r="A307" s="936" t="s">
        <v>18223</v>
      </c>
      <c r="B307" s="688" t="s">
        <v>1024</v>
      </c>
      <c r="C307" s="687" t="s">
        <v>5824</v>
      </c>
      <c r="D307" s="687">
        <f t="shared" si="4"/>
        <v>53</v>
      </c>
      <c r="E307" s="696" t="s">
        <v>5</v>
      </c>
      <c r="F307" s="689" t="s">
        <v>15273</v>
      </c>
      <c r="G307" s="747"/>
      <c r="H307" s="687"/>
      <c r="I307" s="687"/>
      <c r="J307" s="692" t="s">
        <v>16127</v>
      </c>
      <c r="K307" s="687" t="s">
        <v>44</v>
      </c>
      <c r="L307" s="687" t="s">
        <v>6</v>
      </c>
      <c r="M307" s="748"/>
      <c r="N307" s="749"/>
      <c r="O307" s="747" t="s">
        <v>1922</v>
      </c>
      <c r="P307" s="773">
        <v>21733</v>
      </c>
      <c r="Q307" s="747" t="s">
        <v>5825</v>
      </c>
      <c r="R307" s="747"/>
      <c r="S307" s="747" t="s">
        <v>6214</v>
      </c>
      <c r="T307" s="747" t="s">
        <v>5826</v>
      </c>
      <c r="U307" s="696"/>
      <c r="V307" s="696"/>
      <c r="W307" s="696"/>
      <c r="X307" s="696"/>
      <c r="Y307" s="696"/>
      <c r="Z307" s="696"/>
      <c r="AA307" s="696"/>
      <c r="AB307" s="696"/>
      <c r="AC307" s="696" t="s">
        <v>5826</v>
      </c>
      <c r="AD307" s="805"/>
      <c r="AE307" s="655"/>
    </row>
    <row r="308" spans="1:31" ht="12" customHeight="1">
      <c r="A308" s="937" t="s">
        <v>18219</v>
      </c>
      <c r="B308" s="4" t="s">
        <v>1025</v>
      </c>
      <c r="C308" s="1" t="s">
        <v>1029</v>
      </c>
      <c r="D308" s="1">
        <f t="shared" si="4"/>
        <v>38</v>
      </c>
      <c r="E308" s="2" t="s">
        <v>5</v>
      </c>
      <c r="F308" s="1" t="s">
        <v>15273</v>
      </c>
      <c r="J308" s="8" t="s">
        <v>16120</v>
      </c>
      <c r="K308" s="1" t="s">
        <v>30</v>
      </c>
      <c r="L308" s="1" t="s">
        <v>6</v>
      </c>
      <c r="O308" s="3" t="s">
        <v>255</v>
      </c>
      <c r="P308" s="20">
        <v>27362</v>
      </c>
      <c r="Q308" s="3" t="s">
        <v>1072</v>
      </c>
      <c r="S308" s="3" t="s">
        <v>5889</v>
      </c>
      <c r="T308" s="3" t="s">
        <v>1030</v>
      </c>
      <c r="U308" s="2" t="s">
        <v>1030</v>
      </c>
      <c r="AD308" s="774"/>
      <c r="AE308" s="655"/>
    </row>
    <row r="309" spans="1:31" ht="12" customHeight="1">
      <c r="A309" s="937" t="s">
        <v>18245</v>
      </c>
      <c r="B309" s="4" t="s">
        <v>1026</v>
      </c>
      <c r="C309" s="1" t="s">
        <v>1035</v>
      </c>
      <c r="D309" s="1">
        <f t="shared" si="4"/>
        <v>53</v>
      </c>
      <c r="E309" s="2" t="s">
        <v>5</v>
      </c>
      <c r="F309" s="1" t="s">
        <v>15273</v>
      </c>
      <c r="G309" s="3" t="s">
        <v>1040</v>
      </c>
      <c r="J309" s="4" t="s">
        <v>16125</v>
      </c>
      <c r="L309" s="1" t="s">
        <v>25</v>
      </c>
      <c r="M309" s="16">
        <v>1</v>
      </c>
      <c r="N309" s="17">
        <v>1</v>
      </c>
      <c r="O309" s="3" t="s">
        <v>1036</v>
      </c>
      <c r="P309" s="20">
        <v>21631</v>
      </c>
      <c r="Q309" s="3" t="s">
        <v>1037</v>
      </c>
      <c r="S309" s="3" t="s">
        <v>5561</v>
      </c>
      <c r="T309" s="3" t="s">
        <v>1008</v>
      </c>
      <c r="V309" s="2" t="s">
        <v>1008</v>
      </c>
      <c r="AD309" s="774"/>
      <c r="AE309" s="655"/>
    </row>
    <row r="310" spans="1:31" ht="12" customHeight="1">
      <c r="A310" s="937" t="s">
        <v>18245</v>
      </c>
      <c r="B310" s="4" t="s">
        <v>1027</v>
      </c>
      <c r="C310" s="1" t="s">
        <v>1034</v>
      </c>
      <c r="D310" s="1">
        <f t="shared" si="4"/>
        <v>44</v>
      </c>
      <c r="E310" s="2" t="s">
        <v>5</v>
      </c>
      <c r="F310" s="1" t="s">
        <v>15273</v>
      </c>
      <c r="J310" s="4" t="s">
        <v>16116</v>
      </c>
      <c r="K310" s="1" t="s">
        <v>4992</v>
      </c>
      <c r="L310" s="1" t="s">
        <v>6</v>
      </c>
      <c r="O310" s="3" t="s">
        <v>1038</v>
      </c>
      <c r="P310" s="20">
        <v>25145</v>
      </c>
      <c r="Q310" s="3" t="s">
        <v>5615</v>
      </c>
      <c r="AD310" s="774"/>
      <c r="AE310" s="655"/>
    </row>
    <row r="311" spans="1:31" ht="12" customHeight="1" thickBot="1">
      <c r="A311" s="938"/>
      <c r="B311" s="700" t="s">
        <v>1028</v>
      </c>
      <c r="C311" s="699" t="s">
        <v>1031</v>
      </c>
      <c r="D311" s="699">
        <f t="shared" si="4"/>
        <v>35</v>
      </c>
      <c r="E311" s="702" t="s">
        <v>5</v>
      </c>
      <c r="F311" s="699"/>
      <c r="G311" s="703"/>
      <c r="H311" s="699"/>
      <c r="I311" s="699"/>
      <c r="J311" s="700" t="s">
        <v>16117</v>
      </c>
      <c r="K311" s="699"/>
      <c r="L311" s="699" t="s">
        <v>6</v>
      </c>
      <c r="M311" s="705"/>
      <c r="N311" s="706"/>
      <c r="O311" s="703" t="s">
        <v>1032</v>
      </c>
      <c r="P311" s="723">
        <v>28459</v>
      </c>
      <c r="Q311" s="703" t="s">
        <v>1033</v>
      </c>
      <c r="R311" s="703"/>
      <c r="S311" s="703"/>
      <c r="T311" s="703" t="s">
        <v>1008</v>
      </c>
      <c r="U311" s="702"/>
      <c r="V311" s="702" t="s">
        <v>1008</v>
      </c>
      <c r="W311" s="702"/>
      <c r="X311" s="702"/>
      <c r="Y311" s="702"/>
      <c r="Z311" s="702"/>
      <c r="AA311" s="702"/>
      <c r="AB311" s="702"/>
      <c r="AC311" s="702"/>
      <c r="AD311" s="793"/>
      <c r="AE311" s="655"/>
    </row>
    <row r="312" spans="1:31" ht="12" customHeight="1">
      <c r="A312" s="936" t="s">
        <v>18245</v>
      </c>
      <c r="B312" s="688" t="s">
        <v>1039</v>
      </c>
      <c r="C312" s="687" t="s">
        <v>1441</v>
      </c>
      <c r="D312" s="687">
        <f t="shared" si="4"/>
        <v>30</v>
      </c>
      <c r="E312" s="696" t="s">
        <v>19</v>
      </c>
      <c r="F312" s="689" t="s">
        <v>15273</v>
      </c>
      <c r="G312" s="747"/>
      <c r="H312" s="687"/>
      <c r="I312" s="687"/>
      <c r="J312" s="692" t="s">
        <v>16127</v>
      </c>
      <c r="K312" s="687" t="s">
        <v>44</v>
      </c>
      <c r="L312" s="687" t="s">
        <v>6</v>
      </c>
      <c r="M312" s="748"/>
      <c r="N312" s="749"/>
      <c r="O312" s="747" t="s">
        <v>188</v>
      </c>
      <c r="P312" s="773">
        <v>30193</v>
      </c>
      <c r="Q312" s="747" t="s">
        <v>1630</v>
      </c>
      <c r="R312" s="747"/>
      <c r="S312" s="747" t="s">
        <v>6214</v>
      </c>
      <c r="T312" s="747"/>
      <c r="U312" s="696"/>
      <c r="V312" s="696"/>
      <c r="W312" s="696"/>
      <c r="X312" s="696"/>
      <c r="Y312" s="696"/>
      <c r="Z312" s="696"/>
      <c r="AA312" s="696"/>
      <c r="AB312" s="696"/>
      <c r="AC312" s="696"/>
      <c r="AD312" s="805"/>
      <c r="AE312" s="655"/>
    </row>
    <row r="313" spans="1:31" ht="12" customHeight="1">
      <c r="A313" s="937" t="s">
        <v>18219</v>
      </c>
      <c r="B313" s="4" t="s">
        <v>1041</v>
      </c>
      <c r="C313" s="1" t="s">
        <v>1044</v>
      </c>
      <c r="D313" s="1">
        <f t="shared" si="4"/>
        <v>50</v>
      </c>
      <c r="E313" s="2" t="s">
        <v>5</v>
      </c>
      <c r="F313" s="1" t="s">
        <v>15273</v>
      </c>
      <c r="G313" s="3" t="s">
        <v>1045</v>
      </c>
      <c r="J313" s="4" t="s">
        <v>16120</v>
      </c>
      <c r="K313" s="1" t="s">
        <v>48</v>
      </c>
      <c r="L313" s="1" t="s">
        <v>25</v>
      </c>
      <c r="M313" s="16">
        <v>4</v>
      </c>
      <c r="N313" s="17">
        <v>4</v>
      </c>
      <c r="O313" s="3" t="s">
        <v>188</v>
      </c>
      <c r="P313" s="20">
        <v>22902</v>
      </c>
      <c r="Q313" s="3" t="s">
        <v>16655</v>
      </c>
      <c r="R313" s="3" t="s">
        <v>1046</v>
      </c>
      <c r="S313" s="3" t="s">
        <v>5457</v>
      </c>
      <c r="T313" s="3" t="s">
        <v>1047</v>
      </c>
      <c r="AC313" s="2" t="s">
        <v>1047</v>
      </c>
      <c r="AD313" s="774"/>
      <c r="AE313" s="655"/>
    </row>
    <row r="314" spans="1:31" ht="12" customHeight="1">
      <c r="A314" s="937" t="s">
        <v>18245</v>
      </c>
      <c r="B314" s="4" t="s">
        <v>1042</v>
      </c>
      <c r="C314" s="1" t="s">
        <v>1048</v>
      </c>
      <c r="D314" s="1">
        <f t="shared" si="4"/>
        <v>55</v>
      </c>
      <c r="E314" s="2" t="s">
        <v>5</v>
      </c>
      <c r="F314" s="1" t="s">
        <v>15273</v>
      </c>
      <c r="G314" s="3" t="s">
        <v>1049</v>
      </c>
      <c r="J314" s="4" t="s">
        <v>16125</v>
      </c>
      <c r="L314" s="1" t="s">
        <v>25</v>
      </c>
      <c r="M314" s="16">
        <v>2</v>
      </c>
      <c r="N314" s="17">
        <v>2</v>
      </c>
      <c r="O314" s="3" t="s">
        <v>188</v>
      </c>
      <c r="P314" s="20">
        <v>21127</v>
      </c>
      <c r="Q314" s="3" t="s">
        <v>1050</v>
      </c>
      <c r="S314" s="3" t="s">
        <v>5561</v>
      </c>
      <c r="T314" s="3" t="s">
        <v>1051</v>
      </c>
      <c r="Y314" s="2" t="s">
        <v>1052</v>
      </c>
      <c r="AA314" s="2" t="s">
        <v>1053</v>
      </c>
      <c r="AD314" s="774"/>
      <c r="AE314" s="655"/>
    </row>
    <row r="315" spans="1:31" ht="12" customHeight="1">
      <c r="A315" s="937" t="s">
        <v>18223</v>
      </c>
      <c r="B315" s="4" t="s">
        <v>1043</v>
      </c>
      <c r="C315" s="1" t="s">
        <v>5622</v>
      </c>
      <c r="D315" s="1">
        <f t="shared" si="4"/>
        <v>49</v>
      </c>
      <c r="E315" s="2" t="s">
        <v>5</v>
      </c>
      <c r="F315" s="1" t="s">
        <v>15273</v>
      </c>
      <c r="J315" s="4" t="s">
        <v>16116</v>
      </c>
      <c r="K315" s="1" t="s">
        <v>5619</v>
      </c>
      <c r="L315" s="1" t="s">
        <v>6</v>
      </c>
      <c r="O315" s="3" t="s">
        <v>6162</v>
      </c>
      <c r="P315" s="21">
        <v>23036</v>
      </c>
      <c r="Q315" s="3" t="s">
        <v>6163</v>
      </c>
      <c r="S315" s="3" t="s">
        <v>5948</v>
      </c>
      <c r="AD315" s="774"/>
      <c r="AE315" s="655"/>
    </row>
    <row r="316" spans="1:31" ht="12" customHeight="1">
      <c r="A316" s="937"/>
      <c r="B316" s="4" t="s">
        <v>5621</v>
      </c>
      <c r="C316" s="1" t="s">
        <v>1054</v>
      </c>
      <c r="D316" s="1">
        <f t="shared" si="4"/>
        <v>67</v>
      </c>
      <c r="E316" s="2" t="s">
        <v>5</v>
      </c>
      <c r="J316" s="4" t="s">
        <v>16117</v>
      </c>
      <c r="L316" s="1" t="s">
        <v>6</v>
      </c>
      <c r="O316" s="3" t="s">
        <v>1055</v>
      </c>
      <c r="P316" s="21">
        <v>16488</v>
      </c>
      <c r="Q316" s="3" t="s">
        <v>1056</v>
      </c>
      <c r="AD316" s="774"/>
      <c r="AE316" s="655"/>
    </row>
    <row r="317" spans="1:31" ht="12" customHeight="1" thickBot="1">
      <c r="A317" s="938"/>
      <c r="B317" s="700" t="s">
        <v>5987</v>
      </c>
      <c r="C317" s="699" t="s">
        <v>5988</v>
      </c>
      <c r="D317" s="699">
        <f t="shared" si="4"/>
        <v>62</v>
      </c>
      <c r="E317" s="702" t="s">
        <v>19</v>
      </c>
      <c r="F317" s="699"/>
      <c r="G317" s="703"/>
      <c r="H317" s="699"/>
      <c r="I317" s="699"/>
      <c r="J317" s="700" t="s">
        <v>16129</v>
      </c>
      <c r="K317" s="699"/>
      <c r="L317" s="699" t="s">
        <v>6</v>
      </c>
      <c r="M317" s="705"/>
      <c r="N317" s="706"/>
      <c r="O317" s="703" t="s">
        <v>2795</v>
      </c>
      <c r="P317" s="723">
        <v>18396</v>
      </c>
      <c r="Q317" s="703" t="s">
        <v>5989</v>
      </c>
      <c r="R317" s="703"/>
      <c r="S317" s="703"/>
      <c r="T317" s="703"/>
      <c r="U317" s="702"/>
      <c r="V317" s="702"/>
      <c r="W317" s="702"/>
      <c r="X317" s="702"/>
      <c r="Y317" s="702"/>
      <c r="Z317" s="702"/>
      <c r="AA317" s="702"/>
      <c r="AB317" s="702"/>
      <c r="AC317" s="702"/>
      <c r="AD317" s="793"/>
      <c r="AE317" s="655"/>
    </row>
    <row r="318" spans="1:31" ht="12" customHeight="1">
      <c r="A318" s="936" t="s">
        <v>18219</v>
      </c>
      <c r="B318" s="688" t="s">
        <v>1057</v>
      </c>
      <c r="C318" s="687" t="s">
        <v>1061</v>
      </c>
      <c r="D318" s="687">
        <f t="shared" si="4"/>
        <v>55</v>
      </c>
      <c r="E318" s="696" t="s">
        <v>5</v>
      </c>
      <c r="F318" s="689" t="s">
        <v>15273</v>
      </c>
      <c r="G318" s="747" t="s">
        <v>1062</v>
      </c>
      <c r="H318" s="687"/>
      <c r="I318" s="687"/>
      <c r="J318" s="692" t="s">
        <v>16126</v>
      </c>
      <c r="K318" s="687" t="s">
        <v>1063</v>
      </c>
      <c r="L318" s="687" t="s">
        <v>25</v>
      </c>
      <c r="M318" s="748">
        <v>5</v>
      </c>
      <c r="N318" s="749">
        <v>5</v>
      </c>
      <c r="O318" s="747" t="s">
        <v>188</v>
      </c>
      <c r="P318" s="773">
        <v>20960</v>
      </c>
      <c r="Q318" s="747" t="s">
        <v>16656</v>
      </c>
      <c r="R318" s="747" t="s">
        <v>1064</v>
      </c>
      <c r="S318" s="747" t="s">
        <v>6214</v>
      </c>
      <c r="T318" s="747" t="s">
        <v>1065</v>
      </c>
      <c r="U318" s="696"/>
      <c r="V318" s="696" t="s">
        <v>1008</v>
      </c>
      <c r="W318" s="696"/>
      <c r="X318" s="696"/>
      <c r="Y318" s="696"/>
      <c r="Z318" s="696"/>
      <c r="AA318" s="696"/>
      <c r="AB318" s="696"/>
      <c r="AC318" s="696" t="s">
        <v>1047</v>
      </c>
      <c r="AD318" s="805"/>
      <c r="AE318" s="655"/>
    </row>
    <row r="319" spans="1:31" ht="12" customHeight="1">
      <c r="A319" s="937" t="s">
        <v>18245</v>
      </c>
      <c r="B319" s="4" t="s">
        <v>1058</v>
      </c>
      <c r="C319" s="1" t="s">
        <v>1066</v>
      </c>
      <c r="D319" s="1">
        <f t="shared" si="4"/>
        <v>44</v>
      </c>
      <c r="E319" s="2" t="s">
        <v>5</v>
      </c>
      <c r="F319" s="1" t="s">
        <v>15273</v>
      </c>
      <c r="J319" s="4" t="s">
        <v>16120</v>
      </c>
      <c r="K319" s="1" t="s">
        <v>30</v>
      </c>
      <c r="L319" s="1" t="s">
        <v>1067</v>
      </c>
      <c r="M319" s="16">
        <v>1</v>
      </c>
      <c r="N319" s="17">
        <v>1</v>
      </c>
      <c r="O319" s="3" t="s">
        <v>31</v>
      </c>
      <c r="P319" s="20">
        <v>25122</v>
      </c>
      <c r="Q319" s="3" t="s">
        <v>1068</v>
      </c>
      <c r="AD319" s="698"/>
      <c r="AE319" s="655"/>
    </row>
    <row r="320" spans="1:31" ht="12" customHeight="1">
      <c r="A320" s="937" t="s">
        <v>18223</v>
      </c>
      <c r="B320" s="4" t="s">
        <v>1059</v>
      </c>
      <c r="C320" s="1" t="s">
        <v>879</v>
      </c>
      <c r="D320" s="1">
        <f t="shared" si="4"/>
        <v>47</v>
      </c>
      <c r="E320" s="2" t="s">
        <v>19</v>
      </c>
      <c r="F320" s="1" t="s">
        <v>15273</v>
      </c>
      <c r="G320" s="12" t="s">
        <v>1299</v>
      </c>
      <c r="H320" s="19"/>
      <c r="I320" s="19"/>
      <c r="J320" s="4" t="s">
        <v>16125</v>
      </c>
      <c r="K320" s="6"/>
      <c r="L320" s="6" t="s">
        <v>25</v>
      </c>
      <c r="M320" s="13">
        <v>1</v>
      </c>
      <c r="N320" s="14">
        <v>1</v>
      </c>
      <c r="O320" s="19" t="s">
        <v>586</v>
      </c>
      <c r="P320" s="15">
        <v>23806</v>
      </c>
      <c r="Q320" s="12" t="s">
        <v>2742</v>
      </c>
      <c r="R320" s="12"/>
      <c r="S320" s="12" t="s">
        <v>5561</v>
      </c>
      <c r="T320" s="12" t="s">
        <v>258</v>
      </c>
      <c r="Y320" s="2" t="s">
        <v>4636</v>
      </c>
      <c r="AA320" s="2" t="s">
        <v>104</v>
      </c>
      <c r="AD320" s="698"/>
      <c r="AE320" s="655"/>
    </row>
    <row r="321" spans="1:31" ht="12" customHeight="1" thickBot="1">
      <c r="A321" s="938"/>
      <c r="B321" s="700" t="s">
        <v>1060</v>
      </c>
      <c r="C321" s="699" t="s">
        <v>1069</v>
      </c>
      <c r="D321" s="699">
        <f t="shared" si="4"/>
        <v>38</v>
      </c>
      <c r="E321" s="702" t="s">
        <v>19</v>
      </c>
      <c r="F321" s="699" t="s">
        <v>15273</v>
      </c>
      <c r="G321" s="703"/>
      <c r="H321" s="699"/>
      <c r="I321" s="699"/>
      <c r="J321" s="700" t="s">
        <v>16117</v>
      </c>
      <c r="K321" s="699"/>
      <c r="L321" s="699" t="s">
        <v>6</v>
      </c>
      <c r="M321" s="705"/>
      <c r="N321" s="706"/>
      <c r="O321" s="703" t="s">
        <v>1036</v>
      </c>
      <c r="P321" s="707">
        <v>27301</v>
      </c>
      <c r="Q321" s="703" t="s">
        <v>1070</v>
      </c>
      <c r="R321" s="703"/>
      <c r="S321" s="703"/>
      <c r="T321" s="703"/>
      <c r="U321" s="702"/>
      <c r="V321" s="702"/>
      <c r="W321" s="702"/>
      <c r="X321" s="702"/>
      <c r="Y321" s="702"/>
      <c r="Z321" s="702"/>
      <c r="AA321" s="702"/>
      <c r="AB321" s="702"/>
      <c r="AC321" s="702"/>
      <c r="AD321" s="708"/>
      <c r="AE321" s="655"/>
    </row>
    <row r="322" spans="1:31" ht="12" customHeight="1">
      <c r="A322" s="936" t="s">
        <v>18245</v>
      </c>
      <c r="B322" s="688" t="s">
        <v>1083</v>
      </c>
      <c r="C322" s="687" t="s">
        <v>1087</v>
      </c>
      <c r="D322" s="687">
        <f t="shared" ref="D322:D385" si="5">DATEDIF(P322,$P$1298,"Y")</f>
        <v>38</v>
      </c>
      <c r="E322" s="696" t="s">
        <v>5</v>
      </c>
      <c r="F322" s="689" t="s">
        <v>15273</v>
      </c>
      <c r="G322" s="747" t="s">
        <v>1088</v>
      </c>
      <c r="H322" s="687"/>
      <c r="I322" s="687"/>
      <c r="J322" s="692" t="s">
        <v>16127</v>
      </c>
      <c r="K322" s="687" t="s">
        <v>44</v>
      </c>
      <c r="L322" s="687" t="s">
        <v>25</v>
      </c>
      <c r="M322" s="748">
        <v>2</v>
      </c>
      <c r="N322" s="749">
        <v>2</v>
      </c>
      <c r="O322" s="747" t="s">
        <v>1089</v>
      </c>
      <c r="P322" s="773">
        <v>27073</v>
      </c>
      <c r="Q322" s="747" t="s">
        <v>1090</v>
      </c>
      <c r="R322" s="747" t="s">
        <v>1091</v>
      </c>
      <c r="S322" s="747" t="s">
        <v>6214</v>
      </c>
      <c r="T322" s="747" t="s">
        <v>1092</v>
      </c>
      <c r="U322" s="696"/>
      <c r="V322" s="696" t="s">
        <v>145</v>
      </c>
      <c r="W322" s="696"/>
      <c r="X322" s="696"/>
      <c r="Y322" s="696"/>
      <c r="Z322" s="696"/>
      <c r="AA322" s="696"/>
      <c r="AB322" s="696"/>
      <c r="AC322" s="696"/>
      <c r="AD322" s="697"/>
      <c r="AE322" s="655"/>
    </row>
    <row r="323" spans="1:31" ht="12" customHeight="1">
      <c r="A323" s="937" t="s">
        <v>18219</v>
      </c>
      <c r="B323" s="4" t="s">
        <v>1084</v>
      </c>
      <c r="C323" s="1" t="s">
        <v>1093</v>
      </c>
      <c r="D323" s="1">
        <f t="shared" si="5"/>
        <v>40</v>
      </c>
      <c r="E323" s="2" t="s">
        <v>5</v>
      </c>
      <c r="F323" s="1" t="s">
        <v>15273</v>
      </c>
      <c r="J323" s="8" t="s">
        <v>16120</v>
      </c>
      <c r="K323" s="1" t="s">
        <v>445</v>
      </c>
      <c r="L323" s="1" t="s">
        <v>14</v>
      </c>
      <c r="M323" s="16">
        <v>1</v>
      </c>
      <c r="N323" s="17">
        <v>1</v>
      </c>
      <c r="O323" s="3" t="s">
        <v>1094</v>
      </c>
      <c r="P323" s="20">
        <v>26453</v>
      </c>
      <c r="Q323" s="3" t="s">
        <v>1095</v>
      </c>
      <c r="S323" s="3" t="s">
        <v>5457</v>
      </c>
      <c r="T323" s="3" t="s">
        <v>1096</v>
      </c>
      <c r="Y323" s="2" t="s">
        <v>1096</v>
      </c>
      <c r="AD323" s="698"/>
      <c r="AE323" s="655"/>
    </row>
    <row r="324" spans="1:31" ht="12" customHeight="1">
      <c r="A324" s="937" t="s">
        <v>18223</v>
      </c>
      <c r="B324" s="4" t="s">
        <v>1085</v>
      </c>
      <c r="C324" s="1" t="s">
        <v>5534</v>
      </c>
      <c r="D324" s="1">
        <f t="shared" si="5"/>
        <v>38</v>
      </c>
      <c r="E324" s="2" t="s">
        <v>19</v>
      </c>
      <c r="F324" s="1" t="s">
        <v>15273</v>
      </c>
      <c r="G324" s="3" t="s">
        <v>5535</v>
      </c>
      <c r="J324" s="4" t="s">
        <v>16125</v>
      </c>
      <c r="L324" s="1" t="s">
        <v>25</v>
      </c>
      <c r="M324" s="16">
        <v>1</v>
      </c>
      <c r="N324" s="17">
        <v>1</v>
      </c>
      <c r="O324" s="3" t="s">
        <v>31</v>
      </c>
      <c r="P324" s="20">
        <v>27088</v>
      </c>
      <c r="Q324" s="3" t="s">
        <v>5536</v>
      </c>
      <c r="S324" s="3" t="s">
        <v>5561</v>
      </c>
      <c r="AD324" s="698"/>
      <c r="AE324" s="655"/>
    </row>
    <row r="325" spans="1:31" ht="12" customHeight="1">
      <c r="A325" s="937" t="s">
        <v>18223</v>
      </c>
      <c r="B325" s="4" t="s">
        <v>1086</v>
      </c>
      <c r="C325" s="1" t="s">
        <v>1097</v>
      </c>
      <c r="D325" s="1">
        <f t="shared" si="5"/>
        <v>48</v>
      </c>
      <c r="E325" s="2" t="s">
        <v>5</v>
      </c>
      <c r="F325" s="1" t="s">
        <v>15273</v>
      </c>
      <c r="J325" s="4" t="s">
        <v>16116</v>
      </c>
      <c r="K325" s="1" t="s">
        <v>4573</v>
      </c>
      <c r="L325" s="1" t="s">
        <v>6</v>
      </c>
      <c r="O325" s="3" t="s">
        <v>1098</v>
      </c>
      <c r="P325" s="20">
        <v>23691</v>
      </c>
      <c r="Q325" s="3" t="s">
        <v>1099</v>
      </c>
      <c r="T325" s="3" t="s">
        <v>1092</v>
      </c>
      <c r="V325" s="2" t="s">
        <v>1092</v>
      </c>
      <c r="AD325" s="698"/>
      <c r="AE325" s="655"/>
    </row>
    <row r="326" spans="1:31" ht="12" customHeight="1">
      <c r="A326" s="937"/>
      <c r="B326" s="4" t="s">
        <v>5533</v>
      </c>
      <c r="C326" s="1" t="s">
        <v>5760</v>
      </c>
      <c r="D326" s="1">
        <f t="shared" si="5"/>
        <v>57</v>
      </c>
      <c r="E326" s="2" t="s">
        <v>5</v>
      </c>
      <c r="F326" s="1" t="s">
        <v>15273</v>
      </c>
      <c r="J326" s="4" t="s">
        <v>16128</v>
      </c>
      <c r="L326" s="1" t="s">
        <v>6</v>
      </c>
      <c r="O326" s="3" t="s">
        <v>317</v>
      </c>
      <c r="P326" s="20">
        <v>20272</v>
      </c>
      <c r="Q326" s="3" t="s">
        <v>5759</v>
      </c>
      <c r="AD326" s="698"/>
      <c r="AE326" s="655"/>
    </row>
    <row r="327" spans="1:31" ht="12" customHeight="1">
      <c r="A327" s="937"/>
      <c r="B327" s="4" t="s">
        <v>5758</v>
      </c>
      <c r="C327" s="1" t="s">
        <v>5182</v>
      </c>
      <c r="D327" s="1">
        <f t="shared" si="5"/>
        <v>42</v>
      </c>
      <c r="E327" s="2" t="s">
        <v>19</v>
      </c>
      <c r="J327" s="4" t="s">
        <v>16117</v>
      </c>
      <c r="L327" s="1" t="s">
        <v>6</v>
      </c>
      <c r="O327" s="3" t="s">
        <v>5183</v>
      </c>
      <c r="P327" s="20">
        <v>25794</v>
      </c>
      <c r="Q327" s="3" t="s">
        <v>5184</v>
      </c>
      <c r="AD327" s="698"/>
      <c r="AE327" s="655"/>
    </row>
    <row r="328" spans="1:31" ht="12" customHeight="1" thickBot="1">
      <c r="A328" s="938"/>
      <c r="B328" s="700" t="s">
        <v>5985</v>
      </c>
      <c r="C328" s="699" t="s">
        <v>5986</v>
      </c>
      <c r="D328" s="699">
        <f t="shared" si="5"/>
        <v>54</v>
      </c>
      <c r="E328" s="702" t="s">
        <v>5</v>
      </c>
      <c r="F328" s="699"/>
      <c r="G328" s="703"/>
      <c r="H328" s="699"/>
      <c r="I328" s="699"/>
      <c r="J328" s="700" t="s">
        <v>16129</v>
      </c>
      <c r="K328" s="699"/>
      <c r="L328" s="699" t="s">
        <v>6</v>
      </c>
      <c r="M328" s="705"/>
      <c r="N328" s="706"/>
      <c r="O328" s="703" t="s">
        <v>557</v>
      </c>
      <c r="P328" s="723">
        <v>21347</v>
      </c>
      <c r="Q328" s="703" t="s">
        <v>2207</v>
      </c>
      <c r="R328" s="703"/>
      <c r="S328" s="703"/>
      <c r="T328" s="703"/>
      <c r="U328" s="702"/>
      <c r="V328" s="702"/>
      <c r="W328" s="702"/>
      <c r="X328" s="702"/>
      <c r="Y328" s="702"/>
      <c r="Z328" s="702"/>
      <c r="AA328" s="702"/>
      <c r="AB328" s="702"/>
      <c r="AC328" s="702"/>
      <c r="AD328" s="708"/>
      <c r="AE328" s="655"/>
    </row>
    <row r="329" spans="1:31" ht="12" customHeight="1">
      <c r="A329" s="936" t="s">
        <v>18245</v>
      </c>
      <c r="B329" s="688" t="s">
        <v>1100</v>
      </c>
      <c r="C329" s="687" t="s">
        <v>1104</v>
      </c>
      <c r="D329" s="687">
        <f t="shared" si="5"/>
        <v>65</v>
      </c>
      <c r="E329" s="696" t="s">
        <v>5</v>
      </c>
      <c r="F329" s="689" t="s">
        <v>15273</v>
      </c>
      <c r="G329" s="747" t="s">
        <v>1105</v>
      </c>
      <c r="H329" s="687"/>
      <c r="I329" s="687"/>
      <c r="J329" s="692" t="s">
        <v>16127</v>
      </c>
      <c r="K329" s="687" t="s">
        <v>1106</v>
      </c>
      <c r="L329" s="687" t="s">
        <v>25</v>
      </c>
      <c r="M329" s="748">
        <v>4</v>
      </c>
      <c r="N329" s="749">
        <v>4</v>
      </c>
      <c r="O329" s="747" t="s">
        <v>188</v>
      </c>
      <c r="P329" s="773">
        <v>17471</v>
      </c>
      <c r="Q329" s="747" t="s">
        <v>1107</v>
      </c>
      <c r="R329" s="747" t="s">
        <v>1108</v>
      </c>
      <c r="S329" s="747" t="s">
        <v>6214</v>
      </c>
      <c r="T329" s="747" t="s">
        <v>1096</v>
      </c>
      <c r="U329" s="696"/>
      <c r="V329" s="696"/>
      <c r="W329" s="696"/>
      <c r="X329" s="696"/>
      <c r="Y329" s="696" t="s">
        <v>1096</v>
      </c>
      <c r="Z329" s="696"/>
      <c r="AA329" s="696"/>
      <c r="AB329" s="696"/>
      <c r="AC329" s="696"/>
      <c r="AD329" s="697"/>
      <c r="AE329" s="655"/>
    </row>
    <row r="330" spans="1:31" ht="12" customHeight="1">
      <c r="A330" s="937" t="s">
        <v>18219</v>
      </c>
      <c r="B330" s="4" t="s">
        <v>1101</v>
      </c>
      <c r="C330" s="1" t="s">
        <v>1109</v>
      </c>
      <c r="D330" s="1">
        <f t="shared" si="5"/>
        <v>62</v>
      </c>
      <c r="E330" s="2" t="s">
        <v>5</v>
      </c>
      <c r="F330" s="1" t="s">
        <v>15273</v>
      </c>
      <c r="J330" s="4" t="s">
        <v>16120</v>
      </c>
      <c r="K330" s="1" t="s">
        <v>13</v>
      </c>
      <c r="L330" s="1" t="s">
        <v>14</v>
      </c>
      <c r="M330" s="16">
        <v>4</v>
      </c>
      <c r="N330" s="17">
        <v>4</v>
      </c>
      <c r="O330" s="3" t="s">
        <v>1110</v>
      </c>
      <c r="P330" s="20">
        <v>18478</v>
      </c>
      <c r="Q330" s="3" t="s">
        <v>1112</v>
      </c>
      <c r="R330" s="3" t="s">
        <v>1111</v>
      </c>
      <c r="S330" s="3" t="s">
        <v>5457</v>
      </c>
      <c r="T330" s="3" t="s">
        <v>1092</v>
      </c>
      <c r="V330" s="2" t="s">
        <v>1092</v>
      </c>
      <c r="AD330" s="698"/>
      <c r="AE330" s="655"/>
    </row>
    <row r="331" spans="1:31" ht="12" customHeight="1">
      <c r="A331" s="937"/>
      <c r="B331" s="4" t="s">
        <v>1102</v>
      </c>
      <c r="C331" s="1" t="s">
        <v>3397</v>
      </c>
      <c r="D331" s="1">
        <f t="shared" si="5"/>
        <v>50</v>
      </c>
      <c r="E331" s="2" t="s">
        <v>19</v>
      </c>
      <c r="F331" s="1" t="s">
        <v>15273</v>
      </c>
      <c r="J331" s="4" t="s">
        <v>16125</v>
      </c>
      <c r="L331" s="1" t="s">
        <v>6</v>
      </c>
      <c r="O331" s="3" t="s">
        <v>3398</v>
      </c>
      <c r="P331" s="20">
        <v>22895</v>
      </c>
      <c r="Q331" s="3" t="s">
        <v>3399</v>
      </c>
      <c r="S331" s="3" t="s">
        <v>5561</v>
      </c>
      <c r="AD331" s="698"/>
      <c r="AE331" s="655"/>
    </row>
    <row r="332" spans="1:31" ht="12" customHeight="1">
      <c r="A332" s="937" t="s">
        <v>18223</v>
      </c>
      <c r="B332" s="4" t="s">
        <v>1103</v>
      </c>
      <c r="C332" s="1" t="s">
        <v>5762</v>
      </c>
      <c r="D332" s="1">
        <f t="shared" si="5"/>
        <v>49</v>
      </c>
      <c r="E332" s="2" t="s">
        <v>5</v>
      </c>
      <c r="F332" s="1" t="s">
        <v>15273</v>
      </c>
      <c r="J332" s="4" t="s">
        <v>16116</v>
      </c>
      <c r="K332" s="1" t="s">
        <v>5763</v>
      </c>
      <c r="L332" s="1" t="s">
        <v>14</v>
      </c>
      <c r="M332" s="16">
        <v>1</v>
      </c>
      <c r="N332" s="17">
        <v>1</v>
      </c>
      <c r="O332" s="3" t="s">
        <v>5764</v>
      </c>
      <c r="P332" s="20">
        <v>23167</v>
      </c>
      <c r="Q332" s="3" t="s">
        <v>5766</v>
      </c>
      <c r="T332" s="3" t="s">
        <v>5765</v>
      </c>
      <c r="U332" s="2" t="s">
        <v>5765</v>
      </c>
      <c r="AD332" s="698"/>
      <c r="AE332" s="655"/>
    </row>
    <row r="333" spans="1:31" ht="12" customHeight="1">
      <c r="A333" s="937"/>
      <c r="B333" s="4" t="s">
        <v>5734</v>
      </c>
      <c r="C333" s="1" t="s">
        <v>1116</v>
      </c>
      <c r="D333" s="1">
        <f t="shared" si="5"/>
        <v>43</v>
      </c>
      <c r="E333" s="2" t="s">
        <v>5</v>
      </c>
      <c r="F333" s="1" t="s">
        <v>15273</v>
      </c>
      <c r="J333" s="8" t="s">
        <v>16128</v>
      </c>
      <c r="L333" s="1" t="s">
        <v>6</v>
      </c>
      <c r="O333" s="3" t="s">
        <v>1117</v>
      </c>
      <c r="P333" s="20">
        <v>25325</v>
      </c>
      <c r="Q333" s="3" t="s">
        <v>1118</v>
      </c>
      <c r="AD333" s="698"/>
      <c r="AE333" s="655"/>
    </row>
    <row r="334" spans="1:31" ht="12" customHeight="1" thickBot="1">
      <c r="A334" s="938" t="s">
        <v>18223</v>
      </c>
      <c r="B334" s="700" t="s">
        <v>5761</v>
      </c>
      <c r="C334" s="699" t="s">
        <v>1113</v>
      </c>
      <c r="D334" s="699">
        <f t="shared" si="5"/>
        <v>57</v>
      </c>
      <c r="E334" s="702" t="s">
        <v>19</v>
      </c>
      <c r="F334" s="699"/>
      <c r="G334" s="703"/>
      <c r="H334" s="699"/>
      <c r="I334" s="699"/>
      <c r="J334" s="700" t="s">
        <v>16117</v>
      </c>
      <c r="K334" s="699"/>
      <c r="L334" s="699" t="s">
        <v>6</v>
      </c>
      <c r="M334" s="705"/>
      <c r="N334" s="706"/>
      <c r="O334" s="703" t="s">
        <v>1114</v>
      </c>
      <c r="P334" s="707">
        <v>20340</v>
      </c>
      <c r="Q334" s="703" t="s">
        <v>1115</v>
      </c>
      <c r="R334" s="703"/>
      <c r="S334" s="703"/>
      <c r="T334" s="703" t="s">
        <v>1092</v>
      </c>
      <c r="U334" s="702"/>
      <c r="V334" s="702" t="s">
        <v>1092</v>
      </c>
      <c r="W334" s="702"/>
      <c r="X334" s="702"/>
      <c r="Y334" s="702"/>
      <c r="Z334" s="702"/>
      <c r="AA334" s="702"/>
      <c r="AB334" s="702"/>
      <c r="AC334" s="702"/>
      <c r="AD334" s="708"/>
      <c r="AE334" s="655"/>
    </row>
    <row r="335" spans="1:31" ht="12" customHeight="1">
      <c r="A335" s="936" t="s">
        <v>18223</v>
      </c>
      <c r="B335" s="688" t="s">
        <v>1119</v>
      </c>
      <c r="C335" s="687" t="s">
        <v>5176</v>
      </c>
      <c r="D335" s="687">
        <f t="shared" si="5"/>
        <v>57</v>
      </c>
      <c r="E335" s="696" t="s">
        <v>5</v>
      </c>
      <c r="F335" s="689" t="s">
        <v>15273</v>
      </c>
      <c r="G335" s="747"/>
      <c r="H335" s="687"/>
      <c r="I335" s="687"/>
      <c r="J335" s="692" t="s">
        <v>16126</v>
      </c>
      <c r="K335" s="687" t="s">
        <v>44</v>
      </c>
      <c r="L335" s="687" t="s">
        <v>6</v>
      </c>
      <c r="M335" s="748"/>
      <c r="N335" s="749"/>
      <c r="O335" s="747" t="s">
        <v>4753</v>
      </c>
      <c r="P335" s="773">
        <v>20096</v>
      </c>
      <c r="Q335" s="747" t="s">
        <v>5177</v>
      </c>
      <c r="R335" s="747"/>
      <c r="S335" s="747"/>
      <c r="T335" s="747" t="s">
        <v>5178</v>
      </c>
      <c r="U335" s="696"/>
      <c r="V335" s="696"/>
      <c r="W335" s="696"/>
      <c r="X335" s="696"/>
      <c r="Y335" s="696" t="s">
        <v>5178</v>
      </c>
      <c r="Z335" s="696"/>
      <c r="AA335" s="696"/>
      <c r="AB335" s="696"/>
      <c r="AC335" s="696"/>
      <c r="AD335" s="697"/>
      <c r="AE335" s="655"/>
    </row>
    <row r="336" spans="1:31" ht="12" customHeight="1">
      <c r="A336" s="937" t="s">
        <v>18219</v>
      </c>
      <c r="B336" s="4" t="s">
        <v>1120</v>
      </c>
      <c r="C336" s="1" t="s">
        <v>1124</v>
      </c>
      <c r="D336" s="1">
        <f t="shared" si="5"/>
        <v>53</v>
      </c>
      <c r="E336" s="2" t="s">
        <v>5</v>
      </c>
      <c r="F336" s="1" t="s">
        <v>15273</v>
      </c>
      <c r="G336" s="3" t="s">
        <v>1125</v>
      </c>
      <c r="J336" s="4" t="s">
        <v>16120</v>
      </c>
      <c r="K336" s="1" t="s">
        <v>30</v>
      </c>
      <c r="L336" s="1" t="s">
        <v>25</v>
      </c>
      <c r="M336" s="16">
        <v>1</v>
      </c>
      <c r="N336" s="17">
        <v>1</v>
      </c>
      <c r="O336" s="3" t="s">
        <v>255</v>
      </c>
      <c r="P336" s="20">
        <v>21715</v>
      </c>
      <c r="Q336" s="3" t="s">
        <v>1126</v>
      </c>
      <c r="S336" s="3" t="s">
        <v>5457</v>
      </c>
      <c r="T336" s="3" t="s">
        <v>1127</v>
      </c>
      <c r="U336" s="2" t="s">
        <v>1127</v>
      </c>
      <c r="AD336" s="698"/>
      <c r="AE336" s="655"/>
    </row>
    <row r="337" spans="1:31" ht="12" customHeight="1">
      <c r="A337" s="937" t="s">
        <v>18245</v>
      </c>
      <c r="B337" s="4" t="s">
        <v>1121</v>
      </c>
      <c r="C337" s="1" t="s">
        <v>1130</v>
      </c>
      <c r="D337" s="1">
        <f t="shared" si="5"/>
        <v>58</v>
      </c>
      <c r="E337" s="2" t="s">
        <v>5</v>
      </c>
      <c r="F337" s="1" t="s">
        <v>15273</v>
      </c>
      <c r="G337" s="3" t="s">
        <v>1131</v>
      </c>
      <c r="J337" s="4" t="s">
        <v>16125</v>
      </c>
      <c r="L337" s="1" t="s">
        <v>25</v>
      </c>
      <c r="M337" s="16">
        <v>3</v>
      </c>
      <c r="N337" s="17">
        <v>3</v>
      </c>
      <c r="O337" s="3" t="s">
        <v>1132</v>
      </c>
      <c r="P337" s="20">
        <v>19786</v>
      </c>
      <c r="Q337" s="3" t="s">
        <v>1133</v>
      </c>
      <c r="R337" s="3" t="s">
        <v>4567</v>
      </c>
      <c r="S337" s="3" t="s">
        <v>5561</v>
      </c>
      <c r="AD337" s="698"/>
      <c r="AE337" s="655"/>
    </row>
    <row r="338" spans="1:31" ht="12" customHeight="1">
      <c r="A338" s="937" t="s">
        <v>18223</v>
      </c>
      <c r="B338" s="4" t="s">
        <v>1122</v>
      </c>
      <c r="C338" s="1" t="s">
        <v>5981</v>
      </c>
      <c r="D338" s="1">
        <f t="shared" si="5"/>
        <v>51</v>
      </c>
      <c r="E338" s="2" t="s">
        <v>5</v>
      </c>
      <c r="F338" s="1" t="s">
        <v>15273</v>
      </c>
      <c r="J338" s="4" t="s">
        <v>16116</v>
      </c>
      <c r="K338" s="1" t="s">
        <v>5942</v>
      </c>
      <c r="L338" s="1" t="s">
        <v>6</v>
      </c>
      <c r="O338" s="3" t="s">
        <v>317</v>
      </c>
      <c r="P338" s="20">
        <v>22393</v>
      </c>
      <c r="Q338" s="3" t="s">
        <v>16280</v>
      </c>
      <c r="AD338" s="698"/>
      <c r="AE338" s="655"/>
    </row>
    <row r="339" spans="1:31" ht="12" customHeight="1">
      <c r="A339" s="937"/>
      <c r="B339" s="4" t="s">
        <v>1123</v>
      </c>
      <c r="C339" s="1" t="s">
        <v>1128</v>
      </c>
      <c r="D339" s="1">
        <f t="shared" si="5"/>
        <v>45</v>
      </c>
      <c r="E339" s="2" t="s">
        <v>5</v>
      </c>
      <c r="F339" s="1" t="s">
        <v>15273</v>
      </c>
      <c r="J339" s="4" t="s">
        <v>16128</v>
      </c>
      <c r="L339" s="1" t="s">
        <v>6</v>
      </c>
      <c r="O339" s="3" t="s">
        <v>695</v>
      </c>
      <c r="P339" s="20">
        <v>24582</v>
      </c>
      <c r="Q339" s="3" t="s">
        <v>1129</v>
      </c>
      <c r="AD339" s="698"/>
      <c r="AE339" s="655"/>
    </row>
    <row r="340" spans="1:31" ht="12" customHeight="1">
      <c r="A340" s="937"/>
      <c r="B340" s="4" t="s">
        <v>5459</v>
      </c>
      <c r="C340" s="1" t="s">
        <v>5185</v>
      </c>
      <c r="D340" s="1">
        <f t="shared" si="5"/>
        <v>69</v>
      </c>
      <c r="E340" s="2" t="s">
        <v>5</v>
      </c>
      <c r="J340" s="4" t="s">
        <v>16117</v>
      </c>
      <c r="L340" s="1" t="s">
        <v>6</v>
      </c>
      <c r="O340" s="3" t="s">
        <v>95</v>
      </c>
      <c r="P340" s="20">
        <v>15841</v>
      </c>
      <c r="Q340" s="3" t="s">
        <v>270</v>
      </c>
      <c r="AD340" s="698"/>
      <c r="AE340" s="655"/>
    </row>
    <row r="341" spans="1:31" ht="12" customHeight="1" thickBot="1">
      <c r="A341" s="938"/>
      <c r="B341" s="700" t="s">
        <v>5980</v>
      </c>
      <c r="C341" s="699" t="s">
        <v>5460</v>
      </c>
      <c r="D341" s="699">
        <f t="shared" si="5"/>
        <v>73</v>
      </c>
      <c r="E341" s="702" t="s">
        <v>19</v>
      </c>
      <c r="F341" s="699" t="s">
        <v>15273</v>
      </c>
      <c r="G341" s="703"/>
      <c r="H341" s="699"/>
      <c r="I341" s="699"/>
      <c r="J341" s="704" t="s">
        <v>16121</v>
      </c>
      <c r="K341" s="699"/>
      <c r="L341" s="699" t="s">
        <v>6</v>
      </c>
      <c r="M341" s="705"/>
      <c r="N341" s="706"/>
      <c r="O341" s="703" t="s">
        <v>5461</v>
      </c>
      <c r="P341" s="707">
        <v>14523</v>
      </c>
      <c r="Q341" s="703" t="s">
        <v>5462</v>
      </c>
      <c r="R341" s="703"/>
      <c r="S341" s="703"/>
      <c r="T341" s="703" t="s">
        <v>5464</v>
      </c>
      <c r="U341" s="702"/>
      <c r="V341" s="702" t="s">
        <v>5463</v>
      </c>
      <c r="W341" s="702"/>
      <c r="X341" s="702"/>
      <c r="Y341" s="702"/>
      <c r="Z341" s="702"/>
      <c r="AA341" s="702"/>
      <c r="AB341" s="702"/>
      <c r="AC341" s="702"/>
      <c r="AD341" s="708" t="s">
        <v>5465</v>
      </c>
      <c r="AE341" s="655"/>
    </row>
    <row r="342" spans="1:31" ht="12" customHeight="1">
      <c r="A342" s="936" t="s">
        <v>18245</v>
      </c>
      <c r="B342" s="688" t="s">
        <v>1134</v>
      </c>
      <c r="C342" s="687" t="s">
        <v>1138</v>
      </c>
      <c r="D342" s="687">
        <f t="shared" si="5"/>
        <v>69</v>
      </c>
      <c r="E342" s="696" t="s">
        <v>5</v>
      </c>
      <c r="F342" s="689" t="s">
        <v>15273</v>
      </c>
      <c r="G342" s="747" t="s">
        <v>1139</v>
      </c>
      <c r="H342" s="687"/>
      <c r="I342" s="687"/>
      <c r="J342" s="692" t="s">
        <v>16127</v>
      </c>
      <c r="K342" s="687" t="s">
        <v>604</v>
      </c>
      <c r="L342" s="687" t="s">
        <v>25</v>
      </c>
      <c r="M342" s="748">
        <v>4</v>
      </c>
      <c r="N342" s="749">
        <v>4</v>
      </c>
      <c r="O342" s="747" t="s">
        <v>188</v>
      </c>
      <c r="P342" s="773">
        <v>15957</v>
      </c>
      <c r="Q342" s="747" t="s">
        <v>1140</v>
      </c>
      <c r="R342" s="747" t="s">
        <v>1141</v>
      </c>
      <c r="S342" s="747" t="s">
        <v>6214</v>
      </c>
      <c r="T342" s="747" t="s">
        <v>1092</v>
      </c>
      <c r="U342" s="696"/>
      <c r="V342" s="696" t="s">
        <v>1092</v>
      </c>
      <c r="W342" s="696"/>
      <c r="X342" s="696"/>
      <c r="Y342" s="696"/>
      <c r="Z342" s="696"/>
      <c r="AA342" s="696"/>
      <c r="AB342" s="696"/>
      <c r="AC342" s="696"/>
      <c r="AD342" s="697"/>
      <c r="AE342" s="655"/>
    </row>
    <row r="343" spans="1:31" ht="12" customHeight="1">
      <c r="A343" s="937" t="s">
        <v>18219</v>
      </c>
      <c r="B343" s="4" t="s">
        <v>1135</v>
      </c>
      <c r="C343" s="1" t="s">
        <v>1142</v>
      </c>
      <c r="D343" s="1">
        <f t="shared" si="5"/>
        <v>62</v>
      </c>
      <c r="E343" s="2" t="s">
        <v>5</v>
      </c>
      <c r="F343" s="1" t="s">
        <v>15273</v>
      </c>
      <c r="J343" s="8" t="s">
        <v>16120</v>
      </c>
      <c r="K343" s="1" t="s">
        <v>13</v>
      </c>
      <c r="L343" s="1" t="s">
        <v>14</v>
      </c>
      <c r="M343" s="16">
        <v>4</v>
      </c>
      <c r="N343" s="17">
        <v>4</v>
      </c>
      <c r="O343" s="3" t="s">
        <v>1143</v>
      </c>
      <c r="P343" s="20">
        <v>18252</v>
      </c>
      <c r="Q343" s="3" t="s">
        <v>1144</v>
      </c>
      <c r="R343" s="3" t="s">
        <v>1145</v>
      </c>
      <c r="S343" s="3" t="s">
        <v>5457</v>
      </c>
      <c r="T343" s="3" t="s">
        <v>1092</v>
      </c>
      <c r="V343" s="2" t="s">
        <v>1092</v>
      </c>
      <c r="AD343" s="698"/>
      <c r="AE343" s="655"/>
    </row>
    <row r="344" spans="1:31" ht="12" customHeight="1">
      <c r="A344" s="937" t="s">
        <v>18223</v>
      </c>
      <c r="B344" s="4" t="s">
        <v>1136</v>
      </c>
      <c r="C344" s="1" t="s">
        <v>3993</v>
      </c>
      <c r="D344" s="1">
        <f t="shared" si="5"/>
        <v>53</v>
      </c>
      <c r="E344" s="2" t="s">
        <v>19</v>
      </c>
      <c r="F344" s="1" t="s">
        <v>15273</v>
      </c>
      <c r="G344" s="3" t="s">
        <v>3994</v>
      </c>
      <c r="H344" s="1" t="s">
        <v>3995</v>
      </c>
      <c r="J344" s="4" t="s">
        <v>16125</v>
      </c>
      <c r="L344" s="1" t="s">
        <v>6</v>
      </c>
      <c r="N344" s="17">
        <v>2</v>
      </c>
      <c r="O344" s="3" t="s">
        <v>3996</v>
      </c>
      <c r="P344" s="20">
        <v>21595</v>
      </c>
      <c r="Q344" s="3" t="s">
        <v>3997</v>
      </c>
      <c r="R344" s="3" t="s">
        <v>3998</v>
      </c>
      <c r="S344" s="3" t="s">
        <v>5561</v>
      </c>
      <c r="T344" s="3" t="s">
        <v>375</v>
      </c>
      <c r="V344" s="2" t="s">
        <v>3842</v>
      </c>
      <c r="X344" s="2" t="s">
        <v>3999</v>
      </c>
      <c r="AD344" s="698"/>
      <c r="AE344" s="655"/>
    </row>
    <row r="345" spans="1:31" ht="12" customHeight="1">
      <c r="A345" s="937"/>
      <c r="B345" s="4" t="s">
        <v>1137</v>
      </c>
      <c r="C345" s="1" t="s">
        <v>1149</v>
      </c>
      <c r="D345" s="1">
        <f t="shared" si="5"/>
        <v>41</v>
      </c>
      <c r="E345" s="2" t="s">
        <v>5</v>
      </c>
      <c r="F345" s="1" t="s">
        <v>15273</v>
      </c>
      <c r="J345" s="4" t="s">
        <v>16128</v>
      </c>
      <c r="L345" s="1" t="s">
        <v>6</v>
      </c>
      <c r="O345" s="3" t="s">
        <v>1094</v>
      </c>
      <c r="P345" s="20">
        <v>26271</v>
      </c>
      <c r="Q345" s="3" t="s">
        <v>1150</v>
      </c>
      <c r="S345" s="3" t="s">
        <v>6031</v>
      </c>
      <c r="T345" s="3" t="s">
        <v>1151</v>
      </c>
      <c r="Z345" s="2" t="s">
        <v>1151</v>
      </c>
      <c r="AD345" s="698"/>
      <c r="AE345" s="655"/>
    </row>
    <row r="346" spans="1:31" ht="12" customHeight="1" thickBot="1">
      <c r="A346" s="938"/>
      <c r="B346" s="700" t="s">
        <v>5537</v>
      </c>
      <c r="C346" s="699" t="s">
        <v>1146</v>
      </c>
      <c r="D346" s="699">
        <f t="shared" si="5"/>
        <v>62</v>
      </c>
      <c r="E346" s="702" t="s">
        <v>5</v>
      </c>
      <c r="F346" s="699"/>
      <c r="G346" s="703"/>
      <c r="H346" s="699"/>
      <c r="I346" s="699"/>
      <c r="J346" s="700" t="s">
        <v>16117</v>
      </c>
      <c r="K346" s="699"/>
      <c r="L346" s="699" t="s">
        <v>6</v>
      </c>
      <c r="M346" s="705"/>
      <c r="N346" s="706"/>
      <c r="O346" s="703" t="s">
        <v>1147</v>
      </c>
      <c r="P346" s="723">
        <v>18512</v>
      </c>
      <c r="Q346" s="703" t="s">
        <v>1148</v>
      </c>
      <c r="R346" s="703"/>
      <c r="S346" s="703"/>
      <c r="T346" s="703"/>
      <c r="U346" s="702"/>
      <c r="V346" s="702"/>
      <c r="W346" s="702"/>
      <c r="X346" s="702"/>
      <c r="Y346" s="702"/>
      <c r="Z346" s="702"/>
      <c r="AA346" s="702"/>
      <c r="AB346" s="702"/>
      <c r="AC346" s="702"/>
      <c r="AD346" s="708"/>
      <c r="AE346" s="655"/>
    </row>
    <row r="347" spans="1:31" ht="12" customHeight="1">
      <c r="A347" s="936" t="s">
        <v>18245</v>
      </c>
      <c r="B347" s="688" t="s">
        <v>1153</v>
      </c>
      <c r="C347" s="687" t="s">
        <v>1156</v>
      </c>
      <c r="D347" s="687">
        <f t="shared" si="5"/>
        <v>48</v>
      </c>
      <c r="E347" s="696" t="s">
        <v>5</v>
      </c>
      <c r="F347" s="689" t="s">
        <v>15273</v>
      </c>
      <c r="G347" s="747" t="s">
        <v>1157</v>
      </c>
      <c r="H347" s="687"/>
      <c r="I347" s="687"/>
      <c r="J347" s="692" t="s">
        <v>16127</v>
      </c>
      <c r="K347" s="687" t="s">
        <v>44</v>
      </c>
      <c r="L347" s="687" t="s">
        <v>25</v>
      </c>
      <c r="M347" s="748">
        <v>1</v>
      </c>
      <c r="N347" s="749">
        <v>1</v>
      </c>
      <c r="O347" s="747" t="s">
        <v>1158</v>
      </c>
      <c r="P347" s="773">
        <v>23573</v>
      </c>
      <c r="Q347" s="747" t="s">
        <v>1159</v>
      </c>
      <c r="R347" s="747"/>
      <c r="S347" s="747" t="s">
        <v>6214</v>
      </c>
      <c r="T347" s="747" t="s">
        <v>1160</v>
      </c>
      <c r="U347" s="696" t="s">
        <v>1160</v>
      </c>
      <c r="V347" s="696"/>
      <c r="W347" s="696"/>
      <c r="X347" s="696"/>
      <c r="Y347" s="696"/>
      <c r="Z347" s="696"/>
      <c r="AA347" s="696"/>
      <c r="AB347" s="696"/>
      <c r="AC347" s="696"/>
      <c r="AD347" s="697"/>
      <c r="AE347" s="655"/>
    </row>
    <row r="348" spans="1:31" ht="12" customHeight="1">
      <c r="A348" s="937" t="s">
        <v>18219</v>
      </c>
      <c r="B348" s="4" t="s">
        <v>1154</v>
      </c>
      <c r="C348" s="1" t="s">
        <v>1161</v>
      </c>
      <c r="D348" s="1">
        <f t="shared" si="5"/>
        <v>37</v>
      </c>
      <c r="E348" s="2" t="s">
        <v>5</v>
      </c>
      <c r="F348" s="1" t="s">
        <v>15273</v>
      </c>
      <c r="J348" s="4" t="s">
        <v>16120</v>
      </c>
      <c r="K348" s="1" t="s">
        <v>30</v>
      </c>
      <c r="L348" s="1" t="s">
        <v>6</v>
      </c>
      <c r="O348" s="3" t="s">
        <v>1162</v>
      </c>
      <c r="P348" s="20">
        <v>27616</v>
      </c>
      <c r="Q348" s="3" t="s">
        <v>1163</v>
      </c>
      <c r="S348" s="3" t="s">
        <v>5548</v>
      </c>
      <c r="T348" s="3" t="s">
        <v>1164</v>
      </c>
      <c r="V348" s="2" t="s">
        <v>1164</v>
      </c>
      <c r="AD348" s="698"/>
      <c r="AE348" s="655"/>
    </row>
    <row r="349" spans="1:31" ht="12" customHeight="1">
      <c r="A349" s="937" t="s">
        <v>18223</v>
      </c>
      <c r="B349" s="4" t="s">
        <v>1155</v>
      </c>
      <c r="C349" s="1" t="s">
        <v>3194</v>
      </c>
      <c r="D349" s="1">
        <f t="shared" si="5"/>
        <v>41</v>
      </c>
      <c r="E349" s="2" t="s">
        <v>19</v>
      </c>
      <c r="F349" s="1" t="s">
        <v>15273</v>
      </c>
      <c r="J349" s="4" t="s">
        <v>16125</v>
      </c>
      <c r="L349" s="1" t="s">
        <v>14</v>
      </c>
      <c r="M349" s="16">
        <v>1</v>
      </c>
      <c r="N349" s="17">
        <v>1</v>
      </c>
      <c r="O349" s="3" t="s">
        <v>523</v>
      </c>
      <c r="P349" s="20">
        <v>26081</v>
      </c>
      <c r="Q349" s="3" t="s">
        <v>3195</v>
      </c>
      <c r="S349" s="3" t="s">
        <v>5561</v>
      </c>
      <c r="AD349" s="698"/>
      <c r="AE349" s="655"/>
    </row>
    <row r="350" spans="1:31" ht="12" customHeight="1">
      <c r="A350" s="937" t="s">
        <v>18223</v>
      </c>
      <c r="B350" s="4" t="s">
        <v>1165</v>
      </c>
      <c r="C350" s="1" t="s">
        <v>5006</v>
      </c>
      <c r="D350" s="1">
        <f t="shared" si="5"/>
        <v>37</v>
      </c>
      <c r="E350" s="2" t="s">
        <v>5</v>
      </c>
      <c r="F350" s="1" t="s">
        <v>15273</v>
      </c>
      <c r="J350" s="4" t="s">
        <v>16116</v>
      </c>
      <c r="K350" s="1" t="s">
        <v>276</v>
      </c>
      <c r="L350" s="1" t="s">
        <v>6</v>
      </c>
      <c r="O350" s="3" t="s">
        <v>5007</v>
      </c>
      <c r="P350" s="21">
        <v>27643</v>
      </c>
      <c r="Q350" s="3" t="s">
        <v>5008</v>
      </c>
      <c r="T350" s="3" t="s">
        <v>4925</v>
      </c>
      <c r="V350" s="2" t="s">
        <v>4925</v>
      </c>
      <c r="AD350" s="698"/>
      <c r="AE350" s="655"/>
    </row>
    <row r="351" spans="1:31" ht="12" customHeight="1">
      <c r="A351" s="937"/>
      <c r="B351" s="4" t="s">
        <v>5005</v>
      </c>
      <c r="C351" s="1" t="s">
        <v>1166</v>
      </c>
      <c r="D351" s="1">
        <f t="shared" si="5"/>
        <v>44</v>
      </c>
      <c r="E351" s="2" t="s">
        <v>5</v>
      </c>
      <c r="J351" s="4" t="s">
        <v>16117</v>
      </c>
      <c r="L351" s="1" t="s">
        <v>6</v>
      </c>
      <c r="O351" s="3" t="s">
        <v>1167</v>
      </c>
      <c r="P351" s="21">
        <v>24936</v>
      </c>
      <c r="Q351" s="3" t="s">
        <v>1168</v>
      </c>
      <c r="T351" s="3" t="s">
        <v>1169</v>
      </c>
      <c r="AD351" s="698" t="s">
        <v>1169</v>
      </c>
      <c r="AE351" s="655"/>
    </row>
    <row r="352" spans="1:31" ht="12" customHeight="1" thickBot="1">
      <c r="A352" s="938" t="s">
        <v>18223</v>
      </c>
      <c r="B352" s="700" t="s">
        <v>5077</v>
      </c>
      <c r="C352" s="702" t="s">
        <v>1170</v>
      </c>
      <c r="D352" s="699">
        <f t="shared" si="5"/>
        <v>55</v>
      </c>
      <c r="E352" s="702" t="s">
        <v>5</v>
      </c>
      <c r="F352" s="699"/>
      <c r="G352" s="703"/>
      <c r="H352" s="699"/>
      <c r="I352" s="699"/>
      <c r="J352" s="700" t="s">
        <v>16129</v>
      </c>
      <c r="K352" s="699"/>
      <c r="L352" s="699" t="s">
        <v>14</v>
      </c>
      <c r="M352" s="705">
        <v>2</v>
      </c>
      <c r="N352" s="706">
        <v>2</v>
      </c>
      <c r="O352" s="703" t="s">
        <v>695</v>
      </c>
      <c r="P352" s="707">
        <v>21007</v>
      </c>
      <c r="Q352" s="703" t="s">
        <v>1171</v>
      </c>
      <c r="R352" s="703"/>
      <c r="S352" s="703"/>
      <c r="T352" s="703" t="s">
        <v>1164</v>
      </c>
      <c r="U352" s="702"/>
      <c r="V352" s="702" t="s">
        <v>1164</v>
      </c>
      <c r="W352" s="702"/>
      <c r="X352" s="702"/>
      <c r="Y352" s="702"/>
      <c r="Z352" s="702"/>
      <c r="AA352" s="702"/>
      <c r="AB352" s="702"/>
      <c r="AC352" s="702"/>
      <c r="AD352" s="708"/>
      <c r="AE352" s="655"/>
    </row>
    <row r="353" spans="1:31" ht="12" customHeight="1">
      <c r="A353" s="936" t="s">
        <v>18245</v>
      </c>
      <c r="B353" s="688" t="s">
        <v>1172</v>
      </c>
      <c r="C353" s="687" t="s">
        <v>1175</v>
      </c>
      <c r="D353" s="687">
        <f t="shared" si="5"/>
        <v>49</v>
      </c>
      <c r="E353" s="696" t="s">
        <v>5</v>
      </c>
      <c r="F353" s="689" t="s">
        <v>15273</v>
      </c>
      <c r="G353" s="747" t="s">
        <v>1176</v>
      </c>
      <c r="H353" s="687"/>
      <c r="I353" s="687"/>
      <c r="J353" s="692" t="s">
        <v>16126</v>
      </c>
      <c r="K353" s="687" t="s">
        <v>44</v>
      </c>
      <c r="L353" s="687" t="s">
        <v>25</v>
      </c>
      <c r="M353" s="748">
        <v>1</v>
      </c>
      <c r="N353" s="749">
        <v>1</v>
      </c>
      <c r="O353" s="747" t="s">
        <v>188</v>
      </c>
      <c r="P353" s="773">
        <v>23028</v>
      </c>
      <c r="Q353" s="747" t="s">
        <v>1180</v>
      </c>
      <c r="R353" s="747"/>
      <c r="S353" s="747"/>
      <c r="T353" s="747" t="s">
        <v>1177</v>
      </c>
      <c r="U353" s="696"/>
      <c r="V353" s="696" t="s">
        <v>1164</v>
      </c>
      <c r="W353" s="696"/>
      <c r="X353" s="696"/>
      <c r="Y353" s="696"/>
      <c r="Z353" s="696"/>
      <c r="AA353" s="696" t="s">
        <v>1178</v>
      </c>
      <c r="AB353" s="696"/>
      <c r="AC353" s="696" t="s">
        <v>1179</v>
      </c>
      <c r="AD353" s="697"/>
      <c r="AE353" s="655"/>
    </row>
    <row r="354" spans="1:31" ht="12" customHeight="1">
      <c r="A354" s="937" t="s">
        <v>18219</v>
      </c>
      <c r="B354" s="4" t="s">
        <v>1173</v>
      </c>
      <c r="C354" s="1" t="s">
        <v>1181</v>
      </c>
      <c r="D354" s="1">
        <f t="shared" si="5"/>
        <v>65</v>
      </c>
      <c r="E354" s="2" t="s">
        <v>5</v>
      </c>
      <c r="F354" s="1" t="s">
        <v>15273</v>
      </c>
      <c r="G354" s="3" t="s">
        <v>1183</v>
      </c>
      <c r="J354" s="4" t="s">
        <v>16120</v>
      </c>
      <c r="K354" s="1" t="s">
        <v>934</v>
      </c>
      <c r="L354" s="1" t="s">
        <v>25</v>
      </c>
      <c r="M354" s="16">
        <v>6</v>
      </c>
      <c r="N354" s="17">
        <v>6</v>
      </c>
      <c r="O354" s="3" t="s">
        <v>1182</v>
      </c>
      <c r="P354" s="20">
        <v>17170</v>
      </c>
      <c r="Q354" s="3" t="s">
        <v>1184</v>
      </c>
      <c r="R354" s="3" t="s">
        <v>1186</v>
      </c>
      <c r="S354" s="3" t="s">
        <v>5457</v>
      </c>
      <c r="T354" s="3" t="s">
        <v>1185</v>
      </c>
      <c r="V354" s="2" t="s">
        <v>1164</v>
      </c>
      <c r="AA354" s="2" t="s">
        <v>1178</v>
      </c>
      <c r="AD354" s="698"/>
      <c r="AE354" s="655"/>
    </row>
    <row r="355" spans="1:31" ht="12" customHeight="1">
      <c r="A355" s="937"/>
      <c r="B355" s="4" t="s">
        <v>1174</v>
      </c>
      <c r="C355" s="1" t="s">
        <v>5186</v>
      </c>
      <c r="D355" s="1">
        <f t="shared" si="5"/>
        <v>58</v>
      </c>
      <c r="E355" s="2" t="s">
        <v>5</v>
      </c>
      <c r="J355" s="4" t="s">
        <v>16117</v>
      </c>
      <c r="L355" s="1" t="s">
        <v>6</v>
      </c>
      <c r="O355" s="3" t="s">
        <v>5187</v>
      </c>
      <c r="P355" s="21">
        <v>19762</v>
      </c>
      <c r="Q355" s="3" t="s">
        <v>1148</v>
      </c>
      <c r="AD355" s="698"/>
      <c r="AE355" s="655"/>
    </row>
    <row r="356" spans="1:31" ht="12" customHeight="1" thickBot="1">
      <c r="A356" s="938"/>
      <c r="B356" s="700" t="s">
        <v>5820</v>
      </c>
      <c r="C356" s="699" t="s">
        <v>5821</v>
      </c>
      <c r="D356" s="699">
        <f t="shared" si="5"/>
        <v>59</v>
      </c>
      <c r="E356" s="702" t="s">
        <v>19</v>
      </c>
      <c r="F356" s="699"/>
      <c r="G356" s="703"/>
      <c r="H356" s="699"/>
      <c r="I356" s="699"/>
      <c r="J356" s="700" t="s">
        <v>16122</v>
      </c>
      <c r="K356" s="699" t="s">
        <v>15981</v>
      </c>
      <c r="L356" s="699" t="s">
        <v>6</v>
      </c>
      <c r="M356" s="705"/>
      <c r="N356" s="706"/>
      <c r="O356" s="703" t="s">
        <v>5822</v>
      </c>
      <c r="P356" s="723">
        <v>19425</v>
      </c>
      <c r="Q356" s="703" t="s">
        <v>15982</v>
      </c>
      <c r="R356" s="703"/>
      <c r="S356" s="703"/>
      <c r="T356" s="703" t="s">
        <v>5823</v>
      </c>
      <c r="U356" s="702"/>
      <c r="V356" s="702"/>
      <c r="W356" s="702"/>
      <c r="X356" s="702"/>
      <c r="Y356" s="702"/>
      <c r="Z356" s="702" t="s">
        <v>5823</v>
      </c>
      <c r="AA356" s="702"/>
      <c r="AB356" s="702"/>
      <c r="AC356" s="702"/>
      <c r="AD356" s="708"/>
      <c r="AE356" s="655"/>
    </row>
    <row r="357" spans="1:31" ht="12" customHeight="1">
      <c r="A357" s="936" t="s">
        <v>18218</v>
      </c>
      <c r="B357" s="688" t="s">
        <v>1187</v>
      </c>
      <c r="C357" s="687" t="s">
        <v>1190</v>
      </c>
      <c r="D357" s="687">
        <f t="shared" si="5"/>
        <v>64</v>
      </c>
      <c r="E357" s="696" t="s">
        <v>5</v>
      </c>
      <c r="F357" s="687" t="s">
        <v>15273</v>
      </c>
      <c r="G357" s="747" t="s">
        <v>1191</v>
      </c>
      <c r="H357" s="687"/>
      <c r="I357" s="687"/>
      <c r="J357" s="692" t="s">
        <v>16120</v>
      </c>
      <c r="K357" s="687" t="s">
        <v>445</v>
      </c>
      <c r="L357" s="687" t="s">
        <v>25</v>
      </c>
      <c r="M357" s="748">
        <v>7</v>
      </c>
      <c r="N357" s="749">
        <v>7</v>
      </c>
      <c r="O357" s="747" t="s">
        <v>1192</v>
      </c>
      <c r="P357" s="773">
        <v>17776</v>
      </c>
      <c r="Q357" s="747" t="s">
        <v>1193</v>
      </c>
      <c r="R357" s="747" t="s">
        <v>1194</v>
      </c>
      <c r="S357" s="747" t="s">
        <v>5457</v>
      </c>
      <c r="T357" s="747" t="s">
        <v>104</v>
      </c>
      <c r="U357" s="696"/>
      <c r="V357" s="696"/>
      <c r="W357" s="696"/>
      <c r="X357" s="696"/>
      <c r="Y357" s="696"/>
      <c r="Z357" s="696"/>
      <c r="AA357" s="696" t="s">
        <v>1178</v>
      </c>
      <c r="AB357" s="696"/>
      <c r="AC357" s="696"/>
      <c r="AD357" s="697"/>
      <c r="AE357" s="655"/>
    </row>
    <row r="358" spans="1:31" ht="12" customHeight="1">
      <c r="A358" s="937" t="s">
        <v>18223</v>
      </c>
      <c r="B358" s="4" t="s">
        <v>1188</v>
      </c>
      <c r="C358" s="1" t="s">
        <v>1195</v>
      </c>
      <c r="D358" s="1">
        <f t="shared" si="5"/>
        <v>55</v>
      </c>
      <c r="E358" s="2" t="s">
        <v>5</v>
      </c>
      <c r="F358" s="1" t="s">
        <v>15273</v>
      </c>
      <c r="G358" s="3" t="s">
        <v>1196</v>
      </c>
      <c r="J358" s="4" t="s">
        <v>16125</v>
      </c>
      <c r="L358" s="1" t="s">
        <v>25</v>
      </c>
      <c r="M358" s="16">
        <v>1</v>
      </c>
      <c r="N358" s="17">
        <v>1</v>
      </c>
      <c r="O358" s="3" t="s">
        <v>1197</v>
      </c>
      <c r="P358" s="20">
        <v>21126</v>
      </c>
      <c r="Q358" s="3" t="s">
        <v>1198</v>
      </c>
      <c r="S358" s="3" t="s">
        <v>5561</v>
      </c>
      <c r="T358" s="3" t="s">
        <v>1164</v>
      </c>
      <c r="V358" s="2" t="s">
        <v>1164</v>
      </c>
      <c r="AD358" s="698"/>
      <c r="AE358" s="655"/>
    </row>
    <row r="359" spans="1:31" ht="12" customHeight="1" thickBot="1">
      <c r="A359" s="938"/>
      <c r="B359" s="700" t="s">
        <v>1189</v>
      </c>
      <c r="C359" s="699" t="s">
        <v>1199</v>
      </c>
      <c r="D359" s="699">
        <f t="shared" si="5"/>
        <v>55</v>
      </c>
      <c r="E359" s="702" t="s">
        <v>5</v>
      </c>
      <c r="F359" s="699"/>
      <c r="G359" s="703"/>
      <c r="H359" s="699"/>
      <c r="I359" s="699"/>
      <c r="J359" s="700" t="s">
        <v>16117</v>
      </c>
      <c r="K359" s="699"/>
      <c r="L359" s="699" t="s">
        <v>6</v>
      </c>
      <c r="M359" s="705"/>
      <c r="N359" s="706"/>
      <c r="O359" s="703" t="s">
        <v>1200</v>
      </c>
      <c r="P359" s="723">
        <v>20970</v>
      </c>
      <c r="Q359" s="703" t="s">
        <v>1201</v>
      </c>
      <c r="R359" s="703"/>
      <c r="S359" s="703"/>
      <c r="T359" s="703"/>
      <c r="U359" s="702"/>
      <c r="V359" s="702"/>
      <c r="W359" s="702"/>
      <c r="X359" s="702"/>
      <c r="Y359" s="702"/>
      <c r="Z359" s="702"/>
      <c r="AA359" s="702"/>
      <c r="AB359" s="702"/>
      <c r="AC359" s="702"/>
      <c r="AD359" s="708"/>
      <c r="AE359" s="655"/>
    </row>
    <row r="360" spans="1:31" ht="12" customHeight="1">
      <c r="A360" s="936" t="s">
        <v>18218</v>
      </c>
      <c r="B360" s="688" t="s">
        <v>1202</v>
      </c>
      <c r="C360" s="687" t="s">
        <v>1205</v>
      </c>
      <c r="D360" s="687">
        <f t="shared" si="5"/>
        <v>57</v>
      </c>
      <c r="E360" s="696" t="s">
        <v>5</v>
      </c>
      <c r="F360" s="687" t="s">
        <v>15273</v>
      </c>
      <c r="G360" s="747" t="s">
        <v>1206</v>
      </c>
      <c r="H360" s="687"/>
      <c r="I360" s="687"/>
      <c r="J360" s="688" t="s">
        <v>16120</v>
      </c>
      <c r="K360" s="687" t="s">
        <v>30</v>
      </c>
      <c r="L360" s="687" t="s">
        <v>25</v>
      </c>
      <c r="M360" s="748">
        <v>6</v>
      </c>
      <c r="N360" s="749">
        <v>6</v>
      </c>
      <c r="O360" s="747" t="s">
        <v>1207</v>
      </c>
      <c r="P360" s="773">
        <v>20383</v>
      </c>
      <c r="Q360" s="747" t="s">
        <v>1208</v>
      </c>
      <c r="R360" s="747" t="s">
        <v>1209</v>
      </c>
      <c r="S360" s="747" t="s">
        <v>5457</v>
      </c>
      <c r="T360" s="747" t="s">
        <v>1178</v>
      </c>
      <c r="U360" s="696"/>
      <c r="V360" s="696"/>
      <c r="W360" s="696"/>
      <c r="X360" s="696"/>
      <c r="Y360" s="696"/>
      <c r="Z360" s="696"/>
      <c r="AA360" s="696" t="s">
        <v>1178</v>
      </c>
      <c r="AB360" s="696"/>
      <c r="AC360" s="696"/>
      <c r="AD360" s="697"/>
      <c r="AE360" s="655"/>
    </row>
    <row r="361" spans="1:31" ht="12" customHeight="1">
      <c r="A361" s="937" t="s">
        <v>18223</v>
      </c>
      <c r="B361" s="4" t="s">
        <v>1203</v>
      </c>
      <c r="C361" s="1" t="s">
        <v>1210</v>
      </c>
      <c r="D361" s="1">
        <f t="shared" si="5"/>
        <v>42</v>
      </c>
      <c r="E361" s="2" t="s">
        <v>5</v>
      </c>
      <c r="F361" s="1" t="s">
        <v>15273</v>
      </c>
      <c r="G361" s="3" t="s">
        <v>1211</v>
      </c>
      <c r="J361" s="4" t="s">
        <v>16125</v>
      </c>
      <c r="L361" s="1" t="s">
        <v>25</v>
      </c>
      <c r="M361" s="16">
        <v>1</v>
      </c>
      <c r="N361" s="17">
        <v>1</v>
      </c>
      <c r="O361" s="3" t="s">
        <v>1212</v>
      </c>
      <c r="P361" s="20">
        <v>25580</v>
      </c>
      <c r="Q361" s="3" t="s">
        <v>1213</v>
      </c>
      <c r="S361" s="3" t="s">
        <v>5561</v>
      </c>
      <c r="AD361" s="698"/>
      <c r="AE361" s="655"/>
    </row>
    <row r="362" spans="1:31" ht="12" customHeight="1" thickBot="1">
      <c r="A362" s="938"/>
      <c r="B362" s="700" t="s">
        <v>1204</v>
      </c>
      <c r="C362" s="699" t="s">
        <v>5188</v>
      </c>
      <c r="D362" s="699">
        <f t="shared" si="5"/>
        <v>61</v>
      </c>
      <c r="E362" s="702" t="s">
        <v>5</v>
      </c>
      <c r="F362" s="699"/>
      <c r="G362" s="703"/>
      <c r="H362" s="699"/>
      <c r="I362" s="699"/>
      <c r="J362" s="700" t="s">
        <v>16117</v>
      </c>
      <c r="K362" s="699"/>
      <c r="L362" s="699" t="s">
        <v>6</v>
      </c>
      <c r="M362" s="705"/>
      <c r="N362" s="706"/>
      <c r="O362" s="703" t="s">
        <v>5189</v>
      </c>
      <c r="P362" s="723">
        <v>18752</v>
      </c>
      <c r="Q362" s="703" t="s">
        <v>53</v>
      </c>
      <c r="R362" s="703"/>
      <c r="S362" s="703"/>
      <c r="T362" s="703"/>
      <c r="U362" s="702"/>
      <c r="V362" s="702"/>
      <c r="W362" s="702"/>
      <c r="X362" s="702"/>
      <c r="Y362" s="702"/>
      <c r="Z362" s="702"/>
      <c r="AA362" s="702"/>
      <c r="AB362" s="702"/>
      <c r="AC362" s="702"/>
      <c r="AD362" s="708"/>
      <c r="AE362" s="655"/>
    </row>
    <row r="363" spans="1:31" ht="12" customHeight="1">
      <c r="A363" s="936" t="s">
        <v>18245</v>
      </c>
      <c r="B363" s="688" t="s">
        <v>1214</v>
      </c>
      <c r="C363" s="687" t="s">
        <v>1218</v>
      </c>
      <c r="D363" s="687">
        <f t="shared" si="5"/>
        <v>66</v>
      </c>
      <c r="E363" s="696" t="s">
        <v>5</v>
      </c>
      <c r="F363" s="689" t="s">
        <v>15273</v>
      </c>
      <c r="G363" s="747" t="s">
        <v>1219</v>
      </c>
      <c r="H363" s="687"/>
      <c r="I363" s="687"/>
      <c r="J363" s="692" t="s">
        <v>16127</v>
      </c>
      <c r="K363" s="687" t="s">
        <v>44</v>
      </c>
      <c r="L363" s="687" t="s">
        <v>25</v>
      </c>
      <c r="M363" s="748">
        <v>2</v>
      </c>
      <c r="N363" s="749">
        <v>2</v>
      </c>
      <c r="O363" s="747" t="s">
        <v>1158</v>
      </c>
      <c r="P363" s="773">
        <v>16862</v>
      </c>
      <c r="Q363" s="747" t="s">
        <v>1220</v>
      </c>
      <c r="R363" s="747" t="s">
        <v>1221</v>
      </c>
      <c r="S363" s="747" t="s">
        <v>6214</v>
      </c>
      <c r="T363" s="747"/>
      <c r="U363" s="696"/>
      <c r="V363" s="696"/>
      <c r="W363" s="696"/>
      <c r="X363" s="696"/>
      <c r="Y363" s="696"/>
      <c r="Z363" s="696"/>
      <c r="AA363" s="696"/>
      <c r="AB363" s="696"/>
      <c r="AC363" s="696"/>
      <c r="AD363" s="697"/>
      <c r="AE363" s="655"/>
    </row>
    <row r="364" spans="1:31" ht="12" customHeight="1">
      <c r="A364" s="937" t="s">
        <v>18219</v>
      </c>
      <c r="B364" s="4" t="s">
        <v>1215</v>
      </c>
      <c r="C364" s="1" t="s">
        <v>1222</v>
      </c>
      <c r="D364" s="1">
        <f t="shared" si="5"/>
        <v>37</v>
      </c>
      <c r="E364" s="2" t="s">
        <v>5</v>
      </c>
      <c r="F364" s="1" t="s">
        <v>15273</v>
      </c>
      <c r="J364" s="4" t="s">
        <v>16120</v>
      </c>
      <c r="K364" s="1" t="s">
        <v>30</v>
      </c>
      <c r="L364" s="1" t="s">
        <v>6</v>
      </c>
      <c r="O364" s="3" t="s">
        <v>1223</v>
      </c>
      <c r="P364" s="20">
        <v>27469</v>
      </c>
      <c r="Q364" s="3" t="s">
        <v>1224</v>
      </c>
      <c r="S364" s="3" t="s">
        <v>5457</v>
      </c>
      <c r="AD364" s="698"/>
      <c r="AE364" s="655"/>
    </row>
    <row r="365" spans="1:31" ht="12" customHeight="1">
      <c r="A365" s="937" t="s">
        <v>18223</v>
      </c>
      <c r="B365" s="4" t="s">
        <v>1216</v>
      </c>
      <c r="C365" s="1" t="s">
        <v>5514</v>
      </c>
      <c r="D365" s="1">
        <f t="shared" si="5"/>
        <v>46</v>
      </c>
      <c r="E365" s="2" t="s">
        <v>5</v>
      </c>
      <c r="F365" s="1" t="s">
        <v>15273</v>
      </c>
      <c r="J365" s="4" t="s">
        <v>16116</v>
      </c>
      <c r="K365" s="1" t="s">
        <v>5515</v>
      </c>
      <c r="L365" s="1" t="s">
        <v>6</v>
      </c>
      <c r="O365" s="3" t="s">
        <v>983</v>
      </c>
      <c r="P365" s="21">
        <v>24292</v>
      </c>
      <c r="Q365" s="3" t="s">
        <v>6160</v>
      </c>
      <c r="S365" s="3" t="s">
        <v>5948</v>
      </c>
      <c r="AD365" s="698"/>
      <c r="AE365" s="655"/>
    </row>
    <row r="366" spans="1:31" ht="12" customHeight="1">
      <c r="A366" s="937"/>
      <c r="B366" s="4" t="s">
        <v>1217</v>
      </c>
      <c r="C366" s="1" t="s">
        <v>5190</v>
      </c>
      <c r="D366" s="1">
        <f t="shared" si="5"/>
        <v>67</v>
      </c>
      <c r="E366" s="2" t="s">
        <v>5</v>
      </c>
      <c r="J366" s="4" t="s">
        <v>16117</v>
      </c>
      <c r="L366" s="1" t="s">
        <v>6</v>
      </c>
      <c r="O366" s="3" t="s">
        <v>5191</v>
      </c>
      <c r="P366" s="21">
        <v>16602</v>
      </c>
      <c r="Q366" s="3" t="s">
        <v>5192</v>
      </c>
      <c r="AD366" s="698"/>
      <c r="AE366" s="655"/>
    </row>
    <row r="367" spans="1:31" ht="12" customHeight="1" thickBot="1">
      <c r="A367" s="938"/>
      <c r="B367" s="700" t="s">
        <v>5513</v>
      </c>
      <c r="C367" s="699" t="s">
        <v>1225</v>
      </c>
      <c r="D367" s="699">
        <f t="shared" si="5"/>
        <v>30</v>
      </c>
      <c r="E367" s="702" t="s">
        <v>5</v>
      </c>
      <c r="F367" s="699"/>
      <c r="G367" s="703"/>
      <c r="H367" s="699"/>
      <c r="I367" s="699"/>
      <c r="J367" s="700" t="s">
        <v>16122</v>
      </c>
      <c r="K367" s="699" t="s">
        <v>22</v>
      </c>
      <c r="L367" s="699" t="s">
        <v>6</v>
      </c>
      <c r="M367" s="705"/>
      <c r="N367" s="706"/>
      <c r="O367" s="703" t="s">
        <v>1182</v>
      </c>
      <c r="P367" s="707">
        <v>30119</v>
      </c>
      <c r="Q367" s="703" t="s">
        <v>1787</v>
      </c>
      <c r="R367" s="703"/>
      <c r="S367" s="703"/>
      <c r="T367" s="703"/>
      <c r="U367" s="702"/>
      <c r="V367" s="702"/>
      <c r="W367" s="702"/>
      <c r="X367" s="702"/>
      <c r="Y367" s="702"/>
      <c r="Z367" s="702"/>
      <c r="AA367" s="702"/>
      <c r="AB367" s="702"/>
      <c r="AC367" s="702"/>
      <c r="AD367" s="708"/>
      <c r="AE367" s="655"/>
    </row>
    <row r="368" spans="1:31" ht="12" customHeight="1">
      <c r="A368" s="936" t="s">
        <v>18245</v>
      </c>
      <c r="B368" s="688" t="s">
        <v>1226</v>
      </c>
      <c r="C368" s="687" t="s">
        <v>1230</v>
      </c>
      <c r="D368" s="687">
        <f t="shared" si="5"/>
        <v>52</v>
      </c>
      <c r="E368" s="696" t="s">
        <v>19</v>
      </c>
      <c r="F368" s="689" t="s">
        <v>15273</v>
      </c>
      <c r="G368" s="747" t="s">
        <v>1231</v>
      </c>
      <c r="H368" s="687"/>
      <c r="I368" s="687"/>
      <c r="J368" s="692" t="s">
        <v>16127</v>
      </c>
      <c r="K368" s="687" t="s">
        <v>44</v>
      </c>
      <c r="L368" s="687" t="s">
        <v>25</v>
      </c>
      <c r="M368" s="748">
        <v>1</v>
      </c>
      <c r="N368" s="749">
        <v>1</v>
      </c>
      <c r="O368" s="747" t="s">
        <v>1232</v>
      </c>
      <c r="P368" s="773">
        <v>22183</v>
      </c>
      <c r="Q368" s="747" t="s">
        <v>1239</v>
      </c>
      <c r="R368" s="747"/>
      <c r="S368" s="747" t="s">
        <v>6214</v>
      </c>
      <c r="T368" s="747" t="s">
        <v>1238</v>
      </c>
      <c r="U368" s="696"/>
      <c r="V368" s="696"/>
      <c r="W368" s="696"/>
      <c r="X368" s="696"/>
      <c r="Y368" s="696" t="s">
        <v>1238</v>
      </c>
      <c r="Z368" s="696"/>
      <c r="AA368" s="696"/>
      <c r="AB368" s="696"/>
      <c r="AC368" s="696"/>
      <c r="AD368" s="697"/>
      <c r="AE368" s="655"/>
    </row>
    <row r="369" spans="1:31" ht="12" customHeight="1">
      <c r="A369" s="937" t="s">
        <v>18219</v>
      </c>
      <c r="B369" s="4" t="s">
        <v>1227</v>
      </c>
      <c r="C369" s="1" t="s">
        <v>1233</v>
      </c>
      <c r="D369" s="1">
        <f t="shared" si="5"/>
        <v>62</v>
      </c>
      <c r="E369" s="2" t="s">
        <v>5</v>
      </c>
      <c r="F369" s="1" t="s">
        <v>15273</v>
      </c>
      <c r="G369" s="3" t="s">
        <v>1234</v>
      </c>
      <c r="J369" s="8" t="s">
        <v>16120</v>
      </c>
      <c r="K369" s="1" t="s">
        <v>445</v>
      </c>
      <c r="L369" s="1" t="s">
        <v>25</v>
      </c>
      <c r="M369" s="16">
        <v>4</v>
      </c>
      <c r="N369" s="17">
        <v>4</v>
      </c>
      <c r="O369" s="3" t="s">
        <v>1235</v>
      </c>
      <c r="P369" s="20">
        <v>18364</v>
      </c>
      <c r="Q369" s="3" t="s">
        <v>1236</v>
      </c>
      <c r="R369" s="3" t="s">
        <v>1237</v>
      </c>
      <c r="S369" s="3" t="s">
        <v>5457</v>
      </c>
      <c r="T369" s="3" t="s">
        <v>1164</v>
      </c>
      <c r="V369" s="2" t="s">
        <v>1164</v>
      </c>
      <c r="AD369" s="698"/>
      <c r="AE369" s="655"/>
    </row>
    <row r="370" spans="1:31" ht="12" customHeight="1">
      <c r="A370" s="937" t="s">
        <v>18223</v>
      </c>
      <c r="B370" s="4" t="s">
        <v>1228</v>
      </c>
      <c r="C370" s="1" t="s">
        <v>5364</v>
      </c>
      <c r="D370" s="1">
        <f t="shared" si="5"/>
        <v>52</v>
      </c>
      <c r="E370" s="2" t="s">
        <v>5</v>
      </c>
      <c r="F370" s="1" t="s">
        <v>15273</v>
      </c>
      <c r="J370" s="4" t="s">
        <v>16116</v>
      </c>
      <c r="K370" s="1" t="s">
        <v>5298</v>
      </c>
      <c r="L370" s="1" t="s">
        <v>6</v>
      </c>
      <c r="O370" s="3" t="s">
        <v>317</v>
      </c>
      <c r="P370" s="20">
        <v>22062</v>
      </c>
      <c r="Q370" s="3" t="s">
        <v>16281</v>
      </c>
      <c r="T370" s="3" t="s">
        <v>15983</v>
      </c>
      <c r="U370" s="2" t="s">
        <v>47</v>
      </c>
      <c r="AD370" s="698"/>
      <c r="AE370" s="655"/>
    </row>
    <row r="371" spans="1:31" ht="12" customHeight="1">
      <c r="A371" s="937" t="s">
        <v>18223</v>
      </c>
      <c r="B371" s="4" t="s">
        <v>1229</v>
      </c>
      <c r="C371" s="1" t="s">
        <v>1242</v>
      </c>
      <c r="D371" s="1">
        <f t="shared" si="5"/>
        <v>39</v>
      </c>
      <c r="E371" s="2" t="s">
        <v>5</v>
      </c>
      <c r="F371" s="1" t="s">
        <v>15273</v>
      </c>
      <c r="J371" s="4" t="s">
        <v>16128</v>
      </c>
      <c r="L371" s="1" t="s">
        <v>6</v>
      </c>
      <c r="O371" s="3" t="s">
        <v>1212</v>
      </c>
      <c r="P371" s="20">
        <v>26745</v>
      </c>
      <c r="Q371" s="3" t="s">
        <v>1243</v>
      </c>
      <c r="AD371" s="698"/>
      <c r="AE371" s="655"/>
    </row>
    <row r="372" spans="1:31" ht="12" customHeight="1" thickBot="1">
      <c r="A372" s="938"/>
      <c r="B372" s="700" t="s">
        <v>5363</v>
      </c>
      <c r="C372" s="699" t="s">
        <v>1240</v>
      </c>
      <c r="D372" s="699">
        <f t="shared" si="5"/>
        <v>53</v>
      </c>
      <c r="E372" s="702" t="s">
        <v>5</v>
      </c>
      <c r="F372" s="699"/>
      <c r="G372" s="703"/>
      <c r="H372" s="699"/>
      <c r="I372" s="699"/>
      <c r="J372" s="700" t="s">
        <v>16117</v>
      </c>
      <c r="K372" s="699"/>
      <c r="L372" s="699" t="s">
        <v>6</v>
      </c>
      <c r="M372" s="705"/>
      <c r="N372" s="706"/>
      <c r="O372" s="703" t="s">
        <v>182</v>
      </c>
      <c r="P372" s="723">
        <v>21616</v>
      </c>
      <c r="Q372" s="703" t="s">
        <v>1241</v>
      </c>
      <c r="R372" s="703"/>
      <c r="S372" s="703"/>
      <c r="T372" s="703"/>
      <c r="U372" s="702"/>
      <c r="V372" s="702"/>
      <c r="W372" s="702"/>
      <c r="X372" s="702"/>
      <c r="Y372" s="702"/>
      <c r="Z372" s="702"/>
      <c r="AA372" s="702"/>
      <c r="AB372" s="702"/>
      <c r="AC372" s="702"/>
      <c r="AD372" s="708"/>
      <c r="AE372" s="655"/>
    </row>
    <row r="373" spans="1:31" ht="12" customHeight="1">
      <c r="A373" s="936" t="s">
        <v>18245</v>
      </c>
      <c r="B373" s="688" t="s">
        <v>1244</v>
      </c>
      <c r="C373" s="687" t="s">
        <v>1247</v>
      </c>
      <c r="D373" s="687">
        <f t="shared" si="5"/>
        <v>37</v>
      </c>
      <c r="E373" s="696" t="s">
        <v>5</v>
      </c>
      <c r="F373" s="689" t="s">
        <v>15273</v>
      </c>
      <c r="G373" s="747" t="s">
        <v>1248</v>
      </c>
      <c r="H373" s="687"/>
      <c r="I373" s="687"/>
      <c r="J373" s="692" t="s">
        <v>16126</v>
      </c>
      <c r="K373" s="687" t="s">
        <v>44</v>
      </c>
      <c r="L373" s="687" t="s">
        <v>25</v>
      </c>
      <c r="M373" s="748">
        <v>1</v>
      </c>
      <c r="N373" s="749">
        <v>1</v>
      </c>
      <c r="O373" s="747" t="s">
        <v>1249</v>
      </c>
      <c r="P373" s="773">
        <v>27646</v>
      </c>
      <c r="Q373" s="747" t="s">
        <v>1250</v>
      </c>
      <c r="R373" s="747"/>
      <c r="S373" s="747" t="s">
        <v>6214</v>
      </c>
      <c r="T373" s="747" t="s">
        <v>1160</v>
      </c>
      <c r="U373" s="696" t="s">
        <v>1160</v>
      </c>
      <c r="V373" s="696"/>
      <c r="W373" s="696"/>
      <c r="X373" s="696"/>
      <c r="Y373" s="696"/>
      <c r="Z373" s="696"/>
      <c r="AA373" s="696"/>
      <c r="AB373" s="696"/>
      <c r="AC373" s="696"/>
      <c r="AD373" s="697"/>
      <c r="AE373" s="655"/>
    </row>
    <row r="374" spans="1:31" ht="12" customHeight="1">
      <c r="A374" s="937" t="s">
        <v>18219</v>
      </c>
      <c r="B374" s="4" t="s">
        <v>1245</v>
      </c>
      <c r="C374" s="1" t="s">
        <v>1251</v>
      </c>
      <c r="D374" s="1">
        <f t="shared" si="5"/>
        <v>64</v>
      </c>
      <c r="E374" s="2" t="s">
        <v>5</v>
      </c>
      <c r="F374" s="1" t="s">
        <v>15273</v>
      </c>
      <c r="G374" s="3" t="s">
        <v>1252</v>
      </c>
      <c r="J374" s="4" t="s">
        <v>16120</v>
      </c>
      <c r="K374" s="1" t="s">
        <v>30</v>
      </c>
      <c r="L374" s="1" t="s">
        <v>25</v>
      </c>
      <c r="M374" s="16">
        <v>5</v>
      </c>
      <c r="N374" s="17">
        <v>5</v>
      </c>
      <c r="O374" s="3" t="s">
        <v>95</v>
      </c>
      <c r="P374" s="20">
        <v>17873</v>
      </c>
      <c r="Q374" s="3" t="s">
        <v>1253</v>
      </c>
      <c r="R374" s="3" t="s">
        <v>1254</v>
      </c>
      <c r="S374" s="3" t="s">
        <v>5457</v>
      </c>
      <c r="T374" s="3" t="s">
        <v>1164</v>
      </c>
      <c r="V374" s="2" t="s">
        <v>1164</v>
      </c>
      <c r="AD374" s="698"/>
      <c r="AE374" s="655"/>
    </row>
    <row r="375" spans="1:31" ht="12" customHeight="1" thickBot="1">
      <c r="A375" s="938"/>
      <c r="B375" s="700" t="s">
        <v>1246</v>
      </c>
      <c r="C375" s="699" t="s">
        <v>1255</v>
      </c>
      <c r="D375" s="699">
        <f t="shared" si="5"/>
        <v>50</v>
      </c>
      <c r="E375" s="702" t="s">
        <v>5</v>
      </c>
      <c r="F375" s="699"/>
      <c r="G375" s="703"/>
      <c r="H375" s="699"/>
      <c r="I375" s="699"/>
      <c r="J375" s="700" t="s">
        <v>16117</v>
      </c>
      <c r="K375" s="699"/>
      <c r="L375" s="699" t="s">
        <v>6</v>
      </c>
      <c r="M375" s="705"/>
      <c r="N375" s="706"/>
      <c r="O375" s="703" t="s">
        <v>1256</v>
      </c>
      <c r="P375" s="723">
        <v>22793</v>
      </c>
      <c r="Q375" s="703" t="s">
        <v>1257</v>
      </c>
      <c r="R375" s="703"/>
      <c r="S375" s="703"/>
      <c r="T375" s="703" t="s">
        <v>2640</v>
      </c>
      <c r="U375" s="702"/>
      <c r="V375" s="702"/>
      <c r="W375" s="702"/>
      <c r="X375" s="702"/>
      <c r="Y375" s="702"/>
      <c r="Z375" s="702" t="s">
        <v>1258</v>
      </c>
      <c r="AA375" s="702"/>
      <c r="AB375" s="702"/>
      <c r="AC375" s="702"/>
      <c r="AD375" s="708" t="s">
        <v>1169</v>
      </c>
      <c r="AE375" s="655"/>
    </row>
    <row r="376" spans="1:31" ht="12" customHeight="1">
      <c r="A376" s="936" t="s">
        <v>18223</v>
      </c>
      <c r="B376" s="688" t="s">
        <v>1259</v>
      </c>
      <c r="C376" s="687" t="s">
        <v>1546</v>
      </c>
      <c r="D376" s="687">
        <f t="shared" si="5"/>
        <v>50</v>
      </c>
      <c r="E376" s="696" t="s">
        <v>5</v>
      </c>
      <c r="F376" s="689" t="s">
        <v>15273</v>
      </c>
      <c r="G376" s="747" t="s">
        <v>4407</v>
      </c>
      <c r="H376" s="687"/>
      <c r="I376" s="687"/>
      <c r="J376" s="692" t="s">
        <v>16127</v>
      </c>
      <c r="K376" s="687" t="s">
        <v>4408</v>
      </c>
      <c r="L376" s="687" t="s">
        <v>25</v>
      </c>
      <c r="M376" s="748">
        <v>1</v>
      </c>
      <c r="N376" s="749">
        <v>1</v>
      </c>
      <c r="O376" s="747" t="s">
        <v>1547</v>
      </c>
      <c r="P376" s="773">
        <v>22991</v>
      </c>
      <c r="Q376" s="747" t="s">
        <v>1548</v>
      </c>
      <c r="R376" s="747"/>
      <c r="S376" s="747" t="s">
        <v>6214</v>
      </c>
      <c r="T376" s="747" t="s">
        <v>635</v>
      </c>
      <c r="U376" s="696"/>
      <c r="V376" s="696" t="s">
        <v>4410</v>
      </c>
      <c r="W376" s="696"/>
      <c r="X376" s="696"/>
      <c r="Y376" s="696"/>
      <c r="Z376" s="696"/>
      <c r="AA376" s="696"/>
      <c r="AB376" s="696"/>
      <c r="AC376" s="696" t="s">
        <v>4409</v>
      </c>
      <c r="AD376" s="697"/>
      <c r="AE376" s="655"/>
    </row>
    <row r="377" spans="1:31" ht="12" customHeight="1">
      <c r="A377" s="937" t="s">
        <v>18219</v>
      </c>
      <c r="B377" s="4" t="s">
        <v>1260</v>
      </c>
      <c r="C377" s="1" t="s">
        <v>1264</v>
      </c>
      <c r="D377" s="1">
        <f t="shared" si="5"/>
        <v>47</v>
      </c>
      <c r="E377" s="2" t="s">
        <v>5</v>
      </c>
      <c r="F377" s="1" t="s">
        <v>15273</v>
      </c>
      <c r="J377" s="4" t="s">
        <v>16120</v>
      </c>
      <c r="K377" s="1" t="s">
        <v>30</v>
      </c>
      <c r="L377" s="1" t="s">
        <v>14</v>
      </c>
      <c r="M377" s="16">
        <v>5</v>
      </c>
      <c r="N377" s="17">
        <v>5</v>
      </c>
      <c r="O377" s="3" t="s">
        <v>1265</v>
      </c>
      <c r="P377" s="20">
        <v>23915</v>
      </c>
      <c r="Q377" s="3" t="s">
        <v>1266</v>
      </c>
      <c r="R377" s="3" t="s">
        <v>1267</v>
      </c>
      <c r="S377" s="3" t="s">
        <v>5457</v>
      </c>
      <c r="T377" s="3" t="s">
        <v>104</v>
      </c>
      <c r="AA377" s="2" t="s">
        <v>1178</v>
      </c>
      <c r="AD377" s="698"/>
      <c r="AE377" s="655"/>
    </row>
    <row r="378" spans="1:31" ht="12" customHeight="1">
      <c r="A378" s="937" t="s">
        <v>18245</v>
      </c>
      <c r="B378" s="4" t="s">
        <v>1261</v>
      </c>
      <c r="C378" s="1" t="s">
        <v>1268</v>
      </c>
      <c r="D378" s="1">
        <f t="shared" si="5"/>
        <v>48</v>
      </c>
      <c r="E378" s="2" t="s">
        <v>19</v>
      </c>
      <c r="F378" s="1" t="s">
        <v>15273</v>
      </c>
      <c r="G378" s="3" t="s">
        <v>1269</v>
      </c>
      <c r="J378" s="4" t="s">
        <v>16125</v>
      </c>
      <c r="L378" s="1" t="s">
        <v>25</v>
      </c>
      <c r="M378" s="16">
        <v>1</v>
      </c>
      <c r="N378" s="17">
        <v>1</v>
      </c>
      <c r="O378" s="3" t="s">
        <v>1271</v>
      </c>
      <c r="P378" s="20">
        <v>23639</v>
      </c>
      <c r="Q378" s="3" t="s">
        <v>1270</v>
      </c>
      <c r="S378" s="3" t="s">
        <v>16114</v>
      </c>
      <c r="T378" s="3" t="s">
        <v>1164</v>
      </c>
      <c r="V378" s="2" t="s">
        <v>1164</v>
      </c>
      <c r="AD378" s="698"/>
      <c r="AE378" s="655"/>
    </row>
    <row r="379" spans="1:31" ht="12" customHeight="1">
      <c r="A379" s="937" t="s">
        <v>18223</v>
      </c>
      <c r="B379" s="4" t="s">
        <v>1262</v>
      </c>
      <c r="C379" s="1" t="s">
        <v>5366</v>
      </c>
      <c r="D379" s="1">
        <f t="shared" si="5"/>
        <v>44</v>
      </c>
      <c r="E379" s="2" t="s">
        <v>19</v>
      </c>
      <c r="F379" s="1" t="s">
        <v>15273</v>
      </c>
      <c r="J379" s="4" t="s">
        <v>16116</v>
      </c>
      <c r="K379" s="1" t="s">
        <v>5298</v>
      </c>
      <c r="L379" s="1" t="s">
        <v>6</v>
      </c>
      <c r="O379" s="3" t="s">
        <v>31</v>
      </c>
      <c r="P379" s="20">
        <v>25024</v>
      </c>
      <c r="Q379" s="3" t="s">
        <v>16283</v>
      </c>
      <c r="AD379" s="698"/>
      <c r="AE379" s="655"/>
    </row>
    <row r="380" spans="1:31" ht="12" customHeight="1">
      <c r="A380" s="937" t="s">
        <v>18223</v>
      </c>
      <c r="B380" s="4" t="s">
        <v>1263</v>
      </c>
      <c r="C380" s="1" t="s">
        <v>1275</v>
      </c>
      <c r="D380" s="1">
        <f t="shared" si="5"/>
        <v>44</v>
      </c>
      <c r="E380" s="2" t="s">
        <v>5</v>
      </c>
      <c r="F380" s="1" t="s">
        <v>15273</v>
      </c>
      <c r="J380" s="4" t="s">
        <v>16128</v>
      </c>
      <c r="L380" s="1" t="s">
        <v>6</v>
      </c>
      <c r="O380" s="3" t="s">
        <v>188</v>
      </c>
      <c r="P380" s="20">
        <v>24902</v>
      </c>
      <c r="Q380" s="3" t="s">
        <v>1276</v>
      </c>
      <c r="T380" s="3" t="s">
        <v>1164</v>
      </c>
      <c r="V380" s="2" t="s">
        <v>1164</v>
      </c>
      <c r="AD380" s="698"/>
      <c r="AE380" s="655"/>
    </row>
    <row r="381" spans="1:31" ht="12" customHeight="1" thickBot="1">
      <c r="A381" s="938"/>
      <c r="B381" s="700" t="s">
        <v>5365</v>
      </c>
      <c r="C381" s="699" t="s">
        <v>1272</v>
      </c>
      <c r="D381" s="699">
        <f t="shared" si="5"/>
        <v>39</v>
      </c>
      <c r="E381" s="702" t="s">
        <v>19</v>
      </c>
      <c r="F381" s="699"/>
      <c r="G381" s="703"/>
      <c r="H381" s="699"/>
      <c r="I381" s="699"/>
      <c r="J381" s="700" t="s">
        <v>16117</v>
      </c>
      <c r="K381" s="699"/>
      <c r="L381" s="699" t="s">
        <v>6</v>
      </c>
      <c r="M381" s="705"/>
      <c r="N381" s="706"/>
      <c r="O381" s="703" t="s">
        <v>1273</v>
      </c>
      <c r="P381" s="723">
        <v>26657</v>
      </c>
      <c r="Q381" s="703" t="s">
        <v>1274</v>
      </c>
      <c r="R381" s="703"/>
      <c r="S381" s="703"/>
      <c r="T381" s="703" t="s">
        <v>69</v>
      </c>
      <c r="U381" s="702"/>
      <c r="V381" s="702"/>
      <c r="W381" s="702"/>
      <c r="X381" s="702"/>
      <c r="Y381" s="702"/>
      <c r="Z381" s="702"/>
      <c r="AA381" s="702"/>
      <c r="AB381" s="702"/>
      <c r="AC381" s="702"/>
      <c r="AD381" s="708" t="s">
        <v>1169</v>
      </c>
      <c r="AE381" s="655"/>
    </row>
    <row r="382" spans="1:31" ht="12" customHeight="1">
      <c r="A382" s="936" t="s">
        <v>18245</v>
      </c>
      <c r="B382" s="688" t="s">
        <v>1277</v>
      </c>
      <c r="C382" s="687" t="s">
        <v>5325</v>
      </c>
      <c r="D382" s="687">
        <f t="shared" si="5"/>
        <v>42</v>
      </c>
      <c r="E382" s="696" t="s">
        <v>5</v>
      </c>
      <c r="F382" s="689" t="s">
        <v>15273</v>
      </c>
      <c r="G382" s="747"/>
      <c r="H382" s="687"/>
      <c r="I382" s="687"/>
      <c r="J382" s="692" t="s">
        <v>16127</v>
      </c>
      <c r="K382" s="687" t="s">
        <v>44</v>
      </c>
      <c r="L382" s="687" t="s">
        <v>6</v>
      </c>
      <c r="M382" s="748"/>
      <c r="N382" s="749"/>
      <c r="O382" s="747" t="s">
        <v>188</v>
      </c>
      <c r="P382" s="773">
        <v>25593</v>
      </c>
      <c r="Q382" s="747" t="s">
        <v>5326</v>
      </c>
      <c r="R382" s="747"/>
      <c r="S382" s="747" t="s">
        <v>6214</v>
      </c>
      <c r="T382" s="747" t="s">
        <v>5305</v>
      </c>
      <c r="U382" s="696"/>
      <c r="V382" s="696" t="s">
        <v>5305</v>
      </c>
      <c r="W382" s="696"/>
      <c r="X382" s="696"/>
      <c r="Y382" s="696"/>
      <c r="Z382" s="696"/>
      <c r="AA382" s="696"/>
      <c r="AB382" s="696"/>
      <c r="AC382" s="696"/>
      <c r="AD382" s="697"/>
      <c r="AE382" s="655"/>
    </row>
    <row r="383" spans="1:31" ht="12" customHeight="1">
      <c r="A383" s="937" t="s">
        <v>18246</v>
      </c>
      <c r="B383" s="4" t="s">
        <v>1278</v>
      </c>
      <c r="C383" s="1" t="s">
        <v>1281</v>
      </c>
      <c r="D383" s="1">
        <f t="shared" si="5"/>
        <v>37</v>
      </c>
      <c r="E383" s="2" t="s">
        <v>5</v>
      </c>
      <c r="F383" s="1" t="s">
        <v>15273</v>
      </c>
      <c r="J383" s="8" t="s">
        <v>16120</v>
      </c>
      <c r="K383" s="1" t="s">
        <v>30</v>
      </c>
      <c r="L383" s="1" t="s">
        <v>14</v>
      </c>
      <c r="M383" s="16">
        <v>1</v>
      </c>
      <c r="N383" s="17">
        <v>1</v>
      </c>
      <c r="O383" s="3" t="s">
        <v>1282</v>
      </c>
      <c r="P383" s="20">
        <v>27565</v>
      </c>
      <c r="Q383" s="3" t="s">
        <v>16657</v>
      </c>
      <c r="S383" s="3" t="s">
        <v>5457</v>
      </c>
      <c r="T383" s="3" t="s">
        <v>146</v>
      </c>
      <c r="AC383" s="2" t="s">
        <v>1179</v>
      </c>
      <c r="AD383" s="698"/>
      <c r="AE383" s="655"/>
    </row>
    <row r="384" spans="1:31" ht="12" customHeight="1">
      <c r="A384" s="937" t="s">
        <v>18220</v>
      </c>
      <c r="B384" s="4" t="s">
        <v>1279</v>
      </c>
      <c r="C384" s="1" t="s">
        <v>1286</v>
      </c>
      <c r="D384" s="1">
        <f t="shared" si="5"/>
        <v>48</v>
      </c>
      <c r="E384" s="2" t="s">
        <v>5</v>
      </c>
      <c r="F384" s="1" t="s">
        <v>15273</v>
      </c>
      <c r="G384" s="3" t="s">
        <v>1287</v>
      </c>
      <c r="J384" s="4" t="s">
        <v>16128</v>
      </c>
      <c r="L384" s="1" t="s">
        <v>25</v>
      </c>
      <c r="M384" s="16">
        <v>1</v>
      </c>
      <c r="N384" s="17">
        <v>5</v>
      </c>
      <c r="O384" s="3" t="s">
        <v>1288</v>
      </c>
      <c r="P384" s="20">
        <v>23418</v>
      </c>
      <c r="Q384" s="3" t="s">
        <v>1289</v>
      </c>
      <c r="R384" s="3" t="s">
        <v>1290</v>
      </c>
      <c r="T384" s="3" t="s">
        <v>1291</v>
      </c>
      <c r="X384" s="2" t="s">
        <v>1292</v>
      </c>
      <c r="AA384" s="2" t="s">
        <v>1178</v>
      </c>
      <c r="AD384" s="698"/>
      <c r="AE384" s="655"/>
    </row>
    <row r="385" spans="1:31" ht="12" customHeight="1" thickBot="1">
      <c r="A385" s="938"/>
      <c r="B385" s="700" t="s">
        <v>1280</v>
      </c>
      <c r="C385" s="699" t="s">
        <v>1283</v>
      </c>
      <c r="D385" s="699">
        <f t="shared" si="5"/>
        <v>68</v>
      </c>
      <c r="E385" s="702" t="s">
        <v>5</v>
      </c>
      <c r="F385" s="699"/>
      <c r="G385" s="703"/>
      <c r="H385" s="699"/>
      <c r="I385" s="699"/>
      <c r="J385" s="700" t="s">
        <v>16117</v>
      </c>
      <c r="K385" s="699"/>
      <c r="L385" s="699" t="s">
        <v>6</v>
      </c>
      <c r="M385" s="705"/>
      <c r="N385" s="706"/>
      <c r="O385" s="703" t="s">
        <v>1284</v>
      </c>
      <c r="P385" s="723">
        <v>16393</v>
      </c>
      <c r="Q385" s="703" t="s">
        <v>1285</v>
      </c>
      <c r="R385" s="703"/>
      <c r="S385" s="703"/>
      <c r="T385" s="703" t="s">
        <v>69</v>
      </c>
      <c r="U385" s="702"/>
      <c r="V385" s="702"/>
      <c r="W385" s="702"/>
      <c r="X385" s="702"/>
      <c r="Y385" s="702"/>
      <c r="Z385" s="702"/>
      <c r="AA385" s="702"/>
      <c r="AB385" s="702"/>
      <c r="AC385" s="702"/>
      <c r="AD385" s="708" t="s">
        <v>1169</v>
      </c>
      <c r="AE385" s="655"/>
    </row>
    <row r="386" spans="1:31" ht="12" customHeight="1">
      <c r="A386" s="936" t="s">
        <v>18245</v>
      </c>
      <c r="B386" s="688" t="s">
        <v>1377</v>
      </c>
      <c r="C386" s="687" t="s">
        <v>1380</v>
      </c>
      <c r="D386" s="687">
        <f t="shared" ref="D386:D449" si="6">DATEDIF(P386,$P$1298,"Y")</f>
        <v>74</v>
      </c>
      <c r="E386" s="696" t="s">
        <v>5</v>
      </c>
      <c r="F386" s="689" t="s">
        <v>15273</v>
      </c>
      <c r="G386" s="747" t="s">
        <v>1381</v>
      </c>
      <c r="H386" s="687"/>
      <c r="I386" s="687"/>
      <c r="J386" s="692" t="s">
        <v>16126</v>
      </c>
      <c r="K386" s="687" t="s">
        <v>1382</v>
      </c>
      <c r="L386" s="687" t="s">
        <v>25</v>
      </c>
      <c r="M386" s="748">
        <v>6</v>
      </c>
      <c r="N386" s="749">
        <v>6</v>
      </c>
      <c r="O386" s="747" t="s">
        <v>983</v>
      </c>
      <c r="P386" s="773">
        <v>13945</v>
      </c>
      <c r="Q386" s="747" t="s">
        <v>1383</v>
      </c>
      <c r="R386" s="747" t="s">
        <v>2524</v>
      </c>
      <c r="S386" s="747" t="s">
        <v>6214</v>
      </c>
      <c r="T386" s="747" t="s">
        <v>1384</v>
      </c>
      <c r="U386" s="696"/>
      <c r="V386" s="696" t="s">
        <v>1376</v>
      </c>
      <c r="W386" s="696"/>
      <c r="X386" s="696"/>
      <c r="Y386" s="696"/>
      <c r="Z386" s="696"/>
      <c r="AA386" s="696"/>
      <c r="AB386" s="696"/>
      <c r="AC386" s="696"/>
      <c r="AD386" s="697" t="s">
        <v>1385</v>
      </c>
      <c r="AE386" s="655"/>
    </row>
    <row r="387" spans="1:31" ht="12" customHeight="1">
      <c r="A387" s="937" t="s">
        <v>18219</v>
      </c>
      <c r="B387" s="4" t="s">
        <v>1378</v>
      </c>
      <c r="C387" s="1" t="s">
        <v>1386</v>
      </c>
      <c r="D387" s="1">
        <f t="shared" si="6"/>
        <v>47</v>
      </c>
      <c r="E387" s="2" t="s">
        <v>5</v>
      </c>
      <c r="F387" s="1" t="s">
        <v>15273</v>
      </c>
      <c r="J387" s="4" t="s">
        <v>16120</v>
      </c>
      <c r="K387" s="1" t="s">
        <v>30</v>
      </c>
      <c r="L387" s="1" t="s">
        <v>14</v>
      </c>
      <c r="M387" s="16">
        <v>1</v>
      </c>
      <c r="N387" s="17">
        <v>1</v>
      </c>
      <c r="O387" s="3" t="s">
        <v>1387</v>
      </c>
      <c r="P387" s="20">
        <v>23989</v>
      </c>
      <c r="Q387" s="3" t="s">
        <v>1388</v>
      </c>
      <c r="S387" s="3" t="s">
        <v>5457</v>
      </c>
      <c r="T387" s="3" t="s">
        <v>146</v>
      </c>
      <c r="AC387" s="2" t="s">
        <v>1389</v>
      </c>
      <c r="AD387" s="698"/>
      <c r="AE387" s="655"/>
    </row>
    <row r="388" spans="1:31" ht="12" customHeight="1">
      <c r="A388" s="937"/>
      <c r="B388" s="4" t="s">
        <v>1379</v>
      </c>
      <c r="C388" s="1" t="s">
        <v>5791</v>
      </c>
      <c r="D388" s="1">
        <f t="shared" si="6"/>
        <v>56</v>
      </c>
      <c r="E388" s="2" t="s">
        <v>5</v>
      </c>
      <c r="F388" s="1" t="s">
        <v>15273</v>
      </c>
      <c r="J388" s="4" t="s">
        <v>16125</v>
      </c>
      <c r="L388" s="1" t="s">
        <v>6</v>
      </c>
      <c r="O388" s="3" t="s">
        <v>188</v>
      </c>
      <c r="P388" s="21">
        <v>20770</v>
      </c>
      <c r="Q388" s="3" t="s">
        <v>5792</v>
      </c>
      <c r="S388" s="3" t="s">
        <v>16093</v>
      </c>
      <c r="AD388" s="698"/>
      <c r="AE388" s="655"/>
    </row>
    <row r="389" spans="1:31" ht="12" customHeight="1">
      <c r="A389" s="937" t="s">
        <v>18223</v>
      </c>
      <c r="B389" s="4" t="s">
        <v>4594</v>
      </c>
      <c r="C389" s="1" t="s">
        <v>5371</v>
      </c>
      <c r="D389" s="1">
        <f t="shared" si="6"/>
        <v>45</v>
      </c>
      <c r="E389" s="2" t="s">
        <v>5</v>
      </c>
      <c r="F389" s="1" t="s">
        <v>15273</v>
      </c>
      <c r="J389" s="4" t="s">
        <v>16116</v>
      </c>
      <c r="K389" s="1" t="s">
        <v>5370</v>
      </c>
      <c r="L389" s="1" t="s">
        <v>6</v>
      </c>
      <c r="O389" s="3" t="s">
        <v>5368</v>
      </c>
      <c r="P389" s="21">
        <v>24769</v>
      </c>
      <c r="Q389" s="22" t="s">
        <v>5369</v>
      </c>
      <c r="AD389" s="698"/>
      <c r="AE389" s="655"/>
    </row>
    <row r="390" spans="1:31" ht="12" customHeight="1">
      <c r="A390" s="937" t="s">
        <v>18223</v>
      </c>
      <c r="B390" s="4" t="s">
        <v>5367</v>
      </c>
      <c r="C390" s="1" t="s">
        <v>4595</v>
      </c>
      <c r="D390" s="1">
        <f t="shared" si="6"/>
        <v>51</v>
      </c>
      <c r="E390" s="2" t="s">
        <v>5</v>
      </c>
      <c r="F390" s="1" t="s">
        <v>15273</v>
      </c>
      <c r="J390" s="8" t="s">
        <v>16128</v>
      </c>
      <c r="L390" s="1" t="s">
        <v>6</v>
      </c>
      <c r="O390" s="3" t="s">
        <v>4596</v>
      </c>
      <c r="P390" s="21">
        <v>22493</v>
      </c>
      <c r="Q390" s="22" t="s">
        <v>4597</v>
      </c>
      <c r="T390" s="3" t="s">
        <v>4598</v>
      </c>
      <c r="U390" s="2" t="s">
        <v>47</v>
      </c>
      <c r="AD390" s="698"/>
      <c r="AE390" s="655"/>
    </row>
    <row r="391" spans="1:31" ht="12" customHeight="1" thickBot="1">
      <c r="A391" s="938"/>
      <c r="B391" s="700" t="s">
        <v>5790</v>
      </c>
      <c r="C391" s="699" t="s">
        <v>1390</v>
      </c>
      <c r="D391" s="699">
        <f t="shared" si="6"/>
        <v>41</v>
      </c>
      <c r="E391" s="702" t="s">
        <v>5</v>
      </c>
      <c r="F391" s="699"/>
      <c r="G391" s="703"/>
      <c r="H391" s="699"/>
      <c r="I391" s="699"/>
      <c r="J391" s="700" t="s">
        <v>16117</v>
      </c>
      <c r="K391" s="699"/>
      <c r="L391" s="699" t="s">
        <v>6</v>
      </c>
      <c r="M391" s="705"/>
      <c r="N391" s="706"/>
      <c r="O391" s="703" t="s">
        <v>1391</v>
      </c>
      <c r="P391" s="723">
        <v>26046</v>
      </c>
      <c r="Q391" s="703" t="s">
        <v>1392</v>
      </c>
      <c r="R391" s="703"/>
      <c r="S391" s="703"/>
      <c r="T391" s="703"/>
      <c r="U391" s="702"/>
      <c r="V391" s="702"/>
      <c r="W391" s="702"/>
      <c r="X391" s="702"/>
      <c r="Y391" s="702"/>
      <c r="Z391" s="702"/>
      <c r="AA391" s="702"/>
      <c r="AB391" s="702"/>
      <c r="AC391" s="702"/>
      <c r="AD391" s="708"/>
      <c r="AE391" s="655"/>
    </row>
    <row r="392" spans="1:31" ht="12" customHeight="1">
      <c r="A392" s="936" t="s">
        <v>18245</v>
      </c>
      <c r="B392" s="688" t="s">
        <v>1393</v>
      </c>
      <c r="C392" s="687" t="s">
        <v>1397</v>
      </c>
      <c r="D392" s="687">
        <f t="shared" si="6"/>
        <v>71</v>
      </c>
      <c r="E392" s="696" t="s">
        <v>5</v>
      </c>
      <c r="F392" s="689" t="s">
        <v>15273</v>
      </c>
      <c r="G392" s="747" t="s">
        <v>1398</v>
      </c>
      <c r="H392" s="687"/>
      <c r="I392" s="687"/>
      <c r="J392" s="692" t="s">
        <v>16127</v>
      </c>
      <c r="K392" s="687" t="s">
        <v>45</v>
      </c>
      <c r="L392" s="687" t="s">
        <v>25</v>
      </c>
      <c r="M392" s="748">
        <v>6</v>
      </c>
      <c r="N392" s="749">
        <v>6</v>
      </c>
      <c r="O392" s="747" t="s">
        <v>188</v>
      </c>
      <c r="P392" s="773">
        <v>14965</v>
      </c>
      <c r="Q392" s="747" t="s">
        <v>1050</v>
      </c>
      <c r="R392" s="747" t="s">
        <v>2532</v>
      </c>
      <c r="S392" s="747"/>
      <c r="T392" s="747" t="s">
        <v>1399</v>
      </c>
      <c r="U392" s="696"/>
      <c r="V392" s="696"/>
      <c r="W392" s="696"/>
      <c r="X392" s="696"/>
      <c r="Y392" s="696" t="s">
        <v>1399</v>
      </c>
      <c r="Z392" s="696"/>
      <c r="AA392" s="696"/>
      <c r="AB392" s="696"/>
      <c r="AC392" s="696"/>
      <c r="AD392" s="697"/>
      <c r="AE392" s="655"/>
    </row>
    <row r="393" spans="1:31" ht="12" customHeight="1">
      <c r="A393" s="937" t="s">
        <v>18219</v>
      </c>
      <c r="B393" s="4" t="s">
        <v>1394</v>
      </c>
      <c r="C393" s="1" t="s">
        <v>1400</v>
      </c>
      <c r="D393" s="1">
        <f t="shared" si="6"/>
        <v>54</v>
      </c>
      <c r="E393" s="2" t="s">
        <v>5</v>
      </c>
      <c r="J393" s="4" t="s">
        <v>16118</v>
      </c>
      <c r="L393" s="1" t="s">
        <v>14</v>
      </c>
      <c r="M393" s="16">
        <v>5</v>
      </c>
      <c r="N393" s="17">
        <v>5</v>
      </c>
      <c r="O393" s="3" t="s">
        <v>1387</v>
      </c>
      <c r="P393" s="20">
        <v>21402</v>
      </c>
      <c r="Q393" s="3" t="s">
        <v>1401</v>
      </c>
      <c r="R393" s="3" t="s">
        <v>1402</v>
      </c>
      <c r="S393" s="3" t="s">
        <v>5091</v>
      </c>
      <c r="T393" s="3" t="s">
        <v>1403</v>
      </c>
      <c r="U393" s="2" t="s">
        <v>47</v>
      </c>
      <c r="AD393" s="698"/>
      <c r="AE393" s="655"/>
    </row>
    <row r="394" spans="1:31" ht="12" customHeight="1">
      <c r="A394" s="937" t="s">
        <v>18245</v>
      </c>
      <c r="B394" s="4" t="s">
        <v>1395</v>
      </c>
      <c r="C394" s="1" t="s">
        <v>1404</v>
      </c>
      <c r="D394" s="1">
        <f t="shared" si="6"/>
        <v>43</v>
      </c>
      <c r="E394" s="2" t="s">
        <v>5</v>
      </c>
      <c r="F394" s="1" t="s">
        <v>15273</v>
      </c>
      <c r="J394" s="4" t="s">
        <v>16128</v>
      </c>
      <c r="L394" s="1" t="s">
        <v>6</v>
      </c>
      <c r="O394" s="3" t="s">
        <v>1405</v>
      </c>
      <c r="P394" s="20">
        <v>25444</v>
      </c>
      <c r="Q394" s="3" t="s">
        <v>1406</v>
      </c>
      <c r="AD394" s="698"/>
      <c r="AE394" s="655"/>
    </row>
    <row r="395" spans="1:31" ht="12" customHeight="1" thickBot="1">
      <c r="A395" s="938"/>
      <c r="B395" s="700" t="s">
        <v>1396</v>
      </c>
      <c r="C395" s="699" t="s">
        <v>5880</v>
      </c>
      <c r="D395" s="699">
        <f t="shared" si="6"/>
        <v>60</v>
      </c>
      <c r="E395" s="702" t="s">
        <v>5</v>
      </c>
      <c r="F395" s="699"/>
      <c r="G395" s="703"/>
      <c r="H395" s="699"/>
      <c r="I395" s="699"/>
      <c r="J395" s="700" t="s">
        <v>16117</v>
      </c>
      <c r="K395" s="699"/>
      <c r="L395" s="699" t="s">
        <v>6</v>
      </c>
      <c r="M395" s="705"/>
      <c r="N395" s="706"/>
      <c r="O395" s="703" t="s">
        <v>5881</v>
      </c>
      <c r="P395" s="723">
        <v>19014</v>
      </c>
      <c r="Q395" s="703" t="s">
        <v>5882</v>
      </c>
      <c r="R395" s="703"/>
      <c r="S395" s="703"/>
      <c r="T395" s="703"/>
      <c r="U395" s="702"/>
      <c r="V395" s="702"/>
      <c r="W395" s="702"/>
      <c r="X395" s="702"/>
      <c r="Y395" s="702"/>
      <c r="Z395" s="702"/>
      <c r="AA395" s="702"/>
      <c r="AB395" s="702"/>
      <c r="AC395" s="702"/>
      <c r="AD395" s="708"/>
      <c r="AE395" s="655"/>
    </row>
    <row r="396" spans="1:31" ht="12" customHeight="1">
      <c r="A396" s="936" t="s">
        <v>18245</v>
      </c>
      <c r="B396" s="688" t="s">
        <v>1407</v>
      </c>
      <c r="C396" s="687" t="s">
        <v>1411</v>
      </c>
      <c r="D396" s="687">
        <f t="shared" si="6"/>
        <v>67</v>
      </c>
      <c r="E396" s="696" t="s">
        <v>5</v>
      </c>
      <c r="F396" s="689" t="s">
        <v>15273</v>
      </c>
      <c r="G396" s="747" t="s">
        <v>1412</v>
      </c>
      <c r="H396" s="687"/>
      <c r="I396" s="687"/>
      <c r="J396" s="692" t="s">
        <v>16127</v>
      </c>
      <c r="K396" s="687" t="s">
        <v>44</v>
      </c>
      <c r="L396" s="687" t="s">
        <v>25</v>
      </c>
      <c r="M396" s="748">
        <v>3</v>
      </c>
      <c r="N396" s="749">
        <v>3</v>
      </c>
      <c r="O396" s="747" t="s">
        <v>267</v>
      </c>
      <c r="P396" s="773">
        <v>16532</v>
      </c>
      <c r="Q396" s="747" t="s">
        <v>1413</v>
      </c>
      <c r="R396" s="747" t="s">
        <v>2530</v>
      </c>
      <c r="S396" s="747" t="s">
        <v>6214</v>
      </c>
      <c r="T396" s="747" t="s">
        <v>1399</v>
      </c>
      <c r="U396" s="696"/>
      <c r="V396" s="696"/>
      <c r="W396" s="696"/>
      <c r="X396" s="696"/>
      <c r="Y396" s="696" t="s">
        <v>1399</v>
      </c>
      <c r="Z396" s="696"/>
      <c r="AA396" s="696"/>
      <c r="AB396" s="696"/>
      <c r="AC396" s="696"/>
      <c r="AD396" s="697"/>
      <c r="AE396" s="655"/>
    </row>
    <row r="397" spans="1:31" ht="12" customHeight="1">
      <c r="A397" s="937" t="s">
        <v>18219</v>
      </c>
      <c r="B397" s="4" t="s">
        <v>1408</v>
      </c>
      <c r="C397" s="1" t="s">
        <v>1414</v>
      </c>
      <c r="D397" s="1">
        <f t="shared" si="6"/>
        <v>35</v>
      </c>
      <c r="E397" s="2" t="s">
        <v>5</v>
      </c>
      <c r="F397" s="1" t="s">
        <v>15273</v>
      </c>
      <c r="J397" s="4" t="s">
        <v>16120</v>
      </c>
      <c r="K397" s="1" t="s">
        <v>445</v>
      </c>
      <c r="L397" s="1" t="s">
        <v>14</v>
      </c>
      <c r="M397" s="16">
        <v>1</v>
      </c>
      <c r="N397" s="17">
        <v>1</v>
      </c>
      <c r="O397" s="3" t="s">
        <v>1387</v>
      </c>
      <c r="P397" s="20">
        <v>28165</v>
      </c>
      <c r="Q397" s="3" t="s">
        <v>1415</v>
      </c>
      <c r="S397" s="3" t="s">
        <v>5457</v>
      </c>
      <c r="T397" s="3" t="s">
        <v>1403</v>
      </c>
      <c r="U397" s="2" t="s">
        <v>47</v>
      </c>
      <c r="AD397" s="698"/>
      <c r="AE397" s="655"/>
    </row>
    <row r="398" spans="1:31" ht="12" customHeight="1">
      <c r="A398" s="937" t="s">
        <v>18223</v>
      </c>
      <c r="B398" s="4" t="s">
        <v>1409</v>
      </c>
      <c r="C398" s="1" t="s">
        <v>5946</v>
      </c>
      <c r="D398" s="1">
        <f t="shared" si="6"/>
        <v>50</v>
      </c>
      <c r="E398" s="2" t="s">
        <v>5</v>
      </c>
      <c r="F398" s="1" t="s">
        <v>15273</v>
      </c>
      <c r="G398" s="3" t="s">
        <v>5947</v>
      </c>
      <c r="J398" s="4" t="s">
        <v>16125</v>
      </c>
      <c r="L398" s="1" t="s">
        <v>25</v>
      </c>
      <c r="M398" s="16">
        <v>1</v>
      </c>
      <c r="N398" s="17">
        <v>1</v>
      </c>
      <c r="O398" s="3" t="s">
        <v>1271</v>
      </c>
      <c r="P398" s="20">
        <v>22972</v>
      </c>
      <c r="Q398" s="3" t="s">
        <v>5949</v>
      </c>
      <c r="S398" s="3" t="s">
        <v>16093</v>
      </c>
      <c r="T398" s="3" t="s">
        <v>5950</v>
      </c>
      <c r="V398" s="2" t="s">
        <v>145</v>
      </c>
      <c r="AD398" s="698"/>
      <c r="AE398" s="655"/>
    </row>
    <row r="399" spans="1:31" ht="12" customHeight="1">
      <c r="A399" s="937" t="s">
        <v>18223</v>
      </c>
      <c r="B399" s="4" t="s">
        <v>1410</v>
      </c>
      <c r="C399" s="1" t="s">
        <v>1419</v>
      </c>
      <c r="D399" s="1">
        <f t="shared" si="6"/>
        <v>53</v>
      </c>
      <c r="E399" s="2" t="s">
        <v>19</v>
      </c>
      <c r="F399" s="1" t="s">
        <v>15273</v>
      </c>
      <c r="J399" s="4" t="s">
        <v>16128</v>
      </c>
      <c r="L399" s="1" t="s">
        <v>6</v>
      </c>
      <c r="O399" s="3" t="s">
        <v>1420</v>
      </c>
      <c r="P399" s="20">
        <v>21778</v>
      </c>
      <c r="Q399" s="3" t="s">
        <v>1421</v>
      </c>
      <c r="S399" s="3" t="s">
        <v>6031</v>
      </c>
      <c r="T399" s="3" t="s">
        <v>1376</v>
      </c>
      <c r="V399" s="2" t="s">
        <v>1376</v>
      </c>
      <c r="AD399" s="698"/>
      <c r="AE399" s="655"/>
    </row>
    <row r="400" spans="1:31" ht="12" customHeight="1" thickBot="1">
      <c r="A400" s="938"/>
      <c r="B400" s="700" t="s">
        <v>5945</v>
      </c>
      <c r="C400" s="699" t="s">
        <v>1416</v>
      </c>
      <c r="D400" s="699">
        <f t="shared" si="6"/>
        <v>54</v>
      </c>
      <c r="E400" s="702" t="s">
        <v>5</v>
      </c>
      <c r="F400" s="699"/>
      <c r="G400" s="703"/>
      <c r="H400" s="699"/>
      <c r="I400" s="699"/>
      <c r="J400" s="700" t="s">
        <v>16117</v>
      </c>
      <c r="K400" s="699"/>
      <c r="L400" s="699" t="s">
        <v>6</v>
      </c>
      <c r="M400" s="705"/>
      <c r="N400" s="706"/>
      <c r="O400" s="703" t="s">
        <v>1417</v>
      </c>
      <c r="P400" s="723">
        <v>21492</v>
      </c>
      <c r="Q400" s="703" t="s">
        <v>1418</v>
      </c>
      <c r="R400" s="703"/>
      <c r="S400" s="703"/>
      <c r="T400" s="703"/>
      <c r="U400" s="702"/>
      <c r="V400" s="702"/>
      <c r="W400" s="702"/>
      <c r="X400" s="702"/>
      <c r="Y400" s="702"/>
      <c r="Z400" s="702"/>
      <c r="AA400" s="702"/>
      <c r="AB400" s="702"/>
      <c r="AC400" s="702"/>
      <c r="AD400" s="708"/>
      <c r="AE400" s="655"/>
    </row>
    <row r="401" spans="1:31" ht="12" customHeight="1">
      <c r="A401" s="936" t="s">
        <v>18245</v>
      </c>
      <c r="B401" s="688" t="s">
        <v>1422</v>
      </c>
      <c r="C401" s="687" t="s">
        <v>5219</v>
      </c>
      <c r="D401" s="687">
        <f t="shared" si="6"/>
        <v>53</v>
      </c>
      <c r="E401" s="696" t="s">
        <v>19</v>
      </c>
      <c r="F401" s="689" t="s">
        <v>15273</v>
      </c>
      <c r="G401" s="747"/>
      <c r="H401" s="687"/>
      <c r="I401" s="687"/>
      <c r="J401" s="692" t="s">
        <v>16126</v>
      </c>
      <c r="K401" s="687" t="s">
        <v>44</v>
      </c>
      <c r="L401" s="687" t="s">
        <v>6</v>
      </c>
      <c r="M401" s="748"/>
      <c r="N401" s="749"/>
      <c r="O401" s="747" t="s">
        <v>5638</v>
      </c>
      <c r="P401" s="773">
        <v>21851</v>
      </c>
      <c r="Q401" s="747" t="s">
        <v>5639</v>
      </c>
      <c r="R401" s="747"/>
      <c r="S401" s="747" t="s">
        <v>6214</v>
      </c>
      <c r="T401" s="747" t="s">
        <v>145</v>
      </c>
      <c r="U401" s="696"/>
      <c r="V401" s="696" t="s">
        <v>145</v>
      </c>
      <c r="W401" s="696"/>
      <c r="X401" s="696"/>
      <c r="Y401" s="696"/>
      <c r="Z401" s="696"/>
      <c r="AA401" s="696"/>
      <c r="AB401" s="696"/>
      <c r="AC401" s="696"/>
      <c r="AD401" s="697"/>
      <c r="AE401" s="655"/>
    </row>
    <row r="402" spans="1:31" ht="12" customHeight="1">
      <c r="A402" s="937" t="s">
        <v>18245</v>
      </c>
      <c r="B402" s="4" t="s">
        <v>1423</v>
      </c>
      <c r="C402" s="1" t="s">
        <v>1426</v>
      </c>
      <c r="D402" s="1">
        <f t="shared" si="6"/>
        <v>48</v>
      </c>
      <c r="E402" s="2" t="s">
        <v>5</v>
      </c>
      <c r="F402" s="1" t="s">
        <v>15273</v>
      </c>
      <c r="J402" s="8" t="s">
        <v>16120</v>
      </c>
      <c r="K402" s="1" t="s">
        <v>934</v>
      </c>
      <c r="L402" s="1" t="s">
        <v>14</v>
      </c>
      <c r="M402" s="16">
        <v>1</v>
      </c>
      <c r="N402" s="17">
        <v>1</v>
      </c>
      <c r="O402" s="3" t="s">
        <v>695</v>
      </c>
      <c r="P402" s="20">
        <v>23475</v>
      </c>
      <c r="Q402" s="3" t="s">
        <v>1427</v>
      </c>
      <c r="S402" s="3" t="s">
        <v>5457</v>
      </c>
      <c r="T402" s="3" t="s">
        <v>1376</v>
      </c>
      <c r="V402" s="2" t="s">
        <v>1376</v>
      </c>
      <c r="AD402" s="698"/>
      <c r="AE402" s="655"/>
    </row>
    <row r="403" spans="1:31" ht="12" customHeight="1">
      <c r="A403" s="937" t="s">
        <v>18219</v>
      </c>
      <c r="B403" s="4" t="s">
        <v>1424</v>
      </c>
      <c r="C403" s="1" t="s">
        <v>1430</v>
      </c>
      <c r="D403" s="1">
        <f t="shared" si="6"/>
        <v>56</v>
      </c>
      <c r="E403" s="2" t="s">
        <v>5</v>
      </c>
      <c r="F403" s="1" t="s">
        <v>15273</v>
      </c>
      <c r="G403" s="3" t="s">
        <v>1431</v>
      </c>
      <c r="J403" s="4" t="s">
        <v>16128</v>
      </c>
      <c r="L403" s="1" t="s">
        <v>25</v>
      </c>
      <c r="M403" s="16">
        <v>3</v>
      </c>
      <c r="N403" s="17">
        <v>3</v>
      </c>
      <c r="O403" s="3" t="s">
        <v>1387</v>
      </c>
      <c r="P403" s="20">
        <v>20573</v>
      </c>
      <c r="Q403" s="3" t="s">
        <v>1432</v>
      </c>
      <c r="R403" s="3" t="s">
        <v>1433</v>
      </c>
      <c r="T403" s="3" t="s">
        <v>1403</v>
      </c>
      <c r="U403" s="2" t="s">
        <v>47</v>
      </c>
      <c r="AD403" s="698"/>
      <c r="AE403" s="655"/>
    </row>
    <row r="404" spans="1:31" ht="12" customHeight="1" thickBot="1">
      <c r="A404" s="938"/>
      <c r="B404" s="700" t="s">
        <v>1425</v>
      </c>
      <c r="C404" s="699" t="s">
        <v>1428</v>
      </c>
      <c r="D404" s="699">
        <f t="shared" si="6"/>
        <v>39</v>
      </c>
      <c r="E404" s="702" t="s">
        <v>5</v>
      </c>
      <c r="F404" s="699"/>
      <c r="G404" s="703"/>
      <c r="H404" s="699"/>
      <c r="I404" s="699"/>
      <c r="J404" s="700" t="s">
        <v>16117</v>
      </c>
      <c r="K404" s="699"/>
      <c r="L404" s="699" t="s">
        <v>6</v>
      </c>
      <c r="M404" s="705"/>
      <c r="N404" s="706"/>
      <c r="O404" s="703" t="s">
        <v>983</v>
      </c>
      <c r="P404" s="723">
        <v>26766</v>
      </c>
      <c r="Q404" s="703" t="s">
        <v>1429</v>
      </c>
      <c r="R404" s="703"/>
      <c r="S404" s="703"/>
      <c r="T404" s="703"/>
      <c r="U404" s="702"/>
      <c r="V404" s="702"/>
      <c r="W404" s="702"/>
      <c r="X404" s="702"/>
      <c r="Y404" s="702"/>
      <c r="Z404" s="702"/>
      <c r="AA404" s="702"/>
      <c r="AB404" s="702"/>
      <c r="AC404" s="702"/>
      <c r="AD404" s="708"/>
      <c r="AE404" s="655"/>
    </row>
    <row r="405" spans="1:31" ht="12" customHeight="1">
      <c r="A405" s="936" t="s">
        <v>18220</v>
      </c>
      <c r="B405" s="688" t="s">
        <v>1442</v>
      </c>
      <c r="C405" s="687" t="s">
        <v>1446</v>
      </c>
      <c r="D405" s="687">
        <f t="shared" si="6"/>
        <v>47</v>
      </c>
      <c r="E405" s="696" t="s">
        <v>5</v>
      </c>
      <c r="F405" s="689" t="s">
        <v>15273</v>
      </c>
      <c r="G405" s="747" t="s">
        <v>1447</v>
      </c>
      <c r="H405" s="687"/>
      <c r="I405" s="687"/>
      <c r="J405" s="692" t="s">
        <v>16127</v>
      </c>
      <c r="K405" s="687" t="s">
        <v>44</v>
      </c>
      <c r="L405" s="687" t="s">
        <v>25</v>
      </c>
      <c r="M405" s="748">
        <v>3</v>
      </c>
      <c r="N405" s="749">
        <v>3</v>
      </c>
      <c r="O405" s="747" t="s">
        <v>31</v>
      </c>
      <c r="P405" s="773">
        <v>23745</v>
      </c>
      <c r="Q405" s="747" t="s">
        <v>1448</v>
      </c>
      <c r="R405" s="747" t="s">
        <v>1449</v>
      </c>
      <c r="S405" s="747" t="s">
        <v>6214</v>
      </c>
      <c r="T405" s="747" t="s">
        <v>1450</v>
      </c>
      <c r="U405" s="696"/>
      <c r="V405" s="696"/>
      <c r="W405" s="696"/>
      <c r="X405" s="696"/>
      <c r="Y405" s="696" t="s">
        <v>1450</v>
      </c>
      <c r="Z405" s="696"/>
      <c r="AA405" s="696"/>
      <c r="AB405" s="696"/>
      <c r="AC405" s="696"/>
      <c r="AD405" s="697"/>
      <c r="AE405" s="655"/>
    </row>
    <row r="406" spans="1:31" ht="12" customHeight="1">
      <c r="A406" s="937" t="s">
        <v>18246</v>
      </c>
      <c r="B406" s="4" t="s">
        <v>1443</v>
      </c>
      <c r="C406" s="1" t="s">
        <v>1451</v>
      </c>
      <c r="D406" s="1">
        <f t="shared" si="6"/>
        <v>44</v>
      </c>
      <c r="E406" s="2" t="s">
        <v>5</v>
      </c>
      <c r="F406" s="1" t="s">
        <v>15273</v>
      </c>
      <c r="J406" s="4" t="s">
        <v>16120</v>
      </c>
      <c r="K406" s="1" t="s">
        <v>30</v>
      </c>
      <c r="L406" s="1" t="s">
        <v>6</v>
      </c>
      <c r="O406" s="3" t="s">
        <v>1089</v>
      </c>
      <c r="P406" s="20">
        <v>25097</v>
      </c>
      <c r="Q406" s="3" t="s">
        <v>1452</v>
      </c>
      <c r="S406" s="3" t="s">
        <v>5457</v>
      </c>
      <c r="AD406" s="698"/>
      <c r="AE406" s="655"/>
    </row>
    <row r="407" spans="1:31" ht="12" customHeight="1">
      <c r="A407" s="937" t="s">
        <v>18223</v>
      </c>
      <c r="B407" s="4" t="s">
        <v>1444</v>
      </c>
      <c r="C407" s="1" t="s">
        <v>1454</v>
      </c>
      <c r="D407" s="1">
        <f t="shared" si="6"/>
        <v>37</v>
      </c>
      <c r="E407" s="2" t="s">
        <v>5</v>
      </c>
      <c r="F407" s="1" t="s">
        <v>15273</v>
      </c>
      <c r="J407" s="4" t="s">
        <v>16128</v>
      </c>
      <c r="L407" s="1" t="s">
        <v>6</v>
      </c>
      <c r="O407" s="3" t="s">
        <v>1455</v>
      </c>
      <c r="P407" s="20">
        <v>27718</v>
      </c>
      <c r="Q407" s="3" t="s">
        <v>1456</v>
      </c>
      <c r="S407" s="3" t="s">
        <v>6031</v>
      </c>
      <c r="T407" s="3" t="s">
        <v>1457</v>
      </c>
      <c r="AB407" s="2" t="s">
        <v>1457</v>
      </c>
      <c r="AD407" s="698"/>
      <c r="AE407" s="655"/>
    </row>
    <row r="408" spans="1:31" ht="12" customHeight="1" thickBot="1">
      <c r="A408" s="938"/>
      <c r="B408" s="700" t="s">
        <v>1445</v>
      </c>
      <c r="C408" s="699" t="s">
        <v>1453</v>
      </c>
      <c r="D408" s="699">
        <f t="shared" si="6"/>
        <v>36</v>
      </c>
      <c r="E408" s="702" t="s">
        <v>5</v>
      </c>
      <c r="F408" s="699"/>
      <c r="G408" s="703"/>
      <c r="H408" s="699"/>
      <c r="I408" s="699"/>
      <c r="J408" s="700" t="s">
        <v>16117</v>
      </c>
      <c r="K408" s="699"/>
      <c r="L408" s="699" t="s">
        <v>6</v>
      </c>
      <c r="M408" s="705"/>
      <c r="N408" s="706"/>
      <c r="O408" s="703" t="s">
        <v>1265</v>
      </c>
      <c r="P408" s="723">
        <v>27972</v>
      </c>
      <c r="Q408" s="703" t="s">
        <v>16107</v>
      </c>
      <c r="R408" s="703"/>
      <c r="S408" s="703"/>
      <c r="T408" s="703"/>
      <c r="U408" s="702"/>
      <c r="V408" s="702"/>
      <c r="W408" s="702"/>
      <c r="X408" s="702"/>
      <c r="Y408" s="702"/>
      <c r="Z408" s="702"/>
      <c r="AA408" s="702"/>
      <c r="AB408" s="702"/>
      <c r="AC408" s="702"/>
      <c r="AD408" s="708"/>
      <c r="AE408" s="655"/>
    </row>
    <row r="409" spans="1:31" ht="12" customHeight="1">
      <c r="A409" s="936" t="s">
        <v>18246</v>
      </c>
      <c r="B409" s="688" t="s">
        <v>1459</v>
      </c>
      <c r="C409" s="687" t="s">
        <v>1463</v>
      </c>
      <c r="D409" s="687">
        <f t="shared" si="6"/>
        <v>65</v>
      </c>
      <c r="E409" s="696" t="s">
        <v>5</v>
      </c>
      <c r="F409" s="689" t="s">
        <v>15273</v>
      </c>
      <c r="G409" s="747" t="s">
        <v>1458</v>
      </c>
      <c r="H409" s="687"/>
      <c r="I409" s="687"/>
      <c r="J409" s="692" t="s">
        <v>16127</v>
      </c>
      <c r="K409" s="687" t="s">
        <v>1464</v>
      </c>
      <c r="L409" s="687" t="s">
        <v>25</v>
      </c>
      <c r="M409" s="748">
        <v>4</v>
      </c>
      <c r="N409" s="749">
        <v>4</v>
      </c>
      <c r="O409" s="747" t="s">
        <v>1465</v>
      </c>
      <c r="P409" s="773">
        <v>17168</v>
      </c>
      <c r="Q409" s="747" t="s">
        <v>1466</v>
      </c>
      <c r="R409" s="747" t="s">
        <v>1467</v>
      </c>
      <c r="S409" s="747" t="s">
        <v>6214</v>
      </c>
      <c r="T409" s="747" t="s">
        <v>69</v>
      </c>
      <c r="U409" s="696"/>
      <c r="V409" s="696"/>
      <c r="W409" s="696"/>
      <c r="X409" s="696"/>
      <c r="Y409" s="696"/>
      <c r="Z409" s="696"/>
      <c r="AA409" s="696"/>
      <c r="AB409" s="696"/>
      <c r="AC409" s="696"/>
      <c r="AD409" s="697" t="s">
        <v>1440</v>
      </c>
      <c r="AE409" s="655"/>
    </row>
    <row r="410" spans="1:31" ht="12" customHeight="1">
      <c r="A410" s="937" t="s">
        <v>18220</v>
      </c>
      <c r="B410" s="4" t="s">
        <v>1460</v>
      </c>
      <c r="C410" s="1" t="s">
        <v>1468</v>
      </c>
      <c r="D410" s="1">
        <f t="shared" si="6"/>
        <v>63</v>
      </c>
      <c r="E410" s="2" t="s">
        <v>5</v>
      </c>
      <c r="F410" s="1" t="s">
        <v>15273</v>
      </c>
      <c r="G410" s="3" t="s">
        <v>1469</v>
      </c>
      <c r="J410" s="4" t="s">
        <v>16120</v>
      </c>
      <c r="K410" s="1" t="s">
        <v>934</v>
      </c>
      <c r="L410" s="1" t="s">
        <v>25</v>
      </c>
      <c r="M410" s="16">
        <v>5</v>
      </c>
      <c r="N410" s="17">
        <v>5</v>
      </c>
      <c r="O410" s="3" t="s">
        <v>95</v>
      </c>
      <c r="P410" s="20">
        <v>17919</v>
      </c>
      <c r="Q410" s="3" t="s">
        <v>1470</v>
      </c>
      <c r="R410" s="3" t="s">
        <v>1471</v>
      </c>
      <c r="S410" s="3" t="s">
        <v>5457</v>
      </c>
      <c r="T410" s="3" t="s">
        <v>1438</v>
      </c>
      <c r="V410" s="2" t="s">
        <v>1438</v>
      </c>
      <c r="AD410" s="698"/>
      <c r="AE410" s="655"/>
    </row>
    <row r="411" spans="1:31" ht="12" customHeight="1">
      <c r="A411" s="937" t="s">
        <v>18245</v>
      </c>
      <c r="B411" s="4" t="s">
        <v>1461</v>
      </c>
      <c r="C411" s="1" t="s">
        <v>5624</v>
      </c>
      <c r="D411" s="1">
        <f t="shared" si="6"/>
        <v>62</v>
      </c>
      <c r="E411" s="2" t="s">
        <v>5</v>
      </c>
      <c r="F411" s="1" t="s">
        <v>15273</v>
      </c>
      <c r="J411" s="4" t="s">
        <v>16116</v>
      </c>
      <c r="K411" s="1" t="s">
        <v>5625</v>
      </c>
      <c r="L411" s="1" t="s">
        <v>6</v>
      </c>
      <c r="O411" s="3" t="s">
        <v>5558</v>
      </c>
      <c r="P411" s="20">
        <v>18272</v>
      </c>
      <c r="Q411" s="3" t="s">
        <v>5626</v>
      </c>
      <c r="T411" s="3" t="s">
        <v>5463</v>
      </c>
      <c r="V411" s="2" t="s">
        <v>5463</v>
      </c>
      <c r="AD411" s="698"/>
      <c r="AE411" s="655"/>
    </row>
    <row r="412" spans="1:31" ht="12" customHeight="1">
      <c r="A412" s="937" t="s">
        <v>18223</v>
      </c>
      <c r="B412" s="4" t="s">
        <v>1462</v>
      </c>
      <c r="C412" s="1" t="s">
        <v>1474</v>
      </c>
      <c r="D412" s="1">
        <f t="shared" si="6"/>
        <v>47</v>
      </c>
      <c r="E412" s="2" t="s">
        <v>5</v>
      </c>
      <c r="F412" s="1" t="s">
        <v>15273</v>
      </c>
      <c r="J412" s="4" t="s">
        <v>16128</v>
      </c>
      <c r="L412" s="1" t="s">
        <v>6</v>
      </c>
      <c r="O412" s="3" t="s">
        <v>1465</v>
      </c>
      <c r="P412" s="20">
        <v>23762</v>
      </c>
      <c r="Q412" s="3" t="s">
        <v>1475</v>
      </c>
      <c r="AD412" s="698"/>
      <c r="AE412" s="655"/>
    </row>
    <row r="413" spans="1:31" ht="12" customHeight="1" thickBot="1">
      <c r="A413" s="938"/>
      <c r="B413" s="700" t="s">
        <v>5623</v>
      </c>
      <c r="C413" s="699" t="s">
        <v>1472</v>
      </c>
      <c r="D413" s="699">
        <f t="shared" si="6"/>
        <v>54</v>
      </c>
      <c r="E413" s="702" t="s">
        <v>5</v>
      </c>
      <c r="F413" s="699"/>
      <c r="G413" s="703"/>
      <c r="H413" s="699"/>
      <c r="I413" s="699"/>
      <c r="J413" s="700" t="s">
        <v>16117</v>
      </c>
      <c r="K413" s="699"/>
      <c r="L413" s="699" t="s">
        <v>6</v>
      </c>
      <c r="M413" s="705"/>
      <c r="N413" s="706"/>
      <c r="O413" s="703" t="s">
        <v>983</v>
      </c>
      <c r="P413" s="723">
        <v>21291</v>
      </c>
      <c r="Q413" s="703" t="s">
        <v>1473</v>
      </c>
      <c r="R413" s="703"/>
      <c r="S413" s="703"/>
      <c r="T413" s="703"/>
      <c r="U413" s="702"/>
      <c r="V413" s="702"/>
      <c r="W413" s="702"/>
      <c r="X413" s="702"/>
      <c r="Y413" s="702"/>
      <c r="Z413" s="702"/>
      <c r="AA413" s="702"/>
      <c r="AB413" s="702"/>
      <c r="AC413" s="702"/>
      <c r="AD413" s="708"/>
      <c r="AE413" s="655"/>
    </row>
    <row r="414" spans="1:31" ht="12" customHeight="1">
      <c r="A414" s="936" t="s">
        <v>18223</v>
      </c>
      <c r="B414" s="688" t="s">
        <v>1476</v>
      </c>
      <c r="C414" s="687" t="s">
        <v>4411</v>
      </c>
      <c r="D414" s="687">
        <f t="shared" si="6"/>
        <v>30</v>
      </c>
      <c r="E414" s="696" t="s">
        <v>5</v>
      </c>
      <c r="F414" s="689" t="s">
        <v>15273</v>
      </c>
      <c r="G414" s="747"/>
      <c r="H414" s="687"/>
      <c r="I414" s="687"/>
      <c r="J414" s="692" t="s">
        <v>16126</v>
      </c>
      <c r="K414" s="687" t="s">
        <v>44</v>
      </c>
      <c r="L414" s="687" t="s">
        <v>6</v>
      </c>
      <c r="M414" s="748"/>
      <c r="N414" s="749"/>
      <c r="O414" s="747" t="s">
        <v>4431</v>
      </c>
      <c r="P414" s="773">
        <v>30216</v>
      </c>
      <c r="Q414" s="747" t="s">
        <v>4432</v>
      </c>
      <c r="R414" s="747"/>
      <c r="S414" s="747" t="s">
        <v>6214</v>
      </c>
      <c r="T414" s="747"/>
      <c r="U414" s="696"/>
      <c r="V414" s="696"/>
      <c r="W414" s="696"/>
      <c r="X414" s="696"/>
      <c r="Y414" s="696"/>
      <c r="Z414" s="696"/>
      <c r="AA414" s="696"/>
      <c r="AB414" s="696"/>
      <c r="AC414" s="696"/>
      <c r="AD414" s="697"/>
      <c r="AE414" s="655"/>
    </row>
    <row r="415" spans="1:31" ht="12" customHeight="1">
      <c r="A415" s="937" t="s">
        <v>18218</v>
      </c>
      <c r="B415" s="4" t="s">
        <v>1477</v>
      </c>
      <c r="C415" s="1" t="s">
        <v>1479</v>
      </c>
      <c r="D415" s="1">
        <f t="shared" si="6"/>
        <v>31</v>
      </c>
      <c r="E415" s="2" t="s">
        <v>5</v>
      </c>
      <c r="G415" s="3" t="s">
        <v>1480</v>
      </c>
      <c r="J415" s="8" t="s">
        <v>16120</v>
      </c>
      <c r="K415" s="1" t="s">
        <v>30</v>
      </c>
      <c r="L415" s="1" t="s">
        <v>25</v>
      </c>
      <c r="M415" s="16">
        <v>1</v>
      </c>
      <c r="N415" s="17">
        <v>1</v>
      </c>
      <c r="O415" s="3" t="s">
        <v>1481</v>
      </c>
      <c r="P415" s="20">
        <v>29690</v>
      </c>
      <c r="Q415" s="3" t="s">
        <v>1482</v>
      </c>
      <c r="T415" s="3" t="s">
        <v>1483</v>
      </c>
      <c r="AA415" s="2" t="s">
        <v>1483</v>
      </c>
      <c r="AD415" s="698"/>
      <c r="AE415" s="655"/>
    </row>
    <row r="416" spans="1:31" ht="12" customHeight="1">
      <c r="A416" s="937"/>
      <c r="B416" s="4" t="s">
        <v>1478</v>
      </c>
      <c r="C416" s="1" t="s">
        <v>1484</v>
      </c>
      <c r="D416" s="1">
        <f t="shared" si="6"/>
        <v>64</v>
      </c>
      <c r="E416" s="2" t="s">
        <v>5</v>
      </c>
      <c r="J416" s="4" t="s">
        <v>16117</v>
      </c>
      <c r="L416" s="1" t="s">
        <v>6</v>
      </c>
      <c r="O416" s="3" t="s">
        <v>1485</v>
      </c>
      <c r="P416" s="21">
        <v>17565</v>
      </c>
      <c r="Q416" s="3" t="s">
        <v>16108</v>
      </c>
      <c r="AD416" s="698"/>
      <c r="AE416" s="655"/>
    </row>
    <row r="417" spans="1:31" ht="12" customHeight="1">
      <c r="A417" s="937"/>
      <c r="B417" s="4" t="s">
        <v>15984</v>
      </c>
      <c r="C417" s="1" t="s">
        <v>15986</v>
      </c>
      <c r="D417" s="1">
        <f t="shared" si="6"/>
        <v>64</v>
      </c>
      <c r="E417" s="2" t="s">
        <v>5</v>
      </c>
      <c r="J417" s="4" t="s">
        <v>16129</v>
      </c>
      <c r="L417" s="1" t="s">
        <v>6</v>
      </c>
      <c r="O417" s="3" t="s">
        <v>1493</v>
      </c>
      <c r="P417" s="21">
        <v>17722</v>
      </c>
      <c r="Q417" s="3" t="s">
        <v>16304</v>
      </c>
      <c r="AD417" s="698"/>
      <c r="AE417" s="655"/>
    </row>
    <row r="418" spans="1:31" ht="12" customHeight="1" thickBot="1">
      <c r="A418" s="938"/>
      <c r="B418" s="700" t="s">
        <v>15985</v>
      </c>
      <c r="C418" s="699" t="s">
        <v>15987</v>
      </c>
      <c r="D418" s="699">
        <f t="shared" si="6"/>
        <v>54</v>
      </c>
      <c r="E418" s="702" t="s">
        <v>5</v>
      </c>
      <c r="F418" s="699"/>
      <c r="G418" s="703"/>
      <c r="H418" s="699"/>
      <c r="I418" s="699"/>
      <c r="J418" s="704" t="s">
        <v>16129</v>
      </c>
      <c r="K418" s="699"/>
      <c r="L418" s="699" t="s">
        <v>6</v>
      </c>
      <c r="M418" s="705"/>
      <c r="N418" s="706"/>
      <c r="O418" s="703" t="s">
        <v>1485</v>
      </c>
      <c r="P418" s="723">
        <v>21534</v>
      </c>
      <c r="Q418" s="703" t="s">
        <v>16304</v>
      </c>
      <c r="R418" s="703"/>
      <c r="S418" s="703"/>
      <c r="T418" s="703"/>
      <c r="U418" s="702"/>
      <c r="V418" s="702"/>
      <c r="W418" s="702"/>
      <c r="X418" s="702"/>
      <c r="Y418" s="702"/>
      <c r="Z418" s="702"/>
      <c r="AA418" s="702"/>
      <c r="AB418" s="702"/>
      <c r="AC418" s="702"/>
      <c r="AD418" s="708"/>
      <c r="AE418" s="655"/>
    </row>
    <row r="419" spans="1:31" ht="12" customHeight="1">
      <c r="A419" s="936" t="s">
        <v>18246</v>
      </c>
      <c r="B419" s="688" t="s">
        <v>1486</v>
      </c>
      <c r="C419" s="687" t="s">
        <v>1490</v>
      </c>
      <c r="D419" s="687">
        <f t="shared" si="6"/>
        <v>47</v>
      </c>
      <c r="E419" s="696" t="s">
        <v>5</v>
      </c>
      <c r="F419" s="689" t="s">
        <v>15273</v>
      </c>
      <c r="G419" s="747" t="s">
        <v>1491</v>
      </c>
      <c r="H419" s="687"/>
      <c r="I419" s="687"/>
      <c r="J419" s="692" t="s">
        <v>16127</v>
      </c>
      <c r="K419" s="687" t="s">
        <v>1492</v>
      </c>
      <c r="L419" s="687" t="s">
        <v>25</v>
      </c>
      <c r="M419" s="748">
        <v>3</v>
      </c>
      <c r="N419" s="749">
        <v>3</v>
      </c>
      <c r="O419" s="747" t="s">
        <v>1493</v>
      </c>
      <c r="P419" s="773">
        <v>23836</v>
      </c>
      <c r="Q419" s="747" t="s">
        <v>1494</v>
      </c>
      <c r="R419" s="747" t="s">
        <v>1495</v>
      </c>
      <c r="S419" s="747" t="s">
        <v>6214</v>
      </c>
      <c r="T419" s="747"/>
      <c r="U419" s="696"/>
      <c r="V419" s="696"/>
      <c r="W419" s="696"/>
      <c r="X419" s="696"/>
      <c r="Y419" s="696"/>
      <c r="Z419" s="696"/>
      <c r="AA419" s="696"/>
      <c r="AB419" s="696"/>
      <c r="AC419" s="696"/>
      <c r="AD419" s="697"/>
      <c r="AE419" s="655"/>
    </row>
    <row r="420" spans="1:31" ht="12" customHeight="1">
      <c r="A420" s="937" t="s">
        <v>18220</v>
      </c>
      <c r="B420" s="4" t="s">
        <v>1487</v>
      </c>
      <c r="C420" s="1" t="s">
        <v>1496</v>
      </c>
      <c r="D420" s="1">
        <f t="shared" si="6"/>
        <v>49</v>
      </c>
      <c r="E420" s="2" t="s">
        <v>5</v>
      </c>
      <c r="F420" s="1" t="s">
        <v>15273</v>
      </c>
      <c r="J420" s="4" t="s">
        <v>16120</v>
      </c>
      <c r="K420" s="1" t="s">
        <v>30</v>
      </c>
      <c r="L420" s="1" t="s">
        <v>6</v>
      </c>
      <c r="O420" s="3" t="s">
        <v>1497</v>
      </c>
      <c r="P420" s="20">
        <v>23231</v>
      </c>
      <c r="Q420" s="3" t="s">
        <v>1498</v>
      </c>
      <c r="S420" s="3" t="s">
        <v>5457</v>
      </c>
      <c r="T420" s="3" t="s">
        <v>1499</v>
      </c>
      <c r="V420" s="2" t="s">
        <v>1438</v>
      </c>
      <c r="Y420" s="2" t="s">
        <v>1450</v>
      </c>
      <c r="AD420" s="698"/>
      <c r="AE420" s="655"/>
    </row>
    <row r="421" spans="1:31" ht="12" customHeight="1">
      <c r="A421" s="937" t="s">
        <v>18245</v>
      </c>
      <c r="B421" s="4" t="s">
        <v>1488</v>
      </c>
      <c r="C421" s="1" t="s">
        <v>1500</v>
      </c>
      <c r="D421" s="1">
        <f t="shared" si="6"/>
        <v>64</v>
      </c>
      <c r="E421" s="2" t="s">
        <v>19</v>
      </c>
      <c r="F421" s="1" t="s">
        <v>15273</v>
      </c>
      <c r="G421" s="3" t="s">
        <v>1501</v>
      </c>
      <c r="J421" s="4" t="s">
        <v>16125</v>
      </c>
      <c r="L421" s="1" t="s">
        <v>25</v>
      </c>
      <c r="M421" s="16">
        <v>4</v>
      </c>
      <c r="N421" s="17">
        <v>4</v>
      </c>
      <c r="O421" s="3" t="s">
        <v>1465</v>
      </c>
      <c r="P421" s="20">
        <v>17647</v>
      </c>
      <c r="Q421" s="3" t="s">
        <v>1502</v>
      </c>
      <c r="R421" s="3" t="s">
        <v>16687</v>
      </c>
      <c r="S421" s="3" t="s">
        <v>16114</v>
      </c>
      <c r="AD421" s="698"/>
      <c r="AE421" s="655"/>
    </row>
    <row r="422" spans="1:31" ht="12" customHeight="1">
      <c r="A422" s="937" t="s">
        <v>18223</v>
      </c>
      <c r="B422" s="4" t="s">
        <v>1489</v>
      </c>
      <c r="C422" s="1" t="s">
        <v>5373</v>
      </c>
      <c r="D422" s="1">
        <f t="shared" si="6"/>
        <v>29</v>
      </c>
      <c r="E422" s="2" t="s">
        <v>5</v>
      </c>
      <c r="F422" s="1" t="s">
        <v>15273</v>
      </c>
      <c r="J422" s="4" t="s">
        <v>16116</v>
      </c>
      <c r="K422" s="1" t="s">
        <v>4993</v>
      </c>
      <c r="L422" s="1" t="s">
        <v>6</v>
      </c>
      <c r="O422" s="3" t="s">
        <v>450</v>
      </c>
      <c r="P422" s="21">
        <v>30372</v>
      </c>
      <c r="Q422" s="3" t="s">
        <v>16284</v>
      </c>
      <c r="AD422" s="698"/>
      <c r="AE422" s="655"/>
    </row>
    <row r="423" spans="1:31" ht="12" customHeight="1" thickBot="1">
      <c r="A423" s="938"/>
      <c r="B423" s="700" t="s">
        <v>5372</v>
      </c>
      <c r="C423" s="699" t="s">
        <v>4582</v>
      </c>
      <c r="D423" s="699">
        <f t="shared" si="6"/>
        <v>54</v>
      </c>
      <c r="E423" s="702" t="s">
        <v>5</v>
      </c>
      <c r="F423" s="699"/>
      <c r="G423" s="703"/>
      <c r="H423" s="699"/>
      <c r="I423" s="699"/>
      <c r="J423" s="700" t="s">
        <v>16117</v>
      </c>
      <c r="K423" s="699"/>
      <c r="L423" s="699" t="s">
        <v>6</v>
      </c>
      <c r="M423" s="705"/>
      <c r="N423" s="706"/>
      <c r="O423" s="703" t="s">
        <v>4583</v>
      </c>
      <c r="P423" s="723">
        <v>21317</v>
      </c>
      <c r="Q423" s="703" t="s">
        <v>4584</v>
      </c>
      <c r="R423" s="703"/>
      <c r="S423" s="703"/>
      <c r="T423" s="703"/>
      <c r="U423" s="702"/>
      <c r="V423" s="702"/>
      <c r="W423" s="702"/>
      <c r="X423" s="702"/>
      <c r="Y423" s="702"/>
      <c r="Z423" s="702"/>
      <c r="AA423" s="702"/>
      <c r="AB423" s="702"/>
      <c r="AC423" s="702"/>
      <c r="AD423" s="708"/>
      <c r="AE423" s="655"/>
    </row>
    <row r="424" spans="1:31" ht="12" customHeight="1">
      <c r="A424" s="936" t="s">
        <v>18245</v>
      </c>
      <c r="B424" s="688" t="s">
        <v>1504</v>
      </c>
      <c r="C424" s="687" t="s">
        <v>1508</v>
      </c>
      <c r="D424" s="687">
        <f t="shared" si="6"/>
        <v>43</v>
      </c>
      <c r="E424" s="696" t="s">
        <v>5</v>
      </c>
      <c r="F424" s="689" t="s">
        <v>15273</v>
      </c>
      <c r="G424" s="747" t="s">
        <v>1509</v>
      </c>
      <c r="H424" s="687"/>
      <c r="I424" s="687"/>
      <c r="J424" s="692" t="s">
        <v>16127</v>
      </c>
      <c r="K424" s="687" t="s">
        <v>44</v>
      </c>
      <c r="L424" s="687" t="s">
        <v>25</v>
      </c>
      <c r="M424" s="748">
        <v>1</v>
      </c>
      <c r="N424" s="749">
        <v>1</v>
      </c>
      <c r="O424" s="747" t="s">
        <v>381</v>
      </c>
      <c r="P424" s="773">
        <v>25378</v>
      </c>
      <c r="Q424" s="747" t="s">
        <v>1512</v>
      </c>
      <c r="R424" s="747"/>
      <c r="S424" s="747"/>
      <c r="T424" s="747" t="s">
        <v>1510</v>
      </c>
      <c r="U424" s="696" t="s">
        <v>47</v>
      </c>
      <c r="V424" s="696"/>
      <c r="W424" s="696"/>
      <c r="X424" s="696"/>
      <c r="Y424" s="696"/>
      <c r="Z424" s="696"/>
      <c r="AA424" s="696"/>
      <c r="AB424" s="696"/>
      <c r="AC424" s="696" t="s">
        <v>1511</v>
      </c>
      <c r="AD424" s="697"/>
      <c r="AE424" s="655"/>
    </row>
    <row r="425" spans="1:31" ht="12" customHeight="1">
      <c r="A425" s="937" t="s">
        <v>18219</v>
      </c>
      <c r="B425" s="4" t="s">
        <v>1505</v>
      </c>
      <c r="C425" s="1" t="s">
        <v>1513</v>
      </c>
      <c r="D425" s="1">
        <f t="shared" si="6"/>
        <v>63</v>
      </c>
      <c r="E425" s="2" t="s">
        <v>5</v>
      </c>
      <c r="F425" s="1" t="s">
        <v>15273</v>
      </c>
      <c r="G425" s="3" t="s">
        <v>1514</v>
      </c>
      <c r="J425" s="4" t="s">
        <v>16120</v>
      </c>
      <c r="K425" s="1" t="s">
        <v>934</v>
      </c>
      <c r="L425" s="1" t="s">
        <v>25</v>
      </c>
      <c r="M425" s="16">
        <v>9</v>
      </c>
      <c r="N425" s="17">
        <v>9</v>
      </c>
      <c r="O425" s="3" t="s">
        <v>31</v>
      </c>
      <c r="P425" s="20">
        <v>18137</v>
      </c>
      <c r="Q425" s="3" t="s">
        <v>1515</v>
      </c>
      <c r="R425" s="3" t="s">
        <v>1516</v>
      </c>
      <c r="S425" s="3" t="s">
        <v>5457</v>
      </c>
      <c r="T425" s="3" t="s">
        <v>1483</v>
      </c>
      <c r="AA425" s="2" t="s">
        <v>1483</v>
      </c>
      <c r="AD425" s="698"/>
      <c r="AE425" s="655"/>
    </row>
    <row r="426" spans="1:31" ht="12" customHeight="1">
      <c r="A426" s="937" t="s">
        <v>18245</v>
      </c>
      <c r="B426" s="4" t="s">
        <v>1506</v>
      </c>
      <c r="C426" s="1" t="s">
        <v>5375</v>
      </c>
      <c r="D426" s="1">
        <f t="shared" si="6"/>
        <v>38</v>
      </c>
      <c r="E426" s="2" t="s">
        <v>5</v>
      </c>
      <c r="F426" s="1" t="s">
        <v>15273</v>
      </c>
      <c r="J426" s="4" t="s">
        <v>16116</v>
      </c>
      <c r="K426" s="1" t="s">
        <v>5370</v>
      </c>
      <c r="L426" s="1" t="s">
        <v>6</v>
      </c>
      <c r="O426" s="3" t="s">
        <v>5376</v>
      </c>
      <c r="P426" s="20">
        <v>27314</v>
      </c>
      <c r="Q426" s="3" t="s">
        <v>5377</v>
      </c>
      <c r="T426" s="3" t="s">
        <v>5305</v>
      </c>
      <c r="V426" s="2" t="s">
        <v>145</v>
      </c>
      <c r="AD426" s="698"/>
      <c r="AE426" s="655"/>
    </row>
    <row r="427" spans="1:31" ht="12" customHeight="1">
      <c r="A427" s="937" t="s">
        <v>18245</v>
      </c>
      <c r="B427" s="4" t="s">
        <v>1507</v>
      </c>
      <c r="C427" s="1" t="s">
        <v>1520</v>
      </c>
      <c r="D427" s="1">
        <f t="shared" si="6"/>
        <v>34</v>
      </c>
      <c r="E427" s="2" t="s">
        <v>5</v>
      </c>
      <c r="F427" s="1" t="s">
        <v>15273</v>
      </c>
      <c r="J427" s="8" t="s">
        <v>16128</v>
      </c>
      <c r="L427" s="1" t="s">
        <v>6</v>
      </c>
      <c r="O427" s="3" t="s">
        <v>1521</v>
      </c>
      <c r="P427" s="20">
        <v>28592</v>
      </c>
      <c r="Q427" s="3" t="s">
        <v>1522</v>
      </c>
      <c r="T427" s="3" t="s">
        <v>1438</v>
      </c>
      <c r="V427" s="2" t="s">
        <v>1438</v>
      </c>
      <c r="AD427" s="698"/>
      <c r="AE427" s="655"/>
    </row>
    <row r="428" spans="1:31" ht="12" customHeight="1" thickBot="1">
      <c r="A428" s="938"/>
      <c r="B428" s="700" t="s">
        <v>5374</v>
      </c>
      <c r="C428" s="699" t="s">
        <v>1517</v>
      </c>
      <c r="D428" s="699">
        <f t="shared" si="6"/>
        <v>69</v>
      </c>
      <c r="E428" s="702" t="s">
        <v>5</v>
      </c>
      <c r="F428" s="699"/>
      <c r="G428" s="703"/>
      <c r="H428" s="699"/>
      <c r="I428" s="699"/>
      <c r="J428" s="700" t="s">
        <v>16117</v>
      </c>
      <c r="K428" s="699"/>
      <c r="L428" s="699" t="s">
        <v>6</v>
      </c>
      <c r="M428" s="705"/>
      <c r="N428" s="706"/>
      <c r="O428" s="703" t="s">
        <v>1519</v>
      </c>
      <c r="P428" s="723">
        <v>15947</v>
      </c>
      <c r="Q428" s="703" t="s">
        <v>1518</v>
      </c>
      <c r="R428" s="703"/>
      <c r="S428" s="703"/>
      <c r="T428" s="703" t="s">
        <v>69</v>
      </c>
      <c r="U428" s="702"/>
      <c r="V428" s="702"/>
      <c r="W428" s="702"/>
      <c r="X428" s="702"/>
      <c r="Y428" s="702"/>
      <c r="Z428" s="702"/>
      <c r="AA428" s="702"/>
      <c r="AB428" s="702"/>
      <c r="AC428" s="702"/>
      <c r="AD428" s="708" t="s">
        <v>1440</v>
      </c>
      <c r="AE428" s="655"/>
    </row>
    <row r="429" spans="1:31" ht="12" customHeight="1">
      <c r="A429" s="936" t="s">
        <v>18245</v>
      </c>
      <c r="B429" s="688" t="s">
        <v>1523</v>
      </c>
      <c r="C429" s="687" t="s">
        <v>1529</v>
      </c>
      <c r="D429" s="687">
        <f t="shared" si="6"/>
        <v>42</v>
      </c>
      <c r="E429" s="696" t="s">
        <v>5</v>
      </c>
      <c r="F429" s="689" t="s">
        <v>15273</v>
      </c>
      <c r="G429" s="747" t="s">
        <v>1530</v>
      </c>
      <c r="H429" s="687"/>
      <c r="I429" s="687"/>
      <c r="J429" s="692" t="s">
        <v>16126</v>
      </c>
      <c r="K429" s="687" t="s">
        <v>737</v>
      </c>
      <c r="L429" s="687" t="s">
        <v>25</v>
      </c>
      <c r="M429" s="748">
        <v>1</v>
      </c>
      <c r="N429" s="749">
        <v>1</v>
      </c>
      <c r="O429" s="747" t="s">
        <v>452</v>
      </c>
      <c r="P429" s="773">
        <v>25675</v>
      </c>
      <c r="Q429" s="747" t="s">
        <v>1532</v>
      </c>
      <c r="R429" s="747"/>
      <c r="S429" s="747" t="s">
        <v>6214</v>
      </c>
      <c r="T429" s="747" t="s">
        <v>1531</v>
      </c>
      <c r="U429" s="696"/>
      <c r="V429" s="696" t="s">
        <v>145</v>
      </c>
      <c r="W429" s="696"/>
      <c r="X429" s="696"/>
      <c r="Y429" s="696"/>
      <c r="Z429" s="696"/>
      <c r="AA429" s="696" t="s">
        <v>2555</v>
      </c>
      <c r="AB429" s="696"/>
      <c r="AC429" s="696"/>
      <c r="AD429" s="697"/>
      <c r="AE429" s="655"/>
    </row>
    <row r="430" spans="1:31" ht="12" customHeight="1">
      <c r="A430" s="937" t="s">
        <v>18219</v>
      </c>
      <c r="B430" s="4" t="s">
        <v>1524</v>
      </c>
      <c r="C430" s="1" t="s">
        <v>1533</v>
      </c>
      <c r="D430" s="1">
        <f t="shared" si="6"/>
        <v>44</v>
      </c>
      <c r="E430" s="2" t="s">
        <v>5</v>
      </c>
      <c r="F430" s="1" t="s">
        <v>15273</v>
      </c>
      <c r="J430" s="8" t="s">
        <v>16120</v>
      </c>
      <c r="K430" s="1" t="s">
        <v>445</v>
      </c>
      <c r="L430" s="1" t="s">
        <v>14</v>
      </c>
      <c r="M430" s="16">
        <v>1</v>
      </c>
      <c r="N430" s="17">
        <v>1</v>
      </c>
      <c r="O430" s="3" t="s">
        <v>695</v>
      </c>
      <c r="P430" s="20">
        <v>24924</v>
      </c>
      <c r="Q430" s="3" t="s">
        <v>1534</v>
      </c>
      <c r="S430" s="3" t="s">
        <v>5457</v>
      </c>
      <c r="T430" s="3" t="s">
        <v>1538</v>
      </c>
      <c r="V430" s="2" t="s">
        <v>1438</v>
      </c>
      <c r="Z430" s="2" t="s">
        <v>1537</v>
      </c>
      <c r="AD430" s="698"/>
      <c r="AE430" s="655"/>
    </row>
    <row r="431" spans="1:31" ht="12" customHeight="1">
      <c r="A431" s="937" t="s">
        <v>18245</v>
      </c>
      <c r="B431" s="4" t="s">
        <v>1525</v>
      </c>
      <c r="C431" s="1" t="s">
        <v>1543</v>
      </c>
      <c r="D431" s="1">
        <f t="shared" si="6"/>
        <v>47</v>
      </c>
      <c r="E431" s="2" t="s">
        <v>5</v>
      </c>
      <c r="F431" s="1" t="s">
        <v>15273</v>
      </c>
      <c r="J431" s="4" t="s">
        <v>16116</v>
      </c>
      <c r="K431" s="1" t="s">
        <v>4993</v>
      </c>
      <c r="L431" s="1" t="s">
        <v>14</v>
      </c>
      <c r="M431" s="16">
        <v>1</v>
      </c>
      <c r="N431" s="17">
        <v>1</v>
      </c>
      <c r="O431" s="3" t="s">
        <v>1521</v>
      </c>
      <c r="P431" s="20">
        <v>23949</v>
      </c>
      <c r="Q431" s="3" t="s">
        <v>16658</v>
      </c>
      <c r="T431" s="3" t="s">
        <v>1511</v>
      </c>
      <c r="AC431" s="2" t="s">
        <v>1511</v>
      </c>
      <c r="AD431" s="698"/>
      <c r="AE431" s="655"/>
    </row>
    <row r="432" spans="1:31" ht="12" customHeight="1">
      <c r="A432" s="937" t="s">
        <v>18223</v>
      </c>
      <c r="B432" s="4" t="s">
        <v>1526</v>
      </c>
      <c r="C432" s="1" t="s">
        <v>15988</v>
      </c>
      <c r="D432" s="1">
        <f t="shared" si="6"/>
        <v>41</v>
      </c>
      <c r="E432" s="2" t="s">
        <v>5</v>
      </c>
      <c r="F432" s="1" t="s">
        <v>15273</v>
      </c>
      <c r="J432" s="4" t="s">
        <v>16128</v>
      </c>
      <c r="L432" s="1" t="s">
        <v>6</v>
      </c>
      <c r="O432" s="3" t="s">
        <v>87</v>
      </c>
      <c r="P432" s="20">
        <v>26114</v>
      </c>
      <c r="Q432" s="3" t="s">
        <v>16304</v>
      </c>
      <c r="AD432" s="698"/>
      <c r="AE432" s="655"/>
    </row>
    <row r="433" spans="1:31" ht="12" customHeight="1">
      <c r="A433" s="937"/>
      <c r="B433" s="4" t="s">
        <v>1527</v>
      </c>
      <c r="C433" s="1" t="s">
        <v>1535</v>
      </c>
      <c r="D433" s="1">
        <f t="shared" si="6"/>
        <v>28</v>
      </c>
      <c r="E433" s="2" t="s">
        <v>19</v>
      </c>
      <c r="J433" s="4" t="s">
        <v>16117</v>
      </c>
      <c r="L433" s="1" t="s">
        <v>6</v>
      </c>
      <c r="O433" s="3" t="s">
        <v>1536</v>
      </c>
      <c r="P433" s="21">
        <v>30985</v>
      </c>
      <c r="Q433" s="3" t="s">
        <v>1539</v>
      </c>
      <c r="AD433" s="698"/>
      <c r="AE433" s="655"/>
    </row>
    <row r="434" spans="1:31" ht="12" customHeight="1" thickBot="1">
      <c r="A434" s="938"/>
      <c r="B434" s="700" t="s">
        <v>1528</v>
      </c>
      <c r="C434" s="699" t="s">
        <v>1540</v>
      </c>
      <c r="D434" s="699">
        <f t="shared" si="6"/>
        <v>25</v>
      </c>
      <c r="E434" s="702" t="s">
        <v>5</v>
      </c>
      <c r="F434" s="699" t="s">
        <v>15273</v>
      </c>
      <c r="G434" s="703"/>
      <c r="H434" s="699"/>
      <c r="I434" s="699"/>
      <c r="J434" s="700" t="s">
        <v>16121</v>
      </c>
      <c r="K434" s="699"/>
      <c r="L434" s="699" t="s">
        <v>6</v>
      </c>
      <c r="M434" s="705"/>
      <c r="N434" s="706"/>
      <c r="O434" s="703" t="s">
        <v>1541</v>
      </c>
      <c r="P434" s="707">
        <v>31980</v>
      </c>
      <c r="Q434" s="703" t="s">
        <v>1542</v>
      </c>
      <c r="R434" s="703"/>
      <c r="S434" s="703"/>
      <c r="T434" s="703"/>
      <c r="U434" s="702"/>
      <c r="V434" s="702"/>
      <c r="W434" s="702"/>
      <c r="X434" s="702"/>
      <c r="Y434" s="702"/>
      <c r="Z434" s="702"/>
      <c r="AA434" s="702"/>
      <c r="AB434" s="702"/>
      <c r="AC434" s="702"/>
      <c r="AD434" s="708"/>
      <c r="AE434" s="655"/>
    </row>
    <row r="435" spans="1:31" ht="12" customHeight="1">
      <c r="A435" s="936" t="s">
        <v>18218</v>
      </c>
      <c r="B435" s="688" t="s">
        <v>1544</v>
      </c>
      <c r="C435" s="687" t="s">
        <v>1549</v>
      </c>
      <c r="D435" s="687">
        <f t="shared" si="6"/>
        <v>49</v>
      </c>
      <c r="E435" s="696" t="s">
        <v>5</v>
      </c>
      <c r="F435" s="687" t="s">
        <v>15273</v>
      </c>
      <c r="G435" s="747" t="s">
        <v>1550</v>
      </c>
      <c r="H435" s="687"/>
      <c r="I435" s="687"/>
      <c r="J435" s="688" t="s">
        <v>16120</v>
      </c>
      <c r="K435" s="687" t="s">
        <v>445</v>
      </c>
      <c r="L435" s="687" t="s">
        <v>25</v>
      </c>
      <c r="M435" s="748">
        <v>5</v>
      </c>
      <c r="N435" s="749">
        <v>5</v>
      </c>
      <c r="O435" s="747" t="s">
        <v>1551</v>
      </c>
      <c r="P435" s="773">
        <v>23021</v>
      </c>
      <c r="Q435" s="747" t="s">
        <v>1552</v>
      </c>
      <c r="R435" s="747" t="s">
        <v>1553</v>
      </c>
      <c r="S435" s="747" t="s">
        <v>5457</v>
      </c>
      <c r="T435" s="747" t="s">
        <v>104</v>
      </c>
      <c r="U435" s="696"/>
      <c r="V435" s="696"/>
      <c r="W435" s="696"/>
      <c r="X435" s="696"/>
      <c r="Y435" s="696"/>
      <c r="Z435" s="696"/>
      <c r="AA435" s="696" t="s">
        <v>1483</v>
      </c>
      <c r="AB435" s="696"/>
      <c r="AC435" s="696"/>
      <c r="AD435" s="697"/>
      <c r="AE435" s="655"/>
    </row>
    <row r="436" spans="1:31" ht="12" customHeight="1" thickBot="1">
      <c r="A436" s="938" t="s">
        <v>18223</v>
      </c>
      <c r="B436" s="700" t="s">
        <v>1545</v>
      </c>
      <c r="C436" s="699" t="s">
        <v>1554</v>
      </c>
      <c r="D436" s="699">
        <f t="shared" si="6"/>
        <v>32</v>
      </c>
      <c r="E436" s="702" t="s">
        <v>19</v>
      </c>
      <c r="F436" s="699"/>
      <c r="G436" s="703"/>
      <c r="H436" s="699"/>
      <c r="I436" s="699"/>
      <c r="J436" s="700" t="s">
        <v>16117</v>
      </c>
      <c r="K436" s="699"/>
      <c r="L436" s="699" t="s">
        <v>6</v>
      </c>
      <c r="M436" s="705"/>
      <c r="N436" s="706"/>
      <c r="O436" s="703" t="s">
        <v>1555</v>
      </c>
      <c r="P436" s="723">
        <v>29303</v>
      </c>
      <c r="Q436" s="703" t="s">
        <v>1556</v>
      </c>
      <c r="R436" s="703"/>
      <c r="S436" s="703"/>
      <c r="T436" s="703"/>
      <c r="U436" s="702"/>
      <c r="V436" s="702"/>
      <c r="W436" s="702"/>
      <c r="X436" s="702"/>
      <c r="Y436" s="702"/>
      <c r="Z436" s="702"/>
      <c r="AA436" s="702"/>
      <c r="AB436" s="702"/>
      <c r="AC436" s="702"/>
      <c r="AD436" s="708"/>
      <c r="AE436" s="655"/>
    </row>
    <row r="437" spans="1:31" ht="12" customHeight="1">
      <c r="A437" s="936" t="s">
        <v>18246</v>
      </c>
      <c r="B437" s="688" t="s">
        <v>1557</v>
      </c>
      <c r="C437" s="687" t="s">
        <v>1560</v>
      </c>
      <c r="D437" s="687">
        <f t="shared" si="6"/>
        <v>43</v>
      </c>
      <c r="E437" s="696" t="s">
        <v>5</v>
      </c>
      <c r="F437" s="689" t="s">
        <v>15273</v>
      </c>
      <c r="G437" s="747" t="s">
        <v>1561</v>
      </c>
      <c r="H437" s="687"/>
      <c r="I437" s="687"/>
      <c r="J437" s="692" t="s">
        <v>16127</v>
      </c>
      <c r="K437" s="687" t="s">
        <v>44</v>
      </c>
      <c r="L437" s="687" t="s">
        <v>25</v>
      </c>
      <c r="M437" s="748">
        <v>1</v>
      </c>
      <c r="N437" s="749">
        <v>1</v>
      </c>
      <c r="O437" s="747" t="s">
        <v>1465</v>
      </c>
      <c r="P437" s="773">
        <v>25287</v>
      </c>
      <c r="Q437" s="747" t="s">
        <v>1563</v>
      </c>
      <c r="R437" s="747"/>
      <c r="S437" s="747" t="s">
        <v>6214</v>
      </c>
      <c r="T437" s="747" t="s">
        <v>1562</v>
      </c>
      <c r="U437" s="696" t="s">
        <v>1562</v>
      </c>
      <c r="V437" s="696"/>
      <c r="W437" s="696"/>
      <c r="X437" s="696"/>
      <c r="Y437" s="696"/>
      <c r="Z437" s="696"/>
      <c r="AA437" s="696"/>
      <c r="AB437" s="696"/>
      <c r="AC437" s="696"/>
      <c r="AD437" s="697"/>
      <c r="AE437" s="655"/>
    </row>
    <row r="438" spans="1:31" ht="12" customHeight="1">
      <c r="A438" s="937" t="s">
        <v>18220</v>
      </c>
      <c r="B438" s="4" t="s">
        <v>1558</v>
      </c>
      <c r="C438" s="1" t="s">
        <v>1564</v>
      </c>
      <c r="D438" s="1">
        <f t="shared" si="6"/>
        <v>41</v>
      </c>
      <c r="E438" s="2" t="s">
        <v>5</v>
      </c>
      <c r="F438" s="1" t="s">
        <v>15273</v>
      </c>
      <c r="G438" s="3" t="s">
        <v>1565</v>
      </c>
      <c r="H438" s="1" t="s">
        <v>1566</v>
      </c>
      <c r="J438" s="4" t="s">
        <v>16120</v>
      </c>
      <c r="K438" s="1" t="s">
        <v>48</v>
      </c>
      <c r="L438" s="1" t="s">
        <v>6</v>
      </c>
      <c r="N438" s="17">
        <v>2</v>
      </c>
      <c r="O438" s="3" t="s">
        <v>459</v>
      </c>
      <c r="P438" s="20">
        <v>26023</v>
      </c>
      <c r="Q438" s="3" t="s">
        <v>1567</v>
      </c>
      <c r="R438" s="3" t="s">
        <v>374</v>
      </c>
      <c r="S438" s="3" t="s">
        <v>5457</v>
      </c>
      <c r="T438" s="3" t="s">
        <v>1569</v>
      </c>
      <c r="X438" s="2" t="s">
        <v>1570</v>
      </c>
      <c r="Z438" s="2" t="s">
        <v>1537</v>
      </c>
      <c r="AD438" s="698"/>
      <c r="AE438" s="655"/>
    </row>
    <row r="439" spans="1:31" ht="12" customHeight="1">
      <c r="A439" s="937" t="s">
        <v>18223</v>
      </c>
      <c r="B439" s="4" t="s">
        <v>1559</v>
      </c>
      <c r="C439" s="1" t="s">
        <v>5519</v>
      </c>
      <c r="D439" s="1">
        <f t="shared" si="6"/>
        <v>41</v>
      </c>
      <c r="E439" s="2" t="s">
        <v>5</v>
      </c>
      <c r="F439" s="1" t="s">
        <v>15273</v>
      </c>
      <c r="J439" s="4" t="s">
        <v>16116</v>
      </c>
      <c r="K439" s="1" t="s">
        <v>5515</v>
      </c>
      <c r="L439" s="1" t="s">
        <v>6</v>
      </c>
      <c r="O439" s="3" t="s">
        <v>1809</v>
      </c>
      <c r="P439" s="21">
        <v>26008</v>
      </c>
      <c r="Q439" s="3" t="s">
        <v>5520</v>
      </c>
      <c r="S439" s="3" t="s">
        <v>6155</v>
      </c>
      <c r="T439" s="3" t="s">
        <v>5521</v>
      </c>
      <c r="Z439" s="2" t="s">
        <v>5521</v>
      </c>
      <c r="AD439" s="698"/>
      <c r="AE439" s="655"/>
    </row>
    <row r="440" spans="1:31" ht="12" customHeight="1" thickBot="1">
      <c r="A440" s="938"/>
      <c r="B440" s="700" t="s">
        <v>5518</v>
      </c>
      <c r="C440" s="699" t="s">
        <v>1568</v>
      </c>
      <c r="D440" s="699">
        <f t="shared" si="6"/>
        <v>50</v>
      </c>
      <c r="E440" s="702" t="s">
        <v>5</v>
      </c>
      <c r="F440" s="699"/>
      <c r="G440" s="703"/>
      <c r="H440" s="699"/>
      <c r="I440" s="699"/>
      <c r="J440" s="700" t="s">
        <v>16117</v>
      </c>
      <c r="K440" s="699"/>
      <c r="L440" s="699" t="s">
        <v>6</v>
      </c>
      <c r="M440" s="705"/>
      <c r="N440" s="706"/>
      <c r="O440" s="703" t="s">
        <v>1497</v>
      </c>
      <c r="P440" s="723">
        <v>22968</v>
      </c>
      <c r="Q440" s="703" t="s">
        <v>1571</v>
      </c>
      <c r="R440" s="703"/>
      <c r="S440" s="703"/>
      <c r="T440" s="703"/>
      <c r="U440" s="702"/>
      <c r="V440" s="702"/>
      <c r="W440" s="702"/>
      <c r="X440" s="702"/>
      <c r="Y440" s="702"/>
      <c r="Z440" s="702"/>
      <c r="AA440" s="702"/>
      <c r="AB440" s="702"/>
      <c r="AC440" s="702"/>
      <c r="AD440" s="708"/>
      <c r="AE440" s="655"/>
    </row>
    <row r="441" spans="1:31" ht="12" customHeight="1">
      <c r="A441" s="936" t="s">
        <v>18246</v>
      </c>
      <c r="B441" s="688" t="s">
        <v>1572</v>
      </c>
      <c r="C441" s="687" t="s">
        <v>1577</v>
      </c>
      <c r="D441" s="687">
        <f t="shared" si="6"/>
        <v>37</v>
      </c>
      <c r="E441" s="696" t="s">
        <v>5</v>
      </c>
      <c r="F441" s="689" t="s">
        <v>15273</v>
      </c>
      <c r="G441" s="747" t="s">
        <v>1578</v>
      </c>
      <c r="H441" s="687"/>
      <c r="I441" s="687"/>
      <c r="J441" s="692" t="s">
        <v>16127</v>
      </c>
      <c r="K441" s="687" t="s">
        <v>44</v>
      </c>
      <c r="L441" s="687" t="s">
        <v>25</v>
      </c>
      <c r="M441" s="748">
        <v>1</v>
      </c>
      <c r="N441" s="749">
        <v>1</v>
      </c>
      <c r="O441" s="747" t="s">
        <v>31</v>
      </c>
      <c r="P441" s="773">
        <v>27538</v>
      </c>
      <c r="Q441" s="747" t="s">
        <v>16659</v>
      </c>
      <c r="R441" s="747"/>
      <c r="S441" s="747" t="s">
        <v>6214</v>
      </c>
      <c r="T441" s="747" t="s">
        <v>1511</v>
      </c>
      <c r="U441" s="696"/>
      <c r="V441" s="696"/>
      <c r="W441" s="696"/>
      <c r="X441" s="696"/>
      <c r="Y441" s="696"/>
      <c r="Z441" s="696"/>
      <c r="AA441" s="696"/>
      <c r="AB441" s="696"/>
      <c r="AC441" s="696" t="s">
        <v>1511</v>
      </c>
      <c r="AD441" s="697"/>
      <c r="AE441" s="655"/>
    </row>
    <row r="442" spans="1:31" ht="12" customHeight="1">
      <c r="A442" s="937" t="s">
        <v>18220</v>
      </c>
      <c r="B442" s="4" t="s">
        <v>1573</v>
      </c>
      <c r="C442" s="1" t="s">
        <v>1579</v>
      </c>
      <c r="D442" s="1">
        <f t="shared" si="6"/>
        <v>36</v>
      </c>
      <c r="E442" s="2" t="s">
        <v>19</v>
      </c>
      <c r="F442" s="1" t="s">
        <v>15273</v>
      </c>
      <c r="J442" s="8" t="s">
        <v>16120</v>
      </c>
      <c r="K442" s="1" t="s">
        <v>30</v>
      </c>
      <c r="L442" s="1" t="s">
        <v>6</v>
      </c>
      <c r="O442" s="3" t="s">
        <v>1580</v>
      </c>
      <c r="P442" s="20">
        <v>28065</v>
      </c>
      <c r="Q442" s="3" t="s">
        <v>1581</v>
      </c>
      <c r="S442" s="3" t="s">
        <v>5889</v>
      </c>
      <c r="AD442" s="698"/>
      <c r="AE442" s="655"/>
    </row>
    <row r="443" spans="1:31" ht="12" customHeight="1">
      <c r="A443" s="937" t="s">
        <v>18246</v>
      </c>
      <c r="B443" s="4" t="s">
        <v>1574</v>
      </c>
      <c r="C443" s="1" t="s">
        <v>1587</v>
      </c>
      <c r="D443" s="1">
        <f t="shared" si="6"/>
        <v>57</v>
      </c>
      <c r="E443" s="2" t="s">
        <v>5</v>
      </c>
      <c r="F443" s="1" t="s">
        <v>15273</v>
      </c>
      <c r="J443" s="4" t="s">
        <v>16125</v>
      </c>
      <c r="L443" s="1" t="s">
        <v>6</v>
      </c>
      <c r="O443" s="3" t="s">
        <v>1465</v>
      </c>
      <c r="P443" s="20">
        <v>20399</v>
      </c>
      <c r="Q443" s="3" t="s">
        <v>1588</v>
      </c>
      <c r="S443" s="3" t="s">
        <v>16093</v>
      </c>
      <c r="T443" s="3" t="s">
        <v>1589</v>
      </c>
      <c r="W443" s="2" t="s">
        <v>1590</v>
      </c>
      <c r="Y443" s="2" t="s">
        <v>1450</v>
      </c>
      <c r="AD443" s="698"/>
      <c r="AE443" s="655"/>
    </row>
    <row r="444" spans="1:31" ht="12" customHeight="1">
      <c r="A444" s="937" t="s">
        <v>18246</v>
      </c>
      <c r="B444" s="4" t="s">
        <v>1575</v>
      </c>
      <c r="C444" s="1" t="s">
        <v>1585</v>
      </c>
      <c r="D444" s="1">
        <f t="shared" si="6"/>
        <v>49</v>
      </c>
      <c r="E444" s="2" t="s">
        <v>5</v>
      </c>
      <c r="F444" s="1" t="s">
        <v>15273</v>
      </c>
      <c r="J444" s="4" t="s">
        <v>16128</v>
      </c>
      <c r="L444" s="1" t="s">
        <v>6</v>
      </c>
      <c r="O444" s="3" t="s">
        <v>1497</v>
      </c>
      <c r="P444" s="20">
        <v>23082</v>
      </c>
      <c r="Q444" s="3" t="s">
        <v>1586</v>
      </c>
      <c r="S444" s="3" t="s">
        <v>6031</v>
      </c>
      <c r="T444" s="3" t="s">
        <v>1562</v>
      </c>
      <c r="U444" s="2" t="s">
        <v>1562</v>
      </c>
      <c r="AD444" s="698"/>
      <c r="AE444" s="655"/>
    </row>
    <row r="445" spans="1:31" ht="12" customHeight="1" thickBot="1">
      <c r="A445" s="938"/>
      <c r="B445" s="700" t="s">
        <v>1576</v>
      </c>
      <c r="C445" s="699" t="s">
        <v>1582</v>
      </c>
      <c r="D445" s="699">
        <f t="shared" si="6"/>
        <v>55</v>
      </c>
      <c r="E445" s="702" t="s">
        <v>5</v>
      </c>
      <c r="F445" s="699"/>
      <c r="G445" s="703"/>
      <c r="H445" s="699"/>
      <c r="I445" s="699"/>
      <c r="J445" s="700" t="s">
        <v>16117</v>
      </c>
      <c r="K445" s="699"/>
      <c r="L445" s="699" t="s">
        <v>6</v>
      </c>
      <c r="M445" s="705"/>
      <c r="N445" s="706"/>
      <c r="O445" s="703" t="s">
        <v>1583</v>
      </c>
      <c r="P445" s="723">
        <v>21168</v>
      </c>
      <c r="Q445" s="703" t="s">
        <v>1584</v>
      </c>
      <c r="R445" s="703"/>
      <c r="S445" s="703"/>
      <c r="T445" s="703"/>
      <c r="U445" s="702"/>
      <c r="V445" s="702"/>
      <c r="W445" s="702"/>
      <c r="X445" s="702"/>
      <c r="Y445" s="702"/>
      <c r="Z445" s="702"/>
      <c r="AA445" s="702"/>
      <c r="AB445" s="702"/>
      <c r="AC445" s="702"/>
      <c r="AD445" s="708"/>
      <c r="AE445" s="655"/>
    </row>
    <row r="446" spans="1:31" ht="12" customHeight="1">
      <c r="A446" s="936" t="s">
        <v>18223</v>
      </c>
      <c r="B446" s="688" t="s">
        <v>1591</v>
      </c>
      <c r="C446" s="687" t="s">
        <v>4880</v>
      </c>
      <c r="D446" s="687">
        <f t="shared" si="6"/>
        <v>55</v>
      </c>
      <c r="E446" s="696" t="s">
        <v>5</v>
      </c>
      <c r="F446" s="689" t="s">
        <v>15273</v>
      </c>
      <c r="G446" s="747" t="s">
        <v>4881</v>
      </c>
      <c r="H446" s="687"/>
      <c r="I446" s="687"/>
      <c r="J446" s="692" t="s">
        <v>16126</v>
      </c>
      <c r="K446" s="687" t="s">
        <v>44</v>
      </c>
      <c r="L446" s="687" t="s">
        <v>25</v>
      </c>
      <c r="M446" s="748">
        <v>1</v>
      </c>
      <c r="N446" s="749">
        <v>1</v>
      </c>
      <c r="O446" s="747" t="s">
        <v>447</v>
      </c>
      <c r="P446" s="773">
        <v>21096</v>
      </c>
      <c r="Q446" s="747" t="s">
        <v>4882</v>
      </c>
      <c r="R446" s="747" t="s">
        <v>3924</v>
      </c>
      <c r="S446" s="747" t="s">
        <v>736</v>
      </c>
      <c r="T446" s="747"/>
      <c r="U446" s="696"/>
      <c r="V446" s="696"/>
      <c r="W446" s="696"/>
      <c r="X446" s="696"/>
      <c r="Y446" s="696"/>
      <c r="Z446" s="696"/>
      <c r="AA446" s="696"/>
      <c r="AB446" s="696"/>
      <c r="AC446" s="696"/>
      <c r="AD446" s="697"/>
      <c r="AE446" s="655"/>
    </row>
    <row r="447" spans="1:31" ht="12" customHeight="1">
      <c r="A447" s="937" t="s">
        <v>18219</v>
      </c>
      <c r="B447" s="4" t="s">
        <v>1592</v>
      </c>
      <c r="C447" s="1" t="s">
        <v>1596</v>
      </c>
      <c r="D447" s="1">
        <f t="shared" si="6"/>
        <v>44</v>
      </c>
      <c r="E447" s="2" t="s">
        <v>5</v>
      </c>
      <c r="F447" s="1" t="s">
        <v>15273</v>
      </c>
      <c r="J447" s="4" t="s">
        <v>16120</v>
      </c>
      <c r="K447" s="1" t="s">
        <v>934</v>
      </c>
      <c r="L447" s="1" t="s">
        <v>14</v>
      </c>
      <c r="M447" s="16">
        <v>2</v>
      </c>
      <c r="N447" s="17">
        <v>2</v>
      </c>
      <c r="O447" s="3" t="s">
        <v>1597</v>
      </c>
      <c r="P447" s="20">
        <v>25093</v>
      </c>
      <c r="Q447" s="3" t="s">
        <v>1598</v>
      </c>
      <c r="S447" s="3" t="s">
        <v>5457</v>
      </c>
      <c r="AD447" s="698"/>
      <c r="AE447" s="655"/>
    </row>
    <row r="448" spans="1:31" ht="12" customHeight="1">
      <c r="A448" s="937" t="s">
        <v>18245</v>
      </c>
      <c r="B448" s="4" t="s">
        <v>1593</v>
      </c>
      <c r="C448" s="1" t="s">
        <v>1599</v>
      </c>
      <c r="D448" s="1">
        <f t="shared" si="6"/>
        <v>47</v>
      </c>
      <c r="E448" s="2" t="s">
        <v>5</v>
      </c>
      <c r="F448" s="1" t="s">
        <v>15273</v>
      </c>
      <c r="G448" s="3" t="s">
        <v>1600</v>
      </c>
      <c r="J448" s="4" t="s">
        <v>16125</v>
      </c>
      <c r="L448" s="1" t="s">
        <v>25</v>
      </c>
      <c r="M448" s="16">
        <v>3</v>
      </c>
      <c r="N448" s="17">
        <v>3</v>
      </c>
      <c r="O448" s="3" t="s">
        <v>188</v>
      </c>
      <c r="P448" s="20">
        <v>24070</v>
      </c>
      <c r="Q448" s="3" t="s">
        <v>1601</v>
      </c>
      <c r="R448" s="3" t="s">
        <v>16682</v>
      </c>
      <c r="S448" s="3" t="s">
        <v>16114</v>
      </c>
      <c r="T448" s="3" t="s">
        <v>1483</v>
      </c>
      <c r="AA448" s="2" t="s">
        <v>1483</v>
      </c>
      <c r="AD448" s="698"/>
      <c r="AE448" s="655"/>
    </row>
    <row r="449" spans="1:31" ht="12" customHeight="1">
      <c r="A449" s="937" t="s">
        <v>18223</v>
      </c>
      <c r="B449" s="4" t="s">
        <v>1594</v>
      </c>
      <c r="C449" s="1" t="s">
        <v>1605</v>
      </c>
      <c r="D449" s="1">
        <f t="shared" si="6"/>
        <v>45</v>
      </c>
      <c r="E449" s="2" t="s">
        <v>5</v>
      </c>
      <c r="F449" s="1" t="s">
        <v>15273</v>
      </c>
      <c r="J449" s="4" t="s">
        <v>16128</v>
      </c>
      <c r="L449" s="1" t="s">
        <v>6</v>
      </c>
      <c r="O449" s="3" t="s">
        <v>188</v>
      </c>
      <c r="P449" s="20">
        <v>24657</v>
      </c>
      <c r="Q449" s="3" t="s">
        <v>1606</v>
      </c>
      <c r="S449" s="3" t="s">
        <v>6031</v>
      </c>
      <c r="AD449" s="774"/>
      <c r="AE449" s="655"/>
    </row>
    <row r="450" spans="1:31" ht="12" customHeight="1" thickBot="1">
      <c r="A450" s="938"/>
      <c r="B450" s="700" t="s">
        <v>1595</v>
      </c>
      <c r="C450" s="699" t="s">
        <v>1602</v>
      </c>
      <c r="D450" s="699">
        <f t="shared" ref="D450:D513" si="7">DATEDIF(P450,$P$1298,"Y")</f>
        <v>59</v>
      </c>
      <c r="E450" s="702" t="s">
        <v>19</v>
      </c>
      <c r="F450" s="699"/>
      <c r="G450" s="703"/>
      <c r="H450" s="699"/>
      <c r="I450" s="699"/>
      <c r="J450" s="700" t="s">
        <v>16117</v>
      </c>
      <c r="K450" s="699"/>
      <c r="L450" s="699" t="s">
        <v>6</v>
      </c>
      <c r="M450" s="705"/>
      <c r="N450" s="706"/>
      <c r="O450" s="703" t="s">
        <v>1603</v>
      </c>
      <c r="P450" s="723">
        <v>19508</v>
      </c>
      <c r="Q450" s="703" t="s">
        <v>1604</v>
      </c>
      <c r="R450" s="703"/>
      <c r="S450" s="703"/>
      <c r="T450" s="703" t="s">
        <v>69</v>
      </c>
      <c r="U450" s="702"/>
      <c r="V450" s="702"/>
      <c r="W450" s="702"/>
      <c r="X450" s="702"/>
      <c r="Y450" s="702"/>
      <c r="Z450" s="702"/>
      <c r="AA450" s="702"/>
      <c r="AB450" s="702"/>
      <c r="AC450" s="702"/>
      <c r="AD450" s="708" t="s">
        <v>1440</v>
      </c>
      <c r="AE450" s="655"/>
    </row>
    <row r="451" spans="1:31" ht="12" customHeight="1">
      <c r="A451" s="936" t="s">
        <v>18245</v>
      </c>
      <c r="B451" s="688" t="s">
        <v>1607</v>
      </c>
      <c r="C451" s="687" t="s">
        <v>2136</v>
      </c>
      <c r="D451" s="687">
        <f t="shared" si="7"/>
        <v>67</v>
      </c>
      <c r="E451" s="696" t="s">
        <v>5</v>
      </c>
      <c r="F451" s="689" t="s">
        <v>15273</v>
      </c>
      <c r="G451" s="747" t="s">
        <v>5570</v>
      </c>
      <c r="H451" s="687"/>
      <c r="I451" s="687"/>
      <c r="J451" s="692" t="s">
        <v>16127</v>
      </c>
      <c r="K451" s="687" t="s">
        <v>45</v>
      </c>
      <c r="L451" s="687" t="s">
        <v>25</v>
      </c>
      <c r="M451" s="748">
        <v>1</v>
      </c>
      <c r="N451" s="749">
        <v>5</v>
      </c>
      <c r="O451" s="747" t="s">
        <v>2137</v>
      </c>
      <c r="P451" s="773">
        <v>16628</v>
      </c>
      <c r="Q451" s="747" t="s">
        <v>2138</v>
      </c>
      <c r="R451" s="747" t="s">
        <v>5571</v>
      </c>
      <c r="S451" s="747" t="s">
        <v>6214</v>
      </c>
      <c r="T451" s="747" t="s">
        <v>5572</v>
      </c>
      <c r="U451" s="696"/>
      <c r="V451" s="696" t="s">
        <v>5463</v>
      </c>
      <c r="W451" s="696"/>
      <c r="X451" s="696" t="s">
        <v>5573</v>
      </c>
      <c r="Y451" s="696"/>
      <c r="Z451" s="696"/>
      <c r="AA451" s="696"/>
      <c r="AB451" s="696"/>
      <c r="AC451" s="696"/>
      <c r="AD451" s="805" t="s">
        <v>5465</v>
      </c>
      <c r="AE451" s="655"/>
    </row>
    <row r="452" spans="1:31" ht="12" customHeight="1">
      <c r="A452" s="937" t="s">
        <v>18219</v>
      </c>
      <c r="B452" s="4" t="s">
        <v>1608</v>
      </c>
      <c r="C452" s="1" t="s">
        <v>1615</v>
      </c>
      <c r="D452" s="1">
        <f t="shared" si="7"/>
        <v>33</v>
      </c>
      <c r="E452" s="2" t="s">
        <v>19</v>
      </c>
      <c r="F452" s="1" t="s">
        <v>15273</v>
      </c>
      <c r="J452" s="4" t="s">
        <v>16120</v>
      </c>
      <c r="K452" s="1" t="s">
        <v>30</v>
      </c>
      <c r="L452" s="1" t="s">
        <v>6</v>
      </c>
      <c r="O452" s="3" t="s">
        <v>31</v>
      </c>
      <c r="P452" s="20">
        <v>28950</v>
      </c>
      <c r="Q452" s="3" t="s">
        <v>16660</v>
      </c>
      <c r="T452" s="3" t="s">
        <v>1511</v>
      </c>
      <c r="AC452" s="2" t="s">
        <v>1511</v>
      </c>
      <c r="AD452" s="774"/>
      <c r="AE452" s="655"/>
    </row>
    <row r="453" spans="1:31" ht="12" customHeight="1">
      <c r="A453" s="937" t="s">
        <v>18245</v>
      </c>
      <c r="B453" s="4" t="s">
        <v>1609</v>
      </c>
      <c r="C453" s="1" t="s">
        <v>1610</v>
      </c>
      <c r="D453" s="1">
        <f t="shared" si="7"/>
        <v>58</v>
      </c>
      <c r="E453" s="2" t="s">
        <v>5</v>
      </c>
      <c r="F453" s="1" t="s">
        <v>15273</v>
      </c>
      <c r="G453" s="3" t="s">
        <v>1611</v>
      </c>
      <c r="J453" s="4" t="s">
        <v>16116</v>
      </c>
      <c r="K453" s="1" t="s">
        <v>4572</v>
      </c>
      <c r="L453" s="1" t="s">
        <v>25</v>
      </c>
      <c r="M453" s="16">
        <v>6</v>
      </c>
      <c r="N453" s="17">
        <v>6</v>
      </c>
      <c r="O453" s="3" t="s">
        <v>1612</v>
      </c>
      <c r="P453" s="20">
        <v>19875</v>
      </c>
      <c r="Q453" s="3" t="s">
        <v>1613</v>
      </c>
      <c r="R453" s="3" t="s">
        <v>1614</v>
      </c>
      <c r="S453" s="3" t="s">
        <v>16465</v>
      </c>
      <c r="AD453" s="774"/>
      <c r="AE453" s="655"/>
    </row>
    <row r="454" spans="1:31" ht="12" customHeight="1" thickBot="1">
      <c r="A454" s="938"/>
      <c r="B454" s="700" t="s">
        <v>4434</v>
      </c>
      <c r="C454" s="699" t="s">
        <v>1616</v>
      </c>
      <c r="D454" s="699">
        <f t="shared" si="7"/>
        <v>39</v>
      </c>
      <c r="E454" s="702" t="s">
        <v>5</v>
      </c>
      <c r="F454" s="699"/>
      <c r="G454" s="703"/>
      <c r="H454" s="699"/>
      <c r="I454" s="699"/>
      <c r="J454" s="700" t="s">
        <v>16117</v>
      </c>
      <c r="K454" s="699"/>
      <c r="L454" s="699" t="s">
        <v>6</v>
      </c>
      <c r="M454" s="705"/>
      <c r="N454" s="706"/>
      <c r="O454" s="703" t="s">
        <v>1617</v>
      </c>
      <c r="P454" s="723">
        <v>26936</v>
      </c>
      <c r="Q454" s="703" t="s">
        <v>1618</v>
      </c>
      <c r="R454" s="703"/>
      <c r="S454" s="703"/>
      <c r="T454" s="703"/>
      <c r="U454" s="702"/>
      <c r="V454" s="702"/>
      <c r="W454" s="702"/>
      <c r="X454" s="702"/>
      <c r="Y454" s="702"/>
      <c r="Z454" s="702"/>
      <c r="AA454" s="702"/>
      <c r="AB454" s="702"/>
      <c r="AC454" s="702"/>
      <c r="AD454" s="793"/>
      <c r="AE454" s="655"/>
    </row>
    <row r="455" spans="1:31" ht="12" customHeight="1">
      <c r="A455" s="936" t="s">
        <v>18246</v>
      </c>
      <c r="B455" s="688" t="s">
        <v>1619</v>
      </c>
      <c r="C455" s="687" t="s">
        <v>1623</v>
      </c>
      <c r="D455" s="687">
        <f t="shared" si="7"/>
        <v>41</v>
      </c>
      <c r="E455" s="696" t="s">
        <v>5</v>
      </c>
      <c r="F455" s="689" t="s">
        <v>15273</v>
      </c>
      <c r="G455" s="747" t="s">
        <v>1625</v>
      </c>
      <c r="H455" s="687"/>
      <c r="I455" s="687"/>
      <c r="J455" s="692" t="s">
        <v>16127</v>
      </c>
      <c r="K455" s="687" t="s">
        <v>44</v>
      </c>
      <c r="L455" s="687" t="s">
        <v>25</v>
      </c>
      <c r="M455" s="748">
        <v>1</v>
      </c>
      <c r="N455" s="749">
        <v>1</v>
      </c>
      <c r="O455" s="747" t="s">
        <v>1597</v>
      </c>
      <c r="P455" s="773">
        <v>25982</v>
      </c>
      <c r="Q455" s="747" t="s">
        <v>1624</v>
      </c>
      <c r="R455" s="747"/>
      <c r="S455" s="747" t="s">
        <v>6214</v>
      </c>
      <c r="T455" s="747"/>
      <c r="U455" s="696"/>
      <c r="V455" s="696"/>
      <c r="W455" s="696"/>
      <c r="X455" s="696"/>
      <c r="Y455" s="696"/>
      <c r="Z455" s="696"/>
      <c r="AA455" s="696"/>
      <c r="AB455" s="696"/>
      <c r="AC455" s="696"/>
      <c r="AD455" s="805"/>
      <c r="AE455" s="655"/>
    </row>
    <row r="456" spans="1:31" ht="12" customHeight="1">
      <c r="A456" s="937" t="s">
        <v>18220</v>
      </c>
      <c r="B456" s="4" t="s">
        <v>1620</v>
      </c>
      <c r="C456" s="1" t="s">
        <v>2062</v>
      </c>
      <c r="D456" s="1">
        <f t="shared" si="7"/>
        <v>47</v>
      </c>
      <c r="E456" s="2" t="s">
        <v>19</v>
      </c>
      <c r="F456" s="1" t="s">
        <v>15273</v>
      </c>
      <c r="J456" s="8" t="s">
        <v>16120</v>
      </c>
      <c r="K456" s="1" t="s">
        <v>476</v>
      </c>
      <c r="L456" s="1" t="s">
        <v>6</v>
      </c>
      <c r="O456" s="3" t="s">
        <v>3416</v>
      </c>
      <c r="P456" s="20">
        <v>24043</v>
      </c>
      <c r="Q456" s="3" t="s">
        <v>6144</v>
      </c>
      <c r="T456" s="3" t="s">
        <v>1999</v>
      </c>
      <c r="AA456" s="2" t="s">
        <v>1999</v>
      </c>
      <c r="AD456" s="774"/>
      <c r="AE456" s="655"/>
    </row>
    <row r="457" spans="1:31" ht="12" customHeight="1">
      <c r="A457" s="937"/>
      <c r="B457" s="4" t="s">
        <v>1621</v>
      </c>
      <c r="C457" s="1" t="s">
        <v>1626</v>
      </c>
      <c r="D457" s="1">
        <f t="shared" si="7"/>
        <v>54</v>
      </c>
      <c r="E457" s="2" t="s">
        <v>5</v>
      </c>
      <c r="J457" s="4" t="s">
        <v>16117</v>
      </c>
      <c r="L457" s="1" t="s">
        <v>6</v>
      </c>
      <c r="O457" s="3" t="s">
        <v>60</v>
      </c>
      <c r="P457" s="20">
        <v>21479</v>
      </c>
      <c r="Q457" s="3" t="s">
        <v>1627</v>
      </c>
      <c r="AD457" s="774"/>
      <c r="AE457" s="655"/>
    </row>
    <row r="458" spans="1:31" ht="12" customHeight="1" thickBot="1">
      <c r="A458" s="938" t="s">
        <v>18246</v>
      </c>
      <c r="B458" s="700" t="s">
        <v>1622</v>
      </c>
      <c r="C458" s="699" t="s">
        <v>1628</v>
      </c>
      <c r="D458" s="699">
        <f t="shared" si="7"/>
        <v>44</v>
      </c>
      <c r="E458" s="702" t="s">
        <v>5</v>
      </c>
      <c r="F458" s="699"/>
      <c r="G458" s="703"/>
      <c r="H458" s="699"/>
      <c r="I458" s="699"/>
      <c r="J458" s="700" t="s">
        <v>16129</v>
      </c>
      <c r="K458" s="699"/>
      <c r="L458" s="699" t="s">
        <v>14</v>
      </c>
      <c r="M458" s="705">
        <v>1</v>
      </c>
      <c r="N458" s="706">
        <v>1</v>
      </c>
      <c r="O458" s="703" t="s">
        <v>1465</v>
      </c>
      <c r="P458" s="707">
        <v>25068</v>
      </c>
      <c r="Q458" s="703" t="s">
        <v>1629</v>
      </c>
      <c r="R458" s="703"/>
      <c r="S458" s="703"/>
      <c r="T458" s="703" t="s">
        <v>1562</v>
      </c>
      <c r="U458" s="702" t="s">
        <v>1562</v>
      </c>
      <c r="V458" s="702"/>
      <c r="W458" s="702"/>
      <c r="X458" s="702"/>
      <c r="Y458" s="702"/>
      <c r="Z458" s="702"/>
      <c r="AA458" s="702"/>
      <c r="AB458" s="702"/>
      <c r="AC458" s="702"/>
      <c r="AD458" s="793"/>
      <c r="AE458" s="655"/>
    </row>
    <row r="459" spans="1:31" ht="12" customHeight="1">
      <c r="A459" s="936" t="s">
        <v>18220</v>
      </c>
      <c r="B459" s="688" t="s">
        <v>1631</v>
      </c>
      <c r="C459" s="687" t="s">
        <v>1632</v>
      </c>
      <c r="D459" s="687">
        <f t="shared" si="7"/>
        <v>55</v>
      </c>
      <c r="E459" s="696" t="s">
        <v>5</v>
      </c>
      <c r="F459" s="689" t="s">
        <v>15273</v>
      </c>
      <c r="G459" s="747" t="s">
        <v>1636</v>
      </c>
      <c r="H459" s="687"/>
      <c r="I459" s="687"/>
      <c r="J459" s="692" t="s">
        <v>16126</v>
      </c>
      <c r="K459" s="687" t="s">
        <v>1637</v>
      </c>
      <c r="L459" s="687" t="s">
        <v>25</v>
      </c>
      <c r="M459" s="748">
        <v>3</v>
      </c>
      <c r="N459" s="749">
        <v>3</v>
      </c>
      <c r="O459" s="747" t="s">
        <v>1638</v>
      </c>
      <c r="P459" s="773">
        <v>21023</v>
      </c>
      <c r="Q459" s="747" t="s">
        <v>1639</v>
      </c>
      <c r="R459" s="747" t="s">
        <v>1640</v>
      </c>
      <c r="S459" s="747" t="s">
        <v>6214</v>
      </c>
      <c r="T459" s="747" t="s">
        <v>1641</v>
      </c>
      <c r="U459" s="696" t="s">
        <v>47</v>
      </c>
      <c r="V459" s="696"/>
      <c r="W459" s="696"/>
      <c r="X459" s="696"/>
      <c r="Y459" s="696"/>
      <c r="Z459" s="696"/>
      <c r="AA459" s="696"/>
      <c r="AB459" s="696"/>
      <c r="AC459" s="696"/>
      <c r="AD459" s="805"/>
      <c r="AE459" s="655"/>
    </row>
    <row r="460" spans="1:31" ht="12" customHeight="1">
      <c r="A460" s="937" t="s">
        <v>18246</v>
      </c>
      <c r="B460" s="4" t="s">
        <v>1633</v>
      </c>
      <c r="C460" s="1" t="s">
        <v>1642</v>
      </c>
      <c r="D460" s="1">
        <f t="shared" si="7"/>
        <v>36</v>
      </c>
      <c r="E460" s="2" t="s">
        <v>5</v>
      </c>
      <c r="F460" s="1" t="s">
        <v>15273</v>
      </c>
      <c r="J460" s="4" t="s">
        <v>16120</v>
      </c>
      <c r="K460" s="1" t="s">
        <v>30</v>
      </c>
      <c r="L460" s="1" t="s">
        <v>6</v>
      </c>
      <c r="O460" s="3" t="s">
        <v>150</v>
      </c>
      <c r="P460" s="20">
        <v>28033</v>
      </c>
      <c r="Q460" s="3" t="s">
        <v>1643</v>
      </c>
      <c r="AD460" s="774"/>
      <c r="AE460" s="655"/>
    </row>
    <row r="461" spans="1:31" ht="12" customHeight="1">
      <c r="A461" s="937" t="s">
        <v>18223</v>
      </c>
      <c r="B461" s="4" t="s">
        <v>1634</v>
      </c>
      <c r="C461" s="1" t="s">
        <v>1646</v>
      </c>
      <c r="D461" s="1">
        <f t="shared" si="7"/>
        <v>45</v>
      </c>
      <c r="E461" s="2" t="s">
        <v>5</v>
      </c>
      <c r="F461" s="1" t="s">
        <v>15273</v>
      </c>
      <c r="J461" s="4" t="s">
        <v>16128</v>
      </c>
      <c r="L461" s="1" t="s">
        <v>6</v>
      </c>
      <c r="O461" s="3" t="s">
        <v>1273</v>
      </c>
      <c r="P461" s="20">
        <v>24742</v>
      </c>
      <c r="Q461" s="3" t="s">
        <v>1647</v>
      </c>
      <c r="S461" s="3" t="s">
        <v>6031</v>
      </c>
      <c r="AD461" s="774"/>
      <c r="AE461" s="655"/>
    </row>
    <row r="462" spans="1:31" ht="12" customHeight="1" thickBot="1">
      <c r="A462" s="938"/>
      <c r="B462" s="700" t="s">
        <v>1635</v>
      </c>
      <c r="C462" s="699" t="s">
        <v>1644</v>
      </c>
      <c r="D462" s="699">
        <f t="shared" si="7"/>
        <v>51</v>
      </c>
      <c r="E462" s="702" t="s">
        <v>5</v>
      </c>
      <c r="F462" s="699"/>
      <c r="G462" s="703"/>
      <c r="H462" s="699"/>
      <c r="I462" s="699"/>
      <c r="J462" s="700" t="s">
        <v>16117</v>
      </c>
      <c r="K462" s="699"/>
      <c r="L462" s="699" t="s">
        <v>6</v>
      </c>
      <c r="M462" s="705"/>
      <c r="N462" s="706"/>
      <c r="O462" s="703" t="s">
        <v>381</v>
      </c>
      <c r="P462" s="707">
        <v>22358</v>
      </c>
      <c r="Q462" s="703" t="s">
        <v>1645</v>
      </c>
      <c r="R462" s="703"/>
      <c r="S462" s="703"/>
      <c r="T462" s="703"/>
      <c r="U462" s="702"/>
      <c r="V462" s="702"/>
      <c r="W462" s="702"/>
      <c r="X462" s="702"/>
      <c r="Y462" s="702"/>
      <c r="Z462" s="702"/>
      <c r="AA462" s="702"/>
      <c r="AB462" s="702"/>
      <c r="AC462" s="702"/>
      <c r="AD462" s="793"/>
      <c r="AE462" s="655"/>
    </row>
    <row r="463" spans="1:31" ht="12" customHeight="1">
      <c r="A463" s="936" t="s">
        <v>18245</v>
      </c>
      <c r="B463" s="688" t="s">
        <v>1648</v>
      </c>
      <c r="C463" s="687" t="s">
        <v>1654</v>
      </c>
      <c r="D463" s="687">
        <f t="shared" si="7"/>
        <v>63</v>
      </c>
      <c r="E463" s="696" t="s">
        <v>5</v>
      </c>
      <c r="F463" s="689" t="s">
        <v>15273</v>
      </c>
      <c r="G463" s="747" t="s">
        <v>1655</v>
      </c>
      <c r="H463" s="687"/>
      <c r="I463" s="687"/>
      <c r="J463" s="692" t="s">
        <v>16127</v>
      </c>
      <c r="K463" s="687" t="s">
        <v>1656</v>
      </c>
      <c r="L463" s="687" t="s">
        <v>25</v>
      </c>
      <c r="M463" s="748">
        <v>5</v>
      </c>
      <c r="N463" s="749">
        <v>5</v>
      </c>
      <c r="O463" s="747" t="s">
        <v>31</v>
      </c>
      <c r="P463" s="773">
        <v>17955</v>
      </c>
      <c r="Q463" s="747" t="s">
        <v>1657</v>
      </c>
      <c r="R463" s="747" t="s">
        <v>2521</v>
      </c>
      <c r="S463" s="747" t="s">
        <v>6214</v>
      </c>
      <c r="T463" s="747" t="s">
        <v>1658</v>
      </c>
      <c r="U463" s="696"/>
      <c r="V463" s="696"/>
      <c r="W463" s="696"/>
      <c r="X463" s="696"/>
      <c r="Y463" s="696" t="s">
        <v>1658</v>
      </c>
      <c r="Z463" s="696"/>
      <c r="AA463" s="696"/>
      <c r="AB463" s="696"/>
      <c r="AC463" s="696"/>
      <c r="AD463" s="805"/>
      <c r="AE463" s="655"/>
    </row>
    <row r="464" spans="1:31" ht="12" customHeight="1">
      <c r="A464" s="937" t="s">
        <v>18219</v>
      </c>
      <c r="B464" s="4" t="s">
        <v>1649</v>
      </c>
      <c r="C464" s="1" t="s">
        <v>1659</v>
      </c>
      <c r="D464" s="1">
        <f t="shared" si="7"/>
        <v>38</v>
      </c>
      <c r="E464" s="2" t="s">
        <v>19</v>
      </c>
      <c r="F464" s="1" t="s">
        <v>15273</v>
      </c>
      <c r="J464" s="4" t="s">
        <v>16120</v>
      </c>
      <c r="K464" s="1" t="s">
        <v>48</v>
      </c>
      <c r="L464" s="1" t="s">
        <v>6</v>
      </c>
      <c r="O464" s="3" t="s">
        <v>1660</v>
      </c>
      <c r="P464" s="20">
        <v>27103</v>
      </c>
      <c r="Q464" s="3" t="s">
        <v>1661</v>
      </c>
      <c r="S464" s="3" t="s">
        <v>5457</v>
      </c>
      <c r="T464" s="3" t="s">
        <v>1641</v>
      </c>
      <c r="U464" s="2" t="s">
        <v>47</v>
      </c>
      <c r="AD464" s="774"/>
      <c r="AE464" s="655"/>
    </row>
    <row r="465" spans="1:31" ht="12" customHeight="1">
      <c r="A465" s="937"/>
      <c r="B465" s="4" t="s">
        <v>1650</v>
      </c>
      <c r="C465" s="1" t="s">
        <v>6173</v>
      </c>
      <c r="D465" s="1">
        <f t="shared" si="7"/>
        <v>46</v>
      </c>
      <c r="E465" s="2" t="s">
        <v>5</v>
      </c>
      <c r="F465" s="1" t="s">
        <v>15273</v>
      </c>
      <c r="J465" s="4" t="s">
        <v>16125</v>
      </c>
      <c r="L465" s="1" t="s">
        <v>6</v>
      </c>
      <c r="O465" s="3" t="s">
        <v>6059</v>
      </c>
      <c r="P465" s="20">
        <v>24225</v>
      </c>
      <c r="Q465" s="3" t="s">
        <v>2373</v>
      </c>
      <c r="S465" s="3" t="s">
        <v>16093</v>
      </c>
      <c r="AD465" s="774"/>
      <c r="AE465" s="655"/>
    </row>
    <row r="466" spans="1:31" ht="12" customHeight="1">
      <c r="A466" s="937" t="s">
        <v>18223</v>
      </c>
      <c r="B466" s="4" t="s">
        <v>1651</v>
      </c>
      <c r="C466" s="1" t="s">
        <v>5517</v>
      </c>
      <c r="D466" s="1">
        <f t="shared" si="7"/>
        <v>38</v>
      </c>
      <c r="E466" s="2" t="s">
        <v>5</v>
      </c>
      <c r="F466" s="1" t="s">
        <v>15273</v>
      </c>
      <c r="J466" s="4" t="s">
        <v>16116</v>
      </c>
      <c r="K466" s="1" t="s">
        <v>5515</v>
      </c>
      <c r="L466" s="1" t="s">
        <v>6</v>
      </c>
      <c r="O466" s="3" t="s">
        <v>5299</v>
      </c>
      <c r="P466" s="20">
        <v>27318</v>
      </c>
      <c r="Q466" s="3" t="s">
        <v>788</v>
      </c>
      <c r="AD466" s="774"/>
      <c r="AE466" s="655"/>
    </row>
    <row r="467" spans="1:31" ht="12" customHeight="1">
      <c r="A467" s="937" t="s">
        <v>18223</v>
      </c>
      <c r="B467" s="4" t="s">
        <v>1652</v>
      </c>
      <c r="C467" s="1" t="s">
        <v>1664</v>
      </c>
      <c r="D467" s="1">
        <f t="shared" si="7"/>
        <v>42</v>
      </c>
      <c r="E467" s="2" t="s">
        <v>5</v>
      </c>
      <c r="F467" s="1" t="s">
        <v>15273</v>
      </c>
      <c r="J467" s="4" t="s">
        <v>16128</v>
      </c>
      <c r="L467" s="1" t="s">
        <v>6</v>
      </c>
      <c r="O467" s="3" t="s">
        <v>188</v>
      </c>
      <c r="P467" s="20">
        <v>25584</v>
      </c>
      <c r="Q467" s="3" t="s">
        <v>1666</v>
      </c>
      <c r="T467" s="3" t="s">
        <v>1665</v>
      </c>
      <c r="V467" s="2" t="s">
        <v>1665</v>
      </c>
      <c r="AD467" s="774"/>
      <c r="AE467" s="655"/>
    </row>
    <row r="468" spans="1:31" ht="12" customHeight="1">
      <c r="A468" s="937"/>
      <c r="B468" s="4" t="s">
        <v>1653</v>
      </c>
      <c r="C468" s="1" t="s">
        <v>1662</v>
      </c>
      <c r="D468" s="1">
        <f t="shared" si="7"/>
        <v>36</v>
      </c>
      <c r="E468" s="2" t="s">
        <v>5</v>
      </c>
      <c r="J468" s="4" t="s">
        <v>16117</v>
      </c>
      <c r="L468" s="1" t="s">
        <v>6</v>
      </c>
      <c r="O468" s="3" t="s">
        <v>95</v>
      </c>
      <c r="P468" s="20">
        <v>27787</v>
      </c>
      <c r="Q468" s="3" t="s">
        <v>1663</v>
      </c>
      <c r="AD468" s="774"/>
      <c r="AE468" s="655"/>
    </row>
    <row r="469" spans="1:31" ht="12" customHeight="1">
      <c r="A469" s="937"/>
      <c r="B469" s="4" t="s">
        <v>5516</v>
      </c>
      <c r="C469" s="1" t="s">
        <v>1667</v>
      </c>
      <c r="D469" s="1">
        <f t="shared" si="7"/>
        <v>68</v>
      </c>
      <c r="E469" s="2" t="s">
        <v>5</v>
      </c>
      <c r="J469" s="4" t="s">
        <v>16122</v>
      </c>
      <c r="K469" s="1" t="s">
        <v>1668</v>
      </c>
      <c r="L469" s="1" t="s">
        <v>6</v>
      </c>
      <c r="O469" s="3" t="s">
        <v>381</v>
      </c>
      <c r="P469" s="20">
        <v>16107</v>
      </c>
      <c r="Q469" s="3" t="s">
        <v>1669</v>
      </c>
      <c r="AD469" s="774"/>
      <c r="AE469" s="655"/>
    </row>
    <row r="470" spans="1:31" ht="12" customHeight="1">
      <c r="A470" s="937"/>
      <c r="B470" s="4" t="s">
        <v>6171</v>
      </c>
      <c r="C470" s="1" t="s">
        <v>1670</v>
      </c>
      <c r="D470" s="1">
        <f t="shared" si="7"/>
        <v>28</v>
      </c>
      <c r="E470" s="2" t="s">
        <v>19</v>
      </c>
      <c r="J470" s="4" t="s">
        <v>16122</v>
      </c>
      <c r="K470" s="1" t="s">
        <v>22</v>
      </c>
      <c r="L470" s="1" t="s">
        <v>6</v>
      </c>
      <c r="O470" s="3" t="s">
        <v>1671</v>
      </c>
      <c r="P470" s="20">
        <v>30955</v>
      </c>
      <c r="Q470" s="3" t="s">
        <v>1296</v>
      </c>
      <c r="AD470" s="774"/>
      <c r="AE470" s="655"/>
    </row>
    <row r="471" spans="1:31" ht="12" customHeight="1" thickBot="1">
      <c r="A471" s="938"/>
      <c r="B471" s="700" t="s">
        <v>15989</v>
      </c>
      <c r="C471" s="699" t="s">
        <v>15990</v>
      </c>
      <c r="D471" s="699">
        <f t="shared" si="7"/>
        <v>49</v>
      </c>
      <c r="E471" s="702" t="s">
        <v>5</v>
      </c>
      <c r="F471" s="699"/>
      <c r="G471" s="703"/>
      <c r="H471" s="699"/>
      <c r="I471" s="699"/>
      <c r="J471" s="700" t="s">
        <v>16129</v>
      </c>
      <c r="K471" s="699"/>
      <c r="L471" s="699" t="s">
        <v>6</v>
      </c>
      <c r="M471" s="705"/>
      <c r="N471" s="706"/>
      <c r="O471" s="703" t="s">
        <v>15991</v>
      </c>
      <c r="P471" s="707">
        <v>23168</v>
      </c>
      <c r="Q471" s="703" t="s">
        <v>16304</v>
      </c>
      <c r="R471" s="703"/>
      <c r="S471" s="703"/>
      <c r="T471" s="703"/>
      <c r="U471" s="702"/>
      <c r="V471" s="702"/>
      <c r="W471" s="702"/>
      <c r="X471" s="702"/>
      <c r="Y471" s="702"/>
      <c r="Z471" s="702"/>
      <c r="AA471" s="702"/>
      <c r="AB471" s="702"/>
      <c r="AC471" s="702"/>
      <c r="AD471" s="793"/>
      <c r="AE471" s="655"/>
    </row>
    <row r="472" spans="1:31" ht="12" customHeight="1">
      <c r="A472" s="936" t="s">
        <v>18245</v>
      </c>
      <c r="B472" s="688" t="s">
        <v>1672</v>
      </c>
      <c r="C472" s="687" t="s">
        <v>1676</v>
      </c>
      <c r="D472" s="687">
        <f t="shared" si="7"/>
        <v>67</v>
      </c>
      <c r="E472" s="696" t="s">
        <v>5</v>
      </c>
      <c r="F472" s="689" t="s">
        <v>15273</v>
      </c>
      <c r="G472" s="747" t="s">
        <v>1677</v>
      </c>
      <c r="H472" s="687"/>
      <c r="I472" s="687"/>
      <c r="J472" s="692" t="s">
        <v>16127</v>
      </c>
      <c r="K472" s="687" t="s">
        <v>1637</v>
      </c>
      <c r="L472" s="687" t="s">
        <v>25</v>
      </c>
      <c r="M472" s="748">
        <v>4</v>
      </c>
      <c r="N472" s="749">
        <v>4</v>
      </c>
      <c r="O472" s="747" t="s">
        <v>1678</v>
      </c>
      <c r="P472" s="773">
        <v>16481</v>
      </c>
      <c r="Q472" s="747" t="s">
        <v>1679</v>
      </c>
      <c r="R472" s="747" t="s">
        <v>2517</v>
      </c>
      <c r="S472" s="747" t="s">
        <v>6214</v>
      </c>
      <c r="T472" s="747" t="s">
        <v>1665</v>
      </c>
      <c r="U472" s="696"/>
      <c r="V472" s="696" t="s">
        <v>145</v>
      </c>
      <c r="W472" s="696"/>
      <c r="X472" s="696"/>
      <c r="Y472" s="696"/>
      <c r="Z472" s="696"/>
      <c r="AA472" s="696"/>
      <c r="AB472" s="696"/>
      <c r="AC472" s="696"/>
      <c r="AD472" s="805"/>
      <c r="AE472" s="655"/>
    </row>
    <row r="473" spans="1:31" ht="12" customHeight="1">
      <c r="A473" s="937" t="s">
        <v>18219</v>
      </c>
      <c r="B473" s="4" t="s">
        <v>1673</v>
      </c>
      <c r="C473" s="1" t="s">
        <v>1680</v>
      </c>
      <c r="D473" s="1">
        <f t="shared" si="7"/>
        <v>33</v>
      </c>
      <c r="E473" s="2" t="s">
        <v>5</v>
      </c>
      <c r="F473" s="1" t="s">
        <v>15273</v>
      </c>
      <c r="J473" s="8" t="s">
        <v>16120</v>
      </c>
      <c r="K473" s="1" t="s">
        <v>30</v>
      </c>
      <c r="L473" s="1" t="s">
        <v>6</v>
      </c>
      <c r="O473" s="3" t="s">
        <v>302</v>
      </c>
      <c r="P473" s="20">
        <v>29105</v>
      </c>
      <c r="Q473" s="3" t="s">
        <v>1681</v>
      </c>
      <c r="AD473" s="774"/>
      <c r="AE473" s="655"/>
    </row>
    <row r="474" spans="1:31" ht="12" customHeight="1">
      <c r="A474" s="937" t="s">
        <v>18223</v>
      </c>
      <c r="B474" s="4" t="s">
        <v>1674</v>
      </c>
      <c r="C474" s="1" t="s">
        <v>5768</v>
      </c>
      <c r="D474" s="1">
        <f t="shared" si="7"/>
        <v>47</v>
      </c>
      <c r="E474" s="2" t="s">
        <v>5</v>
      </c>
      <c r="F474" s="1" t="s">
        <v>15273</v>
      </c>
      <c r="J474" s="4" t="s">
        <v>16116</v>
      </c>
      <c r="K474" s="1" t="s">
        <v>276</v>
      </c>
      <c r="L474" s="1" t="s">
        <v>14</v>
      </c>
      <c r="M474" s="16">
        <v>1</v>
      </c>
      <c r="N474" s="17">
        <v>1</v>
      </c>
      <c r="O474" s="3" t="s">
        <v>5769</v>
      </c>
      <c r="P474" s="20">
        <v>23800</v>
      </c>
      <c r="Q474" s="3" t="s">
        <v>5770</v>
      </c>
      <c r="T474" s="3" t="s">
        <v>5722</v>
      </c>
      <c r="AA474" s="2" t="s">
        <v>5722</v>
      </c>
      <c r="AD474" s="774"/>
      <c r="AE474" s="655"/>
    </row>
    <row r="475" spans="1:31" ht="12" customHeight="1">
      <c r="A475" s="937" t="s">
        <v>18223</v>
      </c>
      <c r="B475" s="4" t="s">
        <v>1675</v>
      </c>
      <c r="C475" s="1" t="s">
        <v>1684</v>
      </c>
      <c r="D475" s="1">
        <f t="shared" si="7"/>
        <v>49</v>
      </c>
      <c r="E475" s="2" t="s">
        <v>5</v>
      </c>
      <c r="F475" s="1" t="s">
        <v>15273</v>
      </c>
      <c r="J475" s="8" t="s">
        <v>16128</v>
      </c>
      <c r="L475" s="1" t="s">
        <v>6</v>
      </c>
      <c r="O475" s="3" t="s">
        <v>1660</v>
      </c>
      <c r="P475" s="20">
        <v>23167</v>
      </c>
      <c r="Q475" s="3" t="s">
        <v>1685</v>
      </c>
      <c r="AD475" s="774"/>
      <c r="AE475" s="655"/>
    </row>
    <row r="476" spans="1:31" ht="12" customHeight="1">
      <c r="A476" s="937"/>
      <c r="B476" s="4" t="s">
        <v>5767</v>
      </c>
      <c r="C476" s="1" t="s">
        <v>1682</v>
      </c>
      <c r="D476" s="1">
        <f t="shared" si="7"/>
        <v>42</v>
      </c>
      <c r="E476" s="2" t="s">
        <v>5</v>
      </c>
      <c r="J476" s="4" t="s">
        <v>16117</v>
      </c>
      <c r="L476" s="1" t="s">
        <v>6</v>
      </c>
      <c r="O476" s="3" t="s">
        <v>1683</v>
      </c>
      <c r="P476" s="21">
        <v>25879</v>
      </c>
      <c r="Q476" s="3" t="s">
        <v>1663</v>
      </c>
      <c r="AD476" s="774"/>
      <c r="AE476" s="655"/>
    </row>
    <row r="477" spans="1:31" ht="12" customHeight="1" thickBot="1">
      <c r="A477" s="938"/>
      <c r="B477" s="700" t="s">
        <v>15992</v>
      </c>
      <c r="C477" s="699" t="s">
        <v>15993</v>
      </c>
      <c r="D477" s="699">
        <f t="shared" si="7"/>
        <v>57</v>
      </c>
      <c r="E477" s="702" t="s">
        <v>5</v>
      </c>
      <c r="F477" s="699"/>
      <c r="G477" s="703"/>
      <c r="H477" s="699"/>
      <c r="I477" s="699"/>
      <c r="J477" s="700" t="s">
        <v>16129</v>
      </c>
      <c r="K477" s="699"/>
      <c r="L477" s="699" t="s">
        <v>6</v>
      </c>
      <c r="M477" s="705"/>
      <c r="N477" s="706"/>
      <c r="O477" s="703" t="s">
        <v>15994</v>
      </c>
      <c r="P477" s="723">
        <v>20150</v>
      </c>
      <c r="Q477" s="703" t="s">
        <v>16304</v>
      </c>
      <c r="R477" s="703"/>
      <c r="S477" s="703"/>
      <c r="T477" s="703"/>
      <c r="U477" s="702"/>
      <c r="V477" s="702"/>
      <c r="W477" s="702"/>
      <c r="X477" s="702"/>
      <c r="Y477" s="702"/>
      <c r="Z477" s="702"/>
      <c r="AA477" s="702"/>
      <c r="AB477" s="702"/>
      <c r="AC477" s="702"/>
      <c r="AD477" s="793"/>
      <c r="AE477" s="655"/>
    </row>
    <row r="478" spans="1:31" ht="12" customHeight="1">
      <c r="A478" s="936" t="s">
        <v>18246</v>
      </c>
      <c r="B478" s="688" t="s">
        <v>1686</v>
      </c>
      <c r="C478" s="687" t="s">
        <v>1689</v>
      </c>
      <c r="D478" s="687">
        <f t="shared" si="7"/>
        <v>56</v>
      </c>
      <c r="E478" s="696" t="s">
        <v>5</v>
      </c>
      <c r="F478" s="689" t="s">
        <v>15273</v>
      </c>
      <c r="G478" s="747" t="s">
        <v>1690</v>
      </c>
      <c r="H478" s="687"/>
      <c r="I478" s="687"/>
      <c r="J478" s="692" t="s">
        <v>16126</v>
      </c>
      <c r="K478" s="687" t="s">
        <v>1637</v>
      </c>
      <c r="L478" s="687" t="s">
        <v>25</v>
      </c>
      <c r="M478" s="748">
        <v>4</v>
      </c>
      <c r="N478" s="749">
        <v>4</v>
      </c>
      <c r="O478" s="747" t="s">
        <v>188</v>
      </c>
      <c r="P478" s="773">
        <v>20667</v>
      </c>
      <c r="Q478" s="747" t="s">
        <v>16661</v>
      </c>
      <c r="R478" s="747" t="s">
        <v>2531</v>
      </c>
      <c r="S478" s="747" t="s">
        <v>6214</v>
      </c>
      <c r="T478" s="747" t="s">
        <v>1691</v>
      </c>
      <c r="U478" s="696"/>
      <c r="V478" s="696" t="s">
        <v>1665</v>
      </c>
      <c r="W478" s="696"/>
      <c r="X478" s="696"/>
      <c r="Y478" s="696"/>
      <c r="Z478" s="696"/>
      <c r="AA478" s="696"/>
      <c r="AB478" s="696"/>
      <c r="AC478" s="696" t="s">
        <v>1692</v>
      </c>
      <c r="AD478" s="805"/>
      <c r="AE478" s="655"/>
    </row>
    <row r="479" spans="1:31" ht="12" customHeight="1">
      <c r="A479" s="937" t="s">
        <v>18220</v>
      </c>
      <c r="B479" s="4" t="s">
        <v>1687</v>
      </c>
      <c r="C479" s="1" t="s">
        <v>1694</v>
      </c>
      <c r="D479" s="1">
        <f t="shared" si="7"/>
        <v>48</v>
      </c>
      <c r="E479" s="2" t="s">
        <v>5</v>
      </c>
      <c r="F479" s="1" t="s">
        <v>15273</v>
      </c>
      <c r="J479" s="4" t="s">
        <v>16120</v>
      </c>
      <c r="K479" s="1" t="s">
        <v>30</v>
      </c>
      <c r="L479" s="1" t="s">
        <v>14</v>
      </c>
      <c r="M479" s="16">
        <v>1</v>
      </c>
      <c r="N479" s="17">
        <v>1</v>
      </c>
      <c r="O479" s="3" t="s">
        <v>31</v>
      </c>
      <c r="P479" s="20">
        <v>23547</v>
      </c>
      <c r="Q479" s="3" t="s">
        <v>1695</v>
      </c>
      <c r="S479" s="3" t="s">
        <v>5457</v>
      </c>
      <c r="T479" s="3" t="s">
        <v>1696</v>
      </c>
      <c r="AA479" s="2" t="s">
        <v>1696</v>
      </c>
      <c r="AD479" s="774"/>
      <c r="AE479" s="655"/>
    </row>
    <row r="480" spans="1:31" ht="12" customHeight="1">
      <c r="A480" s="937"/>
      <c r="B480" s="4" t="s">
        <v>1688</v>
      </c>
      <c r="C480" s="1" t="s">
        <v>5736</v>
      </c>
      <c r="D480" s="1">
        <f t="shared" si="7"/>
        <v>47</v>
      </c>
      <c r="E480" s="2" t="s">
        <v>5</v>
      </c>
      <c r="F480" s="1" t="s">
        <v>15273</v>
      </c>
      <c r="J480" s="4" t="s">
        <v>16125</v>
      </c>
      <c r="L480" s="1" t="s">
        <v>6</v>
      </c>
      <c r="O480" s="3" t="s">
        <v>467</v>
      </c>
      <c r="P480" s="20">
        <v>24057</v>
      </c>
      <c r="Q480" s="3" t="s">
        <v>5737</v>
      </c>
      <c r="S480" s="3" t="s">
        <v>16093</v>
      </c>
      <c r="AD480" s="774"/>
      <c r="AE480" s="655"/>
    </row>
    <row r="481" spans="1:31" ht="12" customHeight="1" thickBot="1">
      <c r="A481" s="938"/>
      <c r="B481" s="700" t="s">
        <v>5735</v>
      </c>
      <c r="C481" s="699" t="s">
        <v>1697</v>
      </c>
      <c r="D481" s="699">
        <f t="shared" si="7"/>
        <v>36</v>
      </c>
      <c r="E481" s="702" t="s">
        <v>5</v>
      </c>
      <c r="F481" s="699"/>
      <c r="G481" s="703"/>
      <c r="H481" s="699"/>
      <c r="I481" s="699"/>
      <c r="J481" s="700" t="s">
        <v>16117</v>
      </c>
      <c r="K481" s="699"/>
      <c r="L481" s="699" t="s">
        <v>6</v>
      </c>
      <c r="M481" s="705"/>
      <c r="N481" s="706"/>
      <c r="O481" s="703" t="s">
        <v>1698</v>
      </c>
      <c r="P481" s="723">
        <v>27844</v>
      </c>
      <c r="Q481" s="703" t="s">
        <v>1699</v>
      </c>
      <c r="R481" s="703"/>
      <c r="S481" s="703"/>
      <c r="T481" s="703"/>
      <c r="U481" s="702"/>
      <c r="V481" s="702"/>
      <c r="W481" s="702"/>
      <c r="X481" s="702"/>
      <c r="Y481" s="702"/>
      <c r="Z481" s="702"/>
      <c r="AA481" s="702"/>
      <c r="AB481" s="702"/>
      <c r="AC481" s="702"/>
      <c r="AD481" s="793"/>
      <c r="AE481" s="655"/>
    </row>
    <row r="482" spans="1:31" ht="12" customHeight="1">
      <c r="A482" s="936" t="s">
        <v>18245</v>
      </c>
      <c r="B482" s="688" t="s">
        <v>1700</v>
      </c>
      <c r="C482" s="687" t="s">
        <v>1705</v>
      </c>
      <c r="D482" s="687">
        <f t="shared" si="7"/>
        <v>39</v>
      </c>
      <c r="E482" s="696" t="s">
        <v>5</v>
      </c>
      <c r="F482" s="689" t="s">
        <v>15273</v>
      </c>
      <c r="G482" s="747" t="s">
        <v>1706</v>
      </c>
      <c r="H482" s="687"/>
      <c r="I482" s="687"/>
      <c r="J482" s="692" t="s">
        <v>16127</v>
      </c>
      <c r="K482" s="687" t="s">
        <v>44</v>
      </c>
      <c r="L482" s="687" t="s">
        <v>25</v>
      </c>
      <c r="M482" s="748">
        <v>1</v>
      </c>
      <c r="N482" s="749">
        <v>1</v>
      </c>
      <c r="O482" s="747" t="s">
        <v>1660</v>
      </c>
      <c r="P482" s="773">
        <v>26820</v>
      </c>
      <c r="Q482" s="747" t="s">
        <v>1707</v>
      </c>
      <c r="R482" s="747"/>
      <c r="S482" s="747" t="s">
        <v>6214</v>
      </c>
      <c r="T482" s="747"/>
      <c r="U482" s="696"/>
      <c r="V482" s="696"/>
      <c r="W482" s="696"/>
      <c r="X482" s="696"/>
      <c r="Y482" s="696"/>
      <c r="Z482" s="696"/>
      <c r="AA482" s="696"/>
      <c r="AB482" s="696"/>
      <c r="AC482" s="696"/>
      <c r="AD482" s="805"/>
      <c r="AE482" s="655"/>
    </row>
    <row r="483" spans="1:31" ht="12" customHeight="1">
      <c r="A483" s="937" t="s">
        <v>18219</v>
      </c>
      <c r="B483" s="4" t="s">
        <v>1701</v>
      </c>
      <c r="C483" s="1" t="s">
        <v>1708</v>
      </c>
      <c r="D483" s="1">
        <f t="shared" si="7"/>
        <v>45</v>
      </c>
      <c r="E483" s="2" t="s">
        <v>5</v>
      </c>
      <c r="F483" s="1" t="s">
        <v>15273</v>
      </c>
      <c r="G483" s="3" t="s">
        <v>1709</v>
      </c>
      <c r="J483" s="4" t="s">
        <v>16120</v>
      </c>
      <c r="K483" s="1" t="s">
        <v>30</v>
      </c>
      <c r="L483" s="1" t="s">
        <v>25</v>
      </c>
      <c r="M483" s="16">
        <v>2</v>
      </c>
      <c r="N483" s="17">
        <v>2</v>
      </c>
      <c r="O483" s="3" t="s">
        <v>188</v>
      </c>
      <c r="P483" s="20">
        <v>24524</v>
      </c>
      <c r="Q483" s="3" t="s">
        <v>1710</v>
      </c>
      <c r="S483" s="3" t="s">
        <v>15615</v>
      </c>
      <c r="AD483" s="774"/>
      <c r="AE483" s="655"/>
    </row>
    <row r="484" spans="1:31" ht="12" customHeight="1">
      <c r="A484" s="937" t="s">
        <v>18245</v>
      </c>
      <c r="B484" s="4" t="s">
        <v>1702</v>
      </c>
      <c r="C484" s="1" t="s">
        <v>5379</v>
      </c>
      <c r="D484" s="1">
        <f t="shared" si="7"/>
        <v>56</v>
      </c>
      <c r="E484" s="2" t="s">
        <v>5</v>
      </c>
      <c r="F484" s="1" t="s">
        <v>15273</v>
      </c>
      <c r="J484" s="4" t="s">
        <v>16116</v>
      </c>
      <c r="K484" s="1" t="s">
        <v>4993</v>
      </c>
      <c r="L484" s="1" t="s">
        <v>6</v>
      </c>
      <c r="O484" s="3" t="s">
        <v>5380</v>
      </c>
      <c r="P484" s="21">
        <v>20791</v>
      </c>
      <c r="Q484" s="3" t="s">
        <v>5381</v>
      </c>
      <c r="T484" s="3" t="s">
        <v>5305</v>
      </c>
      <c r="V484" s="2" t="s">
        <v>5305</v>
      </c>
      <c r="AD484" s="774"/>
      <c r="AE484" s="655"/>
    </row>
    <row r="485" spans="1:31" ht="12" customHeight="1">
      <c r="A485" s="937" t="s">
        <v>18223</v>
      </c>
      <c r="B485" s="4" t="s">
        <v>1703</v>
      </c>
      <c r="C485" s="1" t="s">
        <v>1713</v>
      </c>
      <c r="D485" s="1">
        <f t="shared" si="7"/>
        <v>55</v>
      </c>
      <c r="E485" s="2" t="s">
        <v>5</v>
      </c>
      <c r="F485" s="1" t="s">
        <v>15273</v>
      </c>
      <c r="J485" s="4" t="s">
        <v>16128</v>
      </c>
      <c r="L485" s="1" t="s">
        <v>6</v>
      </c>
      <c r="O485" s="3" t="s">
        <v>188</v>
      </c>
      <c r="P485" s="20">
        <v>21028</v>
      </c>
      <c r="Q485" s="3" t="s">
        <v>1714</v>
      </c>
      <c r="AD485" s="774"/>
      <c r="AE485" s="655"/>
    </row>
    <row r="486" spans="1:31" ht="12" customHeight="1">
      <c r="A486" s="937"/>
      <c r="B486" s="4" t="s">
        <v>1704</v>
      </c>
      <c r="C486" s="1" t="s">
        <v>1711</v>
      </c>
      <c r="D486" s="1">
        <f t="shared" si="7"/>
        <v>38</v>
      </c>
      <c r="E486" s="2" t="s">
        <v>5</v>
      </c>
      <c r="J486" s="4" t="s">
        <v>16117</v>
      </c>
      <c r="L486" s="1" t="s">
        <v>6</v>
      </c>
      <c r="O486" s="3" t="s">
        <v>95</v>
      </c>
      <c r="P486" s="21">
        <v>27054</v>
      </c>
      <c r="Q486" s="3" t="s">
        <v>1712</v>
      </c>
      <c r="AD486" s="774"/>
      <c r="AE486" s="655"/>
    </row>
    <row r="487" spans="1:31" ht="12" customHeight="1" thickBot="1">
      <c r="A487" s="938"/>
      <c r="B487" s="700" t="s">
        <v>5378</v>
      </c>
      <c r="C487" s="699" t="s">
        <v>1715</v>
      </c>
      <c r="D487" s="699">
        <f t="shared" si="7"/>
        <v>42</v>
      </c>
      <c r="E487" s="702" t="s">
        <v>5</v>
      </c>
      <c r="F487" s="699"/>
      <c r="G487" s="703"/>
      <c r="H487" s="699"/>
      <c r="I487" s="699"/>
      <c r="J487" s="700" t="s">
        <v>16122</v>
      </c>
      <c r="K487" s="699" t="s">
        <v>5723</v>
      </c>
      <c r="L487" s="699" t="s">
        <v>6</v>
      </c>
      <c r="M487" s="705"/>
      <c r="N487" s="706"/>
      <c r="O487" s="703" t="s">
        <v>1716</v>
      </c>
      <c r="P487" s="707">
        <v>25841</v>
      </c>
      <c r="Q487" s="703" t="s">
        <v>5724</v>
      </c>
      <c r="R487" s="703"/>
      <c r="S487" s="703"/>
      <c r="T487" s="703"/>
      <c r="U487" s="702"/>
      <c r="V487" s="702"/>
      <c r="W487" s="702"/>
      <c r="X487" s="702"/>
      <c r="Y487" s="702"/>
      <c r="Z487" s="702"/>
      <c r="AA487" s="702"/>
      <c r="AB487" s="702"/>
      <c r="AC487" s="702"/>
      <c r="AD487" s="793"/>
      <c r="AE487" s="655"/>
    </row>
    <row r="488" spans="1:31" ht="12" customHeight="1">
      <c r="A488" s="936" t="s">
        <v>18245</v>
      </c>
      <c r="B488" s="688" t="s">
        <v>1717</v>
      </c>
      <c r="C488" s="687" t="s">
        <v>1722</v>
      </c>
      <c r="D488" s="687">
        <f t="shared" si="7"/>
        <v>46</v>
      </c>
      <c r="E488" s="696" t="s">
        <v>5</v>
      </c>
      <c r="F488" s="689" t="s">
        <v>15273</v>
      </c>
      <c r="G488" s="747" t="s">
        <v>1723</v>
      </c>
      <c r="H488" s="687"/>
      <c r="I488" s="687"/>
      <c r="J488" s="692" t="s">
        <v>16127</v>
      </c>
      <c r="K488" s="687" t="s">
        <v>44</v>
      </c>
      <c r="L488" s="687" t="s">
        <v>25</v>
      </c>
      <c r="M488" s="748">
        <v>3</v>
      </c>
      <c r="N488" s="749">
        <v>3</v>
      </c>
      <c r="O488" s="747" t="s">
        <v>188</v>
      </c>
      <c r="P488" s="773">
        <v>24364</v>
      </c>
      <c r="Q488" s="747" t="s">
        <v>1724</v>
      </c>
      <c r="R488" s="747" t="s">
        <v>1725</v>
      </c>
      <c r="S488" s="747" t="s">
        <v>6214</v>
      </c>
      <c r="T488" s="747" t="s">
        <v>1665</v>
      </c>
      <c r="U488" s="696"/>
      <c r="V488" s="696" t="s">
        <v>1665</v>
      </c>
      <c r="W488" s="696"/>
      <c r="X488" s="696"/>
      <c r="Y488" s="696"/>
      <c r="Z488" s="696"/>
      <c r="AA488" s="696"/>
      <c r="AB488" s="696"/>
      <c r="AC488" s="696"/>
      <c r="AD488" s="805"/>
      <c r="AE488" s="655"/>
    </row>
    <row r="489" spans="1:31" ht="12" customHeight="1">
      <c r="A489" s="937" t="s">
        <v>18219</v>
      </c>
      <c r="B489" s="4" t="s">
        <v>1718</v>
      </c>
      <c r="C489" s="1" t="s">
        <v>1726</v>
      </c>
      <c r="D489" s="1">
        <f t="shared" si="7"/>
        <v>51</v>
      </c>
      <c r="E489" s="2" t="s">
        <v>5</v>
      </c>
      <c r="F489" s="1" t="s">
        <v>15273</v>
      </c>
      <c r="J489" s="8" t="s">
        <v>16120</v>
      </c>
      <c r="K489" s="1" t="s">
        <v>13</v>
      </c>
      <c r="L489" s="1" t="s">
        <v>14</v>
      </c>
      <c r="M489" s="16">
        <v>1</v>
      </c>
      <c r="N489" s="17">
        <v>1</v>
      </c>
      <c r="O489" s="3" t="s">
        <v>31</v>
      </c>
      <c r="P489" s="20">
        <v>22526</v>
      </c>
      <c r="Q489" s="3" t="s">
        <v>1727</v>
      </c>
      <c r="AD489" s="774"/>
      <c r="AE489" s="655"/>
    </row>
    <row r="490" spans="1:31" ht="12" customHeight="1">
      <c r="A490" s="937"/>
      <c r="B490" s="4" t="s">
        <v>1719</v>
      </c>
      <c r="C490" s="1" t="s">
        <v>6175</v>
      </c>
      <c r="D490" s="1">
        <f t="shared" si="7"/>
        <v>44</v>
      </c>
      <c r="E490" s="2" t="s">
        <v>19</v>
      </c>
      <c r="F490" s="1" t="s">
        <v>15273</v>
      </c>
      <c r="J490" s="4" t="s">
        <v>16125</v>
      </c>
      <c r="L490" s="1" t="s">
        <v>6</v>
      </c>
      <c r="O490" s="3" t="s">
        <v>6176</v>
      </c>
      <c r="P490" s="20">
        <v>24895</v>
      </c>
      <c r="Q490" s="3" t="s">
        <v>6177</v>
      </c>
      <c r="S490" s="3" t="s">
        <v>16093</v>
      </c>
      <c r="AD490" s="774"/>
      <c r="AE490" s="655"/>
    </row>
    <row r="491" spans="1:31" ht="12" customHeight="1">
      <c r="A491" s="937" t="s">
        <v>18223</v>
      </c>
      <c r="B491" s="4" t="s">
        <v>1720</v>
      </c>
      <c r="C491" s="1" t="s">
        <v>5383</v>
      </c>
      <c r="D491" s="1">
        <f t="shared" si="7"/>
        <v>34</v>
      </c>
      <c r="E491" s="2" t="s">
        <v>5</v>
      </c>
      <c r="F491" s="1" t="s">
        <v>15273</v>
      </c>
      <c r="J491" s="4" t="s">
        <v>16116</v>
      </c>
      <c r="K491" s="1" t="s">
        <v>5298</v>
      </c>
      <c r="L491" s="1" t="s">
        <v>6</v>
      </c>
      <c r="O491" s="3" t="s">
        <v>6148</v>
      </c>
      <c r="P491" s="20">
        <v>28673</v>
      </c>
      <c r="Q491" s="3" t="s">
        <v>6149</v>
      </c>
      <c r="AC491" s="3"/>
      <c r="AD491" s="774"/>
      <c r="AE491" s="655"/>
    </row>
    <row r="492" spans="1:31" ht="12" customHeight="1">
      <c r="A492" s="937" t="s">
        <v>18223</v>
      </c>
      <c r="B492" s="4" t="s">
        <v>1721</v>
      </c>
      <c r="C492" s="1" t="s">
        <v>1730</v>
      </c>
      <c r="D492" s="1">
        <f t="shared" si="7"/>
        <v>36</v>
      </c>
      <c r="E492" s="2" t="s">
        <v>5</v>
      </c>
      <c r="F492" s="1" t="s">
        <v>15273</v>
      </c>
      <c r="J492" s="4" t="s">
        <v>16128</v>
      </c>
      <c r="L492" s="1" t="s">
        <v>6</v>
      </c>
      <c r="O492" s="3" t="s">
        <v>1660</v>
      </c>
      <c r="P492" s="20">
        <v>27939</v>
      </c>
      <c r="Q492" s="3" t="s">
        <v>1731</v>
      </c>
      <c r="T492" s="3" t="s">
        <v>1732</v>
      </c>
      <c r="AB492" s="2" t="s">
        <v>1732</v>
      </c>
      <c r="AC492" s="3"/>
      <c r="AD492" s="774"/>
      <c r="AE492" s="655"/>
    </row>
    <row r="493" spans="1:31" ht="12" customHeight="1">
      <c r="A493" s="937"/>
      <c r="B493" s="4" t="s">
        <v>5382</v>
      </c>
      <c r="C493" s="1" t="s">
        <v>1728</v>
      </c>
      <c r="D493" s="1">
        <f t="shared" si="7"/>
        <v>63</v>
      </c>
      <c r="E493" s="2" t="s">
        <v>5</v>
      </c>
      <c r="J493" s="4" t="s">
        <v>16117</v>
      </c>
      <c r="L493" s="1" t="s">
        <v>6</v>
      </c>
      <c r="O493" s="3" t="s">
        <v>182</v>
      </c>
      <c r="P493" s="21">
        <v>18159</v>
      </c>
      <c r="Q493" s="3" t="s">
        <v>1729</v>
      </c>
      <c r="AC493" s="3"/>
      <c r="AD493" s="774"/>
      <c r="AE493" s="655"/>
    </row>
    <row r="494" spans="1:31" ht="12" customHeight="1" thickBot="1">
      <c r="A494" s="938"/>
      <c r="B494" s="700" t="s">
        <v>6174</v>
      </c>
      <c r="C494" s="699" t="s">
        <v>1733</v>
      </c>
      <c r="D494" s="699">
        <f t="shared" si="7"/>
        <v>33</v>
      </c>
      <c r="E494" s="702" t="s">
        <v>5</v>
      </c>
      <c r="F494" s="699"/>
      <c r="G494" s="703"/>
      <c r="H494" s="699"/>
      <c r="I494" s="699"/>
      <c r="J494" s="700" t="s">
        <v>16122</v>
      </c>
      <c r="K494" s="699" t="s">
        <v>22</v>
      </c>
      <c r="L494" s="699" t="s">
        <v>6</v>
      </c>
      <c r="M494" s="705"/>
      <c r="N494" s="706"/>
      <c r="O494" s="703" t="s">
        <v>1734</v>
      </c>
      <c r="P494" s="707">
        <v>28961</v>
      </c>
      <c r="Q494" s="703" t="s">
        <v>1735</v>
      </c>
      <c r="R494" s="703"/>
      <c r="S494" s="703"/>
      <c r="T494" s="703"/>
      <c r="U494" s="702"/>
      <c r="V494" s="702"/>
      <c r="W494" s="702"/>
      <c r="X494" s="702"/>
      <c r="Y494" s="702"/>
      <c r="Z494" s="702"/>
      <c r="AA494" s="702"/>
      <c r="AB494" s="702"/>
      <c r="AC494" s="703"/>
      <c r="AD494" s="793"/>
      <c r="AE494" s="655"/>
    </row>
    <row r="495" spans="1:31" ht="12" customHeight="1">
      <c r="A495" s="936" t="s">
        <v>18220</v>
      </c>
      <c r="B495" s="688" t="s">
        <v>1736</v>
      </c>
      <c r="C495" s="687" t="s">
        <v>1740</v>
      </c>
      <c r="D495" s="687">
        <f t="shared" si="7"/>
        <v>64</v>
      </c>
      <c r="E495" s="696" t="s">
        <v>19</v>
      </c>
      <c r="F495" s="689" t="s">
        <v>15273</v>
      </c>
      <c r="G495" s="747" t="s">
        <v>1741</v>
      </c>
      <c r="H495" s="687"/>
      <c r="I495" s="687"/>
      <c r="J495" s="692" t="s">
        <v>16126</v>
      </c>
      <c r="K495" s="687" t="s">
        <v>44</v>
      </c>
      <c r="L495" s="687" t="s">
        <v>25</v>
      </c>
      <c r="M495" s="748">
        <v>4</v>
      </c>
      <c r="N495" s="749">
        <v>5</v>
      </c>
      <c r="O495" s="747" t="s">
        <v>1742</v>
      </c>
      <c r="P495" s="773">
        <v>17793</v>
      </c>
      <c r="Q495" s="747" t="s">
        <v>1743</v>
      </c>
      <c r="R495" s="747" t="s">
        <v>2516</v>
      </c>
      <c r="S495" s="747" t="s">
        <v>6214</v>
      </c>
      <c r="T495" s="747" t="s">
        <v>1744</v>
      </c>
      <c r="U495" s="696"/>
      <c r="V495" s="696"/>
      <c r="W495" s="696"/>
      <c r="X495" s="696" t="s">
        <v>1745</v>
      </c>
      <c r="Y495" s="696" t="s">
        <v>1658</v>
      </c>
      <c r="Z495" s="696"/>
      <c r="AA495" s="696" t="s">
        <v>1746</v>
      </c>
      <c r="AB495" s="696"/>
      <c r="AC495" s="747"/>
      <c r="AD495" s="805"/>
      <c r="AE495" s="655"/>
    </row>
    <row r="496" spans="1:31" ht="12" customHeight="1">
      <c r="A496" s="937" t="s">
        <v>18246</v>
      </c>
      <c r="B496" s="4" t="s">
        <v>1737</v>
      </c>
      <c r="C496" s="1" t="s">
        <v>1747</v>
      </c>
      <c r="D496" s="1">
        <f t="shared" si="7"/>
        <v>48</v>
      </c>
      <c r="E496" s="2" t="s">
        <v>5</v>
      </c>
      <c r="F496" s="1" t="s">
        <v>15273</v>
      </c>
      <c r="J496" s="4" t="s">
        <v>16120</v>
      </c>
      <c r="K496" s="1" t="s">
        <v>48</v>
      </c>
      <c r="L496" s="1" t="s">
        <v>14</v>
      </c>
      <c r="M496" s="16">
        <v>1</v>
      </c>
      <c r="N496" s="17">
        <v>1</v>
      </c>
      <c r="O496" s="3" t="s">
        <v>1748</v>
      </c>
      <c r="P496" s="20">
        <v>23434</v>
      </c>
      <c r="Q496" s="3" t="s">
        <v>1749</v>
      </c>
      <c r="S496" s="3" t="s">
        <v>5889</v>
      </c>
      <c r="T496" s="3" t="s">
        <v>104</v>
      </c>
      <c r="AA496" s="2" t="s">
        <v>1746</v>
      </c>
      <c r="AC496" s="3"/>
      <c r="AD496" s="774"/>
      <c r="AE496" s="655"/>
    </row>
    <row r="497" spans="1:31" ht="12" customHeight="1">
      <c r="A497" s="937" t="s">
        <v>18245</v>
      </c>
      <c r="B497" s="4" t="s">
        <v>1738</v>
      </c>
      <c r="C497" s="1" t="s">
        <v>5385</v>
      </c>
      <c r="D497" s="1">
        <f t="shared" si="7"/>
        <v>46</v>
      </c>
      <c r="E497" s="2" t="s">
        <v>5</v>
      </c>
      <c r="F497" s="1" t="s">
        <v>15273</v>
      </c>
      <c r="J497" s="4" t="s">
        <v>16116</v>
      </c>
      <c r="K497" s="1" t="s">
        <v>5306</v>
      </c>
      <c r="L497" s="1" t="s">
        <v>6</v>
      </c>
      <c r="O497" s="3" t="s">
        <v>182</v>
      </c>
      <c r="P497" s="20">
        <v>24312</v>
      </c>
      <c r="Q497" s="3" t="s">
        <v>5386</v>
      </c>
      <c r="T497" s="3" t="s">
        <v>145</v>
      </c>
      <c r="V497" s="2" t="s">
        <v>5305</v>
      </c>
      <c r="AC497" s="3"/>
      <c r="AD497" s="774"/>
      <c r="AE497" s="655"/>
    </row>
    <row r="498" spans="1:31" ht="12" customHeight="1">
      <c r="A498" s="937" t="s">
        <v>18223</v>
      </c>
      <c r="B498" s="4" t="s">
        <v>1739</v>
      </c>
      <c r="C498" s="1" t="s">
        <v>1753</v>
      </c>
      <c r="D498" s="1">
        <f t="shared" si="7"/>
        <v>33</v>
      </c>
      <c r="E498" s="2" t="s">
        <v>5</v>
      </c>
      <c r="F498" s="1" t="s">
        <v>15273</v>
      </c>
      <c r="J498" s="4" t="s">
        <v>16128</v>
      </c>
      <c r="L498" s="1" t="s">
        <v>6</v>
      </c>
      <c r="O498" s="3" t="s">
        <v>31</v>
      </c>
      <c r="P498" s="20">
        <v>29084</v>
      </c>
      <c r="Q498" s="3" t="s">
        <v>1754</v>
      </c>
      <c r="AC498" s="3"/>
      <c r="AD498" s="774"/>
      <c r="AE498" s="655"/>
    </row>
    <row r="499" spans="1:31" ht="12" customHeight="1" thickBot="1">
      <c r="A499" s="938"/>
      <c r="B499" s="700" t="s">
        <v>5384</v>
      </c>
      <c r="C499" s="699" t="s">
        <v>1750</v>
      </c>
      <c r="D499" s="699">
        <f t="shared" si="7"/>
        <v>33</v>
      </c>
      <c r="E499" s="702" t="s">
        <v>5</v>
      </c>
      <c r="F499" s="699"/>
      <c r="G499" s="703"/>
      <c r="H499" s="699"/>
      <c r="I499" s="699"/>
      <c r="J499" s="700" t="s">
        <v>16117</v>
      </c>
      <c r="K499" s="699"/>
      <c r="L499" s="699" t="s">
        <v>6</v>
      </c>
      <c r="M499" s="705"/>
      <c r="N499" s="706"/>
      <c r="O499" s="703" t="s">
        <v>1751</v>
      </c>
      <c r="P499" s="707">
        <v>28985</v>
      </c>
      <c r="Q499" s="703" t="s">
        <v>1752</v>
      </c>
      <c r="R499" s="703"/>
      <c r="S499" s="703"/>
      <c r="T499" s="703"/>
      <c r="U499" s="702"/>
      <c r="V499" s="702"/>
      <c r="W499" s="702"/>
      <c r="X499" s="702"/>
      <c r="Y499" s="702"/>
      <c r="Z499" s="702"/>
      <c r="AA499" s="702"/>
      <c r="AB499" s="702"/>
      <c r="AC499" s="703"/>
      <c r="AD499" s="793"/>
      <c r="AE499" s="655"/>
    </row>
    <row r="500" spans="1:31" ht="12" customHeight="1">
      <c r="A500" s="936" t="s">
        <v>18219</v>
      </c>
      <c r="B500" s="688" t="s">
        <v>1755</v>
      </c>
      <c r="C500" s="687" t="s">
        <v>1758</v>
      </c>
      <c r="D500" s="687">
        <f t="shared" si="7"/>
        <v>52</v>
      </c>
      <c r="E500" s="696" t="s">
        <v>5</v>
      </c>
      <c r="F500" s="689" t="s">
        <v>15273</v>
      </c>
      <c r="G500" s="747" t="s">
        <v>1759</v>
      </c>
      <c r="H500" s="687"/>
      <c r="I500" s="687"/>
      <c r="J500" s="692" t="s">
        <v>16127</v>
      </c>
      <c r="K500" s="687" t="s">
        <v>1760</v>
      </c>
      <c r="L500" s="687" t="s">
        <v>25</v>
      </c>
      <c r="M500" s="748">
        <v>4</v>
      </c>
      <c r="N500" s="749">
        <v>4</v>
      </c>
      <c r="O500" s="747" t="s">
        <v>31</v>
      </c>
      <c r="P500" s="773">
        <v>22081</v>
      </c>
      <c r="Q500" s="747" t="s">
        <v>1761</v>
      </c>
      <c r="R500" s="747" t="s">
        <v>2519</v>
      </c>
      <c r="S500" s="747" t="s">
        <v>6214</v>
      </c>
      <c r="T500" s="747" t="s">
        <v>1658</v>
      </c>
      <c r="U500" s="696"/>
      <c r="V500" s="696"/>
      <c r="W500" s="696"/>
      <c r="X500" s="696"/>
      <c r="Y500" s="696" t="s">
        <v>1658</v>
      </c>
      <c r="Z500" s="696"/>
      <c r="AA500" s="696"/>
      <c r="AB500" s="696"/>
      <c r="AC500" s="747"/>
      <c r="AD500" s="805"/>
      <c r="AE500" s="655"/>
    </row>
    <row r="501" spans="1:31" ht="12" customHeight="1">
      <c r="A501" s="937" t="s">
        <v>18245</v>
      </c>
      <c r="B501" s="4" t="s">
        <v>1756</v>
      </c>
      <c r="C501" s="1" t="s">
        <v>1762</v>
      </c>
      <c r="D501" s="1">
        <f t="shared" si="7"/>
        <v>63</v>
      </c>
      <c r="E501" s="2" t="s">
        <v>5</v>
      </c>
      <c r="F501" s="1" t="s">
        <v>15273</v>
      </c>
      <c r="J501" s="4" t="s">
        <v>16120</v>
      </c>
      <c r="K501" s="1" t="s">
        <v>48</v>
      </c>
      <c r="L501" s="1" t="s">
        <v>14</v>
      </c>
      <c r="M501" s="16">
        <v>1</v>
      </c>
      <c r="N501" s="17">
        <v>1</v>
      </c>
      <c r="O501" s="3" t="s">
        <v>1671</v>
      </c>
      <c r="P501" s="20">
        <v>17982</v>
      </c>
      <c r="Q501" s="3" t="s">
        <v>1763</v>
      </c>
      <c r="T501" s="3" t="s">
        <v>1665</v>
      </c>
      <c r="V501" s="2" t="s">
        <v>1665</v>
      </c>
      <c r="AC501" s="3"/>
      <c r="AD501" s="774"/>
      <c r="AE501" s="655"/>
    </row>
    <row r="502" spans="1:31" ht="12" customHeight="1">
      <c r="A502" s="937"/>
      <c r="B502" s="4" t="s">
        <v>1757</v>
      </c>
      <c r="C502" s="1" t="s">
        <v>5739</v>
      </c>
      <c r="D502" s="1">
        <f t="shared" si="7"/>
        <v>52</v>
      </c>
      <c r="E502" s="2" t="s">
        <v>5</v>
      </c>
      <c r="F502" s="1" t="s">
        <v>15273</v>
      </c>
      <c r="J502" s="4" t="s">
        <v>16125</v>
      </c>
      <c r="L502" s="1" t="s">
        <v>6</v>
      </c>
      <c r="O502" s="3" t="s">
        <v>188</v>
      </c>
      <c r="P502" s="20">
        <v>22063</v>
      </c>
      <c r="Q502" s="3" t="s">
        <v>15995</v>
      </c>
      <c r="S502" s="3" t="s">
        <v>16093</v>
      </c>
      <c r="AC502" s="3"/>
      <c r="AD502" s="774"/>
      <c r="AE502" s="655"/>
    </row>
    <row r="503" spans="1:31" ht="12" customHeight="1">
      <c r="A503" s="937" t="s">
        <v>18245</v>
      </c>
      <c r="B503" s="4" t="s">
        <v>5093</v>
      </c>
      <c r="C503" s="1" t="s">
        <v>5094</v>
      </c>
      <c r="D503" s="1">
        <f t="shared" si="7"/>
        <v>45</v>
      </c>
      <c r="E503" s="2" t="s">
        <v>5</v>
      </c>
      <c r="F503" s="1" t="s">
        <v>15273</v>
      </c>
      <c r="J503" s="4" t="s">
        <v>16116</v>
      </c>
      <c r="K503" s="1" t="s">
        <v>4422</v>
      </c>
      <c r="L503" s="1" t="s">
        <v>6</v>
      </c>
      <c r="O503" s="3" t="s">
        <v>31</v>
      </c>
      <c r="P503" s="20">
        <v>24620</v>
      </c>
      <c r="Q503" s="3" t="s">
        <v>5095</v>
      </c>
      <c r="T503" s="3" t="s">
        <v>5096</v>
      </c>
      <c r="V503" s="2" t="s">
        <v>5096</v>
      </c>
      <c r="AC503" s="3"/>
      <c r="AD503" s="774"/>
      <c r="AE503" s="655"/>
    </row>
    <row r="504" spans="1:31" ht="12" customHeight="1">
      <c r="A504" s="937"/>
      <c r="B504" s="4" t="s">
        <v>5738</v>
      </c>
      <c r="C504" s="1" t="s">
        <v>1764</v>
      </c>
      <c r="D504" s="1">
        <f t="shared" si="7"/>
        <v>36</v>
      </c>
      <c r="E504" s="2" t="s">
        <v>5</v>
      </c>
      <c r="J504" s="4" t="s">
        <v>16117</v>
      </c>
      <c r="L504" s="1" t="s">
        <v>6</v>
      </c>
      <c r="O504" s="3" t="s">
        <v>1765</v>
      </c>
      <c r="P504" s="20">
        <v>27807</v>
      </c>
      <c r="Q504" s="3" t="s">
        <v>1766</v>
      </c>
      <c r="AC504" s="3"/>
      <c r="AD504" s="774"/>
      <c r="AE504" s="655"/>
    </row>
    <row r="505" spans="1:31" ht="12" customHeight="1" thickBot="1">
      <c r="A505" s="938"/>
      <c r="B505" s="700" t="s">
        <v>15996</v>
      </c>
      <c r="C505" s="699" t="s">
        <v>15997</v>
      </c>
      <c r="D505" s="699">
        <f t="shared" si="7"/>
        <v>76</v>
      </c>
      <c r="E505" s="702" t="s">
        <v>5</v>
      </c>
      <c r="F505" s="699"/>
      <c r="G505" s="703"/>
      <c r="H505" s="699"/>
      <c r="I505" s="699"/>
      <c r="J505" s="700" t="s">
        <v>16129</v>
      </c>
      <c r="K505" s="699"/>
      <c r="L505" s="699" t="s">
        <v>6</v>
      </c>
      <c r="M505" s="705"/>
      <c r="N505" s="706"/>
      <c r="O505" s="703" t="s">
        <v>16109</v>
      </c>
      <c r="P505" s="707">
        <v>13271</v>
      </c>
      <c r="Q505" s="703" t="s">
        <v>15998</v>
      </c>
      <c r="R505" s="703"/>
      <c r="S505" s="703"/>
      <c r="T505" s="703"/>
      <c r="U505" s="702"/>
      <c r="V505" s="702"/>
      <c r="W505" s="702"/>
      <c r="X505" s="702"/>
      <c r="Y505" s="702"/>
      <c r="Z505" s="702"/>
      <c r="AA505" s="702"/>
      <c r="AB505" s="702"/>
      <c r="AC505" s="703"/>
      <c r="AD505" s="793"/>
      <c r="AE505" s="655"/>
    </row>
    <row r="506" spans="1:31" ht="12" customHeight="1">
      <c r="A506" s="936" t="s">
        <v>18223</v>
      </c>
      <c r="B506" s="688" t="s">
        <v>1767</v>
      </c>
      <c r="C506" s="687" t="s">
        <v>5827</v>
      </c>
      <c r="D506" s="687">
        <f t="shared" si="7"/>
        <v>65</v>
      </c>
      <c r="E506" s="696" t="s">
        <v>19</v>
      </c>
      <c r="F506" s="689" t="s">
        <v>15273</v>
      </c>
      <c r="G506" s="747"/>
      <c r="H506" s="687"/>
      <c r="I506" s="687"/>
      <c r="J506" s="692" t="s">
        <v>16127</v>
      </c>
      <c r="K506" s="687" t="s">
        <v>604</v>
      </c>
      <c r="L506" s="687" t="s">
        <v>6</v>
      </c>
      <c r="M506" s="748"/>
      <c r="N506" s="749">
        <v>6</v>
      </c>
      <c r="O506" s="747" t="s">
        <v>5828</v>
      </c>
      <c r="P506" s="773">
        <v>17208</v>
      </c>
      <c r="Q506" s="747" t="s">
        <v>5829</v>
      </c>
      <c r="R506" s="747" t="s">
        <v>5831</v>
      </c>
      <c r="S506" s="747"/>
      <c r="T506" s="747" t="s">
        <v>5830</v>
      </c>
      <c r="U506" s="696"/>
      <c r="V506" s="696"/>
      <c r="W506" s="696"/>
      <c r="X506" s="696"/>
      <c r="Y506" s="696"/>
      <c r="Z506" s="696"/>
      <c r="AA506" s="696"/>
      <c r="AB506" s="696"/>
      <c r="AC506" s="747"/>
      <c r="AD506" s="805"/>
      <c r="AE506" s="655"/>
    </row>
    <row r="507" spans="1:31" ht="12" customHeight="1">
      <c r="A507" s="937" t="s">
        <v>18218</v>
      </c>
      <c r="B507" s="4" t="s">
        <v>1768</v>
      </c>
      <c r="C507" s="1" t="s">
        <v>1770</v>
      </c>
      <c r="D507" s="1">
        <f t="shared" si="7"/>
        <v>55</v>
      </c>
      <c r="E507" s="2" t="s">
        <v>5</v>
      </c>
      <c r="F507" s="1" t="s">
        <v>15273</v>
      </c>
      <c r="G507" s="3" t="s">
        <v>1771</v>
      </c>
      <c r="J507" s="8" t="s">
        <v>16120</v>
      </c>
      <c r="K507" s="1" t="s">
        <v>934</v>
      </c>
      <c r="L507" s="1" t="s">
        <v>25</v>
      </c>
      <c r="M507" s="16">
        <v>7</v>
      </c>
      <c r="N507" s="17">
        <v>7</v>
      </c>
      <c r="O507" s="3" t="s">
        <v>31</v>
      </c>
      <c r="P507" s="20">
        <v>20929</v>
      </c>
      <c r="Q507" s="3" t="s">
        <v>1772</v>
      </c>
      <c r="R507" s="3" t="s">
        <v>1774</v>
      </c>
      <c r="S507" s="3" t="s">
        <v>5457</v>
      </c>
      <c r="T507" s="3" t="s">
        <v>1773</v>
      </c>
      <c r="Y507" s="2" t="s">
        <v>1658</v>
      </c>
      <c r="AA507" s="2" t="s">
        <v>1696</v>
      </c>
      <c r="AC507" s="3"/>
      <c r="AD507" s="774"/>
      <c r="AE507" s="655"/>
    </row>
    <row r="508" spans="1:31" ht="12" customHeight="1">
      <c r="A508" s="937"/>
      <c r="B508" s="4" t="s">
        <v>1769</v>
      </c>
      <c r="C508" s="1" t="s">
        <v>1775</v>
      </c>
      <c r="D508" s="1">
        <f t="shared" si="7"/>
        <v>28</v>
      </c>
      <c r="E508" s="2" t="s">
        <v>5</v>
      </c>
      <c r="J508" s="4" t="s">
        <v>16117</v>
      </c>
      <c r="L508" s="1" t="s">
        <v>6</v>
      </c>
      <c r="O508" s="3" t="s">
        <v>983</v>
      </c>
      <c r="P508" s="21">
        <v>30988</v>
      </c>
      <c r="Q508" s="3" t="s">
        <v>1776</v>
      </c>
      <c r="AC508" s="3"/>
      <c r="AD508" s="774"/>
      <c r="AE508" s="655"/>
    </row>
    <row r="509" spans="1:31" ht="12" customHeight="1" thickBot="1">
      <c r="A509" s="938" t="s">
        <v>18223</v>
      </c>
      <c r="B509" s="700" t="s">
        <v>15623</v>
      </c>
      <c r="C509" s="699" t="s">
        <v>15624</v>
      </c>
      <c r="D509" s="699">
        <f t="shared" si="7"/>
        <v>38</v>
      </c>
      <c r="E509" s="702" t="s">
        <v>5</v>
      </c>
      <c r="F509" s="699"/>
      <c r="G509" s="703"/>
      <c r="H509" s="699"/>
      <c r="I509" s="699"/>
      <c r="J509" s="704" t="s">
        <v>16129</v>
      </c>
      <c r="K509" s="699"/>
      <c r="L509" s="699" t="s">
        <v>6</v>
      </c>
      <c r="M509" s="705"/>
      <c r="N509" s="706"/>
      <c r="O509" s="703" t="s">
        <v>18243</v>
      </c>
      <c r="P509" s="723">
        <v>27357</v>
      </c>
      <c r="Q509" s="703" t="s">
        <v>15626</v>
      </c>
      <c r="R509" s="703"/>
      <c r="S509" s="703" t="s">
        <v>45</v>
      </c>
      <c r="T509" s="703" t="s">
        <v>15627</v>
      </c>
      <c r="U509" s="702"/>
      <c r="V509" s="702"/>
      <c r="W509" s="702"/>
      <c r="X509" s="702"/>
      <c r="Y509" s="702"/>
      <c r="Z509" s="702" t="s">
        <v>15627</v>
      </c>
      <c r="AA509" s="702"/>
      <c r="AB509" s="702"/>
      <c r="AC509" s="703"/>
      <c r="AD509" s="793"/>
      <c r="AE509" s="655"/>
    </row>
    <row r="510" spans="1:31" ht="12" customHeight="1">
      <c r="A510" s="936" t="s">
        <v>18223</v>
      </c>
      <c r="B510" s="688" t="s">
        <v>1777</v>
      </c>
      <c r="C510" s="687" t="s">
        <v>4412</v>
      </c>
      <c r="D510" s="687">
        <f t="shared" si="7"/>
        <v>49</v>
      </c>
      <c r="E510" s="696" t="s">
        <v>5</v>
      </c>
      <c r="F510" s="689" t="s">
        <v>15273</v>
      </c>
      <c r="G510" s="747"/>
      <c r="H510" s="687"/>
      <c r="I510" s="687"/>
      <c r="J510" s="692" t="s">
        <v>16126</v>
      </c>
      <c r="K510" s="687" t="s">
        <v>44</v>
      </c>
      <c r="L510" s="687" t="s">
        <v>6</v>
      </c>
      <c r="M510" s="748"/>
      <c r="N510" s="749"/>
      <c r="O510" s="747" t="s">
        <v>1038</v>
      </c>
      <c r="P510" s="773">
        <v>23265</v>
      </c>
      <c r="Q510" s="747" t="s">
        <v>4433</v>
      </c>
      <c r="R510" s="747"/>
      <c r="S510" s="747" t="s">
        <v>6214</v>
      </c>
      <c r="T510" s="747"/>
      <c r="U510" s="696"/>
      <c r="V510" s="696"/>
      <c r="W510" s="696"/>
      <c r="X510" s="696"/>
      <c r="Y510" s="696"/>
      <c r="Z510" s="696"/>
      <c r="AA510" s="696"/>
      <c r="AB510" s="696"/>
      <c r="AC510" s="747"/>
      <c r="AD510" s="805"/>
      <c r="AE510" s="655"/>
    </row>
    <row r="511" spans="1:31" ht="12" customHeight="1">
      <c r="A511" s="937" t="s">
        <v>18218</v>
      </c>
      <c r="B511" s="4" t="s">
        <v>1778</v>
      </c>
      <c r="C511" s="1" t="s">
        <v>1781</v>
      </c>
      <c r="D511" s="1">
        <f t="shared" si="7"/>
        <v>50</v>
      </c>
      <c r="E511" s="2" t="s">
        <v>5</v>
      </c>
      <c r="F511" s="1" t="s">
        <v>15273</v>
      </c>
      <c r="G511" s="3" t="s">
        <v>1782</v>
      </c>
      <c r="J511" s="4" t="s">
        <v>16120</v>
      </c>
      <c r="K511" s="1" t="s">
        <v>30</v>
      </c>
      <c r="L511" s="1" t="s">
        <v>25</v>
      </c>
      <c r="M511" s="16">
        <v>3</v>
      </c>
      <c r="N511" s="17">
        <v>3</v>
      </c>
      <c r="O511" s="3" t="s">
        <v>188</v>
      </c>
      <c r="P511" s="20">
        <v>22653</v>
      </c>
      <c r="Q511" s="3" t="s">
        <v>1783</v>
      </c>
      <c r="R511" s="3" t="s">
        <v>1784</v>
      </c>
      <c r="S511" s="3" t="s">
        <v>15615</v>
      </c>
      <c r="T511" s="3" t="s">
        <v>1665</v>
      </c>
      <c r="V511" s="2" t="s">
        <v>1665</v>
      </c>
      <c r="AC511" s="3"/>
      <c r="AD511" s="774"/>
      <c r="AE511" s="655"/>
    </row>
    <row r="512" spans="1:31" ht="12" customHeight="1">
      <c r="A512" s="937" t="s">
        <v>18223</v>
      </c>
      <c r="B512" s="4" t="s">
        <v>1779</v>
      </c>
      <c r="C512" s="1" t="s">
        <v>1788</v>
      </c>
      <c r="D512" s="1">
        <f t="shared" si="7"/>
        <v>46</v>
      </c>
      <c r="E512" s="2" t="s">
        <v>5</v>
      </c>
      <c r="F512" s="1" t="s">
        <v>15273</v>
      </c>
      <c r="G512" s="3" t="s">
        <v>1789</v>
      </c>
      <c r="J512" s="4" t="s">
        <v>16125</v>
      </c>
      <c r="L512" s="1" t="s">
        <v>25</v>
      </c>
      <c r="M512" s="16">
        <v>1</v>
      </c>
      <c r="N512" s="17">
        <v>1</v>
      </c>
      <c r="O512" s="3" t="s">
        <v>31</v>
      </c>
      <c r="P512" s="20">
        <v>24349</v>
      </c>
      <c r="Q512" s="3" t="s">
        <v>1790</v>
      </c>
      <c r="S512" s="3" t="s">
        <v>16093</v>
      </c>
      <c r="AA512" s="3"/>
      <c r="AB512" s="3"/>
      <c r="AC512" s="3"/>
      <c r="AD512" s="774"/>
      <c r="AE512" s="655"/>
    </row>
    <row r="513" spans="1:31" ht="12" customHeight="1" thickBot="1">
      <c r="A513" s="938"/>
      <c r="B513" s="700" t="s">
        <v>1780</v>
      </c>
      <c r="C513" s="699" t="s">
        <v>1785</v>
      </c>
      <c r="D513" s="699">
        <f t="shared" si="7"/>
        <v>41</v>
      </c>
      <c r="E513" s="702" t="s">
        <v>5</v>
      </c>
      <c r="F513" s="699"/>
      <c r="G513" s="703"/>
      <c r="H513" s="699"/>
      <c r="I513" s="699"/>
      <c r="J513" s="700" t="s">
        <v>16117</v>
      </c>
      <c r="K513" s="699"/>
      <c r="L513" s="699" t="s">
        <v>6</v>
      </c>
      <c r="M513" s="705"/>
      <c r="N513" s="706"/>
      <c r="O513" s="703" t="s">
        <v>1786</v>
      </c>
      <c r="P513" s="723">
        <v>25986</v>
      </c>
      <c r="Q513" s="703" t="s">
        <v>1712</v>
      </c>
      <c r="R513" s="703"/>
      <c r="S513" s="703"/>
      <c r="T513" s="703"/>
      <c r="U513" s="702"/>
      <c r="V513" s="702"/>
      <c r="W513" s="702"/>
      <c r="X513" s="702"/>
      <c r="Y513" s="702"/>
      <c r="Z513" s="702"/>
      <c r="AA513" s="702"/>
      <c r="AB513" s="702"/>
      <c r="AC513" s="703"/>
      <c r="AD513" s="793"/>
      <c r="AE513" s="655"/>
    </row>
    <row r="514" spans="1:31" ht="12" customHeight="1">
      <c r="A514" s="936" t="s">
        <v>18245</v>
      </c>
      <c r="B514" s="688" t="s">
        <v>1791</v>
      </c>
      <c r="C514" s="687" t="s">
        <v>1795</v>
      </c>
      <c r="D514" s="687">
        <f t="shared" ref="D514:D577" si="8">DATEDIF(P514,$P$1298,"Y")</f>
        <v>52</v>
      </c>
      <c r="E514" s="696" t="s">
        <v>19</v>
      </c>
      <c r="F514" s="689" t="s">
        <v>15273</v>
      </c>
      <c r="G514" s="747" t="s">
        <v>1796</v>
      </c>
      <c r="H514" s="687"/>
      <c r="I514" s="687"/>
      <c r="J514" s="692" t="s">
        <v>16127</v>
      </c>
      <c r="K514" s="687" t="s">
        <v>44</v>
      </c>
      <c r="L514" s="687" t="s">
        <v>25</v>
      </c>
      <c r="M514" s="748">
        <v>1</v>
      </c>
      <c r="N514" s="749">
        <v>1</v>
      </c>
      <c r="O514" s="747" t="s">
        <v>1038</v>
      </c>
      <c r="P514" s="773">
        <v>21906</v>
      </c>
      <c r="Q514" s="747" t="s">
        <v>1797</v>
      </c>
      <c r="R514" s="747"/>
      <c r="S514" s="747" t="s">
        <v>6214</v>
      </c>
      <c r="T514" s="747"/>
      <c r="U514" s="696"/>
      <c r="V514" s="696"/>
      <c r="W514" s="696"/>
      <c r="X514" s="696"/>
      <c r="Y514" s="696"/>
      <c r="Z514" s="696"/>
      <c r="AA514" s="747"/>
      <c r="AB514" s="747"/>
      <c r="AC514" s="747"/>
      <c r="AD514" s="805"/>
      <c r="AE514" s="655"/>
    </row>
    <row r="515" spans="1:31" ht="12" customHeight="1">
      <c r="A515" s="937" t="s">
        <v>18219</v>
      </c>
      <c r="B515" s="4" t="s">
        <v>1792</v>
      </c>
      <c r="C515" s="1" t="s">
        <v>1798</v>
      </c>
      <c r="D515" s="1">
        <f t="shared" si="8"/>
        <v>60</v>
      </c>
      <c r="E515" s="2" t="s">
        <v>19</v>
      </c>
      <c r="F515" s="1" t="s">
        <v>15273</v>
      </c>
      <c r="G515" s="3" t="s">
        <v>1799</v>
      </c>
      <c r="J515" s="4" t="s">
        <v>16120</v>
      </c>
      <c r="K515" s="1" t="s">
        <v>30</v>
      </c>
      <c r="L515" s="1" t="s">
        <v>25</v>
      </c>
      <c r="M515" s="16">
        <v>6</v>
      </c>
      <c r="N515" s="17">
        <v>7</v>
      </c>
      <c r="O515" s="3" t="s">
        <v>1800</v>
      </c>
      <c r="P515" s="20">
        <v>19190</v>
      </c>
      <c r="Q515" s="3" t="s">
        <v>1802</v>
      </c>
      <c r="R515" s="3" t="s">
        <v>1803</v>
      </c>
      <c r="S515" s="3" t="s">
        <v>5457</v>
      </c>
      <c r="T515" s="3" t="s">
        <v>1801</v>
      </c>
      <c r="X515" s="2" t="s">
        <v>1745</v>
      </c>
      <c r="Y515" s="2" t="s">
        <v>1658</v>
      </c>
      <c r="AA515" s="3"/>
      <c r="AB515" s="3"/>
      <c r="AC515" s="3"/>
      <c r="AD515" s="774"/>
      <c r="AE515" s="655"/>
    </row>
    <row r="516" spans="1:31" ht="12" customHeight="1">
      <c r="A516" s="937"/>
      <c r="B516" s="4" t="s">
        <v>1793</v>
      </c>
      <c r="C516" s="1" t="s">
        <v>5740</v>
      </c>
      <c r="D516" s="1">
        <f t="shared" si="8"/>
        <v>44</v>
      </c>
      <c r="E516" s="2" t="s">
        <v>5</v>
      </c>
      <c r="F516" s="1" t="s">
        <v>15273</v>
      </c>
      <c r="J516" s="4" t="s">
        <v>16125</v>
      </c>
      <c r="L516" s="1" t="s">
        <v>6</v>
      </c>
      <c r="O516" s="3" t="s">
        <v>1903</v>
      </c>
      <c r="P516" s="20">
        <v>25167</v>
      </c>
      <c r="Q516" s="3" t="s">
        <v>5741</v>
      </c>
      <c r="S516" s="3" t="s">
        <v>16093</v>
      </c>
      <c r="AA516" s="3"/>
      <c r="AB516" s="3"/>
      <c r="AC516" s="3"/>
      <c r="AD516" s="774"/>
      <c r="AE516" s="655"/>
    </row>
    <row r="517" spans="1:31" ht="12" customHeight="1" thickBot="1">
      <c r="A517" s="938"/>
      <c r="B517" s="700" t="s">
        <v>1794</v>
      </c>
      <c r="C517" s="699" t="s">
        <v>1804</v>
      </c>
      <c r="D517" s="699">
        <f t="shared" si="8"/>
        <v>64</v>
      </c>
      <c r="E517" s="702" t="s">
        <v>19</v>
      </c>
      <c r="F517" s="699"/>
      <c r="G517" s="703"/>
      <c r="H517" s="699"/>
      <c r="I517" s="699"/>
      <c r="J517" s="700" t="s">
        <v>16117</v>
      </c>
      <c r="K517" s="699"/>
      <c r="L517" s="699" t="s">
        <v>6</v>
      </c>
      <c r="M517" s="705"/>
      <c r="N517" s="706"/>
      <c r="O517" s="703" t="s">
        <v>1805</v>
      </c>
      <c r="P517" s="723">
        <v>17718</v>
      </c>
      <c r="Q517" s="703" t="s">
        <v>1806</v>
      </c>
      <c r="R517" s="703"/>
      <c r="S517" s="703"/>
      <c r="T517" s="703"/>
      <c r="U517" s="702"/>
      <c r="V517" s="702"/>
      <c r="W517" s="702"/>
      <c r="X517" s="702"/>
      <c r="Y517" s="702"/>
      <c r="Z517" s="702"/>
      <c r="AA517" s="703"/>
      <c r="AB517" s="703"/>
      <c r="AC517" s="703"/>
      <c r="AD517" s="793"/>
      <c r="AE517" s="655"/>
    </row>
    <row r="518" spans="1:31" ht="12" customHeight="1">
      <c r="A518" s="936" t="s">
        <v>18245</v>
      </c>
      <c r="B518" s="688" t="s">
        <v>1813</v>
      </c>
      <c r="C518" s="687" t="s">
        <v>5449</v>
      </c>
      <c r="D518" s="687">
        <f t="shared" si="8"/>
        <v>45</v>
      </c>
      <c r="E518" s="696" t="s">
        <v>19</v>
      </c>
      <c r="F518" s="689" t="s">
        <v>15273</v>
      </c>
      <c r="G518" s="747"/>
      <c r="H518" s="687"/>
      <c r="I518" s="687"/>
      <c r="J518" s="692" t="s">
        <v>16127</v>
      </c>
      <c r="K518" s="687" t="s">
        <v>44</v>
      </c>
      <c r="L518" s="687" t="s">
        <v>6</v>
      </c>
      <c r="M518" s="748"/>
      <c r="N518" s="749"/>
      <c r="O518" s="747" t="s">
        <v>682</v>
      </c>
      <c r="P518" s="773">
        <v>24763</v>
      </c>
      <c r="Q518" s="747" t="s">
        <v>5637</v>
      </c>
      <c r="R518" s="747"/>
      <c r="S518" s="747" t="s">
        <v>6214</v>
      </c>
      <c r="T518" s="747"/>
      <c r="U518" s="696"/>
      <c r="V518" s="696"/>
      <c r="W518" s="696"/>
      <c r="X518" s="696"/>
      <c r="Y518" s="696"/>
      <c r="Z518" s="696"/>
      <c r="AA518" s="747"/>
      <c r="AB518" s="747"/>
      <c r="AC518" s="747"/>
      <c r="AD518" s="805"/>
      <c r="AE518" s="655"/>
    </row>
    <row r="519" spans="1:31" ht="12" customHeight="1">
      <c r="A519" s="937" t="s">
        <v>18219</v>
      </c>
      <c r="B519" s="4" t="s">
        <v>1814</v>
      </c>
      <c r="C519" s="1" t="s">
        <v>1817</v>
      </c>
      <c r="D519" s="1">
        <f t="shared" si="8"/>
        <v>58</v>
      </c>
      <c r="E519" s="2" t="s">
        <v>5</v>
      </c>
      <c r="F519" s="1" t="s">
        <v>15273</v>
      </c>
      <c r="G519" s="3" t="s">
        <v>1818</v>
      </c>
      <c r="J519" s="8" t="s">
        <v>16120</v>
      </c>
      <c r="K519" s="1" t="s">
        <v>48</v>
      </c>
      <c r="L519" s="1" t="s">
        <v>25</v>
      </c>
      <c r="M519" s="16">
        <v>5</v>
      </c>
      <c r="N519" s="17">
        <v>5</v>
      </c>
      <c r="O519" s="3" t="s">
        <v>188</v>
      </c>
      <c r="P519" s="20">
        <v>19867</v>
      </c>
      <c r="Q519" s="3" t="s">
        <v>1819</v>
      </c>
      <c r="R519" s="3" t="s">
        <v>1821</v>
      </c>
      <c r="S519" s="3" t="s">
        <v>5457</v>
      </c>
      <c r="T519" s="3" t="s">
        <v>1820</v>
      </c>
      <c r="V519" s="2" t="s">
        <v>145</v>
      </c>
      <c r="AA519" s="3"/>
      <c r="AB519" s="3"/>
      <c r="AC519" s="3"/>
      <c r="AD519" s="774"/>
      <c r="AE519" s="655"/>
    </row>
    <row r="520" spans="1:31" ht="12" customHeight="1">
      <c r="A520" s="937" t="s">
        <v>18223</v>
      </c>
      <c r="B520" s="4" t="s">
        <v>1815</v>
      </c>
      <c r="C520" s="1" t="s">
        <v>5742</v>
      </c>
      <c r="D520" s="1">
        <f t="shared" si="8"/>
        <v>43</v>
      </c>
      <c r="E520" s="2" t="s">
        <v>19</v>
      </c>
      <c r="F520" s="1" t="s">
        <v>15273</v>
      </c>
      <c r="J520" s="4" t="s">
        <v>16125</v>
      </c>
      <c r="L520" s="1" t="s">
        <v>6</v>
      </c>
      <c r="O520" s="3" t="s">
        <v>5743</v>
      </c>
      <c r="P520" s="20">
        <v>25395</v>
      </c>
      <c r="Q520" s="3" t="s">
        <v>5744</v>
      </c>
      <c r="S520" s="3" t="s">
        <v>16093</v>
      </c>
      <c r="T520" s="3" t="s">
        <v>145</v>
      </c>
      <c r="V520" s="2" t="s">
        <v>145</v>
      </c>
      <c r="AA520" s="3"/>
      <c r="AB520" s="3"/>
      <c r="AC520" s="3"/>
      <c r="AD520" s="774"/>
      <c r="AE520" s="655"/>
    </row>
    <row r="521" spans="1:31" ht="12" customHeight="1">
      <c r="A521" s="937" t="s">
        <v>18223</v>
      </c>
      <c r="B521" s="4" t="s">
        <v>1816</v>
      </c>
      <c r="C521" s="1" t="s">
        <v>5979</v>
      </c>
      <c r="D521" s="1">
        <f t="shared" si="8"/>
        <v>47</v>
      </c>
      <c r="E521" s="2" t="s">
        <v>5</v>
      </c>
      <c r="F521" s="1" t="s">
        <v>15273</v>
      </c>
      <c r="J521" s="4" t="s">
        <v>16116</v>
      </c>
      <c r="K521" s="1" t="s">
        <v>5942</v>
      </c>
      <c r="L521" s="1" t="s">
        <v>6</v>
      </c>
      <c r="O521" s="3" t="s">
        <v>450</v>
      </c>
      <c r="P521" s="20">
        <v>23756</v>
      </c>
      <c r="Q521" s="3" t="s">
        <v>15999</v>
      </c>
      <c r="S521" s="3" t="s">
        <v>6155</v>
      </c>
      <c r="T521" s="3" t="s">
        <v>15983</v>
      </c>
      <c r="U521" s="2" t="s">
        <v>47</v>
      </c>
      <c r="AA521" s="3"/>
      <c r="AB521" s="3"/>
      <c r="AC521" s="3"/>
      <c r="AD521" s="774"/>
      <c r="AE521" s="655"/>
    </row>
    <row r="522" spans="1:31" ht="12" customHeight="1" thickBot="1">
      <c r="A522" s="938"/>
      <c r="B522" s="700" t="s">
        <v>5978</v>
      </c>
      <c r="C522" s="699" t="s">
        <v>1822</v>
      </c>
      <c r="D522" s="699">
        <f t="shared" si="8"/>
        <v>58</v>
      </c>
      <c r="E522" s="702" t="s">
        <v>5</v>
      </c>
      <c r="F522" s="699"/>
      <c r="G522" s="703"/>
      <c r="H522" s="699"/>
      <c r="I522" s="699"/>
      <c r="J522" s="700" t="s">
        <v>16117</v>
      </c>
      <c r="K522" s="699"/>
      <c r="L522" s="699" t="s">
        <v>6</v>
      </c>
      <c r="M522" s="705"/>
      <c r="N522" s="706"/>
      <c r="O522" s="703" t="s">
        <v>447</v>
      </c>
      <c r="P522" s="723">
        <v>19820</v>
      </c>
      <c r="Q522" s="703" t="s">
        <v>1823</v>
      </c>
      <c r="R522" s="703"/>
      <c r="S522" s="703"/>
      <c r="T522" s="703"/>
      <c r="U522" s="702"/>
      <c r="V522" s="702"/>
      <c r="W522" s="702"/>
      <c r="X522" s="702"/>
      <c r="Y522" s="702"/>
      <c r="Z522" s="702"/>
      <c r="AA522" s="703"/>
      <c r="AB522" s="703"/>
      <c r="AC522" s="703"/>
      <c r="AD522" s="793"/>
      <c r="AE522" s="655"/>
    </row>
    <row r="523" spans="1:31" ht="12" customHeight="1">
      <c r="A523" s="936" t="s">
        <v>18245</v>
      </c>
      <c r="B523" s="688" t="s">
        <v>1827</v>
      </c>
      <c r="C523" s="687" t="s">
        <v>1831</v>
      </c>
      <c r="D523" s="687">
        <f t="shared" si="8"/>
        <v>47</v>
      </c>
      <c r="E523" s="696" t="s">
        <v>19</v>
      </c>
      <c r="F523" s="687" t="s">
        <v>15273</v>
      </c>
      <c r="G523" s="747" t="s">
        <v>1832</v>
      </c>
      <c r="H523" s="687"/>
      <c r="I523" s="687"/>
      <c r="J523" s="688" t="s">
        <v>16125</v>
      </c>
      <c r="K523" s="687"/>
      <c r="L523" s="687" t="s">
        <v>25</v>
      </c>
      <c r="M523" s="748">
        <v>2</v>
      </c>
      <c r="N523" s="749">
        <v>3</v>
      </c>
      <c r="O523" s="747" t="s">
        <v>1833</v>
      </c>
      <c r="P523" s="773">
        <v>23972</v>
      </c>
      <c r="Q523" s="747" t="s">
        <v>1834</v>
      </c>
      <c r="R523" s="747" t="s">
        <v>1835</v>
      </c>
      <c r="S523" s="747" t="s">
        <v>16093</v>
      </c>
      <c r="T523" s="747" t="s">
        <v>1836</v>
      </c>
      <c r="U523" s="696"/>
      <c r="V523" s="696"/>
      <c r="W523" s="696"/>
      <c r="X523" s="696" t="s">
        <v>1837</v>
      </c>
      <c r="Y523" s="696"/>
      <c r="Z523" s="696" t="s">
        <v>1838</v>
      </c>
      <c r="AA523" s="747"/>
      <c r="AB523" s="747"/>
      <c r="AC523" s="747"/>
      <c r="AD523" s="805"/>
      <c r="AE523" s="655"/>
    </row>
    <row r="524" spans="1:31" ht="12" customHeight="1">
      <c r="A524" s="937" t="s">
        <v>18219</v>
      </c>
      <c r="B524" s="4" t="s">
        <v>1828</v>
      </c>
      <c r="C524" s="1" t="s">
        <v>1839</v>
      </c>
      <c r="D524" s="1">
        <f t="shared" si="8"/>
        <v>67</v>
      </c>
      <c r="E524" s="2" t="s">
        <v>5</v>
      </c>
      <c r="J524" s="4" t="s">
        <v>16118</v>
      </c>
      <c r="L524" s="1" t="s">
        <v>14</v>
      </c>
      <c r="M524" s="16">
        <v>5</v>
      </c>
      <c r="N524" s="17">
        <v>5</v>
      </c>
      <c r="O524" s="3" t="s">
        <v>1282</v>
      </c>
      <c r="P524" s="20">
        <v>16716</v>
      </c>
      <c r="Q524" s="3" t="s">
        <v>1840</v>
      </c>
      <c r="R524" s="3" t="s">
        <v>1841</v>
      </c>
      <c r="S524" s="3" t="s">
        <v>5091</v>
      </c>
      <c r="AA524" s="3"/>
      <c r="AB524" s="3"/>
      <c r="AC524" s="3"/>
      <c r="AD524" s="774"/>
      <c r="AE524" s="655"/>
    </row>
    <row r="525" spans="1:31" ht="12" customHeight="1">
      <c r="A525" s="937" t="s">
        <v>18223</v>
      </c>
      <c r="B525" s="4" t="s">
        <v>1829</v>
      </c>
      <c r="C525" s="1" t="s">
        <v>1842</v>
      </c>
      <c r="D525" s="1">
        <f t="shared" si="8"/>
        <v>30</v>
      </c>
      <c r="E525" s="2" t="s">
        <v>19</v>
      </c>
      <c r="F525" s="1" t="s">
        <v>15273</v>
      </c>
      <c r="J525" s="4" t="s">
        <v>16117</v>
      </c>
      <c r="L525" s="1" t="s">
        <v>6</v>
      </c>
      <c r="O525" s="3" t="s">
        <v>381</v>
      </c>
      <c r="P525" s="20">
        <v>30209</v>
      </c>
      <c r="Q525" s="3" t="s">
        <v>1843</v>
      </c>
      <c r="AA525" s="3"/>
      <c r="AB525" s="3"/>
      <c r="AC525" s="3"/>
      <c r="AD525" s="774"/>
      <c r="AE525" s="655"/>
    </row>
    <row r="526" spans="1:31" ht="12" customHeight="1" thickBot="1">
      <c r="A526" s="938"/>
      <c r="B526" s="700" t="s">
        <v>1830</v>
      </c>
      <c r="C526" s="699" t="s">
        <v>1844</v>
      </c>
      <c r="D526" s="699">
        <f t="shared" si="8"/>
        <v>34</v>
      </c>
      <c r="E526" s="702" t="s">
        <v>19</v>
      </c>
      <c r="F526" s="699"/>
      <c r="G526" s="703"/>
      <c r="H526" s="699"/>
      <c r="I526" s="699"/>
      <c r="J526" s="700" t="s">
        <v>16122</v>
      </c>
      <c r="K526" s="699" t="s">
        <v>22</v>
      </c>
      <c r="L526" s="699" t="s">
        <v>6</v>
      </c>
      <c r="M526" s="705"/>
      <c r="N526" s="706"/>
      <c r="O526" s="703" t="s">
        <v>1845</v>
      </c>
      <c r="P526" s="707">
        <v>28758</v>
      </c>
      <c r="Q526" s="703" t="s">
        <v>1846</v>
      </c>
      <c r="R526" s="703"/>
      <c r="S526" s="703"/>
      <c r="T526" s="703"/>
      <c r="U526" s="702"/>
      <c r="V526" s="702"/>
      <c r="W526" s="702"/>
      <c r="X526" s="702"/>
      <c r="Y526" s="702"/>
      <c r="Z526" s="702"/>
      <c r="AA526" s="703"/>
      <c r="AB526" s="703"/>
      <c r="AC526" s="703"/>
      <c r="AD526" s="793"/>
      <c r="AE526" s="655"/>
    </row>
    <row r="527" spans="1:31" ht="12" customHeight="1">
      <c r="A527" s="936" t="s">
        <v>18223</v>
      </c>
      <c r="B527" s="688" t="s">
        <v>1847</v>
      </c>
      <c r="C527" s="687" t="s">
        <v>5450</v>
      </c>
      <c r="D527" s="687">
        <f t="shared" si="8"/>
        <v>33</v>
      </c>
      <c r="E527" s="696" t="s">
        <v>5</v>
      </c>
      <c r="F527" s="689" t="s">
        <v>15273</v>
      </c>
      <c r="G527" s="747"/>
      <c r="H527" s="687"/>
      <c r="I527" s="687"/>
      <c r="J527" s="692" t="s">
        <v>16126</v>
      </c>
      <c r="K527" s="687" t="s">
        <v>44</v>
      </c>
      <c r="L527" s="687" t="s">
        <v>6</v>
      </c>
      <c r="M527" s="748"/>
      <c r="N527" s="749"/>
      <c r="O527" s="747" t="s">
        <v>3009</v>
      </c>
      <c r="P527" s="773">
        <v>28884</v>
      </c>
      <c r="Q527" s="747" t="s">
        <v>727</v>
      </c>
      <c r="R527" s="747"/>
      <c r="S527" s="747"/>
      <c r="T527" s="747" t="s">
        <v>5295</v>
      </c>
      <c r="U527" s="696"/>
      <c r="V527" s="696"/>
      <c r="W527" s="696"/>
      <c r="X527" s="696"/>
      <c r="Y527" s="696"/>
      <c r="Z527" s="696"/>
      <c r="AA527" s="747"/>
      <c r="AB527" s="747" t="s">
        <v>5295</v>
      </c>
      <c r="AC527" s="747"/>
      <c r="AD527" s="805"/>
      <c r="AE527" s="655"/>
    </row>
    <row r="528" spans="1:31" ht="12" customHeight="1">
      <c r="A528" s="937" t="s">
        <v>18218</v>
      </c>
      <c r="B528" s="4" t="s">
        <v>1848</v>
      </c>
      <c r="C528" s="1" t="s">
        <v>1851</v>
      </c>
      <c r="D528" s="1">
        <f t="shared" si="8"/>
        <v>63</v>
      </c>
      <c r="E528" s="2" t="s">
        <v>5</v>
      </c>
      <c r="F528" s="1" t="s">
        <v>15273</v>
      </c>
      <c r="G528" s="3" t="s">
        <v>1852</v>
      </c>
      <c r="J528" s="4" t="s">
        <v>16120</v>
      </c>
      <c r="K528" s="1" t="s">
        <v>30</v>
      </c>
      <c r="L528" s="1" t="s">
        <v>25</v>
      </c>
      <c r="M528" s="16">
        <v>6</v>
      </c>
      <c r="N528" s="17">
        <v>6</v>
      </c>
      <c r="O528" s="3" t="s">
        <v>159</v>
      </c>
      <c r="P528" s="20">
        <v>17914</v>
      </c>
      <c r="Q528" s="3" t="s">
        <v>1854</v>
      </c>
      <c r="R528" s="3" t="s">
        <v>1855</v>
      </c>
      <c r="S528" s="3" t="s">
        <v>5457</v>
      </c>
      <c r="AB528" s="3"/>
      <c r="AC528" s="3"/>
      <c r="AD528" s="774"/>
      <c r="AE528" s="655"/>
    </row>
    <row r="529" spans="1:31" ht="12" customHeight="1">
      <c r="A529" s="937"/>
      <c r="B529" s="4" t="s">
        <v>1849</v>
      </c>
      <c r="C529" s="1" t="s">
        <v>6179</v>
      </c>
      <c r="D529" s="1">
        <f t="shared" si="8"/>
        <v>40</v>
      </c>
      <c r="E529" s="2" t="s">
        <v>5</v>
      </c>
      <c r="F529" s="1" t="s">
        <v>15273</v>
      </c>
      <c r="J529" s="4" t="s">
        <v>16125</v>
      </c>
      <c r="L529" s="1" t="s">
        <v>6</v>
      </c>
      <c r="O529" s="3" t="s">
        <v>16002</v>
      </c>
      <c r="P529" s="20">
        <v>26489</v>
      </c>
      <c r="Q529" s="3" t="s">
        <v>16000</v>
      </c>
      <c r="S529" s="3" t="s">
        <v>16093</v>
      </c>
      <c r="T529" s="3" t="s">
        <v>16001</v>
      </c>
      <c r="V529" s="2" t="s">
        <v>145</v>
      </c>
      <c r="AB529" s="3"/>
      <c r="AC529" s="3"/>
      <c r="AD529" s="774"/>
      <c r="AE529" s="655"/>
    </row>
    <row r="530" spans="1:31" ht="12" customHeight="1">
      <c r="A530" s="937" t="s">
        <v>18223</v>
      </c>
      <c r="B530" s="4" t="s">
        <v>1850</v>
      </c>
      <c r="C530" s="1" t="s">
        <v>5387</v>
      </c>
      <c r="D530" s="1">
        <f t="shared" si="8"/>
        <v>57</v>
      </c>
      <c r="E530" s="2" t="s">
        <v>5</v>
      </c>
      <c r="F530" s="1" t="s">
        <v>15273</v>
      </c>
      <c r="J530" s="4" t="s">
        <v>16116</v>
      </c>
      <c r="K530" s="1" t="s">
        <v>5306</v>
      </c>
      <c r="L530" s="1" t="s">
        <v>25</v>
      </c>
      <c r="M530" s="16">
        <v>1</v>
      </c>
      <c r="N530" s="17">
        <v>1</v>
      </c>
      <c r="O530" s="3" t="s">
        <v>1223</v>
      </c>
      <c r="P530" s="21">
        <v>20133</v>
      </c>
      <c r="Q530" s="3" t="s">
        <v>5388</v>
      </c>
      <c r="T530" s="3" t="s">
        <v>5305</v>
      </c>
      <c r="V530" s="2" t="s">
        <v>5305</v>
      </c>
      <c r="AB530" s="3"/>
      <c r="AC530" s="3"/>
      <c r="AD530" s="774"/>
      <c r="AE530" s="655"/>
    </row>
    <row r="531" spans="1:31" ht="12" customHeight="1" thickBot="1">
      <c r="A531" s="938"/>
      <c r="B531" s="700" t="s">
        <v>6178</v>
      </c>
      <c r="C531" s="699" t="s">
        <v>1856</v>
      </c>
      <c r="D531" s="699">
        <f t="shared" si="8"/>
        <v>37</v>
      </c>
      <c r="E531" s="702" t="s">
        <v>5</v>
      </c>
      <c r="F531" s="699"/>
      <c r="G531" s="703"/>
      <c r="H531" s="699"/>
      <c r="I531" s="699"/>
      <c r="J531" s="700" t="s">
        <v>16117</v>
      </c>
      <c r="K531" s="699"/>
      <c r="L531" s="699" t="s">
        <v>6</v>
      </c>
      <c r="M531" s="705"/>
      <c r="N531" s="706"/>
      <c r="O531" s="703" t="s">
        <v>493</v>
      </c>
      <c r="P531" s="723">
        <v>27468</v>
      </c>
      <c r="Q531" s="703" t="s">
        <v>1858</v>
      </c>
      <c r="R531" s="703"/>
      <c r="S531" s="703"/>
      <c r="T531" s="703"/>
      <c r="U531" s="702"/>
      <c r="V531" s="702"/>
      <c r="W531" s="702"/>
      <c r="X531" s="702"/>
      <c r="Y531" s="702"/>
      <c r="Z531" s="702"/>
      <c r="AA531" s="702"/>
      <c r="AB531" s="703"/>
      <c r="AC531" s="703"/>
      <c r="AD531" s="793"/>
      <c r="AE531" s="655"/>
    </row>
    <row r="532" spans="1:31" ht="12" customHeight="1">
      <c r="A532" s="936" t="s">
        <v>18245</v>
      </c>
      <c r="B532" s="688" t="s">
        <v>1859</v>
      </c>
      <c r="C532" s="687" t="s">
        <v>5284</v>
      </c>
      <c r="D532" s="687">
        <f t="shared" si="8"/>
        <v>58</v>
      </c>
      <c r="E532" s="696" t="s">
        <v>5</v>
      </c>
      <c r="F532" s="689" t="s">
        <v>15273</v>
      </c>
      <c r="G532" s="747"/>
      <c r="H532" s="687"/>
      <c r="I532" s="687"/>
      <c r="J532" s="692" t="s">
        <v>16127</v>
      </c>
      <c r="K532" s="687" t="s">
        <v>44</v>
      </c>
      <c r="L532" s="687" t="s">
        <v>6</v>
      </c>
      <c r="M532" s="748"/>
      <c r="N532" s="749">
        <v>2</v>
      </c>
      <c r="O532" s="747" t="s">
        <v>5285</v>
      </c>
      <c r="P532" s="773">
        <v>19995</v>
      </c>
      <c r="Q532" s="747" t="s">
        <v>5287</v>
      </c>
      <c r="R532" s="747" t="s">
        <v>374</v>
      </c>
      <c r="S532" s="747" t="s">
        <v>6214</v>
      </c>
      <c r="T532" s="747" t="s">
        <v>5286</v>
      </c>
      <c r="U532" s="696"/>
      <c r="V532" s="696"/>
      <c r="W532" s="696"/>
      <c r="X532" s="696" t="s">
        <v>5286</v>
      </c>
      <c r="Y532" s="696"/>
      <c r="Z532" s="696"/>
      <c r="AA532" s="696"/>
      <c r="AB532" s="747"/>
      <c r="AC532" s="747"/>
      <c r="AD532" s="805"/>
      <c r="AE532" s="655"/>
    </row>
    <row r="533" spans="1:31" ht="12" customHeight="1">
      <c r="A533" s="937" t="s">
        <v>18219</v>
      </c>
      <c r="B533" s="4" t="s">
        <v>1860</v>
      </c>
      <c r="C533" s="1" t="s">
        <v>1864</v>
      </c>
      <c r="D533" s="1">
        <f t="shared" si="8"/>
        <v>56</v>
      </c>
      <c r="E533" s="2" t="s">
        <v>19</v>
      </c>
      <c r="F533" s="1" t="s">
        <v>15273</v>
      </c>
      <c r="J533" s="4" t="s">
        <v>16120</v>
      </c>
      <c r="K533" s="1" t="s">
        <v>48</v>
      </c>
      <c r="L533" s="1" t="s">
        <v>14</v>
      </c>
      <c r="M533" s="16">
        <v>3</v>
      </c>
      <c r="N533" s="17">
        <v>3</v>
      </c>
      <c r="O533" s="3" t="s">
        <v>1865</v>
      </c>
      <c r="P533" s="20">
        <v>20651</v>
      </c>
      <c r="Q533" s="3" t="s">
        <v>1866</v>
      </c>
      <c r="R533" s="3" t="s">
        <v>1867</v>
      </c>
      <c r="S533" s="3" t="s">
        <v>5457</v>
      </c>
      <c r="T533" s="3" t="s">
        <v>1868</v>
      </c>
      <c r="Y533" s="2" t="s">
        <v>1868</v>
      </c>
      <c r="AB533" s="3"/>
      <c r="AC533" s="3"/>
      <c r="AD533" s="774"/>
      <c r="AE533" s="655"/>
    </row>
    <row r="534" spans="1:31" ht="12" customHeight="1">
      <c r="A534" s="937" t="s">
        <v>18223</v>
      </c>
      <c r="B534" s="4" t="s">
        <v>1861</v>
      </c>
      <c r="C534" s="1" t="s">
        <v>1869</v>
      </c>
      <c r="D534" s="1">
        <f t="shared" si="8"/>
        <v>41</v>
      </c>
      <c r="E534" s="2" t="s">
        <v>5</v>
      </c>
      <c r="F534" s="1" t="s">
        <v>15273</v>
      </c>
      <c r="G534" s="3" t="s">
        <v>1870</v>
      </c>
      <c r="J534" s="4" t="s">
        <v>16125</v>
      </c>
      <c r="L534" s="1" t="s">
        <v>25</v>
      </c>
      <c r="M534" s="16">
        <v>1</v>
      </c>
      <c r="N534" s="17">
        <v>1</v>
      </c>
      <c r="O534" s="3" t="s">
        <v>1853</v>
      </c>
      <c r="P534" s="20">
        <v>26123</v>
      </c>
      <c r="Q534" s="3" t="s">
        <v>1871</v>
      </c>
      <c r="S534" s="3" t="s">
        <v>16093</v>
      </c>
      <c r="T534" s="3" t="s">
        <v>1820</v>
      </c>
      <c r="V534" s="2" t="s">
        <v>1820</v>
      </c>
      <c r="AB534" s="3"/>
      <c r="AC534" s="3"/>
      <c r="AD534" s="774"/>
      <c r="AE534" s="655"/>
    </row>
    <row r="535" spans="1:31" ht="12" customHeight="1">
      <c r="A535" s="937" t="s">
        <v>18223</v>
      </c>
      <c r="B535" s="4" t="s">
        <v>1862</v>
      </c>
      <c r="C535" s="1" t="s">
        <v>5941</v>
      </c>
      <c r="D535" s="1">
        <f t="shared" si="8"/>
        <v>50</v>
      </c>
      <c r="E535" s="2" t="s">
        <v>5</v>
      </c>
      <c r="F535" s="1" t="s">
        <v>15273</v>
      </c>
      <c r="J535" s="4" t="s">
        <v>16116</v>
      </c>
      <c r="K535" s="1" t="s">
        <v>5942</v>
      </c>
      <c r="L535" s="1" t="s">
        <v>6</v>
      </c>
      <c r="O535" s="3" t="s">
        <v>5944</v>
      </c>
      <c r="P535" s="21">
        <v>22981</v>
      </c>
      <c r="Q535" s="3" t="s">
        <v>3358</v>
      </c>
      <c r="S535" s="3" t="s">
        <v>6155</v>
      </c>
      <c r="T535" s="3" t="s">
        <v>5943</v>
      </c>
      <c r="Y535" s="2" t="s">
        <v>5943</v>
      </c>
      <c r="AB535" s="3"/>
      <c r="AC535" s="3"/>
      <c r="AD535" s="774"/>
      <c r="AE535" s="655"/>
    </row>
    <row r="536" spans="1:31" ht="12" customHeight="1">
      <c r="A536" s="937"/>
      <c r="B536" s="4" t="s">
        <v>1863</v>
      </c>
      <c r="C536" s="1" t="s">
        <v>1872</v>
      </c>
      <c r="D536" s="1">
        <f t="shared" si="8"/>
        <v>41</v>
      </c>
      <c r="E536" s="2" t="s">
        <v>5</v>
      </c>
      <c r="J536" s="4" t="s">
        <v>16117</v>
      </c>
      <c r="L536" s="1" t="s">
        <v>6</v>
      </c>
      <c r="O536" s="3" t="s">
        <v>1865</v>
      </c>
      <c r="P536" s="21">
        <v>25938</v>
      </c>
      <c r="Q536" s="3" t="s">
        <v>1857</v>
      </c>
      <c r="AB536" s="3"/>
      <c r="AC536" s="3"/>
      <c r="AD536" s="774"/>
      <c r="AE536" s="655"/>
    </row>
    <row r="537" spans="1:31" ht="12" customHeight="1">
      <c r="A537" s="937"/>
      <c r="B537" s="4" t="s">
        <v>16003</v>
      </c>
      <c r="C537" s="1" t="s">
        <v>16005</v>
      </c>
      <c r="D537" s="1">
        <f t="shared" si="8"/>
        <v>65</v>
      </c>
      <c r="E537" s="2" t="s">
        <v>5</v>
      </c>
      <c r="J537" s="4" t="s">
        <v>16129</v>
      </c>
      <c r="L537" s="1" t="s">
        <v>6</v>
      </c>
      <c r="O537" s="3" t="s">
        <v>31</v>
      </c>
      <c r="P537" s="21">
        <v>17393</v>
      </c>
      <c r="Q537" s="3" t="s">
        <v>16304</v>
      </c>
      <c r="AB537" s="3"/>
      <c r="AC537" s="3"/>
      <c r="AD537" s="774"/>
      <c r="AE537" s="655"/>
    </row>
    <row r="538" spans="1:31" ht="12" customHeight="1" thickBot="1">
      <c r="A538" s="938"/>
      <c r="B538" s="700" t="s">
        <v>16004</v>
      </c>
      <c r="C538" s="699" t="s">
        <v>16006</v>
      </c>
      <c r="D538" s="699">
        <f t="shared" si="8"/>
        <v>50</v>
      </c>
      <c r="E538" s="702" t="s">
        <v>5</v>
      </c>
      <c r="F538" s="699"/>
      <c r="G538" s="703"/>
      <c r="H538" s="699"/>
      <c r="I538" s="699"/>
      <c r="J538" s="700" t="s">
        <v>16129</v>
      </c>
      <c r="K538" s="699"/>
      <c r="L538" s="699" t="s">
        <v>6</v>
      </c>
      <c r="M538" s="705"/>
      <c r="N538" s="706"/>
      <c r="O538" s="703" t="s">
        <v>1485</v>
      </c>
      <c r="P538" s="723">
        <v>22679</v>
      </c>
      <c r="Q538" s="703" t="s">
        <v>16304</v>
      </c>
      <c r="R538" s="703"/>
      <c r="S538" s="703"/>
      <c r="T538" s="703"/>
      <c r="U538" s="702"/>
      <c r="V538" s="702"/>
      <c r="W538" s="702"/>
      <c r="X538" s="702"/>
      <c r="Y538" s="702"/>
      <c r="Z538" s="702"/>
      <c r="AA538" s="702"/>
      <c r="AB538" s="703"/>
      <c r="AC538" s="703"/>
      <c r="AD538" s="793"/>
      <c r="AE538" s="655"/>
    </row>
    <row r="539" spans="1:31" ht="12" customHeight="1">
      <c r="A539" s="936" t="s">
        <v>18245</v>
      </c>
      <c r="B539" s="688" t="s">
        <v>1873</v>
      </c>
      <c r="C539" s="687" t="s">
        <v>2356</v>
      </c>
      <c r="D539" s="687">
        <f t="shared" si="8"/>
        <v>37</v>
      </c>
      <c r="E539" s="696" t="s">
        <v>19</v>
      </c>
      <c r="F539" s="689" t="s">
        <v>15273</v>
      </c>
      <c r="G539" s="747" t="s">
        <v>4406</v>
      </c>
      <c r="H539" s="687"/>
      <c r="I539" s="687"/>
      <c r="J539" s="692" t="s">
        <v>16127</v>
      </c>
      <c r="K539" s="687" t="s">
        <v>44</v>
      </c>
      <c r="L539" s="687" t="s">
        <v>25</v>
      </c>
      <c r="M539" s="748">
        <v>1</v>
      </c>
      <c r="N539" s="749">
        <v>1</v>
      </c>
      <c r="O539" s="747" t="s">
        <v>1002</v>
      </c>
      <c r="P539" s="773">
        <v>27744</v>
      </c>
      <c r="Q539" s="747" t="s">
        <v>2357</v>
      </c>
      <c r="R539" s="747"/>
      <c r="S539" s="747"/>
      <c r="T539" s="747"/>
      <c r="U539" s="696"/>
      <c r="V539" s="696"/>
      <c r="W539" s="696"/>
      <c r="X539" s="696"/>
      <c r="Y539" s="696"/>
      <c r="Z539" s="696"/>
      <c r="AA539" s="696"/>
      <c r="AB539" s="747"/>
      <c r="AC539" s="747"/>
      <c r="AD539" s="805"/>
      <c r="AE539" s="655"/>
    </row>
    <row r="540" spans="1:31" ht="12" customHeight="1">
      <c r="A540" s="937" t="s">
        <v>18220</v>
      </c>
      <c r="B540" s="4" t="s">
        <v>1874</v>
      </c>
      <c r="C540" s="1" t="s">
        <v>1878</v>
      </c>
      <c r="D540" s="1">
        <f t="shared" si="8"/>
        <v>41</v>
      </c>
      <c r="E540" s="2" t="s">
        <v>5</v>
      </c>
      <c r="F540" s="1" t="s">
        <v>15273</v>
      </c>
      <c r="J540" s="8" t="s">
        <v>16120</v>
      </c>
      <c r="K540" s="1" t="s">
        <v>65</v>
      </c>
      <c r="L540" s="1" t="s">
        <v>6</v>
      </c>
      <c r="N540" s="17">
        <v>2</v>
      </c>
      <c r="O540" s="3" t="s">
        <v>1879</v>
      </c>
      <c r="P540" s="20">
        <v>26229</v>
      </c>
      <c r="Q540" s="3" t="s">
        <v>1880</v>
      </c>
      <c r="R540" s="3" t="s">
        <v>1881</v>
      </c>
      <c r="S540" s="3" t="s">
        <v>5889</v>
      </c>
      <c r="T540" s="3" t="s">
        <v>1837</v>
      </c>
      <c r="X540" s="2" t="s">
        <v>1837</v>
      </c>
      <c r="AB540" s="3"/>
      <c r="AC540" s="3"/>
      <c r="AD540" s="774"/>
      <c r="AE540" s="655"/>
    </row>
    <row r="541" spans="1:31" ht="12" customHeight="1">
      <c r="A541" s="937" t="s">
        <v>18245</v>
      </c>
      <c r="B541" s="4" t="s">
        <v>1875</v>
      </c>
      <c r="C541" s="1" t="s">
        <v>1882</v>
      </c>
      <c r="D541" s="1">
        <f t="shared" si="8"/>
        <v>61</v>
      </c>
      <c r="E541" s="2" t="s">
        <v>5</v>
      </c>
      <c r="F541" s="1" t="s">
        <v>15273</v>
      </c>
      <c r="G541" s="3" t="s">
        <v>1883</v>
      </c>
      <c r="J541" s="4" t="s">
        <v>16125</v>
      </c>
      <c r="L541" s="1" t="s">
        <v>25</v>
      </c>
      <c r="M541" s="16">
        <v>5</v>
      </c>
      <c r="N541" s="17">
        <v>5</v>
      </c>
      <c r="O541" s="3" t="s">
        <v>1884</v>
      </c>
      <c r="P541" s="20">
        <v>18749</v>
      </c>
      <c r="Q541" s="3" t="s">
        <v>1885</v>
      </c>
      <c r="R541" s="3" t="s">
        <v>16680</v>
      </c>
      <c r="S541" s="3" t="s">
        <v>16093</v>
      </c>
      <c r="AB541" s="3"/>
      <c r="AC541" s="3"/>
      <c r="AD541" s="774"/>
      <c r="AE541" s="655"/>
    </row>
    <row r="542" spans="1:31" ht="12" customHeight="1">
      <c r="A542" s="937" t="s">
        <v>18246</v>
      </c>
      <c r="B542" s="4" t="s">
        <v>1876</v>
      </c>
      <c r="C542" s="1" t="s">
        <v>1889</v>
      </c>
      <c r="D542" s="1">
        <f t="shared" si="8"/>
        <v>41</v>
      </c>
      <c r="E542" s="2" t="s">
        <v>5</v>
      </c>
      <c r="F542" s="1" t="s">
        <v>15273</v>
      </c>
      <c r="G542" s="3" t="s">
        <v>1890</v>
      </c>
      <c r="J542" s="4" t="s">
        <v>16128</v>
      </c>
      <c r="L542" s="1" t="s">
        <v>25</v>
      </c>
      <c r="M542" s="16">
        <v>1</v>
      </c>
      <c r="N542" s="17">
        <v>1</v>
      </c>
      <c r="O542" s="3" t="s">
        <v>1865</v>
      </c>
      <c r="P542" s="20">
        <v>25954</v>
      </c>
      <c r="Q542" s="3" t="s">
        <v>1891</v>
      </c>
      <c r="S542" s="3" t="s">
        <v>6031</v>
      </c>
      <c r="T542" s="3" t="s">
        <v>1892</v>
      </c>
      <c r="V542" s="2" t="s">
        <v>1820</v>
      </c>
      <c r="Y542" s="2" t="s">
        <v>1868</v>
      </c>
      <c r="AA542" s="2" t="s">
        <v>1893</v>
      </c>
      <c r="AB542" s="3"/>
      <c r="AC542" s="3"/>
      <c r="AD542" s="774"/>
      <c r="AE542" s="655"/>
    </row>
    <row r="543" spans="1:31" ht="12" customHeight="1" thickBot="1">
      <c r="A543" s="938"/>
      <c r="B543" s="700" t="s">
        <v>1877</v>
      </c>
      <c r="C543" s="699" t="s">
        <v>1886</v>
      </c>
      <c r="D543" s="699">
        <f t="shared" si="8"/>
        <v>64</v>
      </c>
      <c r="E543" s="702" t="s">
        <v>5</v>
      </c>
      <c r="F543" s="699"/>
      <c r="G543" s="703"/>
      <c r="H543" s="699"/>
      <c r="I543" s="699"/>
      <c r="J543" s="700" t="s">
        <v>16117</v>
      </c>
      <c r="K543" s="699"/>
      <c r="L543" s="699" t="s">
        <v>6</v>
      </c>
      <c r="M543" s="705"/>
      <c r="N543" s="706"/>
      <c r="O543" s="703" t="s">
        <v>1887</v>
      </c>
      <c r="P543" s="723">
        <v>17578</v>
      </c>
      <c r="Q543" s="703" t="s">
        <v>1888</v>
      </c>
      <c r="R543" s="703"/>
      <c r="S543" s="703"/>
      <c r="T543" s="703"/>
      <c r="U543" s="702"/>
      <c r="V543" s="702"/>
      <c r="W543" s="702"/>
      <c r="X543" s="702"/>
      <c r="Y543" s="702"/>
      <c r="Z543" s="702"/>
      <c r="AA543" s="702"/>
      <c r="AB543" s="703"/>
      <c r="AC543" s="703"/>
      <c r="AD543" s="793"/>
      <c r="AE543" s="655"/>
    </row>
    <row r="544" spans="1:31" ht="12" customHeight="1">
      <c r="A544" s="936" t="s">
        <v>18223</v>
      </c>
      <c r="B544" s="688" t="s">
        <v>1894</v>
      </c>
      <c r="C544" s="687" t="s">
        <v>5872</v>
      </c>
      <c r="D544" s="687">
        <f t="shared" si="8"/>
        <v>40</v>
      </c>
      <c r="E544" s="696" t="s">
        <v>5</v>
      </c>
      <c r="F544" s="689" t="s">
        <v>15273</v>
      </c>
      <c r="G544" s="747"/>
      <c r="H544" s="687"/>
      <c r="I544" s="687"/>
      <c r="J544" s="692" t="s">
        <v>16126</v>
      </c>
      <c r="K544" s="687" t="s">
        <v>44</v>
      </c>
      <c r="L544" s="687" t="s">
        <v>6</v>
      </c>
      <c r="M544" s="748"/>
      <c r="N544" s="749"/>
      <c r="O544" s="747" t="s">
        <v>5940</v>
      </c>
      <c r="P544" s="773">
        <v>26492</v>
      </c>
      <c r="Q544" s="747" t="s">
        <v>16320</v>
      </c>
      <c r="R544" s="747"/>
      <c r="S544" s="747" t="s">
        <v>6214</v>
      </c>
      <c r="T544" s="747"/>
      <c r="U544" s="696"/>
      <c r="V544" s="696"/>
      <c r="W544" s="696"/>
      <c r="X544" s="696"/>
      <c r="Y544" s="696"/>
      <c r="Z544" s="696"/>
      <c r="AA544" s="696"/>
      <c r="AB544" s="747"/>
      <c r="AC544" s="747"/>
      <c r="AD544" s="805"/>
      <c r="AE544" s="655"/>
    </row>
    <row r="545" spans="1:31" ht="12" customHeight="1">
      <c r="A545" s="937" t="s">
        <v>18219</v>
      </c>
      <c r="B545" s="4" t="s">
        <v>1895</v>
      </c>
      <c r="C545" s="1" t="s">
        <v>1902</v>
      </c>
      <c r="D545" s="1">
        <f t="shared" si="8"/>
        <v>66</v>
      </c>
      <c r="E545" s="2" t="s">
        <v>5</v>
      </c>
      <c r="F545" s="1" t="s">
        <v>15273</v>
      </c>
      <c r="J545" s="4" t="s">
        <v>16120</v>
      </c>
      <c r="K545" s="1" t="s">
        <v>48</v>
      </c>
      <c r="L545" s="1" t="s">
        <v>6</v>
      </c>
      <c r="O545" s="3" t="s">
        <v>1903</v>
      </c>
      <c r="P545" s="20">
        <v>17042</v>
      </c>
      <c r="Q545" s="3" t="s">
        <v>1904</v>
      </c>
      <c r="S545" s="3" t="s">
        <v>5889</v>
      </c>
      <c r="T545" s="3" t="s">
        <v>1820</v>
      </c>
      <c r="V545" s="2" t="s">
        <v>1820</v>
      </c>
      <c r="AB545" s="3"/>
      <c r="AC545" s="3"/>
      <c r="AD545" s="774"/>
      <c r="AE545" s="655"/>
    </row>
    <row r="546" spans="1:31" ht="12" customHeight="1">
      <c r="A546" s="937" t="s">
        <v>18245</v>
      </c>
      <c r="B546" s="4" t="s">
        <v>1896</v>
      </c>
      <c r="C546" s="1" t="s">
        <v>1899</v>
      </c>
      <c r="D546" s="1">
        <f t="shared" si="8"/>
        <v>43</v>
      </c>
      <c r="E546" s="2" t="s">
        <v>5</v>
      </c>
      <c r="F546" s="1" t="s">
        <v>15273</v>
      </c>
      <c r="G546" s="3" t="s">
        <v>1900</v>
      </c>
      <c r="J546" s="4" t="s">
        <v>16125</v>
      </c>
      <c r="L546" s="1" t="s">
        <v>25</v>
      </c>
      <c r="M546" s="16">
        <v>1</v>
      </c>
      <c r="N546" s="17">
        <v>1</v>
      </c>
      <c r="O546" s="3" t="s">
        <v>1865</v>
      </c>
      <c r="P546" s="20">
        <v>25308</v>
      </c>
      <c r="Q546" s="3" t="s">
        <v>1901</v>
      </c>
      <c r="S546" s="3" t="s">
        <v>16093</v>
      </c>
      <c r="T546" s="3" t="s">
        <v>1820</v>
      </c>
      <c r="V546" s="2" t="s">
        <v>1820</v>
      </c>
      <c r="AB546" s="3"/>
      <c r="AC546" s="3"/>
      <c r="AD546" s="774"/>
      <c r="AE546" s="655"/>
    </row>
    <row r="547" spans="1:31" ht="12" customHeight="1">
      <c r="A547" s="937" t="s">
        <v>18245</v>
      </c>
      <c r="B547" s="4" t="s">
        <v>1897</v>
      </c>
      <c r="C547" s="1" t="s">
        <v>1909</v>
      </c>
      <c r="D547" s="1">
        <f t="shared" si="8"/>
        <v>63</v>
      </c>
      <c r="E547" s="2" t="s">
        <v>5</v>
      </c>
      <c r="F547" s="1" t="s">
        <v>15273</v>
      </c>
      <c r="G547" s="3" t="s">
        <v>1910</v>
      </c>
      <c r="J547" s="4" t="s">
        <v>16116</v>
      </c>
      <c r="K547" s="1" t="s">
        <v>4993</v>
      </c>
      <c r="L547" s="1" t="s">
        <v>25</v>
      </c>
      <c r="M547" s="16">
        <v>3</v>
      </c>
      <c r="N547" s="17">
        <v>3</v>
      </c>
      <c r="O547" s="3" t="s">
        <v>188</v>
      </c>
      <c r="P547" s="20">
        <v>18000</v>
      </c>
      <c r="Q547" s="3" t="s">
        <v>1911</v>
      </c>
      <c r="R547" s="3" t="s">
        <v>1912</v>
      </c>
      <c r="T547" s="3" t="s">
        <v>1820</v>
      </c>
      <c r="V547" s="2" t="s">
        <v>1820</v>
      </c>
      <c r="AD547" s="698"/>
      <c r="AE547" s="655"/>
    </row>
    <row r="548" spans="1:31" ht="12" customHeight="1">
      <c r="A548" s="937" t="s">
        <v>18223</v>
      </c>
      <c r="B548" s="4" t="s">
        <v>1898</v>
      </c>
      <c r="C548" s="1" t="s">
        <v>1906</v>
      </c>
      <c r="D548" s="1">
        <f t="shared" si="8"/>
        <v>47</v>
      </c>
      <c r="E548" s="2" t="s">
        <v>19</v>
      </c>
      <c r="F548" s="1" t="s">
        <v>15273</v>
      </c>
      <c r="J548" s="4" t="s">
        <v>16128</v>
      </c>
      <c r="L548" s="1" t="s">
        <v>6</v>
      </c>
      <c r="O548" s="3" t="s">
        <v>1907</v>
      </c>
      <c r="P548" s="20">
        <v>23883</v>
      </c>
      <c r="Q548" s="3" t="s">
        <v>1908</v>
      </c>
      <c r="T548" s="3" t="s">
        <v>1820</v>
      </c>
      <c r="V548" s="2" t="s">
        <v>1820</v>
      </c>
      <c r="AD548" s="698"/>
      <c r="AE548" s="655"/>
    </row>
    <row r="549" spans="1:31" ht="12" customHeight="1" thickBot="1">
      <c r="A549" s="938"/>
      <c r="B549" s="700" t="s">
        <v>4566</v>
      </c>
      <c r="C549" s="699" t="s">
        <v>1905</v>
      </c>
      <c r="D549" s="699">
        <f t="shared" si="8"/>
        <v>63</v>
      </c>
      <c r="E549" s="702" t="s">
        <v>19</v>
      </c>
      <c r="F549" s="699"/>
      <c r="G549" s="703"/>
      <c r="H549" s="699"/>
      <c r="I549" s="699"/>
      <c r="J549" s="700" t="s">
        <v>16117</v>
      </c>
      <c r="K549" s="699"/>
      <c r="L549" s="699" t="s">
        <v>6</v>
      </c>
      <c r="M549" s="705"/>
      <c r="N549" s="706"/>
      <c r="O549" s="703" t="s">
        <v>459</v>
      </c>
      <c r="P549" s="723">
        <v>18142</v>
      </c>
      <c r="Q549" s="703" t="s">
        <v>1663</v>
      </c>
      <c r="R549" s="703"/>
      <c r="S549" s="703"/>
      <c r="T549" s="703"/>
      <c r="U549" s="702"/>
      <c r="V549" s="702"/>
      <c r="W549" s="702"/>
      <c r="X549" s="702"/>
      <c r="Y549" s="702"/>
      <c r="Z549" s="702"/>
      <c r="AA549" s="702"/>
      <c r="AB549" s="703"/>
      <c r="AC549" s="703"/>
      <c r="AD549" s="793"/>
      <c r="AE549" s="655"/>
    </row>
    <row r="550" spans="1:31" ht="12" customHeight="1">
      <c r="A550" s="936" t="s">
        <v>18245</v>
      </c>
      <c r="B550" s="688" t="s">
        <v>1913</v>
      </c>
      <c r="C550" s="687" t="s">
        <v>1916</v>
      </c>
      <c r="D550" s="687">
        <f t="shared" si="8"/>
        <v>41</v>
      </c>
      <c r="E550" s="696" t="s">
        <v>19</v>
      </c>
      <c r="F550" s="689" t="s">
        <v>15273</v>
      </c>
      <c r="G550" s="747" t="s">
        <v>1917</v>
      </c>
      <c r="H550" s="687"/>
      <c r="I550" s="687"/>
      <c r="J550" s="692" t="s">
        <v>16127</v>
      </c>
      <c r="K550" s="687" t="s">
        <v>44</v>
      </c>
      <c r="L550" s="687" t="s">
        <v>25</v>
      </c>
      <c r="M550" s="748">
        <v>1</v>
      </c>
      <c r="N550" s="749">
        <v>1</v>
      </c>
      <c r="O550" s="747" t="s">
        <v>1918</v>
      </c>
      <c r="P550" s="773">
        <v>25951</v>
      </c>
      <c r="Q550" s="747" t="s">
        <v>1919</v>
      </c>
      <c r="R550" s="747"/>
      <c r="S550" s="747" t="s">
        <v>6214</v>
      </c>
      <c r="T550" s="747" t="s">
        <v>1820</v>
      </c>
      <c r="U550" s="696"/>
      <c r="V550" s="696" t="s">
        <v>1820</v>
      </c>
      <c r="W550" s="696"/>
      <c r="X550" s="696"/>
      <c r="Y550" s="696"/>
      <c r="Z550" s="696"/>
      <c r="AA550" s="696"/>
      <c r="AB550" s="696"/>
      <c r="AC550" s="696"/>
      <c r="AD550" s="697"/>
      <c r="AE550" s="655"/>
    </row>
    <row r="551" spans="1:31" ht="12" customHeight="1">
      <c r="A551" s="937" t="s">
        <v>18219</v>
      </c>
      <c r="B551" s="4" t="s">
        <v>1914</v>
      </c>
      <c r="C551" s="1" t="s">
        <v>1920</v>
      </c>
      <c r="D551" s="1">
        <f t="shared" si="8"/>
        <v>67</v>
      </c>
      <c r="E551" s="2" t="s">
        <v>5</v>
      </c>
      <c r="F551" s="1" t="s">
        <v>15273</v>
      </c>
      <c r="G551" s="3" t="s">
        <v>1921</v>
      </c>
      <c r="J551" s="4" t="s">
        <v>16120</v>
      </c>
      <c r="K551" s="1" t="s">
        <v>934</v>
      </c>
      <c r="L551" s="1" t="s">
        <v>25</v>
      </c>
      <c r="M551" s="16">
        <v>5</v>
      </c>
      <c r="N551" s="17">
        <v>5</v>
      </c>
      <c r="O551" s="3" t="s">
        <v>1922</v>
      </c>
      <c r="P551" s="20">
        <v>16684</v>
      </c>
      <c r="Q551" s="3" t="s">
        <v>1923</v>
      </c>
      <c r="R551" s="3" t="s">
        <v>1925</v>
      </c>
      <c r="T551" s="3" t="s">
        <v>1924</v>
      </c>
      <c r="U551" s="2" t="s">
        <v>47</v>
      </c>
      <c r="AD551" s="698"/>
      <c r="AE551" s="655"/>
    </row>
    <row r="552" spans="1:31" ht="12" customHeight="1">
      <c r="A552" s="937" t="s">
        <v>18223</v>
      </c>
      <c r="B552" s="4" t="s">
        <v>1915</v>
      </c>
      <c r="C552" s="1" t="s">
        <v>5010</v>
      </c>
      <c r="D552" s="1">
        <f t="shared" si="8"/>
        <v>39</v>
      </c>
      <c r="E552" s="2" t="s">
        <v>5</v>
      </c>
      <c r="F552" s="1" t="s">
        <v>15273</v>
      </c>
      <c r="J552" s="4" t="s">
        <v>16116</v>
      </c>
      <c r="K552" s="1" t="s">
        <v>4422</v>
      </c>
      <c r="L552" s="1" t="s">
        <v>6</v>
      </c>
      <c r="O552" s="3" t="s">
        <v>188</v>
      </c>
      <c r="P552" s="21">
        <v>26688</v>
      </c>
      <c r="Q552" s="3" t="s">
        <v>5011</v>
      </c>
      <c r="S552" s="3" t="s">
        <v>6155</v>
      </c>
      <c r="AD552" s="698"/>
      <c r="AE552" s="655"/>
    </row>
    <row r="553" spans="1:31" ht="12" customHeight="1" thickBot="1">
      <c r="A553" s="938"/>
      <c r="B553" s="700" t="s">
        <v>5009</v>
      </c>
      <c r="C553" s="699" t="s">
        <v>1926</v>
      </c>
      <c r="D553" s="699">
        <f t="shared" si="8"/>
        <v>53</v>
      </c>
      <c r="E553" s="702" t="s">
        <v>5</v>
      </c>
      <c r="F553" s="699"/>
      <c r="G553" s="703"/>
      <c r="H553" s="699"/>
      <c r="I553" s="699"/>
      <c r="J553" s="700" t="s">
        <v>16117</v>
      </c>
      <c r="K553" s="699"/>
      <c r="L553" s="699" t="s">
        <v>6</v>
      </c>
      <c r="M553" s="705"/>
      <c r="N553" s="706"/>
      <c r="O553" s="703" t="s">
        <v>1927</v>
      </c>
      <c r="P553" s="707">
        <v>21591</v>
      </c>
      <c r="Q553" s="703" t="s">
        <v>1929</v>
      </c>
      <c r="R553" s="703"/>
      <c r="S553" s="703"/>
      <c r="T553" s="703"/>
      <c r="U553" s="702"/>
      <c r="V553" s="702"/>
      <c r="W553" s="702"/>
      <c r="X553" s="702"/>
      <c r="Y553" s="702"/>
      <c r="Z553" s="702"/>
      <c r="AA553" s="702"/>
      <c r="AB553" s="702"/>
      <c r="AC553" s="702"/>
      <c r="AD553" s="708"/>
      <c r="AE553" s="655"/>
    </row>
    <row r="554" spans="1:31" ht="12" customHeight="1">
      <c r="A554" s="936" t="s">
        <v>18220</v>
      </c>
      <c r="B554" s="688" t="s">
        <v>1930</v>
      </c>
      <c r="C554" s="687" t="s">
        <v>1934</v>
      </c>
      <c r="D554" s="687">
        <f t="shared" si="8"/>
        <v>66</v>
      </c>
      <c r="E554" s="696" t="s">
        <v>5</v>
      </c>
      <c r="F554" s="689" t="s">
        <v>15273</v>
      </c>
      <c r="G554" s="747" t="s">
        <v>1935</v>
      </c>
      <c r="H554" s="687"/>
      <c r="I554" s="687"/>
      <c r="J554" s="692" t="s">
        <v>16127</v>
      </c>
      <c r="K554" s="687" t="s">
        <v>1936</v>
      </c>
      <c r="L554" s="687" t="s">
        <v>25</v>
      </c>
      <c r="M554" s="748">
        <v>10</v>
      </c>
      <c r="N554" s="749">
        <v>10</v>
      </c>
      <c r="O554" s="747" t="s">
        <v>1937</v>
      </c>
      <c r="P554" s="773">
        <v>17085</v>
      </c>
      <c r="Q554" s="747" t="s">
        <v>1959</v>
      </c>
      <c r="R554" s="747" t="s">
        <v>1938</v>
      </c>
      <c r="S554" s="747" t="s">
        <v>6214</v>
      </c>
      <c r="T554" s="747"/>
      <c r="U554" s="696"/>
      <c r="V554" s="696"/>
      <c r="W554" s="696"/>
      <c r="X554" s="696"/>
      <c r="Y554" s="696"/>
      <c r="Z554" s="696"/>
      <c r="AA554" s="696"/>
      <c r="AB554" s="696"/>
      <c r="AC554" s="696"/>
      <c r="AD554" s="697"/>
      <c r="AE554" s="655"/>
    </row>
    <row r="555" spans="1:31" ht="12" customHeight="1">
      <c r="A555" s="937" t="s">
        <v>18246</v>
      </c>
      <c r="B555" s="4" t="s">
        <v>1931</v>
      </c>
      <c r="C555" s="1" t="s">
        <v>1939</v>
      </c>
      <c r="D555" s="1">
        <f t="shared" si="8"/>
        <v>70</v>
      </c>
      <c r="E555" s="2" t="s">
        <v>5</v>
      </c>
      <c r="F555" s="1" t="s">
        <v>15273</v>
      </c>
      <c r="J555" s="8" t="s">
        <v>16120</v>
      </c>
      <c r="K555" s="1" t="s">
        <v>30</v>
      </c>
      <c r="L555" s="1" t="s">
        <v>14</v>
      </c>
      <c r="M555" s="16">
        <v>1</v>
      </c>
      <c r="N555" s="17">
        <v>1</v>
      </c>
      <c r="O555" s="3" t="s">
        <v>188</v>
      </c>
      <c r="P555" s="20">
        <v>15354</v>
      </c>
      <c r="Q555" s="3" t="s">
        <v>1943</v>
      </c>
      <c r="R555" s="3" t="s">
        <v>1941</v>
      </c>
      <c r="S555" s="3" t="s">
        <v>15615</v>
      </c>
      <c r="T555" s="3" t="s">
        <v>1942</v>
      </c>
      <c r="V555" s="2" t="s">
        <v>1820</v>
      </c>
      <c r="W555" s="2" t="s">
        <v>1940</v>
      </c>
      <c r="AD555" s="698" t="s">
        <v>1946</v>
      </c>
      <c r="AE555" s="655"/>
    </row>
    <row r="556" spans="1:31" ht="12" customHeight="1">
      <c r="A556" s="937" t="s">
        <v>18223</v>
      </c>
      <c r="B556" s="4" t="s">
        <v>1932</v>
      </c>
      <c r="C556" s="1" t="s">
        <v>5746</v>
      </c>
      <c r="D556" s="1">
        <f t="shared" si="8"/>
        <v>43</v>
      </c>
      <c r="E556" s="2" t="s">
        <v>5</v>
      </c>
      <c r="F556" s="1" t="s">
        <v>15273</v>
      </c>
      <c r="J556" s="4" t="s">
        <v>16125</v>
      </c>
      <c r="L556" s="1" t="s">
        <v>6</v>
      </c>
      <c r="O556" s="3" t="s">
        <v>452</v>
      </c>
      <c r="P556" s="20">
        <v>25253</v>
      </c>
      <c r="Q556" s="3" t="s">
        <v>5747</v>
      </c>
      <c r="S556" s="3" t="s">
        <v>16093</v>
      </c>
      <c r="T556" s="3" t="s">
        <v>145</v>
      </c>
      <c r="V556" s="2" t="s">
        <v>145</v>
      </c>
      <c r="AD556" s="698"/>
      <c r="AE556" s="655"/>
    </row>
    <row r="557" spans="1:31" ht="12" customHeight="1">
      <c r="A557" s="937" t="s">
        <v>18223</v>
      </c>
      <c r="B557" s="4" t="s">
        <v>1933</v>
      </c>
      <c r="C557" s="1" t="s">
        <v>5391</v>
      </c>
      <c r="D557" s="1">
        <f t="shared" si="8"/>
        <v>45</v>
      </c>
      <c r="E557" s="2" t="s">
        <v>5</v>
      </c>
      <c r="F557" s="1" t="s">
        <v>15273</v>
      </c>
      <c r="J557" s="4" t="s">
        <v>16116</v>
      </c>
      <c r="K557" s="1" t="s">
        <v>4993</v>
      </c>
      <c r="L557" s="1" t="s">
        <v>6</v>
      </c>
      <c r="O557" s="3" t="s">
        <v>16007</v>
      </c>
      <c r="P557" s="21">
        <v>24478</v>
      </c>
      <c r="Q557" s="3" t="s">
        <v>16363</v>
      </c>
      <c r="AD557" s="698"/>
      <c r="AE557" s="655"/>
    </row>
    <row r="558" spans="1:31" ht="12" customHeight="1">
      <c r="A558" s="937"/>
      <c r="B558" s="4" t="s">
        <v>5390</v>
      </c>
      <c r="C558" s="1" t="s">
        <v>1944</v>
      </c>
      <c r="D558" s="1">
        <f t="shared" si="8"/>
        <v>51</v>
      </c>
      <c r="E558" s="2" t="s">
        <v>5</v>
      </c>
      <c r="J558" s="4" t="s">
        <v>16117</v>
      </c>
      <c r="L558" s="1" t="s">
        <v>6</v>
      </c>
      <c r="O558" s="3" t="s">
        <v>1945</v>
      </c>
      <c r="P558" s="21">
        <v>22436</v>
      </c>
      <c r="Q558" s="3" t="s">
        <v>1947</v>
      </c>
      <c r="T558" s="3" t="s">
        <v>1820</v>
      </c>
      <c r="V558" s="2" t="s">
        <v>1820</v>
      </c>
      <c r="AD558" s="698"/>
      <c r="AE558" s="655"/>
    </row>
    <row r="559" spans="1:31" ht="12" customHeight="1" thickBot="1">
      <c r="A559" s="938"/>
      <c r="B559" s="700" t="s">
        <v>5745</v>
      </c>
      <c r="C559" s="699" t="s">
        <v>1948</v>
      </c>
      <c r="D559" s="699">
        <f t="shared" si="8"/>
        <v>31</v>
      </c>
      <c r="E559" s="702" t="s">
        <v>5</v>
      </c>
      <c r="F559" s="699"/>
      <c r="G559" s="703" t="s">
        <v>1949</v>
      </c>
      <c r="H559" s="699"/>
      <c r="I559" s="699"/>
      <c r="J559" s="700" t="s">
        <v>16129</v>
      </c>
      <c r="K559" s="699"/>
      <c r="L559" s="699" t="s">
        <v>25</v>
      </c>
      <c r="M559" s="705">
        <v>1</v>
      </c>
      <c r="N559" s="706">
        <v>1</v>
      </c>
      <c r="O559" s="703" t="s">
        <v>1865</v>
      </c>
      <c r="P559" s="707">
        <v>29839</v>
      </c>
      <c r="Q559" s="703" t="s">
        <v>1950</v>
      </c>
      <c r="R559" s="703" t="s">
        <v>1951</v>
      </c>
      <c r="S559" s="703"/>
      <c r="T559" s="703" t="s">
        <v>147</v>
      </c>
      <c r="U559" s="702"/>
      <c r="V559" s="702"/>
      <c r="W559" s="702"/>
      <c r="X559" s="702"/>
      <c r="Y559" s="702"/>
      <c r="Z559" s="702"/>
      <c r="AA559" s="702"/>
      <c r="AB559" s="702" t="s">
        <v>1952</v>
      </c>
      <c r="AC559" s="702"/>
      <c r="AD559" s="708"/>
      <c r="AE559" s="655"/>
    </row>
    <row r="560" spans="1:31" ht="12" customHeight="1">
      <c r="A560" s="936" t="s">
        <v>18245</v>
      </c>
      <c r="B560" s="688" t="s">
        <v>1953</v>
      </c>
      <c r="C560" s="687" t="s">
        <v>1956</v>
      </c>
      <c r="D560" s="687">
        <f t="shared" si="8"/>
        <v>56</v>
      </c>
      <c r="E560" s="696" t="s">
        <v>5</v>
      </c>
      <c r="F560" s="689" t="s">
        <v>15273</v>
      </c>
      <c r="G560" s="747" t="s">
        <v>1957</v>
      </c>
      <c r="H560" s="687"/>
      <c r="I560" s="687"/>
      <c r="J560" s="692" t="s">
        <v>16126</v>
      </c>
      <c r="K560" s="687" t="s">
        <v>1936</v>
      </c>
      <c r="L560" s="687" t="s">
        <v>25</v>
      </c>
      <c r="M560" s="748">
        <v>5</v>
      </c>
      <c r="N560" s="749">
        <v>5</v>
      </c>
      <c r="O560" s="747" t="s">
        <v>1958</v>
      </c>
      <c r="P560" s="773">
        <v>20795</v>
      </c>
      <c r="Q560" s="747" t="s">
        <v>1960</v>
      </c>
      <c r="R560" s="747" t="s">
        <v>2533</v>
      </c>
      <c r="S560" s="747" t="s">
        <v>736</v>
      </c>
      <c r="T560" s="747" t="s">
        <v>1924</v>
      </c>
      <c r="U560" s="696" t="s">
        <v>47</v>
      </c>
      <c r="V560" s="696"/>
      <c r="W560" s="696"/>
      <c r="X560" s="696"/>
      <c r="Y560" s="696"/>
      <c r="Z560" s="696"/>
      <c r="AA560" s="696"/>
      <c r="AB560" s="696"/>
      <c r="AC560" s="696"/>
      <c r="AD560" s="697"/>
      <c r="AE560" s="655"/>
    </row>
    <row r="561" spans="1:31" ht="12" customHeight="1">
      <c r="A561" s="937" t="s">
        <v>18219</v>
      </c>
      <c r="B561" s="4" t="s">
        <v>1954</v>
      </c>
      <c r="C561" s="1" t="s">
        <v>1961</v>
      </c>
      <c r="D561" s="1">
        <f t="shared" si="8"/>
        <v>39</v>
      </c>
      <c r="E561" s="2" t="s">
        <v>5</v>
      </c>
      <c r="F561" s="1" t="s">
        <v>15273</v>
      </c>
      <c r="J561" s="4" t="s">
        <v>16120</v>
      </c>
      <c r="K561" s="1" t="s">
        <v>65</v>
      </c>
      <c r="L561" s="1" t="s">
        <v>14</v>
      </c>
      <c r="M561" s="16">
        <v>1</v>
      </c>
      <c r="N561" s="17">
        <v>1</v>
      </c>
      <c r="O561" s="3" t="s">
        <v>31</v>
      </c>
      <c r="P561" s="20">
        <v>26907</v>
      </c>
      <c r="Q561" s="3" t="s">
        <v>1962</v>
      </c>
      <c r="AD561" s="698"/>
      <c r="AE561" s="655"/>
    </row>
    <row r="562" spans="1:31" ht="12" customHeight="1">
      <c r="A562" s="937" t="s">
        <v>18223</v>
      </c>
      <c r="B562" s="4" t="s">
        <v>1955</v>
      </c>
      <c r="C562" s="1" t="s">
        <v>1824</v>
      </c>
      <c r="D562" s="1">
        <f t="shared" si="8"/>
        <v>68</v>
      </c>
      <c r="E562" s="2" t="s">
        <v>5</v>
      </c>
      <c r="F562" s="1" t="s">
        <v>15273</v>
      </c>
      <c r="G562" s="3" t="s">
        <v>1825</v>
      </c>
      <c r="J562" s="4" t="s">
        <v>16125</v>
      </c>
      <c r="L562" s="1" t="s">
        <v>25</v>
      </c>
      <c r="M562" s="16">
        <v>2</v>
      </c>
      <c r="N562" s="17">
        <v>2</v>
      </c>
      <c r="O562" s="3" t="s">
        <v>159</v>
      </c>
      <c r="P562" s="20">
        <v>16223</v>
      </c>
      <c r="Q562" s="3" t="s">
        <v>1826</v>
      </c>
      <c r="R562" s="3" t="s">
        <v>4568</v>
      </c>
      <c r="S562" s="3" t="s">
        <v>16093</v>
      </c>
      <c r="AA562" s="3"/>
      <c r="AB562" s="3"/>
      <c r="AC562" s="3"/>
      <c r="AD562" s="774"/>
      <c r="AE562" s="655"/>
    </row>
    <row r="563" spans="1:31" ht="12" customHeight="1">
      <c r="A563" s="937" t="s">
        <v>18245</v>
      </c>
      <c r="B563" s="4" t="s">
        <v>4980</v>
      </c>
      <c r="C563" s="1" t="s">
        <v>4981</v>
      </c>
      <c r="D563" s="1">
        <f t="shared" si="8"/>
        <v>54</v>
      </c>
      <c r="E563" s="2" t="s">
        <v>5</v>
      </c>
      <c r="F563" s="1" t="s">
        <v>15273</v>
      </c>
      <c r="J563" s="4" t="s">
        <v>16116</v>
      </c>
      <c r="K563" s="1" t="s">
        <v>4982</v>
      </c>
      <c r="L563" s="1" t="s">
        <v>14</v>
      </c>
      <c r="M563" s="16">
        <v>1</v>
      </c>
      <c r="N563" s="17">
        <v>1</v>
      </c>
      <c r="O563" s="3" t="s">
        <v>4983</v>
      </c>
      <c r="P563" s="21">
        <v>21193</v>
      </c>
      <c r="Q563" s="3" t="s">
        <v>16662</v>
      </c>
      <c r="R563" s="3" t="s">
        <v>4986</v>
      </c>
      <c r="S563" s="3" t="s">
        <v>18564</v>
      </c>
      <c r="T563" s="3" t="s">
        <v>4984</v>
      </c>
      <c r="V563" s="2" t="s">
        <v>4925</v>
      </c>
      <c r="W563" s="2" t="s">
        <v>4985</v>
      </c>
      <c r="AC563" s="2" t="s">
        <v>4933</v>
      </c>
      <c r="AD563" s="698"/>
      <c r="AE563" s="655"/>
    </row>
    <row r="564" spans="1:31" ht="12" customHeight="1" thickBot="1">
      <c r="A564" s="938"/>
      <c r="B564" s="700" t="s">
        <v>5078</v>
      </c>
      <c r="C564" s="699" t="s">
        <v>1963</v>
      </c>
      <c r="D564" s="699">
        <f t="shared" si="8"/>
        <v>48</v>
      </c>
      <c r="E564" s="702" t="s">
        <v>19</v>
      </c>
      <c r="F564" s="699"/>
      <c r="G564" s="703"/>
      <c r="H564" s="699"/>
      <c r="I564" s="699"/>
      <c r="J564" s="700" t="s">
        <v>16117</v>
      </c>
      <c r="K564" s="699"/>
      <c r="L564" s="699" t="s">
        <v>6</v>
      </c>
      <c r="M564" s="705"/>
      <c r="N564" s="706"/>
      <c r="O564" s="703" t="s">
        <v>1964</v>
      </c>
      <c r="P564" s="723">
        <v>23396</v>
      </c>
      <c r="Q564" s="703" t="s">
        <v>1928</v>
      </c>
      <c r="R564" s="703"/>
      <c r="S564" s="703"/>
      <c r="T564" s="703"/>
      <c r="U564" s="702"/>
      <c r="V564" s="702"/>
      <c r="W564" s="702"/>
      <c r="X564" s="702"/>
      <c r="Y564" s="702"/>
      <c r="Z564" s="702"/>
      <c r="AA564" s="702"/>
      <c r="AB564" s="702"/>
      <c r="AC564" s="702"/>
      <c r="AD564" s="708"/>
      <c r="AE564" s="655"/>
    </row>
    <row r="565" spans="1:31" ht="12" customHeight="1">
      <c r="A565" s="936" t="s">
        <v>18246</v>
      </c>
      <c r="B565" s="688" t="s">
        <v>1965</v>
      </c>
      <c r="C565" s="687" t="s">
        <v>1968</v>
      </c>
      <c r="D565" s="687">
        <f t="shared" si="8"/>
        <v>48</v>
      </c>
      <c r="E565" s="696" t="s">
        <v>5</v>
      </c>
      <c r="F565" s="689" t="s">
        <v>15273</v>
      </c>
      <c r="G565" s="747" t="s">
        <v>1969</v>
      </c>
      <c r="H565" s="687"/>
      <c r="I565" s="687"/>
      <c r="J565" s="692" t="s">
        <v>16127</v>
      </c>
      <c r="K565" s="687" t="s">
        <v>44</v>
      </c>
      <c r="L565" s="687" t="s">
        <v>25</v>
      </c>
      <c r="M565" s="748">
        <v>4</v>
      </c>
      <c r="N565" s="749">
        <v>4</v>
      </c>
      <c r="O565" s="747" t="s">
        <v>1970</v>
      </c>
      <c r="P565" s="773">
        <v>23473</v>
      </c>
      <c r="Q565" s="747" t="s">
        <v>1971</v>
      </c>
      <c r="R565" s="747" t="s">
        <v>2528</v>
      </c>
      <c r="S565" s="747" t="s">
        <v>6214</v>
      </c>
      <c r="T565" s="747"/>
      <c r="U565" s="696"/>
      <c r="V565" s="696"/>
      <c r="W565" s="696"/>
      <c r="X565" s="696"/>
      <c r="Y565" s="696"/>
      <c r="Z565" s="696"/>
      <c r="AA565" s="696"/>
      <c r="AB565" s="696"/>
      <c r="AC565" s="696"/>
      <c r="AD565" s="697"/>
      <c r="AE565" s="655"/>
    </row>
    <row r="566" spans="1:31" ht="12" customHeight="1">
      <c r="A566" s="937" t="s">
        <v>18220</v>
      </c>
      <c r="B566" s="4" t="s">
        <v>1966</v>
      </c>
      <c r="C566" s="1" t="s">
        <v>1972</v>
      </c>
      <c r="D566" s="1">
        <f t="shared" si="8"/>
        <v>42</v>
      </c>
      <c r="E566" s="2" t="s">
        <v>5</v>
      </c>
      <c r="F566" s="1" t="s">
        <v>15273</v>
      </c>
      <c r="J566" s="4" t="s">
        <v>16120</v>
      </c>
      <c r="K566" s="1" t="s">
        <v>476</v>
      </c>
      <c r="L566" s="1" t="s">
        <v>14</v>
      </c>
      <c r="M566" s="16">
        <v>1</v>
      </c>
      <c r="N566" s="17">
        <v>1</v>
      </c>
      <c r="O566" s="3" t="s">
        <v>1973</v>
      </c>
      <c r="P566" s="20">
        <v>25727</v>
      </c>
      <c r="Q566" s="3" t="s">
        <v>1974</v>
      </c>
      <c r="S566" s="3" t="s">
        <v>5457</v>
      </c>
      <c r="T566" s="3" t="s">
        <v>1975</v>
      </c>
      <c r="U566" s="2" t="s">
        <v>47</v>
      </c>
      <c r="AD566" s="698"/>
      <c r="AE566" s="655"/>
    </row>
    <row r="567" spans="1:31" ht="12" customHeight="1">
      <c r="A567" s="937" t="s">
        <v>18245</v>
      </c>
      <c r="B567" s="4" t="s">
        <v>1967</v>
      </c>
      <c r="C567" s="1" t="s">
        <v>5393</v>
      </c>
      <c r="D567" s="1">
        <f t="shared" si="8"/>
        <v>39</v>
      </c>
      <c r="E567" s="2" t="s">
        <v>5</v>
      </c>
      <c r="F567" s="1" t="s">
        <v>15273</v>
      </c>
      <c r="J567" s="4" t="s">
        <v>16116</v>
      </c>
      <c r="K567" s="1" t="s">
        <v>276</v>
      </c>
      <c r="L567" s="1" t="s">
        <v>6</v>
      </c>
      <c r="O567" s="3" t="s">
        <v>188</v>
      </c>
      <c r="P567" s="20">
        <v>26903</v>
      </c>
      <c r="Q567" s="3" t="s">
        <v>5394</v>
      </c>
      <c r="T567" s="3" t="s">
        <v>5305</v>
      </c>
      <c r="V567" s="2" t="s">
        <v>5305</v>
      </c>
      <c r="AD567" s="698"/>
      <c r="AE567" s="655"/>
    </row>
    <row r="568" spans="1:31" ht="12" customHeight="1" thickBot="1">
      <c r="A568" s="938"/>
      <c r="B568" s="700" t="s">
        <v>5392</v>
      </c>
      <c r="C568" s="699" t="s">
        <v>1976</v>
      </c>
      <c r="D568" s="699">
        <f t="shared" si="8"/>
        <v>58</v>
      </c>
      <c r="E568" s="702" t="s">
        <v>19</v>
      </c>
      <c r="F568" s="699"/>
      <c r="G568" s="703"/>
      <c r="H568" s="699"/>
      <c r="I568" s="699"/>
      <c r="J568" s="700" t="s">
        <v>16117</v>
      </c>
      <c r="K568" s="699"/>
      <c r="L568" s="699" t="s">
        <v>6</v>
      </c>
      <c r="M568" s="705"/>
      <c r="N568" s="706"/>
      <c r="O568" s="703" t="s">
        <v>1583</v>
      </c>
      <c r="P568" s="707">
        <v>20025</v>
      </c>
      <c r="Q568" s="703" t="s">
        <v>1977</v>
      </c>
      <c r="R568" s="703"/>
      <c r="S568" s="703"/>
      <c r="T568" s="703"/>
      <c r="U568" s="702"/>
      <c r="V568" s="702"/>
      <c r="W568" s="702"/>
      <c r="X568" s="702"/>
      <c r="Y568" s="702"/>
      <c r="Z568" s="702"/>
      <c r="AA568" s="702"/>
      <c r="AB568" s="702"/>
      <c r="AC568" s="702"/>
      <c r="AD568" s="708"/>
      <c r="AE568" s="655"/>
    </row>
    <row r="569" spans="1:31" ht="12" customHeight="1">
      <c r="A569" s="936" t="s">
        <v>18220</v>
      </c>
      <c r="B569" s="688" t="s">
        <v>1978</v>
      </c>
      <c r="C569" s="687" t="s">
        <v>1981</v>
      </c>
      <c r="D569" s="687">
        <f t="shared" si="8"/>
        <v>50</v>
      </c>
      <c r="E569" s="696" t="s">
        <v>5</v>
      </c>
      <c r="F569" s="689" t="s">
        <v>15273</v>
      </c>
      <c r="G569" s="747" t="s">
        <v>1982</v>
      </c>
      <c r="H569" s="687"/>
      <c r="I569" s="687"/>
      <c r="J569" s="692" t="s">
        <v>16127</v>
      </c>
      <c r="K569" s="687" t="s">
        <v>44</v>
      </c>
      <c r="L569" s="687" t="s">
        <v>25</v>
      </c>
      <c r="M569" s="748">
        <v>3</v>
      </c>
      <c r="N569" s="749">
        <v>3</v>
      </c>
      <c r="O569" s="747" t="s">
        <v>1983</v>
      </c>
      <c r="P569" s="773">
        <v>22694</v>
      </c>
      <c r="Q569" s="747" t="s">
        <v>1984</v>
      </c>
      <c r="R569" s="747" t="s">
        <v>1985</v>
      </c>
      <c r="S569" s="747" t="s">
        <v>6214</v>
      </c>
      <c r="T569" s="747"/>
      <c r="U569" s="696"/>
      <c r="V569" s="696"/>
      <c r="W569" s="696"/>
      <c r="X569" s="696"/>
      <c r="Y569" s="696"/>
      <c r="Z569" s="696"/>
      <c r="AA569" s="696"/>
      <c r="AB569" s="696"/>
      <c r="AC569" s="696"/>
      <c r="AD569" s="697"/>
      <c r="AE569" s="655"/>
    </row>
    <row r="570" spans="1:31" ht="12" customHeight="1">
      <c r="A570" s="937" t="s">
        <v>18246</v>
      </c>
      <c r="B570" s="4" t="s">
        <v>1979</v>
      </c>
      <c r="C570" s="1" t="s">
        <v>1986</v>
      </c>
      <c r="D570" s="1">
        <f t="shared" si="8"/>
        <v>48</v>
      </c>
      <c r="E570" s="2" t="s">
        <v>5</v>
      </c>
      <c r="F570" s="1" t="s">
        <v>15273</v>
      </c>
      <c r="J570" s="8" t="s">
        <v>16120</v>
      </c>
      <c r="K570" s="1" t="s">
        <v>30</v>
      </c>
      <c r="L570" s="1" t="s">
        <v>6</v>
      </c>
      <c r="O570" s="3" t="s">
        <v>1973</v>
      </c>
      <c r="P570" s="20">
        <v>23520</v>
      </c>
      <c r="Q570" s="3" t="s">
        <v>613</v>
      </c>
      <c r="S570" s="3" t="s">
        <v>5457</v>
      </c>
      <c r="AD570" s="698"/>
      <c r="AE570" s="655"/>
    </row>
    <row r="571" spans="1:31" ht="12" customHeight="1">
      <c r="A571" s="937"/>
      <c r="B571" s="4" t="s">
        <v>1980</v>
      </c>
      <c r="C571" s="1" t="s">
        <v>6181</v>
      </c>
      <c r="D571" s="1">
        <f t="shared" si="8"/>
        <v>60</v>
      </c>
      <c r="E571" s="2" t="s">
        <v>5</v>
      </c>
      <c r="F571" s="1" t="s">
        <v>15273</v>
      </c>
      <c r="J571" s="4" t="s">
        <v>16125</v>
      </c>
      <c r="L571" s="1" t="s">
        <v>6</v>
      </c>
      <c r="O571" s="3" t="s">
        <v>557</v>
      </c>
      <c r="P571" s="20">
        <v>19334</v>
      </c>
      <c r="Q571" s="3" t="s">
        <v>16010</v>
      </c>
      <c r="S571" s="3" t="s">
        <v>16093</v>
      </c>
      <c r="AD571" s="698"/>
      <c r="AE571" s="655"/>
    </row>
    <row r="572" spans="1:31" ht="12" customHeight="1">
      <c r="A572" s="937" t="s">
        <v>18223</v>
      </c>
      <c r="B572" s="4" t="s">
        <v>5395</v>
      </c>
      <c r="C572" s="1" t="s">
        <v>5396</v>
      </c>
      <c r="D572" s="1">
        <f t="shared" si="8"/>
        <v>30</v>
      </c>
      <c r="E572" s="2" t="s">
        <v>19</v>
      </c>
      <c r="F572" s="1" t="s">
        <v>15273</v>
      </c>
      <c r="J572" s="4" t="s">
        <v>16116</v>
      </c>
      <c r="K572" s="1" t="s">
        <v>5298</v>
      </c>
      <c r="L572" s="1" t="s">
        <v>6</v>
      </c>
      <c r="O572" s="3" t="s">
        <v>5397</v>
      </c>
      <c r="P572" s="20">
        <v>30187</v>
      </c>
      <c r="Q572" s="3" t="s">
        <v>5398</v>
      </c>
      <c r="T572" s="3" t="s">
        <v>5316</v>
      </c>
      <c r="Z572" s="2" t="s">
        <v>5316</v>
      </c>
      <c r="AD572" s="698"/>
      <c r="AE572" s="655"/>
    </row>
    <row r="573" spans="1:31" ht="12" customHeight="1">
      <c r="A573" s="937" t="s">
        <v>18223</v>
      </c>
      <c r="B573" s="4" t="s">
        <v>6180</v>
      </c>
      <c r="C573" s="1" t="s">
        <v>1987</v>
      </c>
      <c r="D573" s="1">
        <f t="shared" si="8"/>
        <v>38</v>
      </c>
      <c r="E573" s="2" t="s">
        <v>5</v>
      </c>
      <c r="J573" s="4" t="s">
        <v>16117</v>
      </c>
      <c r="L573" s="1" t="s">
        <v>6</v>
      </c>
      <c r="O573" s="3" t="s">
        <v>465</v>
      </c>
      <c r="P573" s="20">
        <v>27065</v>
      </c>
      <c r="Q573" s="3" t="s">
        <v>1988</v>
      </c>
      <c r="AD573" s="698"/>
      <c r="AE573" s="655"/>
    </row>
    <row r="574" spans="1:31" ht="12" customHeight="1" thickBot="1">
      <c r="A574" s="938"/>
      <c r="B574" s="700" t="s">
        <v>16008</v>
      </c>
      <c r="C574" s="699" t="s">
        <v>16009</v>
      </c>
      <c r="D574" s="699">
        <f t="shared" si="8"/>
        <v>42</v>
      </c>
      <c r="E574" s="702" t="s">
        <v>5</v>
      </c>
      <c r="F574" s="699"/>
      <c r="G574" s="703"/>
      <c r="H574" s="699"/>
      <c r="I574" s="699"/>
      <c r="J574" s="700" t="s">
        <v>16129</v>
      </c>
      <c r="K574" s="699"/>
      <c r="L574" s="699" t="s">
        <v>6</v>
      </c>
      <c r="M574" s="705"/>
      <c r="N574" s="706"/>
      <c r="O574" s="703" t="s">
        <v>267</v>
      </c>
      <c r="P574" s="707">
        <v>25581</v>
      </c>
      <c r="Q574" s="703" t="s">
        <v>16304</v>
      </c>
      <c r="R574" s="703"/>
      <c r="S574" s="703"/>
      <c r="T574" s="703"/>
      <c r="U574" s="702"/>
      <c r="V574" s="702"/>
      <c r="W574" s="702"/>
      <c r="X574" s="702"/>
      <c r="Y574" s="702"/>
      <c r="Z574" s="702"/>
      <c r="AA574" s="702"/>
      <c r="AB574" s="702"/>
      <c r="AC574" s="702"/>
      <c r="AD574" s="708"/>
      <c r="AE574" s="655"/>
    </row>
    <row r="575" spans="1:31" ht="12" customHeight="1">
      <c r="A575" s="936" t="s">
        <v>18245</v>
      </c>
      <c r="B575" s="688" t="s">
        <v>1989</v>
      </c>
      <c r="C575" s="687" t="s">
        <v>1994</v>
      </c>
      <c r="D575" s="687">
        <f t="shared" si="8"/>
        <v>45</v>
      </c>
      <c r="E575" s="696" t="s">
        <v>5</v>
      </c>
      <c r="F575" s="689" t="s">
        <v>15273</v>
      </c>
      <c r="G575" s="747" t="s">
        <v>1995</v>
      </c>
      <c r="H575" s="687"/>
      <c r="I575" s="687"/>
      <c r="J575" s="692" t="s">
        <v>16126</v>
      </c>
      <c r="K575" s="687" t="s">
        <v>1996</v>
      </c>
      <c r="L575" s="687" t="s">
        <v>25</v>
      </c>
      <c r="M575" s="748">
        <v>3</v>
      </c>
      <c r="N575" s="749">
        <v>3</v>
      </c>
      <c r="O575" s="747" t="s">
        <v>7</v>
      </c>
      <c r="P575" s="773">
        <v>24490</v>
      </c>
      <c r="Q575" s="747" t="s">
        <v>1997</v>
      </c>
      <c r="R575" s="747" t="s">
        <v>1998</v>
      </c>
      <c r="S575" s="747" t="s">
        <v>6214</v>
      </c>
      <c r="T575" s="747" t="s">
        <v>104</v>
      </c>
      <c r="U575" s="696"/>
      <c r="V575" s="696"/>
      <c r="W575" s="696"/>
      <c r="X575" s="696"/>
      <c r="Y575" s="696"/>
      <c r="Z575" s="696"/>
      <c r="AA575" s="696" t="s">
        <v>1999</v>
      </c>
      <c r="AB575" s="696"/>
      <c r="AC575" s="696"/>
      <c r="AD575" s="697"/>
      <c r="AE575" s="655"/>
    </row>
    <row r="576" spans="1:31" ht="12" customHeight="1">
      <c r="A576" s="937" t="s">
        <v>18219</v>
      </c>
      <c r="B576" s="4" t="s">
        <v>1990</v>
      </c>
      <c r="C576" s="1" t="s">
        <v>2000</v>
      </c>
      <c r="D576" s="1">
        <f t="shared" si="8"/>
        <v>51</v>
      </c>
      <c r="E576" s="2" t="s">
        <v>5</v>
      </c>
      <c r="F576" s="1" t="s">
        <v>15273</v>
      </c>
      <c r="J576" s="4" t="s">
        <v>16120</v>
      </c>
      <c r="K576" s="1" t="s">
        <v>30</v>
      </c>
      <c r="L576" s="1" t="s">
        <v>14</v>
      </c>
      <c r="M576" s="16">
        <v>5</v>
      </c>
      <c r="N576" s="17">
        <v>5</v>
      </c>
      <c r="O576" s="3" t="s">
        <v>1973</v>
      </c>
      <c r="P576" s="20">
        <v>22468</v>
      </c>
      <c r="Q576" s="3" t="s">
        <v>2003</v>
      </c>
      <c r="R576" s="3" t="s">
        <v>2002</v>
      </c>
      <c r="T576" s="3" t="s">
        <v>146</v>
      </c>
      <c r="AC576" s="2" t="s">
        <v>2001</v>
      </c>
      <c r="AD576" s="698"/>
      <c r="AE576" s="655"/>
    </row>
    <row r="577" spans="1:31" ht="12" customHeight="1">
      <c r="A577" s="937" t="s">
        <v>18223</v>
      </c>
      <c r="B577" s="4" t="s">
        <v>1991</v>
      </c>
      <c r="C577" s="1" t="s">
        <v>5400</v>
      </c>
      <c r="D577" s="1">
        <f t="shared" si="8"/>
        <v>39</v>
      </c>
      <c r="E577" s="2" t="s">
        <v>5</v>
      </c>
      <c r="F577" s="1" t="s">
        <v>15273</v>
      </c>
      <c r="J577" s="4" t="s">
        <v>16116</v>
      </c>
      <c r="K577" s="1" t="s">
        <v>4993</v>
      </c>
      <c r="L577" s="1" t="s">
        <v>6</v>
      </c>
      <c r="O577" s="3" t="s">
        <v>5401</v>
      </c>
      <c r="P577" s="21">
        <v>26710</v>
      </c>
      <c r="Q577" s="3" t="s">
        <v>18244</v>
      </c>
      <c r="AD577" s="698"/>
      <c r="AE577" s="655"/>
    </row>
    <row r="578" spans="1:31" ht="12" customHeight="1">
      <c r="A578" s="937"/>
      <c r="B578" s="4" t="s">
        <v>1992</v>
      </c>
      <c r="C578" s="1" t="s">
        <v>2007</v>
      </c>
      <c r="D578" s="1">
        <f t="shared" ref="D578:D641" si="9">DATEDIF(P578,$P$1298,"Y")</f>
        <v>39</v>
      </c>
      <c r="E578" s="2" t="s">
        <v>5</v>
      </c>
      <c r="F578" s="1" t="s">
        <v>15273</v>
      </c>
      <c r="J578" s="8" t="s">
        <v>16128</v>
      </c>
      <c r="L578" s="1" t="s">
        <v>6</v>
      </c>
      <c r="O578" s="3" t="s">
        <v>2008</v>
      </c>
      <c r="P578" s="20">
        <v>26687</v>
      </c>
      <c r="Q578" s="3" t="s">
        <v>2009</v>
      </c>
      <c r="AD578" s="698"/>
      <c r="AE578" s="655"/>
    </row>
    <row r="579" spans="1:31" ht="12" customHeight="1">
      <c r="A579" s="937"/>
      <c r="B579" s="4" t="s">
        <v>1993</v>
      </c>
      <c r="C579" s="1" t="s">
        <v>2004</v>
      </c>
      <c r="D579" s="1">
        <f t="shared" si="9"/>
        <v>51</v>
      </c>
      <c r="E579" s="2" t="s">
        <v>5</v>
      </c>
      <c r="J579" s="4" t="s">
        <v>16117</v>
      </c>
      <c r="L579" s="1" t="s">
        <v>6</v>
      </c>
      <c r="O579" s="3" t="s">
        <v>2005</v>
      </c>
      <c r="P579" s="21">
        <v>22543</v>
      </c>
      <c r="Q579" s="3" t="s">
        <v>2006</v>
      </c>
      <c r="AD579" s="698"/>
      <c r="AE579" s="655"/>
    </row>
    <row r="580" spans="1:31" ht="12" customHeight="1" thickBot="1">
      <c r="A580" s="938"/>
      <c r="B580" s="700" t="s">
        <v>5399</v>
      </c>
      <c r="C580" s="699" t="s">
        <v>2010</v>
      </c>
      <c r="D580" s="699">
        <f t="shared" si="9"/>
        <v>57</v>
      </c>
      <c r="E580" s="702" t="s">
        <v>5</v>
      </c>
      <c r="F580" s="699"/>
      <c r="G580" s="703"/>
      <c r="H580" s="699"/>
      <c r="I580" s="699"/>
      <c r="J580" s="700" t="s">
        <v>16122</v>
      </c>
      <c r="K580" s="699" t="s">
        <v>22</v>
      </c>
      <c r="L580" s="699" t="s">
        <v>6</v>
      </c>
      <c r="M580" s="705"/>
      <c r="N580" s="706"/>
      <c r="O580" s="703" t="s">
        <v>188</v>
      </c>
      <c r="P580" s="707">
        <v>20151</v>
      </c>
      <c r="Q580" s="703" t="s">
        <v>2011</v>
      </c>
      <c r="R580" s="703"/>
      <c r="S580" s="703"/>
      <c r="T580" s="703"/>
      <c r="U580" s="702"/>
      <c r="V580" s="702"/>
      <c r="W580" s="702"/>
      <c r="X580" s="702"/>
      <c r="Y580" s="702"/>
      <c r="Z580" s="702"/>
      <c r="AA580" s="702"/>
      <c r="AB580" s="702"/>
      <c r="AC580" s="702"/>
      <c r="AD580" s="708"/>
      <c r="AE580" s="655"/>
    </row>
    <row r="581" spans="1:31" ht="12" customHeight="1">
      <c r="A581" s="936" t="s">
        <v>18245</v>
      </c>
      <c r="B581" s="688" t="s">
        <v>2012</v>
      </c>
      <c r="C581" s="687" t="s">
        <v>2018</v>
      </c>
      <c r="D581" s="687">
        <f t="shared" si="9"/>
        <v>45</v>
      </c>
      <c r="E581" s="696" t="s">
        <v>19</v>
      </c>
      <c r="F581" s="689" t="s">
        <v>15273</v>
      </c>
      <c r="G581" s="747" t="s">
        <v>2019</v>
      </c>
      <c r="H581" s="687"/>
      <c r="I581" s="687"/>
      <c r="J581" s="692" t="s">
        <v>16127</v>
      </c>
      <c r="K581" s="687" t="s">
        <v>44</v>
      </c>
      <c r="L581" s="687" t="s">
        <v>25</v>
      </c>
      <c r="M581" s="748">
        <v>1</v>
      </c>
      <c r="N581" s="749">
        <v>1</v>
      </c>
      <c r="O581" s="747" t="s">
        <v>695</v>
      </c>
      <c r="P581" s="773">
        <v>24760</v>
      </c>
      <c r="Q581" s="747" t="s">
        <v>2020</v>
      </c>
      <c r="R581" s="747"/>
      <c r="S581" s="747" t="s">
        <v>6214</v>
      </c>
      <c r="T581" s="747"/>
      <c r="U581" s="696"/>
      <c r="V581" s="696"/>
      <c r="W581" s="696"/>
      <c r="X581" s="696"/>
      <c r="Y581" s="696"/>
      <c r="Z581" s="696"/>
      <c r="AA581" s="696"/>
      <c r="AB581" s="696"/>
      <c r="AC581" s="696"/>
      <c r="AD581" s="697"/>
      <c r="AE581" s="655"/>
    </row>
    <row r="582" spans="1:31" ht="12" customHeight="1">
      <c r="A582" s="937" t="s">
        <v>18219</v>
      </c>
      <c r="B582" s="4" t="s">
        <v>2013</v>
      </c>
      <c r="C582" s="1" t="s">
        <v>2021</v>
      </c>
      <c r="D582" s="1">
        <f t="shared" si="9"/>
        <v>31</v>
      </c>
      <c r="E582" s="2" t="s">
        <v>5</v>
      </c>
      <c r="F582" s="1" t="s">
        <v>15273</v>
      </c>
      <c r="J582" s="4" t="s">
        <v>16120</v>
      </c>
      <c r="K582" s="1" t="s">
        <v>30</v>
      </c>
      <c r="L582" s="1" t="s">
        <v>6</v>
      </c>
      <c r="O582" s="3" t="s">
        <v>2022</v>
      </c>
      <c r="P582" s="20">
        <v>29736</v>
      </c>
      <c r="Q582" s="3" t="s">
        <v>2023</v>
      </c>
      <c r="S582" s="3" t="s">
        <v>5457</v>
      </c>
      <c r="AD582" s="698"/>
      <c r="AE582" s="655"/>
    </row>
    <row r="583" spans="1:31" ht="12" customHeight="1">
      <c r="A583" s="937"/>
      <c r="B583" s="4" t="s">
        <v>2014</v>
      </c>
      <c r="C583" s="1" t="s">
        <v>6182</v>
      </c>
      <c r="D583" s="1">
        <f t="shared" si="9"/>
        <v>39</v>
      </c>
      <c r="E583" s="2" t="s">
        <v>5</v>
      </c>
      <c r="F583" s="1" t="s">
        <v>15273</v>
      </c>
      <c r="J583" s="4" t="s">
        <v>16125</v>
      </c>
      <c r="L583" s="1" t="s">
        <v>6</v>
      </c>
      <c r="O583" s="3" t="s">
        <v>31</v>
      </c>
      <c r="P583" s="20">
        <v>26932</v>
      </c>
      <c r="Q583" s="3" t="s">
        <v>6183</v>
      </c>
      <c r="S583" s="3" t="s">
        <v>16093</v>
      </c>
      <c r="T583" s="3" t="s">
        <v>6080</v>
      </c>
      <c r="Y583" s="2" t="s">
        <v>6080</v>
      </c>
      <c r="AD583" s="698"/>
      <c r="AE583" s="655"/>
    </row>
    <row r="584" spans="1:31" ht="12" customHeight="1">
      <c r="A584" s="937" t="s">
        <v>18245</v>
      </c>
      <c r="B584" s="4" t="s">
        <v>2015</v>
      </c>
      <c r="C584" s="1" t="s">
        <v>5012</v>
      </c>
      <c r="D584" s="1">
        <f t="shared" si="9"/>
        <v>33</v>
      </c>
      <c r="E584" s="2" t="s">
        <v>5</v>
      </c>
      <c r="F584" s="1" t="s">
        <v>15273</v>
      </c>
      <c r="J584" s="4" t="s">
        <v>16116</v>
      </c>
      <c r="K584" s="1" t="s">
        <v>5013</v>
      </c>
      <c r="L584" s="1" t="s">
        <v>6</v>
      </c>
      <c r="O584" s="3" t="s">
        <v>381</v>
      </c>
      <c r="P584" s="20">
        <v>29072</v>
      </c>
      <c r="Q584" s="3" t="s">
        <v>5014</v>
      </c>
      <c r="T584" s="3" t="s">
        <v>4935</v>
      </c>
      <c r="AA584" s="2" t="s">
        <v>4935</v>
      </c>
      <c r="AD584" s="698"/>
      <c r="AE584" s="655"/>
    </row>
    <row r="585" spans="1:31" ht="12" customHeight="1">
      <c r="A585" s="937" t="s">
        <v>18223</v>
      </c>
      <c r="B585" s="4" t="s">
        <v>2016</v>
      </c>
      <c r="C585" s="1" t="s">
        <v>2027</v>
      </c>
      <c r="D585" s="1">
        <f t="shared" si="9"/>
        <v>31</v>
      </c>
      <c r="E585" s="2" t="s">
        <v>5</v>
      </c>
      <c r="F585" s="1" t="s">
        <v>15273</v>
      </c>
      <c r="J585" s="4" t="s">
        <v>16128</v>
      </c>
      <c r="L585" s="1" t="s">
        <v>6</v>
      </c>
      <c r="O585" s="3" t="s">
        <v>123</v>
      </c>
      <c r="P585" s="20">
        <v>29858</v>
      </c>
      <c r="Q585" s="3" t="s">
        <v>2028</v>
      </c>
      <c r="T585" s="3" t="s">
        <v>2029</v>
      </c>
      <c r="V585" s="2" t="s">
        <v>2029</v>
      </c>
      <c r="AD585" s="698"/>
      <c r="AE585" s="655"/>
    </row>
    <row r="586" spans="1:31" ht="12" customHeight="1" thickBot="1">
      <c r="A586" s="938"/>
      <c r="B586" s="700" t="s">
        <v>2017</v>
      </c>
      <c r="C586" s="699" t="s">
        <v>2024</v>
      </c>
      <c r="D586" s="699">
        <f t="shared" si="9"/>
        <v>32</v>
      </c>
      <c r="E586" s="702" t="s">
        <v>5</v>
      </c>
      <c r="F586" s="699"/>
      <c r="G586" s="703"/>
      <c r="H586" s="699"/>
      <c r="I586" s="699"/>
      <c r="J586" s="700" t="s">
        <v>16117</v>
      </c>
      <c r="K586" s="699"/>
      <c r="L586" s="699" t="s">
        <v>6</v>
      </c>
      <c r="M586" s="705"/>
      <c r="N586" s="706"/>
      <c r="O586" s="703" t="s">
        <v>2025</v>
      </c>
      <c r="P586" s="723">
        <v>29397</v>
      </c>
      <c r="Q586" s="703" t="s">
        <v>2026</v>
      </c>
      <c r="R586" s="703"/>
      <c r="S586" s="703"/>
      <c r="T586" s="703"/>
      <c r="U586" s="702"/>
      <c r="V586" s="702"/>
      <c r="W586" s="702"/>
      <c r="X586" s="702"/>
      <c r="Y586" s="702"/>
      <c r="Z586" s="702"/>
      <c r="AA586" s="702"/>
      <c r="AB586" s="702"/>
      <c r="AC586" s="702"/>
      <c r="AD586" s="708"/>
      <c r="AE586" s="655"/>
    </row>
    <row r="587" spans="1:31" ht="12" customHeight="1">
      <c r="A587" s="936" t="s">
        <v>18245</v>
      </c>
      <c r="B587" s="688" t="s">
        <v>2030</v>
      </c>
      <c r="C587" s="687" t="s">
        <v>2034</v>
      </c>
      <c r="D587" s="687">
        <f t="shared" si="9"/>
        <v>56</v>
      </c>
      <c r="E587" s="696" t="s">
        <v>5</v>
      </c>
      <c r="F587" s="689" t="s">
        <v>15273</v>
      </c>
      <c r="G587" s="747" t="s">
        <v>2035</v>
      </c>
      <c r="H587" s="687"/>
      <c r="I587" s="687"/>
      <c r="J587" s="692" t="s">
        <v>16127</v>
      </c>
      <c r="K587" s="687" t="s">
        <v>2036</v>
      </c>
      <c r="L587" s="687" t="s">
        <v>25</v>
      </c>
      <c r="M587" s="748">
        <v>3</v>
      </c>
      <c r="N587" s="749">
        <v>3</v>
      </c>
      <c r="O587" s="747" t="s">
        <v>2037</v>
      </c>
      <c r="P587" s="773">
        <v>20632</v>
      </c>
      <c r="Q587" s="747" t="s">
        <v>2038</v>
      </c>
      <c r="R587" s="747" t="s">
        <v>2039</v>
      </c>
      <c r="S587" s="747" t="s">
        <v>6214</v>
      </c>
      <c r="T587" s="747"/>
      <c r="U587" s="696"/>
      <c r="V587" s="696"/>
      <c r="W587" s="696"/>
      <c r="X587" s="696"/>
      <c r="Y587" s="696"/>
      <c r="Z587" s="696"/>
      <c r="AA587" s="696"/>
      <c r="AB587" s="696"/>
      <c r="AC587" s="696"/>
      <c r="AD587" s="697"/>
      <c r="AE587" s="655"/>
    </row>
    <row r="588" spans="1:31" ht="12" customHeight="1">
      <c r="A588" s="937" t="s">
        <v>18219</v>
      </c>
      <c r="B588" s="4" t="s">
        <v>2031</v>
      </c>
      <c r="C588" s="1" t="s">
        <v>2040</v>
      </c>
      <c r="D588" s="1">
        <f t="shared" si="9"/>
        <v>49</v>
      </c>
      <c r="E588" s="2" t="s">
        <v>5</v>
      </c>
      <c r="F588" s="1" t="s">
        <v>15273</v>
      </c>
      <c r="J588" s="8" t="s">
        <v>16120</v>
      </c>
      <c r="K588" s="1" t="s">
        <v>48</v>
      </c>
      <c r="L588" s="1" t="s">
        <v>14</v>
      </c>
      <c r="M588" s="16">
        <v>2</v>
      </c>
      <c r="N588" s="17">
        <v>2</v>
      </c>
      <c r="O588" s="3" t="s">
        <v>2041</v>
      </c>
      <c r="P588" s="20">
        <v>23254</v>
      </c>
      <c r="Q588" s="3" t="s">
        <v>2042</v>
      </c>
      <c r="R588" s="3" t="s">
        <v>2043</v>
      </c>
      <c r="S588" s="3" t="s">
        <v>5889</v>
      </c>
      <c r="T588" s="3" t="s">
        <v>2029</v>
      </c>
      <c r="V588" s="2" t="s">
        <v>2029</v>
      </c>
      <c r="AD588" s="698"/>
      <c r="AE588" s="655"/>
    </row>
    <row r="589" spans="1:31" ht="12" customHeight="1">
      <c r="A589" s="937" t="s">
        <v>18223</v>
      </c>
      <c r="B589" s="4" t="s">
        <v>2032</v>
      </c>
      <c r="C589" s="1" t="s">
        <v>5775</v>
      </c>
      <c r="D589" s="1">
        <f t="shared" si="9"/>
        <v>37</v>
      </c>
      <c r="E589" s="2" t="s">
        <v>5</v>
      </c>
      <c r="F589" s="1" t="s">
        <v>15273</v>
      </c>
      <c r="J589" s="4" t="s">
        <v>16116</v>
      </c>
      <c r="K589" s="1" t="s">
        <v>4993</v>
      </c>
      <c r="L589" s="1" t="s">
        <v>6</v>
      </c>
      <c r="O589" s="3" t="s">
        <v>5776</v>
      </c>
      <c r="P589" s="20">
        <v>27555</v>
      </c>
      <c r="Q589" s="3" t="s">
        <v>16284</v>
      </c>
      <c r="AD589" s="698"/>
      <c r="AE589" s="655"/>
    </row>
    <row r="590" spans="1:31" ht="12" customHeight="1">
      <c r="A590" s="937" t="s">
        <v>18223</v>
      </c>
      <c r="B590" s="4" t="s">
        <v>2033</v>
      </c>
      <c r="C590" s="1" t="s">
        <v>2048</v>
      </c>
      <c r="D590" s="1">
        <f t="shared" si="9"/>
        <v>40</v>
      </c>
      <c r="E590" s="2" t="s">
        <v>5</v>
      </c>
      <c r="F590" s="1" t="s">
        <v>15273</v>
      </c>
      <c r="J590" s="4" t="s">
        <v>16128</v>
      </c>
      <c r="L590" s="1" t="s">
        <v>6</v>
      </c>
      <c r="O590" s="3" t="s">
        <v>2041</v>
      </c>
      <c r="P590" s="20">
        <v>26446</v>
      </c>
      <c r="Q590" s="3" t="s">
        <v>2049</v>
      </c>
      <c r="T590" s="3" t="s">
        <v>2029</v>
      </c>
      <c r="V590" s="2" t="s">
        <v>2029</v>
      </c>
      <c r="W590" s="3"/>
      <c r="X590" s="3"/>
      <c r="Y590" s="3"/>
      <c r="Z590" s="3"/>
      <c r="AA590" s="3"/>
      <c r="AB590" s="3"/>
      <c r="AC590" s="3"/>
      <c r="AD590" s="774"/>
      <c r="AE590" s="655"/>
    </row>
    <row r="591" spans="1:31" ht="12" customHeight="1" thickBot="1">
      <c r="A591" s="938"/>
      <c r="B591" s="700" t="s">
        <v>5774</v>
      </c>
      <c r="C591" s="699" t="s">
        <v>2044</v>
      </c>
      <c r="D591" s="699">
        <f t="shared" si="9"/>
        <v>64</v>
      </c>
      <c r="E591" s="702" t="s">
        <v>5</v>
      </c>
      <c r="F591" s="699"/>
      <c r="G591" s="703"/>
      <c r="H591" s="699"/>
      <c r="I591" s="699"/>
      <c r="J591" s="700" t="s">
        <v>16117</v>
      </c>
      <c r="K591" s="699"/>
      <c r="L591" s="699" t="s">
        <v>6</v>
      </c>
      <c r="M591" s="705"/>
      <c r="N591" s="706"/>
      <c r="O591" s="703" t="s">
        <v>2045</v>
      </c>
      <c r="P591" s="723">
        <v>17759</v>
      </c>
      <c r="Q591" s="703" t="s">
        <v>2046</v>
      </c>
      <c r="R591" s="703"/>
      <c r="S591" s="703"/>
      <c r="T591" s="703" t="s">
        <v>69</v>
      </c>
      <c r="U591" s="702"/>
      <c r="V591" s="702"/>
      <c r="W591" s="702"/>
      <c r="X591" s="702"/>
      <c r="Y591" s="702"/>
      <c r="Z591" s="702"/>
      <c r="AA591" s="702"/>
      <c r="AB591" s="702"/>
      <c r="AC591" s="702"/>
      <c r="AD591" s="708" t="s">
        <v>2047</v>
      </c>
      <c r="AE591" s="655"/>
    </row>
    <row r="592" spans="1:31" ht="12" customHeight="1">
      <c r="A592" s="936" t="s">
        <v>18223</v>
      </c>
      <c r="B592" s="688" t="s">
        <v>2050</v>
      </c>
      <c r="C592" s="687" t="s">
        <v>2053</v>
      </c>
      <c r="D592" s="687">
        <f t="shared" si="9"/>
        <v>57</v>
      </c>
      <c r="E592" s="696" t="s">
        <v>5</v>
      </c>
      <c r="F592" s="689" t="s">
        <v>15273</v>
      </c>
      <c r="G592" s="747" t="s">
        <v>2054</v>
      </c>
      <c r="H592" s="687"/>
      <c r="I592" s="687"/>
      <c r="J592" s="692" t="s">
        <v>16126</v>
      </c>
      <c r="K592" s="687" t="s">
        <v>44</v>
      </c>
      <c r="L592" s="687" t="s">
        <v>25</v>
      </c>
      <c r="M592" s="748">
        <v>1</v>
      </c>
      <c r="N592" s="749">
        <v>1</v>
      </c>
      <c r="O592" s="747" t="s">
        <v>609</v>
      </c>
      <c r="P592" s="773">
        <v>20314</v>
      </c>
      <c r="Q592" s="747" t="s">
        <v>2055</v>
      </c>
      <c r="R592" s="747"/>
      <c r="S592" s="747" t="s">
        <v>6214</v>
      </c>
      <c r="T592" s="747"/>
      <c r="U592" s="696"/>
      <c r="V592" s="696"/>
      <c r="W592" s="747"/>
      <c r="X592" s="747"/>
      <c r="Y592" s="747"/>
      <c r="Z592" s="747"/>
      <c r="AA592" s="747"/>
      <c r="AB592" s="747"/>
      <c r="AC592" s="747"/>
      <c r="AD592" s="805"/>
      <c r="AE592" s="655"/>
    </row>
    <row r="593" spans="1:31" ht="12" customHeight="1">
      <c r="A593" s="937" t="s">
        <v>18218</v>
      </c>
      <c r="B593" s="4" t="s">
        <v>2051</v>
      </c>
      <c r="C593" s="1" t="s">
        <v>2056</v>
      </c>
      <c r="D593" s="1">
        <f t="shared" si="9"/>
        <v>43</v>
      </c>
      <c r="E593" s="2" t="s">
        <v>5</v>
      </c>
      <c r="F593" s="1" t="s">
        <v>15273</v>
      </c>
      <c r="G593" s="3" t="s">
        <v>2057</v>
      </c>
      <c r="J593" s="4" t="s">
        <v>16120</v>
      </c>
      <c r="K593" s="1" t="s">
        <v>445</v>
      </c>
      <c r="L593" s="1" t="s">
        <v>25</v>
      </c>
      <c r="M593" s="16">
        <v>3</v>
      </c>
      <c r="N593" s="17">
        <v>3</v>
      </c>
      <c r="O593" s="3" t="s">
        <v>2058</v>
      </c>
      <c r="P593" s="20">
        <v>25483</v>
      </c>
      <c r="Q593" s="3" t="s">
        <v>2059</v>
      </c>
      <c r="S593" s="3" t="s">
        <v>6051</v>
      </c>
      <c r="T593" s="3" t="s">
        <v>1975</v>
      </c>
      <c r="U593" s="2" t="s">
        <v>1975</v>
      </c>
      <c r="W593" s="3"/>
      <c r="X593" s="3"/>
      <c r="Y593" s="3"/>
      <c r="Z593" s="3"/>
      <c r="AA593" s="3"/>
      <c r="AB593" s="3"/>
      <c r="AC593" s="3"/>
      <c r="AD593" s="774"/>
      <c r="AE593" s="655"/>
    </row>
    <row r="594" spans="1:31" ht="12" customHeight="1">
      <c r="A594" s="937" t="s">
        <v>18223</v>
      </c>
      <c r="B594" s="4" t="s">
        <v>2052</v>
      </c>
      <c r="C594" s="1" t="s">
        <v>6186</v>
      </c>
      <c r="D594" s="1">
        <f t="shared" si="9"/>
        <v>56</v>
      </c>
      <c r="E594" s="2" t="s">
        <v>5</v>
      </c>
      <c r="F594" s="1" t="s">
        <v>15273</v>
      </c>
      <c r="J594" s="4" t="s">
        <v>16125</v>
      </c>
      <c r="L594" s="1" t="s">
        <v>6</v>
      </c>
      <c r="O594" s="3" t="s">
        <v>188</v>
      </c>
      <c r="P594" s="20">
        <v>20592</v>
      </c>
      <c r="Q594" s="3" t="s">
        <v>6187</v>
      </c>
      <c r="S594" s="3" t="s">
        <v>16093</v>
      </c>
      <c r="W594" s="3"/>
      <c r="X594" s="3"/>
      <c r="Y594" s="3"/>
      <c r="Z594" s="3"/>
      <c r="AA594" s="3"/>
      <c r="AB594" s="3"/>
      <c r="AC594" s="3"/>
      <c r="AD594" s="774"/>
      <c r="AE594" s="655"/>
    </row>
    <row r="595" spans="1:31" ht="12" customHeight="1">
      <c r="A595" s="937" t="s">
        <v>18223</v>
      </c>
      <c r="B595" s="4" t="s">
        <v>5777</v>
      </c>
      <c r="C595" s="1" t="s">
        <v>5778</v>
      </c>
      <c r="D595" s="1">
        <f t="shared" si="9"/>
        <v>34</v>
      </c>
      <c r="E595" s="2" t="s">
        <v>5</v>
      </c>
      <c r="F595" s="1" t="s">
        <v>15273</v>
      </c>
      <c r="J595" s="4" t="s">
        <v>16116</v>
      </c>
      <c r="K595" s="1" t="s">
        <v>5779</v>
      </c>
      <c r="L595" s="1" t="s">
        <v>6</v>
      </c>
      <c r="O595" s="3" t="s">
        <v>5048</v>
      </c>
      <c r="P595" s="20">
        <v>28485</v>
      </c>
      <c r="Q595" s="3" t="s">
        <v>16304</v>
      </c>
      <c r="W595" s="3"/>
      <c r="X595" s="3"/>
      <c r="Y595" s="3"/>
      <c r="Z595" s="3"/>
      <c r="AA595" s="3"/>
      <c r="AB595" s="3"/>
      <c r="AC595" s="3"/>
      <c r="AD595" s="774"/>
      <c r="AE595" s="655"/>
    </row>
    <row r="596" spans="1:31" ht="12" customHeight="1" thickBot="1">
      <c r="A596" s="938"/>
      <c r="B596" s="700" t="s">
        <v>6184</v>
      </c>
      <c r="C596" s="699" t="s">
        <v>2060</v>
      </c>
      <c r="D596" s="699">
        <f t="shared" si="9"/>
        <v>38</v>
      </c>
      <c r="E596" s="702" t="s">
        <v>5</v>
      </c>
      <c r="F596" s="699"/>
      <c r="G596" s="703"/>
      <c r="H596" s="699"/>
      <c r="I596" s="699"/>
      <c r="J596" s="700" t="s">
        <v>16117</v>
      </c>
      <c r="K596" s="699"/>
      <c r="L596" s="699" t="s">
        <v>6</v>
      </c>
      <c r="M596" s="705"/>
      <c r="N596" s="706"/>
      <c r="O596" s="703" t="s">
        <v>1879</v>
      </c>
      <c r="P596" s="723">
        <v>27020</v>
      </c>
      <c r="Q596" s="703" t="s">
        <v>2061</v>
      </c>
      <c r="R596" s="703"/>
      <c r="S596" s="703"/>
      <c r="T596" s="703"/>
      <c r="U596" s="702"/>
      <c r="V596" s="702"/>
      <c r="W596" s="703"/>
      <c r="X596" s="703"/>
      <c r="Y596" s="703"/>
      <c r="Z596" s="703"/>
      <c r="AA596" s="703"/>
      <c r="AB596" s="703"/>
      <c r="AC596" s="703"/>
      <c r="AD596" s="793"/>
      <c r="AE596" s="655"/>
    </row>
    <row r="597" spans="1:31" ht="12" customHeight="1">
      <c r="A597" s="936" t="s">
        <v>18220</v>
      </c>
      <c r="B597" s="688" t="s">
        <v>2186</v>
      </c>
      <c r="C597" s="687" t="s">
        <v>2189</v>
      </c>
      <c r="D597" s="687">
        <f t="shared" si="9"/>
        <v>45</v>
      </c>
      <c r="E597" s="696" t="s">
        <v>19</v>
      </c>
      <c r="F597" s="689" t="s">
        <v>15273</v>
      </c>
      <c r="G597" s="747" t="s">
        <v>2190</v>
      </c>
      <c r="H597" s="687"/>
      <c r="I597" s="687"/>
      <c r="J597" s="692" t="s">
        <v>16127</v>
      </c>
      <c r="K597" s="687" t="s">
        <v>44</v>
      </c>
      <c r="L597" s="687" t="s">
        <v>25</v>
      </c>
      <c r="M597" s="748">
        <v>3</v>
      </c>
      <c r="N597" s="749">
        <v>3</v>
      </c>
      <c r="O597" s="747" t="s">
        <v>2191</v>
      </c>
      <c r="P597" s="773">
        <v>24485</v>
      </c>
      <c r="Q597" s="747" t="s">
        <v>2192</v>
      </c>
      <c r="R597" s="747" t="s">
        <v>2193</v>
      </c>
      <c r="S597" s="747" t="s">
        <v>6214</v>
      </c>
      <c r="T597" s="747" t="s">
        <v>2194</v>
      </c>
      <c r="U597" s="696"/>
      <c r="V597" s="696" t="s">
        <v>2194</v>
      </c>
      <c r="W597" s="696"/>
      <c r="X597" s="696"/>
      <c r="Y597" s="696"/>
      <c r="Z597" s="696"/>
      <c r="AA597" s="696"/>
      <c r="AB597" s="696"/>
      <c r="AC597" s="696"/>
      <c r="AD597" s="697"/>
      <c r="AE597" s="655"/>
    </row>
    <row r="598" spans="1:31" ht="12" customHeight="1">
      <c r="A598" s="937" t="s">
        <v>18246</v>
      </c>
      <c r="B598" s="4" t="s">
        <v>2187</v>
      </c>
      <c r="C598" s="1" t="s">
        <v>2195</v>
      </c>
      <c r="D598" s="1">
        <f t="shared" si="9"/>
        <v>28</v>
      </c>
      <c r="E598" s="2" t="s">
        <v>5</v>
      </c>
      <c r="F598" s="1" t="s">
        <v>15273</v>
      </c>
      <c r="J598" s="4" t="s">
        <v>16120</v>
      </c>
      <c r="K598" s="1" t="s">
        <v>30</v>
      </c>
      <c r="L598" s="1" t="s">
        <v>6</v>
      </c>
      <c r="O598" s="3" t="s">
        <v>31</v>
      </c>
      <c r="P598" s="20">
        <v>30706</v>
      </c>
      <c r="Q598" s="3" t="s">
        <v>2196</v>
      </c>
      <c r="S598" s="3" t="s">
        <v>5457</v>
      </c>
      <c r="T598" s="3" t="s">
        <v>2197</v>
      </c>
      <c r="U598" s="2" t="s">
        <v>47</v>
      </c>
      <c r="AD598" s="698"/>
      <c r="AE598" s="655"/>
    </row>
    <row r="599" spans="1:31" ht="12" customHeight="1">
      <c r="A599" s="937" t="s">
        <v>18223</v>
      </c>
      <c r="B599" s="4" t="s">
        <v>2188</v>
      </c>
      <c r="C599" s="1" t="s">
        <v>2538</v>
      </c>
      <c r="D599" s="1">
        <f t="shared" si="9"/>
        <v>31</v>
      </c>
      <c r="E599" s="2" t="s">
        <v>5</v>
      </c>
      <c r="F599" s="1" t="s">
        <v>15273</v>
      </c>
      <c r="J599" s="4" t="s">
        <v>16125</v>
      </c>
      <c r="L599" s="1" t="s">
        <v>6</v>
      </c>
      <c r="O599" s="3" t="s">
        <v>2253</v>
      </c>
      <c r="P599" s="20">
        <v>29748</v>
      </c>
      <c r="Q599" s="3" t="s">
        <v>5641</v>
      </c>
      <c r="S599" s="3" t="s">
        <v>16093</v>
      </c>
      <c r="AD599" s="698"/>
      <c r="AE599" s="655"/>
    </row>
    <row r="600" spans="1:31" ht="12" customHeight="1" thickBot="1">
      <c r="A600" s="938"/>
      <c r="B600" s="700" t="s">
        <v>2537</v>
      </c>
      <c r="C600" s="699" t="s">
        <v>2198</v>
      </c>
      <c r="D600" s="699">
        <f t="shared" si="9"/>
        <v>48</v>
      </c>
      <c r="E600" s="702" t="s">
        <v>5</v>
      </c>
      <c r="F600" s="699"/>
      <c r="G600" s="703"/>
      <c r="H600" s="699"/>
      <c r="I600" s="699"/>
      <c r="J600" s="700" t="s">
        <v>16117</v>
      </c>
      <c r="K600" s="699"/>
      <c r="L600" s="699" t="s">
        <v>6</v>
      </c>
      <c r="M600" s="705"/>
      <c r="N600" s="706"/>
      <c r="O600" s="703" t="s">
        <v>2191</v>
      </c>
      <c r="P600" s="707">
        <v>23378</v>
      </c>
      <c r="Q600" s="703" t="s">
        <v>2199</v>
      </c>
      <c r="R600" s="703"/>
      <c r="S600" s="703"/>
      <c r="T600" s="703"/>
      <c r="U600" s="702"/>
      <c r="V600" s="702"/>
      <c r="W600" s="702"/>
      <c r="X600" s="702"/>
      <c r="Y600" s="702"/>
      <c r="Z600" s="702"/>
      <c r="AA600" s="702"/>
      <c r="AB600" s="702"/>
      <c r="AC600" s="702"/>
      <c r="AD600" s="708"/>
      <c r="AE600" s="655"/>
    </row>
    <row r="601" spans="1:31" ht="12" customHeight="1">
      <c r="A601" s="936" t="s">
        <v>18246</v>
      </c>
      <c r="B601" s="688" t="s">
        <v>2200</v>
      </c>
      <c r="C601" s="687" t="s">
        <v>2204</v>
      </c>
      <c r="D601" s="687">
        <f t="shared" si="9"/>
        <v>35</v>
      </c>
      <c r="E601" s="696" t="s">
        <v>5</v>
      </c>
      <c r="F601" s="689" t="s">
        <v>15273</v>
      </c>
      <c r="G601" s="747" t="s">
        <v>2205</v>
      </c>
      <c r="H601" s="687"/>
      <c r="I601" s="687"/>
      <c r="J601" s="692" t="s">
        <v>16127</v>
      </c>
      <c r="K601" s="687" t="s">
        <v>44</v>
      </c>
      <c r="L601" s="687" t="s">
        <v>25</v>
      </c>
      <c r="M601" s="748">
        <v>2</v>
      </c>
      <c r="N601" s="749">
        <v>2</v>
      </c>
      <c r="O601" s="747" t="s">
        <v>2206</v>
      </c>
      <c r="P601" s="773">
        <v>28128</v>
      </c>
      <c r="Q601" s="747" t="s">
        <v>2207</v>
      </c>
      <c r="R601" s="747" t="s">
        <v>2208</v>
      </c>
      <c r="S601" s="747" t="s">
        <v>6214</v>
      </c>
      <c r="T601" s="747"/>
      <c r="U601" s="696"/>
      <c r="V601" s="696"/>
      <c r="W601" s="696"/>
      <c r="X601" s="696"/>
      <c r="Y601" s="696"/>
      <c r="Z601" s="696"/>
      <c r="AA601" s="696"/>
      <c r="AB601" s="696"/>
      <c r="AC601" s="696"/>
      <c r="AD601" s="697"/>
      <c r="AE601" s="655"/>
    </row>
    <row r="602" spans="1:31" ht="12" customHeight="1">
      <c r="A602" s="937" t="s">
        <v>18220</v>
      </c>
      <c r="B602" s="4" t="s">
        <v>2201</v>
      </c>
      <c r="C602" s="1" t="s">
        <v>2209</v>
      </c>
      <c r="D602" s="1">
        <f t="shared" si="9"/>
        <v>48</v>
      </c>
      <c r="E602" s="2" t="s">
        <v>5</v>
      </c>
      <c r="F602" s="1" t="s">
        <v>15273</v>
      </c>
      <c r="J602" s="8" t="s">
        <v>16120</v>
      </c>
      <c r="K602" s="1" t="s">
        <v>30</v>
      </c>
      <c r="L602" s="1" t="s">
        <v>6</v>
      </c>
      <c r="O602" s="3" t="s">
        <v>255</v>
      </c>
      <c r="P602" s="20">
        <v>23569</v>
      </c>
      <c r="Q602" s="3" t="s">
        <v>2210</v>
      </c>
      <c r="T602" s="3" t="s">
        <v>2197</v>
      </c>
      <c r="U602" s="2" t="s">
        <v>47</v>
      </c>
      <c r="AD602" s="698"/>
      <c r="AE602" s="655"/>
    </row>
    <row r="603" spans="1:31" ht="12" customHeight="1">
      <c r="A603" s="937"/>
      <c r="B603" s="4" t="s">
        <v>2202</v>
      </c>
      <c r="C603" s="1" t="s">
        <v>2211</v>
      </c>
      <c r="D603" s="1">
        <f t="shared" si="9"/>
        <v>54</v>
      </c>
      <c r="E603" s="2" t="s">
        <v>5</v>
      </c>
      <c r="J603" s="4" t="s">
        <v>16117</v>
      </c>
      <c r="L603" s="1" t="s">
        <v>6</v>
      </c>
      <c r="O603" s="3" t="s">
        <v>2212</v>
      </c>
      <c r="P603" s="21">
        <v>21193</v>
      </c>
      <c r="Q603" s="3" t="s">
        <v>2213</v>
      </c>
      <c r="AD603" s="698"/>
      <c r="AE603" s="655"/>
    </row>
    <row r="604" spans="1:31" ht="12" customHeight="1" thickBot="1">
      <c r="A604" s="938"/>
      <c r="B604" s="700" t="s">
        <v>2203</v>
      </c>
      <c r="C604" s="699" t="s">
        <v>2217</v>
      </c>
      <c r="D604" s="699">
        <f t="shared" si="9"/>
        <v>62</v>
      </c>
      <c r="E604" s="702" t="s">
        <v>5</v>
      </c>
      <c r="F604" s="699" t="s">
        <v>15273</v>
      </c>
      <c r="G604" s="703"/>
      <c r="H604" s="699"/>
      <c r="I604" s="699"/>
      <c r="J604" s="700" t="s">
        <v>16121</v>
      </c>
      <c r="K604" s="699"/>
      <c r="L604" s="699" t="s">
        <v>6</v>
      </c>
      <c r="M604" s="705"/>
      <c r="N604" s="706"/>
      <c r="O604" s="703" t="s">
        <v>2214</v>
      </c>
      <c r="P604" s="723">
        <v>18378</v>
      </c>
      <c r="Q604" s="703" t="s">
        <v>2215</v>
      </c>
      <c r="R604" s="703"/>
      <c r="S604" s="703"/>
      <c r="T604" s="703" t="s">
        <v>2216</v>
      </c>
      <c r="U604" s="702"/>
      <c r="V604" s="702"/>
      <c r="W604" s="702"/>
      <c r="X604" s="702"/>
      <c r="Y604" s="702"/>
      <c r="Z604" s="702"/>
      <c r="AA604" s="702"/>
      <c r="AB604" s="702"/>
      <c r="AC604" s="702"/>
      <c r="AD604" s="708" t="s">
        <v>2216</v>
      </c>
      <c r="AE604" s="655"/>
    </row>
    <row r="605" spans="1:31" ht="12" customHeight="1">
      <c r="A605" s="936" t="s">
        <v>18246</v>
      </c>
      <c r="B605" s="688" t="s">
        <v>2218</v>
      </c>
      <c r="C605" s="687" t="s">
        <v>2221</v>
      </c>
      <c r="D605" s="687">
        <f t="shared" si="9"/>
        <v>46</v>
      </c>
      <c r="E605" s="696" t="s">
        <v>5</v>
      </c>
      <c r="F605" s="689" t="s">
        <v>15273</v>
      </c>
      <c r="G605" s="747" t="s">
        <v>2222</v>
      </c>
      <c r="H605" s="687"/>
      <c r="I605" s="687"/>
      <c r="J605" s="692" t="s">
        <v>16126</v>
      </c>
      <c r="K605" s="687" t="s">
        <v>44</v>
      </c>
      <c r="L605" s="687" t="s">
        <v>25</v>
      </c>
      <c r="M605" s="748">
        <v>1</v>
      </c>
      <c r="N605" s="749">
        <v>3</v>
      </c>
      <c r="O605" s="747" t="s">
        <v>2223</v>
      </c>
      <c r="P605" s="773">
        <v>24393</v>
      </c>
      <c r="Q605" s="747" t="s">
        <v>2224</v>
      </c>
      <c r="R605" s="747" t="s">
        <v>2225</v>
      </c>
      <c r="S605" s="747" t="s">
        <v>6214</v>
      </c>
      <c r="T605" s="747" t="s">
        <v>2226</v>
      </c>
      <c r="U605" s="696"/>
      <c r="V605" s="696"/>
      <c r="W605" s="696"/>
      <c r="X605" s="696" t="s">
        <v>2227</v>
      </c>
      <c r="Y605" s="696"/>
      <c r="Z605" s="696"/>
      <c r="AA605" s="696" t="s">
        <v>2228</v>
      </c>
      <c r="AB605" s="696"/>
      <c r="AC605" s="696"/>
      <c r="AD605" s="697"/>
      <c r="AE605" s="655"/>
    </row>
    <row r="606" spans="1:31" ht="12" customHeight="1">
      <c r="A606" s="937" t="s">
        <v>18220</v>
      </c>
      <c r="B606" s="4" t="s">
        <v>2219</v>
      </c>
      <c r="C606" s="1" t="s">
        <v>2229</v>
      </c>
      <c r="D606" s="1">
        <f t="shared" si="9"/>
        <v>36</v>
      </c>
      <c r="E606" s="2" t="s">
        <v>5</v>
      </c>
      <c r="F606" s="1" t="s">
        <v>15273</v>
      </c>
      <c r="J606" s="4" t="s">
        <v>16120</v>
      </c>
      <c r="K606" s="1" t="s">
        <v>445</v>
      </c>
      <c r="L606" s="1" t="s">
        <v>6</v>
      </c>
      <c r="O606" s="3" t="s">
        <v>2230</v>
      </c>
      <c r="P606" s="20">
        <v>28102</v>
      </c>
      <c r="Q606" s="3" t="s">
        <v>2231</v>
      </c>
      <c r="S606" s="3" t="s">
        <v>5457</v>
      </c>
      <c r="T606" s="3" t="s">
        <v>2197</v>
      </c>
      <c r="U606" s="2" t="s">
        <v>47</v>
      </c>
      <c r="AD606" s="698"/>
      <c r="AE606" s="655"/>
    </row>
    <row r="607" spans="1:31" ht="12" customHeight="1">
      <c r="A607" s="937"/>
      <c r="B607" s="4" t="s">
        <v>2220</v>
      </c>
      <c r="C607" s="1" t="s">
        <v>2232</v>
      </c>
      <c r="D607" s="1">
        <f t="shared" si="9"/>
        <v>50</v>
      </c>
      <c r="E607" s="2" t="s">
        <v>5</v>
      </c>
      <c r="J607" s="4" t="s">
        <v>16117</v>
      </c>
      <c r="L607" s="1" t="s">
        <v>6</v>
      </c>
      <c r="O607" s="3" t="s">
        <v>2233</v>
      </c>
      <c r="P607" s="20">
        <v>22709</v>
      </c>
      <c r="Q607" s="3" t="s">
        <v>2234</v>
      </c>
      <c r="AD607" s="698"/>
      <c r="AE607" s="655"/>
    </row>
    <row r="608" spans="1:31" ht="12" customHeight="1" thickBot="1">
      <c r="A608" s="938"/>
      <c r="B608" s="700" t="s">
        <v>5652</v>
      </c>
      <c r="C608" s="699" t="s">
        <v>5653</v>
      </c>
      <c r="D608" s="699">
        <f t="shared" si="9"/>
        <v>66</v>
      </c>
      <c r="E608" s="702" t="s">
        <v>5</v>
      </c>
      <c r="F608" s="699"/>
      <c r="G608" s="703"/>
      <c r="H608" s="699"/>
      <c r="I608" s="699"/>
      <c r="J608" s="704" t="s">
        <v>16129</v>
      </c>
      <c r="K608" s="699"/>
      <c r="L608" s="699" t="s">
        <v>6</v>
      </c>
      <c r="M608" s="705"/>
      <c r="N608" s="706"/>
      <c r="O608" s="703" t="s">
        <v>5654</v>
      </c>
      <c r="P608" s="707">
        <v>17063</v>
      </c>
      <c r="Q608" s="703" t="s">
        <v>16011</v>
      </c>
      <c r="R608" s="703"/>
      <c r="S608" s="703"/>
      <c r="T608" s="703"/>
      <c r="U608" s="702"/>
      <c r="V608" s="702"/>
      <c r="W608" s="702"/>
      <c r="X608" s="702"/>
      <c r="Y608" s="702"/>
      <c r="Z608" s="702"/>
      <c r="AA608" s="702"/>
      <c r="AB608" s="702"/>
      <c r="AC608" s="702"/>
      <c r="AD608" s="708"/>
      <c r="AE608" s="655"/>
    </row>
    <row r="609" spans="1:31" ht="12" customHeight="1">
      <c r="A609" s="936" t="s">
        <v>18246</v>
      </c>
      <c r="B609" s="688" t="s">
        <v>2235</v>
      </c>
      <c r="C609" s="687" t="s">
        <v>2239</v>
      </c>
      <c r="D609" s="687">
        <f t="shared" si="9"/>
        <v>43</v>
      </c>
      <c r="E609" s="696" t="s">
        <v>19</v>
      </c>
      <c r="F609" s="689" t="s">
        <v>15273</v>
      </c>
      <c r="G609" s="747" t="s">
        <v>2240</v>
      </c>
      <c r="H609" s="687"/>
      <c r="I609" s="687"/>
      <c r="J609" s="692" t="s">
        <v>16127</v>
      </c>
      <c r="K609" s="687" t="s">
        <v>2241</v>
      </c>
      <c r="L609" s="687" t="s">
        <v>25</v>
      </c>
      <c r="M609" s="748">
        <v>3</v>
      </c>
      <c r="N609" s="749">
        <v>3</v>
      </c>
      <c r="O609" s="747" t="s">
        <v>2242</v>
      </c>
      <c r="P609" s="773">
        <v>25500</v>
      </c>
      <c r="Q609" s="747" t="s">
        <v>2243</v>
      </c>
      <c r="R609" s="747" t="s">
        <v>304</v>
      </c>
      <c r="S609" s="747" t="s">
        <v>6214</v>
      </c>
      <c r="T609" s="747" t="s">
        <v>2244</v>
      </c>
      <c r="U609" s="696"/>
      <c r="V609" s="696" t="s">
        <v>2244</v>
      </c>
      <c r="W609" s="696"/>
      <c r="X609" s="696"/>
      <c r="Y609" s="696"/>
      <c r="Z609" s="696"/>
      <c r="AA609" s="696"/>
      <c r="AB609" s="696"/>
      <c r="AC609" s="696"/>
      <c r="AD609" s="697"/>
      <c r="AE609" s="655"/>
    </row>
    <row r="610" spans="1:31" ht="12" customHeight="1">
      <c r="A610" s="937" t="s">
        <v>18220</v>
      </c>
      <c r="B610" s="4" t="s">
        <v>2236</v>
      </c>
      <c r="C610" s="1" t="s">
        <v>2245</v>
      </c>
      <c r="D610" s="1">
        <f t="shared" si="9"/>
        <v>34</v>
      </c>
      <c r="E610" s="2" t="s">
        <v>19</v>
      </c>
      <c r="F610" s="1" t="s">
        <v>15273</v>
      </c>
      <c r="J610" s="4" t="s">
        <v>16120</v>
      </c>
      <c r="K610" s="1" t="s">
        <v>30</v>
      </c>
      <c r="L610" s="1" t="s">
        <v>6</v>
      </c>
      <c r="O610" s="3" t="s">
        <v>188</v>
      </c>
      <c r="P610" s="20">
        <v>28548</v>
      </c>
      <c r="Q610" s="3" t="s">
        <v>2248</v>
      </c>
      <c r="T610" s="3" t="s">
        <v>2246</v>
      </c>
      <c r="V610" s="2" t="s">
        <v>2244</v>
      </c>
      <c r="Y610" s="2" t="s">
        <v>2247</v>
      </c>
      <c r="AD610" s="698"/>
      <c r="AE610" s="655"/>
    </row>
    <row r="611" spans="1:31" ht="12" customHeight="1">
      <c r="A611" s="937" t="s">
        <v>18223</v>
      </c>
      <c r="B611" s="4" t="s">
        <v>2237</v>
      </c>
      <c r="C611" s="1" t="s">
        <v>2252</v>
      </c>
      <c r="D611" s="1">
        <f t="shared" si="9"/>
        <v>64</v>
      </c>
      <c r="E611" s="2" t="s">
        <v>5</v>
      </c>
      <c r="F611" s="1" t="s">
        <v>15273</v>
      </c>
      <c r="J611" s="4" t="s">
        <v>16116</v>
      </c>
      <c r="K611" s="1" t="s">
        <v>276</v>
      </c>
      <c r="L611" s="1" t="s">
        <v>14</v>
      </c>
      <c r="M611" s="16">
        <v>3</v>
      </c>
      <c r="N611" s="17">
        <v>3</v>
      </c>
      <c r="O611" s="3" t="s">
        <v>2253</v>
      </c>
      <c r="P611" s="20">
        <v>17615</v>
      </c>
      <c r="Q611" s="3" t="s">
        <v>2254</v>
      </c>
      <c r="R611" s="3" t="s">
        <v>2255</v>
      </c>
      <c r="AD611" s="698"/>
      <c r="AE611" s="655"/>
    </row>
    <row r="612" spans="1:31" ht="12" customHeight="1" thickBot="1">
      <c r="A612" s="938"/>
      <c r="B612" s="700" t="s">
        <v>2238</v>
      </c>
      <c r="C612" s="699" t="s">
        <v>2249</v>
      </c>
      <c r="D612" s="699">
        <f t="shared" si="9"/>
        <v>32</v>
      </c>
      <c r="E612" s="702" t="s">
        <v>5</v>
      </c>
      <c r="F612" s="699"/>
      <c r="G612" s="703"/>
      <c r="H612" s="699"/>
      <c r="I612" s="699"/>
      <c r="J612" s="700" t="s">
        <v>16117</v>
      </c>
      <c r="K612" s="699"/>
      <c r="L612" s="699" t="s">
        <v>6</v>
      </c>
      <c r="M612" s="705"/>
      <c r="N612" s="706"/>
      <c r="O612" s="703" t="s">
        <v>2250</v>
      </c>
      <c r="P612" s="723">
        <v>29376</v>
      </c>
      <c r="Q612" s="703" t="s">
        <v>2251</v>
      </c>
      <c r="R612" s="703"/>
      <c r="S612" s="703"/>
      <c r="T612" s="703"/>
      <c r="U612" s="702"/>
      <c r="V612" s="702"/>
      <c r="W612" s="702"/>
      <c r="X612" s="702"/>
      <c r="Y612" s="702"/>
      <c r="Z612" s="702"/>
      <c r="AA612" s="702"/>
      <c r="AB612" s="702"/>
      <c r="AC612" s="702"/>
      <c r="AD612" s="708"/>
      <c r="AE612" s="655"/>
    </row>
    <row r="613" spans="1:31" ht="12" customHeight="1">
      <c r="A613" s="936" t="s">
        <v>18246</v>
      </c>
      <c r="B613" s="688" t="s">
        <v>2256</v>
      </c>
      <c r="C613" s="687" t="s">
        <v>2259</v>
      </c>
      <c r="D613" s="687">
        <f t="shared" si="9"/>
        <v>68</v>
      </c>
      <c r="E613" s="696" t="s">
        <v>19</v>
      </c>
      <c r="F613" s="689" t="s">
        <v>15273</v>
      </c>
      <c r="G613" s="747" t="s">
        <v>2260</v>
      </c>
      <c r="H613" s="687"/>
      <c r="I613" s="687"/>
      <c r="J613" s="692" t="s">
        <v>16127</v>
      </c>
      <c r="K613" s="687" t="s">
        <v>44</v>
      </c>
      <c r="L613" s="687" t="s">
        <v>25</v>
      </c>
      <c r="M613" s="748">
        <v>6</v>
      </c>
      <c r="N613" s="749">
        <v>6</v>
      </c>
      <c r="O613" s="747" t="s">
        <v>188</v>
      </c>
      <c r="P613" s="773">
        <v>16085</v>
      </c>
      <c r="Q613" s="747" t="s">
        <v>2261</v>
      </c>
      <c r="R613" s="747" t="s">
        <v>2262</v>
      </c>
      <c r="S613" s="747" t="s">
        <v>6214</v>
      </c>
      <c r="T613" s="747" t="s">
        <v>104</v>
      </c>
      <c r="U613" s="696"/>
      <c r="V613" s="696"/>
      <c r="W613" s="696"/>
      <c r="X613" s="696"/>
      <c r="Y613" s="696"/>
      <c r="Z613" s="696"/>
      <c r="AA613" s="696" t="s">
        <v>2263</v>
      </c>
      <c r="AB613" s="696"/>
      <c r="AC613" s="696"/>
      <c r="AD613" s="697"/>
      <c r="AE613" s="655"/>
    </row>
    <row r="614" spans="1:31" ht="12" customHeight="1">
      <c r="A614" s="937" t="s">
        <v>18220</v>
      </c>
      <c r="B614" s="4" t="s">
        <v>2257</v>
      </c>
      <c r="C614" s="1" t="s">
        <v>2264</v>
      </c>
      <c r="D614" s="1">
        <f t="shared" si="9"/>
        <v>61</v>
      </c>
      <c r="E614" s="2" t="s">
        <v>5</v>
      </c>
      <c r="F614" s="1" t="s">
        <v>15273</v>
      </c>
      <c r="G614" s="3" t="s">
        <v>2265</v>
      </c>
      <c r="J614" s="8" t="s">
        <v>16120</v>
      </c>
      <c r="K614" s="1" t="s">
        <v>65</v>
      </c>
      <c r="L614" s="1" t="s">
        <v>25</v>
      </c>
      <c r="M614" s="16">
        <v>2</v>
      </c>
      <c r="N614" s="17">
        <v>2</v>
      </c>
      <c r="O614" s="3" t="s">
        <v>455</v>
      </c>
      <c r="P614" s="20">
        <v>18637</v>
      </c>
      <c r="Q614" s="3" t="s">
        <v>2266</v>
      </c>
      <c r="S614" s="3" t="s">
        <v>5457</v>
      </c>
      <c r="T614" s="3" t="s">
        <v>2267</v>
      </c>
      <c r="V614" s="2" t="s">
        <v>2244</v>
      </c>
      <c r="W614" s="2" t="s">
        <v>2268</v>
      </c>
      <c r="AD614" s="698"/>
      <c r="AE614" s="655"/>
    </row>
    <row r="615" spans="1:31" ht="12" customHeight="1">
      <c r="A615" s="937" t="s">
        <v>18223</v>
      </c>
      <c r="B615" s="4" t="s">
        <v>2258</v>
      </c>
      <c r="C615" s="1" t="s">
        <v>5404</v>
      </c>
      <c r="D615" s="1">
        <f t="shared" si="9"/>
        <v>45</v>
      </c>
      <c r="E615" s="2" t="s">
        <v>5</v>
      </c>
      <c r="F615" s="1" t="s">
        <v>15273</v>
      </c>
      <c r="J615" s="4" t="s">
        <v>16116</v>
      </c>
      <c r="K615" s="1" t="s">
        <v>276</v>
      </c>
      <c r="L615" s="1" t="s">
        <v>6</v>
      </c>
      <c r="O615" s="3" t="s">
        <v>5405</v>
      </c>
      <c r="P615" s="21">
        <v>24723</v>
      </c>
      <c r="Q615" s="3" t="s">
        <v>5406</v>
      </c>
      <c r="S615" s="3" t="s">
        <v>6029</v>
      </c>
      <c r="T615" s="3" t="s">
        <v>147</v>
      </c>
      <c r="AB615" s="2" t="s">
        <v>147</v>
      </c>
      <c r="AD615" s="698"/>
      <c r="AE615" s="655"/>
    </row>
    <row r="616" spans="1:31" ht="12" customHeight="1" thickBot="1">
      <c r="A616" s="938"/>
      <c r="B616" s="700" t="s">
        <v>5402</v>
      </c>
      <c r="C616" s="699" t="s">
        <v>2269</v>
      </c>
      <c r="D616" s="699">
        <f t="shared" si="9"/>
        <v>43</v>
      </c>
      <c r="E616" s="702" t="s">
        <v>5</v>
      </c>
      <c r="F616" s="699"/>
      <c r="G616" s="703"/>
      <c r="H616" s="699"/>
      <c r="I616" s="699"/>
      <c r="J616" s="700" t="s">
        <v>16117</v>
      </c>
      <c r="K616" s="699"/>
      <c r="L616" s="699" t="s">
        <v>6</v>
      </c>
      <c r="M616" s="705"/>
      <c r="N616" s="706"/>
      <c r="O616" s="703" t="s">
        <v>311</v>
      </c>
      <c r="P616" s="723">
        <v>25469</v>
      </c>
      <c r="Q616" s="703" t="s">
        <v>2270</v>
      </c>
      <c r="R616" s="703"/>
      <c r="S616" s="703"/>
      <c r="T616" s="703" t="s">
        <v>69</v>
      </c>
      <c r="U616" s="702"/>
      <c r="V616" s="702"/>
      <c r="W616" s="702"/>
      <c r="X616" s="702"/>
      <c r="Y616" s="702"/>
      <c r="Z616" s="702"/>
      <c r="AA616" s="702"/>
      <c r="AB616" s="702"/>
      <c r="AC616" s="702"/>
      <c r="AD616" s="708" t="s">
        <v>2271</v>
      </c>
      <c r="AE616" s="655"/>
    </row>
    <row r="617" spans="1:31" ht="12" customHeight="1">
      <c r="A617" s="936" t="s">
        <v>18245</v>
      </c>
      <c r="B617" s="688" t="s">
        <v>2272</v>
      </c>
      <c r="C617" s="687" t="s">
        <v>2275</v>
      </c>
      <c r="D617" s="687">
        <f t="shared" si="9"/>
        <v>68</v>
      </c>
      <c r="E617" s="696" t="s">
        <v>5</v>
      </c>
      <c r="F617" s="689" t="s">
        <v>15273</v>
      </c>
      <c r="G617" s="747" t="s">
        <v>2276</v>
      </c>
      <c r="H617" s="687"/>
      <c r="I617" s="687"/>
      <c r="J617" s="692" t="s">
        <v>16126</v>
      </c>
      <c r="K617" s="687" t="s">
        <v>45</v>
      </c>
      <c r="L617" s="687" t="s">
        <v>25</v>
      </c>
      <c r="M617" s="748">
        <v>5</v>
      </c>
      <c r="N617" s="749">
        <v>5</v>
      </c>
      <c r="O617" s="747" t="s">
        <v>188</v>
      </c>
      <c r="P617" s="773">
        <v>16386</v>
      </c>
      <c r="Q617" s="747" t="s">
        <v>2277</v>
      </c>
      <c r="R617" s="747" t="s">
        <v>2279</v>
      </c>
      <c r="S617" s="747" t="s">
        <v>6214</v>
      </c>
      <c r="T617" s="747" t="s">
        <v>147</v>
      </c>
      <c r="U617" s="696"/>
      <c r="V617" s="696"/>
      <c r="W617" s="696"/>
      <c r="X617" s="696"/>
      <c r="Y617" s="696"/>
      <c r="Z617" s="696"/>
      <c r="AA617" s="696"/>
      <c r="AB617" s="696" t="s">
        <v>2278</v>
      </c>
      <c r="AC617" s="696"/>
      <c r="AD617" s="895"/>
      <c r="AE617" s="655"/>
    </row>
    <row r="618" spans="1:31" ht="12" customHeight="1">
      <c r="A618" s="937" t="s">
        <v>18219</v>
      </c>
      <c r="B618" s="4" t="s">
        <v>2273</v>
      </c>
      <c r="C618" s="1" t="s">
        <v>2280</v>
      </c>
      <c r="D618" s="1">
        <f t="shared" si="9"/>
        <v>52</v>
      </c>
      <c r="E618" s="2" t="s">
        <v>5</v>
      </c>
      <c r="F618" s="1" t="s">
        <v>15273</v>
      </c>
      <c r="J618" s="4" t="s">
        <v>16120</v>
      </c>
      <c r="K618" s="1" t="s">
        <v>48</v>
      </c>
      <c r="L618" s="1" t="s">
        <v>14</v>
      </c>
      <c r="M618" s="16">
        <v>1</v>
      </c>
      <c r="N618" s="17">
        <v>1</v>
      </c>
      <c r="O618" s="3" t="s">
        <v>188</v>
      </c>
      <c r="P618" s="20">
        <v>22188</v>
      </c>
      <c r="Q618" s="3" t="s">
        <v>2281</v>
      </c>
      <c r="S618" s="3" t="s">
        <v>5457</v>
      </c>
      <c r="T618" s="3" t="s">
        <v>104</v>
      </c>
      <c r="AA618" s="2" t="s">
        <v>2263</v>
      </c>
      <c r="AD618" s="896"/>
      <c r="AE618" s="655"/>
    </row>
    <row r="619" spans="1:31" ht="12" customHeight="1" thickBot="1">
      <c r="A619" s="938"/>
      <c r="B619" s="700" t="s">
        <v>2274</v>
      </c>
      <c r="C619" s="699" t="s">
        <v>2282</v>
      </c>
      <c r="D619" s="699">
        <f t="shared" si="9"/>
        <v>53</v>
      </c>
      <c r="E619" s="702" t="s">
        <v>19</v>
      </c>
      <c r="F619" s="699"/>
      <c r="G619" s="703"/>
      <c r="H619" s="699"/>
      <c r="I619" s="699"/>
      <c r="J619" s="700" t="s">
        <v>16117</v>
      </c>
      <c r="K619" s="699"/>
      <c r="L619" s="699" t="s">
        <v>6</v>
      </c>
      <c r="M619" s="705"/>
      <c r="N619" s="706"/>
      <c r="O619" s="703" t="s">
        <v>2283</v>
      </c>
      <c r="P619" s="723">
        <v>21812</v>
      </c>
      <c r="Q619" s="703" t="s">
        <v>2284</v>
      </c>
      <c r="R619" s="703"/>
      <c r="S619" s="703"/>
      <c r="T619" s="703" t="s">
        <v>69</v>
      </c>
      <c r="U619" s="702"/>
      <c r="V619" s="702"/>
      <c r="W619" s="702"/>
      <c r="X619" s="702"/>
      <c r="Y619" s="702"/>
      <c r="Z619" s="702"/>
      <c r="AA619" s="702"/>
      <c r="AB619" s="702"/>
      <c r="AC619" s="702"/>
      <c r="AD619" s="897" t="s">
        <v>2271</v>
      </c>
      <c r="AE619" s="655"/>
    </row>
    <row r="620" spans="1:31" ht="12" customHeight="1">
      <c r="A620" s="936" t="s">
        <v>18245</v>
      </c>
      <c r="B620" s="688" t="s">
        <v>2285</v>
      </c>
      <c r="C620" s="687" t="s">
        <v>2289</v>
      </c>
      <c r="D620" s="687">
        <f t="shared" si="9"/>
        <v>39</v>
      </c>
      <c r="E620" s="696" t="s">
        <v>5</v>
      </c>
      <c r="F620" s="689" t="s">
        <v>15273</v>
      </c>
      <c r="G620" s="747" t="s">
        <v>2290</v>
      </c>
      <c r="H620" s="687"/>
      <c r="I620" s="687"/>
      <c r="J620" s="692" t="s">
        <v>16127</v>
      </c>
      <c r="K620" s="687" t="s">
        <v>44</v>
      </c>
      <c r="L620" s="687" t="s">
        <v>25</v>
      </c>
      <c r="M620" s="748">
        <v>3</v>
      </c>
      <c r="N620" s="749">
        <v>3</v>
      </c>
      <c r="O620" s="747" t="s">
        <v>2291</v>
      </c>
      <c r="P620" s="773">
        <v>26814</v>
      </c>
      <c r="Q620" s="747" t="s">
        <v>2292</v>
      </c>
      <c r="R620" s="747" t="s">
        <v>2293</v>
      </c>
      <c r="S620" s="747"/>
      <c r="T620" s="747"/>
      <c r="U620" s="696"/>
      <c r="V620" s="696"/>
      <c r="W620" s="696"/>
      <c r="X620" s="696"/>
      <c r="Y620" s="696"/>
      <c r="Z620" s="696"/>
      <c r="AA620" s="696"/>
      <c r="AB620" s="696"/>
      <c r="AC620" s="696"/>
      <c r="AD620" s="697"/>
      <c r="AE620" s="655"/>
    </row>
    <row r="621" spans="1:31" ht="12" customHeight="1">
      <c r="A621" s="937" t="s">
        <v>18219</v>
      </c>
      <c r="B621" s="4" t="s">
        <v>2286</v>
      </c>
      <c r="C621" s="1" t="s">
        <v>2294</v>
      </c>
      <c r="D621" s="1">
        <f t="shared" si="9"/>
        <v>39</v>
      </c>
      <c r="E621" s="2" t="s">
        <v>5</v>
      </c>
      <c r="F621" s="1" t="s">
        <v>15273</v>
      </c>
      <c r="J621" s="4" t="s">
        <v>16120</v>
      </c>
      <c r="K621" s="1" t="s">
        <v>30</v>
      </c>
      <c r="L621" s="1" t="s">
        <v>6</v>
      </c>
      <c r="O621" s="3" t="s">
        <v>321</v>
      </c>
      <c r="P621" s="20">
        <v>26666</v>
      </c>
      <c r="Q621" s="3" t="s">
        <v>2295</v>
      </c>
      <c r="S621" s="3" t="s">
        <v>5457</v>
      </c>
      <c r="T621" s="3" t="s">
        <v>2244</v>
      </c>
      <c r="V621" s="2" t="s">
        <v>2244</v>
      </c>
      <c r="AD621" s="698"/>
      <c r="AE621" s="655"/>
    </row>
    <row r="622" spans="1:31" ht="12" customHeight="1">
      <c r="A622" s="937"/>
      <c r="B622" s="4" t="s">
        <v>2287</v>
      </c>
      <c r="C622" s="1" t="s">
        <v>2296</v>
      </c>
      <c r="D622" s="1">
        <f t="shared" si="9"/>
        <v>65</v>
      </c>
      <c r="E622" s="2" t="s">
        <v>5</v>
      </c>
      <c r="J622" s="4" t="s">
        <v>16117</v>
      </c>
      <c r="L622" s="1" t="s">
        <v>6</v>
      </c>
      <c r="O622" s="3" t="s">
        <v>2297</v>
      </c>
      <c r="P622" s="21">
        <v>17460</v>
      </c>
      <c r="Q622" s="3" t="s">
        <v>2298</v>
      </c>
      <c r="AD622" s="698"/>
      <c r="AE622" s="655"/>
    </row>
    <row r="623" spans="1:31" ht="12" customHeight="1" thickBot="1">
      <c r="A623" s="938" t="s">
        <v>18245</v>
      </c>
      <c r="B623" s="700" t="s">
        <v>2288</v>
      </c>
      <c r="C623" s="699" t="s">
        <v>2299</v>
      </c>
      <c r="D623" s="699">
        <f t="shared" si="9"/>
        <v>42</v>
      </c>
      <c r="E623" s="702" t="s">
        <v>5</v>
      </c>
      <c r="F623" s="699"/>
      <c r="G623" s="703"/>
      <c r="H623" s="699"/>
      <c r="I623" s="699"/>
      <c r="J623" s="700" t="s">
        <v>16129</v>
      </c>
      <c r="K623" s="699" t="s">
        <v>97</v>
      </c>
      <c r="L623" s="699" t="s">
        <v>6</v>
      </c>
      <c r="M623" s="705"/>
      <c r="N623" s="706"/>
      <c r="O623" s="703" t="s">
        <v>188</v>
      </c>
      <c r="P623" s="707">
        <v>25668</v>
      </c>
      <c r="Q623" s="703" t="s">
        <v>2300</v>
      </c>
      <c r="R623" s="703"/>
      <c r="S623" s="703" t="s">
        <v>5997</v>
      </c>
      <c r="T623" s="703" t="s">
        <v>2244</v>
      </c>
      <c r="U623" s="702"/>
      <c r="V623" s="702" t="s">
        <v>2244</v>
      </c>
      <c r="W623" s="702"/>
      <c r="X623" s="702"/>
      <c r="Y623" s="702"/>
      <c r="Z623" s="702"/>
      <c r="AA623" s="702"/>
      <c r="AB623" s="702"/>
      <c r="AC623" s="702"/>
      <c r="AD623" s="708"/>
      <c r="AE623" s="655"/>
    </row>
    <row r="624" spans="1:31" ht="12" customHeight="1">
      <c r="A624" s="936" t="s">
        <v>18218</v>
      </c>
      <c r="B624" s="688" t="s">
        <v>2301</v>
      </c>
      <c r="C624" s="687" t="s">
        <v>2304</v>
      </c>
      <c r="D624" s="687">
        <f t="shared" si="9"/>
        <v>61</v>
      </c>
      <c r="E624" s="696" t="s">
        <v>5</v>
      </c>
      <c r="F624" s="687" t="s">
        <v>15273</v>
      </c>
      <c r="G624" s="747" t="s">
        <v>2305</v>
      </c>
      <c r="H624" s="687"/>
      <c r="I624" s="687"/>
      <c r="J624" s="692" t="s">
        <v>16120</v>
      </c>
      <c r="K624" s="687" t="s">
        <v>476</v>
      </c>
      <c r="L624" s="687" t="s">
        <v>25</v>
      </c>
      <c r="M624" s="748">
        <v>5</v>
      </c>
      <c r="N624" s="749">
        <v>5</v>
      </c>
      <c r="O624" s="747" t="s">
        <v>2306</v>
      </c>
      <c r="P624" s="773">
        <v>18618</v>
      </c>
      <c r="Q624" s="747" t="s">
        <v>2307</v>
      </c>
      <c r="R624" s="747" t="s">
        <v>2308</v>
      </c>
      <c r="S624" s="747" t="s">
        <v>5457</v>
      </c>
      <c r="T624" s="747" t="s">
        <v>2309</v>
      </c>
      <c r="U624" s="696"/>
      <c r="V624" s="696" t="s">
        <v>2309</v>
      </c>
      <c r="W624" s="696"/>
      <c r="X624" s="696"/>
      <c r="Y624" s="696"/>
      <c r="Z624" s="696"/>
      <c r="AA624" s="696"/>
      <c r="AB624" s="696"/>
      <c r="AC624" s="696"/>
      <c r="AD624" s="697"/>
      <c r="AE624" s="655"/>
    </row>
    <row r="625" spans="1:31" ht="12" customHeight="1">
      <c r="A625" s="937"/>
      <c r="B625" s="4" t="s">
        <v>2302</v>
      </c>
      <c r="C625" s="1" t="s">
        <v>5702</v>
      </c>
      <c r="D625" s="1">
        <f t="shared" si="9"/>
        <v>49</v>
      </c>
      <c r="E625" s="2" t="s">
        <v>5</v>
      </c>
      <c r="J625" s="4" t="s">
        <v>16117</v>
      </c>
      <c r="L625" s="1" t="s">
        <v>6</v>
      </c>
      <c r="O625" s="3" t="s">
        <v>5703</v>
      </c>
      <c r="P625" s="20">
        <v>23045</v>
      </c>
      <c r="Q625" s="3" t="s">
        <v>5704</v>
      </c>
      <c r="AD625" s="698"/>
      <c r="AE625" s="655"/>
    </row>
    <row r="626" spans="1:31" ht="12" customHeight="1" thickBot="1">
      <c r="A626" s="938" t="s">
        <v>18223</v>
      </c>
      <c r="B626" s="700" t="s">
        <v>2303</v>
      </c>
      <c r="C626" s="699" t="s">
        <v>2310</v>
      </c>
      <c r="D626" s="699">
        <f t="shared" si="9"/>
        <v>52</v>
      </c>
      <c r="E626" s="702" t="s">
        <v>5</v>
      </c>
      <c r="F626" s="699" t="s">
        <v>15273</v>
      </c>
      <c r="G626" s="703"/>
      <c r="H626" s="699"/>
      <c r="I626" s="699"/>
      <c r="J626" s="700" t="s">
        <v>16121</v>
      </c>
      <c r="K626" s="699"/>
      <c r="L626" s="699" t="s">
        <v>6</v>
      </c>
      <c r="M626" s="705"/>
      <c r="N626" s="706"/>
      <c r="O626" s="703" t="s">
        <v>2311</v>
      </c>
      <c r="P626" s="707">
        <v>22057</v>
      </c>
      <c r="Q626" s="703" t="s">
        <v>2317</v>
      </c>
      <c r="R626" s="703"/>
      <c r="S626" s="703"/>
      <c r="T626" s="703" t="s">
        <v>2312</v>
      </c>
      <c r="U626" s="702"/>
      <c r="V626" s="702"/>
      <c r="W626" s="702"/>
      <c r="X626" s="702"/>
      <c r="Y626" s="702"/>
      <c r="Z626" s="702"/>
      <c r="AA626" s="702"/>
      <c r="AB626" s="702"/>
      <c r="AC626" s="702"/>
      <c r="AD626" s="708" t="s">
        <v>2312</v>
      </c>
      <c r="AE626" s="655"/>
    </row>
    <row r="627" spans="1:31" ht="12" customHeight="1">
      <c r="A627" s="936" t="s">
        <v>18223</v>
      </c>
      <c r="B627" s="688" t="s">
        <v>2318</v>
      </c>
      <c r="C627" s="687" t="s">
        <v>5446</v>
      </c>
      <c r="D627" s="687">
        <f t="shared" si="9"/>
        <v>37</v>
      </c>
      <c r="E627" s="696" t="s">
        <v>5</v>
      </c>
      <c r="F627" s="689" t="s">
        <v>15273</v>
      </c>
      <c r="G627" s="747"/>
      <c r="H627" s="687"/>
      <c r="I627" s="687"/>
      <c r="J627" s="692" t="s">
        <v>16127</v>
      </c>
      <c r="K627" s="687" t="s">
        <v>44</v>
      </c>
      <c r="L627" s="687" t="s">
        <v>6</v>
      </c>
      <c r="M627" s="748"/>
      <c r="N627" s="749"/>
      <c r="O627" s="747" t="s">
        <v>245</v>
      </c>
      <c r="P627" s="773">
        <v>27507</v>
      </c>
      <c r="Q627" s="747" t="s">
        <v>5832</v>
      </c>
      <c r="R627" s="747"/>
      <c r="S627" s="747"/>
      <c r="T627" s="747"/>
      <c r="U627" s="696"/>
      <c r="V627" s="696"/>
      <c r="W627" s="696"/>
      <c r="X627" s="696"/>
      <c r="Y627" s="696"/>
      <c r="Z627" s="696"/>
      <c r="AA627" s="696"/>
      <c r="AB627" s="696"/>
      <c r="AC627" s="696"/>
      <c r="AD627" s="697"/>
      <c r="AE627" s="655"/>
    </row>
    <row r="628" spans="1:31" ht="12" customHeight="1">
      <c r="A628" s="937" t="s">
        <v>18218</v>
      </c>
      <c r="B628" s="4" t="s">
        <v>2319</v>
      </c>
      <c r="C628" s="1" t="s">
        <v>2321</v>
      </c>
      <c r="D628" s="1">
        <f t="shared" si="9"/>
        <v>51</v>
      </c>
      <c r="E628" s="2" t="s">
        <v>5</v>
      </c>
      <c r="F628" s="1" t="s">
        <v>15273</v>
      </c>
      <c r="G628" s="3" t="s">
        <v>2322</v>
      </c>
      <c r="J628" s="4" t="s">
        <v>16120</v>
      </c>
      <c r="K628" s="1" t="s">
        <v>30</v>
      </c>
      <c r="L628" s="1" t="s">
        <v>25</v>
      </c>
      <c r="M628" s="16">
        <v>1</v>
      </c>
      <c r="N628" s="17">
        <v>1</v>
      </c>
      <c r="O628" s="3" t="s">
        <v>2323</v>
      </c>
      <c r="P628" s="20">
        <v>22304</v>
      </c>
      <c r="Q628" s="3" t="s">
        <v>2324</v>
      </c>
      <c r="S628" s="3" t="s">
        <v>6051</v>
      </c>
      <c r="T628" s="3" t="s">
        <v>2325</v>
      </c>
      <c r="U628" s="2" t="s">
        <v>2326</v>
      </c>
      <c r="W628" s="2" t="s">
        <v>2327</v>
      </c>
      <c r="AA628" s="2" t="s">
        <v>2328</v>
      </c>
      <c r="AD628" s="698"/>
      <c r="AE628" s="655"/>
    </row>
    <row r="629" spans="1:31" ht="12" customHeight="1" thickBot="1">
      <c r="A629" s="938"/>
      <c r="B629" s="700" t="s">
        <v>2320</v>
      </c>
      <c r="C629" s="699" t="s">
        <v>2329</v>
      </c>
      <c r="D629" s="699">
        <f t="shared" si="9"/>
        <v>55</v>
      </c>
      <c r="E629" s="702" t="s">
        <v>5</v>
      </c>
      <c r="F629" s="699"/>
      <c r="G629" s="703"/>
      <c r="H629" s="699"/>
      <c r="I629" s="699"/>
      <c r="J629" s="700" t="s">
        <v>16117</v>
      </c>
      <c r="K629" s="699"/>
      <c r="L629" s="699" t="s">
        <v>6</v>
      </c>
      <c r="M629" s="705"/>
      <c r="N629" s="706"/>
      <c r="O629" s="703" t="s">
        <v>2330</v>
      </c>
      <c r="P629" s="707">
        <v>20944</v>
      </c>
      <c r="Q629" s="703" t="s">
        <v>2331</v>
      </c>
      <c r="R629" s="703"/>
      <c r="S629" s="703"/>
      <c r="T629" s="703"/>
      <c r="U629" s="702"/>
      <c r="V629" s="702"/>
      <c r="W629" s="702"/>
      <c r="X629" s="702"/>
      <c r="Y629" s="702"/>
      <c r="Z629" s="702"/>
      <c r="AA629" s="702"/>
      <c r="AB629" s="702"/>
      <c r="AC629" s="702"/>
      <c r="AD629" s="708"/>
      <c r="AE629" s="655"/>
    </row>
    <row r="630" spans="1:31" ht="12" customHeight="1">
      <c r="A630" s="936" t="s">
        <v>18245</v>
      </c>
      <c r="B630" s="688" t="s">
        <v>2332</v>
      </c>
      <c r="C630" s="687" t="s">
        <v>2335</v>
      </c>
      <c r="D630" s="687">
        <f t="shared" si="9"/>
        <v>53</v>
      </c>
      <c r="E630" s="696" t="s">
        <v>5</v>
      </c>
      <c r="F630" s="689" t="s">
        <v>15273</v>
      </c>
      <c r="G630" s="747" t="s">
        <v>2336</v>
      </c>
      <c r="H630" s="687"/>
      <c r="I630" s="687"/>
      <c r="J630" s="692" t="s">
        <v>16126</v>
      </c>
      <c r="K630" s="687" t="s">
        <v>44</v>
      </c>
      <c r="L630" s="687" t="s">
        <v>25</v>
      </c>
      <c r="M630" s="748">
        <v>4</v>
      </c>
      <c r="N630" s="749">
        <v>4</v>
      </c>
      <c r="O630" s="747" t="s">
        <v>2338</v>
      </c>
      <c r="P630" s="773">
        <v>21566</v>
      </c>
      <c r="Q630" s="747" t="s">
        <v>2339</v>
      </c>
      <c r="R630" s="747" t="s">
        <v>2340</v>
      </c>
      <c r="S630" s="747" t="s">
        <v>6214</v>
      </c>
      <c r="T630" s="747" t="s">
        <v>2328</v>
      </c>
      <c r="U630" s="696"/>
      <c r="V630" s="696"/>
      <c r="W630" s="696"/>
      <c r="X630" s="696"/>
      <c r="Y630" s="696"/>
      <c r="Z630" s="696"/>
      <c r="AA630" s="696" t="s">
        <v>2328</v>
      </c>
      <c r="AB630" s="696"/>
      <c r="AC630" s="696"/>
      <c r="AD630" s="697"/>
      <c r="AE630" s="655"/>
    </row>
    <row r="631" spans="1:31" ht="12" customHeight="1">
      <c r="A631" s="937" t="s">
        <v>18219</v>
      </c>
      <c r="B631" s="4" t="s">
        <v>2333</v>
      </c>
      <c r="C631" s="1" t="s">
        <v>2341</v>
      </c>
      <c r="D631" s="1">
        <f t="shared" si="9"/>
        <v>51</v>
      </c>
      <c r="E631" s="2" t="s">
        <v>5</v>
      </c>
      <c r="F631" s="1" t="s">
        <v>15273</v>
      </c>
      <c r="G631" s="3" t="s">
        <v>2342</v>
      </c>
      <c r="J631" s="4" t="s">
        <v>16120</v>
      </c>
      <c r="K631" s="1" t="s">
        <v>48</v>
      </c>
      <c r="L631" s="1" t="s">
        <v>25</v>
      </c>
      <c r="M631" s="16">
        <v>4</v>
      </c>
      <c r="N631" s="17">
        <v>5</v>
      </c>
      <c r="O631" s="3" t="s">
        <v>2343</v>
      </c>
      <c r="P631" s="20">
        <v>22406</v>
      </c>
      <c r="Q631" s="3" t="s">
        <v>2344</v>
      </c>
      <c r="R631" s="3" t="s">
        <v>2348</v>
      </c>
      <c r="S631" s="3" t="s">
        <v>6051</v>
      </c>
      <c r="T631" s="3" t="s">
        <v>2345</v>
      </c>
      <c r="X631" s="2" t="s">
        <v>2346</v>
      </c>
      <c r="Z631" s="2" t="s">
        <v>2347</v>
      </c>
      <c r="AD631" s="698"/>
      <c r="AE631" s="655"/>
    </row>
    <row r="632" spans="1:31" ht="12" customHeight="1">
      <c r="A632" s="937"/>
      <c r="B632" s="4" t="s">
        <v>2334</v>
      </c>
      <c r="C632" s="1" t="s">
        <v>6189</v>
      </c>
      <c r="D632" s="1">
        <f t="shared" si="9"/>
        <v>42</v>
      </c>
      <c r="E632" s="2" t="s">
        <v>5</v>
      </c>
      <c r="J632" s="4" t="s">
        <v>16125</v>
      </c>
      <c r="L632" s="1" t="s">
        <v>6</v>
      </c>
      <c r="O632" s="3" t="s">
        <v>2440</v>
      </c>
      <c r="P632" s="20">
        <v>25578</v>
      </c>
      <c r="Q632" s="3" t="s">
        <v>6190</v>
      </c>
      <c r="S632" s="3" t="s">
        <v>16093</v>
      </c>
      <c r="AD632" s="698"/>
      <c r="AE632" s="655"/>
    </row>
    <row r="633" spans="1:31" ht="12" customHeight="1">
      <c r="A633" s="937" t="s">
        <v>18223</v>
      </c>
      <c r="B633" s="4" t="s">
        <v>5210</v>
      </c>
      <c r="C633" s="1" t="s">
        <v>5211</v>
      </c>
      <c r="D633" s="1">
        <f t="shared" si="9"/>
        <v>31</v>
      </c>
      <c r="E633" s="2" t="s">
        <v>5</v>
      </c>
      <c r="F633" s="1" t="s">
        <v>15273</v>
      </c>
      <c r="J633" s="4" t="s">
        <v>16116</v>
      </c>
      <c r="K633" s="1" t="s">
        <v>5198</v>
      </c>
      <c r="L633" s="1" t="s">
        <v>6</v>
      </c>
      <c r="O633" s="3" t="s">
        <v>5212</v>
      </c>
      <c r="P633" s="21">
        <v>29792</v>
      </c>
      <c r="Q633" s="3" t="s">
        <v>5213</v>
      </c>
      <c r="S633" s="3" t="s">
        <v>5948</v>
      </c>
      <c r="AD633" s="698"/>
      <c r="AE633" s="655"/>
    </row>
    <row r="634" spans="1:31" ht="12" customHeight="1" thickBot="1">
      <c r="A634" s="938"/>
      <c r="B634" s="700" t="s">
        <v>6188</v>
      </c>
      <c r="C634" s="699" t="s">
        <v>2349</v>
      </c>
      <c r="D634" s="699">
        <f t="shared" si="9"/>
        <v>64</v>
      </c>
      <c r="E634" s="702" t="s">
        <v>5</v>
      </c>
      <c r="F634" s="699"/>
      <c r="G634" s="703"/>
      <c r="H634" s="699"/>
      <c r="I634" s="699"/>
      <c r="J634" s="700" t="s">
        <v>16117</v>
      </c>
      <c r="K634" s="699"/>
      <c r="L634" s="699" t="s">
        <v>6</v>
      </c>
      <c r="M634" s="705"/>
      <c r="N634" s="706"/>
      <c r="O634" s="703" t="s">
        <v>2350</v>
      </c>
      <c r="P634" s="723">
        <v>17568</v>
      </c>
      <c r="Q634" s="703" t="s">
        <v>2351</v>
      </c>
      <c r="R634" s="703"/>
      <c r="S634" s="703"/>
      <c r="T634" s="703"/>
      <c r="U634" s="702"/>
      <c r="V634" s="702"/>
      <c r="W634" s="702"/>
      <c r="X634" s="702"/>
      <c r="Y634" s="702"/>
      <c r="Z634" s="702"/>
      <c r="AA634" s="702"/>
      <c r="AB634" s="702"/>
      <c r="AC634" s="702"/>
      <c r="AD634" s="708"/>
      <c r="AE634" s="655"/>
    </row>
    <row r="635" spans="1:31" ht="12" customHeight="1">
      <c r="A635" s="936" t="s">
        <v>18223</v>
      </c>
      <c r="B635" s="688" t="s">
        <v>2352</v>
      </c>
      <c r="C635" s="687" t="s">
        <v>5309</v>
      </c>
      <c r="D635" s="687">
        <f t="shared" si="9"/>
        <v>65</v>
      </c>
      <c r="E635" s="696" t="s">
        <v>19</v>
      </c>
      <c r="F635" s="689" t="s">
        <v>15273</v>
      </c>
      <c r="G635" s="747"/>
      <c r="H635" s="687"/>
      <c r="I635" s="687"/>
      <c r="J635" s="692" t="s">
        <v>16127</v>
      </c>
      <c r="K635" s="687" t="s">
        <v>44</v>
      </c>
      <c r="L635" s="687" t="s">
        <v>6</v>
      </c>
      <c r="M635" s="748"/>
      <c r="N635" s="749"/>
      <c r="O635" s="747" t="s">
        <v>5310</v>
      </c>
      <c r="P635" s="773">
        <v>17478</v>
      </c>
      <c r="Q635" s="747" t="s">
        <v>5311</v>
      </c>
      <c r="R635" s="747"/>
      <c r="S635" s="747" t="s">
        <v>6214</v>
      </c>
      <c r="T635" s="747" t="s">
        <v>5305</v>
      </c>
      <c r="U635" s="696"/>
      <c r="V635" s="696" t="s">
        <v>5305</v>
      </c>
      <c r="W635" s="696"/>
      <c r="X635" s="696"/>
      <c r="Y635" s="696"/>
      <c r="Z635" s="696"/>
      <c r="AA635" s="696"/>
      <c r="AB635" s="696"/>
      <c r="AC635" s="696"/>
      <c r="AD635" s="697"/>
      <c r="AE635" s="655"/>
    </row>
    <row r="636" spans="1:31" ht="12" customHeight="1">
      <c r="A636" s="937" t="s">
        <v>18218</v>
      </c>
      <c r="B636" s="4" t="s">
        <v>2353</v>
      </c>
      <c r="C636" s="1" t="s">
        <v>2358</v>
      </c>
      <c r="D636" s="1">
        <f t="shared" si="9"/>
        <v>38</v>
      </c>
      <c r="E636" s="2" t="s">
        <v>5</v>
      </c>
      <c r="F636" s="1" t="s">
        <v>15273</v>
      </c>
      <c r="J636" s="8" t="s">
        <v>16120</v>
      </c>
      <c r="K636" s="1" t="s">
        <v>48</v>
      </c>
      <c r="L636" s="1" t="s">
        <v>6</v>
      </c>
      <c r="O636" s="3" t="s">
        <v>2330</v>
      </c>
      <c r="P636" s="20">
        <v>27320</v>
      </c>
      <c r="Q636" s="3" t="s">
        <v>2359</v>
      </c>
      <c r="S636" s="3" t="s">
        <v>6051</v>
      </c>
      <c r="AD636" s="698"/>
      <c r="AE636" s="655"/>
    </row>
    <row r="637" spans="1:31" ht="12" customHeight="1">
      <c r="A637" s="937"/>
      <c r="B637" s="4" t="s">
        <v>2354</v>
      </c>
      <c r="C637" s="1" t="s">
        <v>2360</v>
      </c>
      <c r="D637" s="1">
        <f t="shared" si="9"/>
        <v>58</v>
      </c>
      <c r="E637" s="2" t="s">
        <v>5</v>
      </c>
      <c r="J637" s="4" t="s">
        <v>16117</v>
      </c>
      <c r="L637" s="1" t="s">
        <v>6</v>
      </c>
      <c r="O637" s="3" t="s">
        <v>2362</v>
      </c>
      <c r="P637" s="20">
        <v>19998</v>
      </c>
      <c r="Q637" s="3" t="s">
        <v>2361</v>
      </c>
      <c r="AD637" s="698"/>
      <c r="AE637" s="655"/>
    </row>
    <row r="638" spans="1:31" ht="12" customHeight="1" thickBot="1">
      <c r="A638" s="938"/>
      <c r="B638" s="700" t="s">
        <v>2355</v>
      </c>
      <c r="C638" s="699" t="s">
        <v>2363</v>
      </c>
      <c r="D638" s="699">
        <f t="shared" si="9"/>
        <v>59</v>
      </c>
      <c r="E638" s="702" t="s">
        <v>5</v>
      </c>
      <c r="F638" s="699" t="s">
        <v>15273</v>
      </c>
      <c r="G638" s="703"/>
      <c r="H638" s="699"/>
      <c r="I638" s="699"/>
      <c r="J638" s="704" t="s">
        <v>16121</v>
      </c>
      <c r="K638" s="699"/>
      <c r="L638" s="699" t="s">
        <v>6</v>
      </c>
      <c r="M638" s="705"/>
      <c r="N638" s="706"/>
      <c r="O638" s="703" t="s">
        <v>2362</v>
      </c>
      <c r="P638" s="723">
        <v>19391</v>
      </c>
      <c r="Q638" s="703" t="s">
        <v>2364</v>
      </c>
      <c r="R638" s="703"/>
      <c r="S638" s="703"/>
      <c r="T638" s="703" t="s">
        <v>2365</v>
      </c>
      <c r="U638" s="702"/>
      <c r="V638" s="702" t="s">
        <v>2309</v>
      </c>
      <c r="W638" s="702"/>
      <c r="X638" s="702"/>
      <c r="Y638" s="702"/>
      <c r="Z638" s="702"/>
      <c r="AA638" s="702"/>
      <c r="AB638" s="702"/>
      <c r="AC638" s="702"/>
      <c r="AD638" s="708" t="s">
        <v>2312</v>
      </c>
      <c r="AE638" s="655"/>
    </row>
    <row r="639" spans="1:31" ht="12" customHeight="1">
      <c r="A639" s="936" t="s">
        <v>18245</v>
      </c>
      <c r="B639" s="688" t="s">
        <v>2366</v>
      </c>
      <c r="C639" s="687" t="s">
        <v>2369</v>
      </c>
      <c r="D639" s="687">
        <f t="shared" si="9"/>
        <v>39</v>
      </c>
      <c r="E639" s="696" t="s">
        <v>5</v>
      </c>
      <c r="F639" s="689" t="s">
        <v>15273</v>
      </c>
      <c r="G639" s="747" t="s">
        <v>2370</v>
      </c>
      <c r="H639" s="687"/>
      <c r="I639" s="687"/>
      <c r="J639" s="692" t="s">
        <v>16127</v>
      </c>
      <c r="K639" s="687" t="s">
        <v>2371</v>
      </c>
      <c r="L639" s="687" t="s">
        <v>25</v>
      </c>
      <c r="M639" s="748">
        <v>1</v>
      </c>
      <c r="N639" s="749">
        <v>1</v>
      </c>
      <c r="O639" s="747" t="s">
        <v>2372</v>
      </c>
      <c r="P639" s="773">
        <v>27010</v>
      </c>
      <c r="Q639" s="747" t="s">
        <v>2373</v>
      </c>
      <c r="R639" s="747"/>
      <c r="S639" s="747" t="s">
        <v>6214</v>
      </c>
      <c r="T639" s="747"/>
      <c r="U639" s="696"/>
      <c r="V639" s="696"/>
      <c r="W639" s="696"/>
      <c r="X639" s="696"/>
      <c r="Y639" s="696"/>
      <c r="Z639" s="696"/>
      <c r="AA639" s="696"/>
      <c r="AB639" s="696"/>
      <c r="AC639" s="696"/>
      <c r="AD639" s="697"/>
      <c r="AE639" s="655"/>
    </row>
    <row r="640" spans="1:31" ht="12" customHeight="1">
      <c r="A640" s="937" t="s">
        <v>18219</v>
      </c>
      <c r="B640" s="4" t="s">
        <v>2367</v>
      </c>
      <c r="C640" s="1" t="s">
        <v>2374</v>
      </c>
      <c r="D640" s="1">
        <f t="shared" si="9"/>
        <v>67</v>
      </c>
      <c r="E640" s="2" t="s">
        <v>5</v>
      </c>
      <c r="F640" s="1" t="s">
        <v>15273</v>
      </c>
      <c r="G640" s="3" t="s">
        <v>2375</v>
      </c>
      <c r="J640" s="4" t="s">
        <v>16120</v>
      </c>
      <c r="K640" s="1" t="s">
        <v>48</v>
      </c>
      <c r="L640" s="1" t="s">
        <v>25</v>
      </c>
      <c r="M640" s="16">
        <v>2</v>
      </c>
      <c r="N640" s="17">
        <v>2</v>
      </c>
      <c r="O640" s="3" t="s">
        <v>2376</v>
      </c>
      <c r="P640" s="20">
        <v>16749</v>
      </c>
      <c r="Q640" s="3" t="s">
        <v>2377</v>
      </c>
      <c r="S640" s="3" t="s">
        <v>5889</v>
      </c>
      <c r="T640" s="3" t="s">
        <v>2309</v>
      </c>
      <c r="V640" s="2" t="s">
        <v>2309</v>
      </c>
      <c r="AD640" s="698"/>
      <c r="AE640" s="655"/>
    </row>
    <row r="641" spans="1:31" ht="12" customHeight="1" thickBot="1">
      <c r="A641" s="938"/>
      <c r="B641" s="700" t="s">
        <v>2368</v>
      </c>
      <c r="C641" s="699" t="s">
        <v>2378</v>
      </c>
      <c r="D641" s="699">
        <f t="shared" si="9"/>
        <v>27</v>
      </c>
      <c r="E641" s="702" t="s">
        <v>19</v>
      </c>
      <c r="F641" s="699"/>
      <c r="G641" s="703"/>
      <c r="H641" s="699"/>
      <c r="I641" s="699"/>
      <c r="J641" s="700" t="s">
        <v>16117</v>
      </c>
      <c r="K641" s="699"/>
      <c r="L641" s="699" t="s">
        <v>6</v>
      </c>
      <c r="M641" s="705"/>
      <c r="N641" s="706"/>
      <c r="O641" s="703" t="s">
        <v>2379</v>
      </c>
      <c r="P641" s="723">
        <v>31177</v>
      </c>
      <c r="Q641" s="703" t="s">
        <v>2380</v>
      </c>
      <c r="R641" s="703"/>
      <c r="S641" s="703"/>
      <c r="T641" s="703"/>
      <c r="U641" s="702"/>
      <c r="V641" s="702"/>
      <c r="W641" s="702"/>
      <c r="X641" s="702"/>
      <c r="Y641" s="702"/>
      <c r="Z641" s="702"/>
      <c r="AA641" s="702"/>
      <c r="AB641" s="702"/>
      <c r="AC641" s="702"/>
      <c r="AD641" s="708"/>
      <c r="AE641" s="655"/>
    </row>
    <row r="642" spans="1:31" ht="12" customHeight="1">
      <c r="A642" s="936" t="s">
        <v>18245</v>
      </c>
      <c r="B642" s="688" t="s">
        <v>2381</v>
      </c>
      <c r="C642" s="687" t="s">
        <v>2385</v>
      </c>
      <c r="D642" s="687">
        <f t="shared" ref="D642:D705" si="10">DATEDIF(P642,$P$1298,"Y")</f>
        <v>56</v>
      </c>
      <c r="E642" s="696" t="s">
        <v>5</v>
      </c>
      <c r="F642" s="689" t="s">
        <v>15273</v>
      </c>
      <c r="G642" s="747" t="s">
        <v>2386</v>
      </c>
      <c r="H642" s="687"/>
      <c r="I642" s="687"/>
      <c r="J642" s="692" t="s">
        <v>16126</v>
      </c>
      <c r="K642" s="687" t="s">
        <v>2337</v>
      </c>
      <c r="L642" s="687" t="s">
        <v>25</v>
      </c>
      <c r="M642" s="748">
        <v>4</v>
      </c>
      <c r="N642" s="749">
        <v>4</v>
      </c>
      <c r="O642" s="747" t="s">
        <v>188</v>
      </c>
      <c r="P642" s="773">
        <v>20786</v>
      </c>
      <c r="Q642" s="747" t="s">
        <v>2388</v>
      </c>
      <c r="R642" s="747" t="s">
        <v>2522</v>
      </c>
      <c r="S642" s="747"/>
      <c r="T642" s="747" t="s">
        <v>146</v>
      </c>
      <c r="U642" s="696"/>
      <c r="V642" s="696"/>
      <c r="W642" s="696"/>
      <c r="X642" s="696"/>
      <c r="Y642" s="696"/>
      <c r="Z642" s="696"/>
      <c r="AA642" s="696"/>
      <c r="AB642" s="696"/>
      <c r="AC642" s="696" t="s">
        <v>2387</v>
      </c>
      <c r="AD642" s="697"/>
      <c r="AE642" s="655"/>
    </row>
    <row r="643" spans="1:31" ht="12" customHeight="1">
      <c r="A643" s="937" t="s">
        <v>18219</v>
      </c>
      <c r="B643" s="4" t="s">
        <v>2382</v>
      </c>
      <c r="C643" s="1" t="s">
        <v>2389</v>
      </c>
      <c r="D643" s="1">
        <f t="shared" si="10"/>
        <v>53</v>
      </c>
      <c r="E643" s="2" t="s">
        <v>19</v>
      </c>
      <c r="F643" s="1" t="s">
        <v>15273</v>
      </c>
      <c r="G643" s="3" t="s">
        <v>2390</v>
      </c>
      <c r="J643" s="4" t="s">
        <v>16120</v>
      </c>
      <c r="K643" s="1" t="s">
        <v>48</v>
      </c>
      <c r="L643" s="1" t="s">
        <v>25</v>
      </c>
      <c r="M643" s="16">
        <v>2</v>
      </c>
      <c r="N643" s="17">
        <v>2</v>
      </c>
      <c r="O643" s="3" t="s">
        <v>188</v>
      </c>
      <c r="P643" s="20">
        <v>21601</v>
      </c>
      <c r="Q643" s="3" t="s">
        <v>2391</v>
      </c>
      <c r="S643" s="3" t="s">
        <v>5457</v>
      </c>
      <c r="T643" s="3" t="s">
        <v>147</v>
      </c>
      <c r="AB643" s="2" t="s">
        <v>2392</v>
      </c>
      <c r="AD643" s="698"/>
      <c r="AE643" s="655"/>
    </row>
    <row r="644" spans="1:31" ht="12" customHeight="1">
      <c r="A644" s="937" t="s">
        <v>18245</v>
      </c>
      <c r="B644" s="4" t="s">
        <v>2383</v>
      </c>
      <c r="C644" s="1" t="s">
        <v>5328</v>
      </c>
      <c r="D644" s="1">
        <f t="shared" si="10"/>
        <v>39</v>
      </c>
      <c r="E644" s="2" t="s">
        <v>5</v>
      </c>
      <c r="F644" s="1" t="s">
        <v>15273</v>
      </c>
      <c r="J644" s="4" t="s">
        <v>16116</v>
      </c>
      <c r="K644" s="1" t="s">
        <v>4422</v>
      </c>
      <c r="L644" s="1" t="s">
        <v>6</v>
      </c>
      <c r="O644" s="3" t="s">
        <v>5329</v>
      </c>
      <c r="P644" s="21">
        <v>26993</v>
      </c>
      <c r="Q644" s="3" t="s">
        <v>5330</v>
      </c>
      <c r="S644" s="3" t="s">
        <v>5948</v>
      </c>
      <c r="T644" s="3" t="s">
        <v>145</v>
      </c>
      <c r="V644" s="2" t="s">
        <v>145</v>
      </c>
      <c r="AD644" s="698"/>
      <c r="AE644" s="655"/>
    </row>
    <row r="645" spans="1:31" ht="12" customHeight="1">
      <c r="A645" s="937"/>
      <c r="B645" s="4" t="s">
        <v>2384</v>
      </c>
      <c r="C645" s="1" t="s">
        <v>2393</v>
      </c>
      <c r="D645" s="1">
        <f t="shared" si="10"/>
        <v>54</v>
      </c>
      <c r="E645" s="2" t="s">
        <v>19</v>
      </c>
      <c r="J645" s="4" t="s">
        <v>16117</v>
      </c>
      <c r="L645" s="1" t="s">
        <v>6</v>
      </c>
      <c r="O645" s="3" t="s">
        <v>2394</v>
      </c>
      <c r="P645" s="20">
        <v>21264</v>
      </c>
      <c r="Q645" s="3" t="s">
        <v>2395</v>
      </c>
      <c r="AD645" s="698"/>
      <c r="AE645" s="655"/>
    </row>
    <row r="646" spans="1:31" ht="12" customHeight="1" thickBot="1">
      <c r="A646" s="938"/>
      <c r="B646" s="700" t="s">
        <v>5327</v>
      </c>
      <c r="C646" s="699" t="s">
        <v>2396</v>
      </c>
      <c r="D646" s="699">
        <f t="shared" si="10"/>
        <v>63</v>
      </c>
      <c r="E646" s="702" t="s">
        <v>5</v>
      </c>
      <c r="F646" s="699" t="s">
        <v>15273</v>
      </c>
      <c r="G646" s="703"/>
      <c r="H646" s="699"/>
      <c r="I646" s="699"/>
      <c r="J646" s="700" t="s">
        <v>16121</v>
      </c>
      <c r="K646" s="699"/>
      <c r="L646" s="699" t="s">
        <v>6</v>
      </c>
      <c r="M646" s="705"/>
      <c r="N646" s="706"/>
      <c r="O646" s="703" t="s">
        <v>2397</v>
      </c>
      <c r="P646" s="707">
        <v>17954</v>
      </c>
      <c r="Q646" s="703" t="s">
        <v>2398</v>
      </c>
      <c r="R646" s="703"/>
      <c r="S646" s="703"/>
      <c r="T646" s="703" t="s">
        <v>2309</v>
      </c>
      <c r="U646" s="702"/>
      <c r="V646" s="702" t="s">
        <v>2309</v>
      </c>
      <c r="W646" s="702"/>
      <c r="X646" s="702"/>
      <c r="Y646" s="702"/>
      <c r="Z646" s="702"/>
      <c r="AA646" s="702"/>
      <c r="AB646" s="702"/>
      <c r="AC646" s="702"/>
      <c r="AD646" s="708"/>
      <c r="AE646" s="655"/>
    </row>
    <row r="647" spans="1:31" ht="12" customHeight="1">
      <c r="A647" s="936" t="s">
        <v>18245</v>
      </c>
      <c r="B647" s="688" t="s">
        <v>2399</v>
      </c>
      <c r="C647" s="687" t="s">
        <v>2402</v>
      </c>
      <c r="D647" s="687">
        <f t="shared" si="10"/>
        <v>37</v>
      </c>
      <c r="E647" s="696" t="s">
        <v>5</v>
      </c>
      <c r="F647" s="689" t="s">
        <v>15273</v>
      </c>
      <c r="G647" s="747" t="s">
        <v>2403</v>
      </c>
      <c r="H647" s="687"/>
      <c r="I647" s="687"/>
      <c r="J647" s="692" t="s">
        <v>16127</v>
      </c>
      <c r="K647" s="687" t="s">
        <v>2404</v>
      </c>
      <c r="L647" s="687" t="s">
        <v>25</v>
      </c>
      <c r="M647" s="748">
        <v>2</v>
      </c>
      <c r="N647" s="749">
        <v>2</v>
      </c>
      <c r="O647" s="747" t="s">
        <v>31</v>
      </c>
      <c r="P647" s="773">
        <v>27384</v>
      </c>
      <c r="Q647" s="747" t="s">
        <v>2406</v>
      </c>
      <c r="R647" s="747" t="s">
        <v>2405</v>
      </c>
      <c r="S647" s="747" t="s">
        <v>6214</v>
      </c>
      <c r="T647" s="747"/>
      <c r="U647" s="696"/>
      <c r="V647" s="696"/>
      <c r="W647" s="696"/>
      <c r="X647" s="696"/>
      <c r="Y647" s="696"/>
      <c r="Z647" s="696"/>
      <c r="AA647" s="696"/>
      <c r="AB647" s="696"/>
      <c r="AC647" s="696"/>
      <c r="AD647" s="697"/>
      <c r="AE647" s="655"/>
    </row>
    <row r="648" spans="1:31" ht="12" customHeight="1">
      <c r="A648" s="937" t="s">
        <v>18219</v>
      </c>
      <c r="B648" s="4" t="s">
        <v>2400</v>
      </c>
      <c r="C648" s="1" t="s">
        <v>2407</v>
      </c>
      <c r="D648" s="1">
        <f t="shared" si="10"/>
        <v>60</v>
      </c>
      <c r="E648" s="2" t="s">
        <v>5</v>
      </c>
      <c r="F648" s="1" t="s">
        <v>15273</v>
      </c>
      <c r="G648" s="3" t="s">
        <v>2408</v>
      </c>
      <c r="J648" s="8" t="s">
        <v>16120</v>
      </c>
      <c r="K648" s="1" t="s">
        <v>30</v>
      </c>
      <c r="L648" s="1" t="s">
        <v>25</v>
      </c>
      <c r="M648" s="16">
        <v>5</v>
      </c>
      <c r="N648" s="17">
        <v>5</v>
      </c>
      <c r="O648" s="3" t="s">
        <v>95</v>
      </c>
      <c r="P648" s="20">
        <v>19182</v>
      </c>
      <c r="Q648" s="3" t="s">
        <v>2409</v>
      </c>
      <c r="R648" s="3" t="s">
        <v>2526</v>
      </c>
      <c r="S648" s="3" t="s">
        <v>15615</v>
      </c>
      <c r="T648" s="3" t="s">
        <v>2309</v>
      </c>
      <c r="V648" s="2" t="s">
        <v>2309</v>
      </c>
      <c r="AD648" s="698"/>
      <c r="AE648" s="655"/>
    </row>
    <row r="649" spans="1:31" ht="12" customHeight="1">
      <c r="A649" s="937" t="s">
        <v>18223</v>
      </c>
      <c r="B649" s="4" t="s">
        <v>2401</v>
      </c>
      <c r="C649" s="1" t="s">
        <v>2414</v>
      </c>
      <c r="D649" s="1">
        <f t="shared" si="10"/>
        <v>42</v>
      </c>
      <c r="E649" s="2" t="s">
        <v>5</v>
      </c>
      <c r="F649" s="1" t="s">
        <v>15273</v>
      </c>
      <c r="J649" s="4" t="s">
        <v>16128</v>
      </c>
      <c r="L649" s="1" t="s">
        <v>6</v>
      </c>
      <c r="O649" s="3" t="s">
        <v>7</v>
      </c>
      <c r="P649" s="20">
        <v>25752</v>
      </c>
      <c r="Q649" s="3" t="s">
        <v>2415</v>
      </c>
      <c r="S649" s="3" t="s">
        <v>6031</v>
      </c>
      <c r="AD649" s="698"/>
      <c r="AE649" s="655"/>
    </row>
    <row r="650" spans="1:31" ht="12" customHeight="1" thickBot="1">
      <c r="A650" s="938"/>
      <c r="B650" s="700" t="s">
        <v>2413</v>
      </c>
      <c r="C650" s="699" t="s">
        <v>2410</v>
      </c>
      <c r="D650" s="699">
        <f t="shared" si="10"/>
        <v>61</v>
      </c>
      <c r="E650" s="702" t="s">
        <v>5</v>
      </c>
      <c r="F650" s="699"/>
      <c r="G650" s="703"/>
      <c r="H650" s="699"/>
      <c r="I650" s="699"/>
      <c r="J650" s="700" t="s">
        <v>16117</v>
      </c>
      <c r="K650" s="699"/>
      <c r="L650" s="699" t="s">
        <v>6</v>
      </c>
      <c r="M650" s="705"/>
      <c r="N650" s="706"/>
      <c r="O650" s="703" t="s">
        <v>2411</v>
      </c>
      <c r="P650" s="707">
        <v>18669</v>
      </c>
      <c r="Q650" s="703" t="s">
        <v>2412</v>
      </c>
      <c r="R650" s="703"/>
      <c r="S650" s="703"/>
      <c r="T650" s="703" t="s">
        <v>2365</v>
      </c>
      <c r="U650" s="702"/>
      <c r="V650" s="702" t="s">
        <v>2309</v>
      </c>
      <c r="W650" s="702"/>
      <c r="X650" s="702"/>
      <c r="Y650" s="702"/>
      <c r="Z650" s="702"/>
      <c r="AA650" s="702"/>
      <c r="AB650" s="702"/>
      <c r="AC650" s="702"/>
      <c r="AD650" s="708" t="s">
        <v>2312</v>
      </c>
      <c r="AE650" s="655"/>
    </row>
    <row r="651" spans="1:31" ht="12" customHeight="1">
      <c r="A651" s="936" t="s">
        <v>18245</v>
      </c>
      <c r="B651" s="688" t="s">
        <v>2416</v>
      </c>
      <c r="C651" s="687" t="s">
        <v>2419</v>
      </c>
      <c r="D651" s="687">
        <f t="shared" si="10"/>
        <v>68</v>
      </c>
      <c r="E651" s="696" t="s">
        <v>5</v>
      </c>
      <c r="F651" s="689" t="s">
        <v>15273</v>
      </c>
      <c r="G651" s="747" t="s">
        <v>2420</v>
      </c>
      <c r="H651" s="687"/>
      <c r="I651" s="687"/>
      <c r="J651" s="692" t="s">
        <v>16127</v>
      </c>
      <c r="K651" s="687" t="s">
        <v>2421</v>
      </c>
      <c r="L651" s="687" t="s">
        <v>25</v>
      </c>
      <c r="M651" s="748">
        <v>3</v>
      </c>
      <c r="N651" s="749">
        <v>3</v>
      </c>
      <c r="O651" s="747" t="s">
        <v>2422</v>
      </c>
      <c r="P651" s="773">
        <v>16220</v>
      </c>
      <c r="Q651" s="747" t="s">
        <v>2423</v>
      </c>
      <c r="R651" s="747" t="s">
        <v>2424</v>
      </c>
      <c r="S651" s="747" t="s">
        <v>6214</v>
      </c>
      <c r="T651" s="747" t="s">
        <v>2326</v>
      </c>
      <c r="U651" s="696" t="s">
        <v>2326</v>
      </c>
      <c r="V651" s="696"/>
      <c r="W651" s="696"/>
      <c r="X651" s="696"/>
      <c r="Y651" s="696"/>
      <c r="Z651" s="696"/>
      <c r="AA651" s="696"/>
      <c r="AB651" s="696"/>
      <c r="AC651" s="696"/>
      <c r="AD651" s="697"/>
      <c r="AE651" s="655"/>
    </row>
    <row r="652" spans="1:31" ht="12" customHeight="1">
      <c r="A652" s="937" t="s">
        <v>18219</v>
      </c>
      <c r="B652" s="4" t="s">
        <v>2417</v>
      </c>
      <c r="C652" s="1" t="s">
        <v>2425</v>
      </c>
      <c r="D652" s="1">
        <f t="shared" si="10"/>
        <v>56</v>
      </c>
      <c r="E652" s="2" t="s">
        <v>5</v>
      </c>
      <c r="F652" s="1" t="s">
        <v>15273</v>
      </c>
      <c r="G652" s="3" t="s">
        <v>2426</v>
      </c>
      <c r="J652" s="4" t="s">
        <v>16120</v>
      </c>
      <c r="K652" s="1" t="s">
        <v>48</v>
      </c>
      <c r="L652" s="1" t="s">
        <v>25</v>
      </c>
      <c r="M652" s="16">
        <v>4</v>
      </c>
      <c r="N652" s="17">
        <v>4</v>
      </c>
      <c r="O652" s="3" t="s">
        <v>452</v>
      </c>
      <c r="P652" s="20">
        <v>20470</v>
      </c>
      <c r="Q652" s="3" t="s">
        <v>2427</v>
      </c>
      <c r="R652" s="3" t="s">
        <v>2428</v>
      </c>
      <c r="S652" s="3" t="s">
        <v>5457</v>
      </c>
      <c r="AD652" s="698"/>
      <c r="AE652" s="655"/>
    </row>
    <row r="653" spans="1:31" ht="12" customHeight="1">
      <c r="A653" s="937"/>
      <c r="B653" s="4" t="s">
        <v>2418</v>
      </c>
      <c r="C653" s="1" t="s">
        <v>5408</v>
      </c>
      <c r="D653" s="1">
        <f t="shared" si="10"/>
        <v>38</v>
      </c>
      <c r="E653" s="2" t="s">
        <v>5</v>
      </c>
      <c r="F653" s="1" t="s">
        <v>15273</v>
      </c>
      <c r="J653" s="4" t="s">
        <v>16116</v>
      </c>
      <c r="K653" s="1" t="s">
        <v>5298</v>
      </c>
      <c r="L653" s="1" t="s">
        <v>6</v>
      </c>
      <c r="O653" s="3" t="s">
        <v>3009</v>
      </c>
      <c r="P653" s="20">
        <v>27186</v>
      </c>
      <c r="Q653" s="3" t="s">
        <v>16304</v>
      </c>
      <c r="S653" s="3" t="s">
        <v>5948</v>
      </c>
      <c r="AD653" s="698"/>
      <c r="AE653" s="655"/>
    </row>
    <row r="654" spans="1:31" ht="12" customHeight="1" thickBot="1">
      <c r="A654" s="938"/>
      <c r="B654" s="700" t="s">
        <v>5407</v>
      </c>
      <c r="C654" s="699" t="s">
        <v>2429</v>
      </c>
      <c r="D654" s="699">
        <f t="shared" si="10"/>
        <v>55</v>
      </c>
      <c r="E654" s="702" t="s">
        <v>5</v>
      </c>
      <c r="F654" s="699"/>
      <c r="G654" s="703"/>
      <c r="H654" s="699"/>
      <c r="I654" s="699"/>
      <c r="J654" s="700" t="s">
        <v>16117</v>
      </c>
      <c r="K654" s="699"/>
      <c r="L654" s="699" t="s">
        <v>6</v>
      </c>
      <c r="M654" s="705"/>
      <c r="N654" s="706"/>
      <c r="O654" s="703" t="s">
        <v>2430</v>
      </c>
      <c r="P654" s="707">
        <v>20901</v>
      </c>
      <c r="Q654" s="703" t="s">
        <v>2431</v>
      </c>
      <c r="R654" s="703"/>
      <c r="S654" s="703"/>
      <c r="T654" s="703"/>
      <c r="U654" s="702"/>
      <c r="V654" s="702"/>
      <c r="W654" s="702"/>
      <c r="X654" s="702"/>
      <c r="Y654" s="702"/>
      <c r="Z654" s="702"/>
      <c r="AA654" s="702"/>
      <c r="AB654" s="702"/>
      <c r="AC654" s="702"/>
      <c r="AD654" s="708"/>
      <c r="AE654" s="655"/>
    </row>
    <row r="655" spans="1:31" ht="12" customHeight="1">
      <c r="A655" s="936" t="s">
        <v>18220</v>
      </c>
      <c r="B655" s="688" t="s">
        <v>2432</v>
      </c>
      <c r="C655" s="687" t="s">
        <v>2435</v>
      </c>
      <c r="D655" s="687">
        <f t="shared" si="10"/>
        <v>64</v>
      </c>
      <c r="E655" s="696" t="s">
        <v>5</v>
      </c>
      <c r="F655" s="689" t="s">
        <v>15273</v>
      </c>
      <c r="G655" s="747" t="s">
        <v>2436</v>
      </c>
      <c r="H655" s="687"/>
      <c r="I655" s="687"/>
      <c r="J655" s="692" t="s">
        <v>16126</v>
      </c>
      <c r="K655" s="687" t="s">
        <v>44</v>
      </c>
      <c r="L655" s="687" t="s">
        <v>25</v>
      </c>
      <c r="M655" s="748">
        <v>3</v>
      </c>
      <c r="N655" s="749">
        <v>3</v>
      </c>
      <c r="O655" s="747" t="s">
        <v>2372</v>
      </c>
      <c r="P655" s="773">
        <v>17731</v>
      </c>
      <c r="Q655" s="747" t="s">
        <v>2437</v>
      </c>
      <c r="R655" s="747" t="s">
        <v>2438</v>
      </c>
      <c r="S655" s="747" t="s">
        <v>6214</v>
      </c>
      <c r="T655" s="747" t="s">
        <v>2326</v>
      </c>
      <c r="U655" s="696" t="s">
        <v>2326</v>
      </c>
      <c r="V655" s="696"/>
      <c r="W655" s="696"/>
      <c r="X655" s="696"/>
      <c r="Y655" s="696"/>
      <c r="Z655" s="696"/>
      <c r="AA655" s="696"/>
      <c r="AB655" s="696"/>
      <c r="AC655" s="696"/>
      <c r="AD655" s="697"/>
      <c r="AE655" s="655"/>
    </row>
    <row r="656" spans="1:31" ht="12" customHeight="1">
      <c r="A656" s="937" t="s">
        <v>18246</v>
      </c>
      <c r="B656" s="4" t="s">
        <v>2433</v>
      </c>
      <c r="C656" s="1" t="s">
        <v>2439</v>
      </c>
      <c r="D656" s="1">
        <f t="shared" si="10"/>
        <v>51</v>
      </c>
      <c r="E656" s="2" t="s">
        <v>5</v>
      </c>
      <c r="F656" s="1" t="s">
        <v>15273</v>
      </c>
      <c r="J656" s="4" t="s">
        <v>16120</v>
      </c>
      <c r="K656" s="1" t="s">
        <v>30</v>
      </c>
      <c r="L656" s="1" t="s">
        <v>6</v>
      </c>
      <c r="O656" s="3" t="s">
        <v>2440</v>
      </c>
      <c r="P656" s="21">
        <v>22618</v>
      </c>
      <c r="Q656" s="3" t="s">
        <v>2497</v>
      </c>
      <c r="S656" s="3" t="s">
        <v>16466</v>
      </c>
      <c r="AD656" s="698"/>
      <c r="AE656" s="655"/>
    </row>
    <row r="657" spans="1:31" ht="12" customHeight="1">
      <c r="A657" s="937" t="s">
        <v>18223</v>
      </c>
      <c r="B657" s="4" t="s">
        <v>2434</v>
      </c>
      <c r="C657" s="1" t="s">
        <v>5611</v>
      </c>
      <c r="D657" s="1">
        <f t="shared" si="10"/>
        <v>57</v>
      </c>
      <c r="E657" s="2" t="s">
        <v>5</v>
      </c>
      <c r="F657" s="1" t="s">
        <v>15273</v>
      </c>
      <c r="J657" s="4" t="s">
        <v>16116</v>
      </c>
      <c r="K657" s="1" t="s">
        <v>5515</v>
      </c>
      <c r="L657" s="1" t="s">
        <v>6</v>
      </c>
      <c r="O657" s="3" t="s">
        <v>5612</v>
      </c>
      <c r="P657" s="21">
        <v>20130</v>
      </c>
      <c r="Q657" s="3" t="s">
        <v>5695</v>
      </c>
      <c r="S657" s="3" t="s">
        <v>5948</v>
      </c>
      <c r="AD657" s="698"/>
      <c r="AE657" s="655"/>
    </row>
    <row r="658" spans="1:31" ht="12" customHeight="1" thickBot="1">
      <c r="A658" s="938"/>
      <c r="B658" s="700" t="s">
        <v>5610</v>
      </c>
      <c r="C658" s="699" t="s">
        <v>2441</v>
      </c>
      <c r="D658" s="699">
        <f t="shared" si="10"/>
        <v>33</v>
      </c>
      <c r="E658" s="702" t="s">
        <v>5</v>
      </c>
      <c r="F658" s="699"/>
      <c r="G658" s="703"/>
      <c r="H658" s="699"/>
      <c r="I658" s="699"/>
      <c r="J658" s="700" t="s">
        <v>16117</v>
      </c>
      <c r="K658" s="699"/>
      <c r="L658" s="699" t="s">
        <v>6</v>
      </c>
      <c r="M658" s="705"/>
      <c r="N658" s="706"/>
      <c r="O658" s="703" t="s">
        <v>2440</v>
      </c>
      <c r="P658" s="723">
        <v>29080</v>
      </c>
      <c r="Q658" s="703" t="s">
        <v>2442</v>
      </c>
      <c r="R658" s="703"/>
      <c r="S658" s="703"/>
      <c r="T658" s="703"/>
      <c r="U658" s="702"/>
      <c r="V658" s="702"/>
      <c r="W658" s="702"/>
      <c r="X658" s="702"/>
      <c r="Y658" s="702"/>
      <c r="Z658" s="702"/>
      <c r="AA658" s="702"/>
      <c r="AB658" s="702"/>
      <c r="AC658" s="702"/>
      <c r="AD658" s="708"/>
      <c r="AE658" s="655"/>
    </row>
    <row r="659" spans="1:31" ht="12" customHeight="1">
      <c r="A659" s="936" t="s">
        <v>18246</v>
      </c>
      <c r="B659" s="688" t="s">
        <v>2443</v>
      </c>
      <c r="C659" s="687" t="s">
        <v>2447</v>
      </c>
      <c r="D659" s="687">
        <f t="shared" si="10"/>
        <v>56</v>
      </c>
      <c r="E659" s="696" t="s">
        <v>5</v>
      </c>
      <c r="F659" s="689" t="s">
        <v>15273</v>
      </c>
      <c r="G659" s="747" t="s">
        <v>2448</v>
      </c>
      <c r="H659" s="687"/>
      <c r="I659" s="687"/>
      <c r="J659" s="692" t="s">
        <v>16127</v>
      </c>
      <c r="K659" s="687" t="s">
        <v>2337</v>
      </c>
      <c r="L659" s="687" t="s">
        <v>25</v>
      </c>
      <c r="M659" s="748">
        <v>3</v>
      </c>
      <c r="N659" s="749">
        <v>3</v>
      </c>
      <c r="O659" s="747" t="s">
        <v>2440</v>
      </c>
      <c r="P659" s="773">
        <v>20452</v>
      </c>
      <c r="Q659" s="747" t="s">
        <v>2449</v>
      </c>
      <c r="R659" s="747" t="s">
        <v>2428</v>
      </c>
      <c r="S659" s="747" t="s">
        <v>6214</v>
      </c>
      <c r="T659" s="747" t="s">
        <v>2328</v>
      </c>
      <c r="U659" s="696"/>
      <c r="V659" s="696"/>
      <c r="W659" s="696"/>
      <c r="X659" s="696"/>
      <c r="Y659" s="696"/>
      <c r="Z659" s="696"/>
      <c r="AA659" s="696" t="s">
        <v>2328</v>
      </c>
      <c r="AB659" s="696"/>
      <c r="AC659" s="696"/>
      <c r="AD659" s="697"/>
      <c r="AE659" s="655"/>
    </row>
    <row r="660" spans="1:31" ht="12" customHeight="1">
      <c r="A660" s="937" t="s">
        <v>18220</v>
      </c>
      <c r="B660" s="4" t="s">
        <v>2444</v>
      </c>
      <c r="C660" s="1" t="s">
        <v>2450</v>
      </c>
      <c r="D660" s="1">
        <f t="shared" si="10"/>
        <v>56</v>
      </c>
      <c r="E660" s="2" t="s">
        <v>5</v>
      </c>
      <c r="F660" s="1" t="s">
        <v>15273</v>
      </c>
      <c r="J660" s="8" t="s">
        <v>16120</v>
      </c>
      <c r="K660" s="1" t="s">
        <v>30</v>
      </c>
      <c r="L660" s="1" t="s">
        <v>6</v>
      </c>
      <c r="O660" s="3" t="s">
        <v>2422</v>
      </c>
      <c r="P660" s="20">
        <v>20639</v>
      </c>
      <c r="Q660" s="3" t="s">
        <v>2451</v>
      </c>
      <c r="S660" s="3" t="s">
        <v>5457</v>
      </c>
      <c r="T660" s="3" t="s">
        <v>2326</v>
      </c>
      <c r="U660" s="2" t="s">
        <v>47</v>
      </c>
      <c r="AD660" s="698"/>
      <c r="AE660" s="655"/>
    </row>
    <row r="661" spans="1:31" ht="12" customHeight="1">
      <c r="A661" s="937" t="s">
        <v>18223</v>
      </c>
      <c r="B661" s="4" t="s">
        <v>2445</v>
      </c>
      <c r="C661" s="1" t="s">
        <v>5297</v>
      </c>
      <c r="D661" s="1">
        <f t="shared" si="10"/>
        <v>29</v>
      </c>
      <c r="E661" s="2" t="s">
        <v>5</v>
      </c>
      <c r="F661" s="1" t="s">
        <v>15273</v>
      </c>
      <c r="J661" s="4" t="s">
        <v>16116</v>
      </c>
      <c r="K661" s="1" t="s">
        <v>5298</v>
      </c>
      <c r="L661" s="1" t="s">
        <v>6</v>
      </c>
      <c r="O661" s="3" t="s">
        <v>5299</v>
      </c>
      <c r="P661" s="21">
        <v>30351</v>
      </c>
      <c r="Q661" s="3" t="s">
        <v>5851</v>
      </c>
      <c r="S661" s="3" t="s">
        <v>5948</v>
      </c>
      <c r="AD661" s="698"/>
      <c r="AE661" s="655"/>
    </row>
    <row r="662" spans="1:31" ht="12" customHeight="1">
      <c r="A662" s="937"/>
      <c r="B662" s="4" t="s">
        <v>2446</v>
      </c>
      <c r="C662" s="1" t="s">
        <v>2452</v>
      </c>
      <c r="D662" s="1">
        <f t="shared" si="10"/>
        <v>50</v>
      </c>
      <c r="E662" s="2" t="s">
        <v>5</v>
      </c>
      <c r="J662" s="4" t="s">
        <v>16117</v>
      </c>
      <c r="L662" s="1" t="s">
        <v>6</v>
      </c>
      <c r="O662" s="3" t="s">
        <v>2440</v>
      </c>
      <c r="P662" s="21">
        <v>22946</v>
      </c>
      <c r="Q662" s="3" t="s">
        <v>2361</v>
      </c>
      <c r="AD662" s="698"/>
      <c r="AE662" s="655"/>
    </row>
    <row r="663" spans="1:31" ht="12" customHeight="1" thickBot="1">
      <c r="A663" s="938"/>
      <c r="B663" s="700" t="s">
        <v>5296</v>
      </c>
      <c r="C663" s="699" t="s">
        <v>2453</v>
      </c>
      <c r="D663" s="699">
        <f t="shared" si="10"/>
        <v>53</v>
      </c>
      <c r="E663" s="702" t="s">
        <v>5</v>
      </c>
      <c r="F663" s="699"/>
      <c r="G663" s="703"/>
      <c r="H663" s="699"/>
      <c r="I663" s="699"/>
      <c r="J663" s="700" t="s">
        <v>16122</v>
      </c>
      <c r="K663" s="699" t="s">
        <v>22</v>
      </c>
      <c r="L663" s="699" t="s">
        <v>6</v>
      </c>
      <c r="M663" s="705"/>
      <c r="N663" s="706"/>
      <c r="O663" s="703" t="s">
        <v>2338</v>
      </c>
      <c r="P663" s="707">
        <v>21572</v>
      </c>
      <c r="Q663" s="703" t="s">
        <v>2454</v>
      </c>
      <c r="R663" s="703"/>
      <c r="S663" s="703"/>
      <c r="T663" s="703"/>
      <c r="U663" s="702"/>
      <c r="V663" s="702"/>
      <c r="W663" s="702"/>
      <c r="X663" s="702"/>
      <c r="Y663" s="702"/>
      <c r="Z663" s="702"/>
      <c r="AA663" s="702"/>
      <c r="AB663" s="702"/>
      <c r="AC663" s="702"/>
      <c r="AD663" s="708"/>
      <c r="AE663" s="655"/>
    </row>
    <row r="664" spans="1:31" ht="12" customHeight="1">
      <c r="A664" s="936" t="s">
        <v>18220</v>
      </c>
      <c r="B664" s="688" t="s">
        <v>2455</v>
      </c>
      <c r="C664" s="687" t="s">
        <v>5338</v>
      </c>
      <c r="D664" s="687">
        <f t="shared" si="10"/>
        <v>59</v>
      </c>
      <c r="E664" s="696" t="s">
        <v>5</v>
      </c>
      <c r="F664" s="689" t="s">
        <v>15273</v>
      </c>
      <c r="G664" s="747"/>
      <c r="H664" s="687"/>
      <c r="I664" s="687"/>
      <c r="J664" s="692" t="s">
        <v>16127</v>
      </c>
      <c r="K664" s="687" t="s">
        <v>44</v>
      </c>
      <c r="L664" s="687" t="s">
        <v>6</v>
      </c>
      <c r="M664" s="748"/>
      <c r="N664" s="749"/>
      <c r="O664" s="747" t="s">
        <v>1742</v>
      </c>
      <c r="P664" s="773">
        <v>19599</v>
      </c>
      <c r="Q664" s="747" t="s">
        <v>5339</v>
      </c>
      <c r="R664" s="747"/>
      <c r="S664" s="747" t="s">
        <v>6214</v>
      </c>
      <c r="T664" s="747" t="s">
        <v>5305</v>
      </c>
      <c r="U664" s="696"/>
      <c r="V664" s="696" t="s">
        <v>145</v>
      </c>
      <c r="W664" s="696"/>
      <c r="X664" s="696"/>
      <c r="Y664" s="696"/>
      <c r="Z664" s="696"/>
      <c r="AA664" s="696"/>
      <c r="AB664" s="696"/>
      <c r="AC664" s="696"/>
      <c r="AD664" s="697"/>
      <c r="AE664" s="655"/>
    </row>
    <row r="665" spans="1:31" ht="12" customHeight="1">
      <c r="A665" s="937" t="s">
        <v>18246</v>
      </c>
      <c r="B665" s="4" t="s">
        <v>2456</v>
      </c>
      <c r="C665" s="1" t="s">
        <v>2459</v>
      </c>
      <c r="D665" s="1">
        <f t="shared" si="10"/>
        <v>48</v>
      </c>
      <c r="E665" s="2" t="s">
        <v>5</v>
      </c>
      <c r="F665" s="1" t="s">
        <v>15273</v>
      </c>
      <c r="J665" s="4" t="s">
        <v>16120</v>
      </c>
      <c r="K665" s="1" t="s">
        <v>30</v>
      </c>
      <c r="L665" s="1" t="s">
        <v>6</v>
      </c>
      <c r="O665" s="3" t="s">
        <v>95</v>
      </c>
      <c r="P665" s="20">
        <v>23592</v>
      </c>
      <c r="Q665" s="3" t="s">
        <v>2460</v>
      </c>
      <c r="T665" s="3" t="s">
        <v>2461</v>
      </c>
      <c r="V665" s="2" t="s">
        <v>2309</v>
      </c>
      <c r="AC665" s="2" t="s">
        <v>2387</v>
      </c>
      <c r="AD665" s="698"/>
      <c r="AE665" s="655"/>
    </row>
    <row r="666" spans="1:31" ht="12" customHeight="1">
      <c r="A666" s="937" t="s">
        <v>18223</v>
      </c>
      <c r="B666" s="4" t="s">
        <v>2457</v>
      </c>
      <c r="C666" s="1" t="s">
        <v>5301</v>
      </c>
      <c r="D666" s="1">
        <f t="shared" si="10"/>
        <v>44</v>
      </c>
      <c r="E666" s="2" t="s">
        <v>5</v>
      </c>
      <c r="F666" s="1" t="s">
        <v>15273</v>
      </c>
      <c r="J666" s="4" t="s">
        <v>16116</v>
      </c>
      <c r="K666" s="1" t="s">
        <v>5298</v>
      </c>
      <c r="L666" s="1" t="s">
        <v>6</v>
      </c>
      <c r="O666" s="3" t="s">
        <v>188</v>
      </c>
      <c r="P666" s="20">
        <v>24938</v>
      </c>
      <c r="Q666" s="3" t="s">
        <v>5302</v>
      </c>
      <c r="AD666" s="698"/>
      <c r="AE666" s="655"/>
    </row>
    <row r="667" spans="1:31" ht="12" customHeight="1">
      <c r="A667" s="937" t="s">
        <v>18245</v>
      </c>
      <c r="B667" s="4" t="s">
        <v>2458</v>
      </c>
      <c r="C667" s="1" t="s">
        <v>2464</v>
      </c>
      <c r="D667" s="1">
        <f t="shared" si="10"/>
        <v>35</v>
      </c>
      <c r="E667" s="2" t="s">
        <v>5</v>
      </c>
      <c r="F667" s="1" t="s">
        <v>15273</v>
      </c>
      <c r="J667" s="4" t="s">
        <v>16128</v>
      </c>
      <c r="L667" s="1" t="s">
        <v>6</v>
      </c>
      <c r="O667" s="3" t="s">
        <v>2422</v>
      </c>
      <c r="P667" s="20">
        <v>28450</v>
      </c>
      <c r="Q667" s="3" t="s">
        <v>2465</v>
      </c>
      <c r="T667" s="3" t="s">
        <v>2466</v>
      </c>
      <c r="Y667" s="2" t="s">
        <v>2467</v>
      </c>
      <c r="AA667" s="2" t="s">
        <v>2328</v>
      </c>
      <c r="AD667" s="698"/>
      <c r="AE667" s="655"/>
    </row>
    <row r="668" spans="1:31" ht="12" customHeight="1" thickBot="1">
      <c r="A668" s="938"/>
      <c r="B668" s="700" t="s">
        <v>5300</v>
      </c>
      <c r="C668" s="699" t="s">
        <v>2462</v>
      </c>
      <c r="D668" s="699">
        <f t="shared" si="10"/>
        <v>59</v>
      </c>
      <c r="E668" s="702" t="s">
        <v>5</v>
      </c>
      <c r="F668" s="699"/>
      <c r="G668" s="703"/>
      <c r="H668" s="699"/>
      <c r="I668" s="699"/>
      <c r="J668" s="700" t="s">
        <v>16117</v>
      </c>
      <c r="K668" s="699"/>
      <c r="L668" s="699" t="s">
        <v>6</v>
      </c>
      <c r="M668" s="705"/>
      <c r="N668" s="706"/>
      <c r="O668" s="703" t="s">
        <v>2463</v>
      </c>
      <c r="P668" s="707">
        <v>19649</v>
      </c>
      <c r="Q668" s="703" t="s">
        <v>2361</v>
      </c>
      <c r="R668" s="703"/>
      <c r="S668" s="703"/>
      <c r="T668" s="703"/>
      <c r="U668" s="702"/>
      <c r="V668" s="702"/>
      <c r="W668" s="702"/>
      <c r="X668" s="702"/>
      <c r="Y668" s="702"/>
      <c r="Z668" s="702"/>
      <c r="AA668" s="702"/>
      <c r="AB668" s="702"/>
      <c r="AC668" s="702"/>
      <c r="AD668" s="708"/>
      <c r="AE668" s="655"/>
    </row>
    <row r="669" spans="1:31" ht="12" customHeight="1">
      <c r="A669" s="936" t="s">
        <v>18245</v>
      </c>
      <c r="B669" s="688" t="s">
        <v>2468</v>
      </c>
      <c r="C669" s="687" t="s">
        <v>2472</v>
      </c>
      <c r="D669" s="687">
        <f t="shared" si="10"/>
        <v>53</v>
      </c>
      <c r="E669" s="696" t="s">
        <v>5</v>
      </c>
      <c r="F669" s="689" t="s">
        <v>15273</v>
      </c>
      <c r="G669" s="747" t="s">
        <v>2473</v>
      </c>
      <c r="H669" s="687"/>
      <c r="I669" s="687"/>
      <c r="J669" s="692" t="s">
        <v>16126</v>
      </c>
      <c r="K669" s="687" t="s">
        <v>44</v>
      </c>
      <c r="L669" s="687" t="s">
        <v>25</v>
      </c>
      <c r="M669" s="748">
        <v>1</v>
      </c>
      <c r="N669" s="749">
        <v>1</v>
      </c>
      <c r="O669" s="747" t="s">
        <v>31</v>
      </c>
      <c r="P669" s="773">
        <v>21819</v>
      </c>
      <c r="Q669" s="747" t="s">
        <v>2474</v>
      </c>
      <c r="R669" s="747"/>
      <c r="S669" s="747" t="s">
        <v>6214</v>
      </c>
      <c r="T669" s="747" t="s">
        <v>2467</v>
      </c>
      <c r="U669" s="696"/>
      <c r="V669" s="696"/>
      <c r="W669" s="696"/>
      <c r="X669" s="696"/>
      <c r="Y669" s="696" t="s">
        <v>2467</v>
      </c>
      <c r="Z669" s="696"/>
      <c r="AA669" s="696"/>
      <c r="AB669" s="696"/>
      <c r="AC669" s="696"/>
      <c r="AD669" s="697"/>
      <c r="AE669" s="655"/>
    </row>
    <row r="670" spans="1:31" ht="12" customHeight="1">
      <c r="A670" s="937" t="s">
        <v>18219</v>
      </c>
      <c r="B670" s="4" t="s">
        <v>2469</v>
      </c>
      <c r="C670" s="1" t="s">
        <v>2475</v>
      </c>
      <c r="D670" s="1">
        <f t="shared" si="10"/>
        <v>57</v>
      </c>
      <c r="E670" s="2" t="s">
        <v>5</v>
      </c>
      <c r="F670" s="1" t="s">
        <v>15273</v>
      </c>
      <c r="J670" s="4" t="s">
        <v>16120</v>
      </c>
      <c r="K670" s="1" t="s">
        <v>30</v>
      </c>
      <c r="L670" s="1" t="s">
        <v>14</v>
      </c>
      <c r="M670" s="16">
        <v>3</v>
      </c>
      <c r="N670" s="17">
        <v>3</v>
      </c>
      <c r="O670" s="3" t="s">
        <v>2476</v>
      </c>
      <c r="P670" s="20">
        <v>20432</v>
      </c>
      <c r="Q670" s="3" t="s">
        <v>2477</v>
      </c>
      <c r="R670" s="3" t="s">
        <v>809</v>
      </c>
      <c r="S670" s="3" t="s">
        <v>5457</v>
      </c>
      <c r="T670" s="3" t="s">
        <v>2326</v>
      </c>
      <c r="U670" s="2" t="s">
        <v>47</v>
      </c>
      <c r="AD670" s="698"/>
      <c r="AE670" s="655"/>
    </row>
    <row r="671" spans="1:31" ht="12" customHeight="1">
      <c r="A671" s="937"/>
      <c r="B671" s="4" t="s">
        <v>2470</v>
      </c>
      <c r="C671" s="1" t="s">
        <v>2478</v>
      </c>
      <c r="D671" s="1">
        <f t="shared" si="10"/>
        <v>43</v>
      </c>
      <c r="E671" s="2" t="s">
        <v>5</v>
      </c>
      <c r="F671" s="1" t="s">
        <v>15273</v>
      </c>
      <c r="J671" s="4" t="s">
        <v>16125</v>
      </c>
      <c r="L671" s="1" t="s">
        <v>6</v>
      </c>
      <c r="O671" s="3" t="s">
        <v>2479</v>
      </c>
      <c r="P671" s="20">
        <v>25261</v>
      </c>
      <c r="Q671" s="3" t="s">
        <v>2480</v>
      </c>
      <c r="S671" s="3" t="s">
        <v>16093</v>
      </c>
      <c r="AD671" s="698"/>
      <c r="AE671" s="655"/>
    </row>
    <row r="672" spans="1:31" ht="12" customHeight="1" thickBot="1">
      <c r="A672" s="938"/>
      <c r="B672" s="700" t="s">
        <v>2471</v>
      </c>
      <c r="C672" s="699" t="s">
        <v>2481</v>
      </c>
      <c r="D672" s="699">
        <f t="shared" si="10"/>
        <v>58</v>
      </c>
      <c r="E672" s="702" t="s">
        <v>5</v>
      </c>
      <c r="F672" s="699"/>
      <c r="G672" s="703"/>
      <c r="H672" s="699"/>
      <c r="I672" s="699"/>
      <c r="J672" s="700" t="s">
        <v>16117</v>
      </c>
      <c r="K672" s="699"/>
      <c r="L672" s="699" t="s">
        <v>6</v>
      </c>
      <c r="M672" s="705"/>
      <c r="N672" s="706"/>
      <c r="O672" s="703" t="s">
        <v>2482</v>
      </c>
      <c r="P672" s="707">
        <v>19908</v>
      </c>
      <c r="Q672" s="703" t="s">
        <v>2483</v>
      </c>
      <c r="R672" s="703"/>
      <c r="S672" s="703"/>
      <c r="T672" s="703" t="s">
        <v>2312</v>
      </c>
      <c r="U672" s="702"/>
      <c r="V672" s="702"/>
      <c r="W672" s="702"/>
      <c r="X672" s="702"/>
      <c r="Y672" s="702"/>
      <c r="Z672" s="702"/>
      <c r="AA672" s="702"/>
      <c r="AB672" s="702"/>
      <c r="AC672" s="702"/>
      <c r="AD672" s="708" t="s">
        <v>2312</v>
      </c>
      <c r="AE672" s="655"/>
    </row>
    <row r="673" spans="1:31" ht="12" customHeight="1">
      <c r="A673" s="936" t="s">
        <v>18223</v>
      </c>
      <c r="B673" s="688" t="s">
        <v>2484</v>
      </c>
      <c r="C673" s="687" t="s">
        <v>5696</v>
      </c>
      <c r="D673" s="687">
        <f t="shared" si="10"/>
        <v>33</v>
      </c>
      <c r="E673" s="696" t="s">
        <v>5</v>
      </c>
      <c r="F673" s="689" t="s">
        <v>15273</v>
      </c>
      <c r="G673" s="747"/>
      <c r="H673" s="687"/>
      <c r="I673" s="687"/>
      <c r="J673" s="692" t="s">
        <v>16127</v>
      </c>
      <c r="K673" s="687" t="s">
        <v>44</v>
      </c>
      <c r="L673" s="687" t="s">
        <v>6</v>
      </c>
      <c r="M673" s="748"/>
      <c r="N673" s="749"/>
      <c r="O673" s="747" t="s">
        <v>1002</v>
      </c>
      <c r="P673" s="773">
        <v>29163</v>
      </c>
      <c r="Q673" s="747" t="s">
        <v>5833</v>
      </c>
      <c r="R673" s="747"/>
      <c r="S673" s="747"/>
      <c r="T673" s="747"/>
      <c r="U673" s="696"/>
      <c r="V673" s="696"/>
      <c r="W673" s="696"/>
      <c r="X673" s="696"/>
      <c r="Y673" s="696"/>
      <c r="Z673" s="696"/>
      <c r="AA673" s="696"/>
      <c r="AB673" s="696"/>
      <c r="AC673" s="696"/>
      <c r="AD673" s="697"/>
      <c r="AE673" s="655"/>
    </row>
    <row r="674" spans="1:31" ht="12" customHeight="1">
      <c r="A674" s="937" t="s">
        <v>18219</v>
      </c>
      <c r="B674" s="4" t="s">
        <v>2485</v>
      </c>
      <c r="C674" s="1" t="s">
        <v>2488</v>
      </c>
      <c r="D674" s="1">
        <f t="shared" si="10"/>
        <v>54</v>
      </c>
      <c r="E674" s="2" t="s">
        <v>5</v>
      </c>
      <c r="F674" s="1" t="s">
        <v>15273</v>
      </c>
      <c r="J674" s="8" t="s">
        <v>16120</v>
      </c>
      <c r="K674" s="1" t="s">
        <v>48</v>
      </c>
      <c r="L674" s="1" t="s">
        <v>14</v>
      </c>
      <c r="M674" s="16">
        <v>2</v>
      </c>
      <c r="N674" s="17">
        <v>2</v>
      </c>
      <c r="O674" s="3" t="s">
        <v>2422</v>
      </c>
      <c r="P674" s="20">
        <v>21398</v>
      </c>
      <c r="Q674" s="3" t="s">
        <v>2490</v>
      </c>
      <c r="R674" s="3" t="s">
        <v>2489</v>
      </c>
      <c r="T674" s="3" t="s">
        <v>104</v>
      </c>
      <c r="AA674" s="2" t="s">
        <v>2328</v>
      </c>
      <c r="AD674" s="698"/>
      <c r="AE674" s="655"/>
    </row>
    <row r="675" spans="1:31" ht="12" customHeight="1">
      <c r="A675" s="937" t="s">
        <v>18245</v>
      </c>
      <c r="B675" s="4" t="s">
        <v>2486</v>
      </c>
      <c r="C675" s="1" t="s">
        <v>2491</v>
      </c>
      <c r="D675" s="1">
        <f t="shared" si="10"/>
        <v>43</v>
      </c>
      <c r="E675" s="2" t="s">
        <v>5</v>
      </c>
      <c r="F675" s="1" t="s">
        <v>15273</v>
      </c>
      <c r="G675" s="3" t="s">
        <v>2492</v>
      </c>
      <c r="J675" s="4" t="s">
        <v>16125</v>
      </c>
      <c r="L675" s="1" t="s">
        <v>25</v>
      </c>
      <c r="M675" s="16">
        <v>1</v>
      </c>
      <c r="N675" s="17">
        <v>1</v>
      </c>
      <c r="O675" s="3" t="s">
        <v>188</v>
      </c>
      <c r="P675" s="20">
        <v>25189</v>
      </c>
      <c r="Q675" s="3" t="s">
        <v>2493</v>
      </c>
      <c r="S675" s="3" t="s">
        <v>16093</v>
      </c>
      <c r="T675" s="3" t="s">
        <v>2467</v>
      </c>
      <c r="Y675" s="2" t="s">
        <v>2467</v>
      </c>
      <c r="AD675" s="698"/>
      <c r="AE675" s="655"/>
    </row>
    <row r="676" spans="1:31" ht="12" customHeight="1">
      <c r="A676" s="937"/>
      <c r="B676" s="4" t="s">
        <v>2487</v>
      </c>
      <c r="C676" s="1" t="s">
        <v>2494</v>
      </c>
      <c r="D676" s="1">
        <f t="shared" si="10"/>
        <v>68</v>
      </c>
      <c r="E676" s="2" t="s">
        <v>5</v>
      </c>
      <c r="J676" s="4" t="s">
        <v>16117</v>
      </c>
      <c r="L676" s="1" t="s">
        <v>6</v>
      </c>
      <c r="O676" s="3" t="s">
        <v>2495</v>
      </c>
      <c r="P676" s="20">
        <v>16131</v>
      </c>
      <c r="Q676" s="3" t="s">
        <v>2496</v>
      </c>
      <c r="T676" s="3" t="s">
        <v>69</v>
      </c>
      <c r="AD676" s="698" t="s">
        <v>2312</v>
      </c>
      <c r="AE676" s="655"/>
    </row>
    <row r="677" spans="1:31" ht="12" customHeight="1" thickBot="1">
      <c r="A677" s="938"/>
      <c r="B677" s="700" t="s">
        <v>4340</v>
      </c>
      <c r="C677" s="699" t="s">
        <v>4341</v>
      </c>
      <c r="D677" s="699">
        <f t="shared" si="10"/>
        <v>40</v>
      </c>
      <c r="E677" s="702" t="s">
        <v>19</v>
      </c>
      <c r="F677" s="699" t="s">
        <v>15273</v>
      </c>
      <c r="G677" s="703"/>
      <c r="H677" s="699"/>
      <c r="I677" s="699"/>
      <c r="J677" s="700" t="s">
        <v>16121</v>
      </c>
      <c r="K677" s="699"/>
      <c r="L677" s="699" t="s">
        <v>6</v>
      </c>
      <c r="M677" s="705"/>
      <c r="N677" s="706"/>
      <c r="O677" s="703" t="s">
        <v>3899</v>
      </c>
      <c r="P677" s="707">
        <v>26311</v>
      </c>
      <c r="Q677" s="703" t="s">
        <v>4342</v>
      </c>
      <c r="R677" s="703"/>
      <c r="S677" s="703"/>
      <c r="T677" s="703"/>
      <c r="U677" s="702"/>
      <c r="V677" s="702"/>
      <c r="W677" s="702"/>
      <c r="X677" s="702"/>
      <c r="Y677" s="702"/>
      <c r="Z677" s="702"/>
      <c r="AA677" s="702"/>
      <c r="AB677" s="702"/>
      <c r="AC677" s="702"/>
      <c r="AD677" s="708"/>
      <c r="AE677" s="655"/>
    </row>
    <row r="678" spans="1:31" ht="12" customHeight="1">
      <c r="A678" s="936" t="s">
        <v>18245</v>
      </c>
      <c r="B678" s="688" t="s">
        <v>2544</v>
      </c>
      <c r="C678" s="687" t="s">
        <v>2549</v>
      </c>
      <c r="D678" s="687">
        <f t="shared" si="10"/>
        <v>33</v>
      </c>
      <c r="E678" s="696" t="s">
        <v>5</v>
      </c>
      <c r="F678" s="689" t="s">
        <v>15273</v>
      </c>
      <c r="G678" s="747" t="s">
        <v>2550</v>
      </c>
      <c r="H678" s="687"/>
      <c r="I678" s="687"/>
      <c r="J678" s="692" t="s">
        <v>16127</v>
      </c>
      <c r="K678" s="687" t="s">
        <v>44</v>
      </c>
      <c r="L678" s="687" t="s">
        <v>25</v>
      </c>
      <c r="M678" s="748">
        <v>1</v>
      </c>
      <c r="N678" s="749">
        <v>1</v>
      </c>
      <c r="O678" s="747" t="s">
        <v>2551</v>
      </c>
      <c r="P678" s="773">
        <v>29039</v>
      </c>
      <c r="Q678" s="747" t="s">
        <v>1962</v>
      </c>
      <c r="R678" s="747"/>
      <c r="S678" s="747"/>
      <c r="T678" s="747"/>
      <c r="U678" s="696"/>
      <c r="V678" s="696"/>
      <c r="W678" s="696"/>
      <c r="X678" s="696"/>
      <c r="Y678" s="696"/>
      <c r="Z678" s="696"/>
      <c r="AA678" s="696"/>
      <c r="AB678" s="696"/>
      <c r="AC678" s="696"/>
      <c r="AD678" s="697"/>
      <c r="AE678" s="655"/>
    </row>
    <row r="679" spans="1:31" ht="12" customHeight="1">
      <c r="A679" s="937" t="s">
        <v>18219</v>
      </c>
      <c r="B679" s="4" t="s">
        <v>2545</v>
      </c>
      <c r="C679" s="1" t="s">
        <v>2552</v>
      </c>
      <c r="D679" s="1">
        <f t="shared" si="10"/>
        <v>52</v>
      </c>
      <c r="E679" s="2" t="s">
        <v>19</v>
      </c>
      <c r="F679" s="1" t="s">
        <v>15273</v>
      </c>
      <c r="G679" s="3" t="s">
        <v>2553</v>
      </c>
      <c r="J679" s="4" t="s">
        <v>16120</v>
      </c>
      <c r="K679" s="1" t="s">
        <v>30</v>
      </c>
      <c r="L679" s="1" t="s">
        <v>25</v>
      </c>
      <c r="M679" s="16">
        <v>6</v>
      </c>
      <c r="N679" s="17">
        <v>6</v>
      </c>
      <c r="O679" s="3" t="s">
        <v>450</v>
      </c>
      <c r="P679" s="20">
        <v>22162</v>
      </c>
      <c r="Q679" s="3" t="s">
        <v>2554</v>
      </c>
      <c r="R679" s="3" t="s">
        <v>2556</v>
      </c>
      <c r="S679" s="3" t="s">
        <v>5457</v>
      </c>
      <c r="T679" s="3" t="s">
        <v>2561</v>
      </c>
      <c r="V679" s="2" t="s">
        <v>2542</v>
      </c>
      <c r="AA679" s="2" t="s">
        <v>2555</v>
      </c>
      <c r="AD679" s="698"/>
      <c r="AE679" s="655"/>
    </row>
    <row r="680" spans="1:31" ht="12" customHeight="1">
      <c r="A680" s="937" t="s">
        <v>18223</v>
      </c>
      <c r="B680" s="4" t="s">
        <v>2546</v>
      </c>
      <c r="C680" s="1" t="s">
        <v>2557</v>
      </c>
      <c r="D680" s="1">
        <f t="shared" si="10"/>
        <v>47</v>
      </c>
      <c r="E680" s="2" t="s">
        <v>19</v>
      </c>
      <c r="F680" s="1" t="s">
        <v>15273</v>
      </c>
      <c r="G680" s="3" t="s">
        <v>2558</v>
      </c>
      <c r="J680" s="4" t="s">
        <v>16125</v>
      </c>
      <c r="L680" s="1" t="s">
        <v>25</v>
      </c>
      <c r="M680" s="16">
        <v>1</v>
      </c>
      <c r="N680" s="17">
        <v>1</v>
      </c>
      <c r="O680" s="3" t="s">
        <v>2559</v>
      </c>
      <c r="P680" s="20">
        <v>23862</v>
      </c>
      <c r="Q680" s="3" t="s">
        <v>2560</v>
      </c>
      <c r="S680" s="3" t="s">
        <v>16093</v>
      </c>
      <c r="T680" s="3" t="s">
        <v>572</v>
      </c>
      <c r="V680" s="2" t="s">
        <v>2542</v>
      </c>
      <c r="AA680" s="2" t="s">
        <v>2555</v>
      </c>
      <c r="AD680" s="698"/>
      <c r="AE680" s="655"/>
    </row>
    <row r="681" spans="1:31" ht="12" customHeight="1">
      <c r="A681" s="937"/>
      <c r="B681" s="4" t="s">
        <v>2547</v>
      </c>
      <c r="C681" s="1" t="s">
        <v>2562</v>
      </c>
      <c r="D681" s="1">
        <f t="shared" si="10"/>
        <v>49</v>
      </c>
      <c r="E681" s="2" t="s">
        <v>5</v>
      </c>
      <c r="J681" s="4" t="s">
        <v>16117</v>
      </c>
      <c r="L681" s="1" t="s">
        <v>6</v>
      </c>
      <c r="O681" s="3" t="s">
        <v>2563</v>
      </c>
      <c r="P681" s="20">
        <v>23255</v>
      </c>
      <c r="Q681" s="3" t="s">
        <v>2564</v>
      </c>
      <c r="T681" s="3" t="s">
        <v>69</v>
      </c>
      <c r="AD681" s="698" t="s">
        <v>2565</v>
      </c>
      <c r="AE681" s="655"/>
    </row>
    <row r="682" spans="1:31" ht="12" customHeight="1" thickBot="1">
      <c r="A682" s="938"/>
      <c r="B682" s="700" t="s">
        <v>2548</v>
      </c>
      <c r="C682" s="699" t="s">
        <v>2566</v>
      </c>
      <c r="D682" s="699">
        <f t="shared" si="10"/>
        <v>56</v>
      </c>
      <c r="E682" s="702" t="s">
        <v>19</v>
      </c>
      <c r="F682" s="699"/>
      <c r="G682" s="703"/>
      <c r="H682" s="699"/>
      <c r="I682" s="699"/>
      <c r="J682" s="700" t="s">
        <v>16122</v>
      </c>
      <c r="K682" s="699" t="s">
        <v>22</v>
      </c>
      <c r="L682" s="699" t="s">
        <v>6</v>
      </c>
      <c r="M682" s="705"/>
      <c r="N682" s="706"/>
      <c r="O682" s="703" t="s">
        <v>2567</v>
      </c>
      <c r="P682" s="707">
        <v>20758</v>
      </c>
      <c r="Q682" s="703" t="s">
        <v>2569</v>
      </c>
      <c r="R682" s="703"/>
      <c r="S682" s="703"/>
      <c r="T682" s="703" t="s">
        <v>2568</v>
      </c>
      <c r="U682" s="702"/>
      <c r="V682" s="702"/>
      <c r="W682" s="702"/>
      <c r="X682" s="702"/>
      <c r="Y682" s="702" t="s">
        <v>2568</v>
      </c>
      <c r="Z682" s="702"/>
      <c r="AA682" s="702"/>
      <c r="AB682" s="702"/>
      <c r="AC682" s="702"/>
      <c r="AD682" s="708"/>
      <c r="AE682" s="655"/>
    </row>
    <row r="683" spans="1:31" ht="12" customHeight="1">
      <c r="A683" s="936" t="s">
        <v>18223</v>
      </c>
      <c r="B683" s="688" t="s">
        <v>2570</v>
      </c>
      <c r="C683" s="687" t="s">
        <v>5451</v>
      </c>
      <c r="D683" s="687">
        <f t="shared" si="10"/>
        <v>39</v>
      </c>
      <c r="E683" s="696" t="s">
        <v>5</v>
      </c>
      <c r="F683" s="689" t="s">
        <v>15273</v>
      </c>
      <c r="G683" s="747"/>
      <c r="H683" s="687"/>
      <c r="I683" s="687"/>
      <c r="J683" s="692" t="s">
        <v>16126</v>
      </c>
      <c r="K683" s="687" t="s">
        <v>44</v>
      </c>
      <c r="L683" s="687" t="s">
        <v>6</v>
      </c>
      <c r="M683" s="748"/>
      <c r="N683" s="749"/>
      <c r="O683" s="747" t="s">
        <v>5636</v>
      </c>
      <c r="P683" s="773">
        <v>26977</v>
      </c>
      <c r="Q683" s="747" t="s">
        <v>5452</v>
      </c>
      <c r="R683" s="747"/>
      <c r="S683" s="747" t="s">
        <v>6214</v>
      </c>
      <c r="T683" s="747"/>
      <c r="U683" s="696"/>
      <c r="V683" s="696"/>
      <c r="W683" s="696"/>
      <c r="X683" s="696"/>
      <c r="Y683" s="696"/>
      <c r="Z683" s="696"/>
      <c r="AA683" s="696"/>
      <c r="AB683" s="696"/>
      <c r="AC683" s="696"/>
      <c r="AD683" s="697"/>
      <c r="AE683" s="655"/>
    </row>
    <row r="684" spans="1:31" ht="12" customHeight="1">
      <c r="A684" s="937" t="s">
        <v>18218</v>
      </c>
      <c r="B684" s="4" t="s">
        <v>2571</v>
      </c>
      <c r="C684" s="1" t="s">
        <v>2576</v>
      </c>
      <c r="D684" s="1">
        <f t="shared" si="10"/>
        <v>49</v>
      </c>
      <c r="E684" s="2" t="s">
        <v>5</v>
      </c>
      <c r="F684" s="1" t="s">
        <v>15273</v>
      </c>
      <c r="G684" s="3" t="s">
        <v>2577</v>
      </c>
      <c r="J684" s="4" t="s">
        <v>16120</v>
      </c>
      <c r="K684" s="1" t="s">
        <v>30</v>
      </c>
      <c r="L684" s="1" t="s">
        <v>25</v>
      </c>
      <c r="M684" s="16">
        <v>5</v>
      </c>
      <c r="N684" s="17">
        <v>5</v>
      </c>
      <c r="O684" s="3" t="s">
        <v>2578</v>
      </c>
      <c r="P684" s="20">
        <v>23053</v>
      </c>
      <c r="Q684" s="3" t="s">
        <v>2579</v>
      </c>
      <c r="R684" s="3" t="s">
        <v>2582</v>
      </c>
      <c r="S684" s="3" t="s">
        <v>5457</v>
      </c>
      <c r="T684" s="3" t="s">
        <v>2580</v>
      </c>
      <c r="U684" s="2" t="s">
        <v>47</v>
      </c>
      <c r="AA684" s="2" t="s">
        <v>2555</v>
      </c>
      <c r="AB684" s="2" t="s">
        <v>2581</v>
      </c>
      <c r="AD684" s="698"/>
      <c r="AE684" s="655"/>
    </row>
    <row r="685" spans="1:31" ht="12" customHeight="1">
      <c r="A685" s="937" t="s">
        <v>18223</v>
      </c>
      <c r="B685" s="4" t="s">
        <v>2572</v>
      </c>
      <c r="C685" s="1" t="s">
        <v>2573</v>
      </c>
      <c r="D685" s="1">
        <f t="shared" si="10"/>
        <v>59</v>
      </c>
      <c r="E685" s="2" t="s">
        <v>5</v>
      </c>
      <c r="F685" s="1" t="s">
        <v>15273</v>
      </c>
      <c r="G685" s="3" t="s">
        <v>2574</v>
      </c>
      <c r="J685" s="4" t="s">
        <v>16125</v>
      </c>
      <c r="L685" s="1" t="s">
        <v>25</v>
      </c>
      <c r="M685" s="16">
        <v>1</v>
      </c>
      <c r="N685" s="17">
        <v>1</v>
      </c>
      <c r="O685" s="3" t="s">
        <v>1089</v>
      </c>
      <c r="P685" s="20">
        <v>19592</v>
      </c>
      <c r="Q685" s="3" t="s">
        <v>2575</v>
      </c>
      <c r="S685" s="3" t="s">
        <v>16093</v>
      </c>
      <c r="AD685" s="698"/>
      <c r="AE685" s="655"/>
    </row>
    <row r="686" spans="1:31" ht="12" customHeight="1" thickBot="1">
      <c r="A686" s="938"/>
      <c r="B686" s="700" t="s">
        <v>4575</v>
      </c>
      <c r="C686" s="699" t="s">
        <v>2583</v>
      </c>
      <c r="D686" s="699">
        <f t="shared" si="10"/>
        <v>53</v>
      </c>
      <c r="E686" s="702" t="s">
        <v>5</v>
      </c>
      <c r="F686" s="699"/>
      <c r="G686" s="703"/>
      <c r="H686" s="699"/>
      <c r="I686" s="699"/>
      <c r="J686" s="700" t="s">
        <v>16117</v>
      </c>
      <c r="K686" s="699"/>
      <c r="L686" s="699" t="s">
        <v>6</v>
      </c>
      <c r="M686" s="705"/>
      <c r="N686" s="706"/>
      <c r="O686" s="703" t="s">
        <v>2584</v>
      </c>
      <c r="P686" s="707">
        <v>21778</v>
      </c>
      <c r="Q686" s="703" t="s">
        <v>2585</v>
      </c>
      <c r="R686" s="703"/>
      <c r="S686" s="703"/>
      <c r="T686" s="703"/>
      <c r="U686" s="702"/>
      <c r="V686" s="702"/>
      <c r="W686" s="702"/>
      <c r="X686" s="702"/>
      <c r="Y686" s="702"/>
      <c r="Z686" s="702"/>
      <c r="AA686" s="702"/>
      <c r="AB686" s="702"/>
      <c r="AC686" s="702"/>
      <c r="AD686" s="708"/>
      <c r="AE686" s="655"/>
    </row>
    <row r="687" spans="1:31" ht="12" customHeight="1">
      <c r="A687" s="936" t="s">
        <v>18245</v>
      </c>
      <c r="B687" s="688" t="s">
        <v>2586</v>
      </c>
      <c r="C687" s="687" t="s">
        <v>2589</v>
      </c>
      <c r="D687" s="687">
        <f t="shared" si="10"/>
        <v>45</v>
      </c>
      <c r="E687" s="696" t="s">
        <v>5</v>
      </c>
      <c r="F687" s="689" t="s">
        <v>15273</v>
      </c>
      <c r="G687" s="747" t="s">
        <v>2590</v>
      </c>
      <c r="H687" s="687"/>
      <c r="I687" s="687"/>
      <c r="J687" s="692" t="s">
        <v>16127</v>
      </c>
      <c r="K687" s="687" t="s">
        <v>44</v>
      </c>
      <c r="L687" s="687" t="s">
        <v>25</v>
      </c>
      <c r="M687" s="748">
        <v>3</v>
      </c>
      <c r="N687" s="749">
        <v>3</v>
      </c>
      <c r="O687" s="747" t="s">
        <v>159</v>
      </c>
      <c r="P687" s="773">
        <v>24632</v>
      </c>
      <c r="Q687" s="747" t="s">
        <v>2591</v>
      </c>
      <c r="R687" s="747" t="s">
        <v>2592</v>
      </c>
      <c r="S687" s="747" t="s">
        <v>6214</v>
      </c>
      <c r="T687" s="747"/>
      <c r="U687" s="696"/>
      <c r="V687" s="696"/>
      <c r="W687" s="696"/>
      <c r="X687" s="696"/>
      <c r="Y687" s="696"/>
      <c r="Z687" s="696"/>
      <c r="AA687" s="696"/>
      <c r="AB687" s="696"/>
      <c r="AC687" s="696"/>
      <c r="AD687" s="697"/>
      <c r="AE687" s="655"/>
    </row>
    <row r="688" spans="1:31" ht="12" customHeight="1">
      <c r="A688" s="937" t="s">
        <v>18219</v>
      </c>
      <c r="B688" s="4" t="s">
        <v>2587</v>
      </c>
      <c r="C688" s="1" t="s">
        <v>2593</v>
      </c>
      <c r="D688" s="1">
        <f t="shared" si="10"/>
        <v>57</v>
      </c>
      <c r="E688" s="2" t="s">
        <v>5</v>
      </c>
      <c r="F688" s="1" t="s">
        <v>15273</v>
      </c>
      <c r="J688" s="8" t="s">
        <v>16120</v>
      </c>
      <c r="K688" s="1" t="s">
        <v>445</v>
      </c>
      <c r="L688" s="1" t="s">
        <v>14</v>
      </c>
      <c r="M688" s="16">
        <v>1</v>
      </c>
      <c r="N688" s="17">
        <v>1</v>
      </c>
      <c r="O688" s="3" t="s">
        <v>31</v>
      </c>
      <c r="P688" s="20">
        <v>20380</v>
      </c>
      <c r="Q688" s="3" t="s">
        <v>2594</v>
      </c>
      <c r="S688" s="3" t="s">
        <v>5889</v>
      </c>
      <c r="T688" s="3" t="s">
        <v>104</v>
      </c>
      <c r="AA688" s="2" t="s">
        <v>2555</v>
      </c>
      <c r="AD688" s="698"/>
      <c r="AE688" s="655"/>
    </row>
    <row r="689" spans="1:31" ht="12" customHeight="1">
      <c r="A689" s="937"/>
      <c r="B689" s="4" t="s">
        <v>2588</v>
      </c>
      <c r="C689" s="1" t="s">
        <v>15633</v>
      </c>
      <c r="D689" s="1">
        <f t="shared" si="10"/>
        <v>55</v>
      </c>
      <c r="E689" s="2" t="s">
        <v>5</v>
      </c>
      <c r="F689" s="1" t="s">
        <v>15273</v>
      </c>
      <c r="J689" s="4" t="s">
        <v>16125</v>
      </c>
      <c r="L689" s="1" t="s">
        <v>6</v>
      </c>
      <c r="O689" s="3" t="s">
        <v>245</v>
      </c>
      <c r="P689" s="20">
        <v>20891</v>
      </c>
      <c r="Q689" s="3" t="s">
        <v>16012</v>
      </c>
      <c r="S689" s="3" t="s">
        <v>16093</v>
      </c>
      <c r="AD689" s="698"/>
      <c r="AE689" s="655"/>
    </row>
    <row r="690" spans="1:31" ht="12" customHeight="1" thickBot="1">
      <c r="A690" s="938"/>
      <c r="B690" s="700" t="s">
        <v>15632</v>
      </c>
      <c r="C690" s="699" t="s">
        <v>4026</v>
      </c>
      <c r="D690" s="699">
        <f t="shared" si="10"/>
        <v>54</v>
      </c>
      <c r="E690" s="702" t="s">
        <v>5</v>
      </c>
      <c r="F690" s="699"/>
      <c r="G690" s="703"/>
      <c r="H690" s="699"/>
      <c r="I690" s="699"/>
      <c r="J690" s="700" t="s">
        <v>16117</v>
      </c>
      <c r="K690" s="699"/>
      <c r="L690" s="699" t="s">
        <v>6</v>
      </c>
      <c r="M690" s="705"/>
      <c r="N690" s="706"/>
      <c r="O690" s="703" t="s">
        <v>2820</v>
      </c>
      <c r="P690" s="707">
        <v>21247</v>
      </c>
      <c r="Q690" s="703" t="s">
        <v>4197</v>
      </c>
      <c r="R690" s="703"/>
      <c r="S690" s="703"/>
      <c r="T690" s="703"/>
      <c r="U690" s="702"/>
      <c r="V690" s="702"/>
      <c r="W690" s="702"/>
      <c r="X690" s="702"/>
      <c r="Y690" s="702"/>
      <c r="Z690" s="702"/>
      <c r="AA690" s="702"/>
      <c r="AB690" s="702"/>
      <c r="AC690" s="702"/>
      <c r="AD690" s="708"/>
      <c r="AE690" s="655"/>
    </row>
    <row r="691" spans="1:31" ht="12" customHeight="1">
      <c r="A691" s="936" t="s">
        <v>18223</v>
      </c>
      <c r="B691" s="688" t="s">
        <v>2595</v>
      </c>
      <c r="C691" s="687" t="s">
        <v>4027</v>
      </c>
      <c r="D691" s="687">
        <f t="shared" si="10"/>
        <v>25</v>
      </c>
      <c r="E691" s="696" t="s">
        <v>5</v>
      </c>
      <c r="F691" s="689" t="s">
        <v>15273</v>
      </c>
      <c r="G691" s="747"/>
      <c r="H691" s="687"/>
      <c r="I691" s="687"/>
      <c r="J691" s="692" t="s">
        <v>16127</v>
      </c>
      <c r="K691" s="687" t="s">
        <v>44</v>
      </c>
      <c r="L691" s="687" t="s">
        <v>6</v>
      </c>
      <c r="M691" s="748"/>
      <c r="N691" s="749"/>
      <c r="O691" s="747" t="s">
        <v>1089</v>
      </c>
      <c r="P691" s="773">
        <v>32038</v>
      </c>
      <c r="Q691" s="747" t="s">
        <v>4028</v>
      </c>
      <c r="R691" s="747"/>
      <c r="S691" s="747" t="s">
        <v>6214</v>
      </c>
      <c r="T691" s="747"/>
      <c r="U691" s="696"/>
      <c r="V691" s="696"/>
      <c r="W691" s="696"/>
      <c r="X691" s="696"/>
      <c r="Y691" s="696"/>
      <c r="Z691" s="696"/>
      <c r="AA691" s="696"/>
      <c r="AB691" s="696"/>
      <c r="AC691" s="696"/>
      <c r="AD691" s="697"/>
      <c r="AE691" s="655"/>
    </row>
    <row r="692" spans="1:31" ht="12" customHeight="1">
      <c r="A692" s="937" t="s">
        <v>18220</v>
      </c>
      <c r="B692" s="4" t="s">
        <v>2596</v>
      </c>
      <c r="C692" s="1" t="s">
        <v>2598</v>
      </c>
      <c r="D692" s="1">
        <f t="shared" si="10"/>
        <v>69</v>
      </c>
      <c r="E692" s="2" t="s">
        <v>5</v>
      </c>
      <c r="F692" s="1" t="s">
        <v>15273</v>
      </c>
      <c r="G692" s="3" t="s">
        <v>2599</v>
      </c>
      <c r="J692" s="4" t="s">
        <v>16120</v>
      </c>
      <c r="K692" s="1" t="s">
        <v>476</v>
      </c>
      <c r="L692" s="1" t="s">
        <v>25</v>
      </c>
      <c r="M692" s="16">
        <v>8</v>
      </c>
      <c r="N692" s="17">
        <v>8</v>
      </c>
      <c r="O692" s="3" t="s">
        <v>31</v>
      </c>
      <c r="P692" s="20">
        <v>15695</v>
      </c>
      <c r="Q692" s="3" t="s">
        <v>2600</v>
      </c>
      <c r="R692" s="3" t="s">
        <v>2601</v>
      </c>
      <c r="S692" s="3" t="s">
        <v>5457</v>
      </c>
      <c r="T692" s="3" t="s">
        <v>2555</v>
      </c>
      <c r="AA692" s="2" t="s">
        <v>2555</v>
      </c>
      <c r="AD692" s="698"/>
      <c r="AE692" s="655"/>
    </row>
    <row r="693" spans="1:31" ht="12" customHeight="1">
      <c r="A693" s="937" t="s">
        <v>18246</v>
      </c>
      <c r="B693" s="4" t="s">
        <v>2597</v>
      </c>
      <c r="C693" s="1" t="s">
        <v>4420</v>
      </c>
      <c r="D693" s="1">
        <f t="shared" si="10"/>
        <v>50</v>
      </c>
      <c r="E693" s="2" t="s">
        <v>5</v>
      </c>
      <c r="F693" s="1" t="s">
        <v>15273</v>
      </c>
      <c r="G693" s="3" t="s">
        <v>4421</v>
      </c>
      <c r="J693" s="4" t="s">
        <v>16116</v>
      </c>
      <c r="K693" s="1" t="s">
        <v>4422</v>
      </c>
      <c r="L693" s="1" t="s">
        <v>25</v>
      </c>
      <c r="M693" s="16">
        <v>1</v>
      </c>
      <c r="N693" s="17">
        <v>1</v>
      </c>
      <c r="O693" s="3" t="s">
        <v>450</v>
      </c>
      <c r="P693" s="21">
        <v>22698</v>
      </c>
      <c r="Q693" s="3" t="s">
        <v>2605</v>
      </c>
      <c r="S693" s="3" t="s">
        <v>18564</v>
      </c>
      <c r="AD693" s="698"/>
      <c r="AE693" s="655"/>
    </row>
    <row r="694" spans="1:31" ht="12" customHeight="1" thickBot="1">
      <c r="A694" s="938"/>
      <c r="B694" s="700" t="s">
        <v>4698</v>
      </c>
      <c r="C694" s="699" t="s">
        <v>2602</v>
      </c>
      <c r="D694" s="699">
        <f t="shared" si="10"/>
        <v>64</v>
      </c>
      <c r="E694" s="702" t="s">
        <v>5</v>
      </c>
      <c r="F694" s="699"/>
      <c r="G694" s="703"/>
      <c r="H694" s="699"/>
      <c r="I694" s="699"/>
      <c r="J694" s="700" t="s">
        <v>16117</v>
      </c>
      <c r="K694" s="699"/>
      <c r="L694" s="699" t="s">
        <v>6</v>
      </c>
      <c r="M694" s="705"/>
      <c r="N694" s="706"/>
      <c r="O694" s="703" t="s">
        <v>2603</v>
      </c>
      <c r="P694" s="723">
        <v>17567</v>
      </c>
      <c r="Q694" s="703" t="s">
        <v>2604</v>
      </c>
      <c r="R694" s="703"/>
      <c r="S694" s="703"/>
      <c r="T694" s="703" t="s">
        <v>2542</v>
      </c>
      <c r="U694" s="702"/>
      <c r="V694" s="702" t="s">
        <v>2542</v>
      </c>
      <c r="W694" s="702"/>
      <c r="X694" s="702"/>
      <c r="Y694" s="702"/>
      <c r="Z694" s="702"/>
      <c r="AA694" s="702"/>
      <c r="AB694" s="702"/>
      <c r="AC694" s="702"/>
      <c r="AD694" s="708"/>
      <c r="AE694" s="655"/>
    </row>
    <row r="695" spans="1:31" ht="12" customHeight="1">
      <c r="A695" s="936" t="s">
        <v>18245</v>
      </c>
      <c r="B695" s="688" t="s">
        <v>2606</v>
      </c>
      <c r="C695" s="687" t="s">
        <v>2610</v>
      </c>
      <c r="D695" s="687">
        <f t="shared" si="10"/>
        <v>49</v>
      </c>
      <c r="E695" s="696" t="s">
        <v>5</v>
      </c>
      <c r="F695" s="689" t="s">
        <v>15273</v>
      </c>
      <c r="G695" s="747" t="s">
        <v>2611</v>
      </c>
      <c r="H695" s="687"/>
      <c r="I695" s="687"/>
      <c r="J695" s="692" t="s">
        <v>16126</v>
      </c>
      <c r="K695" s="687" t="s">
        <v>44</v>
      </c>
      <c r="L695" s="687" t="s">
        <v>25</v>
      </c>
      <c r="M695" s="748">
        <v>1</v>
      </c>
      <c r="N695" s="749">
        <v>1</v>
      </c>
      <c r="O695" s="747" t="s">
        <v>188</v>
      </c>
      <c r="P695" s="773">
        <v>23183</v>
      </c>
      <c r="Q695" s="747" t="s">
        <v>2612</v>
      </c>
      <c r="R695" s="747"/>
      <c r="S695" s="747"/>
      <c r="T695" s="747" t="s">
        <v>2613</v>
      </c>
      <c r="U695" s="696" t="s">
        <v>2613</v>
      </c>
      <c r="V695" s="696"/>
      <c r="W695" s="696"/>
      <c r="X695" s="696"/>
      <c r="Y695" s="696"/>
      <c r="Z695" s="696"/>
      <c r="AA695" s="696"/>
      <c r="AB695" s="696"/>
      <c r="AC695" s="696"/>
      <c r="AD695" s="697"/>
      <c r="AE695" s="655"/>
    </row>
    <row r="696" spans="1:31" ht="12" customHeight="1">
      <c r="A696" s="937" t="s">
        <v>18219</v>
      </c>
      <c r="B696" s="4" t="s">
        <v>2607</v>
      </c>
      <c r="C696" s="1" t="s">
        <v>2614</v>
      </c>
      <c r="D696" s="1">
        <f t="shared" si="10"/>
        <v>60</v>
      </c>
      <c r="E696" s="2" t="s">
        <v>5</v>
      </c>
      <c r="F696" s="1" t="s">
        <v>15273</v>
      </c>
      <c r="G696" s="3" t="s">
        <v>2615</v>
      </c>
      <c r="J696" s="4" t="s">
        <v>16120</v>
      </c>
      <c r="K696" s="1" t="s">
        <v>30</v>
      </c>
      <c r="L696" s="1" t="s">
        <v>25</v>
      </c>
      <c r="M696" s="16">
        <v>7</v>
      </c>
      <c r="N696" s="17">
        <v>7</v>
      </c>
      <c r="O696" s="3" t="s">
        <v>451</v>
      </c>
      <c r="P696" s="20">
        <v>19299</v>
      </c>
      <c r="Q696" s="3" t="s">
        <v>2616</v>
      </c>
      <c r="R696" s="3" t="s">
        <v>2617</v>
      </c>
      <c r="S696" s="3" t="s">
        <v>5457</v>
      </c>
      <c r="T696" s="3" t="s">
        <v>2555</v>
      </c>
      <c r="AA696" s="2" t="s">
        <v>2555</v>
      </c>
      <c r="AD696" s="698"/>
      <c r="AE696" s="655"/>
    </row>
    <row r="697" spans="1:31" ht="12" customHeight="1">
      <c r="A697" s="937"/>
      <c r="B697" s="4" t="s">
        <v>2608</v>
      </c>
      <c r="C697" s="1" t="s">
        <v>2618</v>
      </c>
      <c r="D697" s="1">
        <f t="shared" si="10"/>
        <v>45</v>
      </c>
      <c r="E697" s="2" t="s">
        <v>5</v>
      </c>
      <c r="J697" s="4" t="s">
        <v>16117</v>
      </c>
      <c r="L697" s="1" t="s">
        <v>6</v>
      </c>
      <c r="O697" s="3" t="s">
        <v>2619</v>
      </c>
      <c r="P697" s="20">
        <v>24757</v>
      </c>
      <c r="Q697" s="3" t="s">
        <v>2620</v>
      </c>
      <c r="AD697" s="698"/>
      <c r="AE697" s="655"/>
    </row>
    <row r="698" spans="1:31" ht="12" customHeight="1" thickBot="1">
      <c r="A698" s="938"/>
      <c r="B698" s="700" t="s">
        <v>2609</v>
      </c>
      <c r="C698" s="699" t="s">
        <v>2621</v>
      </c>
      <c r="D698" s="699">
        <f t="shared" si="10"/>
        <v>52</v>
      </c>
      <c r="E698" s="702" t="s">
        <v>5</v>
      </c>
      <c r="F698" s="699"/>
      <c r="G698" s="703"/>
      <c r="H698" s="699"/>
      <c r="I698" s="699"/>
      <c r="J698" s="700" t="s">
        <v>16122</v>
      </c>
      <c r="K698" s="699" t="s">
        <v>22</v>
      </c>
      <c r="L698" s="699" t="s">
        <v>6</v>
      </c>
      <c r="M698" s="705"/>
      <c r="N698" s="706"/>
      <c r="O698" s="703" t="s">
        <v>2622</v>
      </c>
      <c r="P698" s="707">
        <v>22171</v>
      </c>
      <c r="Q698" s="703" t="s">
        <v>2623</v>
      </c>
      <c r="R698" s="703"/>
      <c r="S698" s="703"/>
      <c r="T698" s="703"/>
      <c r="U698" s="702"/>
      <c r="V698" s="702"/>
      <c r="W698" s="702"/>
      <c r="X698" s="702"/>
      <c r="Y698" s="702"/>
      <c r="Z698" s="702"/>
      <c r="AA698" s="702"/>
      <c r="AB698" s="702"/>
      <c r="AC698" s="702"/>
      <c r="AD698" s="708"/>
      <c r="AE698" s="655"/>
    </row>
    <row r="699" spans="1:31" ht="12" customHeight="1">
      <c r="A699" s="936" t="s">
        <v>18245</v>
      </c>
      <c r="B699" s="688" t="s">
        <v>2624</v>
      </c>
      <c r="C699" s="687" t="s">
        <v>2628</v>
      </c>
      <c r="D699" s="687">
        <f t="shared" si="10"/>
        <v>67</v>
      </c>
      <c r="E699" s="696" t="s">
        <v>5</v>
      </c>
      <c r="F699" s="689" t="s">
        <v>15273</v>
      </c>
      <c r="G699" s="747" t="s">
        <v>2629</v>
      </c>
      <c r="H699" s="687"/>
      <c r="I699" s="687"/>
      <c r="J699" s="692" t="s">
        <v>16127</v>
      </c>
      <c r="K699" s="687" t="s">
        <v>1656</v>
      </c>
      <c r="L699" s="687" t="s">
        <v>25</v>
      </c>
      <c r="M699" s="748">
        <v>4</v>
      </c>
      <c r="N699" s="749">
        <v>4</v>
      </c>
      <c r="O699" s="747" t="s">
        <v>381</v>
      </c>
      <c r="P699" s="773">
        <v>16561</v>
      </c>
      <c r="Q699" s="747" t="s">
        <v>2630</v>
      </c>
      <c r="R699" s="747" t="s">
        <v>2631</v>
      </c>
      <c r="S699" s="747" t="s">
        <v>6214</v>
      </c>
      <c r="T699" s="747" t="s">
        <v>2542</v>
      </c>
      <c r="U699" s="696"/>
      <c r="V699" s="696" t="s">
        <v>2542</v>
      </c>
      <c r="W699" s="696"/>
      <c r="X699" s="696"/>
      <c r="Y699" s="696"/>
      <c r="Z699" s="696"/>
      <c r="AA699" s="696"/>
      <c r="AB699" s="696"/>
      <c r="AC699" s="696"/>
      <c r="AD699" s="697"/>
      <c r="AE699" s="655"/>
    </row>
    <row r="700" spans="1:31" ht="12" customHeight="1">
      <c r="A700" s="937" t="s">
        <v>18219</v>
      </c>
      <c r="B700" s="4" t="s">
        <v>2625</v>
      </c>
      <c r="C700" s="1" t="s">
        <v>2632</v>
      </c>
      <c r="D700" s="1">
        <f t="shared" si="10"/>
        <v>59</v>
      </c>
      <c r="E700" s="2" t="s">
        <v>19</v>
      </c>
      <c r="F700" s="1" t="s">
        <v>15273</v>
      </c>
      <c r="J700" s="8" t="s">
        <v>16120</v>
      </c>
      <c r="K700" s="1" t="s">
        <v>476</v>
      </c>
      <c r="L700" s="1" t="s">
        <v>14</v>
      </c>
      <c r="M700" s="16">
        <v>3</v>
      </c>
      <c r="N700" s="17">
        <v>3</v>
      </c>
      <c r="O700" s="3" t="s">
        <v>255</v>
      </c>
      <c r="P700" s="20">
        <v>19419</v>
      </c>
      <c r="Q700" s="3" t="s">
        <v>2633</v>
      </c>
      <c r="R700" s="3" t="s">
        <v>2634</v>
      </c>
      <c r="S700" s="3" t="s">
        <v>5457</v>
      </c>
      <c r="AD700" s="698"/>
      <c r="AE700" s="655"/>
    </row>
    <row r="701" spans="1:31" ht="12" customHeight="1">
      <c r="A701" s="937" t="s">
        <v>18223</v>
      </c>
      <c r="B701" s="4" t="s">
        <v>2626</v>
      </c>
      <c r="C701" s="1" t="s">
        <v>5781</v>
      </c>
      <c r="D701" s="1">
        <f t="shared" si="10"/>
        <v>36</v>
      </c>
      <c r="E701" s="2" t="s">
        <v>5</v>
      </c>
      <c r="F701" s="1" t="s">
        <v>15273</v>
      </c>
      <c r="J701" s="4" t="s">
        <v>16116</v>
      </c>
      <c r="K701" s="1" t="s">
        <v>5779</v>
      </c>
      <c r="L701" s="1" t="s">
        <v>6</v>
      </c>
      <c r="O701" s="3" t="s">
        <v>188</v>
      </c>
      <c r="P701" s="20">
        <v>27952</v>
      </c>
      <c r="Q701" s="3" t="s">
        <v>2636</v>
      </c>
      <c r="T701" s="3" t="s">
        <v>5690</v>
      </c>
      <c r="V701" s="2" t="s">
        <v>5690</v>
      </c>
      <c r="AD701" s="698"/>
      <c r="AE701" s="655"/>
    </row>
    <row r="702" spans="1:31" ht="12" customHeight="1">
      <c r="A702" s="937" t="s">
        <v>18223</v>
      </c>
      <c r="B702" s="4" t="s">
        <v>2627</v>
      </c>
      <c r="C702" s="1" t="s">
        <v>2637</v>
      </c>
      <c r="D702" s="1">
        <f t="shared" si="10"/>
        <v>38</v>
      </c>
      <c r="E702" s="2" t="s">
        <v>5</v>
      </c>
      <c r="F702" s="1" t="s">
        <v>15273</v>
      </c>
      <c r="J702" s="4" t="s">
        <v>16128</v>
      </c>
      <c r="L702" s="1" t="s">
        <v>6</v>
      </c>
      <c r="O702" s="3" t="s">
        <v>2638</v>
      </c>
      <c r="P702" s="20">
        <v>27203</v>
      </c>
      <c r="Q702" s="3" t="s">
        <v>2639</v>
      </c>
      <c r="AD702" s="698"/>
      <c r="AE702" s="655"/>
    </row>
    <row r="703" spans="1:31" ht="12" customHeight="1" thickBot="1">
      <c r="A703" s="938"/>
      <c r="B703" s="700" t="s">
        <v>5780</v>
      </c>
      <c r="C703" s="699" t="s">
        <v>2635</v>
      </c>
      <c r="D703" s="699">
        <f t="shared" si="10"/>
        <v>61</v>
      </c>
      <c r="E703" s="702" t="s">
        <v>19</v>
      </c>
      <c r="F703" s="699"/>
      <c r="G703" s="703"/>
      <c r="H703" s="699"/>
      <c r="I703" s="699"/>
      <c r="J703" s="700" t="s">
        <v>16117</v>
      </c>
      <c r="K703" s="699"/>
      <c r="L703" s="699" t="s">
        <v>6</v>
      </c>
      <c r="M703" s="705"/>
      <c r="N703" s="706"/>
      <c r="O703" s="703" t="s">
        <v>1583</v>
      </c>
      <c r="P703" s="707">
        <v>18701</v>
      </c>
      <c r="Q703" s="703" t="s">
        <v>2636</v>
      </c>
      <c r="R703" s="703"/>
      <c r="S703" s="703"/>
      <c r="T703" s="703" t="s">
        <v>2542</v>
      </c>
      <c r="U703" s="702"/>
      <c r="V703" s="702" t="s">
        <v>2542</v>
      </c>
      <c r="W703" s="702"/>
      <c r="X703" s="702"/>
      <c r="Y703" s="702"/>
      <c r="Z703" s="702"/>
      <c r="AA703" s="702"/>
      <c r="AB703" s="702"/>
      <c r="AC703" s="702"/>
      <c r="AD703" s="708"/>
      <c r="AE703" s="655"/>
    </row>
    <row r="704" spans="1:31" ht="12" customHeight="1">
      <c r="A704" s="936" t="s">
        <v>18245</v>
      </c>
      <c r="B704" s="688" t="s">
        <v>2641</v>
      </c>
      <c r="C704" s="687" t="s">
        <v>2644</v>
      </c>
      <c r="D704" s="687">
        <f t="shared" si="10"/>
        <v>40</v>
      </c>
      <c r="E704" s="696" t="s">
        <v>5</v>
      </c>
      <c r="F704" s="689" t="s">
        <v>15273</v>
      </c>
      <c r="G704" s="747" t="s">
        <v>2645</v>
      </c>
      <c r="H704" s="687"/>
      <c r="I704" s="687"/>
      <c r="J704" s="692" t="s">
        <v>16127</v>
      </c>
      <c r="K704" s="687" t="s">
        <v>44</v>
      </c>
      <c r="L704" s="687" t="s">
        <v>25</v>
      </c>
      <c r="M704" s="748">
        <v>3</v>
      </c>
      <c r="N704" s="749">
        <v>3</v>
      </c>
      <c r="O704" s="747" t="s">
        <v>2646</v>
      </c>
      <c r="P704" s="773">
        <v>26323</v>
      </c>
      <c r="Q704" s="747" t="s">
        <v>2647</v>
      </c>
      <c r="R704" s="747" t="s">
        <v>2648</v>
      </c>
      <c r="S704" s="747" t="s">
        <v>6214</v>
      </c>
      <c r="T704" s="747"/>
      <c r="U704" s="696"/>
      <c r="V704" s="696"/>
      <c r="W704" s="696"/>
      <c r="X704" s="696"/>
      <c r="Y704" s="696"/>
      <c r="Z704" s="696"/>
      <c r="AA704" s="696"/>
      <c r="AB704" s="696"/>
      <c r="AC704" s="696"/>
      <c r="AD704" s="697"/>
      <c r="AE704" s="655"/>
    </row>
    <row r="705" spans="1:31" ht="12" customHeight="1">
      <c r="A705" s="937" t="s">
        <v>18219</v>
      </c>
      <c r="B705" s="4" t="s">
        <v>2642</v>
      </c>
      <c r="C705" s="1" t="s">
        <v>2649</v>
      </c>
      <c r="D705" s="1">
        <f t="shared" si="10"/>
        <v>36</v>
      </c>
      <c r="E705" s="2" t="s">
        <v>5</v>
      </c>
      <c r="F705" s="1" t="s">
        <v>15273</v>
      </c>
      <c r="J705" s="4" t="s">
        <v>16120</v>
      </c>
      <c r="K705" s="1" t="s">
        <v>30</v>
      </c>
      <c r="L705" s="1" t="s">
        <v>6</v>
      </c>
      <c r="O705" s="3" t="s">
        <v>1282</v>
      </c>
      <c r="P705" s="20">
        <v>27959</v>
      </c>
      <c r="Q705" s="3" t="s">
        <v>2651</v>
      </c>
      <c r="T705" s="3" t="s">
        <v>2650</v>
      </c>
      <c r="U705" s="2" t="s">
        <v>47</v>
      </c>
      <c r="AD705" s="698"/>
      <c r="AE705" s="655"/>
    </row>
    <row r="706" spans="1:31" ht="12" customHeight="1">
      <c r="A706" s="937" t="s">
        <v>18223</v>
      </c>
      <c r="B706" s="4" t="s">
        <v>2643</v>
      </c>
      <c r="C706" s="1" t="s">
        <v>5221</v>
      </c>
      <c r="D706" s="1">
        <f t="shared" ref="D706:D769" si="11">DATEDIF(P706,$P$1298,"Y")</f>
        <v>46</v>
      </c>
      <c r="E706" s="2" t="s">
        <v>5</v>
      </c>
      <c r="F706" s="1" t="s">
        <v>15273</v>
      </c>
      <c r="J706" s="4" t="s">
        <v>16116</v>
      </c>
      <c r="K706" s="1" t="s">
        <v>5198</v>
      </c>
      <c r="L706" s="1" t="s">
        <v>6</v>
      </c>
      <c r="O706" s="3" t="s">
        <v>1162</v>
      </c>
      <c r="P706" s="21">
        <v>24355</v>
      </c>
      <c r="Q706" s="3" t="s">
        <v>5222</v>
      </c>
      <c r="S706" s="3" t="s">
        <v>5948</v>
      </c>
      <c r="AD706" s="698"/>
      <c r="AE706" s="655"/>
    </row>
    <row r="707" spans="1:31" ht="12" customHeight="1" thickBot="1">
      <c r="A707" s="938"/>
      <c r="B707" s="700" t="s">
        <v>5220</v>
      </c>
      <c r="C707" s="699" t="s">
        <v>2652</v>
      </c>
      <c r="D707" s="699">
        <f t="shared" si="11"/>
        <v>60</v>
      </c>
      <c r="E707" s="702" t="s">
        <v>19</v>
      </c>
      <c r="F707" s="699"/>
      <c r="G707" s="703"/>
      <c r="H707" s="699"/>
      <c r="I707" s="699"/>
      <c r="J707" s="700" t="s">
        <v>16117</v>
      </c>
      <c r="K707" s="699"/>
      <c r="L707" s="699" t="s">
        <v>6</v>
      </c>
      <c r="M707" s="705"/>
      <c r="N707" s="706"/>
      <c r="O707" s="703" t="s">
        <v>2653</v>
      </c>
      <c r="P707" s="723">
        <v>19278</v>
      </c>
      <c r="Q707" s="703" t="s">
        <v>2654</v>
      </c>
      <c r="R707" s="703"/>
      <c r="S707" s="703"/>
      <c r="T707" s="703"/>
      <c r="U707" s="702"/>
      <c r="V707" s="702"/>
      <c r="W707" s="702"/>
      <c r="X707" s="702"/>
      <c r="Y707" s="702"/>
      <c r="Z707" s="702"/>
      <c r="AA707" s="702"/>
      <c r="AB707" s="702"/>
      <c r="AC707" s="702"/>
      <c r="AD707" s="708"/>
      <c r="AE707" s="655"/>
    </row>
    <row r="708" spans="1:31" ht="12" customHeight="1">
      <c r="A708" s="936" t="s">
        <v>18245</v>
      </c>
      <c r="B708" s="688" t="s">
        <v>2655</v>
      </c>
      <c r="C708" s="687" t="s">
        <v>2658</v>
      </c>
      <c r="D708" s="687">
        <f t="shared" si="11"/>
        <v>36</v>
      </c>
      <c r="E708" s="696" t="s">
        <v>5</v>
      </c>
      <c r="F708" s="689" t="s">
        <v>15273</v>
      </c>
      <c r="G708" s="747" t="s">
        <v>2659</v>
      </c>
      <c r="H708" s="687"/>
      <c r="I708" s="687"/>
      <c r="J708" s="692" t="s">
        <v>16126</v>
      </c>
      <c r="K708" s="687" t="s">
        <v>44</v>
      </c>
      <c r="L708" s="687" t="s">
        <v>25</v>
      </c>
      <c r="M708" s="748">
        <v>1</v>
      </c>
      <c r="N708" s="749">
        <v>1</v>
      </c>
      <c r="O708" s="747" t="s">
        <v>245</v>
      </c>
      <c r="P708" s="773">
        <v>27754</v>
      </c>
      <c r="Q708" s="747" t="s">
        <v>2660</v>
      </c>
      <c r="R708" s="747"/>
      <c r="S708" s="747" t="s">
        <v>6214</v>
      </c>
      <c r="T708" s="747" t="s">
        <v>2661</v>
      </c>
      <c r="U708" s="696"/>
      <c r="V708" s="696"/>
      <c r="W708" s="696"/>
      <c r="X708" s="696"/>
      <c r="Y708" s="696"/>
      <c r="Z708" s="696"/>
      <c r="AA708" s="696"/>
      <c r="AB708" s="696"/>
      <c r="AC708" s="696" t="s">
        <v>2661</v>
      </c>
      <c r="AD708" s="697"/>
      <c r="AE708" s="655"/>
    </row>
    <row r="709" spans="1:31" ht="12" customHeight="1">
      <c r="A709" s="937" t="s">
        <v>18219</v>
      </c>
      <c r="B709" s="4" t="s">
        <v>2656</v>
      </c>
      <c r="C709" s="1" t="s">
        <v>2662</v>
      </c>
      <c r="D709" s="1">
        <f t="shared" si="11"/>
        <v>37</v>
      </c>
      <c r="E709" s="2" t="s">
        <v>5</v>
      </c>
      <c r="F709" s="1" t="s">
        <v>15273</v>
      </c>
      <c r="J709" s="4" t="s">
        <v>16120</v>
      </c>
      <c r="K709" s="1" t="s">
        <v>30</v>
      </c>
      <c r="L709" s="1" t="s">
        <v>6</v>
      </c>
      <c r="O709" s="3" t="s">
        <v>2663</v>
      </c>
      <c r="P709" s="20">
        <v>27404</v>
      </c>
      <c r="Q709" s="3" t="s">
        <v>2664</v>
      </c>
      <c r="S709" s="3" t="s">
        <v>5889</v>
      </c>
      <c r="T709" s="3" t="s">
        <v>2665</v>
      </c>
      <c r="V709" s="2" t="s">
        <v>2665</v>
      </c>
      <c r="AD709" s="698"/>
      <c r="AE709" s="655"/>
    </row>
    <row r="710" spans="1:31" ht="12" customHeight="1">
      <c r="A710" s="937" t="s">
        <v>18245</v>
      </c>
      <c r="B710" s="4" t="s">
        <v>2657</v>
      </c>
      <c r="C710" s="1" t="s">
        <v>5193</v>
      </c>
      <c r="D710" s="1">
        <f t="shared" si="11"/>
        <v>63</v>
      </c>
      <c r="E710" s="2" t="s">
        <v>5</v>
      </c>
      <c r="F710" s="1" t="s">
        <v>15273</v>
      </c>
      <c r="J710" s="4" t="s">
        <v>16116</v>
      </c>
      <c r="K710" s="1" t="s">
        <v>5197</v>
      </c>
      <c r="L710" s="1" t="s">
        <v>6</v>
      </c>
      <c r="O710" s="3" t="s">
        <v>447</v>
      </c>
      <c r="P710" s="21">
        <v>18008</v>
      </c>
      <c r="Q710" s="3" t="s">
        <v>5194</v>
      </c>
      <c r="S710" s="3" t="s">
        <v>5948</v>
      </c>
      <c r="T710" s="3" t="s">
        <v>333</v>
      </c>
      <c r="U710" s="2" t="s">
        <v>47</v>
      </c>
      <c r="W710" s="2" t="s">
        <v>75</v>
      </c>
      <c r="AD710" s="698"/>
      <c r="AE710" s="655"/>
    </row>
    <row r="711" spans="1:31" ht="12" customHeight="1" thickBot="1">
      <c r="A711" s="938"/>
      <c r="B711" s="700" t="s">
        <v>4576</v>
      </c>
      <c r="C711" s="699" t="s">
        <v>2666</v>
      </c>
      <c r="D711" s="699">
        <f t="shared" si="11"/>
        <v>62</v>
      </c>
      <c r="E711" s="702" t="s">
        <v>5</v>
      </c>
      <c r="F711" s="699"/>
      <c r="G711" s="703"/>
      <c r="H711" s="699"/>
      <c r="I711" s="699"/>
      <c r="J711" s="700" t="s">
        <v>16117</v>
      </c>
      <c r="K711" s="699"/>
      <c r="L711" s="699" t="s">
        <v>6</v>
      </c>
      <c r="M711" s="705"/>
      <c r="N711" s="706"/>
      <c r="O711" s="703" t="s">
        <v>381</v>
      </c>
      <c r="P711" s="723">
        <v>18589</v>
      </c>
      <c r="Q711" s="703" t="s">
        <v>2667</v>
      </c>
      <c r="R711" s="703"/>
      <c r="S711" s="703"/>
      <c r="T711" s="703"/>
      <c r="U711" s="702"/>
      <c r="V711" s="702"/>
      <c r="W711" s="702"/>
      <c r="X711" s="702"/>
      <c r="Y711" s="702"/>
      <c r="Z711" s="702"/>
      <c r="AA711" s="702"/>
      <c r="AB711" s="702"/>
      <c r="AC711" s="702"/>
      <c r="AD711" s="708"/>
      <c r="AE711" s="655"/>
    </row>
    <row r="712" spans="1:31" ht="12" customHeight="1">
      <c r="A712" s="936" t="s">
        <v>18245</v>
      </c>
      <c r="B712" s="688" t="s">
        <v>2668</v>
      </c>
      <c r="C712" s="687" t="s">
        <v>2672</v>
      </c>
      <c r="D712" s="687">
        <f t="shared" si="11"/>
        <v>44</v>
      </c>
      <c r="E712" s="696" t="s">
        <v>5</v>
      </c>
      <c r="F712" s="689" t="s">
        <v>15273</v>
      </c>
      <c r="G712" s="747" t="s">
        <v>2673</v>
      </c>
      <c r="H712" s="687"/>
      <c r="I712" s="687"/>
      <c r="J712" s="692" t="s">
        <v>16127</v>
      </c>
      <c r="K712" s="687" t="s">
        <v>44</v>
      </c>
      <c r="L712" s="687" t="s">
        <v>25</v>
      </c>
      <c r="M712" s="748">
        <v>3</v>
      </c>
      <c r="N712" s="749">
        <v>3</v>
      </c>
      <c r="O712" s="747" t="s">
        <v>2663</v>
      </c>
      <c r="P712" s="773">
        <v>24916</v>
      </c>
      <c r="Q712" s="747" t="s">
        <v>2674</v>
      </c>
      <c r="R712" s="747" t="s">
        <v>2675</v>
      </c>
      <c r="S712" s="747" t="s">
        <v>6214</v>
      </c>
      <c r="T712" s="747" t="s">
        <v>2650</v>
      </c>
      <c r="U712" s="696" t="s">
        <v>47</v>
      </c>
      <c r="V712" s="696"/>
      <c r="W712" s="696"/>
      <c r="X712" s="696"/>
      <c r="Y712" s="696"/>
      <c r="Z712" s="696"/>
      <c r="AA712" s="696"/>
      <c r="AB712" s="696"/>
      <c r="AC712" s="696"/>
      <c r="AD712" s="697"/>
      <c r="AE712" s="655"/>
    </row>
    <row r="713" spans="1:31" ht="12" customHeight="1">
      <c r="A713" s="937" t="s">
        <v>18219</v>
      </c>
      <c r="B713" s="4" t="s">
        <v>2669</v>
      </c>
      <c r="C713" s="1" t="s">
        <v>2676</v>
      </c>
      <c r="D713" s="1">
        <f t="shared" si="11"/>
        <v>65</v>
      </c>
      <c r="E713" s="2" t="s">
        <v>5</v>
      </c>
      <c r="F713" s="1" t="s">
        <v>15273</v>
      </c>
      <c r="G713" s="3" t="s">
        <v>2677</v>
      </c>
      <c r="J713" s="8" t="s">
        <v>16120</v>
      </c>
      <c r="K713" s="1" t="s">
        <v>476</v>
      </c>
      <c r="L713" s="1" t="s">
        <v>25</v>
      </c>
      <c r="M713" s="16">
        <v>5</v>
      </c>
      <c r="N713" s="17">
        <v>5</v>
      </c>
      <c r="O713" s="3" t="s">
        <v>381</v>
      </c>
      <c r="P713" s="20">
        <v>17289</v>
      </c>
      <c r="Q713" s="3" t="s">
        <v>2678</v>
      </c>
      <c r="R713" s="3" t="s">
        <v>2679</v>
      </c>
      <c r="S713" s="3" t="s">
        <v>5457</v>
      </c>
      <c r="T713" s="3" t="s">
        <v>2665</v>
      </c>
      <c r="V713" s="2" t="s">
        <v>145</v>
      </c>
      <c r="AD713" s="698"/>
      <c r="AE713" s="655"/>
    </row>
    <row r="714" spans="1:31" ht="12" customHeight="1">
      <c r="A714" s="937" t="s">
        <v>18223</v>
      </c>
      <c r="B714" s="4" t="s">
        <v>2670</v>
      </c>
      <c r="C714" s="1" t="s">
        <v>2683</v>
      </c>
      <c r="D714" s="1">
        <f t="shared" si="11"/>
        <v>41</v>
      </c>
      <c r="E714" s="2" t="s">
        <v>19</v>
      </c>
      <c r="F714" s="1" t="s">
        <v>15273</v>
      </c>
      <c r="G714" s="3" t="s">
        <v>2684</v>
      </c>
      <c r="J714" s="4" t="s">
        <v>16125</v>
      </c>
      <c r="L714" s="1" t="s">
        <v>25</v>
      </c>
      <c r="M714" s="16">
        <v>1</v>
      </c>
      <c r="N714" s="17">
        <v>1</v>
      </c>
      <c r="O714" s="3" t="s">
        <v>983</v>
      </c>
      <c r="P714" s="20">
        <v>26245</v>
      </c>
      <c r="Q714" s="3" t="s">
        <v>2685</v>
      </c>
      <c r="S714" s="3" t="s">
        <v>16093</v>
      </c>
      <c r="AD714" s="698"/>
      <c r="AE714" s="655"/>
    </row>
    <row r="715" spans="1:31" ht="12" customHeight="1" thickBot="1">
      <c r="A715" s="938"/>
      <c r="B715" s="700" t="s">
        <v>2671</v>
      </c>
      <c r="C715" s="699" t="s">
        <v>2680</v>
      </c>
      <c r="D715" s="699">
        <f t="shared" si="11"/>
        <v>65</v>
      </c>
      <c r="E715" s="702" t="s">
        <v>5</v>
      </c>
      <c r="F715" s="699"/>
      <c r="G715" s="703"/>
      <c r="H715" s="699"/>
      <c r="I715" s="699"/>
      <c r="J715" s="700" t="s">
        <v>16117</v>
      </c>
      <c r="K715" s="699"/>
      <c r="L715" s="699" t="s">
        <v>6</v>
      </c>
      <c r="M715" s="705"/>
      <c r="N715" s="706"/>
      <c r="O715" s="703" t="s">
        <v>2682</v>
      </c>
      <c r="P715" s="723">
        <v>17385</v>
      </c>
      <c r="Q715" s="703" t="s">
        <v>2681</v>
      </c>
      <c r="R715" s="703"/>
      <c r="S715" s="703"/>
      <c r="T715" s="703"/>
      <c r="U715" s="702"/>
      <c r="V715" s="702"/>
      <c r="W715" s="702"/>
      <c r="X715" s="702"/>
      <c r="Y715" s="702"/>
      <c r="Z715" s="702"/>
      <c r="AA715" s="702"/>
      <c r="AB715" s="702"/>
      <c r="AC715" s="702"/>
      <c r="AD715" s="708"/>
      <c r="AE715" s="655"/>
    </row>
    <row r="716" spans="1:31" ht="12" customHeight="1">
      <c r="A716" s="936" t="s">
        <v>18219</v>
      </c>
      <c r="B716" s="688" t="s">
        <v>2686</v>
      </c>
      <c r="C716" s="687" t="s">
        <v>2689</v>
      </c>
      <c r="D716" s="687">
        <f t="shared" si="11"/>
        <v>41</v>
      </c>
      <c r="E716" s="696" t="s">
        <v>5</v>
      </c>
      <c r="F716" s="689" t="s">
        <v>15273</v>
      </c>
      <c r="G716" s="747" t="s">
        <v>2690</v>
      </c>
      <c r="H716" s="687"/>
      <c r="I716" s="687"/>
      <c r="J716" s="692" t="s">
        <v>16127</v>
      </c>
      <c r="K716" s="687" t="s">
        <v>44</v>
      </c>
      <c r="L716" s="687" t="s">
        <v>25</v>
      </c>
      <c r="M716" s="748">
        <v>4</v>
      </c>
      <c r="N716" s="749">
        <v>4</v>
      </c>
      <c r="O716" s="747" t="s">
        <v>2691</v>
      </c>
      <c r="P716" s="773">
        <v>26166</v>
      </c>
      <c r="Q716" s="747" t="s">
        <v>2692</v>
      </c>
      <c r="R716" s="747" t="s">
        <v>2693</v>
      </c>
      <c r="S716" s="747" t="s">
        <v>6214</v>
      </c>
      <c r="T716" s="747"/>
      <c r="U716" s="696"/>
      <c r="V716" s="696"/>
      <c r="W716" s="696"/>
      <c r="X716" s="696"/>
      <c r="Y716" s="696"/>
      <c r="Z716" s="696"/>
      <c r="AA716" s="696"/>
      <c r="AB716" s="696"/>
      <c r="AC716" s="696"/>
      <c r="AD716" s="697"/>
      <c r="AE716" s="655"/>
    </row>
    <row r="717" spans="1:31" ht="12" customHeight="1">
      <c r="A717" s="937" t="s">
        <v>18245</v>
      </c>
      <c r="B717" s="4" t="s">
        <v>2687</v>
      </c>
      <c r="C717" s="1" t="s">
        <v>2694</v>
      </c>
      <c r="D717" s="1">
        <f t="shared" si="11"/>
        <v>30</v>
      </c>
      <c r="E717" s="2" t="s">
        <v>5</v>
      </c>
      <c r="F717" s="1" t="s">
        <v>15273</v>
      </c>
      <c r="J717" s="4" t="s">
        <v>16120</v>
      </c>
      <c r="K717" s="1" t="s">
        <v>30</v>
      </c>
      <c r="L717" s="1" t="s">
        <v>6</v>
      </c>
      <c r="O717" s="3" t="s">
        <v>1879</v>
      </c>
      <c r="P717" s="20">
        <v>30048</v>
      </c>
      <c r="Q717" s="3" t="s">
        <v>2695</v>
      </c>
      <c r="AD717" s="698"/>
      <c r="AE717" s="655"/>
    </row>
    <row r="718" spans="1:31" ht="12" customHeight="1">
      <c r="A718" s="937"/>
      <c r="B718" s="4" t="s">
        <v>2688</v>
      </c>
      <c r="C718" s="1" t="s">
        <v>2696</v>
      </c>
      <c r="D718" s="1">
        <f t="shared" si="11"/>
        <v>56</v>
      </c>
      <c r="E718" s="2" t="s">
        <v>19</v>
      </c>
      <c r="J718" s="4" t="s">
        <v>16117</v>
      </c>
      <c r="L718" s="1" t="s">
        <v>6</v>
      </c>
      <c r="O718" s="3" t="s">
        <v>188</v>
      </c>
      <c r="P718" s="21">
        <v>20543</v>
      </c>
      <c r="Q718" s="3" t="s">
        <v>2697</v>
      </c>
      <c r="T718" s="3" t="s">
        <v>2665</v>
      </c>
      <c r="V718" s="2" t="s">
        <v>2665</v>
      </c>
      <c r="AD718" s="698"/>
      <c r="AE718" s="655"/>
    </row>
    <row r="719" spans="1:31" ht="12" customHeight="1" thickBot="1">
      <c r="A719" s="938"/>
      <c r="B719" s="700" t="s">
        <v>5803</v>
      </c>
      <c r="C719" s="699" t="s">
        <v>5804</v>
      </c>
      <c r="D719" s="699">
        <f t="shared" si="11"/>
        <v>58</v>
      </c>
      <c r="E719" s="702" t="s">
        <v>5</v>
      </c>
      <c r="F719" s="699"/>
      <c r="G719" s="703"/>
      <c r="H719" s="699"/>
      <c r="I719" s="699"/>
      <c r="J719" s="700" t="s">
        <v>16129</v>
      </c>
      <c r="K719" s="699"/>
      <c r="L719" s="699" t="s">
        <v>6</v>
      </c>
      <c r="M719" s="705"/>
      <c r="N719" s="706"/>
      <c r="O719" s="703" t="s">
        <v>150</v>
      </c>
      <c r="P719" s="723">
        <v>19895</v>
      </c>
      <c r="Q719" s="703" t="s">
        <v>16649</v>
      </c>
      <c r="R719" s="703"/>
      <c r="S719" s="703"/>
      <c r="T719" s="703"/>
      <c r="U719" s="702"/>
      <c r="V719" s="702"/>
      <c r="W719" s="702"/>
      <c r="X719" s="702"/>
      <c r="Y719" s="702"/>
      <c r="Z719" s="702"/>
      <c r="AA719" s="702"/>
      <c r="AB719" s="702"/>
      <c r="AC719" s="702"/>
      <c r="AD719" s="708"/>
      <c r="AE719" s="655"/>
    </row>
    <row r="720" spans="1:31" ht="12" customHeight="1">
      <c r="A720" s="936" t="s">
        <v>18219</v>
      </c>
      <c r="B720" s="688" t="s">
        <v>2698</v>
      </c>
      <c r="C720" s="687" t="s">
        <v>2701</v>
      </c>
      <c r="D720" s="687">
        <f t="shared" si="11"/>
        <v>51</v>
      </c>
      <c r="E720" s="696" t="s">
        <v>5</v>
      </c>
      <c r="F720" s="689" t="s">
        <v>15273</v>
      </c>
      <c r="G720" s="747" t="s">
        <v>2702</v>
      </c>
      <c r="H720" s="687"/>
      <c r="I720" s="687"/>
      <c r="J720" s="692" t="s">
        <v>16126</v>
      </c>
      <c r="K720" s="687" t="s">
        <v>2703</v>
      </c>
      <c r="L720" s="687" t="s">
        <v>25</v>
      </c>
      <c r="M720" s="748">
        <v>5</v>
      </c>
      <c r="N720" s="749">
        <v>5</v>
      </c>
      <c r="O720" s="747" t="s">
        <v>188</v>
      </c>
      <c r="P720" s="773">
        <v>22626</v>
      </c>
      <c r="Q720" s="747" t="s">
        <v>2704</v>
      </c>
      <c r="R720" s="747" t="s">
        <v>2707</v>
      </c>
      <c r="S720" s="747" t="s">
        <v>6214</v>
      </c>
      <c r="T720" s="747" t="s">
        <v>2711</v>
      </c>
      <c r="U720" s="696"/>
      <c r="V720" s="696" t="s">
        <v>2665</v>
      </c>
      <c r="W720" s="696"/>
      <c r="X720" s="696"/>
      <c r="Y720" s="696" t="s">
        <v>2705</v>
      </c>
      <c r="Z720" s="696"/>
      <c r="AA720" s="696" t="s">
        <v>2706</v>
      </c>
      <c r="AB720" s="696"/>
      <c r="AC720" s="696"/>
      <c r="AD720" s="697"/>
      <c r="AE720" s="655"/>
    </row>
    <row r="721" spans="1:31" ht="12" customHeight="1">
      <c r="A721" s="937" t="s">
        <v>18245</v>
      </c>
      <c r="B721" s="4" t="s">
        <v>2699</v>
      </c>
      <c r="C721" s="1" t="s">
        <v>2708</v>
      </c>
      <c r="D721" s="1">
        <f t="shared" si="11"/>
        <v>36</v>
      </c>
      <c r="E721" s="2" t="s">
        <v>5</v>
      </c>
      <c r="F721" s="1" t="s">
        <v>15273</v>
      </c>
      <c r="J721" s="4" t="s">
        <v>16120</v>
      </c>
      <c r="K721" s="1" t="s">
        <v>30</v>
      </c>
      <c r="L721" s="1" t="s">
        <v>6</v>
      </c>
      <c r="O721" s="3" t="s">
        <v>267</v>
      </c>
      <c r="P721" s="20">
        <v>27857</v>
      </c>
      <c r="Q721" s="3" t="s">
        <v>2709</v>
      </c>
      <c r="AD721" s="698"/>
      <c r="AE721" s="655"/>
    </row>
    <row r="722" spans="1:31" ht="12" customHeight="1">
      <c r="A722" s="937"/>
      <c r="B722" s="4" t="s">
        <v>2700</v>
      </c>
      <c r="C722" s="1" t="s">
        <v>5080</v>
      </c>
      <c r="D722" s="1">
        <f t="shared" si="11"/>
        <v>44</v>
      </c>
      <c r="E722" s="2" t="s">
        <v>5</v>
      </c>
      <c r="F722" s="1" t="s">
        <v>15273</v>
      </c>
      <c r="J722" s="4" t="s">
        <v>16125</v>
      </c>
      <c r="L722" s="1" t="s">
        <v>6</v>
      </c>
      <c r="O722" s="3" t="s">
        <v>447</v>
      </c>
      <c r="P722" s="20">
        <v>25057</v>
      </c>
      <c r="Q722" s="3" t="s">
        <v>5081</v>
      </c>
      <c r="S722" s="3" t="s">
        <v>16093</v>
      </c>
      <c r="AD722" s="698"/>
      <c r="AE722" s="655"/>
    </row>
    <row r="723" spans="1:31" ht="12" customHeight="1" thickBot="1">
      <c r="A723" s="938"/>
      <c r="B723" s="700" t="s">
        <v>5079</v>
      </c>
      <c r="C723" s="699" t="s">
        <v>2710</v>
      </c>
      <c r="D723" s="699">
        <f t="shared" si="11"/>
        <v>58</v>
      </c>
      <c r="E723" s="702" t="s">
        <v>5</v>
      </c>
      <c r="F723" s="699"/>
      <c r="G723" s="703"/>
      <c r="H723" s="699"/>
      <c r="I723" s="699"/>
      <c r="J723" s="700" t="s">
        <v>16117</v>
      </c>
      <c r="K723" s="699"/>
      <c r="L723" s="699" t="s">
        <v>6</v>
      </c>
      <c r="M723" s="705"/>
      <c r="N723" s="706"/>
      <c r="O723" s="703" t="s">
        <v>455</v>
      </c>
      <c r="P723" s="707">
        <v>19928</v>
      </c>
      <c r="Q723" s="703" t="s">
        <v>2712</v>
      </c>
      <c r="R723" s="703"/>
      <c r="S723" s="703"/>
      <c r="T723" s="703"/>
      <c r="U723" s="702"/>
      <c r="V723" s="702"/>
      <c r="W723" s="702"/>
      <c r="X723" s="702"/>
      <c r="Y723" s="702"/>
      <c r="Z723" s="702"/>
      <c r="AA723" s="702"/>
      <c r="AB723" s="702"/>
      <c r="AC723" s="702"/>
      <c r="AD723" s="708"/>
      <c r="AE723" s="655"/>
    </row>
    <row r="724" spans="1:31" ht="12" customHeight="1">
      <c r="A724" s="936" t="s">
        <v>18223</v>
      </c>
      <c r="B724" s="688" t="s">
        <v>2713</v>
      </c>
      <c r="C724" s="687" t="s">
        <v>2716</v>
      </c>
      <c r="D724" s="687">
        <f t="shared" si="11"/>
        <v>38</v>
      </c>
      <c r="E724" s="696" t="s">
        <v>5</v>
      </c>
      <c r="F724" s="689" t="s">
        <v>15273</v>
      </c>
      <c r="G724" s="747" t="s">
        <v>2717</v>
      </c>
      <c r="H724" s="687"/>
      <c r="I724" s="687"/>
      <c r="J724" s="692" t="s">
        <v>16127</v>
      </c>
      <c r="K724" s="687" t="s">
        <v>44</v>
      </c>
      <c r="L724" s="687" t="s">
        <v>25</v>
      </c>
      <c r="M724" s="748">
        <v>1</v>
      </c>
      <c r="N724" s="749">
        <v>1</v>
      </c>
      <c r="O724" s="747" t="s">
        <v>2663</v>
      </c>
      <c r="P724" s="773">
        <v>27162</v>
      </c>
      <c r="Q724" s="747" t="s">
        <v>2718</v>
      </c>
      <c r="R724" s="747"/>
      <c r="S724" s="747"/>
      <c r="T724" s="747" t="s">
        <v>2705</v>
      </c>
      <c r="U724" s="696"/>
      <c r="V724" s="696"/>
      <c r="W724" s="696"/>
      <c r="X724" s="696"/>
      <c r="Y724" s="696" t="s">
        <v>2705</v>
      </c>
      <c r="Z724" s="696"/>
      <c r="AA724" s="696"/>
      <c r="AB724" s="696"/>
      <c r="AC724" s="696"/>
      <c r="AD724" s="697"/>
      <c r="AE724" s="655"/>
    </row>
    <row r="725" spans="1:31" ht="12" customHeight="1">
      <c r="A725" s="937" t="s">
        <v>18218</v>
      </c>
      <c r="B725" s="4" t="s">
        <v>2714</v>
      </c>
      <c r="C725" s="1" t="s">
        <v>2719</v>
      </c>
      <c r="D725" s="1">
        <f t="shared" si="11"/>
        <v>47</v>
      </c>
      <c r="E725" s="2" t="s">
        <v>5</v>
      </c>
      <c r="F725" s="1" t="s">
        <v>15273</v>
      </c>
      <c r="G725" s="3" t="s">
        <v>2720</v>
      </c>
      <c r="J725" s="8" t="s">
        <v>16120</v>
      </c>
      <c r="K725" s="1" t="s">
        <v>30</v>
      </c>
      <c r="L725" s="1" t="s">
        <v>25</v>
      </c>
      <c r="M725" s="16">
        <v>2</v>
      </c>
      <c r="N725" s="17">
        <v>2</v>
      </c>
      <c r="O725" s="3" t="s">
        <v>2663</v>
      </c>
      <c r="P725" s="20">
        <v>23851</v>
      </c>
      <c r="Q725" s="3" t="s">
        <v>2721</v>
      </c>
      <c r="S725" s="3" t="s">
        <v>5457</v>
      </c>
      <c r="T725" s="3" t="s">
        <v>2650</v>
      </c>
      <c r="U725" s="2" t="s">
        <v>2650</v>
      </c>
      <c r="AD725" s="698"/>
      <c r="AE725" s="655"/>
    </row>
    <row r="726" spans="1:31" ht="12" customHeight="1">
      <c r="A726" s="937"/>
      <c r="B726" s="4" t="s">
        <v>2715</v>
      </c>
      <c r="C726" s="1" t="s">
        <v>6192</v>
      </c>
      <c r="D726" s="1">
        <f t="shared" si="11"/>
        <v>57</v>
      </c>
      <c r="E726" s="2" t="s">
        <v>5</v>
      </c>
      <c r="F726" s="1" t="s">
        <v>15273</v>
      </c>
      <c r="J726" s="4" t="s">
        <v>16125</v>
      </c>
      <c r="L726" s="1" t="s">
        <v>6</v>
      </c>
      <c r="O726" s="3" t="s">
        <v>1200</v>
      </c>
      <c r="P726" s="21">
        <v>20141</v>
      </c>
      <c r="Q726" s="3" t="s">
        <v>16013</v>
      </c>
      <c r="S726" s="3" t="s">
        <v>16093</v>
      </c>
      <c r="AD726" s="698"/>
      <c r="AE726" s="655"/>
    </row>
    <row r="727" spans="1:31" ht="12" customHeight="1">
      <c r="A727" s="937" t="s">
        <v>18223</v>
      </c>
      <c r="B727" s="4" t="s">
        <v>5607</v>
      </c>
      <c r="C727" s="1" t="s">
        <v>5608</v>
      </c>
      <c r="D727" s="1">
        <f t="shared" si="11"/>
        <v>37</v>
      </c>
      <c r="E727" s="2" t="s">
        <v>5</v>
      </c>
      <c r="F727" s="1" t="s">
        <v>15273</v>
      </c>
      <c r="J727" s="8" t="s">
        <v>16128</v>
      </c>
      <c r="L727" s="1" t="s">
        <v>6</v>
      </c>
      <c r="O727" s="3" t="s">
        <v>245</v>
      </c>
      <c r="P727" s="20">
        <v>27503</v>
      </c>
      <c r="Q727" s="3" t="s">
        <v>5609</v>
      </c>
      <c r="S727" s="3" t="s">
        <v>6031</v>
      </c>
      <c r="T727" s="3" t="s">
        <v>5521</v>
      </c>
      <c r="Z727" s="2" t="s">
        <v>5521</v>
      </c>
      <c r="AD727" s="698"/>
      <c r="AE727" s="655"/>
    </row>
    <row r="728" spans="1:31" ht="12" customHeight="1" thickBot="1">
      <c r="A728" s="938"/>
      <c r="B728" s="700" t="s">
        <v>6191</v>
      </c>
      <c r="C728" s="699" t="s">
        <v>5755</v>
      </c>
      <c r="D728" s="699">
        <f t="shared" si="11"/>
        <v>68</v>
      </c>
      <c r="E728" s="702" t="s">
        <v>5</v>
      </c>
      <c r="F728" s="699"/>
      <c r="G728" s="703"/>
      <c r="H728" s="699"/>
      <c r="I728" s="699"/>
      <c r="J728" s="700" t="s">
        <v>16117</v>
      </c>
      <c r="K728" s="699"/>
      <c r="L728" s="699" t="s">
        <v>6</v>
      </c>
      <c r="M728" s="705"/>
      <c r="N728" s="706"/>
      <c r="O728" s="703" t="s">
        <v>172</v>
      </c>
      <c r="P728" s="707">
        <v>16287</v>
      </c>
      <c r="Q728" s="703" t="s">
        <v>5756</v>
      </c>
      <c r="R728" s="703"/>
      <c r="S728" s="703"/>
      <c r="T728" s="703" t="s">
        <v>5757</v>
      </c>
      <c r="U728" s="702"/>
      <c r="V728" s="702" t="s">
        <v>145</v>
      </c>
      <c r="W728" s="702"/>
      <c r="X728" s="702"/>
      <c r="Y728" s="702"/>
      <c r="Z728" s="702"/>
      <c r="AA728" s="702"/>
      <c r="AB728" s="702"/>
      <c r="AC728" s="702"/>
      <c r="AD728" s="708" t="s">
        <v>5709</v>
      </c>
      <c r="AE728" s="655"/>
    </row>
    <row r="729" spans="1:31" ht="12" customHeight="1">
      <c r="A729" s="936" t="s">
        <v>18245</v>
      </c>
      <c r="B729" s="688" t="s">
        <v>2722</v>
      </c>
      <c r="C729" s="687" t="s">
        <v>2725</v>
      </c>
      <c r="D729" s="687">
        <f t="shared" si="11"/>
        <v>42</v>
      </c>
      <c r="E729" s="696" t="s">
        <v>5</v>
      </c>
      <c r="F729" s="689" t="s">
        <v>15273</v>
      </c>
      <c r="G729" s="747" t="s">
        <v>2726</v>
      </c>
      <c r="H729" s="687"/>
      <c r="I729" s="687"/>
      <c r="J729" s="692" t="s">
        <v>16127</v>
      </c>
      <c r="K729" s="687" t="s">
        <v>44</v>
      </c>
      <c r="L729" s="687" t="s">
        <v>25</v>
      </c>
      <c r="M729" s="748">
        <v>1</v>
      </c>
      <c r="N729" s="749">
        <v>1</v>
      </c>
      <c r="O729" s="747" t="s">
        <v>381</v>
      </c>
      <c r="P729" s="773">
        <v>25880</v>
      </c>
      <c r="Q729" s="747" t="s">
        <v>2727</v>
      </c>
      <c r="R729" s="747"/>
      <c r="S729" s="747" t="s">
        <v>6214</v>
      </c>
      <c r="T729" s="747" t="s">
        <v>2665</v>
      </c>
      <c r="U729" s="696"/>
      <c r="V729" s="696" t="s">
        <v>2665</v>
      </c>
      <c r="W729" s="696"/>
      <c r="X729" s="696"/>
      <c r="Y729" s="696"/>
      <c r="Z729" s="696"/>
      <c r="AA729" s="696"/>
      <c r="AB729" s="696"/>
      <c r="AC729" s="696"/>
      <c r="AD729" s="697"/>
      <c r="AE729" s="655"/>
    </row>
    <row r="730" spans="1:31" ht="12" customHeight="1">
      <c r="A730" s="937" t="s">
        <v>18219</v>
      </c>
      <c r="B730" s="4" t="s">
        <v>2723</v>
      </c>
      <c r="C730" s="1" t="s">
        <v>2728</v>
      </c>
      <c r="D730" s="1">
        <f t="shared" si="11"/>
        <v>62</v>
      </c>
      <c r="E730" s="2" t="s">
        <v>5</v>
      </c>
      <c r="F730" s="1" t="s">
        <v>15273</v>
      </c>
      <c r="G730" s="3" t="s">
        <v>2729</v>
      </c>
      <c r="J730" s="4" t="s">
        <v>16120</v>
      </c>
      <c r="K730" s="1" t="s">
        <v>48</v>
      </c>
      <c r="L730" s="1" t="s">
        <v>25</v>
      </c>
      <c r="M730" s="16">
        <v>6</v>
      </c>
      <c r="N730" s="17">
        <v>6</v>
      </c>
      <c r="O730" s="3" t="s">
        <v>2732</v>
      </c>
      <c r="P730" s="20">
        <v>18312</v>
      </c>
      <c r="Q730" s="3" t="s">
        <v>2731</v>
      </c>
      <c r="R730" s="3" t="s">
        <v>2730</v>
      </c>
      <c r="S730" s="3" t="s">
        <v>5457</v>
      </c>
      <c r="T730" s="3" t="s">
        <v>2706</v>
      </c>
      <c r="AA730" s="2" t="s">
        <v>2706</v>
      </c>
      <c r="AD730" s="698"/>
      <c r="AE730" s="655"/>
    </row>
    <row r="731" spans="1:31" ht="12" customHeight="1">
      <c r="A731" s="937"/>
      <c r="B731" s="4" t="s">
        <v>2724</v>
      </c>
      <c r="C731" s="1" t="s">
        <v>5083</v>
      </c>
      <c r="D731" s="1">
        <f t="shared" si="11"/>
        <v>26</v>
      </c>
      <c r="E731" s="2" t="s">
        <v>5</v>
      </c>
      <c r="F731" s="1" t="s">
        <v>15273</v>
      </c>
      <c r="J731" s="4" t="s">
        <v>16125</v>
      </c>
      <c r="L731" s="1" t="s">
        <v>6</v>
      </c>
      <c r="O731" s="3" t="s">
        <v>31</v>
      </c>
      <c r="P731" s="20">
        <v>31697</v>
      </c>
      <c r="Q731" s="3" t="s">
        <v>750</v>
      </c>
      <c r="S731" s="3" t="s">
        <v>16093</v>
      </c>
      <c r="AD731" s="698"/>
      <c r="AE731" s="655"/>
    </row>
    <row r="732" spans="1:31" ht="12" customHeight="1">
      <c r="A732" s="937" t="s">
        <v>18245</v>
      </c>
      <c r="B732" s="4" t="s">
        <v>5015</v>
      </c>
      <c r="C732" s="1" t="s">
        <v>5016</v>
      </c>
      <c r="D732" s="1">
        <f t="shared" si="11"/>
        <v>39</v>
      </c>
      <c r="E732" s="2" t="s">
        <v>5</v>
      </c>
      <c r="F732" s="1" t="s">
        <v>15273</v>
      </c>
      <c r="J732" s="4" t="s">
        <v>16116</v>
      </c>
      <c r="K732" s="1" t="s">
        <v>5017</v>
      </c>
      <c r="L732" s="1" t="s">
        <v>6</v>
      </c>
      <c r="O732" s="3" t="s">
        <v>5018</v>
      </c>
      <c r="P732" s="20">
        <v>26654</v>
      </c>
      <c r="Q732" s="3" t="s">
        <v>5019</v>
      </c>
      <c r="S732" s="3" t="s">
        <v>5948</v>
      </c>
      <c r="T732" s="3" t="s">
        <v>5020</v>
      </c>
      <c r="V732" s="2" t="s">
        <v>4925</v>
      </c>
      <c r="AC732" s="2" t="s">
        <v>4933</v>
      </c>
      <c r="AD732" s="698"/>
      <c r="AE732" s="655"/>
    </row>
    <row r="733" spans="1:31" ht="12" customHeight="1" thickBot="1">
      <c r="A733" s="938"/>
      <c r="B733" s="700" t="s">
        <v>5082</v>
      </c>
      <c r="C733" s="699" t="s">
        <v>2733</v>
      </c>
      <c r="D733" s="699">
        <f t="shared" si="11"/>
        <v>58</v>
      </c>
      <c r="E733" s="702" t="s">
        <v>5</v>
      </c>
      <c r="F733" s="699"/>
      <c r="G733" s="703"/>
      <c r="H733" s="699"/>
      <c r="I733" s="699"/>
      <c r="J733" s="700" t="s">
        <v>16117</v>
      </c>
      <c r="K733" s="699"/>
      <c r="L733" s="699" t="s">
        <v>14</v>
      </c>
      <c r="M733" s="705">
        <v>1</v>
      </c>
      <c r="N733" s="706">
        <v>1</v>
      </c>
      <c r="O733" s="703" t="s">
        <v>2734</v>
      </c>
      <c r="P733" s="707">
        <v>19851</v>
      </c>
      <c r="Q733" s="703" t="s">
        <v>2736</v>
      </c>
      <c r="R733" s="703"/>
      <c r="S733" s="703"/>
      <c r="T733" s="703" t="s">
        <v>69</v>
      </c>
      <c r="U733" s="702"/>
      <c r="V733" s="702"/>
      <c r="W733" s="702"/>
      <c r="X733" s="702"/>
      <c r="Y733" s="702"/>
      <c r="Z733" s="702"/>
      <c r="AA733" s="702"/>
      <c r="AB733" s="702"/>
      <c r="AC733" s="702"/>
      <c r="AD733" s="708" t="s">
        <v>2735</v>
      </c>
      <c r="AE733" s="655"/>
    </row>
    <row r="734" spans="1:31" ht="12" customHeight="1">
      <c r="A734" s="936" t="s">
        <v>18245</v>
      </c>
      <c r="B734" s="688" t="s">
        <v>2737</v>
      </c>
      <c r="C734" s="687" t="s">
        <v>2743</v>
      </c>
      <c r="D734" s="687">
        <f t="shared" si="11"/>
        <v>38</v>
      </c>
      <c r="E734" s="696" t="s">
        <v>5</v>
      </c>
      <c r="F734" s="689" t="s">
        <v>15273</v>
      </c>
      <c r="G734" s="747" t="s">
        <v>2744</v>
      </c>
      <c r="H734" s="687"/>
      <c r="I734" s="687"/>
      <c r="J734" s="692" t="s">
        <v>16126</v>
      </c>
      <c r="K734" s="687" t="s">
        <v>44</v>
      </c>
      <c r="L734" s="687" t="s">
        <v>25</v>
      </c>
      <c r="M734" s="748">
        <v>1</v>
      </c>
      <c r="N734" s="749">
        <v>1</v>
      </c>
      <c r="O734" s="747" t="s">
        <v>2745</v>
      </c>
      <c r="P734" s="773">
        <v>27347</v>
      </c>
      <c r="Q734" s="747" t="s">
        <v>2746</v>
      </c>
      <c r="R734" s="747"/>
      <c r="S734" s="747" t="s">
        <v>6214</v>
      </c>
      <c r="T734" s="747"/>
      <c r="U734" s="696"/>
      <c r="V734" s="696"/>
      <c r="W734" s="696"/>
      <c r="X734" s="696"/>
      <c r="Y734" s="696"/>
      <c r="Z734" s="696"/>
      <c r="AA734" s="696"/>
      <c r="AB734" s="696"/>
      <c r="AC734" s="696"/>
      <c r="AD734" s="697"/>
      <c r="AE734" s="655"/>
    </row>
    <row r="735" spans="1:31" ht="12" customHeight="1">
      <c r="A735" s="937" t="s">
        <v>18219</v>
      </c>
      <c r="B735" s="4" t="s">
        <v>2738</v>
      </c>
      <c r="C735" s="1" t="s">
        <v>2747</v>
      </c>
      <c r="D735" s="1">
        <f t="shared" si="11"/>
        <v>48</v>
      </c>
      <c r="E735" s="2" t="s">
        <v>5</v>
      </c>
      <c r="F735" s="1" t="s">
        <v>15273</v>
      </c>
      <c r="J735" s="4" t="s">
        <v>16120</v>
      </c>
      <c r="K735" s="1" t="s">
        <v>30</v>
      </c>
      <c r="L735" s="1" t="s">
        <v>6</v>
      </c>
      <c r="O735" s="3" t="s">
        <v>2748</v>
      </c>
      <c r="P735" s="20">
        <v>23617</v>
      </c>
      <c r="Q735" s="3" t="s">
        <v>2749</v>
      </c>
      <c r="S735" s="3" t="s">
        <v>5457</v>
      </c>
      <c r="T735" s="3" t="s">
        <v>2665</v>
      </c>
      <c r="V735" s="2" t="s">
        <v>2665</v>
      </c>
      <c r="AD735" s="698"/>
      <c r="AE735" s="655"/>
    </row>
    <row r="736" spans="1:31" ht="12" customHeight="1">
      <c r="A736" s="937" t="s">
        <v>18245</v>
      </c>
      <c r="B736" s="4" t="s">
        <v>2739</v>
      </c>
      <c r="C736" s="1" t="s">
        <v>2753</v>
      </c>
      <c r="D736" s="1">
        <f t="shared" si="11"/>
        <v>49</v>
      </c>
      <c r="E736" s="2" t="s">
        <v>19</v>
      </c>
      <c r="F736" s="1" t="s">
        <v>15273</v>
      </c>
      <c r="G736" s="3" t="s">
        <v>2754</v>
      </c>
      <c r="J736" s="4" t="s">
        <v>16125</v>
      </c>
      <c r="L736" s="1" t="s">
        <v>25</v>
      </c>
      <c r="M736" s="16">
        <v>1</v>
      </c>
      <c r="N736" s="17">
        <v>1</v>
      </c>
      <c r="O736" s="3" t="s">
        <v>2755</v>
      </c>
      <c r="P736" s="20">
        <v>23017</v>
      </c>
      <c r="Q736" s="3" t="s">
        <v>2756</v>
      </c>
      <c r="R736" s="3" t="s">
        <v>5544</v>
      </c>
      <c r="S736" s="3" t="s">
        <v>16093</v>
      </c>
      <c r="T736" s="3" t="s">
        <v>2665</v>
      </c>
      <c r="V736" s="2" t="s">
        <v>2665</v>
      </c>
      <c r="AD736" s="698"/>
      <c r="AE736" s="655"/>
    </row>
    <row r="737" spans="1:31" ht="12" customHeight="1" thickBot="1">
      <c r="A737" s="938"/>
      <c r="B737" s="700" t="s">
        <v>2740</v>
      </c>
      <c r="C737" s="699" t="s">
        <v>2750</v>
      </c>
      <c r="D737" s="699">
        <f t="shared" si="11"/>
        <v>49</v>
      </c>
      <c r="E737" s="702" t="s">
        <v>5</v>
      </c>
      <c r="F737" s="699"/>
      <c r="G737" s="703"/>
      <c r="H737" s="699"/>
      <c r="I737" s="699"/>
      <c r="J737" s="700" t="s">
        <v>16117</v>
      </c>
      <c r="K737" s="699"/>
      <c r="L737" s="699" t="s">
        <v>6</v>
      </c>
      <c r="M737" s="705"/>
      <c r="N737" s="706"/>
      <c r="O737" s="703" t="s">
        <v>2751</v>
      </c>
      <c r="P737" s="707">
        <v>23260</v>
      </c>
      <c r="Q737" s="703" t="s">
        <v>2752</v>
      </c>
      <c r="R737" s="703"/>
      <c r="S737" s="703"/>
      <c r="T737" s="703"/>
      <c r="U737" s="702"/>
      <c r="V737" s="702"/>
      <c r="W737" s="702"/>
      <c r="X737" s="702"/>
      <c r="Y737" s="702"/>
      <c r="Z737" s="702"/>
      <c r="AA737" s="702"/>
      <c r="AB737" s="702"/>
      <c r="AC737" s="702"/>
      <c r="AD737" s="708"/>
      <c r="AE737" s="655"/>
    </row>
    <row r="738" spans="1:31" ht="12" customHeight="1">
      <c r="A738" s="936" t="s">
        <v>18219</v>
      </c>
      <c r="B738" s="688" t="s">
        <v>2757</v>
      </c>
      <c r="C738" s="687" t="s">
        <v>2761</v>
      </c>
      <c r="D738" s="687">
        <f t="shared" si="11"/>
        <v>47</v>
      </c>
      <c r="E738" s="696" t="s">
        <v>5</v>
      </c>
      <c r="F738" s="689" t="s">
        <v>15273</v>
      </c>
      <c r="G738" s="747" t="s">
        <v>2762</v>
      </c>
      <c r="H738" s="687"/>
      <c r="I738" s="687"/>
      <c r="J738" s="692" t="s">
        <v>16127</v>
      </c>
      <c r="K738" s="687" t="s">
        <v>44</v>
      </c>
      <c r="L738" s="687" t="s">
        <v>25</v>
      </c>
      <c r="M738" s="748">
        <v>5</v>
      </c>
      <c r="N738" s="749">
        <v>5</v>
      </c>
      <c r="O738" s="747" t="s">
        <v>2663</v>
      </c>
      <c r="P738" s="773">
        <v>24082</v>
      </c>
      <c r="Q738" s="747" t="s">
        <v>2764</v>
      </c>
      <c r="R738" s="747" t="s">
        <v>2763</v>
      </c>
      <c r="S738" s="747" t="s">
        <v>6214</v>
      </c>
      <c r="T738" s="747" t="s">
        <v>2650</v>
      </c>
      <c r="U738" s="696" t="s">
        <v>47</v>
      </c>
      <c r="V738" s="696"/>
      <c r="W738" s="696"/>
      <c r="X738" s="696"/>
      <c r="Y738" s="696"/>
      <c r="Z738" s="696"/>
      <c r="AA738" s="696"/>
      <c r="AB738" s="696"/>
      <c r="AC738" s="696"/>
      <c r="AD738" s="697"/>
      <c r="AE738" s="655"/>
    </row>
    <row r="739" spans="1:31" ht="12" customHeight="1">
      <c r="A739" s="937" t="s">
        <v>18245</v>
      </c>
      <c r="B739" s="4" t="s">
        <v>2758</v>
      </c>
      <c r="C739" s="1" t="s">
        <v>5691</v>
      </c>
      <c r="D739" s="1">
        <f t="shared" si="11"/>
        <v>41</v>
      </c>
      <c r="E739" s="2" t="s">
        <v>5</v>
      </c>
      <c r="F739" s="1" t="s">
        <v>15273</v>
      </c>
      <c r="J739" s="8" t="s">
        <v>16120</v>
      </c>
      <c r="K739" s="1" t="s">
        <v>30</v>
      </c>
      <c r="L739" s="1" t="s">
        <v>6</v>
      </c>
      <c r="O739" s="3" t="s">
        <v>245</v>
      </c>
      <c r="P739" s="20">
        <v>26040</v>
      </c>
      <c r="Q739" s="3" t="s">
        <v>5692</v>
      </c>
      <c r="T739" s="3" t="s">
        <v>5690</v>
      </c>
      <c r="V739" s="2" t="s">
        <v>5690</v>
      </c>
      <c r="AD739" s="698"/>
      <c r="AE739" s="655"/>
    </row>
    <row r="740" spans="1:31" ht="12" customHeight="1">
      <c r="A740" s="937" t="s">
        <v>18223</v>
      </c>
      <c r="B740" s="4" t="s">
        <v>2759</v>
      </c>
      <c r="C740" s="1" t="s">
        <v>6033</v>
      </c>
      <c r="D740" s="1">
        <f t="shared" si="11"/>
        <v>51</v>
      </c>
      <c r="E740" s="2" t="s">
        <v>5</v>
      </c>
      <c r="F740" s="1" t="s">
        <v>15273</v>
      </c>
      <c r="J740" s="4" t="s">
        <v>16125</v>
      </c>
      <c r="L740" s="1" t="s">
        <v>6</v>
      </c>
      <c r="O740" s="3" t="s">
        <v>16014</v>
      </c>
      <c r="P740" s="20">
        <v>22446</v>
      </c>
      <c r="Q740" s="3" t="s">
        <v>16015</v>
      </c>
      <c r="S740" s="3" t="s">
        <v>16093</v>
      </c>
      <c r="AD740" s="698"/>
      <c r="AE740" s="655"/>
    </row>
    <row r="741" spans="1:31" ht="12" customHeight="1" thickBot="1">
      <c r="A741" s="938"/>
      <c r="B741" s="700" t="s">
        <v>2760</v>
      </c>
      <c r="C741" s="699" t="s">
        <v>2765</v>
      </c>
      <c r="D741" s="699">
        <f t="shared" si="11"/>
        <v>64</v>
      </c>
      <c r="E741" s="702" t="s">
        <v>5</v>
      </c>
      <c r="F741" s="699"/>
      <c r="G741" s="703"/>
      <c r="H741" s="699"/>
      <c r="I741" s="699"/>
      <c r="J741" s="700" t="s">
        <v>16117</v>
      </c>
      <c r="K741" s="699"/>
      <c r="L741" s="699" t="s">
        <v>6</v>
      </c>
      <c r="M741" s="705"/>
      <c r="N741" s="706"/>
      <c r="O741" s="703" t="s">
        <v>16110</v>
      </c>
      <c r="P741" s="723">
        <v>17608</v>
      </c>
      <c r="Q741" s="703" t="s">
        <v>2766</v>
      </c>
      <c r="R741" s="703"/>
      <c r="S741" s="703"/>
      <c r="T741" s="703" t="s">
        <v>2767</v>
      </c>
      <c r="U741" s="702"/>
      <c r="V741" s="702" t="s">
        <v>2665</v>
      </c>
      <c r="W741" s="702"/>
      <c r="X741" s="702"/>
      <c r="Y741" s="702"/>
      <c r="Z741" s="702"/>
      <c r="AA741" s="702"/>
      <c r="AB741" s="702"/>
      <c r="AC741" s="702"/>
      <c r="AD741" s="708" t="s">
        <v>2735</v>
      </c>
      <c r="AE741" s="655"/>
    </row>
    <row r="742" spans="1:31" ht="12" customHeight="1">
      <c r="A742" s="936" t="s">
        <v>18246</v>
      </c>
      <c r="B742" s="688" t="s">
        <v>2769</v>
      </c>
      <c r="C742" s="687" t="s">
        <v>2773</v>
      </c>
      <c r="D742" s="687">
        <f t="shared" si="11"/>
        <v>54</v>
      </c>
      <c r="E742" s="696" t="s">
        <v>5</v>
      </c>
      <c r="F742" s="689" t="s">
        <v>15273</v>
      </c>
      <c r="G742" s="747" t="s">
        <v>2774</v>
      </c>
      <c r="H742" s="687"/>
      <c r="I742" s="687"/>
      <c r="J742" s="692" t="s">
        <v>16127</v>
      </c>
      <c r="K742" s="687" t="s">
        <v>2775</v>
      </c>
      <c r="L742" s="687" t="s">
        <v>25</v>
      </c>
      <c r="M742" s="748">
        <v>5</v>
      </c>
      <c r="N742" s="749">
        <v>5</v>
      </c>
      <c r="O742" s="747" t="s">
        <v>450</v>
      </c>
      <c r="P742" s="773">
        <v>21331</v>
      </c>
      <c r="Q742" s="747" t="s">
        <v>2776</v>
      </c>
      <c r="R742" s="747" t="s">
        <v>2777</v>
      </c>
      <c r="S742" s="747" t="s">
        <v>6214</v>
      </c>
      <c r="T742" s="747" t="s">
        <v>2705</v>
      </c>
      <c r="U742" s="696"/>
      <c r="V742" s="696"/>
      <c r="W742" s="696"/>
      <c r="X742" s="696"/>
      <c r="Y742" s="696" t="s">
        <v>2705</v>
      </c>
      <c r="Z742" s="696"/>
      <c r="AA742" s="696"/>
      <c r="AB742" s="696"/>
      <c r="AC742" s="696"/>
      <c r="AD742" s="697"/>
      <c r="AE742" s="655"/>
    </row>
    <row r="743" spans="1:31" ht="12" customHeight="1">
      <c r="A743" s="937" t="s">
        <v>18220</v>
      </c>
      <c r="B743" s="4" t="s">
        <v>2770</v>
      </c>
      <c r="C743" s="1" t="s">
        <v>2778</v>
      </c>
      <c r="D743" s="1">
        <f t="shared" si="11"/>
        <v>46</v>
      </c>
      <c r="E743" s="2" t="s">
        <v>5</v>
      </c>
      <c r="F743" s="1" t="s">
        <v>15273</v>
      </c>
      <c r="J743" s="4" t="s">
        <v>16120</v>
      </c>
      <c r="K743" s="1" t="s">
        <v>48</v>
      </c>
      <c r="L743" s="1" t="s">
        <v>6</v>
      </c>
      <c r="O743" s="3" t="s">
        <v>267</v>
      </c>
      <c r="P743" s="20">
        <v>24278</v>
      </c>
      <c r="Q743" s="3" t="s">
        <v>2779</v>
      </c>
      <c r="AD743" s="698"/>
      <c r="AE743" s="655"/>
    </row>
    <row r="744" spans="1:31" ht="12" customHeight="1">
      <c r="A744" s="937" t="s">
        <v>18223</v>
      </c>
      <c r="B744" s="4" t="s">
        <v>2771</v>
      </c>
      <c r="C744" s="1" t="s">
        <v>5793</v>
      </c>
      <c r="D744" s="1">
        <f t="shared" si="11"/>
        <v>38</v>
      </c>
      <c r="E744" s="2" t="s">
        <v>5</v>
      </c>
      <c r="F744" s="1" t="s">
        <v>15273</v>
      </c>
      <c r="J744" s="4" t="s">
        <v>16125</v>
      </c>
      <c r="L744" s="1" t="s">
        <v>6</v>
      </c>
      <c r="O744" s="3" t="s">
        <v>16016</v>
      </c>
      <c r="P744" s="20">
        <v>27259</v>
      </c>
      <c r="Q744" s="3" t="s">
        <v>16017</v>
      </c>
      <c r="S744" s="3" t="s">
        <v>16093</v>
      </c>
      <c r="AD744" s="698"/>
      <c r="AE744" s="655"/>
    </row>
    <row r="745" spans="1:31" ht="12" customHeight="1" thickBot="1">
      <c r="A745" s="938"/>
      <c r="B745" s="700" t="s">
        <v>2772</v>
      </c>
      <c r="C745" s="699" t="s">
        <v>2780</v>
      </c>
      <c r="D745" s="699">
        <f t="shared" si="11"/>
        <v>47</v>
      </c>
      <c r="E745" s="702" t="s">
        <v>5</v>
      </c>
      <c r="F745" s="699"/>
      <c r="G745" s="703"/>
      <c r="H745" s="699"/>
      <c r="I745" s="699"/>
      <c r="J745" s="700" t="s">
        <v>16117</v>
      </c>
      <c r="K745" s="699"/>
      <c r="L745" s="699" t="s">
        <v>6</v>
      </c>
      <c r="M745" s="705"/>
      <c r="N745" s="706"/>
      <c r="O745" s="703" t="s">
        <v>2781</v>
      </c>
      <c r="P745" s="707">
        <v>23904</v>
      </c>
      <c r="Q745" s="703" t="s">
        <v>2782</v>
      </c>
      <c r="R745" s="703"/>
      <c r="S745" s="703"/>
      <c r="T745" s="703"/>
      <c r="U745" s="702"/>
      <c r="V745" s="702"/>
      <c r="W745" s="702"/>
      <c r="X745" s="702"/>
      <c r="Y745" s="702"/>
      <c r="Z745" s="702"/>
      <c r="AA745" s="702"/>
      <c r="AB745" s="702"/>
      <c r="AC745" s="702"/>
      <c r="AD745" s="708"/>
      <c r="AE745" s="655"/>
    </row>
    <row r="746" spans="1:31" ht="12" customHeight="1">
      <c r="A746" s="936" t="s">
        <v>18245</v>
      </c>
      <c r="B746" s="688" t="s">
        <v>2783</v>
      </c>
      <c r="C746" s="687" t="s">
        <v>4746</v>
      </c>
      <c r="D746" s="687">
        <f t="shared" si="11"/>
        <v>42</v>
      </c>
      <c r="E746" s="696" t="s">
        <v>5</v>
      </c>
      <c r="F746" s="689" t="s">
        <v>15273</v>
      </c>
      <c r="G746" s="747"/>
      <c r="H746" s="687"/>
      <c r="I746" s="687"/>
      <c r="J746" s="692" t="s">
        <v>16126</v>
      </c>
      <c r="K746" s="687" t="s">
        <v>44</v>
      </c>
      <c r="L746" s="687" t="s">
        <v>6</v>
      </c>
      <c r="M746" s="748"/>
      <c r="N746" s="749"/>
      <c r="O746" s="747" t="s">
        <v>188</v>
      </c>
      <c r="P746" s="773">
        <v>25807</v>
      </c>
      <c r="Q746" s="747" t="s">
        <v>4747</v>
      </c>
      <c r="R746" s="747"/>
      <c r="S746" s="747"/>
      <c r="T746" s="747" t="s">
        <v>4669</v>
      </c>
      <c r="U746" s="696"/>
      <c r="V746" s="696" t="s">
        <v>145</v>
      </c>
      <c r="W746" s="696"/>
      <c r="X746" s="696"/>
      <c r="Y746" s="696"/>
      <c r="Z746" s="696"/>
      <c r="AA746" s="696"/>
      <c r="AB746" s="696"/>
      <c r="AC746" s="696"/>
      <c r="AD746" s="697"/>
      <c r="AE746" s="655"/>
    </row>
    <row r="747" spans="1:31" ht="12" customHeight="1">
      <c r="A747" s="937" t="s">
        <v>18246</v>
      </c>
      <c r="B747" s="4" t="s">
        <v>2784</v>
      </c>
      <c r="C747" s="1" t="s">
        <v>2788</v>
      </c>
      <c r="D747" s="1">
        <f t="shared" si="11"/>
        <v>48</v>
      </c>
      <c r="E747" s="2" t="s">
        <v>5</v>
      </c>
      <c r="F747" s="1" t="s">
        <v>15273</v>
      </c>
      <c r="J747" s="4" t="s">
        <v>16120</v>
      </c>
      <c r="K747" s="1" t="s">
        <v>65</v>
      </c>
      <c r="L747" s="1" t="s">
        <v>6</v>
      </c>
      <c r="O747" s="3" t="s">
        <v>381</v>
      </c>
      <c r="P747" s="20">
        <v>23719</v>
      </c>
      <c r="Q747" s="3" t="s">
        <v>2789</v>
      </c>
      <c r="T747" s="3" t="s">
        <v>2665</v>
      </c>
      <c r="V747" s="2" t="s">
        <v>2665</v>
      </c>
      <c r="AD747" s="698"/>
      <c r="AE747" s="655"/>
    </row>
    <row r="748" spans="1:31" ht="12" customHeight="1">
      <c r="A748" s="937" t="s">
        <v>18220</v>
      </c>
      <c r="B748" s="4" t="s">
        <v>2785</v>
      </c>
      <c r="C748" s="1" t="s">
        <v>2790</v>
      </c>
      <c r="D748" s="1">
        <f t="shared" si="11"/>
        <v>54</v>
      </c>
      <c r="E748" s="2" t="s">
        <v>5</v>
      </c>
      <c r="F748" s="1" t="s">
        <v>15273</v>
      </c>
      <c r="G748" s="3" t="s">
        <v>2791</v>
      </c>
      <c r="J748" s="4" t="s">
        <v>16125</v>
      </c>
      <c r="L748" s="1" t="s">
        <v>25</v>
      </c>
      <c r="M748" s="16">
        <v>4</v>
      </c>
      <c r="N748" s="17">
        <v>4</v>
      </c>
      <c r="O748" s="3" t="s">
        <v>2792</v>
      </c>
      <c r="P748" s="20">
        <v>21199</v>
      </c>
      <c r="Q748" s="3" t="s">
        <v>2793</v>
      </c>
      <c r="R748" s="3" t="s">
        <v>16681</v>
      </c>
      <c r="S748" s="3" t="s">
        <v>16093</v>
      </c>
      <c r="AD748" s="698"/>
      <c r="AE748" s="655"/>
    </row>
    <row r="749" spans="1:31" ht="12" customHeight="1">
      <c r="A749" s="937"/>
      <c r="B749" s="4" t="s">
        <v>2786</v>
      </c>
      <c r="C749" s="1" t="s">
        <v>5021</v>
      </c>
      <c r="D749" s="1">
        <f t="shared" si="11"/>
        <v>34</v>
      </c>
      <c r="E749" s="2" t="s">
        <v>5</v>
      </c>
      <c r="F749" s="1" t="s">
        <v>15273</v>
      </c>
      <c r="J749" s="4" t="s">
        <v>16116</v>
      </c>
      <c r="K749" s="1" t="s">
        <v>4997</v>
      </c>
      <c r="L749" s="1" t="s">
        <v>6</v>
      </c>
      <c r="O749" s="3" t="s">
        <v>31</v>
      </c>
      <c r="P749" s="20">
        <v>28691</v>
      </c>
      <c r="Q749" s="3" t="s">
        <v>773</v>
      </c>
      <c r="S749" s="3" t="s">
        <v>5948</v>
      </c>
      <c r="T749" s="3" t="s">
        <v>5022</v>
      </c>
      <c r="Y749" s="2" t="s">
        <v>5022</v>
      </c>
      <c r="AD749" s="698"/>
      <c r="AE749" s="655"/>
    </row>
    <row r="750" spans="1:31" ht="12" customHeight="1" thickBot="1">
      <c r="A750" s="938"/>
      <c r="B750" s="700" t="s">
        <v>2787</v>
      </c>
      <c r="C750" s="699" t="s">
        <v>2794</v>
      </c>
      <c r="D750" s="699">
        <f t="shared" si="11"/>
        <v>58</v>
      </c>
      <c r="E750" s="702" t="s">
        <v>19</v>
      </c>
      <c r="F750" s="699"/>
      <c r="G750" s="703"/>
      <c r="H750" s="699"/>
      <c r="I750" s="699"/>
      <c r="J750" s="700" t="s">
        <v>16117</v>
      </c>
      <c r="K750" s="699"/>
      <c r="L750" s="699" t="s">
        <v>6</v>
      </c>
      <c r="M750" s="705"/>
      <c r="N750" s="706"/>
      <c r="O750" s="703" t="s">
        <v>2795</v>
      </c>
      <c r="P750" s="723">
        <v>19925</v>
      </c>
      <c r="Q750" s="703" t="s">
        <v>2796</v>
      </c>
      <c r="R750" s="703"/>
      <c r="S750" s="703"/>
      <c r="T750" s="703"/>
      <c r="U750" s="702"/>
      <c r="V750" s="702"/>
      <c r="W750" s="702"/>
      <c r="X750" s="702"/>
      <c r="Y750" s="702"/>
      <c r="Z750" s="702"/>
      <c r="AA750" s="702"/>
      <c r="AB750" s="702"/>
      <c r="AC750" s="702"/>
      <c r="AD750" s="708"/>
      <c r="AE750" s="655"/>
    </row>
    <row r="751" spans="1:31" ht="12" customHeight="1">
      <c r="A751" s="936" t="s">
        <v>18246</v>
      </c>
      <c r="B751" s="688" t="s">
        <v>2797</v>
      </c>
      <c r="C751" s="687" t="s">
        <v>2801</v>
      </c>
      <c r="D751" s="687">
        <f t="shared" si="11"/>
        <v>64</v>
      </c>
      <c r="E751" s="696" t="s">
        <v>5</v>
      </c>
      <c r="F751" s="689" t="s">
        <v>15273</v>
      </c>
      <c r="G751" s="747" t="s">
        <v>2802</v>
      </c>
      <c r="H751" s="687"/>
      <c r="I751" s="687"/>
      <c r="J751" s="692" t="s">
        <v>16127</v>
      </c>
      <c r="K751" s="687" t="s">
        <v>45</v>
      </c>
      <c r="L751" s="687" t="s">
        <v>25</v>
      </c>
      <c r="M751" s="748">
        <v>7</v>
      </c>
      <c r="N751" s="749">
        <v>7</v>
      </c>
      <c r="O751" s="747" t="s">
        <v>188</v>
      </c>
      <c r="P751" s="773">
        <v>17656</v>
      </c>
      <c r="Q751" s="747" t="s">
        <v>2803</v>
      </c>
      <c r="R751" s="747" t="s">
        <v>2805</v>
      </c>
      <c r="S751" s="747" t="s">
        <v>6214</v>
      </c>
      <c r="T751" s="747" t="s">
        <v>2804</v>
      </c>
      <c r="U751" s="696"/>
      <c r="V751" s="696" t="s">
        <v>2665</v>
      </c>
      <c r="W751" s="696"/>
      <c r="X751" s="696"/>
      <c r="Y751" s="696"/>
      <c r="Z751" s="696"/>
      <c r="AA751" s="696" t="s">
        <v>2706</v>
      </c>
      <c r="AB751" s="696"/>
      <c r="AC751" s="696"/>
      <c r="AD751" s="697" t="s">
        <v>2735</v>
      </c>
      <c r="AE751" s="655"/>
    </row>
    <row r="752" spans="1:31" ht="12" customHeight="1">
      <c r="A752" s="937" t="s">
        <v>18220</v>
      </c>
      <c r="B752" s="4" t="s">
        <v>2798</v>
      </c>
      <c r="C752" s="1" t="s">
        <v>5751</v>
      </c>
      <c r="D752" s="1">
        <f t="shared" si="11"/>
        <v>49</v>
      </c>
      <c r="E752" s="2" t="s">
        <v>5</v>
      </c>
      <c r="F752" s="1" t="s">
        <v>15273</v>
      </c>
      <c r="J752" s="8" t="s">
        <v>16120</v>
      </c>
      <c r="K752" s="1" t="s">
        <v>30</v>
      </c>
      <c r="L752" s="1" t="s">
        <v>6</v>
      </c>
      <c r="O752" s="3" t="s">
        <v>5411</v>
      </c>
      <c r="P752" s="20">
        <v>23061</v>
      </c>
      <c r="Q752" s="3" t="s">
        <v>3949</v>
      </c>
      <c r="AD752" s="698"/>
      <c r="AE752" s="655"/>
    </row>
    <row r="753" spans="1:31" ht="12" customHeight="1">
      <c r="A753" s="937" t="s">
        <v>18223</v>
      </c>
      <c r="B753" s="4" t="s">
        <v>2799</v>
      </c>
      <c r="C753" s="1" t="s">
        <v>5239</v>
      </c>
      <c r="D753" s="1">
        <f t="shared" si="11"/>
        <v>52</v>
      </c>
      <c r="E753" s="2" t="s">
        <v>5</v>
      </c>
      <c r="F753" s="1" t="s">
        <v>15273</v>
      </c>
      <c r="J753" s="4" t="s">
        <v>16125</v>
      </c>
      <c r="L753" s="1" t="s">
        <v>14</v>
      </c>
      <c r="M753" s="16">
        <v>3</v>
      </c>
      <c r="N753" s="17">
        <v>3</v>
      </c>
      <c r="O753" s="3" t="s">
        <v>31</v>
      </c>
      <c r="P753" s="20">
        <v>21923</v>
      </c>
      <c r="Q753" s="3" t="s">
        <v>5240</v>
      </c>
      <c r="S753" s="3" t="s">
        <v>16093</v>
      </c>
      <c r="T753" s="3" t="s">
        <v>5241</v>
      </c>
      <c r="AC753" s="2" t="s">
        <v>5241</v>
      </c>
      <c r="AD753" s="698"/>
      <c r="AE753" s="655"/>
    </row>
    <row r="754" spans="1:31" ht="12" customHeight="1">
      <c r="A754" s="937" t="s">
        <v>18223</v>
      </c>
      <c r="B754" s="4" t="s">
        <v>2800</v>
      </c>
      <c r="C754" s="1" t="s">
        <v>5410</v>
      </c>
      <c r="D754" s="1">
        <f t="shared" si="11"/>
        <v>52</v>
      </c>
      <c r="E754" s="2" t="s">
        <v>5</v>
      </c>
      <c r="F754" s="1" t="s">
        <v>15273</v>
      </c>
      <c r="J754" s="4" t="s">
        <v>16116</v>
      </c>
      <c r="K754" s="1" t="s">
        <v>5298</v>
      </c>
      <c r="L754" s="1" t="s">
        <v>6</v>
      </c>
      <c r="O754" s="3" t="s">
        <v>5411</v>
      </c>
      <c r="P754" s="21">
        <v>22135</v>
      </c>
      <c r="Q754" s="3" t="s">
        <v>5412</v>
      </c>
      <c r="S754" s="3" t="s">
        <v>5948</v>
      </c>
      <c r="AD754" s="698"/>
      <c r="AE754" s="655"/>
    </row>
    <row r="755" spans="1:31" ht="12" customHeight="1" thickBot="1">
      <c r="A755" s="938"/>
      <c r="B755" s="700" t="s">
        <v>5409</v>
      </c>
      <c r="C755" s="699" t="s">
        <v>2806</v>
      </c>
      <c r="D755" s="699">
        <f t="shared" si="11"/>
        <v>35</v>
      </c>
      <c r="E755" s="702" t="s">
        <v>5</v>
      </c>
      <c r="F755" s="699"/>
      <c r="G755" s="703"/>
      <c r="H755" s="699"/>
      <c r="I755" s="699"/>
      <c r="J755" s="700" t="s">
        <v>16117</v>
      </c>
      <c r="K755" s="699"/>
      <c r="L755" s="699" t="s">
        <v>6</v>
      </c>
      <c r="M755" s="705"/>
      <c r="N755" s="706"/>
      <c r="O755" s="703" t="s">
        <v>983</v>
      </c>
      <c r="P755" s="723">
        <v>28343</v>
      </c>
      <c r="Q755" s="703" t="s">
        <v>2807</v>
      </c>
      <c r="R755" s="703"/>
      <c r="S755" s="703"/>
      <c r="T755" s="703"/>
      <c r="U755" s="702"/>
      <c r="V755" s="702"/>
      <c r="W755" s="702"/>
      <c r="X755" s="702"/>
      <c r="Y755" s="702"/>
      <c r="Z755" s="702"/>
      <c r="AA755" s="702"/>
      <c r="AB755" s="702"/>
      <c r="AC755" s="702"/>
      <c r="AD755" s="708"/>
      <c r="AE755" s="655"/>
    </row>
    <row r="756" spans="1:31" ht="12" customHeight="1">
      <c r="A756" s="936" t="s">
        <v>18245</v>
      </c>
      <c r="B756" s="688" t="s">
        <v>2808</v>
      </c>
      <c r="C756" s="687" t="s">
        <v>2812</v>
      </c>
      <c r="D756" s="687">
        <f t="shared" si="11"/>
        <v>42</v>
      </c>
      <c r="E756" s="696" t="s">
        <v>5</v>
      </c>
      <c r="F756" s="689" t="s">
        <v>15273</v>
      </c>
      <c r="G756" s="747"/>
      <c r="H756" s="687"/>
      <c r="I756" s="687"/>
      <c r="J756" s="692" t="s">
        <v>16127</v>
      </c>
      <c r="K756" s="687" t="s">
        <v>737</v>
      </c>
      <c r="L756" s="687" t="s">
        <v>6</v>
      </c>
      <c r="M756" s="748"/>
      <c r="N756" s="749"/>
      <c r="O756" s="747" t="s">
        <v>2813</v>
      </c>
      <c r="P756" s="773">
        <v>25646</v>
      </c>
      <c r="Q756" s="747" t="s">
        <v>2814</v>
      </c>
      <c r="R756" s="747"/>
      <c r="S756" s="747" t="s">
        <v>6214</v>
      </c>
      <c r="T756" s="747" t="s">
        <v>2665</v>
      </c>
      <c r="U756" s="696"/>
      <c r="V756" s="696" t="s">
        <v>2665</v>
      </c>
      <c r="W756" s="696"/>
      <c r="X756" s="696"/>
      <c r="Y756" s="696"/>
      <c r="Z756" s="696"/>
      <c r="AA756" s="696"/>
      <c r="AB756" s="696"/>
      <c r="AC756" s="696"/>
      <c r="AD756" s="697"/>
      <c r="AE756" s="655"/>
    </row>
    <row r="757" spans="1:31" ht="12" customHeight="1">
      <c r="A757" s="937" t="s">
        <v>18219</v>
      </c>
      <c r="B757" s="4" t="s">
        <v>2809</v>
      </c>
      <c r="C757" s="1" t="s">
        <v>2815</v>
      </c>
      <c r="D757" s="1">
        <f t="shared" si="11"/>
        <v>39</v>
      </c>
      <c r="E757" s="2" t="s">
        <v>5</v>
      </c>
      <c r="F757" s="1" t="s">
        <v>15273</v>
      </c>
      <c r="G757" s="3" t="s">
        <v>2816</v>
      </c>
      <c r="J757" s="4" t="s">
        <v>16120</v>
      </c>
      <c r="K757" s="1" t="s">
        <v>2817</v>
      </c>
      <c r="L757" s="1" t="s">
        <v>25</v>
      </c>
      <c r="M757" s="16">
        <v>2</v>
      </c>
      <c r="N757" s="17">
        <v>2</v>
      </c>
      <c r="O757" s="3" t="s">
        <v>1265</v>
      </c>
      <c r="P757" s="20">
        <v>26653</v>
      </c>
      <c r="Q757" s="3" t="s">
        <v>2818</v>
      </c>
      <c r="S757" s="3" t="s">
        <v>5457</v>
      </c>
      <c r="T757" s="3" t="s">
        <v>2706</v>
      </c>
      <c r="AA757" s="2" t="s">
        <v>2706</v>
      </c>
      <c r="AD757" s="698"/>
      <c r="AE757" s="655"/>
    </row>
    <row r="758" spans="1:31" ht="12" customHeight="1">
      <c r="A758" s="937" t="s">
        <v>18223</v>
      </c>
      <c r="B758" s="4" t="s">
        <v>2810</v>
      </c>
      <c r="C758" s="1" t="s">
        <v>6022</v>
      </c>
      <c r="D758" s="1">
        <f t="shared" si="11"/>
        <v>56</v>
      </c>
      <c r="E758" s="2" t="s">
        <v>5</v>
      </c>
      <c r="F758" s="1" t="s">
        <v>15273</v>
      </c>
      <c r="G758" s="3" t="s">
        <v>6024</v>
      </c>
      <c r="J758" s="4" t="s">
        <v>16125</v>
      </c>
      <c r="L758" s="1" t="s">
        <v>25</v>
      </c>
      <c r="M758" s="16">
        <v>1</v>
      </c>
      <c r="N758" s="17">
        <v>1</v>
      </c>
      <c r="O758" s="3" t="s">
        <v>6023</v>
      </c>
      <c r="P758" s="20">
        <v>20479</v>
      </c>
      <c r="Q758" s="3" t="s">
        <v>6025</v>
      </c>
      <c r="S758" s="3" t="s">
        <v>16093</v>
      </c>
      <c r="AD758" s="698"/>
      <c r="AE758" s="655"/>
    </row>
    <row r="759" spans="1:31" ht="12" customHeight="1" thickBot="1">
      <c r="A759" s="938"/>
      <c r="B759" s="700" t="s">
        <v>2811</v>
      </c>
      <c r="C759" s="699" t="s">
        <v>2819</v>
      </c>
      <c r="D759" s="699">
        <f t="shared" si="11"/>
        <v>62</v>
      </c>
      <c r="E759" s="702" t="s">
        <v>19</v>
      </c>
      <c r="F759" s="699"/>
      <c r="G759" s="703"/>
      <c r="H759" s="699"/>
      <c r="I759" s="699"/>
      <c r="J759" s="700" t="s">
        <v>16117</v>
      </c>
      <c r="K759" s="699"/>
      <c r="L759" s="699" t="s">
        <v>6</v>
      </c>
      <c r="M759" s="705"/>
      <c r="N759" s="706"/>
      <c r="O759" s="703" t="s">
        <v>2820</v>
      </c>
      <c r="P759" s="707">
        <v>18341</v>
      </c>
      <c r="Q759" s="703" t="s">
        <v>2821</v>
      </c>
      <c r="R759" s="703"/>
      <c r="S759" s="703"/>
      <c r="T759" s="703" t="s">
        <v>2735</v>
      </c>
      <c r="U759" s="702"/>
      <c r="V759" s="702"/>
      <c r="W759" s="702"/>
      <c r="X759" s="702"/>
      <c r="Y759" s="702"/>
      <c r="Z759" s="702"/>
      <c r="AA759" s="702"/>
      <c r="AB759" s="702"/>
      <c r="AC759" s="702"/>
      <c r="AD759" s="708" t="s">
        <v>2735</v>
      </c>
      <c r="AE759" s="655"/>
    </row>
    <row r="760" spans="1:31" ht="12" customHeight="1">
      <c r="A760" s="936" t="s">
        <v>18246</v>
      </c>
      <c r="B760" s="688" t="s">
        <v>2822</v>
      </c>
      <c r="C760" s="687" t="s">
        <v>2825</v>
      </c>
      <c r="D760" s="687">
        <f t="shared" si="11"/>
        <v>38</v>
      </c>
      <c r="E760" s="696" t="s">
        <v>19</v>
      </c>
      <c r="F760" s="689" t="s">
        <v>15273</v>
      </c>
      <c r="G760" s="747" t="s">
        <v>2826</v>
      </c>
      <c r="H760" s="687"/>
      <c r="I760" s="687"/>
      <c r="J760" s="692" t="s">
        <v>16126</v>
      </c>
      <c r="K760" s="687" t="s">
        <v>44</v>
      </c>
      <c r="L760" s="687" t="s">
        <v>25</v>
      </c>
      <c r="M760" s="748">
        <v>1</v>
      </c>
      <c r="N760" s="749">
        <v>1</v>
      </c>
      <c r="O760" s="747" t="s">
        <v>2663</v>
      </c>
      <c r="P760" s="773">
        <v>27234</v>
      </c>
      <c r="Q760" s="747" t="s">
        <v>2827</v>
      </c>
      <c r="R760" s="747"/>
      <c r="S760" s="747" t="s">
        <v>6214</v>
      </c>
      <c r="T760" s="747" t="s">
        <v>147</v>
      </c>
      <c r="U760" s="696"/>
      <c r="V760" s="696"/>
      <c r="W760" s="696"/>
      <c r="X760" s="696"/>
      <c r="Y760" s="696"/>
      <c r="Z760" s="696"/>
      <c r="AA760" s="696"/>
      <c r="AB760" s="696" t="s">
        <v>3415</v>
      </c>
      <c r="AC760" s="696"/>
      <c r="AD760" s="697"/>
      <c r="AE760" s="655"/>
    </row>
    <row r="761" spans="1:31" ht="12" customHeight="1">
      <c r="A761" s="937" t="s">
        <v>18220</v>
      </c>
      <c r="B761" s="4" t="s">
        <v>2823</v>
      </c>
      <c r="C761" s="1" t="s">
        <v>2828</v>
      </c>
      <c r="D761" s="1">
        <f t="shared" si="11"/>
        <v>54</v>
      </c>
      <c r="E761" s="2" t="s">
        <v>5</v>
      </c>
      <c r="F761" s="1" t="s">
        <v>15273</v>
      </c>
      <c r="J761" s="4" t="s">
        <v>16120</v>
      </c>
      <c r="K761" s="1" t="s">
        <v>48</v>
      </c>
      <c r="L761" s="1" t="s">
        <v>14</v>
      </c>
      <c r="M761" s="16">
        <v>2</v>
      </c>
      <c r="N761" s="17">
        <v>2</v>
      </c>
      <c r="O761" s="3" t="s">
        <v>188</v>
      </c>
      <c r="P761" s="20">
        <v>21282</v>
      </c>
      <c r="Q761" s="3" t="s">
        <v>16663</v>
      </c>
      <c r="R761" s="3" t="s">
        <v>2830</v>
      </c>
      <c r="S761" s="3" t="s">
        <v>5457</v>
      </c>
      <c r="T761" s="3" t="s">
        <v>2829</v>
      </c>
      <c r="V761" s="2" t="s">
        <v>145</v>
      </c>
      <c r="AC761" s="2" t="s">
        <v>2661</v>
      </c>
      <c r="AD761" s="698"/>
      <c r="AE761" s="655"/>
    </row>
    <row r="762" spans="1:31" ht="12" customHeight="1">
      <c r="A762" s="937" t="s">
        <v>18223</v>
      </c>
      <c r="B762" s="4" t="s">
        <v>2824</v>
      </c>
      <c r="C762" s="1" t="s">
        <v>6194</v>
      </c>
      <c r="D762" s="1">
        <f t="shared" si="11"/>
        <v>31</v>
      </c>
      <c r="E762" s="2" t="s">
        <v>19</v>
      </c>
      <c r="F762" s="1" t="s">
        <v>15273</v>
      </c>
      <c r="J762" s="4" t="s">
        <v>16125</v>
      </c>
      <c r="L762" s="1" t="s">
        <v>6</v>
      </c>
      <c r="O762" s="3" t="s">
        <v>6195</v>
      </c>
      <c r="P762" s="21">
        <v>29879</v>
      </c>
      <c r="Q762" s="3" t="s">
        <v>6196</v>
      </c>
      <c r="S762" s="3" t="s">
        <v>16093</v>
      </c>
      <c r="T762" s="3" t="s">
        <v>147</v>
      </c>
      <c r="AB762" s="2" t="s">
        <v>147</v>
      </c>
      <c r="AD762" s="698"/>
      <c r="AE762" s="655"/>
    </row>
    <row r="763" spans="1:31" ht="12" customHeight="1" thickBot="1">
      <c r="A763" s="938"/>
      <c r="B763" s="700" t="s">
        <v>6193</v>
      </c>
      <c r="C763" s="699" t="s">
        <v>2831</v>
      </c>
      <c r="D763" s="699">
        <f t="shared" si="11"/>
        <v>34</v>
      </c>
      <c r="E763" s="702" t="s">
        <v>5</v>
      </c>
      <c r="F763" s="699"/>
      <c r="G763" s="703"/>
      <c r="H763" s="699"/>
      <c r="I763" s="699"/>
      <c r="J763" s="700" t="s">
        <v>16117</v>
      </c>
      <c r="K763" s="699"/>
      <c r="L763" s="699" t="s">
        <v>6</v>
      </c>
      <c r="M763" s="705"/>
      <c r="N763" s="706"/>
      <c r="O763" s="703" t="s">
        <v>214</v>
      </c>
      <c r="P763" s="723">
        <v>28567</v>
      </c>
      <c r="Q763" s="703" t="s">
        <v>2832</v>
      </c>
      <c r="R763" s="703"/>
      <c r="S763" s="703"/>
      <c r="T763" s="703"/>
      <c r="U763" s="702"/>
      <c r="V763" s="702"/>
      <c r="W763" s="702"/>
      <c r="X763" s="702"/>
      <c r="Y763" s="702"/>
      <c r="Z763" s="702"/>
      <c r="AA763" s="702"/>
      <c r="AB763" s="702"/>
      <c r="AC763" s="702"/>
      <c r="AD763" s="708"/>
      <c r="AE763" s="655"/>
    </row>
    <row r="764" spans="1:31" ht="12" customHeight="1">
      <c r="A764" s="936" t="s">
        <v>18246</v>
      </c>
      <c r="B764" s="688" t="s">
        <v>2833</v>
      </c>
      <c r="C764" s="687" t="s">
        <v>2836</v>
      </c>
      <c r="D764" s="687">
        <f t="shared" si="11"/>
        <v>51</v>
      </c>
      <c r="E764" s="696" t="s">
        <v>5</v>
      </c>
      <c r="F764" s="689" t="s">
        <v>15273</v>
      </c>
      <c r="G764" s="747" t="s">
        <v>2837</v>
      </c>
      <c r="H764" s="687"/>
      <c r="I764" s="687"/>
      <c r="J764" s="692" t="s">
        <v>16127</v>
      </c>
      <c r="K764" s="687" t="s">
        <v>2838</v>
      </c>
      <c r="L764" s="687" t="s">
        <v>25</v>
      </c>
      <c r="M764" s="748">
        <v>4</v>
      </c>
      <c r="N764" s="749">
        <v>4</v>
      </c>
      <c r="O764" s="747" t="s">
        <v>2768</v>
      </c>
      <c r="P764" s="773">
        <v>22282</v>
      </c>
      <c r="Q764" s="747" t="s">
        <v>2840</v>
      </c>
      <c r="R764" s="747" t="s">
        <v>2839</v>
      </c>
      <c r="S764" s="747" t="s">
        <v>6214</v>
      </c>
      <c r="T764" s="747"/>
      <c r="U764" s="696"/>
      <c r="V764" s="696"/>
      <c r="W764" s="696"/>
      <c r="X764" s="696"/>
      <c r="Y764" s="696"/>
      <c r="Z764" s="696"/>
      <c r="AA764" s="696"/>
      <c r="AB764" s="696"/>
      <c r="AC764" s="696"/>
      <c r="AD764" s="697"/>
      <c r="AE764" s="655"/>
    </row>
    <row r="765" spans="1:31" ht="12" customHeight="1">
      <c r="A765" s="937" t="s">
        <v>18220</v>
      </c>
      <c r="B765" s="4" t="s">
        <v>2834</v>
      </c>
      <c r="C765" s="1" t="s">
        <v>2841</v>
      </c>
      <c r="D765" s="1">
        <f t="shared" si="11"/>
        <v>48</v>
      </c>
      <c r="E765" s="2" t="s">
        <v>5</v>
      </c>
      <c r="F765" s="1" t="s">
        <v>15273</v>
      </c>
      <c r="J765" s="8" t="s">
        <v>16120</v>
      </c>
      <c r="K765" s="1" t="s">
        <v>65</v>
      </c>
      <c r="L765" s="1" t="s">
        <v>14</v>
      </c>
      <c r="M765" s="16">
        <v>1</v>
      </c>
      <c r="N765" s="17">
        <v>1</v>
      </c>
      <c r="O765" s="3" t="s">
        <v>188</v>
      </c>
      <c r="P765" s="20">
        <v>23569</v>
      </c>
      <c r="Q765" s="3" t="s">
        <v>2842</v>
      </c>
      <c r="S765" s="3" t="s">
        <v>5457</v>
      </c>
      <c r="T765" s="3" t="s">
        <v>2665</v>
      </c>
      <c r="V765" s="2" t="s">
        <v>2665</v>
      </c>
      <c r="AD765" s="698"/>
      <c r="AE765" s="655"/>
    </row>
    <row r="766" spans="1:31" ht="12" customHeight="1">
      <c r="A766" s="937" t="s">
        <v>18223</v>
      </c>
      <c r="B766" s="4" t="s">
        <v>2835</v>
      </c>
      <c r="C766" s="1" t="s">
        <v>16018</v>
      </c>
      <c r="D766" s="1">
        <f t="shared" si="11"/>
        <v>39</v>
      </c>
      <c r="E766" s="2" t="s">
        <v>19</v>
      </c>
      <c r="F766" s="1" t="s">
        <v>15273</v>
      </c>
      <c r="J766" s="4" t="s">
        <v>16125</v>
      </c>
      <c r="L766" s="1" t="s">
        <v>6</v>
      </c>
      <c r="O766" s="3" t="s">
        <v>381</v>
      </c>
      <c r="P766" s="20">
        <v>26897</v>
      </c>
      <c r="Q766" s="3" t="s">
        <v>16019</v>
      </c>
      <c r="S766" s="3" t="s">
        <v>16093</v>
      </c>
      <c r="AD766" s="698"/>
      <c r="AE766" s="655"/>
    </row>
    <row r="767" spans="1:31" ht="12" customHeight="1" thickBot="1">
      <c r="A767" s="938"/>
      <c r="B767" s="700" t="s">
        <v>5794</v>
      </c>
      <c r="C767" s="699" t="s">
        <v>2843</v>
      </c>
      <c r="D767" s="699">
        <f t="shared" si="11"/>
        <v>53</v>
      </c>
      <c r="E767" s="702" t="s">
        <v>5</v>
      </c>
      <c r="F767" s="699"/>
      <c r="G767" s="703"/>
      <c r="H767" s="699"/>
      <c r="I767" s="699"/>
      <c r="J767" s="700" t="s">
        <v>16117</v>
      </c>
      <c r="K767" s="699"/>
      <c r="L767" s="699" t="s">
        <v>6</v>
      </c>
      <c r="M767" s="705"/>
      <c r="N767" s="706"/>
      <c r="O767" s="703" t="s">
        <v>2844</v>
      </c>
      <c r="P767" s="707">
        <v>21566</v>
      </c>
      <c r="Q767" s="703" t="s">
        <v>2712</v>
      </c>
      <c r="R767" s="703"/>
      <c r="S767" s="703"/>
      <c r="T767" s="703"/>
      <c r="U767" s="702"/>
      <c r="V767" s="702"/>
      <c r="W767" s="702"/>
      <c r="X767" s="702"/>
      <c r="Y767" s="702"/>
      <c r="Z767" s="702"/>
      <c r="AA767" s="702"/>
      <c r="AB767" s="702"/>
      <c r="AC767" s="702"/>
      <c r="AD767" s="708"/>
      <c r="AE767" s="655"/>
    </row>
    <row r="768" spans="1:31" ht="12" customHeight="1">
      <c r="A768" s="936" t="s">
        <v>18245</v>
      </c>
      <c r="B768" s="688" t="s">
        <v>2845</v>
      </c>
      <c r="C768" s="687" t="s">
        <v>2848</v>
      </c>
      <c r="D768" s="687">
        <f t="shared" si="11"/>
        <v>41</v>
      </c>
      <c r="E768" s="696" t="s">
        <v>5</v>
      </c>
      <c r="F768" s="689" t="s">
        <v>15273</v>
      </c>
      <c r="G768" s="747" t="s">
        <v>2849</v>
      </c>
      <c r="H768" s="687"/>
      <c r="I768" s="687"/>
      <c r="J768" s="692" t="s">
        <v>16127</v>
      </c>
      <c r="K768" s="687" t="s">
        <v>44</v>
      </c>
      <c r="L768" s="687" t="s">
        <v>25</v>
      </c>
      <c r="M768" s="748">
        <v>3</v>
      </c>
      <c r="N768" s="749">
        <v>3</v>
      </c>
      <c r="O768" s="747" t="s">
        <v>2745</v>
      </c>
      <c r="P768" s="773">
        <v>26102</v>
      </c>
      <c r="Q768" s="747" t="s">
        <v>2850</v>
      </c>
      <c r="R768" s="747" t="s">
        <v>1784</v>
      </c>
      <c r="S768" s="747" t="s">
        <v>6214</v>
      </c>
      <c r="T768" s="747"/>
      <c r="U768" s="696"/>
      <c r="V768" s="696"/>
      <c r="W768" s="696"/>
      <c r="X768" s="696"/>
      <c r="Y768" s="696"/>
      <c r="Z768" s="696"/>
      <c r="AA768" s="696"/>
      <c r="AB768" s="696"/>
      <c r="AC768" s="696"/>
      <c r="AD768" s="697"/>
      <c r="AE768" s="655"/>
    </row>
    <row r="769" spans="1:31" ht="12" customHeight="1">
      <c r="A769" s="937" t="s">
        <v>18219</v>
      </c>
      <c r="B769" s="4" t="s">
        <v>2846</v>
      </c>
      <c r="C769" s="1" t="s">
        <v>2851</v>
      </c>
      <c r="D769" s="1">
        <f t="shared" si="11"/>
        <v>55</v>
      </c>
      <c r="E769" s="2" t="s">
        <v>5</v>
      </c>
      <c r="F769" s="1" t="s">
        <v>15273</v>
      </c>
      <c r="J769" s="4" t="s">
        <v>16120</v>
      </c>
      <c r="K769" s="1" t="s">
        <v>30</v>
      </c>
      <c r="L769" s="1" t="s">
        <v>6</v>
      </c>
      <c r="O769" s="3" t="s">
        <v>452</v>
      </c>
      <c r="P769" s="20">
        <v>20920</v>
      </c>
      <c r="Q769" s="3" t="s">
        <v>2852</v>
      </c>
      <c r="S769" s="3" t="s">
        <v>5457</v>
      </c>
      <c r="T769" s="3" t="s">
        <v>2665</v>
      </c>
      <c r="V769" s="2" t="s">
        <v>2665</v>
      </c>
      <c r="AD769" s="698"/>
      <c r="AE769" s="655"/>
    </row>
    <row r="770" spans="1:31" ht="12" customHeight="1">
      <c r="A770" s="937" t="s">
        <v>18223</v>
      </c>
      <c r="B770" s="4" t="s">
        <v>2847</v>
      </c>
      <c r="C770" s="1" t="s">
        <v>4428</v>
      </c>
      <c r="D770" s="1">
        <f t="shared" ref="D770:D833" si="12">DATEDIF(P770,$P$1298,"Y")</f>
        <v>43</v>
      </c>
      <c r="E770" s="2" t="s">
        <v>5</v>
      </c>
      <c r="F770" s="1" t="s">
        <v>15273</v>
      </c>
      <c r="J770" s="4" t="s">
        <v>16125</v>
      </c>
      <c r="L770" s="1" t="s">
        <v>6</v>
      </c>
      <c r="O770" s="3" t="s">
        <v>4429</v>
      </c>
      <c r="P770" s="20">
        <v>25447</v>
      </c>
      <c r="Q770" s="3" t="s">
        <v>4430</v>
      </c>
      <c r="S770" s="3" t="s">
        <v>16093</v>
      </c>
      <c r="T770" s="3" t="s">
        <v>4410</v>
      </c>
      <c r="V770" s="2" t="s">
        <v>145</v>
      </c>
      <c r="AD770" s="698"/>
      <c r="AE770" s="655"/>
    </row>
    <row r="771" spans="1:31" ht="12" customHeight="1">
      <c r="A771" s="937" t="s">
        <v>18223</v>
      </c>
      <c r="B771" s="4" t="s">
        <v>4427</v>
      </c>
      <c r="C771" s="1" t="s">
        <v>5024</v>
      </c>
      <c r="D771" s="1">
        <f t="shared" si="12"/>
        <v>45</v>
      </c>
      <c r="E771" s="2" t="s">
        <v>5</v>
      </c>
      <c r="F771" s="1" t="s">
        <v>15273</v>
      </c>
      <c r="J771" s="4" t="s">
        <v>16116</v>
      </c>
      <c r="K771" s="1" t="s">
        <v>4997</v>
      </c>
      <c r="L771" s="1" t="s">
        <v>6</v>
      </c>
      <c r="O771" s="3" t="s">
        <v>317</v>
      </c>
      <c r="P771" s="21">
        <v>24499</v>
      </c>
      <c r="Q771" s="3" t="s">
        <v>16446</v>
      </c>
      <c r="S771" s="3" t="s">
        <v>5948</v>
      </c>
      <c r="T771" s="3" t="s">
        <v>5025</v>
      </c>
      <c r="U771" s="2" t="s">
        <v>5025</v>
      </c>
      <c r="AD771" s="698"/>
      <c r="AE771" s="655"/>
    </row>
    <row r="772" spans="1:31" ht="12" customHeight="1" thickBot="1">
      <c r="A772" s="938"/>
      <c r="B772" s="700" t="s">
        <v>5023</v>
      </c>
      <c r="C772" s="699" t="s">
        <v>2853</v>
      </c>
      <c r="D772" s="699">
        <f t="shared" si="12"/>
        <v>66</v>
      </c>
      <c r="E772" s="702" t="s">
        <v>5</v>
      </c>
      <c r="F772" s="699"/>
      <c r="G772" s="703"/>
      <c r="H772" s="699"/>
      <c r="I772" s="699"/>
      <c r="J772" s="700" t="s">
        <v>16117</v>
      </c>
      <c r="K772" s="699"/>
      <c r="L772" s="699" t="s">
        <v>6</v>
      </c>
      <c r="M772" s="705"/>
      <c r="N772" s="706"/>
      <c r="O772" s="703" t="s">
        <v>2854</v>
      </c>
      <c r="P772" s="707">
        <v>17017</v>
      </c>
      <c r="Q772" s="703" t="s">
        <v>2855</v>
      </c>
      <c r="R772" s="703"/>
      <c r="S772" s="703"/>
      <c r="T772" s="703"/>
      <c r="U772" s="702"/>
      <c r="V772" s="702"/>
      <c r="W772" s="702"/>
      <c r="X772" s="702"/>
      <c r="Y772" s="702"/>
      <c r="Z772" s="702"/>
      <c r="AA772" s="702"/>
      <c r="AB772" s="702"/>
      <c r="AC772" s="702"/>
      <c r="AD772" s="708"/>
      <c r="AE772" s="655"/>
    </row>
    <row r="773" spans="1:31" ht="12" customHeight="1">
      <c r="A773" s="936" t="s">
        <v>18223</v>
      </c>
      <c r="B773" s="688" t="s">
        <v>2856</v>
      </c>
      <c r="C773" s="687" t="s">
        <v>5060</v>
      </c>
      <c r="D773" s="687">
        <f t="shared" si="12"/>
        <v>39</v>
      </c>
      <c r="E773" s="696" t="s">
        <v>5</v>
      </c>
      <c r="F773" s="689" t="s">
        <v>15273</v>
      </c>
      <c r="G773" s="747"/>
      <c r="H773" s="687"/>
      <c r="I773" s="687"/>
      <c r="J773" s="692" t="s">
        <v>16126</v>
      </c>
      <c r="K773" s="687" t="s">
        <v>44</v>
      </c>
      <c r="L773" s="687" t="s">
        <v>6</v>
      </c>
      <c r="M773" s="748"/>
      <c r="N773" s="749"/>
      <c r="O773" s="747" t="s">
        <v>1282</v>
      </c>
      <c r="P773" s="773">
        <v>26918</v>
      </c>
      <c r="Q773" s="747" t="s">
        <v>5061</v>
      </c>
      <c r="R773" s="747"/>
      <c r="S773" s="747" t="s">
        <v>6214</v>
      </c>
      <c r="T773" s="747"/>
      <c r="U773" s="696"/>
      <c r="V773" s="696"/>
      <c r="W773" s="696"/>
      <c r="X773" s="696"/>
      <c r="Y773" s="696"/>
      <c r="Z773" s="696"/>
      <c r="AA773" s="696"/>
      <c r="AB773" s="696"/>
      <c r="AC773" s="696"/>
      <c r="AD773" s="697"/>
      <c r="AE773" s="655"/>
    </row>
    <row r="774" spans="1:31" ht="12" customHeight="1">
      <c r="A774" s="937" t="s">
        <v>18219</v>
      </c>
      <c r="B774" s="4" t="s">
        <v>2857</v>
      </c>
      <c r="C774" s="1" t="s">
        <v>2860</v>
      </c>
      <c r="D774" s="1">
        <f t="shared" si="12"/>
        <v>69</v>
      </c>
      <c r="E774" s="2" t="s">
        <v>5</v>
      </c>
      <c r="F774" s="1" t="s">
        <v>15273</v>
      </c>
      <c r="J774" s="4" t="s">
        <v>16120</v>
      </c>
      <c r="K774" s="1" t="s">
        <v>65</v>
      </c>
      <c r="L774" s="1" t="s">
        <v>14</v>
      </c>
      <c r="M774" s="16">
        <v>4</v>
      </c>
      <c r="N774" s="17">
        <v>4</v>
      </c>
      <c r="O774" s="3" t="s">
        <v>695</v>
      </c>
      <c r="P774" s="20">
        <v>15966</v>
      </c>
      <c r="Q774" s="3" t="s">
        <v>2861</v>
      </c>
      <c r="R774" s="3" t="s">
        <v>2862</v>
      </c>
      <c r="S774" s="3" t="s">
        <v>5457</v>
      </c>
      <c r="T774" s="3" t="s">
        <v>104</v>
      </c>
      <c r="AA774" s="2" t="s">
        <v>2706</v>
      </c>
      <c r="AD774" s="698"/>
      <c r="AE774" s="655"/>
    </row>
    <row r="775" spans="1:31" ht="12" customHeight="1">
      <c r="A775" s="937" t="s">
        <v>18223</v>
      </c>
      <c r="B775" s="4" t="s">
        <v>2858</v>
      </c>
      <c r="C775" s="1" t="s">
        <v>5995</v>
      </c>
      <c r="D775" s="1">
        <f t="shared" si="12"/>
        <v>52</v>
      </c>
      <c r="E775" s="2" t="s">
        <v>5</v>
      </c>
      <c r="F775" s="1" t="s">
        <v>15273</v>
      </c>
      <c r="J775" s="4" t="s">
        <v>16125</v>
      </c>
      <c r="L775" s="1" t="s">
        <v>6</v>
      </c>
      <c r="O775" s="3" t="s">
        <v>5411</v>
      </c>
      <c r="P775" s="21">
        <v>22231</v>
      </c>
      <c r="Q775" s="3" t="s">
        <v>5996</v>
      </c>
      <c r="S775" s="3" t="s">
        <v>16093</v>
      </c>
      <c r="AD775" s="698"/>
      <c r="AE775" s="655"/>
    </row>
    <row r="776" spans="1:31" ht="12" customHeight="1">
      <c r="A776" s="937" t="s">
        <v>18245</v>
      </c>
      <c r="B776" s="4" t="s">
        <v>2859</v>
      </c>
      <c r="C776" s="1" t="s">
        <v>2865</v>
      </c>
      <c r="D776" s="1">
        <f t="shared" si="12"/>
        <v>52</v>
      </c>
      <c r="E776" s="2" t="s">
        <v>5</v>
      </c>
      <c r="F776" s="1" t="s">
        <v>15273</v>
      </c>
      <c r="G776" s="3" t="s">
        <v>2866</v>
      </c>
      <c r="J776" s="4" t="s">
        <v>16128</v>
      </c>
      <c r="L776" s="1" t="s">
        <v>25</v>
      </c>
      <c r="M776" s="16">
        <v>1</v>
      </c>
      <c r="N776" s="17">
        <v>1</v>
      </c>
      <c r="O776" s="3" t="s">
        <v>2867</v>
      </c>
      <c r="P776" s="20">
        <v>22176</v>
      </c>
      <c r="Q776" s="3" t="s">
        <v>2868</v>
      </c>
      <c r="S776" s="3" t="s">
        <v>16096</v>
      </c>
      <c r="AD776" s="698"/>
      <c r="AE776" s="655"/>
    </row>
    <row r="777" spans="1:31" ht="12" customHeight="1" thickBot="1">
      <c r="A777" s="938"/>
      <c r="B777" s="700" t="s">
        <v>5994</v>
      </c>
      <c r="C777" s="699" t="s">
        <v>2863</v>
      </c>
      <c r="D777" s="699">
        <f t="shared" si="12"/>
        <v>54</v>
      </c>
      <c r="E777" s="702" t="s">
        <v>5</v>
      </c>
      <c r="F777" s="699"/>
      <c r="G777" s="703"/>
      <c r="H777" s="699"/>
      <c r="I777" s="699"/>
      <c r="J777" s="700" t="s">
        <v>16117</v>
      </c>
      <c r="K777" s="699"/>
      <c r="L777" s="699" t="s">
        <v>6</v>
      </c>
      <c r="M777" s="705"/>
      <c r="N777" s="706"/>
      <c r="O777" s="703" t="s">
        <v>597</v>
      </c>
      <c r="P777" s="707">
        <v>21285</v>
      </c>
      <c r="Q777" s="703" t="s">
        <v>2864</v>
      </c>
      <c r="R777" s="703"/>
      <c r="S777" s="703"/>
      <c r="T777" s="703" t="s">
        <v>2767</v>
      </c>
      <c r="U777" s="702"/>
      <c r="V777" s="702" t="s">
        <v>2665</v>
      </c>
      <c r="W777" s="702"/>
      <c r="X777" s="702"/>
      <c r="Y777" s="702"/>
      <c r="Z777" s="702"/>
      <c r="AA777" s="702"/>
      <c r="AB777" s="702"/>
      <c r="AC777" s="702"/>
      <c r="AD777" s="708" t="s">
        <v>2735</v>
      </c>
      <c r="AE777" s="655"/>
    </row>
    <row r="778" spans="1:31" ht="12" customHeight="1">
      <c r="A778" s="936" t="s">
        <v>18219</v>
      </c>
      <c r="B778" s="688" t="s">
        <v>2869</v>
      </c>
      <c r="C778" s="687" t="s">
        <v>2872</v>
      </c>
      <c r="D778" s="687">
        <f t="shared" si="12"/>
        <v>47</v>
      </c>
      <c r="E778" s="696" t="s">
        <v>5</v>
      </c>
      <c r="F778" s="689" t="s">
        <v>15273</v>
      </c>
      <c r="G778" s="747" t="s">
        <v>2873</v>
      </c>
      <c r="H778" s="687"/>
      <c r="I778" s="687"/>
      <c r="J778" s="692" t="s">
        <v>16127</v>
      </c>
      <c r="K778" s="687" t="s">
        <v>2703</v>
      </c>
      <c r="L778" s="687" t="s">
        <v>25</v>
      </c>
      <c r="M778" s="748">
        <v>3</v>
      </c>
      <c r="N778" s="749">
        <v>3</v>
      </c>
      <c r="O778" s="747" t="s">
        <v>7</v>
      </c>
      <c r="P778" s="773">
        <v>23812</v>
      </c>
      <c r="Q778" s="747" t="s">
        <v>2874</v>
      </c>
      <c r="R778" s="747" t="s">
        <v>2489</v>
      </c>
      <c r="S778" s="747" t="s">
        <v>6214</v>
      </c>
      <c r="T778" s="747" t="s">
        <v>69</v>
      </c>
      <c r="U778" s="696"/>
      <c r="V778" s="696"/>
      <c r="W778" s="696"/>
      <c r="X778" s="696"/>
      <c r="Y778" s="696"/>
      <c r="Z778" s="696"/>
      <c r="AA778" s="696"/>
      <c r="AB778" s="696"/>
      <c r="AC778" s="696"/>
      <c r="AD778" s="697" t="s">
        <v>2735</v>
      </c>
      <c r="AE778" s="655"/>
    </row>
    <row r="779" spans="1:31" ht="12" customHeight="1">
      <c r="A779" s="937" t="s">
        <v>18245</v>
      </c>
      <c r="B779" s="4" t="s">
        <v>2870</v>
      </c>
      <c r="C779" s="1" t="s">
        <v>5843</v>
      </c>
      <c r="D779" s="1">
        <f t="shared" si="12"/>
        <v>65</v>
      </c>
      <c r="E779" s="2" t="s">
        <v>5</v>
      </c>
      <c r="F779" s="1" t="s">
        <v>15273</v>
      </c>
      <c r="J779" s="8" t="s">
        <v>16120</v>
      </c>
      <c r="K779" s="1" t="s">
        <v>44</v>
      </c>
      <c r="L779" s="1" t="s">
        <v>6</v>
      </c>
      <c r="O779" s="3" t="s">
        <v>381</v>
      </c>
      <c r="P779" s="20">
        <v>17389</v>
      </c>
      <c r="Q779" s="3" t="s">
        <v>5844</v>
      </c>
      <c r="T779" s="3" t="s">
        <v>145</v>
      </c>
      <c r="V779" s="2" t="s">
        <v>5845</v>
      </c>
      <c r="AD779" s="698"/>
      <c r="AE779" s="655"/>
    </row>
    <row r="780" spans="1:31" ht="12" customHeight="1">
      <c r="A780" s="937"/>
      <c r="B780" s="4" t="s">
        <v>2871</v>
      </c>
      <c r="C780" s="1" t="s">
        <v>5883</v>
      </c>
      <c r="D780" s="1">
        <f t="shared" si="12"/>
        <v>32</v>
      </c>
      <c r="E780" s="2" t="s">
        <v>5</v>
      </c>
      <c r="J780" s="4" t="s">
        <v>16117</v>
      </c>
      <c r="L780" s="1" t="s">
        <v>6</v>
      </c>
      <c r="O780" s="3" t="s">
        <v>16020</v>
      </c>
      <c r="P780" s="20">
        <v>29444</v>
      </c>
      <c r="Q780" s="3" t="s">
        <v>5884</v>
      </c>
      <c r="AD780" s="698"/>
      <c r="AE780" s="655"/>
    </row>
    <row r="781" spans="1:31" ht="12" customHeight="1" thickBot="1">
      <c r="A781" s="938"/>
      <c r="B781" s="700" t="s">
        <v>5164</v>
      </c>
      <c r="C781" s="699" t="s">
        <v>5165</v>
      </c>
      <c r="D781" s="699">
        <f t="shared" si="12"/>
        <v>38</v>
      </c>
      <c r="E781" s="702" t="s">
        <v>19</v>
      </c>
      <c r="F781" s="699"/>
      <c r="G781" s="703"/>
      <c r="H781" s="699"/>
      <c r="I781" s="699"/>
      <c r="J781" s="700" t="s">
        <v>16122</v>
      </c>
      <c r="K781" s="699" t="s">
        <v>22</v>
      </c>
      <c r="L781" s="699" t="s">
        <v>6</v>
      </c>
      <c r="M781" s="705"/>
      <c r="N781" s="706"/>
      <c r="O781" s="703" t="s">
        <v>5166</v>
      </c>
      <c r="P781" s="707">
        <v>27214</v>
      </c>
      <c r="Q781" s="703" t="s">
        <v>5167</v>
      </c>
      <c r="R781" s="703"/>
      <c r="S781" s="703"/>
      <c r="T781" s="703"/>
      <c r="U781" s="702"/>
      <c r="V781" s="702"/>
      <c r="W781" s="702"/>
      <c r="X781" s="702"/>
      <c r="Y781" s="702"/>
      <c r="Z781" s="702"/>
      <c r="AA781" s="702"/>
      <c r="AB781" s="702"/>
      <c r="AC781" s="702"/>
      <c r="AD781" s="708"/>
      <c r="AE781" s="655"/>
    </row>
    <row r="782" spans="1:31" ht="12" customHeight="1">
      <c r="A782" s="936" t="s">
        <v>18245</v>
      </c>
      <c r="B782" s="688" t="s">
        <v>2875</v>
      </c>
      <c r="C782" s="687" t="s">
        <v>2879</v>
      </c>
      <c r="D782" s="687">
        <f t="shared" si="12"/>
        <v>50</v>
      </c>
      <c r="E782" s="696" t="s">
        <v>5</v>
      </c>
      <c r="F782" s="689" t="s">
        <v>15273</v>
      </c>
      <c r="G782" s="747" t="s">
        <v>2880</v>
      </c>
      <c r="H782" s="687"/>
      <c r="I782" s="687"/>
      <c r="J782" s="692" t="s">
        <v>16127</v>
      </c>
      <c r="K782" s="687" t="s">
        <v>44</v>
      </c>
      <c r="L782" s="687" t="s">
        <v>25</v>
      </c>
      <c r="M782" s="748">
        <v>2</v>
      </c>
      <c r="N782" s="749">
        <v>2</v>
      </c>
      <c r="O782" s="747" t="s">
        <v>188</v>
      </c>
      <c r="P782" s="773">
        <v>22875</v>
      </c>
      <c r="Q782" s="747" t="s">
        <v>2881</v>
      </c>
      <c r="R782" s="747" t="s">
        <v>1017</v>
      </c>
      <c r="S782" s="747" t="s">
        <v>6214</v>
      </c>
      <c r="T782" s="747" t="s">
        <v>2665</v>
      </c>
      <c r="U782" s="696"/>
      <c r="V782" s="696" t="s">
        <v>2665</v>
      </c>
      <c r="W782" s="696"/>
      <c r="X782" s="696"/>
      <c r="Y782" s="696"/>
      <c r="Z782" s="696"/>
      <c r="AA782" s="696"/>
      <c r="AB782" s="696"/>
      <c r="AC782" s="696"/>
      <c r="AD782" s="697"/>
      <c r="AE782" s="655"/>
    </row>
    <row r="783" spans="1:31" ht="12" customHeight="1">
      <c r="A783" s="937" t="s">
        <v>18219</v>
      </c>
      <c r="B783" s="4" t="s">
        <v>2876</v>
      </c>
      <c r="C783" s="1" t="s">
        <v>2883</v>
      </c>
      <c r="D783" s="1">
        <f t="shared" si="12"/>
        <v>35</v>
      </c>
      <c r="E783" s="2" t="s">
        <v>5</v>
      </c>
      <c r="F783" s="1" t="s">
        <v>15273</v>
      </c>
      <c r="J783" s="4" t="s">
        <v>16120</v>
      </c>
      <c r="K783" s="1" t="s">
        <v>48</v>
      </c>
      <c r="L783" s="1" t="s">
        <v>6</v>
      </c>
      <c r="O783" s="3" t="s">
        <v>95</v>
      </c>
      <c r="P783" s="20">
        <v>28243</v>
      </c>
      <c r="Q783" s="3" t="s">
        <v>2884</v>
      </c>
      <c r="AD783" s="698"/>
      <c r="AE783" s="655"/>
    </row>
    <row r="784" spans="1:31" ht="12" customHeight="1">
      <c r="A784" s="937" t="s">
        <v>18223</v>
      </c>
      <c r="B784" s="4" t="s">
        <v>2877</v>
      </c>
      <c r="C784" s="1" t="s">
        <v>2885</v>
      </c>
      <c r="D784" s="1">
        <f t="shared" si="12"/>
        <v>62</v>
      </c>
      <c r="E784" s="2" t="s">
        <v>5</v>
      </c>
      <c r="F784" s="1" t="s">
        <v>15273</v>
      </c>
      <c r="J784" s="4" t="s">
        <v>16125</v>
      </c>
      <c r="L784" s="1" t="s">
        <v>14</v>
      </c>
      <c r="M784" s="16">
        <v>2</v>
      </c>
      <c r="N784" s="17">
        <v>3</v>
      </c>
      <c r="O784" s="3" t="s">
        <v>2663</v>
      </c>
      <c r="P784" s="20">
        <v>18529</v>
      </c>
      <c r="Q784" s="3" t="s">
        <v>2886</v>
      </c>
      <c r="R784" s="3" t="s">
        <v>5064</v>
      </c>
      <c r="S784" s="3" t="s">
        <v>16093</v>
      </c>
      <c r="T784" s="3" t="s">
        <v>2887</v>
      </c>
      <c r="U784" s="2" t="s">
        <v>2650</v>
      </c>
      <c r="W784" s="2" t="s">
        <v>2888</v>
      </c>
      <c r="X784" s="2" t="s">
        <v>2889</v>
      </c>
      <c r="AD784" s="698"/>
      <c r="AE784" s="655"/>
    </row>
    <row r="785" spans="1:31" ht="12" customHeight="1">
      <c r="A785" s="937" t="s">
        <v>18223</v>
      </c>
      <c r="B785" s="4" t="s">
        <v>2878</v>
      </c>
      <c r="C785" s="1" t="s">
        <v>2890</v>
      </c>
      <c r="D785" s="1">
        <f t="shared" si="12"/>
        <v>41</v>
      </c>
      <c r="E785" s="2" t="s">
        <v>5</v>
      </c>
      <c r="F785" s="1" t="s">
        <v>15273</v>
      </c>
      <c r="J785" s="4" t="s">
        <v>16116</v>
      </c>
      <c r="K785" s="1" t="s">
        <v>4997</v>
      </c>
      <c r="L785" s="1" t="s">
        <v>6</v>
      </c>
      <c r="O785" s="3" t="s">
        <v>2663</v>
      </c>
      <c r="P785" s="20">
        <v>25923</v>
      </c>
      <c r="Q785" s="3" t="s">
        <v>2891</v>
      </c>
      <c r="S785" s="3" t="s">
        <v>5948</v>
      </c>
      <c r="T785" s="3" t="s">
        <v>2650</v>
      </c>
      <c r="U785" s="2" t="s">
        <v>2650</v>
      </c>
      <c r="AD785" s="698"/>
      <c r="AE785" s="655"/>
    </row>
    <row r="786" spans="1:31" ht="12" customHeight="1" thickBot="1">
      <c r="A786" s="938"/>
      <c r="B786" s="700" t="s">
        <v>2882</v>
      </c>
      <c r="C786" s="699" t="s">
        <v>5885</v>
      </c>
      <c r="D786" s="699">
        <f t="shared" si="12"/>
        <v>64</v>
      </c>
      <c r="E786" s="702" t="s">
        <v>5</v>
      </c>
      <c r="F786" s="699"/>
      <c r="G786" s="703"/>
      <c r="H786" s="699"/>
      <c r="I786" s="699"/>
      <c r="J786" s="700" t="s">
        <v>16117</v>
      </c>
      <c r="K786" s="699"/>
      <c r="L786" s="699" t="s">
        <v>6</v>
      </c>
      <c r="M786" s="705"/>
      <c r="N786" s="706"/>
      <c r="O786" s="703" t="s">
        <v>2751</v>
      </c>
      <c r="P786" s="707">
        <v>17699</v>
      </c>
      <c r="Q786" s="703" t="s">
        <v>16021</v>
      </c>
      <c r="R786" s="703"/>
      <c r="S786" s="703"/>
      <c r="T786" s="703"/>
      <c r="U786" s="702"/>
      <c r="V786" s="702"/>
      <c r="W786" s="702"/>
      <c r="X786" s="702"/>
      <c r="Y786" s="702"/>
      <c r="Z786" s="702"/>
      <c r="AA786" s="702"/>
      <c r="AB786" s="702"/>
      <c r="AC786" s="702"/>
      <c r="AD786" s="708"/>
      <c r="AE786" s="655"/>
    </row>
    <row r="787" spans="1:31" ht="12" customHeight="1">
      <c r="A787" s="936" t="s">
        <v>18245</v>
      </c>
      <c r="B787" s="688" t="s">
        <v>2892</v>
      </c>
      <c r="C787" s="687" t="s">
        <v>2895</v>
      </c>
      <c r="D787" s="687">
        <f t="shared" si="12"/>
        <v>41</v>
      </c>
      <c r="E787" s="696" t="s">
        <v>5</v>
      </c>
      <c r="F787" s="689" t="s">
        <v>15273</v>
      </c>
      <c r="G787" s="747" t="s">
        <v>2896</v>
      </c>
      <c r="H787" s="687"/>
      <c r="I787" s="687"/>
      <c r="J787" s="692" t="s">
        <v>16126</v>
      </c>
      <c r="K787" s="687" t="s">
        <v>44</v>
      </c>
      <c r="L787" s="687" t="s">
        <v>25</v>
      </c>
      <c r="M787" s="748">
        <v>1</v>
      </c>
      <c r="N787" s="749">
        <v>1</v>
      </c>
      <c r="O787" s="747" t="s">
        <v>2691</v>
      </c>
      <c r="P787" s="773">
        <v>26036</v>
      </c>
      <c r="Q787" s="747" t="s">
        <v>2897</v>
      </c>
      <c r="R787" s="747"/>
      <c r="S787" s="747" t="s">
        <v>6214</v>
      </c>
      <c r="T787" s="747"/>
      <c r="U787" s="696"/>
      <c r="V787" s="696"/>
      <c r="W787" s="696"/>
      <c r="X787" s="696"/>
      <c r="Y787" s="696"/>
      <c r="Z787" s="696"/>
      <c r="AA787" s="696"/>
      <c r="AB787" s="696"/>
      <c r="AC787" s="696"/>
      <c r="AD787" s="697"/>
      <c r="AE787" s="655"/>
    </row>
    <row r="788" spans="1:31" ht="12" customHeight="1">
      <c r="A788" s="937" t="s">
        <v>18219</v>
      </c>
      <c r="B788" s="4" t="s">
        <v>2893</v>
      </c>
      <c r="C788" s="1" t="s">
        <v>2898</v>
      </c>
      <c r="D788" s="1">
        <f t="shared" si="12"/>
        <v>54</v>
      </c>
      <c r="E788" s="2" t="s">
        <v>5</v>
      </c>
      <c r="F788" s="1" t="s">
        <v>15273</v>
      </c>
      <c r="J788" s="4" t="s">
        <v>16120</v>
      </c>
      <c r="K788" s="1" t="s">
        <v>30</v>
      </c>
      <c r="L788" s="1" t="s">
        <v>6</v>
      </c>
      <c r="O788" s="3" t="s">
        <v>2899</v>
      </c>
      <c r="P788" s="21">
        <v>21356</v>
      </c>
      <c r="Q788" s="3" t="s">
        <v>2900</v>
      </c>
      <c r="T788" s="3" t="s">
        <v>2665</v>
      </c>
      <c r="V788" s="2" t="s">
        <v>2665</v>
      </c>
      <c r="AD788" s="698"/>
      <c r="AE788" s="655"/>
    </row>
    <row r="789" spans="1:31" ht="12" customHeight="1">
      <c r="A789" s="937" t="s">
        <v>18223</v>
      </c>
      <c r="B789" s="4" t="s">
        <v>2894</v>
      </c>
      <c r="C789" s="1" t="s">
        <v>1807</v>
      </c>
      <c r="D789" s="1">
        <f t="shared" si="12"/>
        <v>68</v>
      </c>
      <c r="E789" s="2" t="s">
        <v>5</v>
      </c>
      <c r="F789" s="1" t="s">
        <v>15273</v>
      </c>
      <c r="G789" s="3" t="s">
        <v>1808</v>
      </c>
      <c r="J789" s="4" t="s">
        <v>16125</v>
      </c>
      <c r="L789" s="1" t="s">
        <v>25</v>
      </c>
      <c r="M789" s="16">
        <v>5</v>
      </c>
      <c r="N789" s="17">
        <v>5</v>
      </c>
      <c r="O789" s="3" t="s">
        <v>1809</v>
      </c>
      <c r="P789" s="20">
        <v>16072</v>
      </c>
      <c r="Q789" s="3" t="s">
        <v>1810</v>
      </c>
      <c r="R789" s="3" t="s">
        <v>5458</v>
      </c>
      <c r="S789" s="3" t="s">
        <v>16093</v>
      </c>
      <c r="T789" s="3" t="s">
        <v>1641</v>
      </c>
      <c r="U789" s="2" t="s">
        <v>1641</v>
      </c>
      <c r="AA789" s="3"/>
      <c r="AB789" s="3"/>
      <c r="AC789" s="3"/>
      <c r="AD789" s="774"/>
      <c r="AE789" s="655"/>
    </row>
    <row r="790" spans="1:31" ht="12" customHeight="1" thickBot="1">
      <c r="A790" s="938"/>
      <c r="B790" s="700" t="s">
        <v>5787</v>
      </c>
      <c r="C790" s="699" t="s">
        <v>5888</v>
      </c>
      <c r="D790" s="699">
        <f t="shared" si="12"/>
        <v>58</v>
      </c>
      <c r="E790" s="702" t="s">
        <v>5</v>
      </c>
      <c r="F790" s="699"/>
      <c r="G790" s="703"/>
      <c r="H790" s="699"/>
      <c r="I790" s="699"/>
      <c r="J790" s="700" t="s">
        <v>16117</v>
      </c>
      <c r="K790" s="699"/>
      <c r="L790" s="699" t="s">
        <v>6</v>
      </c>
      <c r="M790" s="705"/>
      <c r="N790" s="706"/>
      <c r="O790" s="703" t="s">
        <v>16022</v>
      </c>
      <c r="P790" s="707">
        <v>19863</v>
      </c>
      <c r="Q790" s="703" t="s">
        <v>364</v>
      </c>
      <c r="R790" s="703"/>
      <c r="S790" s="703"/>
      <c r="T790" s="703"/>
      <c r="U790" s="702"/>
      <c r="V790" s="702"/>
      <c r="W790" s="702"/>
      <c r="X790" s="702"/>
      <c r="Y790" s="702"/>
      <c r="Z790" s="702"/>
      <c r="AA790" s="702"/>
      <c r="AB790" s="702"/>
      <c r="AC790" s="702"/>
      <c r="AD790" s="708"/>
      <c r="AE790" s="655"/>
    </row>
    <row r="791" spans="1:31" ht="12" customHeight="1">
      <c r="A791" s="936" t="s">
        <v>18223</v>
      </c>
      <c r="B791" s="688" t="s">
        <v>2901</v>
      </c>
      <c r="C791" s="687" t="s">
        <v>2995</v>
      </c>
      <c r="D791" s="687">
        <f t="shared" si="12"/>
        <v>47</v>
      </c>
      <c r="E791" s="696" t="s">
        <v>19</v>
      </c>
      <c r="F791" s="689" t="s">
        <v>15273</v>
      </c>
      <c r="G791" s="747" t="s">
        <v>5062</v>
      </c>
      <c r="H791" s="687"/>
      <c r="I791" s="687"/>
      <c r="J791" s="692" t="s">
        <v>16127</v>
      </c>
      <c r="K791" s="687" t="s">
        <v>44</v>
      </c>
      <c r="L791" s="687" t="s">
        <v>25</v>
      </c>
      <c r="M791" s="748">
        <v>1</v>
      </c>
      <c r="N791" s="749">
        <v>1</v>
      </c>
      <c r="O791" s="747" t="s">
        <v>2996</v>
      </c>
      <c r="P791" s="773">
        <v>24030</v>
      </c>
      <c r="Q791" s="747" t="s">
        <v>2997</v>
      </c>
      <c r="R791" s="747"/>
      <c r="S791" s="747"/>
      <c r="T791" s="747"/>
      <c r="U791" s="696"/>
      <c r="V791" s="696"/>
      <c r="W791" s="696"/>
      <c r="X791" s="696"/>
      <c r="Y791" s="696"/>
      <c r="Z791" s="696"/>
      <c r="AA791" s="696"/>
      <c r="AB791" s="696"/>
      <c r="AC791" s="696"/>
      <c r="AD791" s="697"/>
      <c r="AE791" s="655"/>
    </row>
    <row r="792" spans="1:31" ht="12" customHeight="1">
      <c r="A792" s="937" t="s">
        <v>18220</v>
      </c>
      <c r="B792" s="4" t="s">
        <v>2902</v>
      </c>
      <c r="C792" s="1" t="s">
        <v>2905</v>
      </c>
      <c r="D792" s="1">
        <f t="shared" si="12"/>
        <v>28</v>
      </c>
      <c r="E792" s="2" t="s">
        <v>5</v>
      </c>
      <c r="F792" s="1" t="s">
        <v>15273</v>
      </c>
      <c r="J792" s="8" t="s">
        <v>16120</v>
      </c>
      <c r="K792" s="1" t="s">
        <v>30</v>
      </c>
      <c r="L792" s="1" t="s">
        <v>6</v>
      </c>
      <c r="O792" s="3" t="s">
        <v>2906</v>
      </c>
      <c r="P792" s="20">
        <v>30730</v>
      </c>
      <c r="Q792" s="3" t="s">
        <v>2907</v>
      </c>
      <c r="AD792" s="698"/>
      <c r="AE792" s="655"/>
    </row>
    <row r="793" spans="1:31" ht="12" customHeight="1">
      <c r="A793" s="937" t="s">
        <v>18246</v>
      </c>
      <c r="B793" s="4" t="s">
        <v>2903</v>
      </c>
      <c r="C793" s="1" t="s">
        <v>2908</v>
      </c>
      <c r="D793" s="1">
        <f t="shared" si="12"/>
        <v>69</v>
      </c>
      <c r="E793" s="2" t="s">
        <v>5</v>
      </c>
      <c r="F793" s="1" t="s">
        <v>15273</v>
      </c>
      <c r="G793" s="3" t="s">
        <v>2909</v>
      </c>
      <c r="J793" s="4" t="s">
        <v>16125</v>
      </c>
      <c r="L793" s="1" t="s">
        <v>25</v>
      </c>
      <c r="M793" s="16">
        <v>3</v>
      </c>
      <c r="N793" s="17">
        <v>3</v>
      </c>
      <c r="O793" s="3" t="s">
        <v>2910</v>
      </c>
      <c r="P793" s="20">
        <v>16024</v>
      </c>
      <c r="Q793" s="3" t="s">
        <v>2911</v>
      </c>
      <c r="R793" s="3" t="s">
        <v>16693</v>
      </c>
      <c r="S793" s="3" t="s">
        <v>16093</v>
      </c>
      <c r="T793" s="3" t="s">
        <v>2912</v>
      </c>
      <c r="V793" s="2" t="s">
        <v>2665</v>
      </c>
      <c r="W793" s="2" t="s">
        <v>2888</v>
      </c>
      <c r="AD793" s="698"/>
      <c r="AE793" s="655"/>
    </row>
    <row r="794" spans="1:31" ht="12" customHeight="1" thickBot="1">
      <c r="A794" s="938"/>
      <c r="B794" s="700" t="s">
        <v>2904</v>
      </c>
      <c r="C794" s="699" t="s">
        <v>4025</v>
      </c>
      <c r="D794" s="699">
        <f t="shared" si="12"/>
        <v>54</v>
      </c>
      <c r="E794" s="702" t="s">
        <v>5</v>
      </c>
      <c r="F794" s="699"/>
      <c r="G794" s="703"/>
      <c r="H794" s="699"/>
      <c r="I794" s="699"/>
      <c r="J794" s="700" t="s">
        <v>16117</v>
      </c>
      <c r="K794" s="699"/>
      <c r="L794" s="699" t="s">
        <v>6</v>
      </c>
      <c r="M794" s="705"/>
      <c r="N794" s="706"/>
      <c r="O794" s="703" t="s">
        <v>5886</v>
      </c>
      <c r="P794" s="723">
        <v>21465</v>
      </c>
      <c r="Q794" s="703" t="s">
        <v>5887</v>
      </c>
      <c r="R794" s="703"/>
      <c r="S794" s="703"/>
      <c r="T794" s="703"/>
      <c r="U794" s="702"/>
      <c r="V794" s="702"/>
      <c r="W794" s="702"/>
      <c r="X794" s="702"/>
      <c r="Y794" s="702"/>
      <c r="Z794" s="702"/>
      <c r="AA794" s="702"/>
      <c r="AB794" s="702"/>
      <c r="AC794" s="702"/>
      <c r="AD794" s="708"/>
      <c r="AE794" s="655"/>
    </row>
    <row r="795" spans="1:31" ht="12" customHeight="1">
      <c r="A795" s="936" t="s">
        <v>18245</v>
      </c>
      <c r="B795" s="688" t="s">
        <v>2913</v>
      </c>
      <c r="C795" s="687" t="s">
        <v>2917</v>
      </c>
      <c r="D795" s="687">
        <f t="shared" si="12"/>
        <v>46</v>
      </c>
      <c r="E795" s="696" t="s">
        <v>5</v>
      </c>
      <c r="F795" s="689" t="s">
        <v>15273</v>
      </c>
      <c r="G795" s="747" t="s">
        <v>2918</v>
      </c>
      <c r="H795" s="687"/>
      <c r="I795" s="687"/>
      <c r="J795" s="692" t="s">
        <v>16127</v>
      </c>
      <c r="K795" s="687" t="s">
        <v>44</v>
      </c>
      <c r="L795" s="687" t="s">
        <v>25</v>
      </c>
      <c r="M795" s="748">
        <v>1</v>
      </c>
      <c r="N795" s="749">
        <v>1</v>
      </c>
      <c r="O795" s="747" t="s">
        <v>2663</v>
      </c>
      <c r="P795" s="773">
        <v>24274</v>
      </c>
      <c r="Q795" s="747" t="s">
        <v>2919</v>
      </c>
      <c r="R795" s="747"/>
      <c r="S795" s="747" t="s">
        <v>6214</v>
      </c>
      <c r="T795" s="747"/>
      <c r="U795" s="696"/>
      <c r="V795" s="696"/>
      <c r="W795" s="696"/>
      <c r="X795" s="696"/>
      <c r="Y795" s="696"/>
      <c r="Z795" s="696"/>
      <c r="AA795" s="696"/>
      <c r="AB795" s="696"/>
      <c r="AC795" s="696"/>
      <c r="AD795" s="697"/>
      <c r="AE795" s="655"/>
    </row>
    <row r="796" spans="1:31" ht="12" customHeight="1">
      <c r="A796" s="937" t="s">
        <v>18219</v>
      </c>
      <c r="B796" s="4" t="s">
        <v>2914</v>
      </c>
      <c r="C796" s="1" t="s">
        <v>2920</v>
      </c>
      <c r="D796" s="1">
        <f t="shared" si="12"/>
        <v>47</v>
      </c>
      <c r="E796" s="2" t="s">
        <v>5</v>
      </c>
      <c r="F796" s="1" t="s">
        <v>15273</v>
      </c>
      <c r="J796" s="4" t="s">
        <v>16120</v>
      </c>
      <c r="K796" s="1" t="s">
        <v>48</v>
      </c>
      <c r="L796" s="1" t="s">
        <v>6</v>
      </c>
      <c r="O796" s="3" t="s">
        <v>447</v>
      </c>
      <c r="P796" s="20">
        <v>23794</v>
      </c>
      <c r="Q796" s="3" t="s">
        <v>2922</v>
      </c>
      <c r="T796" s="3" t="s">
        <v>2665</v>
      </c>
      <c r="V796" s="2" t="s">
        <v>2665</v>
      </c>
      <c r="AD796" s="698"/>
      <c r="AE796" s="655"/>
    </row>
    <row r="797" spans="1:31" ht="12" customHeight="1">
      <c r="A797" s="937" t="s">
        <v>18245</v>
      </c>
      <c r="B797" s="4" t="s">
        <v>2915</v>
      </c>
      <c r="C797" s="1" t="s">
        <v>5414</v>
      </c>
      <c r="D797" s="1">
        <f t="shared" si="12"/>
        <v>47</v>
      </c>
      <c r="E797" s="2" t="s">
        <v>5</v>
      </c>
      <c r="F797" s="1" t="s">
        <v>15273</v>
      </c>
      <c r="J797" s="4" t="s">
        <v>16116</v>
      </c>
      <c r="K797" s="1" t="s">
        <v>4422</v>
      </c>
      <c r="L797" s="1" t="s">
        <v>6</v>
      </c>
      <c r="O797" s="3" t="s">
        <v>5361</v>
      </c>
      <c r="P797" s="20">
        <v>23743</v>
      </c>
      <c r="Q797" s="3" t="s">
        <v>5291</v>
      </c>
      <c r="S797" s="3" t="s">
        <v>5948</v>
      </c>
      <c r="T797" s="3" t="s">
        <v>5293</v>
      </c>
      <c r="AA797" s="2" t="s">
        <v>5294</v>
      </c>
      <c r="AB797" s="2" t="s">
        <v>5295</v>
      </c>
      <c r="AD797" s="698"/>
      <c r="AE797" s="655"/>
    </row>
    <row r="798" spans="1:31" ht="12" customHeight="1">
      <c r="A798" s="937"/>
      <c r="B798" s="4" t="s">
        <v>2916</v>
      </c>
      <c r="C798" s="1" t="s">
        <v>2923</v>
      </c>
      <c r="D798" s="1">
        <f t="shared" si="12"/>
        <v>36</v>
      </c>
      <c r="E798" s="2" t="s">
        <v>5</v>
      </c>
      <c r="J798" s="4" t="s">
        <v>16117</v>
      </c>
      <c r="L798" s="1" t="s">
        <v>6</v>
      </c>
      <c r="O798" s="3" t="s">
        <v>2924</v>
      </c>
      <c r="P798" s="20">
        <v>27774</v>
      </c>
      <c r="Q798" s="3" t="s">
        <v>2925</v>
      </c>
      <c r="AD798" s="698"/>
      <c r="AE798" s="655"/>
    </row>
    <row r="799" spans="1:31" ht="12" customHeight="1">
      <c r="A799" s="937"/>
      <c r="B799" s="4" t="s">
        <v>5413</v>
      </c>
      <c r="C799" s="1" t="s">
        <v>2927</v>
      </c>
      <c r="D799" s="1">
        <f t="shared" si="12"/>
        <v>63</v>
      </c>
      <c r="E799" s="2" t="s">
        <v>19</v>
      </c>
      <c r="F799" s="1" t="s">
        <v>15273</v>
      </c>
      <c r="J799" s="4" t="s">
        <v>16121</v>
      </c>
      <c r="L799" s="1" t="s">
        <v>6</v>
      </c>
      <c r="O799" s="3" t="s">
        <v>2926</v>
      </c>
      <c r="P799" s="21">
        <v>17914</v>
      </c>
      <c r="Q799" s="3" t="s">
        <v>2921</v>
      </c>
      <c r="T799" s="3" t="s">
        <v>2665</v>
      </c>
      <c r="V799" s="2" t="s">
        <v>2665</v>
      </c>
      <c r="AD799" s="698"/>
      <c r="AE799" s="655"/>
    </row>
    <row r="800" spans="1:31" ht="12" customHeight="1" thickBot="1">
      <c r="A800" s="938" t="s">
        <v>18245</v>
      </c>
      <c r="B800" s="700" t="s">
        <v>5812</v>
      </c>
      <c r="C800" s="699" t="s">
        <v>5813</v>
      </c>
      <c r="D800" s="699">
        <f t="shared" si="12"/>
        <v>61</v>
      </c>
      <c r="E800" s="702" t="s">
        <v>5</v>
      </c>
      <c r="F800" s="699"/>
      <c r="G800" s="703"/>
      <c r="H800" s="699"/>
      <c r="I800" s="699"/>
      <c r="J800" s="700" t="s">
        <v>16129</v>
      </c>
      <c r="K800" s="699"/>
      <c r="L800" s="699" t="s">
        <v>14</v>
      </c>
      <c r="M800" s="705">
        <v>1</v>
      </c>
      <c r="N800" s="706">
        <v>1</v>
      </c>
      <c r="O800" s="703" t="s">
        <v>5814</v>
      </c>
      <c r="P800" s="723">
        <v>18837</v>
      </c>
      <c r="Q800" s="703" t="s">
        <v>5815</v>
      </c>
      <c r="R800" s="703"/>
      <c r="S800" s="703"/>
      <c r="T800" s="703" t="s">
        <v>145</v>
      </c>
      <c r="U800" s="702"/>
      <c r="V800" s="702" t="s">
        <v>145</v>
      </c>
      <c r="W800" s="702"/>
      <c r="X800" s="702"/>
      <c r="Y800" s="702"/>
      <c r="Z800" s="702"/>
      <c r="AA800" s="702"/>
      <c r="AB800" s="702"/>
      <c r="AC800" s="702"/>
      <c r="AD800" s="708"/>
      <c r="AE800" s="655"/>
    </row>
    <row r="801" spans="1:31" ht="12" customHeight="1">
      <c r="A801" s="936" t="s">
        <v>18223</v>
      </c>
      <c r="B801" s="688" t="s">
        <v>2929</v>
      </c>
      <c r="C801" s="687" t="s">
        <v>5752</v>
      </c>
      <c r="D801" s="687">
        <f t="shared" si="12"/>
        <v>44</v>
      </c>
      <c r="E801" s="696" t="s">
        <v>19</v>
      </c>
      <c r="F801" s="689" t="s">
        <v>15273</v>
      </c>
      <c r="G801" s="747"/>
      <c r="H801" s="687"/>
      <c r="I801" s="687"/>
      <c r="J801" s="692" t="s">
        <v>16126</v>
      </c>
      <c r="K801" s="687" t="s">
        <v>44</v>
      </c>
      <c r="L801" s="687" t="s">
        <v>6</v>
      </c>
      <c r="M801" s="748"/>
      <c r="N801" s="749"/>
      <c r="O801" s="747" t="s">
        <v>5834</v>
      </c>
      <c r="P801" s="773">
        <v>24916</v>
      </c>
      <c r="Q801" s="747" t="s">
        <v>5835</v>
      </c>
      <c r="R801" s="747"/>
      <c r="S801" s="747"/>
      <c r="T801" s="747"/>
      <c r="U801" s="696"/>
      <c r="V801" s="696"/>
      <c r="W801" s="696"/>
      <c r="X801" s="696"/>
      <c r="Y801" s="696"/>
      <c r="Z801" s="696"/>
      <c r="AA801" s="696"/>
      <c r="AB801" s="696"/>
      <c r="AC801" s="696"/>
      <c r="AD801" s="697"/>
      <c r="AE801" s="655"/>
    </row>
    <row r="802" spans="1:31" ht="12" customHeight="1">
      <c r="A802" s="937" t="s">
        <v>18219</v>
      </c>
      <c r="B802" s="4" t="s">
        <v>2930</v>
      </c>
      <c r="C802" s="1" t="s">
        <v>2934</v>
      </c>
      <c r="D802" s="1">
        <f t="shared" si="12"/>
        <v>65</v>
      </c>
      <c r="E802" s="2" t="s">
        <v>5</v>
      </c>
      <c r="F802" s="1" t="s">
        <v>15273</v>
      </c>
      <c r="G802" s="3" t="s">
        <v>2935</v>
      </c>
      <c r="J802" s="4" t="s">
        <v>16120</v>
      </c>
      <c r="K802" s="1" t="s">
        <v>30</v>
      </c>
      <c r="L802" s="1" t="s">
        <v>25</v>
      </c>
      <c r="M802" s="16">
        <v>9</v>
      </c>
      <c r="N802" s="17">
        <v>9</v>
      </c>
      <c r="O802" s="3" t="s">
        <v>31</v>
      </c>
      <c r="P802" s="20">
        <v>17486</v>
      </c>
      <c r="Q802" s="3" t="s">
        <v>2936</v>
      </c>
      <c r="R802" s="3" t="s">
        <v>2938</v>
      </c>
      <c r="S802" s="3" t="s">
        <v>5457</v>
      </c>
      <c r="T802" s="3" t="s">
        <v>104</v>
      </c>
      <c r="AA802" s="2" t="s">
        <v>2937</v>
      </c>
      <c r="AD802" s="698"/>
      <c r="AE802" s="655"/>
    </row>
    <row r="803" spans="1:31" ht="12" customHeight="1">
      <c r="A803" s="937" t="s">
        <v>18245</v>
      </c>
      <c r="B803" s="4" t="s">
        <v>2931</v>
      </c>
      <c r="C803" s="1" t="s">
        <v>5214</v>
      </c>
      <c r="D803" s="1">
        <f t="shared" si="12"/>
        <v>58</v>
      </c>
      <c r="E803" s="2" t="s">
        <v>5</v>
      </c>
      <c r="F803" s="1" t="s">
        <v>15273</v>
      </c>
      <c r="J803" s="4" t="s">
        <v>16116</v>
      </c>
      <c r="K803" s="1" t="s">
        <v>4422</v>
      </c>
      <c r="L803" s="1" t="s">
        <v>6</v>
      </c>
      <c r="O803" s="3" t="s">
        <v>5215</v>
      </c>
      <c r="P803" s="20">
        <v>19852</v>
      </c>
      <c r="Q803" s="3" t="s">
        <v>5216</v>
      </c>
      <c r="T803" s="3" t="s">
        <v>5217</v>
      </c>
      <c r="V803" s="2" t="s">
        <v>145</v>
      </c>
      <c r="W803" s="2" t="s">
        <v>5218</v>
      </c>
      <c r="AD803" s="698"/>
      <c r="AE803" s="655"/>
    </row>
    <row r="804" spans="1:31" ht="12" customHeight="1" thickBot="1">
      <c r="A804" s="938"/>
      <c r="B804" s="700" t="s">
        <v>2932</v>
      </c>
      <c r="C804" s="699" t="s">
        <v>2939</v>
      </c>
      <c r="D804" s="699">
        <f t="shared" si="12"/>
        <v>60</v>
      </c>
      <c r="E804" s="702" t="s">
        <v>19</v>
      </c>
      <c r="F804" s="699"/>
      <c r="G804" s="703"/>
      <c r="H804" s="699"/>
      <c r="I804" s="699"/>
      <c r="J804" s="700" t="s">
        <v>16117</v>
      </c>
      <c r="K804" s="699"/>
      <c r="L804" s="699" t="s">
        <v>6</v>
      </c>
      <c r="M804" s="705"/>
      <c r="N804" s="706"/>
      <c r="O804" s="703" t="s">
        <v>2940</v>
      </c>
      <c r="P804" s="707">
        <v>19120</v>
      </c>
      <c r="Q804" s="703" t="s">
        <v>2941</v>
      </c>
      <c r="R804" s="703"/>
      <c r="S804" s="703"/>
      <c r="T804" s="703" t="s">
        <v>2942</v>
      </c>
      <c r="U804" s="702"/>
      <c r="V804" s="702" t="s">
        <v>2942</v>
      </c>
      <c r="W804" s="702"/>
      <c r="X804" s="702"/>
      <c r="Y804" s="702"/>
      <c r="Z804" s="702"/>
      <c r="AA804" s="702"/>
      <c r="AB804" s="702"/>
      <c r="AC804" s="702"/>
      <c r="AD804" s="708"/>
      <c r="AE804" s="655"/>
    </row>
    <row r="805" spans="1:31" ht="12" customHeight="1">
      <c r="A805" s="936" t="s">
        <v>18220</v>
      </c>
      <c r="B805" s="688" t="s">
        <v>2943</v>
      </c>
      <c r="C805" s="687" t="s">
        <v>2946</v>
      </c>
      <c r="D805" s="687">
        <f t="shared" si="12"/>
        <v>62</v>
      </c>
      <c r="E805" s="696" t="s">
        <v>5</v>
      </c>
      <c r="F805" s="689" t="s">
        <v>15273</v>
      </c>
      <c r="G805" s="747" t="s">
        <v>2947</v>
      </c>
      <c r="H805" s="687"/>
      <c r="I805" s="687"/>
      <c r="J805" s="692" t="s">
        <v>16127</v>
      </c>
      <c r="K805" s="687" t="s">
        <v>604</v>
      </c>
      <c r="L805" s="687" t="s">
        <v>25</v>
      </c>
      <c r="M805" s="748">
        <v>5</v>
      </c>
      <c r="N805" s="749">
        <v>5</v>
      </c>
      <c r="O805" s="747" t="s">
        <v>1551</v>
      </c>
      <c r="P805" s="773">
        <v>18424</v>
      </c>
      <c r="Q805" s="747" t="s">
        <v>2948</v>
      </c>
      <c r="R805" s="747" t="s">
        <v>2949</v>
      </c>
      <c r="S805" s="747" t="s">
        <v>6214</v>
      </c>
      <c r="T805" s="747" t="s">
        <v>2942</v>
      </c>
      <c r="U805" s="696"/>
      <c r="V805" s="696" t="s">
        <v>2942</v>
      </c>
      <c r="W805" s="696"/>
      <c r="X805" s="696"/>
      <c r="Y805" s="696"/>
      <c r="Z805" s="696"/>
      <c r="AA805" s="696"/>
      <c r="AB805" s="696"/>
      <c r="AC805" s="696"/>
      <c r="AD805" s="697"/>
      <c r="AE805" s="655"/>
    </row>
    <row r="806" spans="1:31" ht="12" customHeight="1">
      <c r="A806" s="937" t="s">
        <v>18246</v>
      </c>
      <c r="B806" s="4" t="s">
        <v>2944</v>
      </c>
      <c r="C806" s="1" t="s">
        <v>2950</v>
      </c>
      <c r="D806" s="1">
        <f t="shared" si="12"/>
        <v>42</v>
      </c>
      <c r="E806" s="2" t="s">
        <v>5</v>
      </c>
      <c r="F806" s="1" t="s">
        <v>15273</v>
      </c>
      <c r="J806" s="8" t="s">
        <v>16120</v>
      </c>
      <c r="K806" s="1" t="s">
        <v>30</v>
      </c>
      <c r="L806" s="1" t="s">
        <v>6</v>
      </c>
      <c r="O806" s="3" t="s">
        <v>2951</v>
      </c>
      <c r="P806" s="20">
        <v>25696</v>
      </c>
      <c r="Q806" s="3" t="s">
        <v>2954</v>
      </c>
      <c r="AD806" s="698"/>
      <c r="AE806" s="655"/>
    </row>
    <row r="807" spans="1:31" ht="12" customHeight="1">
      <c r="A807" s="937" t="s">
        <v>18223</v>
      </c>
      <c r="B807" s="4" t="s">
        <v>2945</v>
      </c>
      <c r="C807" s="1" t="s">
        <v>5416</v>
      </c>
      <c r="D807" s="1">
        <f t="shared" si="12"/>
        <v>45</v>
      </c>
      <c r="E807" s="2" t="s">
        <v>5</v>
      </c>
      <c r="F807" s="1" t="s">
        <v>15273</v>
      </c>
      <c r="J807" s="4" t="s">
        <v>16116</v>
      </c>
      <c r="K807" s="1" t="s">
        <v>5298</v>
      </c>
      <c r="L807" s="1" t="s">
        <v>6</v>
      </c>
      <c r="O807" s="3" t="s">
        <v>31</v>
      </c>
      <c r="P807" s="20">
        <v>24667</v>
      </c>
      <c r="Q807" s="3" t="s">
        <v>5417</v>
      </c>
      <c r="S807" s="3" t="s">
        <v>6155</v>
      </c>
      <c r="AD807" s="698"/>
      <c r="AE807" s="655"/>
    </row>
    <row r="808" spans="1:31" ht="12" customHeight="1">
      <c r="A808" s="937"/>
      <c r="B808" s="4" t="s">
        <v>5415</v>
      </c>
      <c r="C808" s="1" t="s">
        <v>2952</v>
      </c>
      <c r="D808" s="1">
        <f t="shared" si="12"/>
        <v>38</v>
      </c>
      <c r="E808" s="2" t="s">
        <v>5</v>
      </c>
      <c r="J808" s="4" t="s">
        <v>16117</v>
      </c>
      <c r="L808" s="1" t="s">
        <v>6</v>
      </c>
      <c r="O808" s="3" t="s">
        <v>2953</v>
      </c>
      <c r="P808" s="20">
        <v>27194</v>
      </c>
      <c r="Q808" s="3" t="s">
        <v>2955</v>
      </c>
      <c r="AD808" s="698"/>
      <c r="AE808" s="655"/>
    </row>
    <row r="809" spans="1:31" ht="12" customHeight="1" thickBot="1">
      <c r="A809" s="938"/>
      <c r="B809" s="700" t="s">
        <v>16023</v>
      </c>
      <c r="C809" s="699" t="s">
        <v>16024</v>
      </c>
      <c r="D809" s="699">
        <f t="shared" si="12"/>
        <v>65</v>
      </c>
      <c r="E809" s="702" t="s">
        <v>5</v>
      </c>
      <c r="F809" s="699"/>
      <c r="G809" s="703"/>
      <c r="H809" s="699"/>
      <c r="I809" s="699"/>
      <c r="J809" s="700" t="s">
        <v>16129</v>
      </c>
      <c r="K809" s="699"/>
      <c r="L809" s="699" t="s">
        <v>6</v>
      </c>
      <c r="M809" s="705"/>
      <c r="N809" s="706"/>
      <c r="O809" s="703" t="s">
        <v>16025</v>
      </c>
      <c r="P809" s="707">
        <v>17244</v>
      </c>
      <c r="Q809" s="703" t="s">
        <v>16026</v>
      </c>
      <c r="R809" s="703"/>
      <c r="S809" s="703"/>
      <c r="T809" s="703"/>
      <c r="U809" s="702"/>
      <c r="V809" s="702"/>
      <c r="W809" s="702"/>
      <c r="X809" s="702"/>
      <c r="Y809" s="702"/>
      <c r="Z809" s="702"/>
      <c r="AA809" s="702"/>
      <c r="AB809" s="702"/>
      <c r="AC809" s="702"/>
      <c r="AD809" s="708"/>
      <c r="AE809" s="655"/>
    </row>
    <row r="810" spans="1:31" ht="12" customHeight="1">
      <c r="A810" s="936" t="s">
        <v>18219</v>
      </c>
      <c r="B810" s="688" t="s">
        <v>2956</v>
      </c>
      <c r="C810" s="687" t="s">
        <v>2959</v>
      </c>
      <c r="D810" s="687">
        <f t="shared" si="12"/>
        <v>59</v>
      </c>
      <c r="E810" s="696" t="s">
        <v>5</v>
      </c>
      <c r="F810" s="689" t="s">
        <v>15273</v>
      </c>
      <c r="G810" s="747" t="s">
        <v>2960</v>
      </c>
      <c r="H810" s="687"/>
      <c r="I810" s="687"/>
      <c r="J810" s="692" t="s">
        <v>16127</v>
      </c>
      <c r="K810" s="687" t="s">
        <v>604</v>
      </c>
      <c r="L810" s="687" t="s">
        <v>25</v>
      </c>
      <c r="M810" s="748">
        <v>7</v>
      </c>
      <c r="N810" s="749">
        <v>7</v>
      </c>
      <c r="O810" s="747" t="s">
        <v>2961</v>
      </c>
      <c r="P810" s="773">
        <v>19554</v>
      </c>
      <c r="Q810" s="747" t="s">
        <v>2962</v>
      </c>
      <c r="R810" s="747" t="s">
        <v>2963</v>
      </c>
      <c r="S810" s="747"/>
      <c r="T810" s="747" t="s">
        <v>2964</v>
      </c>
      <c r="U810" s="696" t="s">
        <v>47</v>
      </c>
      <c r="V810" s="696"/>
      <c r="W810" s="696"/>
      <c r="X810" s="696"/>
      <c r="Y810" s="696"/>
      <c r="Z810" s="696"/>
      <c r="AA810" s="696" t="s">
        <v>2937</v>
      </c>
      <c r="AB810" s="696"/>
      <c r="AC810" s="696"/>
      <c r="AD810" s="697"/>
      <c r="AE810" s="655"/>
    </row>
    <row r="811" spans="1:31" ht="12" customHeight="1">
      <c r="A811" s="937" t="s">
        <v>18245</v>
      </c>
      <c r="B811" s="4" t="s">
        <v>2957</v>
      </c>
      <c r="C811" s="1" t="s">
        <v>2965</v>
      </c>
      <c r="D811" s="1">
        <f t="shared" si="12"/>
        <v>56</v>
      </c>
      <c r="E811" s="2" t="s">
        <v>5</v>
      </c>
      <c r="F811" s="1" t="s">
        <v>15273</v>
      </c>
      <c r="J811" s="4" t="s">
        <v>16120</v>
      </c>
      <c r="K811" s="1" t="s">
        <v>30</v>
      </c>
      <c r="L811" s="1" t="s">
        <v>6</v>
      </c>
      <c r="O811" s="3" t="s">
        <v>15</v>
      </c>
      <c r="P811" s="20">
        <v>20560</v>
      </c>
      <c r="Q811" s="3" t="s">
        <v>2966</v>
      </c>
      <c r="AD811" s="698"/>
      <c r="AE811" s="655"/>
    </row>
    <row r="812" spans="1:31" ht="12" customHeight="1" thickBot="1">
      <c r="A812" s="938"/>
      <c r="B812" s="700" t="s">
        <v>2958</v>
      </c>
      <c r="C812" s="699" t="s">
        <v>5068</v>
      </c>
      <c r="D812" s="699">
        <f t="shared" si="12"/>
        <v>30</v>
      </c>
      <c r="E812" s="702" t="s">
        <v>5</v>
      </c>
      <c r="F812" s="699"/>
      <c r="G812" s="703"/>
      <c r="H812" s="699"/>
      <c r="I812" s="699"/>
      <c r="J812" s="700" t="s">
        <v>16117</v>
      </c>
      <c r="K812" s="699"/>
      <c r="L812" s="699" t="s">
        <v>6</v>
      </c>
      <c r="M812" s="705"/>
      <c r="N812" s="706"/>
      <c r="O812" s="703" t="s">
        <v>5280</v>
      </c>
      <c r="P812" s="707">
        <v>29974</v>
      </c>
      <c r="Q812" s="703" t="s">
        <v>5069</v>
      </c>
      <c r="R812" s="703"/>
      <c r="S812" s="703"/>
      <c r="T812" s="703"/>
      <c r="U812" s="702"/>
      <c r="V812" s="702"/>
      <c r="W812" s="702"/>
      <c r="X812" s="702"/>
      <c r="Y812" s="702"/>
      <c r="Z812" s="702"/>
      <c r="AA812" s="702"/>
      <c r="AB812" s="702"/>
      <c r="AC812" s="702"/>
      <c r="AD812" s="708"/>
      <c r="AE812" s="655"/>
    </row>
    <row r="813" spans="1:31" ht="12" customHeight="1">
      <c r="A813" s="936" t="s">
        <v>18245</v>
      </c>
      <c r="B813" s="688" t="s">
        <v>2967</v>
      </c>
      <c r="C813" s="687" t="s">
        <v>2970</v>
      </c>
      <c r="D813" s="687">
        <f t="shared" si="12"/>
        <v>63</v>
      </c>
      <c r="E813" s="696" t="s">
        <v>5</v>
      </c>
      <c r="F813" s="689" t="s">
        <v>15273</v>
      </c>
      <c r="G813" s="747" t="s">
        <v>2971</v>
      </c>
      <c r="H813" s="687"/>
      <c r="I813" s="687"/>
      <c r="J813" s="692" t="s">
        <v>16126</v>
      </c>
      <c r="K813" s="687" t="s">
        <v>44</v>
      </c>
      <c r="L813" s="687" t="s">
        <v>25</v>
      </c>
      <c r="M813" s="748">
        <v>2</v>
      </c>
      <c r="N813" s="749">
        <v>2</v>
      </c>
      <c r="O813" s="747" t="s">
        <v>2972</v>
      </c>
      <c r="P813" s="773">
        <v>18170</v>
      </c>
      <c r="Q813" s="747" t="s">
        <v>2973</v>
      </c>
      <c r="R813" s="747" t="s">
        <v>347</v>
      </c>
      <c r="S813" s="747" t="s">
        <v>6214</v>
      </c>
      <c r="T813" s="747" t="s">
        <v>2942</v>
      </c>
      <c r="U813" s="696"/>
      <c r="V813" s="696" t="s">
        <v>2942</v>
      </c>
      <c r="W813" s="696"/>
      <c r="X813" s="696"/>
      <c r="Y813" s="696"/>
      <c r="Z813" s="696"/>
      <c r="AA813" s="696"/>
      <c r="AB813" s="696"/>
      <c r="AC813" s="696"/>
      <c r="AD813" s="697"/>
      <c r="AE813" s="655"/>
    </row>
    <row r="814" spans="1:31" ht="12" customHeight="1">
      <c r="A814" s="937" t="s">
        <v>18219</v>
      </c>
      <c r="B814" s="4" t="s">
        <v>2968</v>
      </c>
      <c r="C814" s="1" t="s">
        <v>2975</v>
      </c>
      <c r="D814" s="1">
        <f t="shared" si="12"/>
        <v>48</v>
      </c>
      <c r="E814" s="2" t="s">
        <v>5</v>
      </c>
      <c r="F814" s="1" t="s">
        <v>15273</v>
      </c>
      <c r="G814" s="3" t="s">
        <v>2974</v>
      </c>
      <c r="J814" s="4" t="s">
        <v>16120</v>
      </c>
      <c r="K814" s="1" t="s">
        <v>13</v>
      </c>
      <c r="L814" s="1" t="s">
        <v>25</v>
      </c>
      <c r="M814" s="16">
        <v>5</v>
      </c>
      <c r="N814" s="17">
        <v>5</v>
      </c>
      <c r="O814" s="3" t="s">
        <v>2976</v>
      </c>
      <c r="P814" s="20">
        <v>23726</v>
      </c>
      <c r="Q814" s="3" t="s">
        <v>2977</v>
      </c>
      <c r="R814" s="3" t="s">
        <v>2978</v>
      </c>
      <c r="S814" s="3" t="s">
        <v>5457</v>
      </c>
      <c r="T814" s="3" t="s">
        <v>104</v>
      </c>
      <c r="AA814" s="2" t="s">
        <v>2937</v>
      </c>
      <c r="AD814" s="698"/>
      <c r="AE814" s="655"/>
    </row>
    <row r="815" spans="1:31" ht="12" customHeight="1" thickBot="1">
      <c r="A815" s="938"/>
      <c r="B815" s="700" t="s">
        <v>2969</v>
      </c>
      <c r="C815" s="699" t="s">
        <v>2979</v>
      </c>
      <c r="D815" s="699">
        <f t="shared" si="12"/>
        <v>45</v>
      </c>
      <c r="E815" s="702" t="s">
        <v>5</v>
      </c>
      <c r="F815" s="699"/>
      <c r="G815" s="703"/>
      <c r="H815" s="699"/>
      <c r="I815" s="699"/>
      <c r="J815" s="700" t="s">
        <v>16117</v>
      </c>
      <c r="K815" s="699"/>
      <c r="L815" s="699" t="s">
        <v>6</v>
      </c>
      <c r="M815" s="705"/>
      <c r="N815" s="706"/>
      <c r="O815" s="703" t="s">
        <v>2980</v>
      </c>
      <c r="P815" s="723">
        <v>24731</v>
      </c>
      <c r="Q815" s="703" t="s">
        <v>2981</v>
      </c>
      <c r="R815" s="703"/>
      <c r="S815" s="703"/>
      <c r="T815" s="703"/>
      <c r="U815" s="702"/>
      <c r="V815" s="702"/>
      <c r="W815" s="702"/>
      <c r="X815" s="702"/>
      <c r="Y815" s="702"/>
      <c r="Z815" s="702"/>
      <c r="AA815" s="702"/>
      <c r="AB815" s="702"/>
      <c r="AC815" s="702"/>
      <c r="AD815" s="708"/>
      <c r="AE815" s="655"/>
    </row>
    <row r="816" spans="1:31" ht="12" customHeight="1">
      <c r="A816" s="936" t="s">
        <v>18223</v>
      </c>
      <c r="B816" s="688" t="s">
        <v>2982</v>
      </c>
      <c r="C816" s="687" t="s">
        <v>2985</v>
      </c>
      <c r="D816" s="687">
        <f t="shared" si="12"/>
        <v>36</v>
      </c>
      <c r="E816" s="696" t="s">
        <v>5</v>
      </c>
      <c r="F816" s="689" t="s">
        <v>15273</v>
      </c>
      <c r="G816" s="747" t="s">
        <v>2986</v>
      </c>
      <c r="H816" s="687"/>
      <c r="I816" s="687"/>
      <c r="J816" s="692" t="s">
        <v>16127</v>
      </c>
      <c r="K816" s="687" t="s">
        <v>44</v>
      </c>
      <c r="L816" s="687" t="s">
        <v>25</v>
      </c>
      <c r="M816" s="748">
        <v>1</v>
      </c>
      <c r="N816" s="749">
        <v>1</v>
      </c>
      <c r="O816" s="747" t="s">
        <v>95</v>
      </c>
      <c r="P816" s="773">
        <v>28029</v>
      </c>
      <c r="Q816" s="747" t="s">
        <v>2987</v>
      </c>
      <c r="R816" s="747"/>
      <c r="S816" s="747" t="s">
        <v>6214</v>
      </c>
      <c r="T816" s="747"/>
      <c r="U816" s="696"/>
      <c r="V816" s="696"/>
      <c r="W816" s="696"/>
      <c r="X816" s="696"/>
      <c r="Y816" s="696"/>
      <c r="Z816" s="696"/>
      <c r="AA816" s="696"/>
      <c r="AB816" s="696"/>
      <c r="AC816" s="696"/>
      <c r="AD816" s="697"/>
      <c r="AE816" s="655"/>
    </row>
    <row r="817" spans="1:31" ht="12" customHeight="1">
      <c r="A817" s="937" t="s">
        <v>18218</v>
      </c>
      <c r="B817" s="4" t="s">
        <v>2983</v>
      </c>
      <c r="C817" s="1" t="s">
        <v>2988</v>
      </c>
      <c r="D817" s="1">
        <f t="shared" si="12"/>
        <v>62</v>
      </c>
      <c r="E817" s="2" t="s">
        <v>5</v>
      </c>
      <c r="G817" s="3" t="s">
        <v>2989</v>
      </c>
      <c r="J817" s="8" t="s">
        <v>16120</v>
      </c>
      <c r="K817" s="1" t="s">
        <v>476</v>
      </c>
      <c r="L817" s="1" t="s">
        <v>25</v>
      </c>
      <c r="M817" s="16">
        <v>3</v>
      </c>
      <c r="N817" s="17">
        <v>3</v>
      </c>
      <c r="O817" s="3" t="s">
        <v>302</v>
      </c>
      <c r="P817" s="20">
        <v>18610</v>
      </c>
      <c r="Q817" s="3" t="s">
        <v>2990</v>
      </c>
      <c r="R817" s="3" t="s">
        <v>2489</v>
      </c>
      <c r="S817" s="3" t="s">
        <v>5457</v>
      </c>
      <c r="T817" s="3" t="s">
        <v>2991</v>
      </c>
      <c r="U817" s="2" t="s">
        <v>47</v>
      </c>
      <c r="AD817" s="698"/>
      <c r="AE817" s="655"/>
    </row>
    <row r="818" spans="1:31" ht="12" customHeight="1" thickBot="1">
      <c r="A818" s="938"/>
      <c r="B818" s="700" t="s">
        <v>2984</v>
      </c>
      <c r="C818" s="699" t="s">
        <v>2992</v>
      </c>
      <c r="D818" s="699">
        <f t="shared" si="12"/>
        <v>48</v>
      </c>
      <c r="E818" s="702" t="s">
        <v>5</v>
      </c>
      <c r="F818" s="699"/>
      <c r="G818" s="703"/>
      <c r="H818" s="699"/>
      <c r="I818" s="699"/>
      <c r="J818" s="700" t="s">
        <v>16117</v>
      </c>
      <c r="K818" s="699"/>
      <c r="L818" s="699" t="s">
        <v>6</v>
      </c>
      <c r="M818" s="705"/>
      <c r="N818" s="706"/>
      <c r="O818" s="703" t="s">
        <v>2993</v>
      </c>
      <c r="P818" s="723">
        <v>23482</v>
      </c>
      <c r="Q818" s="703" t="s">
        <v>2994</v>
      </c>
      <c r="R818" s="703"/>
      <c r="S818" s="703"/>
      <c r="T818" s="703"/>
      <c r="U818" s="702"/>
      <c r="V818" s="702"/>
      <c r="W818" s="702"/>
      <c r="X818" s="702"/>
      <c r="Y818" s="702"/>
      <c r="Z818" s="702"/>
      <c r="AA818" s="702"/>
      <c r="AB818" s="702"/>
      <c r="AC818" s="702"/>
      <c r="AD818" s="708"/>
      <c r="AE818" s="655"/>
    </row>
    <row r="819" spans="1:31" ht="12" customHeight="1">
      <c r="A819" s="936" t="s">
        <v>18246</v>
      </c>
      <c r="B819" s="688" t="s">
        <v>3025</v>
      </c>
      <c r="C819" s="687" t="s">
        <v>3028</v>
      </c>
      <c r="D819" s="687">
        <f t="shared" si="12"/>
        <v>67</v>
      </c>
      <c r="E819" s="696" t="s">
        <v>5</v>
      </c>
      <c r="F819" s="689" t="s">
        <v>15273</v>
      </c>
      <c r="G819" s="747" t="s">
        <v>3029</v>
      </c>
      <c r="H819" s="687"/>
      <c r="I819" s="687"/>
      <c r="J819" s="692" t="s">
        <v>16127</v>
      </c>
      <c r="K819" s="687" t="s">
        <v>3030</v>
      </c>
      <c r="L819" s="687" t="s">
        <v>25</v>
      </c>
      <c r="M819" s="748">
        <v>8</v>
      </c>
      <c r="N819" s="749">
        <v>8</v>
      </c>
      <c r="O819" s="747" t="s">
        <v>1282</v>
      </c>
      <c r="P819" s="773">
        <v>16461</v>
      </c>
      <c r="Q819" s="747" t="s">
        <v>3031</v>
      </c>
      <c r="R819" s="747" t="s">
        <v>3033</v>
      </c>
      <c r="S819" s="747" t="s">
        <v>6214</v>
      </c>
      <c r="T819" s="747" t="s">
        <v>3032</v>
      </c>
      <c r="U819" s="696"/>
      <c r="V819" s="696"/>
      <c r="W819" s="696"/>
      <c r="X819" s="696"/>
      <c r="Y819" s="696"/>
      <c r="Z819" s="696"/>
      <c r="AA819" s="696"/>
      <c r="AB819" s="696"/>
      <c r="AC819" s="696"/>
      <c r="AD819" s="697" t="s">
        <v>3032</v>
      </c>
      <c r="AE819" s="655"/>
    </row>
    <row r="820" spans="1:31" ht="12" customHeight="1">
      <c r="A820" s="937" t="s">
        <v>18220</v>
      </c>
      <c r="B820" s="4" t="s">
        <v>3026</v>
      </c>
      <c r="C820" s="1" t="s">
        <v>3034</v>
      </c>
      <c r="D820" s="1">
        <f t="shared" si="12"/>
        <v>40</v>
      </c>
      <c r="E820" s="2" t="s">
        <v>5</v>
      </c>
      <c r="F820" s="1" t="s">
        <v>15273</v>
      </c>
      <c r="J820" s="4" t="s">
        <v>16120</v>
      </c>
      <c r="K820" s="1" t="s">
        <v>30</v>
      </c>
      <c r="L820" s="1" t="s">
        <v>6</v>
      </c>
      <c r="O820" s="3" t="s">
        <v>188</v>
      </c>
      <c r="P820" s="20">
        <v>26405</v>
      </c>
      <c r="Q820" s="3" t="s">
        <v>3035</v>
      </c>
      <c r="S820" s="3" t="s">
        <v>5457</v>
      </c>
      <c r="T820" s="3" t="s">
        <v>3036</v>
      </c>
      <c r="V820" s="2" t="s">
        <v>3036</v>
      </c>
      <c r="AD820" s="698"/>
      <c r="AE820" s="655"/>
    </row>
    <row r="821" spans="1:31" ht="12" customHeight="1">
      <c r="A821" s="937" t="s">
        <v>18223</v>
      </c>
      <c r="B821" s="4" t="s">
        <v>3027</v>
      </c>
      <c r="C821" s="1" t="s">
        <v>5027</v>
      </c>
      <c r="D821" s="1">
        <f t="shared" si="12"/>
        <v>49</v>
      </c>
      <c r="E821" s="2" t="s">
        <v>5</v>
      </c>
      <c r="F821" s="1" t="s">
        <v>15273</v>
      </c>
      <c r="J821" s="4" t="s">
        <v>16116</v>
      </c>
      <c r="K821" s="1" t="s">
        <v>4997</v>
      </c>
      <c r="L821" s="1" t="s">
        <v>6</v>
      </c>
      <c r="O821" s="3" t="s">
        <v>6158</v>
      </c>
      <c r="P821" s="20">
        <v>23263</v>
      </c>
      <c r="Q821" s="3" t="s">
        <v>5028</v>
      </c>
      <c r="S821" s="3" t="s">
        <v>5948</v>
      </c>
      <c r="AD821" s="698"/>
      <c r="AE821" s="655"/>
    </row>
    <row r="822" spans="1:31" ht="12" customHeight="1">
      <c r="A822" s="937"/>
      <c r="B822" s="4" t="s">
        <v>5026</v>
      </c>
      <c r="C822" s="1" t="s">
        <v>3037</v>
      </c>
      <c r="D822" s="1">
        <f t="shared" si="12"/>
        <v>54</v>
      </c>
      <c r="E822" s="2" t="s">
        <v>19</v>
      </c>
      <c r="F822" s="1" t="s">
        <v>15273</v>
      </c>
      <c r="J822" s="4" t="s">
        <v>16117</v>
      </c>
      <c r="L822" s="1" t="s">
        <v>6</v>
      </c>
      <c r="O822" s="3" t="s">
        <v>3038</v>
      </c>
      <c r="P822" s="20">
        <v>21287</v>
      </c>
      <c r="Q822" s="3" t="s">
        <v>3039</v>
      </c>
      <c r="T822" s="3" t="s">
        <v>3036</v>
      </c>
      <c r="V822" s="2" t="s">
        <v>3036</v>
      </c>
      <c r="AD822" s="698"/>
      <c r="AE822" s="655"/>
    </row>
    <row r="823" spans="1:31" ht="12" customHeight="1" thickBot="1">
      <c r="A823" s="938"/>
      <c r="B823" s="700" t="s">
        <v>16027</v>
      </c>
      <c r="C823" s="699" t="s">
        <v>16028</v>
      </c>
      <c r="D823" s="699">
        <f t="shared" si="12"/>
        <v>55</v>
      </c>
      <c r="E823" s="702" t="s">
        <v>5</v>
      </c>
      <c r="F823" s="699"/>
      <c r="G823" s="703"/>
      <c r="H823" s="699"/>
      <c r="I823" s="699"/>
      <c r="J823" s="704" t="s">
        <v>16129</v>
      </c>
      <c r="K823" s="699"/>
      <c r="L823" s="699" t="s">
        <v>6</v>
      </c>
      <c r="M823" s="705"/>
      <c r="N823" s="706"/>
      <c r="O823" s="703" t="s">
        <v>16029</v>
      </c>
      <c r="P823" s="707">
        <v>21069</v>
      </c>
      <c r="Q823" s="703" t="s">
        <v>16030</v>
      </c>
      <c r="R823" s="703"/>
      <c r="S823" s="703"/>
      <c r="T823" s="703"/>
      <c r="U823" s="702"/>
      <c r="V823" s="702"/>
      <c r="W823" s="702"/>
      <c r="X823" s="702"/>
      <c r="Y823" s="702"/>
      <c r="Z823" s="702"/>
      <c r="AA823" s="702"/>
      <c r="AB823" s="702"/>
      <c r="AC823" s="702"/>
      <c r="AD823" s="708"/>
      <c r="AE823" s="655"/>
    </row>
    <row r="824" spans="1:31" ht="12" customHeight="1">
      <c r="A824" s="936" t="s">
        <v>18246</v>
      </c>
      <c r="B824" s="688" t="s">
        <v>3040</v>
      </c>
      <c r="C824" s="687" t="s">
        <v>3044</v>
      </c>
      <c r="D824" s="687">
        <f t="shared" si="12"/>
        <v>50</v>
      </c>
      <c r="E824" s="696" t="s">
        <v>5</v>
      </c>
      <c r="F824" s="689" t="s">
        <v>15273</v>
      </c>
      <c r="G824" s="747" t="s">
        <v>3045</v>
      </c>
      <c r="H824" s="687"/>
      <c r="I824" s="687"/>
      <c r="J824" s="692" t="s">
        <v>16126</v>
      </c>
      <c r="K824" s="687" t="s">
        <v>3046</v>
      </c>
      <c r="L824" s="687" t="s">
        <v>25</v>
      </c>
      <c r="M824" s="748">
        <v>3</v>
      </c>
      <c r="N824" s="749">
        <v>3</v>
      </c>
      <c r="O824" s="747" t="s">
        <v>3047</v>
      </c>
      <c r="P824" s="773">
        <v>22812</v>
      </c>
      <c r="Q824" s="747" t="s">
        <v>3048</v>
      </c>
      <c r="R824" s="747" t="s">
        <v>3049</v>
      </c>
      <c r="S824" s="747" t="s">
        <v>6214</v>
      </c>
      <c r="T824" s="747" t="s">
        <v>3036</v>
      </c>
      <c r="U824" s="696"/>
      <c r="V824" s="696" t="s">
        <v>3036</v>
      </c>
      <c r="W824" s="696"/>
      <c r="X824" s="696"/>
      <c r="Y824" s="696"/>
      <c r="Z824" s="696"/>
      <c r="AA824" s="696"/>
      <c r="AB824" s="696"/>
      <c r="AC824" s="696"/>
      <c r="AD824" s="697"/>
      <c r="AE824" s="655"/>
    </row>
    <row r="825" spans="1:31" ht="12" customHeight="1">
      <c r="A825" s="937" t="s">
        <v>18220</v>
      </c>
      <c r="B825" s="4" t="s">
        <v>3041</v>
      </c>
      <c r="C825" s="1" t="s">
        <v>3050</v>
      </c>
      <c r="D825" s="1">
        <f t="shared" si="12"/>
        <v>47</v>
      </c>
      <c r="E825" s="2" t="s">
        <v>5</v>
      </c>
      <c r="F825" s="1" t="s">
        <v>15273</v>
      </c>
      <c r="J825" s="4" t="s">
        <v>16120</v>
      </c>
      <c r="K825" s="1" t="s">
        <v>934</v>
      </c>
      <c r="L825" s="1" t="s">
        <v>14</v>
      </c>
      <c r="M825" s="16">
        <v>1</v>
      </c>
      <c r="N825" s="17">
        <v>1</v>
      </c>
      <c r="O825" s="3" t="s">
        <v>3051</v>
      </c>
      <c r="P825" s="20">
        <v>23957</v>
      </c>
      <c r="Q825" s="3" t="s">
        <v>3053</v>
      </c>
      <c r="S825" s="3" t="s">
        <v>5457</v>
      </c>
      <c r="T825" s="3" t="s">
        <v>3052</v>
      </c>
      <c r="U825" s="2" t="s">
        <v>47</v>
      </c>
      <c r="AD825" s="698"/>
      <c r="AE825" s="655"/>
    </row>
    <row r="826" spans="1:31" ht="12" customHeight="1">
      <c r="A826" s="937" t="s">
        <v>18223</v>
      </c>
      <c r="B826" s="4" t="s">
        <v>3042</v>
      </c>
      <c r="C826" s="1" t="s">
        <v>3057</v>
      </c>
      <c r="D826" s="1">
        <f t="shared" si="12"/>
        <v>52</v>
      </c>
      <c r="E826" s="2" t="s">
        <v>5</v>
      </c>
      <c r="F826" s="1" t="s">
        <v>15273</v>
      </c>
      <c r="J826" s="4" t="s">
        <v>16128</v>
      </c>
      <c r="L826" s="1" t="s">
        <v>6</v>
      </c>
      <c r="O826" s="3" t="s">
        <v>3051</v>
      </c>
      <c r="P826" s="20">
        <v>21931</v>
      </c>
      <c r="Q826" s="3" t="s">
        <v>3058</v>
      </c>
      <c r="S826" s="3" t="s">
        <v>6031</v>
      </c>
      <c r="T826" s="3" t="s">
        <v>3052</v>
      </c>
      <c r="U826" s="2" t="s">
        <v>47</v>
      </c>
      <c r="AD826" s="698"/>
      <c r="AE826" s="655"/>
    </row>
    <row r="827" spans="1:31" ht="12" customHeight="1" thickBot="1">
      <c r="A827" s="938"/>
      <c r="B827" s="700" t="s">
        <v>3043</v>
      </c>
      <c r="C827" s="699" t="s">
        <v>3054</v>
      </c>
      <c r="D827" s="699">
        <f t="shared" si="12"/>
        <v>54</v>
      </c>
      <c r="E827" s="702" t="s">
        <v>19</v>
      </c>
      <c r="F827" s="699"/>
      <c r="G827" s="703"/>
      <c r="H827" s="699"/>
      <c r="I827" s="699"/>
      <c r="J827" s="700" t="s">
        <v>16117</v>
      </c>
      <c r="K827" s="699"/>
      <c r="L827" s="699" t="s">
        <v>6</v>
      </c>
      <c r="M827" s="705"/>
      <c r="N827" s="706"/>
      <c r="O827" s="703" t="s">
        <v>3055</v>
      </c>
      <c r="P827" s="707">
        <v>21186</v>
      </c>
      <c r="Q827" s="703" t="s">
        <v>3056</v>
      </c>
      <c r="R827" s="703"/>
      <c r="S827" s="703"/>
      <c r="T827" s="703" t="s">
        <v>69</v>
      </c>
      <c r="U827" s="702"/>
      <c r="V827" s="702"/>
      <c r="W827" s="702"/>
      <c r="X827" s="702"/>
      <c r="Y827" s="702"/>
      <c r="Z827" s="702"/>
      <c r="AA827" s="702"/>
      <c r="AB827" s="702"/>
      <c r="AC827" s="702"/>
      <c r="AD827" s="708" t="s">
        <v>3032</v>
      </c>
      <c r="AE827" s="655"/>
    </row>
    <row r="828" spans="1:31" ht="12" customHeight="1">
      <c r="A828" s="936" t="s">
        <v>18220</v>
      </c>
      <c r="B828" s="688" t="s">
        <v>3059</v>
      </c>
      <c r="C828" s="687" t="s">
        <v>3062</v>
      </c>
      <c r="D828" s="687">
        <f t="shared" si="12"/>
        <v>41</v>
      </c>
      <c r="E828" s="696" t="s">
        <v>5</v>
      </c>
      <c r="F828" s="689" t="s">
        <v>15273</v>
      </c>
      <c r="G828" s="747" t="s">
        <v>3063</v>
      </c>
      <c r="H828" s="687"/>
      <c r="I828" s="687"/>
      <c r="J828" s="692" t="s">
        <v>16127</v>
      </c>
      <c r="K828" s="687" t="s">
        <v>3030</v>
      </c>
      <c r="L828" s="687" t="s">
        <v>25</v>
      </c>
      <c r="M828" s="748">
        <v>3</v>
      </c>
      <c r="N828" s="749">
        <v>3</v>
      </c>
      <c r="O828" s="747" t="s">
        <v>447</v>
      </c>
      <c r="P828" s="773">
        <v>26077</v>
      </c>
      <c r="Q828" s="747" t="s">
        <v>16664</v>
      </c>
      <c r="R828" s="747" t="s">
        <v>3066</v>
      </c>
      <c r="S828" s="747" t="s">
        <v>6214</v>
      </c>
      <c r="T828" s="747" t="s">
        <v>3064</v>
      </c>
      <c r="U828" s="696"/>
      <c r="V828" s="696"/>
      <c r="W828" s="696"/>
      <c r="X828" s="696"/>
      <c r="Y828" s="696"/>
      <c r="Z828" s="696"/>
      <c r="AA828" s="696"/>
      <c r="AB828" s="696"/>
      <c r="AC828" s="696" t="s">
        <v>3065</v>
      </c>
      <c r="AD828" s="697" t="s">
        <v>3032</v>
      </c>
      <c r="AE828" s="655"/>
    </row>
    <row r="829" spans="1:31" ht="12" customHeight="1">
      <c r="A829" s="937" t="s">
        <v>18246</v>
      </c>
      <c r="B829" s="4" t="s">
        <v>3060</v>
      </c>
      <c r="C829" s="1" t="s">
        <v>3067</v>
      </c>
      <c r="D829" s="1">
        <f t="shared" si="12"/>
        <v>40</v>
      </c>
      <c r="E829" s="2" t="s">
        <v>5</v>
      </c>
      <c r="F829" s="1" t="s">
        <v>15273</v>
      </c>
      <c r="J829" s="8" t="s">
        <v>16120</v>
      </c>
      <c r="K829" s="1" t="s">
        <v>30</v>
      </c>
      <c r="L829" s="1" t="s">
        <v>6</v>
      </c>
      <c r="O829" s="3" t="s">
        <v>31</v>
      </c>
      <c r="P829" s="20">
        <v>26319</v>
      </c>
      <c r="Q829" s="3" t="s">
        <v>3068</v>
      </c>
      <c r="S829" s="3" t="s">
        <v>5457</v>
      </c>
      <c r="AD829" s="698"/>
      <c r="AE829" s="655"/>
    </row>
    <row r="830" spans="1:31" ht="12" customHeight="1">
      <c r="A830" s="937" t="s">
        <v>18223</v>
      </c>
      <c r="B830" s="4" t="s">
        <v>3061</v>
      </c>
      <c r="C830" s="1" t="s">
        <v>5419</v>
      </c>
      <c r="D830" s="1">
        <f t="shared" si="12"/>
        <v>44</v>
      </c>
      <c r="E830" s="2" t="s">
        <v>5</v>
      </c>
      <c r="F830" s="1" t="s">
        <v>15273</v>
      </c>
      <c r="J830" s="4" t="s">
        <v>16116</v>
      </c>
      <c r="K830" s="1" t="s">
        <v>5298</v>
      </c>
      <c r="L830" s="1" t="s">
        <v>6</v>
      </c>
      <c r="O830" s="3" t="s">
        <v>245</v>
      </c>
      <c r="P830" s="20">
        <v>24936</v>
      </c>
      <c r="Q830" s="3" t="s">
        <v>5420</v>
      </c>
      <c r="S830" s="3" t="s">
        <v>5948</v>
      </c>
      <c r="T830" s="3" t="s">
        <v>5305</v>
      </c>
      <c r="V830" s="2" t="s">
        <v>5305</v>
      </c>
      <c r="AD830" s="698"/>
      <c r="AE830" s="655"/>
    </row>
    <row r="831" spans="1:31" ht="12" customHeight="1" thickBot="1">
      <c r="A831" s="938"/>
      <c r="B831" s="700" t="s">
        <v>5418</v>
      </c>
      <c r="C831" s="699" t="s">
        <v>3069</v>
      </c>
      <c r="D831" s="699">
        <f t="shared" si="12"/>
        <v>65</v>
      </c>
      <c r="E831" s="702" t="s">
        <v>5</v>
      </c>
      <c r="F831" s="699"/>
      <c r="G831" s="703"/>
      <c r="H831" s="699"/>
      <c r="I831" s="699"/>
      <c r="J831" s="700" t="s">
        <v>16117</v>
      </c>
      <c r="K831" s="699"/>
      <c r="L831" s="699" t="s">
        <v>6</v>
      </c>
      <c r="M831" s="705"/>
      <c r="N831" s="706"/>
      <c r="O831" s="703" t="s">
        <v>3070</v>
      </c>
      <c r="P831" s="707">
        <v>17377</v>
      </c>
      <c r="Q831" s="703" t="s">
        <v>3071</v>
      </c>
      <c r="R831" s="703"/>
      <c r="S831" s="703"/>
      <c r="T831" s="703" t="s">
        <v>3072</v>
      </c>
      <c r="U831" s="702"/>
      <c r="V831" s="702" t="s">
        <v>3036</v>
      </c>
      <c r="W831" s="702"/>
      <c r="X831" s="702"/>
      <c r="Y831" s="702"/>
      <c r="Z831" s="702"/>
      <c r="AA831" s="702"/>
      <c r="AB831" s="702"/>
      <c r="AC831" s="702"/>
      <c r="AD831" s="708" t="s">
        <v>3032</v>
      </c>
      <c r="AE831" s="655"/>
    </row>
    <row r="832" spans="1:31" ht="12" customHeight="1">
      <c r="A832" s="936" t="s">
        <v>18246</v>
      </c>
      <c r="B832" s="688" t="s">
        <v>3073</v>
      </c>
      <c r="C832" s="687" t="s">
        <v>3077</v>
      </c>
      <c r="D832" s="687">
        <f t="shared" si="12"/>
        <v>68</v>
      </c>
      <c r="E832" s="696" t="s">
        <v>5</v>
      </c>
      <c r="F832" s="689" t="s">
        <v>15273</v>
      </c>
      <c r="G832" s="747" t="s">
        <v>3078</v>
      </c>
      <c r="H832" s="687"/>
      <c r="I832" s="687"/>
      <c r="J832" s="692" t="s">
        <v>16127</v>
      </c>
      <c r="K832" s="687" t="s">
        <v>3046</v>
      </c>
      <c r="L832" s="687" t="s">
        <v>25</v>
      </c>
      <c r="M832" s="748">
        <v>3</v>
      </c>
      <c r="N832" s="749">
        <v>5</v>
      </c>
      <c r="O832" s="747" t="s">
        <v>3079</v>
      </c>
      <c r="P832" s="773">
        <v>16294</v>
      </c>
      <c r="Q832" s="747" t="s">
        <v>3080</v>
      </c>
      <c r="R832" s="747" t="s">
        <v>3081</v>
      </c>
      <c r="S832" s="747" t="s">
        <v>6214</v>
      </c>
      <c r="T832" s="747" t="s">
        <v>375</v>
      </c>
      <c r="U832" s="696"/>
      <c r="V832" s="696" t="s">
        <v>3036</v>
      </c>
      <c r="W832" s="696"/>
      <c r="X832" s="696" t="s">
        <v>3082</v>
      </c>
      <c r="Y832" s="696"/>
      <c r="Z832" s="696"/>
      <c r="AA832" s="696"/>
      <c r="AB832" s="696"/>
      <c r="AC832" s="696"/>
      <c r="AD832" s="697"/>
      <c r="AE832" s="655"/>
    </row>
    <row r="833" spans="1:31" ht="12" customHeight="1">
      <c r="A833" s="937" t="s">
        <v>18220</v>
      </c>
      <c r="B833" s="4" t="s">
        <v>3074</v>
      </c>
      <c r="C833" s="1" t="s">
        <v>3083</v>
      </c>
      <c r="D833" s="1">
        <f t="shared" si="12"/>
        <v>33</v>
      </c>
      <c r="E833" s="2" t="s">
        <v>5</v>
      </c>
      <c r="F833" s="1" t="s">
        <v>15273</v>
      </c>
      <c r="J833" s="4" t="s">
        <v>16120</v>
      </c>
      <c r="K833" s="1" t="s">
        <v>30</v>
      </c>
      <c r="L833" s="1" t="s">
        <v>6</v>
      </c>
      <c r="O833" s="3" t="s">
        <v>3084</v>
      </c>
      <c r="P833" s="20">
        <v>29000</v>
      </c>
      <c r="Q833" s="3" t="s">
        <v>3085</v>
      </c>
      <c r="S833" s="3" t="s">
        <v>5457</v>
      </c>
      <c r="AD833" s="698"/>
      <c r="AE833" s="655"/>
    </row>
    <row r="834" spans="1:31" ht="12" customHeight="1">
      <c r="A834" s="937" t="s">
        <v>18245</v>
      </c>
      <c r="B834" s="4" t="s">
        <v>3075</v>
      </c>
      <c r="C834" s="1" t="s">
        <v>5030</v>
      </c>
      <c r="D834" s="1">
        <f t="shared" ref="D834:D897" si="13">DATEDIF(P834,$P$1298,"Y")</f>
        <v>39</v>
      </c>
      <c r="E834" s="2" t="s">
        <v>5</v>
      </c>
      <c r="F834" s="1" t="s">
        <v>15273</v>
      </c>
      <c r="J834" s="4" t="s">
        <v>16116</v>
      </c>
      <c r="K834" s="1" t="s">
        <v>5031</v>
      </c>
      <c r="L834" s="1" t="s">
        <v>6</v>
      </c>
      <c r="O834" s="3" t="s">
        <v>16031</v>
      </c>
      <c r="P834" s="20">
        <v>26910</v>
      </c>
      <c r="Q834" s="3" t="s">
        <v>5032</v>
      </c>
      <c r="S834" s="3" t="s">
        <v>5948</v>
      </c>
      <c r="T834" s="3" t="s">
        <v>4935</v>
      </c>
      <c r="AA834" s="2" t="s">
        <v>4935</v>
      </c>
      <c r="AD834" s="698"/>
      <c r="AE834" s="655"/>
    </row>
    <row r="835" spans="1:31" ht="12" customHeight="1">
      <c r="A835" s="937"/>
      <c r="B835" s="4" t="s">
        <v>3076</v>
      </c>
      <c r="C835" s="1" t="s">
        <v>3086</v>
      </c>
      <c r="D835" s="1">
        <f t="shared" si="13"/>
        <v>34</v>
      </c>
      <c r="E835" s="2" t="s">
        <v>5</v>
      </c>
      <c r="J835" s="4" t="s">
        <v>16117</v>
      </c>
      <c r="L835" s="1" t="s">
        <v>6</v>
      </c>
      <c r="O835" s="3" t="s">
        <v>3087</v>
      </c>
      <c r="P835" s="20">
        <v>28491</v>
      </c>
      <c r="Q835" s="3" t="s">
        <v>3088</v>
      </c>
      <c r="T835" s="3" t="s">
        <v>3032</v>
      </c>
      <c r="AD835" s="698" t="s">
        <v>3032</v>
      </c>
      <c r="AE835" s="655"/>
    </row>
    <row r="836" spans="1:31" ht="12" customHeight="1" thickBot="1">
      <c r="A836" s="938" t="s">
        <v>18223</v>
      </c>
      <c r="B836" s="700" t="s">
        <v>5029</v>
      </c>
      <c r="C836" s="699" t="s">
        <v>3089</v>
      </c>
      <c r="D836" s="699">
        <f t="shared" si="13"/>
        <v>54</v>
      </c>
      <c r="E836" s="702" t="s">
        <v>5</v>
      </c>
      <c r="F836" s="699"/>
      <c r="G836" s="703"/>
      <c r="H836" s="699"/>
      <c r="I836" s="699"/>
      <c r="J836" s="700" t="s">
        <v>16129</v>
      </c>
      <c r="K836" s="699"/>
      <c r="L836" s="699" t="s">
        <v>14</v>
      </c>
      <c r="M836" s="705">
        <v>2</v>
      </c>
      <c r="N836" s="706">
        <v>2</v>
      </c>
      <c r="O836" s="703" t="s">
        <v>3090</v>
      </c>
      <c r="P836" s="707">
        <v>21419</v>
      </c>
      <c r="Q836" s="703" t="s">
        <v>3091</v>
      </c>
      <c r="R836" s="703" t="s">
        <v>3092</v>
      </c>
      <c r="S836" s="703"/>
      <c r="T836" s="703" t="s">
        <v>3093</v>
      </c>
      <c r="U836" s="702"/>
      <c r="V836" s="702"/>
      <c r="W836" s="702"/>
      <c r="X836" s="702"/>
      <c r="Y836" s="702"/>
      <c r="Z836" s="702"/>
      <c r="AA836" s="702" t="s">
        <v>3093</v>
      </c>
      <c r="AB836" s="702"/>
      <c r="AC836" s="702"/>
      <c r="AD836" s="708"/>
      <c r="AE836" s="655"/>
    </row>
    <row r="837" spans="1:31" ht="12" customHeight="1">
      <c r="A837" s="936" t="s">
        <v>18223</v>
      </c>
      <c r="B837" s="688" t="s">
        <v>3094</v>
      </c>
      <c r="C837" s="687" t="s">
        <v>3099</v>
      </c>
      <c r="D837" s="687">
        <f t="shared" si="13"/>
        <v>33</v>
      </c>
      <c r="E837" s="696" t="s">
        <v>19</v>
      </c>
      <c r="F837" s="689" t="s">
        <v>15273</v>
      </c>
      <c r="G837" s="747"/>
      <c r="H837" s="687"/>
      <c r="I837" s="687"/>
      <c r="J837" s="692" t="s">
        <v>16126</v>
      </c>
      <c r="K837" s="687" t="s">
        <v>44</v>
      </c>
      <c r="L837" s="687" t="s">
        <v>6</v>
      </c>
      <c r="M837" s="748"/>
      <c r="N837" s="749"/>
      <c r="O837" s="747" t="s">
        <v>3100</v>
      </c>
      <c r="P837" s="773">
        <v>28965</v>
      </c>
      <c r="Q837" s="747" t="s">
        <v>3101</v>
      </c>
      <c r="R837" s="747"/>
      <c r="S837" s="747"/>
      <c r="T837" s="747" t="s">
        <v>3036</v>
      </c>
      <c r="U837" s="696"/>
      <c r="V837" s="696" t="s">
        <v>3036</v>
      </c>
      <c r="W837" s="696"/>
      <c r="X837" s="696"/>
      <c r="Y837" s="696"/>
      <c r="Z837" s="696"/>
      <c r="AA837" s="696"/>
      <c r="AB837" s="696"/>
      <c r="AC837" s="696"/>
      <c r="AD837" s="697"/>
      <c r="AE837" s="655"/>
    </row>
    <row r="838" spans="1:31" ht="12" customHeight="1">
      <c r="A838" s="937" t="s">
        <v>18219</v>
      </c>
      <c r="B838" s="4" t="s">
        <v>3095</v>
      </c>
      <c r="C838" s="1" t="s">
        <v>3102</v>
      </c>
      <c r="D838" s="1">
        <f t="shared" si="13"/>
        <v>74</v>
      </c>
      <c r="E838" s="2" t="s">
        <v>5</v>
      </c>
      <c r="G838" s="3" t="s">
        <v>3103</v>
      </c>
      <c r="J838" s="4" t="s">
        <v>16120</v>
      </c>
      <c r="K838" s="1" t="s">
        <v>65</v>
      </c>
      <c r="L838" s="1" t="s">
        <v>25</v>
      </c>
      <c r="M838" s="16">
        <v>9</v>
      </c>
      <c r="N838" s="17">
        <v>9</v>
      </c>
      <c r="O838" s="3" t="s">
        <v>3051</v>
      </c>
      <c r="P838" s="20">
        <v>13889</v>
      </c>
      <c r="Q838" s="3" t="s">
        <v>3104</v>
      </c>
      <c r="R838" s="3" t="s">
        <v>3105</v>
      </c>
      <c r="S838" s="3" t="s">
        <v>5457</v>
      </c>
      <c r="T838" s="3" t="s">
        <v>3052</v>
      </c>
      <c r="U838" s="2" t="s">
        <v>47</v>
      </c>
      <c r="AD838" s="698"/>
      <c r="AE838" s="655"/>
    </row>
    <row r="839" spans="1:31" ht="12" customHeight="1">
      <c r="A839" s="937" t="s">
        <v>18223</v>
      </c>
      <c r="B839" s="4" t="s">
        <v>3096</v>
      </c>
      <c r="C839" s="1" t="s">
        <v>5627</v>
      </c>
      <c r="D839" s="1">
        <f t="shared" si="13"/>
        <v>60</v>
      </c>
      <c r="E839" s="2" t="s">
        <v>5</v>
      </c>
      <c r="F839" s="1" t="s">
        <v>15273</v>
      </c>
      <c r="J839" s="4" t="s">
        <v>16116</v>
      </c>
      <c r="K839" s="1" t="s">
        <v>276</v>
      </c>
      <c r="L839" s="1" t="s">
        <v>6</v>
      </c>
      <c r="O839" s="3" t="s">
        <v>3291</v>
      </c>
      <c r="P839" s="20">
        <v>19047</v>
      </c>
      <c r="Q839" s="3" t="s">
        <v>5628</v>
      </c>
      <c r="T839" s="3" t="s">
        <v>5463</v>
      </c>
      <c r="V839" s="2" t="s">
        <v>5463</v>
      </c>
      <c r="AD839" s="698"/>
      <c r="AE839" s="655"/>
    </row>
    <row r="840" spans="1:31" ht="12" customHeight="1">
      <c r="A840" s="937" t="s">
        <v>18245</v>
      </c>
      <c r="B840" s="4" t="s">
        <v>3097</v>
      </c>
      <c r="C840" s="1" t="s">
        <v>3112</v>
      </c>
      <c r="D840" s="1">
        <f t="shared" si="13"/>
        <v>53</v>
      </c>
      <c r="E840" s="2" t="s">
        <v>5</v>
      </c>
      <c r="F840" s="1" t="s">
        <v>15273</v>
      </c>
      <c r="G840" s="3" t="s">
        <v>3113</v>
      </c>
      <c r="J840" s="4" t="s">
        <v>16128</v>
      </c>
      <c r="L840" s="1" t="s">
        <v>25</v>
      </c>
      <c r="M840" s="16">
        <v>1</v>
      </c>
      <c r="N840" s="17">
        <v>1</v>
      </c>
      <c r="O840" s="3" t="s">
        <v>3114</v>
      </c>
      <c r="P840" s="20">
        <v>21741</v>
      </c>
      <c r="Q840" s="3" t="s">
        <v>3115</v>
      </c>
      <c r="T840" s="3" t="s">
        <v>3116</v>
      </c>
      <c r="Z840" s="2" t="s">
        <v>3116</v>
      </c>
      <c r="AD840" s="698"/>
      <c r="AE840" s="655"/>
    </row>
    <row r="841" spans="1:31" ht="12" customHeight="1">
      <c r="A841" s="937" t="s">
        <v>18245</v>
      </c>
      <c r="B841" s="4" t="s">
        <v>3098</v>
      </c>
      <c r="C841" s="1" t="s">
        <v>3106</v>
      </c>
      <c r="D841" s="1">
        <f t="shared" si="13"/>
        <v>65</v>
      </c>
      <c r="E841" s="2" t="s">
        <v>5</v>
      </c>
      <c r="F841" s="1" t="s">
        <v>15273</v>
      </c>
      <c r="G841" s="3" t="s">
        <v>3107</v>
      </c>
      <c r="J841" s="4" t="s">
        <v>16117</v>
      </c>
      <c r="L841" s="1" t="s">
        <v>25</v>
      </c>
      <c r="M841" s="16">
        <v>6</v>
      </c>
      <c r="N841" s="17">
        <v>6</v>
      </c>
      <c r="O841" s="3" t="s">
        <v>7</v>
      </c>
      <c r="P841" s="20">
        <v>17178</v>
      </c>
      <c r="Q841" s="3" t="s">
        <v>3108</v>
      </c>
      <c r="R841" s="3" t="s">
        <v>3109</v>
      </c>
      <c r="T841" s="3" t="s">
        <v>3036</v>
      </c>
      <c r="V841" s="2" t="s">
        <v>145</v>
      </c>
      <c r="AD841" s="698"/>
      <c r="AE841" s="655"/>
    </row>
    <row r="842" spans="1:31" ht="12" customHeight="1" thickBot="1">
      <c r="A842" s="938"/>
      <c r="B842" s="700" t="s">
        <v>5421</v>
      </c>
      <c r="C842" s="699" t="s">
        <v>3110</v>
      </c>
      <c r="D842" s="699">
        <f t="shared" si="13"/>
        <v>36</v>
      </c>
      <c r="E842" s="702" t="s">
        <v>5</v>
      </c>
      <c r="F842" s="699"/>
      <c r="G842" s="703"/>
      <c r="H842" s="699"/>
      <c r="I842" s="699"/>
      <c r="J842" s="700" t="s">
        <v>16122</v>
      </c>
      <c r="K842" s="699" t="s">
        <v>22</v>
      </c>
      <c r="L842" s="699" t="s">
        <v>6</v>
      </c>
      <c r="M842" s="705"/>
      <c r="N842" s="706"/>
      <c r="O842" s="703" t="s">
        <v>3051</v>
      </c>
      <c r="P842" s="707">
        <v>27870</v>
      </c>
      <c r="Q842" s="703" t="s">
        <v>3111</v>
      </c>
      <c r="R842" s="703"/>
      <c r="S842" s="703"/>
      <c r="T842" s="703"/>
      <c r="U842" s="702"/>
      <c r="V842" s="702"/>
      <c r="W842" s="702"/>
      <c r="X842" s="702"/>
      <c r="Y842" s="702"/>
      <c r="Z842" s="702"/>
      <c r="AA842" s="702"/>
      <c r="AB842" s="702"/>
      <c r="AC842" s="702"/>
      <c r="AD842" s="708"/>
      <c r="AE842" s="655"/>
    </row>
    <row r="843" spans="1:31" ht="12" customHeight="1">
      <c r="A843" s="936" t="s">
        <v>18219</v>
      </c>
      <c r="B843" s="688" t="s">
        <v>3117</v>
      </c>
      <c r="C843" s="687" t="s">
        <v>3120</v>
      </c>
      <c r="D843" s="687">
        <f t="shared" si="13"/>
        <v>50</v>
      </c>
      <c r="E843" s="696" t="s">
        <v>5</v>
      </c>
      <c r="F843" s="689" t="s">
        <v>15273</v>
      </c>
      <c r="G843" s="747" t="s">
        <v>3121</v>
      </c>
      <c r="H843" s="687"/>
      <c r="I843" s="687"/>
      <c r="J843" s="692" t="s">
        <v>16127</v>
      </c>
      <c r="K843" s="687" t="s">
        <v>3046</v>
      </c>
      <c r="L843" s="687" t="s">
        <v>25</v>
      </c>
      <c r="M843" s="748">
        <v>6</v>
      </c>
      <c r="N843" s="749">
        <v>6</v>
      </c>
      <c r="O843" s="747" t="s">
        <v>3051</v>
      </c>
      <c r="P843" s="773">
        <v>22766</v>
      </c>
      <c r="Q843" s="747" t="s">
        <v>16665</v>
      </c>
      <c r="R843" s="747" t="s">
        <v>3123</v>
      </c>
      <c r="S843" s="747" t="s">
        <v>6214</v>
      </c>
      <c r="T843" s="747" t="s">
        <v>3122</v>
      </c>
      <c r="U843" s="696"/>
      <c r="V843" s="696" t="s">
        <v>3036</v>
      </c>
      <c r="W843" s="696"/>
      <c r="X843" s="696"/>
      <c r="Y843" s="696"/>
      <c r="Z843" s="696"/>
      <c r="AA843" s="696"/>
      <c r="AB843" s="696"/>
      <c r="AC843" s="696" t="s">
        <v>3065</v>
      </c>
      <c r="AD843" s="697"/>
      <c r="AE843" s="655"/>
    </row>
    <row r="844" spans="1:31" ht="12" customHeight="1">
      <c r="A844" s="937" t="s">
        <v>18245</v>
      </c>
      <c r="B844" s="4" t="s">
        <v>3118</v>
      </c>
      <c r="C844" s="1" t="s">
        <v>3124</v>
      </c>
      <c r="D844" s="1">
        <f t="shared" si="13"/>
        <v>50</v>
      </c>
      <c r="E844" s="2" t="s">
        <v>5</v>
      </c>
      <c r="F844" s="1" t="s">
        <v>15273</v>
      </c>
      <c r="J844" s="8" t="s">
        <v>16120</v>
      </c>
      <c r="K844" s="1" t="s">
        <v>30</v>
      </c>
      <c r="L844" s="1" t="s">
        <v>6</v>
      </c>
      <c r="O844" s="3" t="s">
        <v>2085</v>
      </c>
      <c r="P844" s="20">
        <v>22864</v>
      </c>
      <c r="Q844" s="3" t="s">
        <v>3125</v>
      </c>
      <c r="AD844" s="698"/>
      <c r="AE844" s="655"/>
    </row>
    <row r="845" spans="1:31" ht="12" customHeight="1">
      <c r="A845" s="937" t="s">
        <v>18223</v>
      </c>
      <c r="B845" s="4" t="s">
        <v>3119</v>
      </c>
      <c r="C845" s="1" t="s">
        <v>3126</v>
      </c>
      <c r="D845" s="1">
        <f t="shared" si="13"/>
        <v>45</v>
      </c>
      <c r="E845" s="2" t="s">
        <v>5</v>
      </c>
      <c r="J845" s="4" t="s">
        <v>16117</v>
      </c>
      <c r="L845" s="1" t="s">
        <v>6</v>
      </c>
      <c r="O845" s="3" t="s">
        <v>3051</v>
      </c>
      <c r="P845" s="20">
        <v>24639</v>
      </c>
      <c r="Q845" s="3" t="s">
        <v>3127</v>
      </c>
      <c r="AD845" s="698"/>
      <c r="AE845" s="655"/>
    </row>
    <row r="846" spans="1:31" ht="12" customHeight="1" thickBot="1">
      <c r="A846" s="938"/>
      <c r="B846" s="700" t="s">
        <v>5466</v>
      </c>
      <c r="C846" s="699" t="s">
        <v>5467</v>
      </c>
      <c r="D846" s="699">
        <f t="shared" si="13"/>
        <v>33</v>
      </c>
      <c r="E846" s="702" t="s">
        <v>5</v>
      </c>
      <c r="F846" s="699" t="s">
        <v>15273</v>
      </c>
      <c r="G846" s="703"/>
      <c r="H846" s="699"/>
      <c r="I846" s="699"/>
      <c r="J846" s="704" t="s">
        <v>16121</v>
      </c>
      <c r="K846" s="699"/>
      <c r="L846" s="699" t="s">
        <v>6</v>
      </c>
      <c r="M846" s="705"/>
      <c r="N846" s="706"/>
      <c r="O846" s="703" t="s">
        <v>5468</v>
      </c>
      <c r="P846" s="723">
        <v>28981</v>
      </c>
      <c r="Q846" s="703" t="s">
        <v>5469</v>
      </c>
      <c r="R846" s="703"/>
      <c r="S846" s="703"/>
      <c r="T846" s="703"/>
      <c r="U846" s="702"/>
      <c r="V846" s="702"/>
      <c r="W846" s="702"/>
      <c r="X846" s="702"/>
      <c r="Y846" s="702"/>
      <c r="Z846" s="702"/>
      <c r="AA846" s="702"/>
      <c r="AB846" s="702"/>
      <c r="AC846" s="702"/>
      <c r="AD846" s="708"/>
      <c r="AE846" s="655"/>
    </row>
    <row r="847" spans="1:31" ht="12" customHeight="1">
      <c r="A847" s="936" t="s">
        <v>18246</v>
      </c>
      <c r="B847" s="688" t="s">
        <v>3128</v>
      </c>
      <c r="C847" s="687" t="s">
        <v>3132</v>
      </c>
      <c r="D847" s="687">
        <f t="shared" si="13"/>
        <v>38</v>
      </c>
      <c r="E847" s="696" t="s">
        <v>5</v>
      </c>
      <c r="F847" s="689" t="s">
        <v>15273</v>
      </c>
      <c r="G847" s="747" t="s">
        <v>3133</v>
      </c>
      <c r="H847" s="687"/>
      <c r="I847" s="687"/>
      <c r="J847" s="692" t="s">
        <v>16127</v>
      </c>
      <c r="K847" s="687" t="s">
        <v>44</v>
      </c>
      <c r="L847" s="687" t="s">
        <v>25</v>
      </c>
      <c r="M847" s="748">
        <v>3</v>
      </c>
      <c r="N847" s="749">
        <v>3</v>
      </c>
      <c r="O847" s="747" t="s">
        <v>7</v>
      </c>
      <c r="P847" s="773">
        <v>27239</v>
      </c>
      <c r="Q847" s="747" t="s">
        <v>3134</v>
      </c>
      <c r="R847" s="747" t="s">
        <v>3135</v>
      </c>
      <c r="S847" s="747" t="s">
        <v>6214</v>
      </c>
      <c r="T847" s="747"/>
      <c r="U847" s="696"/>
      <c r="V847" s="696"/>
      <c r="W847" s="696"/>
      <c r="X847" s="696"/>
      <c r="Y847" s="696"/>
      <c r="Z847" s="696"/>
      <c r="AA847" s="696"/>
      <c r="AB847" s="696"/>
      <c r="AC847" s="696"/>
      <c r="AD847" s="697"/>
      <c r="AE847" s="655"/>
    </row>
    <row r="848" spans="1:31" ht="12" customHeight="1">
      <c r="A848" s="937" t="s">
        <v>18220</v>
      </c>
      <c r="B848" s="4" t="s">
        <v>3129</v>
      </c>
      <c r="C848" s="1" t="s">
        <v>3136</v>
      </c>
      <c r="D848" s="1">
        <f t="shared" si="13"/>
        <v>31</v>
      </c>
      <c r="E848" s="2" t="s">
        <v>5</v>
      </c>
      <c r="F848" s="1" t="s">
        <v>15273</v>
      </c>
      <c r="J848" s="4" t="s">
        <v>16120</v>
      </c>
      <c r="K848" s="1" t="s">
        <v>30</v>
      </c>
      <c r="L848" s="1" t="s">
        <v>6</v>
      </c>
      <c r="O848" s="3" t="s">
        <v>188</v>
      </c>
      <c r="P848" s="20">
        <v>29603</v>
      </c>
      <c r="Q848" s="3" t="s">
        <v>3137</v>
      </c>
      <c r="AD848" s="698"/>
      <c r="AE848" s="655"/>
    </row>
    <row r="849" spans="1:31" ht="12" customHeight="1">
      <c r="A849" s="937" t="s">
        <v>18223</v>
      </c>
      <c r="B849" s="4" t="s">
        <v>3130</v>
      </c>
      <c r="C849" s="1" t="s">
        <v>5522</v>
      </c>
      <c r="D849" s="1">
        <f t="shared" si="13"/>
        <v>47</v>
      </c>
      <c r="E849" s="2" t="s">
        <v>5</v>
      </c>
      <c r="F849" s="1" t="s">
        <v>15273</v>
      </c>
      <c r="J849" s="4" t="s">
        <v>16116</v>
      </c>
      <c r="K849" s="1" t="s">
        <v>5515</v>
      </c>
      <c r="L849" s="1" t="s">
        <v>6</v>
      </c>
      <c r="O849" s="3" t="s">
        <v>5468</v>
      </c>
      <c r="P849" s="21">
        <v>24013</v>
      </c>
      <c r="Q849" s="3" t="s">
        <v>5523</v>
      </c>
      <c r="S849" s="3" t="s">
        <v>5948</v>
      </c>
      <c r="AD849" s="698"/>
      <c r="AE849" s="655"/>
    </row>
    <row r="850" spans="1:31" ht="12" customHeight="1" thickBot="1">
      <c r="A850" s="938" t="s">
        <v>18223</v>
      </c>
      <c r="B850" s="700" t="s">
        <v>3131</v>
      </c>
      <c r="C850" s="699" t="s">
        <v>3138</v>
      </c>
      <c r="D850" s="699">
        <f t="shared" si="13"/>
        <v>62</v>
      </c>
      <c r="E850" s="702" t="s">
        <v>19</v>
      </c>
      <c r="F850" s="699"/>
      <c r="G850" s="703"/>
      <c r="H850" s="699"/>
      <c r="I850" s="699"/>
      <c r="J850" s="700" t="s">
        <v>16117</v>
      </c>
      <c r="K850" s="699"/>
      <c r="L850" s="699" t="s">
        <v>6</v>
      </c>
      <c r="M850" s="705"/>
      <c r="N850" s="706"/>
      <c r="O850" s="703" t="s">
        <v>1583</v>
      </c>
      <c r="P850" s="707">
        <v>18253</v>
      </c>
      <c r="Q850" s="703" t="s">
        <v>3139</v>
      </c>
      <c r="R850" s="703"/>
      <c r="S850" s="703"/>
      <c r="T850" s="703"/>
      <c r="U850" s="702"/>
      <c r="V850" s="702"/>
      <c r="W850" s="702"/>
      <c r="X850" s="702"/>
      <c r="Y850" s="702"/>
      <c r="Z850" s="702"/>
      <c r="AA850" s="702"/>
      <c r="AB850" s="702"/>
      <c r="AC850" s="702"/>
      <c r="AD850" s="708"/>
      <c r="AE850" s="655"/>
    </row>
    <row r="851" spans="1:31" ht="12" customHeight="1">
      <c r="A851" s="936" t="s">
        <v>18245</v>
      </c>
      <c r="B851" s="688" t="s">
        <v>3141</v>
      </c>
      <c r="C851" s="687" t="s">
        <v>3148</v>
      </c>
      <c r="D851" s="687">
        <f t="shared" si="13"/>
        <v>45</v>
      </c>
      <c r="E851" s="696" t="s">
        <v>5</v>
      </c>
      <c r="F851" s="689" t="s">
        <v>15273</v>
      </c>
      <c r="G851" s="747" t="s">
        <v>3149</v>
      </c>
      <c r="H851" s="687"/>
      <c r="I851" s="687"/>
      <c r="J851" s="692" t="s">
        <v>16126</v>
      </c>
      <c r="K851" s="687" t="s">
        <v>44</v>
      </c>
      <c r="L851" s="687" t="s">
        <v>25</v>
      </c>
      <c r="M851" s="748">
        <v>2</v>
      </c>
      <c r="N851" s="749">
        <v>2</v>
      </c>
      <c r="O851" s="747" t="s">
        <v>3051</v>
      </c>
      <c r="P851" s="773">
        <v>24504</v>
      </c>
      <c r="Q851" s="747" t="s">
        <v>3150</v>
      </c>
      <c r="R851" s="747" t="s">
        <v>3151</v>
      </c>
      <c r="S851" s="747" t="s">
        <v>6214</v>
      </c>
      <c r="T851" s="747" t="s">
        <v>3052</v>
      </c>
      <c r="U851" s="696" t="s">
        <v>47</v>
      </c>
      <c r="V851" s="696"/>
      <c r="W851" s="696"/>
      <c r="X851" s="696"/>
      <c r="Y851" s="696"/>
      <c r="Z851" s="696"/>
      <c r="AA851" s="696"/>
      <c r="AB851" s="696"/>
      <c r="AC851" s="696"/>
      <c r="AD851" s="697"/>
      <c r="AE851" s="655"/>
    </row>
    <row r="852" spans="1:31" ht="12" customHeight="1">
      <c r="A852" s="937" t="s">
        <v>18219</v>
      </c>
      <c r="B852" s="4" t="s">
        <v>3142</v>
      </c>
      <c r="C852" s="1" t="s">
        <v>3152</v>
      </c>
      <c r="D852" s="1">
        <f t="shared" si="13"/>
        <v>42</v>
      </c>
      <c r="E852" s="2" t="s">
        <v>5</v>
      </c>
      <c r="F852" s="1" t="s">
        <v>15273</v>
      </c>
      <c r="J852" s="4" t="s">
        <v>16120</v>
      </c>
      <c r="K852" s="1" t="s">
        <v>30</v>
      </c>
      <c r="L852" s="1" t="s">
        <v>6</v>
      </c>
      <c r="O852" s="3" t="s">
        <v>3153</v>
      </c>
      <c r="P852" s="20">
        <v>25760</v>
      </c>
      <c r="Q852" s="3" t="s">
        <v>3154</v>
      </c>
      <c r="S852" s="3" t="s">
        <v>5457</v>
      </c>
      <c r="T852" s="3" t="s">
        <v>3036</v>
      </c>
      <c r="V852" s="2" t="s">
        <v>3036</v>
      </c>
      <c r="AD852" s="698"/>
      <c r="AE852" s="655"/>
    </row>
    <row r="853" spans="1:31" ht="12" customHeight="1">
      <c r="A853" s="937" t="s">
        <v>18223</v>
      </c>
      <c r="B853" s="4" t="s">
        <v>3143</v>
      </c>
      <c r="C853" s="1" t="s">
        <v>3160</v>
      </c>
      <c r="D853" s="1">
        <f t="shared" si="13"/>
        <v>63</v>
      </c>
      <c r="E853" s="2" t="s">
        <v>5</v>
      </c>
      <c r="F853" s="1" t="s">
        <v>15273</v>
      </c>
      <c r="G853" s="3" t="s">
        <v>3161</v>
      </c>
      <c r="J853" s="4" t="s">
        <v>16125</v>
      </c>
      <c r="L853" s="1" t="s">
        <v>25</v>
      </c>
      <c r="M853" s="16">
        <v>2</v>
      </c>
      <c r="N853" s="17">
        <v>2</v>
      </c>
      <c r="O853" s="3" t="s">
        <v>3090</v>
      </c>
      <c r="P853" s="20">
        <v>18132</v>
      </c>
      <c r="Q853" s="3" t="s">
        <v>3162</v>
      </c>
      <c r="R853" s="3" t="s">
        <v>4569</v>
      </c>
      <c r="S853" s="3" t="s">
        <v>16093</v>
      </c>
      <c r="T853" s="3" t="s">
        <v>3052</v>
      </c>
      <c r="U853" s="2" t="s">
        <v>47</v>
      </c>
      <c r="AD853" s="698"/>
      <c r="AE853" s="655"/>
    </row>
    <row r="854" spans="1:31" ht="12" customHeight="1">
      <c r="A854" s="937" t="s">
        <v>18245</v>
      </c>
      <c r="B854" s="4" t="s">
        <v>3144</v>
      </c>
      <c r="C854" s="1" t="s">
        <v>5630</v>
      </c>
      <c r="D854" s="1">
        <f t="shared" si="13"/>
        <v>58</v>
      </c>
      <c r="E854" s="2" t="s">
        <v>19</v>
      </c>
      <c r="F854" s="1" t="s">
        <v>15273</v>
      </c>
      <c r="J854" s="4" t="s">
        <v>16116</v>
      </c>
      <c r="K854" s="1" t="s">
        <v>5515</v>
      </c>
      <c r="L854" s="1" t="s">
        <v>6</v>
      </c>
      <c r="O854" s="3" t="s">
        <v>16034</v>
      </c>
      <c r="P854" s="20">
        <v>20051</v>
      </c>
      <c r="Q854" s="3" t="s">
        <v>5631</v>
      </c>
      <c r="AD854" s="698"/>
      <c r="AE854" s="655"/>
    </row>
    <row r="855" spans="1:31" ht="12" customHeight="1">
      <c r="A855" s="937" t="s">
        <v>18223</v>
      </c>
      <c r="B855" s="4" t="s">
        <v>3145</v>
      </c>
      <c r="C855" s="1" t="s">
        <v>3157</v>
      </c>
      <c r="D855" s="1">
        <f t="shared" si="13"/>
        <v>62</v>
      </c>
      <c r="E855" s="2" t="s">
        <v>5</v>
      </c>
      <c r="F855" s="1" t="s">
        <v>15273</v>
      </c>
      <c r="J855" s="4" t="s">
        <v>16128</v>
      </c>
      <c r="L855" s="1" t="s">
        <v>6</v>
      </c>
      <c r="O855" s="3" t="s">
        <v>3158</v>
      </c>
      <c r="P855" s="20">
        <v>18590</v>
      </c>
      <c r="Q855" s="3" t="s">
        <v>3159</v>
      </c>
      <c r="AD855" s="698"/>
      <c r="AE855" s="655"/>
    </row>
    <row r="856" spans="1:31" ht="12" customHeight="1">
      <c r="A856" s="937" t="s">
        <v>18223</v>
      </c>
      <c r="B856" s="4" t="s">
        <v>3146</v>
      </c>
      <c r="C856" s="1" t="s">
        <v>3155</v>
      </c>
      <c r="D856" s="1">
        <f t="shared" si="13"/>
        <v>38</v>
      </c>
      <c r="E856" s="2" t="s">
        <v>5</v>
      </c>
      <c r="J856" s="4" t="s">
        <v>16117</v>
      </c>
      <c r="L856" s="1" t="s">
        <v>6</v>
      </c>
      <c r="O856" s="3" t="s">
        <v>7</v>
      </c>
      <c r="P856" s="20">
        <v>27120</v>
      </c>
      <c r="Q856" s="3" t="s">
        <v>3156</v>
      </c>
      <c r="AD856" s="698"/>
      <c r="AE856" s="655"/>
    </row>
    <row r="857" spans="1:31" ht="12" customHeight="1">
      <c r="A857" s="937"/>
      <c r="B857" s="4" t="s">
        <v>3147</v>
      </c>
      <c r="C857" s="1" t="s">
        <v>3163</v>
      </c>
      <c r="D857" s="1">
        <f t="shared" si="13"/>
        <v>30</v>
      </c>
      <c r="E857" s="2" t="s">
        <v>19</v>
      </c>
      <c r="J857" s="4" t="s">
        <v>16122</v>
      </c>
      <c r="K857" s="1" t="s">
        <v>22</v>
      </c>
      <c r="L857" s="1" t="s">
        <v>6</v>
      </c>
      <c r="O857" s="3" t="s">
        <v>3164</v>
      </c>
      <c r="P857" s="20">
        <v>30087</v>
      </c>
      <c r="Q857" s="3" t="s">
        <v>3165</v>
      </c>
      <c r="AD857" s="698"/>
      <c r="AE857" s="655"/>
    </row>
    <row r="858" spans="1:31" ht="12" customHeight="1" thickBot="1">
      <c r="A858" s="938" t="s">
        <v>18245</v>
      </c>
      <c r="B858" s="700" t="s">
        <v>5629</v>
      </c>
      <c r="C858" s="699" t="s">
        <v>3166</v>
      </c>
      <c r="D858" s="699">
        <f t="shared" si="13"/>
        <v>61</v>
      </c>
      <c r="E858" s="702" t="s">
        <v>5</v>
      </c>
      <c r="F858" s="699"/>
      <c r="G858" s="703"/>
      <c r="H858" s="699"/>
      <c r="I858" s="699"/>
      <c r="J858" s="700" t="s">
        <v>16129</v>
      </c>
      <c r="K858" s="699" t="s">
        <v>3167</v>
      </c>
      <c r="L858" s="699" t="s">
        <v>14</v>
      </c>
      <c r="M858" s="705">
        <v>1</v>
      </c>
      <c r="N858" s="706">
        <v>1</v>
      </c>
      <c r="O858" s="703" t="s">
        <v>3168</v>
      </c>
      <c r="P858" s="707">
        <v>18890</v>
      </c>
      <c r="Q858" s="703" t="s">
        <v>3169</v>
      </c>
      <c r="R858" s="703"/>
      <c r="S858" s="703"/>
      <c r="T858" s="703" t="s">
        <v>3170</v>
      </c>
      <c r="U858" s="702"/>
      <c r="V858" s="702" t="s">
        <v>3036</v>
      </c>
      <c r="W858" s="702" t="s">
        <v>3171</v>
      </c>
      <c r="X858" s="702"/>
      <c r="Y858" s="702"/>
      <c r="Z858" s="702"/>
      <c r="AA858" s="702"/>
      <c r="AB858" s="702"/>
      <c r="AC858" s="702"/>
      <c r="AD858" s="708"/>
      <c r="AE858" s="655"/>
    </row>
    <row r="859" spans="1:31" ht="12" customHeight="1">
      <c r="A859" s="936" t="s">
        <v>18223</v>
      </c>
      <c r="B859" s="688" t="s">
        <v>3172</v>
      </c>
      <c r="C859" s="687" t="s">
        <v>3175</v>
      </c>
      <c r="D859" s="687">
        <f t="shared" si="13"/>
        <v>38</v>
      </c>
      <c r="E859" s="696" t="s">
        <v>19</v>
      </c>
      <c r="F859" s="689" t="s">
        <v>15273</v>
      </c>
      <c r="G859" s="747" t="s">
        <v>3176</v>
      </c>
      <c r="H859" s="687"/>
      <c r="I859" s="687"/>
      <c r="J859" s="692" t="s">
        <v>16127</v>
      </c>
      <c r="K859" s="687" t="s">
        <v>44</v>
      </c>
      <c r="L859" s="687" t="s">
        <v>25</v>
      </c>
      <c r="M859" s="748">
        <v>1</v>
      </c>
      <c r="N859" s="749">
        <v>1</v>
      </c>
      <c r="O859" s="747" t="s">
        <v>1282</v>
      </c>
      <c r="P859" s="773">
        <v>27220</v>
      </c>
      <c r="Q859" s="747" t="s">
        <v>16666</v>
      </c>
      <c r="R859" s="747"/>
      <c r="S859" s="747"/>
      <c r="T859" s="747" t="s">
        <v>3065</v>
      </c>
      <c r="U859" s="696"/>
      <c r="V859" s="696"/>
      <c r="W859" s="696"/>
      <c r="X859" s="696"/>
      <c r="Y859" s="696"/>
      <c r="Z859" s="696"/>
      <c r="AA859" s="696"/>
      <c r="AB859" s="696"/>
      <c r="AC859" s="696" t="s">
        <v>3065</v>
      </c>
      <c r="AD859" s="697"/>
      <c r="AE859" s="655"/>
    </row>
    <row r="860" spans="1:31" ht="12" customHeight="1">
      <c r="A860" s="937" t="s">
        <v>18218</v>
      </c>
      <c r="B860" s="4" t="s">
        <v>3173</v>
      </c>
      <c r="C860" s="1" t="s">
        <v>3177</v>
      </c>
      <c r="D860" s="1">
        <f t="shared" si="13"/>
        <v>67</v>
      </c>
      <c r="E860" s="2" t="s">
        <v>5</v>
      </c>
      <c r="F860" s="1" t="s">
        <v>15273</v>
      </c>
      <c r="G860" s="3" t="s">
        <v>3178</v>
      </c>
      <c r="J860" s="8" t="s">
        <v>16120</v>
      </c>
      <c r="K860" s="1" t="s">
        <v>30</v>
      </c>
      <c r="L860" s="1" t="s">
        <v>25</v>
      </c>
      <c r="M860" s="16">
        <v>10</v>
      </c>
      <c r="N860" s="17">
        <v>10</v>
      </c>
      <c r="O860" s="3" t="s">
        <v>3090</v>
      </c>
      <c r="P860" s="20">
        <v>16503</v>
      </c>
      <c r="Q860" s="3" t="s">
        <v>3179</v>
      </c>
      <c r="R860" s="3" t="s">
        <v>3180</v>
      </c>
      <c r="S860" s="3" t="s">
        <v>5457</v>
      </c>
      <c r="T860" s="3" t="s">
        <v>3181</v>
      </c>
      <c r="AA860" s="2" t="s">
        <v>3093</v>
      </c>
      <c r="AB860" s="2" t="s">
        <v>3182</v>
      </c>
      <c r="AD860" s="698"/>
      <c r="AE860" s="655"/>
    </row>
    <row r="861" spans="1:31" ht="12" customHeight="1">
      <c r="A861" s="937"/>
      <c r="B861" s="4" t="s">
        <v>3174</v>
      </c>
      <c r="C861" s="1" t="s">
        <v>5800</v>
      </c>
      <c r="D861" s="1">
        <f t="shared" si="13"/>
        <v>65</v>
      </c>
      <c r="E861" s="2" t="s">
        <v>5</v>
      </c>
      <c r="F861" s="1" t="s">
        <v>15273</v>
      </c>
      <c r="J861" s="4" t="s">
        <v>16125</v>
      </c>
      <c r="L861" s="1" t="s">
        <v>6</v>
      </c>
      <c r="O861" s="3" t="s">
        <v>188</v>
      </c>
      <c r="P861" s="20">
        <v>17458</v>
      </c>
      <c r="Q861" s="3" t="s">
        <v>5801</v>
      </c>
      <c r="S861" s="3" t="s">
        <v>16093</v>
      </c>
      <c r="T861" s="3" t="s">
        <v>5694</v>
      </c>
      <c r="Y861" s="2" t="s">
        <v>5694</v>
      </c>
      <c r="AD861" s="698"/>
      <c r="AE861" s="655"/>
    </row>
    <row r="862" spans="1:31" ht="12" customHeight="1" thickBot="1">
      <c r="A862" s="938" t="s">
        <v>18223</v>
      </c>
      <c r="B862" s="700" t="s">
        <v>5799</v>
      </c>
      <c r="C862" s="699" t="s">
        <v>3183</v>
      </c>
      <c r="D862" s="699">
        <f t="shared" si="13"/>
        <v>62</v>
      </c>
      <c r="E862" s="702" t="s">
        <v>19</v>
      </c>
      <c r="F862" s="699"/>
      <c r="G862" s="703"/>
      <c r="H862" s="699"/>
      <c r="I862" s="699"/>
      <c r="J862" s="700" t="s">
        <v>16117</v>
      </c>
      <c r="K862" s="699"/>
      <c r="L862" s="699" t="s">
        <v>6</v>
      </c>
      <c r="M862" s="705"/>
      <c r="N862" s="706"/>
      <c r="O862" s="703" t="s">
        <v>3184</v>
      </c>
      <c r="P862" s="707">
        <v>18588</v>
      </c>
      <c r="Q862" s="703" t="s">
        <v>3185</v>
      </c>
      <c r="R862" s="703"/>
      <c r="S862" s="703"/>
      <c r="T862" s="703" t="s">
        <v>3036</v>
      </c>
      <c r="U862" s="702"/>
      <c r="V862" s="702" t="s">
        <v>3036</v>
      </c>
      <c r="W862" s="702"/>
      <c r="X862" s="702"/>
      <c r="Y862" s="702"/>
      <c r="Z862" s="702"/>
      <c r="AA862" s="702"/>
      <c r="AB862" s="702"/>
      <c r="AC862" s="702"/>
      <c r="AD862" s="708"/>
      <c r="AE862" s="655"/>
    </row>
    <row r="863" spans="1:31" ht="12" customHeight="1">
      <c r="A863" s="936" t="s">
        <v>18220</v>
      </c>
      <c r="B863" s="688" t="s">
        <v>3186</v>
      </c>
      <c r="C863" s="687" t="s">
        <v>3189</v>
      </c>
      <c r="D863" s="687">
        <f t="shared" si="13"/>
        <v>50</v>
      </c>
      <c r="E863" s="696" t="s">
        <v>5</v>
      </c>
      <c r="F863" s="689" t="s">
        <v>15273</v>
      </c>
      <c r="G863" s="747" t="s">
        <v>3190</v>
      </c>
      <c r="H863" s="687"/>
      <c r="I863" s="687"/>
      <c r="J863" s="692" t="s">
        <v>16127</v>
      </c>
      <c r="K863" s="687" t="s">
        <v>3046</v>
      </c>
      <c r="L863" s="687" t="s">
        <v>25</v>
      </c>
      <c r="M863" s="748">
        <v>4</v>
      </c>
      <c r="N863" s="749">
        <v>4</v>
      </c>
      <c r="O863" s="747" t="s">
        <v>1282</v>
      </c>
      <c r="P863" s="773">
        <v>22652</v>
      </c>
      <c r="Q863" s="747" t="s">
        <v>16667</v>
      </c>
      <c r="R863" s="747" t="s">
        <v>3191</v>
      </c>
      <c r="S863" s="747" t="s">
        <v>6214</v>
      </c>
      <c r="T863" s="747" t="s">
        <v>3065</v>
      </c>
      <c r="U863" s="696"/>
      <c r="V863" s="696"/>
      <c r="W863" s="696"/>
      <c r="X863" s="696"/>
      <c r="Y863" s="696"/>
      <c r="Z863" s="696"/>
      <c r="AA863" s="696"/>
      <c r="AB863" s="696"/>
      <c r="AC863" s="696" t="s">
        <v>3065</v>
      </c>
      <c r="AD863" s="697"/>
      <c r="AE863" s="655"/>
    </row>
    <row r="864" spans="1:31" ht="12" customHeight="1">
      <c r="A864" s="937" t="s">
        <v>18246</v>
      </c>
      <c r="B864" s="4" t="s">
        <v>3187</v>
      </c>
      <c r="C864" s="1" t="s">
        <v>3192</v>
      </c>
      <c r="D864" s="1">
        <f t="shared" si="13"/>
        <v>47</v>
      </c>
      <c r="E864" s="2" t="s">
        <v>5</v>
      </c>
      <c r="F864" s="1" t="s">
        <v>15273</v>
      </c>
      <c r="J864" s="4" t="s">
        <v>16120</v>
      </c>
      <c r="K864" s="1" t="s">
        <v>30</v>
      </c>
      <c r="L864" s="1" t="s">
        <v>6</v>
      </c>
      <c r="O864" s="3" t="s">
        <v>31</v>
      </c>
      <c r="P864" s="20">
        <v>23829</v>
      </c>
      <c r="Q864" s="3" t="s">
        <v>3193</v>
      </c>
      <c r="AD864" s="698"/>
      <c r="AE864" s="655"/>
    </row>
    <row r="865" spans="1:31" ht="12" customHeight="1">
      <c r="A865" s="937" t="s">
        <v>18245</v>
      </c>
      <c r="B865" s="4" t="s">
        <v>3188</v>
      </c>
      <c r="C865" s="1" t="s">
        <v>5510</v>
      </c>
      <c r="D865" s="1">
        <f t="shared" si="13"/>
        <v>66</v>
      </c>
      <c r="E865" s="2" t="s">
        <v>5</v>
      </c>
      <c r="F865" s="1" t="s">
        <v>15273</v>
      </c>
      <c r="J865" s="4" t="s">
        <v>16116</v>
      </c>
      <c r="K865" s="1" t="s">
        <v>5511</v>
      </c>
      <c r="L865" s="1" t="s">
        <v>14</v>
      </c>
      <c r="M865" s="16">
        <v>1</v>
      </c>
      <c r="N865" s="17">
        <v>1</v>
      </c>
      <c r="O865" s="3" t="s">
        <v>3140</v>
      </c>
      <c r="P865" s="21">
        <v>16866</v>
      </c>
      <c r="Q865" s="3" t="s">
        <v>5512</v>
      </c>
      <c r="T865" s="3" t="s">
        <v>145</v>
      </c>
      <c r="V865" s="2" t="s">
        <v>145</v>
      </c>
      <c r="AD865" s="698"/>
      <c r="AE865" s="655"/>
    </row>
    <row r="866" spans="1:31" ht="12" customHeight="1" thickBot="1">
      <c r="A866" s="938" t="s">
        <v>18223</v>
      </c>
      <c r="B866" s="700" t="s">
        <v>5509</v>
      </c>
      <c r="C866" s="699" t="s">
        <v>3196</v>
      </c>
      <c r="D866" s="699">
        <f t="shared" si="13"/>
        <v>26</v>
      </c>
      <c r="E866" s="702" t="s">
        <v>5</v>
      </c>
      <c r="F866" s="699"/>
      <c r="G866" s="703"/>
      <c r="H866" s="699"/>
      <c r="I866" s="699"/>
      <c r="J866" s="700" t="s">
        <v>16117</v>
      </c>
      <c r="K866" s="699"/>
      <c r="L866" s="699" t="s">
        <v>6</v>
      </c>
      <c r="M866" s="705"/>
      <c r="N866" s="706"/>
      <c r="O866" s="703" t="s">
        <v>3197</v>
      </c>
      <c r="P866" s="723">
        <v>31465</v>
      </c>
      <c r="Q866" s="703" t="s">
        <v>3198</v>
      </c>
      <c r="R866" s="703"/>
      <c r="S866" s="703"/>
      <c r="T866" s="703"/>
      <c r="U866" s="702"/>
      <c r="V866" s="702"/>
      <c r="W866" s="702"/>
      <c r="X866" s="702"/>
      <c r="Y866" s="702"/>
      <c r="Z866" s="702"/>
      <c r="AA866" s="702"/>
      <c r="AB866" s="702"/>
      <c r="AC866" s="702"/>
      <c r="AD866" s="708"/>
      <c r="AE866" s="655"/>
    </row>
    <row r="867" spans="1:31" ht="12" customHeight="1">
      <c r="A867" s="936" t="s">
        <v>18223</v>
      </c>
      <c r="B867" s="688" t="s">
        <v>3199</v>
      </c>
      <c r="C867" s="687" t="s">
        <v>5453</v>
      </c>
      <c r="D867" s="687">
        <f t="shared" si="13"/>
        <v>32</v>
      </c>
      <c r="E867" s="696" t="s">
        <v>19</v>
      </c>
      <c r="F867" s="689" t="s">
        <v>15273</v>
      </c>
      <c r="G867" s="747"/>
      <c r="H867" s="687"/>
      <c r="I867" s="687"/>
      <c r="J867" s="692" t="s">
        <v>16126</v>
      </c>
      <c r="K867" s="687" t="s">
        <v>44</v>
      </c>
      <c r="L867" s="687" t="s">
        <v>6</v>
      </c>
      <c r="M867" s="748"/>
      <c r="N867" s="749"/>
      <c r="O867" s="747" t="s">
        <v>3539</v>
      </c>
      <c r="P867" s="773">
        <v>29428</v>
      </c>
      <c r="Q867" s="747" t="s">
        <v>5454</v>
      </c>
      <c r="R867" s="747"/>
      <c r="S867" s="747" t="s">
        <v>6214</v>
      </c>
      <c r="T867" s="747" t="s">
        <v>145</v>
      </c>
      <c r="U867" s="696"/>
      <c r="V867" s="696" t="s">
        <v>145</v>
      </c>
      <c r="W867" s="696"/>
      <c r="X867" s="696"/>
      <c r="Y867" s="696"/>
      <c r="Z867" s="696"/>
      <c r="AA867" s="696"/>
      <c r="AB867" s="696"/>
      <c r="AC867" s="696"/>
      <c r="AD867" s="697"/>
      <c r="AE867" s="655"/>
    </row>
    <row r="868" spans="1:31" ht="12" customHeight="1">
      <c r="A868" s="937" t="s">
        <v>18245</v>
      </c>
      <c r="B868" s="4" t="s">
        <v>3200</v>
      </c>
      <c r="C868" s="1" t="s">
        <v>3208</v>
      </c>
      <c r="D868" s="1">
        <f t="shared" si="13"/>
        <v>45</v>
      </c>
      <c r="E868" s="2" t="s">
        <v>5</v>
      </c>
      <c r="F868" s="1" t="s">
        <v>15273</v>
      </c>
      <c r="J868" s="4" t="s">
        <v>16120</v>
      </c>
      <c r="K868" s="1" t="s">
        <v>30</v>
      </c>
      <c r="L868" s="1" t="s">
        <v>6</v>
      </c>
      <c r="O868" s="3" t="s">
        <v>3209</v>
      </c>
      <c r="P868" s="20">
        <v>24668</v>
      </c>
      <c r="Q868" s="3" t="s">
        <v>3210</v>
      </c>
      <c r="T868" s="3" t="s">
        <v>3211</v>
      </c>
      <c r="V868" s="2" t="s">
        <v>3211</v>
      </c>
      <c r="AD868" s="698"/>
      <c r="AE868" s="655"/>
    </row>
    <row r="869" spans="1:31" ht="12" customHeight="1">
      <c r="A869" s="937" t="s">
        <v>18245</v>
      </c>
      <c r="B869" s="4" t="s">
        <v>3201</v>
      </c>
      <c r="C869" s="1" t="s">
        <v>3217</v>
      </c>
      <c r="D869" s="1">
        <f t="shared" si="13"/>
        <v>41</v>
      </c>
      <c r="E869" s="2" t="s">
        <v>5</v>
      </c>
      <c r="F869" s="1" t="s">
        <v>15273</v>
      </c>
      <c r="G869" s="3" t="s">
        <v>3218</v>
      </c>
      <c r="J869" s="4" t="s">
        <v>16125</v>
      </c>
      <c r="L869" s="1" t="s">
        <v>25</v>
      </c>
      <c r="M869" s="16">
        <v>1</v>
      </c>
      <c r="N869" s="17">
        <v>1</v>
      </c>
      <c r="O869" s="3" t="s">
        <v>3219</v>
      </c>
      <c r="P869" s="20">
        <v>25995</v>
      </c>
      <c r="Q869" s="3" t="s">
        <v>3220</v>
      </c>
      <c r="R869" s="3" t="s">
        <v>5545</v>
      </c>
      <c r="S869" s="3" t="s">
        <v>16093</v>
      </c>
      <c r="AD869" s="698"/>
      <c r="AE869" s="655"/>
    </row>
    <row r="870" spans="1:31" ht="12" customHeight="1">
      <c r="A870" s="937" t="s">
        <v>18219</v>
      </c>
      <c r="B870" s="4" t="s">
        <v>3202</v>
      </c>
      <c r="C870" s="1" t="s">
        <v>4413</v>
      </c>
      <c r="D870" s="1">
        <f t="shared" si="13"/>
        <v>41</v>
      </c>
      <c r="E870" s="2" t="s">
        <v>5</v>
      </c>
      <c r="F870" s="1" t="s">
        <v>15273</v>
      </c>
      <c r="J870" s="4" t="s">
        <v>16116</v>
      </c>
      <c r="K870" s="1" t="s">
        <v>5031</v>
      </c>
      <c r="L870" s="1" t="s">
        <v>6</v>
      </c>
      <c r="O870" s="3" t="s">
        <v>3235</v>
      </c>
      <c r="P870" s="20">
        <v>26231</v>
      </c>
      <c r="Q870" s="3" t="s">
        <v>3210</v>
      </c>
      <c r="T870" s="3" t="s">
        <v>4410</v>
      </c>
      <c r="V870" s="2" t="s">
        <v>4410</v>
      </c>
      <c r="AD870" s="698"/>
      <c r="AE870" s="655"/>
    </row>
    <row r="871" spans="1:31" ht="12" customHeight="1">
      <c r="A871" s="937"/>
      <c r="B871" s="4" t="s">
        <v>3203</v>
      </c>
      <c r="C871" s="1" t="s">
        <v>3214</v>
      </c>
      <c r="D871" s="1">
        <f t="shared" si="13"/>
        <v>51</v>
      </c>
      <c r="E871" s="2" t="s">
        <v>19</v>
      </c>
      <c r="J871" s="4" t="s">
        <v>16117</v>
      </c>
      <c r="L871" s="1" t="s">
        <v>6</v>
      </c>
      <c r="O871" s="3" t="s">
        <v>3215</v>
      </c>
      <c r="P871" s="20">
        <v>22612</v>
      </c>
      <c r="Q871" s="3" t="s">
        <v>3216</v>
      </c>
      <c r="AD871" s="698"/>
      <c r="AE871" s="655"/>
    </row>
    <row r="872" spans="1:31" ht="12" customHeight="1" thickBot="1">
      <c r="A872" s="938" t="s">
        <v>18223</v>
      </c>
      <c r="B872" s="700" t="s">
        <v>3204</v>
      </c>
      <c r="C872" s="699" t="s">
        <v>3221</v>
      </c>
      <c r="D872" s="699">
        <f t="shared" si="13"/>
        <v>76</v>
      </c>
      <c r="E872" s="702" t="s">
        <v>5</v>
      </c>
      <c r="F872" s="699"/>
      <c r="G872" s="703"/>
      <c r="H872" s="699"/>
      <c r="I872" s="699"/>
      <c r="J872" s="700" t="s">
        <v>16129</v>
      </c>
      <c r="K872" s="699"/>
      <c r="L872" s="699" t="s">
        <v>14</v>
      </c>
      <c r="M872" s="705">
        <v>9</v>
      </c>
      <c r="N872" s="706">
        <v>9</v>
      </c>
      <c r="O872" s="703" t="s">
        <v>3222</v>
      </c>
      <c r="P872" s="707">
        <v>13431</v>
      </c>
      <c r="Q872" s="703" t="s">
        <v>3223</v>
      </c>
      <c r="R872" s="703" t="s">
        <v>3224</v>
      </c>
      <c r="S872" s="703"/>
      <c r="T872" s="703"/>
      <c r="U872" s="702"/>
      <c r="V872" s="702"/>
      <c r="W872" s="702"/>
      <c r="X872" s="702"/>
      <c r="Y872" s="702"/>
      <c r="Z872" s="702"/>
      <c r="AA872" s="702"/>
      <c r="AB872" s="702"/>
      <c r="AC872" s="702"/>
      <c r="AD872" s="708"/>
      <c r="AE872" s="655"/>
    </row>
    <row r="873" spans="1:31" ht="12" customHeight="1">
      <c r="A873" s="936" t="s">
        <v>18246</v>
      </c>
      <c r="B873" s="688" t="s">
        <v>3225</v>
      </c>
      <c r="C873" s="687" t="s">
        <v>3230</v>
      </c>
      <c r="D873" s="687">
        <f t="shared" si="13"/>
        <v>61</v>
      </c>
      <c r="E873" s="696" t="s">
        <v>5</v>
      </c>
      <c r="F873" s="687" t="s">
        <v>15273</v>
      </c>
      <c r="G873" s="747"/>
      <c r="H873" s="687"/>
      <c r="I873" s="687"/>
      <c r="J873" s="692" t="s">
        <v>16120</v>
      </c>
      <c r="K873" s="687" t="s">
        <v>476</v>
      </c>
      <c r="L873" s="687" t="s">
        <v>14</v>
      </c>
      <c r="M873" s="748">
        <v>2</v>
      </c>
      <c r="N873" s="749">
        <v>2</v>
      </c>
      <c r="O873" s="747" t="s">
        <v>2394</v>
      </c>
      <c r="P873" s="773">
        <v>18821</v>
      </c>
      <c r="Q873" s="747" t="s">
        <v>3232</v>
      </c>
      <c r="R873" s="747"/>
      <c r="S873" s="747" t="s">
        <v>5457</v>
      </c>
      <c r="T873" s="747" t="s">
        <v>3231</v>
      </c>
      <c r="U873" s="696"/>
      <c r="V873" s="696"/>
      <c r="W873" s="696"/>
      <c r="X873" s="696"/>
      <c r="Y873" s="696"/>
      <c r="Z873" s="696"/>
      <c r="AA873" s="696" t="s">
        <v>3231</v>
      </c>
      <c r="AB873" s="696"/>
      <c r="AC873" s="696"/>
      <c r="AD873" s="697"/>
      <c r="AE873" s="655"/>
    </row>
    <row r="874" spans="1:31" ht="12" customHeight="1">
      <c r="A874" s="937" t="s">
        <v>18223</v>
      </c>
      <c r="B874" s="4" t="s">
        <v>3226</v>
      </c>
      <c r="C874" s="1" t="s">
        <v>3233</v>
      </c>
      <c r="D874" s="1">
        <f t="shared" si="13"/>
        <v>45</v>
      </c>
      <c r="E874" s="2" t="s">
        <v>5</v>
      </c>
      <c r="F874" s="1" t="s">
        <v>15273</v>
      </c>
      <c r="G874" s="3" t="s">
        <v>3234</v>
      </c>
      <c r="J874" s="4" t="s">
        <v>16125</v>
      </c>
      <c r="L874" s="1" t="s">
        <v>25</v>
      </c>
      <c r="M874" s="16">
        <v>1</v>
      </c>
      <c r="N874" s="17">
        <v>1</v>
      </c>
      <c r="O874" s="3" t="s">
        <v>3235</v>
      </c>
      <c r="P874" s="20">
        <v>24727</v>
      </c>
      <c r="Q874" s="3" t="s">
        <v>3236</v>
      </c>
      <c r="S874" s="3" t="s">
        <v>16093</v>
      </c>
      <c r="AD874" s="698"/>
      <c r="AE874" s="655"/>
    </row>
    <row r="875" spans="1:31" ht="12" customHeight="1">
      <c r="A875" s="937" t="s">
        <v>18220</v>
      </c>
      <c r="B875" s="4" t="s">
        <v>3227</v>
      </c>
      <c r="C875" s="1" t="s">
        <v>5422</v>
      </c>
      <c r="D875" s="1">
        <f t="shared" si="13"/>
        <v>37</v>
      </c>
      <c r="E875" s="2" t="s">
        <v>19</v>
      </c>
      <c r="F875" s="1" t="s">
        <v>15273</v>
      </c>
      <c r="J875" s="4" t="s">
        <v>16116</v>
      </c>
      <c r="L875" s="1" t="s">
        <v>6</v>
      </c>
      <c r="O875" s="3" t="s">
        <v>317</v>
      </c>
      <c r="P875" s="20">
        <v>27673</v>
      </c>
      <c r="Q875" s="3" t="s">
        <v>16032</v>
      </c>
      <c r="S875" s="3" t="s">
        <v>6029</v>
      </c>
      <c r="T875" s="3" t="s">
        <v>147</v>
      </c>
      <c r="AB875" s="2" t="s">
        <v>16033</v>
      </c>
      <c r="AD875" s="698"/>
      <c r="AE875" s="655"/>
    </row>
    <row r="876" spans="1:31" ht="12" customHeight="1">
      <c r="A876" s="937"/>
      <c r="B876" s="4" t="s">
        <v>3228</v>
      </c>
      <c r="C876" s="1" t="s">
        <v>3237</v>
      </c>
      <c r="D876" s="1">
        <f t="shared" si="13"/>
        <v>58</v>
      </c>
      <c r="E876" s="2" t="s">
        <v>19</v>
      </c>
      <c r="J876" s="4" t="s">
        <v>16117</v>
      </c>
      <c r="L876" s="1" t="s">
        <v>6</v>
      </c>
      <c r="O876" s="3" t="s">
        <v>3238</v>
      </c>
      <c r="P876" s="20">
        <v>19723</v>
      </c>
      <c r="Q876" s="3" t="s">
        <v>3239</v>
      </c>
      <c r="T876" s="3" t="s">
        <v>3240</v>
      </c>
      <c r="V876" s="2" t="s">
        <v>3211</v>
      </c>
      <c r="AD876" s="698" t="s">
        <v>3241</v>
      </c>
      <c r="AE876" s="655"/>
    </row>
    <row r="877" spans="1:31" ht="12" customHeight="1" thickBot="1">
      <c r="A877" s="938" t="s">
        <v>18223</v>
      </c>
      <c r="B877" s="700" t="s">
        <v>3229</v>
      </c>
      <c r="C877" s="699" t="s">
        <v>3245</v>
      </c>
      <c r="D877" s="699">
        <f t="shared" si="13"/>
        <v>42</v>
      </c>
      <c r="E877" s="702" t="s">
        <v>19</v>
      </c>
      <c r="F877" s="699"/>
      <c r="G877" s="703"/>
      <c r="H877" s="699"/>
      <c r="I877" s="699"/>
      <c r="J877" s="700" t="s">
        <v>16129</v>
      </c>
      <c r="K877" s="699"/>
      <c r="L877" s="699" t="s">
        <v>14</v>
      </c>
      <c r="M877" s="705">
        <v>1</v>
      </c>
      <c r="N877" s="706">
        <v>1</v>
      </c>
      <c r="O877" s="703" t="s">
        <v>3222</v>
      </c>
      <c r="P877" s="707">
        <v>25593</v>
      </c>
      <c r="Q877" s="703" t="s">
        <v>16668</v>
      </c>
      <c r="R877" s="703"/>
      <c r="S877" s="703"/>
      <c r="T877" s="703" t="s">
        <v>3246</v>
      </c>
      <c r="U877" s="702"/>
      <c r="V877" s="702"/>
      <c r="W877" s="702"/>
      <c r="X877" s="702"/>
      <c r="Y877" s="702"/>
      <c r="Z877" s="702" t="s">
        <v>3247</v>
      </c>
      <c r="AA877" s="702"/>
      <c r="AB877" s="702"/>
      <c r="AC877" s="702" t="s">
        <v>3248</v>
      </c>
      <c r="AD877" s="708"/>
      <c r="AE877" s="655"/>
    </row>
    <row r="878" spans="1:31" ht="12" customHeight="1">
      <c r="A878" s="936" t="s">
        <v>18245</v>
      </c>
      <c r="B878" s="688" t="s">
        <v>3249</v>
      </c>
      <c r="C878" s="687" t="s">
        <v>6026</v>
      </c>
      <c r="D878" s="687">
        <f t="shared" si="13"/>
        <v>29</v>
      </c>
      <c r="E878" s="696" t="s">
        <v>5</v>
      </c>
      <c r="F878" s="689" t="s">
        <v>15273</v>
      </c>
      <c r="G878" s="747"/>
      <c r="H878" s="687"/>
      <c r="I878" s="687"/>
      <c r="J878" s="692" t="s">
        <v>16127</v>
      </c>
      <c r="K878" s="687" t="s">
        <v>44</v>
      </c>
      <c r="L878" s="687" t="s">
        <v>6</v>
      </c>
      <c r="M878" s="748"/>
      <c r="N878" s="749"/>
      <c r="O878" s="747" t="s">
        <v>6027</v>
      </c>
      <c r="P878" s="773">
        <v>30328</v>
      </c>
      <c r="Q878" s="747" t="s">
        <v>6028</v>
      </c>
      <c r="R878" s="747"/>
      <c r="S878" s="747"/>
      <c r="T878" s="747"/>
      <c r="U878" s="696"/>
      <c r="V878" s="696"/>
      <c r="W878" s="696"/>
      <c r="X878" s="696"/>
      <c r="Y878" s="696"/>
      <c r="Z878" s="696"/>
      <c r="AA878" s="696"/>
      <c r="AB878" s="696"/>
      <c r="AC878" s="696"/>
      <c r="AD878" s="697"/>
      <c r="AE878" s="655"/>
    </row>
    <row r="879" spans="1:31" ht="12" customHeight="1">
      <c r="A879" s="937" t="s">
        <v>18219</v>
      </c>
      <c r="B879" s="4" t="s">
        <v>3250</v>
      </c>
      <c r="C879" s="1" t="s">
        <v>3252</v>
      </c>
      <c r="D879" s="1">
        <f t="shared" si="13"/>
        <v>53</v>
      </c>
      <c r="E879" s="2" t="s">
        <v>5</v>
      </c>
      <c r="G879" s="3" t="s">
        <v>3253</v>
      </c>
      <c r="J879" s="4" t="s">
        <v>16118</v>
      </c>
      <c r="L879" s="1" t="s">
        <v>25</v>
      </c>
      <c r="M879" s="16">
        <v>6</v>
      </c>
      <c r="N879" s="17">
        <v>6</v>
      </c>
      <c r="O879" s="3" t="s">
        <v>3219</v>
      </c>
      <c r="P879" s="20">
        <v>21709</v>
      </c>
      <c r="Q879" s="3" t="s">
        <v>3254</v>
      </c>
      <c r="R879" s="3" t="s">
        <v>3255</v>
      </c>
      <c r="S879" s="3" t="s">
        <v>5546</v>
      </c>
      <c r="AD879" s="698"/>
      <c r="AE879" s="655"/>
    </row>
    <row r="880" spans="1:31" ht="12" customHeight="1" thickBot="1">
      <c r="A880" s="938" t="s">
        <v>18223</v>
      </c>
      <c r="B880" s="700" t="s">
        <v>3251</v>
      </c>
      <c r="C880" s="699" t="s">
        <v>3256</v>
      </c>
      <c r="D880" s="699">
        <f t="shared" si="13"/>
        <v>31</v>
      </c>
      <c r="E880" s="702" t="s">
        <v>19</v>
      </c>
      <c r="F880" s="699"/>
      <c r="G880" s="703"/>
      <c r="H880" s="699"/>
      <c r="I880" s="699"/>
      <c r="J880" s="700" t="s">
        <v>16117</v>
      </c>
      <c r="K880" s="699"/>
      <c r="L880" s="699" t="s">
        <v>6</v>
      </c>
      <c r="M880" s="705"/>
      <c r="N880" s="706"/>
      <c r="O880" s="703" t="s">
        <v>3238</v>
      </c>
      <c r="P880" s="723">
        <v>29643</v>
      </c>
      <c r="Q880" s="703" t="s">
        <v>3257</v>
      </c>
      <c r="R880" s="703"/>
      <c r="S880" s="703"/>
      <c r="T880" s="703"/>
      <c r="U880" s="702"/>
      <c r="V880" s="702"/>
      <c r="W880" s="702"/>
      <c r="X880" s="702"/>
      <c r="Y880" s="702"/>
      <c r="Z880" s="702"/>
      <c r="AA880" s="702"/>
      <c r="AB880" s="702"/>
      <c r="AC880" s="702"/>
      <c r="AD880" s="708"/>
      <c r="AE880" s="655"/>
    </row>
    <row r="881" spans="1:31" ht="12" customHeight="1">
      <c r="A881" s="936" t="s">
        <v>18245</v>
      </c>
      <c r="B881" s="688" t="s">
        <v>3258</v>
      </c>
      <c r="C881" s="687" t="s">
        <v>3263</v>
      </c>
      <c r="D881" s="687">
        <f t="shared" si="13"/>
        <v>50</v>
      </c>
      <c r="E881" s="696" t="s">
        <v>5</v>
      </c>
      <c r="F881" s="689" t="s">
        <v>15273</v>
      </c>
      <c r="G881" s="747" t="s">
        <v>3264</v>
      </c>
      <c r="H881" s="687"/>
      <c r="I881" s="687"/>
      <c r="J881" s="692" t="s">
        <v>16127</v>
      </c>
      <c r="K881" s="687" t="s">
        <v>3265</v>
      </c>
      <c r="L881" s="687" t="s">
        <v>25</v>
      </c>
      <c r="M881" s="748">
        <v>4</v>
      </c>
      <c r="N881" s="749">
        <v>4</v>
      </c>
      <c r="O881" s="747" t="s">
        <v>3266</v>
      </c>
      <c r="P881" s="773">
        <v>22721</v>
      </c>
      <c r="Q881" s="747" t="s">
        <v>16669</v>
      </c>
      <c r="R881" s="747" t="s">
        <v>3267</v>
      </c>
      <c r="S881" s="747" t="s">
        <v>736</v>
      </c>
      <c r="T881" s="747" t="s">
        <v>3248</v>
      </c>
      <c r="U881" s="696"/>
      <c r="V881" s="696"/>
      <c r="W881" s="696"/>
      <c r="X881" s="696"/>
      <c r="Y881" s="696"/>
      <c r="Z881" s="696"/>
      <c r="AA881" s="696"/>
      <c r="AB881" s="696"/>
      <c r="AC881" s="696" t="s">
        <v>3248</v>
      </c>
      <c r="AD881" s="697"/>
      <c r="AE881" s="655"/>
    </row>
    <row r="882" spans="1:31" ht="12" customHeight="1">
      <c r="A882" s="937" t="s">
        <v>18246</v>
      </c>
      <c r="B882" s="4" t="s">
        <v>3259</v>
      </c>
      <c r="C882" s="1" t="s">
        <v>3268</v>
      </c>
      <c r="D882" s="1">
        <f t="shared" si="13"/>
        <v>42</v>
      </c>
      <c r="E882" s="2" t="s">
        <v>5</v>
      </c>
      <c r="F882" s="1" t="s">
        <v>15273</v>
      </c>
      <c r="J882" s="4" t="s">
        <v>16120</v>
      </c>
      <c r="K882" s="1" t="s">
        <v>48</v>
      </c>
      <c r="L882" s="1" t="s">
        <v>14</v>
      </c>
      <c r="M882" s="16">
        <v>2</v>
      </c>
      <c r="N882" s="17">
        <v>2</v>
      </c>
      <c r="O882" s="3" t="s">
        <v>245</v>
      </c>
      <c r="P882" s="20">
        <v>25855</v>
      </c>
      <c r="Q882" s="3" t="s">
        <v>3269</v>
      </c>
      <c r="R882" s="3" t="s">
        <v>304</v>
      </c>
      <c r="S882" s="3" t="s">
        <v>5457</v>
      </c>
      <c r="T882" s="3" t="s">
        <v>3231</v>
      </c>
      <c r="AA882" s="2" t="s">
        <v>3231</v>
      </c>
      <c r="AD882" s="698"/>
      <c r="AE882" s="655"/>
    </row>
    <row r="883" spans="1:31" ht="12" customHeight="1">
      <c r="A883" s="937" t="s">
        <v>18220</v>
      </c>
      <c r="B883" s="4" t="s">
        <v>3260</v>
      </c>
      <c r="C883" s="1" t="s">
        <v>5033</v>
      </c>
      <c r="D883" s="1">
        <f t="shared" si="13"/>
        <v>29</v>
      </c>
      <c r="E883" s="2" t="s">
        <v>5</v>
      </c>
      <c r="F883" s="1" t="s">
        <v>15273</v>
      </c>
      <c r="J883" s="4" t="s">
        <v>16116</v>
      </c>
      <c r="K883" s="1" t="s">
        <v>4997</v>
      </c>
      <c r="L883" s="1" t="s">
        <v>6</v>
      </c>
      <c r="O883" s="3" t="s">
        <v>317</v>
      </c>
      <c r="P883" s="20">
        <v>30504</v>
      </c>
      <c r="Q883" s="3" t="s">
        <v>6159</v>
      </c>
      <c r="S883" s="3" t="s">
        <v>6029</v>
      </c>
      <c r="T883" s="3" t="s">
        <v>5025</v>
      </c>
      <c r="U883" s="2" t="s">
        <v>47</v>
      </c>
      <c r="AD883" s="698"/>
      <c r="AE883" s="655"/>
    </row>
    <row r="884" spans="1:31" ht="12" customHeight="1">
      <c r="A884" s="937" t="s">
        <v>18223</v>
      </c>
      <c r="B884" s="4" t="s">
        <v>3261</v>
      </c>
      <c r="C884" s="1" t="s">
        <v>3270</v>
      </c>
      <c r="D884" s="1">
        <f t="shared" si="13"/>
        <v>44</v>
      </c>
      <c r="E884" s="2" t="s">
        <v>5</v>
      </c>
      <c r="F884" s="1" t="s">
        <v>15273</v>
      </c>
      <c r="J884" s="4" t="s">
        <v>16117</v>
      </c>
      <c r="L884" s="1" t="s">
        <v>6</v>
      </c>
      <c r="O884" s="3" t="s">
        <v>3271</v>
      </c>
      <c r="P884" s="20">
        <v>24963</v>
      </c>
      <c r="Q884" s="3" t="s">
        <v>3273</v>
      </c>
      <c r="T884" s="3" t="s">
        <v>3272</v>
      </c>
      <c r="U884" s="2" t="s">
        <v>47</v>
      </c>
      <c r="V884" s="2" t="s">
        <v>3211</v>
      </c>
      <c r="Z884" s="2" t="s">
        <v>3247</v>
      </c>
      <c r="AD884" s="698"/>
      <c r="AE884" s="655"/>
    </row>
    <row r="885" spans="1:31" ht="12" customHeight="1" thickBot="1">
      <c r="A885" s="938"/>
      <c r="B885" s="700" t="s">
        <v>3262</v>
      </c>
      <c r="C885" s="699" t="s">
        <v>3274</v>
      </c>
      <c r="D885" s="699">
        <f t="shared" si="13"/>
        <v>63</v>
      </c>
      <c r="E885" s="702" t="s">
        <v>5</v>
      </c>
      <c r="F885" s="699" t="s">
        <v>15273</v>
      </c>
      <c r="G885" s="703"/>
      <c r="H885" s="699"/>
      <c r="I885" s="699"/>
      <c r="J885" s="700" t="s">
        <v>16121</v>
      </c>
      <c r="K885" s="699"/>
      <c r="L885" s="699" t="s">
        <v>6</v>
      </c>
      <c r="M885" s="705"/>
      <c r="N885" s="706"/>
      <c r="O885" s="703" t="s">
        <v>3275</v>
      </c>
      <c r="P885" s="723">
        <v>17899</v>
      </c>
      <c r="Q885" s="703" t="s">
        <v>3276</v>
      </c>
      <c r="R885" s="703"/>
      <c r="S885" s="703"/>
      <c r="T885" s="703" t="s">
        <v>69</v>
      </c>
      <c r="U885" s="702"/>
      <c r="V885" s="702"/>
      <c r="W885" s="702"/>
      <c r="X885" s="702"/>
      <c r="Y885" s="702"/>
      <c r="Z885" s="702"/>
      <c r="AA885" s="702"/>
      <c r="AB885" s="702"/>
      <c r="AC885" s="702"/>
      <c r="AD885" s="708" t="s">
        <v>3241</v>
      </c>
      <c r="AE885" s="655"/>
    </row>
    <row r="886" spans="1:31" ht="12" customHeight="1">
      <c r="A886" s="936" t="s">
        <v>18245</v>
      </c>
      <c r="B886" s="688" t="s">
        <v>3277</v>
      </c>
      <c r="C886" s="687" t="s">
        <v>5455</v>
      </c>
      <c r="D886" s="687">
        <f t="shared" si="13"/>
        <v>38</v>
      </c>
      <c r="E886" s="696" t="s">
        <v>19</v>
      </c>
      <c r="F886" s="689" t="s">
        <v>15273</v>
      </c>
      <c r="G886" s="747"/>
      <c r="H886" s="687"/>
      <c r="I886" s="687"/>
      <c r="J886" s="692" t="s">
        <v>16126</v>
      </c>
      <c r="K886" s="687" t="s">
        <v>44</v>
      </c>
      <c r="L886" s="687" t="s">
        <v>6</v>
      </c>
      <c r="M886" s="748"/>
      <c r="N886" s="749"/>
      <c r="O886" s="747" t="s">
        <v>2291</v>
      </c>
      <c r="P886" s="773">
        <v>27379</v>
      </c>
      <c r="Q886" s="747" t="s">
        <v>5456</v>
      </c>
      <c r="R886" s="747"/>
      <c r="S886" s="747"/>
      <c r="T886" s="747" t="s">
        <v>5305</v>
      </c>
      <c r="U886" s="696"/>
      <c r="V886" s="696" t="s">
        <v>5305</v>
      </c>
      <c r="W886" s="696"/>
      <c r="X886" s="696"/>
      <c r="Y886" s="696"/>
      <c r="Z886" s="696"/>
      <c r="AA886" s="696"/>
      <c r="AB886" s="696"/>
      <c r="AC886" s="696"/>
      <c r="AD886" s="697"/>
      <c r="AE886" s="655"/>
    </row>
    <row r="887" spans="1:31" ht="12" customHeight="1">
      <c r="A887" s="937" t="s">
        <v>18219</v>
      </c>
      <c r="B887" s="4" t="s">
        <v>3278</v>
      </c>
      <c r="C887" s="1" t="s">
        <v>3280</v>
      </c>
      <c r="D887" s="1">
        <f t="shared" si="13"/>
        <v>38</v>
      </c>
      <c r="E887" s="2" t="s">
        <v>5</v>
      </c>
      <c r="J887" s="4" t="s">
        <v>16118</v>
      </c>
      <c r="L887" s="1" t="s">
        <v>6</v>
      </c>
      <c r="O887" s="3" t="s">
        <v>3281</v>
      </c>
      <c r="P887" s="20">
        <v>27356</v>
      </c>
      <c r="Q887" s="3" t="s">
        <v>3282</v>
      </c>
      <c r="S887" s="3" t="s">
        <v>5546</v>
      </c>
      <c r="T887" s="3" t="s">
        <v>3283</v>
      </c>
      <c r="AB887" s="2" t="s">
        <v>3283</v>
      </c>
      <c r="AD887" s="698"/>
      <c r="AE887" s="655"/>
    </row>
    <row r="888" spans="1:31" ht="12" customHeight="1" thickBot="1">
      <c r="A888" s="938" t="s">
        <v>18223</v>
      </c>
      <c r="B888" s="700" t="s">
        <v>3279</v>
      </c>
      <c r="C888" s="699" t="s">
        <v>3284</v>
      </c>
      <c r="D888" s="699">
        <f t="shared" si="13"/>
        <v>63</v>
      </c>
      <c r="E888" s="702" t="s">
        <v>5</v>
      </c>
      <c r="F888" s="699"/>
      <c r="G888" s="703"/>
      <c r="H888" s="699"/>
      <c r="I888" s="699"/>
      <c r="J888" s="700" t="s">
        <v>16117</v>
      </c>
      <c r="K888" s="699"/>
      <c r="L888" s="699" t="s">
        <v>6</v>
      </c>
      <c r="M888" s="705"/>
      <c r="N888" s="706"/>
      <c r="O888" s="703" t="s">
        <v>3219</v>
      </c>
      <c r="P888" s="723">
        <v>17992</v>
      </c>
      <c r="Q888" s="703" t="s">
        <v>3285</v>
      </c>
      <c r="R888" s="703"/>
      <c r="S888" s="703"/>
      <c r="T888" s="703" t="s">
        <v>3211</v>
      </c>
      <c r="U888" s="702"/>
      <c r="V888" s="702" t="s">
        <v>3211</v>
      </c>
      <c r="W888" s="702"/>
      <c r="X888" s="702"/>
      <c r="Y888" s="702"/>
      <c r="Z888" s="702"/>
      <c r="AA888" s="702"/>
      <c r="AB888" s="702"/>
      <c r="AC888" s="702"/>
      <c r="AD888" s="708"/>
      <c r="AE888" s="655"/>
    </row>
    <row r="889" spans="1:31" ht="12" customHeight="1">
      <c r="A889" s="936" t="s">
        <v>18245</v>
      </c>
      <c r="B889" s="688" t="s">
        <v>3286</v>
      </c>
      <c r="C889" s="687" t="s">
        <v>3289</v>
      </c>
      <c r="D889" s="687">
        <f t="shared" si="13"/>
        <v>60</v>
      </c>
      <c r="E889" s="696" t="s">
        <v>5</v>
      </c>
      <c r="F889" s="687" t="s">
        <v>15273</v>
      </c>
      <c r="G889" s="747" t="s">
        <v>3290</v>
      </c>
      <c r="H889" s="687"/>
      <c r="I889" s="687"/>
      <c r="J889" s="688" t="s">
        <v>16125</v>
      </c>
      <c r="K889" s="687"/>
      <c r="L889" s="687" t="s">
        <v>25</v>
      </c>
      <c r="M889" s="748">
        <v>1</v>
      </c>
      <c r="N889" s="749">
        <v>1</v>
      </c>
      <c r="O889" s="747" t="s">
        <v>3291</v>
      </c>
      <c r="P889" s="773">
        <v>19155</v>
      </c>
      <c r="Q889" s="747" t="s">
        <v>3292</v>
      </c>
      <c r="R889" s="747"/>
      <c r="S889" s="747" t="s">
        <v>16093</v>
      </c>
      <c r="T889" s="747" t="s">
        <v>3211</v>
      </c>
      <c r="U889" s="696"/>
      <c r="V889" s="696" t="s">
        <v>3442</v>
      </c>
      <c r="W889" s="696"/>
      <c r="X889" s="696"/>
      <c r="Y889" s="696"/>
      <c r="Z889" s="696"/>
      <c r="AA889" s="696"/>
      <c r="AB889" s="696"/>
      <c r="AC889" s="696"/>
      <c r="AD889" s="697"/>
      <c r="AE889" s="655"/>
    </row>
    <row r="890" spans="1:31" ht="12" customHeight="1">
      <c r="A890" s="937" t="s">
        <v>18219</v>
      </c>
      <c r="B890" s="4" t="s">
        <v>3287</v>
      </c>
      <c r="C890" s="1" t="s">
        <v>3293</v>
      </c>
      <c r="D890" s="1">
        <f t="shared" si="13"/>
        <v>38</v>
      </c>
      <c r="E890" s="2" t="s">
        <v>5</v>
      </c>
      <c r="J890" s="4" t="s">
        <v>16118</v>
      </c>
      <c r="L890" s="1" t="s">
        <v>6</v>
      </c>
      <c r="O890" s="3" t="s">
        <v>1983</v>
      </c>
      <c r="P890" s="21">
        <v>27373</v>
      </c>
      <c r="Q890" s="3" t="s">
        <v>3294</v>
      </c>
      <c r="S890" s="3" t="s">
        <v>5546</v>
      </c>
      <c r="T890" s="3" t="s">
        <v>3295</v>
      </c>
      <c r="U890" s="2" t="s">
        <v>47</v>
      </c>
      <c r="AD890" s="698"/>
      <c r="AE890" s="655"/>
    </row>
    <row r="891" spans="1:31" ht="12" customHeight="1" thickBot="1">
      <c r="A891" s="938"/>
      <c r="B891" s="700" t="s">
        <v>3288</v>
      </c>
      <c r="C891" s="699" t="s">
        <v>3296</v>
      </c>
      <c r="D891" s="699">
        <f t="shared" si="13"/>
        <v>54</v>
      </c>
      <c r="E891" s="702" t="s">
        <v>19</v>
      </c>
      <c r="F891" s="699"/>
      <c r="G891" s="703"/>
      <c r="H891" s="699"/>
      <c r="I891" s="699"/>
      <c r="J891" s="700" t="s">
        <v>16117</v>
      </c>
      <c r="K891" s="699"/>
      <c r="L891" s="699" t="s">
        <v>6</v>
      </c>
      <c r="M891" s="705"/>
      <c r="N891" s="706"/>
      <c r="O891" s="703" t="s">
        <v>3297</v>
      </c>
      <c r="P891" s="723">
        <v>21230</v>
      </c>
      <c r="Q891" s="703" t="s">
        <v>3298</v>
      </c>
      <c r="R891" s="703"/>
      <c r="S891" s="703"/>
      <c r="T891" s="703" t="s">
        <v>3241</v>
      </c>
      <c r="U891" s="702"/>
      <c r="V891" s="702"/>
      <c r="W891" s="702"/>
      <c r="X891" s="702"/>
      <c r="Y891" s="702"/>
      <c r="Z891" s="702"/>
      <c r="AA891" s="702"/>
      <c r="AB891" s="702"/>
      <c r="AC891" s="702"/>
      <c r="AD891" s="708" t="s">
        <v>3241</v>
      </c>
      <c r="AE891" s="655"/>
    </row>
    <row r="892" spans="1:31" ht="12" customHeight="1">
      <c r="A892" s="936" t="s">
        <v>18246</v>
      </c>
      <c r="B892" s="688" t="s">
        <v>3299</v>
      </c>
      <c r="C892" s="687" t="s">
        <v>3303</v>
      </c>
      <c r="D892" s="687">
        <f t="shared" si="13"/>
        <v>63</v>
      </c>
      <c r="E892" s="696" t="s">
        <v>5</v>
      </c>
      <c r="F892" s="689" t="s">
        <v>15273</v>
      </c>
      <c r="G892" s="747" t="s">
        <v>3304</v>
      </c>
      <c r="H892" s="687"/>
      <c r="I892" s="687"/>
      <c r="J892" s="692" t="s">
        <v>16127</v>
      </c>
      <c r="K892" s="687" t="s">
        <v>3305</v>
      </c>
      <c r="L892" s="687" t="s">
        <v>25</v>
      </c>
      <c r="M892" s="748">
        <v>6</v>
      </c>
      <c r="N892" s="749">
        <v>6</v>
      </c>
      <c r="O892" s="747" t="s">
        <v>3306</v>
      </c>
      <c r="P892" s="773">
        <v>18205</v>
      </c>
      <c r="Q892" s="747" t="s">
        <v>3307</v>
      </c>
      <c r="R892" s="747" t="s">
        <v>3308</v>
      </c>
      <c r="S892" s="747" t="s">
        <v>6214</v>
      </c>
      <c r="T892" s="747"/>
      <c r="U892" s="696"/>
      <c r="V892" s="696"/>
      <c r="W892" s="696"/>
      <c r="X892" s="696"/>
      <c r="Y892" s="696"/>
      <c r="Z892" s="696"/>
      <c r="AA892" s="696"/>
      <c r="AB892" s="696"/>
      <c r="AC892" s="696"/>
      <c r="AD892" s="697"/>
      <c r="AE892" s="655"/>
    </row>
    <row r="893" spans="1:31" ht="12" customHeight="1">
      <c r="A893" s="937" t="s">
        <v>18220</v>
      </c>
      <c r="B893" s="4" t="s">
        <v>3300</v>
      </c>
      <c r="C893" s="1" t="s">
        <v>3309</v>
      </c>
      <c r="D893" s="1">
        <f t="shared" si="13"/>
        <v>50</v>
      </c>
      <c r="E893" s="2" t="s">
        <v>19</v>
      </c>
      <c r="F893" s="1" t="s">
        <v>15273</v>
      </c>
      <c r="J893" s="4" t="s">
        <v>16120</v>
      </c>
      <c r="K893" s="1" t="s">
        <v>13</v>
      </c>
      <c r="L893" s="1" t="s">
        <v>14</v>
      </c>
      <c r="M893" s="16">
        <v>1</v>
      </c>
      <c r="N893" s="17">
        <v>1</v>
      </c>
      <c r="O893" s="3" t="s">
        <v>3310</v>
      </c>
      <c r="P893" s="20">
        <v>22843</v>
      </c>
      <c r="Q893" s="3" t="s">
        <v>3311</v>
      </c>
      <c r="S893" s="3" t="s">
        <v>5457</v>
      </c>
      <c r="T893" s="3" t="s">
        <v>3312</v>
      </c>
      <c r="V893" s="2" t="s">
        <v>3312</v>
      </c>
      <c r="AD893" s="698"/>
      <c r="AE893" s="655"/>
    </row>
    <row r="894" spans="1:31" ht="12" customHeight="1">
      <c r="A894" s="937" t="s">
        <v>18223</v>
      </c>
      <c r="B894" s="4" t="s">
        <v>3301</v>
      </c>
      <c r="C894" s="1" t="s">
        <v>4645</v>
      </c>
      <c r="D894" s="1">
        <f t="shared" si="13"/>
        <v>56</v>
      </c>
      <c r="E894" s="2" t="s">
        <v>5</v>
      </c>
      <c r="F894" s="1" t="s">
        <v>15273</v>
      </c>
      <c r="G894" s="3" t="s">
        <v>4646</v>
      </c>
      <c r="J894" s="4" t="s">
        <v>16125</v>
      </c>
      <c r="L894" s="1" t="s">
        <v>25</v>
      </c>
      <c r="M894" s="16">
        <v>1</v>
      </c>
      <c r="N894" s="17">
        <v>1</v>
      </c>
      <c r="O894" s="3" t="s">
        <v>3212</v>
      </c>
      <c r="P894" s="20">
        <v>20678</v>
      </c>
      <c r="Q894" s="3" t="s">
        <v>3213</v>
      </c>
      <c r="S894" s="3" t="s">
        <v>16093</v>
      </c>
      <c r="AD894" s="698"/>
      <c r="AE894" s="655"/>
    </row>
    <row r="895" spans="1:31" ht="12" customHeight="1">
      <c r="A895" s="937" t="s">
        <v>18245</v>
      </c>
      <c r="B895" s="4" t="s">
        <v>3302</v>
      </c>
      <c r="C895" s="1" t="s">
        <v>5034</v>
      </c>
      <c r="D895" s="1">
        <f t="shared" si="13"/>
        <v>29</v>
      </c>
      <c r="E895" s="2" t="s">
        <v>19</v>
      </c>
      <c r="F895" s="1" t="s">
        <v>15273</v>
      </c>
      <c r="J895" s="4" t="s">
        <v>16116</v>
      </c>
      <c r="K895" s="1" t="s">
        <v>4997</v>
      </c>
      <c r="L895" s="1" t="s">
        <v>6</v>
      </c>
      <c r="O895" s="3" t="s">
        <v>5616</v>
      </c>
      <c r="P895" s="20">
        <v>30436</v>
      </c>
      <c r="Q895" s="3" t="s">
        <v>16304</v>
      </c>
      <c r="S895" s="3" t="s">
        <v>6029</v>
      </c>
      <c r="AD895" s="698"/>
      <c r="AE895" s="655"/>
    </row>
    <row r="896" spans="1:31" ht="12" customHeight="1" thickBot="1">
      <c r="A896" s="938"/>
      <c r="B896" s="700" t="s">
        <v>4644</v>
      </c>
      <c r="C896" s="699" t="s">
        <v>3313</v>
      </c>
      <c r="D896" s="699">
        <f t="shared" si="13"/>
        <v>45</v>
      </c>
      <c r="E896" s="702" t="s">
        <v>19</v>
      </c>
      <c r="F896" s="699"/>
      <c r="G896" s="703"/>
      <c r="H896" s="699"/>
      <c r="I896" s="699"/>
      <c r="J896" s="700" t="s">
        <v>16117</v>
      </c>
      <c r="K896" s="699"/>
      <c r="L896" s="699" t="s">
        <v>6</v>
      </c>
      <c r="M896" s="705"/>
      <c r="N896" s="706"/>
      <c r="O896" s="703" t="s">
        <v>3314</v>
      </c>
      <c r="P896" s="723">
        <v>24766</v>
      </c>
      <c r="Q896" s="703" t="s">
        <v>3315</v>
      </c>
      <c r="R896" s="703"/>
      <c r="S896" s="703"/>
      <c r="T896" s="703"/>
      <c r="U896" s="702"/>
      <c r="V896" s="702"/>
      <c r="W896" s="702"/>
      <c r="X896" s="702"/>
      <c r="Y896" s="702"/>
      <c r="Z896" s="702"/>
      <c r="AA896" s="702"/>
      <c r="AB896" s="702"/>
      <c r="AC896" s="702"/>
      <c r="AD896" s="708"/>
      <c r="AE896" s="655"/>
    </row>
    <row r="897" spans="1:31" ht="12" customHeight="1">
      <c r="A897" s="936" t="s">
        <v>18245</v>
      </c>
      <c r="B897" s="688" t="s">
        <v>3316</v>
      </c>
      <c r="C897" s="687" t="s">
        <v>3560</v>
      </c>
      <c r="D897" s="687">
        <f t="shared" si="13"/>
        <v>30</v>
      </c>
      <c r="E897" s="696" t="s">
        <v>5</v>
      </c>
      <c r="F897" s="689" t="s">
        <v>15273</v>
      </c>
      <c r="G897" s="747" t="s">
        <v>3561</v>
      </c>
      <c r="H897" s="687"/>
      <c r="I897" s="687"/>
      <c r="J897" s="692" t="s">
        <v>16127</v>
      </c>
      <c r="K897" s="687" t="s">
        <v>681</v>
      </c>
      <c r="L897" s="687" t="s">
        <v>25</v>
      </c>
      <c r="M897" s="748">
        <v>1</v>
      </c>
      <c r="N897" s="749">
        <v>1</v>
      </c>
      <c r="O897" s="747" t="s">
        <v>7</v>
      </c>
      <c r="P897" s="773">
        <v>30007</v>
      </c>
      <c r="Q897" s="747" t="s">
        <v>3562</v>
      </c>
      <c r="R897" s="747"/>
      <c r="S897" s="747" t="s">
        <v>6214</v>
      </c>
      <c r="T897" s="747"/>
      <c r="U897" s="696"/>
      <c r="V897" s="696"/>
      <c r="W897" s="696"/>
      <c r="X897" s="696"/>
      <c r="Y897" s="696"/>
      <c r="Z897" s="696"/>
      <c r="AA897" s="696"/>
      <c r="AB897" s="696"/>
      <c r="AC897" s="696"/>
      <c r="AD897" s="697"/>
      <c r="AE897" s="655"/>
    </row>
    <row r="898" spans="1:31" ht="12" customHeight="1">
      <c r="A898" s="937" t="s">
        <v>18220</v>
      </c>
      <c r="B898" s="4" t="s">
        <v>3317</v>
      </c>
      <c r="C898" s="1" t="s">
        <v>3321</v>
      </c>
      <c r="D898" s="1">
        <f t="shared" ref="D898:D961" si="14">DATEDIF(P898,$P$1298,"Y")</f>
        <v>48</v>
      </c>
      <c r="E898" s="2" t="s">
        <v>5</v>
      </c>
      <c r="F898" s="1" t="s">
        <v>15273</v>
      </c>
      <c r="J898" s="8" t="s">
        <v>16120</v>
      </c>
      <c r="K898" s="1" t="s">
        <v>13</v>
      </c>
      <c r="L898" s="1" t="s">
        <v>14</v>
      </c>
      <c r="M898" s="16">
        <v>1</v>
      </c>
      <c r="N898" s="17">
        <v>1</v>
      </c>
      <c r="O898" s="3" t="s">
        <v>3322</v>
      </c>
      <c r="P898" s="20">
        <v>23631</v>
      </c>
      <c r="Q898" s="3" t="s">
        <v>3323</v>
      </c>
      <c r="S898" s="3" t="s">
        <v>5457</v>
      </c>
      <c r="AD898" s="698"/>
      <c r="AE898" s="655"/>
    </row>
    <row r="899" spans="1:31" ht="12" customHeight="1">
      <c r="A899" s="937" t="s">
        <v>18246</v>
      </c>
      <c r="B899" s="4" t="s">
        <v>3318</v>
      </c>
      <c r="C899" s="1" t="s">
        <v>5035</v>
      </c>
      <c r="D899" s="1">
        <f t="shared" si="14"/>
        <v>43</v>
      </c>
      <c r="E899" s="2" t="s">
        <v>5</v>
      </c>
      <c r="F899" s="1" t="s">
        <v>15273</v>
      </c>
      <c r="J899" s="4" t="s">
        <v>16116</v>
      </c>
      <c r="K899" s="1" t="s">
        <v>4997</v>
      </c>
      <c r="L899" s="1" t="s">
        <v>6</v>
      </c>
      <c r="O899" s="3" t="s">
        <v>31</v>
      </c>
      <c r="P899" s="20">
        <v>25323</v>
      </c>
      <c r="Q899" s="3" t="s">
        <v>3490</v>
      </c>
      <c r="S899" s="3" t="s">
        <v>6029</v>
      </c>
      <c r="AD899" s="698"/>
      <c r="AE899" s="655"/>
    </row>
    <row r="900" spans="1:31" ht="12" customHeight="1" thickBot="1">
      <c r="A900" s="938"/>
      <c r="B900" s="700" t="s">
        <v>3319</v>
      </c>
      <c r="C900" s="699" t="s">
        <v>3324</v>
      </c>
      <c r="D900" s="699">
        <f t="shared" si="14"/>
        <v>53</v>
      </c>
      <c r="E900" s="702" t="s">
        <v>5</v>
      </c>
      <c r="F900" s="699"/>
      <c r="G900" s="703"/>
      <c r="H900" s="699"/>
      <c r="I900" s="699"/>
      <c r="J900" s="700" t="s">
        <v>16117</v>
      </c>
      <c r="K900" s="699"/>
      <c r="L900" s="699" t="s">
        <v>6</v>
      </c>
      <c r="M900" s="705"/>
      <c r="N900" s="706"/>
      <c r="O900" s="703" t="s">
        <v>3325</v>
      </c>
      <c r="P900" s="723">
        <v>21666</v>
      </c>
      <c r="Q900" s="703" t="s">
        <v>3326</v>
      </c>
      <c r="R900" s="703"/>
      <c r="S900" s="703"/>
      <c r="T900" s="703" t="s">
        <v>3312</v>
      </c>
      <c r="U900" s="702"/>
      <c r="V900" s="702" t="s">
        <v>3312</v>
      </c>
      <c r="W900" s="702"/>
      <c r="X900" s="702"/>
      <c r="Y900" s="702"/>
      <c r="Z900" s="702"/>
      <c r="AA900" s="702"/>
      <c r="AB900" s="702"/>
      <c r="AC900" s="702"/>
      <c r="AD900" s="708"/>
      <c r="AE900" s="655"/>
    </row>
    <row r="901" spans="1:31" ht="12" customHeight="1">
      <c r="A901" s="936" t="s">
        <v>18245</v>
      </c>
      <c r="B901" s="688" t="s">
        <v>3327</v>
      </c>
      <c r="C901" s="687" t="s">
        <v>3331</v>
      </c>
      <c r="D901" s="687">
        <f t="shared" si="14"/>
        <v>50</v>
      </c>
      <c r="E901" s="696" t="s">
        <v>5</v>
      </c>
      <c r="F901" s="689" t="s">
        <v>15273</v>
      </c>
      <c r="G901" s="747" t="s">
        <v>3332</v>
      </c>
      <c r="H901" s="687"/>
      <c r="I901" s="687"/>
      <c r="J901" s="692" t="s">
        <v>16126</v>
      </c>
      <c r="K901" s="687" t="s">
        <v>3333</v>
      </c>
      <c r="L901" s="687" t="s">
        <v>25</v>
      </c>
      <c r="M901" s="748">
        <v>3</v>
      </c>
      <c r="N901" s="749">
        <v>3</v>
      </c>
      <c r="O901" s="747" t="s">
        <v>2037</v>
      </c>
      <c r="P901" s="773">
        <v>22984</v>
      </c>
      <c r="Q901" s="747" t="s">
        <v>3334</v>
      </c>
      <c r="R901" s="747" t="s">
        <v>3335</v>
      </c>
      <c r="S901" s="747" t="s">
        <v>6214</v>
      </c>
      <c r="T901" s="747"/>
      <c r="U901" s="696"/>
      <c r="V901" s="696"/>
      <c r="W901" s="696"/>
      <c r="X901" s="696"/>
      <c r="Y901" s="696"/>
      <c r="Z901" s="696"/>
      <c r="AA901" s="696"/>
      <c r="AB901" s="696"/>
      <c r="AC901" s="696"/>
      <c r="AD901" s="697"/>
      <c r="AE901" s="655"/>
    </row>
    <row r="902" spans="1:31" ht="12" customHeight="1">
      <c r="A902" s="937" t="s">
        <v>18245</v>
      </c>
      <c r="B902" s="4" t="s">
        <v>3328</v>
      </c>
      <c r="C902" s="1" t="s">
        <v>3336</v>
      </c>
      <c r="D902" s="1">
        <f t="shared" si="14"/>
        <v>64</v>
      </c>
      <c r="E902" s="2" t="s">
        <v>5</v>
      </c>
      <c r="F902" s="1" t="s">
        <v>15273</v>
      </c>
      <c r="J902" s="4" t="s">
        <v>16120</v>
      </c>
      <c r="K902" s="1" t="s">
        <v>13</v>
      </c>
      <c r="L902" s="1" t="s">
        <v>14</v>
      </c>
      <c r="M902" s="16">
        <v>1</v>
      </c>
      <c r="N902" s="17">
        <v>1</v>
      </c>
      <c r="O902" s="3" t="s">
        <v>3337</v>
      </c>
      <c r="P902" s="20">
        <v>17693</v>
      </c>
      <c r="Q902" s="3" t="s">
        <v>3338</v>
      </c>
      <c r="S902" s="3" t="s">
        <v>5457</v>
      </c>
      <c r="T902" s="3" t="s">
        <v>3342</v>
      </c>
      <c r="V902" s="2" t="s">
        <v>3312</v>
      </c>
      <c r="AA902" s="2" t="s">
        <v>3343</v>
      </c>
      <c r="AD902" s="698"/>
      <c r="AE902" s="655"/>
    </row>
    <row r="903" spans="1:31" ht="12" customHeight="1">
      <c r="A903" s="937" t="s">
        <v>18219</v>
      </c>
      <c r="B903" s="4" t="s">
        <v>3329</v>
      </c>
      <c r="C903" s="1" t="s">
        <v>5036</v>
      </c>
      <c r="D903" s="1">
        <f t="shared" si="14"/>
        <v>47</v>
      </c>
      <c r="E903" s="2" t="s">
        <v>5</v>
      </c>
      <c r="F903" s="1" t="s">
        <v>15273</v>
      </c>
      <c r="J903" s="4" t="s">
        <v>16116</v>
      </c>
      <c r="K903" s="1" t="s">
        <v>4997</v>
      </c>
      <c r="L903" s="1" t="s">
        <v>6</v>
      </c>
      <c r="O903" s="3" t="s">
        <v>302</v>
      </c>
      <c r="P903" s="20">
        <v>24029</v>
      </c>
      <c r="Q903" s="3" t="s">
        <v>5037</v>
      </c>
      <c r="T903" s="3" t="s">
        <v>5025</v>
      </c>
      <c r="U903" s="2" t="s">
        <v>47</v>
      </c>
      <c r="AD903" s="698"/>
      <c r="AE903" s="655"/>
    </row>
    <row r="904" spans="1:31" ht="12" customHeight="1" thickBot="1">
      <c r="A904" s="938"/>
      <c r="B904" s="700" t="s">
        <v>3330</v>
      </c>
      <c r="C904" s="699" t="s">
        <v>3339</v>
      </c>
      <c r="D904" s="699">
        <f t="shared" si="14"/>
        <v>66</v>
      </c>
      <c r="E904" s="702" t="s">
        <v>5</v>
      </c>
      <c r="F904" s="699"/>
      <c r="G904" s="703"/>
      <c r="H904" s="699"/>
      <c r="I904" s="699"/>
      <c r="J904" s="700" t="s">
        <v>16117</v>
      </c>
      <c r="K904" s="699"/>
      <c r="L904" s="699" t="s">
        <v>6</v>
      </c>
      <c r="M904" s="705"/>
      <c r="N904" s="706"/>
      <c r="O904" s="703" t="s">
        <v>3340</v>
      </c>
      <c r="P904" s="723">
        <v>17131</v>
      </c>
      <c r="Q904" s="703" t="s">
        <v>3341</v>
      </c>
      <c r="R904" s="703"/>
      <c r="S904" s="703"/>
      <c r="T904" s="703" t="s">
        <v>69</v>
      </c>
      <c r="U904" s="702"/>
      <c r="V904" s="702"/>
      <c r="W904" s="702"/>
      <c r="X904" s="702"/>
      <c r="Y904" s="702"/>
      <c r="Z904" s="702"/>
      <c r="AA904" s="702"/>
      <c r="AB904" s="702"/>
      <c r="AC904" s="702"/>
      <c r="AD904" s="708" t="s">
        <v>3344</v>
      </c>
      <c r="AE904" s="655"/>
    </row>
    <row r="905" spans="1:31" ht="12" customHeight="1">
      <c r="A905" s="936" t="s">
        <v>18246</v>
      </c>
      <c r="B905" s="688" t="s">
        <v>3345</v>
      </c>
      <c r="C905" s="687" t="s">
        <v>3349</v>
      </c>
      <c r="D905" s="687">
        <f t="shared" si="14"/>
        <v>52</v>
      </c>
      <c r="E905" s="696" t="s">
        <v>19</v>
      </c>
      <c r="F905" s="689" t="s">
        <v>15273</v>
      </c>
      <c r="G905" s="747" t="s">
        <v>3350</v>
      </c>
      <c r="H905" s="687"/>
      <c r="I905" s="687"/>
      <c r="J905" s="692" t="s">
        <v>16127</v>
      </c>
      <c r="K905" s="687" t="s">
        <v>45</v>
      </c>
      <c r="L905" s="687" t="s">
        <v>25</v>
      </c>
      <c r="M905" s="748">
        <v>4</v>
      </c>
      <c r="N905" s="749">
        <v>4</v>
      </c>
      <c r="O905" s="747" t="s">
        <v>188</v>
      </c>
      <c r="P905" s="773">
        <v>22034</v>
      </c>
      <c r="Q905" s="747" t="s">
        <v>3351</v>
      </c>
      <c r="R905" s="747" t="s">
        <v>3352</v>
      </c>
      <c r="S905" s="747" t="s">
        <v>6214</v>
      </c>
      <c r="T905" s="747"/>
      <c r="U905" s="696"/>
      <c r="V905" s="696"/>
      <c r="W905" s="696"/>
      <c r="X905" s="696"/>
      <c r="Y905" s="696"/>
      <c r="Z905" s="696"/>
      <c r="AA905" s="696"/>
      <c r="AB905" s="696"/>
      <c r="AC905" s="696"/>
      <c r="AD905" s="697"/>
      <c r="AE905" s="655"/>
    </row>
    <row r="906" spans="1:31" ht="12" customHeight="1">
      <c r="A906" s="937" t="s">
        <v>18245</v>
      </c>
      <c r="B906" s="4" t="s">
        <v>3346</v>
      </c>
      <c r="C906" s="1" t="s">
        <v>4635</v>
      </c>
      <c r="D906" s="1">
        <f t="shared" si="14"/>
        <v>43</v>
      </c>
      <c r="E906" s="2" t="s">
        <v>5</v>
      </c>
      <c r="F906" s="1" t="s">
        <v>15273</v>
      </c>
      <c r="J906" s="4" t="s">
        <v>16120</v>
      </c>
      <c r="K906" s="1" t="s">
        <v>30</v>
      </c>
      <c r="L906" s="1" t="s">
        <v>6</v>
      </c>
      <c r="O906" s="3" t="s">
        <v>5836</v>
      </c>
      <c r="P906" s="20">
        <v>25438</v>
      </c>
      <c r="Q906" s="3" t="s">
        <v>5837</v>
      </c>
      <c r="AD906" s="698"/>
      <c r="AE906" s="655"/>
    </row>
    <row r="907" spans="1:31" ht="12" customHeight="1">
      <c r="A907" s="937" t="s">
        <v>18220</v>
      </c>
      <c r="B907" s="4" t="s">
        <v>3347</v>
      </c>
      <c r="C907" s="1" t="s">
        <v>3355</v>
      </c>
      <c r="D907" s="1">
        <f t="shared" si="14"/>
        <v>41</v>
      </c>
      <c r="E907" s="2" t="s">
        <v>5</v>
      </c>
      <c r="F907" s="1" t="s">
        <v>15273</v>
      </c>
      <c r="G907" s="3" t="s">
        <v>3356</v>
      </c>
      <c r="J907" s="4" t="s">
        <v>16116</v>
      </c>
      <c r="K907" s="1" t="s">
        <v>3357</v>
      </c>
      <c r="L907" s="1" t="s">
        <v>25</v>
      </c>
      <c r="M907" s="16">
        <v>3</v>
      </c>
      <c r="N907" s="17">
        <v>3</v>
      </c>
      <c r="O907" s="3" t="s">
        <v>188</v>
      </c>
      <c r="P907" s="20">
        <v>26162</v>
      </c>
      <c r="Q907" s="3" t="s">
        <v>3358</v>
      </c>
      <c r="R907" s="3" t="s">
        <v>3359</v>
      </c>
      <c r="S907" s="3" t="s">
        <v>18564</v>
      </c>
      <c r="T907" s="3" t="s">
        <v>3360</v>
      </c>
      <c r="Y907" s="2" t="s">
        <v>3361</v>
      </c>
      <c r="AA907" s="2" t="s">
        <v>3343</v>
      </c>
      <c r="AD907" s="698"/>
      <c r="AE907" s="655"/>
    </row>
    <row r="908" spans="1:31" ht="12" customHeight="1" thickBot="1">
      <c r="A908" s="938"/>
      <c r="B908" s="700" t="s">
        <v>3348</v>
      </c>
      <c r="C908" s="699" t="s">
        <v>3353</v>
      </c>
      <c r="D908" s="699">
        <f t="shared" si="14"/>
        <v>51</v>
      </c>
      <c r="E908" s="702" t="s">
        <v>5</v>
      </c>
      <c r="F908" s="699"/>
      <c r="G908" s="703"/>
      <c r="H908" s="699"/>
      <c r="I908" s="699"/>
      <c r="J908" s="700" t="s">
        <v>16117</v>
      </c>
      <c r="K908" s="699"/>
      <c r="L908" s="699" t="s">
        <v>6</v>
      </c>
      <c r="M908" s="705"/>
      <c r="N908" s="706"/>
      <c r="O908" s="703" t="s">
        <v>7</v>
      </c>
      <c r="P908" s="707">
        <v>22427</v>
      </c>
      <c r="Q908" s="703" t="s">
        <v>3354</v>
      </c>
      <c r="R908" s="703"/>
      <c r="S908" s="703"/>
      <c r="T908" s="703"/>
      <c r="U908" s="702"/>
      <c r="V908" s="702"/>
      <c r="W908" s="702"/>
      <c r="X908" s="702"/>
      <c r="Y908" s="702"/>
      <c r="Z908" s="702"/>
      <c r="AA908" s="702"/>
      <c r="AB908" s="702"/>
      <c r="AC908" s="702"/>
      <c r="AD908" s="708"/>
      <c r="AE908" s="655"/>
    </row>
    <row r="909" spans="1:31" ht="12" customHeight="1">
      <c r="A909" s="936" t="s">
        <v>18220</v>
      </c>
      <c r="B909" s="688" t="s">
        <v>3362</v>
      </c>
      <c r="C909" s="687" t="s">
        <v>3366</v>
      </c>
      <c r="D909" s="687">
        <f t="shared" si="14"/>
        <v>63</v>
      </c>
      <c r="E909" s="696" t="s">
        <v>5</v>
      </c>
      <c r="F909" s="689" t="s">
        <v>15273</v>
      </c>
      <c r="G909" s="747" t="s">
        <v>3367</v>
      </c>
      <c r="H909" s="687"/>
      <c r="I909" s="687"/>
      <c r="J909" s="692" t="s">
        <v>16127</v>
      </c>
      <c r="K909" s="687" t="s">
        <v>45</v>
      </c>
      <c r="L909" s="687" t="s">
        <v>25</v>
      </c>
      <c r="M909" s="748">
        <v>5</v>
      </c>
      <c r="N909" s="749">
        <v>5</v>
      </c>
      <c r="O909" s="747" t="s">
        <v>381</v>
      </c>
      <c r="P909" s="773">
        <v>17976</v>
      </c>
      <c r="Q909" s="747" t="s">
        <v>3368</v>
      </c>
      <c r="R909" s="747" t="s">
        <v>3369</v>
      </c>
      <c r="S909" s="747" t="s">
        <v>6214</v>
      </c>
      <c r="T909" s="747" t="s">
        <v>69</v>
      </c>
      <c r="U909" s="696"/>
      <c r="V909" s="696"/>
      <c r="W909" s="696"/>
      <c r="X909" s="696"/>
      <c r="Y909" s="696"/>
      <c r="Z909" s="696"/>
      <c r="AA909" s="696"/>
      <c r="AB909" s="696"/>
      <c r="AC909" s="696"/>
      <c r="AD909" s="697" t="s">
        <v>3344</v>
      </c>
      <c r="AE909" s="655"/>
    </row>
    <row r="910" spans="1:31" ht="12" customHeight="1">
      <c r="A910" s="937" t="s">
        <v>18245</v>
      </c>
      <c r="B910" s="4" t="s">
        <v>3363</v>
      </c>
      <c r="C910" s="1" t="s">
        <v>3370</v>
      </c>
      <c r="D910" s="1">
        <f t="shared" si="14"/>
        <v>66</v>
      </c>
      <c r="E910" s="2" t="s">
        <v>19</v>
      </c>
      <c r="F910" s="1" t="s">
        <v>15273</v>
      </c>
      <c r="J910" s="8" t="s">
        <v>16120</v>
      </c>
      <c r="K910" s="1" t="s">
        <v>65</v>
      </c>
      <c r="L910" s="1" t="s">
        <v>14</v>
      </c>
      <c r="M910" s="16">
        <v>1</v>
      </c>
      <c r="N910" s="17">
        <v>1</v>
      </c>
      <c r="O910" s="3" t="s">
        <v>3371</v>
      </c>
      <c r="P910" s="20">
        <v>16844</v>
      </c>
      <c r="Q910" s="3" t="s">
        <v>3372</v>
      </c>
      <c r="AD910" s="698"/>
      <c r="AE910" s="655"/>
    </row>
    <row r="911" spans="1:31" ht="12" customHeight="1">
      <c r="A911" s="937" t="s">
        <v>18246</v>
      </c>
      <c r="B911" s="4" t="s">
        <v>3364</v>
      </c>
      <c r="C911" s="1" t="s">
        <v>5038</v>
      </c>
      <c r="D911" s="1">
        <f t="shared" si="14"/>
        <v>48</v>
      </c>
      <c r="E911" s="2" t="s">
        <v>5</v>
      </c>
      <c r="F911" s="1" t="s">
        <v>15273</v>
      </c>
      <c r="J911" s="4" t="s">
        <v>16116</v>
      </c>
      <c r="K911" s="1" t="s">
        <v>4997</v>
      </c>
      <c r="L911" s="1" t="s">
        <v>6</v>
      </c>
      <c r="O911" s="3" t="s">
        <v>3016</v>
      </c>
      <c r="P911" s="20">
        <v>23380</v>
      </c>
      <c r="Q911" s="3" t="s">
        <v>5617</v>
      </c>
      <c r="S911" s="3" t="s">
        <v>6029</v>
      </c>
      <c r="AD911" s="698"/>
      <c r="AE911" s="655"/>
    </row>
    <row r="912" spans="1:31" ht="12" customHeight="1" thickBot="1">
      <c r="A912" s="938"/>
      <c r="B912" s="700" t="s">
        <v>3365</v>
      </c>
      <c r="C912" s="699" t="s">
        <v>3373</v>
      </c>
      <c r="D912" s="699">
        <f t="shared" si="14"/>
        <v>37</v>
      </c>
      <c r="E912" s="702" t="s">
        <v>5</v>
      </c>
      <c r="F912" s="699"/>
      <c r="G912" s="703"/>
      <c r="H912" s="699"/>
      <c r="I912" s="699"/>
      <c r="J912" s="700" t="s">
        <v>16117</v>
      </c>
      <c r="K912" s="699"/>
      <c r="L912" s="699" t="s">
        <v>6</v>
      </c>
      <c r="M912" s="705"/>
      <c r="N912" s="706"/>
      <c r="O912" s="703" t="s">
        <v>3374</v>
      </c>
      <c r="P912" s="723">
        <v>27422</v>
      </c>
      <c r="Q912" s="703" t="s">
        <v>3375</v>
      </c>
      <c r="R912" s="703"/>
      <c r="S912" s="703"/>
      <c r="T912" s="703"/>
      <c r="U912" s="702"/>
      <c r="V912" s="702"/>
      <c r="W912" s="702"/>
      <c r="X912" s="702"/>
      <c r="Y912" s="702"/>
      <c r="Z912" s="702"/>
      <c r="AA912" s="702"/>
      <c r="AB912" s="702"/>
      <c r="AC912" s="702"/>
      <c r="AD912" s="708"/>
      <c r="AE912" s="655"/>
    </row>
    <row r="913" spans="1:31" ht="12" customHeight="1">
      <c r="A913" s="936" t="s">
        <v>18246</v>
      </c>
      <c r="B913" s="688" t="s">
        <v>3376</v>
      </c>
      <c r="C913" s="687" t="s">
        <v>3379</v>
      </c>
      <c r="D913" s="687">
        <f t="shared" si="14"/>
        <v>53</v>
      </c>
      <c r="E913" s="696" t="s">
        <v>5</v>
      </c>
      <c r="F913" s="689" t="s">
        <v>15273</v>
      </c>
      <c r="G913" s="747" t="s">
        <v>3380</v>
      </c>
      <c r="H913" s="687"/>
      <c r="I913" s="687"/>
      <c r="J913" s="692" t="s">
        <v>16126</v>
      </c>
      <c r="K913" s="687" t="s">
        <v>3305</v>
      </c>
      <c r="L913" s="687" t="s">
        <v>25</v>
      </c>
      <c r="M913" s="748">
        <v>5</v>
      </c>
      <c r="N913" s="749">
        <v>5</v>
      </c>
      <c r="O913" s="747" t="s">
        <v>3381</v>
      </c>
      <c r="P913" s="773">
        <v>21768</v>
      </c>
      <c r="Q913" s="747" t="s">
        <v>16670</v>
      </c>
      <c r="R913" s="747" t="s">
        <v>3383</v>
      </c>
      <c r="S913" s="747" t="s">
        <v>6214</v>
      </c>
      <c r="T913" s="747" t="s">
        <v>3382</v>
      </c>
      <c r="U913" s="696"/>
      <c r="V913" s="696"/>
      <c r="W913" s="696"/>
      <c r="X913" s="696"/>
      <c r="Y913" s="696"/>
      <c r="Z913" s="696"/>
      <c r="AA913" s="696"/>
      <c r="AB913" s="696"/>
      <c r="AC913" s="696" t="s">
        <v>3382</v>
      </c>
      <c r="AD913" s="697"/>
      <c r="AE913" s="655"/>
    </row>
    <row r="914" spans="1:31" ht="12" customHeight="1">
      <c r="A914" s="937" t="s">
        <v>18220</v>
      </c>
      <c r="B914" s="4" t="s">
        <v>3377</v>
      </c>
      <c r="C914" s="1" t="s">
        <v>3384</v>
      </c>
      <c r="D914" s="1">
        <f t="shared" si="14"/>
        <v>61</v>
      </c>
      <c r="E914" s="2" t="s">
        <v>5</v>
      </c>
      <c r="F914" s="1" t="s">
        <v>15273</v>
      </c>
      <c r="J914" s="4" t="s">
        <v>16120</v>
      </c>
      <c r="K914" s="1" t="s">
        <v>475</v>
      </c>
      <c r="L914" s="1" t="s">
        <v>14</v>
      </c>
      <c r="M914" s="16">
        <v>3</v>
      </c>
      <c r="N914" s="17">
        <v>3</v>
      </c>
      <c r="O914" s="3" t="s">
        <v>3320</v>
      </c>
      <c r="P914" s="20">
        <v>18940</v>
      </c>
      <c r="Q914" s="3" t="s">
        <v>3385</v>
      </c>
      <c r="R914" s="3" t="s">
        <v>3335</v>
      </c>
      <c r="S914" s="3" t="s">
        <v>5457</v>
      </c>
      <c r="T914" s="3" t="s">
        <v>3343</v>
      </c>
      <c r="AA914" s="2" t="s">
        <v>3343</v>
      </c>
      <c r="AD914" s="698"/>
      <c r="AE914" s="655"/>
    </row>
    <row r="915" spans="1:31" ht="12" customHeight="1">
      <c r="A915" s="937" t="s">
        <v>18223</v>
      </c>
      <c r="B915" s="4" t="s">
        <v>3378</v>
      </c>
      <c r="C915" s="1" t="s">
        <v>3242</v>
      </c>
      <c r="D915" s="1">
        <f t="shared" si="14"/>
        <v>43</v>
      </c>
      <c r="E915" s="2" t="s">
        <v>5</v>
      </c>
      <c r="F915" s="1" t="s">
        <v>15273</v>
      </c>
      <c r="J915" s="4" t="s">
        <v>16128</v>
      </c>
      <c r="L915" s="1" t="s">
        <v>6</v>
      </c>
      <c r="O915" s="3" t="s">
        <v>3243</v>
      </c>
      <c r="P915" s="20">
        <v>25336</v>
      </c>
      <c r="Q915" s="3" t="s">
        <v>3244</v>
      </c>
      <c r="S915" s="3" t="s">
        <v>5092</v>
      </c>
      <c r="AD915" s="698"/>
      <c r="AE915" s="655"/>
    </row>
    <row r="916" spans="1:31" ht="12" customHeight="1" thickBot="1">
      <c r="A916" s="938"/>
      <c r="B916" s="700" t="s">
        <v>5686</v>
      </c>
      <c r="C916" s="699" t="s">
        <v>3386</v>
      </c>
      <c r="D916" s="699">
        <f t="shared" si="14"/>
        <v>50</v>
      </c>
      <c r="E916" s="702" t="s">
        <v>19</v>
      </c>
      <c r="F916" s="699"/>
      <c r="G916" s="703"/>
      <c r="H916" s="699"/>
      <c r="I916" s="699"/>
      <c r="J916" s="700" t="s">
        <v>16117</v>
      </c>
      <c r="K916" s="699"/>
      <c r="L916" s="699" t="s">
        <v>6</v>
      </c>
      <c r="M916" s="705"/>
      <c r="N916" s="706"/>
      <c r="O916" s="703" t="s">
        <v>3387</v>
      </c>
      <c r="P916" s="723">
        <v>22956</v>
      </c>
      <c r="Q916" s="703" t="s">
        <v>3388</v>
      </c>
      <c r="R916" s="703"/>
      <c r="S916" s="703"/>
      <c r="T916" s="703"/>
      <c r="U916" s="702"/>
      <c r="V916" s="702"/>
      <c r="W916" s="702"/>
      <c r="X916" s="702"/>
      <c r="Y916" s="702"/>
      <c r="Z916" s="702"/>
      <c r="AA916" s="702"/>
      <c r="AB916" s="702"/>
      <c r="AC916" s="702"/>
      <c r="AD916" s="708"/>
      <c r="AE916" s="655"/>
    </row>
    <row r="917" spans="1:31" ht="12" customHeight="1">
      <c r="A917" s="936" t="s">
        <v>18223</v>
      </c>
      <c r="B917" s="688" t="s">
        <v>3389</v>
      </c>
      <c r="C917" s="687" t="s">
        <v>3396</v>
      </c>
      <c r="D917" s="687">
        <f t="shared" si="14"/>
        <v>61</v>
      </c>
      <c r="E917" s="696" t="s">
        <v>5</v>
      </c>
      <c r="F917" s="689" t="s">
        <v>15273</v>
      </c>
      <c r="G917" s="747" t="s">
        <v>3393</v>
      </c>
      <c r="H917" s="687"/>
      <c r="I917" s="687"/>
      <c r="J917" s="692" t="s">
        <v>16127</v>
      </c>
      <c r="K917" s="687" t="s">
        <v>3305</v>
      </c>
      <c r="L917" s="687" t="s">
        <v>25</v>
      </c>
      <c r="M917" s="748">
        <v>1</v>
      </c>
      <c r="N917" s="749">
        <v>2</v>
      </c>
      <c r="O917" s="747" t="s">
        <v>474</v>
      </c>
      <c r="P917" s="773">
        <v>18906</v>
      </c>
      <c r="Q917" s="747" t="s">
        <v>3394</v>
      </c>
      <c r="R917" s="747" t="s">
        <v>374</v>
      </c>
      <c r="S917" s="747" t="s">
        <v>6214</v>
      </c>
      <c r="T917" s="747" t="s">
        <v>375</v>
      </c>
      <c r="U917" s="696"/>
      <c r="V917" s="696" t="s">
        <v>3312</v>
      </c>
      <c r="W917" s="696"/>
      <c r="X917" s="696" t="s">
        <v>3395</v>
      </c>
      <c r="Y917" s="696"/>
      <c r="Z917" s="696"/>
      <c r="AA917" s="696"/>
      <c r="AB917" s="696"/>
      <c r="AC917" s="696"/>
      <c r="AD917" s="697"/>
      <c r="AE917" s="655"/>
    </row>
    <row r="918" spans="1:31" ht="12" customHeight="1">
      <c r="A918" s="937" t="s">
        <v>18245</v>
      </c>
      <c r="B918" s="4" t="s">
        <v>3390</v>
      </c>
      <c r="C918" s="1" t="s">
        <v>5576</v>
      </c>
      <c r="D918" s="1">
        <f t="shared" si="14"/>
        <v>35</v>
      </c>
      <c r="E918" s="2" t="s">
        <v>5</v>
      </c>
      <c r="F918" s="1" t="s">
        <v>15273</v>
      </c>
      <c r="J918" s="4" t="s">
        <v>16120</v>
      </c>
      <c r="K918" s="1" t="s">
        <v>30</v>
      </c>
      <c r="L918" s="1" t="s">
        <v>6</v>
      </c>
      <c r="O918" s="3" t="s">
        <v>3776</v>
      </c>
      <c r="P918" s="20">
        <v>28410</v>
      </c>
      <c r="Q918" s="3" t="s">
        <v>5577</v>
      </c>
      <c r="T918" s="3" t="s">
        <v>5463</v>
      </c>
      <c r="V918" s="2" t="s">
        <v>5463</v>
      </c>
      <c r="AD918" s="698"/>
      <c r="AE918" s="655"/>
    </row>
    <row r="919" spans="1:31" ht="12" customHeight="1">
      <c r="A919" s="937" t="s">
        <v>18219</v>
      </c>
      <c r="B919" s="4" t="s">
        <v>3391</v>
      </c>
      <c r="C919" s="1" t="s">
        <v>5331</v>
      </c>
      <c r="D919" s="1">
        <f t="shared" si="14"/>
        <v>43</v>
      </c>
      <c r="E919" s="2" t="s">
        <v>5</v>
      </c>
      <c r="F919" s="1" t="s">
        <v>15273</v>
      </c>
      <c r="J919" s="4" t="s">
        <v>16116</v>
      </c>
      <c r="K919" s="1" t="s">
        <v>5332</v>
      </c>
      <c r="L919" s="1" t="s">
        <v>6</v>
      </c>
      <c r="O919" s="3" t="s">
        <v>5334</v>
      </c>
      <c r="P919" s="21">
        <v>25214</v>
      </c>
      <c r="Q919" s="3" t="s">
        <v>5335</v>
      </c>
      <c r="T919" s="3" t="s">
        <v>5333</v>
      </c>
      <c r="V919" s="2" t="s">
        <v>5305</v>
      </c>
      <c r="AA919" s="2" t="s">
        <v>5294</v>
      </c>
      <c r="AD919" s="698"/>
      <c r="AE919" s="655"/>
    </row>
    <row r="920" spans="1:31" ht="12" customHeight="1">
      <c r="A920" s="937" t="s">
        <v>18223</v>
      </c>
      <c r="B920" s="4" t="s">
        <v>3392</v>
      </c>
      <c r="C920" s="1" t="s">
        <v>3400</v>
      </c>
      <c r="D920" s="1">
        <f t="shared" si="14"/>
        <v>57</v>
      </c>
      <c r="E920" s="2" t="s">
        <v>19</v>
      </c>
      <c r="J920" s="4" t="s">
        <v>16117</v>
      </c>
      <c r="L920" s="1" t="s">
        <v>6</v>
      </c>
      <c r="O920" s="3" t="s">
        <v>16038</v>
      </c>
      <c r="P920" s="21">
        <v>20389</v>
      </c>
      <c r="Q920" s="3" t="s">
        <v>3388</v>
      </c>
      <c r="AD920" s="698"/>
      <c r="AE920" s="655"/>
    </row>
    <row r="921" spans="1:31" ht="12" customHeight="1" thickBot="1">
      <c r="A921" s="938"/>
      <c r="B921" s="700" t="s">
        <v>16035</v>
      </c>
      <c r="C921" s="699" t="s">
        <v>16036</v>
      </c>
      <c r="D921" s="699">
        <f t="shared" si="14"/>
        <v>64</v>
      </c>
      <c r="E921" s="702" t="s">
        <v>5</v>
      </c>
      <c r="F921" s="699"/>
      <c r="G921" s="703"/>
      <c r="H921" s="699"/>
      <c r="I921" s="699"/>
      <c r="J921" s="704" t="s">
        <v>16129</v>
      </c>
      <c r="K921" s="699"/>
      <c r="L921" s="699" t="s">
        <v>6</v>
      </c>
      <c r="M921" s="705"/>
      <c r="N921" s="706"/>
      <c r="O921" s="703" t="s">
        <v>16037</v>
      </c>
      <c r="P921" s="723">
        <v>17544</v>
      </c>
      <c r="Q921" s="703" t="s">
        <v>16650</v>
      </c>
      <c r="R921" s="703"/>
      <c r="S921" s="703"/>
      <c r="T921" s="703"/>
      <c r="U921" s="702"/>
      <c r="V921" s="702"/>
      <c r="W921" s="702"/>
      <c r="X921" s="702"/>
      <c r="Y921" s="702"/>
      <c r="Z921" s="702"/>
      <c r="AA921" s="702"/>
      <c r="AB921" s="702"/>
      <c r="AC921" s="702"/>
      <c r="AD921" s="708"/>
      <c r="AE921" s="655"/>
    </row>
    <row r="922" spans="1:31" ht="12" customHeight="1">
      <c r="A922" s="936" t="s">
        <v>18223</v>
      </c>
      <c r="B922" s="688" t="s">
        <v>3401</v>
      </c>
      <c r="C922" s="687" t="s">
        <v>15844</v>
      </c>
      <c r="D922" s="687">
        <f t="shared" si="14"/>
        <v>48</v>
      </c>
      <c r="E922" s="696" t="s">
        <v>5</v>
      </c>
      <c r="F922" s="689" t="s">
        <v>15273</v>
      </c>
      <c r="G922" s="747"/>
      <c r="H922" s="687"/>
      <c r="I922" s="687"/>
      <c r="J922" s="692" t="s">
        <v>16127</v>
      </c>
      <c r="K922" s="687" t="s">
        <v>44</v>
      </c>
      <c r="L922" s="687" t="s">
        <v>6</v>
      </c>
      <c r="M922" s="748"/>
      <c r="N922" s="749"/>
      <c r="O922" s="747" t="s">
        <v>15845</v>
      </c>
      <c r="P922" s="719">
        <v>23490</v>
      </c>
      <c r="Q922" s="747" t="s">
        <v>15846</v>
      </c>
      <c r="R922" s="747"/>
      <c r="S922" s="747" t="s">
        <v>6214</v>
      </c>
      <c r="T922" s="747"/>
      <c r="U922" s="696"/>
      <c r="V922" s="696"/>
      <c r="W922" s="696"/>
      <c r="X922" s="696"/>
      <c r="Y922" s="696"/>
      <c r="Z922" s="696"/>
      <c r="AA922" s="696"/>
      <c r="AB922" s="696"/>
      <c r="AC922" s="696"/>
      <c r="AD922" s="697"/>
      <c r="AE922" s="655"/>
    </row>
    <row r="923" spans="1:31" ht="12" customHeight="1">
      <c r="A923" s="937" t="s">
        <v>18219</v>
      </c>
      <c r="B923" s="4" t="s">
        <v>3402</v>
      </c>
      <c r="C923" s="1" t="s">
        <v>3411</v>
      </c>
      <c r="D923" s="1">
        <f t="shared" si="14"/>
        <v>65</v>
      </c>
      <c r="E923" s="2" t="s">
        <v>5</v>
      </c>
      <c r="F923" s="1" t="s">
        <v>15273</v>
      </c>
      <c r="G923" s="3" t="s">
        <v>3412</v>
      </c>
      <c r="J923" s="4" t="s">
        <v>16116</v>
      </c>
      <c r="K923" s="1" t="s">
        <v>3357</v>
      </c>
      <c r="L923" s="1" t="s">
        <v>25</v>
      </c>
      <c r="M923" s="16">
        <v>5</v>
      </c>
      <c r="N923" s="17">
        <v>7</v>
      </c>
      <c r="O923" s="3" t="s">
        <v>3320</v>
      </c>
      <c r="P923" s="20">
        <v>17177</v>
      </c>
      <c r="Q923" s="3" t="s">
        <v>3413</v>
      </c>
      <c r="R923" s="3" t="s">
        <v>3414</v>
      </c>
      <c r="S923" s="3" t="s">
        <v>18564</v>
      </c>
      <c r="T923" s="3" t="s">
        <v>3395</v>
      </c>
      <c r="X923" s="2" t="s">
        <v>3395</v>
      </c>
      <c r="AD923" s="698"/>
      <c r="AE923" s="655"/>
    </row>
    <row r="924" spans="1:31" ht="12" customHeight="1">
      <c r="A924" s="937"/>
      <c r="B924" s="4" t="s">
        <v>3403</v>
      </c>
      <c r="C924" s="1" t="s">
        <v>3408</v>
      </c>
      <c r="D924" s="1">
        <f t="shared" si="14"/>
        <v>64</v>
      </c>
      <c r="E924" s="2" t="s">
        <v>5</v>
      </c>
      <c r="J924" s="4" t="s">
        <v>16117</v>
      </c>
      <c r="L924" s="1" t="s">
        <v>6</v>
      </c>
      <c r="O924" s="3" t="s">
        <v>3409</v>
      </c>
      <c r="P924" s="20">
        <v>17578</v>
      </c>
      <c r="Q924" s="3" t="s">
        <v>3410</v>
      </c>
      <c r="T924" s="3" t="s">
        <v>3312</v>
      </c>
      <c r="V924" s="2" t="s">
        <v>3312</v>
      </c>
      <c r="AD924" s="698"/>
      <c r="AE924" s="655"/>
    </row>
    <row r="925" spans="1:31" ht="12" customHeight="1" thickBot="1">
      <c r="A925" s="938" t="s">
        <v>18245</v>
      </c>
      <c r="B925" s="700" t="s">
        <v>3404</v>
      </c>
      <c r="C925" s="699" t="s">
        <v>3405</v>
      </c>
      <c r="D925" s="699">
        <f t="shared" si="14"/>
        <v>50</v>
      </c>
      <c r="E925" s="702" t="s">
        <v>5</v>
      </c>
      <c r="F925" s="699"/>
      <c r="G925" s="703" t="s">
        <v>3406</v>
      </c>
      <c r="H925" s="699"/>
      <c r="I925" s="699"/>
      <c r="J925" s="700" t="s">
        <v>16129</v>
      </c>
      <c r="K925" s="699" t="s">
        <v>97</v>
      </c>
      <c r="L925" s="699" t="s">
        <v>25</v>
      </c>
      <c r="M925" s="705">
        <v>1</v>
      </c>
      <c r="N925" s="706">
        <v>1</v>
      </c>
      <c r="O925" s="703" t="s">
        <v>7</v>
      </c>
      <c r="P925" s="707">
        <v>22979</v>
      </c>
      <c r="Q925" s="703" t="s">
        <v>3407</v>
      </c>
      <c r="R925" s="703"/>
      <c r="S925" s="703" t="s">
        <v>276</v>
      </c>
      <c r="T925" s="703"/>
      <c r="U925" s="702"/>
      <c r="V925" s="702"/>
      <c r="W925" s="702"/>
      <c r="X925" s="702"/>
      <c r="Y925" s="702"/>
      <c r="Z925" s="702"/>
      <c r="AA925" s="702"/>
      <c r="AB925" s="702"/>
      <c r="AC925" s="702"/>
      <c r="AD925" s="708"/>
      <c r="AE925" s="655"/>
    </row>
    <row r="926" spans="1:31" ht="12" customHeight="1">
      <c r="A926" s="936" t="s">
        <v>18245</v>
      </c>
      <c r="B926" s="688" t="s">
        <v>3417</v>
      </c>
      <c r="C926" s="687" t="s">
        <v>3421</v>
      </c>
      <c r="D926" s="687">
        <f t="shared" si="14"/>
        <v>72</v>
      </c>
      <c r="E926" s="696" t="s">
        <v>5</v>
      </c>
      <c r="F926" s="687" t="s">
        <v>15273</v>
      </c>
      <c r="G926" s="747" t="s">
        <v>3422</v>
      </c>
      <c r="H926" s="687"/>
      <c r="I926" s="687"/>
      <c r="J926" s="692" t="s">
        <v>16120</v>
      </c>
      <c r="K926" s="687" t="s">
        <v>476</v>
      </c>
      <c r="L926" s="687" t="s">
        <v>25</v>
      </c>
      <c r="M926" s="748">
        <v>5</v>
      </c>
      <c r="N926" s="749">
        <v>5</v>
      </c>
      <c r="O926" s="747" t="s">
        <v>3424</v>
      </c>
      <c r="P926" s="773">
        <v>14938</v>
      </c>
      <c r="Q926" s="747" t="s">
        <v>3425</v>
      </c>
      <c r="R926" s="747" t="s">
        <v>3426</v>
      </c>
      <c r="S926" s="747" t="s">
        <v>5457</v>
      </c>
      <c r="T926" s="747" t="s">
        <v>3427</v>
      </c>
      <c r="U926" s="696" t="s">
        <v>47</v>
      </c>
      <c r="V926" s="696"/>
      <c r="W926" s="696"/>
      <c r="X926" s="696"/>
      <c r="Y926" s="696"/>
      <c r="Z926" s="696"/>
      <c r="AA926" s="696"/>
      <c r="AB926" s="696"/>
      <c r="AC926" s="696"/>
      <c r="AD926" s="697"/>
      <c r="AE926" s="655"/>
    </row>
    <row r="927" spans="1:31" ht="12" customHeight="1">
      <c r="A927" s="937" t="s">
        <v>18223</v>
      </c>
      <c r="B927" s="4" t="s">
        <v>3418</v>
      </c>
      <c r="C927" s="1" t="s">
        <v>3428</v>
      </c>
      <c r="D927" s="1">
        <f t="shared" si="14"/>
        <v>42</v>
      </c>
      <c r="E927" s="2" t="s">
        <v>5</v>
      </c>
      <c r="F927" s="1" t="s">
        <v>15273</v>
      </c>
      <c r="G927" s="3" t="s">
        <v>3429</v>
      </c>
      <c r="J927" s="4" t="s">
        <v>16125</v>
      </c>
      <c r="L927" s="1" t="s">
        <v>25</v>
      </c>
      <c r="M927" s="16">
        <v>1</v>
      </c>
      <c r="N927" s="17">
        <v>1</v>
      </c>
      <c r="O927" s="3" t="s">
        <v>3430</v>
      </c>
      <c r="P927" s="20">
        <v>25904</v>
      </c>
      <c r="Q927" s="3" t="s">
        <v>3431</v>
      </c>
      <c r="S927" s="3" t="s">
        <v>16093</v>
      </c>
      <c r="AD927" s="698"/>
      <c r="AE927" s="655"/>
    </row>
    <row r="928" spans="1:31" ht="12" customHeight="1">
      <c r="A928" s="937" t="s">
        <v>18219</v>
      </c>
      <c r="B928" s="4" t="s">
        <v>3419</v>
      </c>
      <c r="C928" s="1" t="s">
        <v>4414</v>
      </c>
      <c r="D928" s="1">
        <f t="shared" si="14"/>
        <v>39</v>
      </c>
      <c r="E928" s="2" t="s">
        <v>5</v>
      </c>
      <c r="F928" s="1" t="s">
        <v>15273</v>
      </c>
      <c r="J928" s="4" t="s">
        <v>16116</v>
      </c>
      <c r="K928" s="1" t="s">
        <v>276</v>
      </c>
      <c r="L928" s="1" t="s">
        <v>6</v>
      </c>
      <c r="O928" s="3" t="s">
        <v>4415</v>
      </c>
      <c r="P928" s="20">
        <v>26758</v>
      </c>
      <c r="Q928" s="3" t="s">
        <v>4416</v>
      </c>
      <c r="T928" s="3" t="s">
        <v>4410</v>
      </c>
      <c r="V928" s="2" t="s">
        <v>4410</v>
      </c>
      <c r="AD928" s="698"/>
      <c r="AE928" s="655"/>
    </row>
    <row r="929" spans="1:31" ht="12" customHeight="1" thickBot="1">
      <c r="A929" s="938"/>
      <c r="B929" s="700" t="s">
        <v>3420</v>
      </c>
      <c r="C929" s="699" t="s">
        <v>3432</v>
      </c>
      <c r="D929" s="699">
        <f t="shared" si="14"/>
        <v>64</v>
      </c>
      <c r="E929" s="702" t="s">
        <v>5</v>
      </c>
      <c r="F929" s="699"/>
      <c r="G929" s="703"/>
      <c r="H929" s="699"/>
      <c r="I929" s="699"/>
      <c r="J929" s="700" t="s">
        <v>16117</v>
      </c>
      <c r="K929" s="699"/>
      <c r="L929" s="699" t="s">
        <v>6</v>
      </c>
      <c r="M929" s="705"/>
      <c r="N929" s="706"/>
      <c r="O929" s="703" t="s">
        <v>16039</v>
      </c>
      <c r="P929" s="723">
        <v>17883</v>
      </c>
      <c r="Q929" s="703" t="s">
        <v>3433</v>
      </c>
      <c r="R929" s="703"/>
      <c r="S929" s="703"/>
      <c r="T929" s="703"/>
      <c r="U929" s="702"/>
      <c r="V929" s="702"/>
      <c r="W929" s="702"/>
      <c r="X929" s="702"/>
      <c r="Y929" s="702"/>
      <c r="Z929" s="702"/>
      <c r="AA929" s="702"/>
      <c r="AB929" s="702"/>
      <c r="AC929" s="702"/>
      <c r="AD929" s="708"/>
      <c r="AE929" s="655"/>
    </row>
    <row r="930" spans="1:31" ht="12" customHeight="1">
      <c r="A930" s="936" t="s">
        <v>18246</v>
      </c>
      <c r="B930" s="688" t="s">
        <v>3434</v>
      </c>
      <c r="C930" s="687" t="s">
        <v>3437</v>
      </c>
      <c r="D930" s="687">
        <f t="shared" si="14"/>
        <v>41</v>
      </c>
      <c r="E930" s="696" t="s">
        <v>5</v>
      </c>
      <c r="F930" s="689" t="s">
        <v>15273</v>
      </c>
      <c r="G930" s="747" t="s">
        <v>3438</v>
      </c>
      <c r="H930" s="687"/>
      <c r="I930" s="687"/>
      <c r="J930" s="692" t="s">
        <v>16126</v>
      </c>
      <c r="K930" s="687" t="s">
        <v>44</v>
      </c>
      <c r="L930" s="687" t="s">
        <v>25</v>
      </c>
      <c r="M930" s="748">
        <v>1</v>
      </c>
      <c r="N930" s="749">
        <v>1</v>
      </c>
      <c r="O930" s="747" t="s">
        <v>3439</v>
      </c>
      <c r="P930" s="773">
        <v>26031</v>
      </c>
      <c r="Q930" s="747" t="s">
        <v>3440</v>
      </c>
      <c r="R930" s="747"/>
      <c r="S930" s="747"/>
      <c r="T930" s="747" t="s">
        <v>3441</v>
      </c>
      <c r="U930" s="696"/>
      <c r="V930" s="696" t="s">
        <v>3442</v>
      </c>
      <c r="W930" s="696"/>
      <c r="X930" s="696"/>
      <c r="Y930" s="696" t="s">
        <v>3443</v>
      </c>
      <c r="Z930" s="696"/>
      <c r="AA930" s="696"/>
      <c r="AB930" s="696"/>
      <c r="AC930" s="696"/>
      <c r="AD930" s="697"/>
      <c r="AE930" s="655"/>
    </row>
    <row r="931" spans="1:31" ht="12" customHeight="1">
      <c r="A931" s="937" t="s">
        <v>18220</v>
      </c>
      <c r="B931" s="4" t="s">
        <v>3435</v>
      </c>
      <c r="C931" s="1" t="s">
        <v>3444</v>
      </c>
      <c r="D931" s="1">
        <f t="shared" si="14"/>
        <v>59</v>
      </c>
      <c r="E931" s="2" t="s">
        <v>5</v>
      </c>
      <c r="J931" s="4" t="s">
        <v>16118</v>
      </c>
      <c r="L931" s="1" t="s">
        <v>14</v>
      </c>
      <c r="M931" s="16">
        <v>6</v>
      </c>
      <c r="N931" s="17">
        <v>6</v>
      </c>
      <c r="O931" s="3" t="s">
        <v>2123</v>
      </c>
      <c r="P931" s="20">
        <v>19420</v>
      </c>
      <c r="Q931" s="3" t="s">
        <v>3445</v>
      </c>
      <c r="R931" s="3" t="s">
        <v>3449</v>
      </c>
      <c r="S931" s="3" t="s">
        <v>5546</v>
      </c>
      <c r="T931" s="3" t="s">
        <v>3446</v>
      </c>
      <c r="AA931" s="2" t="s">
        <v>3447</v>
      </c>
      <c r="AB931" s="2" t="s">
        <v>3448</v>
      </c>
      <c r="AD931" s="698"/>
      <c r="AE931" s="655"/>
    </row>
    <row r="932" spans="1:31" ht="12" customHeight="1">
      <c r="A932" s="937" t="s">
        <v>18223</v>
      </c>
      <c r="B932" s="4" t="s">
        <v>3436</v>
      </c>
      <c r="C932" s="1" t="s">
        <v>3450</v>
      </c>
      <c r="D932" s="1">
        <f t="shared" si="14"/>
        <v>61</v>
      </c>
      <c r="E932" s="2" t="s">
        <v>5</v>
      </c>
      <c r="J932" s="4" t="s">
        <v>16117</v>
      </c>
      <c r="L932" s="1" t="s">
        <v>6</v>
      </c>
      <c r="O932" s="3" t="s">
        <v>3451</v>
      </c>
      <c r="P932" s="21">
        <v>18764</v>
      </c>
      <c r="Q932" s="3" t="s">
        <v>3452</v>
      </c>
      <c r="T932" s="3" t="s">
        <v>3442</v>
      </c>
      <c r="V932" s="2" t="s">
        <v>3442</v>
      </c>
      <c r="AD932" s="698"/>
      <c r="AE932" s="655"/>
    </row>
    <row r="933" spans="1:31" ht="12" customHeight="1" thickBot="1">
      <c r="A933" s="938"/>
      <c r="B933" s="700" t="s">
        <v>16040</v>
      </c>
      <c r="C933" s="699" t="s">
        <v>16041</v>
      </c>
      <c r="D933" s="699">
        <f t="shared" si="14"/>
        <v>61</v>
      </c>
      <c r="E933" s="702" t="s">
        <v>5</v>
      </c>
      <c r="F933" s="699"/>
      <c r="G933" s="703"/>
      <c r="H933" s="699"/>
      <c r="I933" s="699"/>
      <c r="J933" s="700" t="s">
        <v>16122</v>
      </c>
      <c r="K933" s="699" t="s">
        <v>16042</v>
      </c>
      <c r="L933" s="699" t="s">
        <v>6</v>
      </c>
      <c r="M933" s="705"/>
      <c r="N933" s="706"/>
      <c r="O933" s="703" t="s">
        <v>7</v>
      </c>
      <c r="P933" s="723">
        <v>18677</v>
      </c>
      <c r="Q933" s="703" t="s">
        <v>16043</v>
      </c>
      <c r="R933" s="703"/>
      <c r="S933" s="703"/>
      <c r="T933" s="703"/>
      <c r="U933" s="702"/>
      <c r="V933" s="702"/>
      <c r="W933" s="702"/>
      <c r="X933" s="702"/>
      <c r="Y933" s="702"/>
      <c r="Z933" s="702"/>
      <c r="AA933" s="702"/>
      <c r="AB933" s="702"/>
      <c r="AC933" s="702"/>
      <c r="AD933" s="708"/>
      <c r="AE933" s="655"/>
    </row>
    <row r="934" spans="1:31" ht="12" customHeight="1">
      <c r="A934" s="936" t="s">
        <v>18223</v>
      </c>
      <c r="B934" s="688" t="s">
        <v>5999</v>
      </c>
      <c r="C934" s="687" t="s">
        <v>6052</v>
      </c>
      <c r="D934" s="687">
        <f t="shared" si="14"/>
        <v>35</v>
      </c>
      <c r="E934" s="696" t="s">
        <v>5</v>
      </c>
      <c r="F934" s="689" t="s">
        <v>15273</v>
      </c>
      <c r="G934" s="747"/>
      <c r="H934" s="687"/>
      <c r="I934" s="687"/>
      <c r="J934" s="692" t="s">
        <v>16127</v>
      </c>
      <c r="K934" s="687" t="s">
        <v>44</v>
      </c>
      <c r="L934" s="687" t="s">
        <v>6</v>
      </c>
      <c r="M934" s="748"/>
      <c r="N934" s="749"/>
      <c r="O934" s="747" t="s">
        <v>267</v>
      </c>
      <c r="P934" s="719">
        <v>28313</v>
      </c>
      <c r="Q934" s="747" t="s">
        <v>6054</v>
      </c>
      <c r="R934" s="747"/>
      <c r="S934" s="747" t="s">
        <v>736</v>
      </c>
      <c r="T934" s="747" t="s">
        <v>6044</v>
      </c>
      <c r="U934" s="696"/>
      <c r="V934" s="696" t="s">
        <v>145</v>
      </c>
      <c r="W934" s="696"/>
      <c r="X934" s="696"/>
      <c r="Y934" s="696"/>
      <c r="Z934" s="696"/>
      <c r="AA934" s="696"/>
      <c r="AB934" s="696"/>
      <c r="AC934" s="696"/>
      <c r="AD934" s="697"/>
      <c r="AE934" s="655"/>
    </row>
    <row r="935" spans="1:31" ht="12" customHeight="1">
      <c r="A935" s="937" t="s">
        <v>18245</v>
      </c>
      <c r="B935" s="4" t="s">
        <v>3453</v>
      </c>
      <c r="C935" s="1" t="s">
        <v>3458</v>
      </c>
      <c r="D935" s="1">
        <f t="shared" si="14"/>
        <v>73</v>
      </c>
      <c r="E935" s="2" t="s">
        <v>19</v>
      </c>
      <c r="J935" s="4" t="s">
        <v>16120</v>
      </c>
      <c r="K935" s="1" t="s">
        <v>13</v>
      </c>
      <c r="L935" s="1" t="s">
        <v>14</v>
      </c>
      <c r="M935" s="16">
        <v>2</v>
      </c>
      <c r="N935" s="17">
        <v>2</v>
      </c>
      <c r="O935" s="3" t="s">
        <v>3459</v>
      </c>
      <c r="P935" s="20">
        <v>14424</v>
      </c>
      <c r="Q935" s="3" t="s">
        <v>3461</v>
      </c>
      <c r="R935" s="3" t="s">
        <v>3460</v>
      </c>
      <c r="AD935" s="698"/>
      <c r="AE935" s="655"/>
    </row>
    <row r="936" spans="1:31" ht="12" customHeight="1">
      <c r="A936" s="937" t="s">
        <v>18223</v>
      </c>
      <c r="B936" s="4" t="s">
        <v>3454</v>
      </c>
      <c r="C936" s="1" t="s">
        <v>3456</v>
      </c>
      <c r="D936" s="1">
        <f t="shared" si="14"/>
        <v>64</v>
      </c>
      <c r="E936" s="2" t="s">
        <v>5</v>
      </c>
      <c r="F936" s="1" t="s">
        <v>15273</v>
      </c>
      <c r="G936" s="3" t="s">
        <v>3457</v>
      </c>
      <c r="J936" s="4" t="s">
        <v>16125</v>
      </c>
      <c r="L936" s="1" t="s">
        <v>25</v>
      </c>
      <c r="M936" s="16">
        <v>2</v>
      </c>
      <c r="N936" s="17">
        <v>2</v>
      </c>
      <c r="O936" s="3" t="s">
        <v>3430</v>
      </c>
      <c r="P936" s="20">
        <v>17696</v>
      </c>
      <c r="Q936" s="3" t="s">
        <v>3445</v>
      </c>
      <c r="S936" s="3" t="s">
        <v>16093</v>
      </c>
      <c r="T936" s="3" t="s">
        <v>147</v>
      </c>
      <c r="AB936" s="2" t="s">
        <v>3448</v>
      </c>
      <c r="AD936" s="698"/>
      <c r="AE936" s="655"/>
    </row>
    <row r="937" spans="1:31" ht="12" customHeight="1">
      <c r="A937" s="937" t="s">
        <v>18219</v>
      </c>
      <c r="B937" s="4" t="s">
        <v>3455</v>
      </c>
      <c r="C937" s="1" t="s">
        <v>4417</v>
      </c>
      <c r="D937" s="1">
        <f t="shared" si="14"/>
        <v>47</v>
      </c>
      <c r="E937" s="2" t="s">
        <v>5</v>
      </c>
      <c r="F937" s="1" t="s">
        <v>15273</v>
      </c>
      <c r="J937" s="4" t="s">
        <v>16116</v>
      </c>
      <c r="K937" s="1" t="s">
        <v>276</v>
      </c>
      <c r="L937" s="1" t="s">
        <v>6</v>
      </c>
      <c r="O937" s="3" t="s">
        <v>4418</v>
      </c>
      <c r="P937" s="21">
        <v>23769</v>
      </c>
      <c r="Q937" s="3" t="s">
        <v>4419</v>
      </c>
      <c r="T937" s="3" t="s">
        <v>4410</v>
      </c>
      <c r="V937" s="2" t="s">
        <v>4410</v>
      </c>
      <c r="AD937" s="698"/>
      <c r="AE937" s="655"/>
    </row>
    <row r="938" spans="1:31" ht="12" customHeight="1">
      <c r="A938" s="937"/>
      <c r="B938" s="4" t="s">
        <v>5998</v>
      </c>
      <c r="C938" s="1" t="s">
        <v>3462</v>
      </c>
      <c r="D938" s="1">
        <f t="shared" si="14"/>
        <v>54</v>
      </c>
      <c r="E938" s="2" t="s">
        <v>5</v>
      </c>
      <c r="J938" s="4" t="s">
        <v>16117</v>
      </c>
      <c r="L938" s="1" t="s">
        <v>6</v>
      </c>
      <c r="O938" s="3" t="s">
        <v>2953</v>
      </c>
      <c r="P938" s="21">
        <v>21320</v>
      </c>
      <c r="Q938" s="3" t="s">
        <v>3463</v>
      </c>
      <c r="AD938" s="698"/>
      <c r="AE938" s="655"/>
    </row>
    <row r="939" spans="1:31" ht="12" customHeight="1" thickBot="1">
      <c r="A939" s="938"/>
      <c r="B939" s="700" t="s">
        <v>16044</v>
      </c>
      <c r="C939" s="699" t="s">
        <v>16045</v>
      </c>
      <c r="D939" s="699">
        <f t="shared" si="14"/>
        <v>65</v>
      </c>
      <c r="E939" s="702" t="s">
        <v>19</v>
      </c>
      <c r="F939" s="699"/>
      <c r="G939" s="703"/>
      <c r="H939" s="699"/>
      <c r="I939" s="699"/>
      <c r="J939" s="700" t="s">
        <v>16129</v>
      </c>
      <c r="K939" s="699"/>
      <c r="L939" s="699" t="s">
        <v>6</v>
      </c>
      <c r="M939" s="705"/>
      <c r="N939" s="706"/>
      <c r="O939" s="703" t="s">
        <v>16046</v>
      </c>
      <c r="P939" s="723">
        <v>17329</v>
      </c>
      <c r="Q939" s="703" t="s">
        <v>16651</v>
      </c>
      <c r="R939" s="703"/>
      <c r="S939" s="703"/>
      <c r="T939" s="703"/>
      <c r="U939" s="702"/>
      <c r="V939" s="702"/>
      <c r="W939" s="702"/>
      <c r="X939" s="702"/>
      <c r="Y939" s="702"/>
      <c r="Z939" s="702"/>
      <c r="AA939" s="702"/>
      <c r="AB939" s="702"/>
      <c r="AC939" s="702"/>
      <c r="AD939" s="708"/>
      <c r="AE939" s="655"/>
    </row>
    <row r="940" spans="1:31" ht="12" customHeight="1">
      <c r="A940" s="936" t="s">
        <v>18220</v>
      </c>
      <c r="B940" s="688" t="s">
        <v>3464</v>
      </c>
      <c r="C940" s="687" t="s">
        <v>3476</v>
      </c>
      <c r="D940" s="687">
        <f t="shared" si="14"/>
        <v>63</v>
      </c>
      <c r="E940" s="696" t="s">
        <v>5</v>
      </c>
      <c r="F940" s="687" t="s">
        <v>15273</v>
      </c>
      <c r="G940" s="747"/>
      <c r="H940" s="687"/>
      <c r="I940" s="687"/>
      <c r="J940" s="688" t="s">
        <v>16120</v>
      </c>
      <c r="K940" s="687" t="s">
        <v>30</v>
      </c>
      <c r="L940" s="687" t="s">
        <v>6</v>
      </c>
      <c r="M940" s="748"/>
      <c r="N940" s="749"/>
      <c r="O940" s="747" t="s">
        <v>3477</v>
      </c>
      <c r="P940" s="773">
        <v>18000</v>
      </c>
      <c r="Q940" s="747" t="s">
        <v>3478</v>
      </c>
      <c r="R940" s="747"/>
      <c r="S940" s="747" t="s">
        <v>5457</v>
      </c>
      <c r="T940" s="747" t="s">
        <v>3479</v>
      </c>
      <c r="U940" s="696"/>
      <c r="V940" s="696" t="s">
        <v>3442</v>
      </c>
      <c r="W940" s="696" t="s">
        <v>3480</v>
      </c>
      <c r="X940" s="696"/>
      <c r="Y940" s="696"/>
      <c r="Z940" s="696"/>
      <c r="AA940" s="696"/>
      <c r="AB940" s="696"/>
      <c r="AC940" s="696"/>
      <c r="AD940" s="697"/>
      <c r="AE940" s="655"/>
    </row>
    <row r="941" spans="1:31" ht="12" customHeight="1">
      <c r="A941" s="937" t="s">
        <v>18245</v>
      </c>
      <c r="B941" s="4" t="s">
        <v>3465</v>
      </c>
      <c r="C941" s="1" t="s">
        <v>3468</v>
      </c>
      <c r="D941" s="1">
        <f t="shared" si="14"/>
        <v>61</v>
      </c>
      <c r="E941" s="2" t="s">
        <v>5</v>
      </c>
      <c r="F941" s="1" t="s">
        <v>15273</v>
      </c>
      <c r="G941" s="3" t="s">
        <v>3469</v>
      </c>
      <c r="J941" s="4" t="s">
        <v>16125</v>
      </c>
      <c r="L941" s="1" t="s">
        <v>25</v>
      </c>
      <c r="M941" s="16">
        <v>2</v>
      </c>
      <c r="N941" s="17">
        <v>2</v>
      </c>
      <c r="O941" s="3" t="s">
        <v>3470</v>
      </c>
      <c r="P941" s="20">
        <v>18669</v>
      </c>
      <c r="Q941" s="3" t="s">
        <v>3471</v>
      </c>
      <c r="S941" s="3" t="s">
        <v>16093</v>
      </c>
      <c r="T941" s="3" t="s">
        <v>3442</v>
      </c>
      <c r="V941" s="2" t="s">
        <v>3442</v>
      </c>
      <c r="AD941" s="698"/>
      <c r="AE941" s="655"/>
    </row>
    <row r="942" spans="1:31" ht="12" customHeight="1">
      <c r="A942" s="937" t="s">
        <v>18246</v>
      </c>
      <c r="B942" s="4" t="s">
        <v>3466</v>
      </c>
      <c r="C942" s="1" t="s">
        <v>3481</v>
      </c>
      <c r="D942" s="1">
        <f t="shared" si="14"/>
        <v>44</v>
      </c>
      <c r="E942" s="2" t="s">
        <v>5</v>
      </c>
      <c r="F942" s="1" t="s">
        <v>15273</v>
      </c>
      <c r="J942" s="4" t="s">
        <v>16116</v>
      </c>
      <c r="K942" s="1" t="s">
        <v>276</v>
      </c>
      <c r="L942" s="1" t="s">
        <v>6</v>
      </c>
      <c r="O942" s="3" t="s">
        <v>3482</v>
      </c>
      <c r="P942" s="21">
        <v>24995</v>
      </c>
      <c r="Q942" s="3" t="s">
        <v>3483</v>
      </c>
      <c r="S942" s="3" t="s">
        <v>6029</v>
      </c>
      <c r="AD942" s="698"/>
      <c r="AE942" s="655"/>
    </row>
    <row r="943" spans="1:31" ht="12" customHeight="1" thickBot="1">
      <c r="A943" s="938"/>
      <c r="B943" s="700" t="s">
        <v>3467</v>
      </c>
      <c r="C943" s="699" t="s">
        <v>3472</v>
      </c>
      <c r="D943" s="699">
        <f t="shared" si="14"/>
        <v>62</v>
      </c>
      <c r="E943" s="702" t="s">
        <v>5</v>
      </c>
      <c r="F943" s="699"/>
      <c r="G943" s="703"/>
      <c r="H943" s="699"/>
      <c r="I943" s="699"/>
      <c r="J943" s="700" t="s">
        <v>16117</v>
      </c>
      <c r="K943" s="699"/>
      <c r="L943" s="699" t="s">
        <v>6</v>
      </c>
      <c r="M943" s="705"/>
      <c r="N943" s="706"/>
      <c r="O943" s="703" t="s">
        <v>3473</v>
      </c>
      <c r="P943" s="723">
        <v>18325</v>
      </c>
      <c r="Q943" s="703" t="s">
        <v>3474</v>
      </c>
      <c r="R943" s="703"/>
      <c r="S943" s="703"/>
      <c r="T943" s="703" t="s">
        <v>3475</v>
      </c>
      <c r="U943" s="702"/>
      <c r="V943" s="702"/>
      <c r="W943" s="702"/>
      <c r="X943" s="702"/>
      <c r="Y943" s="702"/>
      <c r="Z943" s="702"/>
      <c r="AA943" s="702"/>
      <c r="AB943" s="702"/>
      <c r="AC943" s="702"/>
      <c r="AD943" s="708" t="s">
        <v>3475</v>
      </c>
      <c r="AE943" s="655"/>
    </row>
    <row r="944" spans="1:31" ht="12" customHeight="1">
      <c r="A944" s="936" t="s">
        <v>18220</v>
      </c>
      <c r="B944" s="688" t="s">
        <v>3484</v>
      </c>
      <c r="C944" s="687" t="s">
        <v>3488</v>
      </c>
      <c r="D944" s="687">
        <f t="shared" si="14"/>
        <v>44</v>
      </c>
      <c r="E944" s="696" t="s">
        <v>5</v>
      </c>
      <c r="F944" s="689" t="s">
        <v>15273</v>
      </c>
      <c r="G944" s="747" t="s">
        <v>3489</v>
      </c>
      <c r="H944" s="687"/>
      <c r="I944" s="687"/>
      <c r="J944" s="692" t="s">
        <v>16127</v>
      </c>
      <c r="K944" s="687" t="s">
        <v>44</v>
      </c>
      <c r="L944" s="687" t="s">
        <v>25</v>
      </c>
      <c r="M944" s="748">
        <v>3</v>
      </c>
      <c r="N944" s="749">
        <v>3</v>
      </c>
      <c r="O944" s="747" t="s">
        <v>3430</v>
      </c>
      <c r="P944" s="773">
        <v>25086</v>
      </c>
      <c r="Q944" s="747" t="s">
        <v>3492</v>
      </c>
      <c r="R944" s="747" t="s">
        <v>3491</v>
      </c>
      <c r="S944" s="747" t="s">
        <v>6214</v>
      </c>
      <c r="T944" s="747"/>
      <c r="U944" s="696"/>
      <c r="V944" s="696"/>
      <c r="W944" s="696"/>
      <c r="X944" s="696"/>
      <c r="Y944" s="696"/>
      <c r="Z944" s="696"/>
      <c r="AA944" s="696"/>
      <c r="AB944" s="696"/>
      <c r="AC944" s="696"/>
      <c r="AD944" s="697"/>
      <c r="AE944" s="655"/>
    </row>
    <row r="945" spans="1:31" ht="12" customHeight="1">
      <c r="A945" s="937" t="s">
        <v>18246</v>
      </c>
      <c r="B945" s="4" t="s">
        <v>3485</v>
      </c>
      <c r="C945" s="1" t="s">
        <v>3493</v>
      </c>
      <c r="D945" s="1">
        <f t="shared" si="14"/>
        <v>36</v>
      </c>
      <c r="E945" s="2" t="s">
        <v>5</v>
      </c>
      <c r="F945" s="1" t="s">
        <v>15273</v>
      </c>
      <c r="J945" s="8" t="s">
        <v>16120</v>
      </c>
      <c r="K945" s="1" t="s">
        <v>48</v>
      </c>
      <c r="L945" s="1" t="s">
        <v>6</v>
      </c>
      <c r="O945" s="3" t="s">
        <v>3494</v>
      </c>
      <c r="P945" s="20">
        <v>27877</v>
      </c>
      <c r="Q945" s="3" t="s">
        <v>3495</v>
      </c>
      <c r="S945" s="3" t="s">
        <v>5457</v>
      </c>
      <c r="T945" s="3" t="s">
        <v>3496</v>
      </c>
      <c r="Z945" s="2" t="s">
        <v>3497</v>
      </c>
      <c r="AA945" s="2" t="s">
        <v>3498</v>
      </c>
      <c r="AD945" s="698"/>
      <c r="AE945" s="655"/>
    </row>
    <row r="946" spans="1:31" ht="12" customHeight="1">
      <c r="A946" s="937" t="s">
        <v>18246</v>
      </c>
      <c r="B946" s="4" t="s">
        <v>3486</v>
      </c>
      <c r="C946" s="1" t="s">
        <v>5039</v>
      </c>
      <c r="D946" s="1">
        <f t="shared" si="14"/>
        <v>28</v>
      </c>
      <c r="E946" s="2" t="s">
        <v>5</v>
      </c>
      <c r="F946" s="1" t="s">
        <v>15273</v>
      </c>
      <c r="J946" s="4" t="s">
        <v>16116</v>
      </c>
      <c r="K946" s="1" t="s">
        <v>4997</v>
      </c>
      <c r="L946" s="1" t="s">
        <v>6</v>
      </c>
      <c r="O946" s="3" t="s">
        <v>317</v>
      </c>
      <c r="P946" s="21">
        <v>30691</v>
      </c>
      <c r="Q946" s="3" t="s">
        <v>16671</v>
      </c>
      <c r="S946" s="3" t="s">
        <v>6029</v>
      </c>
      <c r="T946" s="3" t="s">
        <v>1510</v>
      </c>
      <c r="U946" s="2" t="s">
        <v>47</v>
      </c>
      <c r="AC946" s="2" t="s">
        <v>146</v>
      </c>
      <c r="AD946" s="698"/>
      <c r="AE946" s="655"/>
    </row>
    <row r="947" spans="1:31" ht="12" customHeight="1">
      <c r="A947" s="937"/>
      <c r="B947" s="4" t="s">
        <v>3487</v>
      </c>
      <c r="C947" s="1" t="s">
        <v>3499</v>
      </c>
      <c r="D947" s="1">
        <f t="shared" si="14"/>
        <v>34</v>
      </c>
      <c r="E947" s="2" t="s">
        <v>5</v>
      </c>
      <c r="J947" s="4" t="s">
        <v>16117</v>
      </c>
      <c r="L947" s="1" t="s">
        <v>6</v>
      </c>
      <c r="O947" s="3" t="s">
        <v>3500</v>
      </c>
      <c r="P947" s="21">
        <v>28660</v>
      </c>
      <c r="Q947" s="3" t="s">
        <v>3501</v>
      </c>
      <c r="AD947" s="698"/>
      <c r="AE947" s="655"/>
    </row>
    <row r="948" spans="1:31" ht="12" customHeight="1" thickBot="1">
      <c r="A948" s="938"/>
      <c r="B948" s="700" t="s">
        <v>5168</v>
      </c>
      <c r="C948" s="699" t="s">
        <v>5169</v>
      </c>
      <c r="D948" s="699">
        <f t="shared" si="14"/>
        <v>40</v>
      </c>
      <c r="E948" s="702" t="s">
        <v>5</v>
      </c>
      <c r="F948" s="699"/>
      <c r="G948" s="703"/>
      <c r="H948" s="699"/>
      <c r="I948" s="699"/>
      <c r="J948" s="700" t="s">
        <v>16122</v>
      </c>
      <c r="K948" s="699" t="s">
        <v>22</v>
      </c>
      <c r="L948" s="699" t="s">
        <v>6</v>
      </c>
      <c r="M948" s="705"/>
      <c r="N948" s="706"/>
      <c r="O948" s="703" t="s">
        <v>95</v>
      </c>
      <c r="P948" s="723">
        <v>26560</v>
      </c>
      <c r="Q948" s="703" t="s">
        <v>5170</v>
      </c>
      <c r="R948" s="703"/>
      <c r="S948" s="703"/>
      <c r="T948" s="703"/>
      <c r="U948" s="702"/>
      <c r="V948" s="702"/>
      <c r="W948" s="702"/>
      <c r="X948" s="702"/>
      <c r="Y948" s="702"/>
      <c r="Z948" s="702"/>
      <c r="AA948" s="702"/>
      <c r="AB948" s="702"/>
      <c r="AC948" s="702"/>
      <c r="AD948" s="708"/>
      <c r="AE948" s="655"/>
    </row>
    <row r="949" spans="1:31" ht="12" customHeight="1">
      <c r="A949" s="936" t="s">
        <v>18245</v>
      </c>
      <c r="B949" s="688" t="s">
        <v>3504</v>
      </c>
      <c r="C949" s="687" t="s">
        <v>3508</v>
      </c>
      <c r="D949" s="687">
        <f t="shared" si="14"/>
        <v>47</v>
      </c>
      <c r="E949" s="696" t="s">
        <v>19</v>
      </c>
      <c r="F949" s="689" t="s">
        <v>15273</v>
      </c>
      <c r="G949" s="747" t="s">
        <v>3509</v>
      </c>
      <c r="H949" s="687"/>
      <c r="I949" s="687"/>
      <c r="J949" s="692" t="s">
        <v>16126</v>
      </c>
      <c r="K949" s="687" t="s">
        <v>44</v>
      </c>
      <c r="L949" s="687" t="s">
        <v>25</v>
      </c>
      <c r="M949" s="748">
        <v>1</v>
      </c>
      <c r="N949" s="749">
        <v>1</v>
      </c>
      <c r="O949" s="747" t="s">
        <v>3510</v>
      </c>
      <c r="P949" s="773">
        <v>24089</v>
      </c>
      <c r="Q949" s="747" t="s">
        <v>3513</v>
      </c>
      <c r="R949" s="747"/>
      <c r="S949" s="747" t="s">
        <v>6214</v>
      </c>
      <c r="T949" s="747" t="s">
        <v>3511</v>
      </c>
      <c r="U949" s="696"/>
      <c r="V949" s="696" t="s">
        <v>3442</v>
      </c>
      <c r="W949" s="696"/>
      <c r="X949" s="696"/>
      <c r="Y949" s="696" t="s">
        <v>3443</v>
      </c>
      <c r="Z949" s="696"/>
      <c r="AA949" s="696"/>
      <c r="AB949" s="696"/>
      <c r="AC949" s="696" t="s">
        <v>3512</v>
      </c>
      <c r="AD949" s="697"/>
      <c r="AE949" s="655"/>
    </row>
    <row r="950" spans="1:31" ht="12" customHeight="1">
      <c r="A950" s="937" t="s">
        <v>18219</v>
      </c>
      <c r="B950" s="4" t="s">
        <v>3505</v>
      </c>
      <c r="C950" s="1" t="s">
        <v>3514</v>
      </c>
      <c r="D950" s="1">
        <f t="shared" si="14"/>
        <v>59</v>
      </c>
      <c r="E950" s="2" t="s">
        <v>5</v>
      </c>
      <c r="F950" s="1" t="s">
        <v>15273</v>
      </c>
      <c r="J950" s="4" t="s">
        <v>16120</v>
      </c>
      <c r="K950" s="1" t="s">
        <v>476</v>
      </c>
      <c r="L950" s="1" t="s">
        <v>14</v>
      </c>
      <c r="M950" s="16">
        <v>1</v>
      </c>
      <c r="N950" s="17">
        <v>1</v>
      </c>
      <c r="O950" s="3" t="s">
        <v>3430</v>
      </c>
      <c r="P950" s="20">
        <v>19707</v>
      </c>
      <c r="Q950" s="3" t="s">
        <v>3515</v>
      </c>
      <c r="S950" s="3" t="s">
        <v>5457</v>
      </c>
      <c r="T950" s="3" t="s">
        <v>3427</v>
      </c>
      <c r="U950" s="2" t="s">
        <v>3427</v>
      </c>
      <c r="AD950" s="698"/>
      <c r="AE950" s="655"/>
    </row>
    <row r="951" spans="1:31" ht="12" customHeight="1">
      <c r="A951" s="937" t="s">
        <v>18245</v>
      </c>
      <c r="B951" s="4" t="s">
        <v>3506</v>
      </c>
      <c r="C951" s="1" t="s">
        <v>3519</v>
      </c>
      <c r="D951" s="1">
        <f t="shared" si="14"/>
        <v>38</v>
      </c>
      <c r="E951" s="2" t="s">
        <v>5</v>
      </c>
      <c r="F951" s="1" t="s">
        <v>15273</v>
      </c>
      <c r="J951" s="8" t="s">
        <v>16128</v>
      </c>
      <c r="L951" s="1" t="s">
        <v>6</v>
      </c>
      <c r="O951" s="3" t="s">
        <v>3423</v>
      </c>
      <c r="P951" s="20">
        <v>27115</v>
      </c>
      <c r="Q951" s="3" t="s">
        <v>3520</v>
      </c>
      <c r="S951" s="3" t="s">
        <v>6031</v>
      </c>
      <c r="T951" s="3" t="s">
        <v>3442</v>
      </c>
      <c r="V951" s="2" t="s">
        <v>3442</v>
      </c>
      <c r="AD951" s="698"/>
      <c r="AE951" s="655"/>
    </row>
    <row r="952" spans="1:31" ht="12" customHeight="1" thickBot="1">
      <c r="A952" s="938"/>
      <c r="B952" s="700" t="s">
        <v>3507</v>
      </c>
      <c r="C952" s="699" t="s">
        <v>3516</v>
      </c>
      <c r="D952" s="699">
        <f t="shared" si="14"/>
        <v>41</v>
      </c>
      <c r="E952" s="702" t="s">
        <v>5</v>
      </c>
      <c r="F952" s="699"/>
      <c r="G952" s="703"/>
      <c r="H952" s="699"/>
      <c r="I952" s="699"/>
      <c r="J952" s="700" t="s">
        <v>16117</v>
      </c>
      <c r="K952" s="699"/>
      <c r="L952" s="699" t="s">
        <v>6</v>
      </c>
      <c r="M952" s="705"/>
      <c r="N952" s="706"/>
      <c r="O952" s="703" t="s">
        <v>3517</v>
      </c>
      <c r="P952" s="723">
        <v>25990</v>
      </c>
      <c r="Q952" s="703" t="s">
        <v>3518</v>
      </c>
      <c r="R952" s="703"/>
      <c r="S952" s="703"/>
      <c r="T952" s="703"/>
      <c r="U952" s="702"/>
      <c r="V952" s="702"/>
      <c r="W952" s="702"/>
      <c r="X952" s="702"/>
      <c r="Y952" s="702"/>
      <c r="Z952" s="702"/>
      <c r="AA952" s="702"/>
      <c r="AB952" s="702"/>
      <c r="AC952" s="702"/>
      <c r="AD952" s="708"/>
      <c r="AE952" s="655"/>
    </row>
    <row r="953" spans="1:31" ht="12" customHeight="1">
      <c r="A953" s="936" t="s">
        <v>18245</v>
      </c>
      <c r="B953" s="688" t="s">
        <v>3521</v>
      </c>
      <c r="C953" s="687" t="s">
        <v>3524</v>
      </c>
      <c r="D953" s="687">
        <f t="shared" si="14"/>
        <v>55</v>
      </c>
      <c r="E953" s="696" t="s">
        <v>5</v>
      </c>
      <c r="F953" s="689" t="s">
        <v>15273</v>
      </c>
      <c r="G953" s="747" t="s">
        <v>3525</v>
      </c>
      <c r="H953" s="687"/>
      <c r="I953" s="687"/>
      <c r="J953" s="692" t="s">
        <v>16127</v>
      </c>
      <c r="K953" s="687" t="s">
        <v>681</v>
      </c>
      <c r="L953" s="687" t="s">
        <v>25</v>
      </c>
      <c r="M953" s="748">
        <v>1</v>
      </c>
      <c r="N953" s="749">
        <v>1</v>
      </c>
      <c r="O953" s="747" t="s">
        <v>3526</v>
      </c>
      <c r="P953" s="773">
        <v>21019</v>
      </c>
      <c r="Q953" s="747" t="s">
        <v>3527</v>
      </c>
      <c r="R953" s="747"/>
      <c r="S953" s="747"/>
      <c r="T953" s="747" t="s">
        <v>3528</v>
      </c>
      <c r="U953" s="696"/>
      <c r="V953" s="696" t="s">
        <v>3442</v>
      </c>
      <c r="W953" s="696"/>
      <c r="X953" s="696"/>
      <c r="Y953" s="696"/>
      <c r="Z953" s="696"/>
      <c r="AA953" s="696"/>
      <c r="AB953" s="696"/>
      <c r="AC953" s="696"/>
      <c r="AD953" s="697" t="s">
        <v>3475</v>
      </c>
      <c r="AE953" s="655"/>
    </row>
    <row r="954" spans="1:31" ht="12" customHeight="1">
      <c r="A954" s="937" t="s">
        <v>18219</v>
      </c>
      <c r="B954" s="4" t="s">
        <v>3522</v>
      </c>
      <c r="C954" s="1" t="s">
        <v>3529</v>
      </c>
      <c r="D954" s="1">
        <f t="shared" si="14"/>
        <v>54</v>
      </c>
      <c r="E954" s="2" t="s">
        <v>5</v>
      </c>
      <c r="J954" s="4" t="s">
        <v>16118</v>
      </c>
      <c r="L954" s="1" t="s">
        <v>14</v>
      </c>
      <c r="M954" s="16">
        <v>5</v>
      </c>
      <c r="N954" s="17">
        <v>5</v>
      </c>
      <c r="O954" s="3" t="s">
        <v>31</v>
      </c>
      <c r="P954" s="20">
        <v>21312</v>
      </c>
      <c r="Q954" s="3" t="s">
        <v>3490</v>
      </c>
      <c r="R954" s="3" t="s">
        <v>3530</v>
      </c>
      <c r="S954" s="3" t="s">
        <v>5546</v>
      </c>
      <c r="AD954" s="698"/>
      <c r="AE954" s="655"/>
    </row>
    <row r="955" spans="1:31" ht="12" customHeight="1">
      <c r="A955" s="937" t="s">
        <v>18223</v>
      </c>
      <c r="B955" s="4" t="s">
        <v>3523</v>
      </c>
      <c r="C955" s="1" t="s">
        <v>3531</v>
      </c>
      <c r="D955" s="1">
        <f t="shared" si="14"/>
        <v>61</v>
      </c>
      <c r="E955" s="2" t="s">
        <v>19</v>
      </c>
      <c r="J955" s="4" t="s">
        <v>16117</v>
      </c>
      <c r="L955" s="1" t="s">
        <v>6</v>
      </c>
      <c r="O955" s="3" t="s">
        <v>3533</v>
      </c>
      <c r="P955" s="21">
        <v>18936</v>
      </c>
      <c r="Q955" s="3" t="s">
        <v>3532</v>
      </c>
      <c r="AD955" s="698"/>
      <c r="AE955" s="655"/>
    </row>
    <row r="956" spans="1:31" ht="12" customHeight="1" thickBot="1">
      <c r="A956" s="938"/>
      <c r="B956" s="700" t="s">
        <v>5852</v>
      </c>
      <c r="C956" s="699" t="s">
        <v>5853</v>
      </c>
      <c r="D956" s="699">
        <f t="shared" si="14"/>
        <v>35</v>
      </c>
      <c r="E956" s="702" t="s">
        <v>5</v>
      </c>
      <c r="F956" s="699"/>
      <c r="G956" s="703"/>
      <c r="H956" s="699"/>
      <c r="I956" s="699"/>
      <c r="J956" s="700" t="s">
        <v>16129</v>
      </c>
      <c r="K956" s="699"/>
      <c r="L956" s="699" t="s">
        <v>6</v>
      </c>
      <c r="M956" s="705"/>
      <c r="N956" s="706"/>
      <c r="O956" s="703" t="s">
        <v>5854</v>
      </c>
      <c r="P956" s="723">
        <v>28310</v>
      </c>
      <c r="Q956" s="703" t="s">
        <v>2207</v>
      </c>
      <c r="R956" s="703"/>
      <c r="S956" s="703"/>
      <c r="T956" s="703"/>
      <c r="U956" s="702"/>
      <c r="V956" s="702"/>
      <c r="W956" s="702"/>
      <c r="X956" s="702"/>
      <c r="Y956" s="702"/>
      <c r="Z956" s="702"/>
      <c r="AA956" s="702"/>
      <c r="AB956" s="702"/>
      <c r="AC956" s="702"/>
      <c r="AD956" s="708"/>
      <c r="AE956" s="655"/>
    </row>
    <row r="957" spans="1:31" ht="12" customHeight="1">
      <c r="A957" s="936" t="s">
        <v>18223</v>
      </c>
      <c r="B957" s="688" t="s">
        <v>3534</v>
      </c>
      <c r="C957" s="687" t="s">
        <v>3538</v>
      </c>
      <c r="D957" s="687">
        <f t="shared" si="14"/>
        <v>41</v>
      </c>
      <c r="E957" s="696" t="s">
        <v>5</v>
      </c>
      <c r="F957" s="689" t="s">
        <v>15273</v>
      </c>
      <c r="G957" s="747"/>
      <c r="H957" s="687"/>
      <c r="I957" s="687"/>
      <c r="J957" s="692" t="s">
        <v>16127</v>
      </c>
      <c r="K957" s="687" t="s">
        <v>44</v>
      </c>
      <c r="L957" s="687" t="s">
        <v>6</v>
      </c>
      <c r="M957" s="748"/>
      <c r="N957" s="749"/>
      <c r="O957" s="747" t="s">
        <v>3539</v>
      </c>
      <c r="P957" s="773">
        <v>26248</v>
      </c>
      <c r="Q957" s="747" t="s">
        <v>3540</v>
      </c>
      <c r="R957" s="747"/>
      <c r="S957" s="747" t="s">
        <v>6214</v>
      </c>
      <c r="T957" s="747"/>
      <c r="U957" s="696"/>
      <c r="V957" s="696"/>
      <c r="W957" s="696"/>
      <c r="X957" s="696"/>
      <c r="Y957" s="696"/>
      <c r="Z957" s="696"/>
      <c r="AA957" s="696"/>
      <c r="AB957" s="696"/>
      <c r="AC957" s="696"/>
      <c r="AD957" s="697"/>
      <c r="AE957" s="655"/>
    </row>
    <row r="958" spans="1:31" ht="12" customHeight="1">
      <c r="A958" s="937" t="s">
        <v>18219</v>
      </c>
      <c r="B958" s="4" t="s">
        <v>3535</v>
      </c>
      <c r="C958" s="1" t="s">
        <v>3541</v>
      </c>
      <c r="D958" s="1">
        <f t="shared" si="14"/>
        <v>47</v>
      </c>
      <c r="E958" s="2" t="s">
        <v>5</v>
      </c>
      <c r="F958" s="1" t="s">
        <v>15273</v>
      </c>
      <c r="J958" s="4" t="s">
        <v>16120</v>
      </c>
      <c r="K958" s="1" t="s">
        <v>48</v>
      </c>
      <c r="L958" s="1" t="s">
        <v>14</v>
      </c>
      <c r="M958" s="16">
        <v>1</v>
      </c>
      <c r="N958" s="17">
        <v>1</v>
      </c>
      <c r="O958" s="3" t="s">
        <v>3539</v>
      </c>
      <c r="P958" s="20">
        <v>23900</v>
      </c>
      <c r="Q958" s="3" t="s">
        <v>3542</v>
      </c>
      <c r="S958" s="3" t="s">
        <v>5457</v>
      </c>
      <c r="AD958" s="698"/>
      <c r="AE958" s="655"/>
    </row>
    <row r="959" spans="1:31" ht="12" customHeight="1">
      <c r="A959" s="937" t="s">
        <v>18245</v>
      </c>
      <c r="B959" s="4" t="s">
        <v>3536</v>
      </c>
      <c r="C959" s="1" t="s">
        <v>5084</v>
      </c>
      <c r="D959" s="1">
        <f t="shared" si="14"/>
        <v>35</v>
      </c>
      <c r="E959" s="2" t="s">
        <v>19</v>
      </c>
      <c r="F959" s="1" t="s">
        <v>15273</v>
      </c>
      <c r="J959" s="4" t="s">
        <v>16125</v>
      </c>
      <c r="L959" s="1" t="s">
        <v>6</v>
      </c>
      <c r="O959" s="3" t="s">
        <v>5085</v>
      </c>
      <c r="P959" s="20">
        <v>28398</v>
      </c>
      <c r="Q959" s="3" t="s">
        <v>5087</v>
      </c>
      <c r="S959" s="3" t="s">
        <v>16093</v>
      </c>
      <c r="T959" s="3" t="s">
        <v>5086</v>
      </c>
      <c r="U959" s="2" t="s">
        <v>5086</v>
      </c>
      <c r="AD959" s="698"/>
      <c r="AE959" s="655"/>
    </row>
    <row r="960" spans="1:31" ht="12" customHeight="1">
      <c r="A960" s="937" t="s">
        <v>18245</v>
      </c>
      <c r="B960" s="4" t="s">
        <v>3537</v>
      </c>
      <c r="C960" s="1" t="s">
        <v>5041</v>
      </c>
      <c r="D960" s="1">
        <f t="shared" si="14"/>
        <v>50</v>
      </c>
      <c r="E960" s="2" t="s">
        <v>5</v>
      </c>
      <c r="F960" s="1" t="s">
        <v>15273</v>
      </c>
      <c r="J960" s="4" t="s">
        <v>16116</v>
      </c>
      <c r="K960" s="1" t="s">
        <v>5031</v>
      </c>
      <c r="L960" s="1" t="s">
        <v>6</v>
      </c>
      <c r="O960" s="3" t="s">
        <v>1282</v>
      </c>
      <c r="P960" s="20">
        <v>22765</v>
      </c>
      <c r="Q960" s="3" t="s">
        <v>5042</v>
      </c>
      <c r="S960" s="3" t="s">
        <v>6029</v>
      </c>
      <c r="T960" s="3" t="s">
        <v>4925</v>
      </c>
      <c r="V960" s="2" t="s">
        <v>4925</v>
      </c>
      <c r="AD960" s="698"/>
      <c r="AE960" s="655"/>
    </row>
    <row r="961" spans="1:31" ht="12" customHeight="1" thickBot="1">
      <c r="A961" s="938"/>
      <c r="B961" s="700" t="s">
        <v>5040</v>
      </c>
      <c r="C961" s="699" t="s">
        <v>3543</v>
      </c>
      <c r="D961" s="699">
        <f t="shared" si="14"/>
        <v>64</v>
      </c>
      <c r="E961" s="702" t="s">
        <v>5</v>
      </c>
      <c r="F961" s="699"/>
      <c r="G961" s="703"/>
      <c r="H961" s="699"/>
      <c r="I961" s="699"/>
      <c r="J961" s="700" t="s">
        <v>16117</v>
      </c>
      <c r="K961" s="699"/>
      <c r="L961" s="699" t="s">
        <v>6</v>
      </c>
      <c r="M961" s="705"/>
      <c r="N961" s="706"/>
      <c r="O961" s="703" t="s">
        <v>3544</v>
      </c>
      <c r="P961" s="707">
        <v>17632</v>
      </c>
      <c r="Q961" s="703" t="s">
        <v>3545</v>
      </c>
      <c r="R961" s="703"/>
      <c r="S961" s="703"/>
      <c r="T961" s="703"/>
      <c r="U961" s="702"/>
      <c r="V961" s="702"/>
      <c r="W961" s="702"/>
      <c r="X961" s="702"/>
      <c r="Y961" s="702"/>
      <c r="Z961" s="702"/>
      <c r="AA961" s="702"/>
      <c r="AB961" s="702"/>
      <c r="AC961" s="702"/>
      <c r="AD961" s="708"/>
      <c r="AE961" s="655"/>
    </row>
    <row r="962" spans="1:31" ht="12" customHeight="1">
      <c r="A962" s="936" t="s">
        <v>18493</v>
      </c>
      <c r="B962" s="688" t="s">
        <v>3546</v>
      </c>
      <c r="C962" s="687" t="s">
        <v>3549</v>
      </c>
      <c r="D962" s="687">
        <f t="shared" ref="D962:D1025" si="15">DATEDIF(P962,$P$1298,"Y")</f>
        <v>48</v>
      </c>
      <c r="E962" s="696" t="s">
        <v>5</v>
      </c>
      <c r="F962" s="689" t="s">
        <v>15273</v>
      </c>
      <c r="G962" s="747" t="s">
        <v>3550</v>
      </c>
      <c r="H962" s="687"/>
      <c r="I962" s="687"/>
      <c r="J962" s="692" t="s">
        <v>16126</v>
      </c>
      <c r="K962" s="687" t="s">
        <v>3551</v>
      </c>
      <c r="L962" s="687" t="s">
        <v>25</v>
      </c>
      <c r="M962" s="748">
        <v>1</v>
      </c>
      <c r="N962" s="749">
        <v>1</v>
      </c>
      <c r="O962" s="747" t="s">
        <v>3552</v>
      </c>
      <c r="P962" s="773">
        <v>23552</v>
      </c>
      <c r="Q962" s="747" t="s">
        <v>3553</v>
      </c>
      <c r="R962" s="747"/>
      <c r="S962" s="747" t="s">
        <v>6214</v>
      </c>
      <c r="T962" s="747"/>
      <c r="U962" s="696"/>
      <c r="V962" s="696"/>
      <c r="W962" s="696"/>
      <c r="X962" s="696"/>
      <c r="Y962" s="696"/>
      <c r="Z962" s="696"/>
      <c r="AA962" s="696"/>
      <c r="AB962" s="696"/>
      <c r="AC962" s="696"/>
      <c r="AD962" s="697"/>
      <c r="AE962" s="655"/>
    </row>
    <row r="963" spans="1:31" ht="12" customHeight="1">
      <c r="A963" s="937" t="s">
        <v>18219</v>
      </c>
      <c r="B963" s="4" t="s">
        <v>3547</v>
      </c>
      <c r="C963" s="1" t="s">
        <v>3554</v>
      </c>
      <c r="D963" s="1">
        <f t="shared" si="15"/>
        <v>41</v>
      </c>
      <c r="E963" s="2" t="s">
        <v>5</v>
      </c>
      <c r="F963" s="1" t="s">
        <v>15273</v>
      </c>
      <c r="J963" s="8" t="s">
        <v>16120</v>
      </c>
      <c r="K963" s="1" t="s">
        <v>30</v>
      </c>
      <c r="L963" s="1" t="s">
        <v>6</v>
      </c>
      <c r="O963" s="3" t="s">
        <v>3430</v>
      </c>
      <c r="P963" s="20">
        <v>26187</v>
      </c>
      <c r="Q963" s="3" t="s">
        <v>3555</v>
      </c>
      <c r="S963" s="3" t="s">
        <v>5889</v>
      </c>
      <c r="T963" s="3" t="s">
        <v>3427</v>
      </c>
      <c r="U963" s="2" t="s">
        <v>3427</v>
      </c>
      <c r="AD963" s="698"/>
      <c r="AE963" s="655"/>
    </row>
    <row r="964" spans="1:31" ht="12" customHeight="1">
      <c r="A964" s="937" t="s">
        <v>18245</v>
      </c>
      <c r="B964" s="4" t="s">
        <v>3548</v>
      </c>
      <c r="C964" s="1" t="s">
        <v>5424</v>
      </c>
      <c r="D964" s="1">
        <f t="shared" si="15"/>
        <v>38</v>
      </c>
      <c r="E964" s="2" t="s">
        <v>5</v>
      </c>
      <c r="F964" s="1" t="s">
        <v>15273</v>
      </c>
      <c r="J964" s="4" t="s">
        <v>16116</v>
      </c>
      <c r="K964" s="1" t="s">
        <v>5298</v>
      </c>
      <c r="L964" s="1" t="s">
        <v>6</v>
      </c>
      <c r="O964" s="3" t="s">
        <v>5425</v>
      </c>
      <c r="P964" s="21">
        <v>27209</v>
      </c>
      <c r="Q964" s="3" t="s">
        <v>5426</v>
      </c>
      <c r="S964" s="3" t="s">
        <v>6029</v>
      </c>
      <c r="T964" s="3" t="s">
        <v>5389</v>
      </c>
      <c r="Y964" s="2" t="s">
        <v>5389</v>
      </c>
      <c r="AD964" s="698"/>
      <c r="AE964" s="655"/>
    </row>
    <row r="965" spans="1:31" ht="12" customHeight="1" thickBot="1">
      <c r="A965" s="938"/>
      <c r="B965" s="700" t="s">
        <v>5423</v>
      </c>
      <c r="C965" s="699" t="s">
        <v>3556</v>
      </c>
      <c r="D965" s="699">
        <f t="shared" si="15"/>
        <v>68</v>
      </c>
      <c r="E965" s="702" t="s">
        <v>5</v>
      </c>
      <c r="F965" s="699"/>
      <c r="G965" s="703"/>
      <c r="H965" s="699"/>
      <c r="I965" s="699"/>
      <c r="J965" s="700" t="s">
        <v>16117</v>
      </c>
      <c r="K965" s="699"/>
      <c r="L965" s="699" t="s">
        <v>6</v>
      </c>
      <c r="M965" s="705"/>
      <c r="N965" s="706"/>
      <c r="O965" s="703" t="s">
        <v>3557</v>
      </c>
      <c r="P965" s="723">
        <v>16302</v>
      </c>
      <c r="Q965" s="703" t="s">
        <v>3558</v>
      </c>
      <c r="R965" s="703"/>
      <c r="S965" s="703"/>
      <c r="T965" s="703"/>
      <c r="U965" s="702"/>
      <c r="V965" s="702"/>
      <c r="W965" s="702"/>
      <c r="X965" s="702"/>
      <c r="Y965" s="702"/>
      <c r="Z965" s="702"/>
      <c r="AA965" s="702"/>
      <c r="AB965" s="702"/>
      <c r="AC965" s="702"/>
      <c r="AD965" s="708"/>
      <c r="AE965" s="655"/>
    </row>
    <row r="966" spans="1:31" ht="12" customHeight="1">
      <c r="A966" s="936" t="s">
        <v>18245</v>
      </c>
      <c r="B966" s="688" t="s">
        <v>3563</v>
      </c>
      <c r="C966" s="687" t="s">
        <v>3566</v>
      </c>
      <c r="D966" s="687">
        <f t="shared" si="15"/>
        <v>56</v>
      </c>
      <c r="E966" s="696" t="s">
        <v>5</v>
      </c>
      <c r="F966" s="689" t="s">
        <v>15273</v>
      </c>
      <c r="G966" s="747" t="s">
        <v>3567</v>
      </c>
      <c r="H966" s="687"/>
      <c r="I966" s="687"/>
      <c r="J966" s="692" t="s">
        <v>16127</v>
      </c>
      <c r="K966" s="687" t="s">
        <v>3568</v>
      </c>
      <c r="L966" s="687" t="s">
        <v>25</v>
      </c>
      <c r="M966" s="748">
        <v>2</v>
      </c>
      <c r="N966" s="749">
        <v>2</v>
      </c>
      <c r="O966" s="747" t="s">
        <v>188</v>
      </c>
      <c r="P966" s="773">
        <v>20742</v>
      </c>
      <c r="Q966" s="747" t="s">
        <v>3569</v>
      </c>
      <c r="R966" s="747" t="s">
        <v>3570</v>
      </c>
      <c r="S966" s="747" t="s">
        <v>6214</v>
      </c>
      <c r="T966" s="747" t="s">
        <v>3571</v>
      </c>
      <c r="U966" s="696"/>
      <c r="V966" s="696"/>
      <c r="W966" s="696"/>
      <c r="X966" s="696"/>
      <c r="Y966" s="696"/>
      <c r="Z966" s="696"/>
      <c r="AA966" s="696" t="s">
        <v>3571</v>
      </c>
      <c r="AB966" s="696"/>
      <c r="AC966" s="696"/>
      <c r="AD966" s="697"/>
      <c r="AE966" s="655"/>
    </row>
    <row r="967" spans="1:31" ht="12" customHeight="1">
      <c r="A967" s="937" t="s">
        <v>18219</v>
      </c>
      <c r="B967" s="4" t="s">
        <v>3564</v>
      </c>
      <c r="C967" s="1" t="s">
        <v>3572</v>
      </c>
      <c r="D967" s="1">
        <f t="shared" si="15"/>
        <v>60</v>
      </c>
      <c r="E967" s="2" t="s">
        <v>5</v>
      </c>
      <c r="F967" s="1" t="s">
        <v>15273</v>
      </c>
      <c r="G967" s="3" t="s">
        <v>3573</v>
      </c>
      <c r="J967" s="4" t="s">
        <v>16120</v>
      </c>
      <c r="K967" s="1" t="s">
        <v>65</v>
      </c>
      <c r="L967" s="1" t="s">
        <v>25</v>
      </c>
      <c r="M967" s="16">
        <v>3</v>
      </c>
      <c r="N967" s="17">
        <v>3</v>
      </c>
      <c r="O967" s="3" t="s">
        <v>3574</v>
      </c>
      <c r="P967" s="20">
        <v>19021</v>
      </c>
      <c r="Q967" s="3" t="s">
        <v>3575</v>
      </c>
      <c r="R967" s="3" t="s">
        <v>3576</v>
      </c>
      <c r="S967" s="3" t="s">
        <v>5457</v>
      </c>
      <c r="T967" s="3" t="s">
        <v>3571</v>
      </c>
      <c r="AA967" s="2" t="s">
        <v>3571</v>
      </c>
      <c r="AD967" s="698"/>
      <c r="AE967" s="655"/>
    </row>
    <row r="968" spans="1:31" ht="12" customHeight="1">
      <c r="A968" s="937" t="s">
        <v>18245</v>
      </c>
      <c r="B968" s="4" t="s">
        <v>3565</v>
      </c>
      <c r="C968" s="1" t="s">
        <v>5098</v>
      </c>
      <c r="D968" s="1">
        <f t="shared" si="15"/>
        <v>46</v>
      </c>
      <c r="E968" s="2" t="s">
        <v>19</v>
      </c>
      <c r="F968" s="1" t="s">
        <v>15273</v>
      </c>
      <c r="J968" s="4" t="s">
        <v>16116</v>
      </c>
      <c r="K968" s="1" t="s">
        <v>4993</v>
      </c>
      <c r="L968" s="1" t="s">
        <v>6</v>
      </c>
      <c r="O968" s="3" t="s">
        <v>5099</v>
      </c>
      <c r="P968" s="20">
        <v>24295</v>
      </c>
      <c r="Q968" s="3" t="s">
        <v>5100</v>
      </c>
      <c r="S968" s="3" t="s">
        <v>6029</v>
      </c>
      <c r="T968" s="3" t="s">
        <v>145</v>
      </c>
      <c r="V968" s="2" t="s">
        <v>145</v>
      </c>
      <c r="AD968" s="698"/>
      <c r="AE968" s="655"/>
    </row>
    <row r="969" spans="1:31" ht="12" customHeight="1" thickBot="1">
      <c r="A969" s="938"/>
      <c r="B969" s="700" t="s">
        <v>5097</v>
      </c>
      <c r="C969" s="699" t="s">
        <v>3577</v>
      </c>
      <c r="D969" s="699">
        <f t="shared" si="15"/>
        <v>59</v>
      </c>
      <c r="E969" s="702" t="s">
        <v>5</v>
      </c>
      <c r="F969" s="699"/>
      <c r="G969" s="703"/>
      <c r="H969" s="699"/>
      <c r="I969" s="699"/>
      <c r="J969" s="700" t="s">
        <v>16117</v>
      </c>
      <c r="K969" s="699"/>
      <c r="L969" s="699" t="s">
        <v>6</v>
      </c>
      <c r="M969" s="705"/>
      <c r="N969" s="706"/>
      <c r="O969" s="703" t="s">
        <v>3578</v>
      </c>
      <c r="P969" s="707">
        <v>19684</v>
      </c>
      <c r="Q969" s="703" t="s">
        <v>3579</v>
      </c>
      <c r="R969" s="703"/>
      <c r="S969" s="703"/>
      <c r="T969" s="703" t="s">
        <v>3580</v>
      </c>
      <c r="U969" s="702"/>
      <c r="V969" s="702" t="s">
        <v>3580</v>
      </c>
      <c r="W969" s="702"/>
      <c r="X969" s="702"/>
      <c r="Y969" s="702"/>
      <c r="Z969" s="702"/>
      <c r="AA969" s="702"/>
      <c r="AB969" s="702"/>
      <c r="AC969" s="702"/>
      <c r="AD969" s="708"/>
      <c r="AE969" s="655"/>
    </row>
    <row r="970" spans="1:31" ht="12" customHeight="1">
      <c r="A970" s="936" t="s">
        <v>18245</v>
      </c>
      <c r="B970" s="688" t="s">
        <v>3581</v>
      </c>
      <c r="C970" s="687" t="s">
        <v>3585</v>
      </c>
      <c r="D970" s="687">
        <f t="shared" si="15"/>
        <v>48</v>
      </c>
      <c r="E970" s="696" t="s">
        <v>5</v>
      </c>
      <c r="F970" s="689" t="s">
        <v>15273</v>
      </c>
      <c r="G970" s="747" t="s">
        <v>3586</v>
      </c>
      <c r="H970" s="687"/>
      <c r="I970" s="687"/>
      <c r="J970" s="692" t="s">
        <v>16127</v>
      </c>
      <c r="K970" s="687" t="s">
        <v>604</v>
      </c>
      <c r="L970" s="687" t="s">
        <v>25</v>
      </c>
      <c r="M970" s="748">
        <v>3</v>
      </c>
      <c r="N970" s="749">
        <v>3</v>
      </c>
      <c r="O970" s="747" t="s">
        <v>447</v>
      </c>
      <c r="P970" s="773">
        <v>23574</v>
      </c>
      <c r="Q970" s="747" t="s">
        <v>3587</v>
      </c>
      <c r="R970" s="747" t="s">
        <v>3576</v>
      </c>
      <c r="S970" s="747" t="s">
        <v>6214</v>
      </c>
      <c r="T970" s="747" t="s">
        <v>3588</v>
      </c>
      <c r="U970" s="696"/>
      <c r="V970" s="696"/>
      <c r="W970" s="696"/>
      <c r="X970" s="696"/>
      <c r="Y970" s="696"/>
      <c r="Z970" s="696"/>
      <c r="AA970" s="696"/>
      <c r="AB970" s="696"/>
      <c r="AC970" s="696" t="s">
        <v>3588</v>
      </c>
      <c r="AD970" s="697"/>
      <c r="AE970" s="655"/>
    </row>
    <row r="971" spans="1:31" ht="12" customHeight="1">
      <c r="A971" s="937" t="s">
        <v>18220</v>
      </c>
      <c r="B971" s="4" t="s">
        <v>3582</v>
      </c>
      <c r="C971" s="1" t="s">
        <v>3589</v>
      </c>
      <c r="D971" s="1">
        <f t="shared" si="15"/>
        <v>46</v>
      </c>
      <c r="E971" s="2" t="s">
        <v>5</v>
      </c>
      <c r="F971" s="1" t="s">
        <v>15273</v>
      </c>
      <c r="J971" s="4" t="s">
        <v>16120</v>
      </c>
      <c r="K971" s="1" t="s">
        <v>30</v>
      </c>
      <c r="L971" s="1" t="s">
        <v>6</v>
      </c>
      <c r="O971" s="3" t="s">
        <v>3590</v>
      </c>
      <c r="P971" s="20">
        <v>24127</v>
      </c>
      <c r="Q971" s="3" t="s">
        <v>3591</v>
      </c>
      <c r="S971" s="3" t="s">
        <v>5457</v>
      </c>
      <c r="T971" s="3" t="s">
        <v>3588</v>
      </c>
      <c r="AC971" s="2" t="s">
        <v>3588</v>
      </c>
      <c r="AD971" s="698"/>
      <c r="AE971" s="655"/>
    </row>
    <row r="972" spans="1:31" ht="12" customHeight="1">
      <c r="A972" s="937" t="s">
        <v>18223</v>
      </c>
      <c r="B972" s="4" t="s">
        <v>3583</v>
      </c>
      <c r="C972" s="1" t="s">
        <v>6202</v>
      </c>
      <c r="D972" s="1">
        <f t="shared" si="15"/>
        <v>57</v>
      </c>
      <c r="E972" s="2" t="s">
        <v>5</v>
      </c>
      <c r="F972" s="1" t="s">
        <v>15273</v>
      </c>
      <c r="J972" s="4" t="s">
        <v>16125</v>
      </c>
      <c r="L972" s="1" t="s">
        <v>6</v>
      </c>
      <c r="O972" s="3" t="s">
        <v>2085</v>
      </c>
      <c r="P972" s="21">
        <v>20160</v>
      </c>
      <c r="Q972" s="3" t="s">
        <v>6203</v>
      </c>
      <c r="S972" s="3" t="s">
        <v>16093</v>
      </c>
      <c r="T972" s="3" t="s">
        <v>6044</v>
      </c>
      <c r="V972" s="2" t="s">
        <v>6044</v>
      </c>
      <c r="AD972" s="698"/>
      <c r="AE972" s="655"/>
    </row>
    <row r="973" spans="1:31" ht="12" customHeight="1">
      <c r="A973" s="937" t="s">
        <v>18246</v>
      </c>
      <c r="B973" s="4" t="s">
        <v>3584</v>
      </c>
      <c r="C973" s="1" t="s">
        <v>3595</v>
      </c>
      <c r="D973" s="1">
        <f t="shared" si="15"/>
        <v>45</v>
      </c>
      <c r="E973" s="2" t="s">
        <v>19</v>
      </c>
      <c r="F973" s="1" t="s">
        <v>15273</v>
      </c>
      <c r="J973" s="4" t="s">
        <v>16116</v>
      </c>
      <c r="K973" s="1" t="s">
        <v>5043</v>
      </c>
      <c r="L973" s="1" t="s">
        <v>6</v>
      </c>
      <c r="O973" s="3" t="s">
        <v>3596</v>
      </c>
      <c r="P973" s="20">
        <v>24584</v>
      </c>
      <c r="Q973" s="3" t="s">
        <v>3597</v>
      </c>
      <c r="AD973" s="698"/>
      <c r="AE973" s="655"/>
    </row>
    <row r="974" spans="1:31" ht="12" customHeight="1" thickBot="1">
      <c r="A974" s="938"/>
      <c r="B974" s="700" t="s">
        <v>6201</v>
      </c>
      <c r="C974" s="699" t="s">
        <v>3592</v>
      </c>
      <c r="D974" s="699">
        <f t="shared" si="15"/>
        <v>38</v>
      </c>
      <c r="E974" s="702" t="s">
        <v>5</v>
      </c>
      <c r="F974" s="699"/>
      <c r="G974" s="703"/>
      <c r="H974" s="699"/>
      <c r="I974" s="699"/>
      <c r="J974" s="700" t="s">
        <v>16117</v>
      </c>
      <c r="K974" s="699"/>
      <c r="L974" s="699" t="s">
        <v>6</v>
      </c>
      <c r="M974" s="705"/>
      <c r="N974" s="706"/>
      <c r="O974" s="703" t="s">
        <v>3593</v>
      </c>
      <c r="P974" s="723">
        <v>27307</v>
      </c>
      <c r="Q974" s="703" t="s">
        <v>3594</v>
      </c>
      <c r="R974" s="703"/>
      <c r="S974" s="703"/>
      <c r="T974" s="703"/>
      <c r="U974" s="702"/>
      <c r="V974" s="702"/>
      <c r="W974" s="702"/>
      <c r="X974" s="702"/>
      <c r="Y974" s="702"/>
      <c r="Z974" s="702"/>
      <c r="AA974" s="702"/>
      <c r="AB974" s="702"/>
      <c r="AC974" s="702"/>
      <c r="AD974" s="708"/>
      <c r="AE974" s="655"/>
    </row>
    <row r="975" spans="1:31" ht="12" customHeight="1">
      <c r="A975" s="936" t="s">
        <v>18245</v>
      </c>
      <c r="B975" s="688" t="s">
        <v>3598</v>
      </c>
      <c r="C975" s="687" t="s">
        <v>3602</v>
      </c>
      <c r="D975" s="687">
        <f t="shared" si="15"/>
        <v>41</v>
      </c>
      <c r="E975" s="696" t="s">
        <v>5</v>
      </c>
      <c r="F975" s="689" t="s">
        <v>15273</v>
      </c>
      <c r="G975" s="747" t="s">
        <v>3603</v>
      </c>
      <c r="H975" s="687"/>
      <c r="I975" s="687"/>
      <c r="J975" s="692" t="s">
        <v>16126</v>
      </c>
      <c r="K975" s="687" t="s">
        <v>44</v>
      </c>
      <c r="L975" s="687" t="s">
        <v>25</v>
      </c>
      <c r="M975" s="748">
        <v>1</v>
      </c>
      <c r="N975" s="749">
        <v>1</v>
      </c>
      <c r="O975" s="747" t="s">
        <v>3605</v>
      </c>
      <c r="P975" s="773">
        <v>26082</v>
      </c>
      <c r="Q975" s="747" t="s">
        <v>3604</v>
      </c>
      <c r="R975" s="747"/>
      <c r="S975" s="747" t="s">
        <v>6214</v>
      </c>
      <c r="T975" s="747" t="s">
        <v>3571</v>
      </c>
      <c r="U975" s="696"/>
      <c r="V975" s="696"/>
      <c r="W975" s="696"/>
      <c r="X975" s="696"/>
      <c r="Y975" s="696"/>
      <c r="Z975" s="696"/>
      <c r="AA975" s="696" t="s">
        <v>3571</v>
      </c>
      <c r="AB975" s="696"/>
      <c r="AC975" s="696"/>
      <c r="AD975" s="697"/>
      <c r="AE975" s="655"/>
    </row>
    <row r="976" spans="1:31" ht="12" customHeight="1">
      <c r="A976" s="937" t="s">
        <v>18219</v>
      </c>
      <c r="B976" s="4" t="s">
        <v>3599</v>
      </c>
      <c r="C976" s="1" t="s">
        <v>3606</v>
      </c>
      <c r="D976" s="1">
        <f t="shared" si="15"/>
        <v>46</v>
      </c>
      <c r="E976" s="2" t="s">
        <v>5</v>
      </c>
      <c r="F976" s="1" t="s">
        <v>15273</v>
      </c>
      <c r="J976" s="8" t="s">
        <v>16120</v>
      </c>
      <c r="K976" s="1" t="s">
        <v>445</v>
      </c>
      <c r="L976" s="1" t="s">
        <v>6</v>
      </c>
      <c r="O976" s="3" t="s">
        <v>3607</v>
      </c>
      <c r="P976" s="20">
        <v>24217</v>
      </c>
      <c r="Q976" s="3" t="s">
        <v>3608</v>
      </c>
      <c r="S976" s="3" t="s">
        <v>6000</v>
      </c>
      <c r="AD976" s="698"/>
      <c r="AE976" s="655"/>
    </row>
    <row r="977" spans="1:31" ht="12" customHeight="1">
      <c r="A977" s="937" t="s">
        <v>18245</v>
      </c>
      <c r="B977" s="4" t="s">
        <v>3600</v>
      </c>
      <c r="C977" s="1" t="s">
        <v>3609</v>
      </c>
      <c r="D977" s="1">
        <f t="shared" si="15"/>
        <v>40</v>
      </c>
      <c r="E977" s="2" t="s">
        <v>5</v>
      </c>
      <c r="F977" s="1" t="s">
        <v>15273</v>
      </c>
      <c r="J977" s="4" t="s">
        <v>16128</v>
      </c>
      <c r="L977" s="1" t="s">
        <v>6</v>
      </c>
      <c r="O977" s="3" t="s">
        <v>3539</v>
      </c>
      <c r="P977" s="20">
        <v>26480</v>
      </c>
      <c r="Q977" s="3" t="s">
        <v>16672</v>
      </c>
      <c r="S977" s="3" t="s">
        <v>6031</v>
      </c>
      <c r="T977" s="3" t="s">
        <v>3588</v>
      </c>
      <c r="AC977" s="2" t="s">
        <v>3588</v>
      </c>
      <c r="AD977" s="698"/>
      <c r="AE977" s="655"/>
    </row>
    <row r="978" spans="1:31" ht="12" customHeight="1" thickBot="1">
      <c r="A978" s="938"/>
      <c r="B978" s="700" t="s">
        <v>3601</v>
      </c>
      <c r="C978" s="699" t="s">
        <v>5312</v>
      </c>
      <c r="D978" s="699">
        <f t="shared" si="15"/>
        <v>59</v>
      </c>
      <c r="E978" s="702" t="s">
        <v>5</v>
      </c>
      <c r="F978" s="699"/>
      <c r="G978" s="703"/>
      <c r="H978" s="699"/>
      <c r="I978" s="699"/>
      <c r="J978" s="700" t="s">
        <v>16117</v>
      </c>
      <c r="K978" s="699"/>
      <c r="L978" s="699" t="s">
        <v>6</v>
      </c>
      <c r="M978" s="705"/>
      <c r="N978" s="706"/>
      <c r="O978" s="703" t="s">
        <v>16048</v>
      </c>
      <c r="P978" s="723">
        <v>19566</v>
      </c>
      <c r="Q978" s="703" t="s">
        <v>16047</v>
      </c>
      <c r="R978" s="703"/>
      <c r="S978" s="703"/>
      <c r="T978" s="703"/>
      <c r="U978" s="702"/>
      <c r="V978" s="702"/>
      <c r="W978" s="702"/>
      <c r="X978" s="702"/>
      <c r="Y978" s="702"/>
      <c r="Z978" s="702"/>
      <c r="AA978" s="702"/>
      <c r="AB978" s="702"/>
      <c r="AC978" s="702"/>
      <c r="AD978" s="708"/>
      <c r="AE978" s="655"/>
    </row>
    <row r="979" spans="1:31" ht="12" customHeight="1">
      <c r="A979" s="936" t="s">
        <v>18245</v>
      </c>
      <c r="B979" s="688" t="s">
        <v>3610</v>
      </c>
      <c r="C979" s="687" t="s">
        <v>3771</v>
      </c>
      <c r="D979" s="687">
        <f t="shared" si="15"/>
        <v>57</v>
      </c>
      <c r="E979" s="696" t="s">
        <v>19</v>
      </c>
      <c r="F979" s="689" t="s">
        <v>15273</v>
      </c>
      <c r="G979" s="747" t="s">
        <v>4196</v>
      </c>
      <c r="H979" s="687"/>
      <c r="I979" s="687"/>
      <c r="J979" s="692" t="s">
        <v>16127</v>
      </c>
      <c r="K979" s="687" t="s">
        <v>44</v>
      </c>
      <c r="L979" s="687" t="s">
        <v>25</v>
      </c>
      <c r="M979" s="748">
        <v>1</v>
      </c>
      <c r="N979" s="749">
        <v>1</v>
      </c>
      <c r="O979" s="747" t="s">
        <v>3772</v>
      </c>
      <c r="P979" s="773">
        <v>20376</v>
      </c>
      <c r="Q979" s="747" t="s">
        <v>3773</v>
      </c>
      <c r="R979" s="747"/>
      <c r="S979" s="747"/>
      <c r="T979" s="747" t="s">
        <v>4195</v>
      </c>
      <c r="U979" s="696"/>
      <c r="V979" s="696" t="s">
        <v>4075</v>
      </c>
      <c r="W979" s="696"/>
      <c r="X979" s="696"/>
      <c r="Y979" s="696"/>
      <c r="Z979" s="696"/>
      <c r="AA979" s="696" t="s">
        <v>4086</v>
      </c>
      <c r="AB979" s="696"/>
      <c r="AC979" s="696"/>
      <c r="AD979" s="697"/>
      <c r="AE979" s="655"/>
    </row>
    <row r="980" spans="1:31" ht="12" customHeight="1">
      <c r="A980" s="937" t="s">
        <v>18219</v>
      </c>
      <c r="B980" s="4" t="s">
        <v>3611</v>
      </c>
      <c r="C980" s="1" t="s">
        <v>3614</v>
      </c>
      <c r="D980" s="1">
        <f t="shared" si="15"/>
        <v>34</v>
      </c>
      <c r="E980" s="2" t="s">
        <v>5</v>
      </c>
      <c r="J980" s="4" t="s">
        <v>16118</v>
      </c>
      <c r="L980" s="1" t="s">
        <v>6</v>
      </c>
      <c r="O980" s="3" t="s">
        <v>3618</v>
      </c>
      <c r="P980" s="20">
        <v>28494</v>
      </c>
      <c r="Q980" s="3" t="s">
        <v>3616</v>
      </c>
      <c r="S980" s="3" t="s">
        <v>5546</v>
      </c>
      <c r="T980" s="3" t="s">
        <v>3617</v>
      </c>
      <c r="U980" s="2" t="s">
        <v>3617</v>
      </c>
      <c r="AD980" s="698"/>
      <c r="AE980" s="655"/>
    </row>
    <row r="981" spans="1:31" ht="12" customHeight="1">
      <c r="A981" s="937" t="s">
        <v>18223</v>
      </c>
      <c r="B981" s="4" t="s">
        <v>3612</v>
      </c>
      <c r="C981" s="1" t="s">
        <v>3619</v>
      </c>
      <c r="D981" s="1">
        <f t="shared" si="15"/>
        <v>58</v>
      </c>
      <c r="E981" s="2" t="s">
        <v>19</v>
      </c>
      <c r="J981" s="4" t="s">
        <v>16117</v>
      </c>
      <c r="L981" s="1" t="s">
        <v>6</v>
      </c>
      <c r="O981" s="3" t="s">
        <v>95</v>
      </c>
      <c r="P981" s="20">
        <v>19952</v>
      </c>
      <c r="Q981" s="3" t="s">
        <v>3620</v>
      </c>
      <c r="AD981" s="698"/>
      <c r="AE981" s="655"/>
    </row>
    <row r="982" spans="1:31" ht="12" customHeight="1" thickBot="1">
      <c r="A982" s="938" t="s">
        <v>18245</v>
      </c>
      <c r="B982" s="700" t="s">
        <v>3613</v>
      </c>
      <c r="C982" s="699" t="s">
        <v>3621</v>
      </c>
      <c r="D982" s="699">
        <f t="shared" si="15"/>
        <v>56</v>
      </c>
      <c r="E982" s="702" t="s">
        <v>5</v>
      </c>
      <c r="F982" s="699"/>
      <c r="G982" s="703" t="s">
        <v>3622</v>
      </c>
      <c r="H982" s="699"/>
      <c r="I982" s="699"/>
      <c r="J982" s="700" t="s">
        <v>16123</v>
      </c>
      <c r="K982" s="699"/>
      <c r="L982" s="699" t="s">
        <v>25</v>
      </c>
      <c r="M982" s="705">
        <v>1</v>
      </c>
      <c r="N982" s="706">
        <v>5</v>
      </c>
      <c r="O982" s="703" t="s">
        <v>447</v>
      </c>
      <c r="P982" s="707">
        <v>20557</v>
      </c>
      <c r="Q982" s="703" t="s">
        <v>3623</v>
      </c>
      <c r="R982" s="703" t="s">
        <v>3624</v>
      </c>
      <c r="S982" s="703"/>
      <c r="T982" s="703" t="s">
        <v>3625</v>
      </c>
      <c r="U982" s="702"/>
      <c r="V982" s="702"/>
      <c r="W982" s="702" t="s">
        <v>3626</v>
      </c>
      <c r="X982" s="702" t="s">
        <v>3627</v>
      </c>
      <c r="Y982" s="702"/>
      <c r="Z982" s="702" t="s">
        <v>3628</v>
      </c>
      <c r="AA982" s="702"/>
      <c r="AB982" s="702"/>
      <c r="AC982" s="702"/>
      <c r="AD982" s="708"/>
      <c r="AE982" s="655"/>
    </row>
    <row r="983" spans="1:31" ht="12" customHeight="1">
      <c r="A983" s="936" t="s">
        <v>18223</v>
      </c>
      <c r="B983" s="688" t="s">
        <v>3629</v>
      </c>
      <c r="C983" s="687" t="s">
        <v>3775</v>
      </c>
      <c r="D983" s="687">
        <f t="shared" si="15"/>
        <v>60</v>
      </c>
      <c r="E983" s="696" t="s">
        <v>5</v>
      </c>
      <c r="F983" s="689" t="s">
        <v>15273</v>
      </c>
      <c r="G983" s="747" t="s">
        <v>5207</v>
      </c>
      <c r="H983" s="687"/>
      <c r="I983" s="687"/>
      <c r="J983" s="692" t="s">
        <v>16127</v>
      </c>
      <c r="K983" s="687" t="s">
        <v>44</v>
      </c>
      <c r="L983" s="687" t="s">
        <v>25</v>
      </c>
      <c r="M983" s="748">
        <v>1</v>
      </c>
      <c r="N983" s="749">
        <v>1</v>
      </c>
      <c r="O983" s="747" t="s">
        <v>3776</v>
      </c>
      <c r="P983" s="773">
        <v>19106</v>
      </c>
      <c r="Q983" s="747" t="s">
        <v>3777</v>
      </c>
      <c r="R983" s="747"/>
      <c r="S983" s="747" t="s">
        <v>6214</v>
      </c>
      <c r="T983" s="747"/>
      <c r="U983" s="696"/>
      <c r="V983" s="696"/>
      <c r="W983" s="696"/>
      <c r="X983" s="696"/>
      <c r="Y983" s="696"/>
      <c r="Z983" s="696"/>
      <c r="AA983" s="696"/>
      <c r="AB983" s="696"/>
      <c r="AC983" s="696"/>
      <c r="AD983" s="697"/>
      <c r="AE983" s="655"/>
    </row>
    <row r="984" spans="1:31" ht="12" customHeight="1">
      <c r="A984" s="937" t="s">
        <v>18218</v>
      </c>
      <c r="B984" s="4" t="s">
        <v>3630</v>
      </c>
      <c r="C984" s="1" t="s">
        <v>3632</v>
      </c>
      <c r="D984" s="1">
        <f t="shared" si="15"/>
        <v>50</v>
      </c>
      <c r="E984" s="2" t="s">
        <v>5</v>
      </c>
      <c r="F984" s="1" t="s">
        <v>15273</v>
      </c>
      <c r="G984" s="3" t="s">
        <v>3633</v>
      </c>
      <c r="J984" s="4" t="s">
        <v>16120</v>
      </c>
      <c r="K984" s="1" t="s">
        <v>30</v>
      </c>
      <c r="L984" s="1" t="s">
        <v>25</v>
      </c>
      <c r="M984" s="16">
        <v>3</v>
      </c>
      <c r="N984" s="17">
        <v>3</v>
      </c>
      <c r="O984" s="3" t="s">
        <v>3634</v>
      </c>
      <c r="P984" s="20">
        <v>22934</v>
      </c>
      <c r="Q984" s="3" t="s">
        <v>3635</v>
      </c>
      <c r="R984" s="3" t="s">
        <v>304</v>
      </c>
      <c r="S984" s="3" t="s">
        <v>5457</v>
      </c>
      <c r="T984" s="3" t="s">
        <v>3636</v>
      </c>
      <c r="U984" s="2" t="s">
        <v>47</v>
      </c>
      <c r="AA984" s="2" t="s">
        <v>3571</v>
      </c>
      <c r="AD984" s="698"/>
      <c r="AE984" s="655"/>
    </row>
    <row r="985" spans="1:31" ht="12" customHeight="1">
      <c r="A985" s="937" t="s">
        <v>18223</v>
      </c>
      <c r="B985" s="4" t="s">
        <v>3631</v>
      </c>
      <c r="C985" s="1" t="s">
        <v>5428</v>
      </c>
      <c r="D985" s="1">
        <f t="shared" si="15"/>
        <v>45</v>
      </c>
      <c r="E985" s="2" t="s">
        <v>5</v>
      </c>
      <c r="F985" s="1" t="s">
        <v>15273</v>
      </c>
      <c r="J985" s="4" t="s">
        <v>16116</v>
      </c>
      <c r="K985" s="1" t="s">
        <v>5298</v>
      </c>
      <c r="L985" s="1" t="s">
        <v>6</v>
      </c>
      <c r="O985" s="3" t="s">
        <v>2291</v>
      </c>
      <c r="P985" s="21">
        <v>24586</v>
      </c>
      <c r="Q985" s="3" t="s">
        <v>6150</v>
      </c>
      <c r="S985" s="3" t="s">
        <v>5948</v>
      </c>
      <c r="AD985" s="698"/>
      <c r="AE985" s="655"/>
    </row>
    <row r="986" spans="1:31" ht="12" customHeight="1" thickBot="1">
      <c r="A986" s="938"/>
      <c r="B986" s="700" t="s">
        <v>5427</v>
      </c>
      <c r="C986" s="699" t="s">
        <v>3637</v>
      </c>
      <c r="D986" s="699">
        <f t="shared" si="15"/>
        <v>65</v>
      </c>
      <c r="E986" s="702" t="s">
        <v>19</v>
      </c>
      <c r="F986" s="699"/>
      <c r="G986" s="703"/>
      <c r="H986" s="699"/>
      <c r="I986" s="699"/>
      <c r="J986" s="700" t="s">
        <v>16117</v>
      </c>
      <c r="K986" s="699"/>
      <c r="L986" s="699" t="s">
        <v>6</v>
      </c>
      <c r="M986" s="705"/>
      <c r="N986" s="706"/>
      <c r="O986" s="703" t="s">
        <v>3638</v>
      </c>
      <c r="P986" s="723">
        <v>17245</v>
      </c>
      <c r="Q986" s="703" t="s">
        <v>3639</v>
      </c>
      <c r="R986" s="703"/>
      <c r="S986" s="703"/>
      <c r="T986" s="703" t="s">
        <v>3580</v>
      </c>
      <c r="U986" s="702"/>
      <c r="V986" s="702" t="s">
        <v>3580</v>
      </c>
      <c r="W986" s="702"/>
      <c r="X986" s="702"/>
      <c r="Y986" s="702"/>
      <c r="Z986" s="702"/>
      <c r="AA986" s="702"/>
      <c r="AB986" s="702"/>
      <c r="AC986" s="702"/>
      <c r="AD986" s="708"/>
      <c r="AE986" s="655"/>
    </row>
    <row r="987" spans="1:31" ht="12" customHeight="1">
      <c r="A987" s="936" t="s">
        <v>18245</v>
      </c>
      <c r="B987" s="688" t="s">
        <v>3640</v>
      </c>
      <c r="C987" s="687" t="s">
        <v>3643</v>
      </c>
      <c r="D987" s="687">
        <f t="shared" si="15"/>
        <v>37</v>
      </c>
      <c r="E987" s="696" t="s">
        <v>5</v>
      </c>
      <c r="F987" s="689" t="s">
        <v>15273</v>
      </c>
      <c r="G987" s="747" t="s">
        <v>3644</v>
      </c>
      <c r="H987" s="687"/>
      <c r="I987" s="687"/>
      <c r="J987" s="692" t="s">
        <v>16126</v>
      </c>
      <c r="K987" s="687" t="s">
        <v>44</v>
      </c>
      <c r="L987" s="687" t="s">
        <v>25</v>
      </c>
      <c r="M987" s="748">
        <v>1</v>
      </c>
      <c r="N987" s="749">
        <v>1</v>
      </c>
      <c r="O987" s="747" t="s">
        <v>3645</v>
      </c>
      <c r="P987" s="773">
        <v>27588</v>
      </c>
      <c r="Q987" s="747" t="s">
        <v>3646</v>
      </c>
      <c r="R987" s="747"/>
      <c r="S987" s="747" t="s">
        <v>6214</v>
      </c>
      <c r="T987" s="747"/>
      <c r="U987" s="696"/>
      <c r="V987" s="696"/>
      <c r="W987" s="696"/>
      <c r="X987" s="696"/>
      <c r="Y987" s="696"/>
      <c r="Z987" s="696"/>
      <c r="AA987" s="696"/>
      <c r="AB987" s="696"/>
      <c r="AC987" s="696"/>
      <c r="AD987" s="697"/>
      <c r="AE987" s="655"/>
    </row>
    <row r="988" spans="1:31" ht="12" customHeight="1">
      <c r="A988" s="937" t="s">
        <v>18219</v>
      </c>
      <c r="B988" s="4" t="s">
        <v>3641</v>
      </c>
      <c r="C988" s="1" t="s">
        <v>3647</v>
      </c>
      <c r="D988" s="1">
        <f t="shared" si="15"/>
        <v>64</v>
      </c>
      <c r="E988" s="2" t="s">
        <v>5</v>
      </c>
      <c r="F988" s="1" t="s">
        <v>15273</v>
      </c>
      <c r="J988" s="4" t="s">
        <v>16120</v>
      </c>
      <c r="K988" s="1" t="s">
        <v>30</v>
      </c>
      <c r="L988" s="1" t="s">
        <v>14</v>
      </c>
      <c r="M988" s="16">
        <v>6</v>
      </c>
      <c r="N988" s="17">
        <v>6</v>
      </c>
      <c r="O988" s="3" t="s">
        <v>188</v>
      </c>
      <c r="P988" s="20">
        <v>17574</v>
      </c>
      <c r="Q988" s="3" t="s">
        <v>3648</v>
      </c>
      <c r="R988" s="3" t="s">
        <v>3649</v>
      </c>
      <c r="S988" s="3" t="s">
        <v>5457</v>
      </c>
      <c r="T988" s="3" t="s">
        <v>3571</v>
      </c>
      <c r="AA988" s="2" t="s">
        <v>3571</v>
      </c>
      <c r="AD988" s="698"/>
      <c r="AE988" s="655"/>
    </row>
    <row r="989" spans="1:31" ht="12" customHeight="1">
      <c r="A989" s="937" t="s">
        <v>18245</v>
      </c>
      <c r="B989" s="4" t="s">
        <v>3642</v>
      </c>
      <c r="C989" s="1" t="s">
        <v>5045</v>
      </c>
      <c r="D989" s="1">
        <f t="shared" si="15"/>
        <v>30</v>
      </c>
      <c r="E989" s="2" t="s">
        <v>5</v>
      </c>
      <c r="F989" s="1" t="s">
        <v>15273</v>
      </c>
      <c r="J989" s="4" t="s">
        <v>16116</v>
      </c>
      <c r="K989" s="1" t="s">
        <v>4997</v>
      </c>
      <c r="L989" s="1" t="s">
        <v>6</v>
      </c>
      <c r="O989" s="3" t="s">
        <v>317</v>
      </c>
      <c r="P989" s="21">
        <v>30268</v>
      </c>
      <c r="Q989" s="3" t="s">
        <v>16522</v>
      </c>
      <c r="S989" s="3" t="s">
        <v>5948</v>
      </c>
      <c r="AD989" s="698"/>
      <c r="AE989" s="655"/>
    </row>
    <row r="990" spans="1:31" ht="12" customHeight="1" thickBot="1">
      <c r="A990" s="938"/>
      <c r="B990" s="700" t="s">
        <v>5044</v>
      </c>
      <c r="C990" s="699" t="s">
        <v>3650</v>
      </c>
      <c r="D990" s="699">
        <f t="shared" si="15"/>
        <v>62</v>
      </c>
      <c r="E990" s="702" t="s">
        <v>5</v>
      </c>
      <c r="F990" s="699"/>
      <c r="G990" s="703"/>
      <c r="H990" s="699"/>
      <c r="I990" s="699"/>
      <c r="J990" s="700" t="s">
        <v>16117</v>
      </c>
      <c r="K990" s="699"/>
      <c r="L990" s="699" t="s">
        <v>6</v>
      </c>
      <c r="M990" s="705"/>
      <c r="N990" s="706"/>
      <c r="O990" s="703" t="s">
        <v>3607</v>
      </c>
      <c r="P990" s="723">
        <v>18568</v>
      </c>
      <c r="Q990" s="703" t="s">
        <v>3651</v>
      </c>
      <c r="R990" s="703"/>
      <c r="S990" s="703"/>
      <c r="T990" s="703" t="s">
        <v>69</v>
      </c>
      <c r="U990" s="702"/>
      <c r="V990" s="702"/>
      <c r="W990" s="702"/>
      <c r="X990" s="702"/>
      <c r="Y990" s="702"/>
      <c r="Z990" s="702"/>
      <c r="AA990" s="702"/>
      <c r="AB990" s="702"/>
      <c r="AC990" s="702"/>
      <c r="AD990" s="708" t="s">
        <v>3652</v>
      </c>
      <c r="AE990" s="655"/>
    </row>
    <row r="991" spans="1:31" ht="12" customHeight="1">
      <c r="A991" s="936" t="s">
        <v>18220</v>
      </c>
      <c r="B991" s="688" t="s">
        <v>3653</v>
      </c>
      <c r="C991" s="687" t="s">
        <v>3656</v>
      </c>
      <c r="D991" s="687">
        <f t="shared" si="15"/>
        <v>53</v>
      </c>
      <c r="E991" s="696" t="s">
        <v>5</v>
      </c>
      <c r="F991" s="689" t="s">
        <v>15273</v>
      </c>
      <c r="G991" s="747" t="s">
        <v>3657</v>
      </c>
      <c r="H991" s="687"/>
      <c r="I991" s="687"/>
      <c r="J991" s="692" t="s">
        <v>16127</v>
      </c>
      <c r="K991" s="687" t="s">
        <v>604</v>
      </c>
      <c r="L991" s="687" t="s">
        <v>25</v>
      </c>
      <c r="M991" s="748">
        <v>4</v>
      </c>
      <c r="N991" s="749">
        <v>4</v>
      </c>
      <c r="O991" s="747" t="s">
        <v>3615</v>
      </c>
      <c r="P991" s="773">
        <v>21665</v>
      </c>
      <c r="Q991" s="747" t="s">
        <v>3659</v>
      </c>
      <c r="R991" s="747" t="s">
        <v>3658</v>
      </c>
      <c r="S991" s="747" t="s">
        <v>6214</v>
      </c>
      <c r="T991" s="747" t="s">
        <v>3571</v>
      </c>
      <c r="U991" s="696"/>
      <c r="V991" s="696"/>
      <c r="W991" s="696"/>
      <c r="X991" s="696"/>
      <c r="Y991" s="696"/>
      <c r="Z991" s="696"/>
      <c r="AA991" s="696" t="s">
        <v>3571</v>
      </c>
      <c r="AB991" s="696"/>
      <c r="AC991" s="696"/>
      <c r="AD991" s="697"/>
      <c r="AE991" s="655"/>
    </row>
    <row r="992" spans="1:31" ht="12" customHeight="1">
      <c r="A992" s="937" t="s">
        <v>18246</v>
      </c>
      <c r="B992" s="4" t="s">
        <v>3654</v>
      </c>
      <c r="C992" s="1" t="s">
        <v>3660</v>
      </c>
      <c r="D992" s="1">
        <f t="shared" si="15"/>
        <v>42</v>
      </c>
      <c r="E992" s="2" t="s">
        <v>5</v>
      </c>
      <c r="F992" s="1" t="s">
        <v>15273</v>
      </c>
      <c r="J992" s="8" t="s">
        <v>16120</v>
      </c>
      <c r="K992" s="1" t="s">
        <v>30</v>
      </c>
      <c r="L992" s="1" t="s">
        <v>6</v>
      </c>
      <c r="O992" s="3" t="s">
        <v>3661</v>
      </c>
      <c r="P992" s="20">
        <v>25756</v>
      </c>
      <c r="Q992" s="3" t="s">
        <v>3662</v>
      </c>
      <c r="S992" s="3" t="s">
        <v>5457</v>
      </c>
      <c r="AD992" s="698"/>
      <c r="AE992" s="655"/>
    </row>
    <row r="993" spans="1:31" ht="12" customHeight="1">
      <c r="A993" s="937" t="s">
        <v>18245</v>
      </c>
      <c r="B993" s="4" t="s">
        <v>3655</v>
      </c>
      <c r="C993" s="1" t="s">
        <v>5430</v>
      </c>
      <c r="D993" s="1">
        <f t="shared" si="15"/>
        <v>26</v>
      </c>
      <c r="E993" s="2" t="s">
        <v>5</v>
      </c>
      <c r="F993" s="1" t="s">
        <v>15273</v>
      </c>
      <c r="J993" s="4" t="s">
        <v>16116</v>
      </c>
      <c r="K993" s="1" t="s">
        <v>5298</v>
      </c>
      <c r="L993" s="1" t="s">
        <v>6</v>
      </c>
      <c r="O993" s="3" t="s">
        <v>16049</v>
      </c>
      <c r="P993" s="20">
        <v>31731</v>
      </c>
      <c r="Q993" s="3" t="s">
        <v>5536</v>
      </c>
      <c r="S993" s="3" t="s">
        <v>5948</v>
      </c>
      <c r="AD993" s="698"/>
      <c r="AE993" s="655"/>
    </row>
    <row r="994" spans="1:31" ht="12" customHeight="1" thickBot="1">
      <c r="A994" s="938"/>
      <c r="B994" s="700" t="s">
        <v>5429</v>
      </c>
      <c r="C994" s="699" t="s">
        <v>3663</v>
      </c>
      <c r="D994" s="699">
        <f t="shared" si="15"/>
        <v>37</v>
      </c>
      <c r="E994" s="702" t="s">
        <v>19</v>
      </c>
      <c r="F994" s="699"/>
      <c r="G994" s="703"/>
      <c r="H994" s="699"/>
      <c r="I994" s="699"/>
      <c r="J994" s="700" t="s">
        <v>16117</v>
      </c>
      <c r="K994" s="699"/>
      <c r="L994" s="699" t="s">
        <v>6</v>
      </c>
      <c r="M994" s="705"/>
      <c r="N994" s="706"/>
      <c r="O994" s="703" t="s">
        <v>3664</v>
      </c>
      <c r="P994" s="707">
        <v>27584</v>
      </c>
      <c r="Q994" s="703" t="s">
        <v>3665</v>
      </c>
      <c r="R994" s="703"/>
      <c r="S994" s="703"/>
      <c r="T994" s="703"/>
      <c r="U994" s="702"/>
      <c r="V994" s="702"/>
      <c r="W994" s="702"/>
      <c r="X994" s="702"/>
      <c r="Y994" s="702"/>
      <c r="Z994" s="702"/>
      <c r="AA994" s="702"/>
      <c r="AB994" s="702"/>
      <c r="AC994" s="702"/>
      <c r="AD994" s="708"/>
      <c r="AE994" s="655"/>
    </row>
    <row r="995" spans="1:31" ht="12" customHeight="1">
      <c r="A995" s="936" t="s">
        <v>18220</v>
      </c>
      <c r="B995" s="688" t="s">
        <v>3666</v>
      </c>
      <c r="C995" s="687" t="s">
        <v>3669</v>
      </c>
      <c r="D995" s="687">
        <f t="shared" si="15"/>
        <v>58</v>
      </c>
      <c r="E995" s="696" t="s">
        <v>5</v>
      </c>
      <c r="F995" s="689" t="s">
        <v>15273</v>
      </c>
      <c r="G995" s="747" t="s">
        <v>3670</v>
      </c>
      <c r="H995" s="687"/>
      <c r="I995" s="687"/>
      <c r="J995" s="692" t="s">
        <v>16127</v>
      </c>
      <c r="K995" s="687" t="s">
        <v>604</v>
      </c>
      <c r="L995" s="687" t="s">
        <v>25</v>
      </c>
      <c r="M995" s="748">
        <v>3</v>
      </c>
      <c r="N995" s="749">
        <v>3</v>
      </c>
      <c r="O995" s="747" t="s">
        <v>3673</v>
      </c>
      <c r="P995" s="773">
        <v>20000</v>
      </c>
      <c r="Q995" s="747" t="s">
        <v>3672</v>
      </c>
      <c r="R995" s="747" t="s">
        <v>3671</v>
      </c>
      <c r="S995" s="747" t="s">
        <v>6214</v>
      </c>
      <c r="T995" s="747" t="s">
        <v>3617</v>
      </c>
      <c r="U995" s="696" t="s">
        <v>3617</v>
      </c>
      <c r="V995" s="696"/>
      <c r="W995" s="696"/>
      <c r="X995" s="696"/>
      <c r="Y995" s="696"/>
      <c r="Z995" s="696"/>
      <c r="AA995" s="696"/>
      <c r="AB995" s="696"/>
      <c r="AC995" s="696"/>
      <c r="AD995" s="697"/>
      <c r="AE995" s="655"/>
    </row>
    <row r="996" spans="1:31" ht="12" customHeight="1">
      <c r="A996" s="937" t="s">
        <v>18246</v>
      </c>
      <c r="B996" s="4" t="s">
        <v>3667</v>
      </c>
      <c r="C996" s="1" t="s">
        <v>3674</v>
      </c>
      <c r="D996" s="1">
        <f t="shared" si="15"/>
        <v>48</v>
      </c>
      <c r="E996" s="2" t="s">
        <v>5</v>
      </c>
      <c r="F996" s="1" t="s">
        <v>15273</v>
      </c>
      <c r="J996" s="4" t="s">
        <v>16120</v>
      </c>
      <c r="K996" s="1" t="s">
        <v>30</v>
      </c>
      <c r="L996" s="1" t="s">
        <v>6</v>
      </c>
      <c r="O996" s="3" t="s">
        <v>3544</v>
      </c>
      <c r="P996" s="20">
        <v>23368</v>
      </c>
      <c r="Q996" s="3" t="s">
        <v>3675</v>
      </c>
      <c r="S996" s="3" t="s">
        <v>5457</v>
      </c>
      <c r="T996" s="3" t="s">
        <v>147</v>
      </c>
      <c r="AB996" s="2" t="s">
        <v>3676</v>
      </c>
      <c r="AD996" s="698"/>
      <c r="AE996" s="655"/>
    </row>
    <row r="997" spans="1:31" ht="12" customHeight="1">
      <c r="A997" s="937" t="s">
        <v>18223</v>
      </c>
      <c r="B997" s="4" t="s">
        <v>3668</v>
      </c>
      <c r="C997" s="1" t="s">
        <v>5633</v>
      </c>
      <c r="D997" s="1">
        <f t="shared" si="15"/>
        <v>46</v>
      </c>
      <c r="E997" s="2" t="s">
        <v>5</v>
      </c>
      <c r="F997" s="1" t="s">
        <v>15273</v>
      </c>
      <c r="J997" s="4" t="s">
        <v>16116</v>
      </c>
      <c r="K997" s="1" t="s">
        <v>5515</v>
      </c>
      <c r="L997" s="1" t="s">
        <v>6</v>
      </c>
      <c r="O997" s="3" t="s">
        <v>16050</v>
      </c>
      <c r="P997" s="20">
        <v>24419</v>
      </c>
      <c r="Q997" s="3" t="s">
        <v>5634</v>
      </c>
      <c r="S997" s="3" t="s">
        <v>5948</v>
      </c>
      <c r="AD997" s="698"/>
      <c r="AE997" s="655"/>
    </row>
    <row r="998" spans="1:31" ht="12" customHeight="1" thickBot="1">
      <c r="A998" s="938"/>
      <c r="B998" s="700" t="s">
        <v>5632</v>
      </c>
      <c r="C998" s="699" t="s">
        <v>5237</v>
      </c>
      <c r="D998" s="699">
        <f t="shared" si="15"/>
        <v>37</v>
      </c>
      <c r="E998" s="702" t="s">
        <v>5</v>
      </c>
      <c r="F998" s="699"/>
      <c r="G998" s="703"/>
      <c r="H998" s="699"/>
      <c r="I998" s="699"/>
      <c r="J998" s="700" t="s">
        <v>16117</v>
      </c>
      <c r="K998" s="699"/>
      <c r="L998" s="699" t="s">
        <v>6</v>
      </c>
      <c r="M998" s="705"/>
      <c r="N998" s="706"/>
      <c r="O998" s="703" t="s">
        <v>2906</v>
      </c>
      <c r="P998" s="707">
        <v>27408</v>
      </c>
      <c r="Q998" s="703" t="s">
        <v>5238</v>
      </c>
      <c r="R998" s="703"/>
      <c r="S998" s="703"/>
      <c r="T998" s="703"/>
      <c r="U998" s="702"/>
      <c r="V998" s="702"/>
      <c r="W998" s="702"/>
      <c r="X998" s="702"/>
      <c r="Y998" s="702"/>
      <c r="Z998" s="702"/>
      <c r="AA998" s="702"/>
      <c r="AB998" s="702"/>
      <c r="AC998" s="702"/>
      <c r="AD998" s="708"/>
      <c r="AE998" s="655"/>
    </row>
    <row r="999" spans="1:31" ht="12" customHeight="1">
      <c r="A999" s="936" t="s">
        <v>18220</v>
      </c>
      <c r="B999" s="688" t="s">
        <v>3677</v>
      </c>
      <c r="C999" s="687" t="s">
        <v>3680</v>
      </c>
      <c r="D999" s="687">
        <f t="shared" si="15"/>
        <v>52</v>
      </c>
      <c r="E999" s="696" t="s">
        <v>5</v>
      </c>
      <c r="F999" s="689" t="s">
        <v>15273</v>
      </c>
      <c r="G999" s="747" t="s">
        <v>3681</v>
      </c>
      <c r="H999" s="687"/>
      <c r="I999" s="687"/>
      <c r="J999" s="692" t="s">
        <v>16126</v>
      </c>
      <c r="K999" s="687" t="s">
        <v>44</v>
      </c>
      <c r="L999" s="687" t="s">
        <v>25</v>
      </c>
      <c r="M999" s="748">
        <v>3</v>
      </c>
      <c r="N999" s="749">
        <v>3</v>
      </c>
      <c r="O999" s="747" t="s">
        <v>1485</v>
      </c>
      <c r="P999" s="773">
        <v>22151</v>
      </c>
      <c r="Q999" s="747" t="s">
        <v>3682</v>
      </c>
      <c r="R999" s="747" t="s">
        <v>3683</v>
      </c>
      <c r="S999" s="747" t="s">
        <v>6214</v>
      </c>
      <c r="T999" s="747"/>
      <c r="U999" s="696"/>
      <c r="V999" s="696"/>
      <c r="W999" s="696"/>
      <c r="X999" s="696"/>
      <c r="Y999" s="696"/>
      <c r="Z999" s="696"/>
      <c r="AA999" s="696"/>
      <c r="AB999" s="696"/>
      <c r="AC999" s="696"/>
      <c r="AD999" s="697"/>
      <c r="AE999" s="655"/>
    </row>
    <row r="1000" spans="1:31" ht="12" customHeight="1">
      <c r="A1000" s="937" t="s">
        <v>18246</v>
      </c>
      <c r="B1000" s="4" t="s">
        <v>3678</v>
      </c>
      <c r="C1000" s="1" t="s">
        <v>3684</v>
      </c>
      <c r="D1000" s="1">
        <f t="shared" si="15"/>
        <v>48</v>
      </c>
      <c r="E1000" s="2" t="s">
        <v>5</v>
      </c>
      <c r="F1000" s="1" t="s">
        <v>15273</v>
      </c>
      <c r="J1000" s="4" t="s">
        <v>16120</v>
      </c>
      <c r="K1000" s="1" t="s">
        <v>30</v>
      </c>
      <c r="L1000" s="1" t="s">
        <v>6</v>
      </c>
      <c r="O1000" s="3" t="s">
        <v>31</v>
      </c>
      <c r="P1000" s="20">
        <v>23659</v>
      </c>
      <c r="Q1000" s="3" t="s">
        <v>3685</v>
      </c>
      <c r="S1000" s="3" t="s">
        <v>5457</v>
      </c>
      <c r="T1000" s="3" t="s">
        <v>3580</v>
      </c>
      <c r="V1000" s="2" t="s">
        <v>3580</v>
      </c>
      <c r="AD1000" s="698"/>
      <c r="AE1000" s="655"/>
    </row>
    <row r="1001" spans="1:31" ht="12" customHeight="1">
      <c r="A1001" s="937" t="s">
        <v>18245</v>
      </c>
      <c r="B1001" s="4" t="s">
        <v>3679</v>
      </c>
      <c r="C1001" s="1" t="s">
        <v>5047</v>
      </c>
      <c r="D1001" s="1">
        <f t="shared" si="15"/>
        <v>52</v>
      </c>
      <c r="E1001" s="2" t="s">
        <v>5</v>
      </c>
      <c r="F1001" s="1" t="s">
        <v>15273</v>
      </c>
      <c r="J1001" s="4" t="s">
        <v>16116</v>
      </c>
      <c r="K1001" s="1" t="s">
        <v>4997</v>
      </c>
      <c r="L1001" s="1" t="s">
        <v>6</v>
      </c>
      <c r="O1001" s="3" t="s">
        <v>5048</v>
      </c>
      <c r="P1001" s="21">
        <v>22205</v>
      </c>
      <c r="Q1001" s="3" t="s">
        <v>5049</v>
      </c>
      <c r="S1001" s="3" t="s">
        <v>6030</v>
      </c>
      <c r="T1001" s="3" t="s">
        <v>5025</v>
      </c>
      <c r="U1001" s="2" t="s">
        <v>5025</v>
      </c>
      <c r="AD1001" s="698"/>
      <c r="AE1001" s="655"/>
    </row>
    <row r="1002" spans="1:31" ht="12" customHeight="1" thickBot="1">
      <c r="A1002" s="938"/>
      <c r="B1002" s="700" t="s">
        <v>5046</v>
      </c>
      <c r="C1002" s="699" t="s">
        <v>3686</v>
      </c>
      <c r="D1002" s="699">
        <f t="shared" si="15"/>
        <v>66</v>
      </c>
      <c r="E1002" s="702" t="s">
        <v>19</v>
      </c>
      <c r="F1002" s="699"/>
      <c r="G1002" s="703"/>
      <c r="H1002" s="699"/>
      <c r="I1002" s="699"/>
      <c r="J1002" s="700" t="s">
        <v>16117</v>
      </c>
      <c r="K1002" s="699"/>
      <c r="L1002" s="699" t="s">
        <v>6</v>
      </c>
      <c r="M1002" s="705"/>
      <c r="N1002" s="706"/>
      <c r="O1002" s="703" t="s">
        <v>3687</v>
      </c>
      <c r="P1002" s="723">
        <v>16887</v>
      </c>
      <c r="Q1002" s="703" t="s">
        <v>3688</v>
      </c>
      <c r="R1002" s="703"/>
      <c r="S1002" s="703"/>
      <c r="T1002" s="703"/>
      <c r="U1002" s="702"/>
      <c r="V1002" s="702"/>
      <c r="W1002" s="702"/>
      <c r="X1002" s="702"/>
      <c r="Y1002" s="702"/>
      <c r="Z1002" s="702"/>
      <c r="AA1002" s="702"/>
      <c r="AB1002" s="702"/>
      <c r="AC1002" s="702"/>
      <c r="AD1002" s="708"/>
      <c r="AE1002" s="655"/>
    </row>
    <row r="1003" spans="1:31" ht="12" customHeight="1">
      <c r="A1003" s="936" t="s">
        <v>18245</v>
      </c>
      <c r="B1003" s="688" t="s">
        <v>3689</v>
      </c>
      <c r="C1003" s="687" t="s">
        <v>3692</v>
      </c>
      <c r="D1003" s="687">
        <f t="shared" si="15"/>
        <v>37</v>
      </c>
      <c r="E1003" s="696" t="s">
        <v>5</v>
      </c>
      <c r="F1003" s="689" t="s">
        <v>15273</v>
      </c>
      <c r="G1003" s="747"/>
      <c r="H1003" s="687"/>
      <c r="I1003" s="687"/>
      <c r="J1003" s="692" t="s">
        <v>16127</v>
      </c>
      <c r="K1003" s="687" t="s">
        <v>44</v>
      </c>
      <c r="L1003" s="687" t="s">
        <v>6</v>
      </c>
      <c r="M1003" s="748"/>
      <c r="N1003" s="749"/>
      <c r="O1003" s="747" t="s">
        <v>3693</v>
      </c>
      <c r="P1003" s="773">
        <v>27577</v>
      </c>
      <c r="Q1003" s="747" t="s">
        <v>3694</v>
      </c>
      <c r="R1003" s="747"/>
      <c r="S1003" s="747" t="s">
        <v>6214</v>
      </c>
      <c r="T1003" s="747"/>
      <c r="U1003" s="696"/>
      <c r="V1003" s="696"/>
      <c r="W1003" s="696"/>
      <c r="X1003" s="696"/>
      <c r="Y1003" s="696"/>
      <c r="Z1003" s="696"/>
      <c r="AA1003" s="696"/>
      <c r="AB1003" s="696"/>
      <c r="AC1003" s="696"/>
      <c r="AD1003" s="697"/>
      <c r="AE1003" s="655"/>
    </row>
    <row r="1004" spans="1:31" ht="12" customHeight="1">
      <c r="A1004" s="937" t="s">
        <v>18219</v>
      </c>
      <c r="B1004" s="4" t="s">
        <v>3690</v>
      </c>
      <c r="C1004" s="1" t="s">
        <v>3695</v>
      </c>
      <c r="D1004" s="1">
        <f t="shared" si="15"/>
        <v>51</v>
      </c>
      <c r="E1004" s="2" t="s">
        <v>19</v>
      </c>
      <c r="F1004" s="1" t="s">
        <v>15273</v>
      </c>
      <c r="G1004" s="3" t="s">
        <v>3696</v>
      </c>
      <c r="J1004" s="8" t="s">
        <v>16120</v>
      </c>
      <c r="K1004" s="1" t="s">
        <v>30</v>
      </c>
      <c r="L1004" s="1" t="s">
        <v>25</v>
      </c>
      <c r="M1004" s="16">
        <v>5</v>
      </c>
      <c r="N1004" s="17">
        <v>5</v>
      </c>
      <c r="O1004" s="3" t="s">
        <v>3607</v>
      </c>
      <c r="P1004" s="20">
        <v>22347</v>
      </c>
      <c r="Q1004" s="3" t="s">
        <v>3697</v>
      </c>
      <c r="R1004" s="3" t="s">
        <v>3698</v>
      </c>
      <c r="S1004" s="3" t="s">
        <v>5457</v>
      </c>
      <c r="T1004" s="3" t="s">
        <v>3588</v>
      </c>
      <c r="AC1004" s="2" t="s">
        <v>3588</v>
      </c>
      <c r="AD1004" s="698"/>
      <c r="AE1004" s="655"/>
    </row>
    <row r="1005" spans="1:31" ht="12" customHeight="1">
      <c r="A1005" s="937" t="s">
        <v>18245</v>
      </c>
      <c r="B1005" s="4" t="s">
        <v>3691</v>
      </c>
      <c r="C1005" s="1" t="s">
        <v>3700</v>
      </c>
      <c r="D1005" s="1">
        <f t="shared" si="15"/>
        <v>41</v>
      </c>
      <c r="E1005" s="2" t="s">
        <v>5</v>
      </c>
      <c r="F1005" s="1" t="s">
        <v>15273</v>
      </c>
      <c r="H1005" s="1" t="s">
        <v>3701</v>
      </c>
      <c r="J1005" s="4" t="s">
        <v>16125</v>
      </c>
      <c r="L1005" s="1" t="s">
        <v>14</v>
      </c>
      <c r="M1005" s="16">
        <v>2</v>
      </c>
      <c r="N1005" s="17">
        <v>4</v>
      </c>
      <c r="O1005" s="3" t="s">
        <v>3702</v>
      </c>
      <c r="P1005" s="20">
        <v>26138</v>
      </c>
      <c r="Q1005" s="3" t="s">
        <v>3703</v>
      </c>
      <c r="R1005" s="3" t="s">
        <v>16683</v>
      </c>
      <c r="S1005" s="3" t="s">
        <v>16093</v>
      </c>
      <c r="T1005" s="3" t="s">
        <v>3627</v>
      </c>
      <c r="X1005" s="2" t="s">
        <v>3627</v>
      </c>
      <c r="AD1005" s="698"/>
      <c r="AE1005" s="655"/>
    </row>
    <row r="1006" spans="1:31" ht="12" customHeight="1">
      <c r="A1006" s="937" t="s">
        <v>18223</v>
      </c>
      <c r="B1006" s="4" t="s">
        <v>3699</v>
      </c>
      <c r="C1006" s="1" t="s">
        <v>5051</v>
      </c>
      <c r="D1006" s="1">
        <f t="shared" si="15"/>
        <v>33</v>
      </c>
      <c r="E1006" s="2" t="s">
        <v>5</v>
      </c>
      <c r="F1006" s="1" t="s">
        <v>15273</v>
      </c>
      <c r="J1006" s="4" t="s">
        <v>16116</v>
      </c>
      <c r="K1006" s="1" t="s">
        <v>4997</v>
      </c>
      <c r="L1006" s="1" t="s">
        <v>6</v>
      </c>
      <c r="O1006" s="3" t="s">
        <v>657</v>
      </c>
      <c r="P1006" s="20">
        <v>28850</v>
      </c>
      <c r="Q1006" s="3" t="s">
        <v>6157</v>
      </c>
      <c r="S1006" s="3" t="s">
        <v>5948</v>
      </c>
      <c r="T1006" s="3" t="s">
        <v>5025</v>
      </c>
      <c r="U1006" s="2" t="s">
        <v>47</v>
      </c>
      <c r="AD1006" s="698"/>
      <c r="AE1006" s="655"/>
    </row>
    <row r="1007" spans="1:31" ht="12" customHeight="1" thickBot="1">
      <c r="A1007" s="938"/>
      <c r="B1007" s="700" t="s">
        <v>5050</v>
      </c>
      <c r="C1007" s="699" t="s">
        <v>3704</v>
      </c>
      <c r="D1007" s="699">
        <f t="shared" si="15"/>
        <v>64</v>
      </c>
      <c r="E1007" s="702" t="s">
        <v>19</v>
      </c>
      <c r="F1007" s="699" t="s">
        <v>15273</v>
      </c>
      <c r="G1007" s="703"/>
      <c r="H1007" s="699"/>
      <c r="I1007" s="699"/>
      <c r="J1007" s="700" t="s">
        <v>16117</v>
      </c>
      <c r="K1007" s="699"/>
      <c r="L1007" s="699" t="s">
        <v>6</v>
      </c>
      <c r="M1007" s="705"/>
      <c r="N1007" s="706"/>
      <c r="O1007" s="703" t="s">
        <v>3705</v>
      </c>
      <c r="P1007" s="707">
        <v>17606</v>
      </c>
      <c r="Q1007" s="703" t="s">
        <v>3706</v>
      </c>
      <c r="R1007" s="703"/>
      <c r="S1007" s="703"/>
      <c r="T1007" s="703" t="s">
        <v>3580</v>
      </c>
      <c r="U1007" s="702"/>
      <c r="V1007" s="702" t="s">
        <v>3580</v>
      </c>
      <c r="W1007" s="702"/>
      <c r="X1007" s="702"/>
      <c r="Y1007" s="702"/>
      <c r="Z1007" s="702"/>
      <c r="AA1007" s="702"/>
      <c r="AB1007" s="702"/>
      <c r="AC1007" s="702"/>
      <c r="AD1007" s="708"/>
      <c r="AE1007" s="655"/>
    </row>
    <row r="1008" spans="1:31" ht="12" customHeight="1">
      <c r="A1008" s="936" t="s">
        <v>18245</v>
      </c>
      <c r="B1008" s="688" t="s">
        <v>3707</v>
      </c>
      <c r="C1008" s="687" t="s">
        <v>3710</v>
      </c>
      <c r="D1008" s="687">
        <f t="shared" si="15"/>
        <v>49</v>
      </c>
      <c r="E1008" s="696" t="s">
        <v>5</v>
      </c>
      <c r="F1008" s="689" t="s">
        <v>15273</v>
      </c>
      <c r="G1008" s="747" t="s">
        <v>3711</v>
      </c>
      <c r="H1008" s="687"/>
      <c r="I1008" s="687"/>
      <c r="J1008" s="692" t="s">
        <v>16127</v>
      </c>
      <c r="K1008" s="687" t="s">
        <v>44</v>
      </c>
      <c r="L1008" s="687" t="s">
        <v>25</v>
      </c>
      <c r="M1008" s="748">
        <v>1</v>
      </c>
      <c r="N1008" s="749">
        <v>1</v>
      </c>
      <c r="O1008" s="747" t="s">
        <v>1282</v>
      </c>
      <c r="P1008" s="773">
        <v>23296</v>
      </c>
      <c r="Q1008" s="747" t="s">
        <v>3712</v>
      </c>
      <c r="R1008" s="747"/>
      <c r="S1008" s="747" t="s">
        <v>6214</v>
      </c>
      <c r="T1008" s="747" t="s">
        <v>3580</v>
      </c>
      <c r="U1008" s="696"/>
      <c r="V1008" s="696" t="s">
        <v>3580</v>
      </c>
      <c r="W1008" s="696"/>
      <c r="X1008" s="696"/>
      <c r="Y1008" s="696"/>
      <c r="Z1008" s="696"/>
      <c r="AA1008" s="696"/>
      <c r="AB1008" s="696"/>
      <c r="AC1008" s="696"/>
      <c r="AD1008" s="697"/>
      <c r="AE1008" s="655"/>
    </row>
    <row r="1009" spans="1:31" ht="12" customHeight="1">
      <c r="A1009" s="937" t="s">
        <v>18219</v>
      </c>
      <c r="B1009" s="4" t="s">
        <v>3708</v>
      </c>
      <c r="C1009" s="1" t="s">
        <v>3713</v>
      </c>
      <c r="D1009" s="1">
        <f t="shared" si="15"/>
        <v>68</v>
      </c>
      <c r="E1009" s="2" t="s">
        <v>5</v>
      </c>
      <c r="F1009" s="1" t="s">
        <v>15273</v>
      </c>
      <c r="J1009" s="4" t="s">
        <v>16120</v>
      </c>
      <c r="K1009" s="1" t="s">
        <v>48</v>
      </c>
      <c r="L1009" s="1" t="s">
        <v>14</v>
      </c>
      <c r="M1009" s="16">
        <v>2</v>
      </c>
      <c r="N1009" s="17">
        <v>2</v>
      </c>
      <c r="O1009" s="3" t="s">
        <v>31</v>
      </c>
      <c r="P1009" s="20">
        <v>16136</v>
      </c>
      <c r="Q1009" s="3" t="s">
        <v>3714</v>
      </c>
      <c r="R1009" s="3" t="s">
        <v>3715</v>
      </c>
      <c r="S1009" s="3" t="s">
        <v>5889</v>
      </c>
      <c r="T1009" s="3" t="s">
        <v>3571</v>
      </c>
      <c r="AA1009" s="2" t="s">
        <v>3571</v>
      </c>
      <c r="AD1009" s="698"/>
      <c r="AE1009" s="655"/>
    </row>
    <row r="1010" spans="1:31" ht="12" customHeight="1">
      <c r="A1010" s="937" t="s">
        <v>18245</v>
      </c>
      <c r="B1010" s="4" t="s">
        <v>3709</v>
      </c>
      <c r="C1010" s="1" t="s">
        <v>5053</v>
      </c>
      <c r="D1010" s="1">
        <f t="shared" si="15"/>
        <v>45</v>
      </c>
      <c r="E1010" s="2" t="s">
        <v>5</v>
      </c>
      <c r="F1010" s="1" t="s">
        <v>15273</v>
      </c>
      <c r="J1010" s="4" t="s">
        <v>16116</v>
      </c>
      <c r="K1010" s="1" t="s">
        <v>4997</v>
      </c>
      <c r="L1010" s="1" t="s">
        <v>6</v>
      </c>
      <c r="O1010" s="3" t="s">
        <v>77</v>
      </c>
      <c r="P1010" s="20">
        <v>24707</v>
      </c>
      <c r="Q1010" s="3" t="s">
        <v>5054</v>
      </c>
      <c r="S1010" s="3" t="s">
        <v>5948</v>
      </c>
      <c r="AD1010" s="698"/>
      <c r="AE1010" s="655"/>
    </row>
    <row r="1011" spans="1:31" ht="12" customHeight="1" thickBot="1">
      <c r="A1011" s="938"/>
      <c r="B1011" s="700" t="s">
        <v>5052</v>
      </c>
      <c r="C1011" s="699" t="s">
        <v>3716</v>
      </c>
      <c r="D1011" s="699">
        <f t="shared" si="15"/>
        <v>59</v>
      </c>
      <c r="E1011" s="702" t="s">
        <v>5</v>
      </c>
      <c r="F1011" s="699"/>
      <c r="G1011" s="703"/>
      <c r="H1011" s="699"/>
      <c r="I1011" s="699"/>
      <c r="J1011" s="700" t="s">
        <v>16117</v>
      </c>
      <c r="K1011" s="699"/>
      <c r="L1011" s="699" t="s">
        <v>6</v>
      </c>
      <c r="M1011" s="705"/>
      <c r="N1011" s="706"/>
      <c r="O1011" s="703" t="s">
        <v>3517</v>
      </c>
      <c r="P1011" s="707">
        <v>19422</v>
      </c>
      <c r="Q1011" s="703" t="s">
        <v>3717</v>
      </c>
      <c r="R1011" s="703"/>
      <c r="S1011" s="703"/>
      <c r="T1011" s="703" t="s">
        <v>3580</v>
      </c>
      <c r="U1011" s="702"/>
      <c r="V1011" s="702" t="s">
        <v>3580</v>
      </c>
      <c r="W1011" s="702"/>
      <c r="X1011" s="702"/>
      <c r="Y1011" s="702"/>
      <c r="Z1011" s="702"/>
      <c r="AA1011" s="702"/>
      <c r="AB1011" s="702"/>
      <c r="AC1011" s="702"/>
      <c r="AD1011" s="708"/>
      <c r="AE1011" s="655"/>
    </row>
    <row r="1012" spans="1:31" ht="12" customHeight="1">
      <c r="A1012" s="936" t="s">
        <v>18245</v>
      </c>
      <c r="B1012" s="688" t="s">
        <v>3718</v>
      </c>
      <c r="C1012" s="687" t="s">
        <v>3721</v>
      </c>
      <c r="D1012" s="687">
        <f t="shared" si="15"/>
        <v>56</v>
      </c>
      <c r="E1012" s="696" t="s">
        <v>5</v>
      </c>
      <c r="F1012" s="689" t="s">
        <v>15273</v>
      </c>
      <c r="G1012" s="747" t="s">
        <v>3722</v>
      </c>
      <c r="H1012" s="687"/>
      <c r="I1012" s="687"/>
      <c r="J1012" s="692" t="s">
        <v>16126</v>
      </c>
      <c r="K1012" s="687" t="s">
        <v>44</v>
      </c>
      <c r="L1012" s="687" t="s">
        <v>25</v>
      </c>
      <c r="M1012" s="748">
        <v>1</v>
      </c>
      <c r="N1012" s="749">
        <v>1</v>
      </c>
      <c r="O1012" s="747" t="s">
        <v>450</v>
      </c>
      <c r="P1012" s="773">
        <v>20544</v>
      </c>
      <c r="Q1012" s="747" t="s">
        <v>3723</v>
      </c>
      <c r="R1012" s="747"/>
      <c r="S1012" s="747"/>
      <c r="T1012" s="747"/>
      <c r="U1012" s="696"/>
      <c r="V1012" s="696"/>
      <c r="W1012" s="696"/>
      <c r="X1012" s="696"/>
      <c r="Y1012" s="696"/>
      <c r="Z1012" s="696"/>
      <c r="AA1012" s="696"/>
      <c r="AB1012" s="696"/>
      <c r="AC1012" s="696"/>
      <c r="AD1012" s="697"/>
      <c r="AE1012" s="655"/>
    </row>
    <row r="1013" spans="1:31" ht="12" customHeight="1">
      <c r="A1013" s="937" t="s">
        <v>18219</v>
      </c>
      <c r="B1013" s="4" t="s">
        <v>3719</v>
      </c>
      <c r="C1013" s="1" t="s">
        <v>3724</v>
      </c>
      <c r="D1013" s="1">
        <f t="shared" si="15"/>
        <v>38</v>
      </c>
      <c r="E1013" s="2" t="s">
        <v>5</v>
      </c>
      <c r="F1013" s="1" t="s">
        <v>15273</v>
      </c>
      <c r="J1013" s="4" t="s">
        <v>16120</v>
      </c>
      <c r="K1013" s="1" t="s">
        <v>934</v>
      </c>
      <c r="L1013" s="1" t="s">
        <v>6</v>
      </c>
      <c r="O1013" s="3" t="s">
        <v>188</v>
      </c>
      <c r="P1013" s="20">
        <v>27214</v>
      </c>
      <c r="Q1013" s="3" t="s">
        <v>3725</v>
      </c>
      <c r="S1013" s="3" t="s">
        <v>5889</v>
      </c>
      <c r="T1013" s="3" t="s">
        <v>3571</v>
      </c>
      <c r="AA1013" s="2" t="s">
        <v>3571</v>
      </c>
      <c r="AD1013" s="698"/>
      <c r="AE1013" s="655"/>
    </row>
    <row r="1014" spans="1:31" ht="12" customHeight="1">
      <c r="A1014" s="937" t="s">
        <v>18245</v>
      </c>
      <c r="B1014" s="4" t="s">
        <v>3720</v>
      </c>
      <c r="C1014" s="1" t="s">
        <v>5525</v>
      </c>
      <c r="D1014" s="1">
        <f t="shared" si="15"/>
        <v>45</v>
      </c>
      <c r="E1014" s="2" t="s">
        <v>5</v>
      </c>
      <c r="F1014" s="1" t="s">
        <v>15273</v>
      </c>
      <c r="J1014" s="4" t="s">
        <v>16116</v>
      </c>
      <c r="K1014" s="1" t="s">
        <v>5515</v>
      </c>
      <c r="L1014" s="1" t="s">
        <v>6</v>
      </c>
      <c r="O1014" s="3" t="s">
        <v>669</v>
      </c>
      <c r="P1014" s="21">
        <v>24558</v>
      </c>
      <c r="Q1014" s="3" t="s">
        <v>5592</v>
      </c>
      <c r="S1014" s="3" t="s">
        <v>5948</v>
      </c>
      <c r="T1014" s="3" t="s">
        <v>5526</v>
      </c>
      <c r="V1014" s="2" t="s">
        <v>5463</v>
      </c>
      <c r="AA1014" s="2" t="s">
        <v>5527</v>
      </c>
      <c r="AD1014" s="698"/>
      <c r="AE1014" s="655"/>
    </row>
    <row r="1015" spans="1:31" ht="12" customHeight="1" thickBot="1">
      <c r="A1015" s="938"/>
      <c r="B1015" s="700" t="s">
        <v>5524</v>
      </c>
      <c r="C1015" s="699" t="s">
        <v>3726</v>
      </c>
      <c r="D1015" s="699">
        <f t="shared" si="15"/>
        <v>62</v>
      </c>
      <c r="E1015" s="702" t="s">
        <v>19</v>
      </c>
      <c r="F1015" s="699"/>
      <c r="G1015" s="703"/>
      <c r="H1015" s="699"/>
      <c r="I1015" s="699"/>
      <c r="J1015" s="700" t="s">
        <v>16117</v>
      </c>
      <c r="K1015" s="699"/>
      <c r="L1015" s="699" t="s">
        <v>6</v>
      </c>
      <c r="M1015" s="705"/>
      <c r="N1015" s="706"/>
      <c r="O1015" s="703" t="s">
        <v>3727</v>
      </c>
      <c r="P1015" s="723">
        <v>18484</v>
      </c>
      <c r="Q1015" s="703" t="s">
        <v>3728</v>
      </c>
      <c r="R1015" s="703"/>
      <c r="S1015" s="703"/>
      <c r="T1015" s="703"/>
      <c r="U1015" s="702"/>
      <c r="V1015" s="702"/>
      <c r="W1015" s="702"/>
      <c r="X1015" s="702"/>
      <c r="Y1015" s="702"/>
      <c r="Z1015" s="702"/>
      <c r="AA1015" s="702"/>
      <c r="AB1015" s="702"/>
      <c r="AC1015" s="702"/>
      <c r="AD1015" s="708"/>
      <c r="AE1015" s="655"/>
    </row>
    <row r="1016" spans="1:31" ht="12" customHeight="1">
      <c r="A1016" s="936" t="s">
        <v>18246</v>
      </c>
      <c r="B1016" s="688" t="s">
        <v>3729</v>
      </c>
      <c r="C1016" s="687" t="s">
        <v>3732</v>
      </c>
      <c r="D1016" s="687">
        <f t="shared" si="15"/>
        <v>56</v>
      </c>
      <c r="E1016" s="696" t="s">
        <v>5</v>
      </c>
      <c r="F1016" s="689" t="s">
        <v>15273</v>
      </c>
      <c r="G1016" s="747" t="s">
        <v>3733</v>
      </c>
      <c r="H1016" s="687"/>
      <c r="I1016" s="687"/>
      <c r="J1016" s="692" t="s">
        <v>16127</v>
      </c>
      <c r="K1016" s="687" t="s">
        <v>44</v>
      </c>
      <c r="L1016" s="687" t="s">
        <v>25</v>
      </c>
      <c r="M1016" s="748">
        <v>1</v>
      </c>
      <c r="N1016" s="749">
        <v>1</v>
      </c>
      <c r="O1016" s="747" t="s">
        <v>3734</v>
      </c>
      <c r="P1016" s="773">
        <v>20648</v>
      </c>
      <c r="Q1016" s="747" t="s">
        <v>3735</v>
      </c>
      <c r="R1016" s="747" t="s">
        <v>3736</v>
      </c>
      <c r="S1016" s="747" t="s">
        <v>6214</v>
      </c>
      <c r="T1016" s="747" t="s">
        <v>3737</v>
      </c>
      <c r="U1016" s="696" t="s">
        <v>47</v>
      </c>
      <c r="V1016" s="696"/>
      <c r="W1016" s="696"/>
      <c r="X1016" s="696"/>
      <c r="Y1016" s="696"/>
      <c r="Z1016" s="696"/>
      <c r="AA1016" s="696"/>
      <c r="AB1016" s="696"/>
      <c r="AC1016" s="696"/>
      <c r="AD1016" s="697"/>
      <c r="AE1016" s="655"/>
    </row>
    <row r="1017" spans="1:31" ht="12" customHeight="1">
      <c r="A1017" s="937" t="s">
        <v>18220</v>
      </c>
      <c r="B1017" s="4" t="s">
        <v>3730</v>
      </c>
      <c r="C1017" s="1" t="s">
        <v>3738</v>
      </c>
      <c r="D1017" s="1">
        <f t="shared" si="15"/>
        <v>47</v>
      </c>
      <c r="E1017" s="2" t="s">
        <v>5</v>
      </c>
      <c r="F1017" s="1" t="s">
        <v>15273</v>
      </c>
      <c r="J1017" s="8" t="s">
        <v>16120</v>
      </c>
      <c r="K1017" s="1" t="s">
        <v>30</v>
      </c>
      <c r="L1017" s="1" t="s">
        <v>6</v>
      </c>
      <c r="O1017" s="3" t="s">
        <v>3739</v>
      </c>
      <c r="P1017" s="20">
        <v>23972</v>
      </c>
      <c r="Q1017" s="3" t="s">
        <v>3740</v>
      </c>
      <c r="S1017" s="3" t="s">
        <v>5457</v>
      </c>
      <c r="AD1017" s="698"/>
      <c r="AE1017" s="655"/>
    </row>
    <row r="1018" spans="1:31" ht="12" customHeight="1">
      <c r="A1018" s="937" t="s">
        <v>18245</v>
      </c>
      <c r="B1018" s="4" t="s">
        <v>3731</v>
      </c>
      <c r="C1018" s="1" t="s">
        <v>1293</v>
      </c>
      <c r="D1018" s="1">
        <f t="shared" si="15"/>
        <v>40</v>
      </c>
      <c r="E1018" s="2" t="s">
        <v>5</v>
      </c>
      <c r="F1018" s="1" t="s">
        <v>15273</v>
      </c>
      <c r="J1018" s="4" t="s">
        <v>16116</v>
      </c>
      <c r="K1018" s="1" t="s">
        <v>1294</v>
      </c>
      <c r="L1018" s="1" t="s">
        <v>14</v>
      </c>
      <c r="M1018" s="16">
        <v>1</v>
      </c>
      <c r="N1018" s="17">
        <v>1</v>
      </c>
      <c r="O1018" s="3" t="s">
        <v>31</v>
      </c>
      <c r="P1018" s="20">
        <v>26595</v>
      </c>
      <c r="Q1018" s="3" t="s">
        <v>1295</v>
      </c>
      <c r="T1018" s="3" t="s">
        <v>1238</v>
      </c>
      <c r="Y1018" s="2" t="s">
        <v>1238</v>
      </c>
      <c r="AD1018" s="698"/>
      <c r="AE1018" s="655"/>
    </row>
    <row r="1019" spans="1:31" ht="12" customHeight="1" thickBot="1">
      <c r="A1019" s="938"/>
      <c r="B1019" s="700" t="s">
        <v>4987</v>
      </c>
      <c r="C1019" s="699" t="s">
        <v>3741</v>
      </c>
      <c r="D1019" s="699">
        <f t="shared" si="15"/>
        <v>52</v>
      </c>
      <c r="E1019" s="702" t="s">
        <v>5</v>
      </c>
      <c r="F1019" s="699"/>
      <c r="G1019" s="703"/>
      <c r="H1019" s="699"/>
      <c r="I1019" s="699"/>
      <c r="J1019" s="700" t="s">
        <v>16117</v>
      </c>
      <c r="K1019" s="699"/>
      <c r="L1019" s="699" t="s">
        <v>6</v>
      </c>
      <c r="M1019" s="705"/>
      <c r="N1019" s="706"/>
      <c r="O1019" s="703" t="s">
        <v>3739</v>
      </c>
      <c r="P1019" s="707">
        <v>22214</v>
      </c>
      <c r="Q1019" s="703" t="s">
        <v>3742</v>
      </c>
      <c r="R1019" s="703"/>
      <c r="S1019" s="703"/>
      <c r="T1019" s="703"/>
      <c r="U1019" s="702"/>
      <c r="V1019" s="702"/>
      <c r="W1019" s="702"/>
      <c r="X1019" s="702"/>
      <c r="Y1019" s="702"/>
      <c r="Z1019" s="702"/>
      <c r="AA1019" s="702"/>
      <c r="AB1019" s="702"/>
      <c r="AC1019" s="702"/>
      <c r="AD1019" s="708"/>
      <c r="AE1019" s="655"/>
    </row>
    <row r="1020" spans="1:31" ht="12" customHeight="1">
      <c r="A1020" s="936" t="s">
        <v>18223</v>
      </c>
      <c r="B1020" s="688" t="s">
        <v>3743</v>
      </c>
      <c r="C1020" s="687" t="s">
        <v>5693</v>
      </c>
      <c r="D1020" s="687">
        <f t="shared" si="15"/>
        <v>52</v>
      </c>
      <c r="E1020" s="696" t="s">
        <v>5</v>
      </c>
      <c r="F1020" s="689" t="s">
        <v>15273</v>
      </c>
      <c r="G1020" s="747"/>
      <c r="H1020" s="687"/>
      <c r="I1020" s="687"/>
      <c r="J1020" s="692" t="s">
        <v>16127</v>
      </c>
      <c r="K1020" s="687" t="s">
        <v>44</v>
      </c>
      <c r="L1020" s="687" t="s">
        <v>6</v>
      </c>
      <c r="M1020" s="748"/>
      <c r="N1020" s="749"/>
      <c r="O1020" s="747" t="s">
        <v>3153</v>
      </c>
      <c r="P1020" s="773">
        <v>22156</v>
      </c>
      <c r="Q1020" s="747" t="s">
        <v>5855</v>
      </c>
      <c r="R1020" s="747"/>
      <c r="S1020" s="747"/>
      <c r="T1020" s="747" t="s">
        <v>5694</v>
      </c>
      <c r="U1020" s="696"/>
      <c r="V1020" s="696"/>
      <c r="W1020" s="696"/>
      <c r="X1020" s="696"/>
      <c r="Y1020" s="696" t="s">
        <v>5694</v>
      </c>
      <c r="Z1020" s="696"/>
      <c r="AA1020" s="696"/>
      <c r="AB1020" s="696"/>
      <c r="AC1020" s="696"/>
      <c r="AD1020" s="697"/>
      <c r="AE1020" s="655"/>
    </row>
    <row r="1021" spans="1:31" ht="12" customHeight="1">
      <c r="A1021" s="937" t="s">
        <v>18219</v>
      </c>
      <c r="B1021" s="4" t="s">
        <v>3744</v>
      </c>
      <c r="C1021" s="1" t="s">
        <v>3750</v>
      </c>
      <c r="D1021" s="1">
        <f t="shared" si="15"/>
        <v>60</v>
      </c>
      <c r="E1021" s="2" t="s">
        <v>5</v>
      </c>
      <c r="F1021" s="1" t="s">
        <v>15273</v>
      </c>
      <c r="G1021" s="3" t="s">
        <v>3751</v>
      </c>
      <c r="J1021" s="4" t="s">
        <v>16120</v>
      </c>
      <c r="K1021" s="1" t="s">
        <v>934</v>
      </c>
      <c r="L1021" s="1" t="s">
        <v>25</v>
      </c>
      <c r="M1021" s="16">
        <v>4</v>
      </c>
      <c r="N1021" s="17">
        <v>4</v>
      </c>
      <c r="O1021" s="3" t="s">
        <v>188</v>
      </c>
      <c r="P1021" s="20">
        <v>19095</v>
      </c>
      <c r="Q1021" s="3" t="s">
        <v>3752</v>
      </c>
      <c r="R1021" s="3" t="s">
        <v>3753</v>
      </c>
      <c r="S1021" s="3" t="s">
        <v>5457</v>
      </c>
      <c r="T1021" s="3" t="s">
        <v>3754</v>
      </c>
      <c r="V1021" s="2" t="s">
        <v>3755</v>
      </c>
      <c r="W1021" s="2" t="s">
        <v>3756</v>
      </c>
      <c r="AD1021" s="698"/>
      <c r="AE1021" s="655"/>
    </row>
    <row r="1022" spans="1:31" ht="12" customHeight="1">
      <c r="A1022" s="937" t="s">
        <v>18245</v>
      </c>
      <c r="B1022" s="4" t="s">
        <v>3745</v>
      </c>
      <c r="C1022" s="1" t="s">
        <v>3746</v>
      </c>
      <c r="D1022" s="1">
        <f t="shared" si="15"/>
        <v>49</v>
      </c>
      <c r="E1022" s="2" t="s">
        <v>5</v>
      </c>
      <c r="F1022" s="1" t="s">
        <v>15273</v>
      </c>
      <c r="G1022" s="3" t="s">
        <v>3747</v>
      </c>
      <c r="J1022" s="4" t="s">
        <v>16116</v>
      </c>
      <c r="K1022" s="1" t="s">
        <v>4422</v>
      </c>
      <c r="L1022" s="1" t="s">
        <v>25</v>
      </c>
      <c r="M1022" s="16">
        <v>1</v>
      </c>
      <c r="N1022" s="17">
        <v>1</v>
      </c>
      <c r="O1022" s="3" t="s">
        <v>3748</v>
      </c>
      <c r="P1022" s="20">
        <v>23174</v>
      </c>
      <c r="Q1022" s="3" t="s">
        <v>3749</v>
      </c>
      <c r="S1022" s="3" t="s">
        <v>18564</v>
      </c>
      <c r="AD1022" s="698"/>
      <c r="AE1022" s="655"/>
    </row>
    <row r="1023" spans="1:31" ht="12" customHeight="1" thickBot="1">
      <c r="A1023" s="938"/>
      <c r="B1023" s="700" t="s">
        <v>5065</v>
      </c>
      <c r="C1023" s="699" t="s">
        <v>3757</v>
      </c>
      <c r="D1023" s="699">
        <f t="shared" si="15"/>
        <v>37</v>
      </c>
      <c r="E1023" s="702" t="s">
        <v>5</v>
      </c>
      <c r="F1023" s="699"/>
      <c r="G1023" s="703"/>
      <c r="H1023" s="699"/>
      <c r="I1023" s="699"/>
      <c r="J1023" s="700" t="s">
        <v>16117</v>
      </c>
      <c r="K1023" s="699"/>
      <c r="L1023" s="699" t="s">
        <v>6</v>
      </c>
      <c r="M1023" s="705"/>
      <c r="N1023" s="706"/>
      <c r="O1023" s="703" t="s">
        <v>3758</v>
      </c>
      <c r="P1023" s="707">
        <v>27693</v>
      </c>
      <c r="Q1023" s="703" t="s">
        <v>3762</v>
      </c>
      <c r="R1023" s="703"/>
      <c r="S1023" s="703"/>
      <c r="T1023" s="703"/>
      <c r="U1023" s="702"/>
      <c r="V1023" s="702"/>
      <c r="W1023" s="702"/>
      <c r="X1023" s="702"/>
      <c r="Y1023" s="702"/>
      <c r="Z1023" s="702"/>
      <c r="AA1023" s="702"/>
      <c r="AB1023" s="702"/>
      <c r="AC1023" s="702"/>
      <c r="AD1023" s="708"/>
      <c r="AE1023" s="655"/>
    </row>
    <row r="1024" spans="1:31" ht="12" customHeight="1">
      <c r="A1024" s="936" t="s">
        <v>18219</v>
      </c>
      <c r="B1024" s="688" t="s">
        <v>3759</v>
      </c>
      <c r="C1024" s="687" t="s">
        <v>3763</v>
      </c>
      <c r="D1024" s="687">
        <f t="shared" si="15"/>
        <v>73</v>
      </c>
      <c r="E1024" s="696" t="s">
        <v>5</v>
      </c>
      <c r="F1024" s="687"/>
      <c r="G1024" s="747" t="s">
        <v>3764</v>
      </c>
      <c r="H1024" s="687"/>
      <c r="I1024" s="687"/>
      <c r="J1024" s="688" t="s">
        <v>16120</v>
      </c>
      <c r="K1024" s="687" t="s">
        <v>65</v>
      </c>
      <c r="L1024" s="687" t="s">
        <v>25</v>
      </c>
      <c r="M1024" s="748">
        <v>9</v>
      </c>
      <c r="N1024" s="749">
        <v>9</v>
      </c>
      <c r="O1024" s="747" t="s">
        <v>381</v>
      </c>
      <c r="P1024" s="773">
        <v>14293</v>
      </c>
      <c r="Q1024" s="747" t="s">
        <v>3765</v>
      </c>
      <c r="R1024" s="747" t="s">
        <v>3766</v>
      </c>
      <c r="S1024" s="747" t="s">
        <v>5457</v>
      </c>
      <c r="T1024" s="747" t="s">
        <v>3755</v>
      </c>
      <c r="U1024" s="696"/>
      <c r="V1024" s="696" t="s">
        <v>3755</v>
      </c>
      <c r="W1024" s="696"/>
      <c r="X1024" s="696"/>
      <c r="Y1024" s="696"/>
      <c r="Z1024" s="696"/>
      <c r="AA1024" s="696"/>
      <c r="AB1024" s="696"/>
      <c r="AC1024" s="696"/>
      <c r="AD1024" s="697"/>
      <c r="AE1024" s="655"/>
    </row>
    <row r="1025" spans="1:31" ht="12" customHeight="1">
      <c r="A1025" s="937" t="s">
        <v>18245</v>
      </c>
      <c r="B1025" s="4" t="s">
        <v>3760</v>
      </c>
      <c r="C1025" s="1" t="s">
        <v>5303</v>
      </c>
      <c r="D1025" s="1">
        <f t="shared" si="15"/>
        <v>45</v>
      </c>
      <c r="E1025" s="2" t="s">
        <v>5</v>
      </c>
      <c r="F1025" s="1" t="s">
        <v>15273</v>
      </c>
      <c r="J1025" s="4" t="s">
        <v>16116</v>
      </c>
      <c r="K1025" s="1" t="s">
        <v>5306</v>
      </c>
      <c r="L1025" s="1" t="s">
        <v>6</v>
      </c>
      <c r="O1025" s="3" t="s">
        <v>3047</v>
      </c>
      <c r="P1025" s="21">
        <v>24709</v>
      </c>
      <c r="Q1025" s="3" t="s">
        <v>5304</v>
      </c>
      <c r="S1025" s="3" t="s">
        <v>5948</v>
      </c>
      <c r="T1025" s="3" t="s">
        <v>145</v>
      </c>
      <c r="V1025" s="2" t="s">
        <v>5305</v>
      </c>
      <c r="AD1025" s="698"/>
      <c r="AE1025" s="655"/>
    </row>
    <row r="1026" spans="1:31" ht="12" customHeight="1" thickBot="1">
      <c r="A1026" s="938"/>
      <c r="B1026" s="700" t="s">
        <v>3761</v>
      </c>
      <c r="C1026" s="699" t="s">
        <v>3767</v>
      </c>
      <c r="D1026" s="699">
        <f t="shared" ref="D1026:D1089" si="16">DATEDIF(P1026,$P$1298,"Y")</f>
        <v>61</v>
      </c>
      <c r="E1026" s="702" t="s">
        <v>5</v>
      </c>
      <c r="F1026" s="699" t="s">
        <v>15273</v>
      </c>
      <c r="G1026" s="703"/>
      <c r="H1026" s="699"/>
      <c r="I1026" s="699"/>
      <c r="J1026" s="700" t="s">
        <v>16117</v>
      </c>
      <c r="K1026" s="699"/>
      <c r="L1026" s="699" t="s">
        <v>6</v>
      </c>
      <c r="M1026" s="705"/>
      <c r="N1026" s="706"/>
      <c r="O1026" s="703" t="s">
        <v>3768</v>
      </c>
      <c r="P1026" s="707">
        <v>18922</v>
      </c>
      <c r="Q1026" s="703" t="s">
        <v>3770</v>
      </c>
      <c r="R1026" s="703"/>
      <c r="S1026" s="703"/>
      <c r="T1026" s="703" t="s">
        <v>3769</v>
      </c>
      <c r="U1026" s="702"/>
      <c r="V1026" s="702"/>
      <c r="W1026" s="702"/>
      <c r="X1026" s="702"/>
      <c r="Y1026" s="702" t="s">
        <v>3769</v>
      </c>
      <c r="Z1026" s="702"/>
      <c r="AA1026" s="702"/>
      <c r="AB1026" s="702"/>
      <c r="AC1026" s="702"/>
      <c r="AD1026" s="708"/>
      <c r="AE1026" s="655"/>
    </row>
    <row r="1027" spans="1:31" ht="12" customHeight="1">
      <c r="A1027" s="936" t="s">
        <v>18218</v>
      </c>
      <c r="B1027" s="688" t="s">
        <v>3814</v>
      </c>
      <c r="C1027" s="687" t="s">
        <v>3816</v>
      </c>
      <c r="D1027" s="687">
        <f t="shared" si="16"/>
        <v>55</v>
      </c>
      <c r="E1027" s="696" t="s">
        <v>5</v>
      </c>
      <c r="F1027" s="687"/>
      <c r="G1027" s="747" t="s">
        <v>3813</v>
      </c>
      <c r="H1027" s="687"/>
      <c r="I1027" s="687"/>
      <c r="J1027" s="692" t="s">
        <v>16120</v>
      </c>
      <c r="K1027" s="687" t="s">
        <v>30</v>
      </c>
      <c r="L1027" s="687" t="s">
        <v>25</v>
      </c>
      <c r="M1027" s="748">
        <v>8</v>
      </c>
      <c r="N1027" s="749">
        <v>8</v>
      </c>
      <c r="O1027" s="747" t="s">
        <v>31</v>
      </c>
      <c r="P1027" s="773">
        <v>20855</v>
      </c>
      <c r="Q1027" s="747" t="s">
        <v>3817</v>
      </c>
      <c r="R1027" s="747" t="s">
        <v>3819</v>
      </c>
      <c r="S1027" s="747" t="s">
        <v>5457</v>
      </c>
      <c r="T1027" s="747" t="s">
        <v>3818</v>
      </c>
      <c r="U1027" s="696"/>
      <c r="V1027" s="696"/>
      <c r="W1027" s="696"/>
      <c r="X1027" s="696"/>
      <c r="Y1027" s="696"/>
      <c r="Z1027" s="696"/>
      <c r="AA1027" s="696" t="s">
        <v>3818</v>
      </c>
      <c r="AB1027" s="696"/>
      <c r="AC1027" s="696"/>
      <c r="AD1027" s="697"/>
      <c r="AE1027" s="655"/>
    </row>
    <row r="1028" spans="1:31" ht="12" customHeight="1">
      <c r="A1028" s="937" t="s">
        <v>18223</v>
      </c>
      <c r="B1028" s="4" t="s">
        <v>3815</v>
      </c>
      <c r="C1028" s="1" t="s">
        <v>3820</v>
      </c>
      <c r="D1028" s="1">
        <f t="shared" si="16"/>
        <v>48</v>
      </c>
      <c r="E1028" s="2" t="s">
        <v>5</v>
      </c>
      <c r="J1028" s="4" t="s">
        <v>16117</v>
      </c>
      <c r="L1028" s="1" t="s">
        <v>6</v>
      </c>
      <c r="O1028" s="3" t="s">
        <v>95</v>
      </c>
      <c r="P1028" s="20">
        <v>23413</v>
      </c>
      <c r="Q1028" s="3" t="s">
        <v>3821</v>
      </c>
      <c r="AD1028" s="698"/>
      <c r="AE1028" s="655"/>
    </row>
    <row r="1029" spans="1:31" ht="12" customHeight="1" thickBot="1">
      <c r="A1029" s="938"/>
      <c r="B1029" s="700" t="s">
        <v>16051</v>
      </c>
      <c r="C1029" s="699" t="s">
        <v>16052</v>
      </c>
      <c r="D1029" s="699">
        <f t="shared" si="16"/>
        <v>63</v>
      </c>
      <c r="E1029" s="702" t="s">
        <v>5</v>
      </c>
      <c r="F1029" s="699"/>
      <c r="G1029" s="703"/>
      <c r="H1029" s="699"/>
      <c r="I1029" s="699"/>
      <c r="J1029" s="700" t="s">
        <v>16129</v>
      </c>
      <c r="K1029" s="699"/>
      <c r="L1029" s="699" t="s">
        <v>6</v>
      </c>
      <c r="M1029" s="705"/>
      <c r="N1029" s="706"/>
      <c r="O1029" s="703" t="s">
        <v>2212</v>
      </c>
      <c r="P1029" s="707">
        <v>17931</v>
      </c>
      <c r="Q1029" s="703" t="s">
        <v>16053</v>
      </c>
      <c r="R1029" s="703"/>
      <c r="S1029" s="703"/>
      <c r="T1029" s="703"/>
      <c r="U1029" s="702"/>
      <c r="V1029" s="702"/>
      <c r="W1029" s="702"/>
      <c r="X1029" s="702"/>
      <c r="Y1029" s="702"/>
      <c r="Z1029" s="702"/>
      <c r="AA1029" s="702"/>
      <c r="AB1029" s="702"/>
      <c r="AC1029" s="702"/>
      <c r="AD1029" s="708"/>
      <c r="AE1029" s="655"/>
    </row>
    <row r="1030" spans="1:31" ht="12" customHeight="1">
      <c r="A1030" s="936" t="s">
        <v>18245</v>
      </c>
      <c r="B1030" s="688" t="s">
        <v>3822</v>
      </c>
      <c r="C1030" s="687" t="s">
        <v>3825</v>
      </c>
      <c r="D1030" s="687">
        <f t="shared" si="16"/>
        <v>50</v>
      </c>
      <c r="E1030" s="696" t="s">
        <v>5</v>
      </c>
      <c r="F1030" s="689" t="s">
        <v>15273</v>
      </c>
      <c r="G1030" s="747" t="s">
        <v>3826</v>
      </c>
      <c r="H1030" s="687"/>
      <c r="I1030" s="687"/>
      <c r="J1030" s="692" t="s">
        <v>16126</v>
      </c>
      <c r="K1030" s="687" t="s">
        <v>44</v>
      </c>
      <c r="L1030" s="687" t="s">
        <v>25</v>
      </c>
      <c r="M1030" s="748">
        <v>1</v>
      </c>
      <c r="N1030" s="749">
        <v>1</v>
      </c>
      <c r="O1030" s="747" t="s">
        <v>188</v>
      </c>
      <c r="P1030" s="773">
        <v>22970</v>
      </c>
      <c r="Q1030" s="747" t="s">
        <v>3827</v>
      </c>
      <c r="R1030" s="747"/>
      <c r="S1030" s="747"/>
      <c r="T1030" s="747" t="s">
        <v>3755</v>
      </c>
      <c r="U1030" s="696"/>
      <c r="V1030" s="696" t="s">
        <v>3755</v>
      </c>
      <c r="W1030" s="696"/>
      <c r="X1030" s="696"/>
      <c r="Y1030" s="696"/>
      <c r="Z1030" s="696"/>
      <c r="AA1030" s="696"/>
      <c r="AB1030" s="696"/>
      <c r="AC1030" s="696"/>
      <c r="AD1030" s="697"/>
      <c r="AE1030" s="655"/>
    </row>
    <row r="1031" spans="1:31" ht="12" customHeight="1">
      <c r="A1031" s="937" t="s">
        <v>18219</v>
      </c>
      <c r="B1031" s="4" t="s">
        <v>3823</v>
      </c>
      <c r="C1031" s="1" t="s">
        <v>3828</v>
      </c>
      <c r="D1031" s="1">
        <f t="shared" si="16"/>
        <v>51</v>
      </c>
      <c r="E1031" s="2" t="s">
        <v>5</v>
      </c>
      <c r="F1031" s="1" t="s">
        <v>15273</v>
      </c>
      <c r="G1031" s="3" t="s">
        <v>3829</v>
      </c>
      <c r="J1031" s="4" t="s">
        <v>16120</v>
      </c>
      <c r="K1031" s="1" t="s">
        <v>30</v>
      </c>
      <c r="L1031" s="1" t="s">
        <v>25</v>
      </c>
      <c r="M1031" s="16">
        <v>2</v>
      </c>
      <c r="N1031" s="17">
        <v>2</v>
      </c>
      <c r="O1031" s="3" t="s">
        <v>3734</v>
      </c>
      <c r="P1031" s="20">
        <v>22268</v>
      </c>
      <c r="Q1031" s="3" t="s">
        <v>3830</v>
      </c>
      <c r="S1031" s="3" t="s">
        <v>5889</v>
      </c>
      <c r="T1031" s="3" t="s">
        <v>3831</v>
      </c>
      <c r="U1031" s="2" t="s">
        <v>3737</v>
      </c>
      <c r="AA1031" s="2" t="s">
        <v>3818</v>
      </c>
      <c r="AD1031" s="698"/>
      <c r="AE1031" s="655"/>
    </row>
    <row r="1032" spans="1:31" ht="12" customHeight="1" thickBot="1">
      <c r="A1032" s="938"/>
      <c r="B1032" s="700" t="s">
        <v>3824</v>
      </c>
      <c r="C1032" s="699" t="s">
        <v>3832</v>
      </c>
      <c r="D1032" s="699">
        <f t="shared" si="16"/>
        <v>37</v>
      </c>
      <c r="E1032" s="702" t="s">
        <v>5</v>
      </c>
      <c r="F1032" s="699"/>
      <c r="G1032" s="703"/>
      <c r="H1032" s="699"/>
      <c r="I1032" s="699"/>
      <c r="J1032" s="700" t="s">
        <v>16117</v>
      </c>
      <c r="K1032" s="699"/>
      <c r="L1032" s="699" t="s">
        <v>6</v>
      </c>
      <c r="M1032" s="705"/>
      <c r="N1032" s="706"/>
      <c r="O1032" s="703" t="s">
        <v>1200</v>
      </c>
      <c r="P1032" s="707">
        <v>27736</v>
      </c>
      <c r="Q1032" s="703" t="s">
        <v>3833</v>
      </c>
      <c r="R1032" s="703"/>
      <c r="S1032" s="703"/>
      <c r="T1032" s="703"/>
      <c r="U1032" s="702"/>
      <c r="V1032" s="702"/>
      <c r="W1032" s="702"/>
      <c r="X1032" s="702"/>
      <c r="Y1032" s="702"/>
      <c r="Z1032" s="702"/>
      <c r="AA1032" s="702"/>
      <c r="AB1032" s="702"/>
      <c r="AC1032" s="702"/>
      <c r="AD1032" s="708"/>
      <c r="AE1032" s="655"/>
    </row>
    <row r="1033" spans="1:31" ht="12" customHeight="1">
      <c r="A1033" s="936" t="s">
        <v>18245</v>
      </c>
      <c r="B1033" s="688" t="s">
        <v>3834</v>
      </c>
      <c r="C1033" s="687" t="s">
        <v>3837</v>
      </c>
      <c r="D1033" s="687">
        <f t="shared" si="16"/>
        <v>52</v>
      </c>
      <c r="E1033" s="696" t="s">
        <v>5</v>
      </c>
      <c r="F1033" s="689" t="s">
        <v>15273</v>
      </c>
      <c r="G1033" s="747" t="s">
        <v>3838</v>
      </c>
      <c r="H1033" s="687"/>
      <c r="I1033" s="687"/>
      <c r="J1033" s="692" t="s">
        <v>16127</v>
      </c>
      <c r="K1033" s="687" t="s">
        <v>45</v>
      </c>
      <c r="L1033" s="687" t="s">
        <v>25</v>
      </c>
      <c r="M1033" s="748">
        <v>1</v>
      </c>
      <c r="N1033" s="749">
        <v>1</v>
      </c>
      <c r="O1033" s="747" t="s">
        <v>3839</v>
      </c>
      <c r="P1033" s="773">
        <v>22177</v>
      </c>
      <c r="Q1033" s="747" t="s">
        <v>3840</v>
      </c>
      <c r="R1033" s="747"/>
      <c r="S1033" s="747"/>
      <c r="T1033" s="747" t="s">
        <v>3841</v>
      </c>
      <c r="U1033" s="696"/>
      <c r="V1033" s="696" t="s">
        <v>3842</v>
      </c>
      <c r="W1033" s="696"/>
      <c r="X1033" s="696"/>
      <c r="Y1033" s="696"/>
      <c r="Z1033" s="696"/>
      <c r="AA1033" s="696"/>
      <c r="AB1033" s="696"/>
      <c r="AC1033" s="696"/>
      <c r="AD1033" s="697" t="s">
        <v>3843</v>
      </c>
      <c r="AE1033" s="655"/>
    </row>
    <row r="1034" spans="1:31" ht="12" customHeight="1">
      <c r="A1034" s="937" t="s">
        <v>18219</v>
      </c>
      <c r="B1034" s="4" t="s">
        <v>3835</v>
      </c>
      <c r="C1034" s="1" t="s">
        <v>3844</v>
      </c>
      <c r="D1034" s="1">
        <f t="shared" si="16"/>
        <v>68</v>
      </c>
      <c r="E1034" s="2" t="s">
        <v>5</v>
      </c>
      <c r="F1034" s="1" t="s">
        <v>15273</v>
      </c>
      <c r="G1034" s="3" t="s">
        <v>3845</v>
      </c>
      <c r="J1034" s="4" t="s">
        <v>16120</v>
      </c>
      <c r="K1034" s="1" t="s">
        <v>48</v>
      </c>
      <c r="L1034" s="1" t="s">
        <v>25</v>
      </c>
      <c r="M1034" s="16">
        <v>7</v>
      </c>
      <c r="N1034" s="17">
        <v>7</v>
      </c>
      <c r="O1034" s="3" t="s">
        <v>3846</v>
      </c>
      <c r="P1034" s="20">
        <v>16167</v>
      </c>
      <c r="Q1034" s="3" t="s">
        <v>3847</v>
      </c>
      <c r="R1034" s="3" t="s">
        <v>3851</v>
      </c>
      <c r="S1034" s="3" t="s">
        <v>5457</v>
      </c>
      <c r="T1034" s="3" t="s">
        <v>3848</v>
      </c>
      <c r="U1034" s="2" t="s">
        <v>3849</v>
      </c>
      <c r="AA1034" s="2" t="s">
        <v>3850</v>
      </c>
      <c r="AD1034" s="698"/>
      <c r="AE1034" s="655"/>
    </row>
    <row r="1035" spans="1:31" ht="12" customHeight="1" thickBot="1">
      <c r="A1035" s="938"/>
      <c r="B1035" s="700" t="s">
        <v>3836</v>
      </c>
      <c r="C1035" s="699" t="s">
        <v>3852</v>
      </c>
      <c r="D1035" s="699">
        <f t="shared" si="16"/>
        <v>61</v>
      </c>
      <c r="E1035" s="702" t="s">
        <v>19</v>
      </c>
      <c r="F1035" s="699"/>
      <c r="G1035" s="703"/>
      <c r="H1035" s="699"/>
      <c r="I1035" s="699"/>
      <c r="J1035" s="700" t="s">
        <v>16117</v>
      </c>
      <c r="K1035" s="699"/>
      <c r="L1035" s="699" t="s">
        <v>6</v>
      </c>
      <c r="M1035" s="705"/>
      <c r="N1035" s="706"/>
      <c r="O1035" s="703" t="s">
        <v>3853</v>
      </c>
      <c r="P1035" s="723">
        <v>18653</v>
      </c>
      <c r="Q1035" s="703" t="s">
        <v>3854</v>
      </c>
      <c r="R1035" s="703"/>
      <c r="S1035" s="703"/>
      <c r="T1035" s="703" t="s">
        <v>3842</v>
      </c>
      <c r="U1035" s="702"/>
      <c r="V1035" s="702" t="s">
        <v>145</v>
      </c>
      <c r="W1035" s="702"/>
      <c r="X1035" s="702"/>
      <c r="Y1035" s="702"/>
      <c r="Z1035" s="702"/>
      <c r="AA1035" s="702"/>
      <c r="AB1035" s="702"/>
      <c r="AC1035" s="702"/>
      <c r="AD1035" s="708"/>
      <c r="AE1035" s="655"/>
    </row>
    <row r="1036" spans="1:31" ht="12" customHeight="1">
      <c r="A1036" s="936" t="s">
        <v>18223</v>
      </c>
      <c r="B1036" s="688" t="s">
        <v>3855</v>
      </c>
      <c r="C1036" s="687" t="s">
        <v>5088</v>
      </c>
      <c r="D1036" s="687">
        <f t="shared" si="16"/>
        <v>32</v>
      </c>
      <c r="E1036" s="696" t="s">
        <v>5</v>
      </c>
      <c r="F1036" s="689" t="s">
        <v>15273</v>
      </c>
      <c r="G1036" s="747"/>
      <c r="H1036" s="687"/>
      <c r="I1036" s="687"/>
      <c r="J1036" s="692" t="s">
        <v>16127</v>
      </c>
      <c r="K1036" s="687" t="s">
        <v>44</v>
      </c>
      <c r="L1036" s="687" t="s">
        <v>6</v>
      </c>
      <c r="M1036" s="748"/>
      <c r="N1036" s="749"/>
      <c r="O1036" s="747" t="s">
        <v>5209</v>
      </c>
      <c r="P1036" s="773">
        <v>29388</v>
      </c>
      <c r="Q1036" s="747" t="s">
        <v>5089</v>
      </c>
      <c r="R1036" s="747"/>
      <c r="S1036" s="747"/>
      <c r="T1036" s="747"/>
      <c r="U1036" s="696"/>
      <c r="V1036" s="696"/>
      <c r="W1036" s="696"/>
      <c r="X1036" s="696"/>
      <c r="Y1036" s="696"/>
      <c r="Z1036" s="696"/>
      <c r="AA1036" s="696"/>
      <c r="AB1036" s="696"/>
      <c r="AC1036" s="696"/>
      <c r="AD1036" s="697"/>
      <c r="AE1036" s="655"/>
    </row>
    <row r="1037" spans="1:31" ht="12" customHeight="1">
      <c r="A1037" s="937" t="s">
        <v>18218</v>
      </c>
      <c r="B1037" s="4" t="s">
        <v>3856</v>
      </c>
      <c r="C1037" s="1" t="s">
        <v>3858</v>
      </c>
      <c r="D1037" s="1">
        <f t="shared" si="16"/>
        <v>66</v>
      </c>
      <c r="E1037" s="2" t="s">
        <v>5</v>
      </c>
      <c r="F1037" s="1" t="s">
        <v>15273</v>
      </c>
      <c r="G1037" s="3" t="s">
        <v>3859</v>
      </c>
      <c r="J1037" s="8" t="s">
        <v>16120</v>
      </c>
      <c r="K1037" s="1" t="s">
        <v>13</v>
      </c>
      <c r="L1037" s="1" t="s">
        <v>25</v>
      </c>
      <c r="M1037" s="16">
        <v>4</v>
      </c>
      <c r="N1037" s="17">
        <v>4</v>
      </c>
      <c r="O1037" s="3" t="s">
        <v>31</v>
      </c>
      <c r="P1037" s="20">
        <v>17109</v>
      </c>
      <c r="Q1037" s="3" t="s">
        <v>3860</v>
      </c>
      <c r="R1037" s="3" t="s">
        <v>3861</v>
      </c>
      <c r="S1037" s="3" t="s">
        <v>5457</v>
      </c>
      <c r="T1037" s="3" t="s">
        <v>3862</v>
      </c>
      <c r="Y1037" s="2" t="s">
        <v>3863</v>
      </c>
      <c r="AA1037" s="2" t="s">
        <v>3850</v>
      </c>
      <c r="AD1037" s="698"/>
      <c r="AE1037" s="655"/>
    </row>
    <row r="1038" spans="1:31" ht="12" customHeight="1" thickBot="1">
      <c r="A1038" s="938"/>
      <c r="B1038" s="700" t="s">
        <v>3857</v>
      </c>
      <c r="C1038" s="699" t="s">
        <v>3864</v>
      </c>
      <c r="D1038" s="699">
        <f t="shared" si="16"/>
        <v>41</v>
      </c>
      <c r="E1038" s="702" t="s">
        <v>5</v>
      </c>
      <c r="F1038" s="699"/>
      <c r="G1038" s="703"/>
      <c r="H1038" s="699"/>
      <c r="I1038" s="699"/>
      <c r="J1038" s="700" t="s">
        <v>16117</v>
      </c>
      <c r="K1038" s="699"/>
      <c r="L1038" s="699" t="s">
        <v>6</v>
      </c>
      <c r="M1038" s="705"/>
      <c r="N1038" s="706"/>
      <c r="O1038" s="703" t="s">
        <v>3865</v>
      </c>
      <c r="P1038" s="707">
        <v>25945</v>
      </c>
      <c r="Q1038" s="703" t="s">
        <v>3866</v>
      </c>
      <c r="R1038" s="703"/>
      <c r="S1038" s="703"/>
      <c r="T1038" s="703"/>
      <c r="U1038" s="702"/>
      <c r="V1038" s="702"/>
      <c r="W1038" s="702"/>
      <c r="X1038" s="702"/>
      <c r="Y1038" s="702"/>
      <c r="Z1038" s="702"/>
      <c r="AA1038" s="702"/>
      <c r="AB1038" s="702"/>
      <c r="AC1038" s="702"/>
      <c r="AD1038" s="708"/>
      <c r="AE1038" s="655"/>
    </row>
    <row r="1039" spans="1:31" ht="12" customHeight="1">
      <c r="A1039" s="936" t="s">
        <v>18245</v>
      </c>
      <c r="B1039" s="688" t="s">
        <v>3867</v>
      </c>
      <c r="C1039" s="687" t="s">
        <v>3871</v>
      </c>
      <c r="D1039" s="687">
        <f t="shared" si="16"/>
        <v>43</v>
      </c>
      <c r="E1039" s="696" t="s">
        <v>5</v>
      </c>
      <c r="F1039" s="689" t="s">
        <v>15273</v>
      </c>
      <c r="G1039" s="747" t="s">
        <v>3872</v>
      </c>
      <c r="H1039" s="687"/>
      <c r="I1039" s="687"/>
      <c r="J1039" s="692" t="s">
        <v>16126</v>
      </c>
      <c r="K1039" s="687" t="s">
        <v>44</v>
      </c>
      <c r="L1039" s="687" t="s">
        <v>25</v>
      </c>
      <c r="M1039" s="748">
        <v>1</v>
      </c>
      <c r="N1039" s="749">
        <v>1</v>
      </c>
      <c r="O1039" s="747" t="s">
        <v>3846</v>
      </c>
      <c r="P1039" s="773">
        <v>25472</v>
      </c>
      <c r="Q1039" s="747" t="s">
        <v>3873</v>
      </c>
      <c r="R1039" s="747"/>
      <c r="S1039" s="747" t="s">
        <v>6214</v>
      </c>
      <c r="T1039" s="747" t="s">
        <v>3849</v>
      </c>
      <c r="U1039" s="696" t="s">
        <v>3849</v>
      </c>
      <c r="V1039" s="696"/>
      <c r="W1039" s="696"/>
      <c r="X1039" s="696"/>
      <c r="Y1039" s="696"/>
      <c r="Z1039" s="696"/>
      <c r="AA1039" s="696"/>
      <c r="AB1039" s="696"/>
      <c r="AC1039" s="696"/>
      <c r="AD1039" s="697"/>
      <c r="AE1039" s="655"/>
    </row>
    <row r="1040" spans="1:31" ht="12" customHeight="1">
      <c r="A1040" s="937" t="s">
        <v>18219</v>
      </c>
      <c r="B1040" s="4" t="s">
        <v>3868</v>
      </c>
      <c r="C1040" s="1" t="s">
        <v>3874</v>
      </c>
      <c r="D1040" s="1">
        <f t="shared" si="16"/>
        <v>58</v>
      </c>
      <c r="E1040" s="2" t="s">
        <v>5</v>
      </c>
      <c r="F1040" s="1" t="s">
        <v>15273</v>
      </c>
      <c r="G1040" s="3" t="s">
        <v>3875</v>
      </c>
      <c r="J1040" s="4" t="s">
        <v>16120</v>
      </c>
      <c r="K1040" s="1" t="s">
        <v>30</v>
      </c>
      <c r="L1040" s="1" t="s">
        <v>25</v>
      </c>
      <c r="M1040" s="16">
        <v>8</v>
      </c>
      <c r="N1040" s="17">
        <v>8</v>
      </c>
      <c r="O1040" s="3" t="s">
        <v>31</v>
      </c>
      <c r="P1040" s="20">
        <v>19885</v>
      </c>
      <c r="Q1040" s="3" t="s">
        <v>16658</v>
      </c>
      <c r="R1040" s="3" t="s">
        <v>3878</v>
      </c>
      <c r="S1040" s="3" t="s">
        <v>5457</v>
      </c>
      <c r="T1040" s="3" t="s">
        <v>3876</v>
      </c>
      <c r="AA1040" s="2" t="s">
        <v>3850</v>
      </c>
      <c r="AC1040" s="2" t="s">
        <v>3877</v>
      </c>
      <c r="AD1040" s="698"/>
      <c r="AE1040" s="655"/>
    </row>
    <row r="1041" spans="1:31" ht="12" customHeight="1">
      <c r="A1041" s="937" t="s">
        <v>18223</v>
      </c>
      <c r="B1041" s="4" t="s">
        <v>5687</v>
      </c>
      <c r="C1041" s="1" t="s">
        <v>3882</v>
      </c>
      <c r="D1041" s="1">
        <f t="shared" si="16"/>
        <v>37</v>
      </c>
      <c r="E1041" s="2" t="s">
        <v>5</v>
      </c>
      <c r="F1041" s="1" t="s">
        <v>15273</v>
      </c>
      <c r="J1041" s="4" t="s">
        <v>16128</v>
      </c>
      <c r="L1041" s="1" t="s">
        <v>6</v>
      </c>
      <c r="O1041" s="3" t="s">
        <v>1405</v>
      </c>
      <c r="P1041" s="20">
        <v>27447</v>
      </c>
      <c r="Q1041" s="3" t="s">
        <v>3883</v>
      </c>
      <c r="S1041" s="3" t="s">
        <v>6031</v>
      </c>
      <c r="AD1041" s="698"/>
      <c r="AE1041" s="655"/>
    </row>
    <row r="1042" spans="1:31" ht="12" customHeight="1">
      <c r="A1042" s="937"/>
      <c r="B1042" s="4" t="s">
        <v>3869</v>
      </c>
      <c r="C1042" s="1" t="s">
        <v>3879</v>
      </c>
      <c r="D1042" s="1">
        <f t="shared" si="16"/>
        <v>48</v>
      </c>
      <c r="E1042" s="2" t="s">
        <v>5</v>
      </c>
      <c r="J1042" s="4" t="s">
        <v>16117</v>
      </c>
      <c r="L1042" s="1" t="s">
        <v>6</v>
      </c>
      <c r="O1042" s="3" t="s">
        <v>3880</v>
      </c>
      <c r="P1042" s="20">
        <v>23622</v>
      </c>
      <c r="Q1042" s="3" t="s">
        <v>3881</v>
      </c>
      <c r="AD1042" s="698"/>
      <c r="AE1042" s="655"/>
    </row>
    <row r="1043" spans="1:31" ht="12" customHeight="1" thickBot="1">
      <c r="A1043" s="938"/>
      <c r="B1043" s="700" t="s">
        <v>3870</v>
      </c>
      <c r="C1043" s="699" t="s">
        <v>3884</v>
      </c>
      <c r="D1043" s="699">
        <f t="shared" si="16"/>
        <v>50</v>
      </c>
      <c r="E1043" s="702" t="s">
        <v>19</v>
      </c>
      <c r="F1043" s="699"/>
      <c r="G1043" s="703"/>
      <c r="H1043" s="699"/>
      <c r="I1043" s="699"/>
      <c r="J1043" s="700" t="s">
        <v>16122</v>
      </c>
      <c r="K1043" s="699" t="s">
        <v>22</v>
      </c>
      <c r="L1043" s="699" t="s">
        <v>6</v>
      </c>
      <c r="M1043" s="705"/>
      <c r="N1043" s="706"/>
      <c r="O1043" s="703" t="s">
        <v>3885</v>
      </c>
      <c r="P1043" s="707">
        <v>22806</v>
      </c>
      <c r="Q1043" s="703" t="s">
        <v>3886</v>
      </c>
      <c r="R1043" s="703"/>
      <c r="S1043" s="703"/>
      <c r="T1043" s="703"/>
      <c r="U1043" s="702"/>
      <c r="V1043" s="702"/>
      <c r="W1043" s="702"/>
      <c r="X1043" s="702"/>
      <c r="Y1043" s="702"/>
      <c r="Z1043" s="702"/>
      <c r="AA1043" s="702"/>
      <c r="AB1043" s="702"/>
      <c r="AC1043" s="702"/>
      <c r="AD1043" s="708"/>
      <c r="AE1043" s="655"/>
    </row>
    <row r="1044" spans="1:31" ht="12" customHeight="1">
      <c r="A1044" s="936" t="s">
        <v>18220</v>
      </c>
      <c r="B1044" s="688" t="s">
        <v>3887</v>
      </c>
      <c r="C1044" s="687" t="s">
        <v>3890</v>
      </c>
      <c r="D1044" s="687">
        <f t="shared" si="16"/>
        <v>41</v>
      </c>
      <c r="E1044" s="696" t="s">
        <v>5</v>
      </c>
      <c r="F1044" s="689" t="s">
        <v>15273</v>
      </c>
      <c r="G1044" s="747" t="s">
        <v>3891</v>
      </c>
      <c r="H1044" s="687"/>
      <c r="I1044" s="687"/>
      <c r="J1044" s="692" t="s">
        <v>16127</v>
      </c>
      <c r="K1044" s="687" t="s">
        <v>44</v>
      </c>
      <c r="L1044" s="687" t="s">
        <v>25</v>
      </c>
      <c r="M1044" s="748">
        <v>3</v>
      </c>
      <c r="N1044" s="749">
        <v>3</v>
      </c>
      <c r="O1044" s="747" t="s">
        <v>2022</v>
      </c>
      <c r="P1044" s="773">
        <v>26233</v>
      </c>
      <c r="Q1044" s="747" t="s">
        <v>3892</v>
      </c>
      <c r="R1044" s="747" t="s">
        <v>3893</v>
      </c>
      <c r="S1044" s="747" t="s">
        <v>6214</v>
      </c>
      <c r="T1044" s="747"/>
      <c r="U1044" s="696"/>
      <c r="V1044" s="696"/>
      <c r="W1044" s="696"/>
      <c r="X1044" s="696"/>
      <c r="Y1044" s="696"/>
      <c r="Z1044" s="696"/>
      <c r="AA1044" s="696"/>
      <c r="AB1044" s="696"/>
      <c r="AC1044" s="696"/>
      <c r="AD1044" s="697"/>
      <c r="AE1044" s="655"/>
    </row>
    <row r="1045" spans="1:31" ht="12" customHeight="1">
      <c r="A1045" s="937" t="s">
        <v>18246</v>
      </c>
      <c r="B1045" s="4" t="s">
        <v>3888</v>
      </c>
      <c r="C1045" s="1" t="s">
        <v>3894</v>
      </c>
      <c r="D1045" s="1">
        <f t="shared" si="16"/>
        <v>47</v>
      </c>
      <c r="E1045" s="2" t="s">
        <v>5</v>
      </c>
      <c r="F1045" s="1" t="s">
        <v>15273</v>
      </c>
      <c r="J1045" s="4" t="s">
        <v>16120</v>
      </c>
      <c r="K1045" s="1" t="s">
        <v>30</v>
      </c>
      <c r="L1045" s="1" t="s">
        <v>6</v>
      </c>
      <c r="O1045" s="3" t="s">
        <v>3898</v>
      </c>
      <c r="P1045" s="20">
        <v>23993</v>
      </c>
      <c r="Q1045" s="3" t="s">
        <v>3896</v>
      </c>
      <c r="S1045" s="3" t="s">
        <v>5457</v>
      </c>
      <c r="T1045" s="3" t="s">
        <v>658</v>
      </c>
      <c r="U1045" s="2" t="s">
        <v>47</v>
      </c>
      <c r="AB1045" s="2" t="s">
        <v>3895</v>
      </c>
      <c r="AD1045" s="698"/>
      <c r="AE1045" s="655"/>
    </row>
    <row r="1046" spans="1:31" ht="12" customHeight="1" thickBot="1">
      <c r="A1046" s="938"/>
      <c r="B1046" s="700" t="s">
        <v>3889</v>
      </c>
      <c r="C1046" s="699" t="s">
        <v>3897</v>
      </c>
      <c r="D1046" s="699">
        <f t="shared" si="16"/>
        <v>65</v>
      </c>
      <c r="E1046" s="702" t="s">
        <v>19</v>
      </c>
      <c r="F1046" s="699"/>
      <c r="G1046" s="703"/>
      <c r="H1046" s="699"/>
      <c r="I1046" s="699"/>
      <c r="J1046" s="700" t="s">
        <v>16117</v>
      </c>
      <c r="K1046" s="699"/>
      <c r="L1046" s="699" t="s">
        <v>6</v>
      </c>
      <c r="M1046" s="705"/>
      <c r="N1046" s="706"/>
      <c r="O1046" s="703" t="s">
        <v>3899</v>
      </c>
      <c r="P1046" s="723">
        <v>17385</v>
      </c>
      <c r="Q1046" s="703" t="s">
        <v>3900</v>
      </c>
      <c r="R1046" s="703"/>
      <c r="S1046" s="703"/>
      <c r="T1046" s="703" t="s">
        <v>148</v>
      </c>
      <c r="U1046" s="702"/>
      <c r="V1046" s="702" t="s">
        <v>3842</v>
      </c>
      <c r="W1046" s="702"/>
      <c r="X1046" s="702"/>
      <c r="Y1046" s="702"/>
      <c r="Z1046" s="702"/>
      <c r="AA1046" s="702"/>
      <c r="AB1046" s="702"/>
      <c r="AC1046" s="702"/>
      <c r="AD1046" s="708" t="s">
        <v>3843</v>
      </c>
      <c r="AE1046" s="655"/>
    </row>
    <row r="1047" spans="1:31" ht="12" customHeight="1">
      <c r="A1047" s="936" t="s">
        <v>18245</v>
      </c>
      <c r="B1047" s="688" t="s">
        <v>3901</v>
      </c>
      <c r="C1047" s="687" t="s">
        <v>3905</v>
      </c>
      <c r="D1047" s="687">
        <f t="shared" si="16"/>
        <v>37</v>
      </c>
      <c r="E1047" s="696" t="s">
        <v>5</v>
      </c>
      <c r="F1047" s="689" t="s">
        <v>15273</v>
      </c>
      <c r="G1047" s="747"/>
      <c r="H1047" s="687"/>
      <c r="I1047" s="687"/>
      <c r="J1047" s="692" t="s">
        <v>16127</v>
      </c>
      <c r="K1047" s="687" t="s">
        <v>44</v>
      </c>
      <c r="L1047" s="687" t="s">
        <v>6</v>
      </c>
      <c r="M1047" s="748"/>
      <c r="N1047" s="749"/>
      <c r="O1047" s="747" t="s">
        <v>267</v>
      </c>
      <c r="P1047" s="773">
        <v>27737</v>
      </c>
      <c r="Q1047" s="747" t="s">
        <v>3906</v>
      </c>
      <c r="R1047" s="747"/>
      <c r="S1047" s="747" t="s">
        <v>6214</v>
      </c>
      <c r="T1047" s="747" t="s">
        <v>147</v>
      </c>
      <c r="U1047" s="696"/>
      <c r="V1047" s="696"/>
      <c r="W1047" s="696"/>
      <c r="X1047" s="696"/>
      <c r="Y1047" s="696"/>
      <c r="Z1047" s="696"/>
      <c r="AA1047" s="696"/>
      <c r="AB1047" s="696" t="s">
        <v>3895</v>
      </c>
      <c r="AC1047" s="696"/>
      <c r="AD1047" s="697"/>
      <c r="AE1047" s="655"/>
    </row>
    <row r="1048" spans="1:31" ht="12" customHeight="1">
      <c r="A1048" s="937" t="s">
        <v>18245</v>
      </c>
      <c r="B1048" s="4" t="s">
        <v>3902</v>
      </c>
      <c r="C1048" s="1" t="s">
        <v>3907</v>
      </c>
      <c r="D1048" s="1">
        <f t="shared" si="16"/>
        <v>53</v>
      </c>
      <c r="E1048" s="2" t="s">
        <v>19</v>
      </c>
      <c r="F1048" s="1" t="s">
        <v>15273</v>
      </c>
      <c r="G1048" s="3" t="s">
        <v>3908</v>
      </c>
      <c r="J1048" s="8" t="s">
        <v>16120</v>
      </c>
      <c r="K1048" s="1" t="s">
        <v>30</v>
      </c>
      <c r="L1048" s="1" t="s">
        <v>25</v>
      </c>
      <c r="M1048" s="16">
        <v>2</v>
      </c>
      <c r="N1048" s="17">
        <v>2</v>
      </c>
      <c r="O1048" s="3" t="s">
        <v>3909</v>
      </c>
      <c r="P1048" s="20">
        <v>21689</v>
      </c>
      <c r="Q1048" s="3" t="s">
        <v>3910</v>
      </c>
      <c r="S1048" s="3" t="s">
        <v>5457</v>
      </c>
      <c r="AD1048" s="698"/>
      <c r="AE1048" s="655"/>
    </row>
    <row r="1049" spans="1:31" ht="12" customHeight="1">
      <c r="A1049" s="937" t="s">
        <v>18219</v>
      </c>
      <c r="B1049" s="4" t="s">
        <v>3903</v>
      </c>
      <c r="C1049" s="1" t="s">
        <v>3914</v>
      </c>
      <c r="D1049" s="1">
        <f t="shared" si="16"/>
        <v>73</v>
      </c>
      <c r="E1049" s="2" t="s">
        <v>5</v>
      </c>
      <c r="F1049" s="1" t="s">
        <v>15273</v>
      </c>
      <c r="G1049" s="3" t="s">
        <v>3915</v>
      </c>
      <c r="J1049" s="4" t="s">
        <v>16116</v>
      </c>
      <c r="K1049" s="1" t="s">
        <v>4993</v>
      </c>
      <c r="L1049" s="1" t="s">
        <v>25</v>
      </c>
      <c r="M1049" s="16">
        <v>10</v>
      </c>
      <c r="N1049" s="17">
        <v>10</v>
      </c>
      <c r="O1049" s="3" t="s">
        <v>3916</v>
      </c>
      <c r="P1049" s="20">
        <v>14460</v>
      </c>
      <c r="Q1049" s="3" t="s">
        <v>3917</v>
      </c>
      <c r="R1049" s="3" t="s">
        <v>5553</v>
      </c>
      <c r="T1049" s="3" t="s">
        <v>3850</v>
      </c>
      <c r="AA1049" s="2" t="s">
        <v>3850</v>
      </c>
      <c r="AD1049" s="698"/>
      <c r="AE1049" s="655"/>
    </row>
    <row r="1050" spans="1:31" ht="12" customHeight="1" thickBot="1">
      <c r="A1050" s="938"/>
      <c r="B1050" s="700" t="s">
        <v>3904</v>
      </c>
      <c r="C1050" s="699" t="s">
        <v>3911</v>
      </c>
      <c r="D1050" s="699">
        <f t="shared" si="16"/>
        <v>67</v>
      </c>
      <c r="E1050" s="702" t="s">
        <v>5</v>
      </c>
      <c r="F1050" s="699"/>
      <c r="G1050" s="703"/>
      <c r="H1050" s="699"/>
      <c r="I1050" s="699"/>
      <c r="J1050" s="700" t="s">
        <v>16117</v>
      </c>
      <c r="K1050" s="699"/>
      <c r="L1050" s="699" t="s">
        <v>6</v>
      </c>
      <c r="M1050" s="705"/>
      <c r="N1050" s="706"/>
      <c r="O1050" s="703" t="s">
        <v>3913</v>
      </c>
      <c r="P1050" s="723">
        <v>16448</v>
      </c>
      <c r="Q1050" s="703" t="s">
        <v>3912</v>
      </c>
      <c r="R1050" s="703"/>
      <c r="S1050" s="703"/>
      <c r="T1050" s="703"/>
      <c r="U1050" s="702"/>
      <c r="V1050" s="702"/>
      <c r="W1050" s="702"/>
      <c r="X1050" s="702"/>
      <c r="Y1050" s="702"/>
      <c r="Z1050" s="702"/>
      <c r="AA1050" s="702"/>
      <c r="AB1050" s="702"/>
      <c r="AC1050" s="702"/>
      <c r="AD1050" s="708"/>
      <c r="AE1050" s="655"/>
    </row>
    <row r="1051" spans="1:31" ht="12" customHeight="1">
      <c r="A1051" s="936" t="s">
        <v>18220</v>
      </c>
      <c r="B1051" s="688" t="s">
        <v>3918</v>
      </c>
      <c r="C1051" s="687" t="s">
        <v>3921</v>
      </c>
      <c r="D1051" s="687">
        <f t="shared" si="16"/>
        <v>40</v>
      </c>
      <c r="E1051" s="696" t="s">
        <v>5</v>
      </c>
      <c r="F1051" s="689" t="s">
        <v>15273</v>
      </c>
      <c r="G1051" s="747" t="s">
        <v>3922</v>
      </c>
      <c r="H1051" s="687"/>
      <c r="I1051" s="687"/>
      <c r="J1051" s="692" t="s">
        <v>16126</v>
      </c>
      <c r="K1051" s="687" t="s">
        <v>44</v>
      </c>
      <c r="L1051" s="687" t="s">
        <v>25</v>
      </c>
      <c r="M1051" s="748">
        <v>2</v>
      </c>
      <c r="N1051" s="749">
        <v>2</v>
      </c>
      <c r="O1051" s="747" t="s">
        <v>3544</v>
      </c>
      <c r="P1051" s="773">
        <v>26447</v>
      </c>
      <c r="Q1051" s="747" t="s">
        <v>3923</v>
      </c>
      <c r="R1051" s="747" t="s">
        <v>3924</v>
      </c>
      <c r="S1051" s="747" t="s">
        <v>6214</v>
      </c>
      <c r="T1051" s="747"/>
      <c r="U1051" s="696"/>
      <c r="V1051" s="696"/>
      <c r="W1051" s="696"/>
      <c r="X1051" s="696"/>
      <c r="Y1051" s="696"/>
      <c r="Z1051" s="696"/>
      <c r="AA1051" s="696"/>
      <c r="AB1051" s="696"/>
      <c r="AC1051" s="696"/>
      <c r="AD1051" s="697"/>
      <c r="AE1051" s="655"/>
    </row>
    <row r="1052" spans="1:31" ht="12" customHeight="1">
      <c r="A1052" s="937" t="s">
        <v>18246</v>
      </c>
      <c r="B1052" s="4" t="s">
        <v>3919</v>
      </c>
      <c r="C1052" s="1" t="s">
        <v>3925</v>
      </c>
      <c r="D1052" s="1">
        <f t="shared" si="16"/>
        <v>38</v>
      </c>
      <c r="E1052" s="2" t="s">
        <v>5</v>
      </c>
      <c r="F1052" s="1" t="s">
        <v>15273</v>
      </c>
      <c r="J1052" s="4" t="s">
        <v>16120</v>
      </c>
      <c r="K1052" s="1" t="s">
        <v>13</v>
      </c>
      <c r="L1052" s="1" t="s">
        <v>14</v>
      </c>
      <c r="M1052" s="16">
        <v>1</v>
      </c>
      <c r="N1052" s="17">
        <v>1</v>
      </c>
      <c r="O1052" s="3" t="s">
        <v>267</v>
      </c>
      <c r="P1052" s="20">
        <v>27065</v>
      </c>
      <c r="Q1052" s="3" t="s">
        <v>3926</v>
      </c>
      <c r="S1052" s="3" t="s">
        <v>5457</v>
      </c>
      <c r="T1052" s="3" t="s">
        <v>3850</v>
      </c>
      <c r="AA1052" s="2" t="s">
        <v>3850</v>
      </c>
      <c r="AD1052" s="698"/>
      <c r="AE1052" s="655"/>
    </row>
    <row r="1053" spans="1:31" ht="12" customHeight="1">
      <c r="A1053" s="937" t="s">
        <v>18223</v>
      </c>
      <c r="B1053" s="4" t="s">
        <v>3920</v>
      </c>
      <c r="C1053" s="1" t="s">
        <v>5056</v>
      </c>
      <c r="D1053" s="1">
        <f t="shared" si="16"/>
        <v>51</v>
      </c>
      <c r="E1053" s="2" t="s">
        <v>5</v>
      </c>
      <c r="F1053" s="1" t="s">
        <v>15273</v>
      </c>
      <c r="J1053" s="4" t="s">
        <v>16116</v>
      </c>
      <c r="K1053" s="1" t="s">
        <v>5031</v>
      </c>
      <c r="L1053" s="1" t="s">
        <v>6</v>
      </c>
      <c r="O1053" s="3" t="s">
        <v>302</v>
      </c>
      <c r="P1053" s="21">
        <v>22277</v>
      </c>
      <c r="Q1053" s="3" t="s">
        <v>5618</v>
      </c>
      <c r="T1053" s="3" t="s">
        <v>4925</v>
      </c>
      <c r="V1053" s="2" t="s">
        <v>4925</v>
      </c>
      <c r="AD1053" s="698"/>
      <c r="AE1053" s="655"/>
    </row>
    <row r="1054" spans="1:31" ht="12" customHeight="1" thickBot="1">
      <c r="A1054" s="938"/>
      <c r="B1054" s="700" t="s">
        <v>5055</v>
      </c>
      <c r="C1054" s="699" t="s">
        <v>16112</v>
      </c>
      <c r="D1054" s="699">
        <f t="shared" si="16"/>
        <v>46</v>
      </c>
      <c r="E1054" s="702" t="s">
        <v>19</v>
      </c>
      <c r="F1054" s="699"/>
      <c r="G1054" s="703"/>
      <c r="H1054" s="699"/>
      <c r="I1054" s="699"/>
      <c r="J1054" s="700" t="s">
        <v>16117</v>
      </c>
      <c r="K1054" s="699"/>
      <c r="L1054" s="699" t="s">
        <v>6</v>
      </c>
      <c r="M1054" s="705"/>
      <c r="N1054" s="706"/>
      <c r="O1054" s="703" t="s">
        <v>3927</v>
      </c>
      <c r="P1054" s="723">
        <v>24242</v>
      </c>
      <c r="Q1054" s="703" t="s">
        <v>3928</v>
      </c>
      <c r="R1054" s="703"/>
      <c r="S1054" s="703"/>
      <c r="T1054" s="703" t="s">
        <v>3842</v>
      </c>
      <c r="U1054" s="702"/>
      <c r="V1054" s="702" t="s">
        <v>3842</v>
      </c>
      <c r="W1054" s="702"/>
      <c r="X1054" s="702"/>
      <c r="Y1054" s="702"/>
      <c r="Z1054" s="702"/>
      <c r="AA1054" s="702"/>
      <c r="AB1054" s="702"/>
      <c r="AC1054" s="702"/>
      <c r="AD1054" s="708"/>
      <c r="AE1054" s="655"/>
    </row>
    <row r="1055" spans="1:31" ht="12" customHeight="1">
      <c r="A1055" s="936" t="s">
        <v>18245</v>
      </c>
      <c r="B1055" s="688" t="s">
        <v>3929</v>
      </c>
      <c r="C1055" s="687" t="s">
        <v>3932</v>
      </c>
      <c r="D1055" s="687">
        <f t="shared" si="16"/>
        <v>46</v>
      </c>
      <c r="E1055" s="696" t="s">
        <v>5</v>
      </c>
      <c r="F1055" s="689" t="s">
        <v>15273</v>
      </c>
      <c r="G1055" s="747" t="s">
        <v>3933</v>
      </c>
      <c r="H1055" s="687"/>
      <c r="I1055" s="687"/>
      <c r="J1055" s="692" t="s">
        <v>16127</v>
      </c>
      <c r="K1055" s="687" t="s">
        <v>44</v>
      </c>
      <c r="L1055" s="687" t="s">
        <v>25</v>
      </c>
      <c r="M1055" s="748">
        <v>1</v>
      </c>
      <c r="N1055" s="749">
        <v>1</v>
      </c>
      <c r="O1055" s="747" t="s">
        <v>31</v>
      </c>
      <c r="P1055" s="773">
        <v>24333</v>
      </c>
      <c r="Q1055" s="747" t="s">
        <v>3934</v>
      </c>
      <c r="R1055" s="747"/>
      <c r="S1055" s="747" t="s">
        <v>6214</v>
      </c>
      <c r="T1055" s="747"/>
      <c r="U1055" s="696"/>
      <c r="V1055" s="696"/>
      <c r="W1055" s="696"/>
      <c r="X1055" s="696"/>
      <c r="Y1055" s="696"/>
      <c r="Z1055" s="696"/>
      <c r="AA1055" s="696"/>
      <c r="AB1055" s="696"/>
      <c r="AC1055" s="696"/>
      <c r="AD1055" s="697"/>
      <c r="AE1055" s="655"/>
    </row>
    <row r="1056" spans="1:31" ht="12" customHeight="1">
      <c r="A1056" s="937" t="s">
        <v>18219</v>
      </c>
      <c r="B1056" s="4" t="s">
        <v>3930</v>
      </c>
      <c r="C1056" s="1" t="s">
        <v>4095</v>
      </c>
      <c r="D1056" s="1">
        <f t="shared" si="16"/>
        <v>57</v>
      </c>
      <c r="E1056" s="2" t="s">
        <v>5</v>
      </c>
      <c r="F1056" s="1" t="s">
        <v>15273</v>
      </c>
      <c r="G1056" s="3" t="s">
        <v>4654</v>
      </c>
      <c r="J1056" s="4" t="s">
        <v>16120</v>
      </c>
      <c r="K1056" s="1" t="s">
        <v>13</v>
      </c>
      <c r="L1056" s="1" t="s">
        <v>25</v>
      </c>
      <c r="M1056" s="16">
        <v>3</v>
      </c>
      <c r="N1056" s="17">
        <v>3</v>
      </c>
      <c r="O1056" s="3" t="s">
        <v>317</v>
      </c>
      <c r="P1056" s="20">
        <v>20415</v>
      </c>
      <c r="Q1056" s="3" t="s">
        <v>4097</v>
      </c>
      <c r="R1056" s="3" t="s">
        <v>4655</v>
      </c>
      <c r="S1056" s="3" t="s">
        <v>5457</v>
      </c>
      <c r="T1056" s="3" t="s">
        <v>4656</v>
      </c>
      <c r="U1056" s="2" t="s">
        <v>47</v>
      </c>
      <c r="AA1056" s="2" t="s">
        <v>4657</v>
      </c>
      <c r="AD1056" s="698"/>
      <c r="AE1056" s="655"/>
    </row>
    <row r="1057" spans="1:31" ht="12" customHeight="1" thickBot="1">
      <c r="A1057" s="938"/>
      <c r="B1057" s="700" t="s">
        <v>3931</v>
      </c>
      <c r="C1057" s="699" t="s">
        <v>3935</v>
      </c>
      <c r="D1057" s="699">
        <f t="shared" si="16"/>
        <v>41</v>
      </c>
      <c r="E1057" s="702" t="s">
        <v>5</v>
      </c>
      <c r="F1057" s="699"/>
      <c r="G1057" s="703"/>
      <c r="H1057" s="699"/>
      <c r="I1057" s="699"/>
      <c r="J1057" s="700" t="s">
        <v>16117</v>
      </c>
      <c r="K1057" s="699"/>
      <c r="L1057" s="699" t="s">
        <v>6</v>
      </c>
      <c r="M1057" s="705"/>
      <c r="N1057" s="706"/>
      <c r="O1057" s="703" t="s">
        <v>3937</v>
      </c>
      <c r="P1057" s="723">
        <v>26121</v>
      </c>
      <c r="Q1057" s="703" t="s">
        <v>3936</v>
      </c>
      <c r="R1057" s="703"/>
      <c r="S1057" s="703"/>
      <c r="T1057" s="703"/>
      <c r="U1057" s="702"/>
      <c r="V1057" s="702"/>
      <c r="W1057" s="702"/>
      <c r="X1057" s="702"/>
      <c r="Y1057" s="702"/>
      <c r="Z1057" s="702"/>
      <c r="AA1057" s="702"/>
      <c r="AB1057" s="702"/>
      <c r="AC1057" s="702"/>
      <c r="AD1057" s="708"/>
      <c r="AE1057" s="655"/>
    </row>
    <row r="1058" spans="1:31" ht="12" customHeight="1">
      <c r="A1058" s="936" t="s">
        <v>18223</v>
      </c>
      <c r="B1058" s="688" t="s">
        <v>3938</v>
      </c>
      <c r="C1058" s="687" t="s">
        <v>5602</v>
      </c>
      <c r="D1058" s="687">
        <f t="shared" si="16"/>
        <v>49</v>
      </c>
      <c r="E1058" s="696" t="s">
        <v>5</v>
      </c>
      <c r="F1058" s="689" t="s">
        <v>15273</v>
      </c>
      <c r="G1058" s="747"/>
      <c r="H1058" s="687"/>
      <c r="I1058" s="687"/>
      <c r="J1058" s="692" t="s">
        <v>16127</v>
      </c>
      <c r="K1058" s="687" t="s">
        <v>44</v>
      </c>
      <c r="L1058" s="687" t="s">
        <v>6</v>
      </c>
      <c r="M1058" s="748"/>
      <c r="N1058" s="749"/>
      <c r="O1058" s="747" t="s">
        <v>5603</v>
      </c>
      <c r="P1058" s="719">
        <v>23153</v>
      </c>
      <c r="Q1058" s="747" t="s">
        <v>5838</v>
      </c>
      <c r="R1058" s="747"/>
      <c r="S1058" s="747"/>
      <c r="T1058" s="747" t="s">
        <v>5583</v>
      </c>
      <c r="U1058" s="696"/>
      <c r="V1058" s="696"/>
      <c r="W1058" s="696"/>
      <c r="X1058" s="696"/>
      <c r="Y1058" s="696" t="s">
        <v>5583</v>
      </c>
      <c r="Z1058" s="696"/>
      <c r="AA1058" s="696"/>
      <c r="AB1058" s="696"/>
      <c r="AC1058" s="696"/>
      <c r="AD1058" s="697"/>
      <c r="AE1058" s="655"/>
    </row>
    <row r="1059" spans="1:31" ht="12" customHeight="1">
      <c r="A1059" s="937" t="s">
        <v>18219</v>
      </c>
      <c r="B1059" s="4" t="s">
        <v>3939</v>
      </c>
      <c r="C1059" s="1" t="s">
        <v>3942</v>
      </c>
      <c r="D1059" s="1">
        <f t="shared" si="16"/>
        <v>55</v>
      </c>
      <c r="E1059" s="2" t="s">
        <v>5</v>
      </c>
      <c r="F1059" s="1" t="s">
        <v>15273</v>
      </c>
      <c r="G1059" s="3" t="s">
        <v>3943</v>
      </c>
      <c r="J1059" s="8" t="s">
        <v>16120</v>
      </c>
      <c r="K1059" s="1" t="s">
        <v>476</v>
      </c>
      <c r="L1059" s="1" t="s">
        <v>25</v>
      </c>
      <c r="M1059" s="16">
        <v>6</v>
      </c>
      <c r="N1059" s="17">
        <v>6</v>
      </c>
      <c r="O1059" s="3" t="s">
        <v>188</v>
      </c>
      <c r="P1059" s="20">
        <v>21030</v>
      </c>
      <c r="Q1059" s="3" t="s">
        <v>3944</v>
      </c>
      <c r="R1059" s="3" t="s">
        <v>3945</v>
      </c>
      <c r="S1059" s="3" t="s">
        <v>5457</v>
      </c>
      <c r="T1059" s="3" t="s">
        <v>3850</v>
      </c>
      <c r="AA1059" s="2" t="s">
        <v>3850</v>
      </c>
      <c r="AD1059" s="698"/>
      <c r="AE1059" s="655"/>
    </row>
    <row r="1060" spans="1:31" ht="12" customHeight="1">
      <c r="A1060" s="937" t="s">
        <v>18245</v>
      </c>
      <c r="B1060" s="4" t="s">
        <v>3940</v>
      </c>
      <c r="C1060" s="1" t="s">
        <v>3946</v>
      </c>
      <c r="D1060" s="1">
        <f t="shared" si="16"/>
        <v>44</v>
      </c>
      <c r="E1060" s="2" t="s">
        <v>5</v>
      </c>
      <c r="F1060" s="1" t="s">
        <v>15273</v>
      </c>
      <c r="G1060" s="3" t="s">
        <v>3947</v>
      </c>
      <c r="J1060" s="4" t="s">
        <v>16125</v>
      </c>
      <c r="L1060" s="1" t="s">
        <v>25</v>
      </c>
      <c r="M1060" s="16">
        <v>1</v>
      </c>
      <c r="N1060" s="17">
        <v>1</v>
      </c>
      <c r="O1060" s="3" t="s">
        <v>3948</v>
      </c>
      <c r="P1060" s="20">
        <v>25130</v>
      </c>
      <c r="Q1060" s="3" t="s">
        <v>3949</v>
      </c>
      <c r="S1060" s="3" t="s">
        <v>16093</v>
      </c>
      <c r="T1060" s="3" t="s">
        <v>3850</v>
      </c>
      <c r="AA1060" s="2" t="s">
        <v>3850</v>
      </c>
      <c r="AD1060" s="698"/>
      <c r="AE1060" s="655"/>
    </row>
    <row r="1061" spans="1:31" ht="12" customHeight="1" thickBot="1">
      <c r="A1061" s="938"/>
      <c r="B1061" s="700" t="s">
        <v>3941</v>
      </c>
      <c r="C1061" s="699" t="s">
        <v>3950</v>
      </c>
      <c r="D1061" s="699">
        <f t="shared" si="16"/>
        <v>46</v>
      </c>
      <c r="E1061" s="702" t="s">
        <v>5</v>
      </c>
      <c r="F1061" s="699"/>
      <c r="G1061" s="703"/>
      <c r="H1061" s="699"/>
      <c r="I1061" s="699"/>
      <c r="J1061" s="700" t="s">
        <v>16117</v>
      </c>
      <c r="K1061" s="699"/>
      <c r="L1061" s="699" t="s">
        <v>6</v>
      </c>
      <c r="M1061" s="705"/>
      <c r="N1061" s="706"/>
      <c r="O1061" s="703" t="s">
        <v>3951</v>
      </c>
      <c r="P1061" s="707">
        <v>24146</v>
      </c>
      <c r="Q1061" s="703" t="s">
        <v>3952</v>
      </c>
      <c r="R1061" s="703"/>
      <c r="S1061" s="703"/>
      <c r="T1061" s="703"/>
      <c r="U1061" s="702"/>
      <c r="V1061" s="702"/>
      <c r="W1061" s="702"/>
      <c r="X1061" s="702"/>
      <c r="Y1061" s="702"/>
      <c r="Z1061" s="702"/>
      <c r="AA1061" s="702"/>
      <c r="AB1061" s="702"/>
      <c r="AC1061" s="702"/>
      <c r="AD1061" s="708"/>
      <c r="AE1061" s="655"/>
    </row>
    <row r="1062" spans="1:31" ht="12" customHeight="1">
      <c r="A1062" s="936" t="s">
        <v>18246</v>
      </c>
      <c r="B1062" s="688" t="s">
        <v>3953</v>
      </c>
      <c r="C1062" s="687" t="s">
        <v>3956</v>
      </c>
      <c r="D1062" s="687">
        <f t="shared" si="16"/>
        <v>41</v>
      </c>
      <c r="E1062" s="696" t="s">
        <v>5</v>
      </c>
      <c r="F1062" s="689" t="s">
        <v>15273</v>
      </c>
      <c r="G1062" s="747" t="s">
        <v>3957</v>
      </c>
      <c r="H1062" s="687"/>
      <c r="I1062" s="687"/>
      <c r="J1062" s="692" t="s">
        <v>16126</v>
      </c>
      <c r="K1062" s="687" t="s">
        <v>44</v>
      </c>
      <c r="L1062" s="687" t="s">
        <v>25</v>
      </c>
      <c r="M1062" s="748">
        <v>3</v>
      </c>
      <c r="N1062" s="749">
        <v>3</v>
      </c>
      <c r="O1062" s="747" t="s">
        <v>3846</v>
      </c>
      <c r="P1062" s="773">
        <v>26150</v>
      </c>
      <c r="Q1062" s="747" t="s">
        <v>16673</v>
      </c>
      <c r="R1062" s="747" t="s">
        <v>3958</v>
      </c>
      <c r="S1062" s="747" t="s">
        <v>6214</v>
      </c>
      <c r="T1062" s="747" t="s">
        <v>3877</v>
      </c>
      <c r="U1062" s="696"/>
      <c r="V1062" s="696"/>
      <c r="W1062" s="696"/>
      <c r="X1062" s="696"/>
      <c r="Y1062" s="696"/>
      <c r="Z1062" s="696"/>
      <c r="AA1062" s="696"/>
      <c r="AB1062" s="696"/>
      <c r="AC1062" s="696" t="s">
        <v>3877</v>
      </c>
      <c r="AD1062" s="697"/>
      <c r="AE1062" s="655"/>
    </row>
    <row r="1063" spans="1:31" ht="12" customHeight="1">
      <c r="A1063" s="937" t="s">
        <v>18220</v>
      </c>
      <c r="B1063" s="4" t="s">
        <v>3954</v>
      </c>
      <c r="C1063" s="1" t="s">
        <v>3959</v>
      </c>
      <c r="D1063" s="1">
        <f t="shared" si="16"/>
        <v>64</v>
      </c>
      <c r="E1063" s="2" t="s">
        <v>5</v>
      </c>
      <c r="F1063" s="1" t="s">
        <v>15273</v>
      </c>
      <c r="J1063" s="4" t="s">
        <v>16120</v>
      </c>
      <c r="K1063" s="1" t="s">
        <v>13</v>
      </c>
      <c r="L1063" s="1" t="s">
        <v>14</v>
      </c>
      <c r="M1063" s="16">
        <v>1</v>
      </c>
      <c r="N1063" s="17">
        <v>1</v>
      </c>
      <c r="O1063" s="3" t="s">
        <v>3846</v>
      </c>
      <c r="P1063" s="20">
        <v>17746</v>
      </c>
      <c r="Q1063" s="3" t="s">
        <v>3960</v>
      </c>
      <c r="S1063" s="3" t="s">
        <v>5457</v>
      </c>
      <c r="T1063" s="3" t="s">
        <v>3849</v>
      </c>
      <c r="U1063" s="2" t="s">
        <v>47</v>
      </c>
      <c r="AD1063" s="698"/>
      <c r="AE1063" s="655"/>
    </row>
    <row r="1064" spans="1:31" ht="12" customHeight="1">
      <c r="A1064" s="937" t="s">
        <v>18223</v>
      </c>
      <c r="B1064" s="4" t="s">
        <v>3955</v>
      </c>
      <c r="C1064" s="1" t="s">
        <v>5861</v>
      </c>
      <c r="D1064" s="1">
        <f t="shared" si="16"/>
        <v>43</v>
      </c>
      <c r="E1064" s="2" t="s">
        <v>5</v>
      </c>
      <c r="F1064" s="1" t="s">
        <v>15273</v>
      </c>
      <c r="J1064" s="4" t="s">
        <v>16116</v>
      </c>
      <c r="K1064" s="1" t="s">
        <v>5858</v>
      </c>
      <c r="L1064" s="1" t="s">
        <v>6</v>
      </c>
      <c r="O1064" s="3" t="s">
        <v>349</v>
      </c>
      <c r="P1064" s="20">
        <v>25192</v>
      </c>
      <c r="Q1064" s="3" t="s">
        <v>5974</v>
      </c>
      <c r="S1064" s="3" t="s">
        <v>5948</v>
      </c>
      <c r="AD1064" s="698"/>
      <c r="AE1064" s="655"/>
    </row>
    <row r="1065" spans="1:31" ht="12" customHeight="1" thickBot="1">
      <c r="A1065" s="938"/>
      <c r="B1065" s="700" t="s">
        <v>5860</v>
      </c>
      <c r="C1065" s="699" t="s">
        <v>3961</v>
      </c>
      <c r="D1065" s="699">
        <f t="shared" si="16"/>
        <v>60</v>
      </c>
      <c r="E1065" s="702" t="s">
        <v>5</v>
      </c>
      <c r="F1065" s="699"/>
      <c r="G1065" s="703"/>
      <c r="H1065" s="699"/>
      <c r="I1065" s="699"/>
      <c r="J1065" s="700" t="s">
        <v>16117</v>
      </c>
      <c r="K1065" s="699"/>
      <c r="L1065" s="699" t="s">
        <v>6</v>
      </c>
      <c r="M1065" s="705"/>
      <c r="N1065" s="706"/>
      <c r="O1065" s="703" t="s">
        <v>3962</v>
      </c>
      <c r="P1065" s="723">
        <v>19207</v>
      </c>
      <c r="Q1065" s="703" t="s">
        <v>3963</v>
      </c>
      <c r="R1065" s="703"/>
      <c r="S1065" s="703"/>
      <c r="T1065" s="703" t="s">
        <v>3842</v>
      </c>
      <c r="U1065" s="702"/>
      <c r="V1065" s="702" t="s">
        <v>145</v>
      </c>
      <c r="W1065" s="702"/>
      <c r="X1065" s="702"/>
      <c r="Y1065" s="702"/>
      <c r="Z1065" s="702"/>
      <c r="AA1065" s="702"/>
      <c r="AB1065" s="702"/>
      <c r="AC1065" s="702"/>
      <c r="AD1065" s="708"/>
      <c r="AE1065" s="655"/>
    </row>
    <row r="1066" spans="1:31" ht="12" customHeight="1">
      <c r="A1066" s="936" t="s">
        <v>18245</v>
      </c>
      <c r="B1066" s="688" t="s">
        <v>3964</v>
      </c>
      <c r="C1066" s="687" t="s">
        <v>3967</v>
      </c>
      <c r="D1066" s="687">
        <f t="shared" si="16"/>
        <v>42</v>
      </c>
      <c r="E1066" s="696" t="s">
        <v>5</v>
      </c>
      <c r="F1066" s="689" t="s">
        <v>15273</v>
      </c>
      <c r="G1066" s="747" t="s">
        <v>3968</v>
      </c>
      <c r="H1066" s="687"/>
      <c r="I1066" s="687"/>
      <c r="J1066" s="692" t="s">
        <v>16127</v>
      </c>
      <c r="K1066" s="687" t="s">
        <v>44</v>
      </c>
      <c r="L1066" s="687" t="s">
        <v>25</v>
      </c>
      <c r="M1066" s="748">
        <v>1</v>
      </c>
      <c r="N1066" s="749">
        <v>1</v>
      </c>
      <c r="O1066" s="747" t="s">
        <v>3969</v>
      </c>
      <c r="P1066" s="773">
        <v>25771</v>
      </c>
      <c r="Q1066" s="747" t="s">
        <v>3970</v>
      </c>
      <c r="R1066" s="747"/>
      <c r="S1066" s="747"/>
      <c r="T1066" s="747" t="s">
        <v>3849</v>
      </c>
      <c r="U1066" s="696" t="s">
        <v>47</v>
      </c>
      <c r="V1066" s="696"/>
      <c r="W1066" s="696"/>
      <c r="X1066" s="696"/>
      <c r="Y1066" s="696"/>
      <c r="Z1066" s="696"/>
      <c r="AA1066" s="696"/>
      <c r="AB1066" s="696"/>
      <c r="AC1066" s="696"/>
      <c r="AD1066" s="697"/>
      <c r="AE1066" s="655"/>
    </row>
    <row r="1067" spans="1:31" ht="12" customHeight="1">
      <c r="A1067" s="937" t="s">
        <v>18219</v>
      </c>
      <c r="B1067" s="4" t="s">
        <v>3965</v>
      </c>
      <c r="C1067" s="1" t="s">
        <v>3971</v>
      </c>
      <c r="D1067" s="1">
        <f t="shared" si="16"/>
        <v>49</v>
      </c>
      <c r="E1067" s="2" t="s">
        <v>5</v>
      </c>
      <c r="F1067" s="1" t="s">
        <v>15273</v>
      </c>
      <c r="G1067" s="3" t="s">
        <v>3972</v>
      </c>
      <c r="J1067" s="4" t="s">
        <v>16120</v>
      </c>
      <c r="K1067" s="1" t="s">
        <v>30</v>
      </c>
      <c r="L1067" s="1" t="s">
        <v>25</v>
      </c>
      <c r="M1067" s="16">
        <v>4</v>
      </c>
      <c r="N1067" s="17">
        <v>4</v>
      </c>
      <c r="O1067" s="3" t="s">
        <v>31</v>
      </c>
      <c r="P1067" s="20">
        <v>23081</v>
      </c>
      <c r="Q1067" s="3" t="s">
        <v>16674</v>
      </c>
      <c r="R1067" s="3" t="s">
        <v>3973</v>
      </c>
      <c r="S1067" s="3" t="s">
        <v>5457</v>
      </c>
      <c r="T1067" s="3" t="s">
        <v>635</v>
      </c>
      <c r="V1067" s="2" t="s">
        <v>145</v>
      </c>
      <c r="AC1067" s="2" t="s">
        <v>3877</v>
      </c>
      <c r="AD1067" s="698"/>
      <c r="AE1067" s="655"/>
    </row>
    <row r="1068" spans="1:31" ht="12" customHeight="1">
      <c r="A1068" s="937" t="s">
        <v>18223</v>
      </c>
      <c r="B1068" s="4" t="s">
        <v>3966</v>
      </c>
      <c r="C1068" s="1" t="s">
        <v>5233</v>
      </c>
      <c r="D1068" s="1">
        <f t="shared" si="16"/>
        <v>49</v>
      </c>
      <c r="E1068" s="2" t="s">
        <v>5</v>
      </c>
      <c r="F1068" s="1" t="s">
        <v>15273</v>
      </c>
      <c r="J1068" s="4" t="s">
        <v>16116</v>
      </c>
      <c r="K1068" s="1" t="s">
        <v>4993</v>
      </c>
      <c r="L1068" s="1" t="s">
        <v>6</v>
      </c>
      <c r="O1068" s="3" t="s">
        <v>6151</v>
      </c>
      <c r="P1068" s="21">
        <v>23332</v>
      </c>
      <c r="Q1068" s="3" t="s">
        <v>5232</v>
      </c>
      <c r="AD1068" s="698"/>
      <c r="AE1068" s="655"/>
    </row>
    <row r="1069" spans="1:31" ht="12" customHeight="1" thickBot="1">
      <c r="A1069" s="938"/>
      <c r="B1069" s="700" t="s">
        <v>5231</v>
      </c>
      <c r="C1069" s="699" t="s">
        <v>3974</v>
      </c>
      <c r="D1069" s="699">
        <f t="shared" si="16"/>
        <v>59</v>
      </c>
      <c r="E1069" s="702" t="s">
        <v>19</v>
      </c>
      <c r="F1069" s="699"/>
      <c r="G1069" s="703"/>
      <c r="H1069" s="699"/>
      <c r="I1069" s="699"/>
      <c r="J1069" s="700" t="s">
        <v>16117</v>
      </c>
      <c r="K1069" s="699"/>
      <c r="L1069" s="699" t="s">
        <v>6</v>
      </c>
      <c r="M1069" s="705"/>
      <c r="N1069" s="706"/>
      <c r="O1069" s="703" t="s">
        <v>597</v>
      </c>
      <c r="P1069" s="723">
        <v>19528</v>
      </c>
      <c r="Q1069" s="703" t="s">
        <v>3975</v>
      </c>
      <c r="R1069" s="703"/>
      <c r="S1069" s="703"/>
      <c r="T1069" s="703" t="s">
        <v>3842</v>
      </c>
      <c r="U1069" s="702"/>
      <c r="V1069" s="702" t="s">
        <v>145</v>
      </c>
      <c r="W1069" s="702"/>
      <c r="X1069" s="702"/>
      <c r="Y1069" s="702"/>
      <c r="Z1069" s="702"/>
      <c r="AA1069" s="702"/>
      <c r="AB1069" s="702"/>
      <c r="AC1069" s="702"/>
      <c r="AD1069" s="708"/>
      <c r="AE1069" s="655"/>
    </row>
    <row r="1070" spans="1:31" ht="12" customHeight="1">
      <c r="A1070" s="936" t="s">
        <v>18245</v>
      </c>
      <c r="B1070" s="688" t="s">
        <v>3976</v>
      </c>
      <c r="C1070" s="687" t="s">
        <v>3979</v>
      </c>
      <c r="D1070" s="687">
        <f t="shared" si="16"/>
        <v>48</v>
      </c>
      <c r="E1070" s="696" t="s">
        <v>5</v>
      </c>
      <c r="F1070" s="689" t="s">
        <v>15273</v>
      </c>
      <c r="G1070" s="747" t="s">
        <v>3980</v>
      </c>
      <c r="H1070" s="687"/>
      <c r="I1070" s="687"/>
      <c r="J1070" s="692" t="s">
        <v>16127</v>
      </c>
      <c r="K1070" s="687" t="s">
        <v>3981</v>
      </c>
      <c r="L1070" s="687" t="s">
        <v>25</v>
      </c>
      <c r="M1070" s="748">
        <v>1</v>
      </c>
      <c r="N1070" s="749">
        <v>1</v>
      </c>
      <c r="O1070" s="747" t="s">
        <v>3982</v>
      </c>
      <c r="P1070" s="773">
        <v>23447</v>
      </c>
      <c r="Q1070" s="747" t="s">
        <v>3983</v>
      </c>
      <c r="R1070" s="747"/>
      <c r="S1070" s="747" t="s">
        <v>6214</v>
      </c>
      <c r="T1070" s="747"/>
      <c r="U1070" s="696"/>
      <c r="V1070" s="696"/>
      <c r="W1070" s="696"/>
      <c r="X1070" s="696"/>
      <c r="Y1070" s="696"/>
      <c r="Z1070" s="696"/>
      <c r="AA1070" s="696"/>
      <c r="AB1070" s="696"/>
      <c r="AC1070" s="696"/>
      <c r="AD1070" s="697"/>
      <c r="AE1070" s="655"/>
    </row>
    <row r="1071" spans="1:31" ht="12" customHeight="1">
      <c r="A1071" s="937" t="s">
        <v>18219</v>
      </c>
      <c r="B1071" s="4" t="s">
        <v>3977</v>
      </c>
      <c r="C1071" s="1" t="s">
        <v>3984</v>
      </c>
      <c r="D1071" s="1">
        <f t="shared" si="16"/>
        <v>42</v>
      </c>
      <c r="E1071" s="2" t="s">
        <v>5</v>
      </c>
      <c r="F1071" s="1" t="s">
        <v>15273</v>
      </c>
      <c r="J1071" s="8" t="s">
        <v>16120</v>
      </c>
      <c r="K1071" s="1" t="s">
        <v>30</v>
      </c>
      <c r="L1071" s="1" t="s">
        <v>6</v>
      </c>
      <c r="O1071" s="3" t="s">
        <v>3948</v>
      </c>
      <c r="P1071" s="20">
        <v>25683</v>
      </c>
      <c r="Q1071" s="3" t="s">
        <v>3985</v>
      </c>
      <c r="S1071" s="3" t="s">
        <v>15615</v>
      </c>
      <c r="T1071" s="3" t="s">
        <v>3862</v>
      </c>
      <c r="Y1071" s="2" t="s">
        <v>3863</v>
      </c>
      <c r="AA1071" s="2" t="s">
        <v>3850</v>
      </c>
      <c r="AD1071" s="698"/>
      <c r="AE1071" s="655"/>
    </row>
    <row r="1072" spans="1:31" ht="12" customHeight="1" thickBot="1">
      <c r="A1072" s="938"/>
      <c r="B1072" s="700" t="s">
        <v>3978</v>
      </c>
      <c r="C1072" s="699" t="s">
        <v>3987</v>
      </c>
      <c r="D1072" s="699">
        <f t="shared" si="16"/>
        <v>50</v>
      </c>
      <c r="E1072" s="702" t="s">
        <v>5</v>
      </c>
      <c r="F1072" s="699"/>
      <c r="G1072" s="703"/>
      <c r="H1072" s="699"/>
      <c r="I1072" s="699"/>
      <c r="J1072" s="700" t="s">
        <v>16117</v>
      </c>
      <c r="K1072" s="699"/>
      <c r="L1072" s="699" t="s">
        <v>6</v>
      </c>
      <c r="M1072" s="705"/>
      <c r="N1072" s="706"/>
      <c r="O1072" s="703" t="s">
        <v>3988</v>
      </c>
      <c r="P1072" s="707">
        <v>22975</v>
      </c>
      <c r="Q1072" s="703" t="s">
        <v>3989</v>
      </c>
      <c r="R1072" s="703"/>
      <c r="S1072" s="703"/>
      <c r="T1072" s="703"/>
      <c r="U1072" s="702"/>
      <c r="V1072" s="702"/>
      <c r="W1072" s="702"/>
      <c r="X1072" s="702"/>
      <c r="Y1072" s="702"/>
      <c r="Z1072" s="702"/>
      <c r="AA1072" s="702"/>
      <c r="AB1072" s="702"/>
      <c r="AC1072" s="702"/>
      <c r="AD1072" s="708"/>
      <c r="AE1072" s="655"/>
    </row>
    <row r="1073" spans="1:31" ht="12" customHeight="1">
      <c r="A1073" s="936" t="s">
        <v>18245</v>
      </c>
      <c r="B1073" s="688" t="s">
        <v>3990</v>
      </c>
      <c r="C1073" s="687" t="s">
        <v>4000</v>
      </c>
      <c r="D1073" s="687">
        <f t="shared" si="16"/>
        <v>53</v>
      </c>
      <c r="E1073" s="696" t="s">
        <v>5</v>
      </c>
      <c r="F1073" s="689" t="s">
        <v>15273</v>
      </c>
      <c r="G1073" s="747" t="s">
        <v>4001</v>
      </c>
      <c r="H1073" s="687"/>
      <c r="I1073" s="687"/>
      <c r="J1073" s="692" t="s">
        <v>16126</v>
      </c>
      <c r="K1073" s="687" t="s">
        <v>44</v>
      </c>
      <c r="L1073" s="687" t="s">
        <v>25</v>
      </c>
      <c r="M1073" s="748">
        <v>2</v>
      </c>
      <c r="N1073" s="749">
        <v>2</v>
      </c>
      <c r="O1073" s="747" t="s">
        <v>4002</v>
      </c>
      <c r="P1073" s="773">
        <v>21717</v>
      </c>
      <c r="Q1073" s="747" t="s">
        <v>4003</v>
      </c>
      <c r="R1073" s="747" t="s">
        <v>4004</v>
      </c>
      <c r="S1073" s="747" t="s">
        <v>6214</v>
      </c>
      <c r="T1073" s="747" t="s">
        <v>3877</v>
      </c>
      <c r="U1073" s="696"/>
      <c r="V1073" s="696"/>
      <c r="W1073" s="696"/>
      <c r="X1073" s="696"/>
      <c r="Y1073" s="696"/>
      <c r="Z1073" s="696"/>
      <c r="AA1073" s="696"/>
      <c r="AB1073" s="696"/>
      <c r="AC1073" s="696" t="s">
        <v>3877</v>
      </c>
      <c r="AD1073" s="697"/>
      <c r="AE1073" s="655"/>
    </row>
    <row r="1074" spans="1:31" ht="12" customHeight="1">
      <c r="A1074" s="937" t="s">
        <v>18219</v>
      </c>
      <c r="B1074" s="4" t="s">
        <v>3991</v>
      </c>
      <c r="C1074" s="1" t="s">
        <v>4005</v>
      </c>
      <c r="D1074" s="1">
        <f t="shared" si="16"/>
        <v>54</v>
      </c>
      <c r="E1074" s="2" t="s">
        <v>5</v>
      </c>
      <c r="F1074" s="1" t="s">
        <v>15273</v>
      </c>
      <c r="J1074" s="4" t="s">
        <v>16120</v>
      </c>
      <c r="K1074" s="1" t="s">
        <v>476</v>
      </c>
      <c r="L1074" s="1" t="s">
        <v>14</v>
      </c>
      <c r="M1074" s="16">
        <v>2</v>
      </c>
      <c r="N1074" s="17">
        <v>2</v>
      </c>
      <c r="O1074" s="3" t="s">
        <v>255</v>
      </c>
      <c r="P1074" s="20">
        <v>21209</v>
      </c>
      <c r="Q1074" s="3" t="s">
        <v>4006</v>
      </c>
      <c r="R1074" s="3" t="s">
        <v>4007</v>
      </c>
      <c r="S1074" s="3" t="s">
        <v>5457</v>
      </c>
      <c r="T1074" s="3" t="s">
        <v>3848</v>
      </c>
      <c r="U1074" s="2" t="s">
        <v>47</v>
      </c>
      <c r="AA1074" s="2" t="s">
        <v>3850</v>
      </c>
      <c r="AD1074" s="698"/>
      <c r="AE1074" s="655"/>
    </row>
    <row r="1075" spans="1:31" ht="12" customHeight="1" thickBot="1">
      <c r="A1075" s="938"/>
      <c r="B1075" s="700" t="s">
        <v>3992</v>
      </c>
      <c r="C1075" s="699" t="s">
        <v>4008</v>
      </c>
      <c r="D1075" s="699">
        <f t="shared" si="16"/>
        <v>60</v>
      </c>
      <c r="E1075" s="702" t="s">
        <v>5</v>
      </c>
      <c r="F1075" s="699"/>
      <c r="G1075" s="703"/>
      <c r="H1075" s="699"/>
      <c r="I1075" s="699"/>
      <c r="J1075" s="700" t="s">
        <v>16117</v>
      </c>
      <c r="K1075" s="699"/>
      <c r="L1075" s="699" t="s">
        <v>6</v>
      </c>
      <c r="M1075" s="705"/>
      <c r="N1075" s="706"/>
      <c r="O1075" s="703" t="s">
        <v>4009</v>
      </c>
      <c r="P1075" s="723">
        <v>19306</v>
      </c>
      <c r="Q1075" s="703" t="s">
        <v>4010</v>
      </c>
      <c r="R1075" s="703"/>
      <c r="S1075" s="703"/>
      <c r="T1075" s="703" t="s">
        <v>3842</v>
      </c>
      <c r="U1075" s="702"/>
      <c r="V1075" s="702" t="s">
        <v>145</v>
      </c>
      <c r="W1075" s="702"/>
      <c r="X1075" s="702"/>
      <c r="Y1075" s="702"/>
      <c r="Z1075" s="702"/>
      <c r="AA1075" s="702"/>
      <c r="AB1075" s="702"/>
      <c r="AC1075" s="702"/>
      <c r="AD1075" s="708"/>
      <c r="AE1075" s="655"/>
    </row>
    <row r="1076" spans="1:31" ht="12" customHeight="1">
      <c r="A1076" s="936" t="s">
        <v>18246</v>
      </c>
      <c r="B1076" s="688" t="s">
        <v>4011</v>
      </c>
      <c r="C1076" s="687" t="s">
        <v>4014</v>
      </c>
      <c r="D1076" s="687">
        <f t="shared" si="16"/>
        <v>62</v>
      </c>
      <c r="E1076" s="696" t="s">
        <v>5</v>
      </c>
      <c r="F1076" s="687" t="s">
        <v>15273</v>
      </c>
      <c r="G1076" s="747"/>
      <c r="H1076" s="687"/>
      <c r="I1076" s="687"/>
      <c r="J1076" s="688" t="s">
        <v>16120</v>
      </c>
      <c r="K1076" s="687" t="s">
        <v>476</v>
      </c>
      <c r="L1076" s="687" t="s">
        <v>6</v>
      </c>
      <c r="M1076" s="748"/>
      <c r="N1076" s="749"/>
      <c r="O1076" s="747" t="s">
        <v>1879</v>
      </c>
      <c r="P1076" s="773">
        <v>18513</v>
      </c>
      <c r="Q1076" s="747" t="s">
        <v>4015</v>
      </c>
      <c r="R1076" s="747"/>
      <c r="S1076" s="747"/>
      <c r="T1076" s="747" t="s">
        <v>3842</v>
      </c>
      <c r="U1076" s="696"/>
      <c r="V1076" s="696" t="s">
        <v>3842</v>
      </c>
      <c r="W1076" s="696"/>
      <c r="X1076" s="696"/>
      <c r="Y1076" s="696"/>
      <c r="Z1076" s="696"/>
      <c r="AA1076" s="696"/>
      <c r="AB1076" s="696"/>
      <c r="AC1076" s="696"/>
      <c r="AD1076" s="697"/>
      <c r="AE1076" s="655"/>
    </row>
    <row r="1077" spans="1:31" ht="12" customHeight="1">
      <c r="A1077" s="937" t="s">
        <v>18220</v>
      </c>
      <c r="B1077" s="4" t="s">
        <v>4012</v>
      </c>
      <c r="C1077" s="1" t="s">
        <v>4019</v>
      </c>
      <c r="D1077" s="1">
        <f t="shared" si="16"/>
        <v>76</v>
      </c>
      <c r="E1077" s="2" t="s">
        <v>5</v>
      </c>
      <c r="F1077" s="1" t="s">
        <v>15273</v>
      </c>
      <c r="G1077" s="3" t="s">
        <v>4020</v>
      </c>
      <c r="J1077" s="4" t="s">
        <v>16125</v>
      </c>
      <c r="L1077" s="1" t="s">
        <v>25</v>
      </c>
      <c r="M1077" s="16">
        <v>11</v>
      </c>
      <c r="N1077" s="17">
        <v>11</v>
      </c>
      <c r="O1077" s="3" t="s">
        <v>3846</v>
      </c>
      <c r="P1077" s="20">
        <v>13455</v>
      </c>
      <c r="Q1077" s="3" t="s">
        <v>4021</v>
      </c>
      <c r="R1077" s="3" t="s">
        <v>5542</v>
      </c>
      <c r="S1077" s="3" t="s">
        <v>16093</v>
      </c>
      <c r="T1077" s="3" t="s">
        <v>3849</v>
      </c>
      <c r="U1077" s="2" t="s">
        <v>47</v>
      </c>
      <c r="AD1077" s="698"/>
      <c r="AE1077" s="655"/>
    </row>
    <row r="1078" spans="1:31" ht="12" customHeight="1" thickBot="1">
      <c r="A1078" s="938"/>
      <c r="B1078" s="700" t="s">
        <v>4013</v>
      </c>
      <c r="C1078" s="699" t="s">
        <v>4016</v>
      </c>
      <c r="D1078" s="699">
        <f t="shared" si="16"/>
        <v>55</v>
      </c>
      <c r="E1078" s="702" t="s">
        <v>19</v>
      </c>
      <c r="F1078" s="699"/>
      <c r="G1078" s="703"/>
      <c r="H1078" s="699"/>
      <c r="I1078" s="699"/>
      <c r="J1078" s="700" t="s">
        <v>16117</v>
      </c>
      <c r="K1078" s="699"/>
      <c r="L1078" s="699" t="s">
        <v>6</v>
      </c>
      <c r="M1078" s="705"/>
      <c r="N1078" s="706"/>
      <c r="O1078" s="703" t="s">
        <v>4017</v>
      </c>
      <c r="P1078" s="707">
        <v>21031</v>
      </c>
      <c r="Q1078" s="703" t="s">
        <v>4018</v>
      </c>
      <c r="R1078" s="703"/>
      <c r="S1078" s="703"/>
      <c r="T1078" s="703"/>
      <c r="U1078" s="702"/>
      <c r="V1078" s="702"/>
      <c r="W1078" s="702"/>
      <c r="X1078" s="702"/>
      <c r="Y1078" s="702"/>
      <c r="Z1078" s="702"/>
      <c r="AA1078" s="702"/>
      <c r="AB1078" s="702"/>
      <c r="AC1078" s="702"/>
      <c r="AD1078" s="708"/>
      <c r="AE1078" s="655"/>
    </row>
    <row r="1079" spans="1:31" ht="12" customHeight="1">
      <c r="A1079" s="936" t="s">
        <v>18245</v>
      </c>
      <c r="B1079" s="688" t="s">
        <v>4022</v>
      </c>
      <c r="C1079" s="687" t="s">
        <v>4029</v>
      </c>
      <c r="D1079" s="687">
        <f t="shared" si="16"/>
        <v>49</v>
      </c>
      <c r="E1079" s="696" t="s">
        <v>5</v>
      </c>
      <c r="F1079" s="689" t="s">
        <v>15273</v>
      </c>
      <c r="G1079" s="747" t="s">
        <v>4030</v>
      </c>
      <c r="H1079" s="687"/>
      <c r="I1079" s="687"/>
      <c r="J1079" s="692" t="s">
        <v>16127</v>
      </c>
      <c r="K1079" s="687" t="s">
        <v>44</v>
      </c>
      <c r="L1079" s="687" t="s">
        <v>25</v>
      </c>
      <c r="M1079" s="748">
        <v>3</v>
      </c>
      <c r="N1079" s="749">
        <v>3</v>
      </c>
      <c r="O1079" s="747" t="s">
        <v>3846</v>
      </c>
      <c r="P1079" s="773">
        <v>23210</v>
      </c>
      <c r="Q1079" s="747" t="s">
        <v>4031</v>
      </c>
      <c r="R1079" s="747" t="s">
        <v>3893</v>
      </c>
      <c r="S1079" s="747" t="s">
        <v>6214</v>
      </c>
      <c r="T1079" s="747" t="s">
        <v>3849</v>
      </c>
      <c r="U1079" s="696" t="s">
        <v>47</v>
      </c>
      <c r="V1079" s="696"/>
      <c r="W1079" s="696"/>
      <c r="X1079" s="696"/>
      <c r="Y1079" s="696"/>
      <c r="Z1079" s="696"/>
      <c r="AA1079" s="696"/>
      <c r="AB1079" s="696"/>
      <c r="AC1079" s="696"/>
      <c r="AD1079" s="697"/>
      <c r="AE1079" s="655"/>
    </row>
    <row r="1080" spans="1:31" ht="12" customHeight="1">
      <c r="A1080" s="937" t="s">
        <v>18219</v>
      </c>
      <c r="B1080" s="4" t="s">
        <v>4023</v>
      </c>
      <c r="C1080" s="1" t="s">
        <v>4032</v>
      </c>
      <c r="D1080" s="1">
        <f t="shared" si="16"/>
        <v>29</v>
      </c>
      <c r="E1080" s="2" t="s">
        <v>5</v>
      </c>
      <c r="F1080" s="1" t="s">
        <v>15273</v>
      </c>
      <c r="J1080" s="8" t="s">
        <v>16120</v>
      </c>
      <c r="K1080" s="1" t="s">
        <v>30</v>
      </c>
      <c r="L1080" s="1" t="s">
        <v>6</v>
      </c>
      <c r="O1080" s="3" t="s">
        <v>450</v>
      </c>
      <c r="P1080" s="20">
        <v>30414</v>
      </c>
      <c r="Q1080" s="3" t="s">
        <v>4033</v>
      </c>
      <c r="S1080" s="3" t="s">
        <v>5457</v>
      </c>
      <c r="T1080" s="3" t="s">
        <v>3850</v>
      </c>
      <c r="AA1080" s="2" t="s">
        <v>3850</v>
      </c>
      <c r="AD1080" s="698"/>
      <c r="AE1080" s="655"/>
    </row>
    <row r="1081" spans="1:31" ht="12" customHeight="1">
      <c r="A1081" s="937" t="s">
        <v>18223</v>
      </c>
      <c r="B1081" s="4" t="s">
        <v>4024</v>
      </c>
      <c r="C1081" s="1" t="s">
        <v>5235</v>
      </c>
      <c r="D1081" s="1">
        <f t="shared" si="16"/>
        <v>30</v>
      </c>
      <c r="E1081" s="2" t="s">
        <v>5</v>
      </c>
      <c r="F1081" s="1" t="s">
        <v>15273</v>
      </c>
      <c r="J1081" s="4" t="s">
        <v>16116</v>
      </c>
      <c r="K1081" s="1" t="s">
        <v>5198</v>
      </c>
      <c r="L1081" s="1" t="s">
        <v>6</v>
      </c>
      <c r="O1081" s="3" t="s">
        <v>5236</v>
      </c>
      <c r="P1081" s="21">
        <v>30183</v>
      </c>
      <c r="Q1081" s="3" t="s">
        <v>16558</v>
      </c>
      <c r="S1081" s="3" t="s">
        <v>5948</v>
      </c>
      <c r="AD1081" s="698"/>
      <c r="AE1081" s="655"/>
    </row>
    <row r="1082" spans="1:31" ht="12" customHeight="1" thickBot="1">
      <c r="A1082" s="938"/>
      <c r="B1082" s="700" t="s">
        <v>5234</v>
      </c>
      <c r="C1082" s="699" t="s">
        <v>4034</v>
      </c>
      <c r="D1082" s="699">
        <f t="shared" si="16"/>
        <v>56</v>
      </c>
      <c r="E1082" s="702" t="s">
        <v>5</v>
      </c>
      <c r="F1082" s="699"/>
      <c r="G1082" s="703"/>
      <c r="H1082" s="699"/>
      <c r="I1082" s="699"/>
      <c r="J1082" s="700" t="s">
        <v>16117</v>
      </c>
      <c r="K1082" s="699"/>
      <c r="L1082" s="699" t="s">
        <v>6</v>
      </c>
      <c r="M1082" s="705"/>
      <c r="N1082" s="706"/>
      <c r="O1082" s="703" t="s">
        <v>4036</v>
      </c>
      <c r="P1082" s="723">
        <v>20767</v>
      </c>
      <c r="Q1082" s="703" t="s">
        <v>4035</v>
      </c>
      <c r="R1082" s="703"/>
      <c r="S1082" s="703"/>
      <c r="T1082" s="703"/>
      <c r="U1082" s="702"/>
      <c r="V1082" s="702"/>
      <c r="W1082" s="702"/>
      <c r="X1082" s="702"/>
      <c r="Y1082" s="702"/>
      <c r="Z1082" s="702"/>
      <c r="AA1082" s="702"/>
      <c r="AB1082" s="702"/>
      <c r="AC1082" s="702"/>
      <c r="AD1082" s="708"/>
      <c r="AE1082" s="655"/>
    </row>
    <row r="1083" spans="1:31" ht="12" customHeight="1">
      <c r="A1083" s="936" t="s">
        <v>18223</v>
      </c>
      <c r="B1083" s="688" t="s">
        <v>4037</v>
      </c>
      <c r="C1083" s="687" t="s">
        <v>4040</v>
      </c>
      <c r="D1083" s="687">
        <f t="shared" si="16"/>
        <v>29</v>
      </c>
      <c r="E1083" s="696" t="s">
        <v>5</v>
      </c>
      <c r="F1083" s="689" t="s">
        <v>15273</v>
      </c>
      <c r="G1083" s="747"/>
      <c r="H1083" s="687"/>
      <c r="I1083" s="687"/>
      <c r="J1083" s="692" t="s">
        <v>16127</v>
      </c>
      <c r="K1083" s="687" t="s">
        <v>44</v>
      </c>
      <c r="L1083" s="687" t="s">
        <v>6</v>
      </c>
      <c r="M1083" s="748"/>
      <c r="N1083" s="749"/>
      <c r="O1083" s="747" t="s">
        <v>4041</v>
      </c>
      <c r="P1083" s="773">
        <v>30338</v>
      </c>
      <c r="Q1083" s="747" t="s">
        <v>4042</v>
      </c>
      <c r="R1083" s="747"/>
      <c r="S1083" s="747"/>
      <c r="T1083" s="747"/>
      <c r="U1083" s="696"/>
      <c r="V1083" s="696"/>
      <c r="W1083" s="696"/>
      <c r="X1083" s="696"/>
      <c r="Y1083" s="696"/>
      <c r="Z1083" s="696"/>
      <c r="AA1083" s="696"/>
      <c r="AB1083" s="696"/>
      <c r="AC1083" s="696"/>
      <c r="AD1083" s="697"/>
      <c r="AE1083" s="655"/>
    </row>
    <row r="1084" spans="1:31" ht="12" customHeight="1">
      <c r="A1084" s="937" t="s">
        <v>18219</v>
      </c>
      <c r="B1084" s="4" t="s">
        <v>4038</v>
      </c>
      <c r="C1084" s="1" t="s">
        <v>4043</v>
      </c>
      <c r="D1084" s="1">
        <f t="shared" si="16"/>
        <v>70</v>
      </c>
      <c r="E1084" s="2" t="s">
        <v>5</v>
      </c>
      <c r="F1084" s="1" t="s">
        <v>15273</v>
      </c>
      <c r="G1084" s="3" t="s">
        <v>4044</v>
      </c>
      <c r="J1084" s="4" t="s">
        <v>16120</v>
      </c>
      <c r="K1084" s="1" t="s">
        <v>30</v>
      </c>
      <c r="L1084" s="1" t="s">
        <v>25</v>
      </c>
      <c r="M1084" s="16">
        <v>10</v>
      </c>
      <c r="N1084" s="17">
        <v>10</v>
      </c>
      <c r="O1084" s="3" t="s">
        <v>381</v>
      </c>
      <c r="P1084" s="20">
        <v>15415</v>
      </c>
      <c r="Q1084" s="3" t="s">
        <v>3906</v>
      </c>
      <c r="R1084" s="3" t="s">
        <v>4046</v>
      </c>
      <c r="S1084" s="3" t="s">
        <v>5457</v>
      </c>
      <c r="T1084" s="3" t="s">
        <v>4045</v>
      </c>
      <c r="AA1084" s="2" t="s">
        <v>3850</v>
      </c>
      <c r="AB1084" s="2" t="s">
        <v>3895</v>
      </c>
      <c r="AD1084" s="698"/>
      <c r="AE1084" s="655"/>
    </row>
    <row r="1085" spans="1:31" ht="12" customHeight="1">
      <c r="A1085" s="937" t="s">
        <v>18245</v>
      </c>
      <c r="B1085" s="4" t="s">
        <v>4039</v>
      </c>
      <c r="C1085" s="1" t="s">
        <v>6136</v>
      </c>
      <c r="D1085" s="1">
        <f t="shared" si="16"/>
        <v>53</v>
      </c>
      <c r="E1085" s="2" t="s">
        <v>5</v>
      </c>
      <c r="F1085" s="1" t="s">
        <v>15273</v>
      </c>
      <c r="J1085" s="4" t="s">
        <v>16125</v>
      </c>
      <c r="L1085" s="1" t="s">
        <v>6</v>
      </c>
      <c r="O1085" s="3" t="s">
        <v>1282</v>
      </c>
      <c r="P1085" s="20">
        <v>21558</v>
      </c>
      <c r="Q1085" s="3" t="s">
        <v>6137</v>
      </c>
      <c r="S1085" s="3" t="s">
        <v>16093</v>
      </c>
      <c r="AD1085" s="698"/>
      <c r="AE1085" s="655"/>
    </row>
    <row r="1086" spans="1:31" ht="12" customHeight="1" thickBot="1">
      <c r="A1086" s="938"/>
      <c r="B1086" s="700" t="s">
        <v>6135</v>
      </c>
      <c r="C1086" s="699" t="s">
        <v>4047</v>
      </c>
      <c r="D1086" s="699">
        <f t="shared" si="16"/>
        <v>54</v>
      </c>
      <c r="E1086" s="702" t="s">
        <v>5</v>
      </c>
      <c r="F1086" s="699"/>
      <c r="G1086" s="703"/>
      <c r="H1086" s="699"/>
      <c r="I1086" s="699"/>
      <c r="J1086" s="700" t="s">
        <v>16117</v>
      </c>
      <c r="K1086" s="699"/>
      <c r="L1086" s="699" t="s">
        <v>6</v>
      </c>
      <c r="M1086" s="705"/>
      <c r="N1086" s="706"/>
      <c r="O1086" s="703" t="s">
        <v>3306</v>
      </c>
      <c r="P1086" s="707">
        <v>21246</v>
      </c>
      <c r="Q1086" s="703" t="s">
        <v>4048</v>
      </c>
      <c r="R1086" s="703"/>
      <c r="S1086" s="703"/>
      <c r="T1086" s="703"/>
      <c r="U1086" s="702"/>
      <c r="V1086" s="702"/>
      <c r="W1086" s="702"/>
      <c r="X1086" s="702"/>
      <c r="Y1086" s="702"/>
      <c r="Z1086" s="702"/>
      <c r="AA1086" s="702"/>
      <c r="AB1086" s="702"/>
      <c r="AC1086" s="702"/>
      <c r="AD1086" s="708"/>
      <c r="AE1086" s="655"/>
    </row>
    <row r="1087" spans="1:31" ht="12" customHeight="1">
      <c r="A1087" s="936" t="s">
        <v>18246</v>
      </c>
      <c r="B1087" s="688" t="s">
        <v>4049</v>
      </c>
      <c r="C1087" s="687" t="s">
        <v>4052</v>
      </c>
      <c r="D1087" s="687">
        <f t="shared" si="16"/>
        <v>58</v>
      </c>
      <c r="E1087" s="696" t="s">
        <v>5</v>
      </c>
      <c r="F1087" s="689" t="s">
        <v>15273</v>
      </c>
      <c r="G1087" s="747" t="s">
        <v>4053</v>
      </c>
      <c r="H1087" s="687"/>
      <c r="I1087" s="687"/>
      <c r="J1087" s="692" t="s">
        <v>16126</v>
      </c>
      <c r="K1087" s="687" t="s">
        <v>44</v>
      </c>
      <c r="L1087" s="687" t="s">
        <v>25</v>
      </c>
      <c r="M1087" s="748">
        <v>5</v>
      </c>
      <c r="N1087" s="749">
        <v>5</v>
      </c>
      <c r="O1087" s="747" t="s">
        <v>3846</v>
      </c>
      <c r="P1087" s="773">
        <v>19738</v>
      </c>
      <c r="Q1087" s="747" t="s">
        <v>4054</v>
      </c>
      <c r="R1087" s="747" t="s">
        <v>4056</v>
      </c>
      <c r="S1087" s="747" t="s">
        <v>6214</v>
      </c>
      <c r="T1087" s="747" t="s">
        <v>4055</v>
      </c>
      <c r="U1087" s="696" t="s">
        <v>3849</v>
      </c>
      <c r="V1087" s="696"/>
      <c r="W1087" s="696"/>
      <c r="X1087" s="696"/>
      <c r="Y1087" s="696"/>
      <c r="Z1087" s="696"/>
      <c r="AA1087" s="696"/>
      <c r="AB1087" s="696" t="s">
        <v>3895</v>
      </c>
      <c r="AC1087" s="696"/>
      <c r="AD1087" s="697"/>
      <c r="AE1087" s="655"/>
    </row>
    <row r="1088" spans="1:31" ht="12" customHeight="1">
      <c r="A1088" s="937" t="s">
        <v>18220</v>
      </c>
      <c r="B1088" s="4" t="s">
        <v>4050</v>
      </c>
      <c r="C1088" s="1" t="s">
        <v>4057</v>
      </c>
      <c r="D1088" s="1">
        <f t="shared" si="16"/>
        <v>53</v>
      </c>
      <c r="E1088" s="2" t="s">
        <v>5</v>
      </c>
      <c r="F1088" s="1" t="s">
        <v>15273</v>
      </c>
      <c r="G1088" s="3" t="s">
        <v>4058</v>
      </c>
      <c r="H1088" s="1" t="s">
        <v>3995</v>
      </c>
      <c r="J1088" s="4" t="s">
        <v>16120</v>
      </c>
      <c r="K1088" s="1" t="s">
        <v>48</v>
      </c>
      <c r="L1088" s="1" t="s">
        <v>6</v>
      </c>
      <c r="N1088" s="17">
        <v>3</v>
      </c>
      <c r="O1088" s="3" t="s">
        <v>31</v>
      </c>
      <c r="P1088" s="20">
        <v>21641</v>
      </c>
      <c r="Q1088" s="3" t="s">
        <v>4059</v>
      </c>
      <c r="R1088" s="3" t="s">
        <v>4060</v>
      </c>
      <c r="S1088" s="3" t="s">
        <v>5457</v>
      </c>
      <c r="T1088" s="3" t="s">
        <v>4061</v>
      </c>
      <c r="X1088" s="2" t="s">
        <v>3999</v>
      </c>
      <c r="AA1088" s="2" t="s">
        <v>3850</v>
      </c>
      <c r="AD1088" s="698"/>
      <c r="AE1088" s="655"/>
    </row>
    <row r="1089" spans="1:31" ht="12" customHeight="1">
      <c r="A1089" s="937" t="s">
        <v>18223</v>
      </c>
      <c r="B1089" s="4" t="s">
        <v>4051</v>
      </c>
      <c r="C1089" s="1" t="s">
        <v>5432</v>
      </c>
      <c r="D1089" s="1">
        <f t="shared" si="16"/>
        <v>29</v>
      </c>
      <c r="E1089" s="2" t="s">
        <v>19</v>
      </c>
      <c r="F1089" s="1" t="s">
        <v>15273</v>
      </c>
      <c r="J1089" s="4" t="s">
        <v>16116</v>
      </c>
      <c r="K1089" s="1" t="s">
        <v>5298</v>
      </c>
      <c r="L1089" s="1" t="s">
        <v>6</v>
      </c>
      <c r="O1089" s="3" t="s">
        <v>5433</v>
      </c>
      <c r="P1089" s="21">
        <v>30495</v>
      </c>
      <c r="Q1089" s="3" t="s">
        <v>5434</v>
      </c>
      <c r="S1089" s="3" t="s">
        <v>5948</v>
      </c>
      <c r="T1089" s="3" t="s">
        <v>145</v>
      </c>
      <c r="V1089" s="2" t="s">
        <v>145</v>
      </c>
      <c r="AD1089" s="698"/>
      <c r="AE1089" s="655"/>
    </row>
    <row r="1090" spans="1:31" ht="12" customHeight="1" thickBot="1">
      <c r="A1090" s="938"/>
      <c r="B1090" s="700" t="s">
        <v>5431</v>
      </c>
      <c r="C1090" s="699" t="s">
        <v>4062</v>
      </c>
      <c r="D1090" s="699">
        <f t="shared" ref="D1090:D1153" si="17">DATEDIF(P1090,$P$1298,"Y")</f>
        <v>58</v>
      </c>
      <c r="E1090" s="702" t="s">
        <v>5</v>
      </c>
      <c r="F1090" s="699"/>
      <c r="G1090" s="703"/>
      <c r="H1090" s="699"/>
      <c r="I1090" s="699"/>
      <c r="J1090" s="700" t="s">
        <v>16117</v>
      </c>
      <c r="K1090" s="699"/>
      <c r="L1090" s="699" t="s">
        <v>6</v>
      </c>
      <c r="M1090" s="705"/>
      <c r="N1090" s="706"/>
      <c r="O1090" s="703" t="s">
        <v>4063</v>
      </c>
      <c r="P1090" s="723">
        <v>19867</v>
      </c>
      <c r="Q1090" s="703" t="s">
        <v>4064</v>
      </c>
      <c r="R1090" s="703"/>
      <c r="S1090" s="703"/>
      <c r="T1090" s="703" t="s">
        <v>3842</v>
      </c>
      <c r="U1090" s="702"/>
      <c r="V1090" s="702" t="s">
        <v>3842</v>
      </c>
      <c r="W1090" s="702"/>
      <c r="X1090" s="702"/>
      <c r="Y1090" s="702"/>
      <c r="Z1090" s="702"/>
      <c r="AA1090" s="702"/>
      <c r="AB1090" s="702"/>
      <c r="AC1090" s="702"/>
      <c r="AD1090" s="708"/>
      <c r="AE1090" s="655"/>
    </row>
    <row r="1091" spans="1:31" ht="12" customHeight="1">
      <c r="A1091" s="936" t="s">
        <v>18245</v>
      </c>
      <c r="B1091" s="688" t="s">
        <v>4065</v>
      </c>
      <c r="C1091" s="687" t="s">
        <v>4068</v>
      </c>
      <c r="D1091" s="687">
        <f t="shared" si="17"/>
        <v>34</v>
      </c>
      <c r="E1091" s="696" t="s">
        <v>5</v>
      </c>
      <c r="F1091" s="689" t="s">
        <v>15273</v>
      </c>
      <c r="G1091" s="747" t="s">
        <v>4069</v>
      </c>
      <c r="H1091" s="687"/>
      <c r="I1091" s="687"/>
      <c r="J1091" s="692" t="s">
        <v>16127</v>
      </c>
      <c r="K1091" s="687" t="s">
        <v>44</v>
      </c>
      <c r="L1091" s="687" t="s">
        <v>25</v>
      </c>
      <c r="M1091" s="748">
        <v>1</v>
      </c>
      <c r="N1091" s="749">
        <v>1</v>
      </c>
      <c r="O1091" s="747" t="s">
        <v>4070</v>
      </c>
      <c r="P1091" s="773">
        <v>28524</v>
      </c>
      <c r="Q1091" s="747" t="s">
        <v>4071</v>
      </c>
      <c r="R1091" s="747"/>
      <c r="S1091" s="747" t="s">
        <v>6214</v>
      </c>
      <c r="T1091" s="747"/>
      <c r="U1091" s="696"/>
      <c r="V1091" s="696"/>
      <c r="W1091" s="696"/>
      <c r="X1091" s="696"/>
      <c r="Y1091" s="696"/>
      <c r="Z1091" s="696"/>
      <c r="AA1091" s="696"/>
      <c r="AB1091" s="696"/>
      <c r="AC1091" s="696"/>
      <c r="AD1091" s="697"/>
      <c r="AE1091" s="655"/>
    </row>
    <row r="1092" spans="1:31" ht="12" customHeight="1">
      <c r="A1092" s="937" t="s">
        <v>18219</v>
      </c>
      <c r="B1092" s="4" t="s">
        <v>4066</v>
      </c>
      <c r="C1092" s="1" t="s">
        <v>4072</v>
      </c>
      <c r="D1092" s="1">
        <f t="shared" si="17"/>
        <v>70</v>
      </c>
      <c r="E1092" s="2" t="s">
        <v>5</v>
      </c>
      <c r="F1092" s="1" t="s">
        <v>15273</v>
      </c>
      <c r="G1092" s="3" t="s">
        <v>4073</v>
      </c>
      <c r="J1092" s="8" t="s">
        <v>16120</v>
      </c>
      <c r="K1092" s="1" t="s">
        <v>65</v>
      </c>
      <c r="L1092" s="1" t="s">
        <v>25</v>
      </c>
      <c r="M1092" s="16">
        <v>7</v>
      </c>
      <c r="N1092" s="17">
        <v>7</v>
      </c>
      <c r="O1092" s="3" t="s">
        <v>31</v>
      </c>
      <c r="P1092" s="20">
        <v>15655</v>
      </c>
      <c r="Q1092" s="3" t="s">
        <v>4074</v>
      </c>
      <c r="R1092" s="3" t="s">
        <v>4076</v>
      </c>
      <c r="S1092" s="3" t="s">
        <v>5457</v>
      </c>
      <c r="T1092" s="3" t="s">
        <v>4075</v>
      </c>
      <c r="V1092" s="2" t="s">
        <v>4075</v>
      </c>
      <c r="AD1092" s="698"/>
      <c r="AE1092" s="655"/>
    </row>
    <row r="1093" spans="1:31" ht="12" customHeight="1" thickBot="1">
      <c r="A1093" s="938"/>
      <c r="B1093" s="700" t="s">
        <v>4067</v>
      </c>
      <c r="C1093" s="699" t="s">
        <v>4077</v>
      </c>
      <c r="D1093" s="699">
        <f t="shared" si="17"/>
        <v>51</v>
      </c>
      <c r="E1093" s="702" t="s">
        <v>19</v>
      </c>
      <c r="F1093" s="699"/>
      <c r="G1093" s="703"/>
      <c r="H1093" s="699"/>
      <c r="I1093" s="699"/>
      <c r="J1093" s="700" t="s">
        <v>16117</v>
      </c>
      <c r="K1093" s="699"/>
      <c r="L1093" s="699" t="s">
        <v>6</v>
      </c>
      <c r="M1093" s="705"/>
      <c r="N1093" s="706"/>
      <c r="O1093" s="703" t="s">
        <v>4078</v>
      </c>
      <c r="P1093" s="723">
        <v>22599</v>
      </c>
      <c r="Q1093" s="703" t="s">
        <v>4079</v>
      </c>
      <c r="R1093" s="703"/>
      <c r="S1093" s="703"/>
      <c r="T1093" s="703"/>
      <c r="U1093" s="702"/>
      <c r="V1093" s="702"/>
      <c r="W1093" s="702"/>
      <c r="X1093" s="702"/>
      <c r="Y1093" s="702"/>
      <c r="Z1093" s="702"/>
      <c r="AA1093" s="702"/>
      <c r="AB1093" s="702"/>
      <c r="AC1093" s="702"/>
      <c r="AD1093" s="708"/>
      <c r="AE1093" s="655"/>
    </row>
    <row r="1094" spans="1:31" ht="12" customHeight="1">
      <c r="A1094" s="936" t="s">
        <v>18223</v>
      </c>
      <c r="B1094" s="688" t="s">
        <v>4080</v>
      </c>
      <c r="C1094" s="687" t="s">
        <v>5697</v>
      </c>
      <c r="D1094" s="687">
        <f t="shared" si="17"/>
        <v>45</v>
      </c>
      <c r="E1094" s="696" t="s">
        <v>5</v>
      </c>
      <c r="F1094" s="689" t="s">
        <v>15273</v>
      </c>
      <c r="G1094" s="747"/>
      <c r="H1094" s="687"/>
      <c r="I1094" s="687"/>
      <c r="J1094" s="692" t="s">
        <v>16127</v>
      </c>
      <c r="K1094" s="687" t="s">
        <v>44</v>
      </c>
      <c r="L1094" s="687" t="s">
        <v>6</v>
      </c>
      <c r="M1094" s="748"/>
      <c r="N1094" s="749"/>
      <c r="O1094" s="747" t="s">
        <v>123</v>
      </c>
      <c r="P1094" s="773">
        <v>24570</v>
      </c>
      <c r="Q1094" s="747" t="s">
        <v>5839</v>
      </c>
      <c r="R1094" s="747"/>
      <c r="S1094" s="747"/>
      <c r="T1094" s="747"/>
      <c r="U1094" s="696"/>
      <c r="V1094" s="696"/>
      <c r="W1094" s="696"/>
      <c r="X1094" s="696"/>
      <c r="Y1094" s="696"/>
      <c r="Z1094" s="696"/>
      <c r="AA1094" s="696"/>
      <c r="AB1094" s="696"/>
      <c r="AC1094" s="696"/>
      <c r="AD1094" s="697"/>
      <c r="AE1094" s="655"/>
    </row>
    <row r="1095" spans="1:31" ht="12" customHeight="1">
      <c r="A1095" s="937" t="s">
        <v>18218</v>
      </c>
      <c r="B1095" s="4" t="s">
        <v>4081</v>
      </c>
      <c r="C1095" s="1" t="s">
        <v>4083</v>
      </c>
      <c r="D1095" s="1">
        <f t="shared" si="17"/>
        <v>58</v>
      </c>
      <c r="E1095" s="2" t="s">
        <v>5</v>
      </c>
      <c r="G1095" s="3" t="s">
        <v>4084</v>
      </c>
      <c r="J1095" s="4" t="s">
        <v>16120</v>
      </c>
      <c r="K1095" s="1" t="s">
        <v>30</v>
      </c>
      <c r="L1095" s="1" t="s">
        <v>25</v>
      </c>
      <c r="M1095" s="16">
        <v>6</v>
      </c>
      <c r="N1095" s="17">
        <v>6</v>
      </c>
      <c r="O1095" s="3" t="s">
        <v>451</v>
      </c>
      <c r="P1095" s="20">
        <v>19988</v>
      </c>
      <c r="Q1095" s="3" t="s">
        <v>4085</v>
      </c>
      <c r="R1095" s="3" t="s">
        <v>4087</v>
      </c>
      <c r="S1095" s="3" t="s">
        <v>5457</v>
      </c>
      <c r="T1095" s="3" t="s">
        <v>4086</v>
      </c>
      <c r="AA1095" s="2" t="s">
        <v>4086</v>
      </c>
      <c r="AD1095" s="698"/>
      <c r="AE1095" s="655"/>
    </row>
    <row r="1096" spans="1:31" ht="12" customHeight="1" thickBot="1">
      <c r="A1096" s="938"/>
      <c r="B1096" s="700" t="s">
        <v>4082</v>
      </c>
      <c r="C1096" s="699" t="s">
        <v>4088</v>
      </c>
      <c r="D1096" s="699">
        <f t="shared" si="17"/>
        <v>48</v>
      </c>
      <c r="E1096" s="702" t="s">
        <v>5</v>
      </c>
      <c r="F1096" s="699"/>
      <c r="G1096" s="703"/>
      <c r="H1096" s="699"/>
      <c r="I1096" s="699"/>
      <c r="J1096" s="700" t="s">
        <v>16117</v>
      </c>
      <c r="K1096" s="699"/>
      <c r="L1096" s="699" t="s">
        <v>6</v>
      </c>
      <c r="M1096" s="705"/>
      <c r="N1096" s="706"/>
      <c r="O1096" s="703" t="s">
        <v>4089</v>
      </c>
      <c r="P1096" s="723">
        <v>23684</v>
      </c>
      <c r="Q1096" s="703" t="s">
        <v>4090</v>
      </c>
      <c r="R1096" s="703"/>
      <c r="S1096" s="703"/>
      <c r="T1096" s="703" t="s">
        <v>4075</v>
      </c>
      <c r="U1096" s="702"/>
      <c r="V1096" s="702" t="s">
        <v>4075</v>
      </c>
      <c r="W1096" s="702"/>
      <c r="X1096" s="702"/>
      <c r="Y1096" s="702"/>
      <c r="Z1096" s="702"/>
      <c r="AA1096" s="702"/>
      <c r="AB1096" s="702"/>
      <c r="AC1096" s="702"/>
      <c r="AD1096" s="708"/>
      <c r="AE1096" s="655"/>
    </row>
    <row r="1097" spans="1:31" ht="12" customHeight="1">
      <c r="A1097" s="936" t="s">
        <v>18246</v>
      </c>
      <c r="B1097" s="688" t="s">
        <v>4116</v>
      </c>
      <c r="C1097" s="687" t="s">
        <v>4119</v>
      </c>
      <c r="D1097" s="687">
        <f t="shared" si="17"/>
        <v>66</v>
      </c>
      <c r="E1097" s="696" t="s">
        <v>5</v>
      </c>
      <c r="F1097" s="689" t="s">
        <v>15273</v>
      </c>
      <c r="G1097" s="747" t="s">
        <v>4120</v>
      </c>
      <c r="H1097" s="687"/>
      <c r="I1097" s="687"/>
      <c r="J1097" s="692" t="s">
        <v>16126</v>
      </c>
      <c r="K1097" s="687" t="s">
        <v>45</v>
      </c>
      <c r="L1097" s="687" t="s">
        <v>25</v>
      </c>
      <c r="M1097" s="748">
        <v>6</v>
      </c>
      <c r="N1097" s="749">
        <v>6</v>
      </c>
      <c r="O1097" s="747" t="s">
        <v>2223</v>
      </c>
      <c r="P1097" s="773">
        <v>16817</v>
      </c>
      <c r="Q1097" s="747" t="s">
        <v>4121</v>
      </c>
      <c r="R1097" s="747"/>
      <c r="S1097" s="747" t="s">
        <v>6214</v>
      </c>
      <c r="T1097" s="747" t="s">
        <v>147</v>
      </c>
      <c r="U1097" s="696"/>
      <c r="V1097" s="696"/>
      <c r="W1097" s="696"/>
      <c r="X1097" s="696"/>
      <c r="Y1097" s="696"/>
      <c r="Z1097" s="696"/>
      <c r="AA1097" s="696"/>
      <c r="AB1097" s="696" t="s">
        <v>4124</v>
      </c>
      <c r="AC1097" s="696"/>
      <c r="AD1097" s="697"/>
      <c r="AE1097" s="655"/>
    </row>
    <row r="1098" spans="1:31" ht="12" customHeight="1">
      <c r="A1098" s="937" t="s">
        <v>18220</v>
      </c>
      <c r="B1098" s="4" t="s">
        <v>4117</v>
      </c>
      <c r="C1098" s="1" t="s">
        <v>4122</v>
      </c>
      <c r="D1098" s="1">
        <f t="shared" si="17"/>
        <v>59</v>
      </c>
      <c r="E1098" s="2" t="s">
        <v>5</v>
      </c>
      <c r="F1098" s="1" t="s">
        <v>15273</v>
      </c>
      <c r="J1098" s="4" t="s">
        <v>16120</v>
      </c>
      <c r="K1098" s="1" t="s">
        <v>30</v>
      </c>
      <c r="L1098" s="1" t="s">
        <v>6</v>
      </c>
      <c r="O1098" s="3" t="s">
        <v>4123</v>
      </c>
      <c r="P1098" s="20">
        <v>19347</v>
      </c>
      <c r="Q1098" s="3" t="s">
        <v>4128</v>
      </c>
      <c r="S1098" s="3" t="s">
        <v>5457</v>
      </c>
      <c r="T1098" s="3" t="s">
        <v>4075</v>
      </c>
      <c r="V1098" s="2" t="s">
        <v>4075</v>
      </c>
      <c r="AD1098" s="698"/>
      <c r="AE1098" s="655"/>
    </row>
    <row r="1099" spans="1:31" ht="12" customHeight="1" thickBot="1">
      <c r="A1099" s="938"/>
      <c r="B1099" s="700" t="s">
        <v>4118</v>
      </c>
      <c r="C1099" s="699" t="s">
        <v>4125</v>
      </c>
      <c r="D1099" s="699">
        <f t="shared" si="17"/>
        <v>64</v>
      </c>
      <c r="E1099" s="702" t="s">
        <v>5</v>
      </c>
      <c r="F1099" s="699"/>
      <c r="G1099" s="703"/>
      <c r="H1099" s="699"/>
      <c r="I1099" s="699"/>
      <c r="J1099" s="700" t="s">
        <v>16117</v>
      </c>
      <c r="K1099" s="699"/>
      <c r="L1099" s="699" t="s">
        <v>6</v>
      </c>
      <c r="M1099" s="705"/>
      <c r="N1099" s="706"/>
      <c r="O1099" s="703" t="s">
        <v>3693</v>
      </c>
      <c r="P1099" s="707">
        <v>17560</v>
      </c>
      <c r="Q1099" s="703" t="s">
        <v>4126</v>
      </c>
      <c r="R1099" s="703"/>
      <c r="S1099" s="703"/>
      <c r="T1099" s="703"/>
      <c r="U1099" s="702"/>
      <c r="V1099" s="702"/>
      <c r="W1099" s="702"/>
      <c r="X1099" s="702"/>
      <c r="Y1099" s="702"/>
      <c r="Z1099" s="702"/>
      <c r="AA1099" s="702"/>
      <c r="AB1099" s="702"/>
      <c r="AC1099" s="702"/>
      <c r="AD1099" s="708"/>
      <c r="AE1099" s="655"/>
    </row>
    <row r="1100" spans="1:31" ht="12" customHeight="1">
      <c r="A1100" s="936" t="s">
        <v>18245</v>
      </c>
      <c r="B1100" s="688" t="s">
        <v>4127</v>
      </c>
      <c r="C1100" s="687" t="s">
        <v>4131</v>
      </c>
      <c r="D1100" s="687">
        <f t="shared" si="17"/>
        <v>41</v>
      </c>
      <c r="E1100" s="696" t="s">
        <v>19</v>
      </c>
      <c r="F1100" s="689" t="s">
        <v>15273</v>
      </c>
      <c r="G1100" s="747" t="s">
        <v>4132</v>
      </c>
      <c r="H1100" s="687"/>
      <c r="I1100" s="687"/>
      <c r="J1100" s="692" t="s">
        <v>16127</v>
      </c>
      <c r="K1100" s="687" t="s">
        <v>44</v>
      </c>
      <c r="L1100" s="687" t="s">
        <v>25</v>
      </c>
      <c r="M1100" s="748">
        <v>3</v>
      </c>
      <c r="N1100" s="749">
        <v>3</v>
      </c>
      <c r="O1100" s="747" t="s">
        <v>188</v>
      </c>
      <c r="P1100" s="773">
        <v>26267</v>
      </c>
      <c r="Q1100" s="747" t="s">
        <v>4133</v>
      </c>
      <c r="R1100" s="747" t="s">
        <v>4134</v>
      </c>
      <c r="S1100" s="747"/>
      <c r="T1100" s="747"/>
      <c r="U1100" s="696"/>
      <c r="V1100" s="696"/>
      <c r="W1100" s="696"/>
      <c r="X1100" s="696"/>
      <c r="Y1100" s="696"/>
      <c r="Z1100" s="696"/>
      <c r="AA1100" s="696"/>
      <c r="AB1100" s="696"/>
      <c r="AC1100" s="696"/>
      <c r="AD1100" s="697"/>
      <c r="AE1100" s="655"/>
    </row>
    <row r="1101" spans="1:31" ht="12" customHeight="1">
      <c r="A1101" s="937" t="s">
        <v>18219</v>
      </c>
      <c r="B1101" s="4" t="s">
        <v>4129</v>
      </c>
      <c r="C1101" s="1" t="s">
        <v>4135</v>
      </c>
      <c r="D1101" s="1">
        <f t="shared" si="17"/>
        <v>62</v>
      </c>
      <c r="E1101" s="2" t="s">
        <v>5</v>
      </c>
      <c r="F1101" s="1" t="s">
        <v>15273</v>
      </c>
      <c r="G1101" s="3" t="s">
        <v>4140</v>
      </c>
      <c r="J1101" s="8" t="s">
        <v>16120</v>
      </c>
      <c r="K1101" s="1" t="s">
        <v>4137</v>
      </c>
      <c r="L1101" s="1" t="s">
        <v>25</v>
      </c>
      <c r="M1101" s="16">
        <v>7</v>
      </c>
      <c r="N1101" s="17">
        <v>7</v>
      </c>
      <c r="O1101" s="3" t="s">
        <v>4136</v>
      </c>
      <c r="P1101" s="20">
        <v>18322</v>
      </c>
      <c r="Q1101" s="3" t="s">
        <v>4138</v>
      </c>
      <c r="R1101" s="3" t="s">
        <v>4139</v>
      </c>
      <c r="S1101" s="3" t="s">
        <v>5457</v>
      </c>
      <c r="T1101" s="3" t="s">
        <v>4075</v>
      </c>
      <c r="V1101" s="2" t="s">
        <v>4075</v>
      </c>
      <c r="AD1101" s="698"/>
      <c r="AE1101" s="655"/>
    </row>
    <row r="1102" spans="1:31" ht="12" customHeight="1" thickBot="1">
      <c r="A1102" s="938"/>
      <c r="B1102" s="700" t="s">
        <v>4130</v>
      </c>
      <c r="C1102" s="699" t="s">
        <v>4141</v>
      </c>
      <c r="D1102" s="699">
        <f t="shared" si="17"/>
        <v>51</v>
      </c>
      <c r="E1102" s="702" t="s">
        <v>5</v>
      </c>
      <c r="F1102" s="699"/>
      <c r="G1102" s="703"/>
      <c r="H1102" s="699"/>
      <c r="I1102" s="699"/>
      <c r="J1102" s="700" t="s">
        <v>16117</v>
      </c>
      <c r="K1102" s="699"/>
      <c r="L1102" s="699" t="s">
        <v>6</v>
      </c>
      <c r="M1102" s="705"/>
      <c r="N1102" s="706"/>
      <c r="O1102" s="703" t="s">
        <v>4142</v>
      </c>
      <c r="P1102" s="723">
        <v>22306</v>
      </c>
      <c r="Q1102" s="703" t="s">
        <v>4143</v>
      </c>
      <c r="R1102" s="703"/>
      <c r="S1102" s="703"/>
      <c r="T1102" s="703" t="s">
        <v>69</v>
      </c>
      <c r="U1102" s="702"/>
      <c r="V1102" s="702"/>
      <c r="W1102" s="702"/>
      <c r="X1102" s="702"/>
      <c r="Y1102" s="702"/>
      <c r="Z1102" s="702"/>
      <c r="AA1102" s="702"/>
      <c r="AB1102" s="702"/>
      <c r="AC1102" s="702"/>
      <c r="AD1102" s="708" t="s">
        <v>4114</v>
      </c>
      <c r="AE1102" s="655"/>
    </row>
    <row r="1103" spans="1:31" ht="12" customHeight="1">
      <c r="A1103" s="936" t="s">
        <v>18245</v>
      </c>
      <c r="B1103" s="688" t="s">
        <v>4144</v>
      </c>
      <c r="C1103" s="687" t="s">
        <v>4148</v>
      </c>
      <c r="D1103" s="687">
        <f t="shared" si="17"/>
        <v>46</v>
      </c>
      <c r="E1103" s="696" t="s">
        <v>5</v>
      </c>
      <c r="F1103" s="689" t="s">
        <v>15273</v>
      </c>
      <c r="G1103" s="747" t="s">
        <v>4149</v>
      </c>
      <c r="H1103" s="687"/>
      <c r="I1103" s="687"/>
      <c r="J1103" s="692" t="s">
        <v>16127</v>
      </c>
      <c r="K1103" s="687" t="s">
        <v>44</v>
      </c>
      <c r="L1103" s="687" t="s">
        <v>25</v>
      </c>
      <c r="M1103" s="748">
        <v>1</v>
      </c>
      <c r="N1103" s="749">
        <v>1</v>
      </c>
      <c r="O1103" s="747" t="s">
        <v>3693</v>
      </c>
      <c r="P1103" s="773">
        <v>24250</v>
      </c>
      <c r="Q1103" s="747" t="s">
        <v>4150</v>
      </c>
      <c r="R1103" s="747"/>
      <c r="S1103" s="747" t="s">
        <v>6214</v>
      </c>
      <c r="T1103" s="747"/>
      <c r="U1103" s="696"/>
      <c r="V1103" s="696"/>
      <c r="W1103" s="696"/>
      <c r="X1103" s="696"/>
      <c r="Y1103" s="696"/>
      <c r="Z1103" s="696"/>
      <c r="AA1103" s="696"/>
      <c r="AB1103" s="696"/>
      <c r="AC1103" s="696"/>
      <c r="AD1103" s="697"/>
      <c r="AE1103" s="655"/>
    </row>
    <row r="1104" spans="1:31" ht="12" customHeight="1">
      <c r="A1104" s="937" t="s">
        <v>18219</v>
      </c>
      <c r="B1104" s="4" t="s">
        <v>4145</v>
      </c>
      <c r="C1104" s="1" t="s">
        <v>4151</v>
      </c>
      <c r="D1104" s="1">
        <f t="shared" si="17"/>
        <v>43</v>
      </c>
      <c r="E1104" s="2" t="s">
        <v>5</v>
      </c>
      <c r="F1104" s="1" t="s">
        <v>15273</v>
      </c>
      <c r="G1104" s="3" t="s">
        <v>4152</v>
      </c>
      <c r="J1104" s="4" t="s">
        <v>16120</v>
      </c>
      <c r="K1104" s="1" t="s">
        <v>30</v>
      </c>
      <c r="L1104" s="1" t="s">
        <v>25</v>
      </c>
      <c r="M1104" s="16">
        <v>4</v>
      </c>
      <c r="N1104" s="17">
        <v>4</v>
      </c>
      <c r="O1104" s="3" t="s">
        <v>31</v>
      </c>
      <c r="P1104" s="20">
        <v>25420</v>
      </c>
      <c r="Q1104" s="3" t="s">
        <v>4153</v>
      </c>
      <c r="R1104" s="3" t="s">
        <v>4154</v>
      </c>
      <c r="S1104" s="3" t="s">
        <v>5457</v>
      </c>
      <c r="T1104" s="3" t="s">
        <v>4086</v>
      </c>
      <c r="AA1104" s="2" t="s">
        <v>4086</v>
      </c>
      <c r="AD1104" s="698"/>
      <c r="AE1104" s="655"/>
    </row>
    <row r="1105" spans="1:31" ht="12" customHeight="1">
      <c r="A1105" s="937"/>
      <c r="B1105" s="4" t="s">
        <v>4146</v>
      </c>
      <c r="C1105" s="1" t="s">
        <v>4155</v>
      </c>
      <c r="D1105" s="1">
        <f t="shared" si="17"/>
        <v>32</v>
      </c>
      <c r="E1105" s="2" t="s">
        <v>5</v>
      </c>
      <c r="J1105" s="4" t="s">
        <v>16117</v>
      </c>
      <c r="L1105" s="1" t="s">
        <v>6</v>
      </c>
      <c r="O1105" s="3" t="s">
        <v>4156</v>
      </c>
      <c r="P1105" s="21">
        <v>29549</v>
      </c>
      <c r="Q1105" s="3" t="s">
        <v>4157</v>
      </c>
      <c r="AD1105" s="698"/>
      <c r="AE1105" s="655"/>
    </row>
    <row r="1106" spans="1:31" ht="12" customHeight="1" thickBot="1">
      <c r="A1106" s="938"/>
      <c r="B1106" s="700" t="s">
        <v>4147</v>
      </c>
      <c r="C1106" s="699" t="s">
        <v>4158</v>
      </c>
      <c r="D1106" s="699">
        <f t="shared" si="17"/>
        <v>30</v>
      </c>
      <c r="E1106" s="702" t="s">
        <v>19</v>
      </c>
      <c r="F1106" s="699"/>
      <c r="G1106" s="703"/>
      <c r="H1106" s="699"/>
      <c r="I1106" s="699"/>
      <c r="J1106" s="700" t="s">
        <v>16122</v>
      </c>
      <c r="K1106" s="699" t="s">
        <v>22</v>
      </c>
      <c r="L1106" s="699" t="s">
        <v>6</v>
      </c>
      <c r="M1106" s="705"/>
      <c r="N1106" s="706"/>
      <c r="O1106" s="703" t="s">
        <v>447</v>
      </c>
      <c r="P1106" s="707">
        <v>29972</v>
      </c>
      <c r="Q1106" s="703" t="s">
        <v>4159</v>
      </c>
      <c r="R1106" s="703"/>
      <c r="S1106" s="703"/>
      <c r="T1106" s="703"/>
      <c r="U1106" s="702"/>
      <c r="V1106" s="702"/>
      <c r="W1106" s="702"/>
      <c r="X1106" s="702"/>
      <c r="Y1106" s="702"/>
      <c r="Z1106" s="702"/>
      <c r="AA1106" s="702"/>
      <c r="AB1106" s="702"/>
      <c r="AC1106" s="702"/>
      <c r="AD1106" s="708"/>
      <c r="AE1106" s="655"/>
    </row>
    <row r="1107" spans="1:31" ht="12" customHeight="1">
      <c r="A1107" s="936" t="s">
        <v>18245</v>
      </c>
      <c r="B1107" s="688" t="s">
        <v>4160</v>
      </c>
      <c r="C1107" s="687" t="s">
        <v>4163</v>
      </c>
      <c r="D1107" s="687">
        <f t="shared" si="17"/>
        <v>41</v>
      </c>
      <c r="E1107" s="696" t="s">
        <v>5</v>
      </c>
      <c r="F1107" s="689" t="s">
        <v>15273</v>
      </c>
      <c r="G1107" s="747" t="s">
        <v>4164</v>
      </c>
      <c r="H1107" s="687"/>
      <c r="I1107" s="687"/>
      <c r="J1107" s="692" t="s">
        <v>16126</v>
      </c>
      <c r="K1107" s="687" t="s">
        <v>44</v>
      </c>
      <c r="L1107" s="687" t="s">
        <v>25</v>
      </c>
      <c r="M1107" s="748">
        <v>2</v>
      </c>
      <c r="N1107" s="749">
        <v>2</v>
      </c>
      <c r="O1107" s="747" t="s">
        <v>4096</v>
      </c>
      <c r="P1107" s="773">
        <v>26041</v>
      </c>
      <c r="Q1107" s="747" t="s">
        <v>4165</v>
      </c>
      <c r="R1107" s="747" t="s">
        <v>4166</v>
      </c>
      <c r="S1107" s="747" t="s">
        <v>6214</v>
      </c>
      <c r="T1107" s="747" t="s">
        <v>4167</v>
      </c>
      <c r="U1107" s="696" t="s">
        <v>47</v>
      </c>
      <c r="V1107" s="696"/>
      <c r="W1107" s="696"/>
      <c r="X1107" s="696"/>
      <c r="Y1107" s="696"/>
      <c r="Z1107" s="696"/>
      <c r="AA1107" s="696"/>
      <c r="AB1107" s="696"/>
      <c r="AC1107" s="696"/>
      <c r="AD1107" s="697"/>
      <c r="AE1107" s="655"/>
    </row>
    <row r="1108" spans="1:31" ht="12" customHeight="1">
      <c r="A1108" s="937" t="s">
        <v>18219</v>
      </c>
      <c r="B1108" s="4" t="s">
        <v>4161</v>
      </c>
      <c r="C1108" s="1" t="s">
        <v>4168</v>
      </c>
      <c r="D1108" s="1">
        <f t="shared" si="17"/>
        <v>54</v>
      </c>
      <c r="E1108" s="2" t="s">
        <v>5</v>
      </c>
      <c r="F1108" s="1" t="s">
        <v>15273</v>
      </c>
      <c r="G1108" s="3" t="s">
        <v>4169</v>
      </c>
      <c r="J1108" s="4" t="s">
        <v>16120</v>
      </c>
      <c r="K1108" s="1" t="s">
        <v>30</v>
      </c>
      <c r="L1108" s="1" t="s">
        <v>25</v>
      </c>
      <c r="M1108" s="16">
        <v>4</v>
      </c>
      <c r="N1108" s="17">
        <v>4</v>
      </c>
      <c r="O1108" s="3" t="s">
        <v>450</v>
      </c>
      <c r="P1108" s="20">
        <v>21210</v>
      </c>
      <c r="Q1108" s="3" t="s">
        <v>4170</v>
      </c>
      <c r="R1108" s="3" t="s">
        <v>4171</v>
      </c>
      <c r="S1108" s="3" t="s">
        <v>5457</v>
      </c>
      <c r="T1108" s="3" t="s">
        <v>4086</v>
      </c>
      <c r="AA1108" s="2" t="s">
        <v>4086</v>
      </c>
      <c r="AD1108" s="698"/>
      <c r="AE1108" s="655"/>
    </row>
    <row r="1109" spans="1:31" ht="12" customHeight="1">
      <c r="A1109" s="937" t="s">
        <v>18223</v>
      </c>
      <c r="B1109" s="4" t="s">
        <v>4162</v>
      </c>
      <c r="C1109" s="1" t="s">
        <v>5862</v>
      </c>
      <c r="D1109" s="1">
        <f t="shared" si="17"/>
        <v>66</v>
      </c>
      <c r="E1109" s="2" t="s">
        <v>5</v>
      </c>
      <c r="F1109" s="1" t="s">
        <v>15273</v>
      </c>
      <c r="J1109" s="4" t="s">
        <v>16116</v>
      </c>
      <c r="K1109" s="1" t="s">
        <v>5858</v>
      </c>
      <c r="L1109" s="1" t="s">
        <v>6</v>
      </c>
      <c r="O1109" s="3" t="s">
        <v>3539</v>
      </c>
      <c r="P1109" s="20">
        <v>16892</v>
      </c>
      <c r="Q1109" s="3" t="s">
        <v>5951</v>
      </c>
      <c r="T1109" s="3" t="s">
        <v>5950</v>
      </c>
      <c r="V1109" s="2" t="s">
        <v>5950</v>
      </c>
      <c r="AD1109" s="698"/>
      <c r="AE1109" s="655"/>
    </row>
    <row r="1110" spans="1:31" ht="12" customHeight="1" thickBot="1">
      <c r="A1110" s="938"/>
      <c r="B1110" s="700" t="s">
        <v>5435</v>
      </c>
      <c r="C1110" s="699" t="s">
        <v>4172</v>
      </c>
      <c r="D1110" s="699">
        <f t="shared" si="17"/>
        <v>53</v>
      </c>
      <c r="E1110" s="702" t="s">
        <v>5</v>
      </c>
      <c r="F1110" s="699"/>
      <c r="G1110" s="703"/>
      <c r="H1110" s="699"/>
      <c r="I1110" s="699"/>
      <c r="J1110" s="700" t="s">
        <v>16117</v>
      </c>
      <c r="K1110" s="699"/>
      <c r="L1110" s="699" t="s">
        <v>6</v>
      </c>
      <c r="M1110" s="705"/>
      <c r="N1110" s="706"/>
      <c r="O1110" s="703" t="s">
        <v>3596</v>
      </c>
      <c r="P1110" s="707">
        <v>21707</v>
      </c>
      <c r="Q1110" s="703" t="s">
        <v>4173</v>
      </c>
      <c r="R1110" s="703"/>
      <c r="S1110" s="703"/>
      <c r="T1110" s="703" t="s">
        <v>69</v>
      </c>
      <c r="U1110" s="702"/>
      <c r="V1110" s="702"/>
      <c r="W1110" s="702"/>
      <c r="X1110" s="702"/>
      <c r="Y1110" s="702"/>
      <c r="Z1110" s="702"/>
      <c r="AA1110" s="702"/>
      <c r="AB1110" s="702"/>
      <c r="AC1110" s="702"/>
      <c r="AD1110" s="708" t="s">
        <v>4114</v>
      </c>
      <c r="AE1110" s="655"/>
    </row>
    <row r="1111" spans="1:31" ht="12" customHeight="1">
      <c r="A1111" s="936" t="s">
        <v>18246</v>
      </c>
      <c r="B1111" s="688" t="s">
        <v>4174</v>
      </c>
      <c r="C1111" s="687" t="s">
        <v>4177</v>
      </c>
      <c r="D1111" s="687">
        <f t="shared" si="17"/>
        <v>43</v>
      </c>
      <c r="E1111" s="696" t="s">
        <v>5</v>
      </c>
      <c r="F1111" s="689" t="s">
        <v>15273</v>
      </c>
      <c r="G1111" s="747" t="s">
        <v>4178</v>
      </c>
      <c r="H1111" s="687"/>
      <c r="I1111" s="687"/>
      <c r="J1111" s="692" t="s">
        <v>16127</v>
      </c>
      <c r="K1111" s="687" t="s">
        <v>44</v>
      </c>
      <c r="L1111" s="687" t="s">
        <v>25</v>
      </c>
      <c r="M1111" s="748">
        <v>1</v>
      </c>
      <c r="N1111" s="749">
        <v>1</v>
      </c>
      <c r="O1111" s="747" t="s">
        <v>255</v>
      </c>
      <c r="P1111" s="773">
        <v>25324</v>
      </c>
      <c r="Q1111" s="747" t="s">
        <v>1629</v>
      </c>
      <c r="R1111" s="747"/>
      <c r="S1111" s="747" t="s">
        <v>6214</v>
      </c>
      <c r="T1111" s="747" t="s">
        <v>4167</v>
      </c>
      <c r="U1111" s="696" t="s">
        <v>47</v>
      </c>
      <c r="V1111" s="696"/>
      <c r="W1111" s="696"/>
      <c r="X1111" s="696"/>
      <c r="Y1111" s="696"/>
      <c r="Z1111" s="696"/>
      <c r="AA1111" s="696"/>
      <c r="AB1111" s="696"/>
      <c r="AC1111" s="696"/>
      <c r="AD1111" s="697"/>
      <c r="AE1111" s="655"/>
    </row>
    <row r="1112" spans="1:31" ht="12" customHeight="1">
      <c r="A1112" s="937" t="s">
        <v>18220</v>
      </c>
      <c r="B1112" s="4" t="s">
        <v>4175</v>
      </c>
      <c r="C1112" s="1" t="s">
        <v>4179</v>
      </c>
      <c r="D1112" s="1">
        <f t="shared" si="17"/>
        <v>47</v>
      </c>
      <c r="E1112" s="2" t="s">
        <v>5</v>
      </c>
      <c r="F1112" s="1" t="s">
        <v>15273</v>
      </c>
      <c r="J1112" s="8" t="s">
        <v>16120</v>
      </c>
      <c r="K1112" s="1" t="s">
        <v>30</v>
      </c>
      <c r="L1112" s="1" t="s">
        <v>6</v>
      </c>
      <c r="O1112" s="3" t="s">
        <v>4103</v>
      </c>
      <c r="P1112" s="20">
        <v>23956</v>
      </c>
      <c r="Q1112" s="3" t="s">
        <v>4180</v>
      </c>
      <c r="S1112" s="3" t="s">
        <v>5889</v>
      </c>
      <c r="T1112" s="3" t="s">
        <v>4167</v>
      </c>
      <c r="U1112" s="2" t="s">
        <v>47</v>
      </c>
      <c r="AD1112" s="698"/>
      <c r="AE1112" s="655"/>
    </row>
    <row r="1113" spans="1:31" ht="12" customHeight="1" thickBot="1">
      <c r="A1113" s="938"/>
      <c r="B1113" s="700" t="s">
        <v>4176</v>
      </c>
      <c r="C1113" s="699" t="s">
        <v>5066</v>
      </c>
      <c r="D1113" s="699">
        <f t="shared" si="17"/>
        <v>52</v>
      </c>
      <c r="E1113" s="702" t="s">
        <v>5</v>
      </c>
      <c r="F1113" s="699"/>
      <c r="G1113" s="703"/>
      <c r="H1113" s="699"/>
      <c r="I1113" s="699"/>
      <c r="J1113" s="700" t="s">
        <v>16117</v>
      </c>
      <c r="K1113" s="699"/>
      <c r="L1113" s="699" t="s">
        <v>6</v>
      </c>
      <c r="M1113" s="705"/>
      <c r="N1113" s="706"/>
      <c r="O1113" s="703" t="s">
        <v>16054</v>
      </c>
      <c r="P1113" s="707">
        <v>22214</v>
      </c>
      <c r="Q1113" s="703" t="s">
        <v>5067</v>
      </c>
      <c r="R1113" s="703"/>
      <c r="S1113" s="703"/>
      <c r="T1113" s="703"/>
      <c r="U1113" s="702"/>
      <c r="V1113" s="702"/>
      <c r="W1113" s="702"/>
      <c r="X1113" s="702"/>
      <c r="Y1113" s="702"/>
      <c r="Z1113" s="702"/>
      <c r="AA1113" s="702"/>
      <c r="AB1113" s="702"/>
      <c r="AC1113" s="702"/>
      <c r="AD1113" s="708"/>
      <c r="AE1113" s="655"/>
    </row>
    <row r="1114" spans="1:31" ht="12" customHeight="1">
      <c r="A1114" s="936" t="s">
        <v>18218</v>
      </c>
      <c r="B1114" s="688" t="s">
        <v>4184</v>
      </c>
      <c r="C1114" s="687" t="s">
        <v>4187</v>
      </c>
      <c r="D1114" s="687">
        <f t="shared" si="17"/>
        <v>44</v>
      </c>
      <c r="E1114" s="696" t="s">
        <v>5</v>
      </c>
      <c r="F1114" s="687" t="s">
        <v>15273</v>
      </c>
      <c r="G1114" s="747"/>
      <c r="H1114" s="687"/>
      <c r="I1114" s="687"/>
      <c r="J1114" s="688" t="s">
        <v>16120</v>
      </c>
      <c r="K1114" s="687" t="s">
        <v>934</v>
      </c>
      <c r="L1114" s="687" t="s">
        <v>6</v>
      </c>
      <c r="M1114" s="748"/>
      <c r="N1114" s="749"/>
      <c r="O1114" s="747" t="s">
        <v>4103</v>
      </c>
      <c r="P1114" s="773">
        <v>25143</v>
      </c>
      <c r="Q1114" s="747" t="s">
        <v>4188</v>
      </c>
      <c r="R1114" s="747"/>
      <c r="S1114" s="747" t="s">
        <v>5889</v>
      </c>
      <c r="T1114" s="747" t="s">
        <v>4086</v>
      </c>
      <c r="U1114" s="696"/>
      <c r="V1114" s="696"/>
      <c r="W1114" s="696"/>
      <c r="X1114" s="696"/>
      <c r="Y1114" s="696"/>
      <c r="Z1114" s="696"/>
      <c r="AA1114" s="696" t="s">
        <v>4086</v>
      </c>
      <c r="AB1114" s="696"/>
      <c r="AC1114" s="696"/>
      <c r="AD1114" s="697"/>
      <c r="AE1114" s="655"/>
    </row>
    <row r="1115" spans="1:31" ht="12" customHeight="1">
      <c r="A1115" s="937"/>
      <c r="B1115" s="4" t="s">
        <v>4185</v>
      </c>
      <c r="C1115" s="1" t="s">
        <v>4189</v>
      </c>
      <c r="D1115" s="1">
        <f t="shared" si="17"/>
        <v>52</v>
      </c>
      <c r="E1115" s="2" t="s">
        <v>5</v>
      </c>
      <c r="J1115" s="4" t="s">
        <v>16117</v>
      </c>
      <c r="L1115" s="1" t="s">
        <v>6</v>
      </c>
      <c r="O1115" s="3" t="s">
        <v>3693</v>
      </c>
      <c r="P1115" s="20">
        <v>22098</v>
      </c>
      <c r="Q1115" s="3" t="s">
        <v>4232</v>
      </c>
      <c r="AD1115" s="698"/>
      <c r="AE1115" s="655"/>
    </row>
    <row r="1116" spans="1:31" ht="12" customHeight="1" thickBot="1">
      <c r="A1116" s="938" t="s">
        <v>18223</v>
      </c>
      <c r="B1116" s="700" t="s">
        <v>4186</v>
      </c>
      <c r="C1116" s="699" t="s">
        <v>4190</v>
      </c>
      <c r="D1116" s="699">
        <f t="shared" si="17"/>
        <v>54</v>
      </c>
      <c r="E1116" s="702" t="s">
        <v>5</v>
      </c>
      <c r="F1116" s="699" t="s">
        <v>15273</v>
      </c>
      <c r="G1116" s="703"/>
      <c r="H1116" s="699"/>
      <c r="I1116" s="699"/>
      <c r="J1116" s="700" t="s">
        <v>16121</v>
      </c>
      <c r="K1116" s="699"/>
      <c r="L1116" s="699" t="s">
        <v>6</v>
      </c>
      <c r="M1116" s="705"/>
      <c r="N1116" s="706"/>
      <c r="O1116" s="703" t="s">
        <v>3306</v>
      </c>
      <c r="P1116" s="707">
        <v>21436</v>
      </c>
      <c r="Q1116" s="703" t="s">
        <v>4191</v>
      </c>
      <c r="R1116" s="703"/>
      <c r="S1116" s="703"/>
      <c r="T1116" s="703" t="s">
        <v>4114</v>
      </c>
      <c r="U1116" s="702"/>
      <c r="V1116" s="702"/>
      <c r="W1116" s="702"/>
      <c r="X1116" s="702"/>
      <c r="Y1116" s="702"/>
      <c r="Z1116" s="702"/>
      <c r="AA1116" s="702"/>
      <c r="AB1116" s="702"/>
      <c r="AC1116" s="702"/>
      <c r="AD1116" s="708" t="s">
        <v>4114</v>
      </c>
      <c r="AE1116" s="655"/>
    </row>
    <row r="1117" spans="1:31" ht="12" customHeight="1">
      <c r="A1117" s="936" t="s">
        <v>18245</v>
      </c>
      <c r="B1117" s="688" t="s">
        <v>4192</v>
      </c>
      <c r="C1117" s="687" t="s">
        <v>4198</v>
      </c>
      <c r="D1117" s="687">
        <f t="shared" si="17"/>
        <v>52</v>
      </c>
      <c r="E1117" s="696" t="s">
        <v>19</v>
      </c>
      <c r="F1117" s="689" t="s">
        <v>15273</v>
      </c>
      <c r="G1117" s="747" t="s">
        <v>4199</v>
      </c>
      <c r="H1117" s="687"/>
      <c r="I1117" s="687"/>
      <c r="J1117" s="692" t="s">
        <v>16127</v>
      </c>
      <c r="K1117" s="687" t="s">
        <v>44</v>
      </c>
      <c r="L1117" s="687" t="s">
        <v>25</v>
      </c>
      <c r="M1117" s="748">
        <v>1</v>
      </c>
      <c r="N1117" s="749">
        <v>1</v>
      </c>
      <c r="O1117" s="747" t="s">
        <v>4200</v>
      </c>
      <c r="P1117" s="773">
        <v>22082</v>
      </c>
      <c r="Q1117" s="747" t="s">
        <v>4201</v>
      </c>
      <c r="R1117" s="747"/>
      <c r="S1117" s="747" t="s">
        <v>6214</v>
      </c>
      <c r="T1117" s="747" t="s">
        <v>4183</v>
      </c>
      <c r="U1117" s="696"/>
      <c r="V1117" s="696"/>
      <c r="W1117" s="696"/>
      <c r="X1117" s="696"/>
      <c r="Y1117" s="696" t="s">
        <v>4183</v>
      </c>
      <c r="Z1117" s="696"/>
      <c r="AA1117" s="696"/>
      <c r="AB1117" s="696"/>
      <c r="AC1117" s="696"/>
      <c r="AD1117" s="697"/>
      <c r="AE1117" s="655"/>
    </row>
    <row r="1118" spans="1:31" ht="12" customHeight="1">
      <c r="A1118" s="937" t="s">
        <v>18219</v>
      </c>
      <c r="B1118" s="4" t="s">
        <v>4193</v>
      </c>
      <c r="C1118" s="1" t="s">
        <v>4202</v>
      </c>
      <c r="D1118" s="1">
        <f t="shared" si="17"/>
        <v>62</v>
      </c>
      <c r="E1118" s="2" t="s">
        <v>5</v>
      </c>
      <c r="F1118" s="1" t="s">
        <v>15273</v>
      </c>
      <c r="G1118" s="3" t="s">
        <v>4203</v>
      </c>
      <c r="J1118" s="4" t="s">
        <v>16120</v>
      </c>
      <c r="K1118" s="1" t="s">
        <v>476</v>
      </c>
      <c r="L1118" s="1" t="s">
        <v>25</v>
      </c>
      <c r="M1118" s="16">
        <v>5</v>
      </c>
      <c r="N1118" s="17">
        <v>6</v>
      </c>
      <c r="O1118" s="3" t="s">
        <v>255</v>
      </c>
      <c r="P1118" s="20">
        <v>18574</v>
      </c>
      <c r="Q1118" s="3" t="s">
        <v>4204</v>
      </c>
      <c r="R1118" s="3" t="s">
        <v>4205</v>
      </c>
      <c r="T1118" s="3" t="s">
        <v>4206</v>
      </c>
      <c r="X1118" s="2" t="s">
        <v>4207</v>
      </c>
      <c r="AA1118" s="2" t="s">
        <v>4086</v>
      </c>
      <c r="AD1118" s="698"/>
      <c r="AE1118" s="655"/>
    </row>
    <row r="1119" spans="1:31" ht="12" customHeight="1">
      <c r="A1119" s="937" t="s">
        <v>18245</v>
      </c>
      <c r="B1119" s="4" t="s">
        <v>4194</v>
      </c>
      <c r="C1119" s="1" t="s">
        <v>5196</v>
      </c>
      <c r="D1119" s="1">
        <f t="shared" si="17"/>
        <v>54</v>
      </c>
      <c r="E1119" s="2" t="s">
        <v>5</v>
      </c>
      <c r="F1119" s="1" t="s">
        <v>15273</v>
      </c>
      <c r="J1119" s="4" t="s">
        <v>16116</v>
      </c>
      <c r="K1119" s="1" t="s">
        <v>5200</v>
      </c>
      <c r="L1119" s="1" t="s">
        <v>6</v>
      </c>
      <c r="O1119" s="3" t="s">
        <v>95</v>
      </c>
      <c r="P1119" s="20">
        <v>21433</v>
      </c>
      <c r="Q1119" s="3" t="s">
        <v>5199</v>
      </c>
      <c r="T1119" s="3" t="s">
        <v>5201</v>
      </c>
      <c r="V1119" s="2" t="s">
        <v>5201</v>
      </c>
      <c r="AD1119" s="698"/>
      <c r="AE1119" s="655"/>
    </row>
    <row r="1120" spans="1:31" ht="12" customHeight="1">
      <c r="A1120" s="937"/>
      <c r="B1120" s="4" t="s">
        <v>5195</v>
      </c>
      <c r="C1120" s="1" t="s">
        <v>4210</v>
      </c>
      <c r="D1120" s="1">
        <f t="shared" si="17"/>
        <v>45</v>
      </c>
      <c r="E1120" s="2" t="s">
        <v>5</v>
      </c>
      <c r="J1120" s="4" t="s">
        <v>16117</v>
      </c>
      <c r="L1120" s="1" t="s">
        <v>6</v>
      </c>
      <c r="O1120" s="3" t="s">
        <v>4211</v>
      </c>
      <c r="P1120" s="20">
        <v>24584</v>
      </c>
      <c r="Q1120" s="3" t="s">
        <v>4212</v>
      </c>
      <c r="AD1120" s="698"/>
      <c r="AE1120" s="655"/>
    </row>
    <row r="1121" spans="1:31" ht="12" customHeight="1" thickBot="1">
      <c r="A1121" s="938"/>
      <c r="B1121" s="700" t="s">
        <v>5604</v>
      </c>
      <c r="C1121" s="699" t="s">
        <v>5605</v>
      </c>
      <c r="D1121" s="699">
        <f t="shared" si="17"/>
        <v>51</v>
      </c>
      <c r="E1121" s="702" t="s">
        <v>5</v>
      </c>
      <c r="F1121" s="699"/>
      <c r="G1121" s="703"/>
      <c r="H1121" s="699"/>
      <c r="I1121" s="699"/>
      <c r="J1121" s="704" t="s">
        <v>16129</v>
      </c>
      <c r="K1121" s="699"/>
      <c r="L1121" s="699" t="s">
        <v>6</v>
      </c>
      <c r="M1121" s="705"/>
      <c r="N1121" s="706"/>
      <c r="O1121" s="703" t="s">
        <v>188</v>
      </c>
      <c r="P1121" s="707">
        <v>22321</v>
      </c>
      <c r="Q1121" s="703" t="s">
        <v>5606</v>
      </c>
      <c r="R1121" s="703"/>
      <c r="S1121" s="703"/>
      <c r="T1121" s="703"/>
      <c r="U1121" s="702"/>
      <c r="V1121" s="702"/>
      <c r="W1121" s="702"/>
      <c r="X1121" s="702"/>
      <c r="Y1121" s="702"/>
      <c r="Z1121" s="702"/>
      <c r="AA1121" s="702"/>
      <c r="AB1121" s="702"/>
      <c r="AC1121" s="702"/>
      <c r="AD1121" s="708"/>
      <c r="AE1121" s="655"/>
    </row>
    <row r="1122" spans="1:31" ht="12" customHeight="1">
      <c r="A1122" s="936" t="s">
        <v>18219</v>
      </c>
      <c r="B1122" s="688" t="s">
        <v>4213</v>
      </c>
      <c r="C1122" s="687" t="s">
        <v>4216</v>
      </c>
      <c r="D1122" s="687">
        <f t="shared" si="17"/>
        <v>60</v>
      </c>
      <c r="E1122" s="696" t="s">
        <v>5</v>
      </c>
      <c r="F1122" s="687" t="s">
        <v>15273</v>
      </c>
      <c r="G1122" s="747" t="s">
        <v>4217</v>
      </c>
      <c r="H1122" s="687"/>
      <c r="I1122" s="687"/>
      <c r="J1122" s="692" t="s">
        <v>16120</v>
      </c>
      <c r="K1122" s="687" t="s">
        <v>30</v>
      </c>
      <c r="L1122" s="687" t="s">
        <v>25</v>
      </c>
      <c r="M1122" s="748">
        <v>8</v>
      </c>
      <c r="N1122" s="749">
        <v>8</v>
      </c>
      <c r="O1122" s="747" t="s">
        <v>4096</v>
      </c>
      <c r="P1122" s="773">
        <v>19125</v>
      </c>
      <c r="Q1122" s="747" t="s">
        <v>4218</v>
      </c>
      <c r="R1122" s="747" t="s">
        <v>4219</v>
      </c>
      <c r="S1122" s="747"/>
      <c r="T1122" s="747" t="s">
        <v>4086</v>
      </c>
      <c r="U1122" s="696"/>
      <c r="V1122" s="696"/>
      <c r="W1122" s="696"/>
      <c r="X1122" s="696"/>
      <c r="Y1122" s="696"/>
      <c r="Z1122" s="696"/>
      <c r="AA1122" s="696" t="s">
        <v>4086</v>
      </c>
      <c r="AB1122" s="696"/>
      <c r="AC1122" s="696"/>
      <c r="AD1122" s="697"/>
      <c r="AE1122" s="655"/>
    </row>
    <row r="1123" spans="1:31" ht="12" customHeight="1">
      <c r="A1123" s="937" t="s">
        <v>18245</v>
      </c>
      <c r="B1123" s="4" t="s">
        <v>4214</v>
      </c>
      <c r="C1123" s="1" t="s">
        <v>4208</v>
      </c>
      <c r="D1123" s="1">
        <f t="shared" si="17"/>
        <v>37</v>
      </c>
      <c r="E1123" s="2" t="s">
        <v>5</v>
      </c>
      <c r="F1123" s="1" t="s">
        <v>15273</v>
      </c>
      <c r="G1123" s="3" t="s">
        <v>4638</v>
      </c>
      <c r="H1123" s="1" t="s">
        <v>4639</v>
      </c>
      <c r="J1123" s="4" t="s">
        <v>16125</v>
      </c>
      <c r="L1123" s="1" t="s">
        <v>6</v>
      </c>
      <c r="N1123" s="17">
        <v>2</v>
      </c>
      <c r="O1123" s="3" t="s">
        <v>188</v>
      </c>
      <c r="P1123" s="20">
        <v>27508</v>
      </c>
      <c r="Q1123" s="3" t="s">
        <v>4640</v>
      </c>
      <c r="R1123" s="3" t="s">
        <v>374</v>
      </c>
      <c r="S1123" s="3" t="s">
        <v>16093</v>
      </c>
      <c r="T1123" s="3" t="s">
        <v>4641</v>
      </c>
      <c r="X1123" s="2" t="s">
        <v>4642</v>
      </c>
      <c r="Z1123" s="2" t="s">
        <v>4643</v>
      </c>
      <c r="AD1123" s="698"/>
      <c r="AE1123" s="655"/>
    </row>
    <row r="1124" spans="1:31" ht="12" customHeight="1">
      <c r="A1124" s="937" t="s">
        <v>18223</v>
      </c>
      <c r="B1124" s="4" t="s">
        <v>4215</v>
      </c>
      <c r="C1124" s="1" t="s">
        <v>5307</v>
      </c>
      <c r="D1124" s="1">
        <f t="shared" si="17"/>
        <v>39</v>
      </c>
      <c r="E1124" s="2" t="s">
        <v>5</v>
      </c>
      <c r="F1124" s="1" t="s">
        <v>15273</v>
      </c>
      <c r="J1124" s="4" t="s">
        <v>16116</v>
      </c>
      <c r="K1124" s="1" t="s">
        <v>5619</v>
      </c>
      <c r="L1124" s="1" t="s">
        <v>6</v>
      </c>
      <c r="O1124" s="3" t="s">
        <v>6161</v>
      </c>
      <c r="P1124" s="20">
        <v>26698</v>
      </c>
      <c r="Q1124" s="3" t="s">
        <v>5308</v>
      </c>
      <c r="S1124" s="3" t="s">
        <v>6155</v>
      </c>
      <c r="AD1124" s="698"/>
      <c r="AE1124" s="655"/>
    </row>
    <row r="1125" spans="1:31" ht="12" customHeight="1" thickBot="1">
      <c r="A1125" s="938"/>
      <c r="B1125" s="700" t="s">
        <v>4637</v>
      </c>
      <c r="C1125" s="699" t="s">
        <v>5642</v>
      </c>
      <c r="D1125" s="699">
        <f t="shared" si="17"/>
        <v>57</v>
      </c>
      <c r="E1125" s="702" t="s">
        <v>19</v>
      </c>
      <c r="F1125" s="699"/>
      <c r="G1125" s="703"/>
      <c r="H1125" s="699"/>
      <c r="I1125" s="699"/>
      <c r="J1125" s="700" t="s">
        <v>16117</v>
      </c>
      <c r="K1125" s="699"/>
      <c r="L1125" s="699" t="s">
        <v>6</v>
      </c>
      <c r="M1125" s="705"/>
      <c r="N1125" s="706"/>
      <c r="O1125" s="703" t="s">
        <v>5643</v>
      </c>
      <c r="P1125" s="707">
        <v>20126</v>
      </c>
      <c r="Q1125" s="703" t="s">
        <v>5644</v>
      </c>
      <c r="R1125" s="703"/>
      <c r="S1125" s="703"/>
      <c r="T1125" s="703" t="s">
        <v>5463</v>
      </c>
      <c r="U1125" s="702"/>
      <c r="V1125" s="702" t="s">
        <v>5463</v>
      </c>
      <c r="W1125" s="702"/>
      <c r="X1125" s="702"/>
      <c r="Y1125" s="702"/>
      <c r="Z1125" s="702"/>
      <c r="AA1125" s="702"/>
      <c r="AB1125" s="702"/>
      <c r="AC1125" s="702"/>
      <c r="AD1125" s="708"/>
      <c r="AE1125" s="655"/>
    </row>
    <row r="1126" spans="1:31" ht="12" customHeight="1">
      <c r="A1126" s="936" t="s">
        <v>18245</v>
      </c>
      <c r="B1126" s="688" t="s">
        <v>4220</v>
      </c>
      <c r="C1126" s="687" t="s">
        <v>4223</v>
      </c>
      <c r="D1126" s="687">
        <f t="shared" si="17"/>
        <v>49</v>
      </c>
      <c r="E1126" s="696" t="s">
        <v>5</v>
      </c>
      <c r="F1126" s="689" t="s">
        <v>15273</v>
      </c>
      <c r="G1126" s="747" t="s">
        <v>4224</v>
      </c>
      <c r="H1126" s="687"/>
      <c r="I1126" s="687"/>
      <c r="J1126" s="692" t="s">
        <v>16126</v>
      </c>
      <c r="K1126" s="687" t="s">
        <v>44</v>
      </c>
      <c r="L1126" s="687" t="s">
        <v>25</v>
      </c>
      <c r="M1126" s="748">
        <v>1</v>
      </c>
      <c r="N1126" s="749">
        <v>1</v>
      </c>
      <c r="O1126" s="747" t="s">
        <v>4225</v>
      </c>
      <c r="P1126" s="773">
        <v>23187</v>
      </c>
      <c r="Q1126" s="747" t="s">
        <v>4226</v>
      </c>
      <c r="R1126" s="747"/>
      <c r="S1126" s="747" t="s">
        <v>6214</v>
      </c>
      <c r="T1126" s="747"/>
      <c r="U1126" s="696"/>
      <c r="V1126" s="696"/>
      <c r="W1126" s="696"/>
      <c r="X1126" s="696"/>
      <c r="Y1126" s="696"/>
      <c r="Z1126" s="696"/>
      <c r="AA1126" s="696"/>
      <c r="AB1126" s="696"/>
      <c r="AC1126" s="696"/>
      <c r="AD1126" s="697"/>
      <c r="AE1126" s="655"/>
    </row>
    <row r="1127" spans="1:31" ht="12" customHeight="1">
      <c r="A1127" s="937" t="s">
        <v>18219</v>
      </c>
      <c r="B1127" s="4" t="s">
        <v>4221</v>
      </c>
      <c r="C1127" s="1" t="s">
        <v>4227</v>
      </c>
      <c r="D1127" s="1">
        <f t="shared" si="17"/>
        <v>56</v>
      </c>
      <c r="E1127" s="2" t="s">
        <v>5</v>
      </c>
      <c r="F1127" s="1" t="s">
        <v>15273</v>
      </c>
      <c r="J1127" s="4" t="s">
        <v>16120</v>
      </c>
      <c r="K1127" s="1" t="s">
        <v>30</v>
      </c>
      <c r="L1127" s="1" t="s">
        <v>6</v>
      </c>
      <c r="O1127" s="3" t="s">
        <v>188</v>
      </c>
      <c r="P1127" s="20">
        <v>20546</v>
      </c>
      <c r="Q1127" s="3" t="s">
        <v>4228</v>
      </c>
      <c r="T1127" s="3" t="s">
        <v>4075</v>
      </c>
      <c r="V1127" s="2" t="s">
        <v>4075</v>
      </c>
      <c r="AD1127" s="698"/>
      <c r="AE1127" s="655"/>
    </row>
    <row r="1128" spans="1:31" ht="12" customHeight="1">
      <c r="A1128" s="937"/>
      <c r="B1128" s="4" t="s">
        <v>4222</v>
      </c>
      <c r="C1128" s="1" t="s">
        <v>5203</v>
      </c>
      <c r="D1128" s="1">
        <f t="shared" si="17"/>
        <v>31</v>
      </c>
      <c r="E1128" s="2" t="s">
        <v>19</v>
      </c>
      <c r="F1128" s="1" t="s">
        <v>15273</v>
      </c>
      <c r="J1128" s="4" t="s">
        <v>16116</v>
      </c>
      <c r="K1128" s="1" t="s">
        <v>5198</v>
      </c>
      <c r="L1128" s="1" t="s">
        <v>6</v>
      </c>
      <c r="O1128" s="3" t="s">
        <v>5204</v>
      </c>
      <c r="P1128" s="21">
        <v>29769</v>
      </c>
      <c r="Q1128" s="3" t="s">
        <v>5205</v>
      </c>
      <c r="S1128" s="3" t="s">
        <v>6155</v>
      </c>
      <c r="AD1128" s="698"/>
      <c r="AE1128" s="655"/>
    </row>
    <row r="1129" spans="1:31" ht="12" customHeight="1" thickBot="1">
      <c r="A1129" s="938"/>
      <c r="B1129" s="700" t="s">
        <v>5202</v>
      </c>
      <c r="C1129" s="699" t="s">
        <v>4229</v>
      </c>
      <c r="D1129" s="699">
        <f t="shared" si="17"/>
        <v>60</v>
      </c>
      <c r="E1129" s="702" t="s">
        <v>5</v>
      </c>
      <c r="F1129" s="699"/>
      <c r="G1129" s="703"/>
      <c r="H1129" s="699"/>
      <c r="I1129" s="699"/>
      <c r="J1129" s="700" t="s">
        <v>16117</v>
      </c>
      <c r="K1129" s="699"/>
      <c r="L1129" s="699" t="s">
        <v>6</v>
      </c>
      <c r="M1129" s="705"/>
      <c r="N1129" s="706"/>
      <c r="O1129" s="703" t="s">
        <v>4230</v>
      </c>
      <c r="P1129" s="723">
        <v>19252</v>
      </c>
      <c r="Q1129" s="703" t="s">
        <v>4231</v>
      </c>
      <c r="R1129" s="703"/>
      <c r="S1129" s="703"/>
      <c r="T1129" s="703"/>
      <c r="U1129" s="702"/>
      <c r="V1129" s="702"/>
      <c r="W1129" s="702"/>
      <c r="X1129" s="702"/>
      <c r="Y1129" s="702"/>
      <c r="Z1129" s="702"/>
      <c r="AA1129" s="702"/>
      <c r="AB1129" s="702"/>
      <c r="AC1129" s="702"/>
      <c r="AD1129" s="708"/>
      <c r="AE1129" s="655"/>
    </row>
    <row r="1130" spans="1:31" ht="12" customHeight="1">
      <c r="A1130" s="936" t="s">
        <v>18223</v>
      </c>
      <c r="B1130" s="688" t="s">
        <v>4233</v>
      </c>
      <c r="C1130" s="687" t="s">
        <v>4241</v>
      </c>
      <c r="D1130" s="687">
        <f t="shared" si="17"/>
        <v>40</v>
      </c>
      <c r="E1130" s="696" t="s">
        <v>5</v>
      </c>
      <c r="F1130" s="689" t="s">
        <v>15273</v>
      </c>
      <c r="G1130" s="747" t="s">
        <v>4242</v>
      </c>
      <c r="H1130" s="687"/>
      <c r="I1130" s="687"/>
      <c r="J1130" s="692" t="s">
        <v>16127</v>
      </c>
      <c r="K1130" s="687" t="s">
        <v>44</v>
      </c>
      <c r="L1130" s="687" t="s">
        <v>25</v>
      </c>
      <c r="M1130" s="748">
        <v>1</v>
      </c>
      <c r="N1130" s="749">
        <v>1</v>
      </c>
      <c r="O1130" s="747" t="s">
        <v>4243</v>
      </c>
      <c r="P1130" s="773">
        <v>26315</v>
      </c>
      <c r="Q1130" s="747" t="s">
        <v>4244</v>
      </c>
      <c r="R1130" s="747"/>
      <c r="S1130" s="747" t="s">
        <v>6214</v>
      </c>
      <c r="T1130" s="747" t="s">
        <v>4086</v>
      </c>
      <c r="U1130" s="696"/>
      <c r="V1130" s="696"/>
      <c r="W1130" s="696"/>
      <c r="X1130" s="696"/>
      <c r="Y1130" s="696"/>
      <c r="Z1130" s="696"/>
      <c r="AA1130" s="696" t="s">
        <v>4086</v>
      </c>
      <c r="AB1130" s="696"/>
      <c r="AC1130" s="696"/>
      <c r="AD1130" s="697"/>
      <c r="AE1130" s="655"/>
    </row>
    <row r="1131" spans="1:31" ht="12" customHeight="1">
      <c r="A1131" s="937" t="s">
        <v>18245</v>
      </c>
      <c r="B1131" s="4" t="s">
        <v>4234</v>
      </c>
      <c r="C1131" s="1" t="s">
        <v>4237</v>
      </c>
      <c r="D1131" s="1">
        <f t="shared" si="17"/>
        <v>65</v>
      </c>
      <c r="E1131" s="2" t="s">
        <v>5</v>
      </c>
      <c r="F1131" s="1" t="s">
        <v>15273</v>
      </c>
      <c r="G1131" s="3" t="s">
        <v>4238</v>
      </c>
      <c r="J1131" s="4" t="s">
        <v>16120</v>
      </c>
      <c r="K1131" s="1" t="s">
        <v>30</v>
      </c>
      <c r="L1131" s="1" t="s">
        <v>25</v>
      </c>
      <c r="M1131" s="16">
        <v>6</v>
      </c>
      <c r="N1131" s="17">
        <v>6</v>
      </c>
      <c r="O1131" s="3" t="s">
        <v>31</v>
      </c>
      <c r="P1131" s="20">
        <v>17414</v>
      </c>
      <c r="Q1131" s="3" t="s">
        <v>4239</v>
      </c>
      <c r="R1131" s="3" t="s">
        <v>4240</v>
      </c>
      <c r="S1131" s="3" t="s">
        <v>5457</v>
      </c>
      <c r="T1131" s="3" t="s">
        <v>4086</v>
      </c>
      <c r="AA1131" s="2" t="s">
        <v>4086</v>
      </c>
      <c r="AD1131" s="698"/>
      <c r="AE1131" s="655"/>
    </row>
    <row r="1132" spans="1:31" ht="12" customHeight="1">
      <c r="A1132" s="937" t="s">
        <v>18219</v>
      </c>
      <c r="B1132" s="4" t="s">
        <v>4235</v>
      </c>
      <c r="C1132" s="1" t="s">
        <v>4248</v>
      </c>
      <c r="D1132" s="1">
        <f t="shared" si="17"/>
        <v>47</v>
      </c>
      <c r="E1132" s="2" t="s">
        <v>5</v>
      </c>
      <c r="F1132" s="1" t="s">
        <v>15273</v>
      </c>
      <c r="G1132" s="3" t="s">
        <v>4249</v>
      </c>
      <c r="H1132" s="1" t="s">
        <v>4209</v>
      </c>
      <c r="J1132" s="4" t="s">
        <v>16116</v>
      </c>
      <c r="K1132" s="1" t="s">
        <v>4250</v>
      </c>
      <c r="L1132" s="1" t="s">
        <v>6</v>
      </c>
      <c r="N1132" s="17">
        <v>1</v>
      </c>
      <c r="O1132" s="3" t="s">
        <v>4251</v>
      </c>
      <c r="P1132" s="20">
        <v>24036</v>
      </c>
      <c r="Q1132" s="3" t="s">
        <v>4252</v>
      </c>
      <c r="R1132" s="3" t="s">
        <v>4253</v>
      </c>
      <c r="S1132" s="3" t="s">
        <v>16465</v>
      </c>
      <c r="T1132" s="3" t="s">
        <v>4098</v>
      </c>
      <c r="U1132" s="2" t="s">
        <v>47</v>
      </c>
      <c r="AA1132" s="2" t="s">
        <v>4086</v>
      </c>
      <c r="AD1132" s="698"/>
      <c r="AE1132" s="655"/>
    </row>
    <row r="1133" spans="1:31" ht="12" customHeight="1" thickBot="1">
      <c r="A1133" s="938"/>
      <c r="B1133" s="700" t="s">
        <v>4236</v>
      </c>
      <c r="C1133" s="699" t="s">
        <v>4245</v>
      </c>
      <c r="D1133" s="699">
        <f t="shared" si="17"/>
        <v>55</v>
      </c>
      <c r="E1133" s="702" t="s">
        <v>5</v>
      </c>
      <c r="F1133" s="699"/>
      <c r="G1133" s="703"/>
      <c r="H1133" s="699"/>
      <c r="I1133" s="699"/>
      <c r="J1133" s="700" t="s">
        <v>16117</v>
      </c>
      <c r="K1133" s="699"/>
      <c r="L1133" s="699" t="s">
        <v>6</v>
      </c>
      <c r="M1133" s="705"/>
      <c r="N1133" s="706"/>
      <c r="O1133" s="703" t="s">
        <v>4246</v>
      </c>
      <c r="P1133" s="723">
        <v>21042</v>
      </c>
      <c r="Q1133" s="703" t="s">
        <v>4247</v>
      </c>
      <c r="R1133" s="703"/>
      <c r="S1133" s="703"/>
      <c r="T1133" s="703"/>
      <c r="U1133" s="702"/>
      <c r="V1133" s="702"/>
      <c r="W1133" s="702"/>
      <c r="X1133" s="702"/>
      <c r="Y1133" s="702"/>
      <c r="Z1133" s="702"/>
      <c r="AA1133" s="702"/>
      <c r="AB1133" s="702"/>
      <c r="AC1133" s="702"/>
      <c r="AD1133" s="708"/>
      <c r="AE1133" s="655"/>
    </row>
    <row r="1134" spans="1:31" ht="12" customHeight="1">
      <c r="A1134" s="936" t="s">
        <v>18245</v>
      </c>
      <c r="B1134" s="688" t="s">
        <v>4254</v>
      </c>
      <c r="C1134" s="687" t="s">
        <v>4257</v>
      </c>
      <c r="D1134" s="687">
        <f t="shared" si="17"/>
        <v>32</v>
      </c>
      <c r="E1134" s="696" t="s">
        <v>5</v>
      </c>
      <c r="F1134" s="689" t="s">
        <v>15273</v>
      </c>
      <c r="G1134" s="747"/>
      <c r="H1134" s="687"/>
      <c r="I1134" s="687"/>
      <c r="J1134" s="692" t="s">
        <v>16127</v>
      </c>
      <c r="K1134" s="687" t="s">
        <v>44</v>
      </c>
      <c r="L1134" s="687" t="s">
        <v>6</v>
      </c>
      <c r="M1134" s="748"/>
      <c r="N1134" s="749"/>
      <c r="O1134" s="747" t="s">
        <v>4258</v>
      </c>
      <c r="P1134" s="773">
        <v>29475</v>
      </c>
      <c r="Q1134" s="747" t="s">
        <v>4259</v>
      </c>
      <c r="R1134" s="747"/>
      <c r="S1134" s="747" t="s">
        <v>6214</v>
      </c>
      <c r="T1134" s="747" t="s">
        <v>4075</v>
      </c>
      <c r="U1134" s="696"/>
      <c r="V1134" s="696" t="s">
        <v>4075</v>
      </c>
      <c r="W1134" s="696"/>
      <c r="X1134" s="696"/>
      <c r="Y1134" s="696"/>
      <c r="Z1134" s="696"/>
      <c r="AA1134" s="696"/>
      <c r="AB1134" s="696"/>
      <c r="AC1134" s="696"/>
      <c r="AD1134" s="697"/>
      <c r="AE1134" s="655"/>
    </row>
    <row r="1135" spans="1:31" ht="12" customHeight="1">
      <c r="A1135" s="937" t="s">
        <v>18219</v>
      </c>
      <c r="B1135" s="4" t="s">
        <v>4255</v>
      </c>
      <c r="C1135" s="1" t="s">
        <v>4260</v>
      </c>
      <c r="D1135" s="1">
        <f t="shared" si="17"/>
        <v>59</v>
      </c>
      <c r="E1135" s="2" t="s">
        <v>5</v>
      </c>
      <c r="F1135" s="1" t="s">
        <v>15273</v>
      </c>
      <c r="G1135" s="3" t="s">
        <v>4261</v>
      </c>
      <c r="J1135" s="8" t="s">
        <v>16120</v>
      </c>
      <c r="K1135" s="1" t="s">
        <v>476</v>
      </c>
      <c r="L1135" s="1" t="s">
        <v>25</v>
      </c>
      <c r="M1135" s="16">
        <v>4</v>
      </c>
      <c r="N1135" s="17">
        <v>4</v>
      </c>
      <c r="O1135" s="3" t="s">
        <v>4096</v>
      </c>
      <c r="P1135" s="20">
        <v>19707</v>
      </c>
      <c r="Q1135" s="3" t="s">
        <v>4262</v>
      </c>
      <c r="R1135" s="3" t="s">
        <v>4263</v>
      </c>
      <c r="S1135" s="3" t="s">
        <v>5457</v>
      </c>
      <c r="T1135" s="3" t="s">
        <v>4167</v>
      </c>
      <c r="U1135" s="2" t="s">
        <v>47</v>
      </c>
      <c r="AD1135" s="698"/>
      <c r="AE1135" s="655"/>
    </row>
    <row r="1136" spans="1:31" ht="12" customHeight="1">
      <c r="A1136" s="937" t="s">
        <v>18223</v>
      </c>
      <c r="B1136" s="4" t="s">
        <v>4256</v>
      </c>
      <c r="C1136" s="1" t="s">
        <v>5437</v>
      </c>
      <c r="D1136" s="1">
        <f t="shared" si="17"/>
        <v>35</v>
      </c>
      <c r="E1136" s="2" t="s">
        <v>5</v>
      </c>
      <c r="F1136" s="1" t="s">
        <v>15273</v>
      </c>
      <c r="J1136" s="4" t="s">
        <v>16116</v>
      </c>
      <c r="K1136" s="1" t="s">
        <v>5298</v>
      </c>
      <c r="L1136" s="1" t="s">
        <v>6</v>
      </c>
      <c r="O1136" s="3" t="s">
        <v>255</v>
      </c>
      <c r="P1136" s="20">
        <v>28131</v>
      </c>
      <c r="Q1136" s="3" t="s">
        <v>5213</v>
      </c>
      <c r="S1136" s="3" t="s">
        <v>5948</v>
      </c>
      <c r="AD1136" s="698"/>
      <c r="AE1136" s="655"/>
    </row>
    <row r="1137" spans="1:31" ht="12" customHeight="1" thickBot="1">
      <c r="A1137" s="938" t="s">
        <v>18223</v>
      </c>
      <c r="B1137" s="700" t="s">
        <v>5436</v>
      </c>
      <c r="C1137" s="699" t="s">
        <v>4264</v>
      </c>
      <c r="D1137" s="699">
        <f t="shared" si="17"/>
        <v>53</v>
      </c>
      <c r="E1137" s="702" t="s">
        <v>5</v>
      </c>
      <c r="F1137" s="699" t="s">
        <v>15273</v>
      </c>
      <c r="G1137" s="703"/>
      <c r="H1137" s="699"/>
      <c r="I1137" s="699"/>
      <c r="J1137" s="700" t="s">
        <v>16117</v>
      </c>
      <c r="K1137" s="699"/>
      <c r="L1137" s="699" t="s">
        <v>14</v>
      </c>
      <c r="M1137" s="705">
        <v>2</v>
      </c>
      <c r="N1137" s="706">
        <v>2</v>
      </c>
      <c r="O1137" s="703" t="s">
        <v>4230</v>
      </c>
      <c r="P1137" s="707">
        <v>21656</v>
      </c>
      <c r="Q1137" s="703" t="s">
        <v>4265</v>
      </c>
      <c r="R1137" s="703"/>
      <c r="S1137" s="703"/>
      <c r="T1137" s="703"/>
      <c r="U1137" s="702"/>
      <c r="V1137" s="702"/>
      <c r="W1137" s="702"/>
      <c r="X1137" s="702"/>
      <c r="Y1137" s="702"/>
      <c r="Z1137" s="702"/>
      <c r="AA1137" s="702"/>
      <c r="AB1137" s="702"/>
      <c r="AC1137" s="702"/>
      <c r="AD1137" s="708"/>
      <c r="AE1137" s="655"/>
    </row>
    <row r="1138" spans="1:31" ht="12" customHeight="1">
      <c r="A1138" s="936" t="s">
        <v>18218</v>
      </c>
      <c r="B1138" s="688" t="s">
        <v>4266</v>
      </c>
      <c r="C1138" s="687" t="s">
        <v>4268</v>
      </c>
      <c r="D1138" s="687">
        <f t="shared" si="17"/>
        <v>55</v>
      </c>
      <c r="E1138" s="696" t="s">
        <v>5</v>
      </c>
      <c r="F1138" s="687" t="s">
        <v>15273</v>
      </c>
      <c r="G1138" s="747" t="s">
        <v>4269</v>
      </c>
      <c r="H1138" s="687"/>
      <c r="I1138" s="687"/>
      <c r="J1138" s="688" t="s">
        <v>16120</v>
      </c>
      <c r="K1138" s="687" t="s">
        <v>30</v>
      </c>
      <c r="L1138" s="687" t="s">
        <v>25</v>
      </c>
      <c r="M1138" s="748">
        <v>7</v>
      </c>
      <c r="N1138" s="749">
        <v>7</v>
      </c>
      <c r="O1138" s="747" t="s">
        <v>150</v>
      </c>
      <c r="P1138" s="773">
        <v>21107</v>
      </c>
      <c r="Q1138" s="747" t="s">
        <v>4270</v>
      </c>
      <c r="R1138" s="747" t="s">
        <v>4271</v>
      </c>
      <c r="S1138" s="747" t="s">
        <v>5457</v>
      </c>
      <c r="T1138" s="747" t="s">
        <v>4086</v>
      </c>
      <c r="U1138" s="696"/>
      <c r="V1138" s="696"/>
      <c r="W1138" s="696"/>
      <c r="X1138" s="696"/>
      <c r="Y1138" s="696"/>
      <c r="Z1138" s="696"/>
      <c r="AA1138" s="696" t="s">
        <v>4086</v>
      </c>
      <c r="AB1138" s="696"/>
      <c r="AC1138" s="696"/>
      <c r="AD1138" s="697"/>
      <c r="AE1138" s="655"/>
    </row>
    <row r="1139" spans="1:31" ht="12" customHeight="1" thickBot="1">
      <c r="A1139" s="938" t="s">
        <v>18223</v>
      </c>
      <c r="B1139" s="700" t="s">
        <v>4267</v>
      </c>
      <c r="C1139" s="699" t="s">
        <v>4272</v>
      </c>
      <c r="D1139" s="699">
        <f t="shared" si="17"/>
        <v>54</v>
      </c>
      <c r="E1139" s="702" t="s">
        <v>5</v>
      </c>
      <c r="F1139" s="699"/>
      <c r="G1139" s="703"/>
      <c r="H1139" s="699"/>
      <c r="I1139" s="699"/>
      <c r="J1139" s="700" t="s">
        <v>16117</v>
      </c>
      <c r="K1139" s="699"/>
      <c r="L1139" s="699" t="s">
        <v>6</v>
      </c>
      <c r="M1139" s="705"/>
      <c r="N1139" s="706"/>
      <c r="O1139" s="703" t="s">
        <v>4273</v>
      </c>
      <c r="P1139" s="723">
        <v>21192</v>
      </c>
      <c r="Q1139" s="703" t="s">
        <v>4274</v>
      </c>
      <c r="R1139" s="703"/>
      <c r="S1139" s="703"/>
      <c r="T1139" s="703"/>
      <c r="U1139" s="702"/>
      <c r="V1139" s="702"/>
      <c r="W1139" s="702"/>
      <c r="X1139" s="702"/>
      <c r="Y1139" s="702"/>
      <c r="Z1139" s="702"/>
      <c r="AA1139" s="702"/>
      <c r="AB1139" s="702"/>
      <c r="AC1139" s="702"/>
      <c r="AD1139" s="708"/>
      <c r="AE1139" s="655"/>
    </row>
    <row r="1140" spans="1:31" ht="12" customHeight="1">
      <c r="A1140" s="936" t="s">
        <v>18218</v>
      </c>
      <c r="B1140" s="688" t="s">
        <v>4275</v>
      </c>
      <c r="C1140" s="687" t="s">
        <v>4277</v>
      </c>
      <c r="D1140" s="687">
        <f t="shared" si="17"/>
        <v>60</v>
      </c>
      <c r="E1140" s="696" t="s">
        <v>5</v>
      </c>
      <c r="F1140" s="687" t="s">
        <v>15273</v>
      </c>
      <c r="G1140" s="747" t="s">
        <v>4278</v>
      </c>
      <c r="H1140" s="687"/>
      <c r="I1140" s="687"/>
      <c r="J1140" s="688" t="s">
        <v>16120</v>
      </c>
      <c r="K1140" s="687" t="s">
        <v>30</v>
      </c>
      <c r="L1140" s="687" t="s">
        <v>25</v>
      </c>
      <c r="M1140" s="748">
        <v>7</v>
      </c>
      <c r="N1140" s="749">
        <v>7</v>
      </c>
      <c r="O1140" s="747" t="s">
        <v>188</v>
      </c>
      <c r="P1140" s="773">
        <v>19125</v>
      </c>
      <c r="Q1140" s="747" t="s">
        <v>4279</v>
      </c>
      <c r="R1140" s="747" t="s">
        <v>4281</v>
      </c>
      <c r="S1140" s="747" t="s">
        <v>5457</v>
      </c>
      <c r="T1140" s="747" t="s">
        <v>4280</v>
      </c>
      <c r="U1140" s="696"/>
      <c r="V1140" s="696" t="s">
        <v>4075</v>
      </c>
      <c r="W1140" s="696"/>
      <c r="X1140" s="696"/>
      <c r="Y1140" s="696"/>
      <c r="Z1140" s="696"/>
      <c r="AA1140" s="696"/>
      <c r="AB1140" s="696" t="s">
        <v>4124</v>
      </c>
      <c r="AC1140" s="696"/>
      <c r="AD1140" s="697"/>
      <c r="AE1140" s="655"/>
    </row>
    <row r="1141" spans="1:31" ht="12" customHeight="1" thickBot="1">
      <c r="A1141" s="938" t="s">
        <v>18223</v>
      </c>
      <c r="B1141" s="700" t="s">
        <v>4276</v>
      </c>
      <c r="C1141" s="699" t="s">
        <v>4282</v>
      </c>
      <c r="D1141" s="699">
        <f t="shared" si="17"/>
        <v>62</v>
      </c>
      <c r="E1141" s="702" t="s">
        <v>5</v>
      </c>
      <c r="F1141" s="699"/>
      <c r="G1141" s="703"/>
      <c r="H1141" s="699"/>
      <c r="I1141" s="699"/>
      <c r="J1141" s="700" t="s">
        <v>16117</v>
      </c>
      <c r="K1141" s="699"/>
      <c r="L1141" s="699" t="s">
        <v>6</v>
      </c>
      <c r="M1141" s="705"/>
      <c r="N1141" s="706"/>
      <c r="O1141" s="703" t="s">
        <v>4230</v>
      </c>
      <c r="P1141" s="723">
        <v>18476</v>
      </c>
      <c r="Q1141" s="703" t="s">
        <v>4283</v>
      </c>
      <c r="R1141" s="703"/>
      <c r="S1141" s="703"/>
      <c r="T1141" s="703" t="s">
        <v>69</v>
      </c>
      <c r="U1141" s="702"/>
      <c r="V1141" s="702"/>
      <c r="W1141" s="702"/>
      <c r="X1141" s="702"/>
      <c r="Y1141" s="702"/>
      <c r="Z1141" s="702"/>
      <c r="AA1141" s="702"/>
      <c r="AB1141" s="702"/>
      <c r="AC1141" s="702"/>
      <c r="AD1141" s="708" t="s">
        <v>4114</v>
      </c>
      <c r="AE1141" s="655"/>
    </row>
    <row r="1142" spans="1:31" ht="12" customHeight="1">
      <c r="A1142" s="936" t="s">
        <v>18220</v>
      </c>
      <c r="B1142" s="688" t="s">
        <v>4292</v>
      </c>
      <c r="C1142" s="687" t="s">
        <v>4296</v>
      </c>
      <c r="D1142" s="687">
        <f t="shared" si="17"/>
        <v>61</v>
      </c>
      <c r="E1142" s="696" t="s">
        <v>5</v>
      </c>
      <c r="F1142" s="689" t="s">
        <v>15273</v>
      </c>
      <c r="G1142" s="747" t="s">
        <v>4297</v>
      </c>
      <c r="H1142" s="687"/>
      <c r="I1142" s="687"/>
      <c r="J1142" s="692" t="s">
        <v>16126</v>
      </c>
      <c r="K1142" s="687" t="s">
        <v>45</v>
      </c>
      <c r="L1142" s="687" t="s">
        <v>25</v>
      </c>
      <c r="M1142" s="748">
        <v>7</v>
      </c>
      <c r="N1142" s="749">
        <v>7</v>
      </c>
      <c r="O1142" s="747" t="s">
        <v>381</v>
      </c>
      <c r="P1142" s="773">
        <v>18765</v>
      </c>
      <c r="Q1142" s="747" t="s">
        <v>4298</v>
      </c>
      <c r="R1142" s="747" t="s">
        <v>4299</v>
      </c>
      <c r="S1142" s="747" t="s">
        <v>6214</v>
      </c>
      <c r="T1142" s="747" t="s">
        <v>4086</v>
      </c>
      <c r="U1142" s="696"/>
      <c r="V1142" s="696"/>
      <c r="W1142" s="696"/>
      <c r="X1142" s="696"/>
      <c r="Y1142" s="696"/>
      <c r="Z1142" s="696"/>
      <c r="AA1142" s="696" t="s">
        <v>4086</v>
      </c>
      <c r="AB1142" s="696"/>
      <c r="AC1142" s="696"/>
      <c r="AD1142" s="697"/>
      <c r="AE1142" s="655"/>
    </row>
    <row r="1143" spans="1:31" ht="12" customHeight="1">
      <c r="A1143" s="937" t="s">
        <v>18246</v>
      </c>
      <c r="B1143" s="4" t="s">
        <v>4293</v>
      </c>
      <c r="C1143" s="1" t="s">
        <v>5967</v>
      </c>
      <c r="D1143" s="1">
        <f t="shared" si="17"/>
        <v>50</v>
      </c>
      <c r="E1143" s="2" t="s">
        <v>5</v>
      </c>
      <c r="F1143" s="1" t="s">
        <v>15273</v>
      </c>
      <c r="J1143" s="8" t="s">
        <v>16120</v>
      </c>
      <c r="K1143" s="1" t="s">
        <v>445</v>
      </c>
      <c r="L1143" s="1" t="s">
        <v>6</v>
      </c>
      <c r="O1143" s="3" t="s">
        <v>321</v>
      </c>
      <c r="P1143" s="20">
        <v>22738</v>
      </c>
      <c r="Q1143" s="3" t="s">
        <v>5968</v>
      </c>
      <c r="AD1143" s="698"/>
      <c r="AE1143" s="655"/>
    </row>
    <row r="1144" spans="1:31" ht="12" customHeight="1">
      <c r="A1144" s="937" t="s">
        <v>18223</v>
      </c>
      <c r="B1144" s="4" t="s">
        <v>4294</v>
      </c>
      <c r="C1144" s="1" t="s">
        <v>4303</v>
      </c>
      <c r="D1144" s="1">
        <f t="shared" si="17"/>
        <v>38</v>
      </c>
      <c r="E1144" s="2" t="s">
        <v>5</v>
      </c>
      <c r="F1144" s="1" t="s">
        <v>15273</v>
      </c>
      <c r="J1144" s="4" t="s">
        <v>16128</v>
      </c>
      <c r="L1144" s="1" t="s">
        <v>6</v>
      </c>
      <c r="O1144" s="3" t="s">
        <v>1273</v>
      </c>
      <c r="P1144" s="20">
        <v>27110</v>
      </c>
      <c r="Q1144" s="3" t="s">
        <v>4304</v>
      </c>
      <c r="S1144" s="3" t="s">
        <v>6031</v>
      </c>
      <c r="AD1144" s="698"/>
      <c r="AE1144" s="655"/>
    </row>
    <row r="1145" spans="1:31" ht="12" customHeight="1">
      <c r="A1145" s="937"/>
      <c r="B1145" s="4" t="s">
        <v>4295</v>
      </c>
      <c r="C1145" s="1" t="s">
        <v>4300</v>
      </c>
      <c r="D1145" s="1">
        <f t="shared" si="17"/>
        <v>65</v>
      </c>
      <c r="E1145" s="2" t="s">
        <v>5</v>
      </c>
      <c r="J1145" s="4" t="s">
        <v>16117</v>
      </c>
      <c r="L1145" s="1" t="s">
        <v>6</v>
      </c>
      <c r="O1145" s="3" t="s">
        <v>4301</v>
      </c>
      <c r="P1145" s="21">
        <v>17170</v>
      </c>
      <c r="Q1145" s="3" t="s">
        <v>4302</v>
      </c>
      <c r="T1145" s="3" t="s">
        <v>4075</v>
      </c>
      <c r="V1145" s="2" t="s">
        <v>4075</v>
      </c>
      <c r="AD1145" s="698"/>
      <c r="AE1145" s="655"/>
    </row>
    <row r="1146" spans="1:31" ht="12" customHeight="1" thickBot="1">
      <c r="A1146" s="938"/>
      <c r="B1146" s="700" t="s">
        <v>5971</v>
      </c>
      <c r="C1146" s="699" t="s">
        <v>5972</v>
      </c>
      <c r="D1146" s="699">
        <f t="shared" si="17"/>
        <v>57</v>
      </c>
      <c r="E1146" s="702" t="s">
        <v>19</v>
      </c>
      <c r="F1146" s="699"/>
      <c r="G1146" s="703"/>
      <c r="H1146" s="699"/>
      <c r="I1146" s="699"/>
      <c r="J1146" s="700" t="s">
        <v>16129</v>
      </c>
      <c r="K1146" s="699"/>
      <c r="L1146" s="699" t="s">
        <v>6</v>
      </c>
      <c r="M1146" s="705"/>
      <c r="N1146" s="706"/>
      <c r="O1146" s="703" t="s">
        <v>16055</v>
      </c>
      <c r="P1146" s="723">
        <v>20111</v>
      </c>
      <c r="Q1146" s="703" t="s">
        <v>5973</v>
      </c>
      <c r="R1146" s="703"/>
      <c r="S1146" s="703"/>
      <c r="T1146" s="703"/>
      <c r="U1146" s="702"/>
      <c r="V1146" s="702"/>
      <c r="W1146" s="702"/>
      <c r="X1146" s="702"/>
      <c r="Y1146" s="702"/>
      <c r="Z1146" s="702"/>
      <c r="AA1146" s="702"/>
      <c r="AB1146" s="702"/>
      <c r="AC1146" s="702"/>
      <c r="AD1146" s="708"/>
      <c r="AE1146" s="655"/>
    </row>
    <row r="1147" spans="1:31" ht="12" customHeight="1">
      <c r="A1147" s="936" t="s">
        <v>18245</v>
      </c>
      <c r="B1147" s="688" t="s">
        <v>4305</v>
      </c>
      <c r="C1147" s="687" t="s">
        <v>4308</v>
      </c>
      <c r="D1147" s="687">
        <f t="shared" si="17"/>
        <v>42</v>
      </c>
      <c r="E1147" s="696" t="s">
        <v>5</v>
      </c>
      <c r="F1147" s="689" t="s">
        <v>15273</v>
      </c>
      <c r="G1147" s="747" t="s">
        <v>4309</v>
      </c>
      <c r="H1147" s="687"/>
      <c r="I1147" s="687"/>
      <c r="J1147" s="692" t="s">
        <v>16127</v>
      </c>
      <c r="K1147" s="687" t="s">
        <v>44</v>
      </c>
      <c r="L1147" s="687" t="s">
        <v>25</v>
      </c>
      <c r="M1147" s="748">
        <v>1</v>
      </c>
      <c r="N1147" s="749">
        <v>1</v>
      </c>
      <c r="O1147" s="747" t="s">
        <v>302</v>
      </c>
      <c r="P1147" s="773">
        <v>25806</v>
      </c>
      <c r="Q1147" s="747" t="s">
        <v>16675</v>
      </c>
      <c r="R1147" s="747"/>
      <c r="S1147" s="747" t="s">
        <v>6214</v>
      </c>
      <c r="T1147" s="747" t="s">
        <v>4310</v>
      </c>
      <c r="U1147" s="696"/>
      <c r="V1147" s="696"/>
      <c r="W1147" s="696"/>
      <c r="X1147" s="696"/>
      <c r="Y1147" s="696"/>
      <c r="Z1147" s="696"/>
      <c r="AA1147" s="696"/>
      <c r="AB1147" s="696"/>
      <c r="AC1147" s="696" t="s">
        <v>4310</v>
      </c>
      <c r="AD1147" s="697"/>
      <c r="AE1147" s="655"/>
    </row>
    <row r="1148" spans="1:31" ht="12" customHeight="1">
      <c r="A1148" s="937" t="s">
        <v>18219</v>
      </c>
      <c r="B1148" s="4" t="s">
        <v>4306</v>
      </c>
      <c r="C1148" s="1" t="s">
        <v>4311</v>
      </c>
      <c r="D1148" s="1">
        <f t="shared" si="17"/>
        <v>40</v>
      </c>
      <c r="E1148" s="2" t="s">
        <v>5</v>
      </c>
      <c r="F1148" s="1" t="s">
        <v>15273</v>
      </c>
      <c r="J1148" s="4" t="s">
        <v>16120</v>
      </c>
      <c r="K1148" s="1" t="s">
        <v>30</v>
      </c>
      <c r="L1148" s="1" t="s">
        <v>6</v>
      </c>
      <c r="O1148" s="3" t="s">
        <v>4312</v>
      </c>
      <c r="P1148" s="20">
        <v>26588</v>
      </c>
      <c r="Q1148" s="3" t="s">
        <v>4313</v>
      </c>
      <c r="T1148" s="3" t="s">
        <v>4075</v>
      </c>
      <c r="V1148" s="2" t="s">
        <v>4075</v>
      </c>
      <c r="AD1148" s="698"/>
      <c r="AE1148" s="655"/>
    </row>
    <row r="1149" spans="1:31" ht="12" customHeight="1">
      <c r="A1149" s="937"/>
      <c r="B1149" s="4" t="s">
        <v>4307</v>
      </c>
      <c r="C1149" s="1" t="s">
        <v>4424</v>
      </c>
      <c r="D1149" s="1">
        <f t="shared" si="17"/>
        <v>39</v>
      </c>
      <c r="E1149" s="2" t="s">
        <v>5</v>
      </c>
      <c r="F1149" s="1" t="s">
        <v>15273</v>
      </c>
      <c r="J1149" s="4" t="s">
        <v>16125</v>
      </c>
      <c r="L1149" s="1" t="s">
        <v>6</v>
      </c>
      <c r="O1149" s="3" t="s">
        <v>4425</v>
      </c>
      <c r="P1149" s="20">
        <v>26872</v>
      </c>
      <c r="Q1149" s="3" t="s">
        <v>4426</v>
      </c>
      <c r="S1149" s="3" t="s">
        <v>16093</v>
      </c>
      <c r="AD1149" s="698"/>
      <c r="AE1149" s="655"/>
    </row>
    <row r="1150" spans="1:31" ht="12" customHeight="1">
      <c r="A1150" s="937" t="s">
        <v>18223</v>
      </c>
      <c r="B1150" s="4" t="s">
        <v>4423</v>
      </c>
      <c r="C1150" s="1" t="s">
        <v>5529</v>
      </c>
      <c r="D1150" s="1">
        <f t="shared" si="17"/>
        <v>35</v>
      </c>
      <c r="E1150" s="2" t="s">
        <v>5</v>
      </c>
      <c r="F1150" s="1" t="s">
        <v>15273</v>
      </c>
      <c r="J1150" s="4" t="s">
        <v>16116</v>
      </c>
      <c r="K1150" s="1" t="s">
        <v>4993</v>
      </c>
      <c r="L1150" s="1" t="s">
        <v>6</v>
      </c>
      <c r="O1150" s="3" t="s">
        <v>1485</v>
      </c>
      <c r="P1150" s="21">
        <v>28268</v>
      </c>
      <c r="Q1150" s="3" t="s">
        <v>16056</v>
      </c>
      <c r="AD1150" s="698"/>
      <c r="AE1150" s="655"/>
    </row>
    <row r="1151" spans="1:31" ht="12" customHeight="1" thickBot="1">
      <c r="A1151" s="938"/>
      <c r="B1151" s="700" t="s">
        <v>5528</v>
      </c>
      <c r="C1151" s="699" t="s">
        <v>4314</v>
      </c>
      <c r="D1151" s="699">
        <f t="shared" si="17"/>
        <v>45</v>
      </c>
      <c r="E1151" s="702" t="s">
        <v>5</v>
      </c>
      <c r="F1151" s="699"/>
      <c r="G1151" s="703"/>
      <c r="H1151" s="699"/>
      <c r="I1151" s="699"/>
      <c r="J1151" s="700" t="s">
        <v>16117</v>
      </c>
      <c r="K1151" s="699"/>
      <c r="L1151" s="699" t="s">
        <v>6</v>
      </c>
      <c r="M1151" s="705"/>
      <c r="N1151" s="706"/>
      <c r="O1151" s="703" t="s">
        <v>4328</v>
      </c>
      <c r="P1151" s="723">
        <v>24664</v>
      </c>
      <c r="Q1151" s="703" t="s">
        <v>4315</v>
      </c>
      <c r="R1151" s="703"/>
      <c r="S1151" s="703"/>
      <c r="T1151" s="703" t="s">
        <v>4075</v>
      </c>
      <c r="U1151" s="702"/>
      <c r="V1151" s="702" t="s">
        <v>4075</v>
      </c>
      <c r="W1151" s="702"/>
      <c r="X1151" s="702"/>
      <c r="Y1151" s="702"/>
      <c r="Z1151" s="702"/>
      <c r="AA1151" s="702"/>
      <c r="AB1151" s="702"/>
      <c r="AC1151" s="702"/>
      <c r="AD1151" s="708"/>
      <c r="AE1151" s="655"/>
    </row>
    <row r="1152" spans="1:31" ht="12" customHeight="1">
      <c r="A1152" s="936" t="s">
        <v>18245</v>
      </c>
      <c r="B1152" s="688" t="s">
        <v>4316</v>
      </c>
      <c r="C1152" s="687" t="s">
        <v>4320</v>
      </c>
      <c r="D1152" s="687">
        <f t="shared" si="17"/>
        <v>63</v>
      </c>
      <c r="E1152" s="696" t="s">
        <v>19</v>
      </c>
      <c r="F1152" s="689" t="s">
        <v>15273</v>
      </c>
      <c r="G1152" s="747" t="s">
        <v>4321</v>
      </c>
      <c r="H1152" s="687"/>
      <c r="I1152" s="687"/>
      <c r="J1152" s="692" t="s">
        <v>16127</v>
      </c>
      <c r="K1152" s="687" t="s">
        <v>45</v>
      </c>
      <c r="L1152" s="687" t="s">
        <v>25</v>
      </c>
      <c r="M1152" s="748">
        <v>2</v>
      </c>
      <c r="N1152" s="749">
        <v>2</v>
      </c>
      <c r="O1152" s="747" t="s">
        <v>4322</v>
      </c>
      <c r="P1152" s="773">
        <v>18099</v>
      </c>
      <c r="Q1152" s="747" t="s">
        <v>4324</v>
      </c>
      <c r="R1152" s="747" t="s">
        <v>1784</v>
      </c>
      <c r="S1152" s="747" t="s">
        <v>6214</v>
      </c>
      <c r="T1152" s="747" t="s">
        <v>4323</v>
      </c>
      <c r="U1152" s="696"/>
      <c r="V1152" s="696" t="s">
        <v>4075</v>
      </c>
      <c r="W1152" s="696"/>
      <c r="X1152" s="696"/>
      <c r="Y1152" s="696"/>
      <c r="Z1152" s="696"/>
      <c r="AA1152" s="696"/>
      <c r="AB1152" s="696"/>
      <c r="AC1152" s="696"/>
      <c r="AD1152" s="697" t="s">
        <v>4114</v>
      </c>
      <c r="AE1152" s="655"/>
    </row>
    <row r="1153" spans="1:31" ht="12" customHeight="1">
      <c r="A1153" s="937" t="s">
        <v>18219</v>
      </c>
      <c r="B1153" s="4" t="s">
        <v>4317</v>
      </c>
      <c r="C1153" s="1" t="s">
        <v>4325</v>
      </c>
      <c r="D1153" s="1">
        <f t="shared" si="17"/>
        <v>40</v>
      </c>
      <c r="E1153" s="2" t="s">
        <v>5</v>
      </c>
      <c r="F1153" s="1" t="s">
        <v>15273</v>
      </c>
      <c r="J1153" s="4" t="s">
        <v>16120</v>
      </c>
      <c r="K1153" s="1" t="s">
        <v>30</v>
      </c>
      <c r="L1153" s="1" t="s">
        <v>6</v>
      </c>
      <c r="O1153" s="3" t="s">
        <v>4096</v>
      </c>
      <c r="P1153" s="20">
        <v>26494</v>
      </c>
      <c r="Q1153" s="3" t="s">
        <v>4326</v>
      </c>
      <c r="S1153" s="3" t="s">
        <v>5457</v>
      </c>
      <c r="T1153" s="3" t="s">
        <v>4167</v>
      </c>
      <c r="U1153" s="2" t="s">
        <v>47</v>
      </c>
      <c r="AD1153" s="698"/>
      <c r="AE1153" s="655"/>
    </row>
    <row r="1154" spans="1:31" ht="12" customHeight="1">
      <c r="A1154" s="937" t="s">
        <v>18223</v>
      </c>
      <c r="B1154" s="4" t="s">
        <v>4318</v>
      </c>
      <c r="C1154" s="1" t="s">
        <v>4330</v>
      </c>
      <c r="D1154" s="1">
        <f t="shared" ref="D1154:D1217" si="18">DATEDIF(P1154,$P$1298,"Y")</f>
        <v>51</v>
      </c>
      <c r="E1154" s="2" t="s">
        <v>5</v>
      </c>
      <c r="F1154" s="1" t="s">
        <v>15273</v>
      </c>
      <c r="J1154" s="4" t="s">
        <v>16128</v>
      </c>
      <c r="L1154" s="1" t="s">
        <v>6</v>
      </c>
      <c r="O1154" s="3" t="s">
        <v>4328</v>
      </c>
      <c r="P1154" s="20">
        <v>22418</v>
      </c>
      <c r="Q1154" s="3" t="s">
        <v>4331</v>
      </c>
      <c r="S1154" s="3" t="s">
        <v>6031</v>
      </c>
      <c r="T1154" s="3" t="s">
        <v>4075</v>
      </c>
      <c r="V1154" s="2" t="s">
        <v>4075</v>
      </c>
      <c r="AD1154" s="698"/>
      <c r="AE1154" s="655"/>
    </row>
    <row r="1155" spans="1:31" ht="12" customHeight="1" thickBot="1">
      <c r="A1155" s="938"/>
      <c r="B1155" s="700" t="s">
        <v>4319</v>
      </c>
      <c r="C1155" s="699" t="s">
        <v>4327</v>
      </c>
      <c r="D1155" s="699">
        <f t="shared" si="18"/>
        <v>31</v>
      </c>
      <c r="E1155" s="702" t="s">
        <v>5</v>
      </c>
      <c r="F1155" s="699"/>
      <c r="G1155" s="703"/>
      <c r="H1155" s="699"/>
      <c r="I1155" s="699"/>
      <c r="J1155" s="700" t="s">
        <v>16117</v>
      </c>
      <c r="K1155" s="699"/>
      <c r="L1155" s="699" t="s">
        <v>6</v>
      </c>
      <c r="M1155" s="705"/>
      <c r="N1155" s="706"/>
      <c r="O1155" s="703" t="s">
        <v>4328</v>
      </c>
      <c r="P1155" s="707">
        <v>29837</v>
      </c>
      <c r="Q1155" s="703" t="s">
        <v>4329</v>
      </c>
      <c r="R1155" s="703"/>
      <c r="S1155" s="703"/>
      <c r="T1155" s="703"/>
      <c r="U1155" s="702"/>
      <c r="V1155" s="702"/>
      <c r="W1155" s="702"/>
      <c r="X1155" s="702"/>
      <c r="Y1155" s="702"/>
      <c r="Z1155" s="702"/>
      <c r="AA1155" s="702"/>
      <c r="AB1155" s="702"/>
      <c r="AC1155" s="702"/>
      <c r="AD1155" s="708"/>
      <c r="AE1155" s="655"/>
    </row>
    <row r="1156" spans="1:31" ht="12" customHeight="1">
      <c r="A1156" s="936" t="s">
        <v>18245</v>
      </c>
      <c r="B1156" s="688" t="s">
        <v>4332</v>
      </c>
      <c r="C1156" s="687" t="s">
        <v>5227</v>
      </c>
      <c r="D1156" s="687">
        <f t="shared" si="18"/>
        <v>38</v>
      </c>
      <c r="E1156" s="696" t="s">
        <v>5</v>
      </c>
      <c r="F1156" s="689" t="s">
        <v>15273</v>
      </c>
      <c r="G1156" s="747"/>
      <c r="H1156" s="687"/>
      <c r="I1156" s="687"/>
      <c r="J1156" s="692" t="s">
        <v>16126</v>
      </c>
      <c r="K1156" s="687" t="s">
        <v>44</v>
      </c>
      <c r="L1156" s="687" t="s">
        <v>6</v>
      </c>
      <c r="M1156" s="748"/>
      <c r="N1156" s="749"/>
      <c r="O1156" s="747" t="s">
        <v>5228</v>
      </c>
      <c r="P1156" s="773">
        <v>27153</v>
      </c>
      <c r="Q1156" s="747" t="s">
        <v>5229</v>
      </c>
      <c r="R1156" s="747"/>
      <c r="S1156" s="747" t="s">
        <v>6214</v>
      </c>
      <c r="T1156" s="747" t="s">
        <v>145</v>
      </c>
      <c r="U1156" s="696"/>
      <c r="V1156" s="696" t="s">
        <v>145</v>
      </c>
      <c r="W1156" s="696"/>
      <c r="X1156" s="696"/>
      <c r="Y1156" s="696"/>
      <c r="Z1156" s="696"/>
      <c r="AA1156" s="696"/>
      <c r="AB1156" s="696"/>
      <c r="AC1156" s="696"/>
      <c r="AD1156" s="697"/>
      <c r="AE1156" s="655"/>
    </row>
    <row r="1157" spans="1:31" ht="12" customHeight="1">
      <c r="A1157" s="937" t="s">
        <v>18219</v>
      </c>
      <c r="B1157" s="4" t="s">
        <v>4333</v>
      </c>
      <c r="C1157" s="1" t="s">
        <v>4338</v>
      </c>
      <c r="D1157" s="1">
        <f t="shared" si="18"/>
        <v>50</v>
      </c>
      <c r="E1157" s="2" t="s">
        <v>5</v>
      </c>
      <c r="F1157" s="1" t="s">
        <v>15273</v>
      </c>
      <c r="J1157" s="8" t="s">
        <v>16120</v>
      </c>
      <c r="K1157" s="1" t="s">
        <v>30</v>
      </c>
      <c r="L1157" s="1" t="s">
        <v>6</v>
      </c>
      <c r="O1157" s="3" t="s">
        <v>4136</v>
      </c>
      <c r="P1157" s="20">
        <v>22938</v>
      </c>
      <c r="Q1157" s="3" t="s">
        <v>4339</v>
      </c>
      <c r="S1157" s="3" t="s">
        <v>5457</v>
      </c>
      <c r="AD1157" s="698"/>
      <c r="AE1157" s="655"/>
    </row>
    <row r="1158" spans="1:31" ht="12" customHeight="1">
      <c r="A1158" s="937" t="s">
        <v>18245</v>
      </c>
      <c r="B1158" s="4" t="s">
        <v>4334</v>
      </c>
      <c r="C1158" s="1" t="s">
        <v>4343</v>
      </c>
      <c r="D1158" s="1">
        <f t="shared" si="18"/>
        <v>59</v>
      </c>
      <c r="E1158" s="2" t="s">
        <v>5</v>
      </c>
      <c r="F1158" s="1" t="s">
        <v>15273</v>
      </c>
      <c r="G1158" s="3" t="s">
        <v>4344</v>
      </c>
      <c r="J1158" s="4" t="s">
        <v>16125</v>
      </c>
      <c r="L1158" s="1" t="s">
        <v>25</v>
      </c>
      <c r="M1158" s="16">
        <v>2</v>
      </c>
      <c r="N1158" s="17">
        <v>2</v>
      </c>
      <c r="O1158" s="3" t="s">
        <v>4345</v>
      </c>
      <c r="P1158" s="20">
        <v>19474</v>
      </c>
      <c r="Q1158" s="3" t="s">
        <v>4347</v>
      </c>
      <c r="S1158" s="3" t="s">
        <v>16093</v>
      </c>
      <c r="T1158" s="3" t="s">
        <v>4346</v>
      </c>
      <c r="V1158" s="2" t="s">
        <v>4346</v>
      </c>
      <c r="AD1158" s="698"/>
      <c r="AE1158" s="655"/>
    </row>
    <row r="1159" spans="1:31" ht="12" customHeight="1">
      <c r="A1159" s="937" t="s">
        <v>18245</v>
      </c>
      <c r="B1159" s="4" t="s">
        <v>4335</v>
      </c>
      <c r="C1159" s="1" t="s">
        <v>4351</v>
      </c>
      <c r="D1159" s="1">
        <f t="shared" si="18"/>
        <v>51</v>
      </c>
      <c r="E1159" s="2" t="s">
        <v>5</v>
      </c>
      <c r="F1159" s="1" t="s">
        <v>15273</v>
      </c>
      <c r="J1159" s="4" t="s">
        <v>16116</v>
      </c>
      <c r="K1159" s="1" t="s">
        <v>4993</v>
      </c>
      <c r="L1159" s="1" t="s">
        <v>6</v>
      </c>
      <c r="O1159" s="3" t="s">
        <v>4352</v>
      </c>
      <c r="P1159" s="20">
        <v>22462</v>
      </c>
      <c r="Q1159" s="3" t="s">
        <v>4354</v>
      </c>
      <c r="T1159" s="3" t="s">
        <v>4353</v>
      </c>
      <c r="AA1159" s="2" t="s">
        <v>4353</v>
      </c>
      <c r="AD1159" s="698"/>
      <c r="AE1159" s="655"/>
    </row>
    <row r="1160" spans="1:31" ht="12" customHeight="1">
      <c r="A1160" s="937"/>
      <c r="B1160" s="4" t="s">
        <v>4336</v>
      </c>
      <c r="C1160" s="1" t="s">
        <v>4348</v>
      </c>
      <c r="D1160" s="1">
        <f t="shared" si="18"/>
        <v>57</v>
      </c>
      <c r="E1160" s="2" t="s">
        <v>5</v>
      </c>
      <c r="J1160" s="4" t="s">
        <v>16117</v>
      </c>
      <c r="L1160" s="1" t="s">
        <v>6</v>
      </c>
      <c r="O1160" s="3" t="s">
        <v>4349</v>
      </c>
      <c r="P1160" s="20">
        <v>20298</v>
      </c>
      <c r="Q1160" s="3" t="s">
        <v>4350</v>
      </c>
      <c r="AD1160" s="698"/>
      <c r="AE1160" s="655"/>
    </row>
    <row r="1161" spans="1:31" ht="12" customHeight="1" thickBot="1">
      <c r="A1161" s="938"/>
      <c r="B1161" s="700" t="s">
        <v>4337</v>
      </c>
      <c r="C1161" s="699" t="s">
        <v>4355</v>
      </c>
      <c r="D1161" s="699">
        <f t="shared" si="18"/>
        <v>53</v>
      </c>
      <c r="E1161" s="702" t="s">
        <v>19</v>
      </c>
      <c r="F1161" s="699"/>
      <c r="G1161" s="703"/>
      <c r="H1161" s="699"/>
      <c r="I1161" s="699"/>
      <c r="J1161" s="700" t="s">
        <v>16122</v>
      </c>
      <c r="K1161" s="699" t="s">
        <v>22</v>
      </c>
      <c r="L1161" s="699" t="s">
        <v>6</v>
      </c>
      <c r="M1161" s="705"/>
      <c r="N1161" s="706"/>
      <c r="O1161" s="703" t="s">
        <v>4078</v>
      </c>
      <c r="P1161" s="707">
        <v>21652</v>
      </c>
      <c r="Q1161" s="703" t="s">
        <v>4356</v>
      </c>
      <c r="R1161" s="703"/>
      <c r="S1161" s="703"/>
      <c r="T1161" s="703"/>
      <c r="U1161" s="702"/>
      <c r="V1161" s="702"/>
      <c r="W1161" s="702"/>
      <c r="X1161" s="702"/>
      <c r="Y1161" s="702"/>
      <c r="Z1161" s="702"/>
      <c r="AA1161" s="702"/>
      <c r="AB1161" s="702"/>
      <c r="AC1161" s="702"/>
      <c r="AD1161" s="708"/>
      <c r="AE1161" s="655"/>
    </row>
    <row r="1162" spans="1:31" ht="12" customHeight="1">
      <c r="A1162" s="936" t="s">
        <v>18246</v>
      </c>
      <c r="B1162" s="688" t="s">
        <v>4384</v>
      </c>
      <c r="C1162" s="687" t="s">
        <v>4357</v>
      </c>
      <c r="D1162" s="687">
        <f t="shared" si="18"/>
        <v>37</v>
      </c>
      <c r="E1162" s="696" t="s">
        <v>5</v>
      </c>
      <c r="F1162" s="689" t="s">
        <v>15273</v>
      </c>
      <c r="G1162" s="747" t="s">
        <v>4358</v>
      </c>
      <c r="H1162" s="687"/>
      <c r="I1162" s="687"/>
      <c r="J1162" s="692" t="s">
        <v>16127</v>
      </c>
      <c r="K1162" s="687" t="s">
        <v>44</v>
      </c>
      <c r="L1162" s="687" t="s">
        <v>25</v>
      </c>
      <c r="M1162" s="748">
        <v>3</v>
      </c>
      <c r="N1162" s="749">
        <v>3</v>
      </c>
      <c r="O1162" s="747" t="s">
        <v>4345</v>
      </c>
      <c r="P1162" s="773">
        <v>27504</v>
      </c>
      <c r="Q1162" s="747" t="s">
        <v>4359</v>
      </c>
      <c r="R1162" s="747" t="s">
        <v>4360</v>
      </c>
      <c r="S1162" s="747" t="s">
        <v>6214</v>
      </c>
      <c r="T1162" s="747"/>
      <c r="U1162" s="696"/>
      <c r="V1162" s="696"/>
      <c r="W1162" s="696"/>
      <c r="X1162" s="696"/>
      <c r="Y1162" s="696"/>
      <c r="Z1162" s="696"/>
      <c r="AA1162" s="696"/>
      <c r="AB1162" s="696"/>
      <c r="AC1162" s="696"/>
      <c r="AD1162" s="697"/>
      <c r="AE1162" s="655"/>
    </row>
    <row r="1163" spans="1:31" ht="12" customHeight="1">
      <c r="A1163" s="937" t="s">
        <v>18220</v>
      </c>
      <c r="B1163" s="4" t="s">
        <v>4385</v>
      </c>
      <c r="C1163" s="1" t="s">
        <v>4361</v>
      </c>
      <c r="D1163" s="1">
        <f t="shared" si="18"/>
        <v>68</v>
      </c>
      <c r="E1163" s="2" t="s">
        <v>5</v>
      </c>
      <c r="F1163" s="1" t="s">
        <v>15273</v>
      </c>
      <c r="J1163" s="4" t="s">
        <v>16120</v>
      </c>
      <c r="K1163" s="1" t="s">
        <v>934</v>
      </c>
      <c r="L1163" s="1" t="s">
        <v>14</v>
      </c>
      <c r="M1163" s="16">
        <v>5</v>
      </c>
      <c r="N1163" s="17">
        <v>5</v>
      </c>
      <c r="O1163" s="3" t="s">
        <v>4345</v>
      </c>
      <c r="P1163" s="20">
        <v>16346</v>
      </c>
      <c r="Q1163" s="3" t="s">
        <v>4362</v>
      </c>
      <c r="R1163" s="3" t="s">
        <v>4365</v>
      </c>
      <c r="S1163" s="3" t="s">
        <v>5457</v>
      </c>
      <c r="T1163" s="3" t="s">
        <v>4363</v>
      </c>
      <c r="U1163" s="2" t="s">
        <v>47</v>
      </c>
      <c r="AA1163" s="2" t="s">
        <v>4353</v>
      </c>
      <c r="AB1163" s="2" t="s">
        <v>4364</v>
      </c>
      <c r="AD1163" s="698"/>
      <c r="AE1163" s="655"/>
    </row>
    <row r="1164" spans="1:31" ht="12" customHeight="1">
      <c r="A1164" s="937"/>
      <c r="B1164" s="4" t="s">
        <v>4386</v>
      </c>
      <c r="C1164" s="1" t="s">
        <v>5796</v>
      </c>
      <c r="D1164" s="1">
        <f t="shared" si="18"/>
        <v>47</v>
      </c>
      <c r="E1164" s="2" t="s">
        <v>5</v>
      </c>
      <c r="F1164" s="1" t="s">
        <v>15273</v>
      </c>
      <c r="J1164" s="4" t="s">
        <v>16125</v>
      </c>
      <c r="L1164" s="1" t="s">
        <v>6</v>
      </c>
      <c r="O1164" s="3" t="s">
        <v>5797</v>
      </c>
      <c r="P1164" s="21">
        <v>24038</v>
      </c>
      <c r="Q1164" s="3" t="s">
        <v>5798</v>
      </c>
      <c r="S1164" s="3" t="s">
        <v>16093</v>
      </c>
      <c r="T1164" s="3" t="s">
        <v>145</v>
      </c>
      <c r="V1164" s="2" t="s">
        <v>145</v>
      </c>
      <c r="AD1164" s="698"/>
      <c r="AE1164" s="655"/>
    </row>
    <row r="1165" spans="1:31" ht="12" customHeight="1">
      <c r="A1165" s="937" t="s">
        <v>18223</v>
      </c>
      <c r="B1165" s="4" t="s">
        <v>5438</v>
      </c>
      <c r="C1165" s="1" t="s">
        <v>5439</v>
      </c>
      <c r="D1165" s="1">
        <f t="shared" si="18"/>
        <v>56</v>
      </c>
      <c r="E1165" s="2" t="s">
        <v>5</v>
      </c>
      <c r="F1165" s="1" t="s">
        <v>15273</v>
      </c>
      <c r="J1165" s="4" t="s">
        <v>16116</v>
      </c>
      <c r="K1165" s="1" t="s">
        <v>5298</v>
      </c>
      <c r="L1165" s="1" t="s">
        <v>6</v>
      </c>
      <c r="O1165" s="3" t="s">
        <v>188</v>
      </c>
      <c r="P1165" s="21">
        <v>20613</v>
      </c>
      <c r="Q1165" s="3" t="s">
        <v>6152</v>
      </c>
      <c r="S1165" s="3" t="s">
        <v>5948</v>
      </c>
      <c r="AD1165" s="698"/>
      <c r="AE1165" s="655"/>
    </row>
    <row r="1166" spans="1:31" ht="12" customHeight="1" thickBot="1">
      <c r="A1166" s="938"/>
      <c r="B1166" s="700" t="s">
        <v>5795</v>
      </c>
      <c r="C1166" s="699" t="s">
        <v>4366</v>
      </c>
      <c r="D1166" s="699">
        <f t="shared" si="18"/>
        <v>56</v>
      </c>
      <c r="E1166" s="702" t="s">
        <v>5</v>
      </c>
      <c r="F1166" s="699"/>
      <c r="G1166" s="703"/>
      <c r="H1166" s="699"/>
      <c r="I1166" s="699"/>
      <c r="J1166" s="700" t="s">
        <v>16117</v>
      </c>
      <c r="K1166" s="699"/>
      <c r="L1166" s="699" t="s">
        <v>6</v>
      </c>
      <c r="M1166" s="705"/>
      <c r="N1166" s="706"/>
      <c r="O1166" s="703" t="s">
        <v>4312</v>
      </c>
      <c r="P1166" s="723">
        <v>20652</v>
      </c>
      <c r="Q1166" s="703" t="s">
        <v>4367</v>
      </c>
      <c r="R1166" s="703"/>
      <c r="S1166" s="703"/>
      <c r="T1166" s="703"/>
      <c r="U1166" s="702"/>
      <c r="V1166" s="702"/>
      <c r="W1166" s="702"/>
      <c r="X1166" s="702"/>
      <c r="Y1166" s="702"/>
      <c r="Z1166" s="702"/>
      <c r="AA1166" s="702"/>
      <c r="AB1166" s="702"/>
      <c r="AC1166" s="702"/>
      <c r="AD1166" s="708"/>
      <c r="AE1166" s="655"/>
    </row>
    <row r="1167" spans="1:31" ht="12" customHeight="1">
      <c r="A1167" s="936" t="s">
        <v>18245</v>
      </c>
      <c r="B1167" s="688" t="s">
        <v>4387</v>
      </c>
      <c r="C1167" s="687" t="s">
        <v>4368</v>
      </c>
      <c r="D1167" s="687">
        <f t="shared" si="18"/>
        <v>65</v>
      </c>
      <c r="E1167" s="696" t="s">
        <v>5</v>
      </c>
      <c r="F1167" s="689" t="s">
        <v>15273</v>
      </c>
      <c r="G1167" s="747" t="s">
        <v>4369</v>
      </c>
      <c r="H1167" s="687"/>
      <c r="I1167" s="687"/>
      <c r="J1167" s="692" t="s">
        <v>16127</v>
      </c>
      <c r="K1167" s="687" t="s">
        <v>604</v>
      </c>
      <c r="L1167" s="687" t="s">
        <v>25</v>
      </c>
      <c r="M1167" s="748">
        <v>7</v>
      </c>
      <c r="N1167" s="749">
        <v>7</v>
      </c>
      <c r="O1167" s="747" t="s">
        <v>4345</v>
      </c>
      <c r="P1167" s="773">
        <v>17378</v>
      </c>
      <c r="Q1167" s="747" t="s">
        <v>4372</v>
      </c>
      <c r="R1167" s="747" t="s">
        <v>4371</v>
      </c>
      <c r="S1167" s="747" t="s">
        <v>6214</v>
      </c>
      <c r="T1167" s="747" t="s">
        <v>4370</v>
      </c>
      <c r="U1167" s="696" t="s">
        <v>4370</v>
      </c>
      <c r="V1167" s="696"/>
      <c r="W1167" s="696"/>
      <c r="X1167" s="696"/>
      <c r="Y1167" s="696"/>
      <c r="Z1167" s="696"/>
      <c r="AA1167" s="696"/>
      <c r="AB1167" s="696"/>
      <c r="AC1167" s="696"/>
      <c r="AD1167" s="697"/>
      <c r="AE1167" s="655"/>
    </row>
    <row r="1168" spans="1:31" ht="12" customHeight="1">
      <c r="A1168" s="937" t="s">
        <v>18223</v>
      </c>
      <c r="B1168" s="4" t="s">
        <v>4388</v>
      </c>
      <c r="C1168" s="1" t="s">
        <v>5864</v>
      </c>
      <c r="D1168" s="1">
        <f t="shared" si="18"/>
        <v>36</v>
      </c>
      <c r="E1168" s="2" t="s">
        <v>5</v>
      </c>
      <c r="F1168" s="1" t="s">
        <v>15273</v>
      </c>
      <c r="J1168" s="4" t="s">
        <v>16116</v>
      </c>
      <c r="K1168" s="1" t="s">
        <v>5858</v>
      </c>
      <c r="L1168" s="1" t="s">
        <v>6</v>
      </c>
      <c r="O1168" s="3" t="s">
        <v>1617</v>
      </c>
      <c r="P1168" s="20">
        <v>28076</v>
      </c>
      <c r="Q1168" s="3" t="s">
        <v>16057</v>
      </c>
      <c r="S1168" s="3" t="s">
        <v>5948</v>
      </c>
      <c r="AD1168" s="698"/>
      <c r="AE1168" s="655"/>
    </row>
    <row r="1169" spans="1:31" ht="12" customHeight="1">
      <c r="A1169" s="937"/>
      <c r="B1169" s="4" t="s">
        <v>4389</v>
      </c>
      <c r="C1169" s="1" t="s">
        <v>4373</v>
      </c>
      <c r="D1169" s="1">
        <f t="shared" si="18"/>
        <v>51</v>
      </c>
      <c r="E1169" s="2" t="s">
        <v>19</v>
      </c>
      <c r="J1169" s="4" t="s">
        <v>16117</v>
      </c>
      <c r="L1169" s="1" t="s">
        <v>6</v>
      </c>
      <c r="O1169" s="3" t="s">
        <v>16058</v>
      </c>
      <c r="P1169" s="20">
        <v>22335</v>
      </c>
      <c r="Q1169" s="3" t="s">
        <v>4374</v>
      </c>
      <c r="AD1169" s="698"/>
      <c r="AE1169" s="655"/>
    </row>
    <row r="1170" spans="1:31" ht="12" customHeight="1">
      <c r="A1170" s="937" t="s">
        <v>18219</v>
      </c>
      <c r="B1170" s="4" t="s">
        <v>4390</v>
      </c>
      <c r="C1170" s="1" t="s">
        <v>4375</v>
      </c>
      <c r="D1170" s="1">
        <f t="shared" si="18"/>
        <v>64</v>
      </c>
      <c r="E1170" s="2" t="s">
        <v>5</v>
      </c>
      <c r="G1170" s="3" t="s">
        <v>4376</v>
      </c>
      <c r="J1170" s="4" t="s">
        <v>16129</v>
      </c>
      <c r="K1170" s="1" t="s">
        <v>97</v>
      </c>
      <c r="L1170" s="1" t="s">
        <v>25</v>
      </c>
      <c r="M1170" s="16">
        <v>11</v>
      </c>
      <c r="N1170" s="17">
        <v>11</v>
      </c>
      <c r="O1170" s="3" t="s">
        <v>4345</v>
      </c>
      <c r="P1170" s="20">
        <v>17789</v>
      </c>
      <c r="Q1170" s="3" t="s">
        <v>4377</v>
      </c>
      <c r="R1170" s="3" t="s">
        <v>4378</v>
      </c>
      <c r="S1170" s="3" t="s">
        <v>5969</v>
      </c>
      <c r="T1170" s="3" t="s">
        <v>4353</v>
      </c>
      <c r="AA1170" s="2" t="s">
        <v>4353</v>
      </c>
      <c r="AD1170" s="698"/>
      <c r="AE1170" s="655"/>
    </row>
    <row r="1171" spans="1:31" ht="12" customHeight="1" thickBot="1">
      <c r="A1171" s="938" t="s">
        <v>18245</v>
      </c>
      <c r="B1171" s="700" t="s">
        <v>5863</v>
      </c>
      <c r="C1171" s="699" t="s">
        <v>5580</v>
      </c>
      <c r="D1171" s="699">
        <f t="shared" si="18"/>
        <v>38</v>
      </c>
      <c r="E1171" s="702" t="s">
        <v>5</v>
      </c>
      <c r="F1171" s="699"/>
      <c r="G1171" s="703"/>
      <c r="H1171" s="699"/>
      <c r="I1171" s="699"/>
      <c r="J1171" s="700" t="s">
        <v>16129</v>
      </c>
      <c r="K1171" s="699" t="s">
        <v>97</v>
      </c>
      <c r="L1171" s="699" t="s">
        <v>6</v>
      </c>
      <c r="M1171" s="705"/>
      <c r="N1171" s="706"/>
      <c r="O1171" s="703" t="s">
        <v>188</v>
      </c>
      <c r="P1171" s="707">
        <v>27114</v>
      </c>
      <c r="Q1171" s="703" t="s">
        <v>5581</v>
      </c>
      <c r="R1171" s="703"/>
      <c r="S1171" s="703"/>
      <c r="T1171" s="703" t="s">
        <v>5582</v>
      </c>
      <c r="U1171" s="702"/>
      <c r="V1171" s="702" t="s">
        <v>5463</v>
      </c>
      <c r="W1171" s="702"/>
      <c r="X1171" s="702"/>
      <c r="Y1171" s="702" t="s">
        <v>5583</v>
      </c>
      <c r="Z1171" s="702"/>
      <c r="AA1171" s="702"/>
      <c r="AB1171" s="702"/>
      <c r="AC1171" s="702"/>
      <c r="AD1171" s="708"/>
      <c r="AE1171" s="655"/>
    </row>
    <row r="1172" spans="1:31" ht="12" customHeight="1">
      <c r="A1172" s="936" t="s">
        <v>18245</v>
      </c>
      <c r="B1172" s="688" t="s">
        <v>4391</v>
      </c>
      <c r="C1172" s="687" t="s">
        <v>4379</v>
      </c>
      <c r="D1172" s="687">
        <f t="shared" si="18"/>
        <v>54</v>
      </c>
      <c r="E1172" s="696" t="s">
        <v>5</v>
      </c>
      <c r="F1172" s="689" t="s">
        <v>15273</v>
      </c>
      <c r="G1172" s="747" t="s">
        <v>4380</v>
      </c>
      <c r="H1172" s="687"/>
      <c r="I1172" s="687"/>
      <c r="J1172" s="692" t="s">
        <v>16126</v>
      </c>
      <c r="K1172" s="687" t="s">
        <v>44</v>
      </c>
      <c r="L1172" s="687" t="s">
        <v>25</v>
      </c>
      <c r="M1172" s="748">
        <v>1</v>
      </c>
      <c r="N1172" s="749">
        <v>1</v>
      </c>
      <c r="O1172" s="747" t="s">
        <v>4381</v>
      </c>
      <c r="P1172" s="773">
        <v>21339</v>
      </c>
      <c r="Q1172" s="747" t="s">
        <v>4382</v>
      </c>
      <c r="R1172" s="747"/>
      <c r="S1172" s="747" t="s">
        <v>6214</v>
      </c>
      <c r="T1172" s="747" t="s">
        <v>4383</v>
      </c>
      <c r="U1172" s="696"/>
      <c r="V1172" s="696"/>
      <c r="W1172" s="696" t="s">
        <v>4383</v>
      </c>
      <c r="X1172" s="696"/>
      <c r="Y1172" s="696"/>
      <c r="Z1172" s="696"/>
      <c r="AA1172" s="696"/>
      <c r="AB1172" s="696"/>
      <c r="AC1172" s="696"/>
      <c r="AD1172" s="697"/>
      <c r="AE1172" s="655"/>
    </row>
    <row r="1173" spans="1:31" ht="12" customHeight="1">
      <c r="A1173" s="937" t="s">
        <v>18219</v>
      </c>
      <c r="B1173" s="4" t="s">
        <v>4392</v>
      </c>
      <c r="C1173" s="1" t="s">
        <v>5482</v>
      </c>
      <c r="D1173" s="1">
        <f t="shared" si="18"/>
        <v>52</v>
      </c>
      <c r="E1173" s="2" t="s">
        <v>5</v>
      </c>
      <c r="F1173" s="1" t="s">
        <v>15273</v>
      </c>
      <c r="J1173" s="4" t="s">
        <v>16120</v>
      </c>
      <c r="K1173" s="1" t="s">
        <v>476</v>
      </c>
      <c r="L1173" s="1" t="s">
        <v>6</v>
      </c>
      <c r="O1173" s="3" t="s">
        <v>15958</v>
      </c>
      <c r="P1173" s="20">
        <v>21934</v>
      </c>
      <c r="Q1173" s="3" t="s">
        <v>15957</v>
      </c>
      <c r="S1173" s="3" t="s">
        <v>5457</v>
      </c>
      <c r="AD1173" s="698"/>
      <c r="AE1173" s="655"/>
    </row>
    <row r="1174" spans="1:31" ht="12" customHeight="1">
      <c r="A1174" s="937" t="s">
        <v>18223</v>
      </c>
      <c r="B1174" s="4" t="s">
        <v>4393</v>
      </c>
      <c r="C1174" s="1" t="s">
        <v>5646</v>
      </c>
      <c r="D1174" s="1">
        <f t="shared" si="18"/>
        <v>49</v>
      </c>
      <c r="E1174" s="2" t="s">
        <v>5</v>
      </c>
      <c r="F1174" s="1" t="s">
        <v>15273</v>
      </c>
      <c r="J1174" s="4" t="s">
        <v>16128</v>
      </c>
      <c r="L1174" s="1" t="s">
        <v>6</v>
      </c>
      <c r="O1174" s="3" t="s">
        <v>5648</v>
      </c>
      <c r="P1174" s="21">
        <v>23228</v>
      </c>
      <c r="Q1174" s="3" t="s">
        <v>5647</v>
      </c>
      <c r="S1174" s="3" t="s">
        <v>6031</v>
      </c>
      <c r="AD1174" s="698"/>
      <c r="AE1174" s="655"/>
    </row>
    <row r="1175" spans="1:31" ht="12" customHeight="1" thickBot="1">
      <c r="A1175" s="938"/>
      <c r="B1175" s="700" t="s">
        <v>5645</v>
      </c>
      <c r="C1175" s="699" t="s">
        <v>4394</v>
      </c>
      <c r="D1175" s="699">
        <f t="shared" si="18"/>
        <v>38</v>
      </c>
      <c r="E1175" s="702" t="s">
        <v>5</v>
      </c>
      <c r="F1175" s="699"/>
      <c r="G1175" s="703"/>
      <c r="H1175" s="699"/>
      <c r="I1175" s="699"/>
      <c r="J1175" s="700" t="s">
        <v>16117</v>
      </c>
      <c r="K1175" s="699"/>
      <c r="L1175" s="699" t="s">
        <v>6</v>
      </c>
      <c r="M1175" s="705"/>
      <c r="N1175" s="706"/>
      <c r="O1175" s="703" t="s">
        <v>16059</v>
      </c>
      <c r="P1175" s="723">
        <v>27207</v>
      </c>
      <c r="Q1175" s="703" t="s">
        <v>4395</v>
      </c>
      <c r="R1175" s="703"/>
      <c r="S1175" s="703"/>
      <c r="T1175" s="703"/>
      <c r="U1175" s="702"/>
      <c r="V1175" s="702"/>
      <c r="W1175" s="702"/>
      <c r="X1175" s="702"/>
      <c r="Y1175" s="702"/>
      <c r="Z1175" s="702"/>
      <c r="AA1175" s="702"/>
      <c r="AB1175" s="702"/>
      <c r="AC1175" s="702"/>
      <c r="AD1175" s="708"/>
      <c r="AE1175" s="655"/>
    </row>
    <row r="1176" spans="1:31" ht="12" customHeight="1">
      <c r="A1176" s="936" t="s">
        <v>18223</v>
      </c>
      <c r="B1176" s="688" t="s">
        <v>4396</v>
      </c>
      <c r="C1176" s="687" t="s">
        <v>4399</v>
      </c>
      <c r="D1176" s="687">
        <f t="shared" si="18"/>
        <v>40</v>
      </c>
      <c r="E1176" s="696" t="s">
        <v>5</v>
      </c>
      <c r="F1176" s="689" t="s">
        <v>15273</v>
      </c>
      <c r="G1176" s="747" t="s">
        <v>4400</v>
      </c>
      <c r="H1176" s="687"/>
      <c r="I1176" s="687"/>
      <c r="J1176" s="692" t="s">
        <v>16127</v>
      </c>
      <c r="K1176" s="687" t="s">
        <v>44</v>
      </c>
      <c r="L1176" s="687" t="s">
        <v>25</v>
      </c>
      <c r="M1176" s="748">
        <v>1</v>
      </c>
      <c r="N1176" s="749">
        <v>1</v>
      </c>
      <c r="O1176" s="747" t="s">
        <v>2214</v>
      </c>
      <c r="P1176" s="773">
        <v>26299</v>
      </c>
      <c r="Q1176" s="747" t="s">
        <v>4401</v>
      </c>
      <c r="R1176" s="747"/>
      <c r="S1176" s="747"/>
      <c r="T1176" s="747"/>
      <c r="U1176" s="696"/>
      <c r="V1176" s="696"/>
      <c r="W1176" s="696"/>
      <c r="X1176" s="696"/>
      <c r="Y1176" s="696"/>
      <c r="Z1176" s="696"/>
      <c r="AA1176" s="696"/>
      <c r="AB1176" s="696"/>
      <c r="AC1176" s="696"/>
      <c r="AD1176" s="697"/>
      <c r="AE1176" s="655"/>
    </row>
    <row r="1177" spans="1:31" ht="12" customHeight="1">
      <c r="A1177" s="937" t="s">
        <v>18218</v>
      </c>
      <c r="B1177" s="4" t="s">
        <v>4397</v>
      </c>
      <c r="C1177" s="1" t="s">
        <v>4402</v>
      </c>
      <c r="D1177" s="1">
        <f t="shared" si="18"/>
        <v>72</v>
      </c>
      <c r="E1177" s="2" t="s">
        <v>5</v>
      </c>
      <c r="F1177" s="1" t="s">
        <v>15273</v>
      </c>
      <c r="G1177" s="3" t="s">
        <v>4403</v>
      </c>
      <c r="J1177" s="8" t="s">
        <v>16120</v>
      </c>
      <c r="K1177" s="1" t="s">
        <v>445</v>
      </c>
      <c r="L1177" s="1" t="s">
        <v>25</v>
      </c>
      <c r="M1177" s="16">
        <v>10</v>
      </c>
      <c r="N1177" s="17">
        <v>10</v>
      </c>
      <c r="O1177" s="3" t="s">
        <v>123</v>
      </c>
      <c r="P1177" s="20">
        <v>14874</v>
      </c>
      <c r="Q1177" s="3" t="s">
        <v>4404</v>
      </c>
      <c r="R1177" s="3" t="s">
        <v>4405</v>
      </c>
      <c r="T1177" s="3" t="s">
        <v>4353</v>
      </c>
      <c r="AA1177" s="2" t="s">
        <v>4353</v>
      </c>
      <c r="AD1177" s="698"/>
      <c r="AE1177" s="655"/>
    </row>
    <row r="1178" spans="1:31" ht="12" customHeight="1" thickBot="1">
      <c r="A1178" s="938"/>
      <c r="B1178" s="700" t="s">
        <v>4398</v>
      </c>
      <c r="C1178" s="699" t="s">
        <v>5243</v>
      </c>
      <c r="D1178" s="699">
        <f t="shared" si="18"/>
        <v>63</v>
      </c>
      <c r="E1178" s="702" t="s">
        <v>5</v>
      </c>
      <c r="F1178" s="699"/>
      <c r="G1178" s="703"/>
      <c r="H1178" s="699"/>
      <c r="I1178" s="699"/>
      <c r="J1178" s="700" t="s">
        <v>16117</v>
      </c>
      <c r="K1178" s="699"/>
      <c r="L1178" s="699" t="s">
        <v>6</v>
      </c>
      <c r="M1178" s="705"/>
      <c r="N1178" s="706"/>
      <c r="O1178" s="703" t="s">
        <v>609</v>
      </c>
      <c r="P1178" s="707">
        <v>17924</v>
      </c>
      <c r="Q1178" s="703" t="s">
        <v>5244</v>
      </c>
      <c r="R1178" s="703"/>
      <c r="S1178" s="703"/>
      <c r="T1178" s="703" t="s">
        <v>145</v>
      </c>
      <c r="U1178" s="702"/>
      <c r="V1178" s="702" t="s">
        <v>145</v>
      </c>
      <c r="W1178" s="702"/>
      <c r="X1178" s="702"/>
      <c r="Y1178" s="702"/>
      <c r="Z1178" s="702"/>
      <c r="AA1178" s="702"/>
      <c r="AB1178" s="702"/>
      <c r="AC1178" s="702"/>
      <c r="AD1178" s="708"/>
      <c r="AE1178" s="655"/>
    </row>
    <row r="1179" spans="1:31" ht="12" customHeight="1">
      <c r="A1179" s="936" t="s">
        <v>18245</v>
      </c>
      <c r="B1179" s="688" t="s">
        <v>4435</v>
      </c>
      <c r="C1179" s="687" t="s">
        <v>4438</v>
      </c>
      <c r="D1179" s="687">
        <f t="shared" si="18"/>
        <v>39</v>
      </c>
      <c r="E1179" s="696" t="s">
        <v>5</v>
      </c>
      <c r="F1179" s="689" t="s">
        <v>15273</v>
      </c>
      <c r="G1179" s="747" t="s">
        <v>4439</v>
      </c>
      <c r="H1179" s="687"/>
      <c r="I1179" s="687"/>
      <c r="J1179" s="692" t="s">
        <v>16127</v>
      </c>
      <c r="K1179" s="687" t="s">
        <v>44</v>
      </c>
      <c r="L1179" s="687" t="s">
        <v>25</v>
      </c>
      <c r="M1179" s="748">
        <v>1</v>
      </c>
      <c r="N1179" s="749">
        <v>1</v>
      </c>
      <c r="O1179" s="747" t="s">
        <v>4440</v>
      </c>
      <c r="P1179" s="773">
        <v>26672</v>
      </c>
      <c r="Q1179" s="747" t="s">
        <v>4441</v>
      </c>
      <c r="R1179" s="747"/>
      <c r="S1179" s="747" t="s">
        <v>6214</v>
      </c>
      <c r="T1179" s="747" t="s">
        <v>4442</v>
      </c>
      <c r="U1179" s="696" t="s">
        <v>4442</v>
      </c>
      <c r="V1179" s="696"/>
      <c r="W1179" s="696"/>
      <c r="X1179" s="696"/>
      <c r="Y1179" s="696"/>
      <c r="Z1179" s="696"/>
      <c r="AA1179" s="696"/>
      <c r="AB1179" s="696"/>
      <c r="AC1179" s="696"/>
      <c r="AD1179" s="697"/>
      <c r="AE1179" s="655"/>
    </row>
    <row r="1180" spans="1:31" ht="12" customHeight="1">
      <c r="A1180" s="937" t="s">
        <v>18219</v>
      </c>
      <c r="B1180" s="4" t="s">
        <v>4436</v>
      </c>
      <c r="C1180" s="1" t="s">
        <v>4443</v>
      </c>
      <c r="D1180" s="1">
        <f t="shared" si="18"/>
        <v>65</v>
      </c>
      <c r="E1180" s="2" t="s">
        <v>5</v>
      </c>
      <c r="F1180" s="1" t="s">
        <v>15273</v>
      </c>
      <c r="J1180" s="4" t="s">
        <v>16120</v>
      </c>
      <c r="K1180" s="1" t="s">
        <v>13</v>
      </c>
      <c r="L1180" s="1" t="s">
        <v>14</v>
      </c>
      <c r="M1180" s="16">
        <v>5</v>
      </c>
      <c r="N1180" s="17">
        <v>5</v>
      </c>
      <c r="O1180" s="3" t="s">
        <v>4444</v>
      </c>
      <c r="P1180" s="20">
        <v>17310</v>
      </c>
      <c r="Q1180" s="3" t="s">
        <v>4445</v>
      </c>
      <c r="R1180" s="3" t="s">
        <v>4447</v>
      </c>
      <c r="S1180" s="3" t="s">
        <v>5457</v>
      </c>
      <c r="T1180" s="3" t="s">
        <v>4446</v>
      </c>
      <c r="AA1180" s="2" t="s">
        <v>4446</v>
      </c>
      <c r="AD1180" s="698"/>
      <c r="AE1180" s="655"/>
    </row>
    <row r="1181" spans="1:31" ht="12" customHeight="1">
      <c r="A1181" s="937" t="s">
        <v>18223</v>
      </c>
      <c r="B1181" s="4" t="s">
        <v>4437</v>
      </c>
      <c r="C1181" s="1" t="s">
        <v>6153</v>
      </c>
      <c r="D1181" s="1">
        <f t="shared" si="18"/>
        <v>47</v>
      </c>
      <c r="E1181" s="2" t="s">
        <v>5</v>
      </c>
      <c r="F1181" s="1" t="s">
        <v>15273</v>
      </c>
      <c r="J1181" s="4" t="s">
        <v>16116</v>
      </c>
      <c r="K1181" s="1" t="s">
        <v>6155</v>
      </c>
      <c r="L1181" s="1" t="s">
        <v>6</v>
      </c>
      <c r="O1181" s="3" t="s">
        <v>1879</v>
      </c>
      <c r="P1181" s="20">
        <v>23848</v>
      </c>
      <c r="Q1181" s="3" t="s">
        <v>6156</v>
      </c>
      <c r="S1181" s="3" t="s">
        <v>5948</v>
      </c>
      <c r="AD1181" s="698"/>
      <c r="AE1181" s="655"/>
    </row>
    <row r="1182" spans="1:31" ht="12" customHeight="1" thickBot="1">
      <c r="A1182" s="938" t="s">
        <v>18223</v>
      </c>
      <c r="B1182" s="700" t="s">
        <v>5440</v>
      </c>
      <c r="C1182" s="699" t="s">
        <v>4448</v>
      </c>
      <c r="D1182" s="699">
        <f t="shared" si="18"/>
        <v>49</v>
      </c>
      <c r="E1182" s="702" t="s">
        <v>5</v>
      </c>
      <c r="F1182" s="699" t="s">
        <v>15273</v>
      </c>
      <c r="G1182" s="703"/>
      <c r="H1182" s="699"/>
      <c r="I1182" s="699"/>
      <c r="J1182" s="700" t="s">
        <v>16117</v>
      </c>
      <c r="K1182" s="699"/>
      <c r="L1182" s="699" t="s">
        <v>6</v>
      </c>
      <c r="M1182" s="705"/>
      <c r="N1182" s="706"/>
      <c r="O1182" s="703" t="s">
        <v>4449</v>
      </c>
      <c r="P1182" s="707">
        <v>23023</v>
      </c>
      <c r="Q1182" s="703" t="s">
        <v>4450</v>
      </c>
      <c r="R1182" s="703"/>
      <c r="S1182" s="703"/>
      <c r="T1182" s="703" t="s">
        <v>4451</v>
      </c>
      <c r="U1182" s="702"/>
      <c r="V1182" s="702" t="s">
        <v>4451</v>
      </c>
      <c r="W1182" s="702"/>
      <c r="X1182" s="702"/>
      <c r="Y1182" s="702"/>
      <c r="Z1182" s="702"/>
      <c r="AA1182" s="702"/>
      <c r="AB1182" s="702"/>
      <c r="AC1182" s="702"/>
      <c r="AD1182" s="708"/>
      <c r="AE1182" s="655"/>
    </row>
    <row r="1183" spans="1:31" ht="12" customHeight="1">
      <c r="A1183" s="936" t="s">
        <v>18246</v>
      </c>
      <c r="B1183" s="688" t="s">
        <v>4452</v>
      </c>
      <c r="C1183" s="687" t="s">
        <v>4456</v>
      </c>
      <c r="D1183" s="687">
        <f t="shared" si="18"/>
        <v>39</v>
      </c>
      <c r="E1183" s="696" t="s">
        <v>5</v>
      </c>
      <c r="F1183" s="689" t="s">
        <v>15273</v>
      </c>
      <c r="G1183" s="747" t="s">
        <v>4457</v>
      </c>
      <c r="H1183" s="687"/>
      <c r="I1183" s="687"/>
      <c r="J1183" s="692" t="s">
        <v>16126</v>
      </c>
      <c r="K1183" s="687" t="s">
        <v>44</v>
      </c>
      <c r="L1183" s="687" t="s">
        <v>25</v>
      </c>
      <c r="M1183" s="748">
        <v>2</v>
      </c>
      <c r="N1183" s="749">
        <v>2</v>
      </c>
      <c r="O1183" s="747" t="s">
        <v>4458</v>
      </c>
      <c r="P1183" s="773">
        <v>26838</v>
      </c>
      <c r="Q1183" s="747" t="s">
        <v>16676</v>
      </c>
      <c r="R1183" s="747" t="s">
        <v>2043</v>
      </c>
      <c r="S1183" s="747" t="s">
        <v>6214</v>
      </c>
      <c r="T1183" s="747" t="s">
        <v>146</v>
      </c>
      <c r="U1183" s="696"/>
      <c r="V1183" s="696"/>
      <c r="W1183" s="696"/>
      <c r="X1183" s="696"/>
      <c r="Y1183" s="696"/>
      <c r="Z1183" s="696"/>
      <c r="AA1183" s="696"/>
      <c r="AB1183" s="696"/>
      <c r="AC1183" s="696" t="s">
        <v>4459</v>
      </c>
      <c r="AD1183" s="697"/>
      <c r="AE1183" s="655"/>
    </row>
    <row r="1184" spans="1:31" ht="12" customHeight="1">
      <c r="A1184" s="937" t="s">
        <v>18220</v>
      </c>
      <c r="B1184" s="4" t="s">
        <v>4453</v>
      </c>
      <c r="C1184" s="1" t="s">
        <v>4460</v>
      </c>
      <c r="D1184" s="1">
        <f t="shared" si="18"/>
        <v>64</v>
      </c>
      <c r="E1184" s="2" t="s">
        <v>5</v>
      </c>
      <c r="G1184" s="3" t="s">
        <v>4461</v>
      </c>
      <c r="J1184" s="4" t="s">
        <v>16120</v>
      </c>
      <c r="K1184" s="1" t="s">
        <v>476</v>
      </c>
      <c r="L1184" s="1" t="s">
        <v>25</v>
      </c>
      <c r="M1184" s="16">
        <v>5</v>
      </c>
      <c r="N1184" s="17">
        <v>5</v>
      </c>
      <c r="O1184" s="3" t="s">
        <v>4462</v>
      </c>
      <c r="P1184" s="20">
        <v>17753</v>
      </c>
      <c r="Q1184" s="3" t="s">
        <v>4463</v>
      </c>
      <c r="R1184" s="3" t="s">
        <v>4464</v>
      </c>
      <c r="S1184" s="3" t="s">
        <v>5457</v>
      </c>
      <c r="T1184" s="3" t="s">
        <v>4442</v>
      </c>
      <c r="U1184" s="2" t="s">
        <v>47</v>
      </c>
      <c r="AD1184" s="698"/>
      <c r="AE1184" s="655"/>
    </row>
    <row r="1185" spans="1:31" ht="12" customHeight="1">
      <c r="A1185" s="937" t="s">
        <v>18245</v>
      </c>
      <c r="B1185" s="4" t="s">
        <v>4454</v>
      </c>
      <c r="C1185" s="1" t="s">
        <v>4467</v>
      </c>
      <c r="D1185" s="1">
        <f t="shared" si="18"/>
        <v>57</v>
      </c>
      <c r="E1185" s="2" t="s">
        <v>5</v>
      </c>
      <c r="F1185" s="1" t="s">
        <v>15273</v>
      </c>
      <c r="J1185" s="4" t="s">
        <v>16128</v>
      </c>
      <c r="L1185" s="1" t="s">
        <v>6</v>
      </c>
      <c r="O1185" s="3" t="s">
        <v>4468</v>
      </c>
      <c r="P1185" s="20">
        <v>20188</v>
      </c>
      <c r="Q1185" s="3" t="s">
        <v>4469</v>
      </c>
      <c r="S1185" s="3" t="s">
        <v>6031</v>
      </c>
      <c r="T1185" s="3" t="s">
        <v>4451</v>
      </c>
      <c r="V1185" s="2" t="s">
        <v>4451</v>
      </c>
      <c r="AD1185" s="698"/>
      <c r="AE1185" s="655"/>
    </row>
    <row r="1186" spans="1:31" ht="12" customHeight="1" thickBot="1">
      <c r="A1186" s="938"/>
      <c r="B1186" s="700" t="s">
        <v>4455</v>
      </c>
      <c r="C1186" s="699" t="s">
        <v>4465</v>
      </c>
      <c r="D1186" s="699">
        <f t="shared" si="18"/>
        <v>52</v>
      </c>
      <c r="E1186" s="702" t="s">
        <v>19</v>
      </c>
      <c r="F1186" s="699"/>
      <c r="G1186" s="703"/>
      <c r="H1186" s="699"/>
      <c r="I1186" s="699"/>
      <c r="J1186" s="700" t="s">
        <v>16117</v>
      </c>
      <c r="K1186" s="699"/>
      <c r="L1186" s="699" t="s">
        <v>6</v>
      </c>
      <c r="M1186" s="705"/>
      <c r="N1186" s="706"/>
      <c r="O1186" s="703" t="s">
        <v>3969</v>
      </c>
      <c r="P1186" s="723">
        <v>22102</v>
      </c>
      <c r="Q1186" s="703" t="s">
        <v>4466</v>
      </c>
      <c r="R1186" s="703"/>
      <c r="S1186" s="703"/>
      <c r="T1186" s="703" t="s">
        <v>4451</v>
      </c>
      <c r="U1186" s="702"/>
      <c r="V1186" s="702" t="s">
        <v>145</v>
      </c>
      <c r="W1186" s="702"/>
      <c r="X1186" s="702"/>
      <c r="Y1186" s="702"/>
      <c r="Z1186" s="702"/>
      <c r="AA1186" s="702"/>
      <c r="AB1186" s="702"/>
      <c r="AC1186" s="702"/>
      <c r="AD1186" s="708"/>
      <c r="AE1186" s="655"/>
    </row>
    <row r="1187" spans="1:31" ht="12" customHeight="1">
      <c r="A1187" s="936" t="s">
        <v>18219</v>
      </c>
      <c r="B1187" s="688" t="s">
        <v>4470</v>
      </c>
      <c r="C1187" s="687" t="s">
        <v>4473</v>
      </c>
      <c r="D1187" s="687">
        <f t="shared" si="18"/>
        <v>44</v>
      </c>
      <c r="E1187" s="696" t="s">
        <v>5</v>
      </c>
      <c r="F1187" s="687" t="s">
        <v>15273</v>
      </c>
      <c r="G1187" s="747" t="s">
        <v>4474</v>
      </c>
      <c r="H1187" s="687"/>
      <c r="I1187" s="687"/>
      <c r="J1187" s="692" t="s">
        <v>16120</v>
      </c>
      <c r="K1187" s="687" t="s">
        <v>30</v>
      </c>
      <c r="L1187" s="687" t="s">
        <v>25</v>
      </c>
      <c r="M1187" s="748">
        <v>3</v>
      </c>
      <c r="N1187" s="749">
        <v>3</v>
      </c>
      <c r="O1187" s="747" t="s">
        <v>245</v>
      </c>
      <c r="P1187" s="773">
        <v>24929</v>
      </c>
      <c r="Q1187" s="747" t="s">
        <v>4475</v>
      </c>
      <c r="R1187" s="747" t="s">
        <v>4476</v>
      </c>
      <c r="S1187" s="747" t="s">
        <v>5457</v>
      </c>
      <c r="T1187" s="747" t="s">
        <v>4446</v>
      </c>
      <c r="U1187" s="696"/>
      <c r="V1187" s="696"/>
      <c r="W1187" s="696"/>
      <c r="X1187" s="696"/>
      <c r="Y1187" s="696"/>
      <c r="Z1187" s="696"/>
      <c r="AA1187" s="696" t="s">
        <v>4446</v>
      </c>
      <c r="AB1187" s="696"/>
      <c r="AC1187" s="696"/>
      <c r="AD1187" s="697"/>
      <c r="AE1187" s="655"/>
    </row>
    <row r="1188" spans="1:31" ht="12" customHeight="1">
      <c r="A1188" s="937" t="s">
        <v>18245</v>
      </c>
      <c r="B1188" s="4" t="s">
        <v>4471</v>
      </c>
      <c r="C1188" s="1" t="s">
        <v>5782</v>
      </c>
      <c r="D1188" s="1">
        <f t="shared" si="18"/>
        <v>33</v>
      </c>
      <c r="E1188" s="2" t="s">
        <v>5</v>
      </c>
      <c r="F1188" s="1" t="s">
        <v>15273</v>
      </c>
      <c r="J1188" s="4" t="s">
        <v>16116</v>
      </c>
      <c r="K1188" s="1" t="s">
        <v>5779</v>
      </c>
      <c r="L1188" s="1" t="s">
        <v>6</v>
      </c>
      <c r="O1188" s="3" t="s">
        <v>188</v>
      </c>
      <c r="P1188" s="20">
        <v>29159</v>
      </c>
      <c r="Q1188" s="3" t="s">
        <v>727</v>
      </c>
      <c r="S1188" s="3" t="s">
        <v>5948</v>
      </c>
      <c r="AB1188" s="2" t="s">
        <v>16033</v>
      </c>
      <c r="AD1188" s="698"/>
      <c r="AE1188" s="655"/>
    </row>
    <row r="1189" spans="1:31" ht="12" customHeight="1">
      <c r="A1189" s="937"/>
      <c r="B1189" s="4" t="s">
        <v>4472</v>
      </c>
      <c r="C1189" s="1" t="s">
        <v>4477</v>
      </c>
      <c r="D1189" s="1">
        <f t="shared" si="18"/>
        <v>59</v>
      </c>
      <c r="E1189" s="2" t="s">
        <v>19</v>
      </c>
      <c r="J1189" s="4" t="s">
        <v>16117</v>
      </c>
      <c r="L1189" s="1" t="s">
        <v>6</v>
      </c>
      <c r="O1189" s="3" t="s">
        <v>4479</v>
      </c>
      <c r="P1189" s="21">
        <v>19647</v>
      </c>
      <c r="Q1189" s="3" t="s">
        <v>4478</v>
      </c>
      <c r="AD1189" s="698"/>
      <c r="AE1189" s="655"/>
    </row>
    <row r="1190" spans="1:31" ht="12" customHeight="1" thickBot="1">
      <c r="A1190" s="938" t="s">
        <v>18223</v>
      </c>
      <c r="B1190" s="700" t="s">
        <v>5343</v>
      </c>
      <c r="C1190" s="699" t="s">
        <v>5344</v>
      </c>
      <c r="D1190" s="699">
        <f t="shared" si="18"/>
        <v>36</v>
      </c>
      <c r="E1190" s="702" t="s">
        <v>19</v>
      </c>
      <c r="F1190" s="699" t="s">
        <v>15273</v>
      </c>
      <c r="G1190" s="703"/>
      <c r="H1190" s="699"/>
      <c r="I1190" s="699"/>
      <c r="J1190" s="700" t="s">
        <v>16121</v>
      </c>
      <c r="K1190" s="699"/>
      <c r="L1190" s="699" t="s">
        <v>6</v>
      </c>
      <c r="M1190" s="705"/>
      <c r="N1190" s="706"/>
      <c r="O1190" s="703" t="s">
        <v>4070</v>
      </c>
      <c r="P1190" s="723">
        <v>27912</v>
      </c>
      <c r="Q1190" s="703" t="s">
        <v>5470</v>
      </c>
      <c r="R1190" s="703"/>
      <c r="S1190" s="703"/>
      <c r="T1190" s="703"/>
      <c r="U1190" s="702"/>
      <c r="V1190" s="702"/>
      <c r="W1190" s="702"/>
      <c r="X1190" s="702"/>
      <c r="Y1190" s="702"/>
      <c r="Z1190" s="702"/>
      <c r="AA1190" s="702"/>
      <c r="AB1190" s="702"/>
      <c r="AC1190" s="702"/>
      <c r="AD1190" s="708"/>
      <c r="AE1190" s="655"/>
    </row>
    <row r="1191" spans="1:31" ht="12" customHeight="1">
      <c r="A1191" s="936" t="s">
        <v>18246</v>
      </c>
      <c r="B1191" s="688" t="s">
        <v>4480</v>
      </c>
      <c r="C1191" s="687" t="s">
        <v>4483</v>
      </c>
      <c r="D1191" s="687">
        <f t="shared" si="18"/>
        <v>53</v>
      </c>
      <c r="E1191" s="696" t="s">
        <v>5</v>
      </c>
      <c r="F1191" s="689" t="s">
        <v>15273</v>
      </c>
      <c r="G1191" s="747" t="s">
        <v>4484</v>
      </c>
      <c r="H1191" s="687"/>
      <c r="I1191" s="687"/>
      <c r="J1191" s="692" t="s">
        <v>16127</v>
      </c>
      <c r="K1191" s="687" t="s">
        <v>4485</v>
      </c>
      <c r="L1191" s="687" t="s">
        <v>25</v>
      </c>
      <c r="M1191" s="748">
        <v>5</v>
      </c>
      <c r="N1191" s="749">
        <v>5</v>
      </c>
      <c r="O1191" s="747" t="s">
        <v>4462</v>
      </c>
      <c r="P1191" s="773">
        <v>21733</v>
      </c>
      <c r="Q1191" s="747" t="s">
        <v>16677</v>
      </c>
      <c r="R1191" s="747" t="s">
        <v>4486</v>
      </c>
      <c r="S1191" s="747" t="s">
        <v>6214</v>
      </c>
      <c r="T1191" s="747" t="s">
        <v>4493</v>
      </c>
      <c r="U1191" s="696"/>
      <c r="V1191" s="696" t="s">
        <v>4451</v>
      </c>
      <c r="W1191" s="696"/>
      <c r="X1191" s="696"/>
      <c r="Y1191" s="696"/>
      <c r="Z1191" s="696"/>
      <c r="AA1191" s="696"/>
      <c r="AB1191" s="696"/>
      <c r="AC1191" s="696" t="s">
        <v>4459</v>
      </c>
      <c r="AD1191" s="697"/>
      <c r="AE1191" s="655"/>
    </row>
    <row r="1192" spans="1:31" ht="12" customHeight="1">
      <c r="A1192" s="937" t="s">
        <v>18220</v>
      </c>
      <c r="B1192" s="4" t="s">
        <v>4481</v>
      </c>
      <c r="C1192" s="1" t="s">
        <v>4487</v>
      </c>
      <c r="D1192" s="1">
        <f t="shared" si="18"/>
        <v>39</v>
      </c>
      <c r="E1192" s="2" t="s">
        <v>5</v>
      </c>
      <c r="F1192" s="1" t="s">
        <v>15273</v>
      </c>
      <c r="J1192" s="4" t="s">
        <v>16120</v>
      </c>
      <c r="K1192" s="1" t="s">
        <v>30</v>
      </c>
      <c r="L1192" s="1" t="s">
        <v>6</v>
      </c>
      <c r="O1192" s="3" t="s">
        <v>4488</v>
      </c>
      <c r="P1192" s="20">
        <v>26927</v>
      </c>
      <c r="Q1192" s="3" t="s">
        <v>4489</v>
      </c>
      <c r="S1192" s="3" t="s">
        <v>5457</v>
      </c>
      <c r="T1192" s="3" t="s">
        <v>4451</v>
      </c>
      <c r="V1192" s="2" t="s">
        <v>4451</v>
      </c>
      <c r="AD1192" s="698"/>
      <c r="AE1192" s="655"/>
    </row>
    <row r="1193" spans="1:31" ht="12" customHeight="1" thickBot="1">
      <c r="A1193" s="938"/>
      <c r="B1193" s="700" t="s">
        <v>4482</v>
      </c>
      <c r="C1193" s="699" t="s">
        <v>4490</v>
      </c>
      <c r="D1193" s="699">
        <f t="shared" si="18"/>
        <v>57</v>
      </c>
      <c r="E1193" s="702" t="s">
        <v>5</v>
      </c>
      <c r="F1193" s="699"/>
      <c r="G1193" s="703"/>
      <c r="H1193" s="699"/>
      <c r="I1193" s="699"/>
      <c r="J1193" s="700" t="s">
        <v>16117</v>
      </c>
      <c r="K1193" s="699"/>
      <c r="L1193" s="699" t="s">
        <v>6</v>
      </c>
      <c r="M1193" s="705"/>
      <c r="N1193" s="706"/>
      <c r="O1193" s="703" t="s">
        <v>4491</v>
      </c>
      <c r="P1193" s="723">
        <v>20287</v>
      </c>
      <c r="Q1193" s="703" t="s">
        <v>4492</v>
      </c>
      <c r="R1193" s="703"/>
      <c r="S1193" s="703"/>
      <c r="T1193" s="703" t="s">
        <v>4451</v>
      </c>
      <c r="U1193" s="702"/>
      <c r="V1193" s="702" t="s">
        <v>4451</v>
      </c>
      <c r="W1193" s="702"/>
      <c r="X1193" s="702"/>
      <c r="Y1193" s="702"/>
      <c r="Z1193" s="702"/>
      <c r="AA1193" s="702"/>
      <c r="AB1193" s="702"/>
      <c r="AC1193" s="702"/>
      <c r="AD1193" s="708"/>
      <c r="AE1193" s="655"/>
    </row>
    <row r="1194" spans="1:31" ht="12" customHeight="1">
      <c r="A1194" s="936" t="s">
        <v>18246</v>
      </c>
      <c r="B1194" s="688" t="s">
        <v>4494</v>
      </c>
      <c r="C1194" s="687" t="s">
        <v>4497</v>
      </c>
      <c r="D1194" s="687">
        <f t="shared" si="18"/>
        <v>47</v>
      </c>
      <c r="E1194" s="696" t="s">
        <v>5</v>
      </c>
      <c r="F1194" s="689" t="s">
        <v>15273</v>
      </c>
      <c r="G1194" s="747" t="s">
        <v>4498</v>
      </c>
      <c r="H1194" s="687"/>
      <c r="I1194" s="687"/>
      <c r="J1194" s="692" t="s">
        <v>16127</v>
      </c>
      <c r="K1194" s="687" t="s">
        <v>44</v>
      </c>
      <c r="L1194" s="687" t="s">
        <v>25</v>
      </c>
      <c r="M1194" s="748">
        <v>2</v>
      </c>
      <c r="N1194" s="749">
        <v>2</v>
      </c>
      <c r="O1194" s="747" t="s">
        <v>317</v>
      </c>
      <c r="P1194" s="773">
        <v>23985</v>
      </c>
      <c r="Q1194" s="747" t="s">
        <v>4499</v>
      </c>
      <c r="R1194" s="747" t="s">
        <v>4500</v>
      </c>
      <c r="S1194" s="747"/>
      <c r="T1194" s="747" t="s">
        <v>4442</v>
      </c>
      <c r="U1194" s="696" t="s">
        <v>47</v>
      </c>
      <c r="V1194" s="696"/>
      <c r="W1194" s="696"/>
      <c r="X1194" s="696"/>
      <c r="Y1194" s="696"/>
      <c r="Z1194" s="696"/>
      <c r="AA1194" s="696"/>
      <c r="AB1194" s="696"/>
      <c r="AC1194" s="696"/>
      <c r="AD1194" s="697"/>
      <c r="AE1194" s="655"/>
    </row>
    <row r="1195" spans="1:31" ht="12" customHeight="1">
      <c r="A1195" s="937" t="s">
        <v>18220</v>
      </c>
      <c r="B1195" s="4" t="s">
        <v>4495</v>
      </c>
      <c r="C1195" s="1" t="s">
        <v>4501</v>
      </c>
      <c r="D1195" s="1">
        <f t="shared" si="18"/>
        <v>65</v>
      </c>
      <c r="E1195" s="2" t="s">
        <v>5</v>
      </c>
      <c r="F1195" s="1" t="s">
        <v>15273</v>
      </c>
      <c r="G1195" s="3" t="s">
        <v>4502</v>
      </c>
      <c r="J1195" s="4" t="s">
        <v>16120</v>
      </c>
      <c r="K1195" s="1" t="s">
        <v>30</v>
      </c>
      <c r="L1195" s="1" t="s">
        <v>25</v>
      </c>
      <c r="M1195" s="16">
        <v>5</v>
      </c>
      <c r="N1195" s="17">
        <v>5</v>
      </c>
      <c r="O1195" s="3" t="s">
        <v>4462</v>
      </c>
      <c r="P1195" s="20">
        <v>17172</v>
      </c>
      <c r="Q1195" s="3" t="s">
        <v>4503</v>
      </c>
      <c r="R1195" s="3" t="s">
        <v>4504</v>
      </c>
      <c r="S1195" s="3" t="s">
        <v>5457</v>
      </c>
      <c r="AD1195" s="698"/>
      <c r="AE1195" s="655"/>
    </row>
    <row r="1196" spans="1:31" ht="12" customHeight="1" thickBot="1">
      <c r="A1196" s="938"/>
      <c r="B1196" s="700" t="s">
        <v>4496</v>
      </c>
      <c r="C1196" s="699" t="s">
        <v>4505</v>
      </c>
      <c r="D1196" s="699">
        <f t="shared" si="18"/>
        <v>47</v>
      </c>
      <c r="E1196" s="702" t="s">
        <v>5</v>
      </c>
      <c r="F1196" s="699"/>
      <c r="G1196" s="703"/>
      <c r="H1196" s="699"/>
      <c r="I1196" s="699"/>
      <c r="J1196" s="700" t="s">
        <v>16117</v>
      </c>
      <c r="K1196" s="699"/>
      <c r="L1196" s="699" t="s">
        <v>6</v>
      </c>
      <c r="M1196" s="705"/>
      <c r="N1196" s="706"/>
      <c r="O1196" s="703" t="s">
        <v>4506</v>
      </c>
      <c r="P1196" s="707">
        <v>23866</v>
      </c>
      <c r="Q1196" s="703" t="s">
        <v>4507</v>
      </c>
      <c r="R1196" s="703"/>
      <c r="S1196" s="703"/>
      <c r="T1196" s="703"/>
      <c r="U1196" s="702"/>
      <c r="V1196" s="702"/>
      <c r="W1196" s="702"/>
      <c r="X1196" s="702"/>
      <c r="Y1196" s="702"/>
      <c r="Z1196" s="702"/>
      <c r="AA1196" s="702"/>
      <c r="AB1196" s="702"/>
      <c r="AC1196" s="702"/>
      <c r="AD1196" s="708"/>
      <c r="AE1196" s="655"/>
    </row>
    <row r="1197" spans="1:31" ht="12" customHeight="1">
      <c r="A1197" s="936" t="s">
        <v>18218</v>
      </c>
      <c r="B1197" s="688" t="s">
        <v>4508</v>
      </c>
      <c r="C1197" s="687" t="s">
        <v>4510</v>
      </c>
      <c r="D1197" s="687">
        <f t="shared" si="18"/>
        <v>78</v>
      </c>
      <c r="E1197" s="696" t="s">
        <v>5</v>
      </c>
      <c r="F1197" s="687"/>
      <c r="G1197" s="747" t="s">
        <v>4511</v>
      </c>
      <c r="H1197" s="687"/>
      <c r="I1197" s="687"/>
      <c r="J1197" s="692" t="s">
        <v>16120</v>
      </c>
      <c r="K1197" s="687" t="s">
        <v>30</v>
      </c>
      <c r="L1197" s="687" t="s">
        <v>25</v>
      </c>
      <c r="M1197" s="748">
        <v>11</v>
      </c>
      <c r="N1197" s="749">
        <v>11</v>
      </c>
      <c r="O1197" s="747" t="s">
        <v>31</v>
      </c>
      <c r="P1197" s="773">
        <v>12685</v>
      </c>
      <c r="Q1197" s="747" t="s">
        <v>4512</v>
      </c>
      <c r="R1197" s="747" t="s">
        <v>4513</v>
      </c>
      <c r="S1197" s="747"/>
      <c r="T1197" s="747" t="s">
        <v>4446</v>
      </c>
      <c r="U1197" s="696"/>
      <c r="V1197" s="696"/>
      <c r="W1197" s="696"/>
      <c r="X1197" s="696"/>
      <c r="Y1197" s="696"/>
      <c r="Z1197" s="696"/>
      <c r="AA1197" s="696" t="s">
        <v>4446</v>
      </c>
      <c r="AB1197" s="696"/>
      <c r="AC1197" s="696"/>
      <c r="AD1197" s="697"/>
      <c r="AE1197" s="655"/>
    </row>
    <row r="1198" spans="1:31" ht="12" customHeight="1" thickBot="1">
      <c r="A1198" s="938" t="s">
        <v>18223</v>
      </c>
      <c r="B1198" s="700" t="s">
        <v>4509</v>
      </c>
      <c r="C1198" s="699" t="s">
        <v>4578</v>
      </c>
      <c r="D1198" s="699">
        <f t="shared" si="18"/>
        <v>57</v>
      </c>
      <c r="E1198" s="702" t="s">
        <v>5</v>
      </c>
      <c r="F1198" s="699"/>
      <c r="G1198" s="703"/>
      <c r="H1198" s="699"/>
      <c r="I1198" s="699"/>
      <c r="J1198" s="700" t="s">
        <v>16117</v>
      </c>
      <c r="K1198" s="699"/>
      <c r="L1198" s="699" t="s">
        <v>6</v>
      </c>
      <c r="M1198" s="705"/>
      <c r="N1198" s="706"/>
      <c r="O1198" s="703" t="s">
        <v>4579</v>
      </c>
      <c r="P1198" s="707">
        <v>20318</v>
      </c>
      <c r="Q1198" s="703" t="s">
        <v>4580</v>
      </c>
      <c r="R1198" s="703"/>
      <c r="S1198" s="703"/>
      <c r="T1198" s="703" t="s">
        <v>4581</v>
      </c>
      <c r="U1198" s="702"/>
      <c r="V1198" s="702" t="s">
        <v>145</v>
      </c>
      <c r="W1198" s="702"/>
      <c r="X1198" s="702"/>
      <c r="Y1198" s="702"/>
      <c r="Z1198" s="702"/>
      <c r="AA1198" s="702"/>
      <c r="AB1198" s="702"/>
      <c r="AC1198" s="702"/>
      <c r="AD1198" s="708"/>
      <c r="AE1198" s="655"/>
    </row>
    <row r="1199" spans="1:31" ht="12" customHeight="1">
      <c r="A1199" s="936" t="s">
        <v>18220</v>
      </c>
      <c r="B1199" s="688" t="s">
        <v>4514</v>
      </c>
      <c r="C1199" s="687" t="s">
        <v>4517</v>
      </c>
      <c r="D1199" s="687">
        <f t="shared" si="18"/>
        <v>66</v>
      </c>
      <c r="E1199" s="696" t="s">
        <v>5</v>
      </c>
      <c r="F1199" s="689" t="s">
        <v>15273</v>
      </c>
      <c r="G1199" s="747" t="s">
        <v>4518</v>
      </c>
      <c r="H1199" s="687"/>
      <c r="I1199" s="687"/>
      <c r="J1199" s="692" t="s">
        <v>16126</v>
      </c>
      <c r="K1199" s="687" t="s">
        <v>4519</v>
      </c>
      <c r="L1199" s="687" t="s">
        <v>25</v>
      </c>
      <c r="M1199" s="748">
        <v>7</v>
      </c>
      <c r="N1199" s="749">
        <v>7</v>
      </c>
      <c r="O1199" s="747" t="s">
        <v>4520</v>
      </c>
      <c r="P1199" s="773">
        <v>16793</v>
      </c>
      <c r="Q1199" s="747" t="s">
        <v>4521</v>
      </c>
      <c r="R1199" s="747" t="s">
        <v>4524</v>
      </c>
      <c r="S1199" s="747" t="s">
        <v>6214</v>
      </c>
      <c r="T1199" s="747" t="s">
        <v>4522</v>
      </c>
      <c r="U1199" s="696"/>
      <c r="V1199" s="696" t="s">
        <v>4451</v>
      </c>
      <c r="W1199" s="696"/>
      <c r="X1199" s="696"/>
      <c r="Y1199" s="696"/>
      <c r="Z1199" s="696"/>
      <c r="AA1199" s="696"/>
      <c r="AB1199" s="696"/>
      <c r="AC1199" s="696"/>
      <c r="AD1199" s="697" t="s">
        <v>4523</v>
      </c>
      <c r="AE1199" s="655"/>
    </row>
    <row r="1200" spans="1:31" ht="12" customHeight="1">
      <c r="A1200" s="937" t="s">
        <v>18246</v>
      </c>
      <c r="B1200" s="4" t="s">
        <v>4515</v>
      </c>
      <c r="C1200" s="1" t="s">
        <v>4525</v>
      </c>
      <c r="D1200" s="1">
        <f t="shared" si="18"/>
        <v>64</v>
      </c>
      <c r="E1200" s="2" t="s">
        <v>5</v>
      </c>
      <c r="F1200" s="1" t="s">
        <v>15273</v>
      </c>
      <c r="J1200" s="4" t="s">
        <v>16120</v>
      </c>
      <c r="K1200" s="1" t="s">
        <v>934</v>
      </c>
      <c r="L1200" s="1" t="s">
        <v>14</v>
      </c>
      <c r="M1200" s="16">
        <v>1</v>
      </c>
      <c r="N1200" s="17">
        <v>1</v>
      </c>
      <c r="O1200" s="3" t="s">
        <v>4526</v>
      </c>
      <c r="P1200" s="20">
        <v>17718</v>
      </c>
      <c r="Q1200" s="3" t="s">
        <v>4527</v>
      </c>
      <c r="S1200" s="3" t="s">
        <v>5457</v>
      </c>
      <c r="T1200" s="3" t="s">
        <v>4451</v>
      </c>
      <c r="V1200" s="2" t="s">
        <v>4451</v>
      </c>
      <c r="AD1200" s="698"/>
      <c r="AE1200" s="655"/>
    </row>
    <row r="1201" spans="1:31" ht="12" customHeight="1" thickBot="1">
      <c r="A1201" s="938"/>
      <c r="B1201" s="700" t="s">
        <v>4516</v>
      </c>
      <c r="C1201" s="699" t="s">
        <v>4528</v>
      </c>
      <c r="D1201" s="699">
        <f t="shared" si="18"/>
        <v>55</v>
      </c>
      <c r="E1201" s="702" t="s">
        <v>5</v>
      </c>
      <c r="F1201" s="699"/>
      <c r="G1201" s="703"/>
      <c r="H1201" s="699"/>
      <c r="I1201" s="699"/>
      <c r="J1201" s="700" t="s">
        <v>16117</v>
      </c>
      <c r="K1201" s="699"/>
      <c r="L1201" s="699" t="s">
        <v>6</v>
      </c>
      <c r="M1201" s="705"/>
      <c r="N1201" s="706"/>
      <c r="O1201" s="703" t="s">
        <v>381</v>
      </c>
      <c r="P1201" s="723">
        <v>20888</v>
      </c>
      <c r="Q1201" s="703" t="s">
        <v>4529</v>
      </c>
      <c r="R1201" s="703"/>
      <c r="S1201" s="703"/>
      <c r="T1201" s="703" t="s">
        <v>4451</v>
      </c>
      <c r="U1201" s="702"/>
      <c r="V1201" s="702" t="s">
        <v>4451</v>
      </c>
      <c r="W1201" s="702"/>
      <c r="X1201" s="702"/>
      <c r="Y1201" s="702"/>
      <c r="Z1201" s="702"/>
      <c r="AA1201" s="702"/>
      <c r="AB1201" s="702"/>
      <c r="AC1201" s="702"/>
      <c r="AD1201" s="708"/>
      <c r="AE1201" s="655"/>
    </row>
    <row r="1202" spans="1:31" ht="12" customHeight="1">
      <c r="A1202" s="936" t="s">
        <v>18245</v>
      </c>
      <c r="B1202" s="688" t="s">
        <v>4530</v>
      </c>
      <c r="C1202" s="687" t="s">
        <v>5549</v>
      </c>
      <c r="D1202" s="687">
        <f t="shared" si="18"/>
        <v>69</v>
      </c>
      <c r="E1202" s="696" t="s">
        <v>5</v>
      </c>
      <c r="F1202" s="689" t="s">
        <v>15273</v>
      </c>
      <c r="G1202" s="747" t="s">
        <v>5550</v>
      </c>
      <c r="H1202" s="687"/>
      <c r="I1202" s="687"/>
      <c r="J1202" s="692" t="s">
        <v>16127</v>
      </c>
      <c r="K1202" s="687" t="s">
        <v>44</v>
      </c>
      <c r="L1202" s="687" t="s">
        <v>25</v>
      </c>
      <c r="M1202" s="748">
        <v>1</v>
      </c>
      <c r="N1202" s="749">
        <v>1</v>
      </c>
      <c r="O1202" s="747" t="s">
        <v>5551</v>
      </c>
      <c r="P1202" s="719">
        <v>15899</v>
      </c>
      <c r="Q1202" s="747" t="s">
        <v>5552</v>
      </c>
      <c r="R1202" s="747"/>
      <c r="S1202" s="747" t="s">
        <v>6214</v>
      </c>
      <c r="T1202" s="747" t="s">
        <v>5464</v>
      </c>
      <c r="U1202" s="696"/>
      <c r="V1202" s="696" t="s">
        <v>145</v>
      </c>
      <c r="W1202" s="696"/>
      <c r="X1202" s="696"/>
      <c r="Y1202" s="696"/>
      <c r="Z1202" s="696"/>
      <c r="AA1202" s="696"/>
      <c r="AB1202" s="696"/>
      <c r="AC1202" s="696"/>
      <c r="AD1202" s="697" t="s">
        <v>5465</v>
      </c>
      <c r="AE1202" s="655"/>
    </row>
    <row r="1203" spans="1:31" ht="12" customHeight="1">
      <c r="A1203" s="937" t="s">
        <v>18246</v>
      </c>
      <c r="B1203" s="4" t="s">
        <v>4531</v>
      </c>
      <c r="C1203" s="1" t="s">
        <v>4533</v>
      </c>
      <c r="D1203" s="1">
        <f t="shared" si="18"/>
        <v>66</v>
      </c>
      <c r="E1203" s="2" t="s">
        <v>5</v>
      </c>
      <c r="F1203" s="1" t="s">
        <v>15273</v>
      </c>
      <c r="J1203" s="4" t="s">
        <v>16120</v>
      </c>
      <c r="K1203" s="1" t="s">
        <v>30</v>
      </c>
      <c r="L1203" s="1" t="s">
        <v>6</v>
      </c>
      <c r="O1203" s="3" t="s">
        <v>4468</v>
      </c>
      <c r="P1203" s="20">
        <v>16916</v>
      </c>
      <c r="Q1203" s="3" t="s">
        <v>4534</v>
      </c>
      <c r="S1203" s="3" t="s">
        <v>5457</v>
      </c>
      <c r="T1203" s="3" t="s">
        <v>4451</v>
      </c>
      <c r="V1203" s="2" t="s">
        <v>4451</v>
      </c>
      <c r="AD1203" s="698"/>
      <c r="AE1203" s="655"/>
    </row>
    <row r="1204" spans="1:31" ht="12" customHeight="1">
      <c r="A1204" s="937"/>
      <c r="B1204" s="4" t="s">
        <v>4532</v>
      </c>
      <c r="C1204" s="1" t="s">
        <v>5281</v>
      </c>
      <c r="D1204" s="1">
        <f t="shared" si="18"/>
        <v>63</v>
      </c>
      <c r="E1204" s="2" t="s">
        <v>5</v>
      </c>
      <c r="J1204" s="4" t="s">
        <v>16117</v>
      </c>
      <c r="L1204" s="1" t="s">
        <v>6</v>
      </c>
      <c r="O1204" s="3" t="s">
        <v>16060</v>
      </c>
      <c r="P1204" s="20">
        <v>18241</v>
      </c>
      <c r="Q1204" s="3" t="s">
        <v>5282</v>
      </c>
      <c r="T1204" s="3" t="s">
        <v>145</v>
      </c>
      <c r="V1204" s="2" t="s">
        <v>145</v>
      </c>
      <c r="AD1204" s="698"/>
      <c r="AE1204" s="655"/>
    </row>
    <row r="1205" spans="1:31" ht="12" customHeight="1">
      <c r="A1205" s="937"/>
      <c r="B1205" s="4" t="s">
        <v>4574</v>
      </c>
      <c r="C1205" s="1" t="s">
        <v>16062</v>
      </c>
      <c r="D1205" s="1">
        <f t="shared" si="18"/>
        <v>63</v>
      </c>
      <c r="E1205" s="2" t="s">
        <v>5</v>
      </c>
      <c r="J1205" s="4" t="s">
        <v>16129</v>
      </c>
      <c r="L1205" s="1" t="s">
        <v>6</v>
      </c>
      <c r="O1205" s="3" t="s">
        <v>16063</v>
      </c>
      <c r="P1205" s="20">
        <v>17926</v>
      </c>
      <c r="Q1205" s="3" t="s">
        <v>16064</v>
      </c>
      <c r="AD1205" s="698"/>
      <c r="AE1205" s="655"/>
    </row>
    <row r="1206" spans="1:31" ht="12" customHeight="1" thickBot="1">
      <c r="A1206" s="938" t="s">
        <v>18220</v>
      </c>
      <c r="B1206" s="700" t="s">
        <v>16061</v>
      </c>
      <c r="C1206" s="699" t="s">
        <v>5588</v>
      </c>
      <c r="D1206" s="699">
        <f t="shared" si="18"/>
        <v>58</v>
      </c>
      <c r="E1206" s="702" t="s">
        <v>5</v>
      </c>
      <c r="F1206" s="699"/>
      <c r="G1206" s="703"/>
      <c r="H1206" s="699"/>
      <c r="I1206" s="699"/>
      <c r="J1206" s="704" t="s">
        <v>16129</v>
      </c>
      <c r="K1206" s="699" t="s">
        <v>97</v>
      </c>
      <c r="L1206" s="699" t="s">
        <v>6</v>
      </c>
      <c r="M1206" s="705"/>
      <c r="N1206" s="706"/>
      <c r="O1206" s="703" t="s">
        <v>557</v>
      </c>
      <c r="P1206" s="723">
        <v>20010</v>
      </c>
      <c r="Q1206" s="703" t="s">
        <v>5591</v>
      </c>
      <c r="R1206" s="703"/>
      <c r="S1206" s="703"/>
      <c r="T1206" s="703" t="s">
        <v>5590</v>
      </c>
      <c r="U1206" s="702"/>
      <c r="V1206" s="702" t="s">
        <v>145</v>
      </c>
      <c r="W1206" s="702" t="s">
        <v>5589</v>
      </c>
      <c r="X1206" s="702"/>
      <c r="Y1206" s="702"/>
      <c r="Z1206" s="702"/>
      <c r="AA1206" s="702"/>
      <c r="AB1206" s="702"/>
      <c r="AC1206" s="702"/>
      <c r="AD1206" s="708"/>
      <c r="AE1206" s="655"/>
    </row>
    <row r="1207" spans="1:31" ht="12" customHeight="1">
      <c r="A1207" s="936" t="s">
        <v>18219</v>
      </c>
      <c r="B1207" s="688" t="s">
        <v>4535</v>
      </c>
      <c r="C1207" s="687" t="s">
        <v>4542</v>
      </c>
      <c r="D1207" s="687">
        <f t="shared" si="18"/>
        <v>71</v>
      </c>
      <c r="E1207" s="696" t="s">
        <v>5</v>
      </c>
      <c r="F1207" s="687" t="s">
        <v>15273</v>
      </c>
      <c r="G1207" s="747" t="s">
        <v>4543</v>
      </c>
      <c r="H1207" s="687"/>
      <c r="I1207" s="687"/>
      <c r="J1207" s="692" t="s">
        <v>16120</v>
      </c>
      <c r="K1207" s="687" t="s">
        <v>4544</v>
      </c>
      <c r="L1207" s="687" t="s">
        <v>25</v>
      </c>
      <c r="M1207" s="748">
        <v>3</v>
      </c>
      <c r="N1207" s="749">
        <v>3</v>
      </c>
      <c r="O1207" s="747" t="s">
        <v>4545</v>
      </c>
      <c r="P1207" s="773">
        <v>15200</v>
      </c>
      <c r="Q1207" s="747" t="s">
        <v>4546</v>
      </c>
      <c r="R1207" s="747" t="s">
        <v>347</v>
      </c>
      <c r="S1207" s="747" t="s">
        <v>5457</v>
      </c>
      <c r="T1207" s="747" t="s">
        <v>4451</v>
      </c>
      <c r="U1207" s="696"/>
      <c r="V1207" s="696" t="s">
        <v>4451</v>
      </c>
      <c r="W1207" s="696"/>
      <c r="X1207" s="696"/>
      <c r="Y1207" s="696"/>
      <c r="Z1207" s="696"/>
      <c r="AA1207" s="696"/>
      <c r="AB1207" s="696"/>
      <c r="AC1207" s="696"/>
      <c r="AD1207" s="697"/>
      <c r="AE1207" s="655"/>
    </row>
    <row r="1208" spans="1:31" ht="12" customHeight="1">
      <c r="A1208" s="937" t="s">
        <v>18245</v>
      </c>
      <c r="B1208" s="4" t="s">
        <v>4536</v>
      </c>
      <c r="C1208" s="1" t="s">
        <v>4538</v>
      </c>
      <c r="D1208" s="1">
        <f t="shared" si="18"/>
        <v>70</v>
      </c>
      <c r="E1208" s="2" t="s">
        <v>5</v>
      </c>
      <c r="F1208" s="1" t="s">
        <v>15273</v>
      </c>
      <c r="G1208" s="3" t="s">
        <v>4539</v>
      </c>
      <c r="J1208" s="4" t="s">
        <v>16125</v>
      </c>
      <c r="L1208" s="1" t="s">
        <v>25</v>
      </c>
      <c r="M1208" s="16">
        <v>5</v>
      </c>
      <c r="N1208" s="17">
        <v>5</v>
      </c>
      <c r="O1208" s="3" t="s">
        <v>188</v>
      </c>
      <c r="P1208" s="20">
        <v>15439</v>
      </c>
      <c r="Q1208" s="3" t="s">
        <v>4540</v>
      </c>
      <c r="R1208" s="3" t="s">
        <v>16686</v>
      </c>
      <c r="S1208" s="3" t="s">
        <v>16093</v>
      </c>
      <c r="T1208" s="3" t="s">
        <v>147</v>
      </c>
      <c r="AB1208" s="2" t="s">
        <v>4541</v>
      </c>
      <c r="AD1208" s="698"/>
      <c r="AE1208" s="655"/>
    </row>
    <row r="1209" spans="1:31" ht="12" customHeight="1" thickBot="1">
      <c r="A1209" s="938"/>
      <c r="B1209" s="700" t="s">
        <v>4537</v>
      </c>
      <c r="C1209" s="699" t="s">
        <v>5283</v>
      </c>
      <c r="D1209" s="699">
        <f t="shared" si="18"/>
        <v>63</v>
      </c>
      <c r="E1209" s="702" t="s">
        <v>5</v>
      </c>
      <c r="F1209" s="699"/>
      <c r="G1209" s="703"/>
      <c r="H1209" s="699"/>
      <c r="I1209" s="699"/>
      <c r="J1209" s="700" t="s">
        <v>16117</v>
      </c>
      <c r="K1209" s="699"/>
      <c r="L1209" s="699" t="s">
        <v>6</v>
      </c>
      <c r="M1209" s="705"/>
      <c r="N1209" s="706"/>
      <c r="O1209" s="703" t="s">
        <v>4564</v>
      </c>
      <c r="P1209" s="707">
        <v>18088</v>
      </c>
      <c r="Q1209" s="703" t="s">
        <v>270</v>
      </c>
      <c r="R1209" s="703"/>
      <c r="S1209" s="703"/>
      <c r="T1209" s="703"/>
      <c r="U1209" s="702"/>
      <c r="V1209" s="702"/>
      <c r="W1209" s="702"/>
      <c r="X1209" s="702"/>
      <c r="Y1209" s="702"/>
      <c r="Z1209" s="702"/>
      <c r="AA1209" s="702"/>
      <c r="AB1209" s="702"/>
      <c r="AC1209" s="702"/>
      <c r="AD1209" s="708"/>
      <c r="AE1209" s="655"/>
    </row>
    <row r="1210" spans="1:31" ht="12" customHeight="1">
      <c r="A1210" s="936" t="s">
        <v>18245</v>
      </c>
      <c r="B1210" s="688" t="s">
        <v>4547</v>
      </c>
      <c r="C1210" s="687" t="s">
        <v>4551</v>
      </c>
      <c r="D1210" s="687">
        <f t="shared" si="18"/>
        <v>49</v>
      </c>
      <c r="E1210" s="696" t="s">
        <v>5</v>
      </c>
      <c r="F1210" s="689" t="s">
        <v>15273</v>
      </c>
      <c r="G1210" s="747" t="s">
        <v>4552</v>
      </c>
      <c r="H1210" s="687"/>
      <c r="I1210" s="687"/>
      <c r="J1210" s="692" t="s">
        <v>16127</v>
      </c>
      <c r="K1210" s="687" t="s">
        <v>4553</v>
      </c>
      <c r="L1210" s="687" t="s">
        <v>25</v>
      </c>
      <c r="M1210" s="748">
        <v>2</v>
      </c>
      <c r="N1210" s="749">
        <v>2</v>
      </c>
      <c r="O1210" s="747" t="s">
        <v>447</v>
      </c>
      <c r="P1210" s="773">
        <v>23168</v>
      </c>
      <c r="Q1210" s="747" t="s">
        <v>4555</v>
      </c>
      <c r="R1210" s="747" t="s">
        <v>4554</v>
      </c>
      <c r="S1210" s="747" t="s">
        <v>6214</v>
      </c>
      <c r="T1210" s="747" t="s">
        <v>4556</v>
      </c>
      <c r="U1210" s="696"/>
      <c r="V1210" s="696" t="s">
        <v>145</v>
      </c>
      <c r="W1210" s="696"/>
      <c r="X1210" s="696"/>
      <c r="Y1210" s="696"/>
      <c r="Z1210" s="696"/>
      <c r="AA1210" s="696" t="s">
        <v>4446</v>
      </c>
      <c r="AB1210" s="696"/>
      <c r="AC1210" s="696"/>
      <c r="AD1210" s="697"/>
      <c r="AE1210" s="655"/>
    </row>
    <row r="1211" spans="1:31" ht="12" customHeight="1">
      <c r="A1211" s="937" t="s">
        <v>18219</v>
      </c>
      <c r="B1211" s="4" t="s">
        <v>4548</v>
      </c>
      <c r="C1211" s="1" t="s">
        <v>4557</v>
      </c>
      <c r="D1211" s="1">
        <f t="shared" si="18"/>
        <v>65</v>
      </c>
      <c r="E1211" s="2" t="s">
        <v>5</v>
      </c>
      <c r="F1211" s="1" t="s">
        <v>15273</v>
      </c>
      <c r="G1211" s="3" t="s">
        <v>4558</v>
      </c>
      <c r="J1211" s="4" t="s">
        <v>16120</v>
      </c>
      <c r="K1211" s="1" t="s">
        <v>476</v>
      </c>
      <c r="L1211" s="1" t="s">
        <v>25</v>
      </c>
      <c r="M1211" s="16">
        <v>4</v>
      </c>
      <c r="N1211" s="17">
        <v>4</v>
      </c>
      <c r="O1211" s="3" t="s">
        <v>188</v>
      </c>
      <c r="P1211" s="20">
        <v>17196</v>
      </c>
      <c r="Q1211" s="3" t="s">
        <v>4559</v>
      </c>
      <c r="R1211" s="3" t="s">
        <v>4560</v>
      </c>
      <c r="S1211" s="3" t="s">
        <v>5457</v>
      </c>
      <c r="T1211" s="3" t="s">
        <v>4451</v>
      </c>
      <c r="V1211" s="2" t="s">
        <v>4451</v>
      </c>
      <c r="AD1211" s="698"/>
      <c r="AE1211" s="655"/>
    </row>
    <row r="1212" spans="1:31" ht="12" customHeight="1">
      <c r="A1212" s="937" t="s">
        <v>18223</v>
      </c>
      <c r="B1212" s="4" t="s">
        <v>4549</v>
      </c>
      <c r="C1212" s="1" t="s">
        <v>4561</v>
      </c>
      <c r="D1212" s="1">
        <f t="shared" si="18"/>
        <v>50</v>
      </c>
      <c r="E1212" s="2" t="s">
        <v>5</v>
      </c>
      <c r="F1212" s="1" t="s">
        <v>15273</v>
      </c>
      <c r="J1212" s="4" t="s">
        <v>16125</v>
      </c>
      <c r="L1212" s="1" t="s">
        <v>6</v>
      </c>
      <c r="O1212" s="3" t="s">
        <v>4458</v>
      </c>
      <c r="P1212" s="20">
        <v>22982</v>
      </c>
      <c r="Q1212" s="3" t="s">
        <v>4562</v>
      </c>
      <c r="S1212" s="3" t="s">
        <v>16093</v>
      </c>
      <c r="T1212" s="3" t="s">
        <v>4451</v>
      </c>
      <c r="V1212" s="2" t="s">
        <v>4451</v>
      </c>
      <c r="AD1212" s="698"/>
      <c r="AE1212" s="655"/>
    </row>
    <row r="1213" spans="1:31" ht="12" customHeight="1" thickBot="1">
      <c r="A1213" s="938"/>
      <c r="B1213" s="700" t="s">
        <v>4550</v>
      </c>
      <c r="C1213" s="699" t="s">
        <v>4563</v>
      </c>
      <c r="D1213" s="699">
        <f t="shared" si="18"/>
        <v>60</v>
      </c>
      <c r="E1213" s="702" t="s">
        <v>5</v>
      </c>
      <c r="F1213" s="699"/>
      <c r="G1213" s="703"/>
      <c r="H1213" s="699"/>
      <c r="I1213" s="699"/>
      <c r="J1213" s="700" t="s">
        <v>16117</v>
      </c>
      <c r="K1213" s="699"/>
      <c r="L1213" s="699" t="s">
        <v>6</v>
      </c>
      <c r="M1213" s="705"/>
      <c r="N1213" s="706"/>
      <c r="O1213" s="703" t="s">
        <v>4564</v>
      </c>
      <c r="P1213" s="707">
        <v>19287</v>
      </c>
      <c r="Q1213" s="703" t="s">
        <v>4565</v>
      </c>
      <c r="R1213" s="703"/>
      <c r="S1213" s="703"/>
      <c r="T1213" s="703"/>
      <c r="U1213" s="702"/>
      <c r="V1213" s="702"/>
      <c r="W1213" s="702"/>
      <c r="X1213" s="702"/>
      <c r="Y1213" s="702"/>
      <c r="Z1213" s="702"/>
      <c r="AA1213" s="702"/>
      <c r="AB1213" s="702"/>
      <c r="AC1213" s="702"/>
      <c r="AD1213" s="708"/>
      <c r="AE1213" s="655"/>
    </row>
    <row r="1214" spans="1:31" ht="12" customHeight="1">
      <c r="A1214" s="936" t="s">
        <v>18223</v>
      </c>
      <c r="B1214" s="688" t="s">
        <v>4664</v>
      </c>
      <c r="C1214" s="687" t="s">
        <v>4668</v>
      </c>
      <c r="D1214" s="687">
        <f t="shared" si="18"/>
        <v>60</v>
      </c>
      <c r="E1214" s="696" t="s">
        <v>5</v>
      </c>
      <c r="F1214" s="689" t="s">
        <v>15273</v>
      </c>
      <c r="G1214" s="747"/>
      <c r="H1214" s="687"/>
      <c r="I1214" s="687"/>
      <c r="J1214" s="692" t="s">
        <v>16126</v>
      </c>
      <c r="K1214" s="687" t="s">
        <v>44</v>
      </c>
      <c r="L1214" s="687" t="s">
        <v>6</v>
      </c>
      <c r="M1214" s="748"/>
      <c r="N1214" s="749"/>
      <c r="O1214" s="747" t="s">
        <v>317</v>
      </c>
      <c r="P1214" s="773">
        <v>19047</v>
      </c>
      <c r="Q1214" s="747" t="s">
        <v>5635</v>
      </c>
      <c r="R1214" s="747"/>
      <c r="S1214" s="747"/>
      <c r="T1214" s="747" t="s">
        <v>4669</v>
      </c>
      <c r="U1214" s="696"/>
      <c r="V1214" s="696" t="s">
        <v>4669</v>
      </c>
      <c r="W1214" s="696"/>
      <c r="X1214" s="696"/>
      <c r="Y1214" s="696"/>
      <c r="Z1214" s="696"/>
      <c r="AA1214" s="696"/>
      <c r="AB1214" s="696"/>
      <c r="AC1214" s="696"/>
      <c r="AD1214" s="697"/>
      <c r="AE1214" s="655"/>
    </row>
    <row r="1215" spans="1:31" ht="12" customHeight="1">
      <c r="A1215" s="937" t="s">
        <v>18246</v>
      </c>
      <c r="B1215" s="4" t="s">
        <v>4665</v>
      </c>
      <c r="C1215" s="1" t="s">
        <v>4670</v>
      </c>
      <c r="D1215" s="1">
        <f t="shared" si="18"/>
        <v>43</v>
      </c>
      <c r="E1215" s="2" t="s">
        <v>5</v>
      </c>
      <c r="F1215" s="1" t="s">
        <v>15273</v>
      </c>
      <c r="J1215" s="4" t="s">
        <v>16120</v>
      </c>
      <c r="K1215" s="1" t="s">
        <v>13</v>
      </c>
      <c r="L1215" s="1" t="s">
        <v>14</v>
      </c>
      <c r="M1215" s="16">
        <v>1</v>
      </c>
      <c r="N1215" s="17">
        <v>1</v>
      </c>
      <c r="O1215" s="3" t="s">
        <v>188</v>
      </c>
      <c r="P1215" s="20">
        <v>25427</v>
      </c>
      <c r="Q1215" s="3" t="s">
        <v>4671</v>
      </c>
      <c r="AD1215" s="698"/>
      <c r="AE1215" s="655"/>
    </row>
    <row r="1216" spans="1:31" ht="12" customHeight="1">
      <c r="A1216" s="937" t="s">
        <v>18220</v>
      </c>
      <c r="B1216" s="4" t="s">
        <v>4666</v>
      </c>
      <c r="C1216" s="1" t="s">
        <v>4675</v>
      </c>
      <c r="D1216" s="1">
        <f t="shared" si="18"/>
        <v>52</v>
      </c>
      <c r="E1216" s="2" t="s">
        <v>5</v>
      </c>
      <c r="F1216" s="1" t="s">
        <v>15273</v>
      </c>
      <c r="G1216" s="3" t="s">
        <v>4676</v>
      </c>
      <c r="J1216" s="4" t="s">
        <v>16116</v>
      </c>
      <c r="K1216" s="1" t="s">
        <v>564</v>
      </c>
      <c r="L1216" s="1" t="s">
        <v>25</v>
      </c>
      <c r="M1216" s="16">
        <v>4</v>
      </c>
      <c r="N1216" s="17">
        <v>4</v>
      </c>
      <c r="O1216" s="3" t="s">
        <v>31</v>
      </c>
      <c r="P1216" s="20">
        <v>22178</v>
      </c>
      <c r="Q1216" s="3" t="s">
        <v>4677</v>
      </c>
      <c r="R1216" s="3" t="s">
        <v>4678</v>
      </c>
      <c r="S1216" s="3" t="s">
        <v>18565</v>
      </c>
      <c r="T1216" s="3" t="s">
        <v>4657</v>
      </c>
      <c r="AA1216" s="2" t="s">
        <v>4657</v>
      </c>
      <c r="AD1216" s="698"/>
      <c r="AE1216" s="655"/>
    </row>
    <row r="1217" spans="1:31" ht="12" customHeight="1">
      <c r="A1217" s="937"/>
      <c r="B1217" s="4" t="s">
        <v>4667</v>
      </c>
      <c r="C1217" s="1" t="s">
        <v>4672</v>
      </c>
      <c r="D1217" s="1">
        <f t="shared" si="18"/>
        <v>46</v>
      </c>
      <c r="E1217" s="2" t="s">
        <v>5</v>
      </c>
      <c r="J1217" s="4" t="s">
        <v>16117</v>
      </c>
      <c r="L1217" s="1" t="s">
        <v>6</v>
      </c>
      <c r="O1217" s="3" t="s">
        <v>4673</v>
      </c>
      <c r="P1217" s="21">
        <v>24251</v>
      </c>
      <c r="Q1217" s="3" t="s">
        <v>4674</v>
      </c>
      <c r="AD1217" s="698"/>
      <c r="AE1217" s="655"/>
    </row>
    <row r="1218" spans="1:31" ht="12" customHeight="1" thickBot="1">
      <c r="A1218" s="938"/>
      <c r="B1218" s="700" t="s">
        <v>16065</v>
      </c>
      <c r="C1218" s="699" t="s">
        <v>16066</v>
      </c>
      <c r="D1218" s="699">
        <f t="shared" ref="D1218:D1281" si="19">DATEDIF(P1218,$P$1298,"Y")</f>
        <v>62</v>
      </c>
      <c r="E1218" s="702" t="s">
        <v>5</v>
      </c>
      <c r="F1218" s="699"/>
      <c r="G1218" s="703"/>
      <c r="H1218" s="699"/>
      <c r="I1218" s="699"/>
      <c r="J1218" s="700" t="s">
        <v>16129</v>
      </c>
      <c r="K1218" s="699"/>
      <c r="L1218" s="699" t="s">
        <v>6</v>
      </c>
      <c r="M1218" s="705"/>
      <c r="N1218" s="706"/>
      <c r="O1218" s="703" t="s">
        <v>16067</v>
      </c>
      <c r="P1218" s="723">
        <v>18478</v>
      </c>
      <c r="Q1218" s="703" t="s">
        <v>16068</v>
      </c>
      <c r="R1218" s="703"/>
      <c r="S1218" s="703"/>
      <c r="T1218" s="703"/>
      <c r="U1218" s="702"/>
      <c r="V1218" s="702"/>
      <c r="W1218" s="702"/>
      <c r="X1218" s="702"/>
      <c r="Y1218" s="702"/>
      <c r="Z1218" s="702"/>
      <c r="AA1218" s="702"/>
      <c r="AB1218" s="702"/>
      <c r="AC1218" s="702"/>
      <c r="AD1218" s="708"/>
      <c r="AE1218" s="655"/>
    </row>
    <row r="1219" spans="1:31" ht="12" customHeight="1">
      <c r="A1219" s="936" t="s">
        <v>18245</v>
      </c>
      <c r="B1219" s="688" t="s">
        <v>4679</v>
      </c>
      <c r="C1219" s="687" t="s">
        <v>4684</v>
      </c>
      <c r="D1219" s="687">
        <f t="shared" si="19"/>
        <v>42</v>
      </c>
      <c r="E1219" s="696" t="s">
        <v>5</v>
      </c>
      <c r="F1219" s="689" t="s">
        <v>15273</v>
      </c>
      <c r="G1219" s="747"/>
      <c r="H1219" s="687"/>
      <c r="I1219" s="687"/>
      <c r="J1219" s="692" t="s">
        <v>16127</v>
      </c>
      <c r="K1219" s="687" t="s">
        <v>44</v>
      </c>
      <c r="L1219" s="687" t="s">
        <v>6</v>
      </c>
      <c r="M1219" s="748"/>
      <c r="N1219" s="749"/>
      <c r="O1219" s="747" t="s">
        <v>4686</v>
      </c>
      <c r="P1219" s="773">
        <v>25768</v>
      </c>
      <c r="Q1219" s="747" t="s">
        <v>4685</v>
      </c>
      <c r="R1219" s="747"/>
      <c r="S1219" s="747"/>
      <c r="T1219" s="747" t="s">
        <v>4669</v>
      </c>
      <c r="U1219" s="696"/>
      <c r="V1219" s="696" t="s">
        <v>4669</v>
      </c>
      <c r="W1219" s="696"/>
      <c r="X1219" s="696"/>
      <c r="Y1219" s="696"/>
      <c r="Z1219" s="696"/>
      <c r="AA1219" s="696"/>
      <c r="AB1219" s="696"/>
      <c r="AC1219" s="696"/>
      <c r="AD1219" s="697"/>
      <c r="AE1219" s="655"/>
    </row>
    <row r="1220" spans="1:31" ht="12" customHeight="1">
      <c r="A1220" s="937" t="s">
        <v>18219</v>
      </c>
      <c r="B1220" s="4" t="s">
        <v>4680</v>
      </c>
      <c r="C1220" s="1" t="s">
        <v>4687</v>
      </c>
      <c r="D1220" s="1">
        <f t="shared" si="19"/>
        <v>71</v>
      </c>
      <c r="E1220" s="2" t="s">
        <v>5</v>
      </c>
      <c r="F1220" s="1" t="s">
        <v>15273</v>
      </c>
      <c r="G1220" s="3" t="s">
        <v>4688</v>
      </c>
      <c r="J1220" s="8" t="s">
        <v>16120</v>
      </c>
      <c r="K1220" s="1" t="s">
        <v>934</v>
      </c>
      <c r="L1220" s="1" t="s">
        <v>25</v>
      </c>
      <c r="M1220" s="16">
        <v>13</v>
      </c>
      <c r="N1220" s="17">
        <v>13</v>
      </c>
      <c r="O1220" s="3" t="s">
        <v>4689</v>
      </c>
      <c r="P1220" s="20">
        <v>15252</v>
      </c>
      <c r="Q1220" s="3" t="s">
        <v>4690</v>
      </c>
      <c r="R1220" s="3" t="s">
        <v>4691</v>
      </c>
      <c r="S1220" s="3" t="s">
        <v>5457</v>
      </c>
      <c r="T1220" s="3" t="s">
        <v>4656</v>
      </c>
      <c r="U1220" s="2" t="s">
        <v>47</v>
      </c>
      <c r="AA1220" s="2" t="s">
        <v>4657</v>
      </c>
      <c r="AD1220" s="698"/>
      <c r="AE1220" s="655"/>
    </row>
    <row r="1221" spans="1:31" ht="12" customHeight="1">
      <c r="A1221" s="937" t="s">
        <v>18245</v>
      </c>
      <c r="B1221" s="4" t="s">
        <v>4681</v>
      </c>
      <c r="C1221" s="1" t="s">
        <v>4692</v>
      </c>
      <c r="D1221" s="1">
        <f t="shared" si="19"/>
        <v>46</v>
      </c>
      <c r="E1221" s="2" t="s">
        <v>5</v>
      </c>
      <c r="F1221" s="1" t="s">
        <v>15273</v>
      </c>
      <c r="G1221" s="3" t="s">
        <v>4693</v>
      </c>
      <c r="J1221" s="4" t="s">
        <v>16125</v>
      </c>
      <c r="L1221" s="1" t="s">
        <v>25</v>
      </c>
      <c r="M1221" s="16">
        <v>1</v>
      </c>
      <c r="N1221" s="17">
        <v>1</v>
      </c>
      <c r="O1221" s="3" t="s">
        <v>31</v>
      </c>
      <c r="P1221" s="20">
        <v>24219</v>
      </c>
      <c r="Q1221" s="3" t="s">
        <v>4694</v>
      </c>
      <c r="S1221" s="3" t="s">
        <v>16093</v>
      </c>
      <c r="AD1221" s="698"/>
      <c r="AE1221" s="655"/>
    </row>
    <row r="1222" spans="1:31" ht="12" customHeight="1">
      <c r="A1222" s="937" t="s">
        <v>18223</v>
      </c>
      <c r="B1222" s="4" t="s">
        <v>4682</v>
      </c>
      <c r="C1222" s="1" t="s">
        <v>4699</v>
      </c>
      <c r="D1222" s="1">
        <f t="shared" si="19"/>
        <v>41</v>
      </c>
      <c r="E1222" s="2" t="s">
        <v>19</v>
      </c>
      <c r="F1222" s="1" t="s">
        <v>15273</v>
      </c>
      <c r="J1222" s="4" t="s">
        <v>16128</v>
      </c>
      <c r="L1222" s="1" t="s">
        <v>6</v>
      </c>
      <c r="O1222" s="3" t="s">
        <v>4700</v>
      </c>
      <c r="P1222" s="20">
        <v>26205</v>
      </c>
      <c r="Q1222" s="3" t="s">
        <v>4701</v>
      </c>
      <c r="S1222" s="3" t="s">
        <v>6031</v>
      </c>
      <c r="T1222" s="3" t="s">
        <v>4657</v>
      </c>
      <c r="AA1222" s="2" t="s">
        <v>4657</v>
      </c>
      <c r="AD1222" s="698"/>
      <c r="AE1222" s="655"/>
    </row>
    <row r="1223" spans="1:31" ht="12" customHeight="1" thickBot="1">
      <c r="A1223" s="938"/>
      <c r="B1223" s="700" t="s">
        <v>4683</v>
      </c>
      <c r="C1223" s="699" t="s">
        <v>4695</v>
      </c>
      <c r="D1223" s="699">
        <f t="shared" si="19"/>
        <v>59</v>
      </c>
      <c r="E1223" s="702" t="s">
        <v>5</v>
      </c>
      <c r="F1223" s="699"/>
      <c r="G1223" s="703"/>
      <c r="H1223" s="699"/>
      <c r="I1223" s="699"/>
      <c r="J1223" s="700" t="s">
        <v>16117</v>
      </c>
      <c r="K1223" s="699"/>
      <c r="L1223" s="699" t="s">
        <v>6</v>
      </c>
      <c r="M1223" s="705"/>
      <c r="N1223" s="706"/>
      <c r="O1223" s="703" t="s">
        <v>16069</v>
      </c>
      <c r="P1223" s="723">
        <v>19648</v>
      </c>
      <c r="Q1223" s="703" t="s">
        <v>4697</v>
      </c>
      <c r="R1223" s="703"/>
      <c r="S1223" s="703"/>
      <c r="T1223" s="703" t="s">
        <v>4669</v>
      </c>
      <c r="U1223" s="702"/>
      <c r="V1223" s="702" t="s">
        <v>4669</v>
      </c>
      <c r="W1223" s="702"/>
      <c r="X1223" s="702"/>
      <c r="Y1223" s="702"/>
      <c r="Z1223" s="702"/>
      <c r="AA1223" s="702"/>
      <c r="AB1223" s="702"/>
      <c r="AC1223" s="702"/>
      <c r="AD1223" s="708"/>
      <c r="AE1223" s="655"/>
    </row>
    <row r="1224" spans="1:31" ht="12" customHeight="1">
      <c r="A1224" s="936" t="s">
        <v>18223</v>
      </c>
      <c r="B1224" s="688" t="s">
        <v>4702</v>
      </c>
      <c r="C1224" s="687" t="s">
        <v>5502</v>
      </c>
      <c r="D1224" s="687">
        <f t="shared" si="19"/>
        <v>34</v>
      </c>
      <c r="E1224" s="696" t="s">
        <v>5</v>
      </c>
      <c r="F1224" s="689" t="s">
        <v>15273</v>
      </c>
      <c r="G1224" s="747"/>
      <c r="H1224" s="687"/>
      <c r="I1224" s="687"/>
      <c r="J1224" s="692" t="s">
        <v>16127</v>
      </c>
      <c r="K1224" s="687" t="s">
        <v>44</v>
      </c>
      <c r="L1224" s="687" t="s">
        <v>6</v>
      </c>
      <c r="M1224" s="748"/>
      <c r="N1224" s="749"/>
      <c r="O1224" s="747" t="s">
        <v>4736</v>
      </c>
      <c r="P1224" s="773">
        <v>28515</v>
      </c>
      <c r="Q1224" s="747" t="s">
        <v>5503</v>
      </c>
      <c r="R1224" s="747"/>
      <c r="S1224" s="747" t="s">
        <v>6214</v>
      </c>
      <c r="T1224" s="747"/>
      <c r="U1224" s="696"/>
      <c r="V1224" s="696"/>
      <c r="W1224" s="696"/>
      <c r="X1224" s="696"/>
      <c r="Y1224" s="696"/>
      <c r="Z1224" s="696"/>
      <c r="AA1224" s="696"/>
      <c r="AB1224" s="696"/>
      <c r="AC1224" s="696"/>
      <c r="AD1224" s="697"/>
      <c r="AE1224" s="655"/>
    </row>
    <row r="1225" spans="1:31" ht="12" customHeight="1">
      <c r="A1225" s="937" t="s">
        <v>18218</v>
      </c>
      <c r="B1225" s="4" t="s">
        <v>4703</v>
      </c>
      <c r="C1225" s="1" t="s">
        <v>4707</v>
      </c>
      <c r="D1225" s="1">
        <f t="shared" si="19"/>
        <v>62</v>
      </c>
      <c r="E1225" s="2" t="s">
        <v>5</v>
      </c>
      <c r="F1225" s="1" t="s">
        <v>15273</v>
      </c>
      <c r="G1225" s="3" t="s">
        <v>4708</v>
      </c>
      <c r="J1225" s="4" t="s">
        <v>16120</v>
      </c>
      <c r="K1225" s="1" t="s">
        <v>934</v>
      </c>
      <c r="L1225" s="1" t="s">
        <v>25</v>
      </c>
      <c r="M1225" s="16">
        <v>3</v>
      </c>
      <c r="N1225" s="17">
        <v>3</v>
      </c>
      <c r="O1225" s="3" t="s">
        <v>381</v>
      </c>
      <c r="P1225" s="20">
        <v>18573</v>
      </c>
      <c r="Q1225" s="3" t="s">
        <v>4709</v>
      </c>
      <c r="R1225" s="3" t="s">
        <v>4710</v>
      </c>
      <c r="S1225" s="3" t="s">
        <v>5457</v>
      </c>
      <c r="T1225" s="3" t="s">
        <v>4711</v>
      </c>
      <c r="V1225" s="2" t="s">
        <v>4669</v>
      </c>
      <c r="Y1225" s="2" t="s">
        <v>4712</v>
      </c>
      <c r="AD1225" s="698"/>
      <c r="AE1225" s="655"/>
    </row>
    <row r="1226" spans="1:31" ht="12" customHeight="1">
      <c r="A1226" s="937" t="s">
        <v>18223</v>
      </c>
      <c r="B1226" s="4" t="s">
        <v>4704</v>
      </c>
      <c r="C1226" s="1" t="s">
        <v>4705</v>
      </c>
      <c r="D1226" s="1">
        <f t="shared" si="19"/>
        <v>45</v>
      </c>
      <c r="E1226" s="2" t="s">
        <v>5</v>
      </c>
      <c r="F1226" s="1" t="s">
        <v>15273</v>
      </c>
      <c r="J1226" s="4" t="s">
        <v>16116</v>
      </c>
      <c r="K1226" s="1" t="s">
        <v>4422</v>
      </c>
      <c r="L1226" s="1" t="s">
        <v>6</v>
      </c>
      <c r="O1226" s="3" t="s">
        <v>3772</v>
      </c>
      <c r="P1226" s="20">
        <v>24582</v>
      </c>
      <c r="Q1226" s="3" t="s">
        <v>4706</v>
      </c>
      <c r="AD1226" s="698"/>
      <c r="AE1226" s="655"/>
    </row>
    <row r="1227" spans="1:31" ht="12" customHeight="1" thickBot="1">
      <c r="A1227" s="938"/>
      <c r="B1227" s="700" t="s">
        <v>5208</v>
      </c>
      <c r="C1227" s="699" t="s">
        <v>4713</v>
      </c>
      <c r="D1227" s="699">
        <f t="shared" si="19"/>
        <v>43</v>
      </c>
      <c r="E1227" s="702" t="s">
        <v>19</v>
      </c>
      <c r="F1227" s="699"/>
      <c r="G1227" s="703"/>
      <c r="H1227" s="699"/>
      <c r="I1227" s="699"/>
      <c r="J1227" s="700" t="s">
        <v>16117</v>
      </c>
      <c r="K1227" s="699"/>
      <c r="L1227" s="699" t="s">
        <v>6</v>
      </c>
      <c r="M1227" s="705"/>
      <c r="N1227" s="706"/>
      <c r="O1227" s="703" t="s">
        <v>4714</v>
      </c>
      <c r="P1227" s="723">
        <v>25408</v>
      </c>
      <c r="Q1227" s="703" t="s">
        <v>4696</v>
      </c>
      <c r="R1227" s="703"/>
      <c r="S1227" s="703"/>
      <c r="T1227" s="703"/>
      <c r="U1227" s="702"/>
      <c r="V1227" s="702"/>
      <c r="W1227" s="702"/>
      <c r="X1227" s="702"/>
      <c r="Y1227" s="702"/>
      <c r="Z1227" s="702"/>
      <c r="AA1227" s="702"/>
      <c r="AB1227" s="702"/>
      <c r="AC1227" s="702"/>
      <c r="AD1227" s="708"/>
      <c r="AE1227" s="655"/>
    </row>
    <row r="1228" spans="1:31" ht="12" customHeight="1">
      <c r="A1228" s="936" t="s">
        <v>18218</v>
      </c>
      <c r="B1228" s="688" t="s">
        <v>4715</v>
      </c>
      <c r="C1228" s="687" t="s">
        <v>4720</v>
      </c>
      <c r="D1228" s="687">
        <f t="shared" si="19"/>
        <v>70</v>
      </c>
      <c r="E1228" s="696" t="s">
        <v>5</v>
      </c>
      <c r="F1228" s="687" t="s">
        <v>15273</v>
      </c>
      <c r="G1228" s="747" t="s">
        <v>4721</v>
      </c>
      <c r="H1228" s="687"/>
      <c r="I1228" s="687"/>
      <c r="J1228" s="688" t="s">
        <v>16116</v>
      </c>
      <c r="K1228" s="687" t="s">
        <v>4993</v>
      </c>
      <c r="L1228" s="687" t="s">
        <v>25</v>
      </c>
      <c r="M1228" s="748">
        <v>8</v>
      </c>
      <c r="N1228" s="749">
        <v>8</v>
      </c>
      <c r="O1228" s="747" t="s">
        <v>4722</v>
      </c>
      <c r="P1228" s="773">
        <v>15391</v>
      </c>
      <c r="Q1228" s="747" t="s">
        <v>4723</v>
      </c>
      <c r="R1228" s="747" t="s">
        <v>5547</v>
      </c>
      <c r="S1228" s="747"/>
      <c r="T1228" s="747" t="s">
        <v>4657</v>
      </c>
      <c r="U1228" s="696"/>
      <c r="V1228" s="696"/>
      <c r="W1228" s="696"/>
      <c r="X1228" s="696"/>
      <c r="Y1228" s="696"/>
      <c r="Z1228" s="696"/>
      <c r="AA1228" s="696" t="s">
        <v>4657</v>
      </c>
      <c r="AB1228" s="696"/>
      <c r="AC1228" s="696"/>
      <c r="AD1228" s="697"/>
      <c r="AE1228" s="655"/>
    </row>
    <row r="1229" spans="1:31" ht="12" customHeight="1">
      <c r="A1229" s="937"/>
      <c r="B1229" s="4" t="s">
        <v>4716</v>
      </c>
      <c r="C1229" s="1" t="s">
        <v>4718</v>
      </c>
      <c r="D1229" s="1">
        <f t="shared" si="19"/>
        <v>61</v>
      </c>
      <c r="E1229" s="2" t="s">
        <v>19</v>
      </c>
      <c r="J1229" s="4" t="s">
        <v>16117</v>
      </c>
      <c r="L1229" s="1" t="s">
        <v>6</v>
      </c>
      <c r="O1229" s="3" t="s">
        <v>16070</v>
      </c>
      <c r="P1229" s="21">
        <v>18697</v>
      </c>
      <c r="Q1229" s="3" t="s">
        <v>4719</v>
      </c>
      <c r="AD1229" s="698"/>
      <c r="AE1229" s="655"/>
    </row>
    <row r="1230" spans="1:31" ht="12" customHeight="1" thickBot="1">
      <c r="A1230" s="938" t="s">
        <v>18223</v>
      </c>
      <c r="B1230" s="700" t="s">
        <v>4717</v>
      </c>
      <c r="C1230" s="699" t="s">
        <v>4724</v>
      </c>
      <c r="D1230" s="699">
        <f t="shared" si="19"/>
        <v>52</v>
      </c>
      <c r="E1230" s="702" t="s">
        <v>5</v>
      </c>
      <c r="F1230" s="699"/>
      <c r="G1230" s="703"/>
      <c r="H1230" s="699"/>
      <c r="I1230" s="699"/>
      <c r="J1230" s="700" t="s">
        <v>16129</v>
      </c>
      <c r="K1230" s="699"/>
      <c r="L1230" s="699" t="s">
        <v>14</v>
      </c>
      <c r="M1230" s="705">
        <v>2</v>
      </c>
      <c r="N1230" s="706">
        <v>2</v>
      </c>
      <c r="O1230" s="703" t="s">
        <v>4725</v>
      </c>
      <c r="P1230" s="707">
        <v>22136</v>
      </c>
      <c r="Q1230" s="703" t="s">
        <v>4727</v>
      </c>
      <c r="R1230" s="703" t="s">
        <v>5059</v>
      </c>
      <c r="S1230" s="703"/>
      <c r="T1230" s="703" t="s">
        <v>4726</v>
      </c>
      <c r="U1230" s="702"/>
      <c r="V1230" s="702"/>
      <c r="W1230" s="702" t="s">
        <v>4726</v>
      </c>
      <c r="X1230" s="702"/>
      <c r="Y1230" s="702"/>
      <c r="Z1230" s="702"/>
      <c r="AA1230" s="702"/>
      <c r="AB1230" s="702"/>
      <c r="AC1230" s="702"/>
      <c r="AD1230" s="708"/>
      <c r="AE1230" s="655"/>
    </row>
    <row r="1231" spans="1:31" ht="12" customHeight="1">
      <c r="A1231" s="936" t="s">
        <v>18218</v>
      </c>
      <c r="B1231" s="688" t="s">
        <v>4728</v>
      </c>
      <c r="C1231" s="687" t="s">
        <v>4731</v>
      </c>
      <c r="D1231" s="687">
        <f t="shared" si="19"/>
        <v>51</v>
      </c>
      <c r="E1231" s="696" t="s">
        <v>5</v>
      </c>
      <c r="F1231" s="687" t="s">
        <v>15273</v>
      </c>
      <c r="G1231" s="747" t="s">
        <v>4732</v>
      </c>
      <c r="H1231" s="687"/>
      <c r="I1231" s="687"/>
      <c r="J1231" s="688" t="s">
        <v>16120</v>
      </c>
      <c r="K1231" s="687" t="s">
        <v>934</v>
      </c>
      <c r="L1231" s="687" t="s">
        <v>25</v>
      </c>
      <c r="M1231" s="748">
        <v>4</v>
      </c>
      <c r="N1231" s="749">
        <v>4</v>
      </c>
      <c r="O1231" s="747" t="s">
        <v>188</v>
      </c>
      <c r="P1231" s="773">
        <v>22339</v>
      </c>
      <c r="Q1231" s="747" t="s">
        <v>4733</v>
      </c>
      <c r="R1231" s="747" t="s">
        <v>4734</v>
      </c>
      <c r="S1231" s="747" t="s">
        <v>5457</v>
      </c>
      <c r="T1231" s="747"/>
      <c r="U1231" s="696"/>
      <c r="V1231" s="696"/>
      <c r="W1231" s="696"/>
      <c r="X1231" s="696"/>
      <c r="Y1231" s="696"/>
      <c r="Z1231" s="696"/>
      <c r="AA1231" s="696"/>
      <c r="AB1231" s="696"/>
      <c r="AC1231" s="696"/>
      <c r="AD1231" s="697"/>
      <c r="AE1231" s="655"/>
    </row>
    <row r="1232" spans="1:31" ht="12" customHeight="1">
      <c r="A1232" s="937"/>
      <c r="B1232" s="4" t="s">
        <v>4729</v>
      </c>
      <c r="C1232" s="1" t="s">
        <v>4735</v>
      </c>
      <c r="D1232" s="1">
        <f t="shared" si="19"/>
        <v>57</v>
      </c>
      <c r="E1232" s="2" t="s">
        <v>5</v>
      </c>
      <c r="J1232" s="4" t="s">
        <v>16117</v>
      </c>
      <c r="L1232" s="1" t="s">
        <v>6</v>
      </c>
      <c r="O1232" s="3" t="s">
        <v>4736</v>
      </c>
      <c r="P1232" s="20">
        <v>20382</v>
      </c>
      <c r="Q1232" s="3" t="s">
        <v>4737</v>
      </c>
      <c r="AD1232" s="698"/>
      <c r="AE1232" s="655"/>
    </row>
    <row r="1233" spans="1:31" ht="12" customHeight="1" thickBot="1">
      <c r="A1233" s="938" t="s">
        <v>18223</v>
      </c>
      <c r="B1233" s="700" t="s">
        <v>4730</v>
      </c>
      <c r="C1233" s="699" t="s">
        <v>4738</v>
      </c>
      <c r="D1233" s="699">
        <f t="shared" si="19"/>
        <v>69</v>
      </c>
      <c r="E1233" s="702" t="s">
        <v>5</v>
      </c>
      <c r="F1233" s="699" t="s">
        <v>15273</v>
      </c>
      <c r="G1233" s="703"/>
      <c r="H1233" s="699"/>
      <c r="I1233" s="699"/>
      <c r="J1233" s="704" t="s">
        <v>16121</v>
      </c>
      <c r="K1233" s="699"/>
      <c r="L1233" s="699" t="s">
        <v>25</v>
      </c>
      <c r="M1233" s="705">
        <v>1</v>
      </c>
      <c r="N1233" s="706">
        <v>1</v>
      </c>
      <c r="O1233" s="703" t="s">
        <v>4739</v>
      </c>
      <c r="P1233" s="707">
        <v>15879</v>
      </c>
      <c r="Q1233" s="703" t="s">
        <v>4742</v>
      </c>
      <c r="R1233" s="703"/>
      <c r="S1233" s="703"/>
      <c r="T1233" s="703" t="s">
        <v>4740</v>
      </c>
      <c r="U1233" s="702"/>
      <c r="V1233" s="702" t="s">
        <v>4669</v>
      </c>
      <c r="W1233" s="702" t="s">
        <v>4726</v>
      </c>
      <c r="X1233" s="702"/>
      <c r="Y1233" s="702"/>
      <c r="Z1233" s="702"/>
      <c r="AA1233" s="702"/>
      <c r="AB1233" s="702"/>
      <c r="AC1233" s="702"/>
      <c r="AD1233" s="708" t="s">
        <v>4741</v>
      </c>
      <c r="AE1233" s="655"/>
    </row>
    <row r="1234" spans="1:31" ht="12" customHeight="1">
      <c r="A1234" s="936" t="s">
        <v>18246</v>
      </c>
      <c r="B1234" s="688" t="s">
        <v>4743</v>
      </c>
      <c r="C1234" s="687" t="s">
        <v>4748</v>
      </c>
      <c r="D1234" s="687">
        <f t="shared" si="19"/>
        <v>54</v>
      </c>
      <c r="E1234" s="696" t="s">
        <v>5</v>
      </c>
      <c r="F1234" s="689" t="s">
        <v>15273</v>
      </c>
      <c r="G1234" s="747" t="s">
        <v>4749</v>
      </c>
      <c r="H1234" s="687"/>
      <c r="I1234" s="687"/>
      <c r="J1234" s="692" t="s">
        <v>16126</v>
      </c>
      <c r="K1234" s="687" t="s">
        <v>44</v>
      </c>
      <c r="L1234" s="687" t="s">
        <v>25</v>
      </c>
      <c r="M1234" s="748">
        <v>3</v>
      </c>
      <c r="N1234" s="749">
        <v>3</v>
      </c>
      <c r="O1234" s="747" t="s">
        <v>4689</v>
      </c>
      <c r="P1234" s="773">
        <v>21260</v>
      </c>
      <c r="Q1234" s="747" t="s">
        <v>4750</v>
      </c>
      <c r="R1234" s="747" t="s">
        <v>4751</v>
      </c>
      <c r="S1234" s="747" t="s">
        <v>6214</v>
      </c>
      <c r="T1234" s="747"/>
      <c r="U1234" s="696"/>
      <c r="V1234" s="696"/>
      <c r="W1234" s="696"/>
      <c r="X1234" s="696"/>
      <c r="Y1234" s="696"/>
      <c r="Z1234" s="696"/>
      <c r="AA1234" s="696"/>
      <c r="AB1234" s="696"/>
      <c r="AC1234" s="696"/>
      <c r="AD1234" s="697"/>
      <c r="AE1234" s="655"/>
    </row>
    <row r="1235" spans="1:31" ht="12" customHeight="1">
      <c r="A1235" s="937" t="s">
        <v>18220</v>
      </c>
      <c r="B1235" s="4" t="s">
        <v>4744</v>
      </c>
      <c r="C1235" s="1" t="s">
        <v>4752</v>
      </c>
      <c r="D1235" s="1">
        <f t="shared" si="19"/>
        <v>43</v>
      </c>
      <c r="E1235" s="2" t="s">
        <v>5</v>
      </c>
      <c r="F1235" s="1" t="s">
        <v>15273</v>
      </c>
      <c r="J1235" s="8" t="s">
        <v>16120</v>
      </c>
      <c r="K1235" s="1" t="s">
        <v>48</v>
      </c>
      <c r="L1235" s="1" t="s">
        <v>6</v>
      </c>
      <c r="O1235" s="3" t="s">
        <v>4753</v>
      </c>
      <c r="P1235" s="20">
        <v>25408</v>
      </c>
      <c r="Q1235" s="3" t="s">
        <v>4754</v>
      </c>
      <c r="S1235" s="3" t="s">
        <v>5457</v>
      </c>
      <c r="AD1235" s="698"/>
      <c r="AE1235" s="655"/>
    </row>
    <row r="1236" spans="1:31" ht="12" customHeight="1">
      <c r="A1236" s="937"/>
      <c r="B1236" s="4" t="s">
        <v>4745</v>
      </c>
      <c r="C1236" s="1" t="s">
        <v>5749</v>
      </c>
      <c r="D1236" s="1">
        <f t="shared" si="19"/>
        <v>45</v>
      </c>
      <c r="E1236" s="2" t="s">
        <v>5</v>
      </c>
      <c r="F1236" s="1" t="s">
        <v>15273</v>
      </c>
      <c r="J1236" s="4" t="s">
        <v>16125</v>
      </c>
      <c r="L1236" s="1" t="s">
        <v>6</v>
      </c>
      <c r="O1236" s="3" t="s">
        <v>452</v>
      </c>
      <c r="P1236" s="20">
        <v>24638</v>
      </c>
      <c r="Q1236" s="3" t="s">
        <v>5750</v>
      </c>
      <c r="S1236" s="3" t="s">
        <v>16093</v>
      </c>
      <c r="AD1236" s="698"/>
      <c r="AE1236" s="655"/>
    </row>
    <row r="1237" spans="1:31" ht="12" customHeight="1">
      <c r="A1237" s="937" t="s">
        <v>18223</v>
      </c>
      <c r="B1237" s="4" t="s">
        <v>5057</v>
      </c>
      <c r="C1237" s="1" t="s">
        <v>5058</v>
      </c>
      <c r="D1237" s="1">
        <f t="shared" si="19"/>
        <v>42</v>
      </c>
      <c r="E1237" s="2" t="s">
        <v>5</v>
      </c>
      <c r="F1237" s="1" t="s">
        <v>15273</v>
      </c>
      <c r="J1237" s="4" t="s">
        <v>16116</v>
      </c>
      <c r="K1237" s="1" t="s">
        <v>4997</v>
      </c>
      <c r="L1237" s="1" t="s">
        <v>6</v>
      </c>
      <c r="O1237" s="3" t="s">
        <v>31</v>
      </c>
      <c r="P1237" s="21">
        <v>25674</v>
      </c>
      <c r="Q1237" s="3" t="s">
        <v>16622</v>
      </c>
      <c r="S1237" s="3" t="s">
        <v>6029</v>
      </c>
      <c r="AD1237" s="698"/>
      <c r="AE1237" s="655"/>
    </row>
    <row r="1238" spans="1:31" ht="12" customHeight="1">
      <c r="A1238" s="937"/>
      <c r="B1238" s="4" t="s">
        <v>5748</v>
      </c>
      <c r="C1238" s="1" t="s">
        <v>4755</v>
      </c>
      <c r="D1238" s="1">
        <f t="shared" si="19"/>
        <v>61</v>
      </c>
      <c r="E1238" s="2" t="s">
        <v>5</v>
      </c>
      <c r="J1238" s="4" t="s">
        <v>16117</v>
      </c>
      <c r="L1238" s="1" t="s">
        <v>6</v>
      </c>
      <c r="O1238" s="3" t="s">
        <v>16071</v>
      </c>
      <c r="P1238" s="21">
        <v>18679</v>
      </c>
      <c r="Q1238" s="3" t="s">
        <v>4756</v>
      </c>
      <c r="AD1238" s="698"/>
      <c r="AE1238" s="655"/>
    </row>
    <row r="1239" spans="1:31" ht="12" customHeight="1" thickBot="1">
      <c r="A1239" s="938"/>
      <c r="B1239" s="700" t="s">
        <v>16072</v>
      </c>
      <c r="C1239" s="699" t="s">
        <v>16073</v>
      </c>
      <c r="D1239" s="699">
        <f t="shared" si="19"/>
        <v>48</v>
      </c>
      <c r="E1239" s="702" t="s">
        <v>5</v>
      </c>
      <c r="F1239" s="699"/>
      <c r="G1239" s="703"/>
      <c r="H1239" s="699"/>
      <c r="I1239" s="699"/>
      <c r="J1239" s="700" t="s">
        <v>16129</v>
      </c>
      <c r="K1239" s="699"/>
      <c r="L1239" s="699" t="s">
        <v>6</v>
      </c>
      <c r="M1239" s="705"/>
      <c r="N1239" s="706"/>
      <c r="O1239" s="703" t="s">
        <v>16074</v>
      </c>
      <c r="P1239" s="723">
        <v>23685</v>
      </c>
      <c r="Q1239" s="703" t="s">
        <v>16075</v>
      </c>
      <c r="R1239" s="703"/>
      <c r="S1239" s="703"/>
      <c r="T1239" s="703"/>
      <c r="U1239" s="702"/>
      <c r="V1239" s="702"/>
      <c r="W1239" s="702"/>
      <c r="X1239" s="702"/>
      <c r="Y1239" s="702"/>
      <c r="Z1239" s="702"/>
      <c r="AA1239" s="702"/>
      <c r="AB1239" s="702"/>
      <c r="AC1239" s="702"/>
      <c r="AD1239" s="708"/>
      <c r="AE1239" s="655"/>
    </row>
    <row r="1240" spans="1:31" ht="12" customHeight="1">
      <c r="A1240" s="936" t="s">
        <v>18218</v>
      </c>
      <c r="B1240" s="688" t="s">
        <v>4757</v>
      </c>
      <c r="C1240" s="687" t="s">
        <v>4760</v>
      </c>
      <c r="D1240" s="687">
        <f t="shared" si="19"/>
        <v>71</v>
      </c>
      <c r="E1240" s="696" t="s">
        <v>5</v>
      </c>
      <c r="F1240" s="687" t="s">
        <v>15273</v>
      </c>
      <c r="G1240" s="747" t="s">
        <v>4761</v>
      </c>
      <c r="H1240" s="687"/>
      <c r="I1240" s="687"/>
      <c r="J1240" s="688" t="s">
        <v>16120</v>
      </c>
      <c r="K1240" s="687" t="s">
        <v>48</v>
      </c>
      <c r="L1240" s="687" t="s">
        <v>25</v>
      </c>
      <c r="M1240" s="748">
        <v>9</v>
      </c>
      <c r="N1240" s="749">
        <v>11</v>
      </c>
      <c r="O1240" s="747" t="s">
        <v>245</v>
      </c>
      <c r="P1240" s="773">
        <v>15095</v>
      </c>
      <c r="Q1240" s="747" t="s">
        <v>4762</v>
      </c>
      <c r="R1240" s="747" t="s">
        <v>4765</v>
      </c>
      <c r="S1240" s="747" t="s">
        <v>5457</v>
      </c>
      <c r="T1240" s="747" t="s">
        <v>4763</v>
      </c>
      <c r="U1240" s="696"/>
      <c r="V1240" s="696"/>
      <c r="W1240" s="696" t="s">
        <v>4726</v>
      </c>
      <c r="X1240" s="696" t="s">
        <v>4764</v>
      </c>
      <c r="Y1240" s="696"/>
      <c r="Z1240" s="696"/>
      <c r="AA1240" s="696"/>
      <c r="AB1240" s="696"/>
      <c r="AC1240" s="696"/>
      <c r="AD1240" s="697"/>
      <c r="AE1240" s="655"/>
    </row>
    <row r="1241" spans="1:31" ht="12" customHeight="1">
      <c r="A1241" s="937" t="s">
        <v>18223</v>
      </c>
      <c r="B1241" s="4" t="s">
        <v>4758</v>
      </c>
      <c r="C1241" s="1" t="s">
        <v>5441</v>
      </c>
      <c r="D1241" s="1">
        <f t="shared" si="19"/>
        <v>43</v>
      </c>
      <c r="E1241" s="2" t="s">
        <v>5</v>
      </c>
      <c r="F1241" s="1" t="s">
        <v>15273</v>
      </c>
      <c r="J1241" s="4" t="s">
        <v>16116</v>
      </c>
      <c r="K1241" s="1" t="s">
        <v>5298</v>
      </c>
      <c r="L1241" s="1" t="s">
        <v>6</v>
      </c>
      <c r="O1241" s="3" t="s">
        <v>5442</v>
      </c>
      <c r="P1241" s="20">
        <v>25546</v>
      </c>
      <c r="Q1241" s="3" t="s">
        <v>5443</v>
      </c>
      <c r="S1241" s="3" t="s">
        <v>6029</v>
      </c>
      <c r="AD1241" s="698"/>
      <c r="AE1241" s="655"/>
    </row>
    <row r="1242" spans="1:31" ht="12" customHeight="1">
      <c r="A1242" s="937"/>
      <c r="B1242" s="4" t="s">
        <v>4759</v>
      </c>
      <c r="C1242" s="1" t="s">
        <v>5726</v>
      </c>
      <c r="D1242" s="1">
        <f t="shared" si="19"/>
        <v>35</v>
      </c>
      <c r="E1242" s="2" t="s">
        <v>5</v>
      </c>
      <c r="J1242" s="4" t="s">
        <v>16117</v>
      </c>
      <c r="L1242" s="1" t="s">
        <v>6</v>
      </c>
      <c r="O1242" s="3" t="s">
        <v>5727</v>
      </c>
      <c r="P1242" s="20">
        <v>28121</v>
      </c>
      <c r="Q1242" s="3" t="s">
        <v>5728</v>
      </c>
      <c r="AD1242" s="698"/>
      <c r="AE1242" s="655"/>
    </row>
    <row r="1243" spans="1:31" ht="12" customHeight="1" thickBot="1">
      <c r="A1243" s="938" t="s">
        <v>18223</v>
      </c>
      <c r="B1243" s="700" t="s">
        <v>16076</v>
      </c>
      <c r="C1243" s="699" t="s">
        <v>5345</v>
      </c>
      <c r="D1243" s="699">
        <f t="shared" si="19"/>
        <v>46</v>
      </c>
      <c r="E1243" s="702" t="s">
        <v>5</v>
      </c>
      <c r="F1243" s="699" t="s">
        <v>15273</v>
      </c>
      <c r="G1243" s="703"/>
      <c r="H1243" s="699"/>
      <c r="I1243" s="699"/>
      <c r="J1243" s="700" t="s">
        <v>16121</v>
      </c>
      <c r="K1243" s="699"/>
      <c r="L1243" s="699" t="s">
        <v>6</v>
      </c>
      <c r="M1243" s="705"/>
      <c r="N1243" s="706"/>
      <c r="O1243" s="703" t="s">
        <v>3552</v>
      </c>
      <c r="P1243" s="707">
        <v>24378</v>
      </c>
      <c r="Q1243" s="703" t="s">
        <v>5346</v>
      </c>
      <c r="R1243" s="703"/>
      <c r="S1243" s="703"/>
      <c r="T1243" s="703"/>
      <c r="U1243" s="702"/>
      <c r="V1243" s="702"/>
      <c r="W1243" s="702"/>
      <c r="X1243" s="702"/>
      <c r="Y1243" s="702"/>
      <c r="Z1243" s="702"/>
      <c r="AA1243" s="702"/>
      <c r="AB1243" s="702"/>
      <c r="AC1243" s="702"/>
      <c r="AD1243" s="708"/>
      <c r="AE1243" s="655"/>
    </row>
    <row r="1244" spans="1:31" ht="12" customHeight="1">
      <c r="A1244" s="936" t="s">
        <v>18245</v>
      </c>
      <c r="B1244" s="688" t="s">
        <v>4766</v>
      </c>
      <c r="C1244" s="687" t="s">
        <v>4770</v>
      </c>
      <c r="D1244" s="687">
        <f t="shared" si="19"/>
        <v>69</v>
      </c>
      <c r="E1244" s="696" t="s">
        <v>5</v>
      </c>
      <c r="F1244" s="689" t="s">
        <v>15273</v>
      </c>
      <c r="G1244" s="747" t="s">
        <v>4771</v>
      </c>
      <c r="H1244" s="687"/>
      <c r="I1244" s="687"/>
      <c r="J1244" s="692" t="s">
        <v>16127</v>
      </c>
      <c r="K1244" s="687" t="s">
        <v>45</v>
      </c>
      <c r="L1244" s="687" t="s">
        <v>25</v>
      </c>
      <c r="M1244" s="748">
        <v>6</v>
      </c>
      <c r="N1244" s="749">
        <v>6</v>
      </c>
      <c r="O1244" s="747" t="s">
        <v>4772</v>
      </c>
      <c r="P1244" s="773">
        <v>16014</v>
      </c>
      <c r="Q1244" s="747" t="s">
        <v>4773</v>
      </c>
      <c r="R1244" s="747" t="s">
        <v>4775</v>
      </c>
      <c r="S1244" s="747" t="s">
        <v>6214</v>
      </c>
      <c r="T1244" s="747" t="s">
        <v>4774</v>
      </c>
      <c r="U1244" s="696"/>
      <c r="V1244" s="696"/>
      <c r="W1244" s="696"/>
      <c r="X1244" s="696"/>
      <c r="Y1244" s="696"/>
      <c r="Z1244" s="696" t="s">
        <v>4774</v>
      </c>
      <c r="AA1244" s="696"/>
      <c r="AB1244" s="696"/>
      <c r="AC1244" s="696"/>
      <c r="AD1244" s="697"/>
      <c r="AE1244" s="655"/>
    </row>
    <row r="1245" spans="1:31" ht="12" customHeight="1">
      <c r="A1245" s="937" t="s">
        <v>18219</v>
      </c>
      <c r="B1245" s="4" t="s">
        <v>4767</v>
      </c>
      <c r="C1245" s="1" t="s">
        <v>4776</v>
      </c>
      <c r="D1245" s="1">
        <f t="shared" si="19"/>
        <v>55</v>
      </c>
      <c r="E1245" s="2" t="s">
        <v>5</v>
      </c>
      <c r="F1245" s="1" t="s">
        <v>15273</v>
      </c>
      <c r="G1245" s="3" t="s">
        <v>4777</v>
      </c>
      <c r="J1245" s="4" t="s">
        <v>16120</v>
      </c>
      <c r="K1245" s="1" t="s">
        <v>445</v>
      </c>
      <c r="L1245" s="1" t="s">
        <v>25</v>
      </c>
      <c r="M1245" s="16">
        <v>5</v>
      </c>
      <c r="N1245" s="17">
        <v>5</v>
      </c>
      <c r="O1245" s="3" t="s">
        <v>188</v>
      </c>
      <c r="P1245" s="20">
        <v>21056</v>
      </c>
      <c r="Q1245" s="3" t="s">
        <v>4778</v>
      </c>
      <c r="R1245" s="3" t="s">
        <v>4779</v>
      </c>
      <c r="S1245" s="3" t="s">
        <v>5457</v>
      </c>
      <c r="T1245" s="3" t="s">
        <v>4669</v>
      </c>
      <c r="V1245" s="2" t="s">
        <v>4669</v>
      </c>
      <c r="AD1245" s="698"/>
      <c r="AE1245" s="655"/>
    </row>
    <row r="1246" spans="1:31" ht="12" customHeight="1">
      <c r="A1246" s="937" t="s">
        <v>18223</v>
      </c>
      <c r="B1246" s="4" t="s">
        <v>4768</v>
      </c>
      <c r="C1246" s="1" t="s">
        <v>4782</v>
      </c>
      <c r="D1246" s="1">
        <f t="shared" si="19"/>
        <v>36</v>
      </c>
      <c r="E1246" s="2" t="s">
        <v>5</v>
      </c>
      <c r="F1246" s="1" t="s">
        <v>15273</v>
      </c>
      <c r="J1246" s="4" t="s">
        <v>16128</v>
      </c>
      <c r="L1246" s="1" t="s">
        <v>6</v>
      </c>
      <c r="O1246" s="3" t="s">
        <v>452</v>
      </c>
      <c r="P1246" s="20">
        <v>27924</v>
      </c>
      <c r="Q1246" s="3" t="s">
        <v>16678</v>
      </c>
      <c r="S1246" s="3" t="s">
        <v>6031</v>
      </c>
      <c r="T1246" s="3" t="s">
        <v>146</v>
      </c>
      <c r="AC1246" s="2" t="s">
        <v>4783</v>
      </c>
      <c r="AD1246" s="698"/>
      <c r="AE1246" s="655"/>
    </row>
    <row r="1247" spans="1:31" ht="12" customHeight="1" thickBot="1">
      <c r="A1247" s="938"/>
      <c r="B1247" s="700" t="s">
        <v>4769</v>
      </c>
      <c r="C1247" s="699" t="s">
        <v>4780</v>
      </c>
      <c r="D1247" s="699">
        <f t="shared" si="19"/>
        <v>57</v>
      </c>
      <c r="E1247" s="702" t="s">
        <v>5</v>
      </c>
      <c r="F1247" s="699"/>
      <c r="G1247" s="703"/>
      <c r="H1247" s="699"/>
      <c r="I1247" s="699"/>
      <c r="J1247" s="700" t="s">
        <v>16117</v>
      </c>
      <c r="K1247" s="699"/>
      <c r="L1247" s="699" t="s">
        <v>6</v>
      </c>
      <c r="M1247" s="705"/>
      <c r="N1247" s="706"/>
      <c r="O1247" s="703" t="s">
        <v>16077</v>
      </c>
      <c r="P1247" s="723">
        <v>20385</v>
      </c>
      <c r="Q1247" s="703" t="s">
        <v>4781</v>
      </c>
      <c r="R1247" s="703"/>
      <c r="S1247" s="703"/>
      <c r="T1247" s="703" t="s">
        <v>4669</v>
      </c>
      <c r="U1247" s="702"/>
      <c r="V1247" s="702" t="s">
        <v>4669</v>
      </c>
      <c r="W1247" s="702"/>
      <c r="X1247" s="702"/>
      <c r="Y1247" s="702"/>
      <c r="Z1247" s="702"/>
      <c r="AA1247" s="702"/>
      <c r="AB1247" s="702"/>
      <c r="AC1247" s="702"/>
      <c r="AD1247" s="708"/>
      <c r="AE1247" s="655"/>
    </row>
    <row r="1248" spans="1:31" ht="12" customHeight="1">
      <c r="A1248" s="936" t="s">
        <v>18245</v>
      </c>
      <c r="B1248" s="688" t="s">
        <v>4784</v>
      </c>
      <c r="C1248" s="687" t="s">
        <v>4788</v>
      </c>
      <c r="D1248" s="687">
        <f t="shared" si="19"/>
        <v>63</v>
      </c>
      <c r="E1248" s="696" t="s">
        <v>5</v>
      </c>
      <c r="F1248" s="689" t="s">
        <v>15273</v>
      </c>
      <c r="G1248" s="747" t="s">
        <v>4789</v>
      </c>
      <c r="H1248" s="687"/>
      <c r="I1248" s="687"/>
      <c r="J1248" s="692" t="s">
        <v>16127</v>
      </c>
      <c r="K1248" s="687" t="s">
        <v>44</v>
      </c>
      <c r="L1248" s="687" t="s">
        <v>25</v>
      </c>
      <c r="M1248" s="748">
        <v>1</v>
      </c>
      <c r="N1248" s="749">
        <v>1</v>
      </c>
      <c r="O1248" s="747" t="s">
        <v>4689</v>
      </c>
      <c r="P1248" s="773">
        <v>17937</v>
      </c>
      <c r="Q1248" s="747" t="s">
        <v>4790</v>
      </c>
      <c r="R1248" s="747" t="s">
        <v>836</v>
      </c>
      <c r="S1248" s="747" t="s">
        <v>6214</v>
      </c>
      <c r="T1248" s="747" t="s">
        <v>4791</v>
      </c>
      <c r="U1248" s="696" t="s">
        <v>47</v>
      </c>
      <c r="V1248" s="696"/>
      <c r="W1248" s="696"/>
      <c r="X1248" s="696"/>
      <c r="Y1248" s="696"/>
      <c r="Z1248" s="696"/>
      <c r="AA1248" s="696"/>
      <c r="AB1248" s="696"/>
      <c r="AC1248" s="696"/>
      <c r="AD1248" s="697"/>
      <c r="AE1248" s="655"/>
    </row>
    <row r="1249" spans="1:31" ht="12" customHeight="1">
      <c r="A1249" s="937" t="s">
        <v>18219</v>
      </c>
      <c r="B1249" s="4" t="s">
        <v>4785</v>
      </c>
      <c r="C1249" s="1" t="s">
        <v>4792</v>
      </c>
      <c r="D1249" s="1">
        <f t="shared" si="19"/>
        <v>37</v>
      </c>
      <c r="E1249" s="2" t="s">
        <v>5</v>
      </c>
      <c r="F1249" s="1" t="s">
        <v>15273</v>
      </c>
      <c r="J1249" s="8" t="s">
        <v>16120</v>
      </c>
      <c r="K1249" s="1" t="s">
        <v>30</v>
      </c>
      <c r="L1249" s="1" t="s">
        <v>6</v>
      </c>
      <c r="O1249" s="3" t="s">
        <v>245</v>
      </c>
      <c r="P1249" s="20">
        <v>27482</v>
      </c>
      <c r="Q1249" s="3" t="s">
        <v>4793</v>
      </c>
      <c r="T1249" s="3" t="s">
        <v>4669</v>
      </c>
      <c r="V1249" s="2" t="s">
        <v>4669</v>
      </c>
      <c r="AD1249" s="698"/>
      <c r="AE1249" s="655"/>
    </row>
    <row r="1250" spans="1:31" ht="12" customHeight="1">
      <c r="A1250" s="937" t="s">
        <v>18223</v>
      </c>
      <c r="B1250" s="4" t="s">
        <v>4786</v>
      </c>
      <c r="C1250" s="1" t="s">
        <v>4800</v>
      </c>
      <c r="D1250" s="1">
        <f t="shared" si="19"/>
        <v>36</v>
      </c>
      <c r="E1250" s="2" t="s">
        <v>5</v>
      </c>
      <c r="F1250" s="1" t="s">
        <v>15273</v>
      </c>
      <c r="G1250" s="3" t="s">
        <v>4801</v>
      </c>
      <c r="H1250" s="1" t="s">
        <v>4802</v>
      </c>
      <c r="J1250" s="4" t="s">
        <v>16125</v>
      </c>
      <c r="L1250" s="1" t="s">
        <v>6</v>
      </c>
      <c r="N1250" s="17">
        <v>2</v>
      </c>
      <c r="O1250" s="3" t="s">
        <v>4803</v>
      </c>
      <c r="P1250" s="20">
        <v>27873</v>
      </c>
      <c r="Q1250" s="3" t="s">
        <v>4804</v>
      </c>
      <c r="S1250" s="3" t="s">
        <v>16093</v>
      </c>
      <c r="AD1250" s="698"/>
      <c r="AE1250" s="655"/>
    </row>
    <row r="1251" spans="1:31" ht="12" customHeight="1">
      <c r="A1251" s="937" t="s">
        <v>18245</v>
      </c>
      <c r="B1251" s="4" t="s">
        <v>4787</v>
      </c>
      <c r="C1251" s="1" t="s">
        <v>4797</v>
      </c>
      <c r="D1251" s="1">
        <f t="shared" si="19"/>
        <v>69</v>
      </c>
      <c r="E1251" s="2" t="s">
        <v>5</v>
      </c>
      <c r="F1251" s="1" t="s">
        <v>15273</v>
      </c>
      <c r="J1251" s="4" t="s">
        <v>16116</v>
      </c>
      <c r="K1251" s="1" t="s">
        <v>4993</v>
      </c>
      <c r="L1251" s="1" t="s">
        <v>14</v>
      </c>
      <c r="M1251" s="16">
        <v>6</v>
      </c>
      <c r="N1251" s="17">
        <v>6</v>
      </c>
      <c r="O1251" s="3" t="s">
        <v>4689</v>
      </c>
      <c r="P1251" s="20">
        <v>15864</v>
      </c>
      <c r="Q1251" s="3" t="s">
        <v>3162</v>
      </c>
      <c r="R1251" s="3" t="s">
        <v>4798</v>
      </c>
      <c r="T1251" s="3" t="s">
        <v>4791</v>
      </c>
      <c r="U1251" s="2" t="s">
        <v>47</v>
      </c>
      <c r="AD1251" s="698"/>
      <c r="AE1251" s="655"/>
    </row>
    <row r="1252" spans="1:31" ht="12" customHeight="1">
      <c r="A1252" s="937"/>
      <c r="B1252" s="4" t="s">
        <v>4799</v>
      </c>
      <c r="C1252" s="1" t="s">
        <v>4794</v>
      </c>
      <c r="D1252" s="1">
        <f t="shared" si="19"/>
        <v>51</v>
      </c>
      <c r="E1252" s="2" t="s">
        <v>5</v>
      </c>
      <c r="J1252" s="4" t="s">
        <v>16117</v>
      </c>
      <c r="L1252" s="1" t="s">
        <v>6</v>
      </c>
      <c r="O1252" s="3" t="s">
        <v>4795</v>
      </c>
      <c r="P1252" s="20">
        <v>22499</v>
      </c>
      <c r="Q1252" s="3" t="s">
        <v>4796</v>
      </c>
      <c r="AD1252" s="698"/>
      <c r="AE1252" s="655"/>
    </row>
    <row r="1253" spans="1:31" ht="12" customHeight="1" thickBot="1">
      <c r="A1253" s="938"/>
      <c r="B1253" s="700" t="s">
        <v>5705</v>
      </c>
      <c r="C1253" s="699" t="s">
        <v>5706</v>
      </c>
      <c r="D1253" s="699">
        <f t="shared" si="19"/>
        <v>56</v>
      </c>
      <c r="E1253" s="702" t="s">
        <v>5</v>
      </c>
      <c r="F1253" s="699" t="s">
        <v>15273</v>
      </c>
      <c r="G1253" s="703"/>
      <c r="H1253" s="699"/>
      <c r="I1253" s="699"/>
      <c r="J1253" s="700" t="s">
        <v>16121</v>
      </c>
      <c r="K1253" s="699"/>
      <c r="L1253" s="699" t="s">
        <v>6</v>
      </c>
      <c r="M1253" s="705"/>
      <c r="N1253" s="706"/>
      <c r="O1253" s="703" t="s">
        <v>5707</v>
      </c>
      <c r="P1253" s="707">
        <v>20799</v>
      </c>
      <c r="Q1253" s="703" t="s">
        <v>5708</v>
      </c>
      <c r="R1253" s="703"/>
      <c r="S1253" s="703"/>
      <c r="T1253" s="703" t="s">
        <v>5709</v>
      </c>
      <c r="U1253" s="702"/>
      <c r="V1253" s="702"/>
      <c r="W1253" s="702"/>
      <c r="X1253" s="702"/>
      <c r="Y1253" s="702"/>
      <c r="Z1253" s="702"/>
      <c r="AA1253" s="702"/>
      <c r="AB1253" s="702"/>
      <c r="AC1253" s="702"/>
      <c r="AD1253" s="708" t="s">
        <v>5709</v>
      </c>
      <c r="AE1253" s="655"/>
    </row>
    <row r="1254" spans="1:31" ht="12" customHeight="1">
      <c r="A1254" s="936" t="s">
        <v>18223</v>
      </c>
      <c r="B1254" s="688" t="s">
        <v>4805</v>
      </c>
      <c r="C1254" s="687" t="s">
        <v>4808</v>
      </c>
      <c r="D1254" s="687">
        <f t="shared" si="19"/>
        <v>59</v>
      </c>
      <c r="E1254" s="696" t="s">
        <v>5</v>
      </c>
      <c r="F1254" s="689" t="s">
        <v>15273</v>
      </c>
      <c r="G1254" s="747" t="s">
        <v>4809</v>
      </c>
      <c r="H1254" s="687"/>
      <c r="I1254" s="687"/>
      <c r="J1254" s="692" t="s">
        <v>16126</v>
      </c>
      <c r="K1254" s="687" t="s">
        <v>44</v>
      </c>
      <c r="L1254" s="687" t="s">
        <v>25</v>
      </c>
      <c r="M1254" s="748">
        <v>1</v>
      </c>
      <c r="N1254" s="749">
        <v>1</v>
      </c>
      <c r="O1254" s="747" t="s">
        <v>302</v>
      </c>
      <c r="P1254" s="773">
        <v>19450</v>
      </c>
      <c r="Q1254" s="747" t="s">
        <v>4810</v>
      </c>
      <c r="R1254" s="747"/>
      <c r="S1254" s="747"/>
      <c r="T1254" s="747"/>
      <c r="U1254" s="696"/>
      <c r="V1254" s="696"/>
      <c r="W1254" s="696"/>
      <c r="X1254" s="696"/>
      <c r="Y1254" s="696"/>
      <c r="Z1254" s="696"/>
      <c r="AA1254" s="696"/>
      <c r="AB1254" s="696"/>
      <c r="AC1254" s="696"/>
      <c r="AD1254" s="697"/>
      <c r="AE1254" s="655"/>
    </row>
    <row r="1255" spans="1:31" ht="12" customHeight="1">
      <c r="A1255" s="937" t="s">
        <v>18218</v>
      </c>
      <c r="B1255" s="4" t="s">
        <v>4806</v>
      </c>
      <c r="C1255" s="1" t="s">
        <v>4811</v>
      </c>
      <c r="D1255" s="1">
        <f t="shared" si="19"/>
        <v>52</v>
      </c>
      <c r="E1255" s="2" t="s">
        <v>5</v>
      </c>
      <c r="F1255" s="1" t="s">
        <v>15273</v>
      </c>
      <c r="G1255" s="3" t="s">
        <v>4812</v>
      </c>
      <c r="J1255" s="4" t="s">
        <v>16120</v>
      </c>
      <c r="K1255" s="1" t="s">
        <v>30</v>
      </c>
      <c r="L1255" s="1" t="s">
        <v>25</v>
      </c>
      <c r="M1255" s="16">
        <v>3</v>
      </c>
      <c r="N1255" s="17">
        <v>3</v>
      </c>
      <c r="O1255" s="3" t="s">
        <v>1742</v>
      </c>
      <c r="P1255" s="20">
        <v>22098</v>
      </c>
      <c r="Q1255" s="3" t="s">
        <v>4813</v>
      </c>
      <c r="R1255" s="3" t="s">
        <v>347</v>
      </c>
      <c r="S1255" s="3" t="s">
        <v>5457</v>
      </c>
      <c r="T1255" s="3" t="s">
        <v>4657</v>
      </c>
      <c r="AA1255" s="2" t="s">
        <v>4657</v>
      </c>
      <c r="AD1255" s="698"/>
      <c r="AE1255" s="655"/>
    </row>
    <row r="1256" spans="1:31" ht="12" customHeight="1" thickBot="1">
      <c r="A1256" s="938"/>
      <c r="B1256" s="700" t="s">
        <v>4807</v>
      </c>
      <c r="C1256" s="699" t="s">
        <v>5753</v>
      </c>
      <c r="D1256" s="699">
        <f t="shared" si="19"/>
        <v>57</v>
      </c>
      <c r="E1256" s="702" t="s">
        <v>5</v>
      </c>
      <c r="F1256" s="699"/>
      <c r="G1256" s="703"/>
      <c r="H1256" s="699"/>
      <c r="I1256" s="699"/>
      <c r="J1256" s="700" t="s">
        <v>16117</v>
      </c>
      <c r="K1256" s="699"/>
      <c r="L1256" s="699" t="s">
        <v>6</v>
      </c>
      <c r="M1256" s="705"/>
      <c r="N1256" s="706"/>
      <c r="O1256" s="703" t="s">
        <v>16078</v>
      </c>
      <c r="P1256" s="707">
        <v>20190</v>
      </c>
      <c r="Q1256" s="703" t="s">
        <v>5754</v>
      </c>
      <c r="R1256" s="703"/>
      <c r="S1256" s="703"/>
      <c r="T1256" s="703" t="s">
        <v>5690</v>
      </c>
      <c r="U1256" s="702"/>
      <c r="V1256" s="702" t="s">
        <v>5690</v>
      </c>
      <c r="W1256" s="702"/>
      <c r="X1256" s="702"/>
      <c r="Y1256" s="702"/>
      <c r="Z1256" s="702"/>
      <c r="AA1256" s="702"/>
      <c r="AB1256" s="702"/>
      <c r="AC1256" s="702"/>
      <c r="AD1256" s="708"/>
      <c r="AE1256" s="655"/>
    </row>
    <row r="1257" spans="1:31" ht="12" customHeight="1">
      <c r="A1257" s="936" t="s">
        <v>18218</v>
      </c>
      <c r="B1257" s="688" t="s">
        <v>4814</v>
      </c>
      <c r="C1257" s="687" t="s">
        <v>4816</v>
      </c>
      <c r="D1257" s="687">
        <f t="shared" si="19"/>
        <v>47</v>
      </c>
      <c r="E1257" s="696" t="s">
        <v>5</v>
      </c>
      <c r="F1257" s="687" t="s">
        <v>15273</v>
      </c>
      <c r="G1257" s="747" t="s">
        <v>4817</v>
      </c>
      <c r="H1257" s="687"/>
      <c r="I1257" s="687"/>
      <c r="J1257" s="688" t="s">
        <v>16120</v>
      </c>
      <c r="K1257" s="687" t="s">
        <v>30</v>
      </c>
      <c r="L1257" s="687" t="s">
        <v>25</v>
      </c>
      <c r="M1257" s="748">
        <v>3</v>
      </c>
      <c r="N1257" s="749">
        <v>3</v>
      </c>
      <c r="O1257" s="747" t="s">
        <v>4689</v>
      </c>
      <c r="P1257" s="773">
        <v>23957</v>
      </c>
      <c r="Q1257" s="747" t="s">
        <v>4818</v>
      </c>
      <c r="R1257" s="747" t="s">
        <v>4819</v>
      </c>
      <c r="S1257" s="747" t="s">
        <v>5457</v>
      </c>
      <c r="T1257" s="747" t="s">
        <v>4791</v>
      </c>
      <c r="U1257" s="696" t="s">
        <v>47</v>
      </c>
      <c r="V1257" s="696"/>
      <c r="W1257" s="696"/>
      <c r="X1257" s="696"/>
      <c r="Y1257" s="696"/>
      <c r="Z1257" s="696"/>
      <c r="AA1257" s="696"/>
      <c r="AB1257" s="696"/>
      <c r="AC1257" s="696"/>
      <c r="AD1257" s="697"/>
      <c r="AE1257" s="655"/>
    </row>
    <row r="1258" spans="1:31" ht="12" customHeight="1" thickBot="1">
      <c r="A1258" s="938" t="s">
        <v>18223</v>
      </c>
      <c r="B1258" s="700" t="s">
        <v>4815</v>
      </c>
      <c r="C1258" s="699" t="s">
        <v>4820</v>
      </c>
      <c r="D1258" s="699">
        <f t="shared" si="19"/>
        <v>67</v>
      </c>
      <c r="E1258" s="702" t="s">
        <v>5</v>
      </c>
      <c r="F1258" s="699"/>
      <c r="G1258" s="703"/>
      <c r="H1258" s="699"/>
      <c r="I1258" s="699"/>
      <c r="J1258" s="700" t="s">
        <v>16117</v>
      </c>
      <c r="K1258" s="699"/>
      <c r="L1258" s="699" t="s">
        <v>6</v>
      </c>
      <c r="M1258" s="705"/>
      <c r="N1258" s="706"/>
      <c r="O1258" s="703" t="s">
        <v>16111</v>
      </c>
      <c r="P1258" s="723">
        <v>16511</v>
      </c>
      <c r="Q1258" s="703" t="s">
        <v>4821</v>
      </c>
      <c r="R1258" s="703"/>
      <c r="S1258" s="703"/>
      <c r="T1258" s="703" t="s">
        <v>148</v>
      </c>
      <c r="U1258" s="702"/>
      <c r="V1258" s="702" t="s">
        <v>145</v>
      </c>
      <c r="W1258" s="702"/>
      <c r="X1258" s="702"/>
      <c r="Y1258" s="702"/>
      <c r="Z1258" s="702"/>
      <c r="AA1258" s="702"/>
      <c r="AB1258" s="702"/>
      <c r="AC1258" s="702"/>
      <c r="AD1258" s="708" t="s">
        <v>4741</v>
      </c>
      <c r="AE1258" s="655"/>
    </row>
    <row r="1259" spans="1:31" ht="12" customHeight="1">
      <c r="A1259" s="936" t="s">
        <v>18245</v>
      </c>
      <c r="B1259" s="688" t="s">
        <v>4822</v>
      </c>
      <c r="C1259" s="687" t="s">
        <v>4825</v>
      </c>
      <c r="D1259" s="687">
        <f t="shared" si="19"/>
        <v>51</v>
      </c>
      <c r="E1259" s="696" t="s">
        <v>5</v>
      </c>
      <c r="F1259" s="689" t="s">
        <v>15273</v>
      </c>
      <c r="G1259" s="747" t="s">
        <v>4826</v>
      </c>
      <c r="H1259" s="687"/>
      <c r="I1259" s="687"/>
      <c r="J1259" s="692" t="s">
        <v>16127</v>
      </c>
      <c r="K1259" s="687" t="s">
        <v>4827</v>
      </c>
      <c r="L1259" s="687" t="s">
        <v>25</v>
      </c>
      <c r="M1259" s="748">
        <v>5</v>
      </c>
      <c r="N1259" s="749">
        <v>5</v>
      </c>
      <c r="O1259" s="747" t="s">
        <v>188</v>
      </c>
      <c r="P1259" s="773">
        <v>22587</v>
      </c>
      <c r="Q1259" s="747" t="s">
        <v>4828</v>
      </c>
      <c r="R1259" s="747" t="s">
        <v>4829</v>
      </c>
      <c r="S1259" s="747" t="s">
        <v>6214</v>
      </c>
      <c r="T1259" s="747" t="s">
        <v>104</v>
      </c>
      <c r="U1259" s="696"/>
      <c r="V1259" s="696"/>
      <c r="W1259" s="696"/>
      <c r="X1259" s="696"/>
      <c r="Y1259" s="696"/>
      <c r="Z1259" s="696"/>
      <c r="AA1259" s="696" t="s">
        <v>4657</v>
      </c>
      <c r="AB1259" s="696"/>
      <c r="AC1259" s="696"/>
      <c r="AD1259" s="697"/>
      <c r="AE1259" s="655"/>
    </row>
    <row r="1260" spans="1:31" ht="12" customHeight="1">
      <c r="A1260" s="937" t="s">
        <v>18219</v>
      </c>
      <c r="B1260" s="4" t="s">
        <v>4823</v>
      </c>
      <c r="C1260" s="1" t="s">
        <v>4830</v>
      </c>
      <c r="D1260" s="1">
        <f t="shared" si="19"/>
        <v>73</v>
      </c>
      <c r="E1260" s="2" t="s">
        <v>5</v>
      </c>
      <c r="J1260" s="8" t="s">
        <v>16120</v>
      </c>
      <c r="K1260" s="1" t="s">
        <v>934</v>
      </c>
      <c r="L1260" s="1" t="s">
        <v>14</v>
      </c>
      <c r="M1260" s="16">
        <v>11</v>
      </c>
      <c r="N1260" s="17">
        <v>11</v>
      </c>
      <c r="O1260" s="3" t="s">
        <v>381</v>
      </c>
      <c r="P1260" s="20">
        <v>14376</v>
      </c>
      <c r="Q1260" s="3" t="s">
        <v>4831</v>
      </c>
      <c r="R1260" s="3" t="s">
        <v>4833</v>
      </c>
      <c r="S1260" s="3" t="s">
        <v>5457</v>
      </c>
      <c r="T1260" s="3" t="s">
        <v>3181</v>
      </c>
      <c r="AA1260" s="2" t="s">
        <v>4657</v>
      </c>
      <c r="AB1260" s="2" t="s">
        <v>4832</v>
      </c>
      <c r="AD1260" s="698"/>
      <c r="AE1260" s="655"/>
    </row>
    <row r="1261" spans="1:31" ht="12" customHeight="1">
      <c r="A1261" s="937" t="s">
        <v>18223</v>
      </c>
      <c r="B1261" s="4" t="s">
        <v>4824</v>
      </c>
      <c r="C1261" s="1" t="s">
        <v>6134</v>
      </c>
      <c r="D1261" s="1">
        <f t="shared" si="19"/>
        <v>55</v>
      </c>
      <c r="E1261" s="2" t="s">
        <v>5</v>
      </c>
      <c r="F1261" s="1" t="s">
        <v>15273</v>
      </c>
      <c r="J1261" s="4" t="s">
        <v>16125</v>
      </c>
      <c r="L1261" s="1" t="s">
        <v>6</v>
      </c>
      <c r="O1261" s="3" t="s">
        <v>16079</v>
      </c>
      <c r="P1261" s="20">
        <v>21021</v>
      </c>
      <c r="Q1261" s="3" t="s">
        <v>16080</v>
      </c>
      <c r="S1261" s="3" t="s">
        <v>16093</v>
      </c>
      <c r="AD1261" s="698"/>
      <c r="AE1261" s="655"/>
    </row>
    <row r="1262" spans="1:31" ht="12" customHeight="1">
      <c r="A1262" s="937" t="s">
        <v>18223</v>
      </c>
      <c r="B1262" s="4" t="s">
        <v>5530</v>
      </c>
      <c r="C1262" s="1" t="s">
        <v>5531</v>
      </c>
      <c r="D1262" s="1">
        <f t="shared" si="19"/>
        <v>31</v>
      </c>
      <c r="E1262" s="2" t="s">
        <v>5</v>
      </c>
      <c r="F1262" s="1" t="s">
        <v>15273</v>
      </c>
      <c r="J1262" s="4" t="s">
        <v>16116</v>
      </c>
      <c r="K1262" s="1" t="s">
        <v>5515</v>
      </c>
      <c r="L1262" s="1" t="s">
        <v>6</v>
      </c>
      <c r="O1262" s="3" t="s">
        <v>452</v>
      </c>
      <c r="P1262" s="21">
        <v>29936</v>
      </c>
      <c r="Q1262" s="3" t="s">
        <v>5532</v>
      </c>
      <c r="AD1262" s="698"/>
      <c r="AE1262" s="655"/>
    </row>
    <row r="1263" spans="1:31" ht="12" customHeight="1" thickBot="1">
      <c r="A1263" s="938"/>
      <c r="B1263" s="700" t="s">
        <v>6133</v>
      </c>
      <c r="C1263" s="699" t="s">
        <v>4834</v>
      </c>
      <c r="D1263" s="699">
        <f t="shared" si="19"/>
        <v>37</v>
      </c>
      <c r="E1263" s="702" t="s">
        <v>5</v>
      </c>
      <c r="F1263" s="699"/>
      <c r="G1263" s="703"/>
      <c r="H1263" s="699"/>
      <c r="I1263" s="699"/>
      <c r="J1263" s="700" t="s">
        <v>16117</v>
      </c>
      <c r="K1263" s="699"/>
      <c r="L1263" s="699" t="s">
        <v>6</v>
      </c>
      <c r="M1263" s="705"/>
      <c r="N1263" s="706"/>
      <c r="O1263" s="703" t="s">
        <v>4835</v>
      </c>
      <c r="P1263" s="707">
        <v>27486</v>
      </c>
      <c r="Q1263" s="703" t="s">
        <v>4836</v>
      </c>
      <c r="R1263" s="703"/>
      <c r="S1263" s="703"/>
      <c r="T1263" s="703"/>
      <c r="U1263" s="702"/>
      <c r="V1263" s="702"/>
      <c r="W1263" s="702"/>
      <c r="X1263" s="702"/>
      <c r="Y1263" s="702"/>
      <c r="Z1263" s="702"/>
      <c r="AA1263" s="702"/>
      <c r="AB1263" s="702"/>
      <c r="AC1263" s="702"/>
      <c r="AD1263" s="708"/>
      <c r="AE1263" s="655"/>
    </row>
    <row r="1264" spans="1:31" ht="12" customHeight="1">
      <c r="A1264" s="936" t="s">
        <v>18245</v>
      </c>
      <c r="B1264" s="688" t="s">
        <v>4837</v>
      </c>
      <c r="C1264" s="687" t="s">
        <v>4840</v>
      </c>
      <c r="D1264" s="687">
        <f t="shared" si="19"/>
        <v>54</v>
      </c>
      <c r="E1264" s="696" t="s">
        <v>5</v>
      </c>
      <c r="F1264" s="689" t="s">
        <v>15273</v>
      </c>
      <c r="G1264" s="747" t="s">
        <v>4841</v>
      </c>
      <c r="H1264" s="687"/>
      <c r="I1264" s="687"/>
      <c r="J1264" s="692" t="s">
        <v>16127</v>
      </c>
      <c r="K1264" s="687" t="s">
        <v>4842</v>
      </c>
      <c r="L1264" s="687" t="s">
        <v>25</v>
      </c>
      <c r="M1264" s="748">
        <v>1</v>
      </c>
      <c r="N1264" s="749">
        <v>1</v>
      </c>
      <c r="O1264" s="747" t="s">
        <v>4843</v>
      </c>
      <c r="P1264" s="773">
        <v>21286</v>
      </c>
      <c r="Q1264" s="747" t="s">
        <v>16679</v>
      </c>
      <c r="R1264" s="747"/>
      <c r="S1264" s="747" t="s">
        <v>6214</v>
      </c>
      <c r="T1264" s="747" t="s">
        <v>4844</v>
      </c>
      <c r="U1264" s="696"/>
      <c r="V1264" s="696" t="s">
        <v>4669</v>
      </c>
      <c r="W1264" s="696"/>
      <c r="X1264" s="696"/>
      <c r="Y1264" s="696"/>
      <c r="Z1264" s="696"/>
      <c r="AA1264" s="696"/>
      <c r="AB1264" s="696"/>
      <c r="AC1264" s="696" t="s">
        <v>4783</v>
      </c>
      <c r="AD1264" s="697"/>
      <c r="AE1264" s="655"/>
    </row>
    <row r="1265" spans="1:31" ht="12" customHeight="1">
      <c r="A1265" s="937" t="s">
        <v>18219</v>
      </c>
      <c r="B1265" s="4" t="s">
        <v>4838</v>
      </c>
      <c r="C1265" s="1" t="s">
        <v>4845</v>
      </c>
      <c r="D1265" s="1">
        <f t="shared" si="19"/>
        <v>41</v>
      </c>
      <c r="E1265" s="2" t="s">
        <v>5</v>
      </c>
      <c r="F1265" s="1" t="s">
        <v>15273</v>
      </c>
      <c r="G1265" s="3" t="s">
        <v>4846</v>
      </c>
      <c r="J1265" s="4" t="s">
        <v>16120</v>
      </c>
      <c r="K1265" s="1" t="s">
        <v>30</v>
      </c>
      <c r="L1265" s="1" t="s">
        <v>25</v>
      </c>
      <c r="M1265" s="16">
        <v>2</v>
      </c>
      <c r="N1265" s="17">
        <v>2</v>
      </c>
      <c r="O1265" s="3" t="s">
        <v>4847</v>
      </c>
      <c r="P1265" s="20">
        <v>26083</v>
      </c>
      <c r="Q1265" s="3" t="s">
        <v>4848</v>
      </c>
      <c r="R1265" s="3" t="s">
        <v>4849</v>
      </c>
      <c r="S1265" s="3" t="s">
        <v>5457</v>
      </c>
      <c r="T1265" s="3" t="s">
        <v>4657</v>
      </c>
      <c r="AA1265" s="2" t="s">
        <v>4657</v>
      </c>
      <c r="AD1265" s="698"/>
      <c r="AE1265" s="655"/>
    </row>
    <row r="1266" spans="1:31" ht="12" customHeight="1" thickBot="1">
      <c r="A1266" s="938"/>
      <c r="B1266" s="700" t="s">
        <v>4839</v>
      </c>
      <c r="C1266" s="699" t="s">
        <v>16113</v>
      </c>
      <c r="D1266" s="699">
        <f t="shared" si="19"/>
        <v>70</v>
      </c>
      <c r="E1266" s="702" t="s">
        <v>5</v>
      </c>
      <c r="F1266" s="699"/>
      <c r="G1266" s="703"/>
      <c r="H1266" s="699"/>
      <c r="I1266" s="699"/>
      <c r="J1266" s="700" t="s">
        <v>16117</v>
      </c>
      <c r="K1266" s="699"/>
      <c r="L1266" s="699" t="s">
        <v>6</v>
      </c>
      <c r="M1266" s="705"/>
      <c r="N1266" s="706"/>
      <c r="O1266" s="703" t="s">
        <v>5479</v>
      </c>
      <c r="P1266" s="707">
        <v>15387</v>
      </c>
      <c r="Q1266" s="703" t="s">
        <v>5802</v>
      </c>
      <c r="R1266" s="703"/>
      <c r="S1266" s="703"/>
      <c r="T1266" s="703" t="s">
        <v>5464</v>
      </c>
      <c r="U1266" s="702"/>
      <c r="V1266" s="702" t="s">
        <v>5463</v>
      </c>
      <c r="W1266" s="702"/>
      <c r="X1266" s="702"/>
      <c r="Y1266" s="702"/>
      <c r="Z1266" s="702"/>
      <c r="AA1266" s="702"/>
      <c r="AB1266" s="702"/>
      <c r="AC1266" s="702"/>
      <c r="AD1266" s="708" t="s">
        <v>5465</v>
      </c>
      <c r="AE1266" s="655"/>
    </row>
    <row r="1267" spans="1:31" ht="12" customHeight="1">
      <c r="A1267" s="936" t="s">
        <v>18246</v>
      </c>
      <c r="B1267" s="688" t="s">
        <v>4850</v>
      </c>
      <c r="C1267" s="687" t="s">
        <v>4855</v>
      </c>
      <c r="D1267" s="687">
        <f t="shared" si="19"/>
        <v>72</v>
      </c>
      <c r="E1267" s="696" t="s">
        <v>5</v>
      </c>
      <c r="F1267" s="687" t="s">
        <v>15273</v>
      </c>
      <c r="G1267" s="747" t="s">
        <v>4856</v>
      </c>
      <c r="H1267" s="687"/>
      <c r="I1267" s="687"/>
      <c r="J1267" s="688" t="s">
        <v>16120</v>
      </c>
      <c r="K1267" s="687" t="s">
        <v>48</v>
      </c>
      <c r="L1267" s="687" t="s">
        <v>25</v>
      </c>
      <c r="M1267" s="748">
        <v>7</v>
      </c>
      <c r="N1267" s="749">
        <v>7</v>
      </c>
      <c r="O1267" s="747" t="s">
        <v>4689</v>
      </c>
      <c r="P1267" s="773">
        <v>14944</v>
      </c>
      <c r="Q1267" s="747" t="s">
        <v>4857</v>
      </c>
      <c r="R1267" s="747" t="s">
        <v>4858</v>
      </c>
      <c r="S1267" s="747" t="s">
        <v>5457</v>
      </c>
      <c r="T1267" s="747" t="s">
        <v>4791</v>
      </c>
      <c r="U1267" s="696" t="s">
        <v>47</v>
      </c>
      <c r="V1267" s="696"/>
      <c r="W1267" s="696"/>
      <c r="X1267" s="696"/>
      <c r="Y1267" s="696"/>
      <c r="Z1267" s="696"/>
      <c r="AA1267" s="696"/>
      <c r="AB1267" s="696"/>
      <c r="AC1267" s="696"/>
      <c r="AD1267" s="697"/>
      <c r="AE1267" s="655"/>
    </row>
    <row r="1268" spans="1:31" ht="12" customHeight="1">
      <c r="A1268" s="937" t="s">
        <v>18223</v>
      </c>
      <c r="B1268" s="4" t="s">
        <v>4851</v>
      </c>
      <c r="C1268" s="1" t="s">
        <v>4861</v>
      </c>
      <c r="D1268" s="1">
        <f t="shared" si="19"/>
        <v>36</v>
      </c>
      <c r="E1268" s="2" t="s">
        <v>5</v>
      </c>
      <c r="F1268" s="1" t="s">
        <v>15273</v>
      </c>
      <c r="J1268" s="4" t="s">
        <v>16116</v>
      </c>
      <c r="K1268" s="1" t="s">
        <v>4997</v>
      </c>
      <c r="L1268" s="1" t="s">
        <v>6</v>
      </c>
      <c r="O1268" s="3" t="s">
        <v>381</v>
      </c>
      <c r="P1268" s="21">
        <v>27844</v>
      </c>
      <c r="Q1268" s="3" t="s">
        <v>4862</v>
      </c>
      <c r="S1268" s="3" t="s">
        <v>5948</v>
      </c>
      <c r="AD1268" s="698"/>
      <c r="AE1268" s="655"/>
    </row>
    <row r="1269" spans="1:31" ht="12" customHeight="1">
      <c r="A1269" s="937"/>
      <c r="B1269" s="4" t="s">
        <v>4852</v>
      </c>
      <c r="C1269" s="1" t="s">
        <v>4859</v>
      </c>
      <c r="D1269" s="1">
        <f t="shared" si="19"/>
        <v>62</v>
      </c>
      <c r="E1269" s="2" t="s">
        <v>19</v>
      </c>
      <c r="J1269" s="4" t="s">
        <v>16117</v>
      </c>
      <c r="L1269" s="1" t="s">
        <v>6</v>
      </c>
      <c r="O1269" s="3" t="s">
        <v>4860</v>
      </c>
      <c r="P1269" s="20">
        <v>18271</v>
      </c>
      <c r="Q1269" s="3" t="s">
        <v>4696</v>
      </c>
      <c r="AD1269" s="698"/>
      <c r="AE1269" s="655"/>
    </row>
    <row r="1270" spans="1:31" ht="12" customHeight="1">
      <c r="A1270" s="937" t="s">
        <v>18220</v>
      </c>
      <c r="B1270" s="4" t="s">
        <v>4853</v>
      </c>
      <c r="C1270" s="1" t="s">
        <v>4863</v>
      </c>
      <c r="D1270" s="1">
        <f t="shared" si="19"/>
        <v>54</v>
      </c>
      <c r="E1270" s="2" t="s">
        <v>5</v>
      </c>
      <c r="J1270" s="4" t="s">
        <v>16119</v>
      </c>
      <c r="L1270" s="1" t="s">
        <v>6</v>
      </c>
      <c r="O1270" s="3" t="s">
        <v>31</v>
      </c>
      <c r="P1270" s="20">
        <v>21466</v>
      </c>
      <c r="Q1270" s="3" t="s">
        <v>4864</v>
      </c>
      <c r="S1270" s="3" t="s">
        <v>16115</v>
      </c>
      <c r="T1270" s="3" t="s">
        <v>4783</v>
      </c>
      <c r="AC1270" s="2" t="s">
        <v>4783</v>
      </c>
      <c r="AD1270" s="698"/>
      <c r="AE1270" s="655"/>
    </row>
    <row r="1271" spans="1:31" ht="12" customHeight="1" thickBot="1">
      <c r="A1271" s="938"/>
      <c r="B1271" s="700" t="s">
        <v>4854</v>
      </c>
      <c r="C1271" s="699" t="s">
        <v>4865</v>
      </c>
      <c r="D1271" s="699">
        <f t="shared" si="19"/>
        <v>30</v>
      </c>
      <c r="E1271" s="702" t="s">
        <v>5</v>
      </c>
      <c r="F1271" s="699"/>
      <c r="G1271" s="703"/>
      <c r="H1271" s="699"/>
      <c r="I1271" s="699"/>
      <c r="J1271" s="700" t="s">
        <v>16122</v>
      </c>
      <c r="K1271" s="699" t="s">
        <v>22</v>
      </c>
      <c r="L1271" s="699" t="s">
        <v>6</v>
      </c>
      <c r="M1271" s="705"/>
      <c r="N1271" s="706"/>
      <c r="O1271" s="703" t="s">
        <v>4866</v>
      </c>
      <c r="P1271" s="707">
        <v>30052</v>
      </c>
      <c r="Q1271" s="703" t="s">
        <v>1787</v>
      </c>
      <c r="R1271" s="703"/>
      <c r="S1271" s="703"/>
      <c r="T1271" s="703"/>
      <c r="U1271" s="702"/>
      <c r="V1271" s="702"/>
      <c r="W1271" s="702"/>
      <c r="X1271" s="702"/>
      <c r="Y1271" s="702"/>
      <c r="Z1271" s="702"/>
      <c r="AA1271" s="702"/>
      <c r="AB1271" s="702"/>
      <c r="AC1271" s="702"/>
      <c r="AD1271" s="708"/>
      <c r="AE1271" s="655"/>
    </row>
    <row r="1272" spans="1:31" ht="12" customHeight="1">
      <c r="A1272" s="936" t="s">
        <v>18245</v>
      </c>
      <c r="B1272" s="688" t="s">
        <v>4868</v>
      </c>
      <c r="C1272" s="687" t="s">
        <v>4871</v>
      </c>
      <c r="D1272" s="687">
        <f t="shared" si="19"/>
        <v>62</v>
      </c>
      <c r="E1272" s="696" t="s">
        <v>5</v>
      </c>
      <c r="F1272" s="689" t="s">
        <v>15273</v>
      </c>
      <c r="G1272" s="747" t="s">
        <v>4872</v>
      </c>
      <c r="H1272" s="687"/>
      <c r="I1272" s="687"/>
      <c r="J1272" s="692" t="s">
        <v>16126</v>
      </c>
      <c r="K1272" s="687" t="s">
        <v>45</v>
      </c>
      <c r="L1272" s="687" t="s">
        <v>25</v>
      </c>
      <c r="M1272" s="748">
        <v>1</v>
      </c>
      <c r="N1272" s="749">
        <v>1</v>
      </c>
      <c r="O1272" s="747" t="s">
        <v>7</v>
      </c>
      <c r="P1272" s="773">
        <v>18453</v>
      </c>
      <c r="Q1272" s="747" t="s">
        <v>4873</v>
      </c>
      <c r="R1272" s="747"/>
      <c r="S1272" s="747" t="s">
        <v>6214</v>
      </c>
      <c r="T1272" s="747" t="s">
        <v>4741</v>
      </c>
      <c r="U1272" s="696"/>
      <c r="V1272" s="696"/>
      <c r="W1272" s="696"/>
      <c r="X1272" s="696"/>
      <c r="Y1272" s="696"/>
      <c r="Z1272" s="696"/>
      <c r="AA1272" s="696"/>
      <c r="AB1272" s="696"/>
      <c r="AC1272" s="696"/>
      <c r="AD1272" s="697" t="s">
        <v>4741</v>
      </c>
      <c r="AE1272" s="655"/>
    </row>
    <row r="1273" spans="1:31" ht="12" customHeight="1">
      <c r="A1273" s="937" t="s">
        <v>18219</v>
      </c>
      <c r="B1273" s="4" t="s">
        <v>4869</v>
      </c>
      <c r="C1273" s="1" t="s">
        <v>4874</v>
      </c>
      <c r="D1273" s="1">
        <f t="shared" si="19"/>
        <v>54</v>
      </c>
      <c r="E1273" s="2" t="s">
        <v>5</v>
      </c>
      <c r="F1273" s="1" t="s">
        <v>15273</v>
      </c>
      <c r="G1273" s="3" t="s">
        <v>4867</v>
      </c>
      <c r="J1273" s="8" t="s">
        <v>16120</v>
      </c>
      <c r="K1273" s="1" t="s">
        <v>30</v>
      </c>
      <c r="L1273" s="1" t="s">
        <v>25</v>
      </c>
      <c r="M1273" s="16">
        <v>2</v>
      </c>
      <c r="N1273" s="17">
        <v>2</v>
      </c>
      <c r="O1273" s="3" t="s">
        <v>31</v>
      </c>
      <c r="P1273" s="20">
        <v>21457</v>
      </c>
      <c r="Q1273" s="3" t="s">
        <v>4875</v>
      </c>
      <c r="S1273" s="3" t="s">
        <v>5457</v>
      </c>
      <c r="T1273" s="3" t="s">
        <v>4657</v>
      </c>
      <c r="AA1273" s="2" t="s">
        <v>4657</v>
      </c>
      <c r="AD1273" s="698"/>
      <c r="AE1273" s="655"/>
    </row>
    <row r="1274" spans="1:31" ht="12" customHeight="1" thickBot="1">
      <c r="A1274" s="938"/>
      <c r="B1274" s="700" t="s">
        <v>4870</v>
      </c>
      <c r="C1274" s="699" t="s">
        <v>4876</v>
      </c>
      <c r="D1274" s="699">
        <f t="shared" si="19"/>
        <v>63</v>
      </c>
      <c r="E1274" s="702" t="s">
        <v>5</v>
      </c>
      <c r="F1274" s="699"/>
      <c r="G1274" s="703"/>
      <c r="H1274" s="699"/>
      <c r="I1274" s="699"/>
      <c r="J1274" s="700" t="s">
        <v>16117</v>
      </c>
      <c r="K1274" s="699"/>
      <c r="L1274" s="699" t="s">
        <v>6</v>
      </c>
      <c r="M1274" s="705"/>
      <c r="N1274" s="706"/>
      <c r="O1274" s="703" t="s">
        <v>4866</v>
      </c>
      <c r="P1274" s="723">
        <v>17925</v>
      </c>
      <c r="Q1274" s="703" t="s">
        <v>4877</v>
      </c>
      <c r="R1274" s="703"/>
      <c r="S1274" s="703"/>
      <c r="T1274" s="703"/>
      <c r="U1274" s="702"/>
      <c r="V1274" s="702"/>
      <c r="W1274" s="702"/>
      <c r="X1274" s="702"/>
      <c r="Y1274" s="702"/>
      <c r="Z1274" s="702"/>
      <c r="AA1274" s="702"/>
      <c r="AB1274" s="702"/>
      <c r="AC1274" s="702"/>
      <c r="AD1274" s="708"/>
      <c r="AE1274" s="655"/>
    </row>
    <row r="1275" spans="1:31" ht="12" customHeight="1">
      <c r="A1275" s="936" t="s">
        <v>18218</v>
      </c>
      <c r="B1275" s="688" t="s">
        <v>4878</v>
      </c>
      <c r="C1275" s="687" t="s">
        <v>4883</v>
      </c>
      <c r="D1275" s="687">
        <f t="shared" si="19"/>
        <v>67</v>
      </c>
      <c r="E1275" s="696" t="s">
        <v>5</v>
      </c>
      <c r="F1275" s="687" t="s">
        <v>15273</v>
      </c>
      <c r="G1275" s="747" t="s">
        <v>4884</v>
      </c>
      <c r="H1275" s="687"/>
      <c r="I1275" s="687"/>
      <c r="J1275" s="688" t="s">
        <v>16120</v>
      </c>
      <c r="K1275" s="687" t="s">
        <v>934</v>
      </c>
      <c r="L1275" s="687" t="s">
        <v>25</v>
      </c>
      <c r="M1275" s="748">
        <v>3</v>
      </c>
      <c r="N1275" s="749">
        <v>5</v>
      </c>
      <c r="O1275" s="747" t="s">
        <v>4885</v>
      </c>
      <c r="P1275" s="773">
        <v>16535</v>
      </c>
      <c r="Q1275" s="747" t="s">
        <v>4886</v>
      </c>
      <c r="R1275" s="747" t="s">
        <v>4887</v>
      </c>
      <c r="S1275" s="747" t="s">
        <v>5457</v>
      </c>
      <c r="T1275" s="747" t="s">
        <v>375</v>
      </c>
      <c r="U1275" s="696"/>
      <c r="V1275" s="696" t="s">
        <v>4669</v>
      </c>
      <c r="W1275" s="696"/>
      <c r="X1275" s="696" t="s">
        <v>4764</v>
      </c>
      <c r="Y1275" s="696"/>
      <c r="Z1275" s="696"/>
      <c r="AA1275" s="696"/>
      <c r="AB1275" s="696"/>
      <c r="AC1275" s="696"/>
      <c r="AD1275" s="697"/>
      <c r="AE1275" s="655"/>
    </row>
    <row r="1276" spans="1:31" ht="12" customHeight="1" thickBot="1">
      <c r="A1276" s="938" t="s">
        <v>18223</v>
      </c>
      <c r="B1276" s="700" t="s">
        <v>4879</v>
      </c>
      <c r="C1276" s="699" t="s">
        <v>4888</v>
      </c>
      <c r="D1276" s="699">
        <f t="shared" si="19"/>
        <v>67</v>
      </c>
      <c r="E1276" s="702" t="s">
        <v>5</v>
      </c>
      <c r="F1276" s="699"/>
      <c r="G1276" s="703"/>
      <c r="H1276" s="699"/>
      <c r="I1276" s="699"/>
      <c r="J1276" s="700" t="s">
        <v>16117</v>
      </c>
      <c r="K1276" s="699"/>
      <c r="L1276" s="699" t="s">
        <v>6</v>
      </c>
      <c r="M1276" s="705"/>
      <c r="N1276" s="706"/>
      <c r="O1276" s="703" t="s">
        <v>4312</v>
      </c>
      <c r="P1276" s="723">
        <v>16703</v>
      </c>
      <c r="Q1276" s="703" t="s">
        <v>16081</v>
      </c>
      <c r="R1276" s="703"/>
      <c r="S1276" s="703"/>
      <c r="T1276" s="703" t="s">
        <v>4669</v>
      </c>
      <c r="U1276" s="702"/>
      <c r="V1276" s="702" t="s">
        <v>4669</v>
      </c>
      <c r="W1276" s="702"/>
      <c r="X1276" s="702"/>
      <c r="Y1276" s="702"/>
      <c r="Z1276" s="702"/>
      <c r="AA1276" s="702"/>
      <c r="AB1276" s="702"/>
      <c r="AC1276" s="702"/>
      <c r="AD1276" s="708"/>
      <c r="AE1276" s="655"/>
    </row>
    <row r="1277" spans="1:31" ht="12" customHeight="1">
      <c r="A1277" s="936" t="s">
        <v>18220</v>
      </c>
      <c r="B1277" s="688" t="s">
        <v>4889</v>
      </c>
      <c r="C1277" s="687" t="s">
        <v>4892</v>
      </c>
      <c r="D1277" s="687">
        <f t="shared" si="19"/>
        <v>39</v>
      </c>
      <c r="E1277" s="696" t="s">
        <v>5</v>
      </c>
      <c r="F1277" s="687" t="s">
        <v>15273</v>
      </c>
      <c r="G1277" s="747"/>
      <c r="H1277" s="687"/>
      <c r="I1277" s="687"/>
      <c r="J1277" s="688" t="s">
        <v>16120</v>
      </c>
      <c r="K1277" s="687" t="s">
        <v>30</v>
      </c>
      <c r="L1277" s="687" t="s">
        <v>6</v>
      </c>
      <c r="M1277" s="748"/>
      <c r="N1277" s="749"/>
      <c r="O1277" s="747" t="s">
        <v>188</v>
      </c>
      <c r="P1277" s="773">
        <v>26674</v>
      </c>
      <c r="Q1277" s="747" t="s">
        <v>4893</v>
      </c>
      <c r="R1277" s="747"/>
      <c r="S1277" s="747" t="s">
        <v>5457</v>
      </c>
      <c r="T1277" s="747" t="s">
        <v>4657</v>
      </c>
      <c r="U1277" s="696"/>
      <c r="V1277" s="696"/>
      <c r="W1277" s="696"/>
      <c r="X1277" s="696"/>
      <c r="Y1277" s="696"/>
      <c r="Z1277" s="696"/>
      <c r="AA1277" s="696" t="s">
        <v>4657</v>
      </c>
      <c r="AB1277" s="696"/>
      <c r="AC1277" s="696"/>
      <c r="AD1277" s="697"/>
      <c r="AE1277" s="655"/>
    </row>
    <row r="1278" spans="1:31" ht="12" customHeight="1">
      <c r="A1278" s="937" t="s">
        <v>18223</v>
      </c>
      <c r="B1278" s="4" t="s">
        <v>4890</v>
      </c>
      <c r="C1278" s="1" t="s">
        <v>5783</v>
      </c>
      <c r="D1278" s="1">
        <f t="shared" si="19"/>
        <v>67</v>
      </c>
      <c r="E1278" s="2" t="s">
        <v>5</v>
      </c>
      <c r="F1278" s="1" t="s">
        <v>15273</v>
      </c>
      <c r="J1278" s="4" t="s">
        <v>16116</v>
      </c>
      <c r="K1278" s="1" t="s">
        <v>5779</v>
      </c>
      <c r="L1278" s="1" t="s">
        <v>6</v>
      </c>
      <c r="O1278" s="3" t="s">
        <v>31</v>
      </c>
      <c r="P1278" s="20">
        <v>16482</v>
      </c>
      <c r="Q1278" s="3" t="s">
        <v>16623</v>
      </c>
      <c r="S1278" s="3" t="s">
        <v>5948</v>
      </c>
      <c r="AD1278" s="698"/>
      <c r="AE1278" s="655"/>
    </row>
    <row r="1279" spans="1:31" ht="12" customHeight="1">
      <c r="A1279" s="937" t="s">
        <v>18223</v>
      </c>
      <c r="B1279" s="4" t="s">
        <v>4891</v>
      </c>
      <c r="C1279" s="1" t="s">
        <v>4894</v>
      </c>
      <c r="D1279" s="1">
        <f t="shared" si="19"/>
        <v>64</v>
      </c>
      <c r="E1279" s="2" t="s">
        <v>5</v>
      </c>
      <c r="F1279" s="1" t="s">
        <v>15273</v>
      </c>
      <c r="G1279" s="3" t="s">
        <v>4895</v>
      </c>
      <c r="J1279" s="4" t="s">
        <v>16117</v>
      </c>
      <c r="L1279" s="1" t="s">
        <v>25</v>
      </c>
      <c r="M1279" s="16">
        <v>4</v>
      </c>
      <c r="N1279" s="17">
        <v>4</v>
      </c>
      <c r="O1279" s="3" t="s">
        <v>1678</v>
      </c>
      <c r="P1279" s="20">
        <v>17519</v>
      </c>
      <c r="Q1279" s="3" t="s">
        <v>4896</v>
      </c>
      <c r="S1279" s="3" t="s">
        <v>16652</v>
      </c>
      <c r="T1279" s="3" t="s">
        <v>4741</v>
      </c>
      <c r="AD1279" s="698" t="s">
        <v>4741</v>
      </c>
      <c r="AE1279" s="655"/>
    </row>
    <row r="1280" spans="1:31" ht="12" customHeight="1" thickBot="1">
      <c r="A1280" s="938" t="s">
        <v>18246</v>
      </c>
      <c r="B1280" s="700" t="s">
        <v>4932</v>
      </c>
      <c r="C1280" s="699" t="s">
        <v>4897</v>
      </c>
      <c r="D1280" s="699">
        <f t="shared" si="19"/>
        <v>51</v>
      </c>
      <c r="E1280" s="702" t="s">
        <v>5</v>
      </c>
      <c r="F1280" s="699"/>
      <c r="G1280" s="703" t="s">
        <v>4898</v>
      </c>
      <c r="H1280" s="699"/>
      <c r="I1280" s="699"/>
      <c r="J1280" s="700" t="s">
        <v>16119</v>
      </c>
      <c r="K1280" s="699"/>
      <c r="L1280" s="699" t="s">
        <v>25</v>
      </c>
      <c r="M1280" s="705">
        <v>4</v>
      </c>
      <c r="N1280" s="706">
        <v>4</v>
      </c>
      <c r="O1280" s="703" t="s">
        <v>4899</v>
      </c>
      <c r="P1280" s="707">
        <v>22507</v>
      </c>
      <c r="Q1280" s="703" t="s">
        <v>4900</v>
      </c>
      <c r="R1280" s="703" t="s">
        <v>4901</v>
      </c>
      <c r="S1280" s="703" t="s">
        <v>16634</v>
      </c>
      <c r="T1280" s="703"/>
      <c r="U1280" s="702"/>
      <c r="V1280" s="702"/>
      <c r="W1280" s="702"/>
      <c r="X1280" s="702"/>
      <c r="Y1280" s="702"/>
      <c r="Z1280" s="702"/>
      <c r="AA1280" s="702"/>
      <c r="AB1280" s="702"/>
      <c r="AC1280" s="702"/>
      <c r="AD1280" s="708"/>
      <c r="AE1280" s="655"/>
    </row>
    <row r="1281" spans="1:31" ht="12" customHeight="1">
      <c r="A1281" s="936" t="s">
        <v>18245</v>
      </c>
      <c r="B1281" s="688" t="s">
        <v>4902</v>
      </c>
      <c r="C1281" s="687" t="s">
        <v>4905</v>
      </c>
      <c r="D1281" s="687">
        <f t="shared" si="19"/>
        <v>47</v>
      </c>
      <c r="E1281" s="696" t="s">
        <v>5</v>
      </c>
      <c r="F1281" s="687" t="s">
        <v>15273</v>
      </c>
      <c r="G1281" s="747"/>
      <c r="H1281" s="687"/>
      <c r="I1281" s="687"/>
      <c r="J1281" s="692" t="s">
        <v>16120</v>
      </c>
      <c r="K1281" s="687" t="s">
        <v>30</v>
      </c>
      <c r="L1281" s="687" t="s">
        <v>6</v>
      </c>
      <c r="M1281" s="748"/>
      <c r="N1281" s="749"/>
      <c r="O1281" s="747" t="s">
        <v>4673</v>
      </c>
      <c r="P1281" s="773">
        <v>23962</v>
      </c>
      <c r="Q1281" s="747" t="s">
        <v>4906</v>
      </c>
      <c r="R1281" s="747"/>
      <c r="S1281" s="747" t="s">
        <v>5889</v>
      </c>
      <c r="T1281" s="747" t="s">
        <v>4832</v>
      </c>
      <c r="U1281" s="696"/>
      <c r="V1281" s="696"/>
      <c r="W1281" s="696"/>
      <c r="X1281" s="696"/>
      <c r="Y1281" s="696"/>
      <c r="Z1281" s="696"/>
      <c r="AA1281" s="696"/>
      <c r="AB1281" s="696" t="s">
        <v>4832</v>
      </c>
      <c r="AC1281" s="696"/>
      <c r="AD1281" s="697"/>
      <c r="AE1281" s="655"/>
    </row>
    <row r="1282" spans="1:31" ht="12" customHeight="1">
      <c r="A1282" s="937" t="s">
        <v>18223</v>
      </c>
      <c r="B1282" s="4" t="s">
        <v>4903</v>
      </c>
      <c r="C1282" s="1" t="s">
        <v>5784</v>
      </c>
      <c r="D1282" s="1">
        <f t="shared" ref="D1282:D1295" si="20">DATEDIF(P1282,$P$1298,"Y")</f>
        <v>58</v>
      </c>
      <c r="E1282" s="2" t="s">
        <v>5</v>
      </c>
      <c r="F1282" s="1" t="s">
        <v>15273</v>
      </c>
      <c r="J1282" s="4" t="s">
        <v>16116</v>
      </c>
      <c r="K1282" s="1" t="s">
        <v>5779</v>
      </c>
      <c r="L1282" s="1" t="s">
        <v>6</v>
      </c>
      <c r="O1282" s="3" t="s">
        <v>5817</v>
      </c>
      <c r="P1282" s="20">
        <v>20063</v>
      </c>
      <c r="Q1282" s="3" t="s">
        <v>5818</v>
      </c>
      <c r="S1282" s="3" t="s">
        <v>5948</v>
      </c>
      <c r="AD1282" s="698"/>
      <c r="AE1282" s="655"/>
    </row>
    <row r="1283" spans="1:31" ht="12" customHeight="1">
      <c r="A1283" s="937" t="s">
        <v>18219</v>
      </c>
      <c r="B1283" s="4" t="s">
        <v>4904</v>
      </c>
      <c r="C1283" s="1" t="s">
        <v>4907</v>
      </c>
      <c r="D1283" s="1">
        <f t="shared" si="20"/>
        <v>67</v>
      </c>
      <c r="E1283" s="2" t="s">
        <v>5</v>
      </c>
      <c r="F1283" s="1" t="s">
        <v>15273</v>
      </c>
      <c r="G1283" s="3" t="s">
        <v>4908</v>
      </c>
      <c r="J1283" s="4" t="s">
        <v>16121</v>
      </c>
      <c r="L1283" s="1" t="s">
        <v>25</v>
      </c>
      <c r="M1283" s="16">
        <v>3</v>
      </c>
      <c r="N1283" s="17">
        <v>5</v>
      </c>
      <c r="O1283" s="3" t="s">
        <v>4660</v>
      </c>
      <c r="P1283" s="20">
        <v>16642</v>
      </c>
      <c r="Q1283" s="3" t="s">
        <v>4909</v>
      </c>
      <c r="R1283" s="3" t="s">
        <v>4910</v>
      </c>
      <c r="S1283" s="3" t="s">
        <v>16652</v>
      </c>
      <c r="T1283" s="3" t="s">
        <v>4911</v>
      </c>
      <c r="V1283" s="2" t="s">
        <v>4669</v>
      </c>
      <c r="X1283" s="2" t="s">
        <v>4764</v>
      </c>
      <c r="AB1283" s="2" t="s">
        <v>4832</v>
      </c>
      <c r="AD1283" s="698"/>
      <c r="AE1283" s="655"/>
    </row>
    <row r="1284" spans="1:31" ht="12" customHeight="1" thickBot="1">
      <c r="A1284" s="938"/>
      <c r="B1284" s="700" t="s">
        <v>16082</v>
      </c>
      <c r="C1284" s="699" t="s">
        <v>16083</v>
      </c>
      <c r="D1284" s="699">
        <f t="shared" si="20"/>
        <v>68</v>
      </c>
      <c r="E1284" s="702" t="s">
        <v>5</v>
      </c>
      <c r="F1284" s="699"/>
      <c r="G1284" s="703"/>
      <c r="H1284" s="699"/>
      <c r="I1284" s="699"/>
      <c r="J1284" s="700" t="s">
        <v>16129</v>
      </c>
      <c r="K1284" s="699"/>
      <c r="L1284" s="699" t="s">
        <v>6</v>
      </c>
      <c r="M1284" s="705"/>
      <c r="N1284" s="706"/>
      <c r="O1284" s="703" t="s">
        <v>4070</v>
      </c>
      <c r="P1284" s="707">
        <v>16194</v>
      </c>
      <c r="Q1284" s="703" t="s">
        <v>16084</v>
      </c>
      <c r="R1284" s="703"/>
      <c r="S1284" s="703"/>
      <c r="T1284" s="703"/>
      <c r="U1284" s="702"/>
      <c r="V1284" s="702"/>
      <c r="W1284" s="702"/>
      <c r="X1284" s="702"/>
      <c r="Y1284" s="702"/>
      <c r="Z1284" s="702"/>
      <c r="AA1284" s="702"/>
      <c r="AB1284" s="702"/>
      <c r="AC1284" s="702"/>
      <c r="AD1284" s="708"/>
      <c r="AE1284" s="655"/>
    </row>
    <row r="1285" spans="1:31" ht="12" customHeight="1">
      <c r="A1285" s="936" t="s">
        <v>18223</v>
      </c>
      <c r="B1285" s="688" t="s">
        <v>4912</v>
      </c>
      <c r="C1285" s="687" t="s">
        <v>4916</v>
      </c>
      <c r="D1285" s="687">
        <f t="shared" si="20"/>
        <v>56</v>
      </c>
      <c r="E1285" s="696" t="s">
        <v>5</v>
      </c>
      <c r="F1285" s="689" t="s">
        <v>15273</v>
      </c>
      <c r="G1285" s="747"/>
      <c r="H1285" s="687"/>
      <c r="I1285" s="687"/>
      <c r="J1285" s="692" t="s">
        <v>16127</v>
      </c>
      <c r="K1285" s="687" t="s">
        <v>44</v>
      </c>
      <c r="L1285" s="687" t="s">
        <v>6</v>
      </c>
      <c r="M1285" s="748"/>
      <c r="N1285" s="749"/>
      <c r="O1285" s="747" t="s">
        <v>5173</v>
      </c>
      <c r="P1285" s="773">
        <v>20642</v>
      </c>
      <c r="Q1285" s="747" t="s">
        <v>5840</v>
      </c>
      <c r="R1285" s="747"/>
      <c r="S1285" s="747" t="s">
        <v>6214</v>
      </c>
      <c r="T1285" s="747"/>
      <c r="U1285" s="696"/>
      <c r="V1285" s="696"/>
      <c r="W1285" s="696"/>
      <c r="X1285" s="696"/>
      <c r="Y1285" s="696"/>
      <c r="Z1285" s="696"/>
      <c r="AA1285" s="696"/>
      <c r="AB1285" s="696"/>
      <c r="AC1285" s="696"/>
      <c r="AD1285" s="697"/>
      <c r="AE1285" s="655"/>
    </row>
    <row r="1286" spans="1:31" ht="12" customHeight="1">
      <c r="A1286" s="937" t="s">
        <v>18220</v>
      </c>
      <c r="B1286" s="4" t="s">
        <v>4913</v>
      </c>
      <c r="C1286" s="1" t="s">
        <v>4917</v>
      </c>
      <c r="D1286" s="1">
        <f t="shared" si="20"/>
        <v>54</v>
      </c>
      <c r="E1286" s="2" t="s">
        <v>19</v>
      </c>
      <c r="F1286" s="1" t="s">
        <v>15273</v>
      </c>
      <c r="J1286" s="4" t="s">
        <v>16120</v>
      </c>
      <c r="K1286" s="1" t="s">
        <v>30</v>
      </c>
      <c r="L1286" s="1" t="s">
        <v>6</v>
      </c>
      <c r="O1286" s="3" t="s">
        <v>4918</v>
      </c>
      <c r="P1286" s="20">
        <v>21461</v>
      </c>
      <c r="Q1286" s="3" t="s">
        <v>4919</v>
      </c>
      <c r="S1286" s="3" t="s">
        <v>5889</v>
      </c>
      <c r="AD1286" s="698"/>
      <c r="AE1286" s="655"/>
    </row>
    <row r="1287" spans="1:31" ht="12" customHeight="1">
      <c r="A1287" s="937" t="s">
        <v>18246</v>
      </c>
      <c r="B1287" s="4" t="s">
        <v>4914</v>
      </c>
      <c r="C1287" s="1" t="s">
        <v>4920</v>
      </c>
      <c r="D1287" s="1">
        <f t="shared" si="20"/>
        <v>53</v>
      </c>
      <c r="E1287" s="2" t="s">
        <v>5</v>
      </c>
      <c r="F1287" s="1" t="s">
        <v>15273</v>
      </c>
      <c r="G1287" s="3" t="s">
        <v>4921</v>
      </c>
      <c r="J1287" s="4" t="s">
        <v>16125</v>
      </c>
      <c r="L1287" s="1" t="s">
        <v>25</v>
      </c>
      <c r="M1287" s="16">
        <v>1</v>
      </c>
      <c r="N1287" s="17">
        <v>1</v>
      </c>
      <c r="O1287" s="3" t="s">
        <v>4922</v>
      </c>
      <c r="P1287" s="20">
        <v>21836</v>
      </c>
      <c r="Q1287" s="3" t="s">
        <v>4923</v>
      </c>
      <c r="S1287" s="3" t="s">
        <v>16653</v>
      </c>
      <c r="T1287" s="3" t="s">
        <v>4924</v>
      </c>
      <c r="V1287" s="2" t="s">
        <v>4925</v>
      </c>
      <c r="Z1287" s="2" t="s">
        <v>4926</v>
      </c>
      <c r="AD1287" s="698"/>
      <c r="AE1287" s="655"/>
    </row>
    <row r="1288" spans="1:31" ht="12" customHeight="1">
      <c r="A1288" s="937" t="s">
        <v>18223</v>
      </c>
      <c r="B1288" s="4" t="s">
        <v>4915</v>
      </c>
      <c r="C1288" s="1" t="s">
        <v>5786</v>
      </c>
      <c r="D1288" s="1">
        <f t="shared" si="20"/>
        <v>45</v>
      </c>
      <c r="E1288" s="2" t="s">
        <v>5</v>
      </c>
      <c r="F1288" s="1" t="s">
        <v>15273</v>
      </c>
      <c r="J1288" s="4" t="s">
        <v>16116</v>
      </c>
      <c r="K1288" s="1" t="s">
        <v>5779</v>
      </c>
      <c r="L1288" s="1" t="s">
        <v>6</v>
      </c>
      <c r="O1288" s="3" t="s">
        <v>5819</v>
      </c>
      <c r="P1288" s="20">
        <v>24566</v>
      </c>
      <c r="Q1288" s="3" t="s">
        <v>16085</v>
      </c>
      <c r="S1288" s="3" t="s">
        <v>5948</v>
      </c>
      <c r="AD1288" s="698"/>
      <c r="AE1288" s="655"/>
    </row>
    <row r="1289" spans="1:31" ht="12" customHeight="1">
      <c r="A1289" s="937"/>
      <c r="B1289" s="4" t="s">
        <v>5171</v>
      </c>
      <c r="C1289" s="1" t="s">
        <v>5340</v>
      </c>
      <c r="D1289" s="1">
        <f t="shared" si="20"/>
        <v>65</v>
      </c>
      <c r="E1289" s="2" t="s">
        <v>5</v>
      </c>
      <c r="J1289" s="4" t="s">
        <v>16117</v>
      </c>
      <c r="L1289" s="1" t="s">
        <v>6</v>
      </c>
      <c r="O1289" s="3" t="s">
        <v>5819</v>
      </c>
      <c r="P1289" s="20">
        <v>17508</v>
      </c>
      <c r="Q1289" s="3" t="s">
        <v>5341</v>
      </c>
      <c r="AD1289" s="698"/>
      <c r="AE1289" s="655"/>
    </row>
    <row r="1290" spans="1:31" ht="12" customHeight="1" thickBot="1">
      <c r="A1290" s="938"/>
      <c r="B1290" s="700" t="s">
        <v>5785</v>
      </c>
      <c r="C1290" s="699" t="s">
        <v>5172</v>
      </c>
      <c r="D1290" s="699">
        <f t="shared" si="20"/>
        <v>48</v>
      </c>
      <c r="E1290" s="702" t="s">
        <v>5</v>
      </c>
      <c r="F1290" s="699"/>
      <c r="G1290" s="703"/>
      <c r="H1290" s="699"/>
      <c r="I1290" s="699"/>
      <c r="J1290" s="700" t="s">
        <v>16122</v>
      </c>
      <c r="K1290" s="699" t="s">
        <v>22</v>
      </c>
      <c r="L1290" s="699" t="s">
        <v>6</v>
      </c>
      <c r="M1290" s="705"/>
      <c r="N1290" s="706"/>
      <c r="O1290" s="703" t="s">
        <v>5173</v>
      </c>
      <c r="P1290" s="707">
        <v>23504</v>
      </c>
      <c r="Q1290" s="703" t="s">
        <v>5170</v>
      </c>
      <c r="R1290" s="703"/>
      <c r="S1290" s="703"/>
      <c r="T1290" s="703"/>
      <c r="U1290" s="702"/>
      <c r="V1290" s="702"/>
      <c r="W1290" s="702"/>
      <c r="X1290" s="702"/>
      <c r="Y1290" s="702"/>
      <c r="Z1290" s="702"/>
      <c r="AA1290" s="702"/>
      <c r="AB1290" s="702"/>
      <c r="AC1290" s="702"/>
      <c r="AD1290" s="708"/>
      <c r="AE1290" s="655"/>
    </row>
    <row r="1291" spans="1:31" ht="12" customHeight="1">
      <c r="A1291" s="936" t="s">
        <v>18223</v>
      </c>
      <c r="B1291" s="688" t="s">
        <v>4927</v>
      </c>
      <c r="C1291" s="687" t="s">
        <v>4931</v>
      </c>
      <c r="D1291" s="687">
        <f t="shared" si="20"/>
        <v>45</v>
      </c>
      <c r="E1291" s="696" t="s">
        <v>5</v>
      </c>
      <c r="F1291" s="689" t="s">
        <v>15273</v>
      </c>
      <c r="G1291" s="747"/>
      <c r="H1291" s="687"/>
      <c r="I1291" s="687"/>
      <c r="J1291" s="692" t="s">
        <v>16127</v>
      </c>
      <c r="K1291" s="687" t="s">
        <v>44</v>
      </c>
      <c r="L1291" s="687" t="s">
        <v>6</v>
      </c>
      <c r="M1291" s="748"/>
      <c r="N1291" s="749"/>
      <c r="O1291" s="747" t="s">
        <v>5841</v>
      </c>
      <c r="P1291" s="773">
        <v>24799</v>
      </c>
      <c r="Q1291" s="747" t="s">
        <v>5842</v>
      </c>
      <c r="R1291" s="747"/>
      <c r="S1291" s="747"/>
      <c r="T1291" s="747" t="s">
        <v>4925</v>
      </c>
      <c r="U1291" s="696"/>
      <c r="V1291" s="696" t="s">
        <v>4925</v>
      </c>
      <c r="W1291" s="696"/>
      <c r="X1291" s="696"/>
      <c r="Y1291" s="696"/>
      <c r="Z1291" s="696"/>
      <c r="AA1291" s="696"/>
      <c r="AB1291" s="696"/>
      <c r="AC1291" s="696"/>
      <c r="AD1291" s="697"/>
      <c r="AE1291" s="655"/>
    </row>
    <row r="1292" spans="1:31" ht="12" customHeight="1">
      <c r="A1292" s="937" t="s">
        <v>18219</v>
      </c>
      <c r="B1292" s="4" t="s">
        <v>4928</v>
      </c>
      <c r="C1292" s="1" t="s">
        <v>4934</v>
      </c>
      <c r="D1292" s="1">
        <f t="shared" si="20"/>
        <v>58</v>
      </c>
      <c r="E1292" s="2" t="s">
        <v>5</v>
      </c>
      <c r="F1292" s="1" t="s">
        <v>15273</v>
      </c>
      <c r="J1292" s="4" t="s">
        <v>16120</v>
      </c>
      <c r="K1292" s="1" t="s">
        <v>13</v>
      </c>
      <c r="L1292" s="1" t="s">
        <v>14</v>
      </c>
      <c r="M1292" s="16">
        <v>2</v>
      </c>
      <c r="N1292" s="17">
        <v>2</v>
      </c>
      <c r="O1292" s="3" t="s">
        <v>450</v>
      </c>
      <c r="P1292" s="20">
        <v>19943</v>
      </c>
      <c r="Q1292" s="3" t="s">
        <v>4938</v>
      </c>
      <c r="R1292" s="3" t="s">
        <v>4937</v>
      </c>
      <c r="S1292" s="3" t="s">
        <v>5457</v>
      </c>
      <c r="T1292" s="3" t="s">
        <v>4936</v>
      </c>
      <c r="V1292" s="2" t="s">
        <v>4925</v>
      </c>
      <c r="AA1292" s="2" t="s">
        <v>4935</v>
      </c>
      <c r="AD1292" s="698"/>
      <c r="AE1292" s="655"/>
    </row>
    <row r="1293" spans="1:31" ht="12" customHeight="1">
      <c r="A1293" s="937" t="s">
        <v>18223</v>
      </c>
      <c r="B1293" s="4" t="s">
        <v>4929</v>
      </c>
      <c r="C1293" s="1" t="s">
        <v>5445</v>
      </c>
      <c r="D1293" s="1">
        <f t="shared" si="20"/>
        <v>34</v>
      </c>
      <c r="E1293" s="2" t="s">
        <v>5</v>
      </c>
      <c r="F1293" s="1" t="s">
        <v>15273</v>
      </c>
      <c r="J1293" s="4" t="s">
        <v>16116</v>
      </c>
      <c r="K1293" s="1" t="s">
        <v>5298</v>
      </c>
      <c r="L1293" s="1" t="s">
        <v>6</v>
      </c>
      <c r="O1293" s="3" t="s">
        <v>245</v>
      </c>
      <c r="P1293" s="21">
        <v>28712</v>
      </c>
      <c r="Q1293" s="3" t="s">
        <v>16304</v>
      </c>
      <c r="S1293" s="3" t="s">
        <v>6155</v>
      </c>
      <c r="AD1293" s="698"/>
      <c r="AE1293" s="655"/>
    </row>
    <row r="1294" spans="1:31" ht="12" customHeight="1">
      <c r="A1294" s="937"/>
      <c r="B1294" s="4" t="s">
        <v>4930</v>
      </c>
      <c r="C1294" s="1" t="s">
        <v>4939</v>
      </c>
      <c r="D1294" s="1">
        <f t="shared" si="20"/>
        <v>56</v>
      </c>
      <c r="E1294" s="2" t="s">
        <v>5</v>
      </c>
      <c r="J1294" s="4" t="s">
        <v>16117</v>
      </c>
      <c r="L1294" s="1" t="s">
        <v>6</v>
      </c>
      <c r="O1294" s="3" t="s">
        <v>4940</v>
      </c>
      <c r="P1294" s="21">
        <v>20675</v>
      </c>
      <c r="Q1294" s="3" t="s">
        <v>4941</v>
      </c>
      <c r="AD1294" s="698"/>
      <c r="AE1294" s="655"/>
    </row>
    <row r="1295" spans="1:31" ht="12" customHeight="1" thickBot="1">
      <c r="A1295" s="938" t="s">
        <v>18245</v>
      </c>
      <c r="B1295" s="700" t="s">
        <v>5444</v>
      </c>
      <c r="C1295" s="699" t="s">
        <v>4942</v>
      </c>
      <c r="D1295" s="699">
        <f t="shared" si="20"/>
        <v>54</v>
      </c>
      <c r="E1295" s="702" t="s">
        <v>5</v>
      </c>
      <c r="F1295" s="699"/>
      <c r="G1295" s="703" t="s">
        <v>4943</v>
      </c>
      <c r="H1295" s="699"/>
      <c r="I1295" s="699"/>
      <c r="J1295" s="700" t="s">
        <v>16129</v>
      </c>
      <c r="K1295" s="699" t="s">
        <v>4944</v>
      </c>
      <c r="L1295" s="699" t="s">
        <v>25</v>
      </c>
      <c r="M1295" s="705">
        <v>1</v>
      </c>
      <c r="N1295" s="706">
        <v>1</v>
      </c>
      <c r="O1295" s="703" t="s">
        <v>4660</v>
      </c>
      <c r="P1295" s="707">
        <v>21482</v>
      </c>
      <c r="Q1295" s="703" t="s">
        <v>4945</v>
      </c>
      <c r="R1295" s="703"/>
      <c r="S1295" s="703" t="s">
        <v>16652</v>
      </c>
      <c r="T1295" s="703"/>
      <c r="U1295" s="702"/>
      <c r="V1295" s="702"/>
      <c r="W1295" s="702"/>
      <c r="X1295" s="702"/>
      <c r="Y1295" s="702"/>
      <c r="Z1295" s="702"/>
      <c r="AA1295" s="702"/>
      <c r="AB1295" s="702"/>
      <c r="AC1295" s="702"/>
      <c r="AD1295" s="708"/>
      <c r="AE1295" s="655"/>
    </row>
    <row r="1296" spans="1:31" ht="12" customHeight="1">
      <c r="A1296" s="685"/>
      <c r="B1296" s="656"/>
      <c r="C1296" s="685"/>
      <c r="D1296" s="685">
        <f>AVERAGE(D2:D1295)</f>
        <v>50.275888717156107</v>
      </c>
      <c r="E1296" s="939">
        <f>COUNTIF(E2:E1295,"女")</f>
        <v>193</v>
      </c>
      <c r="F1296" s="685"/>
      <c r="G1296" s="684"/>
      <c r="H1296" s="685"/>
      <c r="I1296" s="685"/>
      <c r="J1296" s="656"/>
      <c r="K1296" s="685"/>
      <c r="L1296" s="685"/>
      <c r="M1296" s="712"/>
      <c r="N1296" s="713"/>
      <c r="O1296" s="684"/>
      <c r="P1296" s="714"/>
      <c r="Q1296" s="684"/>
      <c r="R1296" s="684"/>
      <c r="S1296" s="684"/>
      <c r="T1296" s="684"/>
      <c r="U1296" s="657"/>
      <c r="V1296" s="657"/>
      <c r="W1296" s="657"/>
      <c r="X1296" s="657"/>
      <c r="Y1296" s="657"/>
      <c r="Z1296" s="657"/>
      <c r="AA1296" s="657"/>
      <c r="AB1296" s="657"/>
      <c r="AC1296" s="657"/>
      <c r="AD1296" s="657"/>
    </row>
    <row r="1298" spans="1:30" ht="12" customHeight="1">
      <c r="B1298" s="3"/>
      <c r="C1298" s="3"/>
      <c r="D1298" s="3"/>
      <c r="E1298" s="3"/>
      <c r="F1298" s="3"/>
      <c r="H1298" s="3"/>
      <c r="I1298" s="3"/>
      <c r="J1298" s="3"/>
      <c r="K1298" s="3"/>
      <c r="L1298" s="3"/>
      <c r="M1298" s="3"/>
      <c r="N1298" s="3"/>
      <c r="P1298" s="20">
        <v>41259</v>
      </c>
      <c r="S1298" s="3" t="s">
        <v>5270</v>
      </c>
      <c r="T1298" s="3">
        <f>COUNTIF(U2:U1295,"官")</f>
        <v>110</v>
      </c>
      <c r="U1298" s="3"/>
      <c r="V1298" s="3"/>
      <c r="W1298" s="3"/>
      <c r="X1298" s="3"/>
      <c r="Y1298" s="3"/>
      <c r="Z1298" s="3"/>
      <c r="AA1298" s="3"/>
      <c r="AB1298" s="3"/>
      <c r="AC1298" s="3"/>
      <c r="AD1298" s="3"/>
    </row>
    <row r="1299" spans="1:30" ht="12" customHeight="1">
      <c r="S1299" s="3" t="s">
        <v>5271</v>
      </c>
      <c r="T1299" s="3">
        <f>COUNTIF(V2:V1295,"議")</f>
        <v>336</v>
      </c>
    </row>
    <row r="1300" spans="1:30" ht="12" customHeight="1">
      <c r="S1300" s="3" t="s">
        <v>5272</v>
      </c>
      <c r="T1300" s="3">
        <f>COUNTIF(W2:W1295,"首")</f>
        <v>28</v>
      </c>
    </row>
    <row r="1301" spans="1:30" ht="12" customHeight="1">
      <c r="S1301" s="3" t="s">
        <v>5273</v>
      </c>
      <c r="T1301" s="3">
        <f>COUNTIF(X2:X1295,"鞍")</f>
        <v>29</v>
      </c>
    </row>
    <row r="1302" spans="1:30" ht="12" customHeight="1">
      <c r="S1302" s="3" t="s">
        <v>5274</v>
      </c>
      <c r="T1302" s="3">
        <f>COUNTIF(Y2:Y1295,"ジ")</f>
        <v>64</v>
      </c>
    </row>
    <row r="1303" spans="1:30" ht="12" customHeight="1">
      <c r="S1303" s="3" t="s">
        <v>5275</v>
      </c>
      <c r="T1303" s="3">
        <f>COUNTIF(Z2:Z1295,"タ")</f>
        <v>24</v>
      </c>
    </row>
    <row r="1304" spans="1:30" ht="12" customHeight="1">
      <c r="S1304" s="3" t="s">
        <v>5276</v>
      </c>
      <c r="T1304" s="3">
        <f>COUNTIF(AA2:AA1295,"二")</f>
        <v>154</v>
      </c>
    </row>
    <row r="1305" spans="1:30" ht="12" customHeight="1">
      <c r="S1305" s="3" t="s">
        <v>5277</v>
      </c>
      <c r="T1305" s="3">
        <f>COUNTIF(AB2:AB1295,"法")</f>
        <v>39</v>
      </c>
    </row>
    <row r="1306" spans="1:30" ht="12" customHeight="1">
      <c r="S1306" s="3" t="s">
        <v>5278</v>
      </c>
      <c r="T1306" s="3">
        <f>COUNTIF(AC2:AC1295,"松")</f>
        <v>53</v>
      </c>
    </row>
    <row r="1307" spans="1:30" ht="12" customHeight="1" thickBot="1">
      <c r="B1307" s="798"/>
      <c r="C1307" s="799"/>
      <c r="D1307" s="799"/>
      <c r="E1307" s="797"/>
      <c r="F1307" s="799"/>
      <c r="G1307" s="800"/>
      <c r="H1307" s="799"/>
      <c r="I1307" s="799"/>
      <c r="J1307" s="798"/>
      <c r="K1307" s="799"/>
      <c r="S1307" s="3" t="s">
        <v>5279</v>
      </c>
      <c r="T1307" s="3">
        <f>COUNTIF(AD2:AD1295,"労")</f>
        <v>75</v>
      </c>
    </row>
    <row r="1308" spans="1:30" ht="15" customHeight="1" thickBot="1">
      <c r="A1308" s="884"/>
      <c r="B1308" s="1355" t="s">
        <v>18247</v>
      </c>
      <c r="C1308" s="1356"/>
      <c r="D1308" s="1356"/>
      <c r="E1308" s="1356"/>
      <c r="F1308" s="1356"/>
      <c r="G1308" s="1356"/>
      <c r="H1308" s="1356"/>
      <c r="I1308" s="1356"/>
      <c r="J1308" s="1356"/>
      <c r="K1308" s="1357"/>
      <c r="L1308" s="885"/>
    </row>
    <row r="1309" spans="1:30" ht="12" customHeight="1" thickBot="1">
      <c r="A1309" s="884"/>
      <c r="B1309" s="892" t="s">
        <v>18214</v>
      </c>
      <c r="C1309" s="888" t="s">
        <v>18216</v>
      </c>
      <c r="D1309" s="1248" t="s">
        <v>18217</v>
      </c>
      <c r="E1309" s="1249"/>
      <c r="F1309" s="1249"/>
      <c r="G1309" s="893" t="s">
        <v>18238</v>
      </c>
      <c r="H1309" s="1249" t="s">
        <v>18239</v>
      </c>
      <c r="I1309" s="1249"/>
      <c r="J1309" s="1322"/>
      <c r="K1309" s="887" t="s">
        <v>18242</v>
      </c>
      <c r="L1309" s="885"/>
    </row>
    <row r="1310" spans="1:30" ht="12" customHeight="1">
      <c r="A1310" s="884"/>
      <c r="B1310" s="1250" t="s">
        <v>18215</v>
      </c>
      <c r="C1310" s="894" t="s">
        <v>18218</v>
      </c>
      <c r="D1310" s="1269">
        <f>SUMPRODUCT(($A$2:$A$1295="○")*($J$2:$J$1295="０１民主党"))</f>
        <v>0</v>
      </c>
      <c r="E1310" s="1270"/>
      <c r="F1310" s="1270"/>
      <c r="G1310" s="1297">
        <f>SUM(D1310:F1312)</f>
        <v>39</v>
      </c>
      <c r="H1310" s="1323" t="s">
        <v>18241</v>
      </c>
      <c r="I1310" s="1323"/>
      <c r="J1310" s="1219"/>
      <c r="K1310" s="1358">
        <f>SUM(D1310:F1316)</f>
        <v>264</v>
      </c>
      <c r="L1310" s="885"/>
    </row>
    <row r="1311" spans="1:30" ht="12" customHeight="1">
      <c r="A1311" s="884"/>
      <c r="B1311" s="1251"/>
      <c r="C1311" s="890" t="s">
        <v>18219</v>
      </c>
      <c r="D1311" s="1265">
        <f>SUMPRODUCT(($A$2:$A$1295="△")*($J$2:$J$1295="０１民主党"))</f>
        <v>14</v>
      </c>
      <c r="E1311" s="1266"/>
      <c r="F1311" s="1266"/>
      <c r="G1311" s="1298"/>
      <c r="H1311" s="1324">
        <f>ROUNDUP(D1313/3,0)</f>
        <v>14</v>
      </c>
      <c r="I1311" s="1324"/>
      <c r="J1311" s="1325"/>
      <c r="K1311" s="1353"/>
      <c r="L1311" s="885"/>
    </row>
    <row r="1312" spans="1:30" ht="12" customHeight="1">
      <c r="A1312" s="884"/>
      <c r="B1312" s="1251"/>
      <c r="C1312" s="890" t="s">
        <v>18220</v>
      </c>
      <c r="D1312" s="1265">
        <f>SUMPRODUCT(($A$2:$A$1295="☆")*($J$2:$J$1295="０１民主党"))</f>
        <v>25</v>
      </c>
      <c r="E1312" s="1266"/>
      <c r="F1312" s="1266"/>
      <c r="G1312" s="1299"/>
      <c r="H1312" s="1326"/>
      <c r="I1312" s="1326"/>
      <c r="J1312" s="1327"/>
      <c r="K1312" s="1353"/>
      <c r="L1312" s="885"/>
    </row>
    <row r="1313" spans="1:12" ht="12" customHeight="1">
      <c r="A1313" s="884"/>
      <c r="B1313" s="1251"/>
      <c r="C1313" s="890" t="s">
        <v>18221</v>
      </c>
      <c r="D1313" s="1265">
        <f>SUMPRODUCT(($A$2:$A$1295="★")*($J$2:$J$1295="０１民主党"))</f>
        <v>42</v>
      </c>
      <c r="E1313" s="1266"/>
      <c r="F1313" s="1266"/>
      <c r="G1313" s="1300">
        <f>SUM(D1313:F1316)</f>
        <v>225</v>
      </c>
      <c r="H1313" s="1324">
        <f>ROUNDUP(D1312/3,0)</f>
        <v>9</v>
      </c>
      <c r="I1313" s="1324"/>
      <c r="J1313" s="1325"/>
      <c r="K1313" s="1353"/>
      <c r="L1313" s="885"/>
    </row>
    <row r="1314" spans="1:12" ht="12" customHeight="1">
      <c r="A1314" s="884"/>
      <c r="B1314" s="1251"/>
      <c r="C1314" s="890" t="s">
        <v>18222</v>
      </c>
      <c r="D1314" s="1265">
        <f>SUMPRODUCT(($A$2:$A$1295="▲")*($J$2:$J$1295="０１民主党"))</f>
        <v>135</v>
      </c>
      <c r="E1314" s="1266"/>
      <c r="F1314" s="1266"/>
      <c r="G1314" s="1301"/>
      <c r="H1314" s="1326"/>
      <c r="I1314" s="1326"/>
      <c r="J1314" s="1327"/>
      <c r="K1314" s="1353"/>
      <c r="L1314" s="885"/>
    </row>
    <row r="1315" spans="1:12" ht="12" customHeight="1">
      <c r="A1315" s="884"/>
      <c r="B1315" s="1251"/>
      <c r="C1315" s="890" t="s">
        <v>18223</v>
      </c>
      <c r="D1315" s="1265">
        <f>SUMPRODUCT(($A$2:$A$1295="×")*($J$2:$J$1295="０１民主党"))</f>
        <v>48</v>
      </c>
      <c r="E1315" s="1266"/>
      <c r="F1315" s="1266"/>
      <c r="G1315" s="1301"/>
      <c r="H1315" s="1328" t="s">
        <v>18240</v>
      </c>
      <c r="I1315" s="1328"/>
      <c r="J1315" s="1329"/>
      <c r="K1315" s="1353"/>
      <c r="L1315" s="885"/>
    </row>
    <row r="1316" spans="1:12" ht="12" customHeight="1" thickBot="1">
      <c r="A1316" s="884"/>
      <c r="B1316" s="1252"/>
      <c r="C1316" s="891" t="s">
        <v>18224</v>
      </c>
      <c r="D1316" s="1267">
        <f>SUMPRODUCT(($A$2:$A$1295="")*($J$2:$J$1295="０１民主党"))</f>
        <v>0</v>
      </c>
      <c r="E1316" s="1268"/>
      <c r="F1316" s="1268"/>
      <c r="G1316" s="1302"/>
      <c r="H1316" s="1351"/>
      <c r="I1316" s="1351"/>
      <c r="J1316" s="1352"/>
      <c r="K1316" s="1354"/>
      <c r="L1316" s="885"/>
    </row>
    <row r="1317" spans="1:12" ht="12" customHeight="1">
      <c r="A1317" s="884"/>
      <c r="B1317" s="1253" t="s">
        <v>18225</v>
      </c>
      <c r="C1317" s="894" t="s">
        <v>18218</v>
      </c>
      <c r="D1317" s="1269">
        <f>SUMPRODUCT(($A$2:$A$1295="○")*($J$2:$J$1295="０２自民党"))</f>
        <v>33</v>
      </c>
      <c r="E1317" s="1270"/>
      <c r="F1317" s="1270"/>
      <c r="G1317" s="1303">
        <f t="shared" ref="G1317" si="21">SUM(D1317:F1319)</f>
        <v>226</v>
      </c>
      <c r="H1317" s="1323" t="s">
        <v>18241</v>
      </c>
      <c r="I1317" s="1323"/>
      <c r="J1317" s="1219"/>
      <c r="K1317" s="1358">
        <f t="shared" ref="K1317" si="22">SUM(D1317:F1323)</f>
        <v>288</v>
      </c>
      <c r="L1317" s="885"/>
    </row>
    <row r="1318" spans="1:12" ht="12" customHeight="1">
      <c r="A1318" s="884"/>
      <c r="B1318" s="1254"/>
      <c r="C1318" s="890" t="s">
        <v>18219</v>
      </c>
      <c r="D1318" s="1265">
        <f>SUMPRODUCT(($A$2:$A$1295="△")*($J$2:$J$1295="０２自民党"))</f>
        <v>142</v>
      </c>
      <c r="E1318" s="1266"/>
      <c r="F1318" s="1266"/>
      <c r="G1318" s="1304"/>
      <c r="H1318" s="1324">
        <f t="shared" ref="H1318" si="23">ROUNDUP(D1320/3,0)</f>
        <v>12</v>
      </c>
      <c r="I1318" s="1324"/>
      <c r="J1318" s="1325"/>
      <c r="K1318" s="1353"/>
      <c r="L1318" s="885"/>
    </row>
    <row r="1319" spans="1:12" ht="12" customHeight="1">
      <c r="A1319" s="884"/>
      <c r="B1319" s="1254"/>
      <c r="C1319" s="890" t="s">
        <v>18220</v>
      </c>
      <c r="D1319" s="1265">
        <f>SUMPRODUCT(($A$2:$A$1295="☆")*($J$2:$J$1295="０２自民党"))</f>
        <v>51</v>
      </c>
      <c r="E1319" s="1266"/>
      <c r="F1319" s="1266"/>
      <c r="G1319" s="1305"/>
      <c r="H1319" s="1326"/>
      <c r="I1319" s="1326"/>
      <c r="J1319" s="1327"/>
      <c r="K1319" s="1353"/>
      <c r="L1319" s="885"/>
    </row>
    <row r="1320" spans="1:12" ht="12" customHeight="1">
      <c r="A1320" s="884"/>
      <c r="B1320" s="1254"/>
      <c r="C1320" s="890" t="s">
        <v>18221</v>
      </c>
      <c r="D1320" s="1265">
        <f>SUMPRODUCT(($A$2:$A$1295="★")*($J$2:$J$1295="０２自民党"))</f>
        <v>34</v>
      </c>
      <c r="E1320" s="1266"/>
      <c r="F1320" s="1266"/>
      <c r="G1320" s="1300">
        <f t="shared" ref="G1320" si="24">SUM(D1320:F1323)</f>
        <v>62</v>
      </c>
      <c r="H1320" s="1324">
        <f t="shared" ref="H1320" si="25">ROUNDUP(D1319/3,0)</f>
        <v>17</v>
      </c>
      <c r="I1320" s="1324"/>
      <c r="J1320" s="1325"/>
      <c r="K1320" s="1353"/>
      <c r="L1320" s="885"/>
    </row>
    <row r="1321" spans="1:12" ht="12" customHeight="1">
      <c r="A1321" s="884"/>
      <c r="B1321" s="1254"/>
      <c r="C1321" s="890" t="s">
        <v>18222</v>
      </c>
      <c r="D1321" s="1265">
        <f>SUMPRODUCT(($A$2:$A$1295="▲")*($J$2:$J$1295="０２自民党"))</f>
        <v>28</v>
      </c>
      <c r="E1321" s="1266"/>
      <c r="F1321" s="1266"/>
      <c r="G1321" s="1301"/>
      <c r="H1321" s="1326"/>
      <c r="I1321" s="1326"/>
      <c r="J1321" s="1327"/>
      <c r="K1321" s="1353"/>
      <c r="L1321" s="885"/>
    </row>
    <row r="1322" spans="1:12" ht="12" customHeight="1">
      <c r="A1322" s="884"/>
      <c r="B1322" s="1254"/>
      <c r="C1322" s="890" t="s">
        <v>18223</v>
      </c>
      <c r="D1322" s="1265">
        <f>SUMPRODUCT(($A$2:$A$1295="×")*($J$2:$J$1295="０２自民党"))</f>
        <v>0</v>
      </c>
      <c r="E1322" s="1266"/>
      <c r="F1322" s="1266"/>
      <c r="G1322" s="1301"/>
      <c r="H1322" s="1328" t="s">
        <v>18240</v>
      </c>
      <c r="I1322" s="1328"/>
      <c r="J1322" s="1329"/>
      <c r="K1322" s="1353"/>
      <c r="L1322" s="885"/>
    </row>
    <row r="1323" spans="1:12" ht="12" customHeight="1" thickBot="1">
      <c r="A1323" s="884"/>
      <c r="B1323" s="1255"/>
      <c r="C1323" s="891" t="s">
        <v>18224</v>
      </c>
      <c r="D1323" s="1267">
        <f>SUMPRODUCT(($A$2:$A$1295="")*($J$2:$J$1295="０２自民党"))</f>
        <v>0</v>
      </c>
      <c r="E1323" s="1268"/>
      <c r="F1323" s="1268"/>
      <c r="G1323" s="1302"/>
      <c r="H1323" s="1351"/>
      <c r="I1323" s="1351"/>
      <c r="J1323" s="1352"/>
      <c r="K1323" s="1354"/>
      <c r="L1323" s="885"/>
    </row>
    <row r="1324" spans="1:12" ht="12" customHeight="1">
      <c r="A1324" s="884"/>
      <c r="B1324" s="1256" t="s">
        <v>18226</v>
      </c>
      <c r="C1324" s="894" t="s">
        <v>18218</v>
      </c>
      <c r="D1324" s="1269">
        <f>SUMPRODUCT(($A$2:$A$1295="○")*($J$2:$J$1295="０３未来"))</f>
        <v>0</v>
      </c>
      <c r="E1324" s="1270"/>
      <c r="F1324" s="1270"/>
      <c r="G1324" s="1306">
        <f t="shared" ref="G1324" si="26">SUM(D1324:F1326)</f>
        <v>3</v>
      </c>
      <c r="H1324" s="1323" t="s">
        <v>18241</v>
      </c>
      <c r="I1324" s="1323"/>
      <c r="J1324" s="1219"/>
      <c r="K1324" s="1358">
        <f t="shared" ref="K1324" si="27">SUM(D1324:F1330)</f>
        <v>111</v>
      </c>
      <c r="L1324" s="885"/>
    </row>
    <row r="1325" spans="1:12" ht="12" customHeight="1">
      <c r="A1325" s="884"/>
      <c r="B1325" s="1257"/>
      <c r="C1325" s="890" t="s">
        <v>18219</v>
      </c>
      <c r="D1325" s="1265">
        <f>SUMPRODUCT(($A$2:$A$1295="△")*($J$2:$J$1295="０３未来"))</f>
        <v>1</v>
      </c>
      <c r="E1325" s="1266"/>
      <c r="F1325" s="1266"/>
      <c r="G1325" s="1307"/>
      <c r="H1325" s="1324">
        <f t="shared" ref="H1325" si="28">ROUNDUP(D1327/3,0)</f>
        <v>1</v>
      </c>
      <c r="I1325" s="1324"/>
      <c r="J1325" s="1325"/>
      <c r="K1325" s="1353"/>
      <c r="L1325" s="885"/>
    </row>
    <row r="1326" spans="1:12" ht="12" customHeight="1">
      <c r="A1326" s="884"/>
      <c r="B1326" s="1257"/>
      <c r="C1326" s="890" t="s">
        <v>18220</v>
      </c>
      <c r="D1326" s="1265">
        <f>SUMPRODUCT(($A$2:$A$1295="☆")*($J$2:$J$1295="０３未来"))</f>
        <v>2</v>
      </c>
      <c r="E1326" s="1266"/>
      <c r="F1326" s="1266"/>
      <c r="G1326" s="1308"/>
      <c r="H1326" s="1326"/>
      <c r="I1326" s="1326"/>
      <c r="J1326" s="1327"/>
      <c r="K1326" s="1353"/>
      <c r="L1326" s="885"/>
    </row>
    <row r="1327" spans="1:12" ht="12" customHeight="1">
      <c r="A1327" s="884"/>
      <c r="B1327" s="1257"/>
      <c r="C1327" s="890" t="s">
        <v>18221</v>
      </c>
      <c r="D1327" s="1265">
        <f>SUMPRODUCT(($A$2:$A$1295="★")*($J$2:$J$1295="０３未来"))</f>
        <v>3</v>
      </c>
      <c r="E1327" s="1266"/>
      <c r="F1327" s="1266"/>
      <c r="G1327" s="1300">
        <f t="shared" ref="G1327" si="29">SUM(D1327:F1330)</f>
        <v>108</v>
      </c>
      <c r="H1327" s="1324">
        <f t="shared" ref="H1327" si="30">ROUNDUP(D1326/3,0)</f>
        <v>1</v>
      </c>
      <c r="I1327" s="1324"/>
      <c r="J1327" s="1325"/>
      <c r="K1327" s="1353"/>
      <c r="L1327" s="885"/>
    </row>
    <row r="1328" spans="1:12" ht="12" customHeight="1">
      <c r="A1328" s="884"/>
      <c r="B1328" s="1257"/>
      <c r="C1328" s="890" t="s">
        <v>18222</v>
      </c>
      <c r="D1328" s="1265">
        <f>SUMPRODUCT(($A$2:$A$1295="▲")*($J$2:$J$1295="０３未来"))</f>
        <v>33</v>
      </c>
      <c r="E1328" s="1266"/>
      <c r="F1328" s="1266"/>
      <c r="G1328" s="1301"/>
      <c r="H1328" s="1326"/>
      <c r="I1328" s="1326"/>
      <c r="J1328" s="1327"/>
      <c r="K1328" s="1353"/>
      <c r="L1328" s="885"/>
    </row>
    <row r="1329" spans="1:12" ht="12" customHeight="1">
      <c r="A1329" s="884"/>
      <c r="B1329" s="1257"/>
      <c r="C1329" s="890" t="s">
        <v>18223</v>
      </c>
      <c r="D1329" s="1265">
        <f>SUMPRODUCT(($A$2:$A$1295="×")*($J$2:$J$1295="０３未来"))</f>
        <v>46</v>
      </c>
      <c r="E1329" s="1266"/>
      <c r="F1329" s="1266"/>
      <c r="G1329" s="1301"/>
      <c r="H1329" s="1328" t="s">
        <v>18240</v>
      </c>
      <c r="I1329" s="1328"/>
      <c r="J1329" s="1329"/>
      <c r="K1329" s="1353"/>
      <c r="L1329" s="885"/>
    </row>
    <row r="1330" spans="1:12" ht="12" customHeight="1" thickBot="1">
      <c r="A1330" s="884"/>
      <c r="B1330" s="1258"/>
      <c r="C1330" s="891" t="s">
        <v>18224</v>
      </c>
      <c r="D1330" s="1267">
        <f>SUMPRODUCT(($A$2:$A$1295="")*($J$2:$J$1295="０３未来"))</f>
        <v>26</v>
      </c>
      <c r="E1330" s="1268"/>
      <c r="F1330" s="1268"/>
      <c r="G1330" s="1302"/>
      <c r="H1330" s="1351"/>
      <c r="I1330" s="1351"/>
      <c r="J1330" s="1352"/>
      <c r="K1330" s="1354"/>
      <c r="L1330" s="885"/>
    </row>
    <row r="1331" spans="1:12" ht="12" customHeight="1">
      <c r="A1331" s="884"/>
      <c r="B1331" s="1259" t="s">
        <v>18227</v>
      </c>
      <c r="C1331" s="894" t="s">
        <v>18218</v>
      </c>
      <c r="D1331" s="1269">
        <f>SUMPRODUCT(($A$2:$A$1295="○")*($J$2:$J$1295="０４公明党"))</f>
        <v>0</v>
      </c>
      <c r="E1331" s="1270"/>
      <c r="F1331" s="1270"/>
      <c r="G1331" s="1348">
        <f t="shared" ref="G1331" si="31">SUM(D1331:F1333)</f>
        <v>9</v>
      </c>
      <c r="H1331" s="1323" t="s">
        <v>18241</v>
      </c>
      <c r="I1331" s="1323"/>
      <c r="J1331" s="1219"/>
      <c r="K1331" s="1358">
        <f t="shared" ref="K1331" si="32">SUM(D1331:F1337)</f>
        <v>9</v>
      </c>
      <c r="L1331" s="885"/>
    </row>
    <row r="1332" spans="1:12" ht="12" customHeight="1">
      <c r="A1332" s="884"/>
      <c r="B1332" s="1260"/>
      <c r="C1332" s="890" t="s">
        <v>18219</v>
      </c>
      <c r="D1332" s="1265">
        <f>SUMPRODUCT(($A$2:$A$1295="△")*($J$2:$J$1295="０４公明党"))</f>
        <v>7</v>
      </c>
      <c r="E1332" s="1266"/>
      <c r="F1332" s="1266"/>
      <c r="G1332" s="1349"/>
      <c r="H1332" s="1324">
        <f t="shared" ref="H1332" si="33">ROUNDUP(D1334/3,0)</f>
        <v>0</v>
      </c>
      <c r="I1332" s="1324"/>
      <c r="J1332" s="1325"/>
      <c r="K1332" s="1353"/>
      <c r="L1332" s="885"/>
    </row>
    <row r="1333" spans="1:12" ht="12" customHeight="1">
      <c r="A1333" s="884"/>
      <c r="B1333" s="1260"/>
      <c r="C1333" s="890" t="s">
        <v>18220</v>
      </c>
      <c r="D1333" s="1265">
        <f>SUMPRODUCT(($A$2:$A$1295="☆")*($J$2:$J$1295="０４公明党"))</f>
        <v>2</v>
      </c>
      <c r="E1333" s="1266"/>
      <c r="F1333" s="1266"/>
      <c r="G1333" s="1350"/>
      <c r="H1333" s="1326"/>
      <c r="I1333" s="1326"/>
      <c r="J1333" s="1327"/>
      <c r="K1333" s="1353"/>
      <c r="L1333" s="885"/>
    </row>
    <row r="1334" spans="1:12" ht="12" customHeight="1">
      <c r="A1334" s="884"/>
      <c r="B1334" s="1260"/>
      <c r="C1334" s="890" t="s">
        <v>18221</v>
      </c>
      <c r="D1334" s="1265">
        <f>SUMPRODUCT(($A$2:$A$1295="★")*($J$2:$J$1295="０４公明党"))</f>
        <v>0</v>
      </c>
      <c r="E1334" s="1266"/>
      <c r="F1334" s="1266"/>
      <c r="G1334" s="1300">
        <f t="shared" ref="G1334" si="34">SUM(D1334:F1337)</f>
        <v>0</v>
      </c>
      <c r="H1334" s="1324">
        <f t="shared" ref="H1334" si="35">ROUNDUP(D1333/3,0)</f>
        <v>1</v>
      </c>
      <c r="I1334" s="1324"/>
      <c r="J1334" s="1325"/>
      <c r="K1334" s="1353"/>
      <c r="L1334" s="885"/>
    </row>
    <row r="1335" spans="1:12" ht="12" customHeight="1">
      <c r="A1335" s="884"/>
      <c r="B1335" s="1260"/>
      <c r="C1335" s="890" t="s">
        <v>18222</v>
      </c>
      <c r="D1335" s="1265">
        <f>SUMPRODUCT(($A$2:$A$1295="▲")*($J$2:$J$1295="０４公明党"))</f>
        <v>0</v>
      </c>
      <c r="E1335" s="1266"/>
      <c r="F1335" s="1266"/>
      <c r="G1335" s="1301"/>
      <c r="H1335" s="1326"/>
      <c r="I1335" s="1326"/>
      <c r="J1335" s="1327"/>
      <c r="K1335" s="1353"/>
      <c r="L1335" s="885"/>
    </row>
    <row r="1336" spans="1:12" ht="12" customHeight="1">
      <c r="A1336" s="884"/>
      <c r="B1336" s="1260"/>
      <c r="C1336" s="890" t="s">
        <v>18223</v>
      </c>
      <c r="D1336" s="1265">
        <f>SUMPRODUCT(($A$2:$A$1295="×")*($J$2:$J$1295="０４公明党"))</f>
        <v>0</v>
      </c>
      <c r="E1336" s="1266"/>
      <c r="F1336" s="1266"/>
      <c r="G1336" s="1301"/>
      <c r="H1336" s="1328" t="s">
        <v>18240</v>
      </c>
      <c r="I1336" s="1328"/>
      <c r="J1336" s="1329"/>
      <c r="K1336" s="1353"/>
      <c r="L1336" s="885"/>
    </row>
    <row r="1337" spans="1:12" ht="12" customHeight="1" thickBot="1">
      <c r="A1337" s="884"/>
      <c r="B1337" s="1261"/>
      <c r="C1337" s="891" t="s">
        <v>18224</v>
      </c>
      <c r="D1337" s="1267">
        <f>SUMPRODUCT(($A$2:$A$1295="")*($J$2:$J$1295="０４公明党"))</f>
        <v>0</v>
      </c>
      <c r="E1337" s="1268"/>
      <c r="F1337" s="1268"/>
      <c r="G1337" s="1302"/>
      <c r="H1337" s="1351"/>
      <c r="I1337" s="1351"/>
      <c r="J1337" s="1352"/>
      <c r="K1337" s="1354"/>
      <c r="L1337" s="885"/>
    </row>
    <row r="1338" spans="1:12" ht="12" customHeight="1">
      <c r="A1338" s="884"/>
      <c r="B1338" s="1262" t="s">
        <v>18228</v>
      </c>
      <c r="C1338" s="894" t="s">
        <v>18218</v>
      </c>
      <c r="D1338" s="1269">
        <f>SUMPRODUCT(($A$2:$A$1295="○")*($J$2:$J$1295="０５維新"))</f>
        <v>1</v>
      </c>
      <c r="E1338" s="1270"/>
      <c r="F1338" s="1270"/>
      <c r="G1338" s="1309">
        <f t="shared" ref="G1338" si="36">SUM(D1338:F1340)</f>
        <v>15</v>
      </c>
      <c r="H1338" s="1323" t="s">
        <v>18241</v>
      </c>
      <c r="I1338" s="1323"/>
      <c r="J1338" s="1219"/>
      <c r="K1338" s="1358">
        <f t="shared" ref="K1338" si="37">SUM(D1338:F1344)</f>
        <v>151</v>
      </c>
      <c r="L1338" s="885"/>
    </row>
    <row r="1339" spans="1:12" ht="12" customHeight="1">
      <c r="A1339" s="884"/>
      <c r="B1339" s="1263"/>
      <c r="C1339" s="890" t="s">
        <v>18219</v>
      </c>
      <c r="D1339" s="1265">
        <f>SUMPRODUCT(($A$2:$A$1295="△")*($J$2:$J$1295="０５維新"))</f>
        <v>8</v>
      </c>
      <c r="E1339" s="1266"/>
      <c r="F1339" s="1266"/>
      <c r="G1339" s="1310"/>
      <c r="H1339" s="1324">
        <f>ROUNDUP(D1341/3,0)</f>
        <v>3</v>
      </c>
      <c r="I1339" s="1324"/>
      <c r="J1339" s="1325"/>
      <c r="K1339" s="1353"/>
      <c r="L1339" s="885"/>
    </row>
    <row r="1340" spans="1:12" ht="12" customHeight="1">
      <c r="A1340" s="884"/>
      <c r="B1340" s="1263"/>
      <c r="C1340" s="890" t="s">
        <v>18220</v>
      </c>
      <c r="D1340" s="1265">
        <f>SUMPRODUCT(($A$2:$A$1295="☆")*($J$2:$J$1295="０５維新"))</f>
        <v>6</v>
      </c>
      <c r="E1340" s="1266"/>
      <c r="F1340" s="1266"/>
      <c r="G1340" s="1311"/>
      <c r="H1340" s="1326"/>
      <c r="I1340" s="1326"/>
      <c r="J1340" s="1327"/>
      <c r="K1340" s="1353"/>
      <c r="L1340" s="885"/>
    </row>
    <row r="1341" spans="1:12" ht="12" customHeight="1">
      <c r="A1341" s="884"/>
      <c r="B1341" s="1263"/>
      <c r="C1341" s="890" t="s">
        <v>18221</v>
      </c>
      <c r="D1341" s="1265">
        <f>SUMPRODUCT(($A$2:$A$1295="★")*($J$2:$J$1295="０５維新"))</f>
        <v>8</v>
      </c>
      <c r="E1341" s="1266"/>
      <c r="F1341" s="1266"/>
      <c r="G1341" s="1300">
        <f t="shared" ref="G1341" si="38">SUM(D1341:F1344)</f>
        <v>136</v>
      </c>
      <c r="H1341" s="1324">
        <f>ROUNDUP(D1340/3,0)</f>
        <v>2</v>
      </c>
      <c r="I1341" s="1324"/>
      <c r="J1341" s="1325"/>
      <c r="K1341" s="1353"/>
      <c r="L1341" s="885"/>
    </row>
    <row r="1342" spans="1:12" ht="12" customHeight="1">
      <c r="A1342" s="884"/>
      <c r="B1342" s="1263"/>
      <c r="C1342" s="890" t="s">
        <v>18222</v>
      </c>
      <c r="D1342" s="1265">
        <f>SUMPRODUCT(($A$2:$A$1295="▲")*($J$2:$J$1295="０５維新"))</f>
        <v>43</v>
      </c>
      <c r="E1342" s="1266"/>
      <c r="F1342" s="1266"/>
      <c r="G1342" s="1301"/>
      <c r="H1342" s="1326"/>
      <c r="I1342" s="1326"/>
      <c r="J1342" s="1327"/>
      <c r="K1342" s="1353"/>
      <c r="L1342" s="885"/>
    </row>
    <row r="1343" spans="1:12" ht="12" customHeight="1">
      <c r="A1343" s="884"/>
      <c r="B1343" s="1263"/>
      <c r="C1343" s="890" t="s">
        <v>18223</v>
      </c>
      <c r="D1343" s="1265">
        <f>SUMPRODUCT(($A$2:$A$1295="×")*($J$2:$J$1295="０５維新"))</f>
        <v>80</v>
      </c>
      <c r="E1343" s="1266"/>
      <c r="F1343" s="1266"/>
      <c r="G1343" s="1301"/>
      <c r="H1343" s="1328" t="s">
        <v>18240</v>
      </c>
      <c r="I1343" s="1328"/>
      <c r="J1343" s="1329"/>
      <c r="K1343" s="1353"/>
      <c r="L1343" s="885"/>
    </row>
    <row r="1344" spans="1:12" ht="12" customHeight="1" thickBot="1">
      <c r="A1344" s="884"/>
      <c r="B1344" s="1264"/>
      <c r="C1344" s="891" t="s">
        <v>18224</v>
      </c>
      <c r="D1344" s="1267">
        <f>SUMPRODUCT(($A$2:$A$1295="")*($J$2:$J$1295="０５維新"))</f>
        <v>5</v>
      </c>
      <c r="E1344" s="1268"/>
      <c r="F1344" s="1268"/>
      <c r="G1344" s="1302"/>
      <c r="H1344" s="1351"/>
      <c r="I1344" s="1351"/>
      <c r="J1344" s="1352"/>
      <c r="K1344" s="1354"/>
      <c r="L1344" s="885"/>
    </row>
    <row r="1345" spans="1:12" ht="12" customHeight="1">
      <c r="A1345" s="884"/>
      <c r="B1345" s="1279" t="s">
        <v>18229</v>
      </c>
      <c r="C1345" s="894" t="s">
        <v>18218</v>
      </c>
      <c r="D1345" s="1269">
        <f>SUMPRODUCT(($A$2:$A$1295="○")*($J$2:$J$1295="０６みんな"))</f>
        <v>0</v>
      </c>
      <c r="E1345" s="1270"/>
      <c r="F1345" s="1270"/>
      <c r="G1345" s="1312">
        <f t="shared" ref="G1345" si="39">SUM(D1345:F1347)</f>
        <v>3</v>
      </c>
      <c r="H1345" s="1323" t="s">
        <v>18241</v>
      </c>
      <c r="I1345" s="1323"/>
      <c r="J1345" s="1219"/>
      <c r="K1345" s="1358">
        <f t="shared" ref="K1345" si="40">SUM(D1345:F1351)</f>
        <v>65</v>
      </c>
      <c r="L1345" s="885"/>
    </row>
    <row r="1346" spans="1:12" ht="12" customHeight="1">
      <c r="A1346" s="884"/>
      <c r="B1346" s="1280"/>
      <c r="C1346" s="890" t="s">
        <v>18219</v>
      </c>
      <c r="D1346" s="1265">
        <f>SUMPRODUCT(($A$2:$A$1295="△")*($J$2:$J$1295="０６みんな"))</f>
        <v>2</v>
      </c>
      <c r="E1346" s="1266"/>
      <c r="F1346" s="1266"/>
      <c r="G1346" s="1313"/>
      <c r="H1346" s="1324">
        <f t="shared" ref="H1346" si="41">ROUNDUP(D1348/3,0)</f>
        <v>1</v>
      </c>
      <c r="I1346" s="1324"/>
      <c r="J1346" s="1325"/>
      <c r="K1346" s="1353"/>
      <c r="L1346" s="885"/>
    </row>
    <row r="1347" spans="1:12" ht="12" customHeight="1">
      <c r="A1347" s="884"/>
      <c r="B1347" s="1280"/>
      <c r="C1347" s="890" t="s">
        <v>18220</v>
      </c>
      <c r="D1347" s="1265">
        <f>SUMPRODUCT(($A$2:$A$1295="☆")*($J$2:$J$1295="０６みんな"))</f>
        <v>1</v>
      </c>
      <c r="E1347" s="1266"/>
      <c r="F1347" s="1266"/>
      <c r="G1347" s="1314"/>
      <c r="H1347" s="1326"/>
      <c r="I1347" s="1326"/>
      <c r="J1347" s="1327"/>
      <c r="K1347" s="1353"/>
      <c r="L1347" s="885"/>
    </row>
    <row r="1348" spans="1:12" ht="12" customHeight="1">
      <c r="A1348" s="884"/>
      <c r="B1348" s="1280"/>
      <c r="C1348" s="890" t="s">
        <v>18221</v>
      </c>
      <c r="D1348" s="1265">
        <f>SUMPRODUCT(($A$2:$A$1295="★")*($J$2:$J$1295="０６みんな"))</f>
        <v>3</v>
      </c>
      <c r="E1348" s="1266"/>
      <c r="F1348" s="1266"/>
      <c r="G1348" s="1300">
        <f t="shared" ref="G1348" si="42">SUM(D1348:F1351)</f>
        <v>62</v>
      </c>
      <c r="H1348" s="1324">
        <f t="shared" ref="H1348" si="43">ROUNDUP(D1347/3,0)</f>
        <v>1</v>
      </c>
      <c r="I1348" s="1324"/>
      <c r="J1348" s="1325"/>
      <c r="K1348" s="1353"/>
      <c r="L1348" s="885"/>
    </row>
    <row r="1349" spans="1:12" ht="12" customHeight="1">
      <c r="A1349" s="884"/>
      <c r="B1349" s="1280"/>
      <c r="C1349" s="890" t="s">
        <v>18222</v>
      </c>
      <c r="D1349" s="1265">
        <f>SUMPRODUCT(($A$2:$A$1295="▲")*($J$2:$J$1295="０６みんな"))</f>
        <v>14</v>
      </c>
      <c r="E1349" s="1266"/>
      <c r="F1349" s="1266"/>
      <c r="G1349" s="1301"/>
      <c r="H1349" s="1326"/>
      <c r="I1349" s="1326"/>
      <c r="J1349" s="1327"/>
      <c r="K1349" s="1353"/>
      <c r="L1349" s="885"/>
    </row>
    <row r="1350" spans="1:12" ht="12" customHeight="1">
      <c r="A1350" s="884"/>
      <c r="B1350" s="1280"/>
      <c r="C1350" s="890" t="s">
        <v>18223</v>
      </c>
      <c r="D1350" s="1265">
        <f>SUMPRODUCT(($A$2:$A$1295="×")*($J$2:$J$1295="０６みんな"))</f>
        <v>37</v>
      </c>
      <c r="E1350" s="1266"/>
      <c r="F1350" s="1266"/>
      <c r="G1350" s="1301"/>
      <c r="H1350" s="1328" t="s">
        <v>18240</v>
      </c>
      <c r="I1350" s="1328"/>
      <c r="J1350" s="1329"/>
      <c r="K1350" s="1353"/>
      <c r="L1350" s="885"/>
    </row>
    <row r="1351" spans="1:12" ht="12" customHeight="1" thickBot="1">
      <c r="A1351" s="884"/>
      <c r="B1351" s="1281"/>
      <c r="C1351" s="891" t="s">
        <v>18224</v>
      </c>
      <c r="D1351" s="1267">
        <f>SUMPRODUCT(($A$2:$A$1295="")*($J$2:$J$1295="０６みんな"))</f>
        <v>8</v>
      </c>
      <c r="E1351" s="1268"/>
      <c r="F1351" s="1268"/>
      <c r="G1351" s="1302"/>
      <c r="H1351" s="1351"/>
      <c r="I1351" s="1351"/>
      <c r="J1351" s="1352"/>
      <c r="K1351" s="1354"/>
      <c r="L1351" s="885"/>
    </row>
    <row r="1352" spans="1:12" ht="12" customHeight="1">
      <c r="A1352" s="884"/>
      <c r="B1352" s="1282" t="s">
        <v>18230</v>
      </c>
      <c r="C1352" s="894" t="s">
        <v>18218</v>
      </c>
      <c r="D1352" s="1269">
        <f>SUMPRODUCT(($A$2:$A$1295="○")*($J$2:$J$1295="０７共産党"))</f>
        <v>0</v>
      </c>
      <c r="E1352" s="1270"/>
      <c r="F1352" s="1270"/>
      <c r="G1352" s="1339">
        <f t="shared" ref="G1352" si="44">SUM(D1352:F1354)</f>
        <v>0</v>
      </c>
      <c r="H1352" s="1323" t="s">
        <v>18241</v>
      </c>
      <c r="I1352" s="1323"/>
      <c r="J1352" s="1219"/>
      <c r="K1352" s="1358">
        <f t="shared" ref="K1352" si="45">SUM(D1352:F1358)</f>
        <v>299</v>
      </c>
      <c r="L1352" s="885"/>
    </row>
    <row r="1353" spans="1:12" ht="12" customHeight="1">
      <c r="A1353" s="884"/>
      <c r="B1353" s="1283"/>
      <c r="C1353" s="890" t="s">
        <v>18219</v>
      </c>
      <c r="D1353" s="1265">
        <f>SUMPRODUCT(($A$2:$A$1295="△")*($J$2:$J$1295="０７共産党"))</f>
        <v>0</v>
      </c>
      <c r="E1353" s="1266"/>
      <c r="F1353" s="1266"/>
      <c r="G1353" s="1340"/>
      <c r="H1353" s="1324">
        <f t="shared" ref="H1353" si="46">ROUNDUP(D1355/3,0)</f>
        <v>0</v>
      </c>
      <c r="I1353" s="1324"/>
      <c r="J1353" s="1325"/>
      <c r="K1353" s="1353"/>
      <c r="L1353" s="885"/>
    </row>
    <row r="1354" spans="1:12" ht="12" customHeight="1">
      <c r="A1354" s="884"/>
      <c r="B1354" s="1283"/>
      <c r="C1354" s="890" t="s">
        <v>18220</v>
      </c>
      <c r="D1354" s="1265">
        <f>SUMPRODUCT(($A$2:$A$1295="☆")*($J$2:$J$1295="０７共産党"))</f>
        <v>0</v>
      </c>
      <c r="E1354" s="1266"/>
      <c r="F1354" s="1266"/>
      <c r="G1354" s="1341"/>
      <c r="H1354" s="1326"/>
      <c r="I1354" s="1326"/>
      <c r="J1354" s="1327"/>
      <c r="K1354" s="1353"/>
      <c r="L1354" s="885"/>
    </row>
    <row r="1355" spans="1:12" ht="12" customHeight="1">
      <c r="A1355" s="884"/>
      <c r="B1355" s="1283"/>
      <c r="C1355" s="890" t="s">
        <v>18221</v>
      </c>
      <c r="D1355" s="1265">
        <f>SUMPRODUCT(($A$2:$A$1295="★")*($J$2:$J$1295="０７共産党"))</f>
        <v>0</v>
      </c>
      <c r="E1355" s="1266"/>
      <c r="F1355" s="1266"/>
      <c r="G1355" s="1300">
        <f t="shared" ref="G1355" si="47">SUM(D1355:F1358)</f>
        <v>299</v>
      </c>
      <c r="H1355" s="1324">
        <f t="shared" ref="H1355" si="48">ROUNDUP(D1354/3,0)</f>
        <v>0</v>
      </c>
      <c r="I1355" s="1324"/>
      <c r="J1355" s="1325"/>
      <c r="K1355" s="1353"/>
      <c r="L1355" s="885"/>
    </row>
    <row r="1356" spans="1:12" ht="12" customHeight="1">
      <c r="A1356" s="884"/>
      <c r="B1356" s="1283"/>
      <c r="C1356" s="890" t="s">
        <v>18222</v>
      </c>
      <c r="D1356" s="1265">
        <f>SUMPRODUCT(($A$2:$A$1295="▲")*($J$2:$J$1295="０７共産党"))</f>
        <v>1</v>
      </c>
      <c r="E1356" s="1266"/>
      <c r="F1356" s="1266"/>
      <c r="G1356" s="1301"/>
      <c r="H1356" s="1326"/>
      <c r="I1356" s="1326"/>
      <c r="J1356" s="1327"/>
      <c r="K1356" s="1353"/>
      <c r="L1356" s="885"/>
    </row>
    <row r="1357" spans="1:12" ht="12" customHeight="1">
      <c r="A1357" s="884"/>
      <c r="B1357" s="1283"/>
      <c r="C1357" s="890" t="s">
        <v>18223</v>
      </c>
      <c r="D1357" s="1265">
        <f>SUMPRODUCT(($A$2:$A$1295="×")*($J$2:$J$1295="０７共産党"))</f>
        <v>26</v>
      </c>
      <c r="E1357" s="1266"/>
      <c r="F1357" s="1266"/>
      <c r="G1357" s="1301"/>
      <c r="H1357" s="1328" t="s">
        <v>18240</v>
      </c>
      <c r="I1357" s="1328"/>
      <c r="J1357" s="1329"/>
      <c r="K1357" s="1353"/>
      <c r="L1357" s="885"/>
    </row>
    <row r="1358" spans="1:12" ht="12" customHeight="1" thickBot="1">
      <c r="A1358" s="884"/>
      <c r="B1358" s="1284"/>
      <c r="C1358" s="891" t="s">
        <v>18224</v>
      </c>
      <c r="D1358" s="1267">
        <f>SUMPRODUCT(($A$2:$A$1295="")*($J$2:$J$1295="０７共産党"))</f>
        <v>272</v>
      </c>
      <c r="E1358" s="1268"/>
      <c r="F1358" s="1268"/>
      <c r="G1358" s="1302"/>
      <c r="H1358" s="1351"/>
      <c r="I1358" s="1351"/>
      <c r="J1358" s="1352"/>
      <c r="K1358" s="1354"/>
      <c r="L1358" s="885"/>
    </row>
    <row r="1359" spans="1:12" ht="12" customHeight="1">
      <c r="A1359" s="884"/>
      <c r="B1359" s="1285" t="s">
        <v>18231</v>
      </c>
      <c r="C1359" s="894" t="s">
        <v>18218</v>
      </c>
      <c r="D1359" s="1269">
        <f>SUMPRODUCT(($A$2:$A$1295="○")*($J$2:$J$1295="０８社民党"))</f>
        <v>0</v>
      </c>
      <c r="E1359" s="1270"/>
      <c r="F1359" s="1270"/>
      <c r="G1359" s="1342">
        <f t="shared" ref="G1359" si="49">SUM(D1359:F1361)</f>
        <v>1</v>
      </c>
      <c r="H1359" s="1323" t="s">
        <v>18241</v>
      </c>
      <c r="I1359" s="1323"/>
      <c r="J1359" s="1219"/>
      <c r="K1359" s="1358">
        <f t="shared" ref="K1359" si="50">SUM(D1359:F1365)</f>
        <v>23</v>
      </c>
      <c r="L1359" s="885"/>
    </row>
    <row r="1360" spans="1:12" ht="12" customHeight="1">
      <c r="A1360" s="884"/>
      <c r="B1360" s="1286"/>
      <c r="C1360" s="890" t="s">
        <v>18219</v>
      </c>
      <c r="D1360" s="1265">
        <f>SUMPRODUCT(($A$2:$A$1295="△")*($J$2:$J$1295="０８社民党"))</f>
        <v>1</v>
      </c>
      <c r="E1360" s="1266"/>
      <c r="F1360" s="1266"/>
      <c r="G1360" s="1343"/>
      <c r="H1360" s="1324">
        <f t="shared" ref="H1360" si="51">ROUNDUP(D1362/3,0)</f>
        <v>0</v>
      </c>
      <c r="I1360" s="1324"/>
      <c r="J1360" s="1325"/>
      <c r="K1360" s="1353"/>
      <c r="L1360" s="885"/>
    </row>
    <row r="1361" spans="1:12" ht="12" customHeight="1">
      <c r="A1361" s="884"/>
      <c r="B1361" s="1286"/>
      <c r="C1361" s="890" t="s">
        <v>18220</v>
      </c>
      <c r="D1361" s="1265">
        <f>SUMPRODUCT(($A$2:$A$1295="☆")*($J$2:$J$1295="０８社民党"))</f>
        <v>0</v>
      </c>
      <c r="E1361" s="1266"/>
      <c r="F1361" s="1266"/>
      <c r="G1361" s="1344"/>
      <c r="H1361" s="1326"/>
      <c r="I1361" s="1326"/>
      <c r="J1361" s="1327"/>
      <c r="K1361" s="1353"/>
      <c r="L1361" s="885"/>
    </row>
    <row r="1362" spans="1:12" ht="12" customHeight="1">
      <c r="A1362" s="884"/>
      <c r="B1362" s="1286"/>
      <c r="C1362" s="890" t="s">
        <v>18221</v>
      </c>
      <c r="D1362" s="1265">
        <f>SUMPRODUCT(($A$2:$A$1295="★")*($J$2:$J$1295="０８社民党"))</f>
        <v>0</v>
      </c>
      <c r="E1362" s="1266"/>
      <c r="F1362" s="1266"/>
      <c r="G1362" s="1300">
        <f t="shared" ref="G1362" si="52">SUM(D1362:F1365)</f>
        <v>22</v>
      </c>
      <c r="H1362" s="1324">
        <f t="shared" ref="H1362" si="53">ROUNDUP(D1361/3,0)</f>
        <v>0</v>
      </c>
      <c r="I1362" s="1324"/>
      <c r="J1362" s="1325"/>
      <c r="K1362" s="1353"/>
      <c r="L1362" s="885"/>
    </row>
    <row r="1363" spans="1:12" ht="12" customHeight="1">
      <c r="A1363" s="884"/>
      <c r="B1363" s="1286"/>
      <c r="C1363" s="890" t="s">
        <v>18222</v>
      </c>
      <c r="D1363" s="1265">
        <f>SUMPRODUCT(($A$2:$A$1295="▲")*($J$2:$J$1295="０８社民党"))</f>
        <v>0</v>
      </c>
      <c r="E1363" s="1266"/>
      <c r="F1363" s="1266"/>
      <c r="G1363" s="1301"/>
      <c r="H1363" s="1326"/>
      <c r="I1363" s="1326"/>
      <c r="J1363" s="1327"/>
      <c r="K1363" s="1353"/>
      <c r="L1363" s="885"/>
    </row>
    <row r="1364" spans="1:12" ht="12" customHeight="1">
      <c r="A1364" s="884"/>
      <c r="B1364" s="1286"/>
      <c r="C1364" s="890" t="s">
        <v>18223</v>
      </c>
      <c r="D1364" s="1265">
        <f>SUMPRODUCT(($A$2:$A$1295="×")*($J$2:$J$1295="０８社民党"))</f>
        <v>8</v>
      </c>
      <c r="E1364" s="1266"/>
      <c r="F1364" s="1266"/>
      <c r="G1364" s="1301"/>
      <c r="H1364" s="1328" t="s">
        <v>18240</v>
      </c>
      <c r="I1364" s="1328"/>
      <c r="J1364" s="1329"/>
      <c r="K1364" s="1353"/>
      <c r="L1364" s="885"/>
    </row>
    <row r="1365" spans="1:12" ht="12" customHeight="1" thickBot="1">
      <c r="A1365" s="884"/>
      <c r="B1365" s="1287"/>
      <c r="C1365" s="891" t="s">
        <v>18224</v>
      </c>
      <c r="D1365" s="1267">
        <f>SUMPRODUCT(($A$2:$A$1295="")*($J$2:$J$1295="０８社民党"))</f>
        <v>14</v>
      </c>
      <c r="E1365" s="1268"/>
      <c r="F1365" s="1268"/>
      <c r="G1365" s="1302"/>
      <c r="H1365" s="1351"/>
      <c r="I1365" s="1351"/>
      <c r="J1365" s="1352"/>
      <c r="K1365" s="1354"/>
      <c r="L1365" s="885"/>
    </row>
    <row r="1366" spans="1:12" ht="12" customHeight="1">
      <c r="A1366" s="884"/>
      <c r="B1366" s="1288" t="s">
        <v>18232</v>
      </c>
      <c r="C1366" s="894" t="s">
        <v>18218</v>
      </c>
      <c r="D1366" s="1269">
        <f>SUMPRODUCT(($A$2:$A$1295="○")*($J$2:$J$1295="０９国民新"))</f>
        <v>0</v>
      </c>
      <c r="E1366" s="1270"/>
      <c r="F1366" s="1270"/>
      <c r="G1366" s="1345">
        <f t="shared" ref="G1366" si="54">SUM(D1366:F1368)</f>
        <v>1</v>
      </c>
      <c r="H1366" s="1323" t="s">
        <v>18241</v>
      </c>
      <c r="I1366" s="1323"/>
      <c r="J1366" s="1219"/>
      <c r="K1366" s="1358">
        <f t="shared" ref="K1366" si="55">SUM(D1366:F1372)</f>
        <v>2</v>
      </c>
      <c r="L1366" s="885"/>
    </row>
    <row r="1367" spans="1:12" ht="12" customHeight="1">
      <c r="A1367" s="884"/>
      <c r="B1367" s="1289"/>
      <c r="C1367" s="890" t="s">
        <v>18219</v>
      </c>
      <c r="D1367" s="1265">
        <f>SUMPRODUCT(($A$2:$A$1295="△")*($J$2:$J$1295="０９国民新"))</f>
        <v>0</v>
      </c>
      <c r="E1367" s="1266"/>
      <c r="F1367" s="1266"/>
      <c r="G1367" s="1346"/>
      <c r="H1367" s="1324">
        <f t="shared" ref="H1367" si="56">ROUNDUP(D1369/3,0)</f>
        <v>1</v>
      </c>
      <c r="I1367" s="1324"/>
      <c r="J1367" s="1325"/>
      <c r="K1367" s="1353"/>
      <c r="L1367" s="885"/>
    </row>
    <row r="1368" spans="1:12" ht="12" customHeight="1">
      <c r="A1368" s="884"/>
      <c r="B1368" s="1289"/>
      <c r="C1368" s="890" t="s">
        <v>18220</v>
      </c>
      <c r="D1368" s="1265">
        <f>SUMPRODUCT(($A$2:$A$1295="☆")*($J$2:$J$1295="０９国民新"))</f>
        <v>1</v>
      </c>
      <c r="E1368" s="1266"/>
      <c r="F1368" s="1266"/>
      <c r="G1368" s="1347"/>
      <c r="H1368" s="1326"/>
      <c r="I1368" s="1326"/>
      <c r="J1368" s="1327"/>
      <c r="K1368" s="1353"/>
      <c r="L1368" s="885"/>
    </row>
    <row r="1369" spans="1:12" ht="12" customHeight="1">
      <c r="A1369" s="884"/>
      <c r="B1369" s="1289"/>
      <c r="C1369" s="890" t="s">
        <v>18221</v>
      </c>
      <c r="D1369" s="1265">
        <f>SUMPRODUCT(($A$2:$A$1295="★")*($J$2:$J$1295="０９国民新"))</f>
        <v>1</v>
      </c>
      <c r="E1369" s="1266"/>
      <c r="F1369" s="1266"/>
      <c r="G1369" s="1300">
        <f t="shared" ref="G1369" si="57">SUM(D1369:F1372)</f>
        <v>1</v>
      </c>
      <c r="H1369" s="1324">
        <f t="shared" ref="H1369" si="58">ROUNDUP(D1368/3,0)</f>
        <v>1</v>
      </c>
      <c r="I1369" s="1324"/>
      <c r="J1369" s="1325"/>
      <c r="K1369" s="1353"/>
      <c r="L1369" s="885"/>
    </row>
    <row r="1370" spans="1:12" ht="12" customHeight="1">
      <c r="A1370" s="884"/>
      <c r="B1370" s="1289"/>
      <c r="C1370" s="890" t="s">
        <v>18222</v>
      </c>
      <c r="D1370" s="1265">
        <f>SUMPRODUCT(($A$2:$A$1295="▲")*($J$2:$J$1295="０９国民新"))</f>
        <v>0</v>
      </c>
      <c r="E1370" s="1266"/>
      <c r="F1370" s="1266"/>
      <c r="G1370" s="1301"/>
      <c r="H1370" s="1326"/>
      <c r="I1370" s="1326"/>
      <c r="J1370" s="1327"/>
      <c r="K1370" s="1353"/>
      <c r="L1370" s="885"/>
    </row>
    <row r="1371" spans="1:12" ht="12" customHeight="1">
      <c r="A1371" s="884"/>
      <c r="B1371" s="1289"/>
      <c r="C1371" s="890" t="s">
        <v>18223</v>
      </c>
      <c r="D1371" s="1265">
        <f>SUMPRODUCT(($A$2:$A$1295="×")*($J$2:$J$1295="０９国民新"))</f>
        <v>0</v>
      </c>
      <c r="E1371" s="1266"/>
      <c r="F1371" s="1266"/>
      <c r="G1371" s="1301"/>
      <c r="H1371" s="1328" t="s">
        <v>18240</v>
      </c>
      <c r="I1371" s="1328"/>
      <c r="J1371" s="1329"/>
      <c r="K1371" s="1353"/>
      <c r="L1371" s="885"/>
    </row>
    <row r="1372" spans="1:12" ht="12" customHeight="1" thickBot="1">
      <c r="A1372" s="884"/>
      <c r="B1372" s="1290"/>
      <c r="C1372" s="891" t="s">
        <v>18224</v>
      </c>
      <c r="D1372" s="1267">
        <f>SUMPRODUCT(($A$2:$A$1295="")*($J$2:$J$1295="０９国民新"))</f>
        <v>0</v>
      </c>
      <c r="E1372" s="1268"/>
      <c r="F1372" s="1268"/>
      <c r="G1372" s="1302"/>
      <c r="H1372" s="1351"/>
      <c r="I1372" s="1351"/>
      <c r="J1372" s="1352"/>
      <c r="K1372" s="1354"/>
      <c r="L1372" s="885"/>
    </row>
    <row r="1373" spans="1:12" ht="12" customHeight="1">
      <c r="A1373" s="884"/>
      <c r="B1373" s="1291" t="s">
        <v>18233</v>
      </c>
      <c r="C1373" s="894" t="s">
        <v>18218</v>
      </c>
      <c r="D1373" s="1269">
        <f>SUMPRODUCT(($A$2:$A$1295="○")*($J$2:$J$1295="１０大地"))</f>
        <v>0</v>
      </c>
      <c r="E1373" s="1270"/>
      <c r="F1373" s="1270"/>
      <c r="G1373" s="1330">
        <f t="shared" ref="G1373" si="59">SUM(D1373:F1375)</f>
        <v>0</v>
      </c>
      <c r="H1373" s="1323" t="s">
        <v>18241</v>
      </c>
      <c r="I1373" s="1323"/>
      <c r="J1373" s="1219"/>
      <c r="K1373" s="1358">
        <f t="shared" ref="K1373" si="60">SUM(D1373:F1379)</f>
        <v>7</v>
      </c>
      <c r="L1373" s="885"/>
    </row>
    <row r="1374" spans="1:12" ht="12" customHeight="1">
      <c r="A1374" s="884"/>
      <c r="B1374" s="1292"/>
      <c r="C1374" s="890" t="s">
        <v>18219</v>
      </c>
      <c r="D1374" s="1265">
        <f>SUMPRODUCT(($A$2:$A$1295="△")*($J$2:$J$1295="１０大地"))</f>
        <v>0</v>
      </c>
      <c r="E1374" s="1266"/>
      <c r="F1374" s="1266"/>
      <c r="G1374" s="1331"/>
      <c r="H1374" s="1324">
        <f t="shared" ref="H1374" si="61">ROUNDUP(D1376/3,0)</f>
        <v>0</v>
      </c>
      <c r="I1374" s="1324"/>
      <c r="J1374" s="1325"/>
      <c r="K1374" s="1353"/>
      <c r="L1374" s="885"/>
    </row>
    <row r="1375" spans="1:12" ht="12" customHeight="1">
      <c r="A1375" s="884"/>
      <c r="B1375" s="1292"/>
      <c r="C1375" s="890" t="s">
        <v>18220</v>
      </c>
      <c r="D1375" s="1265">
        <f>SUMPRODUCT(($A$2:$A$1295="☆")*($J$2:$J$1295="１０大地"))</f>
        <v>0</v>
      </c>
      <c r="E1375" s="1266"/>
      <c r="F1375" s="1266"/>
      <c r="G1375" s="1332"/>
      <c r="H1375" s="1326"/>
      <c r="I1375" s="1326"/>
      <c r="J1375" s="1327"/>
      <c r="K1375" s="1353"/>
      <c r="L1375" s="885"/>
    </row>
    <row r="1376" spans="1:12" ht="12" customHeight="1">
      <c r="A1376" s="884"/>
      <c r="B1376" s="1292"/>
      <c r="C1376" s="890" t="s">
        <v>18221</v>
      </c>
      <c r="D1376" s="1265">
        <f>SUMPRODUCT(($A$2:$A$1295="★")*($J$2:$J$1295="１０大地"))</f>
        <v>0</v>
      </c>
      <c r="E1376" s="1266"/>
      <c r="F1376" s="1266"/>
      <c r="G1376" s="1300">
        <f t="shared" ref="G1376" si="62">SUM(D1376:F1379)</f>
        <v>7</v>
      </c>
      <c r="H1376" s="1324">
        <f t="shared" ref="H1376" si="63">ROUNDUP(D1375/3,0)</f>
        <v>0</v>
      </c>
      <c r="I1376" s="1324"/>
      <c r="J1376" s="1325"/>
      <c r="K1376" s="1353"/>
      <c r="L1376" s="885"/>
    </row>
    <row r="1377" spans="1:12" ht="12" customHeight="1">
      <c r="A1377" s="884"/>
      <c r="B1377" s="1292"/>
      <c r="C1377" s="890" t="s">
        <v>18222</v>
      </c>
      <c r="D1377" s="1265">
        <f>SUMPRODUCT(($A$2:$A$1295="▲")*($J$2:$J$1295="１０大地"))</f>
        <v>3</v>
      </c>
      <c r="E1377" s="1266"/>
      <c r="F1377" s="1266"/>
      <c r="G1377" s="1301"/>
      <c r="H1377" s="1326"/>
      <c r="I1377" s="1326"/>
      <c r="J1377" s="1327"/>
      <c r="K1377" s="1353"/>
      <c r="L1377" s="885"/>
    </row>
    <row r="1378" spans="1:12" ht="12" customHeight="1">
      <c r="A1378" s="884"/>
      <c r="B1378" s="1292"/>
      <c r="C1378" s="890" t="s">
        <v>18223</v>
      </c>
      <c r="D1378" s="1265">
        <f>SUMPRODUCT(($A$2:$A$1295="×")*($J$2:$J$1295="１０大地"))</f>
        <v>2</v>
      </c>
      <c r="E1378" s="1266"/>
      <c r="F1378" s="1266"/>
      <c r="G1378" s="1301"/>
      <c r="H1378" s="1328" t="s">
        <v>18240</v>
      </c>
      <c r="I1378" s="1328"/>
      <c r="J1378" s="1329"/>
      <c r="K1378" s="1353"/>
      <c r="L1378" s="885"/>
    </row>
    <row r="1379" spans="1:12" ht="12" customHeight="1" thickBot="1">
      <c r="A1379" s="884"/>
      <c r="B1379" s="1293"/>
      <c r="C1379" s="891" t="s">
        <v>18224</v>
      </c>
      <c r="D1379" s="1267">
        <f>SUMPRODUCT(($A$2:$A$1295="")*($J$2:$J$1295="１０大地"))</f>
        <v>2</v>
      </c>
      <c r="E1379" s="1268"/>
      <c r="F1379" s="1268"/>
      <c r="G1379" s="1302"/>
      <c r="H1379" s="1351"/>
      <c r="I1379" s="1351"/>
      <c r="J1379" s="1352"/>
      <c r="K1379" s="1354"/>
      <c r="L1379" s="885"/>
    </row>
    <row r="1380" spans="1:12" ht="12" customHeight="1">
      <c r="A1380" s="884"/>
      <c r="B1380" s="1294" t="s">
        <v>18234</v>
      </c>
      <c r="C1380" s="894" t="s">
        <v>18218</v>
      </c>
      <c r="D1380" s="1269">
        <f>SUMPRODUCT(($A$2:$A$1295="○")*($J$2:$J$1295="１１改革"))</f>
        <v>0</v>
      </c>
      <c r="E1380" s="1270"/>
      <c r="F1380" s="1270"/>
      <c r="G1380" s="1333">
        <f t="shared" ref="G1380" si="64">SUM(D1380:F1382)</f>
        <v>0</v>
      </c>
      <c r="H1380" s="1323" t="s">
        <v>18241</v>
      </c>
      <c r="I1380" s="1323"/>
      <c r="J1380" s="1219"/>
      <c r="K1380" s="1358">
        <f t="shared" ref="K1380" si="65">SUM(D1380:F1386)</f>
        <v>0</v>
      </c>
      <c r="L1380" s="885"/>
    </row>
    <row r="1381" spans="1:12" ht="12" customHeight="1">
      <c r="A1381" s="884"/>
      <c r="B1381" s="1295"/>
      <c r="C1381" s="890" t="s">
        <v>18219</v>
      </c>
      <c r="D1381" s="1265">
        <f>SUMPRODUCT(($A$2:$A$1295="△")*($J$2:$J$1295="１１改革"))</f>
        <v>0</v>
      </c>
      <c r="E1381" s="1266"/>
      <c r="F1381" s="1266"/>
      <c r="G1381" s="1334"/>
      <c r="H1381" s="1324">
        <f t="shared" ref="H1381" si="66">ROUNDUP(D1383/3,0)</f>
        <v>0</v>
      </c>
      <c r="I1381" s="1324"/>
      <c r="J1381" s="1325"/>
      <c r="K1381" s="1353"/>
      <c r="L1381" s="885"/>
    </row>
    <row r="1382" spans="1:12" ht="12" customHeight="1">
      <c r="A1382" s="884"/>
      <c r="B1382" s="1295"/>
      <c r="C1382" s="890" t="s">
        <v>18220</v>
      </c>
      <c r="D1382" s="1265">
        <f>SUMPRODUCT(($A$2:$A$1295="☆")*($J$2:$J$1295="１１改革"))</f>
        <v>0</v>
      </c>
      <c r="E1382" s="1266"/>
      <c r="F1382" s="1266"/>
      <c r="G1382" s="1335"/>
      <c r="H1382" s="1326"/>
      <c r="I1382" s="1326"/>
      <c r="J1382" s="1327"/>
      <c r="K1382" s="1353"/>
      <c r="L1382" s="885"/>
    </row>
    <row r="1383" spans="1:12" ht="12" customHeight="1">
      <c r="A1383" s="884"/>
      <c r="B1383" s="1295"/>
      <c r="C1383" s="890" t="s">
        <v>18221</v>
      </c>
      <c r="D1383" s="1265">
        <f>SUMPRODUCT(($A$2:$A$1295="★")*($J$2:$J$1295="１１改革"))</f>
        <v>0</v>
      </c>
      <c r="E1383" s="1266"/>
      <c r="F1383" s="1266"/>
      <c r="G1383" s="1300">
        <f t="shared" ref="G1383" si="67">SUM(D1383:F1386)</f>
        <v>0</v>
      </c>
      <c r="H1383" s="1324">
        <f t="shared" ref="H1383" si="68">ROUNDUP(D1382/3,0)</f>
        <v>0</v>
      </c>
      <c r="I1383" s="1324"/>
      <c r="J1383" s="1325"/>
      <c r="K1383" s="1353"/>
      <c r="L1383" s="885"/>
    </row>
    <row r="1384" spans="1:12" ht="12" customHeight="1">
      <c r="A1384" s="884"/>
      <c r="B1384" s="1295"/>
      <c r="C1384" s="890" t="s">
        <v>18222</v>
      </c>
      <c r="D1384" s="1265">
        <f>SUMPRODUCT(($A$2:$A$1295="▲")*($J$2:$J$1295="１１改革"))</f>
        <v>0</v>
      </c>
      <c r="E1384" s="1266"/>
      <c r="F1384" s="1266"/>
      <c r="G1384" s="1301"/>
      <c r="H1384" s="1326"/>
      <c r="I1384" s="1326"/>
      <c r="J1384" s="1327"/>
      <c r="K1384" s="1353"/>
      <c r="L1384" s="885"/>
    </row>
    <row r="1385" spans="1:12" ht="12" customHeight="1">
      <c r="A1385" s="884"/>
      <c r="B1385" s="1295"/>
      <c r="C1385" s="890" t="s">
        <v>18223</v>
      </c>
      <c r="D1385" s="1265">
        <f>SUMPRODUCT(($A$2:$A$1295="×")*($J$2:$J$1295="１１改革"))</f>
        <v>0</v>
      </c>
      <c r="E1385" s="1266"/>
      <c r="F1385" s="1266"/>
      <c r="G1385" s="1301"/>
      <c r="H1385" s="1328" t="s">
        <v>18240</v>
      </c>
      <c r="I1385" s="1328"/>
      <c r="J1385" s="1329"/>
      <c r="K1385" s="1353"/>
      <c r="L1385" s="885"/>
    </row>
    <row r="1386" spans="1:12" ht="12" customHeight="1" thickBot="1">
      <c r="A1386" s="884"/>
      <c r="B1386" s="1296"/>
      <c r="C1386" s="891" t="s">
        <v>18224</v>
      </c>
      <c r="D1386" s="1267">
        <f>SUMPRODUCT(($A$2:$A$1295="")*($J$2:$J$1295="１１改革"))</f>
        <v>0</v>
      </c>
      <c r="E1386" s="1268"/>
      <c r="F1386" s="1268"/>
      <c r="G1386" s="1302"/>
      <c r="H1386" s="1351"/>
      <c r="I1386" s="1351"/>
      <c r="J1386" s="1352"/>
      <c r="K1386" s="1354"/>
      <c r="L1386" s="885"/>
    </row>
    <row r="1387" spans="1:12" ht="12" customHeight="1">
      <c r="A1387" s="884"/>
      <c r="B1387" s="1276" t="s">
        <v>18235</v>
      </c>
      <c r="C1387" s="894" t="s">
        <v>18218</v>
      </c>
      <c r="D1387" s="1269">
        <f>SUMPRODUCT(($A$2:$A$1295="○")*($J$2:$J$1295="１２新日本"))</f>
        <v>0</v>
      </c>
      <c r="E1387" s="1270"/>
      <c r="F1387" s="1270"/>
      <c r="G1387" s="1336">
        <f t="shared" ref="G1387" si="69">SUM(D1387:F1389)</f>
        <v>0</v>
      </c>
      <c r="H1387" s="1323" t="s">
        <v>18241</v>
      </c>
      <c r="I1387" s="1323"/>
      <c r="J1387" s="1219"/>
      <c r="K1387" s="1358">
        <f t="shared" ref="K1387" si="70">SUM(D1387:F1393)</f>
        <v>1</v>
      </c>
      <c r="L1387" s="885"/>
    </row>
    <row r="1388" spans="1:12" ht="12" customHeight="1">
      <c r="A1388" s="884"/>
      <c r="B1388" s="1277"/>
      <c r="C1388" s="890" t="s">
        <v>18219</v>
      </c>
      <c r="D1388" s="1265">
        <f>SUMPRODUCT(($A$2:$A$1295="△")*($J$2:$J$1295="１２新日本"))</f>
        <v>0</v>
      </c>
      <c r="E1388" s="1266"/>
      <c r="F1388" s="1266"/>
      <c r="G1388" s="1337"/>
      <c r="H1388" s="1324">
        <f t="shared" ref="H1388" si="71">ROUNDUP(D1390/3,0)</f>
        <v>0</v>
      </c>
      <c r="I1388" s="1324"/>
      <c r="J1388" s="1325"/>
      <c r="K1388" s="1353"/>
      <c r="L1388" s="885"/>
    </row>
    <row r="1389" spans="1:12" ht="12" customHeight="1">
      <c r="A1389" s="884"/>
      <c r="B1389" s="1277"/>
      <c r="C1389" s="890" t="s">
        <v>18220</v>
      </c>
      <c r="D1389" s="1265">
        <f>SUMPRODUCT(($A$2:$A$1295="☆")*($J$2:$J$1295="１２新日本"))</f>
        <v>0</v>
      </c>
      <c r="E1389" s="1266"/>
      <c r="F1389" s="1266"/>
      <c r="G1389" s="1338"/>
      <c r="H1389" s="1326"/>
      <c r="I1389" s="1326"/>
      <c r="J1389" s="1327"/>
      <c r="K1389" s="1353"/>
      <c r="L1389" s="885"/>
    </row>
    <row r="1390" spans="1:12" ht="12" customHeight="1">
      <c r="A1390" s="884"/>
      <c r="B1390" s="1277"/>
      <c r="C1390" s="890" t="s">
        <v>18221</v>
      </c>
      <c r="D1390" s="1265">
        <f>SUMPRODUCT(($A$2:$A$1295="★")*($J$2:$J$1295="１２新日本"))</f>
        <v>0</v>
      </c>
      <c r="E1390" s="1266"/>
      <c r="F1390" s="1266"/>
      <c r="G1390" s="1300">
        <f t="shared" ref="G1390" si="72">SUM(D1390:F1393)</f>
        <v>1</v>
      </c>
      <c r="H1390" s="1324">
        <f t="shared" ref="H1390" si="73">ROUNDUP(D1389/3,0)</f>
        <v>0</v>
      </c>
      <c r="I1390" s="1324"/>
      <c r="J1390" s="1325"/>
      <c r="K1390" s="1353"/>
      <c r="L1390" s="885"/>
    </row>
    <row r="1391" spans="1:12" ht="12" customHeight="1">
      <c r="A1391" s="884"/>
      <c r="B1391" s="1277"/>
      <c r="C1391" s="890" t="s">
        <v>18222</v>
      </c>
      <c r="D1391" s="1265">
        <f>SUMPRODUCT(($A$2:$A$1295="▲")*($J$2:$J$1295="１２新日本"))</f>
        <v>1</v>
      </c>
      <c r="E1391" s="1266"/>
      <c r="F1391" s="1266"/>
      <c r="G1391" s="1301"/>
      <c r="H1391" s="1326"/>
      <c r="I1391" s="1326"/>
      <c r="J1391" s="1327"/>
      <c r="K1391" s="1353"/>
      <c r="L1391" s="885"/>
    </row>
    <row r="1392" spans="1:12" ht="12" customHeight="1">
      <c r="A1392" s="884"/>
      <c r="B1392" s="1277"/>
      <c r="C1392" s="890" t="s">
        <v>18223</v>
      </c>
      <c r="D1392" s="1265">
        <f>SUMPRODUCT(($A$2:$A$1295="×")*($J$2:$J$1295="１２新日本"))</f>
        <v>0</v>
      </c>
      <c r="E1392" s="1266"/>
      <c r="F1392" s="1266"/>
      <c r="G1392" s="1301"/>
      <c r="H1392" s="1328" t="s">
        <v>18240</v>
      </c>
      <c r="I1392" s="1328"/>
      <c r="J1392" s="1329"/>
      <c r="K1392" s="1353"/>
      <c r="L1392" s="885"/>
    </row>
    <row r="1393" spans="1:12" ht="12" customHeight="1" thickBot="1">
      <c r="A1393" s="884"/>
      <c r="B1393" s="1278"/>
      <c r="C1393" s="891" t="s">
        <v>18224</v>
      </c>
      <c r="D1393" s="1267">
        <f>SUMPRODUCT(($A$2:$A$1295="")*($J$2:$J$1295="１２新日本"))</f>
        <v>0</v>
      </c>
      <c r="E1393" s="1268"/>
      <c r="F1393" s="1268"/>
      <c r="G1393" s="1302"/>
      <c r="H1393" s="1351"/>
      <c r="I1393" s="1351"/>
      <c r="J1393" s="1352"/>
      <c r="K1393" s="1354"/>
      <c r="L1393" s="885"/>
    </row>
    <row r="1394" spans="1:12" ht="12" customHeight="1">
      <c r="A1394" s="884"/>
      <c r="B1394" s="1271" t="s">
        <v>18236</v>
      </c>
      <c r="C1394" s="894" t="s">
        <v>18218</v>
      </c>
      <c r="D1394" s="1269">
        <f>SUMPRODUCT(($A$2:$A$1295="○")*($J$2:$J$1295="１３諸派"))</f>
        <v>0</v>
      </c>
      <c r="E1394" s="1270"/>
      <c r="F1394" s="1270"/>
      <c r="G1394" s="1317">
        <f t="shared" ref="G1394" si="74">SUM(D1394:F1396)</f>
        <v>0</v>
      </c>
      <c r="H1394" s="1323" t="s">
        <v>18241</v>
      </c>
      <c r="I1394" s="1323"/>
      <c r="J1394" s="1219"/>
      <c r="K1394" s="1358">
        <f t="shared" ref="K1394" si="75">SUM(D1394:F1400)</f>
        <v>25</v>
      </c>
      <c r="L1394" s="885"/>
    </row>
    <row r="1395" spans="1:12" ht="12" customHeight="1">
      <c r="A1395" s="884"/>
      <c r="B1395" s="1272"/>
      <c r="C1395" s="890" t="s">
        <v>18219</v>
      </c>
      <c r="D1395" s="1265">
        <f>SUMPRODUCT(($A$2:$A$1295="△")*($J$2:$J$1295="１３諸派"))</f>
        <v>0</v>
      </c>
      <c r="E1395" s="1266"/>
      <c r="F1395" s="1266"/>
      <c r="G1395" s="1318"/>
      <c r="H1395" s="1324">
        <f t="shared" ref="H1395" si="76">ROUNDUP(D1397/3,0)</f>
        <v>0</v>
      </c>
      <c r="I1395" s="1324"/>
      <c r="J1395" s="1325"/>
      <c r="K1395" s="1353"/>
      <c r="L1395" s="885"/>
    </row>
    <row r="1396" spans="1:12" ht="12" customHeight="1">
      <c r="A1396" s="884"/>
      <c r="B1396" s="1272"/>
      <c r="C1396" s="890" t="s">
        <v>18220</v>
      </c>
      <c r="D1396" s="1265">
        <f>SUMPRODUCT(($A$2:$A$1295="☆")*($J$2:$J$1295="１３諸派"))</f>
        <v>0</v>
      </c>
      <c r="E1396" s="1266"/>
      <c r="F1396" s="1266"/>
      <c r="G1396" s="1319"/>
      <c r="H1396" s="1326"/>
      <c r="I1396" s="1326"/>
      <c r="J1396" s="1327"/>
      <c r="K1396" s="1353"/>
      <c r="L1396" s="885"/>
    </row>
    <row r="1397" spans="1:12" ht="12" customHeight="1">
      <c r="A1397" s="884"/>
      <c r="B1397" s="1272"/>
      <c r="C1397" s="890" t="s">
        <v>18221</v>
      </c>
      <c r="D1397" s="1265">
        <f>SUMPRODUCT(($A$2:$A$1295="★")*($J$2:$J$1295="１３諸派"))</f>
        <v>0</v>
      </c>
      <c r="E1397" s="1266"/>
      <c r="F1397" s="1266"/>
      <c r="G1397" s="1300">
        <f t="shared" ref="G1397" si="77">SUM(D1397:F1400)</f>
        <v>25</v>
      </c>
      <c r="H1397" s="1324">
        <f t="shared" ref="H1397" si="78">ROUNDUP(D1396/3,0)</f>
        <v>0</v>
      </c>
      <c r="I1397" s="1324"/>
      <c r="J1397" s="1325"/>
      <c r="K1397" s="1353"/>
      <c r="L1397" s="885"/>
    </row>
    <row r="1398" spans="1:12" ht="12" customHeight="1">
      <c r="A1398" s="884"/>
      <c r="B1398" s="1272"/>
      <c r="C1398" s="890" t="s">
        <v>18222</v>
      </c>
      <c r="D1398" s="1265">
        <f>SUMPRODUCT(($A$2:$A$1295="▲")*($J$2:$J$1295="１３諸派"))</f>
        <v>0</v>
      </c>
      <c r="E1398" s="1266"/>
      <c r="F1398" s="1266"/>
      <c r="G1398" s="1301"/>
      <c r="H1398" s="1326"/>
      <c r="I1398" s="1326"/>
      <c r="J1398" s="1327"/>
      <c r="K1398" s="1353"/>
      <c r="L1398" s="885"/>
    </row>
    <row r="1399" spans="1:12" ht="12" customHeight="1">
      <c r="A1399" s="884"/>
      <c r="B1399" s="1272"/>
      <c r="C1399" s="890" t="s">
        <v>18223</v>
      </c>
      <c r="D1399" s="1265">
        <f>SUMPRODUCT(($A$2:$A$1295="×")*($J$2:$J$1295="１３諸派"))</f>
        <v>0</v>
      </c>
      <c r="E1399" s="1266"/>
      <c r="F1399" s="1266"/>
      <c r="G1399" s="1301"/>
      <c r="H1399" s="1328" t="s">
        <v>18240</v>
      </c>
      <c r="I1399" s="1328"/>
      <c r="J1399" s="1329"/>
      <c r="K1399" s="1353"/>
      <c r="L1399" s="885"/>
    </row>
    <row r="1400" spans="1:12" ht="12" customHeight="1" thickBot="1">
      <c r="A1400" s="884"/>
      <c r="B1400" s="1273"/>
      <c r="C1400" s="891" t="s">
        <v>18224</v>
      </c>
      <c r="D1400" s="1267">
        <f>SUMPRODUCT(($A$2:$A$1295="")*($J$2:$J$1295="１３諸派"))</f>
        <v>25</v>
      </c>
      <c r="E1400" s="1268"/>
      <c r="F1400" s="1268"/>
      <c r="G1400" s="1302"/>
      <c r="H1400" s="1351"/>
      <c r="I1400" s="1351"/>
      <c r="J1400" s="1352"/>
      <c r="K1400" s="1354"/>
      <c r="L1400" s="885"/>
    </row>
    <row r="1401" spans="1:12" ht="12" customHeight="1">
      <c r="A1401" s="884"/>
      <c r="B1401" s="1274" t="s">
        <v>18237</v>
      </c>
      <c r="C1401" s="889" t="s">
        <v>18218</v>
      </c>
      <c r="D1401" s="1315">
        <f>SUMPRODUCT(($A$2:$A$1295="○")*($J$2:$J$1295="１４無所属"))</f>
        <v>0</v>
      </c>
      <c r="E1401" s="1316"/>
      <c r="F1401" s="1316"/>
      <c r="G1401" s="1320">
        <f t="shared" ref="G1401" si="79">SUM(D1401:F1403)</f>
        <v>3</v>
      </c>
      <c r="H1401" s="1173" t="s">
        <v>18241</v>
      </c>
      <c r="I1401" s="1173"/>
      <c r="J1401" s="1214"/>
      <c r="K1401" s="1353">
        <f t="shared" ref="K1401" si="80">SUM(D1401:F1407)</f>
        <v>49</v>
      </c>
      <c r="L1401" s="885"/>
    </row>
    <row r="1402" spans="1:12" ht="12" customHeight="1">
      <c r="A1402" s="884"/>
      <c r="B1402" s="1274"/>
      <c r="C1402" s="890" t="s">
        <v>18219</v>
      </c>
      <c r="D1402" s="1265">
        <f>SUMPRODUCT(($A$2:$A$1295="△")*($J$2:$J$1295="１４無所属"))</f>
        <v>2</v>
      </c>
      <c r="E1402" s="1266"/>
      <c r="F1402" s="1266"/>
      <c r="G1402" s="1320"/>
      <c r="H1402" s="1324">
        <f t="shared" ref="H1402" si="81">ROUNDUP(D1404/3,0)</f>
        <v>1</v>
      </c>
      <c r="I1402" s="1324"/>
      <c r="J1402" s="1325"/>
      <c r="K1402" s="1353"/>
      <c r="L1402" s="885"/>
    </row>
    <row r="1403" spans="1:12" ht="12" customHeight="1">
      <c r="A1403" s="884"/>
      <c r="B1403" s="1274"/>
      <c r="C1403" s="890" t="s">
        <v>18220</v>
      </c>
      <c r="D1403" s="1265">
        <f>SUMPRODUCT(($A$2:$A$1295="☆")*($J$2:$J$1295="１４無所属"))</f>
        <v>1</v>
      </c>
      <c r="E1403" s="1266"/>
      <c r="F1403" s="1266"/>
      <c r="G1403" s="1321"/>
      <c r="H1403" s="1326"/>
      <c r="I1403" s="1326"/>
      <c r="J1403" s="1327"/>
      <c r="K1403" s="1353"/>
      <c r="L1403" s="885"/>
    </row>
    <row r="1404" spans="1:12" ht="12" customHeight="1">
      <c r="A1404" s="884"/>
      <c r="B1404" s="1274"/>
      <c r="C1404" s="890" t="s">
        <v>18221</v>
      </c>
      <c r="D1404" s="1265">
        <f>SUMPRODUCT(($A$2:$A$1295="★")*($J$2:$J$1295="１４無所属"))</f>
        <v>3</v>
      </c>
      <c r="E1404" s="1266"/>
      <c r="F1404" s="1266"/>
      <c r="G1404" s="1300">
        <f t="shared" ref="G1404" si="82">SUM(D1404:F1407)</f>
        <v>46</v>
      </c>
      <c r="H1404" s="1324">
        <f t="shared" ref="H1404" si="83">ROUNDUP(D1403/3,0)</f>
        <v>1</v>
      </c>
      <c r="I1404" s="1324"/>
      <c r="J1404" s="1325"/>
      <c r="K1404" s="1353"/>
      <c r="L1404" s="885"/>
    </row>
    <row r="1405" spans="1:12" ht="12" customHeight="1">
      <c r="A1405" s="884"/>
      <c r="B1405" s="1274"/>
      <c r="C1405" s="890" t="s">
        <v>18222</v>
      </c>
      <c r="D1405" s="1265">
        <f>SUMPRODUCT(($A$2:$A$1295="▲")*($J$2:$J$1295="１４無所属"))</f>
        <v>8</v>
      </c>
      <c r="E1405" s="1266"/>
      <c r="F1405" s="1266"/>
      <c r="G1405" s="1301"/>
      <c r="H1405" s="1326"/>
      <c r="I1405" s="1326"/>
      <c r="J1405" s="1327"/>
      <c r="K1405" s="1353"/>
      <c r="L1405" s="885"/>
    </row>
    <row r="1406" spans="1:12" ht="12" customHeight="1">
      <c r="A1406" s="884"/>
      <c r="B1406" s="1274"/>
      <c r="C1406" s="890" t="s">
        <v>18223</v>
      </c>
      <c r="D1406" s="1265">
        <f>SUMPRODUCT(($A$2:$A$1295="×")*($J$2:$J$1295="１４無所属"))</f>
        <v>6</v>
      </c>
      <c r="E1406" s="1266"/>
      <c r="F1406" s="1266"/>
      <c r="G1406" s="1301"/>
      <c r="H1406" s="1328" t="s">
        <v>18240</v>
      </c>
      <c r="I1406" s="1328"/>
      <c r="J1406" s="1329"/>
      <c r="K1406" s="1353"/>
      <c r="L1406" s="885"/>
    </row>
    <row r="1407" spans="1:12" ht="12" customHeight="1" thickBot="1">
      <c r="A1407" s="884"/>
      <c r="B1407" s="1275"/>
      <c r="C1407" s="891" t="s">
        <v>18224</v>
      </c>
      <c r="D1407" s="1267">
        <f>SUMPRODUCT(($A$2:$A$1295="")*($J$2:$J$1295="１４無所属"))</f>
        <v>29</v>
      </c>
      <c r="E1407" s="1268"/>
      <c r="F1407" s="1268"/>
      <c r="G1407" s="1302"/>
      <c r="H1407" s="1351"/>
      <c r="I1407" s="1351"/>
      <c r="J1407" s="1352"/>
      <c r="K1407" s="1354"/>
      <c r="L1407" s="885"/>
    </row>
    <row r="1408" spans="1:12" ht="12" customHeight="1">
      <c r="B1408" s="656"/>
      <c r="C1408" s="685"/>
      <c r="D1408" s="685"/>
      <c r="E1408" s="657"/>
      <c r="F1408" s="685"/>
      <c r="G1408" s="684"/>
      <c r="H1408" s="685"/>
      <c r="I1408" s="685"/>
      <c r="J1408" s="656"/>
      <c r="K1408" s="685"/>
    </row>
  </sheetData>
  <sortState ref="A2:AE1295">
    <sortCondition ref="B2:B1295"/>
  </sortState>
  <mergeCells count="227">
    <mergeCell ref="K1401:K1407"/>
    <mergeCell ref="B1308:K1308"/>
    <mergeCell ref="K1359:K1365"/>
    <mergeCell ref="K1366:K1372"/>
    <mergeCell ref="K1373:K1379"/>
    <mergeCell ref="K1380:K1386"/>
    <mergeCell ref="K1387:K1393"/>
    <mergeCell ref="K1394:K1400"/>
    <mergeCell ref="K1310:K1316"/>
    <mergeCell ref="K1317:K1323"/>
    <mergeCell ref="K1324:K1330"/>
    <mergeCell ref="K1331:K1337"/>
    <mergeCell ref="K1338:K1344"/>
    <mergeCell ref="K1345:K1351"/>
    <mergeCell ref="K1352:K1358"/>
    <mergeCell ref="H1400:J1400"/>
    <mergeCell ref="H1401:J1401"/>
    <mergeCell ref="H1402:J1403"/>
    <mergeCell ref="H1404:J1405"/>
    <mergeCell ref="H1406:J1406"/>
    <mergeCell ref="H1407:J1407"/>
    <mergeCell ref="H1392:J1392"/>
    <mergeCell ref="H1393:J1393"/>
    <mergeCell ref="H1394:J1394"/>
    <mergeCell ref="H1395:J1396"/>
    <mergeCell ref="H1397:J1398"/>
    <mergeCell ref="H1399:J1399"/>
    <mergeCell ref="H1383:J1384"/>
    <mergeCell ref="H1385:J1385"/>
    <mergeCell ref="H1386:J1386"/>
    <mergeCell ref="H1387:J1387"/>
    <mergeCell ref="H1388:J1389"/>
    <mergeCell ref="H1390:J1391"/>
    <mergeCell ref="H1374:J1375"/>
    <mergeCell ref="H1376:J1377"/>
    <mergeCell ref="H1378:J1378"/>
    <mergeCell ref="H1379:J1379"/>
    <mergeCell ref="H1380:J1380"/>
    <mergeCell ref="H1381:J1382"/>
    <mergeCell ref="H1366:J1366"/>
    <mergeCell ref="H1367:J1368"/>
    <mergeCell ref="H1369:J1370"/>
    <mergeCell ref="H1371:J1371"/>
    <mergeCell ref="H1372:J1372"/>
    <mergeCell ref="H1373:J1373"/>
    <mergeCell ref="H1358:J1358"/>
    <mergeCell ref="H1359:J1359"/>
    <mergeCell ref="H1360:J1361"/>
    <mergeCell ref="H1362:J1363"/>
    <mergeCell ref="H1364:J1364"/>
    <mergeCell ref="H1365:J1365"/>
    <mergeCell ref="H1350:J1350"/>
    <mergeCell ref="H1351:J1351"/>
    <mergeCell ref="H1352:J1352"/>
    <mergeCell ref="H1353:J1354"/>
    <mergeCell ref="H1355:J1356"/>
    <mergeCell ref="H1357:J1357"/>
    <mergeCell ref="H1341:J1342"/>
    <mergeCell ref="H1343:J1343"/>
    <mergeCell ref="H1344:J1344"/>
    <mergeCell ref="H1345:J1345"/>
    <mergeCell ref="H1346:J1347"/>
    <mergeCell ref="H1348:J1349"/>
    <mergeCell ref="H1332:J1333"/>
    <mergeCell ref="H1334:J1335"/>
    <mergeCell ref="H1336:J1336"/>
    <mergeCell ref="H1337:J1337"/>
    <mergeCell ref="H1338:J1338"/>
    <mergeCell ref="H1339:J1340"/>
    <mergeCell ref="H1324:J1324"/>
    <mergeCell ref="H1325:J1326"/>
    <mergeCell ref="H1327:J1328"/>
    <mergeCell ref="H1329:J1329"/>
    <mergeCell ref="H1330:J1330"/>
    <mergeCell ref="H1331:J1331"/>
    <mergeCell ref="H1316:J1316"/>
    <mergeCell ref="H1317:J1317"/>
    <mergeCell ref="H1318:J1319"/>
    <mergeCell ref="H1320:J1321"/>
    <mergeCell ref="H1322:J1322"/>
    <mergeCell ref="H1323:J1323"/>
    <mergeCell ref="G1390:G1393"/>
    <mergeCell ref="G1394:G1396"/>
    <mergeCell ref="G1397:G1400"/>
    <mergeCell ref="G1401:G1403"/>
    <mergeCell ref="G1404:G1407"/>
    <mergeCell ref="H1309:J1309"/>
    <mergeCell ref="H1310:J1310"/>
    <mergeCell ref="H1311:J1312"/>
    <mergeCell ref="H1313:J1314"/>
    <mergeCell ref="H1315:J1315"/>
    <mergeCell ref="G1369:G1372"/>
    <mergeCell ref="G1373:G1375"/>
    <mergeCell ref="G1376:G1379"/>
    <mergeCell ref="G1380:G1382"/>
    <mergeCell ref="G1383:G1386"/>
    <mergeCell ref="G1387:G1389"/>
    <mergeCell ref="G1348:G1351"/>
    <mergeCell ref="G1352:G1354"/>
    <mergeCell ref="G1355:G1358"/>
    <mergeCell ref="G1359:G1361"/>
    <mergeCell ref="G1362:G1365"/>
    <mergeCell ref="G1366:G1368"/>
    <mergeCell ref="G1327:G1330"/>
    <mergeCell ref="G1331:G1333"/>
    <mergeCell ref="G1334:G1337"/>
    <mergeCell ref="G1338:G1340"/>
    <mergeCell ref="G1341:G1344"/>
    <mergeCell ref="G1345:G1347"/>
    <mergeCell ref="D1403:F1403"/>
    <mergeCell ref="D1404:F1404"/>
    <mergeCell ref="D1405:F1405"/>
    <mergeCell ref="D1406:F1406"/>
    <mergeCell ref="D1407:F1407"/>
    <mergeCell ref="D1401:F1401"/>
    <mergeCell ref="D1402:F1402"/>
    <mergeCell ref="D1382:F1382"/>
    <mergeCell ref="D1383:F1383"/>
    <mergeCell ref="D1384:F1384"/>
    <mergeCell ref="D1373:F1373"/>
    <mergeCell ref="D1374:F1374"/>
    <mergeCell ref="D1375:F1375"/>
    <mergeCell ref="D1376:F1376"/>
    <mergeCell ref="D1377:F1377"/>
    <mergeCell ref="D1378:F1378"/>
    <mergeCell ref="D1367:F1367"/>
    <mergeCell ref="D1368:F1368"/>
    <mergeCell ref="D1369:F1369"/>
    <mergeCell ref="D1370:F1370"/>
    <mergeCell ref="G1310:G1312"/>
    <mergeCell ref="G1313:G1316"/>
    <mergeCell ref="G1317:G1319"/>
    <mergeCell ref="G1320:G1323"/>
    <mergeCell ref="G1324:G1326"/>
    <mergeCell ref="D1397:F1397"/>
    <mergeCell ref="D1398:F1398"/>
    <mergeCell ref="D1399:F1399"/>
    <mergeCell ref="D1400:F1400"/>
    <mergeCell ref="D1391:F1391"/>
    <mergeCell ref="D1392:F1392"/>
    <mergeCell ref="D1393:F1393"/>
    <mergeCell ref="D1394:F1394"/>
    <mergeCell ref="D1395:F1395"/>
    <mergeCell ref="D1396:F1396"/>
    <mergeCell ref="D1385:F1385"/>
    <mergeCell ref="D1386:F1386"/>
    <mergeCell ref="D1387:F1387"/>
    <mergeCell ref="D1388:F1388"/>
    <mergeCell ref="D1389:F1389"/>
    <mergeCell ref="D1390:F1390"/>
    <mergeCell ref="D1379:F1379"/>
    <mergeCell ref="D1380:F1380"/>
    <mergeCell ref="D1381:F1381"/>
    <mergeCell ref="D1371:F1371"/>
    <mergeCell ref="D1372:F1372"/>
    <mergeCell ref="D1361:F1361"/>
    <mergeCell ref="D1362:F1362"/>
    <mergeCell ref="D1363:F1363"/>
    <mergeCell ref="D1364:F1364"/>
    <mergeCell ref="D1365:F1365"/>
    <mergeCell ref="D1366:F1366"/>
    <mergeCell ref="D1355:F1355"/>
    <mergeCell ref="D1356:F1356"/>
    <mergeCell ref="D1357:F1357"/>
    <mergeCell ref="D1358:F1358"/>
    <mergeCell ref="D1359:F1359"/>
    <mergeCell ref="D1360:F1360"/>
    <mergeCell ref="D1349:F1349"/>
    <mergeCell ref="D1350:F1350"/>
    <mergeCell ref="D1351:F1351"/>
    <mergeCell ref="D1352:F1352"/>
    <mergeCell ref="D1353:F1353"/>
    <mergeCell ref="D1354:F1354"/>
    <mergeCell ref="D1343:F1343"/>
    <mergeCell ref="D1344:F1344"/>
    <mergeCell ref="D1345:F1345"/>
    <mergeCell ref="D1346:F1346"/>
    <mergeCell ref="D1347:F1347"/>
    <mergeCell ref="D1348:F1348"/>
    <mergeCell ref="B1394:B1400"/>
    <mergeCell ref="B1401:B1407"/>
    <mergeCell ref="D1317:F1317"/>
    <mergeCell ref="D1318:F1318"/>
    <mergeCell ref="D1319:F1319"/>
    <mergeCell ref="D1320:F1320"/>
    <mergeCell ref="D1321:F1321"/>
    <mergeCell ref="D1322:F1322"/>
    <mergeCell ref="D1323:F1323"/>
    <mergeCell ref="D1324:F1324"/>
    <mergeCell ref="B1387:B1393"/>
    <mergeCell ref="B1345:B1351"/>
    <mergeCell ref="B1352:B1358"/>
    <mergeCell ref="B1359:B1365"/>
    <mergeCell ref="B1366:B1372"/>
    <mergeCell ref="B1373:B1379"/>
    <mergeCell ref="B1380:B1386"/>
    <mergeCell ref="D1337:F1337"/>
    <mergeCell ref="D1338:F1338"/>
    <mergeCell ref="D1339:F1339"/>
    <mergeCell ref="D1340:F1340"/>
    <mergeCell ref="D1341:F1341"/>
    <mergeCell ref="D1342:F1342"/>
    <mergeCell ref="D1331:F1331"/>
    <mergeCell ref="D1309:F1309"/>
    <mergeCell ref="B1310:B1316"/>
    <mergeCell ref="B1317:B1323"/>
    <mergeCell ref="B1324:B1330"/>
    <mergeCell ref="B1331:B1337"/>
    <mergeCell ref="B1338:B1344"/>
    <mergeCell ref="D1327:F1327"/>
    <mergeCell ref="D1328:F1328"/>
    <mergeCell ref="D1329:F1329"/>
    <mergeCell ref="D1330:F1330"/>
    <mergeCell ref="D1310:F1310"/>
    <mergeCell ref="D1311:F1311"/>
    <mergeCell ref="D1312:F1312"/>
    <mergeCell ref="D1313:F1313"/>
    <mergeCell ref="D1314:F1314"/>
    <mergeCell ref="D1315:F1315"/>
    <mergeCell ref="D1316:F1316"/>
    <mergeCell ref="D1325:F1325"/>
    <mergeCell ref="D1326:F1326"/>
    <mergeCell ref="D1332:F1332"/>
    <mergeCell ref="D1333:F1333"/>
    <mergeCell ref="D1334:F1334"/>
    <mergeCell ref="D1335:F1335"/>
    <mergeCell ref="D1336:F1336"/>
  </mergeCells>
  <phoneticPr fontId="3"/>
  <conditionalFormatting sqref="A1:XFD1307 A1408:XFD1048576 B1317:C1317 B1324:C1324 C1318:C1323 C1325:C1330 B1331:C1331 C1332:C1337 B1338:C1338 B1345:C1345 C1339:C1344 C1346:C1351 B1352:C1352 B1359:C1359 C1353:C1358 C1360:C1365 B1366:C1366 B1373:C1373 C1367:C1372 C1374:C1379 B1380:C1380 B1387:C1387 C1381:C1386 C1388:C1393 A1309:D1310 C1311:D1316 A1311:A1407 B1394:C1394 B1401:C1401 C1395:C1400 C1402:C1407 G1317 G1324 G1331 G1338 G1345 G1352 G1359 G1366 G1373 G1380 G1387 G1394 G1401 G1309:H1310 H1311 G1313:H1313 H1316:H1318 G1320:H1320 G1327:H1327 G1334:H1334 H1323:H1325 H1330:H1332 K1309:XFD1310 H1337:H1339 G1341:H1341 H1344:H1346 G1348:H1348 G1355:H1355 G1362:H1362 H1351:H1353 H1358:H1360 G1369:H1369 G1376:H1376 G1383:H1383 G1390:H1390 G1397:H1397 G1404:H1404 H1365:H1367 H1372:H1374 H1379:H1381 H1386:H1388 H1393:H1395 H1400:H1402 H1407 L1311:XFD1407 K1317 K1324 K1331 K1338 K1345 K1352 K1359 K1366 K1373 K1380 K1387 K1394 K1401 A1308:B1308 L1308:XFD1308">
    <cfRule type="containsText" dxfId="881" priority="16" operator="containsText" text="？">
      <formula>NOT(ISERROR(SEARCH("？",A1)))</formula>
    </cfRule>
  </conditionalFormatting>
  <conditionalFormatting sqref="E1:E1307 E1408:E1048576">
    <cfRule type="containsText" dxfId="880" priority="15" operator="containsText" text="女">
      <formula>NOT(ISERROR(SEARCH("女",E1)))</formula>
    </cfRule>
  </conditionalFormatting>
  <conditionalFormatting sqref="D1317:D1323">
    <cfRule type="containsText" dxfId="879" priority="14" operator="containsText" text="？">
      <formula>NOT(ISERROR(SEARCH("？",D1317)))</formula>
    </cfRule>
  </conditionalFormatting>
  <conditionalFormatting sqref="D1324:D1330">
    <cfRule type="containsText" dxfId="878" priority="13" operator="containsText" text="？">
      <formula>NOT(ISERROR(SEARCH("？",D1324)))</formula>
    </cfRule>
  </conditionalFormatting>
  <conditionalFormatting sqref="D1331:D1337">
    <cfRule type="containsText" dxfId="877" priority="12" operator="containsText" text="？">
      <formula>NOT(ISERROR(SEARCH("？",D1331)))</formula>
    </cfRule>
  </conditionalFormatting>
  <conditionalFormatting sqref="D1338:D1344">
    <cfRule type="containsText" dxfId="876" priority="11" operator="containsText" text="？">
      <formula>NOT(ISERROR(SEARCH("？",D1338)))</formula>
    </cfRule>
  </conditionalFormatting>
  <conditionalFormatting sqref="H1315 H1413 H1420 H1427 H1322 H1329 H1336 H1343 H1350 H1357 H1364 H1371 H1378 H1385 H1392 H1399 H1406">
    <cfRule type="containsText" dxfId="875" priority="1" operator="containsText" text="？">
      <formula>NOT(ISERROR(SEARCH("？",H1315)))</formula>
    </cfRule>
  </conditionalFormatting>
  <conditionalFormatting sqref="D1345:D1351">
    <cfRule type="containsText" dxfId="874" priority="10" operator="containsText" text="？">
      <formula>NOT(ISERROR(SEARCH("？",D1345)))</formula>
    </cfRule>
  </conditionalFormatting>
  <conditionalFormatting sqref="D1352:D1358">
    <cfRule type="containsText" dxfId="873" priority="9" operator="containsText" text="？">
      <formula>NOT(ISERROR(SEARCH("？",D1352)))</formula>
    </cfRule>
  </conditionalFormatting>
  <conditionalFormatting sqref="D1359:D1365">
    <cfRule type="containsText" dxfId="872" priority="8" operator="containsText" text="？">
      <formula>NOT(ISERROR(SEARCH("？",D1359)))</formula>
    </cfRule>
  </conditionalFormatting>
  <conditionalFormatting sqref="D1366:D1372">
    <cfRule type="containsText" dxfId="871" priority="7" operator="containsText" text="？">
      <formula>NOT(ISERROR(SEARCH("？",D1366)))</formula>
    </cfRule>
  </conditionalFormatting>
  <conditionalFormatting sqref="D1373:D1379">
    <cfRule type="containsText" dxfId="870" priority="6" operator="containsText" text="？">
      <formula>NOT(ISERROR(SEARCH("？",D1373)))</formula>
    </cfRule>
  </conditionalFormatting>
  <conditionalFormatting sqref="D1380:D1386">
    <cfRule type="containsText" dxfId="869" priority="5" operator="containsText" text="？">
      <formula>NOT(ISERROR(SEARCH("？",D1380)))</formula>
    </cfRule>
  </conditionalFormatting>
  <conditionalFormatting sqref="D1387:D1393">
    <cfRule type="containsText" dxfId="868" priority="4" operator="containsText" text="？">
      <formula>NOT(ISERROR(SEARCH("？",D1387)))</formula>
    </cfRule>
  </conditionalFormatting>
  <conditionalFormatting sqref="D1394:D1400">
    <cfRule type="containsText" dxfId="867" priority="3" operator="containsText" text="？">
      <formula>NOT(ISERROR(SEARCH("？",D1394)))</formula>
    </cfRule>
  </conditionalFormatting>
  <conditionalFormatting sqref="D1401:D1407">
    <cfRule type="containsText" dxfId="866" priority="2" operator="containsText" text="？">
      <formula>NOT(ISERROR(SEARCH("？",D1401)))</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AF1128"/>
  <sheetViews>
    <sheetView workbookViewId="0">
      <pane xSplit="4" ySplit="1" topLeftCell="E2" activePane="bottomRight" state="frozen"/>
      <selection pane="topRight" activeCell="C1" sqref="C1"/>
      <selection pane="bottomLeft" activeCell="A2" sqref="A2"/>
      <selection pane="bottomRight"/>
    </sheetView>
  </sheetViews>
  <sheetFormatPr defaultRowHeight="12" customHeight="1"/>
  <cols>
    <col min="1" max="1" width="9" style="4"/>
    <col min="2" max="2" width="2.625" style="1" customWidth="1"/>
    <col min="3" max="3" width="6.625" style="1" customWidth="1"/>
    <col min="4" max="4" width="10.625" style="1" customWidth="1"/>
    <col min="5" max="5" width="2.625" style="1" customWidth="1"/>
    <col min="6" max="6" width="2.625" style="2" customWidth="1"/>
    <col min="7" max="7" width="2.625" style="1" customWidth="1"/>
    <col min="8" max="8" width="5.625" style="3" customWidth="1"/>
    <col min="9" max="10" width="1.625" style="1" customWidth="1"/>
    <col min="11" max="11" width="5.625" style="4" customWidth="1"/>
    <col min="12" max="12" width="5.125" style="1" customWidth="1"/>
    <col min="13" max="13" width="2.625" style="1" customWidth="1"/>
    <col min="14" max="14" width="2.625" style="16" customWidth="1"/>
    <col min="15" max="15" width="2.625" style="17" customWidth="1"/>
    <col min="16" max="16" width="8.625" style="3" customWidth="1"/>
    <col min="17" max="17" width="8.125" style="20" customWidth="1"/>
    <col min="18" max="18" width="23.625" style="3" customWidth="1"/>
    <col min="19" max="19" width="27.625" style="3" customWidth="1"/>
    <col min="20" max="20" width="5.625" style="3" customWidth="1"/>
    <col min="21" max="21" width="4.625" style="3" customWidth="1"/>
    <col min="22" max="31" width="2" style="2" customWidth="1"/>
    <col min="32" max="16384" width="9" style="3"/>
  </cols>
  <sheetData>
    <row r="1" spans="1:32" ht="12" customHeight="1" thickBot="1">
      <c r="A1" s="658" t="s">
        <v>132</v>
      </c>
      <c r="B1" s="659" t="s">
        <v>12587</v>
      </c>
      <c r="C1" s="659" t="s">
        <v>12588</v>
      </c>
      <c r="D1" s="659" t="s">
        <v>133</v>
      </c>
      <c r="E1" s="659" t="s">
        <v>134</v>
      </c>
      <c r="F1" s="660" t="s">
        <v>135</v>
      </c>
      <c r="G1" s="659" t="s">
        <v>136</v>
      </c>
      <c r="H1" s="659" t="s">
        <v>15250</v>
      </c>
      <c r="I1" s="659" t="s">
        <v>15251</v>
      </c>
      <c r="J1" s="659"/>
      <c r="K1" s="659" t="s">
        <v>137</v>
      </c>
      <c r="L1" s="659" t="s">
        <v>138</v>
      </c>
      <c r="M1" s="659" t="s">
        <v>25</v>
      </c>
      <c r="N1" s="661" t="s">
        <v>139</v>
      </c>
      <c r="O1" s="662" t="s">
        <v>140</v>
      </c>
      <c r="P1" s="659" t="s">
        <v>141</v>
      </c>
      <c r="Q1" s="663" t="s">
        <v>142</v>
      </c>
      <c r="R1" s="659" t="s">
        <v>143</v>
      </c>
      <c r="S1" s="659" t="s">
        <v>144</v>
      </c>
      <c r="T1" s="659" t="s">
        <v>5175</v>
      </c>
      <c r="U1" s="659" t="s">
        <v>1005</v>
      </c>
      <c r="V1" s="660" t="s">
        <v>47</v>
      </c>
      <c r="W1" s="660" t="s">
        <v>145</v>
      </c>
      <c r="X1" s="660" t="s">
        <v>75</v>
      </c>
      <c r="Y1" s="660" t="s">
        <v>229</v>
      </c>
      <c r="Z1" s="660" t="s">
        <v>155</v>
      </c>
      <c r="AA1" s="660" t="s">
        <v>85</v>
      </c>
      <c r="AB1" s="660" t="s">
        <v>104</v>
      </c>
      <c r="AC1" s="660" t="s">
        <v>147</v>
      </c>
      <c r="AD1" s="660" t="s">
        <v>146</v>
      </c>
      <c r="AE1" s="664" t="s">
        <v>69</v>
      </c>
      <c r="AF1" s="655"/>
    </row>
    <row r="2" spans="1:32" ht="12" customHeight="1">
      <c r="A2" s="709" t="s">
        <v>15675</v>
      </c>
      <c r="B2" s="687">
        <v>1</v>
      </c>
      <c r="C2" s="688" t="s">
        <v>1</v>
      </c>
      <c r="D2" s="689" t="s">
        <v>852</v>
      </c>
      <c r="E2" s="690">
        <f t="shared" ref="E2:E65" si="0">DATEDIF(Q2,$Q$1119,"Y")</f>
        <v>71</v>
      </c>
      <c r="F2" s="690" t="s">
        <v>5</v>
      </c>
      <c r="G2" s="689" t="s">
        <v>15273</v>
      </c>
      <c r="H2" s="691" t="s">
        <v>1317</v>
      </c>
      <c r="I2" s="689"/>
      <c r="J2" s="690"/>
      <c r="K2" s="692" t="s">
        <v>16126</v>
      </c>
      <c r="L2" s="689" t="s">
        <v>45</v>
      </c>
      <c r="M2" s="689" t="s">
        <v>25</v>
      </c>
      <c r="N2" s="693">
        <v>10</v>
      </c>
      <c r="O2" s="694">
        <v>13</v>
      </c>
      <c r="P2" s="691" t="s">
        <v>317</v>
      </c>
      <c r="Q2" s="695">
        <v>14979</v>
      </c>
      <c r="R2" s="691" t="s">
        <v>727</v>
      </c>
      <c r="S2" s="691" t="s">
        <v>803</v>
      </c>
      <c r="T2" s="691" t="s">
        <v>736</v>
      </c>
      <c r="U2" s="691" t="s">
        <v>634</v>
      </c>
      <c r="V2" s="690"/>
      <c r="W2" s="696"/>
      <c r="X2" s="696" t="s">
        <v>75</v>
      </c>
      <c r="Y2" s="696"/>
      <c r="Z2" s="696"/>
      <c r="AA2" s="696"/>
      <c r="AB2" s="696" t="s">
        <v>104</v>
      </c>
      <c r="AC2" s="696" t="s">
        <v>147</v>
      </c>
      <c r="AD2" s="696"/>
      <c r="AE2" s="697"/>
      <c r="AF2" s="655"/>
    </row>
    <row r="3" spans="1:32" ht="12" customHeight="1">
      <c r="A3" s="710" t="s">
        <v>15676</v>
      </c>
      <c r="B3" s="1">
        <v>1</v>
      </c>
      <c r="C3" s="4" t="s">
        <v>8</v>
      </c>
      <c r="D3" s="5" t="s">
        <v>3559</v>
      </c>
      <c r="E3" s="6">
        <f t="shared" si="0"/>
        <v>70</v>
      </c>
      <c r="F3" s="6" t="s">
        <v>5</v>
      </c>
      <c r="G3" s="5" t="s">
        <v>15273</v>
      </c>
      <c r="H3" s="7" t="s">
        <v>1318</v>
      </c>
      <c r="I3" s="5"/>
      <c r="J3" s="19"/>
      <c r="K3" s="8" t="s">
        <v>16127</v>
      </c>
      <c r="L3" s="5" t="s">
        <v>604</v>
      </c>
      <c r="M3" s="5" t="s">
        <v>25</v>
      </c>
      <c r="N3" s="9">
        <v>4</v>
      </c>
      <c r="O3" s="10">
        <v>4</v>
      </c>
      <c r="P3" s="7" t="s">
        <v>449</v>
      </c>
      <c r="Q3" s="11">
        <v>15669</v>
      </c>
      <c r="R3" s="7" t="s">
        <v>738</v>
      </c>
      <c r="S3" s="7" t="s">
        <v>823</v>
      </c>
      <c r="T3" s="7" t="s">
        <v>736</v>
      </c>
      <c r="U3" s="7"/>
      <c r="V3" s="6"/>
      <c r="AE3" s="698"/>
      <c r="AF3" s="655"/>
    </row>
    <row r="4" spans="1:32" ht="12" customHeight="1">
      <c r="A4" s="710" t="s">
        <v>15677</v>
      </c>
      <c r="B4" s="1">
        <v>1</v>
      </c>
      <c r="C4" s="4" t="s">
        <v>26</v>
      </c>
      <c r="D4" s="5" t="s">
        <v>870</v>
      </c>
      <c r="E4" s="6">
        <f t="shared" si="0"/>
        <v>66</v>
      </c>
      <c r="F4" s="6" t="s">
        <v>5</v>
      </c>
      <c r="G4" s="5" t="s">
        <v>15273</v>
      </c>
      <c r="H4" s="7" t="s">
        <v>1319</v>
      </c>
      <c r="I4" s="5"/>
      <c r="J4" s="19"/>
      <c r="K4" s="8" t="s">
        <v>16127</v>
      </c>
      <c r="L4" s="5" t="s">
        <v>24</v>
      </c>
      <c r="M4" s="5" t="s">
        <v>25</v>
      </c>
      <c r="N4" s="9">
        <v>5</v>
      </c>
      <c r="O4" s="10">
        <v>5</v>
      </c>
      <c r="P4" s="7" t="s">
        <v>317</v>
      </c>
      <c r="Q4" s="11">
        <v>16949</v>
      </c>
      <c r="R4" s="7" t="s">
        <v>799</v>
      </c>
      <c r="S4" s="7" t="s">
        <v>2527</v>
      </c>
      <c r="T4" s="7" t="s">
        <v>736</v>
      </c>
      <c r="U4" s="7" t="s">
        <v>47</v>
      </c>
      <c r="V4" s="2" t="s">
        <v>47</v>
      </c>
      <c r="AE4" s="698"/>
      <c r="AF4" s="655"/>
    </row>
    <row r="5" spans="1:32" ht="12" customHeight="1">
      <c r="A5" s="710" t="s">
        <v>15678</v>
      </c>
      <c r="B5" s="1">
        <v>1</v>
      </c>
      <c r="C5" s="4" t="s">
        <v>35</v>
      </c>
      <c r="D5" s="5" t="s">
        <v>921</v>
      </c>
      <c r="E5" s="6">
        <f t="shared" si="0"/>
        <v>64</v>
      </c>
      <c r="F5" s="6" t="s">
        <v>5</v>
      </c>
      <c r="G5" s="5" t="s">
        <v>15273</v>
      </c>
      <c r="H5" s="7" t="s">
        <v>1320</v>
      </c>
      <c r="I5" s="5"/>
      <c r="J5" s="19"/>
      <c r="K5" s="8" t="s">
        <v>16127</v>
      </c>
      <c r="L5" s="5" t="s">
        <v>45</v>
      </c>
      <c r="M5" s="5" t="s">
        <v>25</v>
      </c>
      <c r="N5" s="9">
        <v>7</v>
      </c>
      <c r="O5" s="10">
        <v>7</v>
      </c>
      <c r="P5" s="7" t="s">
        <v>23</v>
      </c>
      <c r="Q5" s="11">
        <v>17557</v>
      </c>
      <c r="R5" s="7" t="s">
        <v>763</v>
      </c>
      <c r="S5" s="7" t="s">
        <v>831</v>
      </c>
      <c r="T5" s="7" t="s">
        <v>736</v>
      </c>
      <c r="AE5" s="698"/>
      <c r="AF5" s="655"/>
    </row>
    <row r="6" spans="1:32" ht="12" customHeight="1">
      <c r="A6" s="710" t="s">
        <v>15679</v>
      </c>
      <c r="B6" s="1">
        <v>1</v>
      </c>
      <c r="C6" s="4" t="s">
        <v>39</v>
      </c>
      <c r="D6" s="1" t="s">
        <v>43</v>
      </c>
      <c r="E6" s="6">
        <f t="shared" si="0"/>
        <v>40</v>
      </c>
      <c r="F6" s="2" t="s">
        <v>5</v>
      </c>
      <c r="G6" s="5" t="s">
        <v>15273</v>
      </c>
      <c r="K6" s="4" t="s">
        <v>16127</v>
      </c>
      <c r="L6" s="1" t="s">
        <v>44</v>
      </c>
      <c r="M6" s="1" t="s">
        <v>6</v>
      </c>
      <c r="P6" s="3" t="s">
        <v>23</v>
      </c>
      <c r="Q6" s="20">
        <v>26331</v>
      </c>
      <c r="R6" s="3" t="s">
        <v>46</v>
      </c>
      <c r="U6" s="3" t="s">
        <v>47</v>
      </c>
      <c r="V6" s="2" t="s">
        <v>47</v>
      </c>
      <c r="AE6" s="698"/>
      <c r="AF6" s="655"/>
    </row>
    <row r="7" spans="1:32" ht="12" customHeight="1">
      <c r="A7" s="710" t="s">
        <v>15680</v>
      </c>
      <c r="B7" s="1">
        <v>1</v>
      </c>
      <c r="C7" s="4" t="s">
        <v>56</v>
      </c>
      <c r="D7" s="5" t="s">
        <v>874</v>
      </c>
      <c r="E7" s="6">
        <f t="shared" si="0"/>
        <v>63</v>
      </c>
      <c r="F7" s="6" t="s">
        <v>5</v>
      </c>
      <c r="G7" s="5" t="s">
        <v>15273</v>
      </c>
      <c r="H7" s="7" t="s">
        <v>1322</v>
      </c>
      <c r="I7" s="5"/>
      <c r="J7" s="19"/>
      <c r="K7" s="8" t="s">
        <v>16126</v>
      </c>
      <c r="L7" s="5" t="s">
        <v>45</v>
      </c>
      <c r="M7" s="5" t="s">
        <v>25</v>
      </c>
      <c r="N7" s="9">
        <v>2</v>
      </c>
      <c r="O7" s="10">
        <v>2</v>
      </c>
      <c r="P7" s="7" t="s">
        <v>1434</v>
      </c>
      <c r="Q7" s="11">
        <v>17967</v>
      </c>
      <c r="R7" s="7" t="s">
        <v>798</v>
      </c>
      <c r="S7" s="7" t="s">
        <v>826</v>
      </c>
      <c r="T7" s="7" t="s">
        <v>736</v>
      </c>
      <c r="U7" s="7" t="s">
        <v>148</v>
      </c>
      <c r="W7" s="2" t="s">
        <v>145</v>
      </c>
      <c r="AE7" s="698" t="s">
        <v>69</v>
      </c>
      <c r="AF7" s="655"/>
    </row>
    <row r="8" spans="1:32" ht="12" customHeight="1">
      <c r="A8" s="710" t="s">
        <v>15681</v>
      </c>
      <c r="B8" s="1">
        <v>1</v>
      </c>
      <c r="C8" s="4" t="s">
        <v>61</v>
      </c>
      <c r="D8" s="5" t="s">
        <v>915</v>
      </c>
      <c r="E8" s="6">
        <f t="shared" si="0"/>
        <v>53</v>
      </c>
      <c r="F8" s="6" t="s">
        <v>19</v>
      </c>
      <c r="G8" s="5" t="s">
        <v>15273</v>
      </c>
      <c r="H8" s="7" t="s">
        <v>1307</v>
      </c>
      <c r="I8" s="5"/>
      <c r="J8" s="19"/>
      <c r="K8" s="8" t="s">
        <v>16127</v>
      </c>
      <c r="L8" s="5" t="s">
        <v>45</v>
      </c>
      <c r="M8" s="5" t="s">
        <v>25</v>
      </c>
      <c r="N8" s="9">
        <v>3</v>
      </c>
      <c r="O8" s="10">
        <v>3</v>
      </c>
      <c r="P8" s="7" t="s">
        <v>448</v>
      </c>
      <c r="Q8" s="11">
        <v>21612</v>
      </c>
      <c r="R8" s="7" t="s">
        <v>795</v>
      </c>
      <c r="S8" s="7" t="s">
        <v>347</v>
      </c>
      <c r="T8" s="7" t="s">
        <v>736</v>
      </c>
      <c r="U8" s="3" t="s">
        <v>145</v>
      </c>
      <c r="W8" s="2" t="s">
        <v>145</v>
      </c>
      <c r="AE8" s="698"/>
      <c r="AF8" s="655"/>
    </row>
    <row r="9" spans="1:32" ht="12" customHeight="1">
      <c r="A9" s="710" t="s">
        <v>15682</v>
      </c>
      <c r="B9" s="1">
        <v>1</v>
      </c>
      <c r="C9" s="4" t="s">
        <v>70</v>
      </c>
      <c r="D9" s="5" t="s">
        <v>845</v>
      </c>
      <c r="E9" s="6">
        <f t="shared" si="0"/>
        <v>53</v>
      </c>
      <c r="F9" s="5" t="s">
        <v>5</v>
      </c>
      <c r="G9" s="5" t="s">
        <v>15273</v>
      </c>
      <c r="H9" s="7" t="s">
        <v>1324</v>
      </c>
      <c r="I9" s="5"/>
      <c r="J9" s="19"/>
      <c r="K9" s="8" t="s">
        <v>16127</v>
      </c>
      <c r="L9" s="5" t="s">
        <v>44</v>
      </c>
      <c r="M9" s="5" t="s">
        <v>25</v>
      </c>
      <c r="N9" s="9">
        <v>2</v>
      </c>
      <c r="O9" s="10">
        <v>2</v>
      </c>
      <c r="P9" s="7" t="s">
        <v>23</v>
      </c>
      <c r="Q9" s="11">
        <v>21664</v>
      </c>
      <c r="R9" s="7" t="s">
        <v>793</v>
      </c>
      <c r="S9" s="7" t="s">
        <v>811</v>
      </c>
      <c r="T9" s="7" t="s">
        <v>736</v>
      </c>
      <c r="U9" s="7" t="s">
        <v>75</v>
      </c>
      <c r="X9" s="2" t="s">
        <v>75</v>
      </c>
      <c r="AE9" s="698"/>
      <c r="AF9" s="655"/>
    </row>
    <row r="10" spans="1:32" ht="12" customHeight="1">
      <c r="A10" s="710" t="s">
        <v>15683</v>
      </c>
      <c r="B10" s="1">
        <v>1</v>
      </c>
      <c r="C10" s="4" t="s">
        <v>79</v>
      </c>
      <c r="D10" s="5" t="s">
        <v>2068</v>
      </c>
      <c r="E10" s="6">
        <f t="shared" si="0"/>
        <v>33</v>
      </c>
      <c r="F10" s="5" t="s">
        <v>5</v>
      </c>
      <c r="G10" s="5" t="s">
        <v>15273</v>
      </c>
      <c r="H10" s="7"/>
      <c r="I10" s="5"/>
      <c r="J10" s="19"/>
      <c r="K10" s="8" t="s">
        <v>16127</v>
      </c>
      <c r="L10" s="5" t="s">
        <v>737</v>
      </c>
      <c r="M10" s="5" t="s">
        <v>25</v>
      </c>
      <c r="N10" s="9">
        <v>1</v>
      </c>
      <c r="O10" s="10">
        <v>1</v>
      </c>
      <c r="P10" s="7" t="s">
        <v>31</v>
      </c>
      <c r="Q10" s="11">
        <v>29058</v>
      </c>
      <c r="R10" s="7" t="s">
        <v>1050</v>
      </c>
      <c r="S10" s="12"/>
      <c r="T10" s="12" t="s">
        <v>736</v>
      </c>
      <c r="U10" s="7" t="s">
        <v>258</v>
      </c>
      <c r="Z10" s="2" t="s">
        <v>155</v>
      </c>
      <c r="AB10" s="2" t="s">
        <v>104</v>
      </c>
      <c r="AE10" s="698"/>
      <c r="AF10" s="655"/>
    </row>
    <row r="11" spans="1:32" ht="12" customHeight="1">
      <c r="A11" s="710" t="s">
        <v>15684</v>
      </c>
      <c r="B11" s="1">
        <v>1</v>
      </c>
      <c r="C11" s="4" t="s">
        <v>90</v>
      </c>
      <c r="D11" s="5" t="s">
        <v>891</v>
      </c>
      <c r="E11" s="6">
        <f t="shared" si="0"/>
        <v>70</v>
      </c>
      <c r="F11" s="5" t="s">
        <v>5</v>
      </c>
      <c r="G11" s="5" t="s">
        <v>15273</v>
      </c>
      <c r="H11" s="7" t="s">
        <v>1325</v>
      </c>
      <c r="I11" s="5"/>
      <c r="J11" s="19"/>
      <c r="K11" s="4" t="s">
        <v>16127</v>
      </c>
      <c r="L11" s="5" t="s">
        <v>24</v>
      </c>
      <c r="M11" s="5" t="s">
        <v>25</v>
      </c>
      <c r="N11" s="9">
        <v>7</v>
      </c>
      <c r="O11" s="10">
        <v>7</v>
      </c>
      <c r="P11" s="7" t="s">
        <v>31</v>
      </c>
      <c r="Q11" s="11">
        <v>15418</v>
      </c>
      <c r="R11" s="7" t="s">
        <v>800</v>
      </c>
      <c r="S11" s="7" t="s">
        <v>824</v>
      </c>
      <c r="T11" s="7" t="s">
        <v>736</v>
      </c>
      <c r="U11" s="7" t="s">
        <v>104</v>
      </c>
      <c r="AB11" s="2" t="s">
        <v>104</v>
      </c>
      <c r="AE11" s="698"/>
      <c r="AF11" s="655"/>
    </row>
    <row r="12" spans="1:32" ht="12" customHeight="1" thickBot="1">
      <c r="A12" s="711" t="s">
        <v>15685</v>
      </c>
      <c r="B12" s="699">
        <v>1</v>
      </c>
      <c r="C12" s="700" t="s">
        <v>109</v>
      </c>
      <c r="D12" s="699" t="s">
        <v>2063</v>
      </c>
      <c r="E12" s="701">
        <f t="shared" si="0"/>
        <v>65</v>
      </c>
      <c r="F12" s="702" t="s">
        <v>19</v>
      </c>
      <c r="G12" s="356" t="s">
        <v>15273</v>
      </c>
      <c r="H12" s="703" t="s">
        <v>5846</v>
      </c>
      <c r="I12" s="699"/>
      <c r="J12" s="699"/>
      <c r="K12" s="704" t="s">
        <v>16126</v>
      </c>
      <c r="L12" s="699" t="s">
        <v>44</v>
      </c>
      <c r="M12" s="699" t="s">
        <v>25</v>
      </c>
      <c r="N12" s="705">
        <v>1</v>
      </c>
      <c r="O12" s="706">
        <v>1</v>
      </c>
      <c r="P12" s="703" t="s">
        <v>2066</v>
      </c>
      <c r="Q12" s="707">
        <v>17176</v>
      </c>
      <c r="R12" s="703" t="s">
        <v>2067</v>
      </c>
      <c r="S12" s="703"/>
      <c r="T12" s="703" t="s">
        <v>736</v>
      </c>
      <c r="U12" s="703"/>
      <c r="V12" s="702"/>
      <c r="W12" s="702"/>
      <c r="X12" s="702"/>
      <c r="Y12" s="702"/>
      <c r="Z12" s="702"/>
      <c r="AA12" s="702"/>
      <c r="AB12" s="702"/>
      <c r="AC12" s="702"/>
      <c r="AD12" s="702"/>
      <c r="AE12" s="708"/>
      <c r="AF12" s="655"/>
    </row>
    <row r="13" spans="1:32" ht="12" customHeight="1">
      <c r="A13" s="724" t="s">
        <v>5245</v>
      </c>
      <c r="B13" s="696">
        <v>1</v>
      </c>
      <c r="C13" s="696"/>
      <c r="D13" s="696" t="s">
        <v>5246</v>
      </c>
      <c r="E13" s="690">
        <f t="shared" si="0"/>
        <v>55</v>
      </c>
      <c r="F13" s="696" t="s">
        <v>5</v>
      </c>
      <c r="G13" s="696" t="s">
        <v>6067</v>
      </c>
      <c r="H13" s="715"/>
      <c r="I13" s="696"/>
      <c r="J13" s="696"/>
      <c r="K13" s="716" t="s">
        <v>16120</v>
      </c>
      <c r="L13" s="696" t="s">
        <v>5247</v>
      </c>
      <c r="M13" s="696" t="s">
        <v>6</v>
      </c>
      <c r="N13" s="717"/>
      <c r="O13" s="718"/>
      <c r="P13" s="715" t="s">
        <v>5248</v>
      </c>
      <c r="Q13" s="719">
        <v>21149</v>
      </c>
      <c r="R13" s="715" t="s">
        <v>16136</v>
      </c>
      <c r="S13" s="715"/>
      <c r="T13" s="715"/>
      <c r="U13" s="715" t="s">
        <v>5249</v>
      </c>
      <c r="V13" s="696"/>
      <c r="W13" s="696"/>
      <c r="X13" s="696" t="s">
        <v>5218</v>
      </c>
      <c r="Y13" s="696"/>
      <c r="Z13" s="696"/>
      <c r="AA13" s="696"/>
      <c r="AB13" s="696" t="s">
        <v>5250</v>
      </c>
      <c r="AC13" s="696"/>
      <c r="AD13" s="696"/>
      <c r="AE13" s="697"/>
      <c r="AF13" s="655"/>
    </row>
    <row r="14" spans="1:32" ht="12" customHeight="1">
      <c r="A14" s="725" t="s">
        <v>6038</v>
      </c>
      <c r="B14" s="2">
        <v>2</v>
      </c>
      <c r="C14" s="4" t="s">
        <v>3</v>
      </c>
      <c r="D14" s="6" t="s">
        <v>929</v>
      </c>
      <c r="E14" s="6">
        <f t="shared" si="0"/>
        <v>52</v>
      </c>
      <c r="F14" s="6" t="s">
        <v>5</v>
      </c>
      <c r="G14" s="6" t="s">
        <v>15273</v>
      </c>
      <c r="H14" s="12"/>
      <c r="I14" s="6"/>
      <c r="J14" s="6"/>
      <c r="K14" s="8" t="s">
        <v>16120</v>
      </c>
      <c r="L14" s="6" t="s">
        <v>30</v>
      </c>
      <c r="M14" s="6" t="s">
        <v>6</v>
      </c>
      <c r="N14" s="13"/>
      <c r="O14" s="14"/>
      <c r="P14" s="12" t="s">
        <v>930</v>
      </c>
      <c r="Q14" s="15">
        <v>22240</v>
      </c>
      <c r="R14" s="12" t="s">
        <v>931</v>
      </c>
      <c r="S14" s="7"/>
      <c r="T14" s="7" t="s">
        <v>5457</v>
      </c>
      <c r="U14" s="7" t="s">
        <v>145</v>
      </c>
      <c r="V14" s="6"/>
      <c r="W14" s="2" t="s">
        <v>145</v>
      </c>
      <c r="AE14" s="698"/>
      <c r="AF14" s="655"/>
    </row>
    <row r="15" spans="1:32" ht="12" customHeight="1">
      <c r="A15" s="725" t="s">
        <v>6039</v>
      </c>
      <c r="B15" s="2">
        <v>2</v>
      </c>
      <c r="C15" s="4" t="s">
        <v>9</v>
      </c>
      <c r="D15" s="1" t="s">
        <v>12</v>
      </c>
      <c r="E15" s="6">
        <f t="shared" si="0"/>
        <v>62</v>
      </c>
      <c r="F15" s="2" t="s">
        <v>5</v>
      </c>
      <c r="G15" s="1" t="s">
        <v>15273</v>
      </c>
      <c r="K15" s="4" t="s">
        <v>16120</v>
      </c>
      <c r="L15" s="1" t="s">
        <v>5247</v>
      </c>
      <c r="M15" s="1" t="s">
        <v>14</v>
      </c>
      <c r="N15" s="16">
        <v>3</v>
      </c>
      <c r="O15" s="17">
        <v>3</v>
      </c>
      <c r="P15" s="3" t="s">
        <v>15</v>
      </c>
      <c r="Q15" s="20">
        <v>18556</v>
      </c>
      <c r="R15" s="3" t="s">
        <v>16</v>
      </c>
      <c r="S15" s="3" t="s">
        <v>17</v>
      </c>
      <c r="T15" s="3" t="s">
        <v>5457</v>
      </c>
      <c r="U15" s="3" t="s">
        <v>145</v>
      </c>
      <c r="W15" s="2" t="s">
        <v>145</v>
      </c>
      <c r="AE15" s="698"/>
      <c r="AF15" s="655"/>
    </row>
    <row r="16" spans="1:32" ht="12" customHeight="1">
      <c r="A16" s="725" t="s">
        <v>6040</v>
      </c>
      <c r="B16" s="2">
        <v>2</v>
      </c>
      <c r="C16" s="4" t="s">
        <v>27</v>
      </c>
      <c r="D16" s="1" t="s">
        <v>29</v>
      </c>
      <c r="E16" s="6">
        <f t="shared" si="0"/>
        <v>52</v>
      </c>
      <c r="F16" s="2" t="s">
        <v>5</v>
      </c>
      <c r="G16" s="1" t="s">
        <v>15273</v>
      </c>
      <c r="K16" s="4" t="s">
        <v>16120</v>
      </c>
      <c r="L16" s="1" t="s">
        <v>30</v>
      </c>
      <c r="M16" s="1" t="s">
        <v>6</v>
      </c>
      <c r="P16" s="3" t="s">
        <v>31</v>
      </c>
      <c r="Q16" s="20">
        <v>22015</v>
      </c>
      <c r="R16" s="3" t="s">
        <v>32</v>
      </c>
      <c r="T16" s="3" t="s">
        <v>5457</v>
      </c>
      <c r="U16" s="3" t="s">
        <v>145</v>
      </c>
      <c r="W16" s="2" t="s">
        <v>145</v>
      </c>
      <c r="AE16" s="698"/>
      <c r="AF16" s="655"/>
    </row>
    <row r="17" spans="1:32" ht="12" customHeight="1">
      <c r="A17" s="725" t="s">
        <v>15262</v>
      </c>
      <c r="B17" s="2">
        <v>2</v>
      </c>
      <c r="C17" s="4" t="s">
        <v>36</v>
      </c>
      <c r="D17" s="5" t="s">
        <v>5268</v>
      </c>
      <c r="E17" s="6">
        <f t="shared" si="0"/>
        <v>51</v>
      </c>
      <c r="F17" s="6" t="s">
        <v>5</v>
      </c>
      <c r="G17" s="5" t="s">
        <v>15273</v>
      </c>
      <c r="H17" s="7"/>
      <c r="I17" s="5"/>
      <c r="J17" s="19"/>
      <c r="K17" s="8" t="s">
        <v>16120</v>
      </c>
      <c r="L17" s="5" t="s">
        <v>30</v>
      </c>
      <c r="M17" s="5" t="s">
        <v>6</v>
      </c>
      <c r="N17" s="9"/>
      <c r="O17" s="10"/>
      <c r="P17" s="7" t="s">
        <v>930</v>
      </c>
      <c r="Q17" s="11">
        <v>22335</v>
      </c>
      <c r="R17" s="7" t="s">
        <v>5269</v>
      </c>
      <c r="S17" s="7"/>
      <c r="T17" s="7" t="s">
        <v>5457</v>
      </c>
      <c r="U17" s="3" t="s">
        <v>145</v>
      </c>
      <c r="W17" s="2" t="s">
        <v>145</v>
      </c>
      <c r="AE17" s="698"/>
      <c r="AF17" s="655"/>
    </row>
    <row r="18" spans="1:32" ht="12" customHeight="1">
      <c r="A18" s="725" t="s">
        <v>15263</v>
      </c>
      <c r="B18" s="2">
        <v>2</v>
      </c>
      <c r="C18" s="4" t="s">
        <v>40</v>
      </c>
      <c r="D18" s="5" t="s">
        <v>916</v>
      </c>
      <c r="E18" s="6">
        <f t="shared" si="0"/>
        <v>68</v>
      </c>
      <c r="F18" s="6" t="s">
        <v>5</v>
      </c>
      <c r="G18" s="5" t="s">
        <v>15273</v>
      </c>
      <c r="H18" s="7" t="s">
        <v>1321</v>
      </c>
      <c r="I18" s="5"/>
      <c r="J18" s="19"/>
      <c r="K18" s="23" t="s">
        <v>16120</v>
      </c>
      <c r="L18" s="5" t="s">
        <v>48</v>
      </c>
      <c r="M18" s="5" t="s">
        <v>25</v>
      </c>
      <c r="N18" s="9">
        <v>10</v>
      </c>
      <c r="O18" s="10">
        <v>9</v>
      </c>
      <c r="P18" s="7" t="s">
        <v>317</v>
      </c>
      <c r="Q18" s="11">
        <v>16362</v>
      </c>
      <c r="R18" s="7" t="s">
        <v>782</v>
      </c>
      <c r="S18" s="7" t="s">
        <v>813</v>
      </c>
      <c r="T18" s="7" t="s">
        <v>5457</v>
      </c>
      <c r="U18" s="7" t="s">
        <v>355</v>
      </c>
      <c r="V18" s="2" t="s">
        <v>47</v>
      </c>
      <c r="AB18" s="2" t="s">
        <v>104</v>
      </c>
      <c r="AE18" s="698"/>
      <c r="AF18" s="655"/>
    </row>
    <row r="19" spans="1:32" ht="12" customHeight="1">
      <c r="A19" s="725" t="s">
        <v>15264</v>
      </c>
      <c r="B19" s="2">
        <v>2</v>
      </c>
      <c r="C19" s="4" t="s">
        <v>57</v>
      </c>
      <c r="D19" s="5" t="s">
        <v>872</v>
      </c>
      <c r="E19" s="6">
        <f t="shared" si="0"/>
        <v>66</v>
      </c>
      <c r="F19" s="6" t="s">
        <v>5</v>
      </c>
      <c r="G19" s="6" t="s">
        <v>15273</v>
      </c>
      <c r="H19" s="7" t="s">
        <v>1308</v>
      </c>
      <c r="I19" s="5"/>
      <c r="J19" s="19"/>
      <c r="K19" s="8" t="s">
        <v>16120</v>
      </c>
      <c r="L19" s="5" t="s">
        <v>13</v>
      </c>
      <c r="M19" s="5" t="s">
        <v>25</v>
      </c>
      <c r="N19" s="9">
        <v>5</v>
      </c>
      <c r="O19" s="10">
        <v>5</v>
      </c>
      <c r="P19" s="7" t="s">
        <v>381</v>
      </c>
      <c r="Q19" s="11">
        <v>17075</v>
      </c>
      <c r="R19" s="7" t="s">
        <v>796</v>
      </c>
      <c r="S19" s="7" t="s">
        <v>804</v>
      </c>
      <c r="T19" s="7" t="s">
        <v>5457</v>
      </c>
      <c r="U19" s="3" t="s">
        <v>145</v>
      </c>
      <c r="W19" s="2" t="s">
        <v>145</v>
      </c>
      <c r="AE19" s="698"/>
      <c r="AF19" s="655"/>
    </row>
    <row r="20" spans="1:32" ht="12" customHeight="1">
      <c r="A20" s="725" t="s">
        <v>15265</v>
      </c>
      <c r="B20" s="2">
        <v>2</v>
      </c>
      <c r="C20" s="4" t="s">
        <v>62</v>
      </c>
      <c r="D20" s="5" t="s">
        <v>847</v>
      </c>
      <c r="E20" s="6">
        <f t="shared" si="0"/>
        <v>64</v>
      </c>
      <c r="F20" s="5" t="s">
        <v>5</v>
      </c>
      <c r="G20" s="5" t="s">
        <v>15273</v>
      </c>
      <c r="H20" s="7" t="s">
        <v>1323</v>
      </c>
      <c r="I20" s="5"/>
      <c r="J20" s="19"/>
      <c r="K20" s="4" t="s">
        <v>16120</v>
      </c>
      <c r="L20" s="5" t="s">
        <v>65</v>
      </c>
      <c r="M20" s="5" t="s">
        <v>25</v>
      </c>
      <c r="N20" s="9">
        <v>1</v>
      </c>
      <c r="O20" s="10">
        <v>1</v>
      </c>
      <c r="P20" s="12" t="s">
        <v>458</v>
      </c>
      <c r="Q20" s="15">
        <v>17861</v>
      </c>
      <c r="R20" s="7" t="s">
        <v>794</v>
      </c>
      <c r="S20" s="7"/>
      <c r="T20" s="7" t="s">
        <v>5457</v>
      </c>
      <c r="U20" s="7" t="s">
        <v>371</v>
      </c>
      <c r="W20" s="2" t="s">
        <v>145</v>
      </c>
      <c r="X20" s="2" t="s">
        <v>75</v>
      </c>
      <c r="AE20" s="698"/>
      <c r="AF20" s="655"/>
    </row>
    <row r="21" spans="1:32" ht="12" customHeight="1">
      <c r="A21" s="725" t="s">
        <v>15266</v>
      </c>
      <c r="B21" s="2">
        <v>2</v>
      </c>
      <c r="C21" s="4" t="s">
        <v>71</v>
      </c>
      <c r="D21" s="1" t="s">
        <v>73</v>
      </c>
      <c r="E21" s="6">
        <f t="shared" si="0"/>
        <v>46</v>
      </c>
      <c r="F21" s="2" t="s">
        <v>5</v>
      </c>
      <c r="G21" s="1" t="s">
        <v>15273</v>
      </c>
      <c r="K21" s="4" t="s">
        <v>16120</v>
      </c>
      <c r="L21" s="1" t="s">
        <v>30</v>
      </c>
      <c r="M21" s="1" t="s">
        <v>6</v>
      </c>
      <c r="P21" s="3" t="s">
        <v>23</v>
      </c>
      <c r="Q21" s="20">
        <v>24254</v>
      </c>
      <c r="R21" s="3" t="s">
        <v>74</v>
      </c>
      <c r="T21" s="3" t="s">
        <v>5457</v>
      </c>
      <c r="U21" s="3" t="s">
        <v>75</v>
      </c>
      <c r="X21" s="2" t="s">
        <v>75</v>
      </c>
      <c r="AE21" s="698"/>
      <c r="AF21" s="655"/>
    </row>
    <row r="22" spans="1:32" ht="12" customHeight="1">
      <c r="A22" s="725" t="s">
        <v>15267</v>
      </c>
      <c r="B22" s="2">
        <v>2</v>
      </c>
      <c r="C22" s="4" t="s">
        <v>80</v>
      </c>
      <c r="D22" s="1" t="s">
        <v>82</v>
      </c>
      <c r="E22" s="6">
        <f t="shared" si="0"/>
        <v>40</v>
      </c>
      <c r="F22" s="2" t="s">
        <v>5</v>
      </c>
      <c r="G22" s="1" t="s">
        <v>15273</v>
      </c>
      <c r="K22" s="8" t="s">
        <v>16120</v>
      </c>
      <c r="L22" s="1" t="s">
        <v>30</v>
      </c>
      <c r="M22" s="1" t="s">
        <v>6</v>
      </c>
      <c r="P22" s="3" t="s">
        <v>83</v>
      </c>
      <c r="Q22" s="20">
        <v>26348</v>
      </c>
      <c r="R22" s="3" t="s">
        <v>84</v>
      </c>
      <c r="T22" s="3" t="s">
        <v>5457</v>
      </c>
      <c r="U22" s="3" t="s">
        <v>149</v>
      </c>
      <c r="W22" s="2" t="s">
        <v>145</v>
      </c>
      <c r="AA22" s="2" t="s">
        <v>85</v>
      </c>
      <c r="AE22" s="698"/>
      <c r="AF22" s="655"/>
    </row>
    <row r="23" spans="1:32" ht="12" customHeight="1">
      <c r="A23" s="725" t="s">
        <v>15268</v>
      </c>
      <c r="B23" s="2">
        <v>2</v>
      </c>
      <c r="C23" s="4" t="s">
        <v>99</v>
      </c>
      <c r="D23" s="1" t="s">
        <v>101</v>
      </c>
      <c r="E23" s="6">
        <f t="shared" si="0"/>
        <v>53</v>
      </c>
      <c r="F23" s="2" t="s">
        <v>19</v>
      </c>
      <c r="G23" s="1" t="s">
        <v>15273</v>
      </c>
      <c r="K23" s="23" t="s">
        <v>16120</v>
      </c>
      <c r="L23" s="1" t="s">
        <v>65</v>
      </c>
      <c r="M23" s="1" t="s">
        <v>6</v>
      </c>
      <c r="P23" s="3" t="s">
        <v>102</v>
      </c>
      <c r="Q23" s="20">
        <v>21541</v>
      </c>
      <c r="R23" s="3" t="s">
        <v>103</v>
      </c>
      <c r="T23" s="3" t="s">
        <v>5457</v>
      </c>
      <c r="U23" s="3" t="s">
        <v>104</v>
      </c>
      <c r="AB23" s="2" t="s">
        <v>104</v>
      </c>
      <c r="AE23" s="698"/>
      <c r="AF23" s="655"/>
    </row>
    <row r="24" spans="1:32" ht="12" customHeight="1">
      <c r="A24" s="725" t="s">
        <v>15269</v>
      </c>
      <c r="B24" s="2">
        <v>2</v>
      </c>
      <c r="C24" s="4" t="s">
        <v>110</v>
      </c>
      <c r="D24" s="1" t="s">
        <v>933</v>
      </c>
      <c r="E24" s="6">
        <f t="shared" si="0"/>
        <v>42</v>
      </c>
      <c r="F24" s="2" t="s">
        <v>5</v>
      </c>
      <c r="G24" s="1" t="s">
        <v>15273</v>
      </c>
      <c r="K24" s="8" t="s">
        <v>16120</v>
      </c>
      <c r="L24" s="1" t="s">
        <v>934</v>
      </c>
      <c r="M24" s="1" t="s">
        <v>6</v>
      </c>
      <c r="P24" s="3" t="s">
        <v>935</v>
      </c>
      <c r="Q24" s="20">
        <v>25769</v>
      </c>
      <c r="R24" s="3" t="s">
        <v>936</v>
      </c>
      <c r="T24" s="3" t="s">
        <v>5457</v>
      </c>
      <c r="U24" s="3" t="s">
        <v>104</v>
      </c>
      <c r="AB24" s="2" t="s">
        <v>104</v>
      </c>
      <c r="AE24" s="698"/>
      <c r="AF24" s="655"/>
    </row>
    <row r="25" spans="1:32" ht="12" customHeight="1">
      <c r="A25" s="725" t="s">
        <v>15270</v>
      </c>
      <c r="B25" s="2">
        <v>13</v>
      </c>
      <c r="C25" s="2"/>
      <c r="D25" s="2" t="s">
        <v>6041</v>
      </c>
      <c r="E25" s="6">
        <f t="shared" si="0"/>
        <v>63</v>
      </c>
      <c r="F25" s="2" t="s">
        <v>5</v>
      </c>
      <c r="G25" s="2" t="s">
        <v>6067</v>
      </c>
      <c r="H25" s="22"/>
      <c r="I25" s="2"/>
      <c r="J25" s="2"/>
      <c r="K25" s="4" t="s">
        <v>16120</v>
      </c>
      <c r="L25" s="2" t="s">
        <v>5247</v>
      </c>
      <c r="M25" s="2" t="s">
        <v>6</v>
      </c>
      <c r="N25" s="24"/>
      <c r="O25" s="25"/>
      <c r="P25" s="22" t="s">
        <v>16133</v>
      </c>
      <c r="Q25" s="21">
        <v>17945</v>
      </c>
      <c r="R25" s="22" t="s">
        <v>6043</v>
      </c>
      <c r="S25" s="22"/>
      <c r="T25" s="22"/>
      <c r="U25" s="22" t="s">
        <v>6044</v>
      </c>
      <c r="W25" s="2" t="s">
        <v>6044</v>
      </c>
      <c r="AE25" s="698"/>
      <c r="AF25" s="655"/>
    </row>
    <row r="26" spans="1:32" ht="12" customHeight="1">
      <c r="A26" s="725" t="s">
        <v>15271</v>
      </c>
      <c r="B26" s="2">
        <v>14</v>
      </c>
      <c r="C26" s="2"/>
      <c r="D26" s="2" t="s">
        <v>6045</v>
      </c>
      <c r="E26" s="6">
        <f t="shared" si="0"/>
        <v>38</v>
      </c>
      <c r="F26" s="2" t="s">
        <v>5</v>
      </c>
      <c r="G26" s="2" t="s">
        <v>6067</v>
      </c>
      <c r="H26" s="22"/>
      <c r="I26" s="2"/>
      <c r="J26" s="2"/>
      <c r="K26" s="4" t="s">
        <v>16120</v>
      </c>
      <c r="L26" s="2" t="s">
        <v>5247</v>
      </c>
      <c r="M26" s="2" t="s">
        <v>6</v>
      </c>
      <c r="N26" s="24"/>
      <c r="O26" s="25"/>
      <c r="P26" s="22" t="s">
        <v>6046</v>
      </c>
      <c r="Q26" s="21">
        <v>27359</v>
      </c>
      <c r="R26" s="22" t="s">
        <v>6047</v>
      </c>
      <c r="S26" s="22"/>
      <c r="T26" s="22"/>
      <c r="U26" s="22"/>
      <c r="AE26" s="698"/>
      <c r="AF26" s="655"/>
    </row>
    <row r="27" spans="1:32" ht="12" customHeight="1" thickBot="1">
      <c r="A27" s="726" t="s">
        <v>15272</v>
      </c>
      <c r="B27" s="702">
        <v>15</v>
      </c>
      <c r="C27" s="702"/>
      <c r="D27" s="702" t="s">
        <v>6048</v>
      </c>
      <c r="E27" s="701">
        <f t="shared" si="0"/>
        <v>43</v>
      </c>
      <c r="F27" s="702" t="s">
        <v>19</v>
      </c>
      <c r="G27" s="702" t="s">
        <v>6067</v>
      </c>
      <c r="H27" s="720"/>
      <c r="I27" s="702"/>
      <c r="J27" s="702"/>
      <c r="K27" s="704" t="s">
        <v>16120</v>
      </c>
      <c r="L27" s="702" t="s">
        <v>5247</v>
      </c>
      <c r="M27" s="702" t="s">
        <v>6</v>
      </c>
      <c r="N27" s="721"/>
      <c r="O27" s="722"/>
      <c r="P27" s="720" t="s">
        <v>16135</v>
      </c>
      <c r="Q27" s="723">
        <v>25543</v>
      </c>
      <c r="R27" s="720" t="s">
        <v>16134</v>
      </c>
      <c r="S27" s="720"/>
      <c r="T27" s="720"/>
      <c r="U27" s="720"/>
      <c r="V27" s="702"/>
      <c r="W27" s="702"/>
      <c r="X27" s="702"/>
      <c r="Y27" s="702"/>
      <c r="Z27" s="702"/>
      <c r="AA27" s="702"/>
      <c r="AB27" s="702"/>
      <c r="AC27" s="702"/>
      <c r="AD27" s="702"/>
      <c r="AE27" s="708"/>
      <c r="AF27" s="655"/>
    </row>
    <row r="28" spans="1:32" ht="12" customHeight="1" thickBot="1">
      <c r="A28" s="734" t="s">
        <v>16140</v>
      </c>
      <c r="B28" s="660">
        <v>1</v>
      </c>
      <c r="C28" s="727" t="s">
        <v>72</v>
      </c>
      <c r="D28" s="659" t="s">
        <v>5070</v>
      </c>
      <c r="E28" s="728">
        <f t="shared" si="0"/>
        <v>26</v>
      </c>
      <c r="F28" s="660" t="s">
        <v>19</v>
      </c>
      <c r="G28" s="659" t="s">
        <v>15273</v>
      </c>
      <c r="H28" s="729"/>
      <c r="I28" s="659"/>
      <c r="J28" s="659"/>
      <c r="K28" s="727" t="s">
        <v>16125</v>
      </c>
      <c r="L28" s="659"/>
      <c r="M28" s="659" t="s">
        <v>6</v>
      </c>
      <c r="N28" s="730"/>
      <c r="O28" s="731"/>
      <c r="P28" s="729" t="s">
        <v>31</v>
      </c>
      <c r="Q28" s="732">
        <v>31504</v>
      </c>
      <c r="R28" s="729" t="s">
        <v>750</v>
      </c>
      <c r="S28" s="729"/>
      <c r="T28" s="729" t="s">
        <v>5561</v>
      </c>
      <c r="U28" s="733"/>
      <c r="V28" s="660"/>
      <c r="W28" s="660"/>
      <c r="X28" s="660"/>
      <c r="Y28" s="660"/>
      <c r="Z28" s="660"/>
      <c r="AA28" s="660"/>
      <c r="AB28" s="660"/>
      <c r="AC28" s="660"/>
      <c r="AD28" s="660"/>
      <c r="AE28" s="664"/>
      <c r="AF28" s="655"/>
    </row>
    <row r="29" spans="1:32" ht="12" customHeight="1">
      <c r="A29" s="745" t="s">
        <v>2084</v>
      </c>
      <c r="B29" s="696">
        <v>1</v>
      </c>
      <c r="C29" s="696"/>
      <c r="D29" s="690" t="s">
        <v>2076</v>
      </c>
      <c r="E29" s="690">
        <f t="shared" si="0"/>
        <v>52</v>
      </c>
      <c r="F29" s="690" t="s">
        <v>2069</v>
      </c>
      <c r="G29" s="696" t="s">
        <v>6067</v>
      </c>
      <c r="H29" s="735"/>
      <c r="I29" s="690"/>
      <c r="J29" s="736"/>
      <c r="K29" s="692" t="s">
        <v>16118</v>
      </c>
      <c r="L29" s="690"/>
      <c r="M29" s="690" t="s">
        <v>2077</v>
      </c>
      <c r="N29" s="737"/>
      <c r="O29" s="738"/>
      <c r="P29" s="735" t="s">
        <v>2078</v>
      </c>
      <c r="Q29" s="739">
        <v>22185</v>
      </c>
      <c r="R29" s="735" t="s">
        <v>2079</v>
      </c>
      <c r="S29" s="735"/>
      <c r="T29" s="735"/>
      <c r="U29" s="735" t="s">
        <v>2080</v>
      </c>
      <c r="V29" s="690"/>
      <c r="W29" s="696" t="s">
        <v>2080</v>
      </c>
      <c r="X29" s="696"/>
      <c r="Y29" s="696"/>
      <c r="Z29" s="696"/>
      <c r="AA29" s="696"/>
      <c r="AB29" s="696"/>
      <c r="AC29" s="696"/>
      <c r="AD29" s="696"/>
      <c r="AE29" s="697"/>
      <c r="AF29" s="655"/>
    </row>
    <row r="30" spans="1:32" ht="12" customHeight="1" thickBot="1">
      <c r="A30" s="746" t="s">
        <v>5890</v>
      </c>
      <c r="B30" s="702">
        <v>2</v>
      </c>
      <c r="C30" s="702"/>
      <c r="D30" s="701" t="s">
        <v>5891</v>
      </c>
      <c r="E30" s="701">
        <f t="shared" si="0"/>
        <v>48</v>
      </c>
      <c r="F30" s="701" t="s">
        <v>5</v>
      </c>
      <c r="G30" s="702" t="s">
        <v>6067</v>
      </c>
      <c r="H30" s="740"/>
      <c r="I30" s="701"/>
      <c r="J30" s="741"/>
      <c r="K30" s="704" t="s">
        <v>16118</v>
      </c>
      <c r="L30" s="701"/>
      <c r="M30" s="701" t="s">
        <v>6</v>
      </c>
      <c r="N30" s="742"/>
      <c r="O30" s="743"/>
      <c r="P30" s="740" t="s">
        <v>23</v>
      </c>
      <c r="Q30" s="744">
        <v>23462</v>
      </c>
      <c r="R30" s="740" t="s">
        <v>5892</v>
      </c>
      <c r="S30" s="740"/>
      <c r="T30" s="740"/>
      <c r="U30" s="740"/>
      <c r="V30" s="701"/>
      <c r="W30" s="702"/>
      <c r="X30" s="702"/>
      <c r="Y30" s="702"/>
      <c r="Z30" s="702"/>
      <c r="AA30" s="702"/>
      <c r="AB30" s="702"/>
      <c r="AC30" s="702"/>
      <c r="AD30" s="702"/>
      <c r="AE30" s="708"/>
      <c r="AF30" s="655"/>
    </row>
    <row r="31" spans="1:32" ht="12" customHeight="1">
      <c r="A31" s="750" t="s">
        <v>16137</v>
      </c>
      <c r="B31" s="696">
        <v>1</v>
      </c>
      <c r="C31" s="688" t="s">
        <v>54</v>
      </c>
      <c r="D31" s="687" t="s">
        <v>4989</v>
      </c>
      <c r="E31" s="690">
        <f t="shared" si="0"/>
        <v>35</v>
      </c>
      <c r="F31" s="696" t="s">
        <v>5</v>
      </c>
      <c r="G31" s="687" t="s">
        <v>15273</v>
      </c>
      <c r="H31" s="747"/>
      <c r="I31" s="687"/>
      <c r="J31" s="687"/>
      <c r="K31" s="688" t="s">
        <v>16116</v>
      </c>
      <c r="L31" s="687" t="s">
        <v>4997</v>
      </c>
      <c r="M31" s="687" t="s">
        <v>6</v>
      </c>
      <c r="N31" s="748"/>
      <c r="O31" s="749"/>
      <c r="P31" s="747" t="s">
        <v>23</v>
      </c>
      <c r="Q31" s="719">
        <v>28233</v>
      </c>
      <c r="R31" s="747" t="s">
        <v>5613</v>
      </c>
      <c r="S31" s="747"/>
      <c r="T31" s="747" t="s">
        <v>469</v>
      </c>
      <c r="U31" s="747" t="s">
        <v>155</v>
      </c>
      <c r="V31" s="696"/>
      <c r="W31" s="696"/>
      <c r="X31" s="696"/>
      <c r="Y31" s="696"/>
      <c r="Z31" s="696" t="s">
        <v>155</v>
      </c>
      <c r="AA31" s="696"/>
      <c r="AB31" s="696"/>
      <c r="AC31" s="696"/>
      <c r="AD31" s="696"/>
      <c r="AE31" s="697"/>
      <c r="AF31" s="655"/>
    </row>
    <row r="32" spans="1:32" ht="12" customHeight="1">
      <c r="A32" s="751" t="s">
        <v>16138</v>
      </c>
      <c r="B32" s="2">
        <v>1</v>
      </c>
      <c r="C32" s="4" t="s">
        <v>10</v>
      </c>
      <c r="D32" s="1" t="s">
        <v>4991</v>
      </c>
      <c r="E32" s="6">
        <f t="shared" si="0"/>
        <v>47</v>
      </c>
      <c r="F32" s="2" t="s">
        <v>19</v>
      </c>
      <c r="G32" s="1" t="s">
        <v>15273</v>
      </c>
      <c r="K32" s="4" t="s">
        <v>16116</v>
      </c>
      <c r="L32" s="1" t="s">
        <v>4997</v>
      </c>
      <c r="M32" s="1" t="s">
        <v>6</v>
      </c>
      <c r="P32" s="3" t="s">
        <v>15</v>
      </c>
      <c r="Q32" s="21">
        <v>23850</v>
      </c>
      <c r="R32" s="3" t="s">
        <v>16407</v>
      </c>
      <c r="AE32" s="698"/>
      <c r="AF32" s="655"/>
    </row>
    <row r="33" spans="1:32" ht="12" customHeight="1">
      <c r="A33" s="751" t="s">
        <v>16139</v>
      </c>
      <c r="B33" s="2">
        <v>1</v>
      </c>
      <c r="C33" s="4" t="s">
        <v>28</v>
      </c>
      <c r="D33" s="1" t="s">
        <v>6138</v>
      </c>
      <c r="E33" s="6">
        <f t="shared" si="0"/>
        <v>42</v>
      </c>
      <c r="F33" s="2" t="s">
        <v>5</v>
      </c>
      <c r="G33" s="1" t="s">
        <v>15273</v>
      </c>
      <c r="K33" s="4" t="s">
        <v>16116</v>
      </c>
      <c r="L33" s="1" t="s">
        <v>4997</v>
      </c>
      <c r="M33" s="1" t="s">
        <v>6</v>
      </c>
      <c r="P33" s="3" t="s">
        <v>695</v>
      </c>
      <c r="Q33" s="21">
        <v>25807</v>
      </c>
      <c r="R33" s="3" t="s">
        <v>6139</v>
      </c>
      <c r="T33" s="3" t="s">
        <v>469</v>
      </c>
      <c r="U33" s="3" t="s">
        <v>47</v>
      </c>
      <c r="V33" s="2" t="s">
        <v>47</v>
      </c>
      <c r="AE33" s="698"/>
      <c r="AF33" s="655"/>
    </row>
    <row r="34" spans="1:32" ht="12" customHeight="1" thickBot="1">
      <c r="A34" s="752" t="s">
        <v>15662</v>
      </c>
      <c r="B34" s="702">
        <v>4</v>
      </c>
      <c r="C34" s="702"/>
      <c r="D34" s="701" t="s">
        <v>15947</v>
      </c>
      <c r="E34" s="701">
        <f t="shared" si="0"/>
        <v>35</v>
      </c>
      <c r="F34" s="701" t="s">
        <v>5</v>
      </c>
      <c r="G34" s="702" t="s">
        <v>6067</v>
      </c>
      <c r="H34" s="740"/>
      <c r="I34" s="701"/>
      <c r="J34" s="741"/>
      <c r="K34" s="704" t="s">
        <v>16130</v>
      </c>
      <c r="L34" s="701" t="s">
        <v>4993</v>
      </c>
      <c r="M34" s="701" t="s">
        <v>6</v>
      </c>
      <c r="N34" s="742"/>
      <c r="O34" s="743"/>
      <c r="P34" s="740" t="s">
        <v>2214</v>
      </c>
      <c r="Q34" s="744">
        <v>28461</v>
      </c>
      <c r="R34" s="740" t="s">
        <v>15663</v>
      </c>
      <c r="S34" s="740"/>
      <c r="T34" s="740"/>
      <c r="U34" s="740"/>
      <c r="V34" s="701"/>
      <c r="W34" s="702"/>
      <c r="X34" s="702"/>
      <c r="Y34" s="702"/>
      <c r="Z34" s="702"/>
      <c r="AA34" s="702"/>
      <c r="AB34" s="702"/>
      <c r="AC34" s="702"/>
      <c r="AD34" s="702"/>
      <c r="AE34" s="708"/>
      <c r="AF34" s="655"/>
    </row>
    <row r="35" spans="1:32" ht="12" customHeight="1">
      <c r="A35" s="757" t="s">
        <v>16141</v>
      </c>
      <c r="B35" s="696">
        <v>1</v>
      </c>
      <c r="C35" s="688" t="s">
        <v>11</v>
      </c>
      <c r="D35" s="687" t="s">
        <v>4588</v>
      </c>
      <c r="E35" s="690">
        <f t="shared" si="0"/>
        <v>42</v>
      </c>
      <c r="F35" s="696" t="s">
        <v>5</v>
      </c>
      <c r="G35" s="687" t="s">
        <v>15273</v>
      </c>
      <c r="H35" s="747"/>
      <c r="I35" s="687"/>
      <c r="J35" s="687"/>
      <c r="K35" s="688" t="s">
        <v>16128</v>
      </c>
      <c r="L35" s="687"/>
      <c r="M35" s="687" t="s">
        <v>6</v>
      </c>
      <c r="N35" s="748"/>
      <c r="O35" s="749"/>
      <c r="P35" s="747" t="s">
        <v>4589</v>
      </c>
      <c r="Q35" s="719">
        <v>25910</v>
      </c>
      <c r="R35" s="747" t="s">
        <v>4590</v>
      </c>
      <c r="S35" s="747"/>
      <c r="T35" s="747"/>
      <c r="U35" s="747"/>
      <c r="V35" s="696"/>
      <c r="W35" s="696"/>
      <c r="X35" s="696"/>
      <c r="Y35" s="696"/>
      <c r="Z35" s="696"/>
      <c r="AA35" s="696"/>
      <c r="AB35" s="696"/>
      <c r="AC35" s="696"/>
      <c r="AD35" s="696"/>
      <c r="AE35" s="697"/>
      <c r="AF35" s="655"/>
    </row>
    <row r="36" spans="1:32" ht="12" customHeight="1">
      <c r="A36" s="758" t="s">
        <v>16142</v>
      </c>
      <c r="B36" s="2">
        <v>1</v>
      </c>
      <c r="C36" s="4" t="s">
        <v>41</v>
      </c>
      <c r="D36" s="1" t="s">
        <v>49</v>
      </c>
      <c r="E36" s="6">
        <f t="shared" si="0"/>
        <v>49</v>
      </c>
      <c r="F36" s="2" t="s">
        <v>5</v>
      </c>
      <c r="G36" s="1" t="s">
        <v>15273</v>
      </c>
      <c r="K36" s="4" t="s">
        <v>16128</v>
      </c>
      <c r="M36" s="1" t="s">
        <v>6</v>
      </c>
      <c r="P36" s="3" t="s">
        <v>7</v>
      </c>
      <c r="Q36" s="20">
        <v>23319</v>
      </c>
      <c r="R36" s="3" t="s">
        <v>50</v>
      </c>
      <c r="T36" s="3" t="s">
        <v>6031</v>
      </c>
      <c r="AE36" s="698"/>
      <c r="AF36" s="655"/>
    </row>
    <row r="37" spans="1:32" ht="12" customHeight="1" thickBot="1">
      <c r="A37" s="759" t="s">
        <v>16143</v>
      </c>
      <c r="B37" s="702">
        <v>1</v>
      </c>
      <c r="C37" s="700" t="s">
        <v>58</v>
      </c>
      <c r="D37" s="356" t="s">
        <v>5874</v>
      </c>
      <c r="E37" s="701">
        <f t="shared" si="0"/>
        <v>42</v>
      </c>
      <c r="F37" s="701" t="s">
        <v>5</v>
      </c>
      <c r="G37" s="699" t="s">
        <v>15273</v>
      </c>
      <c r="H37" s="753"/>
      <c r="I37" s="356"/>
      <c r="J37" s="741"/>
      <c r="K37" s="704" t="s">
        <v>16128</v>
      </c>
      <c r="L37" s="356"/>
      <c r="M37" s="356" t="s">
        <v>6</v>
      </c>
      <c r="N37" s="754"/>
      <c r="O37" s="755"/>
      <c r="P37" s="753" t="s">
        <v>31</v>
      </c>
      <c r="Q37" s="756">
        <v>25659</v>
      </c>
      <c r="R37" s="753" t="s">
        <v>5875</v>
      </c>
      <c r="S37" s="753"/>
      <c r="T37" s="753" t="s">
        <v>6031</v>
      </c>
      <c r="U37" s="703" t="s">
        <v>145</v>
      </c>
      <c r="V37" s="702"/>
      <c r="W37" s="702" t="s">
        <v>145</v>
      </c>
      <c r="X37" s="702"/>
      <c r="Y37" s="702"/>
      <c r="Z37" s="702"/>
      <c r="AA37" s="702"/>
      <c r="AB37" s="702"/>
      <c r="AC37" s="702"/>
      <c r="AD37" s="702"/>
      <c r="AE37" s="708"/>
      <c r="AF37" s="655"/>
    </row>
    <row r="38" spans="1:32" ht="12" customHeight="1">
      <c r="A38" s="760" t="s">
        <v>5655</v>
      </c>
      <c r="B38" s="696">
        <v>1</v>
      </c>
      <c r="C38" s="696"/>
      <c r="D38" s="696" t="s">
        <v>2081</v>
      </c>
      <c r="E38" s="690">
        <f t="shared" si="0"/>
        <v>41</v>
      </c>
      <c r="F38" s="696" t="s">
        <v>2069</v>
      </c>
      <c r="G38" s="696" t="s">
        <v>6067</v>
      </c>
      <c r="H38" s="715"/>
      <c r="I38" s="696"/>
      <c r="J38" s="696"/>
      <c r="K38" s="716" t="s">
        <v>16117</v>
      </c>
      <c r="L38" s="696"/>
      <c r="M38" s="696" t="s">
        <v>2077</v>
      </c>
      <c r="N38" s="717"/>
      <c r="O38" s="718"/>
      <c r="P38" s="715" t="s">
        <v>2082</v>
      </c>
      <c r="Q38" s="719">
        <v>26165</v>
      </c>
      <c r="R38" s="715" t="s">
        <v>2083</v>
      </c>
      <c r="S38" s="715"/>
      <c r="T38" s="715"/>
      <c r="U38" s="715"/>
      <c r="V38" s="696"/>
      <c r="W38" s="696"/>
      <c r="X38" s="696"/>
      <c r="Y38" s="696"/>
      <c r="Z38" s="696"/>
      <c r="AA38" s="696"/>
      <c r="AB38" s="696"/>
      <c r="AC38" s="696"/>
      <c r="AD38" s="696"/>
      <c r="AE38" s="697"/>
      <c r="AF38" s="655"/>
    </row>
    <row r="39" spans="1:32" ht="12" customHeight="1" thickBot="1">
      <c r="A39" s="761" t="s">
        <v>16144</v>
      </c>
      <c r="B39" s="702">
        <v>2</v>
      </c>
      <c r="C39" s="700" t="s">
        <v>4988</v>
      </c>
      <c r="D39" s="699" t="s">
        <v>4</v>
      </c>
      <c r="E39" s="701">
        <f t="shared" si="0"/>
        <v>54</v>
      </c>
      <c r="F39" s="702" t="s">
        <v>5</v>
      </c>
      <c r="G39" s="699" t="s">
        <v>15273</v>
      </c>
      <c r="H39" s="703"/>
      <c r="I39" s="699"/>
      <c r="J39" s="699"/>
      <c r="K39" s="700" t="s">
        <v>16117</v>
      </c>
      <c r="L39" s="699"/>
      <c r="M39" s="699" t="s">
        <v>6</v>
      </c>
      <c r="N39" s="705"/>
      <c r="O39" s="706"/>
      <c r="P39" s="703" t="s">
        <v>7</v>
      </c>
      <c r="Q39" s="723">
        <v>21361</v>
      </c>
      <c r="R39" s="703" t="s">
        <v>16087</v>
      </c>
      <c r="S39" s="720"/>
      <c r="T39" s="720"/>
      <c r="U39" s="720"/>
      <c r="V39" s="702"/>
      <c r="W39" s="702"/>
      <c r="X39" s="702"/>
      <c r="Y39" s="702"/>
      <c r="Z39" s="702"/>
      <c r="AA39" s="702"/>
      <c r="AB39" s="702"/>
      <c r="AC39" s="702"/>
      <c r="AD39" s="702"/>
      <c r="AE39" s="708"/>
      <c r="AF39" s="655"/>
    </row>
    <row r="40" spans="1:32" ht="12" customHeight="1" thickBot="1">
      <c r="A40" s="766" t="s">
        <v>5656</v>
      </c>
      <c r="B40" s="660">
        <v>1</v>
      </c>
      <c r="C40" s="660"/>
      <c r="D40" s="660" t="s">
        <v>2313</v>
      </c>
      <c r="E40" s="728">
        <f t="shared" si="0"/>
        <v>56</v>
      </c>
      <c r="F40" s="660" t="s">
        <v>5</v>
      </c>
      <c r="G40" s="660" t="s">
        <v>6067</v>
      </c>
      <c r="H40" s="733"/>
      <c r="I40" s="660"/>
      <c r="J40" s="660"/>
      <c r="K40" s="762" t="s">
        <v>16121</v>
      </c>
      <c r="L40" s="660"/>
      <c r="M40" s="660" t="s">
        <v>6</v>
      </c>
      <c r="N40" s="763"/>
      <c r="O40" s="764"/>
      <c r="P40" s="733" t="s">
        <v>2314</v>
      </c>
      <c r="Q40" s="765">
        <v>20622</v>
      </c>
      <c r="R40" s="733" t="s">
        <v>2316</v>
      </c>
      <c r="S40" s="733"/>
      <c r="T40" s="733"/>
      <c r="U40" s="733" t="s">
        <v>69</v>
      </c>
      <c r="V40" s="660"/>
      <c r="W40" s="660"/>
      <c r="X40" s="660"/>
      <c r="Y40" s="660"/>
      <c r="Z40" s="660"/>
      <c r="AA40" s="660"/>
      <c r="AB40" s="660"/>
      <c r="AC40" s="660"/>
      <c r="AD40" s="660"/>
      <c r="AE40" s="664" t="s">
        <v>2315</v>
      </c>
      <c r="AF40" s="655"/>
    </row>
    <row r="41" spans="1:32" ht="12" customHeight="1">
      <c r="A41" s="767" t="s">
        <v>16145</v>
      </c>
      <c r="B41" s="696">
        <v>1</v>
      </c>
      <c r="C41" s="688" t="s">
        <v>5556</v>
      </c>
      <c r="D41" s="687" t="s">
        <v>5557</v>
      </c>
      <c r="E41" s="690">
        <f t="shared" si="0"/>
        <v>38</v>
      </c>
      <c r="F41" s="696" t="s">
        <v>5</v>
      </c>
      <c r="G41" s="687" t="s">
        <v>15273</v>
      </c>
      <c r="H41" s="747"/>
      <c r="I41" s="687"/>
      <c r="J41" s="687"/>
      <c r="K41" s="688" t="s">
        <v>16124</v>
      </c>
      <c r="L41" s="687"/>
      <c r="M41" s="687" t="s">
        <v>6</v>
      </c>
      <c r="N41" s="748"/>
      <c r="O41" s="749"/>
      <c r="P41" s="747" t="s">
        <v>5559</v>
      </c>
      <c r="Q41" s="719">
        <v>27087</v>
      </c>
      <c r="R41" s="747" t="s">
        <v>5560</v>
      </c>
      <c r="S41" s="747"/>
      <c r="T41" s="747" t="s">
        <v>15585</v>
      </c>
      <c r="U41" s="747" t="s">
        <v>85</v>
      </c>
      <c r="V41" s="696"/>
      <c r="W41" s="696"/>
      <c r="X41" s="696"/>
      <c r="Y41" s="696"/>
      <c r="Z41" s="696"/>
      <c r="AA41" s="696" t="s">
        <v>85</v>
      </c>
      <c r="AB41" s="696"/>
      <c r="AC41" s="696"/>
      <c r="AD41" s="696"/>
      <c r="AE41" s="697"/>
      <c r="AF41" s="655"/>
    </row>
    <row r="42" spans="1:32" ht="12" customHeight="1" thickBot="1">
      <c r="A42" s="768" t="s">
        <v>16146</v>
      </c>
      <c r="B42" s="2">
        <v>1</v>
      </c>
      <c r="C42" s="4" t="s">
        <v>5620</v>
      </c>
      <c r="D42" s="1" t="s">
        <v>5563</v>
      </c>
      <c r="E42" s="6">
        <f t="shared" si="0"/>
        <v>53</v>
      </c>
      <c r="F42" s="819" t="s">
        <v>19</v>
      </c>
      <c r="G42" s="1" t="s">
        <v>15273</v>
      </c>
      <c r="K42" s="4" t="s">
        <v>16124</v>
      </c>
      <c r="M42" s="1" t="s">
        <v>6</v>
      </c>
      <c r="P42" s="3" t="s">
        <v>5564</v>
      </c>
      <c r="Q42" s="21">
        <v>21650</v>
      </c>
      <c r="R42" s="3" t="s">
        <v>5565</v>
      </c>
      <c r="T42" s="3" t="s">
        <v>15585</v>
      </c>
      <c r="U42" s="3" t="s">
        <v>85</v>
      </c>
      <c r="AA42" s="2" t="s">
        <v>85</v>
      </c>
      <c r="AE42" s="698"/>
      <c r="AF42" s="655"/>
    </row>
    <row r="43" spans="1:32" ht="12" customHeight="1" thickTop="1">
      <c r="A43" s="768" t="s">
        <v>16147</v>
      </c>
      <c r="B43" s="2">
        <v>1</v>
      </c>
      <c r="C43" s="4" t="s">
        <v>5566</v>
      </c>
      <c r="D43" s="1" t="s">
        <v>5567</v>
      </c>
      <c r="E43" s="6">
        <f t="shared" si="0"/>
        <v>53</v>
      </c>
      <c r="F43" s="657" t="s">
        <v>5</v>
      </c>
      <c r="G43" s="1" t="s">
        <v>15273</v>
      </c>
      <c r="K43" s="4" t="s">
        <v>16124</v>
      </c>
      <c r="M43" s="1" t="s">
        <v>6</v>
      </c>
      <c r="P43" s="3" t="s">
        <v>5568</v>
      </c>
      <c r="Q43" s="21">
        <v>21800</v>
      </c>
      <c r="R43" s="3" t="s">
        <v>5569</v>
      </c>
      <c r="T43" s="3" t="s">
        <v>15585</v>
      </c>
      <c r="U43" s="3" t="s">
        <v>104</v>
      </c>
      <c r="AB43" s="2" t="s">
        <v>104</v>
      </c>
      <c r="AE43" s="698"/>
      <c r="AF43" s="655"/>
    </row>
    <row r="44" spans="1:32" ht="12" customHeight="1">
      <c r="A44" s="768" t="s">
        <v>16148</v>
      </c>
      <c r="B44" s="2">
        <v>1</v>
      </c>
      <c r="C44" s="4" t="s">
        <v>64</v>
      </c>
      <c r="D44" s="1" t="s">
        <v>5578</v>
      </c>
      <c r="E44" s="6">
        <f t="shared" si="0"/>
        <v>26</v>
      </c>
      <c r="F44" s="2" t="s">
        <v>19</v>
      </c>
      <c r="G44" s="1" t="s">
        <v>15273</v>
      </c>
      <c r="K44" s="4" t="s">
        <v>16124</v>
      </c>
      <c r="M44" s="1" t="s">
        <v>6</v>
      </c>
      <c r="P44" s="3" t="s">
        <v>5816</v>
      </c>
      <c r="Q44" s="21">
        <v>31417</v>
      </c>
      <c r="R44" s="3" t="s">
        <v>5579</v>
      </c>
      <c r="T44" s="3" t="s">
        <v>15585</v>
      </c>
      <c r="U44" s="3" t="s">
        <v>258</v>
      </c>
      <c r="Z44" s="2" t="s">
        <v>155</v>
      </c>
      <c r="AB44" s="2" t="s">
        <v>104</v>
      </c>
      <c r="AE44" s="698"/>
      <c r="AF44" s="655"/>
    </row>
    <row r="45" spans="1:32" ht="12" customHeight="1">
      <c r="A45" s="768" t="s">
        <v>16149</v>
      </c>
      <c r="B45" s="2">
        <v>1</v>
      </c>
      <c r="C45" s="4" t="s">
        <v>93</v>
      </c>
      <c r="D45" s="1" t="s">
        <v>5251</v>
      </c>
      <c r="E45" s="6">
        <f t="shared" si="0"/>
        <v>34</v>
      </c>
      <c r="F45" s="2" t="s">
        <v>5</v>
      </c>
      <c r="G45" s="1" t="s">
        <v>15273</v>
      </c>
      <c r="H45" s="3" t="s">
        <v>5252</v>
      </c>
      <c r="K45" s="4" t="s">
        <v>16124</v>
      </c>
      <c r="M45" s="1" t="s">
        <v>25</v>
      </c>
      <c r="N45" s="16">
        <v>1</v>
      </c>
      <c r="O45" s="17">
        <v>1</v>
      </c>
      <c r="P45" s="3" t="s">
        <v>2085</v>
      </c>
      <c r="Q45" s="21">
        <v>28585</v>
      </c>
      <c r="R45" s="3" t="s">
        <v>5253</v>
      </c>
      <c r="S45" s="3" t="s">
        <v>5254</v>
      </c>
      <c r="T45" s="3" t="s">
        <v>15585</v>
      </c>
      <c r="AE45" s="698"/>
      <c r="AF45" s="655"/>
    </row>
    <row r="46" spans="1:32" ht="12" customHeight="1">
      <c r="A46" s="768" t="s">
        <v>16150</v>
      </c>
      <c r="B46" s="2">
        <v>1</v>
      </c>
      <c r="C46" s="4" t="s">
        <v>100</v>
      </c>
      <c r="D46" s="5" t="s">
        <v>904</v>
      </c>
      <c r="E46" s="6">
        <f t="shared" si="0"/>
        <v>39</v>
      </c>
      <c r="F46" s="5" t="s">
        <v>5</v>
      </c>
      <c r="G46" s="1" t="s">
        <v>15273</v>
      </c>
      <c r="H46" s="7" t="s">
        <v>1326</v>
      </c>
      <c r="I46" s="5"/>
      <c r="J46" s="19"/>
      <c r="K46" s="8" t="s">
        <v>16124</v>
      </c>
      <c r="L46" s="5"/>
      <c r="M46" s="5" t="s">
        <v>25</v>
      </c>
      <c r="N46" s="9">
        <v>2</v>
      </c>
      <c r="O46" s="10">
        <v>2</v>
      </c>
      <c r="P46" s="7" t="s">
        <v>188</v>
      </c>
      <c r="Q46" s="11">
        <v>26833</v>
      </c>
      <c r="R46" s="7" t="s">
        <v>750</v>
      </c>
      <c r="T46" s="3" t="s">
        <v>15585</v>
      </c>
      <c r="AE46" s="698"/>
      <c r="AF46" s="655"/>
    </row>
    <row r="47" spans="1:32" ht="12" customHeight="1" thickBot="1">
      <c r="A47" s="769" t="s">
        <v>16151</v>
      </c>
      <c r="B47" s="702">
        <v>1</v>
      </c>
      <c r="C47" s="700" t="s">
        <v>112</v>
      </c>
      <c r="D47" s="701" t="s">
        <v>896</v>
      </c>
      <c r="E47" s="701">
        <f t="shared" si="0"/>
        <v>53</v>
      </c>
      <c r="F47" s="701" t="s">
        <v>5</v>
      </c>
      <c r="G47" s="699" t="s">
        <v>15273</v>
      </c>
      <c r="H47" s="740" t="s">
        <v>1327</v>
      </c>
      <c r="I47" s="701"/>
      <c r="J47" s="741"/>
      <c r="K47" s="704" t="s">
        <v>16124</v>
      </c>
      <c r="L47" s="701"/>
      <c r="M47" s="701" t="s">
        <v>25</v>
      </c>
      <c r="N47" s="742">
        <v>3</v>
      </c>
      <c r="O47" s="743">
        <v>3</v>
      </c>
      <c r="P47" s="740" t="s">
        <v>452</v>
      </c>
      <c r="Q47" s="744">
        <v>21603</v>
      </c>
      <c r="R47" s="740" t="s">
        <v>115</v>
      </c>
      <c r="S47" s="740" t="s">
        <v>5255</v>
      </c>
      <c r="T47" s="740" t="s">
        <v>15585</v>
      </c>
      <c r="U47" s="703"/>
      <c r="V47" s="702"/>
      <c r="W47" s="702"/>
      <c r="X47" s="702"/>
      <c r="Y47" s="702"/>
      <c r="Z47" s="702"/>
      <c r="AA47" s="702"/>
      <c r="AB47" s="702"/>
      <c r="AC47" s="702"/>
      <c r="AD47" s="702"/>
      <c r="AE47" s="708"/>
      <c r="AF47" s="655"/>
    </row>
    <row r="48" spans="1:32" ht="12" customHeight="1">
      <c r="A48" s="771" t="s">
        <v>16152</v>
      </c>
      <c r="B48" s="696">
        <v>1</v>
      </c>
      <c r="C48" s="696"/>
      <c r="D48" s="696" t="s">
        <v>4599</v>
      </c>
      <c r="E48" s="690">
        <f t="shared" si="0"/>
        <v>41</v>
      </c>
      <c r="F48" s="696" t="s">
        <v>5</v>
      </c>
      <c r="G48" s="696" t="s">
        <v>6067</v>
      </c>
      <c r="H48" s="715"/>
      <c r="I48" s="696"/>
      <c r="J48" s="696"/>
      <c r="K48" s="716" t="s">
        <v>16122</v>
      </c>
      <c r="L48" s="696" t="s">
        <v>22</v>
      </c>
      <c r="M48" s="696" t="s">
        <v>6</v>
      </c>
      <c r="N48" s="717"/>
      <c r="O48" s="718"/>
      <c r="P48" s="715" t="s">
        <v>4577</v>
      </c>
      <c r="Q48" s="719">
        <v>26021</v>
      </c>
      <c r="R48" s="715" t="s">
        <v>4600</v>
      </c>
      <c r="S48" s="715"/>
      <c r="T48" s="715"/>
      <c r="U48" s="715"/>
      <c r="V48" s="696"/>
      <c r="W48" s="696"/>
      <c r="X48" s="696"/>
      <c r="Y48" s="696"/>
      <c r="Z48" s="696"/>
      <c r="AA48" s="696"/>
      <c r="AB48" s="696"/>
      <c r="AC48" s="696"/>
      <c r="AD48" s="696"/>
      <c r="AE48" s="697"/>
      <c r="AF48" s="655"/>
    </row>
    <row r="49" spans="1:32" ht="12" customHeight="1" thickBot="1">
      <c r="A49" s="772" t="s">
        <v>16153</v>
      </c>
      <c r="B49" s="702">
        <v>2</v>
      </c>
      <c r="C49" s="702"/>
      <c r="D49" s="702" t="s">
        <v>4601</v>
      </c>
      <c r="E49" s="701">
        <f t="shared" si="0"/>
        <v>42</v>
      </c>
      <c r="F49" s="702" t="s">
        <v>5</v>
      </c>
      <c r="G49" s="702" t="s">
        <v>6067</v>
      </c>
      <c r="H49" s="720"/>
      <c r="I49" s="702"/>
      <c r="J49" s="702"/>
      <c r="K49" s="770" t="s">
        <v>16122</v>
      </c>
      <c r="L49" s="702" t="s">
        <v>22</v>
      </c>
      <c r="M49" s="702" t="s">
        <v>6</v>
      </c>
      <c r="N49" s="721"/>
      <c r="O49" s="722"/>
      <c r="P49" s="720" t="s">
        <v>4602</v>
      </c>
      <c r="Q49" s="723">
        <v>25680</v>
      </c>
      <c r="R49" s="720" t="s">
        <v>4603</v>
      </c>
      <c r="S49" s="720"/>
      <c r="T49" s="720"/>
      <c r="U49" s="720"/>
      <c r="V49" s="702"/>
      <c r="W49" s="702"/>
      <c r="X49" s="702"/>
      <c r="Y49" s="702"/>
      <c r="Z49" s="702"/>
      <c r="AA49" s="702"/>
      <c r="AB49" s="702"/>
      <c r="AC49" s="702"/>
      <c r="AD49" s="702"/>
      <c r="AE49" s="708"/>
      <c r="AF49" s="655"/>
    </row>
    <row r="50" spans="1:32" ht="12" customHeight="1">
      <c r="A50" s="776" t="s">
        <v>15686</v>
      </c>
      <c r="B50" s="696">
        <v>1</v>
      </c>
      <c r="C50" s="688" t="s">
        <v>116</v>
      </c>
      <c r="D50" s="687" t="s">
        <v>4181</v>
      </c>
      <c r="E50" s="690">
        <f t="shared" si="0"/>
        <v>39</v>
      </c>
      <c r="F50" s="696" t="s">
        <v>19</v>
      </c>
      <c r="G50" s="689" t="s">
        <v>15273</v>
      </c>
      <c r="H50" s="747"/>
      <c r="I50" s="687"/>
      <c r="J50" s="687"/>
      <c r="K50" s="692" t="s">
        <v>16127</v>
      </c>
      <c r="L50" s="687" t="s">
        <v>44</v>
      </c>
      <c r="M50" s="687" t="s">
        <v>6</v>
      </c>
      <c r="N50" s="748"/>
      <c r="O50" s="749"/>
      <c r="P50" s="747" t="s">
        <v>557</v>
      </c>
      <c r="Q50" s="773">
        <v>26710</v>
      </c>
      <c r="R50" s="747" t="s">
        <v>4182</v>
      </c>
      <c r="S50" s="747"/>
      <c r="T50" s="747"/>
      <c r="U50" s="747" t="s">
        <v>155</v>
      </c>
      <c r="V50" s="696"/>
      <c r="W50" s="696"/>
      <c r="X50" s="696"/>
      <c r="Y50" s="696"/>
      <c r="Z50" s="696" t="s">
        <v>155</v>
      </c>
      <c r="AA50" s="696"/>
      <c r="AB50" s="696"/>
      <c r="AC50" s="696"/>
      <c r="AD50" s="696"/>
      <c r="AE50" s="697"/>
      <c r="AF50" s="655"/>
    </row>
    <row r="51" spans="1:32" ht="12" customHeight="1">
      <c r="A51" s="777" t="s">
        <v>15687</v>
      </c>
      <c r="B51" s="2">
        <v>1</v>
      </c>
      <c r="C51" s="4" t="s">
        <v>127</v>
      </c>
      <c r="D51" s="1" t="s">
        <v>3502</v>
      </c>
      <c r="E51" s="6">
        <f t="shared" si="0"/>
        <v>57</v>
      </c>
      <c r="F51" s="2" t="s">
        <v>5</v>
      </c>
      <c r="G51" s="5" t="s">
        <v>15273</v>
      </c>
      <c r="K51" s="8" t="s">
        <v>16127</v>
      </c>
      <c r="L51" s="1" t="s">
        <v>44</v>
      </c>
      <c r="M51" s="1" t="s">
        <v>6</v>
      </c>
      <c r="P51" s="3" t="s">
        <v>381</v>
      </c>
      <c r="Q51" s="20">
        <v>20164</v>
      </c>
      <c r="R51" s="3" t="s">
        <v>3503</v>
      </c>
      <c r="U51" s="3" t="s">
        <v>145</v>
      </c>
      <c r="W51" s="2" t="s">
        <v>145</v>
      </c>
      <c r="AD51" s="3"/>
      <c r="AE51" s="774"/>
      <c r="AF51" s="655"/>
    </row>
    <row r="52" spans="1:32" ht="12" customHeight="1">
      <c r="A52" s="777" t="s">
        <v>15688</v>
      </c>
      <c r="B52" s="2">
        <v>1</v>
      </c>
      <c r="C52" s="4" t="s">
        <v>152</v>
      </c>
      <c r="D52" s="5" t="s">
        <v>918</v>
      </c>
      <c r="E52" s="6">
        <f t="shared" si="0"/>
        <v>43</v>
      </c>
      <c r="F52" s="5" t="s">
        <v>19</v>
      </c>
      <c r="G52" s="5" t="s">
        <v>15273</v>
      </c>
      <c r="H52" s="7" t="s">
        <v>1310</v>
      </c>
      <c r="I52" s="5"/>
      <c r="J52" s="19"/>
      <c r="K52" s="8" t="s">
        <v>16127</v>
      </c>
      <c r="L52" s="5" t="s">
        <v>604</v>
      </c>
      <c r="M52" s="5" t="s">
        <v>25</v>
      </c>
      <c r="N52" s="9">
        <v>3</v>
      </c>
      <c r="O52" s="10">
        <v>3</v>
      </c>
      <c r="P52" s="7" t="s">
        <v>468</v>
      </c>
      <c r="Q52" s="11">
        <v>25394</v>
      </c>
      <c r="R52" s="7" t="s">
        <v>754</v>
      </c>
      <c r="S52" s="7" t="s">
        <v>347</v>
      </c>
      <c r="T52" s="7"/>
      <c r="U52" s="7" t="s">
        <v>104</v>
      </c>
      <c r="AB52" s="2" t="s">
        <v>104</v>
      </c>
      <c r="AD52" s="3"/>
      <c r="AE52" s="774"/>
      <c r="AF52" s="655"/>
    </row>
    <row r="53" spans="1:32" ht="12" customHeight="1">
      <c r="A53" s="777" t="s">
        <v>15689</v>
      </c>
      <c r="B53" s="2">
        <v>1</v>
      </c>
      <c r="C53" s="4" t="s">
        <v>160</v>
      </c>
      <c r="D53" s="5" t="s">
        <v>917</v>
      </c>
      <c r="E53" s="6">
        <f t="shared" si="0"/>
        <v>58</v>
      </c>
      <c r="F53" s="5" t="s">
        <v>5</v>
      </c>
      <c r="G53" s="5" t="s">
        <v>15273</v>
      </c>
      <c r="H53" s="7" t="s">
        <v>1311</v>
      </c>
      <c r="I53" s="5"/>
      <c r="J53" s="19"/>
      <c r="K53" s="4" t="s">
        <v>16127</v>
      </c>
      <c r="L53" s="5" t="s">
        <v>736</v>
      </c>
      <c r="M53" s="5" t="s">
        <v>25</v>
      </c>
      <c r="N53" s="9">
        <v>3</v>
      </c>
      <c r="O53" s="10">
        <v>3</v>
      </c>
      <c r="P53" s="7" t="s">
        <v>456</v>
      </c>
      <c r="Q53" s="11">
        <v>19759</v>
      </c>
      <c r="R53" s="7" t="s">
        <v>755</v>
      </c>
      <c r="S53" s="7" t="s">
        <v>836</v>
      </c>
      <c r="T53" s="7" t="s">
        <v>736</v>
      </c>
      <c r="U53" s="7" t="s">
        <v>104</v>
      </c>
      <c r="AB53" s="2" t="s">
        <v>104</v>
      </c>
      <c r="AD53" s="3"/>
      <c r="AE53" s="774"/>
      <c r="AF53" s="655"/>
    </row>
    <row r="54" spans="1:32" ht="12" customHeight="1">
      <c r="A54" s="777" t="s">
        <v>15690</v>
      </c>
      <c r="B54" s="2">
        <v>1</v>
      </c>
      <c r="C54" s="4" t="s">
        <v>165</v>
      </c>
      <c r="D54" s="5" t="s">
        <v>855</v>
      </c>
      <c r="E54" s="6">
        <f t="shared" si="0"/>
        <v>46</v>
      </c>
      <c r="F54" s="5" t="s">
        <v>5</v>
      </c>
      <c r="G54" s="5" t="s">
        <v>15273</v>
      </c>
      <c r="H54" s="7" t="s">
        <v>1332</v>
      </c>
      <c r="I54" s="5"/>
      <c r="J54" s="19"/>
      <c r="K54" s="8" t="s">
        <v>16126</v>
      </c>
      <c r="L54" s="5" t="s">
        <v>44</v>
      </c>
      <c r="M54" s="5" t="s">
        <v>25</v>
      </c>
      <c r="N54" s="9">
        <v>2</v>
      </c>
      <c r="O54" s="10">
        <v>2</v>
      </c>
      <c r="P54" s="7" t="s">
        <v>317</v>
      </c>
      <c r="Q54" s="11">
        <v>24387</v>
      </c>
      <c r="R54" s="7" t="s">
        <v>760</v>
      </c>
      <c r="S54" s="7" t="s">
        <v>810</v>
      </c>
      <c r="T54" s="7" t="s">
        <v>736</v>
      </c>
      <c r="U54" s="7" t="s">
        <v>147</v>
      </c>
      <c r="AC54" s="2" t="s">
        <v>147</v>
      </c>
      <c r="AD54" s="3"/>
      <c r="AE54" s="774"/>
      <c r="AF54" s="655"/>
    </row>
    <row r="55" spans="1:32" ht="12" customHeight="1">
      <c r="A55" s="777" t="s">
        <v>15691</v>
      </c>
      <c r="B55" s="2">
        <v>1</v>
      </c>
      <c r="C55" s="4" t="s">
        <v>190</v>
      </c>
      <c r="D55" s="5" t="s">
        <v>853</v>
      </c>
      <c r="E55" s="6">
        <f t="shared" si="0"/>
        <v>59</v>
      </c>
      <c r="F55" s="5" t="s">
        <v>5</v>
      </c>
      <c r="G55" s="5" t="s">
        <v>15273</v>
      </c>
      <c r="H55" s="7" t="s">
        <v>1334</v>
      </c>
      <c r="I55" s="5"/>
      <c r="J55" s="19"/>
      <c r="K55" s="8" t="s">
        <v>16127</v>
      </c>
      <c r="L55" s="5" t="s">
        <v>737</v>
      </c>
      <c r="M55" s="5" t="s">
        <v>25</v>
      </c>
      <c r="N55" s="9">
        <v>4</v>
      </c>
      <c r="O55" s="10">
        <v>4</v>
      </c>
      <c r="P55" s="7" t="s">
        <v>188</v>
      </c>
      <c r="Q55" s="11">
        <v>19646</v>
      </c>
      <c r="R55" s="7" t="s">
        <v>746</v>
      </c>
      <c r="S55" s="7" t="s">
        <v>828</v>
      </c>
      <c r="T55" s="7" t="s">
        <v>736</v>
      </c>
      <c r="U55" s="3" t="s">
        <v>145</v>
      </c>
      <c r="W55" s="2" t="s">
        <v>145</v>
      </c>
      <c r="AE55" s="698"/>
      <c r="AF55" s="655"/>
    </row>
    <row r="56" spans="1:32" ht="12" customHeight="1">
      <c r="A56" s="777" t="s">
        <v>15692</v>
      </c>
      <c r="B56" s="2">
        <v>1</v>
      </c>
      <c r="C56" s="4" t="s">
        <v>198</v>
      </c>
      <c r="D56" s="1" t="s">
        <v>6034</v>
      </c>
      <c r="E56" s="6">
        <f t="shared" si="0"/>
        <v>56</v>
      </c>
      <c r="F56" s="2" t="s">
        <v>5</v>
      </c>
      <c r="G56" s="5" t="s">
        <v>15273</v>
      </c>
      <c r="K56" s="8" t="s">
        <v>16127</v>
      </c>
      <c r="L56" s="1" t="s">
        <v>737</v>
      </c>
      <c r="M56" s="1" t="s">
        <v>6</v>
      </c>
      <c r="P56" s="3" t="s">
        <v>2214</v>
      </c>
      <c r="Q56" s="20">
        <v>20737</v>
      </c>
      <c r="R56" s="3" t="s">
        <v>6037</v>
      </c>
      <c r="AE56" s="698"/>
      <c r="AF56" s="655"/>
    </row>
    <row r="57" spans="1:32" ht="12" customHeight="1">
      <c r="A57" s="777" t="s">
        <v>15693</v>
      </c>
      <c r="B57" s="2">
        <v>1</v>
      </c>
      <c r="C57" s="4" t="s">
        <v>207</v>
      </c>
      <c r="D57" s="5" t="s">
        <v>866</v>
      </c>
      <c r="E57" s="6">
        <f t="shared" si="0"/>
        <v>55</v>
      </c>
      <c r="F57" s="5" t="s">
        <v>19</v>
      </c>
      <c r="G57" s="5" t="s">
        <v>15273</v>
      </c>
      <c r="H57" s="7" t="s">
        <v>1336</v>
      </c>
      <c r="I57" s="5"/>
      <c r="J57" s="19"/>
      <c r="K57" s="8" t="s">
        <v>16127</v>
      </c>
      <c r="L57" s="5" t="s">
        <v>44</v>
      </c>
      <c r="M57" s="5" t="s">
        <v>25</v>
      </c>
      <c r="N57" s="9">
        <v>2</v>
      </c>
      <c r="O57" s="10">
        <v>2</v>
      </c>
      <c r="P57" s="7" t="s">
        <v>214</v>
      </c>
      <c r="Q57" s="11">
        <v>20910</v>
      </c>
      <c r="R57" s="7" t="s">
        <v>211</v>
      </c>
      <c r="S57" s="7" t="s">
        <v>841</v>
      </c>
      <c r="T57" s="7" t="s">
        <v>736</v>
      </c>
      <c r="U57" s="7" t="s">
        <v>155</v>
      </c>
      <c r="Z57" s="2" t="s">
        <v>155</v>
      </c>
      <c r="AE57" s="698"/>
      <c r="AF57" s="655"/>
    </row>
    <row r="58" spans="1:32" ht="12" customHeight="1">
      <c r="A58" s="777" t="s">
        <v>15694</v>
      </c>
      <c r="B58" s="2">
        <v>1</v>
      </c>
      <c r="C58" s="4" t="s">
        <v>223</v>
      </c>
      <c r="D58" s="6" t="s">
        <v>873</v>
      </c>
      <c r="E58" s="6">
        <f t="shared" si="0"/>
        <v>64</v>
      </c>
      <c r="F58" s="6" t="s">
        <v>5</v>
      </c>
      <c r="G58" s="5" t="s">
        <v>15273</v>
      </c>
      <c r="H58" s="18" t="s">
        <v>1337</v>
      </c>
      <c r="I58" s="5" t="s">
        <v>373</v>
      </c>
      <c r="J58" s="19"/>
      <c r="K58" s="4" t="s">
        <v>16127</v>
      </c>
      <c r="L58" s="6" t="s">
        <v>45</v>
      </c>
      <c r="M58" s="6" t="s">
        <v>14</v>
      </c>
      <c r="N58" s="13">
        <v>2</v>
      </c>
      <c r="O58" s="14">
        <v>4</v>
      </c>
      <c r="P58" s="12" t="s">
        <v>459</v>
      </c>
      <c r="Q58" s="15">
        <v>17518</v>
      </c>
      <c r="R58" s="12" t="s">
        <v>219</v>
      </c>
      <c r="S58" s="12" t="s">
        <v>827</v>
      </c>
      <c r="T58" s="12" t="s">
        <v>736</v>
      </c>
      <c r="U58" s="19" t="s">
        <v>631</v>
      </c>
      <c r="Y58" s="2" t="s">
        <v>229</v>
      </c>
      <c r="Z58" s="2" t="s">
        <v>155</v>
      </c>
      <c r="AE58" s="774"/>
      <c r="AF58" s="655"/>
    </row>
    <row r="59" spans="1:32" ht="12" customHeight="1">
      <c r="A59" s="777" t="s">
        <v>15695</v>
      </c>
      <c r="B59" s="2">
        <v>1</v>
      </c>
      <c r="C59" s="4" t="s">
        <v>241</v>
      </c>
      <c r="D59" s="5" t="s">
        <v>863</v>
      </c>
      <c r="E59" s="6">
        <f t="shared" si="0"/>
        <v>41</v>
      </c>
      <c r="F59" s="5" t="s">
        <v>5</v>
      </c>
      <c r="G59" s="5" t="s">
        <v>15273</v>
      </c>
      <c r="H59" s="7" t="s">
        <v>1339</v>
      </c>
      <c r="I59" s="5"/>
      <c r="J59" s="19"/>
      <c r="K59" s="8" t="s">
        <v>16126</v>
      </c>
      <c r="L59" s="5" t="s">
        <v>604</v>
      </c>
      <c r="M59" s="5" t="s">
        <v>25</v>
      </c>
      <c r="N59" s="9">
        <v>2</v>
      </c>
      <c r="O59" s="10">
        <v>2</v>
      </c>
      <c r="P59" s="7" t="s">
        <v>188</v>
      </c>
      <c r="Q59" s="11">
        <v>26061</v>
      </c>
      <c r="R59" s="7" t="s">
        <v>748</v>
      </c>
      <c r="S59" s="3" t="s">
        <v>346</v>
      </c>
      <c r="T59" s="3" t="s">
        <v>736</v>
      </c>
      <c r="AE59" s="774"/>
      <c r="AF59" s="655"/>
    </row>
    <row r="60" spans="1:32" ht="12" customHeight="1">
      <c r="A60" s="777" t="s">
        <v>15696</v>
      </c>
      <c r="B60" s="2">
        <v>1</v>
      </c>
      <c r="C60" s="4" t="s">
        <v>250</v>
      </c>
      <c r="D60" s="5" t="s">
        <v>902</v>
      </c>
      <c r="E60" s="6">
        <f t="shared" si="0"/>
        <v>42</v>
      </c>
      <c r="F60" s="5" t="s">
        <v>5</v>
      </c>
      <c r="G60" s="5" t="s">
        <v>15273</v>
      </c>
      <c r="H60" s="7" t="s">
        <v>1340</v>
      </c>
      <c r="I60" s="5"/>
      <c r="J60" s="19"/>
      <c r="K60" s="8" t="s">
        <v>16127</v>
      </c>
      <c r="L60" s="5" t="s">
        <v>44</v>
      </c>
      <c r="M60" s="5" t="s">
        <v>25</v>
      </c>
      <c r="N60" s="9">
        <v>1</v>
      </c>
      <c r="O60" s="10">
        <v>1</v>
      </c>
      <c r="P60" s="7" t="s">
        <v>463</v>
      </c>
      <c r="Q60" s="11">
        <v>25555</v>
      </c>
      <c r="R60" s="7" t="s">
        <v>802</v>
      </c>
      <c r="T60" s="3" t="s">
        <v>736</v>
      </c>
      <c r="AE60" s="774"/>
      <c r="AF60" s="655"/>
    </row>
    <row r="61" spans="1:32" ht="12" customHeight="1">
      <c r="A61" s="777" t="s">
        <v>15697</v>
      </c>
      <c r="B61" s="2">
        <v>1</v>
      </c>
      <c r="C61" s="4" t="s">
        <v>263</v>
      </c>
      <c r="D61" s="5" t="s">
        <v>846</v>
      </c>
      <c r="E61" s="6">
        <f t="shared" si="0"/>
        <v>50</v>
      </c>
      <c r="F61" s="5" t="s">
        <v>5</v>
      </c>
      <c r="G61" s="5" t="s">
        <v>15273</v>
      </c>
      <c r="H61" s="7" t="s">
        <v>1341</v>
      </c>
      <c r="I61" s="5"/>
      <c r="J61" s="19"/>
      <c r="K61" s="8" t="s">
        <v>16127</v>
      </c>
      <c r="L61" s="5" t="s">
        <v>24</v>
      </c>
      <c r="M61" s="5" t="s">
        <v>25</v>
      </c>
      <c r="N61" s="9">
        <v>5</v>
      </c>
      <c r="O61" s="10">
        <v>5</v>
      </c>
      <c r="P61" s="7" t="s">
        <v>188</v>
      </c>
      <c r="Q61" s="11">
        <v>22663</v>
      </c>
      <c r="R61" s="7" t="s">
        <v>1050</v>
      </c>
      <c r="S61" s="7" t="s">
        <v>829</v>
      </c>
      <c r="T61" s="7" t="s">
        <v>736</v>
      </c>
      <c r="U61" s="7" t="s">
        <v>155</v>
      </c>
      <c r="Z61" s="2" t="s">
        <v>155</v>
      </c>
      <c r="AE61" s="774"/>
      <c r="AF61" s="655"/>
    </row>
    <row r="62" spans="1:32" ht="12" customHeight="1">
      <c r="A62" s="777" t="s">
        <v>15698</v>
      </c>
      <c r="B62" s="2">
        <v>1</v>
      </c>
      <c r="C62" s="4" t="s">
        <v>272</v>
      </c>
      <c r="D62" s="1" t="s">
        <v>275</v>
      </c>
      <c r="E62" s="6">
        <f t="shared" si="0"/>
        <v>47</v>
      </c>
      <c r="F62" s="2" t="s">
        <v>19</v>
      </c>
      <c r="G62" s="5" t="s">
        <v>15273</v>
      </c>
      <c r="K62" s="8" t="s">
        <v>16127</v>
      </c>
      <c r="L62" s="1" t="s">
        <v>276</v>
      </c>
      <c r="M62" s="1" t="s">
        <v>14</v>
      </c>
      <c r="N62" s="16">
        <v>2</v>
      </c>
      <c r="O62" s="17">
        <v>2</v>
      </c>
      <c r="P62" s="3" t="s">
        <v>277</v>
      </c>
      <c r="Q62" s="20">
        <v>23750</v>
      </c>
      <c r="R62" s="3" t="s">
        <v>233</v>
      </c>
      <c r="T62" s="3" t="s">
        <v>736</v>
      </c>
      <c r="U62" s="3" t="s">
        <v>145</v>
      </c>
      <c r="W62" s="2" t="s">
        <v>145</v>
      </c>
      <c r="AE62" s="698"/>
      <c r="AF62" s="655"/>
    </row>
    <row r="63" spans="1:32" ht="12" customHeight="1">
      <c r="A63" s="777" t="s">
        <v>15699</v>
      </c>
      <c r="B63" s="2">
        <v>1</v>
      </c>
      <c r="C63" s="4" t="s">
        <v>278</v>
      </c>
      <c r="D63" s="5" t="s">
        <v>882</v>
      </c>
      <c r="E63" s="6">
        <f t="shared" si="0"/>
        <v>36</v>
      </c>
      <c r="F63" s="5" t="s">
        <v>5</v>
      </c>
      <c r="G63" s="5" t="s">
        <v>15273</v>
      </c>
      <c r="H63" s="7" t="s">
        <v>1343</v>
      </c>
      <c r="I63" s="5"/>
      <c r="J63" s="19"/>
      <c r="K63" s="4" t="s">
        <v>16127</v>
      </c>
      <c r="L63" s="5" t="s">
        <v>44</v>
      </c>
      <c r="M63" s="5" t="s">
        <v>25</v>
      </c>
      <c r="N63" s="9">
        <v>3</v>
      </c>
      <c r="O63" s="10">
        <v>3</v>
      </c>
      <c r="P63" s="7" t="s">
        <v>381</v>
      </c>
      <c r="Q63" s="11">
        <v>28023</v>
      </c>
      <c r="R63" s="7" t="s">
        <v>743</v>
      </c>
      <c r="S63" s="7" t="s">
        <v>837</v>
      </c>
      <c r="T63" s="7"/>
      <c r="AE63" s="698"/>
      <c r="AF63" s="655"/>
    </row>
    <row r="64" spans="1:32" ht="12" customHeight="1">
      <c r="A64" s="777" t="s">
        <v>15700</v>
      </c>
      <c r="B64" s="2">
        <v>1</v>
      </c>
      <c r="C64" s="4" t="s">
        <v>287</v>
      </c>
      <c r="D64" s="5" t="s">
        <v>907</v>
      </c>
      <c r="E64" s="6">
        <f t="shared" si="0"/>
        <v>65</v>
      </c>
      <c r="F64" s="5" t="s">
        <v>5</v>
      </c>
      <c r="G64" s="5" t="s">
        <v>15273</v>
      </c>
      <c r="H64" s="7" t="s">
        <v>1344</v>
      </c>
      <c r="I64" s="5"/>
      <c r="J64" s="19"/>
      <c r="K64" s="8" t="s">
        <v>16126</v>
      </c>
      <c r="L64" s="5" t="s">
        <v>44</v>
      </c>
      <c r="M64" s="5" t="s">
        <v>25</v>
      </c>
      <c r="N64" s="9">
        <v>1</v>
      </c>
      <c r="O64" s="10">
        <v>1</v>
      </c>
      <c r="P64" s="7" t="s">
        <v>95</v>
      </c>
      <c r="Q64" s="11">
        <v>17383</v>
      </c>
      <c r="R64" s="12" t="s">
        <v>770</v>
      </c>
      <c r="S64" s="7"/>
      <c r="T64" s="7" t="s">
        <v>736</v>
      </c>
      <c r="U64" s="7" t="s">
        <v>371</v>
      </c>
      <c r="W64" s="2" t="s">
        <v>145</v>
      </c>
      <c r="X64" s="2" t="s">
        <v>75</v>
      </c>
      <c r="AE64" s="698"/>
      <c r="AF64" s="655"/>
    </row>
    <row r="65" spans="1:32" ht="12" customHeight="1">
      <c r="A65" s="777" t="s">
        <v>15701</v>
      </c>
      <c r="B65" s="2">
        <v>1</v>
      </c>
      <c r="C65" s="4" t="s">
        <v>297</v>
      </c>
      <c r="D65" s="1" t="s">
        <v>1007</v>
      </c>
      <c r="E65" s="6">
        <f t="shared" si="0"/>
        <v>64</v>
      </c>
      <c r="F65" s="2" t="s">
        <v>19</v>
      </c>
      <c r="G65" s="5" t="s">
        <v>15273</v>
      </c>
      <c r="K65" s="8" t="s">
        <v>16127</v>
      </c>
      <c r="L65" s="1" t="s">
        <v>45</v>
      </c>
      <c r="M65" s="1" t="s">
        <v>6</v>
      </c>
      <c r="P65" s="3" t="s">
        <v>302</v>
      </c>
      <c r="Q65" s="20">
        <v>17674</v>
      </c>
      <c r="R65" s="3" t="s">
        <v>1009</v>
      </c>
      <c r="T65" s="3" t="s">
        <v>736</v>
      </c>
      <c r="U65" s="3" t="s">
        <v>145</v>
      </c>
      <c r="W65" s="2" t="s">
        <v>145</v>
      </c>
      <c r="AE65" s="698"/>
      <c r="AF65" s="655"/>
    </row>
    <row r="66" spans="1:32" ht="12" customHeight="1">
      <c r="A66" s="777" t="s">
        <v>15702</v>
      </c>
      <c r="B66" s="2">
        <v>1</v>
      </c>
      <c r="C66" s="4" t="s">
        <v>308</v>
      </c>
      <c r="D66" s="5" t="s">
        <v>883</v>
      </c>
      <c r="E66" s="6">
        <f t="shared" ref="E66:E129" si="1">DATEDIF(Q66,$Q$1119,"Y")</f>
        <v>70</v>
      </c>
      <c r="F66" s="5" t="s">
        <v>5</v>
      </c>
      <c r="G66" s="5" t="s">
        <v>15273</v>
      </c>
      <c r="H66" s="7" t="s">
        <v>1346</v>
      </c>
      <c r="I66" s="5"/>
      <c r="J66" s="19"/>
      <c r="K66" s="8" t="s">
        <v>16127</v>
      </c>
      <c r="L66" s="5" t="s">
        <v>604</v>
      </c>
      <c r="M66" s="5" t="s">
        <v>25</v>
      </c>
      <c r="N66" s="9">
        <v>11</v>
      </c>
      <c r="O66" s="10">
        <v>11</v>
      </c>
      <c r="P66" s="7" t="s">
        <v>123</v>
      </c>
      <c r="Q66" s="11">
        <v>15365</v>
      </c>
      <c r="R66" s="7" t="s">
        <v>749</v>
      </c>
      <c r="S66" s="7" t="s">
        <v>832</v>
      </c>
      <c r="T66" s="7" t="s">
        <v>736</v>
      </c>
      <c r="U66" s="7" t="s">
        <v>104</v>
      </c>
      <c r="AB66" s="2" t="s">
        <v>104</v>
      </c>
      <c r="AE66" s="698"/>
      <c r="AF66" s="655"/>
    </row>
    <row r="67" spans="1:32" ht="12" customHeight="1">
      <c r="A67" s="777" t="s">
        <v>15703</v>
      </c>
      <c r="B67" s="2">
        <v>1</v>
      </c>
      <c r="C67" s="4" t="s">
        <v>312</v>
      </c>
      <c r="D67" s="5" t="s">
        <v>864</v>
      </c>
      <c r="E67" s="6">
        <f t="shared" si="1"/>
        <v>47</v>
      </c>
      <c r="F67" s="5" t="s">
        <v>5</v>
      </c>
      <c r="G67" s="5" t="s">
        <v>15273</v>
      </c>
      <c r="H67" s="7" t="s">
        <v>1347</v>
      </c>
      <c r="I67" s="5"/>
      <c r="J67" s="19"/>
      <c r="K67" s="8" t="s">
        <v>16127</v>
      </c>
      <c r="L67" s="5" t="s">
        <v>44</v>
      </c>
      <c r="M67" s="5" t="s">
        <v>25</v>
      </c>
      <c r="N67" s="9">
        <v>3</v>
      </c>
      <c r="O67" s="10">
        <v>3</v>
      </c>
      <c r="P67" s="7" t="s">
        <v>31</v>
      </c>
      <c r="Q67" s="11">
        <v>23881</v>
      </c>
      <c r="R67" s="7" t="s">
        <v>773</v>
      </c>
      <c r="S67" s="7" t="s">
        <v>822</v>
      </c>
      <c r="T67" s="7" t="s">
        <v>736</v>
      </c>
      <c r="U67" s="7" t="s">
        <v>258</v>
      </c>
      <c r="Z67" s="2" t="s">
        <v>155</v>
      </c>
      <c r="AB67" s="2" t="s">
        <v>104</v>
      </c>
      <c r="AE67" s="698"/>
      <c r="AF67" s="655"/>
    </row>
    <row r="68" spans="1:32" ht="12" customHeight="1">
      <c r="A68" s="777" t="s">
        <v>15704</v>
      </c>
      <c r="B68" s="2">
        <v>1</v>
      </c>
      <c r="C68" s="4" t="s">
        <v>335</v>
      </c>
      <c r="D68" s="1" t="s">
        <v>5538</v>
      </c>
      <c r="E68" s="6">
        <f t="shared" si="1"/>
        <v>43</v>
      </c>
      <c r="F68" s="2" t="s">
        <v>5</v>
      </c>
      <c r="G68" s="5" t="s">
        <v>15273</v>
      </c>
      <c r="K68" s="4" t="s">
        <v>16127</v>
      </c>
      <c r="L68" s="1" t="s">
        <v>44</v>
      </c>
      <c r="M68" s="1" t="s">
        <v>6</v>
      </c>
      <c r="P68" s="3" t="s">
        <v>5539</v>
      </c>
      <c r="Q68" s="21">
        <v>25514</v>
      </c>
      <c r="R68" s="3" t="s">
        <v>5540</v>
      </c>
      <c r="U68" s="3" t="s">
        <v>635</v>
      </c>
      <c r="W68" s="2" t="s">
        <v>145</v>
      </c>
      <c r="AD68" s="2" t="s">
        <v>146</v>
      </c>
      <c r="AE68" s="698"/>
      <c r="AF68" s="655"/>
    </row>
    <row r="69" spans="1:32" ht="12" customHeight="1">
      <c r="A69" s="777" t="s">
        <v>15705</v>
      </c>
      <c r="B69" s="2">
        <v>1</v>
      </c>
      <c r="C69" s="4" t="s">
        <v>342</v>
      </c>
      <c r="D69" s="1" t="s">
        <v>5651</v>
      </c>
      <c r="E69" s="6">
        <f t="shared" si="1"/>
        <v>63</v>
      </c>
      <c r="F69" s="2" t="s">
        <v>5</v>
      </c>
      <c r="G69" s="5" t="s">
        <v>15273</v>
      </c>
      <c r="K69" s="8" t="s">
        <v>16126</v>
      </c>
      <c r="L69" s="1" t="s">
        <v>44</v>
      </c>
      <c r="M69" s="1" t="s">
        <v>6</v>
      </c>
      <c r="P69" s="3" t="s">
        <v>5688</v>
      </c>
      <c r="Q69" s="20">
        <v>18025</v>
      </c>
      <c r="R69" s="3" t="s">
        <v>5689</v>
      </c>
      <c r="U69" s="3" t="s">
        <v>145</v>
      </c>
      <c r="W69" s="2" t="s">
        <v>145</v>
      </c>
      <c r="AE69" s="698"/>
      <c r="AF69" s="655"/>
    </row>
    <row r="70" spans="1:32" ht="12" customHeight="1">
      <c r="A70" s="777" t="s">
        <v>15706</v>
      </c>
      <c r="B70" s="2">
        <v>1</v>
      </c>
      <c r="C70" s="4" t="s">
        <v>360</v>
      </c>
      <c r="D70" s="5" t="s">
        <v>867</v>
      </c>
      <c r="E70" s="6">
        <f t="shared" si="1"/>
        <v>48</v>
      </c>
      <c r="F70" s="5" t="s">
        <v>5</v>
      </c>
      <c r="G70" s="5" t="s">
        <v>15273</v>
      </c>
      <c r="H70" s="7" t="s">
        <v>1351</v>
      </c>
      <c r="I70" s="5"/>
      <c r="J70" s="19"/>
      <c r="K70" s="8" t="s">
        <v>16127</v>
      </c>
      <c r="L70" s="5" t="s">
        <v>24</v>
      </c>
      <c r="M70" s="5" t="s">
        <v>25</v>
      </c>
      <c r="N70" s="9">
        <v>6</v>
      </c>
      <c r="O70" s="10">
        <v>6</v>
      </c>
      <c r="P70" s="7" t="s">
        <v>450</v>
      </c>
      <c r="Q70" s="11">
        <v>23517</v>
      </c>
      <c r="R70" s="7" t="s">
        <v>792</v>
      </c>
      <c r="S70" s="7" t="s">
        <v>834</v>
      </c>
      <c r="T70" s="7" t="s">
        <v>736</v>
      </c>
      <c r="U70" s="7" t="s">
        <v>636</v>
      </c>
      <c r="W70" s="2" t="s">
        <v>145</v>
      </c>
      <c r="AB70" s="2" t="s">
        <v>104</v>
      </c>
      <c r="AD70" s="2" t="s">
        <v>146</v>
      </c>
      <c r="AE70" s="698"/>
      <c r="AF70" s="655"/>
    </row>
    <row r="71" spans="1:32" ht="12" customHeight="1" thickBot="1">
      <c r="A71" s="778" t="s">
        <v>15707</v>
      </c>
      <c r="B71" s="702">
        <v>1</v>
      </c>
      <c r="C71" s="700" t="s">
        <v>376</v>
      </c>
      <c r="D71" s="356" t="s">
        <v>860</v>
      </c>
      <c r="E71" s="701">
        <f t="shared" si="1"/>
        <v>63</v>
      </c>
      <c r="F71" s="356" t="s">
        <v>5</v>
      </c>
      <c r="G71" s="356" t="s">
        <v>15273</v>
      </c>
      <c r="H71" s="753" t="s">
        <v>1353</v>
      </c>
      <c r="I71" s="775"/>
      <c r="J71" s="741"/>
      <c r="K71" s="704" t="s">
        <v>16127</v>
      </c>
      <c r="L71" s="356" t="s">
        <v>44</v>
      </c>
      <c r="M71" s="356" t="s">
        <v>25</v>
      </c>
      <c r="N71" s="754">
        <v>3</v>
      </c>
      <c r="O71" s="755">
        <v>3</v>
      </c>
      <c r="P71" s="753" t="s">
        <v>317</v>
      </c>
      <c r="Q71" s="756">
        <v>17955</v>
      </c>
      <c r="R71" s="753" t="s">
        <v>789</v>
      </c>
      <c r="S71" s="753" t="s">
        <v>379</v>
      </c>
      <c r="T71" s="753" t="s">
        <v>736</v>
      </c>
      <c r="U71" s="703" t="s">
        <v>145</v>
      </c>
      <c r="V71" s="702"/>
      <c r="W71" s="702" t="s">
        <v>145</v>
      </c>
      <c r="X71" s="702"/>
      <c r="Y71" s="702"/>
      <c r="Z71" s="702"/>
      <c r="AA71" s="702"/>
      <c r="AB71" s="702"/>
      <c r="AC71" s="702"/>
      <c r="AD71" s="702"/>
      <c r="AE71" s="708"/>
      <c r="AF71" s="655"/>
    </row>
    <row r="72" spans="1:32" ht="12" customHeight="1">
      <c r="A72" s="724" t="s">
        <v>15274</v>
      </c>
      <c r="B72" s="696">
        <v>1</v>
      </c>
      <c r="C72" s="688" t="s">
        <v>117</v>
      </c>
      <c r="D72" s="687" t="s">
        <v>121</v>
      </c>
      <c r="E72" s="690">
        <f t="shared" si="1"/>
        <v>46</v>
      </c>
      <c r="F72" s="696" t="s">
        <v>5</v>
      </c>
      <c r="G72" s="687" t="s">
        <v>15273</v>
      </c>
      <c r="H72" s="747"/>
      <c r="I72" s="687"/>
      <c r="J72" s="687"/>
      <c r="K72" s="716" t="s">
        <v>16120</v>
      </c>
      <c r="L72" s="687" t="s">
        <v>13</v>
      </c>
      <c r="M72" s="687" t="s">
        <v>6</v>
      </c>
      <c r="N72" s="748"/>
      <c r="O72" s="749"/>
      <c r="P72" s="747" t="s">
        <v>123</v>
      </c>
      <c r="Q72" s="773">
        <v>24398</v>
      </c>
      <c r="R72" s="747" t="s">
        <v>122</v>
      </c>
      <c r="S72" s="747"/>
      <c r="T72" s="747" t="s">
        <v>5457</v>
      </c>
      <c r="U72" s="747" t="s">
        <v>104</v>
      </c>
      <c r="V72" s="696"/>
      <c r="W72" s="696"/>
      <c r="X72" s="696"/>
      <c r="Y72" s="696"/>
      <c r="Z72" s="696"/>
      <c r="AA72" s="696"/>
      <c r="AB72" s="696" t="s">
        <v>104</v>
      </c>
      <c r="AC72" s="696"/>
      <c r="AD72" s="696"/>
      <c r="AE72" s="697"/>
      <c r="AF72" s="655"/>
    </row>
    <row r="73" spans="1:32" ht="12" customHeight="1">
      <c r="A73" s="725" t="s">
        <v>15275</v>
      </c>
      <c r="B73" s="2">
        <v>1</v>
      </c>
      <c r="C73" s="4" t="s">
        <v>128</v>
      </c>
      <c r="D73" s="6" t="s">
        <v>869</v>
      </c>
      <c r="E73" s="6">
        <f t="shared" si="1"/>
        <v>57</v>
      </c>
      <c r="F73" s="6" t="s">
        <v>5</v>
      </c>
      <c r="G73" s="6" t="s">
        <v>15273</v>
      </c>
      <c r="H73" s="12" t="s">
        <v>1329</v>
      </c>
      <c r="I73" s="6"/>
      <c r="J73" s="19"/>
      <c r="K73" s="8" t="s">
        <v>16120</v>
      </c>
      <c r="L73" s="6" t="s">
        <v>475</v>
      </c>
      <c r="M73" s="6" t="s">
        <v>25</v>
      </c>
      <c r="N73" s="13">
        <v>4</v>
      </c>
      <c r="O73" s="14">
        <v>4</v>
      </c>
      <c r="P73" s="12" t="s">
        <v>159</v>
      </c>
      <c r="Q73" s="15">
        <v>20374</v>
      </c>
      <c r="R73" s="12" t="s">
        <v>131</v>
      </c>
      <c r="S73" s="12" t="s">
        <v>821</v>
      </c>
      <c r="T73" s="12" t="s">
        <v>5457</v>
      </c>
      <c r="U73" s="12" t="s">
        <v>104</v>
      </c>
      <c r="AB73" s="2" t="s">
        <v>104</v>
      </c>
      <c r="AD73" s="3"/>
      <c r="AE73" s="774"/>
      <c r="AF73" s="655"/>
    </row>
    <row r="74" spans="1:32" ht="12" customHeight="1">
      <c r="A74" s="725" t="s">
        <v>15276</v>
      </c>
      <c r="B74" s="2">
        <v>1</v>
      </c>
      <c r="C74" s="4" t="s">
        <v>153</v>
      </c>
      <c r="D74" s="5" t="s">
        <v>911</v>
      </c>
      <c r="E74" s="6">
        <f t="shared" si="1"/>
        <v>66</v>
      </c>
      <c r="F74" s="5" t="s">
        <v>5</v>
      </c>
      <c r="G74" s="5" t="s">
        <v>15273</v>
      </c>
      <c r="H74" s="7" t="s">
        <v>1330</v>
      </c>
      <c r="I74" s="5"/>
      <c r="J74" s="19"/>
      <c r="K74" s="4" t="s">
        <v>16120</v>
      </c>
      <c r="L74" s="5" t="s">
        <v>475</v>
      </c>
      <c r="M74" s="5" t="s">
        <v>25</v>
      </c>
      <c r="N74" s="9">
        <v>9</v>
      </c>
      <c r="O74" s="10">
        <v>9</v>
      </c>
      <c r="P74" s="7" t="s">
        <v>31</v>
      </c>
      <c r="Q74" s="11">
        <v>17051</v>
      </c>
      <c r="R74" s="7" t="s">
        <v>775</v>
      </c>
      <c r="S74" s="7" t="s">
        <v>820</v>
      </c>
      <c r="T74" s="7" t="s">
        <v>5457</v>
      </c>
      <c r="U74" s="7" t="s">
        <v>258</v>
      </c>
      <c r="Z74" s="2" t="s">
        <v>155</v>
      </c>
      <c r="AB74" s="2" t="s">
        <v>104</v>
      </c>
      <c r="AD74" s="3"/>
      <c r="AE74" s="774"/>
      <c r="AF74" s="655"/>
    </row>
    <row r="75" spans="1:32" ht="12" customHeight="1">
      <c r="A75" s="725" t="s">
        <v>15277</v>
      </c>
      <c r="B75" s="2">
        <v>1</v>
      </c>
      <c r="C75" s="4" t="s">
        <v>161</v>
      </c>
      <c r="D75" s="5" t="s">
        <v>927</v>
      </c>
      <c r="E75" s="6">
        <f t="shared" si="1"/>
        <v>47</v>
      </c>
      <c r="F75" s="5" t="s">
        <v>5</v>
      </c>
      <c r="G75" s="5" t="s">
        <v>15273</v>
      </c>
      <c r="H75" s="7" t="s">
        <v>1331</v>
      </c>
      <c r="I75" s="5"/>
      <c r="J75" s="19"/>
      <c r="K75" s="4" t="s">
        <v>16120</v>
      </c>
      <c r="L75" s="5" t="s">
        <v>48</v>
      </c>
      <c r="M75" s="5" t="s">
        <v>25</v>
      </c>
      <c r="N75" s="9">
        <v>5</v>
      </c>
      <c r="O75" s="10">
        <v>5</v>
      </c>
      <c r="P75" s="7" t="s">
        <v>455</v>
      </c>
      <c r="Q75" s="11">
        <v>23943</v>
      </c>
      <c r="R75" s="12" t="s">
        <v>774</v>
      </c>
      <c r="S75" s="7" t="s">
        <v>805</v>
      </c>
      <c r="T75" s="7" t="s">
        <v>5457</v>
      </c>
      <c r="U75" s="7" t="s">
        <v>572</v>
      </c>
      <c r="W75" s="2" t="s">
        <v>145</v>
      </c>
      <c r="AB75" s="2" t="s">
        <v>104</v>
      </c>
      <c r="AD75" s="3"/>
      <c r="AE75" s="774"/>
      <c r="AF75" s="655"/>
    </row>
    <row r="76" spans="1:32" ht="12" customHeight="1">
      <c r="A76" s="725" t="s">
        <v>15278</v>
      </c>
      <c r="B76" s="2">
        <v>1</v>
      </c>
      <c r="C76" s="4" t="s">
        <v>166</v>
      </c>
      <c r="D76" s="1" t="s">
        <v>171</v>
      </c>
      <c r="E76" s="6">
        <f t="shared" si="1"/>
        <v>54</v>
      </c>
      <c r="F76" s="2" t="s">
        <v>19</v>
      </c>
      <c r="G76" s="1" t="s">
        <v>15273</v>
      </c>
      <c r="K76" s="8" t="s">
        <v>16120</v>
      </c>
      <c r="L76" s="1" t="s">
        <v>30</v>
      </c>
      <c r="M76" s="1" t="s">
        <v>6</v>
      </c>
      <c r="P76" s="3" t="s">
        <v>172</v>
      </c>
      <c r="Q76" s="20">
        <v>21204</v>
      </c>
      <c r="R76" s="3" t="s">
        <v>212</v>
      </c>
      <c r="U76" s="3" t="s">
        <v>173</v>
      </c>
      <c r="W76" s="2" t="s">
        <v>145</v>
      </c>
      <c r="Z76" s="2" t="s">
        <v>155</v>
      </c>
      <c r="AD76" s="3"/>
      <c r="AE76" s="774"/>
      <c r="AF76" s="655"/>
    </row>
    <row r="77" spans="1:32" ht="12" customHeight="1">
      <c r="A77" s="725" t="s">
        <v>15279</v>
      </c>
      <c r="B77" s="2">
        <v>1</v>
      </c>
      <c r="C77" s="4" t="s">
        <v>184</v>
      </c>
      <c r="D77" s="1" t="s">
        <v>186</v>
      </c>
      <c r="E77" s="6">
        <f t="shared" si="1"/>
        <v>59</v>
      </c>
      <c r="F77" s="2" t="s">
        <v>5</v>
      </c>
      <c r="G77" s="1" t="s">
        <v>15273</v>
      </c>
      <c r="K77" s="23" t="s">
        <v>16120</v>
      </c>
      <c r="L77" s="1" t="s">
        <v>187</v>
      </c>
      <c r="M77" s="1" t="s">
        <v>14</v>
      </c>
      <c r="N77" s="16">
        <v>6</v>
      </c>
      <c r="O77" s="17">
        <v>6</v>
      </c>
      <c r="P77" s="3" t="s">
        <v>188</v>
      </c>
      <c r="Q77" s="20">
        <v>19462</v>
      </c>
      <c r="R77" s="3" t="s">
        <v>189</v>
      </c>
      <c r="S77" s="3" t="s">
        <v>532</v>
      </c>
      <c r="T77" s="3" t="s">
        <v>6051</v>
      </c>
      <c r="U77" s="3" t="s">
        <v>104</v>
      </c>
      <c r="AB77" s="2" t="s">
        <v>104</v>
      </c>
      <c r="AE77" s="698"/>
      <c r="AF77" s="655"/>
    </row>
    <row r="78" spans="1:32" ht="12" customHeight="1">
      <c r="A78" s="725" t="s">
        <v>15280</v>
      </c>
      <c r="B78" s="2">
        <v>1</v>
      </c>
      <c r="C78" s="4" t="s">
        <v>191</v>
      </c>
      <c r="D78" s="1" t="s">
        <v>194</v>
      </c>
      <c r="E78" s="6">
        <f t="shared" si="1"/>
        <v>45</v>
      </c>
      <c r="F78" s="2" t="s">
        <v>5</v>
      </c>
      <c r="G78" s="1" t="s">
        <v>15273</v>
      </c>
      <c r="K78" s="8" t="s">
        <v>16120</v>
      </c>
      <c r="L78" s="1" t="s">
        <v>48</v>
      </c>
      <c r="M78" s="1" t="s">
        <v>6</v>
      </c>
      <c r="P78" s="3" t="s">
        <v>31</v>
      </c>
      <c r="Q78" s="20">
        <v>24712</v>
      </c>
      <c r="R78" s="3" t="s">
        <v>195</v>
      </c>
      <c r="AE78" s="698"/>
      <c r="AF78" s="655"/>
    </row>
    <row r="79" spans="1:32" ht="12" customHeight="1">
      <c r="A79" s="725" t="s">
        <v>15281</v>
      </c>
      <c r="B79" s="2">
        <v>1</v>
      </c>
      <c r="C79" s="4" t="s">
        <v>199</v>
      </c>
      <c r="D79" s="1" t="s">
        <v>202</v>
      </c>
      <c r="E79" s="6">
        <f t="shared" si="1"/>
        <v>29</v>
      </c>
      <c r="F79" s="2" t="s">
        <v>5</v>
      </c>
      <c r="G79" s="1" t="s">
        <v>15273</v>
      </c>
      <c r="K79" s="4" t="s">
        <v>16120</v>
      </c>
      <c r="L79" s="1" t="s">
        <v>30</v>
      </c>
      <c r="M79" s="1" t="s">
        <v>6</v>
      </c>
      <c r="P79" s="3" t="s">
        <v>203</v>
      </c>
      <c r="Q79" s="20">
        <v>30530</v>
      </c>
      <c r="R79" s="3" t="s">
        <v>204</v>
      </c>
      <c r="U79" s="3" t="s">
        <v>147</v>
      </c>
      <c r="AC79" s="2" t="s">
        <v>147</v>
      </c>
      <c r="AE79" s="698"/>
      <c r="AF79" s="655"/>
    </row>
    <row r="80" spans="1:32" ht="12" customHeight="1">
      <c r="A80" s="725" t="s">
        <v>15282</v>
      </c>
      <c r="B80" s="2">
        <v>1</v>
      </c>
      <c r="C80" s="4" t="s">
        <v>208</v>
      </c>
      <c r="D80" s="1" t="s">
        <v>213</v>
      </c>
      <c r="E80" s="6">
        <f t="shared" si="1"/>
        <v>54</v>
      </c>
      <c r="F80" s="2" t="s">
        <v>5</v>
      </c>
      <c r="G80" s="1" t="s">
        <v>15273</v>
      </c>
      <c r="K80" s="4" t="s">
        <v>16120</v>
      </c>
      <c r="L80" s="1" t="s">
        <v>48</v>
      </c>
      <c r="M80" s="1" t="s">
        <v>14</v>
      </c>
      <c r="N80" s="16">
        <v>1</v>
      </c>
      <c r="O80" s="17">
        <v>1</v>
      </c>
      <c r="P80" s="3" t="s">
        <v>214</v>
      </c>
      <c r="Q80" s="20">
        <v>21409</v>
      </c>
      <c r="R80" s="3" t="s">
        <v>215</v>
      </c>
      <c r="U80" s="3" t="s">
        <v>145</v>
      </c>
      <c r="W80" s="2" t="s">
        <v>145</v>
      </c>
      <c r="AE80" s="698"/>
      <c r="AF80" s="655"/>
    </row>
    <row r="81" spans="1:32" ht="12" customHeight="1">
      <c r="A81" s="725" t="s">
        <v>15283</v>
      </c>
      <c r="B81" s="2">
        <v>1</v>
      </c>
      <c r="C81" s="4" t="s">
        <v>224</v>
      </c>
      <c r="D81" s="5" t="s">
        <v>885</v>
      </c>
      <c r="E81" s="6">
        <f t="shared" si="1"/>
        <v>50</v>
      </c>
      <c r="F81" s="5" t="s">
        <v>5</v>
      </c>
      <c r="G81" s="5" t="s">
        <v>15273</v>
      </c>
      <c r="H81" s="7" t="s">
        <v>1313</v>
      </c>
      <c r="I81" s="5"/>
      <c r="J81" s="19"/>
      <c r="K81" s="8" t="s">
        <v>16120</v>
      </c>
      <c r="L81" s="5" t="s">
        <v>30</v>
      </c>
      <c r="M81" s="5" t="s">
        <v>25</v>
      </c>
      <c r="N81" s="9">
        <v>3</v>
      </c>
      <c r="O81" s="10">
        <v>3</v>
      </c>
      <c r="P81" s="7" t="s">
        <v>463</v>
      </c>
      <c r="Q81" s="11">
        <v>22830</v>
      </c>
      <c r="R81" s="7" t="s">
        <v>758</v>
      </c>
      <c r="S81" s="7" t="s">
        <v>810</v>
      </c>
      <c r="T81" s="7"/>
      <c r="U81" s="18" t="s">
        <v>635</v>
      </c>
      <c r="W81" s="2" t="s">
        <v>145</v>
      </c>
      <c r="AD81" s="2" t="s">
        <v>146</v>
      </c>
      <c r="AE81" s="774"/>
      <c r="AF81" s="655"/>
    </row>
    <row r="82" spans="1:32" ht="12" customHeight="1">
      <c r="A82" s="725" t="s">
        <v>15284</v>
      </c>
      <c r="B82" s="2">
        <v>1</v>
      </c>
      <c r="C82" s="4" t="s">
        <v>242</v>
      </c>
      <c r="D82" s="1" t="s">
        <v>244</v>
      </c>
      <c r="E82" s="6">
        <f t="shared" si="1"/>
        <v>52</v>
      </c>
      <c r="F82" s="2" t="s">
        <v>5</v>
      </c>
      <c r="G82" s="1" t="s">
        <v>15273</v>
      </c>
      <c r="K82" s="23" t="s">
        <v>16120</v>
      </c>
      <c r="L82" s="1" t="s">
        <v>48</v>
      </c>
      <c r="M82" s="1" t="s">
        <v>14</v>
      </c>
      <c r="N82" s="16">
        <v>2</v>
      </c>
      <c r="O82" s="17">
        <v>2</v>
      </c>
      <c r="P82" s="3" t="s">
        <v>245</v>
      </c>
      <c r="Q82" s="20">
        <v>22113</v>
      </c>
      <c r="R82" s="3" t="s">
        <v>246</v>
      </c>
      <c r="S82" s="3" t="s">
        <v>247</v>
      </c>
      <c r="T82" s="3" t="s">
        <v>5457</v>
      </c>
      <c r="AE82" s="774"/>
      <c r="AF82" s="655"/>
    </row>
    <row r="83" spans="1:32" ht="12" customHeight="1">
      <c r="A83" s="725" t="s">
        <v>15285</v>
      </c>
      <c r="B83" s="2">
        <v>1</v>
      </c>
      <c r="C83" s="4" t="s">
        <v>251</v>
      </c>
      <c r="D83" s="1" t="s">
        <v>254</v>
      </c>
      <c r="E83" s="6">
        <f t="shared" si="1"/>
        <v>59</v>
      </c>
      <c r="F83" s="2" t="s">
        <v>5</v>
      </c>
      <c r="G83" s="1" t="s">
        <v>15273</v>
      </c>
      <c r="K83" s="8" t="s">
        <v>16120</v>
      </c>
      <c r="L83" s="1" t="s">
        <v>475</v>
      </c>
      <c r="M83" s="1" t="s">
        <v>14</v>
      </c>
      <c r="N83" s="16">
        <v>3</v>
      </c>
      <c r="O83" s="17">
        <v>3</v>
      </c>
      <c r="P83" s="3" t="s">
        <v>255</v>
      </c>
      <c r="Q83" s="20">
        <v>19485</v>
      </c>
      <c r="R83" s="3" t="s">
        <v>257</v>
      </c>
      <c r="S83" s="3" t="s">
        <v>256</v>
      </c>
      <c r="T83" s="3" t="s">
        <v>5457</v>
      </c>
      <c r="U83" s="3" t="s">
        <v>258</v>
      </c>
      <c r="Z83" s="2" t="s">
        <v>155</v>
      </c>
      <c r="AB83" s="2" t="s">
        <v>104</v>
      </c>
      <c r="AE83" s="774"/>
      <c r="AF83" s="655"/>
    </row>
    <row r="84" spans="1:32" ht="12" customHeight="1">
      <c r="A84" s="725" t="s">
        <v>15286</v>
      </c>
      <c r="B84" s="2">
        <v>1</v>
      </c>
      <c r="C84" s="4" t="s">
        <v>264</v>
      </c>
      <c r="D84" s="1" t="s">
        <v>266</v>
      </c>
      <c r="E84" s="6">
        <f t="shared" si="1"/>
        <v>36</v>
      </c>
      <c r="F84" s="2" t="s">
        <v>19</v>
      </c>
      <c r="G84" s="1" t="s">
        <v>15273</v>
      </c>
      <c r="K84" s="4" t="s">
        <v>16120</v>
      </c>
      <c r="L84" s="1" t="s">
        <v>30</v>
      </c>
      <c r="M84" s="1" t="s">
        <v>6</v>
      </c>
      <c r="P84" s="3" t="s">
        <v>267</v>
      </c>
      <c r="Q84" s="20">
        <v>27968</v>
      </c>
      <c r="R84" s="3" t="s">
        <v>268</v>
      </c>
      <c r="U84" s="3" t="s">
        <v>155</v>
      </c>
      <c r="Z84" s="2" t="s">
        <v>155</v>
      </c>
      <c r="AE84" s="698"/>
      <c r="AF84" s="655"/>
    </row>
    <row r="85" spans="1:32" ht="12" customHeight="1">
      <c r="A85" s="725" t="s">
        <v>15287</v>
      </c>
      <c r="B85" s="2">
        <v>1</v>
      </c>
      <c r="C85" s="4" t="s">
        <v>273</v>
      </c>
      <c r="D85" s="5" t="s">
        <v>892</v>
      </c>
      <c r="E85" s="6">
        <f t="shared" si="1"/>
        <v>52</v>
      </c>
      <c r="F85" s="5" t="s">
        <v>5</v>
      </c>
      <c r="G85" s="5" t="s">
        <v>15273</v>
      </c>
      <c r="H85" s="7" t="s">
        <v>1342</v>
      </c>
      <c r="I85" s="5"/>
      <c r="J85" s="19"/>
      <c r="K85" s="4" t="s">
        <v>16120</v>
      </c>
      <c r="L85" s="5" t="s">
        <v>187</v>
      </c>
      <c r="M85" s="5" t="s">
        <v>25</v>
      </c>
      <c r="N85" s="9">
        <v>4</v>
      </c>
      <c r="O85" s="10">
        <v>4</v>
      </c>
      <c r="P85" s="7" t="s">
        <v>462</v>
      </c>
      <c r="Q85" s="11">
        <v>22041</v>
      </c>
      <c r="R85" s="7" t="s">
        <v>778</v>
      </c>
      <c r="S85" s="7" t="s">
        <v>2529</v>
      </c>
      <c r="T85" s="7" t="s">
        <v>5457</v>
      </c>
      <c r="U85" s="7" t="s">
        <v>146</v>
      </c>
      <c r="AD85" s="2" t="s">
        <v>146</v>
      </c>
      <c r="AE85" s="698"/>
      <c r="AF85" s="655"/>
    </row>
    <row r="86" spans="1:32" ht="12" customHeight="1">
      <c r="A86" s="725" t="s">
        <v>15288</v>
      </c>
      <c r="B86" s="2">
        <v>1</v>
      </c>
      <c r="C86" s="4" t="s">
        <v>279</v>
      </c>
      <c r="D86" s="1" t="s">
        <v>281</v>
      </c>
      <c r="E86" s="6">
        <f t="shared" si="1"/>
        <v>57</v>
      </c>
      <c r="F86" s="2" t="s">
        <v>5</v>
      </c>
      <c r="G86" s="1" t="s">
        <v>15273</v>
      </c>
      <c r="K86" s="8" t="s">
        <v>16120</v>
      </c>
      <c r="L86" s="1" t="s">
        <v>30</v>
      </c>
      <c r="M86" s="1" t="s">
        <v>6</v>
      </c>
      <c r="P86" s="3" t="s">
        <v>283</v>
      </c>
      <c r="Q86" s="20">
        <v>20206</v>
      </c>
      <c r="R86" s="3" t="s">
        <v>282</v>
      </c>
      <c r="T86" s="3" t="s">
        <v>5457</v>
      </c>
      <c r="U86" s="3" t="s">
        <v>145</v>
      </c>
      <c r="W86" s="2" t="s">
        <v>145</v>
      </c>
      <c r="AE86" s="698"/>
      <c r="AF86" s="655"/>
    </row>
    <row r="87" spans="1:32" ht="12" customHeight="1">
      <c r="A87" s="725" t="s">
        <v>15289</v>
      </c>
      <c r="B87" s="2">
        <v>1</v>
      </c>
      <c r="C87" s="4" t="s">
        <v>288</v>
      </c>
      <c r="D87" s="6" t="s">
        <v>865</v>
      </c>
      <c r="E87" s="6">
        <f t="shared" si="1"/>
        <v>63</v>
      </c>
      <c r="F87" s="5" t="s">
        <v>5</v>
      </c>
      <c r="G87" s="6" t="s">
        <v>15273</v>
      </c>
      <c r="H87" s="7" t="s">
        <v>1315</v>
      </c>
      <c r="I87" s="5"/>
      <c r="J87" s="19"/>
      <c r="K87" s="23" t="s">
        <v>16120</v>
      </c>
      <c r="L87" s="5" t="s">
        <v>13</v>
      </c>
      <c r="M87" s="5" t="s">
        <v>25</v>
      </c>
      <c r="N87" s="9">
        <v>1</v>
      </c>
      <c r="O87" s="10">
        <v>5</v>
      </c>
      <c r="P87" s="7" t="s">
        <v>447</v>
      </c>
      <c r="Q87" s="11">
        <v>18175</v>
      </c>
      <c r="R87" s="7" t="s">
        <v>780</v>
      </c>
      <c r="S87" s="7" t="s">
        <v>806</v>
      </c>
      <c r="T87" s="7" t="s">
        <v>5457</v>
      </c>
      <c r="U87" s="7" t="s">
        <v>632</v>
      </c>
      <c r="V87" s="2" t="s">
        <v>47</v>
      </c>
      <c r="Y87" s="2" t="s">
        <v>229</v>
      </c>
      <c r="AE87" s="698"/>
      <c r="AF87" s="655"/>
    </row>
    <row r="88" spans="1:32" ht="12" customHeight="1">
      <c r="A88" s="725" t="s">
        <v>15290</v>
      </c>
      <c r="B88" s="2">
        <v>1</v>
      </c>
      <c r="C88" s="4" t="s">
        <v>298</v>
      </c>
      <c r="D88" s="1" t="s">
        <v>301</v>
      </c>
      <c r="E88" s="6">
        <f t="shared" si="1"/>
        <v>48</v>
      </c>
      <c r="F88" s="2" t="s">
        <v>5</v>
      </c>
      <c r="G88" s="1" t="s">
        <v>15273</v>
      </c>
      <c r="K88" s="8" t="s">
        <v>16120</v>
      </c>
      <c r="L88" s="1" t="s">
        <v>30</v>
      </c>
      <c r="M88" s="1" t="s">
        <v>14</v>
      </c>
      <c r="N88" s="16">
        <v>2</v>
      </c>
      <c r="O88" s="17">
        <v>2</v>
      </c>
      <c r="P88" s="3" t="s">
        <v>302</v>
      </c>
      <c r="Q88" s="20">
        <v>23522</v>
      </c>
      <c r="R88" s="3" t="s">
        <v>303</v>
      </c>
      <c r="S88" s="3" t="s">
        <v>304</v>
      </c>
      <c r="U88" s="3" t="s">
        <v>104</v>
      </c>
      <c r="AB88" s="2" t="s">
        <v>104</v>
      </c>
      <c r="AE88" s="698"/>
      <c r="AF88" s="655"/>
    </row>
    <row r="89" spans="1:32" ht="12" customHeight="1">
      <c r="A89" s="725" t="s">
        <v>15291</v>
      </c>
      <c r="B89" s="2">
        <v>1</v>
      </c>
      <c r="C89" s="4" t="s">
        <v>309</v>
      </c>
      <c r="D89" s="5" t="s">
        <v>850</v>
      </c>
      <c r="E89" s="6">
        <f t="shared" si="1"/>
        <v>62</v>
      </c>
      <c r="F89" s="5" t="s">
        <v>5</v>
      </c>
      <c r="G89" s="6" t="s">
        <v>15273</v>
      </c>
      <c r="H89" s="7" t="s">
        <v>1314</v>
      </c>
      <c r="I89" s="5"/>
      <c r="J89" s="19"/>
      <c r="K89" s="4" t="s">
        <v>16120</v>
      </c>
      <c r="L89" s="5" t="s">
        <v>30</v>
      </c>
      <c r="M89" s="5" t="s">
        <v>25</v>
      </c>
      <c r="N89" s="9">
        <v>5</v>
      </c>
      <c r="O89" s="10">
        <v>5</v>
      </c>
      <c r="P89" s="7" t="s">
        <v>381</v>
      </c>
      <c r="Q89" s="11">
        <v>18280</v>
      </c>
      <c r="R89" s="7" t="s">
        <v>842</v>
      </c>
      <c r="S89" s="7" t="s">
        <v>807</v>
      </c>
      <c r="T89" s="7" t="s">
        <v>5457</v>
      </c>
      <c r="U89" s="3" t="s">
        <v>145</v>
      </c>
      <c r="W89" s="2" t="s">
        <v>145</v>
      </c>
      <c r="AE89" s="698"/>
      <c r="AF89" s="655"/>
    </row>
    <row r="90" spans="1:32" ht="12" customHeight="1">
      <c r="A90" s="725" t="s">
        <v>15292</v>
      </c>
      <c r="B90" s="2">
        <v>1</v>
      </c>
      <c r="C90" s="4" t="s">
        <v>313</v>
      </c>
      <c r="D90" s="1" t="s">
        <v>316</v>
      </c>
      <c r="E90" s="6">
        <f t="shared" si="1"/>
        <v>30</v>
      </c>
      <c r="F90" s="2" t="s">
        <v>5</v>
      </c>
      <c r="G90" s="1" t="s">
        <v>15273</v>
      </c>
      <c r="K90" s="4" t="s">
        <v>16120</v>
      </c>
      <c r="L90" s="1" t="s">
        <v>30</v>
      </c>
      <c r="M90" s="1" t="s">
        <v>6</v>
      </c>
      <c r="P90" s="3" t="s">
        <v>317</v>
      </c>
      <c r="Q90" s="20">
        <v>29981</v>
      </c>
      <c r="R90" s="3" t="s">
        <v>318</v>
      </c>
      <c r="T90" s="3" t="s">
        <v>15616</v>
      </c>
      <c r="U90" s="3" t="s">
        <v>47</v>
      </c>
      <c r="V90" s="2" t="s">
        <v>47</v>
      </c>
      <c r="AE90" s="698"/>
      <c r="AF90" s="655"/>
    </row>
    <row r="91" spans="1:32" ht="12" customHeight="1">
      <c r="A91" s="725" t="s">
        <v>15293</v>
      </c>
      <c r="B91" s="2">
        <v>1</v>
      </c>
      <c r="C91" s="4" t="s">
        <v>336</v>
      </c>
      <c r="D91" s="1" t="s">
        <v>339</v>
      </c>
      <c r="E91" s="6">
        <f t="shared" si="1"/>
        <v>57</v>
      </c>
      <c r="F91" s="2" t="s">
        <v>5</v>
      </c>
      <c r="G91" s="1" t="s">
        <v>15273</v>
      </c>
      <c r="K91" s="8" t="s">
        <v>16120</v>
      </c>
      <c r="L91" s="1" t="s">
        <v>48</v>
      </c>
      <c r="M91" s="1" t="s">
        <v>14</v>
      </c>
      <c r="N91" s="16">
        <v>1</v>
      </c>
      <c r="O91" s="17">
        <v>1</v>
      </c>
      <c r="P91" s="3" t="s">
        <v>188</v>
      </c>
      <c r="Q91" s="20">
        <v>20342</v>
      </c>
      <c r="R91" s="3" t="s">
        <v>340</v>
      </c>
      <c r="T91" s="3" t="s">
        <v>5457</v>
      </c>
      <c r="U91" s="3" t="s">
        <v>104</v>
      </c>
      <c r="AB91" s="2" t="s">
        <v>104</v>
      </c>
      <c r="AE91" s="698"/>
      <c r="AF91" s="655"/>
    </row>
    <row r="92" spans="1:32" ht="12" customHeight="1">
      <c r="A92" s="725" t="s">
        <v>15294</v>
      </c>
      <c r="B92" s="2">
        <v>1</v>
      </c>
      <c r="C92" s="4" t="s">
        <v>343</v>
      </c>
      <c r="D92" s="1" t="s">
        <v>350</v>
      </c>
      <c r="E92" s="6">
        <f t="shared" si="1"/>
        <v>61</v>
      </c>
      <c r="F92" s="2" t="s">
        <v>5</v>
      </c>
      <c r="G92" s="1" t="s">
        <v>15273</v>
      </c>
      <c r="K92" s="23" t="s">
        <v>16120</v>
      </c>
      <c r="L92" s="1" t="s">
        <v>476</v>
      </c>
      <c r="M92" s="1" t="s">
        <v>14</v>
      </c>
      <c r="N92" s="16">
        <v>5</v>
      </c>
      <c r="O92" s="17">
        <v>5</v>
      </c>
      <c r="P92" s="3" t="s">
        <v>317</v>
      </c>
      <c r="Q92" s="20">
        <v>18694</v>
      </c>
      <c r="R92" s="3" t="s">
        <v>351</v>
      </c>
      <c r="S92" s="3" t="s">
        <v>353</v>
      </c>
      <c r="T92" s="3" t="s">
        <v>5457</v>
      </c>
      <c r="U92" s="3" t="s">
        <v>355</v>
      </c>
      <c r="V92" s="2" t="s">
        <v>47</v>
      </c>
      <c r="AB92" s="2" t="s">
        <v>104</v>
      </c>
      <c r="AE92" s="698"/>
      <c r="AF92" s="655"/>
    </row>
    <row r="93" spans="1:32" ht="12" customHeight="1">
      <c r="A93" s="725" t="s">
        <v>15295</v>
      </c>
      <c r="B93" s="2">
        <v>1</v>
      </c>
      <c r="C93" s="4" t="s">
        <v>361</v>
      </c>
      <c r="D93" s="1" t="s">
        <v>5206</v>
      </c>
      <c r="E93" s="6">
        <f t="shared" si="1"/>
        <v>59</v>
      </c>
      <c r="F93" s="2" t="s">
        <v>19</v>
      </c>
      <c r="G93" s="1" t="s">
        <v>15273</v>
      </c>
      <c r="K93" s="8" t="s">
        <v>16120</v>
      </c>
      <c r="L93" s="1" t="s">
        <v>30</v>
      </c>
      <c r="M93" s="1" t="s">
        <v>6</v>
      </c>
      <c r="P93" s="3" t="s">
        <v>5336</v>
      </c>
      <c r="Q93" s="20">
        <v>19506</v>
      </c>
      <c r="R93" s="3" t="s">
        <v>5337</v>
      </c>
      <c r="T93" s="3" t="s">
        <v>5480</v>
      </c>
      <c r="AE93" s="698"/>
      <c r="AF93" s="655"/>
    </row>
    <row r="94" spans="1:32" ht="12" customHeight="1">
      <c r="A94" s="725" t="s">
        <v>15296</v>
      </c>
      <c r="B94" s="2">
        <v>1</v>
      </c>
      <c r="C94" s="4" t="s">
        <v>366</v>
      </c>
      <c r="D94" s="1" t="s">
        <v>369</v>
      </c>
      <c r="E94" s="6">
        <f t="shared" si="1"/>
        <v>57</v>
      </c>
      <c r="F94" s="2" t="s">
        <v>5</v>
      </c>
      <c r="G94" s="1" t="s">
        <v>15273</v>
      </c>
      <c r="K94" s="4" t="s">
        <v>16120</v>
      </c>
      <c r="L94" s="1" t="s">
        <v>48</v>
      </c>
      <c r="M94" s="1" t="s">
        <v>6</v>
      </c>
      <c r="P94" s="3" t="s">
        <v>188</v>
      </c>
      <c r="Q94" s="20">
        <v>20229</v>
      </c>
      <c r="R94" s="3" t="s">
        <v>370</v>
      </c>
      <c r="T94" s="3" t="s">
        <v>5457</v>
      </c>
      <c r="U94" s="3" t="s">
        <v>371</v>
      </c>
      <c r="W94" s="2" t="s">
        <v>145</v>
      </c>
      <c r="X94" s="2" t="s">
        <v>75</v>
      </c>
      <c r="AE94" s="698"/>
      <c r="AF94" s="655"/>
    </row>
    <row r="95" spans="1:32" ht="12" customHeight="1">
      <c r="A95" s="725" t="s">
        <v>15297</v>
      </c>
      <c r="B95" s="2">
        <v>1</v>
      </c>
      <c r="C95" s="4" t="s">
        <v>377</v>
      </c>
      <c r="D95" s="1" t="s">
        <v>380</v>
      </c>
      <c r="E95" s="6">
        <f t="shared" si="1"/>
        <v>68</v>
      </c>
      <c r="F95" s="2" t="s">
        <v>5</v>
      </c>
      <c r="G95" s="1" t="s">
        <v>15273</v>
      </c>
      <c r="K95" s="4" t="s">
        <v>16120</v>
      </c>
      <c r="L95" s="1" t="s">
        <v>48</v>
      </c>
      <c r="M95" s="1" t="s">
        <v>14</v>
      </c>
      <c r="N95" s="16">
        <v>6</v>
      </c>
      <c r="O95" s="17">
        <v>6</v>
      </c>
      <c r="P95" s="3" t="s">
        <v>381</v>
      </c>
      <c r="Q95" s="20">
        <v>16378</v>
      </c>
      <c r="R95" s="3" t="s">
        <v>383</v>
      </c>
      <c r="S95" s="3" t="s">
        <v>382</v>
      </c>
      <c r="T95" s="3" t="s">
        <v>5457</v>
      </c>
      <c r="U95" s="3" t="s">
        <v>145</v>
      </c>
      <c r="W95" s="2" t="s">
        <v>145</v>
      </c>
      <c r="AE95" s="698"/>
      <c r="AF95" s="655"/>
    </row>
    <row r="96" spans="1:32" ht="12" customHeight="1">
      <c r="A96" s="725" t="s">
        <v>15298</v>
      </c>
      <c r="B96" s="2">
        <v>25</v>
      </c>
      <c r="C96" s="2"/>
      <c r="D96" s="2" t="s">
        <v>6055</v>
      </c>
      <c r="E96" s="6">
        <f t="shared" si="1"/>
        <v>65</v>
      </c>
      <c r="F96" s="2" t="s">
        <v>5</v>
      </c>
      <c r="G96" s="2" t="s">
        <v>6067</v>
      </c>
      <c r="H96" s="22"/>
      <c r="I96" s="2"/>
      <c r="J96" s="2"/>
      <c r="K96" s="8" t="s">
        <v>16120</v>
      </c>
      <c r="L96" s="2" t="s">
        <v>5247</v>
      </c>
      <c r="M96" s="2" t="s">
        <v>6</v>
      </c>
      <c r="N96" s="24"/>
      <c r="O96" s="25"/>
      <c r="P96" s="22" t="s">
        <v>16154</v>
      </c>
      <c r="Q96" s="21">
        <v>17458</v>
      </c>
      <c r="R96" s="22" t="s">
        <v>15252</v>
      </c>
      <c r="S96" s="22"/>
      <c r="T96" s="22"/>
      <c r="U96" s="22"/>
      <c r="AE96" s="698"/>
      <c r="AF96" s="655"/>
    </row>
    <row r="97" spans="1:32" ht="12" customHeight="1" thickBot="1">
      <c r="A97" s="726" t="s">
        <v>15299</v>
      </c>
      <c r="B97" s="702">
        <v>26</v>
      </c>
      <c r="C97" s="702"/>
      <c r="D97" s="702" t="s">
        <v>6056</v>
      </c>
      <c r="E97" s="701">
        <f t="shared" si="1"/>
        <v>62</v>
      </c>
      <c r="F97" s="702" t="s">
        <v>5</v>
      </c>
      <c r="G97" s="702" t="s">
        <v>6067</v>
      </c>
      <c r="H97" s="720"/>
      <c r="I97" s="702"/>
      <c r="J97" s="702"/>
      <c r="K97" s="770" t="s">
        <v>16120</v>
      </c>
      <c r="L97" s="702" t="s">
        <v>5247</v>
      </c>
      <c r="M97" s="702" t="s">
        <v>6</v>
      </c>
      <c r="N97" s="721"/>
      <c r="O97" s="722"/>
      <c r="P97" s="720" t="s">
        <v>4999</v>
      </c>
      <c r="Q97" s="723">
        <v>18515</v>
      </c>
      <c r="R97" s="720" t="s">
        <v>6057</v>
      </c>
      <c r="S97" s="720"/>
      <c r="T97" s="720"/>
      <c r="U97" s="720"/>
      <c r="V97" s="702"/>
      <c r="W97" s="702"/>
      <c r="X97" s="702"/>
      <c r="Y97" s="702"/>
      <c r="Z97" s="702"/>
      <c r="AA97" s="702"/>
      <c r="AB97" s="702"/>
      <c r="AC97" s="702"/>
      <c r="AD97" s="702"/>
      <c r="AE97" s="708"/>
      <c r="AF97" s="655"/>
    </row>
    <row r="98" spans="1:32" ht="12" customHeight="1">
      <c r="A98" s="780" t="s">
        <v>6032</v>
      </c>
      <c r="B98" s="696">
        <v>1</v>
      </c>
      <c r="C98" s="688" t="s">
        <v>118</v>
      </c>
      <c r="D98" s="690" t="s">
        <v>851</v>
      </c>
      <c r="E98" s="690">
        <f t="shared" si="1"/>
        <v>49</v>
      </c>
      <c r="F98" s="690" t="s">
        <v>5</v>
      </c>
      <c r="G98" s="687" t="s">
        <v>15273</v>
      </c>
      <c r="H98" s="735" t="s">
        <v>1328</v>
      </c>
      <c r="I98" s="690"/>
      <c r="J98" s="736"/>
      <c r="K98" s="688" t="s">
        <v>16125</v>
      </c>
      <c r="L98" s="690"/>
      <c r="M98" s="690" t="s">
        <v>25</v>
      </c>
      <c r="N98" s="737">
        <v>2</v>
      </c>
      <c r="O98" s="738">
        <v>2</v>
      </c>
      <c r="P98" s="735" t="s">
        <v>461</v>
      </c>
      <c r="Q98" s="739">
        <v>23309</v>
      </c>
      <c r="R98" s="735" t="s">
        <v>777</v>
      </c>
      <c r="S98" s="747"/>
      <c r="T98" s="747" t="s">
        <v>5561</v>
      </c>
      <c r="U98" s="715"/>
      <c r="V98" s="696"/>
      <c r="W98" s="696"/>
      <c r="X98" s="696"/>
      <c r="Y98" s="696"/>
      <c r="Z98" s="696"/>
      <c r="AA98" s="696"/>
      <c r="AB98" s="696"/>
      <c r="AC98" s="696"/>
      <c r="AD98" s="696"/>
      <c r="AE98" s="697"/>
      <c r="AF98" s="655"/>
    </row>
    <row r="99" spans="1:32" ht="12" customHeight="1">
      <c r="A99" s="781" t="s">
        <v>15634</v>
      </c>
      <c r="B99" s="657">
        <v>1</v>
      </c>
      <c r="C99" s="4" t="s">
        <v>184</v>
      </c>
      <c r="D99" s="5" t="s">
        <v>920</v>
      </c>
      <c r="E99" s="6">
        <f t="shared" si="1"/>
        <v>49</v>
      </c>
      <c r="F99" s="5" t="s">
        <v>5</v>
      </c>
      <c r="G99" s="1" t="s">
        <v>15273</v>
      </c>
      <c r="H99" s="7" t="s">
        <v>1333</v>
      </c>
      <c r="I99" s="5"/>
      <c r="J99" s="19"/>
      <c r="K99" s="4" t="s">
        <v>16125</v>
      </c>
      <c r="L99" s="5"/>
      <c r="M99" s="5" t="s">
        <v>25</v>
      </c>
      <c r="N99" s="9">
        <v>1</v>
      </c>
      <c r="O99" s="10">
        <v>1</v>
      </c>
      <c r="P99" s="7" t="s">
        <v>188</v>
      </c>
      <c r="Q99" s="11">
        <v>23282</v>
      </c>
      <c r="R99" s="7" t="s">
        <v>783</v>
      </c>
      <c r="S99" s="7"/>
      <c r="T99" s="7" t="s">
        <v>5561</v>
      </c>
      <c r="U99" s="45" t="s">
        <v>47</v>
      </c>
      <c r="V99" s="657" t="s">
        <v>47</v>
      </c>
      <c r="W99" s="657"/>
      <c r="X99" s="657"/>
      <c r="Y99" s="657"/>
      <c r="Z99" s="657"/>
      <c r="AA99" s="657"/>
      <c r="AB99" s="657"/>
      <c r="AC99" s="657"/>
      <c r="AD99" s="657"/>
      <c r="AE99" s="779"/>
      <c r="AF99" s="655"/>
    </row>
    <row r="100" spans="1:32" ht="12" customHeight="1">
      <c r="A100" s="781" t="s">
        <v>16157</v>
      </c>
      <c r="B100" s="657">
        <v>1</v>
      </c>
      <c r="C100" s="4" t="s">
        <v>225</v>
      </c>
      <c r="D100" s="5" t="s">
        <v>877</v>
      </c>
      <c r="E100" s="6">
        <f t="shared" si="1"/>
        <v>43</v>
      </c>
      <c r="F100" s="5" t="s">
        <v>5</v>
      </c>
      <c r="G100" s="1" t="s">
        <v>15273</v>
      </c>
      <c r="H100" s="7" t="s">
        <v>1338</v>
      </c>
      <c r="I100" s="5"/>
      <c r="J100" s="19"/>
      <c r="K100" s="4" t="s">
        <v>16125</v>
      </c>
      <c r="L100" s="5"/>
      <c r="M100" s="5" t="s">
        <v>25</v>
      </c>
      <c r="N100" s="9">
        <v>1</v>
      </c>
      <c r="O100" s="10">
        <v>1</v>
      </c>
      <c r="P100" s="12" t="s">
        <v>172</v>
      </c>
      <c r="Q100" s="15">
        <v>25256</v>
      </c>
      <c r="R100" s="7" t="s">
        <v>747</v>
      </c>
      <c r="S100" s="7" t="s">
        <v>4571</v>
      </c>
      <c r="T100" s="7" t="s">
        <v>5561</v>
      </c>
      <c r="U100" s="3" t="s">
        <v>155</v>
      </c>
      <c r="Z100" s="2" t="s">
        <v>155</v>
      </c>
      <c r="AE100" s="774"/>
      <c r="AF100" s="655"/>
    </row>
    <row r="101" spans="1:32" ht="12" customHeight="1">
      <c r="A101" s="781" t="s">
        <v>16158</v>
      </c>
      <c r="B101" s="657">
        <v>1</v>
      </c>
      <c r="C101" s="4" t="s">
        <v>280</v>
      </c>
      <c r="D101" s="1" t="s">
        <v>1372</v>
      </c>
      <c r="E101" s="6">
        <f t="shared" si="1"/>
        <v>70</v>
      </c>
      <c r="F101" s="2" t="s">
        <v>5</v>
      </c>
      <c r="G101" s="1" t="s">
        <v>15273</v>
      </c>
      <c r="H101" s="3" t="s">
        <v>1373</v>
      </c>
      <c r="K101" s="4" t="s">
        <v>16125</v>
      </c>
      <c r="M101" s="1" t="s">
        <v>25</v>
      </c>
      <c r="N101" s="16">
        <v>1</v>
      </c>
      <c r="O101" s="17">
        <v>1</v>
      </c>
      <c r="P101" s="3" t="s">
        <v>1374</v>
      </c>
      <c r="Q101" s="20">
        <v>15441</v>
      </c>
      <c r="R101" s="3" t="s">
        <v>1375</v>
      </c>
      <c r="T101" s="3" t="s">
        <v>5561</v>
      </c>
      <c r="U101" s="3" t="s">
        <v>145</v>
      </c>
      <c r="W101" s="2" t="s">
        <v>145</v>
      </c>
      <c r="AE101" s="698"/>
      <c r="AF101" s="655"/>
    </row>
    <row r="102" spans="1:32" ht="12" customHeight="1">
      <c r="A102" s="781" t="s">
        <v>16159</v>
      </c>
      <c r="B102" s="657">
        <v>1</v>
      </c>
      <c r="C102" s="4" t="s">
        <v>299</v>
      </c>
      <c r="D102" s="5" t="s">
        <v>862</v>
      </c>
      <c r="E102" s="6">
        <f t="shared" si="1"/>
        <v>62</v>
      </c>
      <c r="F102" s="5" t="s">
        <v>19</v>
      </c>
      <c r="G102" s="1" t="s">
        <v>15273</v>
      </c>
      <c r="H102" s="7" t="s">
        <v>1345</v>
      </c>
      <c r="I102" s="5"/>
      <c r="J102" s="19"/>
      <c r="K102" s="4" t="s">
        <v>16125</v>
      </c>
      <c r="L102" s="5"/>
      <c r="M102" s="5" t="s">
        <v>25</v>
      </c>
      <c r="N102" s="9">
        <v>1</v>
      </c>
      <c r="O102" s="10">
        <v>1</v>
      </c>
      <c r="P102" s="7" t="s">
        <v>467</v>
      </c>
      <c r="Q102" s="11">
        <v>18257</v>
      </c>
      <c r="R102" s="7" t="s">
        <v>771</v>
      </c>
      <c r="T102" s="3" t="s">
        <v>5561</v>
      </c>
      <c r="U102" s="3" t="s">
        <v>145</v>
      </c>
      <c r="W102" s="2" t="s">
        <v>145</v>
      </c>
      <c r="AE102" s="698"/>
      <c r="AF102" s="655"/>
    </row>
    <row r="103" spans="1:32" ht="12" customHeight="1">
      <c r="A103" s="781" t="s">
        <v>16160</v>
      </c>
      <c r="B103" s="657">
        <v>1</v>
      </c>
      <c r="C103" s="4" t="s">
        <v>337</v>
      </c>
      <c r="D103" s="5" t="s">
        <v>901</v>
      </c>
      <c r="E103" s="6">
        <f t="shared" si="1"/>
        <v>39</v>
      </c>
      <c r="F103" s="5" t="s">
        <v>5</v>
      </c>
      <c r="G103" s="1" t="s">
        <v>15273</v>
      </c>
      <c r="H103" s="7" t="s">
        <v>1349</v>
      </c>
      <c r="I103" s="5"/>
      <c r="J103" s="19"/>
      <c r="K103" s="4" t="s">
        <v>16125</v>
      </c>
      <c r="L103" s="5"/>
      <c r="M103" s="5" t="s">
        <v>25</v>
      </c>
      <c r="N103" s="9">
        <v>1</v>
      </c>
      <c r="O103" s="10">
        <v>1</v>
      </c>
      <c r="P103" s="7" t="s">
        <v>31</v>
      </c>
      <c r="Q103" s="11">
        <v>26745</v>
      </c>
      <c r="R103" s="7" t="s">
        <v>790</v>
      </c>
      <c r="S103" s="7"/>
      <c r="T103" s="7" t="s">
        <v>5561</v>
      </c>
      <c r="U103" s="7" t="s">
        <v>572</v>
      </c>
      <c r="W103" s="2" t="s">
        <v>145</v>
      </c>
      <c r="AB103" s="2" t="s">
        <v>104</v>
      </c>
      <c r="AE103" s="698"/>
      <c r="AF103" s="655"/>
    </row>
    <row r="104" spans="1:32" ht="12" customHeight="1">
      <c r="A104" s="781" t="s">
        <v>16161</v>
      </c>
      <c r="B104" s="657">
        <v>1</v>
      </c>
      <c r="C104" s="4" t="s">
        <v>344</v>
      </c>
      <c r="D104" s="5" t="s">
        <v>908</v>
      </c>
      <c r="E104" s="6">
        <f t="shared" si="1"/>
        <v>33</v>
      </c>
      <c r="F104" s="5" t="s">
        <v>19</v>
      </c>
      <c r="G104" s="1" t="s">
        <v>15273</v>
      </c>
      <c r="H104" s="7" t="s">
        <v>1350</v>
      </c>
      <c r="I104" s="5"/>
      <c r="J104" s="19"/>
      <c r="K104" s="4" t="s">
        <v>16125</v>
      </c>
      <c r="L104" s="5"/>
      <c r="M104" s="5" t="s">
        <v>25</v>
      </c>
      <c r="N104" s="9">
        <v>2</v>
      </c>
      <c r="O104" s="10">
        <v>2</v>
      </c>
      <c r="P104" s="7" t="s">
        <v>1436</v>
      </c>
      <c r="Q104" s="11">
        <v>29095</v>
      </c>
      <c r="R104" s="7" t="s">
        <v>776</v>
      </c>
      <c r="T104" s="3" t="s">
        <v>5561</v>
      </c>
      <c r="U104" s="3" t="s">
        <v>145</v>
      </c>
      <c r="W104" s="2" t="s">
        <v>145</v>
      </c>
      <c r="AE104" s="698"/>
      <c r="AF104" s="655"/>
    </row>
    <row r="105" spans="1:32" ht="12" customHeight="1">
      <c r="A105" s="781" t="s">
        <v>16155</v>
      </c>
      <c r="B105" s="657">
        <v>8</v>
      </c>
      <c r="C105" s="2"/>
      <c r="D105" s="2" t="s">
        <v>2086</v>
      </c>
      <c r="E105" s="6">
        <f t="shared" si="1"/>
        <v>78</v>
      </c>
      <c r="F105" s="2" t="s">
        <v>2069</v>
      </c>
      <c r="G105" s="2" t="s">
        <v>6067</v>
      </c>
      <c r="H105" s="22" t="s">
        <v>2087</v>
      </c>
      <c r="I105" s="2"/>
      <c r="J105" s="2"/>
      <c r="K105" s="23" t="s">
        <v>16125</v>
      </c>
      <c r="L105" s="2"/>
      <c r="M105" s="2" t="s">
        <v>2065</v>
      </c>
      <c r="N105" s="24">
        <v>1</v>
      </c>
      <c r="O105" s="25">
        <v>1</v>
      </c>
      <c r="P105" s="22" t="s">
        <v>2070</v>
      </c>
      <c r="Q105" s="21">
        <v>12516</v>
      </c>
      <c r="R105" s="22" t="s">
        <v>2088</v>
      </c>
      <c r="S105" s="22"/>
      <c r="T105" s="22"/>
      <c r="U105" s="22" t="s">
        <v>2089</v>
      </c>
      <c r="W105" s="2" t="s">
        <v>2080</v>
      </c>
      <c r="X105" s="2" t="s">
        <v>2090</v>
      </c>
      <c r="AB105" s="2" t="s">
        <v>2071</v>
      </c>
      <c r="AE105" s="698"/>
      <c r="AF105" s="655"/>
    </row>
    <row r="106" spans="1:32" ht="12" customHeight="1">
      <c r="A106" s="781" t="s">
        <v>16162</v>
      </c>
      <c r="B106" s="657">
        <v>9</v>
      </c>
      <c r="C106" s="4" t="s">
        <v>129</v>
      </c>
      <c r="D106" s="6" t="s">
        <v>914</v>
      </c>
      <c r="E106" s="6">
        <f t="shared" si="1"/>
        <v>42</v>
      </c>
      <c r="F106" s="6" t="s">
        <v>19</v>
      </c>
      <c r="G106" s="1" t="s">
        <v>15273</v>
      </c>
      <c r="H106" s="12" t="s">
        <v>1312</v>
      </c>
      <c r="I106" s="6"/>
      <c r="J106" s="19"/>
      <c r="K106" s="4" t="s">
        <v>16125</v>
      </c>
      <c r="L106" s="6"/>
      <c r="M106" s="6" t="s">
        <v>25</v>
      </c>
      <c r="N106" s="13">
        <v>1</v>
      </c>
      <c r="O106" s="14">
        <v>1</v>
      </c>
      <c r="P106" s="12" t="s">
        <v>460</v>
      </c>
      <c r="Q106" s="15">
        <v>25913</v>
      </c>
      <c r="R106" s="12" t="s">
        <v>744</v>
      </c>
      <c r="T106" s="3" t="s">
        <v>5561</v>
      </c>
      <c r="U106" s="686"/>
      <c r="V106" s="657"/>
      <c r="W106" s="657"/>
      <c r="X106" s="657"/>
      <c r="Y106" s="657"/>
      <c r="Z106" s="657"/>
      <c r="AA106" s="657"/>
      <c r="AB106" s="657"/>
      <c r="AC106" s="657"/>
      <c r="AD106" s="657"/>
      <c r="AE106" s="779"/>
      <c r="AF106" s="655"/>
    </row>
    <row r="107" spans="1:32" ht="12" customHeight="1">
      <c r="A107" s="781" t="s">
        <v>16163</v>
      </c>
      <c r="B107" s="657">
        <v>9</v>
      </c>
      <c r="C107" s="4" t="s">
        <v>154</v>
      </c>
      <c r="D107" s="5" t="s">
        <v>5072</v>
      </c>
      <c r="E107" s="6">
        <f t="shared" si="1"/>
        <v>34</v>
      </c>
      <c r="F107" s="5" t="s">
        <v>5</v>
      </c>
      <c r="G107" s="1" t="s">
        <v>15273</v>
      </c>
      <c r="H107" s="7"/>
      <c r="I107" s="5"/>
      <c r="J107" s="19"/>
      <c r="K107" s="4" t="s">
        <v>16125</v>
      </c>
      <c r="L107" s="5"/>
      <c r="M107" s="5" t="s">
        <v>6</v>
      </c>
      <c r="N107" s="9"/>
      <c r="O107" s="10"/>
      <c r="P107" s="7" t="s">
        <v>31</v>
      </c>
      <c r="Q107" s="11">
        <v>28583</v>
      </c>
      <c r="R107" s="7" t="s">
        <v>5536</v>
      </c>
      <c r="S107" s="7"/>
      <c r="T107" s="7" t="s">
        <v>5561</v>
      </c>
      <c r="U107" s="7"/>
      <c r="AD107" s="3"/>
      <c r="AE107" s="774"/>
      <c r="AF107" s="655"/>
    </row>
    <row r="108" spans="1:32" ht="12" customHeight="1">
      <c r="A108" s="781" t="s">
        <v>16164</v>
      </c>
      <c r="B108" s="657">
        <v>9</v>
      </c>
      <c r="C108" s="4" t="s">
        <v>167</v>
      </c>
      <c r="D108" s="1" t="s">
        <v>5990</v>
      </c>
      <c r="E108" s="6">
        <f t="shared" si="1"/>
        <v>47</v>
      </c>
      <c r="F108" s="2" t="s">
        <v>19</v>
      </c>
      <c r="G108" s="1" t="s">
        <v>15273</v>
      </c>
      <c r="K108" s="4" t="s">
        <v>16125</v>
      </c>
      <c r="M108" s="1" t="s">
        <v>6</v>
      </c>
      <c r="P108" s="3" t="s">
        <v>5991</v>
      </c>
      <c r="Q108" s="20">
        <v>23779</v>
      </c>
      <c r="R108" s="3" t="s">
        <v>5992</v>
      </c>
      <c r="T108" s="3" t="s">
        <v>5561</v>
      </c>
      <c r="U108" s="3" t="s">
        <v>104</v>
      </c>
      <c r="AB108" s="2" t="s">
        <v>104</v>
      </c>
      <c r="AD108" s="3"/>
      <c r="AE108" s="774"/>
      <c r="AF108" s="655"/>
    </row>
    <row r="109" spans="1:32" ht="12" customHeight="1">
      <c r="A109" s="781" t="s">
        <v>16165</v>
      </c>
      <c r="B109" s="657">
        <v>9</v>
      </c>
      <c r="C109" s="4" t="s">
        <v>192</v>
      </c>
      <c r="D109" s="1" t="s">
        <v>3205</v>
      </c>
      <c r="E109" s="6">
        <f t="shared" si="1"/>
        <v>46</v>
      </c>
      <c r="F109" s="2" t="s">
        <v>19</v>
      </c>
      <c r="G109" s="1" t="s">
        <v>15273</v>
      </c>
      <c r="K109" s="4" t="s">
        <v>16125</v>
      </c>
      <c r="M109" s="1" t="s">
        <v>6</v>
      </c>
      <c r="P109" s="3" t="s">
        <v>3206</v>
      </c>
      <c r="Q109" s="20">
        <v>24308</v>
      </c>
      <c r="R109" s="3" t="s">
        <v>3207</v>
      </c>
      <c r="T109" s="3" t="s">
        <v>5561</v>
      </c>
      <c r="U109" s="3" t="s">
        <v>104</v>
      </c>
      <c r="AB109" s="2" t="s">
        <v>104</v>
      </c>
      <c r="AE109" s="698"/>
      <c r="AF109" s="655"/>
    </row>
    <row r="110" spans="1:32" ht="12" customHeight="1">
      <c r="A110" s="781" t="s">
        <v>16166</v>
      </c>
      <c r="B110" s="657">
        <v>9</v>
      </c>
      <c r="C110" s="4" t="s">
        <v>209</v>
      </c>
      <c r="D110" s="1" t="s">
        <v>2540</v>
      </c>
      <c r="E110" s="6">
        <f t="shared" si="1"/>
        <v>47</v>
      </c>
      <c r="F110" s="2" t="s">
        <v>5</v>
      </c>
      <c r="G110" s="1" t="s">
        <v>15273</v>
      </c>
      <c r="K110" s="4" t="s">
        <v>16125</v>
      </c>
      <c r="M110" s="1" t="s">
        <v>6</v>
      </c>
      <c r="P110" s="3" t="s">
        <v>2543</v>
      </c>
      <c r="Q110" s="20">
        <v>23970</v>
      </c>
      <c r="R110" s="3" t="s">
        <v>233</v>
      </c>
      <c r="T110" s="3" t="s">
        <v>5561</v>
      </c>
      <c r="U110" s="3" t="s">
        <v>145</v>
      </c>
      <c r="W110" s="2" t="s">
        <v>145</v>
      </c>
      <c r="AE110" s="698"/>
      <c r="AF110" s="655"/>
    </row>
    <row r="111" spans="1:32" ht="12" customHeight="1">
      <c r="A111" s="781" t="s">
        <v>16167</v>
      </c>
      <c r="B111" s="657">
        <v>9</v>
      </c>
      <c r="C111" s="4" t="s">
        <v>265</v>
      </c>
      <c r="D111" s="1" t="s">
        <v>6165</v>
      </c>
      <c r="E111" s="6">
        <f t="shared" si="1"/>
        <v>49</v>
      </c>
      <c r="F111" s="2" t="s">
        <v>19</v>
      </c>
      <c r="G111" s="1" t="s">
        <v>15273</v>
      </c>
      <c r="K111" s="4" t="s">
        <v>16125</v>
      </c>
      <c r="M111" s="1" t="s">
        <v>6</v>
      </c>
      <c r="P111" s="3" t="s">
        <v>267</v>
      </c>
      <c r="Q111" s="20">
        <v>23012</v>
      </c>
      <c r="R111" s="3" t="s">
        <v>16408</v>
      </c>
      <c r="T111" s="3" t="s">
        <v>5561</v>
      </c>
      <c r="AE111" s="698"/>
      <c r="AF111" s="655"/>
    </row>
    <row r="112" spans="1:32" ht="12" customHeight="1">
      <c r="A112" s="781" t="s">
        <v>16168</v>
      </c>
      <c r="B112" s="657">
        <v>9</v>
      </c>
      <c r="C112" s="4" t="s">
        <v>378</v>
      </c>
      <c r="D112" s="1" t="s">
        <v>6167</v>
      </c>
      <c r="E112" s="6">
        <f t="shared" si="1"/>
        <v>64</v>
      </c>
      <c r="F112" s="2" t="s">
        <v>5</v>
      </c>
      <c r="G112" s="1" t="s">
        <v>15273</v>
      </c>
      <c r="K112" s="4" t="s">
        <v>16125</v>
      </c>
      <c r="M112" s="1" t="s">
        <v>6</v>
      </c>
      <c r="P112" s="3" t="s">
        <v>6168</v>
      </c>
      <c r="Q112" s="20">
        <v>17531</v>
      </c>
      <c r="R112" s="3" t="s">
        <v>6169</v>
      </c>
      <c r="T112" s="3" t="s">
        <v>5561</v>
      </c>
      <c r="U112" s="3" t="s">
        <v>145</v>
      </c>
      <c r="W112" s="2" t="s">
        <v>145</v>
      </c>
      <c r="AE112" s="698"/>
      <c r="AF112" s="655"/>
    </row>
    <row r="113" spans="1:32" ht="12" customHeight="1" thickBot="1">
      <c r="A113" s="782" t="s">
        <v>16156</v>
      </c>
      <c r="B113" s="702">
        <v>16</v>
      </c>
      <c r="C113" s="702"/>
      <c r="D113" s="702" t="s">
        <v>15635</v>
      </c>
      <c r="E113" s="701">
        <f t="shared" si="1"/>
        <v>81</v>
      </c>
      <c r="F113" s="702" t="s">
        <v>5</v>
      </c>
      <c r="G113" s="702" t="s">
        <v>6067</v>
      </c>
      <c r="H113" s="720"/>
      <c r="I113" s="702"/>
      <c r="J113" s="702"/>
      <c r="K113" s="770" t="s">
        <v>16125</v>
      </c>
      <c r="L113" s="702"/>
      <c r="M113" s="702" t="s">
        <v>6</v>
      </c>
      <c r="N113" s="721"/>
      <c r="O113" s="722"/>
      <c r="P113" s="720" t="s">
        <v>15636</v>
      </c>
      <c r="Q113" s="723">
        <v>11527</v>
      </c>
      <c r="R113" s="720" t="s">
        <v>15637</v>
      </c>
      <c r="S113" s="720"/>
      <c r="T113" s="720"/>
      <c r="U113" s="720" t="s">
        <v>15638</v>
      </c>
      <c r="V113" s="702"/>
      <c r="W113" s="702" t="s">
        <v>145</v>
      </c>
      <c r="X113" s="702" t="s">
        <v>75</v>
      </c>
      <c r="Y113" s="702"/>
      <c r="Z113" s="702"/>
      <c r="AA113" s="702"/>
      <c r="AB113" s="702"/>
      <c r="AC113" s="702"/>
      <c r="AD113" s="702"/>
      <c r="AE113" s="708"/>
      <c r="AF113" s="655"/>
    </row>
    <row r="114" spans="1:32" ht="12" customHeight="1">
      <c r="A114" s="745" t="s">
        <v>2092</v>
      </c>
      <c r="B114" s="696">
        <v>1</v>
      </c>
      <c r="C114" s="696"/>
      <c r="D114" s="696" t="s">
        <v>2094</v>
      </c>
      <c r="E114" s="690">
        <f t="shared" si="1"/>
        <v>65</v>
      </c>
      <c r="F114" s="696" t="s">
        <v>2069</v>
      </c>
      <c r="G114" s="696" t="s">
        <v>6067</v>
      </c>
      <c r="H114" s="715" t="s">
        <v>2095</v>
      </c>
      <c r="I114" s="696"/>
      <c r="J114" s="696"/>
      <c r="K114" s="716" t="s">
        <v>16118</v>
      </c>
      <c r="L114" s="696"/>
      <c r="M114" s="696" t="s">
        <v>2065</v>
      </c>
      <c r="N114" s="717">
        <v>6</v>
      </c>
      <c r="O114" s="718">
        <v>6</v>
      </c>
      <c r="P114" s="715" t="s">
        <v>2096</v>
      </c>
      <c r="Q114" s="719">
        <v>17372</v>
      </c>
      <c r="R114" s="715" t="s">
        <v>2097</v>
      </c>
      <c r="S114" s="715" t="s">
        <v>2101</v>
      </c>
      <c r="T114" s="715"/>
      <c r="U114" s="715"/>
      <c r="V114" s="696"/>
      <c r="W114" s="696"/>
      <c r="X114" s="696"/>
      <c r="Y114" s="696"/>
      <c r="Z114" s="696"/>
      <c r="AA114" s="696"/>
      <c r="AB114" s="696"/>
      <c r="AC114" s="696"/>
      <c r="AD114" s="696"/>
      <c r="AE114" s="697"/>
      <c r="AF114" s="655"/>
    </row>
    <row r="115" spans="1:32" ht="12" customHeight="1" thickBot="1">
      <c r="A115" s="746" t="s">
        <v>2093</v>
      </c>
      <c r="B115" s="702">
        <v>2</v>
      </c>
      <c r="C115" s="702"/>
      <c r="D115" s="701" t="s">
        <v>2098</v>
      </c>
      <c r="E115" s="701">
        <f t="shared" si="1"/>
        <v>31</v>
      </c>
      <c r="F115" s="701" t="s">
        <v>2069</v>
      </c>
      <c r="G115" s="702" t="s">
        <v>6067</v>
      </c>
      <c r="H115" s="740"/>
      <c r="I115" s="701"/>
      <c r="J115" s="741"/>
      <c r="K115" s="704" t="s">
        <v>16118</v>
      </c>
      <c r="L115" s="701"/>
      <c r="M115" s="701" t="s">
        <v>2077</v>
      </c>
      <c r="N115" s="742"/>
      <c r="O115" s="743"/>
      <c r="P115" s="740" t="s">
        <v>2099</v>
      </c>
      <c r="Q115" s="744">
        <v>29741</v>
      </c>
      <c r="R115" s="740" t="s">
        <v>2100</v>
      </c>
      <c r="S115" s="740"/>
      <c r="T115" s="740"/>
      <c r="U115" s="720"/>
      <c r="V115" s="702"/>
      <c r="W115" s="702"/>
      <c r="X115" s="702"/>
      <c r="Y115" s="702"/>
      <c r="Z115" s="702"/>
      <c r="AA115" s="702"/>
      <c r="AB115" s="702"/>
      <c r="AC115" s="702"/>
      <c r="AD115" s="702"/>
      <c r="AE115" s="708"/>
      <c r="AF115" s="655"/>
    </row>
    <row r="116" spans="1:32" ht="12" customHeight="1">
      <c r="A116" s="750" t="s">
        <v>16169</v>
      </c>
      <c r="B116" s="696">
        <v>1</v>
      </c>
      <c r="C116" s="688" t="s">
        <v>366</v>
      </c>
      <c r="D116" s="690" t="s">
        <v>887</v>
      </c>
      <c r="E116" s="690">
        <f t="shared" si="1"/>
        <v>44</v>
      </c>
      <c r="F116" s="690" t="s">
        <v>5</v>
      </c>
      <c r="G116" s="687" t="s">
        <v>15273</v>
      </c>
      <c r="H116" s="691" t="s">
        <v>1352</v>
      </c>
      <c r="I116" s="689" t="s">
        <v>373</v>
      </c>
      <c r="J116" s="736"/>
      <c r="K116" s="688" t="s">
        <v>16116</v>
      </c>
      <c r="L116" s="690" t="s">
        <v>469</v>
      </c>
      <c r="M116" s="690" t="s">
        <v>6</v>
      </c>
      <c r="N116" s="693"/>
      <c r="O116" s="694">
        <v>1</v>
      </c>
      <c r="P116" s="783" t="s">
        <v>83</v>
      </c>
      <c r="Q116" s="739">
        <v>25005</v>
      </c>
      <c r="R116" s="735" t="s">
        <v>791</v>
      </c>
      <c r="S116" s="747" t="s">
        <v>374</v>
      </c>
      <c r="T116" s="747"/>
      <c r="U116" s="747" t="s">
        <v>375</v>
      </c>
      <c r="V116" s="696"/>
      <c r="W116" s="696" t="s">
        <v>145</v>
      </c>
      <c r="X116" s="696"/>
      <c r="Y116" s="696" t="s">
        <v>229</v>
      </c>
      <c r="Z116" s="696"/>
      <c r="AA116" s="696"/>
      <c r="AB116" s="696"/>
      <c r="AC116" s="696"/>
      <c r="AD116" s="696"/>
      <c r="AE116" s="697"/>
      <c r="AF116" s="655"/>
    </row>
    <row r="117" spans="1:32" ht="12" customHeight="1">
      <c r="A117" s="751" t="s">
        <v>16170</v>
      </c>
      <c r="B117" s="2">
        <v>2</v>
      </c>
      <c r="C117" s="4" t="s">
        <v>119</v>
      </c>
      <c r="D117" s="1" t="s">
        <v>124</v>
      </c>
      <c r="E117" s="6">
        <f t="shared" si="1"/>
        <v>55</v>
      </c>
      <c r="F117" s="2" t="s">
        <v>5</v>
      </c>
      <c r="G117" s="1" t="s">
        <v>15273</v>
      </c>
      <c r="K117" s="4" t="s">
        <v>16116</v>
      </c>
      <c r="L117" s="1" t="s">
        <v>4993</v>
      </c>
      <c r="M117" s="1" t="s">
        <v>6</v>
      </c>
      <c r="P117" s="3" t="s">
        <v>125</v>
      </c>
      <c r="Q117" s="20">
        <v>20976</v>
      </c>
      <c r="R117" s="3" t="s">
        <v>126</v>
      </c>
      <c r="U117" s="3" t="s">
        <v>145</v>
      </c>
      <c r="W117" s="2" t="s">
        <v>145</v>
      </c>
      <c r="AE117" s="698"/>
      <c r="AF117" s="655"/>
    </row>
    <row r="118" spans="1:32" ht="12" customHeight="1">
      <c r="A118" s="751" t="s">
        <v>16171</v>
      </c>
      <c r="B118" s="2">
        <v>2</v>
      </c>
      <c r="C118" s="4" t="s">
        <v>300</v>
      </c>
      <c r="D118" s="1" t="s">
        <v>4586</v>
      </c>
      <c r="E118" s="6">
        <f t="shared" si="1"/>
        <v>52</v>
      </c>
      <c r="F118" s="2" t="s">
        <v>5</v>
      </c>
      <c r="G118" s="1" t="s">
        <v>15273</v>
      </c>
      <c r="K118" s="4" t="s">
        <v>16116</v>
      </c>
      <c r="L118" s="1" t="s">
        <v>4993</v>
      </c>
      <c r="M118" s="1" t="s">
        <v>6</v>
      </c>
      <c r="P118" s="3" t="s">
        <v>172</v>
      </c>
      <c r="Q118" s="20">
        <v>22122</v>
      </c>
      <c r="R118" s="3" t="s">
        <v>4587</v>
      </c>
      <c r="U118" s="3" t="s">
        <v>104</v>
      </c>
      <c r="AB118" s="2" t="s">
        <v>104</v>
      </c>
      <c r="AE118" s="698"/>
      <c r="AF118" s="655"/>
    </row>
    <row r="119" spans="1:32" ht="12" customHeight="1">
      <c r="A119" s="751" t="s">
        <v>16172</v>
      </c>
      <c r="B119" s="2">
        <v>4</v>
      </c>
      <c r="C119" s="4" t="s">
        <v>226</v>
      </c>
      <c r="D119" s="1" t="s">
        <v>238</v>
      </c>
      <c r="E119" s="6">
        <f t="shared" si="1"/>
        <v>64</v>
      </c>
      <c r="F119" s="2" t="s">
        <v>5</v>
      </c>
      <c r="G119" s="1" t="s">
        <v>15273</v>
      </c>
      <c r="K119" s="4" t="s">
        <v>16116</v>
      </c>
      <c r="L119" s="1" t="s">
        <v>4993</v>
      </c>
      <c r="M119" s="1" t="s">
        <v>14</v>
      </c>
      <c r="N119" s="16">
        <v>3</v>
      </c>
      <c r="O119" s="17">
        <v>3</v>
      </c>
      <c r="P119" s="3" t="s">
        <v>214</v>
      </c>
      <c r="Q119" s="20">
        <v>17592</v>
      </c>
      <c r="R119" s="3" t="s">
        <v>240</v>
      </c>
      <c r="S119" s="3" t="s">
        <v>239</v>
      </c>
      <c r="U119" s="3" t="s">
        <v>145</v>
      </c>
      <c r="W119" s="2" t="s">
        <v>145</v>
      </c>
      <c r="AE119" s="774"/>
      <c r="AF119" s="655"/>
    </row>
    <row r="120" spans="1:32" ht="12" customHeight="1">
      <c r="A120" s="751" t="s">
        <v>16173</v>
      </c>
      <c r="B120" s="2">
        <v>4</v>
      </c>
      <c r="C120" s="4" t="s">
        <v>252</v>
      </c>
      <c r="D120" s="1" t="s">
        <v>5224</v>
      </c>
      <c r="E120" s="6">
        <f t="shared" si="1"/>
        <v>38</v>
      </c>
      <c r="F120" s="2" t="s">
        <v>5</v>
      </c>
      <c r="G120" s="1" t="s">
        <v>15273</v>
      </c>
      <c r="K120" s="4" t="s">
        <v>16116</v>
      </c>
      <c r="L120" s="1" t="s">
        <v>4997</v>
      </c>
      <c r="M120" s="1" t="s">
        <v>6</v>
      </c>
      <c r="P120" s="3" t="s">
        <v>5225</v>
      </c>
      <c r="Q120" s="21">
        <v>27109</v>
      </c>
      <c r="R120" s="3" t="s">
        <v>5226</v>
      </c>
      <c r="T120" s="3" t="s">
        <v>469</v>
      </c>
      <c r="AE120" s="774"/>
      <c r="AF120" s="655"/>
    </row>
    <row r="121" spans="1:32" ht="12" customHeight="1">
      <c r="A121" s="751" t="s">
        <v>16174</v>
      </c>
      <c r="B121" s="2">
        <v>4</v>
      </c>
      <c r="C121" s="4" t="s">
        <v>1371</v>
      </c>
      <c r="D121" s="1" t="s">
        <v>5976</v>
      </c>
      <c r="E121" s="6">
        <f t="shared" si="1"/>
        <v>63</v>
      </c>
      <c r="F121" s="2" t="s">
        <v>5</v>
      </c>
      <c r="G121" s="1" t="s">
        <v>15273</v>
      </c>
      <c r="K121" s="4" t="s">
        <v>16116</v>
      </c>
      <c r="L121" s="1" t="s">
        <v>276</v>
      </c>
      <c r="M121" s="1" t="s">
        <v>14</v>
      </c>
      <c r="N121" s="16">
        <v>1</v>
      </c>
      <c r="O121" s="17">
        <v>1</v>
      </c>
      <c r="P121" s="3" t="s">
        <v>381</v>
      </c>
      <c r="Q121" s="20">
        <v>18186</v>
      </c>
      <c r="R121" s="3" t="s">
        <v>5977</v>
      </c>
      <c r="AE121" s="698"/>
      <c r="AF121" s="655"/>
    </row>
    <row r="122" spans="1:32" ht="12" customHeight="1">
      <c r="A122" s="751" t="s">
        <v>16175</v>
      </c>
      <c r="B122" s="2">
        <v>4</v>
      </c>
      <c r="C122" s="4" t="s">
        <v>314</v>
      </c>
      <c r="D122" s="1" t="s">
        <v>320</v>
      </c>
      <c r="E122" s="6">
        <f t="shared" si="1"/>
        <v>53</v>
      </c>
      <c r="F122" s="2" t="s">
        <v>5</v>
      </c>
      <c r="G122" s="1" t="s">
        <v>15273</v>
      </c>
      <c r="K122" s="4" t="s">
        <v>16116</v>
      </c>
      <c r="L122" s="1" t="s">
        <v>469</v>
      </c>
      <c r="M122" s="1" t="s">
        <v>6</v>
      </c>
      <c r="P122" s="3" t="s">
        <v>321</v>
      </c>
      <c r="Q122" s="20">
        <v>21743</v>
      </c>
      <c r="R122" s="3" t="s">
        <v>322</v>
      </c>
      <c r="U122" s="3" t="s">
        <v>145</v>
      </c>
      <c r="W122" s="2" t="s">
        <v>145</v>
      </c>
      <c r="AE122" s="698"/>
      <c r="AF122" s="655"/>
    </row>
    <row r="123" spans="1:32" ht="12" customHeight="1">
      <c r="A123" s="751" t="s">
        <v>16176</v>
      </c>
      <c r="B123" s="2">
        <v>4</v>
      </c>
      <c r="C123" s="4" t="s">
        <v>324</v>
      </c>
      <c r="D123" s="1" t="s">
        <v>330</v>
      </c>
      <c r="E123" s="6">
        <f t="shared" si="1"/>
        <v>45</v>
      </c>
      <c r="F123" s="2" t="s">
        <v>5</v>
      </c>
      <c r="G123" s="1" t="s">
        <v>15273</v>
      </c>
      <c r="K123" s="4" t="s">
        <v>16116</v>
      </c>
      <c r="L123" s="1" t="s">
        <v>469</v>
      </c>
      <c r="M123" s="1" t="s">
        <v>6</v>
      </c>
      <c r="P123" s="3" t="s">
        <v>311</v>
      </c>
      <c r="Q123" s="20">
        <v>24584</v>
      </c>
      <c r="R123" s="3" t="s">
        <v>331</v>
      </c>
      <c r="U123" s="3" t="s">
        <v>145</v>
      </c>
      <c r="W123" s="2" t="s">
        <v>145</v>
      </c>
      <c r="AE123" s="698"/>
      <c r="AF123" s="655"/>
    </row>
    <row r="124" spans="1:32" ht="12" customHeight="1">
      <c r="A124" s="751" t="s">
        <v>16177</v>
      </c>
      <c r="B124" s="2">
        <v>4</v>
      </c>
      <c r="C124" s="4" t="s">
        <v>345</v>
      </c>
      <c r="D124" s="1" t="s">
        <v>5348</v>
      </c>
      <c r="E124" s="6">
        <f t="shared" si="1"/>
        <v>31</v>
      </c>
      <c r="F124" s="2" t="s">
        <v>5</v>
      </c>
      <c r="G124" s="1" t="s">
        <v>15273</v>
      </c>
      <c r="K124" s="4" t="s">
        <v>16116</v>
      </c>
      <c r="L124" s="1" t="s">
        <v>4997</v>
      </c>
      <c r="M124" s="1" t="s">
        <v>6</v>
      </c>
      <c r="P124" s="3" t="s">
        <v>455</v>
      </c>
      <c r="Q124" s="20">
        <v>29583</v>
      </c>
      <c r="R124" s="3" t="s">
        <v>16304</v>
      </c>
      <c r="T124" s="3" t="s">
        <v>469</v>
      </c>
      <c r="AE124" s="698"/>
      <c r="AF124" s="655"/>
    </row>
    <row r="125" spans="1:32" ht="12" customHeight="1" thickBot="1">
      <c r="A125" s="796" t="s">
        <v>16178</v>
      </c>
      <c r="B125" s="797">
        <v>4</v>
      </c>
      <c r="C125" s="798" t="s">
        <v>5349</v>
      </c>
      <c r="D125" s="799" t="s">
        <v>5350</v>
      </c>
      <c r="E125" s="214">
        <f t="shared" si="1"/>
        <v>45</v>
      </c>
      <c r="F125" s="797" t="s">
        <v>5</v>
      </c>
      <c r="G125" s="799" t="s">
        <v>15273</v>
      </c>
      <c r="H125" s="800"/>
      <c r="I125" s="799"/>
      <c r="J125" s="799"/>
      <c r="K125" s="798" t="s">
        <v>16116</v>
      </c>
      <c r="L125" s="799" t="s">
        <v>4422</v>
      </c>
      <c r="M125" s="799" t="s">
        <v>14</v>
      </c>
      <c r="N125" s="801">
        <v>2</v>
      </c>
      <c r="O125" s="802">
        <v>2</v>
      </c>
      <c r="P125" s="800" t="s">
        <v>188</v>
      </c>
      <c r="Q125" s="803">
        <v>24519</v>
      </c>
      <c r="R125" s="800" t="s">
        <v>16104</v>
      </c>
      <c r="S125" s="800"/>
      <c r="T125" s="800"/>
      <c r="U125" s="800" t="s">
        <v>146</v>
      </c>
      <c r="V125" s="797"/>
      <c r="W125" s="797"/>
      <c r="X125" s="797"/>
      <c r="Y125" s="797"/>
      <c r="Z125" s="797"/>
      <c r="AA125" s="797"/>
      <c r="AB125" s="797"/>
      <c r="AC125" s="797"/>
      <c r="AD125" s="797" t="s">
        <v>146</v>
      </c>
      <c r="AE125" s="804"/>
      <c r="AF125" s="655"/>
    </row>
    <row r="126" spans="1:32" ht="12" customHeight="1">
      <c r="A126" s="757" t="s">
        <v>16179</v>
      </c>
      <c r="B126" s="696">
        <v>1</v>
      </c>
      <c r="C126" s="688" t="s">
        <v>210</v>
      </c>
      <c r="D126" s="687" t="s">
        <v>16095</v>
      </c>
      <c r="E126" s="690">
        <f t="shared" si="1"/>
        <v>35</v>
      </c>
      <c r="F126" s="696" t="s">
        <v>5</v>
      </c>
      <c r="G126" s="687" t="s">
        <v>15273</v>
      </c>
      <c r="H126" s="747"/>
      <c r="I126" s="687"/>
      <c r="J126" s="687"/>
      <c r="K126" s="688" t="s">
        <v>16128</v>
      </c>
      <c r="L126" s="687"/>
      <c r="M126" s="687" t="s">
        <v>6</v>
      </c>
      <c r="N126" s="748"/>
      <c r="O126" s="749"/>
      <c r="P126" s="747" t="s">
        <v>218</v>
      </c>
      <c r="Q126" s="773">
        <v>28442</v>
      </c>
      <c r="R126" s="747" t="s">
        <v>219</v>
      </c>
      <c r="S126" s="747"/>
      <c r="T126" s="747" t="s">
        <v>6031</v>
      </c>
      <c r="U126" s="747" t="s">
        <v>155</v>
      </c>
      <c r="V126" s="696"/>
      <c r="W126" s="696"/>
      <c r="X126" s="696"/>
      <c r="Y126" s="696"/>
      <c r="Z126" s="696" t="s">
        <v>155</v>
      </c>
      <c r="AA126" s="696"/>
      <c r="AB126" s="696"/>
      <c r="AC126" s="696"/>
      <c r="AD126" s="696"/>
      <c r="AE126" s="805"/>
      <c r="AF126" s="655"/>
    </row>
    <row r="127" spans="1:32" ht="12" customHeight="1">
      <c r="A127" s="758" t="s">
        <v>16180</v>
      </c>
      <c r="B127" s="2">
        <v>1</v>
      </c>
      <c r="C127" s="4" t="s">
        <v>227</v>
      </c>
      <c r="D127" s="1" t="s">
        <v>235</v>
      </c>
      <c r="E127" s="6">
        <f t="shared" si="1"/>
        <v>52</v>
      </c>
      <c r="F127" s="2" t="s">
        <v>5</v>
      </c>
      <c r="G127" s="1" t="s">
        <v>15273</v>
      </c>
      <c r="K127" s="4" t="s">
        <v>16128</v>
      </c>
      <c r="M127" s="1" t="s">
        <v>6</v>
      </c>
      <c r="P127" s="3" t="s">
        <v>236</v>
      </c>
      <c r="Q127" s="20">
        <v>22015</v>
      </c>
      <c r="R127" s="3" t="s">
        <v>237</v>
      </c>
      <c r="U127" s="3" t="s">
        <v>145</v>
      </c>
      <c r="W127" s="2" t="s">
        <v>145</v>
      </c>
      <c r="AE127" s="774"/>
      <c r="AF127" s="655"/>
    </row>
    <row r="128" spans="1:32" ht="12" customHeight="1" thickBot="1">
      <c r="A128" s="759" t="s">
        <v>16181</v>
      </c>
      <c r="B128" s="702">
        <v>1</v>
      </c>
      <c r="C128" s="700" t="s">
        <v>5876</v>
      </c>
      <c r="D128" s="699" t="s">
        <v>5877</v>
      </c>
      <c r="E128" s="701">
        <f t="shared" si="1"/>
        <v>45</v>
      </c>
      <c r="F128" s="702" t="s">
        <v>5</v>
      </c>
      <c r="G128" s="699" t="s">
        <v>15273</v>
      </c>
      <c r="H128" s="703"/>
      <c r="I128" s="699"/>
      <c r="J128" s="699"/>
      <c r="K128" s="700" t="s">
        <v>16128</v>
      </c>
      <c r="L128" s="699"/>
      <c r="M128" s="699" t="s">
        <v>6</v>
      </c>
      <c r="N128" s="705"/>
      <c r="O128" s="706"/>
      <c r="P128" s="703" t="s">
        <v>5878</v>
      </c>
      <c r="Q128" s="707">
        <v>24768</v>
      </c>
      <c r="R128" s="703" t="s">
        <v>5879</v>
      </c>
      <c r="S128" s="703"/>
      <c r="T128" s="703"/>
      <c r="U128" s="703"/>
      <c r="V128" s="702"/>
      <c r="W128" s="702"/>
      <c r="X128" s="702"/>
      <c r="Y128" s="702"/>
      <c r="Z128" s="702"/>
      <c r="AA128" s="702"/>
      <c r="AB128" s="702"/>
      <c r="AC128" s="702"/>
      <c r="AD128" s="702"/>
      <c r="AE128" s="708"/>
      <c r="AF128" s="655"/>
    </row>
    <row r="129" spans="1:32" ht="12" customHeight="1">
      <c r="A129" s="760" t="s">
        <v>5657</v>
      </c>
      <c r="B129" s="696">
        <v>1</v>
      </c>
      <c r="C129" s="696"/>
      <c r="D129" s="690" t="s">
        <v>2102</v>
      </c>
      <c r="E129" s="690">
        <f t="shared" si="1"/>
        <v>53</v>
      </c>
      <c r="F129" s="690" t="s">
        <v>2064</v>
      </c>
      <c r="G129" s="696" t="s">
        <v>6067</v>
      </c>
      <c r="H129" s="735" t="s">
        <v>2103</v>
      </c>
      <c r="I129" s="690"/>
      <c r="J129" s="736"/>
      <c r="K129" s="692" t="s">
        <v>16117</v>
      </c>
      <c r="L129" s="690"/>
      <c r="M129" s="690" t="s">
        <v>2065</v>
      </c>
      <c r="N129" s="737">
        <v>3</v>
      </c>
      <c r="O129" s="738">
        <v>3</v>
      </c>
      <c r="P129" s="735" t="s">
        <v>2104</v>
      </c>
      <c r="Q129" s="739">
        <v>21809</v>
      </c>
      <c r="R129" s="735" t="s">
        <v>2105</v>
      </c>
      <c r="S129" s="735"/>
      <c r="T129" s="735"/>
      <c r="U129" s="715" t="s">
        <v>2091</v>
      </c>
      <c r="V129" s="696"/>
      <c r="W129" s="696" t="s">
        <v>2080</v>
      </c>
      <c r="X129" s="696"/>
      <c r="Y129" s="696"/>
      <c r="Z129" s="696"/>
      <c r="AA129" s="696"/>
      <c r="AB129" s="696"/>
      <c r="AC129" s="696"/>
      <c r="AD129" s="696"/>
      <c r="AE129" s="697" t="s">
        <v>2074</v>
      </c>
      <c r="AF129" s="655"/>
    </row>
    <row r="130" spans="1:32" ht="12" customHeight="1" thickBot="1">
      <c r="A130" s="761" t="s">
        <v>5658</v>
      </c>
      <c r="B130" s="702">
        <v>2</v>
      </c>
      <c r="C130" s="702"/>
      <c r="D130" s="701" t="s">
        <v>5483</v>
      </c>
      <c r="E130" s="701">
        <f t="shared" ref="E130:E193" si="2">DATEDIF(Q130,$Q$1119,"Y")</f>
        <v>36</v>
      </c>
      <c r="F130" s="701" t="s">
        <v>19</v>
      </c>
      <c r="G130" s="702" t="s">
        <v>6067</v>
      </c>
      <c r="H130" s="740"/>
      <c r="I130" s="701"/>
      <c r="J130" s="741"/>
      <c r="K130" s="704" t="s">
        <v>16117</v>
      </c>
      <c r="L130" s="701"/>
      <c r="M130" s="701" t="s">
        <v>6</v>
      </c>
      <c r="N130" s="742"/>
      <c r="O130" s="743"/>
      <c r="P130" s="740" t="s">
        <v>359</v>
      </c>
      <c r="Q130" s="744">
        <v>28036</v>
      </c>
      <c r="R130" s="740" t="s">
        <v>5484</v>
      </c>
      <c r="S130" s="740"/>
      <c r="T130" s="740"/>
      <c r="U130" s="720"/>
      <c r="V130" s="702"/>
      <c r="W130" s="702"/>
      <c r="X130" s="702"/>
      <c r="Y130" s="702"/>
      <c r="Z130" s="702"/>
      <c r="AA130" s="702"/>
      <c r="AB130" s="702"/>
      <c r="AC130" s="702"/>
      <c r="AD130" s="702"/>
      <c r="AE130" s="708"/>
      <c r="AF130" s="655"/>
    </row>
    <row r="131" spans="1:32" ht="12" customHeight="1">
      <c r="A131" s="784" t="s">
        <v>5659</v>
      </c>
      <c r="B131" s="696">
        <v>1</v>
      </c>
      <c r="C131" s="688" t="s">
        <v>169</v>
      </c>
      <c r="D131" s="687" t="s">
        <v>177</v>
      </c>
      <c r="E131" s="690">
        <f t="shared" si="2"/>
        <v>65</v>
      </c>
      <c r="F131" s="696" t="s">
        <v>5</v>
      </c>
      <c r="G131" s="687" t="s">
        <v>15273</v>
      </c>
      <c r="H131" s="747"/>
      <c r="I131" s="687"/>
      <c r="J131" s="687"/>
      <c r="K131" s="688" t="s">
        <v>16121</v>
      </c>
      <c r="L131" s="687"/>
      <c r="M131" s="687" t="s">
        <v>6</v>
      </c>
      <c r="N131" s="748"/>
      <c r="O131" s="749"/>
      <c r="P131" s="747" t="s">
        <v>178</v>
      </c>
      <c r="Q131" s="773">
        <v>17332</v>
      </c>
      <c r="R131" s="747" t="s">
        <v>179</v>
      </c>
      <c r="S131" s="747"/>
      <c r="T131" s="747"/>
      <c r="U131" s="747" t="s">
        <v>148</v>
      </c>
      <c r="V131" s="696"/>
      <c r="W131" s="696" t="s">
        <v>145</v>
      </c>
      <c r="X131" s="696"/>
      <c r="Y131" s="696"/>
      <c r="Z131" s="696"/>
      <c r="AA131" s="696"/>
      <c r="AB131" s="696"/>
      <c r="AC131" s="696"/>
      <c r="AD131" s="696"/>
      <c r="AE131" s="697" t="s">
        <v>69</v>
      </c>
      <c r="AF131" s="655"/>
    </row>
    <row r="132" spans="1:32" ht="12" customHeight="1">
      <c r="A132" s="785" t="s">
        <v>5660</v>
      </c>
      <c r="B132" s="2">
        <v>1</v>
      </c>
      <c r="C132" s="4" t="s">
        <v>4658</v>
      </c>
      <c r="D132" s="1" t="s">
        <v>4659</v>
      </c>
      <c r="E132" s="6">
        <f t="shared" si="2"/>
        <v>33</v>
      </c>
      <c r="F132" s="2" t="s">
        <v>5</v>
      </c>
      <c r="G132" s="1" t="s">
        <v>15273</v>
      </c>
      <c r="K132" s="4" t="s">
        <v>16121</v>
      </c>
      <c r="M132" s="1" t="s">
        <v>6</v>
      </c>
      <c r="P132" s="3" t="s">
        <v>4660</v>
      </c>
      <c r="Q132" s="20">
        <v>28926</v>
      </c>
      <c r="R132" s="3" t="s">
        <v>5471</v>
      </c>
      <c r="AE132" s="774"/>
      <c r="AF132" s="655"/>
    </row>
    <row r="133" spans="1:32" ht="12" customHeight="1">
      <c r="A133" s="785" t="s">
        <v>16184</v>
      </c>
      <c r="B133" s="2">
        <v>1</v>
      </c>
      <c r="C133" s="4" t="s">
        <v>290</v>
      </c>
      <c r="D133" s="1" t="s">
        <v>295</v>
      </c>
      <c r="E133" s="6">
        <f t="shared" si="2"/>
        <v>65</v>
      </c>
      <c r="F133" s="2" t="s">
        <v>5</v>
      </c>
      <c r="G133" s="1" t="s">
        <v>15273</v>
      </c>
      <c r="K133" s="4" t="s">
        <v>16121</v>
      </c>
      <c r="M133" s="1" t="s">
        <v>6</v>
      </c>
      <c r="P133" s="3" t="s">
        <v>172</v>
      </c>
      <c r="Q133" s="20">
        <v>17226</v>
      </c>
      <c r="R133" s="3" t="s">
        <v>296</v>
      </c>
      <c r="U133" s="3" t="s">
        <v>145</v>
      </c>
      <c r="W133" s="2" t="s">
        <v>145</v>
      </c>
      <c r="AE133" s="698"/>
      <c r="AF133" s="655"/>
    </row>
    <row r="134" spans="1:32" ht="12" customHeight="1">
      <c r="A134" s="785" t="s">
        <v>16185</v>
      </c>
      <c r="B134" s="2">
        <v>1</v>
      </c>
      <c r="C134" s="4" t="s">
        <v>326</v>
      </c>
      <c r="D134" s="6" t="s">
        <v>859</v>
      </c>
      <c r="E134" s="6">
        <f t="shared" si="2"/>
        <v>64</v>
      </c>
      <c r="F134" s="6" t="s">
        <v>5</v>
      </c>
      <c r="G134" s="1" t="s">
        <v>15273</v>
      </c>
      <c r="H134" s="12" t="s">
        <v>1316</v>
      </c>
      <c r="I134" s="6"/>
      <c r="J134" s="19"/>
      <c r="K134" s="8" t="s">
        <v>16121</v>
      </c>
      <c r="L134" s="6"/>
      <c r="M134" s="6" t="s">
        <v>25</v>
      </c>
      <c r="N134" s="13">
        <v>1</v>
      </c>
      <c r="O134" s="14">
        <v>1</v>
      </c>
      <c r="P134" s="12" t="s">
        <v>1435</v>
      </c>
      <c r="Q134" s="15">
        <v>17742</v>
      </c>
      <c r="R134" s="12" t="s">
        <v>843</v>
      </c>
      <c r="S134" s="12"/>
      <c r="T134" s="12"/>
      <c r="U134" s="12" t="s">
        <v>148</v>
      </c>
      <c r="W134" s="2" t="s">
        <v>145</v>
      </c>
      <c r="AE134" s="698" t="s">
        <v>69</v>
      </c>
      <c r="AF134" s="655"/>
    </row>
    <row r="135" spans="1:32" ht="12" customHeight="1">
      <c r="A135" s="785" t="s">
        <v>16186</v>
      </c>
      <c r="B135" s="2">
        <v>1</v>
      </c>
      <c r="C135" s="4" t="s">
        <v>368</v>
      </c>
      <c r="D135" s="1" t="s">
        <v>4647</v>
      </c>
      <c r="E135" s="6">
        <f t="shared" si="2"/>
        <v>63</v>
      </c>
      <c r="F135" s="2" t="s">
        <v>5</v>
      </c>
      <c r="G135" s="1" t="s">
        <v>15273</v>
      </c>
      <c r="K135" s="4" t="s">
        <v>16121</v>
      </c>
      <c r="M135" s="1" t="s">
        <v>6</v>
      </c>
      <c r="P135" s="3" t="s">
        <v>4648</v>
      </c>
      <c r="Q135" s="20">
        <v>18138</v>
      </c>
      <c r="R135" s="3" t="s">
        <v>4649</v>
      </c>
      <c r="U135" s="3" t="s">
        <v>148</v>
      </c>
      <c r="W135" s="2" t="s">
        <v>145</v>
      </c>
      <c r="AE135" s="698" t="s">
        <v>69</v>
      </c>
      <c r="AF135" s="655"/>
    </row>
    <row r="136" spans="1:32" ht="12" customHeight="1">
      <c r="A136" s="785" t="s">
        <v>16182</v>
      </c>
      <c r="B136" s="2">
        <v>6</v>
      </c>
      <c r="C136" s="2"/>
      <c r="D136" s="2" t="s">
        <v>2106</v>
      </c>
      <c r="E136" s="6">
        <f t="shared" si="2"/>
        <v>64</v>
      </c>
      <c r="F136" s="2" t="s">
        <v>2069</v>
      </c>
      <c r="G136" s="2" t="s">
        <v>6067</v>
      </c>
      <c r="H136" s="22"/>
      <c r="I136" s="2"/>
      <c r="J136" s="2"/>
      <c r="K136" s="23" t="s">
        <v>16121</v>
      </c>
      <c r="L136" s="2"/>
      <c r="M136" s="2" t="s">
        <v>2077</v>
      </c>
      <c r="N136" s="24"/>
      <c r="O136" s="25"/>
      <c r="P136" s="22" t="s">
        <v>16187</v>
      </c>
      <c r="Q136" s="21">
        <v>17728</v>
      </c>
      <c r="R136" s="22" t="s">
        <v>2107</v>
      </c>
      <c r="S136" s="22"/>
      <c r="T136" s="22"/>
      <c r="U136" s="22" t="s">
        <v>2091</v>
      </c>
      <c r="W136" s="2" t="s">
        <v>2080</v>
      </c>
      <c r="AE136" s="698" t="s">
        <v>2074</v>
      </c>
      <c r="AF136" s="655"/>
    </row>
    <row r="137" spans="1:32" ht="12" customHeight="1" thickBot="1">
      <c r="A137" s="786" t="s">
        <v>16183</v>
      </c>
      <c r="B137" s="702">
        <v>7</v>
      </c>
      <c r="C137" s="702"/>
      <c r="D137" s="701" t="s">
        <v>4661</v>
      </c>
      <c r="E137" s="701">
        <f t="shared" si="2"/>
        <v>64</v>
      </c>
      <c r="F137" s="701" t="s">
        <v>5</v>
      </c>
      <c r="G137" s="702" t="s">
        <v>6067</v>
      </c>
      <c r="H137" s="740"/>
      <c r="I137" s="701"/>
      <c r="J137" s="741"/>
      <c r="K137" s="704" t="s">
        <v>16121</v>
      </c>
      <c r="L137" s="701"/>
      <c r="M137" s="701" t="s">
        <v>14</v>
      </c>
      <c r="N137" s="742">
        <v>2</v>
      </c>
      <c r="O137" s="743">
        <v>2</v>
      </c>
      <c r="P137" s="740" t="s">
        <v>4662</v>
      </c>
      <c r="Q137" s="744">
        <v>17828</v>
      </c>
      <c r="R137" s="740" t="s">
        <v>4663</v>
      </c>
      <c r="S137" s="740"/>
      <c r="T137" s="740"/>
      <c r="U137" s="720" t="s">
        <v>148</v>
      </c>
      <c r="V137" s="702"/>
      <c r="W137" s="702" t="s">
        <v>145</v>
      </c>
      <c r="X137" s="702"/>
      <c r="Y137" s="702"/>
      <c r="Z137" s="702"/>
      <c r="AA137" s="702"/>
      <c r="AB137" s="702"/>
      <c r="AC137" s="702"/>
      <c r="AD137" s="702"/>
      <c r="AE137" s="708" t="s">
        <v>69</v>
      </c>
      <c r="AF137" s="655"/>
    </row>
    <row r="138" spans="1:32" ht="12" customHeight="1" thickBot="1">
      <c r="A138" s="788" t="s">
        <v>16188</v>
      </c>
      <c r="B138" s="660">
        <v>1</v>
      </c>
      <c r="C138" s="660"/>
      <c r="D138" s="660" t="s">
        <v>4652</v>
      </c>
      <c r="E138" s="728">
        <f t="shared" si="2"/>
        <v>37</v>
      </c>
      <c r="F138" s="660" t="s">
        <v>5</v>
      </c>
      <c r="G138" s="660" t="s">
        <v>6067</v>
      </c>
      <c r="H138" s="733"/>
      <c r="I138" s="660"/>
      <c r="J138" s="660"/>
      <c r="K138" s="787" t="s">
        <v>16131</v>
      </c>
      <c r="L138" s="660"/>
      <c r="M138" s="660" t="s">
        <v>6</v>
      </c>
      <c r="N138" s="763"/>
      <c r="O138" s="764"/>
      <c r="P138" s="733" t="s">
        <v>188</v>
      </c>
      <c r="Q138" s="765">
        <v>27504</v>
      </c>
      <c r="R138" s="733" t="s">
        <v>4653</v>
      </c>
      <c r="S138" s="733"/>
      <c r="T138" s="733"/>
      <c r="U138" s="733"/>
      <c r="V138" s="660"/>
      <c r="W138" s="660"/>
      <c r="X138" s="660"/>
      <c r="Y138" s="660"/>
      <c r="Z138" s="660"/>
      <c r="AA138" s="660"/>
      <c r="AB138" s="660"/>
      <c r="AC138" s="660"/>
      <c r="AD138" s="660"/>
      <c r="AE138" s="664"/>
      <c r="AF138" s="655"/>
    </row>
    <row r="139" spans="1:32" ht="12" customHeight="1">
      <c r="A139" s="771" t="s">
        <v>16308</v>
      </c>
      <c r="B139" s="696">
        <v>1</v>
      </c>
      <c r="C139" s="696"/>
      <c r="D139" s="696" t="s">
        <v>4607</v>
      </c>
      <c r="E139" s="690">
        <f t="shared" si="2"/>
        <v>55</v>
      </c>
      <c r="F139" s="696" t="s">
        <v>5</v>
      </c>
      <c r="G139" s="696" t="s">
        <v>6067</v>
      </c>
      <c r="H139" s="715"/>
      <c r="I139" s="696"/>
      <c r="J139" s="696"/>
      <c r="K139" s="716" t="s">
        <v>16122</v>
      </c>
      <c r="L139" s="696" t="s">
        <v>22</v>
      </c>
      <c r="M139" s="696" t="s">
        <v>6</v>
      </c>
      <c r="N139" s="717"/>
      <c r="O139" s="718"/>
      <c r="P139" s="715" t="s">
        <v>182</v>
      </c>
      <c r="Q139" s="719">
        <v>21013</v>
      </c>
      <c r="R139" s="715" t="s">
        <v>4608</v>
      </c>
      <c r="S139" s="715"/>
      <c r="T139" s="715"/>
      <c r="U139" s="715"/>
      <c r="V139" s="696"/>
      <c r="W139" s="696"/>
      <c r="X139" s="696"/>
      <c r="Y139" s="696"/>
      <c r="Z139" s="696"/>
      <c r="AA139" s="696"/>
      <c r="AB139" s="696"/>
      <c r="AC139" s="696"/>
      <c r="AD139" s="696"/>
      <c r="AE139" s="697"/>
      <c r="AF139" s="655"/>
    </row>
    <row r="140" spans="1:32" ht="12" customHeight="1">
      <c r="A140" s="789" t="s">
        <v>16309</v>
      </c>
      <c r="B140" s="2">
        <v>2</v>
      </c>
      <c r="C140" s="2"/>
      <c r="D140" s="2" t="s">
        <v>4604</v>
      </c>
      <c r="E140" s="6">
        <f t="shared" si="2"/>
        <v>65</v>
      </c>
      <c r="F140" s="2" t="s">
        <v>5</v>
      </c>
      <c r="G140" s="2" t="s">
        <v>6067</v>
      </c>
      <c r="H140" s="22"/>
      <c r="I140" s="2"/>
      <c r="J140" s="2"/>
      <c r="K140" s="23" t="s">
        <v>16122</v>
      </c>
      <c r="L140" s="2" t="s">
        <v>22</v>
      </c>
      <c r="M140" s="2" t="s">
        <v>6</v>
      </c>
      <c r="N140" s="24"/>
      <c r="O140" s="25"/>
      <c r="P140" s="22" t="s">
        <v>4605</v>
      </c>
      <c r="Q140" s="21">
        <v>17246</v>
      </c>
      <c r="R140" s="22" t="s">
        <v>4606</v>
      </c>
      <c r="S140" s="22"/>
      <c r="T140" s="22"/>
      <c r="U140" s="22"/>
      <c r="AE140" s="698"/>
      <c r="AF140" s="655"/>
    </row>
    <row r="141" spans="1:32" ht="12" customHeight="1" thickBot="1">
      <c r="A141" s="772" t="s">
        <v>16310</v>
      </c>
      <c r="B141" s="702">
        <v>3</v>
      </c>
      <c r="C141" s="702"/>
      <c r="D141" s="702" t="s">
        <v>358</v>
      </c>
      <c r="E141" s="701">
        <f t="shared" si="2"/>
        <v>45</v>
      </c>
      <c r="F141" s="702" t="s">
        <v>5</v>
      </c>
      <c r="G141" s="702" t="s">
        <v>6067</v>
      </c>
      <c r="H141" s="720"/>
      <c r="I141" s="702"/>
      <c r="J141" s="702"/>
      <c r="K141" s="770" t="s">
        <v>16122</v>
      </c>
      <c r="L141" s="702" t="s">
        <v>22</v>
      </c>
      <c r="M141" s="702" t="s">
        <v>6</v>
      </c>
      <c r="N141" s="721"/>
      <c r="O141" s="722"/>
      <c r="P141" s="720" t="s">
        <v>359</v>
      </c>
      <c r="Q141" s="723">
        <v>24743</v>
      </c>
      <c r="R141" s="720" t="s">
        <v>1812</v>
      </c>
      <c r="S141" s="720"/>
      <c r="T141" s="720"/>
      <c r="U141" s="720"/>
      <c r="V141" s="702"/>
      <c r="W141" s="702"/>
      <c r="X141" s="702"/>
      <c r="Y141" s="702"/>
      <c r="Z141" s="702"/>
      <c r="AA141" s="702"/>
      <c r="AB141" s="702"/>
      <c r="AC141" s="702"/>
      <c r="AD141" s="702"/>
      <c r="AE141" s="708"/>
      <c r="AF141" s="655"/>
    </row>
    <row r="142" spans="1:32" ht="12" customHeight="1">
      <c r="A142" s="776" t="s">
        <v>15708</v>
      </c>
      <c r="B142" s="696">
        <v>1</v>
      </c>
      <c r="C142" s="688" t="s">
        <v>387</v>
      </c>
      <c r="D142" s="689" t="s">
        <v>925</v>
      </c>
      <c r="E142" s="690">
        <f t="shared" si="2"/>
        <v>42</v>
      </c>
      <c r="F142" s="689" t="s">
        <v>5</v>
      </c>
      <c r="G142" s="689" t="s">
        <v>15273</v>
      </c>
      <c r="H142" s="691" t="s">
        <v>1354</v>
      </c>
      <c r="I142" s="783"/>
      <c r="J142" s="736"/>
      <c r="K142" s="692" t="s">
        <v>16127</v>
      </c>
      <c r="L142" s="689" t="s">
        <v>44</v>
      </c>
      <c r="M142" s="689" t="s">
        <v>25</v>
      </c>
      <c r="N142" s="693">
        <v>1</v>
      </c>
      <c r="O142" s="694">
        <v>1</v>
      </c>
      <c r="P142" s="691" t="s">
        <v>317</v>
      </c>
      <c r="Q142" s="695">
        <v>25788</v>
      </c>
      <c r="R142" s="691" t="s">
        <v>786</v>
      </c>
      <c r="S142" s="691"/>
      <c r="T142" s="691" t="s">
        <v>736</v>
      </c>
      <c r="U142" s="691" t="s">
        <v>47</v>
      </c>
      <c r="V142" s="696" t="s">
        <v>47</v>
      </c>
      <c r="W142" s="696"/>
      <c r="X142" s="696"/>
      <c r="Y142" s="696"/>
      <c r="Z142" s="696"/>
      <c r="AA142" s="696"/>
      <c r="AB142" s="696"/>
      <c r="AC142" s="696"/>
      <c r="AD142" s="696"/>
      <c r="AE142" s="697"/>
      <c r="AF142" s="655"/>
    </row>
    <row r="143" spans="1:32" ht="12" customHeight="1">
      <c r="A143" s="777" t="s">
        <v>15709</v>
      </c>
      <c r="B143" s="2">
        <v>1</v>
      </c>
      <c r="C143" s="4" t="s">
        <v>396</v>
      </c>
      <c r="D143" s="5" t="s">
        <v>905</v>
      </c>
      <c r="E143" s="6">
        <f t="shared" si="2"/>
        <v>65</v>
      </c>
      <c r="F143" s="5" t="s">
        <v>5</v>
      </c>
      <c r="G143" s="5" t="s">
        <v>15273</v>
      </c>
      <c r="H143" s="7" t="s">
        <v>1355</v>
      </c>
      <c r="I143" s="18"/>
      <c r="J143" s="19"/>
      <c r="K143" s="4" t="s">
        <v>16127</v>
      </c>
      <c r="L143" s="5" t="s">
        <v>44</v>
      </c>
      <c r="M143" s="5" t="s">
        <v>25</v>
      </c>
      <c r="N143" s="9">
        <v>1</v>
      </c>
      <c r="O143" s="10">
        <v>1</v>
      </c>
      <c r="P143" s="12" t="s">
        <v>159</v>
      </c>
      <c r="Q143" s="11">
        <v>17236</v>
      </c>
      <c r="R143" s="7" t="s">
        <v>741</v>
      </c>
      <c r="S143" s="7" t="s">
        <v>400</v>
      </c>
      <c r="T143" s="7"/>
      <c r="U143" s="7" t="s">
        <v>75</v>
      </c>
      <c r="X143" s="2" t="s">
        <v>75</v>
      </c>
      <c r="AE143" s="698"/>
      <c r="AF143" s="655"/>
    </row>
    <row r="144" spans="1:32" ht="12" customHeight="1">
      <c r="A144" s="777" t="s">
        <v>15710</v>
      </c>
      <c r="B144" s="2">
        <v>1</v>
      </c>
      <c r="C144" s="4" t="s">
        <v>418</v>
      </c>
      <c r="D144" s="6" t="s">
        <v>871</v>
      </c>
      <c r="E144" s="6">
        <f t="shared" si="2"/>
        <v>53</v>
      </c>
      <c r="F144" s="6" t="s">
        <v>5</v>
      </c>
      <c r="G144" s="5" t="s">
        <v>15273</v>
      </c>
      <c r="H144" s="12" t="s">
        <v>1297</v>
      </c>
      <c r="I144" s="19"/>
      <c r="J144" s="19"/>
      <c r="K144" s="8" t="s">
        <v>16126</v>
      </c>
      <c r="L144" s="6" t="s">
        <v>44</v>
      </c>
      <c r="M144" s="6" t="s">
        <v>25</v>
      </c>
      <c r="N144" s="13">
        <v>1</v>
      </c>
      <c r="O144" s="14">
        <v>1</v>
      </c>
      <c r="P144" s="12" t="s">
        <v>451</v>
      </c>
      <c r="Q144" s="15">
        <v>21753</v>
      </c>
      <c r="R144" s="12" t="s">
        <v>752</v>
      </c>
      <c r="AE144" s="698"/>
      <c r="AF144" s="655"/>
    </row>
    <row r="145" spans="1:32" ht="12" customHeight="1">
      <c r="A145" s="777" t="s">
        <v>15711</v>
      </c>
      <c r="B145" s="2">
        <v>1</v>
      </c>
      <c r="C145" s="4" t="s">
        <v>424</v>
      </c>
      <c r="D145" s="6" t="s">
        <v>912</v>
      </c>
      <c r="E145" s="6">
        <f t="shared" si="2"/>
        <v>65</v>
      </c>
      <c r="F145" s="6" t="s">
        <v>5</v>
      </c>
      <c r="G145" s="5" t="s">
        <v>15273</v>
      </c>
      <c r="H145" s="12" t="s">
        <v>1358</v>
      </c>
      <c r="I145" s="19"/>
      <c r="J145" s="19"/>
      <c r="K145" s="8" t="s">
        <v>16127</v>
      </c>
      <c r="L145" s="6" t="s">
        <v>45</v>
      </c>
      <c r="M145" s="6" t="s">
        <v>25</v>
      </c>
      <c r="N145" s="13">
        <v>7</v>
      </c>
      <c r="O145" s="14">
        <v>7</v>
      </c>
      <c r="P145" s="12" t="s">
        <v>465</v>
      </c>
      <c r="Q145" s="15">
        <v>17445</v>
      </c>
      <c r="R145" s="12" t="s">
        <v>740</v>
      </c>
      <c r="S145" s="12" t="s">
        <v>838</v>
      </c>
      <c r="T145" s="12" t="s">
        <v>736</v>
      </c>
      <c r="U145" s="12" t="s">
        <v>148</v>
      </c>
      <c r="W145" s="2" t="s">
        <v>145</v>
      </c>
      <c r="AE145" s="698" t="s">
        <v>69</v>
      </c>
      <c r="AF145" s="655"/>
    </row>
    <row r="146" spans="1:32" ht="12" customHeight="1">
      <c r="A146" s="777" t="s">
        <v>15712</v>
      </c>
      <c r="B146" s="2">
        <v>1</v>
      </c>
      <c r="C146" s="4" t="s">
        <v>433</v>
      </c>
      <c r="D146" s="6" t="s">
        <v>909</v>
      </c>
      <c r="E146" s="6">
        <f t="shared" si="2"/>
        <v>62</v>
      </c>
      <c r="F146" s="6" t="s">
        <v>19</v>
      </c>
      <c r="G146" s="5" t="s">
        <v>15273</v>
      </c>
      <c r="H146" s="12" t="s">
        <v>1359</v>
      </c>
      <c r="I146" s="19"/>
      <c r="J146" s="19"/>
      <c r="K146" s="8" t="s">
        <v>16127</v>
      </c>
      <c r="L146" s="6" t="s">
        <v>44</v>
      </c>
      <c r="M146" s="6" t="s">
        <v>25</v>
      </c>
      <c r="N146" s="13">
        <v>1</v>
      </c>
      <c r="O146" s="14">
        <v>1</v>
      </c>
      <c r="P146" s="12" t="s">
        <v>466</v>
      </c>
      <c r="Q146" s="15">
        <v>18283</v>
      </c>
      <c r="R146" s="12" t="s">
        <v>844</v>
      </c>
      <c r="S146" s="12"/>
      <c r="T146" s="12" t="s">
        <v>736</v>
      </c>
      <c r="U146" s="12" t="s">
        <v>47</v>
      </c>
      <c r="V146" s="2" t="s">
        <v>47</v>
      </c>
      <c r="AE146" s="698"/>
      <c r="AF146" s="655"/>
    </row>
    <row r="147" spans="1:32" ht="12" customHeight="1">
      <c r="A147" s="777" t="s">
        <v>15713</v>
      </c>
      <c r="B147" s="2">
        <v>1</v>
      </c>
      <c r="C147" s="4" t="s">
        <v>441</v>
      </c>
      <c r="D147" s="6" t="s">
        <v>928</v>
      </c>
      <c r="E147" s="6">
        <f t="shared" si="2"/>
        <v>62</v>
      </c>
      <c r="F147" s="6" t="s">
        <v>5</v>
      </c>
      <c r="G147" s="5" t="s">
        <v>15273</v>
      </c>
      <c r="H147" s="12" t="s">
        <v>1300</v>
      </c>
      <c r="I147" s="19"/>
      <c r="J147" s="19"/>
      <c r="K147" s="8" t="s">
        <v>16127</v>
      </c>
      <c r="L147" s="6" t="s">
        <v>44</v>
      </c>
      <c r="M147" s="6" t="s">
        <v>25</v>
      </c>
      <c r="N147" s="13">
        <v>1</v>
      </c>
      <c r="O147" s="14">
        <v>1</v>
      </c>
      <c r="P147" s="12" t="s">
        <v>172</v>
      </c>
      <c r="Q147" s="15">
        <v>18352</v>
      </c>
      <c r="R147" s="12" t="s">
        <v>759</v>
      </c>
      <c r="T147" s="3" t="s">
        <v>736</v>
      </c>
      <c r="AE147" s="698"/>
      <c r="AF147" s="655"/>
    </row>
    <row r="148" spans="1:32" ht="12" customHeight="1">
      <c r="A148" s="777" t="s">
        <v>15714</v>
      </c>
      <c r="B148" s="2">
        <v>1</v>
      </c>
      <c r="C148" s="4" t="s">
        <v>470</v>
      </c>
      <c r="D148" s="5" t="s">
        <v>903</v>
      </c>
      <c r="E148" s="6">
        <f t="shared" si="2"/>
        <v>50</v>
      </c>
      <c r="F148" s="5" t="s">
        <v>5</v>
      </c>
      <c r="G148" s="5" t="s">
        <v>15273</v>
      </c>
      <c r="H148" s="7" t="s">
        <v>1361</v>
      </c>
      <c r="I148" s="18"/>
      <c r="J148" s="19"/>
      <c r="K148" s="4" t="s">
        <v>16127</v>
      </c>
      <c r="L148" s="5" t="s">
        <v>44</v>
      </c>
      <c r="M148" s="5" t="s">
        <v>25</v>
      </c>
      <c r="N148" s="9">
        <v>1</v>
      </c>
      <c r="O148" s="10">
        <v>1</v>
      </c>
      <c r="P148" s="7" t="s">
        <v>474</v>
      </c>
      <c r="Q148" s="11">
        <v>22769</v>
      </c>
      <c r="R148" s="7" t="s">
        <v>1503</v>
      </c>
      <c r="T148" s="3" t="s">
        <v>736</v>
      </c>
      <c r="AE148" s="698"/>
      <c r="AF148" s="655"/>
    </row>
    <row r="149" spans="1:32" ht="12" customHeight="1">
      <c r="A149" s="777" t="s">
        <v>15715</v>
      </c>
      <c r="B149" s="2">
        <v>1</v>
      </c>
      <c r="C149" s="4" t="s">
        <v>485</v>
      </c>
      <c r="D149" s="5" t="s">
        <v>924</v>
      </c>
      <c r="E149" s="6">
        <f t="shared" si="2"/>
        <v>64</v>
      </c>
      <c r="F149" s="5" t="s">
        <v>5</v>
      </c>
      <c r="G149" s="5" t="s">
        <v>15273</v>
      </c>
      <c r="H149" s="7" t="s">
        <v>1362</v>
      </c>
      <c r="I149" s="18"/>
      <c r="J149" s="19"/>
      <c r="K149" s="8" t="s">
        <v>16126</v>
      </c>
      <c r="L149" s="5" t="s">
        <v>44</v>
      </c>
      <c r="M149" s="5" t="s">
        <v>25</v>
      </c>
      <c r="N149" s="9">
        <v>2</v>
      </c>
      <c r="O149" s="10">
        <v>4</v>
      </c>
      <c r="P149" s="7" t="s">
        <v>77</v>
      </c>
      <c r="Q149" s="11">
        <v>17640</v>
      </c>
      <c r="R149" s="7" t="s">
        <v>785</v>
      </c>
      <c r="S149" s="7" t="s">
        <v>489</v>
      </c>
      <c r="T149" s="7" t="s">
        <v>736</v>
      </c>
      <c r="U149" s="7" t="s">
        <v>75</v>
      </c>
      <c r="X149" s="2" t="s">
        <v>75</v>
      </c>
      <c r="AE149" s="698"/>
      <c r="AF149" s="655"/>
    </row>
    <row r="150" spans="1:32" ht="12" customHeight="1">
      <c r="A150" s="777" t="s">
        <v>15716</v>
      </c>
      <c r="B150" s="2">
        <v>1</v>
      </c>
      <c r="C150" s="4" t="s">
        <v>512</v>
      </c>
      <c r="D150" s="1" t="s">
        <v>2072</v>
      </c>
      <c r="E150" s="6">
        <f t="shared" si="2"/>
        <v>57</v>
      </c>
      <c r="F150" s="2" t="s">
        <v>19</v>
      </c>
      <c r="G150" s="5" t="s">
        <v>15273</v>
      </c>
      <c r="H150" s="3" t="s">
        <v>5447</v>
      </c>
      <c r="K150" s="8" t="s">
        <v>16127</v>
      </c>
      <c r="L150" s="1" t="s">
        <v>45</v>
      </c>
      <c r="M150" s="1" t="s">
        <v>25</v>
      </c>
      <c r="N150" s="16">
        <v>1</v>
      </c>
      <c r="O150" s="17">
        <v>1</v>
      </c>
      <c r="P150" s="3" t="s">
        <v>2073</v>
      </c>
      <c r="Q150" s="20">
        <v>20240</v>
      </c>
      <c r="R150" s="3" t="s">
        <v>2075</v>
      </c>
      <c r="U150" s="3" t="s">
        <v>69</v>
      </c>
      <c r="AC150" s="3"/>
      <c r="AD150" s="3"/>
      <c r="AE150" s="774" t="s">
        <v>69</v>
      </c>
      <c r="AF150" s="655"/>
    </row>
    <row r="151" spans="1:32" ht="12" customHeight="1">
      <c r="A151" s="777" t="s">
        <v>15717</v>
      </c>
      <c r="B151" s="2">
        <v>1</v>
      </c>
      <c r="C151" s="4" t="s">
        <v>535</v>
      </c>
      <c r="D151" s="6" t="s">
        <v>861</v>
      </c>
      <c r="E151" s="6">
        <f t="shared" si="2"/>
        <v>42</v>
      </c>
      <c r="F151" s="6" t="s">
        <v>5</v>
      </c>
      <c r="G151" s="5" t="s">
        <v>15273</v>
      </c>
      <c r="H151" s="12" t="s">
        <v>1366</v>
      </c>
      <c r="I151" s="19"/>
      <c r="J151" s="19"/>
      <c r="K151" s="8" t="s">
        <v>16127</v>
      </c>
      <c r="L151" s="6" t="s">
        <v>44</v>
      </c>
      <c r="M151" s="6" t="s">
        <v>25</v>
      </c>
      <c r="N151" s="13">
        <v>1</v>
      </c>
      <c r="O151" s="14">
        <v>1</v>
      </c>
      <c r="P151" s="12" t="s">
        <v>381</v>
      </c>
      <c r="Q151" s="15">
        <v>25613</v>
      </c>
      <c r="R151" s="12" t="s">
        <v>772</v>
      </c>
      <c r="S151" s="12"/>
      <c r="T151" s="12"/>
      <c r="U151" s="12" t="s">
        <v>155</v>
      </c>
      <c r="Z151" s="2" t="s">
        <v>155</v>
      </c>
      <c r="AE151" s="698"/>
      <c r="AF151" s="655"/>
    </row>
    <row r="152" spans="1:32" ht="12" customHeight="1">
      <c r="A152" s="777" t="s">
        <v>15718</v>
      </c>
      <c r="B152" s="2">
        <v>1</v>
      </c>
      <c r="C152" s="4" t="s">
        <v>552</v>
      </c>
      <c r="D152" s="1" t="s">
        <v>5847</v>
      </c>
      <c r="E152" s="6">
        <f t="shared" si="2"/>
        <v>67</v>
      </c>
      <c r="F152" s="2" t="s">
        <v>5</v>
      </c>
      <c r="G152" s="5" t="s">
        <v>15273</v>
      </c>
      <c r="H152" s="3" t="s">
        <v>5848</v>
      </c>
      <c r="K152" s="8" t="s">
        <v>16127</v>
      </c>
      <c r="L152" s="1" t="s">
        <v>45</v>
      </c>
      <c r="M152" s="1" t="s">
        <v>25</v>
      </c>
      <c r="N152" s="16">
        <v>1</v>
      </c>
      <c r="O152" s="17">
        <v>1</v>
      </c>
      <c r="P152" s="3" t="s">
        <v>381</v>
      </c>
      <c r="Q152" s="20">
        <v>16472</v>
      </c>
      <c r="R152" s="3" t="s">
        <v>5849</v>
      </c>
      <c r="U152" s="3" t="s">
        <v>148</v>
      </c>
      <c r="W152" s="2" t="s">
        <v>145</v>
      </c>
      <c r="AE152" s="698" t="s">
        <v>69</v>
      </c>
      <c r="AF152" s="655"/>
    </row>
    <row r="153" spans="1:32" ht="12" customHeight="1">
      <c r="A153" s="777" t="s">
        <v>15719</v>
      </c>
      <c r="B153" s="2">
        <v>1</v>
      </c>
      <c r="C153" s="4" t="s">
        <v>565</v>
      </c>
      <c r="D153" s="6" t="s">
        <v>856</v>
      </c>
      <c r="E153" s="6">
        <f t="shared" si="2"/>
        <v>47</v>
      </c>
      <c r="F153" s="6" t="s">
        <v>5</v>
      </c>
      <c r="G153" s="5" t="s">
        <v>15273</v>
      </c>
      <c r="H153" s="12" t="s">
        <v>1369</v>
      </c>
      <c r="I153" s="19"/>
      <c r="J153" s="19"/>
      <c r="K153" s="4" t="s">
        <v>16127</v>
      </c>
      <c r="L153" s="6" t="s">
        <v>44</v>
      </c>
      <c r="M153" s="6" t="s">
        <v>25</v>
      </c>
      <c r="N153" s="13">
        <v>1</v>
      </c>
      <c r="O153" s="14">
        <v>1</v>
      </c>
      <c r="P153" s="12" t="s">
        <v>447</v>
      </c>
      <c r="Q153" s="15">
        <v>24011</v>
      </c>
      <c r="R153" s="12" t="s">
        <v>759</v>
      </c>
      <c r="AE153" s="698"/>
      <c r="AF153" s="655"/>
    </row>
    <row r="154" spans="1:32" ht="12" customHeight="1">
      <c r="A154" s="777" t="s">
        <v>15720</v>
      </c>
      <c r="B154" s="2">
        <v>1</v>
      </c>
      <c r="C154" s="4" t="s">
        <v>579</v>
      </c>
      <c r="D154" s="1" t="s">
        <v>5574</v>
      </c>
      <c r="E154" s="6">
        <f t="shared" si="2"/>
        <v>25</v>
      </c>
      <c r="F154" s="2" t="s">
        <v>5</v>
      </c>
      <c r="G154" s="5" t="s">
        <v>15273</v>
      </c>
      <c r="K154" s="8" t="s">
        <v>16126</v>
      </c>
      <c r="L154" s="1" t="s">
        <v>44</v>
      </c>
      <c r="M154" s="1" t="s">
        <v>6</v>
      </c>
      <c r="P154" s="3" t="s">
        <v>321</v>
      </c>
      <c r="Q154" s="20">
        <v>32124</v>
      </c>
      <c r="R154" s="3" t="s">
        <v>5575</v>
      </c>
      <c r="AE154" s="698"/>
      <c r="AF154" s="655"/>
    </row>
    <row r="155" spans="1:32" ht="12" customHeight="1">
      <c r="A155" s="777" t="s">
        <v>15721</v>
      </c>
      <c r="B155" s="2">
        <v>1</v>
      </c>
      <c r="C155" s="4" t="s">
        <v>598</v>
      </c>
      <c r="D155" s="6" t="s">
        <v>923</v>
      </c>
      <c r="E155" s="6">
        <f t="shared" si="2"/>
        <v>51</v>
      </c>
      <c r="F155" s="6" t="s">
        <v>5</v>
      </c>
      <c r="G155" s="5" t="s">
        <v>15273</v>
      </c>
      <c r="H155" s="12" t="s">
        <v>603</v>
      </c>
      <c r="I155" s="19"/>
      <c r="J155" s="19"/>
      <c r="K155" s="8" t="s">
        <v>16127</v>
      </c>
      <c r="L155" s="6" t="s">
        <v>604</v>
      </c>
      <c r="M155" s="6" t="s">
        <v>25</v>
      </c>
      <c r="N155" s="13">
        <v>4</v>
      </c>
      <c r="O155" s="14">
        <v>4</v>
      </c>
      <c r="P155" s="12" t="s">
        <v>31</v>
      </c>
      <c r="Q155" s="15">
        <v>22363</v>
      </c>
      <c r="R155" s="12" t="s">
        <v>765</v>
      </c>
      <c r="S155" s="12" t="s">
        <v>825</v>
      </c>
      <c r="T155" s="12" t="s">
        <v>736</v>
      </c>
      <c r="U155" s="12" t="s">
        <v>146</v>
      </c>
      <c r="AD155" s="2" t="s">
        <v>146</v>
      </c>
      <c r="AE155" s="698"/>
      <c r="AF155" s="655"/>
    </row>
    <row r="156" spans="1:32" ht="12" customHeight="1">
      <c r="A156" s="777" t="s">
        <v>15722</v>
      </c>
      <c r="B156" s="2">
        <v>1</v>
      </c>
      <c r="C156" s="4" t="s">
        <v>616</v>
      </c>
      <c r="D156" s="6" t="s">
        <v>906</v>
      </c>
      <c r="E156" s="6">
        <f t="shared" si="2"/>
        <v>57</v>
      </c>
      <c r="F156" s="6" t="s">
        <v>5</v>
      </c>
      <c r="G156" s="5" t="s">
        <v>15273</v>
      </c>
      <c r="H156" s="12" t="s">
        <v>620</v>
      </c>
      <c r="I156" s="19"/>
      <c r="J156" s="19"/>
      <c r="K156" s="8" t="s">
        <v>16127</v>
      </c>
      <c r="L156" s="6" t="s">
        <v>604</v>
      </c>
      <c r="M156" s="6" t="s">
        <v>25</v>
      </c>
      <c r="N156" s="13">
        <v>4</v>
      </c>
      <c r="O156" s="14">
        <v>4</v>
      </c>
      <c r="P156" s="12" t="s">
        <v>172</v>
      </c>
      <c r="Q156" s="15">
        <v>20119</v>
      </c>
      <c r="R156" s="12" t="s">
        <v>767</v>
      </c>
      <c r="S156" s="12" t="s">
        <v>1693</v>
      </c>
      <c r="T156" s="12" t="s">
        <v>736</v>
      </c>
      <c r="U156" s="3" t="s">
        <v>145</v>
      </c>
      <c r="W156" s="2" t="s">
        <v>145</v>
      </c>
      <c r="AE156" s="698"/>
      <c r="AF156" s="655"/>
    </row>
    <row r="157" spans="1:32" ht="12" customHeight="1">
      <c r="A157" s="777" t="s">
        <v>15723</v>
      </c>
      <c r="B157" s="2">
        <v>1</v>
      </c>
      <c r="C157" s="4" t="s">
        <v>627</v>
      </c>
      <c r="D157" s="5" t="s">
        <v>878</v>
      </c>
      <c r="E157" s="6">
        <f t="shared" si="2"/>
        <v>69</v>
      </c>
      <c r="F157" s="5" t="s">
        <v>5</v>
      </c>
      <c r="G157" s="5" t="s">
        <v>15273</v>
      </c>
      <c r="H157" s="7" t="s">
        <v>638</v>
      </c>
      <c r="I157" s="18"/>
      <c r="J157" s="19"/>
      <c r="K157" s="8" t="s">
        <v>16127</v>
      </c>
      <c r="L157" s="5" t="s">
        <v>45</v>
      </c>
      <c r="M157" s="5" t="s">
        <v>25</v>
      </c>
      <c r="N157" s="9">
        <v>7</v>
      </c>
      <c r="O157" s="10">
        <v>7</v>
      </c>
      <c r="P157" s="7" t="s">
        <v>557</v>
      </c>
      <c r="Q157" s="11">
        <v>15926</v>
      </c>
      <c r="R157" s="7" t="s">
        <v>727</v>
      </c>
      <c r="S157" s="7" t="s">
        <v>830</v>
      </c>
      <c r="T157" s="7" t="s">
        <v>736</v>
      </c>
      <c r="U157" s="7" t="s">
        <v>147</v>
      </c>
      <c r="AC157" s="2" t="s">
        <v>147</v>
      </c>
      <c r="AE157" s="698"/>
      <c r="AF157" s="655"/>
    </row>
    <row r="158" spans="1:32" ht="12" customHeight="1">
      <c r="A158" s="777" t="s">
        <v>15724</v>
      </c>
      <c r="B158" s="2">
        <v>1</v>
      </c>
      <c r="C158" s="4" t="s">
        <v>642</v>
      </c>
      <c r="D158" s="6" t="s">
        <v>899</v>
      </c>
      <c r="E158" s="6">
        <f t="shared" si="2"/>
        <v>51</v>
      </c>
      <c r="F158" s="6" t="s">
        <v>5</v>
      </c>
      <c r="G158" s="5" t="s">
        <v>15273</v>
      </c>
      <c r="H158" s="12" t="s">
        <v>645</v>
      </c>
      <c r="I158" s="19"/>
      <c r="J158" s="19"/>
      <c r="K158" s="4" t="s">
        <v>16127</v>
      </c>
      <c r="L158" s="6" t="s">
        <v>44</v>
      </c>
      <c r="M158" s="6" t="s">
        <v>25</v>
      </c>
      <c r="N158" s="13">
        <v>3</v>
      </c>
      <c r="O158" s="14">
        <v>3</v>
      </c>
      <c r="P158" s="12" t="s">
        <v>95</v>
      </c>
      <c r="Q158" s="15">
        <v>22564</v>
      </c>
      <c r="R158" s="12" t="s">
        <v>757</v>
      </c>
      <c r="S158" s="12" t="s">
        <v>2523</v>
      </c>
      <c r="T158" s="12" t="s">
        <v>736</v>
      </c>
      <c r="U158" s="12" t="s">
        <v>146</v>
      </c>
      <c r="AD158" s="2" t="s">
        <v>146</v>
      </c>
      <c r="AE158" s="774"/>
      <c r="AF158" s="655"/>
    </row>
    <row r="159" spans="1:32" ht="12" customHeight="1">
      <c r="A159" s="777" t="s">
        <v>15725</v>
      </c>
      <c r="B159" s="2">
        <v>1</v>
      </c>
      <c r="C159" s="4" t="s">
        <v>651</v>
      </c>
      <c r="D159" s="6" t="s">
        <v>881</v>
      </c>
      <c r="E159" s="6">
        <f t="shared" si="2"/>
        <v>48</v>
      </c>
      <c r="F159" s="6" t="s">
        <v>5</v>
      </c>
      <c r="G159" s="5" t="s">
        <v>15273</v>
      </c>
      <c r="H159" s="12" t="s">
        <v>654</v>
      </c>
      <c r="I159" s="19"/>
      <c r="J159" s="19"/>
      <c r="K159" s="8" t="s">
        <v>16126</v>
      </c>
      <c r="L159" s="6" t="s">
        <v>655</v>
      </c>
      <c r="M159" s="6" t="s">
        <v>25</v>
      </c>
      <c r="N159" s="13">
        <v>6</v>
      </c>
      <c r="O159" s="14">
        <v>6</v>
      </c>
      <c r="P159" s="12" t="s">
        <v>77</v>
      </c>
      <c r="Q159" s="15">
        <v>23528</v>
      </c>
      <c r="R159" s="12" t="s">
        <v>727</v>
      </c>
      <c r="S159" s="12" t="s">
        <v>835</v>
      </c>
      <c r="T159" s="12" t="s">
        <v>736</v>
      </c>
      <c r="U159" s="12" t="s">
        <v>147</v>
      </c>
      <c r="AC159" s="2" t="s">
        <v>147</v>
      </c>
      <c r="AE159" s="774"/>
      <c r="AF159" s="655"/>
    </row>
    <row r="160" spans="1:32" ht="12" customHeight="1">
      <c r="A160" s="777" t="s">
        <v>15726</v>
      </c>
      <c r="B160" s="2">
        <v>1</v>
      </c>
      <c r="C160" s="4" t="s">
        <v>663</v>
      </c>
      <c r="D160" s="6" t="s">
        <v>910</v>
      </c>
      <c r="E160" s="6">
        <f t="shared" si="2"/>
        <v>55</v>
      </c>
      <c r="F160" s="6" t="s">
        <v>5</v>
      </c>
      <c r="G160" s="5" t="s">
        <v>15273</v>
      </c>
      <c r="H160" s="12" t="s">
        <v>667</v>
      </c>
      <c r="I160" s="19"/>
      <c r="J160" s="19"/>
      <c r="K160" s="8" t="s">
        <v>16127</v>
      </c>
      <c r="L160" s="6" t="s">
        <v>44</v>
      </c>
      <c r="M160" s="6" t="s">
        <v>25</v>
      </c>
      <c r="N160" s="13">
        <v>4</v>
      </c>
      <c r="O160" s="14">
        <v>4</v>
      </c>
      <c r="P160" s="12" t="s">
        <v>188</v>
      </c>
      <c r="Q160" s="15">
        <v>20810</v>
      </c>
      <c r="R160" s="12" t="s">
        <v>801</v>
      </c>
      <c r="S160" s="12" t="s">
        <v>840</v>
      </c>
      <c r="T160" s="12" t="s">
        <v>736</v>
      </c>
      <c r="AE160" s="774"/>
      <c r="AF160" s="655"/>
    </row>
    <row r="161" spans="1:32" ht="12" customHeight="1">
      <c r="A161" s="777" t="s">
        <v>15727</v>
      </c>
      <c r="B161" s="2">
        <v>1</v>
      </c>
      <c r="C161" s="4" t="s">
        <v>676</v>
      </c>
      <c r="D161" s="1" t="s">
        <v>680</v>
      </c>
      <c r="E161" s="6">
        <f t="shared" si="2"/>
        <v>50</v>
      </c>
      <c r="F161" s="2" t="s">
        <v>19</v>
      </c>
      <c r="G161" s="5" t="s">
        <v>15273</v>
      </c>
      <c r="K161" s="8" t="s">
        <v>16127</v>
      </c>
      <c r="L161" s="1" t="s">
        <v>681</v>
      </c>
      <c r="M161" s="1" t="s">
        <v>6</v>
      </c>
      <c r="O161" s="17">
        <v>2</v>
      </c>
      <c r="P161" s="3" t="s">
        <v>682</v>
      </c>
      <c r="Q161" s="20">
        <v>22916</v>
      </c>
      <c r="R161" s="3" t="s">
        <v>683</v>
      </c>
      <c r="S161" s="3" t="s">
        <v>374</v>
      </c>
      <c r="U161" s="3" t="s">
        <v>229</v>
      </c>
      <c r="Y161" s="2" t="s">
        <v>229</v>
      </c>
      <c r="AE161" s="774"/>
      <c r="AF161" s="655"/>
    </row>
    <row r="162" spans="1:32" ht="12" customHeight="1">
      <c r="A162" s="777" t="s">
        <v>15728</v>
      </c>
      <c r="B162" s="2">
        <v>1</v>
      </c>
      <c r="C162" s="4" t="s">
        <v>691</v>
      </c>
      <c r="D162" s="6" t="s">
        <v>893</v>
      </c>
      <c r="E162" s="6">
        <f t="shared" si="2"/>
        <v>40</v>
      </c>
      <c r="F162" s="6" t="s">
        <v>5</v>
      </c>
      <c r="G162" s="5" t="s">
        <v>15273</v>
      </c>
      <c r="H162" s="12" t="s">
        <v>694</v>
      </c>
      <c r="I162" s="19"/>
      <c r="J162" s="19"/>
      <c r="K162" s="8" t="s">
        <v>16127</v>
      </c>
      <c r="L162" s="6" t="s">
        <v>44</v>
      </c>
      <c r="M162" s="6" t="s">
        <v>25</v>
      </c>
      <c r="N162" s="13">
        <v>1</v>
      </c>
      <c r="O162" s="14">
        <v>1</v>
      </c>
      <c r="P162" s="12" t="s">
        <v>695</v>
      </c>
      <c r="Q162" s="15">
        <v>26424</v>
      </c>
      <c r="R162" s="12" t="s">
        <v>788</v>
      </c>
      <c r="T162" s="3" t="s">
        <v>736</v>
      </c>
      <c r="AD162" s="3"/>
      <c r="AE162" s="774"/>
      <c r="AF162" s="655"/>
    </row>
    <row r="163" spans="1:32" ht="12" customHeight="1">
      <c r="A163" s="777" t="s">
        <v>15729</v>
      </c>
      <c r="B163" s="2">
        <v>1</v>
      </c>
      <c r="C163" s="4" t="s">
        <v>697</v>
      </c>
      <c r="D163" s="6" t="s">
        <v>868</v>
      </c>
      <c r="E163" s="6">
        <f t="shared" si="2"/>
        <v>64</v>
      </c>
      <c r="F163" s="6" t="s">
        <v>5</v>
      </c>
      <c r="G163" s="5" t="s">
        <v>15273</v>
      </c>
      <c r="H163" s="12" t="s">
        <v>700</v>
      </c>
      <c r="I163" s="19"/>
      <c r="J163" s="19"/>
      <c r="K163" s="4" t="s">
        <v>16127</v>
      </c>
      <c r="L163" s="6" t="s">
        <v>655</v>
      </c>
      <c r="M163" s="6" t="s">
        <v>25</v>
      </c>
      <c r="N163" s="13">
        <v>4</v>
      </c>
      <c r="O163" s="14">
        <v>4</v>
      </c>
      <c r="P163" s="12" t="s">
        <v>317</v>
      </c>
      <c r="Q163" s="15">
        <v>17839</v>
      </c>
      <c r="R163" s="12" t="s">
        <v>701</v>
      </c>
      <c r="S163" s="12" t="s">
        <v>2518</v>
      </c>
      <c r="T163" s="12" t="s">
        <v>736</v>
      </c>
      <c r="U163" s="12" t="s">
        <v>155</v>
      </c>
      <c r="Z163" s="2" t="s">
        <v>155</v>
      </c>
      <c r="AD163" s="3"/>
      <c r="AE163" s="774"/>
      <c r="AF163" s="655"/>
    </row>
    <row r="164" spans="1:32" ht="12" customHeight="1">
      <c r="A164" s="777" t="s">
        <v>15730</v>
      </c>
      <c r="B164" s="2">
        <v>1</v>
      </c>
      <c r="C164" s="4" t="s">
        <v>707</v>
      </c>
      <c r="D164" s="1" t="s">
        <v>5554</v>
      </c>
      <c r="E164" s="6">
        <f t="shared" si="2"/>
        <v>39</v>
      </c>
      <c r="F164" s="2" t="s">
        <v>5</v>
      </c>
      <c r="G164" s="5" t="s">
        <v>15273</v>
      </c>
      <c r="K164" s="8" t="s">
        <v>16126</v>
      </c>
      <c r="L164" s="1" t="s">
        <v>44</v>
      </c>
      <c r="M164" s="1" t="s">
        <v>6</v>
      </c>
      <c r="P164" s="3" t="s">
        <v>459</v>
      </c>
      <c r="Q164" s="20">
        <v>26960</v>
      </c>
      <c r="R164" s="3" t="s">
        <v>5555</v>
      </c>
      <c r="AD164" s="3"/>
      <c r="AE164" s="774"/>
      <c r="AF164" s="655"/>
    </row>
    <row r="165" spans="1:32" ht="12" customHeight="1">
      <c r="A165" s="777" t="s">
        <v>15731</v>
      </c>
      <c r="B165" s="2">
        <v>1</v>
      </c>
      <c r="C165" s="4" t="s">
        <v>732</v>
      </c>
      <c r="D165" s="1" t="s">
        <v>938</v>
      </c>
      <c r="E165" s="6">
        <f t="shared" si="2"/>
        <v>48</v>
      </c>
      <c r="F165" s="2" t="s">
        <v>5</v>
      </c>
      <c r="G165" s="5" t="s">
        <v>15273</v>
      </c>
      <c r="H165" s="3" t="s">
        <v>939</v>
      </c>
      <c r="K165" s="8" t="s">
        <v>16127</v>
      </c>
      <c r="L165" s="1" t="s">
        <v>655</v>
      </c>
      <c r="M165" s="1" t="s">
        <v>25</v>
      </c>
      <c r="N165" s="16">
        <v>2</v>
      </c>
      <c r="O165" s="17">
        <v>2</v>
      </c>
      <c r="P165" s="3" t="s">
        <v>23</v>
      </c>
      <c r="Q165" s="20">
        <v>23713</v>
      </c>
      <c r="R165" s="3" t="s">
        <v>941</v>
      </c>
      <c r="S165" s="3" t="s">
        <v>942</v>
      </c>
      <c r="T165" s="3" t="s">
        <v>736</v>
      </c>
      <c r="U165" s="3" t="s">
        <v>146</v>
      </c>
      <c r="AD165" s="2" t="s">
        <v>146</v>
      </c>
      <c r="AE165" s="698"/>
      <c r="AF165" s="655"/>
    </row>
    <row r="166" spans="1:32" ht="12" customHeight="1">
      <c r="A166" s="777" t="s">
        <v>15732</v>
      </c>
      <c r="B166" s="2">
        <v>1</v>
      </c>
      <c r="C166" s="4" t="s">
        <v>954</v>
      </c>
      <c r="D166" s="1" t="s">
        <v>958</v>
      </c>
      <c r="E166" s="6">
        <f t="shared" si="2"/>
        <v>37</v>
      </c>
      <c r="F166" s="2" t="s">
        <v>5</v>
      </c>
      <c r="G166" s="5" t="s">
        <v>15273</v>
      </c>
      <c r="H166" s="3" t="s">
        <v>959</v>
      </c>
      <c r="K166" s="8" t="s">
        <v>16127</v>
      </c>
      <c r="L166" s="1" t="s">
        <v>44</v>
      </c>
      <c r="M166" s="1" t="s">
        <v>25</v>
      </c>
      <c r="N166" s="16">
        <v>1</v>
      </c>
      <c r="O166" s="17">
        <v>1</v>
      </c>
      <c r="P166" s="3" t="s">
        <v>188</v>
      </c>
      <c r="Q166" s="20">
        <v>27404</v>
      </c>
      <c r="R166" s="3" t="s">
        <v>960</v>
      </c>
      <c r="T166" s="3" t="s">
        <v>736</v>
      </c>
      <c r="U166" s="3" t="s">
        <v>635</v>
      </c>
      <c r="W166" s="2" t="s">
        <v>145</v>
      </c>
      <c r="AD166" s="2" t="s">
        <v>146</v>
      </c>
      <c r="AE166" s="698"/>
      <c r="AF166" s="655"/>
    </row>
    <row r="167" spans="1:32" ht="12" customHeight="1">
      <c r="A167" s="777" t="s">
        <v>15733</v>
      </c>
      <c r="B167" s="2">
        <v>1</v>
      </c>
      <c r="C167" s="4" t="s">
        <v>971</v>
      </c>
      <c r="D167" s="1" t="s">
        <v>975</v>
      </c>
      <c r="E167" s="6">
        <f t="shared" si="2"/>
        <v>45</v>
      </c>
      <c r="F167" s="2" t="s">
        <v>5</v>
      </c>
      <c r="G167" s="5" t="s">
        <v>15273</v>
      </c>
      <c r="H167" s="3" t="s">
        <v>976</v>
      </c>
      <c r="K167" s="8" t="s">
        <v>16127</v>
      </c>
      <c r="L167" s="1" t="s">
        <v>44</v>
      </c>
      <c r="M167" s="1" t="s">
        <v>25</v>
      </c>
      <c r="N167" s="16">
        <v>2</v>
      </c>
      <c r="O167" s="17">
        <v>2</v>
      </c>
      <c r="P167" s="3" t="s">
        <v>977</v>
      </c>
      <c r="Q167" s="20">
        <v>24479</v>
      </c>
      <c r="R167" s="3" t="s">
        <v>978</v>
      </c>
      <c r="S167" s="3" t="s">
        <v>304</v>
      </c>
      <c r="T167" s="3" t="s">
        <v>736</v>
      </c>
      <c r="AE167" s="698"/>
      <c r="AF167" s="655"/>
    </row>
    <row r="168" spans="1:32" ht="12" customHeight="1" thickBot="1">
      <c r="A168" s="778" t="s">
        <v>15734</v>
      </c>
      <c r="B168" s="702">
        <v>1</v>
      </c>
      <c r="C168" s="700" t="s">
        <v>987</v>
      </c>
      <c r="D168" s="699" t="s">
        <v>992</v>
      </c>
      <c r="E168" s="701">
        <f t="shared" si="2"/>
        <v>42</v>
      </c>
      <c r="F168" s="702" t="s">
        <v>5</v>
      </c>
      <c r="G168" s="356" t="s">
        <v>15273</v>
      </c>
      <c r="H168" s="703" t="s">
        <v>993</v>
      </c>
      <c r="I168" s="699"/>
      <c r="J168" s="699"/>
      <c r="K168" s="700" t="s">
        <v>16127</v>
      </c>
      <c r="L168" s="699" t="s">
        <v>737</v>
      </c>
      <c r="M168" s="699" t="s">
        <v>25</v>
      </c>
      <c r="N168" s="705">
        <v>3</v>
      </c>
      <c r="O168" s="706">
        <v>3</v>
      </c>
      <c r="P168" s="703" t="s">
        <v>557</v>
      </c>
      <c r="Q168" s="707">
        <v>25678</v>
      </c>
      <c r="R168" s="703" t="s">
        <v>996</v>
      </c>
      <c r="S168" s="703" t="s">
        <v>997</v>
      </c>
      <c r="T168" s="703" t="s">
        <v>736</v>
      </c>
      <c r="U168" s="703"/>
      <c r="V168" s="702"/>
      <c r="W168" s="702"/>
      <c r="X168" s="702"/>
      <c r="Y168" s="702"/>
      <c r="Z168" s="702"/>
      <c r="AA168" s="702"/>
      <c r="AB168" s="702"/>
      <c r="AC168" s="702"/>
      <c r="AD168" s="702"/>
      <c r="AE168" s="708"/>
      <c r="AF168" s="655"/>
    </row>
    <row r="169" spans="1:32" ht="12" customHeight="1">
      <c r="A169" s="724" t="s">
        <v>15300</v>
      </c>
      <c r="B169" s="696">
        <v>1</v>
      </c>
      <c r="C169" s="688" t="s">
        <v>388</v>
      </c>
      <c r="D169" s="687" t="s">
        <v>390</v>
      </c>
      <c r="E169" s="690">
        <f t="shared" si="2"/>
        <v>58</v>
      </c>
      <c r="F169" s="696" t="s">
        <v>5</v>
      </c>
      <c r="G169" s="687" t="s">
        <v>15273</v>
      </c>
      <c r="H169" s="747"/>
      <c r="I169" s="687"/>
      <c r="J169" s="687"/>
      <c r="K169" s="692" t="s">
        <v>16120</v>
      </c>
      <c r="L169" s="687" t="s">
        <v>30</v>
      </c>
      <c r="M169" s="687" t="s">
        <v>6</v>
      </c>
      <c r="N169" s="748"/>
      <c r="O169" s="749"/>
      <c r="P169" s="747" t="s">
        <v>391</v>
      </c>
      <c r="Q169" s="773">
        <v>19743</v>
      </c>
      <c r="R169" s="747" t="s">
        <v>392</v>
      </c>
      <c r="S169" s="747"/>
      <c r="T169" s="747" t="s">
        <v>5457</v>
      </c>
      <c r="U169" s="747" t="s">
        <v>145</v>
      </c>
      <c r="V169" s="696"/>
      <c r="W169" s="696" t="s">
        <v>145</v>
      </c>
      <c r="X169" s="696"/>
      <c r="Y169" s="696"/>
      <c r="Z169" s="696"/>
      <c r="AA169" s="696"/>
      <c r="AB169" s="696"/>
      <c r="AC169" s="696"/>
      <c r="AD169" s="696"/>
      <c r="AE169" s="697"/>
      <c r="AF169" s="655"/>
    </row>
    <row r="170" spans="1:32" ht="12" customHeight="1">
      <c r="A170" s="725" t="s">
        <v>15301</v>
      </c>
      <c r="B170" s="2">
        <v>1</v>
      </c>
      <c r="C170" s="4" t="s">
        <v>397</v>
      </c>
      <c r="D170" s="5" t="s">
        <v>857</v>
      </c>
      <c r="E170" s="6">
        <f t="shared" si="2"/>
        <v>68</v>
      </c>
      <c r="F170" s="5" t="s">
        <v>5</v>
      </c>
      <c r="G170" s="5" t="s">
        <v>15273</v>
      </c>
      <c r="H170" s="12" t="s">
        <v>1302</v>
      </c>
      <c r="I170" s="18"/>
      <c r="J170" s="19"/>
      <c r="K170" s="4" t="s">
        <v>16120</v>
      </c>
      <c r="L170" s="5" t="s">
        <v>13</v>
      </c>
      <c r="M170" s="5" t="s">
        <v>25</v>
      </c>
      <c r="N170" s="9">
        <v>9</v>
      </c>
      <c r="O170" s="10">
        <v>9</v>
      </c>
      <c r="P170" s="7" t="s">
        <v>188</v>
      </c>
      <c r="Q170" s="11">
        <v>16082</v>
      </c>
      <c r="R170" s="7" t="s">
        <v>742</v>
      </c>
      <c r="S170" s="7" t="s">
        <v>817</v>
      </c>
      <c r="T170" s="7" t="s">
        <v>5457</v>
      </c>
      <c r="U170" s="7" t="s">
        <v>173</v>
      </c>
      <c r="W170" s="2" t="s">
        <v>145</v>
      </c>
      <c r="Z170" s="2" t="s">
        <v>155</v>
      </c>
      <c r="AE170" s="698"/>
      <c r="AF170" s="655"/>
    </row>
    <row r="171" spans="1:32" ht="12" customHeight="1">
      <c r="A171" s="725" t="s">
        <v>15302</v>
      </c>
      <c r="B171" s="2">
        <v>1</v>
      </c>
      <c r="C171" s="4" t="s">
        <v>409</v>
      </c>
      <c r="D171" s="1" t="s">
        <v>412</v>
      </c>
      <c r="E171" s="6">
        <f t="shared" si="2"/>
        <v>53</v>
      </c>
      <c r="F171" s="2" t="s">
        <v>5</v>
      </c>
      <c r="G171" s="1" t="s">
        <v>15273</v>
      </c>
      <c r="K171" s="4" t="s">
        <v>16120</v>
      </c>
      <c r="L171" s="1" t="s">
        <v>476</v>
      </c>
      <c r="M171" s="1" t="s">
        <v>14</v>
      </c>
      <c r="N171" s="16">
        <v>2</v>
      </c>
      <c r="O171" s="17">
        <v>2</v>
      </c>
      <c r="P171" s="3" t="s">
        <v>317</v>
      </c>
      <c r="Q171" s="20">
        <v>21835</v>
      </c>
      <c r="R171" s="3" t="s">
        <v>413</v>
      </c>
      <c r="T171" s="3" t="s">
        <v>5457</v>
      </c>
      <c r="U171" s="3" t="s">
        <v>355</v>
      </c>
      <c r="V171" s="2" t="s">
        <v>47</v>
      </c>
      <c r="AB171" s="2" t="s">
        <v>104</v>
      </c>
      <c r="AE171" s="698"/>
      <c r="AF171" s="655"/>
    </row>
    <row r="172" spans="1:32" ht="12" customHeight="1">
      <c r="A172" s="725" t="s">
        <v>15303</v>
      </c>
      <c r="B172" s="2">
        <v>1</v>
      </c>
      <c r="C172" s="4" t="s">
        <v>419</v>
      </c>
      <c r="D172" s="6" t="s">
        <v>858</v>
      </c>
      <c r="E172" s="6">
        <f t="shared" si="2"/>
        <v>57</v>
      </c>
      <c r="F172" s="6" t="s">
        <v>5</v>
      </c>
      <c r="G172" s="6" t="s">
        <v>15273</v>
      </c>
      <c r="H172" s="12" t="s">
        <v>1357</v>
      </c>
      <c r="I172" s="19"/>
      <c r="J172" s="19"/>
      <c r="K172" s="8" t="s">
        <v>16120</v>
      </c>
      <c r="L172" s="6" t="s">
        <v>30</v>
      </c>
      <c r="M172" s="6" t="s">
        <v>25</v>
      </c>
      <c r="N172" s="13">
        <v>4</v>
      </c>
      <c r="O172" s="14">
        <v>4</v>
      </c>
      <c r="P172" s="12" t="s">
        <v>172</v>
      </c>
      <c r="Q172" s="15">
        <v>20380</v>
      </c>
      <c r="R172" s="12" t="s">
        <v>762</v>
      </c>
      <c r="S172" s="12" t="s">
        <v>809</v>
      </c>
      <c r="T172" s="12" t="s">
        <v>5457</v>
      </c>
      <c r="U172" s="12" t="s">
        <v>104</v>
      </c>
      <c r="AB172" s="2" t="s">
        <v>104</v>
      </c>
      <c r="AE172" s="698"/>
      <c r="AF172" s="655"/>
    </row>
    <row r="173" spans="1:32" ht="12" customHeight="1">
      <c r="A173" s="725" t="s">
        <v>15304</v>
      </c>
      <c r="B173" s="2">
        <v>1</v>
      </c>
      <c r="C173" s="4" t="s">
        <v>425</v>
      </c>
      <c r="D173" s="1" t="s">
        <v>427</v>
      </c>
      <c r="E173" s="6">
        <f t="shared" si="2"/>
        <v>40</v>
      </c>
      <c r="F173" s="2" t="s">
        <v>5</v>
      </c>
      <c r="G173" s="1" t="s">
        <v>15273</v>
      </c>
      <c r="K173" s="23" t="s">
        <v>16120</v>
      </c>
      <c r="L173" s="1" t="s">
        <v>30</v>
      </c>
      <c r="M173" s="1" t="s">
        <v>6</v>
      </c>
      <c r="P173" s="3" t="s">
        <v>428</v>
      </c>
      <c r="Q173" s="20">
        <v>26560</v>
      </c>
      <c r="R173" s="3" t="s">
        <v>429</v>
      </c>
      <c r="AE173" s="698"/>
      <c r="AF173" s="655"/>
    </row>
    <row r="174" spans="1:32" ht="12" customHeight="1">
      <c r="A174" s="725" t="s">
        <v>15305</v>
      </c>
      <c r="B174" s="2">
        <v>1</v>
      </c>
      <c r="C174" s="4" t="s">
        <v>434</v>
      </c>
      <c r="D174" s="1" t="s">
        <v>436</v>
      </c>
      <c r="E174" s="6">
        <f t="shared" si="2"/>
        <v>68</v>
      </c>
      <c r="F174" s="2" t="s">
        <v>5</v>
      </c>
      <c r="G174" s="1" t="s">
        <v>15273</v>
      </c>
      <c r="K174" s="8" t="s">
        <v>16120</v>
      </c>
      <c r="L174" s="1" t="s">
        <v>5247</v>
      </c>
      <c r="M174" s="1" t="s">
        <v>14</v>
      </c>
      <c r="N174" s="16">
        <v>10</v>
      </c>
      <c r="O174" s="17">
        <v>10</v>
      </c>
      <c r="P174" s="3" t="s">
        <v>31</v>
      </c>
      <c r="Q174" s="20">
        <v>16182</v>
      </c>
      <c r="R174" s="3" t="s">
        <v>437</v>
      </c>
      <c r="S174" s="3" t="s">
        <v>533</v>
      </c>
      <c r="T174" s="3" t="s">
        <v>15616</v>
      </c>
      <c r="U174" s="3" t="s">
        <v>258</v>
      </c>
      <c r="Z174" s="2" t="s">
        <v>155</v>
      </c>
      <c r="AB174" s="2" t="s">
        <v>104</v>
      </c>
      <c r="AE174" s="698"/>
      <c r="AF174" s="655"/>
    </row>
    <row r="175" spans="1:32" ht="12" customHeight="1">
      <c r="A175" s="725" t="s">
        <v>15306</v>
      </c>
      <c r="B175" s="2">
        <v>1</v>
      </c>
      <c r="C175" s="4" t="s">
        <v>442</v>
      </c>
      <c r="D175" s="6" t="s">
        <v>849</v>
      </c>
      <c r="E175" s="6">
        <f t="shared" si="2"/>
        <v>59</v>
      </c>
      <c r="F175" s="6" t="s">
        <v>19</v>
      </c>
      <c r="G175" s="6" t="s">
        <v>15273</v>
      </c>
      <c r="H175" s="12" t="s">
        <v>1303</v>
      </c>
      <c r="I175" s="19"/>
      <c r="J175" s="19"/>
      <c r="K175" s="4" t="s">
        <v>16120</v>
      </c>
      <c r="L175" s="6" t="s">
        <v>445</v>
      </c>
      <c r="M175" s="6" t="s">
        <v>25</v>
      </c>
      <c r="N175" s="13">
        <v>2</v>
      </c>
      <c r="O175" s="14">
        <v>2</v>
      </c>
      <c r="P175" s="7" t="s">
        <v>123</v>
      </c>
      <c r="Q175" s="15">
        <v>19701</v>
      </c>
      <c r="R175" s="12" t="s">
        <v>769</v>
      </c>
      <c r="S175" s="12" t="s">
        <v>347</v>
      </c>
      <c r="T175" s="12"/>
      <c r="U175" s="12" t="s">
        <v>104</v>
      </c>
      <c r="AB175" s="2" t="s">
        <v>104</v>
      </c>
      <c r="AE175" s="698"/>
      <c r="AF175" s="655"/>
    </row>
    <row r="176" spans="1:32" ht="12" customHeight="1">
      <c r="A176" s="725" t="s">
        <v>15307</v>
      </c>
      <c r="B176" s="2">
        <v>1</v>
      </c>
      <c r="C176" s="4" t="s">
        <v>471</v>
      </c>
      <c r="D176" s="1" t="s">
        <v>477</v>
      </c>
      <c r="E176" s="6">
        <f t="shared" si="2"/>
        <v>59</v>
      </c>
      <c r="F176" s="2" t="s">
        <v>5</v>
      </c>
      <c r="G176" s="1" t="s">
        <v>15273</v>
      </c>
      <c r="K176" s="4" t="s">
        <v>16120</v>
      </c>
      <c r="L176" s="1" t="s">
        <v>13</v>
      </c>
      <c r="M176" s="1" t="s">
        <v>14</v>
      </c>
      <c r="N176" s="16">
        <v>9</v>
      </c>
      <c r="O176" s="17">
        <v>9</v>
      </c>
      <c r="P176" s="3" t="s">
        <v>31</v>
      </c>
      <c r="Q176" s="20">
        <v>19685</v>
      </c>
      <c r="R176" s="3" t="s">
        <v>478</v>
      </c>
      <c r="S176" s="3" t="s">
        <v>534</v>
      </c>
      <c r="T176" s="3" t="s">
        <v>5457</v>
      </c>
      <c r="U176" s="3" t="s">
        <v>104</v>
      </c>
      <c r="AB176" s="2" t="s">
        <v>104</v>
      </c>
      <c r="AE176" s="698"/>
      <c r="AF176" s="655"/>
    </row>
    <row r="177" spans="1:32" ht="12" customHeight="1">
      <c r="A177" s="725" t="s">
        <v>15308</v>
      </c>
      <c r="B177" s="2">
        <v>1</v>
      </c>
      <c r="C177" s="4" t="s">
        <v>486</v>
      </c>
      <c r="D177" s="1" t="s">
        <v>492</v>
      </c>
      <c r="E177" s="6">
        <f t="shared" si="2"/>
        <v>69</v>
      </c>
      <c r="F177" s="2" t="s">
        <v>5</v>
      </c>
      <c r="G177" s="1" t="s">
        <v>15273</v>
      </c>
      <c r="K177" s="8" t="s">
        <v>16120</v>
      </c>
      <c r="L177" s="1" t="s">
        <v>65</v>
      </c>
      <c r="M177" s="1" t="s">
        <v>14</v>
      </c>
      <c r="N177" s="16">
        <v>4</v>
      </c>
      <c r="O177" s="17">
        <v>4</v>
      </c>
      <c r="P177" s="3" t="s">
        <v>493</v>
      </c>
      <c r="Q177" s="20">
        <v>15701</v>
      </c>
      <c r="R177" s="3" t="s">
        <v>494</v>
      </c>
      <c r="S177" s="3" t="s">
        <v>496</v>
      </c>
      <c r="T177" s="3" t="s">
        <v>5457</v>
      </c>
      <c r="U177" s="3" t="s">
        <v>145</v>
      </c>
      <c r="W177" s="2" t="s">
        <v>145</v>
      </c>
      <c r="AE177" s="698"/>
      <c r="AF177" s="655"/>
    </row>
    <row r="178" spans="1:32" ht="12" customHeight="1">
      <c r="A178" s="725" t="s">
        <v>15309</v>
      </c>
      <c r="B178" s="2">
        <v>1</v>
      </c>
      <c r="C178" s="4" t="s">
        <v>504</v>
      </c>
      <c r="D178" s="1" t="s">
        <v>506</v>
      </c>
      <c r="E178" s="6">
        <f t="shared" si="2"/>
        <v>33</v>
      </c>
      <c r="F178" s="2" t="s">
        <v>5</v>
      </c>
      <c r="G178" s="1" t="s">
        <v>15273</v>
      </c>
      <c r="K178" s="23" t="s">
        <v>16120</v>
      </c>
      <c r="L178" s="1" t="s">
        <v>30</v>
      </c>
      <c r="M178" s="1" t="s">
        <v>6</v>
      </c>
      <c r="P178" s="3" t="s">
        <v>462</v>
      </c>
      <c r="Q178" s="20">
        <v>28967</v>
      </c>
      <c r="R178" s="3" t="s">
        <v>508</v>
      </c>
      <c r="T178" s="3" t="s">
        <v>5457</v>
      </c>
      <c r="AC178" s="3"/>
      <c r="AD178" s="3"/>
      <c r="AE178" s="774"/>
      <c r="AF178" s="655"/>
    </row>
    <row r="179" spans="1:32" ht="12" customHeight="1">
      <c r="A179" s="725" t="s">
        <v>15310</v>
      </c>
      <c r="B179" s="2">
        <v>1</v>
      </c>
      <c r="C179" s="4" t="s">
        <v>513</v>
      </c>
      <c r="D179" s="5" t="s">
        <v>876</v>
      </c>
      <c r="E179" s="6">
        <f t="shared" si="2"/>
        <v>60</v>
      </c>
      <c r="F179" s="5" t="s">
        <v>5</v>
      </c>
      <c r="G179" s="5" t="s">
        <v>15273</v>
      </c>
      <c r="H179" s="12" t="s">
        <v>1306</v>
      </c>
      <c r="I179" s="18"/>
      <c r="J179" s="19"/>
      <c r="K179" s="8" t="s">
        <v>16120</v>
      </c>
      <c r="L179" s="5" t="s">
        <v>30</v>
      </c>
      <c r="M179" s="5" t="s">
        <v>25</v>
      </c>
      <c r="N179" s="9">
        <v>5</v>
      </c>
      <c r="O179" s="10">
        <v>5</v>
      </c>
      <c r="P179" s="7" t="s">
        <v>172</v>
      </c>
      <c r="Q179" s="11">
        <v>19165</v>
      </c>
      <c r="R179" s="7" t="s">
        <v>784</v>
      </c>
      <c r="S179" s="7" t="s">
        <v>819</v>
      </c>
      <c r="T179" s="7" t="s">
        <v>5457</v>
      </c>
      <c r="U179" s="3" t="s">
        <v>145</v>
      </c>
      <c r="W179" s="2" t="s">
        <v>145</v>
      </c>
      <c r="AC179" s="3"/>
      <c r="AD179" s="3"/>
      <c r="AE179" s="774"/>
      <c r="AF179" s="655"/>
    </row>
    <row r="180" spans="1:32" ht="12" customHeight="1">
      <c r="A180" s="725" t="s">
        <v>15311</v>
      </c>
      <c r="B180" s="2">
        <v>1</v>
      </c>
      <c r="C180" s="4" t="s">
        <v>525</v>
      </c>
      <c r="D180" s="6" t="s">
        <v>926</v>
      </c>
      <c r="E180" s="6">
        <f t="shared" si="2"/>
        <v>57</v>
      </c>
      <c r="F180" s="6" t="s">
        <v>5</v>
      </c>
      <c r="G180" s="6" t="s">
        <v>15273</v>
      </c>
      <c r="H180" s="12" t="s">
        <v>1365</v>
      </c>
      <c r="I180" s="19"/>
      <c r="J180" s="19"/>
      <c r="K180" s="4" t="s">
        <v>16120</v>
      </c>
      <c r="L180" s="6" t="s">
        <v>13</v>
      </c>
      <c r="M180" s="6" t="s">
        <v>25</v>
      </c>
      <c r="N180" s="13">
        <v>6</v>
      </c>
      <c r="O180" s="14">
        <v>6</v>
      </c>
      <c r="P180" s="12" t="s">
        <v>255</v>
      </c>
      <c r="Q180" s="15">
        <v>20369</v>
      </c>
      <c r="R180" s="12" t="s">
        <v>527</v>
      </c>
      <c r="S180" s="7" t="s">
        <v>815</v>
      </c>
      <c r="T180" s="7" t="s">
        <v>5457</v>
      </c>
      <c r="U180" s="12" t="s">
        <v>155</v>
      </c>
      <c r="Z180" s="2" t="s">
        <v>155</v>
      </c>
      <c r="AC180" s="3"/>
      <c r="AD180" s="3"/>
      <c r="AE180" s="774"/>
      <c r="AF180" s="655"/>
    </row>
    <row r="181" spans="1:32" ht="12" customHeight="1">
      <c r="A181" s="725" t="s">
        <v>15312</v>
      </c>
      <c r="B181" s="2">
        <v>1</v>
      </c>
      <c r="C181" s="4" t="s">
        <v>536</v>
      </c>
      <c r="D181" s="6" t="s">
        <v>875</v>
      </c>
      <c r="E181" s="6">
        <f t="shared" si="2"/>
        <v>59</v>
      </c>
      <c r="F181" s="6" t="s">
        <v>5</v>
      </c>
      <c r="G181" s="6" t="s">
        <v>15273</v>
      </c>
      <c r="H181" s="12" t="s">
        <v>1301</v>
      </c>
      <c r="I181" s="19"/>
      <c r="J181" s="19"/>
      <c r="K181" s="4" t="s">
        <v>16120</v>
      </c>
      <c r="L181" s="6" t="s">
        <v>13</v>
      </c>
      <c r="M181" s="6" t="s">
        <v>25</v>
      </c>
      <c r="N181" s="13">
        <v>7</v>
      </c>
      <c r="O181" s="14">
        <v>7</v>
      </c>
      <c r="P181" s="19" t="s">
        <v>23</v>
      </c>
      <c r="Q181" s="15">
        <v>19350</v>
      </c>
      <c r="R181" s="12" t="s">
        <v>751</v>
      </c>
      <c r="S181" s="19" t="s">
        <v>816</v>
      </c>
      <c r="T181" s="19" t="s">
        <v>5457</v>
      </c>
      <c r="U181" s="19" t="s">
        <v>104</v>
      </c>
      <c r="AB181" s="2" t="s">
        <v>104</v>
      </c>
      <c r="AE181" s="698"/>
      <c r="AF181" s="655"/>
    </row>
    <row r="182" spans="1:32" ht="12" customHeight="1">
      <c r="A182" s="725" t="s">
        <v>15313</v>
      </c>
      <c r="B182" s="2">
        <v>1</v>
      </c>
      <c r="C182" s="4" t="s">
        <v>553</v>
      </c>
      <c r="D182" s="1" t="s">
        <v>556</v>
      </c>
      <c r="E182" s="6">
        <f t="shared" si="2"/>
        <v>32</v>
      </c>
      <c r="F182" s="2" t="s">
        <v>5</v>
      </c>
      <c r="G182" s="1" t="s">
        <v>15273</v>
      </c>
      <c r="K182" s="8" t="s">
        <v>16120</v>
      </c>
      <c r="L182" s="1" t="s">
        <v>30</v>
      </c>
      <c r="M182" s="1" t="s">
        <v>6</v>
      </c>
      <c r="P182" s="3" t="s">
        <v>557</v>
      </c>
      <c r="Q182" s="20">
        <v>29228</v>
      </c>
      <c r="R182" s="3" t="s">
        <v>558</v>
      </c>
      <c r="T182" s="3" t="s">
        <v>5457</v>
      </c>
      <c r="U182" s="3" t="s">
        <v>559</v>
      </c>
      <c r="W182" s="2" t="s">
        <v>145</v>
      </c>
      <c r="AC182" s="2" t="s">
        <v>147</v>
      </c>
      <c r="AE182" s="698"/>
      <c r="AF182" s="655"/>
    </row>
    <row r="183" spans="1:32" ht="12" customHeight="1">
      <c r="A183" s="725" t="s">
        <v>15314</v>
      </c>
      <c r="B183" s="2">
        <v>1</v>
      </c>
      <c r="C183" s="4" t="s">
        <v>566</v>
      </c>
      <c r="D183" s="1" t="s">
        <v>569</v>
      </c>
      <c r="E183" s="6">
        <f t="shared" si="2"/>
        <v>46</v>
      </c>
      <c r="F183" s="2" t="s">
        <v>5</v>
      </c>
      <c r="G183" s="1" t="s">
        <v>15273</v>
      </c>
      <c r="K183" s="23" t="s">
        <v>16120</v>
      </c>
      <c r="L183" s="1" t="s">
        <v>13</v>
      </c>
      <c r="M183" s="1" t="s">
        <v>6</v>
      </c>
      <c r="P183" s="3" t="s">
        <v>570</v>
      </c>
      <c r="Q183" s="20">
        <v>24348</v>
      </c>
      <c r="R183" s="3" t="s">
        <v>571</v>
      </c>
      <c r="T183" s="3" t="s">
        <v>5457</v>
      </c>
      <c r="U183" s="3" t="s">
        <v>572</v>
      </c>
      <c r="W183" s="2" t="s">
        <v>145</v>
      </c>
      <c r="AB183" s="2" t="s">
        <v>104</v>
      </c>
      <c r="AE183" s="698"/>
      <c r="AF183" s="655"/>
    </row>
    <row r="184" spans="1:32" ht="12" customHeight="1">
      <c r="A184" s="725" t="s">
        <v>15315</v>
      </c>
      <c r="B184" s="2">
        <v>1</v>
      </c>
      <c r="C184" s="4" t="s">
        <v>580</v>
      </c>
      <c r="D184" s="1" t="s">
        <v>583</v>
      </c>
      <c r="E184" s="6">
        <f t="shared" si="2"/>
        <v>45</v>
      </c>
      <c r="F184" s="2" t="s">
        <v>5</v>
      </c>
      <c r="G184" s="1" t="s">
        <v>15273</v>
      </c>
      <c r="K184" s="8" t="s">
        <v>16120</v>
      </c>
      <c r="L184" s="1" t="s">
        <v>48</v>
      </c>
      <c r="M184" s="1" t="s">
        <v>6</v>
      </c>
      <c r="P184" s="3" t="s">
        <v>31</v>
      </c>
      <c r="Q184" s="21">
        <v>24536</v>
      </c>
      <c r="R184" s="3" t="s">
        <v>584</v>
      </c>
      <c r="T184" s="3" t="s">
        <v>5457</v>
      </c>
      <c r="U184" s="3" t="s">
        <v>104</v>
      </c>
      <c r="AB184" s="2" t="s">
        <v>104</v>
      </c>
      <c r="AE184" s="698"/>
      <c r="AF184" s="655"/>
    </row>
    <row r="185" spans="1:32" ht="12" customHeight="1">
      <c r="A185" s="725" t="s">
        <v>15316</v>
      </c>
      <c r="B185" s="2">
        <v>1</v>
      </c>
      <c r="C185" s="4" t="s">
        <v>594</v>
      </c>
      <c r="D185" s="6" t="s">
        <v>894</v>
      </c>
      <c r="E185" s="6">
        <f t="shared" si="2"/>
        <v>39</v>
      </c>
      <c r="F185" s="6" t="s">
        <v>19</v>
      </c>
      <c r="G185" s="6" t="s">
        <v>15273</v>
      </c>
      <c r="H185" s="12" t="s">
        <v>1370</v>
      </c>
      <c r="I185" s="19"/>
      <c r="J185" s="19"/>
      <c r="K185" s="4" t="s">
        <v>16120</v>
      </c>
      <c r="L185" s="6" t="s">
        <v>13</v>
      </c>
      <c r="M185" s="6" t="s">
        <v>25</v>
      </c>
      <c r="N185" s="13">
        <v>4</v>
      </c>
      <c r="O185" s="14">
        <v>4</v>
      </c>
      <c r="P185" s="12" t="s">
        <v>245</v>
      </c>
      <c r="Q185" s="15">
        <v>27009</v>
      </c>
      <c r="R185" s="12" t="s">
        <v>5614</v>
      </c>
      <c r="S185" s="12" t="s">
        <v>818</v>
      </c>
      <c r="T185" s="12" t="s">
        <v>5457</v>
      </c>
      <c r="U185" s="12" t="s">
        <v>258</v>
      </c>
      <c r="Z185" s="2" t="s">
        <v>155</v>
      </c>
      <c r="AB185" s="2" t="s">
        <v>104</v>
      </c>
      <c r="AE185" s="698"/>
      <c r="AF185" s="655"/>
    </row>
    <row r="186" spans="1:32" ht="12" customHeight="1">
      <c r="A186" s="725" t="s">
        <v>15317</v>
      </c>
      <c r="B186" s="2">
        <v>1</v>
      </c>
      <c r="C186" s="4" t="s">
        <v>599</v>
      </c>
      <c r="D186" s="1" t="s">
        <v>606</v>
      </c>
      <c r="E186" s="6">
        <f t="shared" si="2"/>
        <v>32</v>
      </c>
      <c r="F186" s="2" t="s">
        <v>5</v>
      </c>
      <c r="G186" s="1" t="s">
        <v>15273</v>
      </c>
      <c r="K186" s="4" t="s">
        <v>16120</v>
      </c>
      <c r="L186" s="1" t="s">
        <v>30</v>
      </c>
      <c r="M186" s="1" t="s">
        <v>6</v>
      </c>
      <c r="P186" s="3" t="s">
        <v>255</v>
      </c>
      <c r="Q186" s="20">
        <v>29355</v>
      </c>
      <c r="R186" s="3" t="s">
        <v>607</v>
      </c>
      <c r="T186" s="3" t="s">
        <v>5457</v>
      </c>
      <c r="U186" s="3" t="s">
        <v>47</v>
      </c>
      <c r="V186" s="2" t="s">
        <v>47</v>
      </c>
      <c r="AE186" s="698"/>
      <c r="AF186" s="655"/>
    </row>
    <row r="187" spans="1:32" ht="12" customHeight="1">
      <c r="A187" s="725" t="s">
        <v>15318</v>
      </c>
      <c r="B187" s="2">
        <v>1</v>
      </c>
      <c r="C187" s="4" t="s">
        <v>617</v>
      </c>
      <c r="D187" s="6" t="s">
        <v>898</v>
      </c>
      <c r="E187" s="6">
        <f t="shared" si="2"/>
        <v>54</v>
      </c>
      <c r="F187" s="6" t="s">
        <v>5</v>
      </c>
      <c r="G187" s="6" t="s">
        <v>15273</v>
      </c>
      <c r="H187" s="12" t="s">
        <v>1304</v>
      </c>
      <c r="I187" s="19"/>
      <c r="J187" s="19"/>
      <c r="K187" s="8" t="s">
        <v>16120</v>
      </c>
      <c r="L187" s="6" t="s">
        <v>13</v>
      </c>
      <c r="M187" s="6" t="s">
        <v>25</v>
      </c>
      <c r="N187" s="13">
        <v>4</v>
      </c>
      <c r="O187" s="14">
        <v>4</v>
      </c>
      <c r="P187" s="12" t="s">
        <v>557</v>
      </c>
      <c r="Q187" s="15">
        <v>21205</v>
      </c>
      <c r="R187" s="12" t="s">
        <v>764</v>
      </c>
      <c r="S187" s="12" t="s">
        <v>2525</v>
      </c>
      <c r="T187" s="12" t="s">
        <v>5457</v>
      </c>
      <c r="U187" s="3" t="s">
        <v>145</v>
      </c>
      <c r="W187" s="2" t="s">
        <v>145</v>
      </c>
      <c r="AE187" s="698"/>
      <c r="AF187" s="655"/>
    </row>
    <row r="188" spans="1:32" ht="12" customHeight="1">
      <c r="A188" s="725" t="s">
        <v>15319</v>
      </c>
      <c r="B188" s="2">
        <v>1</v>
      </c>
      <c r="C188" s="4" t="s">
        <v>628</v>
      </c>
      <c r="D188" s="1" t="s">
        <v>639</v>
      </c>
      <c r="E188" s="6">
        <f t="shared" si="2"/>
        <v>42</v>
      </c>
      <c r="F188" s="2" t="s">
        <v>5</v>
      </c>
      <c r="G188" s="1" t="s">
        <v>15273</v>
      </c>
      <c r="K188" s="23" t="s">
        <v>16120</v>
      </c>
      <c r="L188" s="1" t="s">
        <v>30</v>
      </c>
      <c r="M188" s="1" t="s">
        <v>6</v>
      </c>
      <c r="P188" s="3" t="s">
        <v>522</v>
      </c>
      <c r="Q188" s="20">
        <v>25854</v>
      </c>
      <c r="R188" s="3" t="s">
        <v>16654</v>
      </c>
      <c r="T188" s="3" t="s">
        <v>5457</v>
      </c>
      <c r="U188" s="3" t="s">
        <v>146</v>
      </c>
      <c r="AD188" s="2" t="s">
        <v>146</v>
      </c>
      <c r="AE188" s="774"/>
      <c r="AF188" s="655"/>
    </row>
    <row r="189" spans="1:32" ht="12" customHeight="1">
      <c r="A189" s="725" t="s">
        <v>15320</v>
      </c>
      <c r="B189" s="2">
        <v>1</v>
      </c>
      <c r="C189" s="4" t="s">
        <v>643</v>
      </c>
      <c r="D189" s="1" t="s">
        <v>646</v>
      </c>
      <c r="E189" s="6">
        <f t="shared" si="2"/>
        <v>38</v>
      </c>
      <c r="F189" s="2" t="s">
        <v>19</v>
      </c>
      <c r="G189" s="1" t="s">
        <v>15273</v>
      </c>
      <c r="K189" s="8" t="s">
        <v>16120</v>
      </c>
      <c r="L189" s="1" t="s">
        <v>30</v>
      </c>
      <c r="M189" s="1" t="s">
        <v>6</v>
      </c>
      <c r="P189" s="3" t="s">
        <v>255</v>
      </c>
      <c r="Q189" s="20">
        <v>27312</v>
      </c>
      <c r="R189" s="3" t="s">
        <v>647</v>
      </c>
      <c r="T189" s="3" t="s">
        <v>5457</v>
      </c>
      <c r="U189" s="3" t="s">
        <v>47</v>
      </c>
      <c r="V189" s="2" t="s">
        <v>47</v>
      </c>
      <c r="AE189" s="774"/>
      <c r="AF189" s="655"/>
    </row>
    <row r="190" spans="1:32" ht="12" customHeight="1">
      <c r="A190" s="725" t="s">
        <v>15321</v>
      </c>
      <c r="B190" s="2">
        <v>1</v>
      </c>
      <c r="C190" s="4" t="s">
        <v>652</v>
      </c>
      <c r="D190" s="1" t="s">
        <v>656</v>
      </c>
      <c r="E190" s="6">
        <f t="shared" si="2"/>
        <v>41</v>
      </c>
      <c r="F190" s="2" t="s">
        <v>5</v>
      </c>
      <c r="G190" s="1" t="s">
        <v>15273</v>
      </c>
      <c r="K190" s="4" t="s">
        <v>16120</v>
      </c>
      <c r="L190" s="1" t="s">
        <v>30</v>
      </c>
      <c r="M190" s="1" t="s">
        <v>14</v>
      </c>
      <c r="N190" s="16">
        <v>1</v>
      </c>
      <c r="O190" s="17">
        <v>1</v>
      </c>
      <c r="P190" s="3" t="s">
        <v>657</v>
      </c>
      <c r="Q190" s="20">
        <v>26088</v>
      </c>
      <c r="R190" s="3" t="s">
        <v>659</v>
      </c>
      <c r="T190" s="3" t="s">
        <v>5457</v>
      </c>
      <c r="U190" s="3" t="s">
        <v>658</v>
      </c>
      <c r="V190" s="2" t="s">
        <v>47</v>
      </c>
      <c r="AC190" s="2" t="s">
        <v>147</v>
      </c>
      <c r="AE190" s="774"/>
      <c r="AF190" s="655"/>
    </row>
    <row r="191" spans="1:32" ht="12" customHeight="1">
      <c r="A191" s="725" t="s">
        <v>15322</v>
      </c>
      <c r="B191" s="2">
        <v>1</v>
      </c>
      <c r="C191" s="4" t="s">
        <v>664</v>
      </c>
      <c r="D191" s="1" t="s">
        <v>668</v>
      </c>
      <c r="E191" s="6">
        <f t="shared" si="2"/>
        <v>43</v>
      </c>
      <c r="F191" s="2" t="s">
        <v>5</v>
      </c>
      <c r="G191" s="1" t="s">
        <v>15273</v>
      </c>
      <c r="K191" s="4" t="s">
        <v>16120</v>
      </c>
      <c r="L191" s="1" t="s">
        <v>48</v>
      </c>
      <c r="M191" s="1" t="s">
        <v>14</v>
      </c>
      <c r="N191" s="16">
        <v>1</v>
      </c>
      <c r="O191" s="17">
        <v>1</v>
      </c>
      <c r="P191" s="3" t="s">
        <v>669</v>
      </c>
      <c r="Q191" s="20">
        <v>25395</v>
      </c>
      <c r="R191" s="3" t="s">
        <v>670</v>
      </c>
      <c r="T191" s="3" t="s">
        <v>5457</v>
      </c>
      <c r="U191" s="3" t="s">
        <v>145</v>
      </c>
      <c r="W191" s="2" t="s">
        <v>145</v>
      </c>
      <c r="AE191" s="774"/>
      <c r="AF191" s="655"/>
    </row>
    <row r="192" spans="1:32" ht="12" customHeight="1">
      <c r="A192" s="725" t="s">
        <v>15323</v>
      </c>
      <c r="B192" s="2">
        <v>1</v>
      </c>
      <c r="C192" s="4" t="s">
        <v>677</v>
      </c>
      <c r="D192" s="1" t="s">
        <v>684</v>
      </c>
      <c r="E192" s="6">
        <f t="shared" si="2"/>
        <v>58</v>
      </c>
      <c r="F192" s="2" t="s">
        <v>5</v>
      </c>
      <c r="G192" s="1" t="s">
        <v>15273</v>
      </c>
      <c r="K192" s="8" t="s">
        <v>16120</v>
      </c>
      <c r="L192" s="1" t="s">
        <v>30</v>
      </c>
      <c r="M192" s="1" t="s">
        <v>6</v>
      </c>
      <c r="P192" s="3" t="s">
        <v>685</v>
      </c>
      <c r="Q192" s="20">
        <v>19953</v>
      </c>
      <c r="R192" s="3" t="s">
        <v>686</v>
      </c>
      <c r="T192" s="3" t="s">
        <v>5457</v>
      </c>
      <c r="U192" s="3" t="s">
        <v>145</v>
      </c>
      <c r="W192" s="2" t="s">
        <v>145</v>
      </c>
      <c r="AE192" s="774"/>
      <c r="AF192" s="655"/>
    </row>
    <row r="193" spans="1:32" ht="12" customHeight="1">
      <c r="A193" s="725" t="s">
        <v>15324</v>
      </c>
      <c r="B193" s="2">
        <v>1</v>
      </c>
      <c r="C193" s="4" t="s">
        <v>692</v>
      </c>
      <c r="D193" s="6" t="s">
        <v>884</v>
      </c>
      <c r="E193" s="6">
        <f t="shared" si="2"/>
        <v>47</v>
      </c>
      <c r="F193" s="6" t="s">
        <v>5</v>
      </c>
      <c r="G193" s="6" t="s">
        <v>15273</v>
      </c>
      <c r="H193" s="12" t="s">
        <v>1305</v>
      </c>
      <c r="I193" s="19"/>
      <c r="J193" s="19"/>
      <c r="K193" s="23" t="s">
        <v>16120</v>
      </c>
      <c r="L193" s="6" t="s">
        <v>48</v>
      </c>
      <c r="M193" s="6" t="s">
        <v>25</v>
      </c>
      <c r="N193" s="13">
        <v>3</v>
      </c>
      <c r="O193" s="14">
        <v>3</v>
      </c>
      <c r="P193" s="12" t="s">
        <v>317</v>
      </c>
      <c r="Q193" s="15">
        <v>24081</v>
      </c>
      <c r="R193" s="12" t="s">
        <v>727</v>
      </c>
      <c r="S193" s="12" t="s">
        <v>304</v>
      </c>
      <c r="T193" s="12"/>
      <c r="U193" s="12" t="s">
        <v>147</v>
      </c>
      <c r="AC193" s="2" t="s">
        <v>147</v>
      </c>
      <c r="AD193" s="3"/>
      <c r="AE193" s="774"/>
      <c r="AF193" s="655"/>
    </row>
    <row r="194" spans="1:32" ht="12" customHeight="1">
      <c r="A194" s="725" t="s">
        <v>15325</v>
      </c>
      <c r="B194" s="2">
        <v>1</v>
      </c>
      <c r="C194" s="4" t="s">
        <v>698</v>
      </c>
      <c r="D194" s="1" t="s">
        <v>702</v>
      </c>
      <c r="E194" s="6">
        <f t="shared" ref="E194:E257" si="3">DATEDIF(Q194,$Q$1119,"Y")</f>
        <v>39</v>
      </c>
      <c r="F194" s="2" t="s">
        <v>5</v>
      </c>
      <c r="G194" s="1" t="s">
        <v>15273</v>
      </c>
      <c r="K194" s="8" t="s">
        <v>16120</v>
      </c>
      <c r="L194" s="1" t="s">
        <v>48</v>
      </c>
      <c r="M194" s="1" t="s">
        <v>14</v>
      </c>
      <c r="N194" s="16">
        <v>1</v>
      </c>
      <c r="O194" s="17">
        <v>1</v>
      </c>
      <c r="P194" s="3" t="s">
        <v>255</v>
      </c>
      <c r="Q194" s="20">
        <v>26829</v>
      </c>
      <c r="R194" s="3" t="s">
        <v>703</v>
      </c>
      <c r="T194" s="3" t="s">
        <v>5457</v>
      </c>
      <c r="AD194" s="3"/>
      <c r="AE194" s="774"/>
      <c r="AF194" s="655"/>
    </row>
    <row r="195" spans="1:32" ht="12" customHeight="1">
      <c r="A195" s="725" t="s">
        <v>15326</v>
      </c>
      <c r="B195" s="2">
        <v>1</v>
      </c>
      <c r="C195" s="4" t="s">
        <v>708</v>
      </c>
      <c r="D195" s="1" t="s">
        <v>712</v>
      </c>
      <c r="E195" s="6">
        <f t="shared" si="3"/>
        <v>64</v>
      </c>
      <c r="F195" s="2" t="s">
        <v>5</v>
      </c>
      <c r="G195" s="1" t="s">
        <v>15273</v>
      </c>
      <c r="K195" s="4" t="s">
        <v>16120</v>
      </c>
      <c r="L195" s="1" t="s">
        <v>13</v>
      </c>
      <c r="M195" s="1" t="s">
        <v>14</v>
      </c>
      <c r="N195" s="16">
        <v>4</v>
      </c>
      <c r="O195" s="17">
        <v>4</v>
      </c>
      <c r="P195" s="3" t="s">
        <v>172</v>
      </c>
      <c r="Q195" s="20">
        <v>17847</v>
      </c>
      <c r="R195" s="3" t="s">
        <v>713</v>
      </c>
      <c r="S195" s="3" t="s">
        <v>714</v>
      </c>
      <c r="T195" s="3" t="s">
        <v>5457</v>
      </c>
      <c r="AD195" s="3"/>
      <c r="AE195" s="774"/>
      <c r="AF195" s="655"/>
    </row>
    <row r="196" spans="1:32" ht="12" customHeight="1">
      <c r="A196" s="725" t="s">
        <v>15327</v>
      </c>
      <c r="B196" s="2">
        <v>1</v>
      </c>
      <c r="C196" s="4" t="s">
        <v>724</v>
      </c>
      <c r="D196" s="1" t="s">
        <v>726</v>
      </c>
      <c r="E196" s="6">
        <f t="shared" si="3"/>
        <v>37</v>
      </c>
      <c r="F196" s="2" t="s">
        <v>5</v>
      </c>
      <c r="G196" s="1" t="s">
        <v>15273</v>
      </c>
      <c r="K196" s="4" t="s">
        <v>16120</v>
      </c>
      <c r="L196" s="1" t="s">
        <v>30</v>
      </c>
      <c r="M196" s="1" t="s">
        <v>6</v>
      </c>
      <c r="P196" s="3" t="s">
        <v>188</v>
      </c>
      <c r="Q196" s="20">
        <v>27600</v>
      </c>
      <c r="R196" s="3" t="s">
        <v>727</v>
      </c>
      <c r="U196" s="3" t="s">
        <v>147</v>
      </c>
      <c r="AC196" s="2" t="s">
        <v>147</v>
      </c>
      <c r="AD196" s="3"/>
      <c r="AE196" s="774"/>
      <c r="AF196" s="655"/>
    </row>
    <row r="197" spans="1:32" ht="12" customHeight="1">
      <c r="A197" s="725" t="s">
        <v>15328</v>
      </c>
      <c r="B197" s="2">
        <v>1</v>
      </c>
      <c r="C197" s="4" t="s">
        <v>733</v>
      </c>
      <c r="D197" s="1" t="s">
        <v>944</v>
      </c>
      <c r="E197" s="6">
        <f t="shared" si="3"/>
        <v>36</v>
      </c>
      <c r="F197" s="2" t="s">
        <v>5</v>
      </c>
      <c r="G197" s="1" t="s">
        <v>15273</v>
      </c>
      <c r="K197" s="8" t="s">
        <v>16120</v>
      </c>
      <c r="L197" s="1" t="s">
        <v>30</v>
      </c>
      <c r="M197" s="1" t="s">
        <v>6</v>
      </c>
      <c r="P197" s="3" t="s">
        <v>31</v>
      </c>
      <c r="Q197" s="21">
        <v>28081</v>
      </c>
      <c r="R197" s="3" t="s">
        <v>950</v>
      </c>
      <c r="T197" s="3" t="s">
        <v>15616</v>
      </c>
      <c r="U197" s="3" t="s">
        <v>572</v>
      </c>
      <c r="W197" s="2" t="s">
        <v>145</v>
      </c>
      <c r="AB197" s="2" t="s">
        <v>104</v>
      </c>
      <c r="AE197" s="698"/>
      <c r="AF197" s="655"/>
    </row>
    <row r="198" spans="1:32" ht="12" customHeight="1">
      <c r="A198" s="725" t="s">
        <v>15329</v>
      </c>
      <c r="B198" s="2">
        <v>1</v>
      </c>
      <c r="C198" s="4" t="s">
        <v>955</v>
      </c>
      <c r="D198" s="1" t="s">
        <v>962</v>
      </c>
      <c r="E198" s="6">
        <f t="shared" si="3"/>
        <v>60</v>
      </c>
      <c r="F198" s="2" t="s">
        <v>19</v>
      </c>
      <c r="G198" s="1" t="s">
        <v>15273</v>
      </c>
      <c r="K198" s="23" t="s">
        <v>16120</v>
      </c>
      <c r="L198" s="1" t="s">
        <v>30</v>
      </c>
      <c r="M198" s="1" t="s">
        <v>14</v>
      </c>
      <c r="N198" s="16">
        <v>4</v>
      </c>
      <c r="O198" s="17">
        <v>4</v>
      </c>
      <c r="P198" s="3" t="s">
        <v>102</v>
      </c>
      <c r="Q198" s="20">
        <v>19033</v>
      </c>
      <c r="R198" s="3" t="s">
        <v>964</v>
      </c>
      <c r="S198" s="3" t="s">
        <v>963</v>
      </c>
      <c r="U198" s="3" t="s">
        <v>104</v>
      </c>
      <c r="AB198" s="2" t="s">
        <v>104</v>
      </c>
      <c r="AE198" s="698"/>
      <c r="AF198" s="655"/>
    </row>
    <row r="199" spans="1:32" ht="12" customHeight="1">
      <c r="A199" s="725" t="s">
        <v>15330</v>
      </c>
      <c r="B199" s="2">
        <v>1</v>
      </c>
      <c r="C199" s="4" t="s">
        <v>972</v>
      </c>
      <c r="D199" s="1" t="s">
        <v>979</v>
      </c>
      <c r="E199" s="6">
        <f t="shared" si="3"/>
        <v>57</v>
      </c>
      <c r="F199" s="2" t="s">
        <v>5</v>
      </c>
      <c r="G199" s="1" t="s">
        <v>15273</v>
      </c>
      <c r="K199" s="8" t="s">
        <v>16120</v>
      </c>
      <c r="L199" s="1" t="s">
        <v>48</v>
      </c>
      <c r="M199" s="1" t="s">
        <v>6</v>
      </c>
      <c r="P199" s="3" t="s">
        <v>172</v>
      </c>
      <c r="Q199" s="20">
        <v>20339</v>
      </c>
      <c r="R199" s="3" t="s">
        <v>981</v>
      </c>
      <c r="T199" s="3" t="s">
        <v>5457</v>
      </c>
      <c r="U199" s="3" t="s">
        <v>104</v>
      </c>
      <c r="AB199" s="2" t="s">
        <v>104</v>
      </c>
      <c r="AE199" s="698"/>
      <c r="AF199" s="655"/>
    </row>
    <row r="200" spans="1:32" ht="12" customHeight="1">
      <c r="A200" s="725" t="s">
        <v>15331</v>
      </c>
      <c r="B200" s="2">
        <v>1</v>
      </c>
      <c r="C200" s="4" t="s">
        <v>988</v>
      </c>
      <c r="D200" s="1" t="s">
        <v>998</v>
      </c>
      <c r="E200" s="6">
        <f t="shared" si="3"/>
        <v>49</v>
      </c>
      <c r="F200" s="2" t="s">
        <v>5</v>
      </c>
      <c r="G200" s="1" t="s">
        <v>15273</v>
      </c>
      <c r="K200" s="4" t="s">
        <v>16120</v>
      </c>
      <c r="L200" s="1" t="s">
        <v>30</v>
      </c>
      <c r="M200" s="1" t="s">
        <v>14</v>
      </c>
      <c r="N200" s="16">
        <v>1</v>
      </c>
      <c r="O200" s="17">
        <v>1</v>
      </c>
      <c r="P200" s="3" t="s">
        <v>695</v>
      </c>
      <c r="Q200" s="20">
        <v>23326</v>
      </c>
      <c r="R200" s="3" t="s">
        <v>999</v>
      </c>
      <c r="T200" s="3" t="s">
        <v>5457</v>
      </c>
      <c r="AE200" s="698"/>
      <c r="AF200" s="655"/>
    </row>
    <row r="201" spans="1:32" ht="12" customHeight="1">
      <c r="A201" s="725" t="s">
        <v>15332</v>
      </c>
      <c r="B201" s="2">
        <v>33</v>
      </c>
      <c r="C201" s="2"/>
      <c r="D201" s="2" t="s">
        <v>6058</v>
      </c>
      <c r="E201" s="6">
        <f t="shared" si="3"/>
        <v>37</v>
      </c>
      <c r="F201" s="2" t="s">
        <v>5</v>
      </c>
      <c r="G201" s="2" t="s">
        <v>6067</v>
      </c>
      <c r="H201" s="22"/>
      <c r="I201" s="2"/>
      <c r="J201" s="2"/>
      <c r="K201" s="4" t="s">
        <v>16120</v>
      </c>
      <c r="L201" s="2" t="s">
        <v>5247</v>
      </c>
      <c r="M201" s="2" t="s">
        <v>6</v>
      </c>
      <c r="N201" s="24"/>
      <c r="O201" s="25"/>
      <c r="P201" s="22" t="s">
        <v>6059</v>
      </c>
      <c r="Q201" s="21">
        <v>27461</v>
      </c>
      <c r="R201" s="22" t="s">
        <v>16189</v>
      </c>
      <c r="S201" s="22"/>
      <c r="T201" s="22"/>
      <c r="U201" s="22"/>
      <c r="AE201" s="698"/>
      <c r="AF201" s="655"/>
    </row>
    <row r="202" spans="1:32" ht="12" customHeight="1">
      <c r="A202" s="725" t="s">
        <v>15333</v>
      </c>
      <c r="B202" s="2">
        <v>34</v>
      </c>
      <c r="C202" s="2"/>
      <c r="D202" s="2" t="s">
        <v>6061</v>
      </c>
      <c r="E202" s="6">
        <f t="shared" si="3"/>
        <v>60</v>
      </c>
      <c r="F202" s="2" t="s">
        <v>5</v>
      </c>
      <c r="G202" s="2" t="s">
        <v>6067</v>
      </c>
      <c r="H202" s="22"/>
      <c r="I202" s="2"/>
      <c r="J202" s="2"/>
      <c r="K202" s="8" t="s">
        <v>16120</v>
      </c>
      <c r="L202" s="2" t="s">
        <v>5247</v>
      </c>
      <c r="M202" s="2" t="s">
        <v>6</v>
      </c>
      <c r="N202" s="24"/>
      <c r="O202" s="25"/>
      <c r="P202" s="22" t="s">
        <v>6062</v>
      </c>
      <c r="Q202" s="21">
        <v>19038</v>
      </c>
      <c r="R202" s="22" t="s">
        <v>6063</v>
      </c>
      <c r="S202" s="22"/>
      <c r="T202" s="22"/>
      <c r="U202" s="22"/>
      <c r="AE202" s="698"/>
      <c r="AF202" s="655"/>
    </row>
    <row r="203" spans="1:32" ht="12" customHeight="1">
      <c r="A203" s="725" t="s">
        <v>15334</v>
      </c>
      <c r="B203" s="2">
        <v>35</v>
      </c>
      <c r="C203" s="2"/>
      <c r="D203" s="2" t="s">
        <v>6065</v>
      </c>
      <c r="E203" s="6">
        <f t="shared" si="3"/>
        <v>50</v>
      </c>
      <c r="F203" s="2" t="s">
        <v>5</v>
      </c>
      <c r="G203" s="2" t="s">
        <v>6067</v>
      </c>
      <c r="H203" s="22"/>
      <c r="I203" s="2"/>
      <c r="J203" s="2"/>
      <c r="K203" s="23" t="s">
        <v>16120</v>
      </c>
      <c r="L203" s="2" t="s">
        <v>5247</v>
      </c>
      <c r="M203" s="2" t="s">
        <v>6</v>
      </c>
      <c r="N203" s="24"/>
      <c r="O203" s="25"/>
      <c r="P203" s="22" t="s">
        <v>6066</v>
      </c>
      <c r="Q203" s="21">
        <v>22704</v>
      </c>
      <c r="R203" s="22" t="s">
        <v>16190</v>
      </c>
      <c r="S203" s="22"/>
      <c r="T203" s="22"/>
      <c r="U203" s="22"/>
      <c r="AE203" s="698"/>
      <c r="AF203" s="655"/>
    </row>
    <row r="204" spans="1:32" ht="12" customHeight="1" thickBot="1">
      <c r="A204" s="726" t="s">
        <v>15335</v>
      </c>
      <c r="B204" s="702">
        <v>36</v>
      </c>
      <c r="C204" s="702"/>
      <c r="D204" s="702" t="s">
        <v>6068</v>
      </c>
      <c r="E204" s="701">
        <f t="shared" si="3"/>
        <v>59</v>
      </c>
      <c r="F204" s="702" t="s">
        <v>5</v>
      </c>
      <c r="G204" s="702" t="s">
        <v>6067</v>
      </c>
      <c r="H204" s="720"/>
      <c r="I204" s="702"/>
      <c r="J204" s="702"/>
      <c r="K204" s="704" t="s">
        <v>16120</v>
      </c>
      <c r="L204" s="702" t="s">
        <v>5247</v>
      </c>
      <c r="M204" s="702" t="s">
        <v>6</v>
      </c>
      <c r="N204" s="721"/>
      <c r="O204" s="722"/>
      <c r="P204" s="720" t="s">
        <v>2214</v>
      </c>
      <c r="Q204" s="723">
        <v>19572</v>
      </c>
      <c r="R204" s="720" t="s">
        <v>6083</v>
      </c>
      <c r="S204" s="720"/>
      <c r="T204" s="720"/>
      <c r="U204" s="720"/>
      <c r="V204" s="702"/>
      <c r="W204" s="702"/>
      <c r="X204" s="702"/>
      <c r="Y204" s="702"/>
      <c r="Z204" s="702"/>
      <c r="AA204" s="702"/>
      <c r="AB204" s="702"/>
      <c r="AC204" s="702"/>
      <c r="AD204" s="702"/>
      <c r="AE204" s="708"/>
      <c r="AF204" s="655"/>
    </row>
    <row r="205" spans="1:32" ht="12" customHeight="1">
      <c r="A205" s="780" t="s">
        <v>16194</v>
      </c>
      <c r="B205" s="696">
        <v>1</v>
      </c>
      <c r="C205" s="688" t="s">
        <v>409</v>
      </c>
      <c r="D205" s="689" t="s">
        <v>888</v>
      </c>
      <c r="E205" s="690">
        <f t="shared" si="3"/>
        <v>55</v>
      </c>
      <c r="F205" s="689" t="s">
        <v>5</v>
      </c>
      <c r="G205" s="687" t="s">
        <v>15273</v>
      </c>
      <c r="H205" s="691" t="s">
        <v>1356</v>
      </c>
      <c r="I205" s="783"/>
      <c r="J205" s="736"/>
      <c r="K205" s="688" t="s">
        <v>16125</v>
      </c>
      <c r="L205" s="689"/>
      <c r="M205" s="689" t="s">
        <v>25</v>
      </c>
      <c r="N205" s="693">
        <v>3</v>
      </c>
      <c r="O205" s="694">
        <v>3</v>
      </c>
      <c r="P205" s="691" t="s">
        <v>188</v>
      </c>
      <c r="Q205" s="695">
        <v>20936</v>
      </c>
      <c r="R205" s="691" t="s">
        <v>739</v>
      </c>
      <c r="S205" s="691" t="s">
        <v>5543</v>
      </c>
      <c r="T205" s="691" t="s">
        <v>5561</v>
      </c>
      <c r="U205" s="747" t="s">
        <v>145</v>
      </c>
      <c r="V205" s="696"/>
      <c r="W205" s="696" t="s">
        <v>145</v>
      </c>
      <c r="X205" s="696"/>
      <c r="Y205" s="696"/>
      <c r="Z205" s="696"/>
      <c r="AA205" s="696"/>
      <c r="AB205" s="696"/>
      <c r="AC205" s="696"/>
      <c r="AD205" s="696"/>
      <c r="AE205" s="697"/>
      <c r="AF205" s="655"/>
    </row>
    <row r="206" spans="1:32" ht="12" customHeight="1">
      <c r="A206" s="790" t="s">
        <v>16195</v>
      </c>
      <c r="B206" s="2">
        <v>1</v>
      </c>
      <c r="C206" s="4" t="s">
        <v>514</v>
      </c>
      <c r="D206" s="6" t="s">
        <v>880</v>
      </c>
      <c r="E206" s="6">
        <f t="shared" si="3"/>
        <v>69</v>
      </c>
      <c r="F206" s="5" t="s">
        <v>5</v>
      </c>
      <c r="G206" s="1" t="s">
        <v>15273</v>
      </c>
      <c r="H206" s="7" t="s">
        <v>1364</v>
      </c>
      <c r="I206" s="18"/>
      <c r="J206" s="19"/>
      <c r="K206" s="4" t="s">
        <v>16125</v>
      </c>
      <c r="L206" s="5"/>
      <c r="M206" s="5" t="s">
        <v>25</v>
      </c>
      <c r="N206" s="9">
        <v>5</v>
      </c>
      <c r="O206" s="10">
        <v>8</v>
      </c>
      <c r="P206" s="7" t="s">
        <v>31</v>
      </c>
      <c r="Q206" s="11">
        <v>15821</v>
      </c>
      <c r="R206" s="7" t="s">
        <v>768</v>
      </c>
      <c r="S206" s="7" t="s">
        <v>16690</v>
      </c>
      <c r="T206" s="7" t="s">
        <v>5561</v>
      </c>
      <c r="U206" s="7" t="s">
        <v>229</v>
      </c>
      <c r="Y206" s="2" t="s">
        <v>229</v>
      </c>
      <c r="AC206" s="3"/>
      <c r="AD206" s="3"/>
      <c r="AE206" s="774"/>
      <c r="AF206" s="655"/>
    </row>
    <row r="207" spans="1:32" ht="12" customHeight="1">
      <c r="A207" s="790" t="s">
        <v>16196</v>
      </c>
      <c r="B207" s="2">
        <v>1</v>
      </c>
      <c r="C207" s="4" t="s">
        <v>678</v>
      </c>
      <c r="D207" s="5" t="s">
        <v>886</v>
      </c>
      <c r="E207" s="6">
        <f t="shared" si="3"/>
        <v>47</v>
      </c>
      <c r="F207" s="5" t="s">
        <v>19</v>
      </c>
      <c r="G207" s="1" t="s">
        <v>15273</v>
      </c>
      <c r="H207" s="7" t="s">
        <v>687</v>
      </c>
      <c r="I207" s="18"/>
      <c r="J207" s="19"/>
      <c r="K207" s="4" t="s">
        <v>16125</v>
      </c>
      <c r="L207" s="5"/>
      <c r="M207" s="5" t="s">
        <v>25</v>
      </c>
      <c r="N207" s="9">
        <v>3</v>
      </c>
      <c r="O207" s="10">
        <v>3</v>
      </c>
      <c r="P207" s="7" t="s">
        <v>159</v>
      </c>
      <c r="Q207" s="11">
        <v>23857</v>
      </c>
      <c r="R207" s="7" t="s">
        <v>766</v>
      </c>
      <c r="S207" s="3" t="s">
        <v>2520</v>
      </c>
      <c r="T207" s="3" t="s">
        <v>5561</v>
      </c>
      <c r="U207" s="3" t="s">
        <v>572</v>
      </c>
      <c r="W207" s="2" t="s">
        <v>145</v>
      </c>
      <c r="AB207" s="2" t="s">
        <v>104</v>
      </c>
      <c r="AE207" s="774"/>
      <c r="AF207" s="655"/>
    </row>
    <row r="208" spans="1:32" ht="12" customHeight="1">
      <c r="A208" s="790" t="s">
        <v>16197</v>
      </c>
      <c r="B208" s="2">
        <v>1</v>
      </c>
      <c r="C208" s="4" t="s">
        <v>709</v>
      </c>
      <c r="D208" s="6" t="s">
        <v>895</v>
      </c>
      <c r="E208" s="6">
        <f t="shared" si="3"/>
        <v>62</v>
      </c>
      <c r="F208" s="6" t="s">
        <v>5</v>
      </c>
      <c r="G208" s="1" t="s">
        <v>15273</v>
      </c>
      <c r="H208" s="12" t="s">
        <v>715</v>
      </c>
      <c r="I208" s="19"/>
      <c r="J208" s="19"/>
      <c r="K208" s="4" t="s">
        <v>16125</v>
      </c>
      <c r="L208" s="6"/>
      <c r="M208" s="6" t="s">
        <v>25</v>
      </c>
      <c r="N208" s="13">
        <v>2</v>
      </c>
      <c r="O208" s="14">
        <v>2</v>
      </c>
      <c r="P208" s="12" t="s">
        <v>255</v>
      </c>
      <c r="Q208" s="15">
        <v>18367</v>
      </c>
      <c r="R208" s="12" t="s">
        <v>716</v>
      </c>
      <c r="T208" s="3" t="s">
        <v>5561</v>
      </c>
      <c r="AD208" s="3"/>
      <c r="AE208" s="774"/>
      <c r="AF208" s="655"/>
    </row>
    <row r="209" spans="1:32" ht="12" customHeight="1">
      <c r="A209" s="790" t="s">
        <v>16191</v>
      </c>
      <c r="B209" s="2">
        <v>5</v>
      </c>
      <c r="C209" s="2"/>
      <c r="D209" s="2" t="s">
        <v>2108</v>
      </c>
      <c r="E209" s="6">
        <f t="shared" si="3"/>
        <v>55</v>
      </c>
      <c r="F209" s="2" t="s">
        <v>5</v>
      </c>
      <c r="G209" s="2" t="s">
        <v>6067</v>
      </c>
      <c r="H209" s="22" t="s">
        <v>2109</v>
      </c>
      <c r="I209" s="2"/>
      <c r="J209" s="2"/>
      <c r="K209" s="23" t="s">
        <v>16125</v>
      </c>
      <c r="L209" s="2"/>
      <c r="M209" s="2" t="s">
        <v>25</v>
      </c>
      <c r="N209" s="24">
        <v>1</v>
      </c>
      <c r="O209" s="25">
        <v>1</v>
      </c>
      <c r="P209" s="22" t="s">
        <v>2110</v>
      </c>
      <c r="Q209" s="21">
        <v>20946</v>
      </c>
      <c r="R209" s="22" t="s">
        <v>2111</v>
      </c>
      <c r="S209" s="12"/>
      <c r="T209" s="12"/>
      <c r="U209" s="12" t="s">
        <v>2112</v>
      </c>
      <c r="W209" s="2" t="s">
        <v>2112</v>
      </c>
      <c r="AE209" s="698"/>
      <c r="AF209" s="655"/>
    </row>
    <row r="210" spans="1:32" ht="12" customHeight="1">
      <c r="A210" s="790" t="s">
        <v>16198</v>
      </c>
      <c r="B210" s="2">
        <v>6</v>
      </c>
      <c r="C210" s="4" t="s">
        <v>389</v>
      </c>
      <c r="D210" s="1" t="s">
        <v>5730</v>
      </c>
      <c r="E210" s="6">
        <f t="shared" si="3"/>
        <v>48</v>
      </c>
      <c r="F210" s="2" t="s">
        <v>19</v>
      </c>
      <c r="G210" s="1" t="s">
        <v>15273</v>
      </c>
      <c r="K210" s="4" t="s">
        <v>16125</v>
      </c>
      <c r="M210" s="1" t="s">
        <v>6</v>
      </c>
      <c r="P210" s="3" t="s">
        <v>188</v>
      </c>
      <c r="Q210" s="20">
        <v>23647</v>
      </c>
      <c r="R210" s="3" t="s">
        <v>16409</v>
      </c>
      <c r="T210" s="3" t="s">
        <v>5561</v>
      </c>
      <c r="AE210" s="698"/>
      <c r="AF210" s="655"/>
    </row>
    <row r="211" spans="1:32" ht="12" customHeight="1">
      <c r="A211" s="790" t="s">
        <v>16199</v>
      </c>
      <c r="B211" s="2">
        <v>6</v>
      </c>
      <c r="C211" s="4" t="s">
        <v>435</v>
      </c>
      <c r="D211" s="1" t="s">
        <v>5983</v>
      </c>
      <c r="E211" s="6">
        <f t="shared" si="3"/>
        <v>54</v>
      </c>
      <c r="F211" s="2" t="s">
        <v>5</v>
      </c>
      <c r="G211" s="1" t="s">
        <v>15273</v>
      </c>
      <c r="K211" s="4" t="s">
        <v>16125</v>
      </c>
      <c r="M211" s="1" t="s">
        <v>6</v>
      </c>
      <c r="P211" s="3" t="s">
        <v>15966</v>
      </c>
      <c r="Q211" s="20">
        <v>21325</v>
      </c>
      <c r="R211" s="3" t="s">
        <v>5984</v>
      </c>
      <c r="T211" s="3" t="s">
        <v>5561</v>
      </c>
      <c r="AE211" s="698"/>
      <c r="AF211" s="655"/>
    </row>
    <row r="212" spans="1:32" ht="12" customHeight="1">
      <c r="A212" s="790" t="s">
        <v>16200</v>
      </c>
      <c r="B212" s="2">
        <v>6</v>
      </c>
      <c r="C212" s="4" t="s">
        <v>537</v>
      </c>
      <c r="D212" s="1" t="s">
        <v>544</v>
      </c>
      <c r="E212" s="6">
        <f t="shared" si="3"/>
        <v>52</v>
      </c>
      <c r="F212" s="2" t="s">
        <v>5</v>
      </c>
      <c r="G212" s="1" t="s">
        <v>15273</v>
      </c>
      <c r="K212" s="4" t="s">
        <v>16125</v>
      </c>
      <c r="M212" s="1" t="s">
        <v>6</v>
      </c>
      <c r="P212" s="3" t="s">
        <v>317</v>
      </c>
      <c r="Q212" s="20">
        <v>22114</v>
      </c>
      <c r="R212" s="3" t="s">
        <v>548</v>
      </c>
      <c r="T212" s="3" t="s">
        <v>5561</v>
      </c>
      <c r="U212" s="3" t="s">
        <v>547</v>
      </c>
      <c r="V212" s="2" t="s">
        <v>47</v>
      </c>
      <c r="W212" s="2" t="s">
        <v>145</v>
      </c>
      <c r="AE212" s="698"/>
      <c r="AF212" s="655"/>
    </row>
    <row r="213" spans="1:32" ht="12" customHeight="1">
      <c r="A213" s="790" t="s">
        <v>16201</v>
      </c>
      <c r="B213" s="2">
        <v>6</v>
      </c>
      <c r="C213" s="4" t="s">
        <v>567</v>
      </c>
      <c r="D213" s="1" t="s">
        <v>576</v>
      </c>
      <c r="E213" s="6">
        <f t="shared" si="3"/>
        <v>60</v>
      </c>
      <c r="F213" s="2" t="s">
        <v>5</v>
      </c>
      <c r="G213" s="1" t="s">
        <v>15273</v>
      </c>
      <c r="K213" s="4" t="s">
        <v>16125</v>
      </c>
      <c r="M213" s="1" t="s">
        <v>6</v>
      </c>
      <c r="P213" s="3" t="s">
        <v>577</v>
      </c>
      <c r="Q213" s="20">
        <v>19304</v>
      </c>
      <c r="R213" s="3" t="s">
        <v>578</v>
      </c>
      <c r="T213" s="3" t="s">
        <v>5561</v>
      </c>
      <c r="U213" s="3" t="s">
        <v>145</v>
      </c>
      <c r="W213" s="2" t="s">
        <v>145</v>
      </c>
      <c r="AE213" s="698"/>
      <c r="AF213" s="655"/>
    </row>
    <row r="214" spans="1:32" ht="12" customHeight="1">
      <c r="A214" s="790" t="s">
        <v>16202</v>
      </c>
      <c r="B214" s="2">
        <v>6</v>
      </c>
      <c r="C214" s="4" t="s">
        <v>653</v>
      </c>
      <c r="D214" s="1" t="s">
        <v>15629</v>
      </c>
      <c r="E214" s="6">
        <f t="shared" si="3"/>
        <v>50</v>
      </c>
      <c r="F214" s="2" t="s">
        <v>5</v>
      </c>
      <c r="G214" s="1" t="s">
        <v>15273</v>
      </c>
      <c r="K214" s="4" t="s">
        <v>16125</v>
      </c>
      <c r="M214" s="1" t="s">
        <v>6</v>
      </c>
      <c r="P214" s="3" t="s">
        <v>15630</v>
      </c>
      <c r="Q214" s="21">
        <v>22770</v>
      </c>
      <c r="R214" s="3" t="s">
        <v>15631</v>
      </c>
      <c r="T214" s="3" t="s">
        <v>5561</v>
      </c>
      <c r="AE214" s="774"/>
      <c r="AF214" s="655"/>
    </row>
    <row r="215" spans="1:32" ht="12" customHeight="1">
      <c r="A215" s="790" t="s">
        <v>16203</v>
      </c>
      <c r="B215" s="2">
        <v>6</v>
      </c>
      <c r="C215" s="4" t="s">
        <v>693</v>
      </c>
      <c r="D215" s="1" t="s">
        <v>15973</v>
      </c>
      <c r="E215" s="6">
        <f t="shared" si="3"/>
        <v>55</v>
      </c>
      <c r="F215" s="2" t="s">
        <v>5</v>
      </c>
      <c r="G215" s="1" t="s">
        <v>15273</v>
      </c>
      <c r="K215" s="4" t="s">
        <v>16125</v>
      </c>
      <c r="M215" s="1" t="s">
        <v>6</v>
      </c>
      <c r="P215" s="3" t="s">
        <v>188</v>
      </c>
      <c r="Q215" s="20">
        <v>20828</v>
      </c>
      <c r="R215" s="3" t="s">
        <v>15972</v>
      </c>
      <c r="T215" s="3" t="s">
        <v>5561</v>
      </c>
      <c r="AD215" s="3"/>
      <c r="AE215" s="774"/>
      <c r="AF215" s="655"/>
    </row>
    <row r="216" spans="1:32" ht="12" customHeight="1">
      <c r="A216" s="790" t="s">
        <v>16204</v>
      </c>
      <c r="B216" s="2">
        <v>6</v>
      </c>
      <c r="C216" s="4" t="s">
        <v>699</v>
      </c>
      <c r="D216" s="1" t="s">
        <v>5074</v>
      </c>
      <c r="E216" s="6">
        <f t="shared" si="3"/>
        <v>49</v>
      </c>
      <c r="F216" s="2" t="s">
        <v>5</v>
      </c>
      <c r="G216" s="1" t="s">
        <v>15273</v>
      </c>
      <c r="K216" s="4" t="s">
        <v>16125</v>
      </c>
      <c r="M216" s="1" t="s">
        <v>6</v>
      </c>
      <c r="P216" s="3" t="s">
        <v>1493</v>
      </c>
      <c r="Q216" s="20">
        <v>23066</v>
      </c>
      <c r="R216" s="3" t="s">
        <v>5076</v>
      </c>
      <c r="T216" s="3" t="s">
        <v>5561</v>
      </c>
      <c r="AD216" s="3"/>
      <c r="AE216" s="774"/>
      <c r="AF216" s="655"/>
    </row>
    <row r="217" spans="1:32" ht="12" customHeight="1">
      <c r="A217" s="790" t="s">
        <v>16205</v>
      </c>
      <c r="B217" s="2">
        <v>6</v>
      </c>
      <c r="C217" s="4" t="s">
        <v>989</v>
      </c>
      <c r="D217" s="1" t="s">
        <v>5732</v>
      </c>
      <c r="E217" s="6">
        <f t="shared" si="3"/>
        <v>48</v>
      </c>
      <c r="F217" s="2" t="s">
        <v>19</v>
      </c>
      <c r="G217" s="1" t="s">
        <v>15273</v>
      </c>
      <c r="K217" s="4" t="s">
        <v>16125</v>
      </c>
      <c r="M217" s="1" t="s">
        <v>6</v>
      </c>
      <c r="P217" s="3" t="s">
        <v>15980</v>
      </c>
      <c r="Q217" s="20">
        <v>23501</v>
      </c>
      <c r="R217" s="3" t="s">
        <v>5733</v>
      </c>
      <c r="T217" s="3" t="s">
        <v>5561</v>
      </c>
      <c r="AE217" s="698"/>
      <c r="AF217" s="655"/>
    </row>
    <row r="218" spans="1:32" ht="12" customHeight="1" thickBot="1">
      <c r="A218" s="782" t="s">
        <v>16192</v>
      </c>
      <c r="B218" s="702">
        <v>14</v>
      </c>
      <c r="C218" s="702"/>
      <c r="D218" s="702" t="s">
        <v>16193</v>
      </c>
      <c r="E218" s="701">
        <f t="shared" si="3"/>
        <v>71</v>
      </c>
      <c r="F218" s="702" t="s">
        <v>5</v>
      </c>
      <c r="G218" s="702" t="s">
        <v>6067</v>
      </c>
      <c r="H218" s="720"/>
      <c r="I218" s="702"/>
      <c r="J218" s="702"/>
      <c r="K218" s="770" t="s">
        <v>16125</v>
      </c>
      <c r="L218" s="702"/>
      <c r="M218" s="702" t="s">
        <v>6</v>
      </c>
      <c r="N218" s="721"/>
      <c r="O218" s="722"/>
      <c r="P218" s="720" t="s">
        <v>16206</v>
      </c>
      <c r="Q218" s="723">
        <v>15150</v>
      </c>
      <c r="R218" s="720" t="s">
        <v>16207</v>
      </c>
      <c r="S218" s="740"/>
      <c r="T218" s="740"/>
      <c r="U218" s="740"/>
      <c r="V218" s="702"/>
      <c r="W218" s="702"/>
      <c r="X218" s="702"/>
      <c r="Y218" s="702"/>
      <c r="Z218" s="702"/>
      <c r="AA218" s="702"/>
      <c r="AB218" s="702"/>
      <c r="AC218" s="702"/>
      <c r="AD218" s="702"/>
      <c r="AE218" s="708"/>
      <c r="AF218" s="655"/>
    </row>
    <row r="219" spans="1:32" ht="12" customHeight="1">
      <c r="A219" s="745" t="s">
        <v>2113</v>
      </c>
      <c r="B219" s="696">
        <v>1</v>
      </c>
      <c r="C219" s="696"/>
      <c r="D219" s="696" t="s">
        <v>2114</v>
      </c>
      <c r="E219" s="690">
        <f t="shared" si="3"/>
        <v>54</v>
      </c>
      <c r="F219" s="696" t="s">
        <v>5</v>
      </c>
      <c r="G219" s="696" t="s">
        <v>6067</v>
      </c>
      <c r="H219" s="715" t="s">
        <v>2117</v>
      </c>
      <c r="I219" s="696"/>
      <c r="J219" s="696"/>
      <c r="K219" s="716" t="s">
        <v>16118</v>
      </c>
      <c r="L219" s="696"/>
      <c r="M219" s="696" t="s">
        <v>25</v>
      </c>
      <c r="N219" s="717">
        <v>6</v>
      </c>
      <c r="O219" s="718">
        <v>6</v>
      </c>
      <c r="P219" s="715" t="s">
        <v>2118</v>
      </c>
      <c r="Q219" s="719">
        <v>21264</v>
      </c>
      <c r="R219" s="715" t="s">
        <v>2119</v>
      </c>
      <c r="S219" s="715" t="s">
        <v>2120</v>
      </c>
      <c r="T219" s="715"/>
      <c r="U219" s="715" t="s">
        <v>2121</v>
      </c>
      <c r="V219" s="696" t="s">
        <v>2121</v>
      </c>
      <c r="W219" s="696"/>
      <c r="X219" s="696"/>
      <c r="Y219" s="696"/>
      <c r="Z219" s="696"/>
      <c r="AA219" s="696"/>
      <c r="AB219" s="696"/>
      <c r="AC219" s="696"/>
      <c r="AD219" s="696"/>
      <c r="AE219" s="697"/>
      <c r="AF219" s="655"/>
    </row>
    <row r="220" spans="1:32" ht="12" customHeight="1">
      <c r="A220" s="791" t="s">
        <v>2115</v>
      </c>
      <c r="B220" s="2">
        <v>2</v>
      </c>
      <c r="C220" s="2"/>
      <c r="D220" s="6" t="s">
        <v>2122</v>
      </c>
      <c r="E220" s="6">
        <f t="shared" si="3"/>
        <v>47</v>
      </c>
      <c r="F220" s="6" t="s">
        <v>5</v>
      </c>
      <c r="G220" s="2" t="s">
        <v>6067</v>
      </c>
      <c r="H220" s="12"/>
      <c r="I220" s="6"/>
      <c r="J220" s="19"/>
      <c r="K220" s="8" t="s">
        <v>16118</v>
      </c>
      <c r="L220" s="6"/>
      <c r="M220" s="6" t="s">
        <v>6</v>
      </c>
      <c r="N220" s="13"/>
      <c r="O220" s="14"/>
      <c r="P220" s="12" t="s">
        <v>2123</v>
      </c>
      <c r="Q220" s="15">
        <v>23867</v>
      </c>
      <c r="R220" s="12" t="s">
        <v>2124</v>
      </c>
      <c r="S220" s="12"/>
      <c r="T220" s="12"/>
      <c r="U220" s="12"/>
      <c r="AE220" s="698"/>
      <c r="AF220" s="655"/>
    </row>
    <row r="221" spans="1:32" ht="12" customHeight="1">
      <c r="A221" s="791" t="s">
        <v>2116</v>
      </c>
      <c r="B221" s="2">
        <v>3</v>
      </c>
      <c r="C221" s="2"/>
      <c r="D221" s="6" t="s">
        <v>2125</v>
      </c>
      <c r="E221" s="6">
        <f t="shared" si="3"/>
        <v>50</v>
      </c>
      <c r="F221" s="6" t="s">
        <v>5</v>
      </c>
      <c r="G221" s="2" t="s">
        <v>6067</v>
      </c>
      <c r="H221" s="12"/>
      <c r="I221" s="6"/>
      <c r="J221" s="19"/>
      <c r="K221" s="8" t="s">
        <v>16118</v>
      </c>
      <c r="L221" s="6"/>
      <c r="M221" s="6" t="s">
        <v>6</v>
      </c>
      <c r="N221" s="13"/>
      <c r="O221" s="14"/>
      <c r="P221" s="12" t="s">
        <v>2126</v>
      </c>
      <c r="Q221" s="15">
        <v>22681</v>
      </c>
      <c r="R221" s="12" t="s">
        <v>2127</v>
      </c>
      <c r="S221" s="12"/>
      <c r="T221" s="12"/>
      <c r="U221" s="22" t="s">
        <v>2112</v>
      </c>
      <c r="W221" s="2" t="s">
        <v>2112</v>
      </c>
      <c r="AE221" s="698"/>
      <c r="AF221" s="655"/>
    </row>
    <row r="222" spans="1:32" ht="12" customHeight="1">
      <c r="A222" s="791" t="s">
        <v>5893</v>
      </c>
      <c r="B222" s="2">
        <v>4</v>
      </c>
      <c r="C222" s="2"/>
      <c r="D222" s="6" t="s">
        <v>5896</v>
      </c>
      <c r="E222" s="6">
        <f t="shared" si="3"/>
        <v>47</v>
      </c>
      <c r="F222" s="6" t="s">
        <v>5</v>
      </c>
      <c r="G222" s="2" t="s">
        <v>6067</v>
      </c>
      <c r="H222" s="12"/>
      <c r="I222" s="6"/>
      <c r="J222" s="19"/>
      <c r="K222" s="23" t="s">
        <v>16118</v>
      </c>
      <c r="L222" s="6"/>
      <c r="M222" s="6" t="s">
        <v>6</v>
      </c>
      <c r="N222" s="13"/>
      <c r="O222" s="14"/>
      <c r="P222" s="12" t="s">
        <v>2123</v>
      </c>
      <c r="Q222" s="15">
        <v>24003</v>
      </c>
      <c r="R222" s="12" t="s">
        <v>16208</v>
      </c>
      <c r="S222" s="12"/>
      <c r="T222" s="12"/>
      <c r="U222" s="22"/>
      <c r="AE222" s="698"/>
      <c r="AF222" s="655"/>
    </row>
    <row r="223" spans="1:32" ht="12" customHeight="1">
      <c r="A223" s="791" t="s">
        <v>5894</v>
      </c>
      <c r="B223" s="2">
        <v>5</v>
      </c>
      <c r="C223" s="2"/>
      <c r="D223" s="6" t="s">
        <v>5897</v>
      </c>
      <c r="E223" s="6">
        <f t="shared" si="3"/>
        <v>38</v>
      </c>
      <c r="F223" s="6" t="s">
        <v>5</v>
      </c>
      <c r="G223" s="2" t="s">
        <v>6067</v>
      </c>
      <c r="H223" s="12"/>
      <c r="I223" s="6"/>
      <c r="J223" s="19"/>
      <c r="K223" s="8" t="s">
        <v>16118</v>
      </c>
      <c r="L223" s="6"/>
      <c r="M223" s="6" t="s">
        <v>6</v>
      </c>
      <c r="N223" s="13"/>
      <c r="O223" s="14"/>
      <c r="P223" s="12" t="s">
        <v>2123</v>
      </c>
      <c r="Q223" s="15">
        <v>27325</v>
      </c>
      <c r="R223" s="12" t="s">
        <v>16209</v>
      </c>
      <c r="S223" s="12"/>
      <c r="T223" s="12"/>
      <c r="U223" s="22"/>
      <c r="AE223" s="698"/>
      <c r="AF223" s="655"/>
    </row>
    <row r="224" spans="1:32" ht="12" customHeight="1" thickBot="1">
      <c r="A224" s="746" t="s">
        <v>5895</v>
      </c>
      <c r="B224" s="702">
        <v>6</v>
      </c>
      <c r="C224" s="702"/>
      <c r="D224" s="701" t="s">
        <v>5898</v>
      </c>
      <c r="E224" s="701">
        <f t="shared" si="3"/>
        <v>40</v>
      </c>
      <c r="F224" s="701" t="s">
        <v>5</v>
      </c>
      <c r="G224" s="702" t="s">
        <v>6067</v>
      </c>
      <c r="H224" s="740"/>
      <c r="I224" s="701"/>
      <c r="J224" s="741"/>
      <c r="K224" s="770" t="s">
        <v>16118</v>
      </c>
      <c r="L224" s="701"/>
      <c r="M224" s="701" t="s">
        <v>6</v>
      </c>
      <c r="N224" s="742"/>
      <c r="O224" s="743"/>
      <c r="P224" s="740" t="s">
        <v>16210</v>
      </c>
      <c r="Q224" s="744">
        <v>26615</v>
      </c>
      <c r="R224" s="740" t="s">
        <v>16406</v>
      </c>
      <c r="S224" s="740"/>
      <c r="T224" s="740"/>
      <c r="U224" s="720"/>
      <c r="V224" s="702"/>
      <c r="W224" s="702"/>
      <c r="X224" s="702"/>
      <c r="Y224" s="702"/>
      <c r="Z224" s="702"/>
      <c r="AA224" s="702"/>
      <c r="AB224" s="702"/>
      <c r="AC224" s="702"/>
      <c r="AD224" s="702"/>
      <c r="AE224" s="708"/>
      <c r="AF224" s="655"/>
    </row>
    <row r="225" spans="1:32" ht="12" customHeight="1">
      <c r="A225" s="750" t="s">
        <v>16211</v>
      </c>
      <c r="B225" s="696">
        <v>1</v>
      </c>
      <c r="C225" s="688" t="s">
        <v>538</v>
      </c>
      <c r="D225" s="690" t="s">
        <v>897</v>
      </c>
      <c r="E225" s="690">
        <f t="shared" si="3"/>
        <v>41</v>
      </c>
      <c r="F225" s="690" t="s">
        <v>5</v>
      </c>
      <c r="G225" s="687" t="s">
        <v>15273</v>
      </c>
      <c r="H225" s="735" t="s">
        <v>1367</v>
      </c>
      <c r="I225" s="690" t="s">
        <v>373</v>
      </c>
      <c r="J225" s="736"/>
      <c r="K225" s="688" t="s">
        <v>16116</v>
      </c>
      <c r="L225" s="690" t="s">
        <v>469</v>
      </c>
      <c r="M225" s="690" t="s">
        <v>6</v>
      </c>
      <c r="N225" s="737"/>
      <c r="O225" s="738">
        <v>1</v>
      </c>
      <c r="P225" s="735" t="s">
        <v>255</v>
      </c>
      <c r="Q225" s="739">
        <v>25987</v>
      </c>
      <c r="R225" s="735" t="s">
        <v>787</v>
      </c>
      <c r="S225" s="735" t="s">
        <v>550</v>
      </c>
      <c r="T225" s="735" t="s">
        <v>16465</v>
      </c>
      <c r="U225" s="736" t="s">
        <v>551</v>
      </c>
      <c r="V225" s="696" t="s">
        <v>47</v>
      </c>
      <c r="W225" s="696"/>
      <c r="X225" s="696"/>
      <c r="Y225" s="696" t="s">
        <v>229</v>
      </c>
      <c r="Z225" s="696"/>
      <c r="AA225" s="696"/>
      <c r="AB225" s="696" t="s">
        <v>104</v>
      </c>
      <c r="AC225" s="696"/>
      <c r="AD225" s="696"/>
      <c r="AE225" s="697"/>
      <c r="AF225" s="655"/>
    </row>
    <row r="226" spans="1:32" ht="12" customHeight="1">
      <c r="A226" s="751" t="s">
        <v>16212</v>
      </c>
      <c r="B226" s="2">
        <v>2</v>
      </c>
      <c r="C226" s="4" t="s">
        <v>554</v>
      </c>
      <c r="D226" s="5" t="s">
        <v>900</v>
      </c>
      <c r="E226" s="6">
        <f t="shared" si="3"/>
        <v>40</v>
      </c>
      <c r="F226" s="5" t="s">
        <v>5</v>
      </c>
      <c r="G226" s="1" t="s">
        <v>15273</v>
      </c>
      <c r="H226" s="7" t="s">
        <v>1368</v>
      </c>
      <c r="I226" s="18"/>
      <c r="J226" s="19"/>
      <c r="K226" s="4" t="s">
        <v>16116</v>
      </c>
      <c r="L226" s="6" t="s">
        <v>564</v>
      </c>
      <c r="M226" s="5" t="s">
        <v>25</v>
      </c>
      <c r="N226" s="9">
        <v>2</v>
      </c>
      <c r="O226" s="10">
        <v>2</v>
      </c>
      <c r="P226" s="7" t="s">
        <v>188</v>
      </c>
      <c r="Q226" s="11">
        <v>26347</v>
      </c>
      <c r="R226" s="7" t="s">
        <v>761</v>
      </c>
      <c r="S226" s="7"/>
      <c r="T226" s="7" t="s">
        <v>18564</v>
      </c>
      <c r="U226" s="7" t="s">
        <v>547</v>
      </c>
      <c r="V226" s="2" t="s">
        <v>47</v>
      </c>
      <c r="W226" s="2" t="s">
        <v>145</v>
      </c>
      <c r="AE226" s="698"/>
      <c r="AF226" s="655"/>
    </row>
    <row r="227" spans="1:32" ht="12" customHeight="1">
      <c r="A227" s="751" t="s">
        <v>16213</v>
      </c>
      <c r="B227" s="2">
        <v>3</v>
      </c>
      <c r="C227" s="4" t="s">
        <v>5313</v>
      </c>
      <c r="D227" s="1" t="s">
        <v>5314</v>
      </c>
      <c r="E227" s="6">
        <f t="shared" si="3"/>
        <v>38</v>
      </c>
      <c r="F227" s="2" t="s">
        <v>19</v>
      </c>
      <c r="G227" s="1" t="s">
        <v>15273</v>
      </c>
      <c r="K227" s="4" t="s">
        <v>16116</v>
      </c>
      <c r="L227" s="1" t="s">
        <v>4997</v>
      </c>
      <c r="M227" s="1" t="s">
        <v>6</v>
      </c>
      <c r="P227" s="3" t="s">
        <v>6141</v>
      </c>
      <c r="Q227" s="20">
        <v>27068</v>
      </c>
      <c r="R227" s="3" t="s">
        <v>5315</v>
      </c>
      <c r="T227" s="3" t="s">
        <v>469</v>
      </c>
      <c r="U227" s="3" t="s">
        <v>85</v>
      </c>
      <c r="AA227" s="2" t="s">
        <v>85</v>
      </c>
      <c r="AE227" s="698"/>
      <c r="AF227" s="655"/>
    </row>
    <row r="228" spans="1:32" ht="12" customHeight="1">
      <c r="A228" s="751" t="s">
        <v>16214</v>
      </c>
      <c r="B228" s="2">
        <v>3</v>
      </c>
      <c r="C228" s="4" t="s">
        <v>410</v>
      </c>
      <c r="D228" s="1" t="s">
        <v>5317</v>
      </c>
      <c r="E228" s="6">
        <f t="shared" si="3"/>
        <v>45</v>
      </c>
      <c r="F228" s="2" t="s">
        <v>5</v>
      </c>
      <c r="G228" s="1" t="s">
        <v>15273</v>
      </c>
      <c r="K228" s="4" t="s">
        <v>16116</v>
      </c>
      <c r="L228" s="1" t="s">
        <v>4997</v>
      </c>
      <c r="M228" s="1" t="s">
        <v>6</v>
      </c>
      <c r="P228" s="3" t="s">
        <v>15965</v>
      </c>
      <c r="Q228" s="21">
        <v>24705</v>
      </c>
      <c r="R228" s="3" t="s">
        <v>5318</v>
      </c>
      <c r="T228" s="3" t="s">
        <v>469</v>
      </c>
      <c r="U228" s="3" t="s">
        <v>145</v>
      </c>
      <c r="W228" s="2" t="s">
        <v>145</v>
      </c>
      <c r="AE228" s="698"/>
      <c r="AF228" s="655"/>
    </row>
    <row r="229" spans="1:32" ht="12" customHeight="1">
      <c r="A229" s="751" t="s">
        <v>16215</v>
      </c>
      <c r="B229" s="2">
        <v>3</v>
      </c>
      <c r="C229" s="4" t="s">
        <v>4994</v>
      </c>
      <c r="D229" s="1" t="s">
        <v>4996</v>
      </c>
      <c r="E229" s="6">
        <f t="shared" si="3"/>
        <v>41</v>
      </c>
      <c r="F229" s="2" t="s">
        <v>5</v>
      </c>
      <c r="G229" s="1" t="s">
        <v>15273</v>
      </c>
      <c r="K229" s="4" t="s">
        <v>16116</v>
      </c>
      <c r="L229" s="1" t="s">
        <v>4997</v>
      </c>
      <c r="M229" s="1" t="s">
        <v>6</v>
      </c>
      <c r="P229" s="3" t="s">
        <v>15</v>
      </c>
      <c r="Q229" s="21">
        <v>25966</v>
      </c>
      <c r="R229" s="3" t="s">
        <v>5001</v>
      </c>
      <c r="T229" s="3" t="s">
        <v>469</v>
      </c>
      <c r="AE229" s="698"/>
      <c r="AF229" s="655"/>
    </row>
    <row r="230" spans="1:32" ht="12" customHeight="1">
      <c r="A230" s="751" t="s">
        <v>16216</v>
      </c>
      <c r="B230" s="2">
        <v>3</v>
      </c>
      <c r="C230" s="4" t="s">
        <v>443</v>
      </c>
      <c r="D230" s="1" t="s">
        <v>5353</v>
      </c>
      <c r="E230" s="6">
        <f t="shared" si="3"/>
        <v>33</v>
      </c>
      <c r="F230" s="2" t="s">
        <v>5</v>
      </c>
      <c r="G230" s="1" t="s">
        <v>15273</v>
      </c>
      <c r="K230" s="4" t="s">
        <v>16116</v>
      </c>
      <c r="L230" s="1" t="s">
        <v>4997</v>
      </c>
      <c r="M230" s="1" t="s">
        <v>6</v>
      </c>
      <c r="P230" s="3" t="s">
        <v>159</v>
      </c>
      <c r="Q230" s="20">
        <v>29057</v>
      </c>
      <c r="R230" s="3" t="s">
        <v>5536</v>
      </c>
      <c r="T230" s="3" t="s">
        <v>469</v>
      </c>
      <c r="AE230" s="698"/>
      <c r="AF230" s="655"/>
    </row>
    <row r="231" spans="1:32" ht="12" customHeight="1">
      <c r="A231" s="751" t="s">
        <v>16217</v>
      </c>
      <c r="B231" s="2">
        <v>3</v>
      </c>
      <c r="C231" s="4" t="s">
        <v>581</v>
      </c>
      <c r="D231" s="1" t="s">
        <v>589</v>
      </c>
      <c r="E231" s="6">
        <f t="shared" si="3"/>
        <v>28</v>
      </c>
      <c r="F231" s="2" t="s">
        <v>19</v>
      </c>
      <c r="G231" s="1" t="s">
        <v>15273</v>
      </c>
      <c r="K231" s="4" t="s">
        <v>16116</v>
      </c>
      <c r="L231" s="1" t="s">
        <v>4997</v>
      </c>
      <c r="M231" s="1" t="s">
        <v>6</v>
      </c>
      <c r="P231" s="3" t="s">
        <v>590</v>
      </c>
      <c r="Q231" s="20">
        <v>30823</v>
      </c>
      <c r="R231" s="3" t="s">
        <v>591</v>
      </c>
      <c r="U231" s="3" t="s">
        <v>173</v>
      </c>
      <c r="W231" s="2" t="s">
        <v>145</v>
      </c>
      <c r="Z231" s="2" t="s">
        <v>155</v>
      </c>
      <c r="AE231" s="698"/>
      <c r="AF231" s="655"/>
    </row>
    <row r="232" spans="1:32" ht="12" customHeight="1">
      <c r="A232" s="751" t="s">
        <v>16218</v>
      </c>
      <c r="B232" s="2">
        <v>3</v>
      </c>
      <c r="C232" s="4" t="s">
        <v>629</v>
      </c>
      <c r="D232" s="1" t="s">
        <v>5772</v>
      </c>
      <c r="E232" s="6">
        <f t="shared" si="3"/>
        <v>62</v>
      </c>
      <c r="F232" s="2" t="s">
        <v>5</v>
      </c>
      <c r="G232" s="1" t="s">
        <v>15273</v>
      </c>
      <c r="K232" s="4" t="s">
        <v>16116</v>
      </c>
      <c r="L232" s="1" t="s">
        <v>276</v>
      </c>
      <c r="M232" s="1" t="s">
        <v>6</v>
      </c>
      <c r="P232" s="3" t="s">
        <v>321</v>
      </c>
      <c r="Q232" s="21">
        <v>18612</v>
      </c>
      <c r="R232" s="3" t="s">
        <v>5773</v>
      </c>
      <c r="U232" s="3" t="s">
        <v>145</v>
      </c>
      <c r="W232" s="2" t="s">
        <v>145</v>
      </c>
      <c r="AE232" s="774"/>
      <c r="AF232" s="655"/>
    </row>
    <row r="233" spans="1:32" ht="12" customHeight="1">
      <c r="A233" s="751" t="s">
        <v>16219</v>
      </c>
      <c r="B233" s="2">
        <v>3</v>
      </c>
      <c r="C233" s="4" t="s">
        <v>644</v>
      </c>
      <c r="D233" s="1" t="s">
        <v>5003</v>
      </c>
      <c r="E233" s="6">
        <f t="shared" si="3"/>
        <v>34</v>
      </c>
      <c r="F233" s="2" t="s">
        <v>5</v>
      </c>
      <c r="G233" s="1" t="s">
        <v>15273</v>
      </c>
      <c r="K233" s="4" t="s">
        <v>16116</v>
      </c>
      <c r="L233" s="1" t="s">
        <v>4997</v>
      </c>
      <c r="M233" s="1" t="s">
        <v>6</v>
      </c>
      <c r="P233" s="3" t="s">
        <v>1922</v>
      </c>
      <c r="Q233" s="20">
        <v>28801</v>
      </c>
      <c r="R233" s="3" t="s">
        <v>5004</v>
      </c>
      <c r="AE233" s="774"/>
      <c r="AF233" s="655"/>
    </row>
    <row r="234" spans="1:32" ht="12" customHeight="1">
      <c r="A234" s="751" t="s">
        <v>16220</v>
      </c>
      <c r="B234" s="2">
        <v>3</v>
      </c>
      <c r="C234" s="4" t="s">
        <v>665</v>
      </c>
      <c r="D234" s="1" t="s">
        <v>5857</v>
      </c>
      <c r="E234" s="6">
        <f t="shared" si="3"/>
        <v>63</v>
      </c>
      <c r="F234" s="2" t="s">
        <v>5</v>
      </c>
      <c r="G234" s="1" t="s">
        <v>15273</v>
      </c>
      <c r="K234" s="4" t="s">
        <v>16116</v>
      </c>
      <c r="L234" s="1" t="s">
        <v>4997</v>
      </c>
      <c r="M234" s="1" t="s">
        <v>6</v>
      </c>
      <c r="P234" s="3" t="s">
        <v>15971</v>
      </c>
      <c r="Q234" s="20">
        <v>18243</v>
      </c>
      <c r="R234" s="3" t="s">
        <v>5859</v>
      </c>
      <c r="T234" s="3" t="s">
        <v>469</v>
      </c>
      <c r="U234" s="3" t="s">
        <v>85</v>
      </c>
      <c r="AA234" s="2" t="s">
        <v>85</v>
      </c>
      <c r="AE234" s="774"/>
      <c r="AF234" s="655"/>
    </row>
    <row r="235" spans="1:32" ht="12" customHeight="1">
      <c r="A235" s="751" t="s">
        <v>16221</v>
      </c>
      <c r="B235" s="2">
        <v>3</v>
      </c>
      <c r="C235" s="4" t="s">
        <v>679</v>
      </c>
      <c r="D235" s="1" t="s">
        <v>5355</v>
      </c>
      <c r="E235" s="6">
        <f t="shared" si="3"/>
        <v>40</v>
      </c>
      <c r="F235" s="2" t="s">
        <v>5</v>
      </c>
      <c r="G235" s="1" t="s">
        <v>15273</v>
      </c>
      <c r="K235" s="4" t="s">
        <v>16116</v>
      </c>
      <c r="L235" s="1" t="s">
        <v>4997</v>
      </c>
      <c r="M235" s="1" t="s">
        <v>6</v>
      </c>
      <c r="P235" s="3" t="s">
        <v>381</v>
      </c>
      <c r="Q235" s="20">
        <v>26334</v>
      </c>
      <c r="R235" s="3" t="s">
        <v>6142</v>
      </c>
      <c r="T235" s="3" t="s">
        <v>469</v>
      </c>
      <c r="AD235" s="3"/>
      <c r="AE235" s="774"/>
      <c r="AF235" s="655"/>
    </row>
    <row r="236" spans="1:32" ht="12" customHeight="1">
      <c r="A236" s="751" t="s">
        <v>16222</v>
      </c>
      <c r="B236" s="2">
        <v>3</v>
      </c>
      <c r="C236" s="4" t="s">
        <v>1074</v>
      </c>
      <c r="D236" s="1" t="s">
        <v>1075</v>
      </c>
      <c r="E236" s="6">
        <f t="shared" si="3"/>
        <v>63</v>
      </c>
      <c r="F236" s="2" t="s">
        <v>5</v>
      </c>
      <c r="G236" s="1" t="s">
        <v>15273</v>
      </c>
      <c r="K236" s="4" t="s">
        <v>16116</v>
      </c>
      <c r="L236" s="1" t="s">
        <v>276</v>
      </c>
      <c r="M236" s="1" t="s">
        <v>14</v>
      </c>
      <c r="N236" s="16">
        <v>2</v>
      </c>
      <c r="O236" s="17">
        <v>2</v>
      </c>
      <c r="P236" s="3" t="s">
        <v>609</v>
      </c>
      <c r="Q236" s="20">
        <v>18037</v>
      </c>
      <c r="R236" s="3" t="s">
        <v>1078</v>
      </c>
      <c r="S236" s="3" t="s">
        <v>1079</v>
      </c>
      <c r="U236" s="3" t="s">
        <v>145</v>
      </c>
      <c r="W236" s="2" t="s">
        <v>145</v>
      </c>
      <c r="AD236" s="3"/>
      <c r="AE236" s="774"/>
      <c r="AF236" s="655"/>
    </row>
    <row r="237" spans="1:32" ht="12" customHeight="1">
      <c r="A237" s="751" t="s">
        <v>16223</v>
      </c>
      <c r="B237" s="2">
        <v>3</v>
      </c>
      <c r="C237" s="4" t="s">
        <v>5073</v>
      </c>
      <c r="D237" s="1" t="s">
        <v>6143</v>
      </c>
      <c r="E237" s="6">
        <f t="shared" si="3"/>
        <v>45</v>
      </c>
      <c r="F237" s="2" t="s">
        <v>5</v>
      </c>
      <c r="G237" s="1" t="s">
        <v>15273</v>
      </c>
      <c r="K237" s="4" t="s">
        <v>16116</v>
      </c>
      <c r="L237" s="1" t="s">
        <v>4997</v>
      </c>
      <c r="M237" s="1" t="s">
        <v>6</v>
      </c>
      <c r="P237" s="3" t="s">
        <v>6145</v>
      </c>
      <c r="Q237" s="20">
        <v>24529</v>
      </c>
      <c r="R237" s="3" t="s">
        <v>6146</v>
      </c>
      <c r="T237" s="3" t="s">
        <v>469</v>
      </c>
      <c r="AD237" s="3"/>
      <c r="AE237" s="774"/>
      <c r="AF237" s="655"/>
    </row>
    <row r="238" spans="1:32" ht="12" customHeight="1">
      <c r="A238" s="751" t="s">
        <v>16224</v>
      </c>
      <c r="B238" s="2">
        <v>3</v>
      </c>
      <c r="C238" s="4" t="s">
        <v>710</v>
      </c>
      <c r="D238" s="1" t="s">
        <v>720</v>
      </c>
      <c r="E238" s="6">
        <f t="shared" si="3"/>
        <v>57</v>
      </c>
      <c r="F238" s="2" t="s">
        <v>5</v>
      </c>
      <c r="G238" s="1" t="s">
        <v>15273</v>
      </c>
      <c r="K238" s="4" t="s">
        <v>16116</v>
      </c>
      <c r="L238" s="1" t="s">
        <v>4997</v>
      </c>
      <c r="M238" s="1" t="s">
        <v>6</v>
      </c>
      <c r="P238" s="3" t="s">
        <v>172</v>
      </c>
      <c r="Q238" s="20">
        <v>20119</v>
      </c>
      <c r="R238" s="3" t="s">
        <v>721</v>
      </c>
      <c r="U238" s="3" t="s">
        <v>371</v>
      </c>
      <c r="W238" s="2" t="s">
        <v>145</v>
      </c>
      <c r="X238" s="2" t="s">
        <v>75</v>
      </c>
      <c r="AD238" s="3"/>
      <c r="AE238" s="774"/>
      <c r="AF238" s="655"/>
    </row>
    <row r="239" spans="1:32" ht="12" customHeight="1">
      <c r="A239" s="751" t="s">
        <v>16225</v>
      </c>
      <c r="B239" s="2">
        <v>3</v>
      </c>
      <c r="C239" s="4" t="s">
        <v>956</v>
      </c>
      <c r="D239" s="1" t="s">
        <v>5358</v>
      </c>
      <c r="E239" s="6">
        <f t="shared" si="3"/>
        <v>35</v>
      </c>
      <c r="F239" s="2" t="s">
        <v>5</v>
      </c>
      <c r="G239" s="1" t="s">
        <v>15273</v>
      </c>
      <c r="K239" s="4" t="s">
        <v>16116</v>
      </c>
      <c r="L239" s="1" t="s">
        <v>4997</v>
      </c>
      <c r="M239" s="1" t="s">
        <v>6</v>
      </c>
      <c r="P239" s="3" t="s">
        <v>317</v>
      </c>
      <c r="Q239" s="20">
        <v>28163</v>
      </c>
      <c r="R239" s="3" t="s">
        <v>6147</v>
      </c>
      <c r="AE239" s="698"/>
      <c r="AF239" s="655"/>
    </row>
    <row r="240" spans="1:32" ht="12" customHeight="1">
      <c r="A240" s="751" t="s">
        <v>16226</v>
      </c>
      <c r="B240" s="2">
        <v>3</v>
      </c>
      <c r="C240" s="4" t="s">
        <v>973</v>
      </c>
      <c r="D240" s="1" t="s">
        <v>985</v>
      </c>
      <c r="E240" s="6">
        <f t="shared" si="3"/>
        <v>50</v>
      </c>
      <c r="F240" s="2" t="s">
        <v>5</v>
      </c>
      <c r="G240" s="1" t="s">
        <v>15273</v>
      </c>
      <c r="K240" s="4" t="s">
        <v>16116</v>
      </c>
      <c r="L240" s="1" t="s">
        <v>276</v>
      </c>
      <c r="M240" s="1" t="s">
        <v>6</v>
      </c>
      <c r="P240" s="3" t="s">
        <v>172</v>
      </c>
      <c r="Q240" s="20">
        <v>22960</v>
      </c>
      <c r="R240" s="3" t="s">
        <v>986</v>
      </c>
      <c r="T240" s="3" t="s">
        <v>469</v>
      </c>
      <c r="U240" s="3" t="s">
        <v>145</v>
      </c>
      <c r="W240" s="2" t="s">
        <v>145</v>
      </c>
      <c r="AE240" s="698"/>
      <c r="AF240" s="655"/>
    </row>
    <row r="241" spans="1:32" ht="12" customHeight="1">
      <c r="A241" s="751" t="s">
        <v>16227</v>
      </c>
      <c r="B241" s="2">
        <v>17</v>
      </c>
      <c r="C241" s="2"/>
      <c r="D241" s="6" t="s">
        <v>5719</v>
      </c>
      <c r="E241" s="6">
        <f t="shared" si="3"/>
        <v>42</v>
      </c>
      <c r="F241" s="6" t="s">
        <v>5</v>
      </c>
      <c r="G241" s="2" t="s">
        <v>6067</v>
      </c>
      <c r="H241" s="12"/>
      <c r="I241" s="6"/>
      <c r="J241" s="19"/>
      <c r="K241" s="8" t="s">
        <v>16130</v>
      </c>
      <c r="L241" s="6" t="s">
        <v>4993</v>
      </c>
      <c r="M241" s="6" t="s">
        <v>6</v>
      </c>
      <c r="N241" s="13"/>
      <c r="O241" s="14"/>
      <c r="P241" s="12" t="s">
        <v>5720</v>
      </c>
      <c r="Q241" s="15">
        <v>25563</v>
      </c>
      <c r="R241" s="12" t="s">
        <v>5721</v>
      </c>
      <c r="S241" s="12"/>
      <c r="T241" s="12"/>
      <c r="U241" s="22" t="s">
        <v>5722</v>
      </c>
      <c r="AB241" s="2" t="s">
        <v>5722</v>
      </c>
      <c r="AE241" s="698"/>
      <c r="AF241" s="655"/>
    </row>
    <row r="242" spans="1:32" ht="12" customHeight="1" thickBot="1">
      <c r="A242" s="752" t="s">
        <v>16228</v>
      </c>
      <c r="B242" s="702">
        <v>18</v>
      </c>
      <c r="C242" s="702"/>
      <c r="D242" s="701" t="s">
        <v>16229</v>
      </c>
      <c r="E242" s="701">
        <f t="shared" si="3"/>
        <v>30</v>
      </c>
      <c r="F242" s="701" t="s">
        <v>5</v>
      </c>
      <c r="G242" s="702" t="s">
        <v>6067</v>
      </c>
      <c r="H242" s="741"/>
      <c r="I242" s="701"/>
      <c r="J242" s="741"/>
      <c r="K242" s="741" t="s">
        <v>16130</v>
      </c>
      <c r="L242" s="701" t="s">
        <v>6010</v>
      </c>
      <c r="M242" s="701" t="s">
        <v>6</v>
      </c>
      <c r="N242" s="742"/>
      <c r="O242" s="743"/>
      <c r="P242" s="740" t="s">
        <v>1273</v>
      </c>
      <c r="Q242" s="744">
        <v>30209</v>
      </c>
      <c r="R242" s="740" t="s">
        <v>16405</v>
      </c>
      <c r="S242" s="740"/>
      <c r="T242" s="740"/>
      <c r="U242" s="741"/>
      <c r="V242" s="702"/>
      <c r="W242" s="702"/>
      <c r="X242" s="702"/>
      <c r="Y242" s="702"/>
      <c r="Z242" s="702"/>
      <c r="AA242" s="702"/>
      <c r="AB242" s="702"/>
      <c r="AC242" s="702"/>
      <c r="AD242" s="702"/>
      <c r="AE242" s="792"/>
      <c r="AF242" s="655"/>
    </row>
    <row r="243" spans="1:32" ht="12" customHeight="1">
      <c r="A243" s="757" t="s">
        <v>5319</v>
      </c>
      <c r="B243" s="696">
        <v>1</v>
      </c>
      <c r="C243" s="696"/>
      <c r="D243" s="690" t="s">
        <v>5320</v>
      </c>
      <c r="E243" s="690">
        <f t="shared" si="3"/>
        <v>39</v>
      </c>
      <c r="F243" s="690" t="s">
        <v>5</v>
      </c>
      <c r="G243" s="696" t="s">
        <v>6067</v>
      </c>
      <c r="H243" s="735" t="s">
        <v>5321</v>
      </c>
      <c r="I243" s="690"/>
      <c r="J243" s="736"/>
      <c r="K243" s="692" t="s">
        <v>16128</v>
      </c>
      <c r="L243" s="690"/>
      <c r="M243" s="690" t="s">
        <v>25</v>
      </c>
      <c r="N243" s="737">
        <v>2</v>
      </c>
      <c r="O243" s="738">
        <v>2</v>
      </c>
      <c r="P243" s="735" t="s">
        <v>5322</v>
      </c>
      <c r="Q243" s="739">
        <v>26901</v>
      </c>
      <c r="R243" s="735" t="s">
        <v>5323</v>
      </c>
      <c r="S243" s="735" t="s">
        <v>5324</v>
      </c>
      <c r="T243" s="735"/>
      <c r="U243" s="715"/>
      <c r="V243" s="696"/>
      <c r="W243" s="696"/>
      <c r="X243" s="696"/>
      <c r="Y243" s="696"/>
      <c r="Z243" s="696"/>
      <c r="AA243" s="696"/>
      <c r="AB243" s="696"/>
      <c r="AC243" s="696"/>
      <c r="AD243" s="696"/>
      <c r="AE243" s="697"/>
      <c r="AF243" s="655"/>
    </row>
    <row r="244" spans="1:32" ht="12" customHeight="1">
      <c r="A244" s="758" t="s">
        <v>16230</v>
      </c>
      <c r="B244" s="2">
        <v>2</v>
      </c>
      <c r="C244" s="4" t="s">
        <v>398</v>
      </c>
      <c r="D244" s="1" t="s">
        <v>406</v>
      </c>
      <c r="E244" s="6">
        <f t="shared" si="3"/>
        <v>43</v>
      </c>
      <c r="F244" s="2" t="s">
        <v>5</v>
      </c>
      <c r="G244" s="1" t="s">
        <v>15273</v>
      </c>
      <c r="K244" s="4" t="s">
        <v>16128</v>
      </c>
      <c r="M244" s="1" t="s">
        <v>6</v>
      </c>
      <c r="P244" s="3" t="s">
        <v>188</v>
      </c>
      <c r="Q244" s="20">
        <v>25446</v>
      </c>
      <c r="R244" s="3" t="s">
        <v>407</v>
      </c>
      <c r="T244" s="3" t="s">
        <v>6031</v>
      </c>
      <c r="U244" s="3" t="s">
        <v>145</v>
      </c>
      <c r="W244" s="2" t="s">
        <v>145</v>
      </c>
      <c r="AE244" s="698"/>
      <c r="AF244" s="655"/>
    </row>
    <row r="245" spans="1:32" ht="12" customHeight="1">
      <c r="A245" s="758" t="s">
        <v>16231</v>
      </c>
      <c r="B245" s="2">
        <v>2</v>
      </c>
      <c r="C245" s="4" t="s">
        <v>472</v>
      </c>
      <c r="D245" s="1" t="s">
        <v>480</v>
      </c>
      <c r="E245" s="6">
        <f t="shared" si="3"/>
        <v>41</v>
      </c>
      <c r="F245" s="2" t="s">
        <v>5</v>
      </c>
      <c r="G245" s="1" t="s">
        <v>15273</v>
      </c>
      <c r="K245" s="4" t="s">
        <v>16128</v>
      </c>
      <c r="M245" s="1" t="s">
        <v>6</v>
      </c>
      <c r="P245" s="3" t="s">
        <v>31</v>
      </c>
      <c r="Q245" s="20">
        <v>25990</v>
      </c>
      <c r="R245" s="3" t="s">
        <v>481</v>
      </c>
      <c r="T245" s="3" t="s">
        <v>6031</v>
      </c>
      <c r="AE245" s="698"/>
      <c r="AF245" s="655"/>
    </row>
    <row r="246" spans="1:32" ht="12" customHeight="1">
      <c r="A246" s="758" t="s">
        <v>16232</v>
      </c>
      <c r="B246" s="2">
        <v>2</v>
      </c>
      <c r="C246" s="4" t="s">
        <v>487</v>
      </c>
      <c r="D246" s="1" t="s">
        <v>500</v>
      </c>
      <c r="E246" s="6">
        <f t="shared" si="3"/>
        <v>43</v>
      </c>
      <c r="F246" s="2" t="s">
        <v>5</v>
      </c>
      <c r="G246" s="1" t="s">
        <v>15273</v>
      </c>
      <c r="K246" s="8" t="s">
        <v>16128</v>
      </c>
      <c r="M246" s="1" t="s">
        <v>6</v>
      </c>
      <c r="P246" s="3" t="s">
        <v>501</v>
      </c>
      <c r="Q246" s="20">
        <v>25303</v>
      </c>
      <c r="R246" s="3" t="s">
        <v>502</v>
      </c>
      <c r="T246" s="3" t="s">
        <v>6031</v>
      </c>
      <c r="AC246" s="3"/>
      <c r="AD246" s="3"/>
      <c r="AE246" s="774"/>
      <c r="AF246" s="655"/>
    </row>
    <row r="247" spans="1:32" ht="12" customHeight="1">
      <c r="A247" s="758" t="s">
        <v>16233</v>
      </c>
      <c r="B247" s="2">
        <v>2</v>
      </c>
      <c r="C247" s="4" t="s">
        <v>515</v>
      </c>
      <c r="D247" s="1" t="s">
        <v>519</v>
      </c>
      <c r="E247" s="6">
        <f t="shared" si="3"/>
        <v>35</v>
      </c>
      <c r="F247" s="2" t="s">
        <v>5</v>
      </c>
      <c r="G247" s="1" t="s">
        <v>15273</v>
      </c>
      <c r="K247" s="4" t="s">
        <v>16128</v>
      </c>
      <c r="M247" s="1" t="s">
        <v>6</v>
      </c>
      <c r="P247" s="3" t="s">
        <v>522</v>
      </c>
      <c r="Q247" s="20">
        <v>28212</v>
      </c>
      <c r="R247" s="3" t="s">
        <v>520</v>
      </c>
      <c r="T247" s="3" t="s">
        <v>6031</v>
      </c>
      <c r="U247" s="3" t="s">
        <v>47</v>
      </c>
      <c r="V247" s="2" t="s">
        <v>47</v>
      </c>
      <c r="AC247" s="3"/>
      <c r="AD247" s="3"/>
      <c r="AE247" s="774"/>
      <c r="AF247" s="655"/>
    </row>
    <row r="248" spans="1:32" ht="12" customHeight="1">
      <c r="A248" s="758" t="s">
        <v>16234</v>
      </c>
      <c r="B248" s="2">
        <v>2</v>
      </c>
      <c r="C248" s="4" t="s">
        <v>525</v>
      </c>
      <c r="D248" s="6" t="s">
        <v>922</v>
      </c>
      <c r="E248" s="6">
        <f t="shared" si="3"/>
        <v>46</v>
      </c>
      <c r="F248" s="6" t="s">
        <v>5</v>
      </c>
      <c r="G248" s="1" t="s">
        <v>15273</v>
      </c>
      <c r="H248" s="12" t="s">
        <v>1298</v>
      </c>
      <c r="I248" s="19"/>
      <c r="J248" s="19"/>
      <c r="K248" s="4" t="s">
        <v>16128</v>
      </c>
      <c r="L248" s="6"/>
      <c r="M248" s="6" t="s">
        <v>25</v>
      </c>
      <c r="N248" s="13">
        <v>1</v>
      </c>
      <c r="O248" s="14">
        <v>1</v>
      </c>
      <c r="P248" s="12" t="s">
        <v>188</v>
      </c>
      <c r="Q248" s="15">
        <v>24404</v>
      </c>
      <c r="R248" s="12" t="s">
        <v>759</v>
      </c>
      <c r="S248" s="7"/>
      <c r="T248" s="7" t="s">
        <v>6031</v>
      </c>
      <c r="U248" s="7" t="s">
        <v>104</v>
      </c>
      <c r="AB248" s="2" t="s">
        <v>104</v>
      </c>
      <c r="AC248" s="3"/>
      <c r="AD248" s="3"/>
      <c r="AE248" s="774"/>
      <c r="AF248" s="655"/>
    </row>
    <row r="249" spans="1:32" ht="12" customHeight="1">
      <c r="A249" s="758" t="s">
        <v>16235</v>
      </c>
      <c r="B249" s="2">
        <v>2</v>
      </c>
      <c r="C249" s="4" t="s">
        <v>600</v>
      </c>
      <c r="D249" s="1" t="s">
        <v>611</v>
      </c>
      <c r="E249" s="6">
        <f t="shared" si="3"/>
        <v>47</v>
      </c>
      <c r="F249" s="2" t="s">
        <v>5</v>
      </c>
      <c r="G249" s="1" t="s">
        <v>15273</v>
      </c>
      <c r="K249" s="4" t="s">
        <v>16128</v>
      </c>
      <c r="M249" s="1" t="s">
        <v>6</v>
      </c>
      <c r="P249" s="3" t="s">
        <v>612</v>
      </c>
      <c r="Q249" s="20">
        <v>23868</v>
      </c>
      <c r="R249" s="3" t="s">
        <v>613</v>
      </c>
      <c r="T249" s="3" t="s">
        <v>6031</v>
      </c>
      <c r="AE249" s="698"/>
      <c r="AF249" s="655"/>
    </row>
    <row r="250" spans="1:32" ht="12" customHeight="1">
      <c r="A250" s="758" t="s">
        <v>16236</v>
      </c>
      <c r="B250" s="2">
        <v>2</v>
      </c>
      <c r="C250" s="4" t="s">
        <v>618</v>
      </c>
      <c r="D250" s="1" t="s">
        <v>625</v>
      </c>
      <c r="E250" s="6">
        <f t="shared" si="3"/>
        <v>47</v>
      </c>
      <c r="F250" s="2" t="s">
        <v>5</v>
      </c>
      <c r="G250" s="1" t="s">
        <v>15273</v>
      </c>
      <c r="K250" s="4" t="s">
        <v>16128</v>
      </c>
      <c r="M250" s="1" t="s">
        <v>6</v>
      </c>
      <c r="P250" s="3" t="s">
        <v>557</v>
      </c>
      <c r="Q250" s="20">
        <v>23865</v>
      </c>
      <c r="R250" s="3" t="s">
        <v>626</v>
      </c>
      <c r="T250" s="3" t="s">
        <v>6031</v>
      </c>
      <c r="U250" s="3" t="s">
        <v>145</v>
      </c>
      <c r="W250" s="2" t="s">
        <v>145</v>
      </c>
      <c r="AE250" s="698"/>
      <c r="AF250" s="655"/>
    </row>
    <row r="251" spans="1:32" ht="12" customHeight="1">
      <c r="A251" s="758" t="s">
        <v>16237</v>
      </c>
      <c r="B251" s="2">
        <v>2</v>
      </c>
      <c r="C251" s="4" t="s">
        <v>4591</v>
      </c>
      <c r="D251" s="1" t="s">
        <v>4592</v>
      </c>
      <c r="E251" s="6">
        <f t="shared" si="3"/>
        <v>35</v>
      </c>
      <c r="F251" s="2" t="s">
        <v>5</v>
      </c>
      <c r="G251" s="1" t="s">
        <v>15273</v>
      </c>
      <c r="K251" s="8" t="s">
        <v>16128</v>
      </c>
      <c r="M251" s="1" t="s">
        <v>6</v>
      </c>
      <c r="P251" s="3" t="s">
        <v>188</v>
      </c>
      <c r="Q251" s="20">
        <v>28157</v>
      </c>
      <c r="R251" s="3" t="s">
        <v>4593</v>
      </c>
      <c r="AE251" s="774"/>
      <c r="AF251" s="655"/>
    </row>
    <row r="252" spans="1:32" ht="12" customHeight="1">
      <c r="A252" s="758" t="s">
        <v>16238</v>
      </c>
      <c r="B252" s="2">
        <v>2</v>
      </c>
      <c r="C252" s="4" t="s">
        <v>15974</v>
      </c>
      <c r="D252" s="1" t="s">
        <v>948</v>
      </c>
      <c r="E252" s="6">
        <f t="shared" si="3"/>
        <v>44</v>
      </c>
      <c r="F252" s="2" t="s">
        <v>5</v>
      </c>
      <c r="G252" s="1" t="s">
        <v>15273</v>
      </c>
      <c r="K252" s="4" t="s">
        <v>16128</v>
      </c>
      <c r="M252" s="1" t="s">
        <v>6</v>
      </c>
      <c r="P252" s="3" t="s">
        <v>188</v>
      </c>
      <c r="Q252" s="20">
        <v>25026</v>
      </c>
      <c r="R252" s="3" t="s">
        <v>949</v>
      </c>
      <c r="T252" s="3" t="s">
        <v>16096</v>
      </c>
      <c r="U252" s="3" t="s">
        <v>145</v>
      </c>
      <c r="W252" s="2" t="s">
        <v>145</v>
      </c>
      <c r="AE252" s="698"/>
      <c r="AF252" s="655"/>
    </row>
    <row r="253" spans="1:32" ht="12" customHeight="1">
      <c r="A253" s="758" t="s">
        <v>16239</v>
      </c>
      <c r="B253" s="2">
        <v>2</v>
      </c>
      <c r="C253" s="4" t="s">
        <v>957</v>
      </c>
      <c r="D253" s="1" t="s">
        <v>969</v>
      </c>
      <c r="E253" s="6">
        <f t="shared" si="3"/>
        <v>49</v>
      </c>
      <c r="F253" s="2" t="s">
        <v>5</v>
      </c>
      <c r="G253" s="1" t="s">
        <v>15273</v>
      </c>
      <c r="K253" s="4" t="s">
        <v>16128</v>
      </c>
      <c r="M253" s="1" t="s">
        <v>6</v>
      </c>
      <c r="P253" s="3" t="s">
        <v>188</v>
      </c>
      <c r="Q253" s="20">
        <v>23159</v>
      </c>
      <c r="R253" s="3" t="s">
        <v>970</v>
      </c>
      <c r="AE253" s="698"/>
      <c r="AF253" s="655"/>
    </row>
    <row r="254" spans="1:32" ht="12" customHeight="1" thickBot="1">
      <c r="A254" s="759" t="s">
        <v>16240</v>
      </c>
      <c r="B254" s="702">
        <v>2</v>
      </c>
      <c r="C254" s="700" t="s">
        <v>990</v>
      </c>
      <c r="D254" s="699" t="s">
        <v>1003</v>
      </c>
      <c r="E254" s="701">
        <f t="shared" si="3"/>
        <v>43</v>
      </c>
      <c r="F254" s="702" t="s">
        <v>5</v>
      </c>
      <c r="G254" s="699" t="s">
        <v>15273</v>
      </c>
      <c r="H254" s="703"/>
      <c r="I254" s="699"/>
      <c r="J254" s="699"/>
      <c r="K254" s="700" t="s">
        <v>16128</v>
      </c>
      <c r="L254" s="699"/>
      <c r="M254" s="699" t="s">
        <v>6</v>
      </c>
      <c r="N254" s="705"/>
      <c r="O254" s="706"/>
      <c r="P254" s="703" t="s">
        <v>1002</v>
      </c>
      <c r="Q254" s="707">
        <v>25298</v>
      </c>
      <c r="R254" s="703" t="s">
        <v>1004</v>
      </c>
      <c r="S254" s="703"/>
      <c r="T254" s="703" t="s">
        <v>6031</v>
      </c>
      <c r="U254" s="703"/>
      <c r="V254" s="702"/>
      <c r="W254" s="702"/>
      <c r="X254" s="702"/>
      <c r="Y254" s="702"/>
      <c r="Z254" s="702"/>
      <c r="AA254" s="702"/>
      <c r="AB254" s="702"/>
      <c r="AC254" s="702"/>
      <c r="AD254" s="702"/>
      <c r="AE254" s="793"/>
      <c r="AF254" s="655"/>
    </row>
    <row r="255" spans="1:32" ht="12" customHeight="1">
      <c r="A255" s="760" t="s">
        <v>5661</v>
      </c>
      <c r="B255" s="696">
        <v>1</v>
      </c>
      <c r="C255" s="696"/>
      <c r="D255" s="696" t="s">
        <v>2128</v>
      </c>
      <c r="E255" s="690">
        <f t="shared" si="3"/>
        <v>50</v>
      </c>
      <c r="F255" s="696" t="s">
        <v>5</v>
      </c>
      <c r="G255" s="696" t="s">
        <v>6067</v>
      </c>
      <c r="H255" s="715" t="s">
        <v>2129</v>
      </c>
      <c r="I255" s="696"/>
      <c r="J255" s="696"/>
      <c r="K255" s="716" t="s">
        <v>16117</v>
      </c>
      <c r="L255" s="696"/>
      <c r="M255" s="696" t="s">
        <v>25</v>
      </c>
      <c r="N255" s="717">
        <v>4</v>
      </c>
      <c r="O255" s="718">
        <v>4</v>
      </c>
      <c r="P255" s="715" t="s">
        <v>2130</v>
      </c>
      <c r="Q255" s="719">
        <v>22633</v>
      </c>
      <c r="R255" s="715" t="s">
        <v>2131</v>
      </c>
      <c r="S255" s="715"/>
      <c r="T255" s="715"/>
      <c r="U255" s="715"/>
      <c r="V255" s="696"/>
      <c r="W255" s="696"/>
      <c r="X255" s="696"/>
      <c r="Y255" s="696"/>
      <c r="Z255" s="696"/>
      <c r="AA255" s="696"/>
      <c r="AB255" s="696"/>
      <c r="AC255" s="696"/>
      <c r="AD255" s="696"/>
      <c r="AE255" s="697"/>
      <c r="AF255" s="655"/>
    </row>
    <row r="256" spans="1:32" ht="12" customHeight="1">
      <c r="A256" s="806" t="s">
        <v>5662</v>
      </c>
      <c r="B256" s="2">
        <v>2</v>
      </c>
      <c r="C256" s="2"/>
      <c r="D256" s="6" t="s">
        <v>2132</v>
      </c>
      <c r="E256" s="6">
        <f t="shared" si="3"/>
        <v>48</v>
      </c>
      <c r="F256" s="6" t="s">
        <v>19</v>
      </c>
      <c r="G256" s="2" t="s">
        <v>6067</v>
      </c>
      <c r="H256" s="12"/>
      <c r="I256" s="6"/>
      <c r="J256" s="19"/>
      <c r="K256" s="8" t="s">
        <v>16117</v>
      </c>
      <c r="L256" s="6"/>
      <c r="M256" s="6" t="s">
        <v>6</v>
      </c>
      <c r="N256" s="13"/>
      <c r="O256" s="14"/>
      <c r="P256" s="12" t="s">
        <v>2133</v>
      </c>
      <c r="Q256" s="15">
        <v>23556</v>
      </c>
      <c r="R256" s="12" t="s">
        <v>2134</v>
      </c>
      <c r="S256" s="12"/>
      <c r="T256" s="12"/>
      <c r="U256" s="22"/>
      <c r="AE256" s="698"/>
      <c r="AF256" s="655"/>
    </row>
    <row r="257" spans="1:32" ht="12" customHeight="1" thickBot="1">
      <c r="A257" s="761" t="s">
        <v>16241</v>
      </c>
      <c r="B257" s="702">
        <v>3</v>
      </c>
      <c r="C257" s="700" t="s">
        <v>1081</v>
      </c>
      <c r="D257" s="699" t="s">
        <v>648</v>
      </c>
      <c r="E257" s="701">
        <f t="shared" si="3"/>
        <v>56</v>
      </c>
      <c r="F257" s="702" t="s">
        <v>19</v>
      </c>
      <c r="G257" s="699" t="s">
        <v>15273</v>
      </c>
      <c r="H257" s="703"/>
      <c r="I257" s="699"/>
      <c r="J257" s="699"/>
      <c r="K257" s="700" t="s">
        <v>16117</v>
      </c>
      <c r="L257" s="699"/>
      <c r="M257" s="699" t="s">
        <v>6</v>
      </c>
      <c r="N257" s="705"/>
      <c r="O257" s="706"/>
      <c r="P257" s="703" t="s">
        <v>649</v>
      </c>
      <c r="Q257" s="707">
        <v>20663</v>
      </c>
      <c r="R257" s="703" t="s">
        <v>650</v>
      </c>
      <c r="S257" s="703"/>
      <c r="T257" s="703"/>
      <c r="U257" s="703" t="s">
        <v>145</v>
      </c>
      <c r="V257" s="702"/>
      <c r="W257" s="702" t="s">
        <v>145</v>
      </c>
      <c r="X257" s="702"/>
      <c r="Y257" s="702"/>
      <c r="Z257" s="702"/>
      <c r="AA257" s="702"/>
      <c r="AB257" s="702"/>
      <c r="AC257" s="702"/>
      <c r="AD257" s="702"/>
      <c r="AE257" s="793"/>
      <c r="AF257" s="655"/>
    </row>
    <row r="258" spans="1:32" ht="12" customHeight="1">
      <c r="A258" s="784" t="s">
        <v>5715</v>
      </c>
      <c r="B258" s="696">
        <v>1</v>
      </c>
      <c r="C258" s="688" t="s">
        <v>595</v>
      </c>
      <c r="D258" s="687" t="s">
        <v>1437</v>
      </c>
      <c r="E258" s="690">
        <f t="shared" ref="E258:E321" si="4">DATEDIF(Q258,$Q$1119,"Y")</f>
        <v>61</v>
      </c>
      <c r="F258" s="696" t="s">
        <v>5</v>
      </c>
      <c r="G258" s="687" t="s">
        <v>15273</v>
      </c>
      <c r="H258" s="747"/>
      <c r="I258" s="687"/>
      <c r="J258" s="687"/>
      <c r="K258" s="688" t="s">
        <v>16121</v>
      </c>
      <c r="L258" s="687"/>
      <c r="M258" s="687" t="s">
        <v>6</v>
      </c>
      <c r="N258" s="748"/>
      <c r="O258" s="749"/>
      <c r="P258" s="747" t="s">
        <v>15967</v>
      </c>
      <c r="Q258" s="719">
        <v>18941</v>
      </c>
      <c r="R258" s="747" t="s">
        <v>15968</v>
      </c>
      <c r="S258" s="747"/>
      <c r="T258" s="747"/>
      <c r="U258" s="747" t="s">
        <v>148</v>
      </c>
      <c r="V258" s="696"/>
      <c r="W258" s="696" t="s">
        <v>145</v>
      </c>
      <c r="X258" s="696"/>
      <c r="Y258" s="696"/>
      <c r="Z258" s="696"/>
      <c r="AA258" s="696"/>
      <c r="AB258" s="696"/>
      <c r="AC258" s="696"/>
      <c r="AD258" s="696"/>
      <c r="AE258" s="697" t="s">
        <v>69</v>
      </c>
      <c r="AF258" s="655"/>
    </row>
    <row r="259" spans="1:32" ht="12" customHeight="1">
      <c r="A259" s="785" t="s">
        <v>16242</v>
      </c>
      <c r="B259" s="2">
        <v>1</v>
      </c>
      <c r="C259" s="4" t="s">
        <v>602</v>
      </c>
      <c r="D259" s="1" t="s">
        <v>614</v>
      </c>
      <c r="E259" s="6">
        <f t="shared" si="4"/>
        <v>48</v>
      </c>
      <c r="F259" s="2" t="s">
        <v>5</v>
      </c>
      <c r="G259" s="1" t="s">
        <v>15273</v>
      </c>
      <c r="K259" s="4" t="s">
        <v>16121</v>
      </c>
      <c r="M259" s="1" t="s">
        <v>6</v>
      </c>
      <c r="P259" s="3" t="s">
        <v>615</v>
      </c>
      <c r="Q259" s="20">
        <v>23716</v>
      </c>
      <c r="R259" s="3" t="s">
        <v>5063</v>
      </c>
      <c r="AE259" s="698"/>
      <c r="AF259" s="655"/>
    </row>
    <row r="260" spans="1:32" ht="12" customHeight="1" thickBot="1">
      <c r="A260" s="786" t="s">
        <v>16243</v>
      </c>
      <c r="B260" s="702">
        <v>3</v>
      </c>
      <c r="C260" s="702"/>
      <c r="D260" s="701" t="s">
        <v>5716</v>
      </c>
      <c r="E260" s="701">
        <f t="shared" si="4"/>
        <v>64</v>
      </c>
      <c r="F260" s="701" t="s">
        <v>19</v>
      </c>
      <c r="G260" s="702" t="s">
        <v>6067</v>
      </c>
      <c r="H260" s="740"/>
      <c r="I260" s="701"/>
      <c r="J260" s="741"/>
      <c r="K260" s="704" t="s">
        <v>16121</v>
      </c>
      <c r="L260" s="701"/>
      <c r="M260" s="701" t="s">
        <v>6</v>
      </c>
      <c r="N260" s="742"/>
      <c r="O260" s="743"/>
      <c r="P260" s="740" t="s">
        <v>5717</v>
      </c>
      <c r="Q260" s="744">
        <v>17744</v>
      </c>
      <c r="R260" s="740" t="s">
        <v>5718</v>
      </c>
      <c r="S260" s="740"/>
      <c r="T260" s="740"/>
      <c r="U260" s="720" t="s">
        <v>5709</v>
      </c>
      <c r="V260" s="702"/>
      <c r="W260" s="702"/>
      <c r="X260" s="702"/>
      <c r="Y260" s="702"/>
      <c r="Z260" s="702"/>
      <c r="AA260" s="702"/>
      <c r="AB260" s="702"/>
      <c r="AC260" s="702"/>
      <c r="AD260" s="702"/>
      <c r="AE260" s="708" t="s">
        <v>5709</v>
      </c>
      <c r="AF260" s="655"/>
    </row>
    <row r="261" spans="1:32" ht="12" customHeight="1">
      <c r="A261" s="771" t="s">
        <v>16311</v>
      </c>
      <c r="B261" s="696">
        <v>1</v>
      </c>
      <c r="C261" s="696"/>
      <c r="D261" s="690" t="s">
        <v>5101</v>
      </c>
      <c r="E261" s="690">
        <f t="shared" si="4"/>
        <v>27</v>
      </c>
      <c r="F261" s="690" t="s">
        <v>19</v>
      </c>
      <c r="G261" s="696" t="s">
        <v>6067</v>
      </c>
      <c r="H261" s="735"/>
      <c r="I261" s="690"/>
      <c r="J261" s="736"/>
      <c r="K261" s="716" t="s">
        <v>16122</v>
      </c>
      <c r="L261" s="690" t="s">
        <v>22</v>
      </c>
      <c r="M261" s="690" t="s">
        <v>6</v>
      </c>
      <c r="N261" s="737"/>
      <c r="O261" s="738"/>
      <c r="P261" s="735" t="s">
        <v>188</v>
      </c>
      <c r="Q261" s="739">
        <v>31273</v>
      </c>
      <c r="R261" s="735" t="s">
        <v>16244</v>
      </c>
      <c r="S261" s="735"/>
      <c r="T261" s="735"/>
      <c r="U261" s="715"/>
      <c r="V261" s="696"/>
      <c r="W261" s="696"/>
      <c r="X261" s="696"/>
      <c r="Y261" s="696"/>
      <c r="Z261" s="696"/>
      <c r="AA261" s="696"/>
      <c r="AB261" s="696"/>
      <c r="AC261" s="696"/>
      <c r="AD261" s="696"/>
      <c r="AE261" s="697"/>
      <c r="AF261" s="655"/>
    </row>
    <row r="262" spans="1:32" ht="12" customHeight="1">
      <c r="A262" s="789" t="s">
        <v>16312</v>
      </c>
      <c r="B262" s="2">
        <v>2</v>
      </c>
      <c r="C262" s="2"/>
      <c r="D262" s="6" t="s">
        <v>5102</v>
      </c>
      <c r="E262" s="6">
        <f t="shared" si="4"/>
        <v>25</v>
      </c>
      <c r="F262" s="6" t="s">
        <v>5</v>
      </c>
      <c r="G262" s="2" t="s">
        <v>6067</v>
      </c>
      <c r="H262" s="12"/>
      <c r="I262" s="6"/>
      <c r="J262" s="19"/>
      <c r="K262" s="23" t="s">
        <v>16122</v>
      </c>
      <c r="L262" s="6" t="s">
        <v>22</v>
      </c>
      <c r="M262" s="6" t="s">
        <v>6</v>
      </c>
      <c r="N262" s="13"/>
      <c r="O262" s="14"/>
      <c r="P262" s="12" t="s">
        <v>188</v>
      </c>
      <c r="Q262" s="15">
        <v>31908</v>
      </c>
      <c r="R262" s="12" t="s">
        <v>5103</v>
      </c>
      <c r="S262" s="12"/>
      <c r="T262" s="12"/>
      <c r="U262" s="22"/>
      <c r="AE262" s="698"/>
      <c r="AF262" s="655"/>
    </row>
    <row r="263" spans="1:32" ht="12" customHeight="1">
      <c r="A263" s="789" t="s">
        <v>16313</v>
      </c>
      <c r="B263" s="2">
        <v>3</v>
      </c>
      <c r="C263" s="2"/>
      <c r="D263" s="6" t="s">
        <v>5104</v>
      </c>
      <c r="E263" s="6">
        <f t="shared" si="4"/>
        <v>25</v>
      </c>
      <c r="F263" s="6" t="s">
        <v>5</v>
      </c>
      <c r="G263" s="2" t="s">
        <v>6067</v>
      </c>
      <c r="H263" s="12"/>
      <c r="I263" s="6"/>
      <c r="J263" s="19"/>
      <c r="K263" s="23" t="s">
        <v>16122</v>
      </c>
      <c r="L263" s="6" t="s">
        <v>22</v>
      </c>
      <c r="M263" s="6" t="s">
        <v>6</v>
      </c>
      <c r="N263" s="13"/>
      <c r="O263" s="14"/>
      <c r="P263" s="12" t="s">
        <v>188</v>
      </c>
      <c r="Q263" s="15">
        <v>31890</v>
      </c>
      <c r="R263" s="12" t="s">
        <v>5103</v>
      </c>
      <c r="S263" s="12"/>
      <c r="T263" s="12"/>
      <c r="U263" s="22"/>
      <c r="AE263" s="698"/>
      <c r="AF263" s="655"/>
    </row>
    <row r="264" spans="1:32" ht="12" customHeight="1" thickBot="1">
      <c r="A264" s="772" t="s">
        <v>16314</v>
      </c>
      <c r="B264" s="702">
        <v>4</v>
      </c>
      <c r="C264" s="702"/>
      <c r="D264" s="702" t="s">
        <v>4609</v>
      </c>
      <c r="E264" s="701">
        <f t="shared" si="4"/>
        <v>64</v>
      </c>
      <c r="F264" s="702" t="s">
        <v>5</v>
      </c>
      <c r="G264" s="702" t="s">
        <v>6067</v>
      </c>
      <c r="H264" s="720"/>
      <c r="I264" s="702"/>
      <c r="J264" s="702"/>
      <c r="K264" s="770" t="s">
        <v>16122</v>
      </c>
      <c r="L264" s="702" t="s">
        <v>22</v>
      </c>
      <c r="M264" s="702" t="s">
        <v>6</v>
      </c>
      <c r="N264" s="721"/>
      <c r="O264" s="722"/>
      <c r="P264" s="720" t="s">
        <v>4610</v>
      </c>
      <c r="Q264" s="723">
        <v>17552</v>
      </c>
      <c r="R264" s="720" t="s">
        <v>5105</v>
      </c>
      <c r="S264" s="720"/>
      <c r="T264" s="720"/>
      <c r="U264" s="720"/>
      <c r="V264" s="702"/>
      <c r="W264" s="702"/>
      <c r="X264" s="702"/>
      <c r="Y264" s="702"/>
      <c r="Z264" s="702"/>
      <c r="AA264" s="702"/>
      <c r="AB264" s="702"/>
      <c r="AC264" s="702"/>
      <c r="AD264" s="702"/>
      <c r="AE264" s="708"/>
      <c r="AF264" s="655"/>
    </row>
    <row r="265" spans="1:32" ht="12" customHeight="1">
      <c r="A265" s="776" t="s">
        <v>15735</v>
      </c>
      <c r="B265" s="696">
        <v>1</v>
      </c>
      <c r="C265" s="688" t="s">
        <v>1006</v>
      </c>
      <c r="D265" s="687" t="s">
        <v>1013</v>
      </c>
      <c r="E265" s="690">
        <f t="shared" si="4"/>
        <v>51</v>
      </c>
      <c r="F265" s="696" t="s">
        <v>5</v>
      </c>
      <c r="G265" s="689" t="s">
        <v>15273</v>
      </c>
      <c r="H265" s="747" t="s">
        <v>1014</v>
      </c>
      <c r="I265" s="687"/>
      <c r="J265" s="687"/>
      <c r="K265" s="692" t="s">
        <v>16126</v>
      </c>
      <c r="L265" s="687" t="s">
        <v>44</v>
      </c>
      <c r="M265" s="687" t="s">
        <v>25</v>
      </c>
      <c r="N265" s="748">
        <v>3</v>
      </c>
      <c r="O265" s="749">
        <v>3</v>
      </c>
      <c r="P265" s="747" t="s">
        <v>317</v>
      </c>
      <c r="Q265" s="773">
        <v>22546</v>
      </c>
      <c r="R265" s="747" t="s">
        <v>1016</v>
      </c>
      <c r="S265" s="747" t="s">
        <v>1017</v>
      </c>
      <c r="T265" s="747" t="s">
        <v>736</v>
      </c>
      <c r="U265" s="747"/>
      <c r="V265" s="696"/>
      <c r="W265" s="696"/>
      <c r="X265" s="696"/>
      <c r="Y265" s="696"/>
      <c r="Z265" s="696"/>
      <c r="AA265" s="696"/>
      <c r="AB265" s="696"/>
      <c r="AC265" s="696"/>
      <c r="AD265" s="696"/>
      <c r="AE265" s="805"/>
      <c r="AF265" s="655"/>
    </row>
    <row r="266" spans="1:32" ht="12" customHeight="1">
      <c r="A266" s="777" t="s">
        <v>15736</v>
      </c>
      <c r="B266" s="2">
        <v>1</v>
      </c>
      <c r="C266" s="4" t="s">
        <v>1024</v>
      </c>
      <c r="D266" s="1" t="s">
        <v>5824</v>
      </c>
      <c r="E266" s="6">
        <f t="shared" si="4"/>
        <v>53</v>
      </c>
      <c r="F266" s="2" t="s">
        <v>5</v>
      </c>
      <c r="G266" s="5" t="s">
        <v>15273</v>
      </c>
      <c r="K266" s="8" t="s">
        <v>16127</v>
      </c>
      <c r="L266" s="1" t="s">
        <v>44</v>
      </c>
      <c r="M266" s="1" t="s">
        <v>6</v>
      </c>
      <c r="P266" s="3" t="s">
        <v>1922</v>
      </c>
      <c r="Q266" s="20">
        <v>21733</v>
      </c>
      <c r="R266" s="3" t="s">
        <v>5825</v>
      </c>
      <c r="T266" s="3" t="s">
        <v>736</v>
      </c>
      <c r="U266" s="3" t="s">
        <v>146</v>
      </c>
      <c r="AD266" s="2" t="s">
        <v>146</v>
      </c>
      <c r="AE266" s="774"/>
      <c r="AF266" s="655"/>
    </row>
    <row r="267" spans="1:32" ht="12" customHeight="1">
      <c r="A267" s="777" t="s">
        <v>15737</v>
      </c>
      <c r="B267" s="2">
        <v>1</v>
      </c>
      <c r="C267" s="4" t="s">
        <v>1039</v>
      </c>
      <c r="D267" s="1" t="s">
        <v>1441</v>
      </c>
      <c r="E267" s="6">
        <f t="shared" si="4"/>
        <v>30</v>
      </c>
      <c r="F267" s="2" t="s">
        <v>19</v>
      </c>
      <c r="G267" s="5" t="s">
        <v>15273</v>
      </c>
      <c r="K267" s="8" t="s">
        <v>16127</v>
      </c>
      <c r="L267" s="1" t="s">
        <v>44</v>
      </c>
      <c r="M267" s="1" t="s">
        <v>6</v>
      </c>
      <c r="P267" s="3" t="s">
        <v>188</v>
      </c>
      <c r="Q267" s="20">
        <v>30193</v>
      </c>
      <c r="R267" s="3" t="s">
        <v>1630</v>
      </c>
      <c r="T267" s="3" t="s">
        <v>736</v>
      </c>
      <c r="AE267" s="774"/>
      <c r="AF267" s="655"/>
    </row>
    <row r="268" spans="1:32" ht="12" customHeight="1">
      <c r="A268" s="777" t="s">
        <v>15738</v>
      </c>
      <c r="B268" s="2">
        <v>1</v>
      </c>
      <c r="C268" s="4" t="s">
        <v>1057</v>
      </c>
      <c r="D268" s="1" t="s">
        <v>1061</v>
      </c>
      <c r="E268" s="6">
        <f t="shared" si="4"/>
        <v>55</v>
      </c>
      <c r="F268" s="2" t="s">
        <v>5</v>
      </c>
      <c r="G268" s="5" t="s">
        <v>15273</v>
      </c>
      <c r="H268" s="3" t="s">
        <v>1062</v>
      </c>
      <c r="K268" s="8" t="s">
        <v>16127</v>
      </c>
      <c r="L268" s="1" t="s">
        <v>604</v>
      </c>
      <c r="M268" s="1" t="s">
        <v>25</v>
      </c>
      <c r="N268" s="16">
        <v>5</v>
      </c>
      <c r="O268" s="17">
        <v>5</v>
      </c>
      <c r="P268" s="3" t="s">
        <v>188</v>
      </c>
      <c r="Q268" s="20">
        <v>20960</v>
      </c>
      <c r="R268" s="3" t="s">
        <v>16656</v>
      </c>
      <c r="S268" s="3" t="s">
        <v>1064</v>
      </c>
      <c r="T268" s="3" t="s">
        <v>736</v>
      </c>
      <c r="U268" s="3" t="s">
        <v>635</v>
      </c>
      <c r="W268" s="2" t="s">
        <v>145</v>
      </c>
      <c r="AD268" s="2" t="s">
        <v>146</v>
      </c>
      <c r="AE268" s="774"/>
      <c r="AF268" s="655"/>
    </row>
    <row r="269" spans="1:32" ht="12" customHeight="1">
      <c r="A269" s="777" t="s">
        <v>15739</v>
      </c>
      <c r="B269" s="2">
        <v>1</v>
      </c>
      <c r="C269" s="4" t="s">
        <v>1083</v>
      </c>
      <c r="D269" s="1" t="s">
        <v>1087</v>
      </c>
      <c r="E269" s="6">
        <f t="shared" si="4"/>
        <v>38</v>
      </c>
      <c r="F269" s="2" t="s">
        <v>5</v>
      </c>
      <c r="G269" s="5" t="s">
        <v>15273</v>
      </c>
      <c r="H269" s="3" t="s">
        <v>1088</v>
      </c>
      <c r="K269" s="4" t="s">
        <v>16127</v>
      </c>
      <c r="L269" s="1" t="s">
        <v>44</v>
      </c>
      <c r="M269" s="1" t="s">
        <v>25</v>
      </c>
      <c r="N269" s="16">
        <v>2</v>
      </c>
      <c r="O269" s="17">
        <v>2</v>
      </c>
      <c r="P269" s="3" t="s">
        <v>1089</v>
      </c>
      <c r="Q269" s="20">
        <v>27073</v>
      </c>
      <c r="R269" s="3" t="s">
        <v>1090</v>
      </c>
      <c r="S269" s="3" t="s">
        <v>1091</v>
      </c>
      <c r="T269" s="3" t="s">
        <v>736</v>
      </c>
      <c r="U269" s="3" t="s">
        <v>145</v>
      </c>
      <c r="W269" s="2" t="s">
        <v>145</v>
      </c>
      <c r="AE269" s="698"/>
      <c r="AF269" s="655"/>
    </row>
    <row r="270" spans="1:32" ht="12" customHeight="1">
      <c r="A270" s="777" t="s">
        <v>15740</v>
      </c>
      <c r="B270" s="2">
        <v>1</v>
      </c>
      <c r="C270" s="4" t="s">
        <v>1100</v>
      </c>
      <c r="D270" s="1" t="s">
        <v>1104</v>
      </c>
      <c r="E270" s="6">
        <f t="shared" si="4"/>
        <v>65</v>
      </c>
      <c r="F270" s="2" t="s">
        <v>5</v>
      </c>
      <c r="G270" s="5" t="s">
        <v>15273</v>
      </c>
      <c r="H270" s="3" t="s">
        <v>1105</v>
      </c>
      <c r="K270" s="8" t="s">
        <v>16126</v>
      </c>
      <c r="L270" s="1" t="s">
        <v>655</v>
      </c>
      <c r="M270" s="1" t="s">
        <v>25</v>
      </c>
      <c r="N270" s="16">
        <v>4</v>
      </c>
      <c r="O270" s="17">
        <v>4</v>
      </c>
      <c r="P270" s="3" t="s">
        <v>188</v>
      </c>
      <c r="Q270" s="20">
        <v>17471</v>
      </c>
      <c r="R270" s="3" t="s">
        <v>1107</v>
      </c>
      <c r="S270" s="3" t="s">
        <v>1108</v>
      </c>
      <c r="T270" s="3" t="s">
        <v>736</v>
      </c>
      <c r="U270" s="3" t="s">
        <v>155</v>
      </c>
      <c r="Z270" s="2" t="s">
        <v>155</v>
      </c>
      <c r="AE270" s="698"/>
      <c r="AF270" s="655"/>
    </row>
    <row r="271" spans="1:32" ht="12" customHeight="1">
      <c r="A271" s="777" t="s">
        <v>15741</v>
      </c>
      <c r="B271" s="2">
        <v>1</v>
      </c>
      <c r="C271" s="4" t="s">
        <v>1119</v>
      </c>
      <c r="D271" s="1" t="s">
        <v>5176</v>
      </c>
      <c r="E271" s="6">
        <f t="shared" si="4"/>
        <v>57</v>
      </c>
      <c r="F271" s="2" t="s">
        <v>5</v>
      </c>
      <c r="G271" s="5" t="s">
        <v>15273</v>
      </c>
      <c r="K271" s="8" t="s">
        <v>16127</v>
      </c>
      <c r="L271" s="1" t="s">
        <v>44</v>
      </c>
      <c r="M271" s="1" t="s">
        <v>6</v>
      </c>
      <c r="P271" s="3" t="s">
        <v>4753</v>
      </c>
      <c r="Q271" s="20">
        <v>20096</v>
      </c>
      <c r="R271" s="3" t="s">
        <v>5177</v>
      </c>
      <c r="U271" s="3" t="s">
        <v>155</v>
      </c>
      <c r="Z271" s="2" t="s">
        <v>155</v>
      </c>
      <c r="AE271" s="698"/>
      <c r="AF271" s="655"/>
    </row>
    <row r="272" spans="1:32" ht="12" customHeight="1">
      <c r="A272" s="777" t="s">
        <v>15742</v>
      </c>
      <c r="B272" s="2">
        <v>1</v>
      </c>
      <c r="C272" s="4" t="s">
        <v>1134</v>
      </c>
      <c r="D272" s="1" t="s">
        <v>1138</v>
      </c>
      <c r="E272" s="6">
        <f t="shared" si="4"/>
        <v>69</v>
      </c>
      <c r="F272" s="2" t="s">
        <v>5</v>
      </c>
      <c r="G272" s="5" t="s">
        <v>15273</v>
      </c>
      <c r="H272" s="3" t="s">
        <v>1139</v>
      </c>
      <c r="K272" s="8" t="s">
        <v>16127</v>
      </c>
      <c r="L272" s="1" t="s">
        <v>604</v>
      </c>
      <c r="M272" s="1" t="s">
        <v>25</v>
      </c>
      <c r="N272" s="16">
        <v>4</v>
      </c>
      <c r="O272" s="17">
        <v>4</v>
      </c>
      <c r="P272" s="3" t="s">
        <v>188</v>
      </c>
      <c r="Q272" s="20">
        <v>15957</v>
      </c>
      <c r="R272" s="3" t="s">
        <v>1140</v>
      </c>
      <c r="S272" s="3" t="s">
        <v>1141</v>
      </c>
      <c r="T272" s="3" t="s">
        <v>736</v>
      </c>
      <c r="U272" s="3" t="s">
        <v>145</v>
      </c>
      <c r="W272" s="2" t="s">
        <v>145</v>
      </c>
      <c r="AE272" s="698"/>
      <c r="AF272" s="655"/>
    </row>
    <row r="273" spans="1:32" ht="12" customHeight="1">
      <c r="A273" s="777" t="s">
        <v>15743</v>
      </c>
      <c r="B273" s="2">
        <v>1</v>
      </c>
      <c r="C273" s="4" t="s">
        <v>1153</v>
      </c>
      <c r="D273" s="1" t="s">
        <v>1156</v>
      </c>
      <c r="E273" s="6">
        <f t="shared" si="4"/>
        <v>48</v>
      </c>
      <c r="F273" s="2" t="s">
        <v>5</v>
      </c>
      <c r="G273" s="5" t="s">
        <v>15273</v>
      </c>
      <c r="H273" s="3" t="s">
        <v>1157</v>
      </c>
      <c r="K273" s="8" t="s">
        <v>16127</v>
      </c>
      <c r="L273" s="1" t="s">
        <v>44</v>
      </c>
      <c r="M273" s="1" t="s">
        <v>25</v>
      </c>
      <c r="N273" s="16">
        <v>1</v>
      </c>
      <c r="O273" s="17">
        <v>1</v>
      </c>
      <c r="P273" s="3" t="s">
        <v>317</v>
      </c>
      <c r="Q273" s="20">
        <v>23573</v>
      </c>
      <c r="R273" s="3" t="s">
        <v>1159</v>
      </c>
      <c r="T273" s="3" t="s">
        <v>736</v>
      </c>
      <c r="U273" s="3" t="s">
        <v>47</v>
      </c>
      <c r="V273" s="2" t="s">
        <v>47</v>
      </c>
      <c r="AE273" s="698"/>
      <c r="AF273" s="655"/>
    </row>
    <row r="274" spans="1:32" ht="12" customHeight="1">
      <c r="A274" s="777" t="s">
        <v>15744</v>
      </c>
      <c r="B274" s="2">
        <v>1</v>
      </c>
      <c r="C274" s="4" t="s">
        <v>1172</v>
      </c>
      <c r="D274" s="1" t="s">
        <v>1175</v>
      </c>
      <c r="E274" s="6">
        <f t="shared" si="4"/>
        <v>49</v>
      </c>
      <c r="F274" s="2" t="s">
        <v>5</v>
      </c>
      <c r="G274" s="5" t="s">
        <v>15273</v>
      </c>
      <c r="H274" s="3" t="s">
        <v>1176</v>
      </c>
      <c r="K274" s="4" t="s">
        <v>16127</v>
      </c>
      <c r="L274" s="1" t="s">
        <v>44</v>
      </c>
      <c r="M274" s="1" t="s">
        <v>25</v>
      </c>
      <c r="N274" s="16">
        <v>1</v>
      </c>
      <c r="O274" s="17">
        <v>1</v>
      </c>
      <c r="P274" s="3" t="s">
        <v>188</v>
      </c>
      <c r="Q274" s="20">
        <v>23028</v>
      </c>
      <c r="R274" s="3" t="s">
        <v>1180</v>
      </c>
      <c r="U274" s="3" t="s">
        <v>636</v>
      </c>
      <c r="W274" s="2" t="s">
        <v>145</v>
      </c>
      <c r="AB274" s="2" t="s">
        <v>104</v>
      </c>
      <c r="AD274" s="2" t="s">
        <v>146</v>
      </c>
      <c r="AE274" s="698"/>
      <c r="AF274" s="655"/>
    </row>
    <row r="275" spans="1:32" ht="12" customHeight="1">
      <c r="A275" s="777" t="s">
        <v>15745</v>
      </c>
      <c r="B275" s="2">
        <v>1</v>
      </c>
      <c r="C275" s="4" t="s">
        <v>1214</v>
      </c>
      <c r="D275" s="1" t="s">
        <v>1218</v>
      </c>
      <c r="E275" s="6">
        <f t="shared" si="4"/>
        <v>66</v>
      </c>
      <c r="F275" s="2" t="s">
        <v>5</v>
      </c>
      <c r="G275" s="5" t="s">
        <v>15273</v>
      </c>
      <c r="H275" s="3" t="s">
        <v>1219</v>
      </c>
      <c r="K275" s="8" t="s">
        <v>16126</v>
      </c>
      <c r="L275" s="1" t="s">
        <v>44</v>
      </c>
      <c r="M275" s="1" t="s">
        <v>25</v>
      </c>
      <c r="N275" s="16">
        <v>2</v>
      </c>
      <c r="O275" s="17">
        <v>2</v>
      </c>
      <c r="P275" s="3" t="s">
        <v>317</v>
      </c>
      <c r="Q275" s="20">
        <v>16862</v>
      </c>
      <c r="R275" s="3" t="s">
        <v>1220</v>
      </c>
      <c r="S275" s="3" t="s">
        <v>836</v>
      </c>
      <c r="T275" s="3" t="s">
        <v>736</v>
      </c>
      <c r="AE275" s="698"/>
      <c r="AF275" s="655"/>
    </row>
    <row r="276" spans="1:32" ht="12" customHeight="1">
      <c r="A276" s="777" t="s">
        <v>15746</v>
      </c>
      <c r="B276" s="2">
        <v>1</v>
      </c>
      <c r="C276" s="4" t="s">
        <v>1226</v>
      </c>
      <c r="D276" s="1" t="s">
        <v>1230</v>
      </c>
      <c r="E276" s="6">
        <f t="shared" si="4"/>
        <v>52</v>
      </c>
      <c r="F276" s="2" t="s">
        <v>19</v>
      </c>
      <c r="G276" s="5" t="s">
        <v>15273</v>
      </c>
      <c r="H276" s="3" t="s">
        <v>1231</v>
      </c>
      <c r="K276" s="8" t="s">
        <v>16127</v>
      </c>
      <c r="L276" s="1" t="s">
        <v>44</v>
      </c>
      <c r="M276" s="1" t="s">
        <v>25</v>
      </c>
      <c r="N276" s="16">
        <v>1</v>
      </c>
      <c r="O276" s="17">
        <v>1</v>
      </c>
      <c r="P276" s="3" t="s">
        <v>1232</v>
      </c>
      <c r="Q276" s="20">
        <v>22183</v>
      </c>
      <c r="R276" s="3" t="s">
        <v>1239</v>
      </c>
      <c r="T276" s="3" t="s">
        <v>736</v>
      </c>
      <c r="U276" s="3" t="s">
        <v>155</v>
      </c>
      <c r="Z276" s="2" t="s">
        <v>155</v>
      </c>
      <c r="AE276" s="698"/>
      <c r="AF276" s="655"/>
    </row>
    <row r="277" spans="1:32" ht="12" customHeight="1">
      <c r="A277" s="777" t="s">
        <v>15747</v>
      </c>
      <c r="B277" s="2">
        <v>1</v>
      </c>
      <c r="C277" s="4" t="s">
        <v>1244</v>
      </c>
      <c r="D277" s="1" t="s">
        <v>1247</v>
      </c>
      <c r="E277" s="6">
        <f t="shared" si="4"/>
        <v>37</v>
      </c>
      <c r="F277" s="2" t="s">
        <v>5</v>
      </c>
      <c r="G277" s="5" t="s">
        <v>15273</v>
      </c>
      <c r="H277" s="3" t="s">
        <v>1248</v>
      </c>
      <c r="K277" s="8" t="s">
        <v>16127</v>
      </c>
      <c r="L277" s="1" t="s">
        <v>44</v>
      </c>
      <c r="M277" s="1" t="s">
        <v>25</v>
      </c>
      <c r="N277" s="16">
        <v>1</v>
      </c>
      <c r="O277" s="17">
        <v>1</v>
      </c>
      <c r="P277" s="3" t="s">
        <v>1249</v>
      </c>
      <c r="Q277" s="20">
        <v>27646</v>
      </c>
      <c r="R277" s="3" t="s">
        <v>1250</v>
      </c>
      <c r="T277" s="3" t="s">
        <v>736</v>
      </c>
      <c r="U277" s="3" t="s">
        <v>47</v>
      </c>
      <c r="V277" s="2" t="s">
        <v>47</v>
      </c>
      <c r="AE277" s="698"/>
      <c r="AF277" s="655"/>
    </row>
    <row r="278" spans="1:32" ht="12" customHeight="1">
      <c r="A278" s="777" t="s">
        <v>15748</v>
      </c>
      <c r="B278" s="2">
        <v>1</v>
      </c>
      <c r="C278" s="4" t="s">
        <v>1259</v>
      </c>
      <c r="D278" s="1" t="s">
        <v>1546</v>
      </c>
      <c r="E278" s="6">
        <f t="shared" si="4"/>
        <v>50</v>
      </c>
      <c r="F278" s="2" t="s">
        <v>5</v>
      </c>
      <c r="G278" s="5" t="s">
        <v>15273</v>
      </c>
      <c r="H278" s="3" t="s">
        <v>4407</v>
      </c>
      <c r="K278" s="8" t="s">
        <v>16127</v>
      </c>
      <c r="L278" s="1" t="s">
        <v>655</v>
      </c>
      <c r="M278" s="1" t="s">
        <v>25</v>
      </c>
      <c r="N278" s="16">
        <v>1</v>
      </c>
      <c r="O278" s="17">
        <v>1</v>
      </c>
      <c r="P278" s="3" t="s">
        <v>1547</v>
      </c>
      <c r="Q278" s="20">
        <v>22991</v>
      </c>
      <c r="R278" s="3" t="s">
        <v>1548</v>
      </c>
      <c r="T278" s="3" t="s">
        <v>736</v>
      </c>
      <c r="U278" s="3" t="s">
        <v>635</v>
      </c>
      <c r="W278" s="2" t="s">
        <v>145</v>
      </c>
      <c r="AD278" s="2" t="s">
        <v>146</v>
      </c>
      <c r="AE278" s="698"/>
      <c r="AF278" s="655"/>
    </row>
    <row r="279" spans="1:32" ht="12" customHeight="1">
      <c r="A279" s="777" t="s">
        <v>15749</v>
      </c>
      <c r="B279" s="2">
        <v>1</v>
      </c>
      <c r="C279" s="4" t="s">
        <v>1277</v>
      </c>
      <c r="D279" s="1" t="s">
        <v>5325</v>
      </c>
      <c r="E279" s="6">
        <f t="shared" si="4"/>
        <v>42</v>
      </c>
      <c r="F279" s="2" t="s">
        <v>5</v>
      </c>
      <c r="G279" s="5" t="s">
        <v>15273</v>
      </c>
      <c r="K279" s="4" t="s">
        <v>16127</v>
      </c>
      <c r="L279" s="1" t="s">
        <v>44</v>
      </c>
      <c r="M279" s="1" t="s">
        <v>6</v>
      </c>
      <c r="P279" s="3" t="s">
        <v>188</v>
      </c>
      <c r="Q279" s="20">
        <v>25593</v>
      </c>
      <c r="R279" s="3" t="s">
        <v>5326</v>
      </c>
      <c r="T279" s="3" t="s">
        <v>736</v>
      </c>
      <c r="U279" s="3" t="s">
        <v>145</v>
      </c>
      <c r="W279" s="2" t="s">
        <v>145</v>
      </c>
      <c r="AE279" s="698"/>
      <c r="AF279" s="655"/>
    </row>
    <row r="280" spans="1:32" ht="12" customHeight="1">
      <c r="A280" s="777" t="s">
        <v>15750</v>
      </c>
      <c r="B280" s="2">
        <v>1</v>
      </c>
      <c r="C280" s="4" t="s">
        <v>1377</v>
      </c>
      <c r="D280" s="1" t="s">
        <v>1380</v>
      </c>
      <c r="E280" s="6">
        <f t="shared" si="4"/>
        <v>74</v>
      </c>
      <c r="F280" s="2" t="s">
        <v>5</v>
      </c>
      <c r="G280" s="5" t="s">
        <v>15273</v>
      </c>
      <c r="H280" s="3" t="s">
        <v>1381</v>
      </c>
      <c r="K280" s="8" t="s">
        <v>16126</v>
      </c>
      <c r="L280" s="1" t="s">
        <v>681</v>
      </c>
      <c r="M280" s="1" t="s">
        <v>25</v>
      </c>
      <c r="N280" s="16">
        <v>6</v>
      </c>
      <c r="O280" s="17">
        <v>6</v>
      </c>
      <c r="P280" s="3" t="s">
        <v>983</v>
      </c>
      <c r="Q280" s="20">
        <v>13945</v>
      </c>
      <c r="R280" s="3" t="s">
        <v>1383</v>
      </c>
      <c r="S280" s="3" t="s">
        <v>2524</v>
      </c>
      <c r="T280" s="3" t="s">
        <v>736</v>
      </c>
      <c r="U280" s="3" t="s">
        <v>148</v>
      </c>
      <c r="W280" s="2" t="s">
        <v>145</v>
      </c>
      <c r="AE280" s="698" t="s">
        <v>69</v>
      </c>
      <c r="AF280" s="655"/>
    </row>
    <row r="281" spans="1:32" ht="12" customHeight="1">
      <c r="A281" s="777" t="s">
        <v>15751</v>
      </c>
      <c r="B281" s="2">
        <v>1</v>
      </c>
      <c r="C281" s="4" t="s">
        <v>1393</v>
      </c>
      <c r="D281" s="1" t="s">
        <v>1397</v>
      </c>
      <c r="E281" s="6">
        <f t="shared" si="4"/>
        <v>71</v>
      </c>
      <c r="F281" s="2" t="s">
        <v>5</v>
      </c>
      <c r="G281" s="5" t="s">
        <v>15273</v>
      </c>
      <c r="H281" s="3" t="s">
        <v>1398</v>
      </c>
      <c r="K281" s="8" t="s">
        <v>16127</v>
      </c>
      <c r="L281" s="1" t="s">
        <v>45</v>
      </c>
      <c r="M281" s="1" t="s">
        <v>25</v>
      </c>
      <c r="N281" s="16">
        <v>6</v>
      </c>
      <c r="O281" s="17">
        <v>6</v>
      </c>
      <c r="P281" s="3" t="s">
        <v>188</v>
      </c>
      <c r="Q281" s="20">
        <v>14965</v>
      </c>
      <c r="R281" s="3" t="s">
        <v>1050</v>
      </c>
      <c r="S281" s="3" t="s">
        <v>2532</v>
      </c>
      <c r="U281" s="3" t="s">
        <v>155</v>
      </c>
      <c r="Z281" s="2" t="s">
        <v>155</v>
      </c>
      <c r="AE281" s="698"/>
      <c r="AF281" s="655"/>
    </row>
    <row r="282" spans="1:32" ht="12" customHeight="1">
      <c r="A282" s="777" t="s">
        <v>15752</v>
      </c>
      <c r="B282" s="2">
        <v>1</v>
      </c>
      <c r="C282" s="4" t="s">
        <v>1407</v>
      </c>
      <c r="D282" s="1" t="s">
        <v>1411</v>
      </c>
      <c r="E282" s="6">
        <f t="shared" si="4"/>
        <v>67</v>
      </c>
      <c r="F282" s="2" t="s">
        <v>5</v>
      </c>
      <c r="G282" s="5" t="s">
        <v>15273</v>
      </c>
      <c r="H282" s="3" t="s">
        <v>1412</v>
      </c>
      <c r="K282" s="8" t="s">
        <v>16127</v>
      </c>
      <c r="L282" s="1" t="s">
        <v>44</v>
      </c>
      <c r="M282" s="1" t="s">
        <v>25</v>
      </c>
      <c r="N282" s="16">
        <v>3</v>
      </c>
      <c r="O282" s="17">
        <v>3</v>
      </c>
      <c r="P282" s="3" t="s">
        <v>267</v>
      </c>
      <c r="Q282" s="20">
        <v>16532</v>
      </c>
      <c r="R282" s="3" t="s">
        <v>1413</v>
      </c>
      <c r="S282" s="3" t="s">
        <v>2530</v>
      </c>
      <c r="T282" s="3" t="s">
        <v>736</v>
      </c>
      <c r="U282" s="3" t="s">
        <v>155</v>
      </c>
      <c r="Z282" s="2" t="s">
        <v>155</v>
      </c>
      <c r="AE282" s="698"/>
      <c r="AF282" s="655"/>
    </row>
    <row r="283" spans="1:32" ht="12" customHeight="1">
      <c r="A283" s="777" t="s">
        <v>15753</v>
      </c>
      <c r="B283" s="2">
        <v>1</v>
      </c>
      <c r="C283" s="4" t="s">
        <v>1422</v>
      </c>
      <c r="D283" s="1" t="s">
        <v>5219</v>
      </c>
      <c r="E283" s="6">
        <f t="shared" si="4"/>
        <v>53</v>
      </c>
      <c r="F283" s="2" t="s">
        <v>19</v>
      </c>
      <c r="G283" s="5" t="s">
        <v>15273</v>
      </c>
      <c r="K283" s="8" t="s">
        <v>16127</v>
      </c>
      <c r="L283" s="1" t="s">
        <v>44</v>
      </c>
      <c r="M283" s="1" t="s">
        <v>6</v>
      </c>
      <c r="P283" s="3" t="s">
        <v>5638</v>
      </c>
      <c r="Q283" s="20">
        <v>21851</v>
      </c>
      <c r="R283" s="3" t="s">
        <v>5639</v>
      </c>
      <c r="T283" s="3" t="s">
        <v>736</v>
      </c>
      <c r="U283" s="3" t="s">
        <v>145</v>
      </c>
      <c r="W283" s="2" t="s">
        <v>145</v>
      </c>
      <c r="AE283" s="698"/>
      <c r="AF283" s="655"/>
    </row>
    <row r="284" spans="1:32" ht="12" customHeight="1">
      <c r="A284" s="777" t="s">
        <v>15754</v>
      </c>
      <c r="B284" s="2">
        <v>1</v>
      </c>
      <c r="C284" s="4" t="s">
        <v>1442</v>
      </c>
      <c r="D284" s="1" t="s">
        <v>1446</v>
      </c>
      <c r="E284" s="6">
        <f t="shared" si="4"/>
        <v>47</v>
      </c>
      <c r="F284" s="2" t="s">
        <v>5</v>
      </c>
      <c r="G284" s="5" t="s">
        <v>15273</v>
      </c>
      <c r="H284" s="3" t="s">
        <v>1447</v>
      </c>
      <c r="K284" s="4" t="s">
        <v>16127</v>
      </c>
      <c r="L284" s="1" t="s">
        <v>44</v>
      </c>
      <c r="M284" s="1" t="s">
        <v>25</v>
      </c>
      <c r="N284" s="16">
        <v>3</v>
      </c>
      <c r="O284" s="17">
        <v>3</v>
      </c>
      <c r="P284" s="3" t="s">
        <v>31</v>
      </c>
      <c r="Q284" s="20">
        <v>23745</v>
      </c>
      <c r="R284" s="3" t="s">
        <v>1448</v>
      </c>
      <c r="S284" s="3" t="s">
        <v>1449</v>
      </c>
      <c r="T284" s="3" t="s">
        <v>736</v>
      </c>
      <c r="U284" s="3" t="s">
        <v>155</v>
      </c>
      <c r="Z284" s="2" t="s">
        <v>155</v>
      </c>
      <c r="AE284" s="698"/>
      <c r="AF284" s="655"/>
    </row>
    <row r="285" spans="1:32" ht="12" customHeight="1">
      <c r="A285" s="777" t="s">
        <v>15755</v>
      </c>
      <c r="B285" s="2">
        <v>1</v>
      </c>
      <c r="C285" s="4" t="s">
        <v>1459</v>
      </c>
      <c r="D285" s="1" t="s">
        <v>1463</v>
      </c>
      <c r="E285" s="6">
        <f t="shared" si="4"/>
        <v>65</v>
      </c>
      <c r="F285" s="2" t="s">
        <v>5</v>
      </c>
      <c r="G285" s="5" t="s">
        <v>15273</v>
      </c>
      <c r="H285" s="3" t="s">
        <v>1458</v>
      </c>
      <c r="K285" s="8" t="s">
        <v>16126</v>
      </c>
      <c r="L285" s="1" t="s">
        <v>681</v>
      </c>
      <c r="M285" s="1" t="s">
        <v>25</v>
      </c>
      <c r="N285" s="16">
        <v>4</v>
      </c>
      <c r="O285" s="17">
        <v>4</v>
      </c>
      <c r="P285" s="3" t="s">
        <v>317</v>
      </c>
      <c r="Q285" s="20">
        <v>17168</v>
      </c>
      <c r="R285" s="3" t="s">
        <v>1466</v>
      </c>
      <c r="S285" s="3" t="s">
        <v>1467</v>
      </c>
      <c r="T285" s="3" t="s">
        <v>736</v>
      </c>
      <c r="U285" s="3" t="s">
        <v>69</v>
      </c>
      <c r="AE285" s="698" t="s">
        <v>69</v>
      </c>
      <c r="AF285" s="655"/>
    </row>
    <row r="286" spans="1:32" ht="12" customHeight="1">
      <c r="A286" s="777" t="s">
        <v>15756</v>
      </c>
      <c r="B286" s="2">
        <v>1</v>
      </c>
      <c r="C286" s="4" t="s">
        <v>1476</v>
      </c>
      <c r="D286" s="1" t="s">
        <v>4411</v>
      </c>
      <c r="E286" s="6">
        <f t="shared" si="4"/>
        <v>30</v>
      </c>
      <c r="F286" s="2" t="s">
        <v>5</v>
      </c>
      <c r="G286" s="5" t="s">
        <v>15273</v>
      </c>
      <c r="K286" s="8" t="s">
        <v>16127</v>
      </c>
      <c r="L286" s="1" t="s">
        <v>44</v>
      </c>
      <c r="M286" s="1" t="s">
        <v>6</v>
      </c>
      <c r="P286" s="3" t="s">
        <v>4431</v>
      </c>
      <c r="Q286" s="20">
        <v>30216</v>
      </c>
      <c r="R286" s="3" t="s">
        <v>4432</v>
      </c>
      <c r="T286" s="3" t="s">
        <v>736</v>
      </c>
      <c r="AE286" s="698"/>
      <c r="AF286" s="655"/>
    </row>
    <row r="287" spans="1:32" ht="12" customHeight="1">
      <c r="A287" s="777" t="s">
        <v>15757</v>
      </c>
      <c r="B287" s="2">
        <v>1</v>
      </c>
      <c r="C287" s="4" t="s">
        <v>1486</v>
      </c>
      <c r="D287" s="1" t="s">
        <v>1490</v>
      </c>
      <c r="E287" s="6">
        <f t="shared" si="4"/>
        <v>47</v>
      </c>
      <c r="F287" s="2" t="s">
        <v>5</v>
      </c>
      <c r="G287" s="5" t="s">
        <v>15273</v>
      </c>
      <c r="H287" s="3" t="s">
        <v>1491</v>
      </c>
      <c r="K287" s="8" t="s">
        <v>16127</v>
      </c>
      <c r="L287" s="1" t="s">
        <v>737</v>
      </c>
      <c r="M287" s="1" t="s">
        <v>25</v>
      </c>
      <c r="N287" s="16">
        <v>3</v>
      </c>
      <c r="O287" s="17">
        <v>3</v>
      </c>
      <c r="P287" s="3" t="s">
        <v>1493</v>
      </c>
      <c r="Q287" s="20">
        <v>23836</v>
      </c>
      <c r="R287" s="3" t="s">
        <v>1494</v>
      </c>
      <c r="S287" s="3" t="s">
        <v>1495</v>
      </c>
      <c r="T287" s="3" t="s">
        <v>736</v>
      </c>
      <c r="AE287" s="698"/>
      <c r="AF287" s="655"/>
    </row>
    <row r="288" spans="1:32" ht="12" customHeight="1">
      <c r="A288" s="777" t="s">
        <v>15758</v>
      </c>
      <c r="B288" s="2">
        <v>1</v>
      </c>
      <c r="C288" s="4" t="s">
        <v>1504</v>
      </c>
      <c r="D288" s="1" t="s">
        <v>1508</v>
      </c>
      <c r="E288" s="6">
        <f t="shared" si="4"/>
        <v>43</v>
      </c>
      <c r="F288" s="2" t="s">
        <v>5</v>
      </c>
      <c r="G288" s="5" t="s">
        <v>15273</v>
      </c>
      <c r="H288" s="3" t="s">
        <v>1509</v>
      </c>
      <c r="K288" s="8" t="s">
        <v>16127</v>
      </c>
      <c r="L288" s="1" t="s">
        <v>44</v>
      </c>
      <c r="M288" s="1" t="s">
        <v>25</v>
      </c>
      <c r="N288" s="16">
        <v>1</v>
      </c>
      <c r="O288" s="17">
        <v>1</v>
      </c>
      <c r="P288" s="3" t="s">
        <v>381</v>
      </c>
      <c r="Q288" s="20">
        <v>25378</v>
      </c>
      <c r="R288" s="3" t="s">
        <v>1512</v>
      </c>
      <c r="U288" s="3" t="s">
        <v>1510</v>
      </c>
      <c r="V288" s="2" t="s">
        <v>47</v>
      </c>
      <c r="AD288" s="2" t="s">
        <v>146</v>
      </c>
      <c r="AE288" s="698"/>
      <c r="AF288" s="655"/>
    </row>
    <row r="289" spans="1:32" ht="12" customHeight="1">
      <c r="A289" s="777" t="s">
        <v>15759</v>
      </c>
      <c r="B289" s="2">
        <v>1</v>
      </c>
      <c r="C289" s="4" t="s">
        <v>1523</v>
      </c>
      <c r="D289" s="1" t="s">
        <v>1529</v>
      </c>
      <c r="E289" s="6">
        <f t="shared" si="4"/>
        <v>42</v>
      </c>
      <c r="F289" s="2" t="s">
        <v>5</v>
      </c>
      <c r="G289" s="5" t="s">
        <v>15273</v>
      </c>
      <c r="H289" s="3" t="s">
        <v>1530</v>
      </c>
      <c r="K289" s="4" t="s">
        <v>16127</v>
      </c>
      <c r="L289" s="1" t="s">
        <v>737</v>
      </c>
      <c r="M289" s="1" t="s">
        <v>25</v>
      </c>
      <c r="N289" s="16">
        <v>1</v>
      </c>
      <c r="O289" s="17">
        <v>1</v>
      </c>
      <c r="P289" s="3" t="s">
        <v>452</v>
      </c>
      <c r="Q289" s="20">
        <v>25675</v>
      </c>
      <c r="R289" s="3" t="s">
        <v>1532</v>
      </c>
      <c r="T289" s="3" t="s">
        <v>736</v>
      </c>
      <c r="U289" s="3" t="s">
        <v>572</v>
      </c>
      <c r="W289" s="2" t="s">
        <v>145</v>
      </c>
      <c r="AB289" s="2" t="s">
        <v>104</v>
      </c>
      <c r="AE289" s="698"/>
      <c r="AF289" s="655"/>
    </row>
    <row r="290" spans="1:32" ht="12" customHeight="1">
      <c r="A290" s="777" t="s">
        <v>15760</v>
      </c>
      <c r="B290" s="2">
        <v>1</v>
      </c>
      <c r="C290" s="4" t="s">
        <v>1557</v>
      </c>
      <c r="D290" s="1" t="s">
        <v>1560</v>
      </c>
      <c r="E290" s="6">
        <f t="shared" si="4"/>
        <v>43</v>
      </c>
      <c r="F290" s="2" t="s">
        <v>5</v>
      </c>
      <c r="G290" s="5" t="s">
        <v>15273</v>
      </c>
      <c r="H290" s="3" t="s">
        <v>1561</v>
      </c>
      <c r="K290" s="8" t="s">
        <v>16126</v>
      </c>
      <c r="L290" s="1" t="s">
        <v>44</v>
      </c>
      <c r="M290" s="1" t="s">
        <v>25</v>
      </c>
      <c r="N290" s="16">
        <v>1</v>
      </c>
      <c r="O290" s="17">
        <v>1</v>
      </c>
      <c r="P290" s="3" t="s">
        <v>317</v>
      </c>
      <c r="Q290" s="20">
        <v>25287</v>
      </c>
      <c r="R290" s="3" t="s">
        <v>1563</v>
      </c>
      <c r="T290" s="3" t="s">
        <v>736</v>
      </c>
      <c r="U290" s="3" t="s">
        <v>47</v>
      </c>
      <c r="V290" s="2" t="s">
        <v>47</v>
      </c>
      <c r="AE290" s="698"/>
      <c r="AF290" s="655"/>
    </row>
    <row r="291" spans="1:32" ht="12" customHeight="1">
      <c r="A291" s="777" t="s">
        <v>15761</v>
      </c>
      <c r="B291" s="2">
        <v>1</v>
      </c>
      <c r="C291" s="4" t="s">
        <v>1572</v>
      </c>
      <c r="D291" s="1" t="s">
        <v>1577</v>
      </c>
      <c r="E291" s="6">
        <f t="shared" si="4"/>
        <v>37</v>
      </c>
      <c r="F291" s="2" t="s">
        <v>5</v>
      </c>
      <c r="G291" s="5" t="s">
        <v>15273</v>
      </c>
      <c r="H291" s="3" t="s">
        <v>1578</v>
      </c>
      <c r="K291" s="8" t="s">
        <v>16127</v>
      </c>
      <c r="L291" s="1" t="s">
        <v>44</v>
      </c>
      <c r="M291" s="1" t="s">
        <v>25</v>
      </c>
      <c r="N291" s="16">
        <v>1</v>
      </c>
      <c r="O291" s="17">
        <v>1</v>
      </c>
      <c r="P291" s="3" t="s">
        <v>31</v>
      </c>
      <c r="Q291" s="20">
        <v>27538</v>
      </c>
      <c r="R291" s="3" t="s">
        <v>16659</v>
      </c>
      <c r="T291" s="3" t="s">
        <v>736</v>
      </c>
      <c r="U291" s="3" t="s">
        <v>146</v>
      </c>
      <c r="AD291" s="2" t="s">
        <v>146</v>
      </c>
      <c r="AE291" s="698"/>
      <c r="AF291" s="655"/>
    </row>
    <row r="292" spans="1:32" ht="12" customHeight="1">
      <c r="A292" s="777" t="s">
        <v>15762</v>
      </c>
      <c r="B292" s="2">
        <v>1</v>
      </c>
      <c r="C292" s="4" t="s">
        <v>1591</v>
      </c>
      <c r="D292" s="1" t="s">
        <v>4880</v>
      </c>
      <c r="E292" s="6">
        <f t="shared" si="4"/>
        <v>55</v>
      </c>
      <c r="F292" s="2" t="s">
        <v>5</v>
      </c>
      <c r="G292" s="5" t="s">
        <v>15273</v>
      </c>
      <c r="H292" s="3" t="s">
        <v>4881</v>
      </c>
      <c r="K292" s="8" t="s">
        <v>16127</v>
      </c>
      <c r="L292" s="1" t="s">
        <v>44</v>
      </c>
      <c r="M292" s="1" t="s">
        <v>25</v>
      </c>
      <c r="N292" s="16">
        <v>1</v>
      </c>
      <c r="O292" s="17">
        <v>1</v>
      </c>
      <c r="P292" s="3" t="s">
        <v>447</v>
      </c>
      <c r="Q292" s="20">
        <v>21096</v>
      </c>
      <c r="R292" s="3" t="s">
        <v>4882</v>
      </c>
      <c r="S292" s="3" t="s">
        <v>3924</v>
      </c>
      <c r="T292" s="3" t="s">
        <v>736</v>
      </c>
      <c r="AE292" s="698"/>
      <c r="AF292" s="655"/>
    </row>
    <row r="293" spans="1:32" ht="12" customHeight="1">
      <c r="A293" s="777" t="s">
        <v>15763</v>
      </c>
      <c r="B293" s="2">
        <v>1</v>
      </c>
      <c r="C293" s="4" t="s">
        <v>1607</v>
      </c>
      <c r="D293" s="1" t="s">
        <v>2136</v>
      </c>
      <c r="E293" s="6">
        <f t="shared" si="4"/>
        <v>67</v>
      </c>
      <c r="F293" s="2" t="s">
        <v>5</v>
      </c>
      <c r="G293" s="5" t="s">
        <v>15273</v>
      </c>
      <c r="H293" s="3" t="s">
        <v>5570</v>
      </c>
      <c r="K293" s="8" t="s">
        <v>16127</v>
      </c>
      <c r="L293" s="1" t="s">
        <v>45</v>
      </c>
      <c r="M293" s="1" t="s">
        <v>25</v>
      </c>
      <c r="N293" s="16">
        <v>1</v>
      </c>
      <c r="O293" s="17">
        <v>5</v>
      </c>
      <c r="P293" s="3" t="s">
        <v>2137</v>
      </c>
      <c r="Q293" s="20">
        <v>16628</v>
      </c>
      <c r="R293" s="3" t="s">
        <v>2138</v>
      </c>
      <c r="S293" s="3" t="s">
        <v>5571</v>
      </c>
      <c r="T293" s="3" t="s">
        <v>736</v>
      </c>
      <c r="U293" s="3" t="s">
        <v>5572</v>
      </c>
      <c r="W293" s="2" t="s">
        <v>145</v>
      </c>
      <c r="Y293" s="2" t="s">
        <v>229</v>
      </c>
      <c r="AE293" s="774" t="s">
        <v>69</v>
      </c>
      <c r="AF293" s="655"/>
    </row>
    <row r="294" spans="1:32" ht="12" customHeight="1">
      <c r="A294" s="777" t="s">
        <v>15764</v>
      </c>
      <c r="B294" s="2">
        <v>1</v>
      </c>
      <c r="C294" s="4" t="s">
        <v>1619</v>
      </c>
      <c r="D294" s="1" t="s">
        <v>1623</v>
      </c>
      <c r="E294" s="6">
        <f t="shared" si="4"/>
        <v>41</v>
      </c>
      <c r="F294" s="2" t="s">
        <v>5</v>
      </c>
      <c r="G294" s="5" t="s">
        <v>15273</v>
      </c>
      <c r="H294" s="3" t="s">
        <v>1625</v>
      </c>
      <c r="K294" s="4" t="s">
        <v>16127</v>
      </c>
      <c r="L294" s="1" t="s">
        <v>44</v>
      </c>
      <c r="M294" s="1" t="s">
        <v>25</v>
      </c>
      <c r="N294" s="16">
        <v>1</v>
      </c>
      <c r="O294" s="17">
        <v>1</v>
      </c>
      <c r="P294" s="3" t="s">
        <v>462</v>
      </c>
      <c r="Q294" s="20">
        <v>25982</v>
      </c>
      <c r="R294" s="3" t="s">
        <v>1624</v>
      </c>
      <c r="T294" s="3" t="s">
        <v>736</v>
      </c>
      <c r="AE294" s="774"/>
      <c r="AF294" s="655"/>
    </row>
    <row r="295" spans="1:32" ht="12" customHeight="1" thickBot="1">
      <c r="A295" s="778" t="s">
        <v>15765</v>
      </c>
      <c r="B295" s="702">
        <v>1</v>
      </c>
      <c r="C295" s="700" t="s">
        <v>1631</v>
      </c>
      <c r="D295" s="699" t="s">
        <v>1632</v>
      </c>
      <c r="E295" s="701">
        <f t="shared" si="4"/>
        <v>55</v>
      </c>
      <c r="F295" s="702" t="s">
        <v>5</v>
      </c>
      <c r="G295" s="356" t="s">
        <v>15273</v>
      </c>
      <c r="H295" s="703" t="s">
        <v>1636</v>
      </c>
      <c r="I295" s="699"/>
      <c r="J295" s="699"/>
      <c r="K295" s="704" t="s">
        <v>16126</v>
      </c>
      <c r="L295" s="699" t="s">
        <v>604</v>
      </c>
      <c r="M295" s="699" t="s">
        <v>25</v>
      </c>
      <c r="N295" s="705">
        <v>3</v>
      </c>
      <c r="O295" s="706">
        <v>3</v>
      </c>
      <c r="P295" s="703" t="s">
        <v>77</v>
      </c>
      <c r="Q295" s="707">
        <v>21023</v>
      </c>
      <c r="R295" s="703" t="s">
        <v>1639</v>
      </c>
      <c r="S295" s="703" t="s">
        <v>1640</v>
      </c>
      <c r="T295" s="703" t="s">
        <v>736</v>
      </c>
      <c r="U295" s="703" t="s">
        <v>47</v>
      </c>
      <c r="V295" s="702" t="s">
        <v>47</v>
      </c>
      <c r="W295" s="702"/>
      <c r="X295" s="702"/>
      <c r="Y295" s="702"/>
      <c r="Z295" s="702"/>
      <c r="AA295" s="702"/>
      <c r="AB295" s="702"/>
      <c r="AC295" s="702"/>
      <c r="AD295" s="702"/>
      <c r="AE295" s="793"/>
      <c r="AF295" s="655"/>
    </row>
    <row r="296" spans="1:32" ht="12" customHeight="1">
      <c r="A296" s="724" t="s">
        <v>15336</v>
      </c>
      <c r="B296" s="696">
        <v>1</v>
      </c>
      <c r="C296" s="688" t="s">
        <v>1010</v>
      </c>
      <c r="D296" s="687" t="s">
        <v>1018</v>
      </c>
      <c r="E296" s="690">
        <f t="shared" si="4"/>
        <v>48</v>
      </c>
      <c r="F296" s="696" t="s">
        <v>5</v>
      </c>
      <c r="G296" s="687" t="s">
        <v>15273</v>
      </c>
      <c r="H296" s="747"/>
      <c r="I296" s="687"/>
      <c r="J296" s="687"/>
      <c r="K296" s="688" t="s">
        <v>16120</v>
      </c>
      <c r="L296" s="687" t="s">
        <v>30</v>
      </c>
      <c r="M296" s="687" t="s">
        <v>6</v>
      </c>
      <c r="N296" s="748"/>
      <c r="O296" s="749"/>
      <c r="P296" s="747" t="s">
        <v>381</v>
      </c>
      <c r="Q296" s="773">
        <v>23623</v>
      </c>
      <c r="R296" s="747" t="s">
        <v>727</v>
      </c>
      <c r="S296" s="747"/>
      <c r="T296" s="747" t="s">
        <v>5457</v>
      </c>
      <c r="U296" s="747" t="s">
        <v>147</v>
      </c>
      <c r="V296" s="696"/>
      <c r="W296" s="696"/>
      <c r="X296" s="696"/>
      <c r="Y296" s="696"/>
      <c r="Z296" s="696"/>
      <c r="AA296" s="696"/>
      <c r="AB296" s="696"/>
      <c r="AC296" s="696" t="s">
        <v>147</v>
      </c>
      <c r="AD296" s="696"/>
      <c r="AE296" s="805"/>
      <c r="AF296" s="655"/>
    </row>
    <row r="297" spans="1:32" ht="12" customHeight="1">
      <c r="A297" s="725" t="s">
        <v>15337</v>
      </c>
      <c r="B297" s="2">
        <v>1</v>
      </c>
      <c r="C297" s="4" t="s">
        <v>1025</v>
      </c>
      <c r="D297" s="1" t="s">
        <v>1029</v>
      </c>
      <c r="E297" s="6">
        <f t="shared" si="4"/>
        <v>38</v>
      </c>
      <c r="F297" s="2" t="s">
        <v>5</v>
      </c>
      <c r="G297" s="1" t="s">
        <v>15273</v>
      </c>
      <c r="K297" s="4" t="s">
        <v>16120</v>
      </c>
      <c r="L297" s="1" t="s">
        <v>30</v>
      </c>
      <c r="M297" s="1" t="s">
        <v>6</v>
      </c>
      <c r="P297" s="3" t="s">
        <v>255</v>
      </c>
      <c r="Q297" s="20">
        <v>27362</v>
      </c>
      <c r="R297" s="3" t="s">
        <v>1072</v>
      </c>
      <c r="T297" s="3" t="s">
        <v>5457</v>
      </c>
      <c r="U297" s="3" t="s">
        <v>47</v>
      </c>
      <c r="V297" s="2" t="s">
        <v>47</v>
      </c>
      <c r="AE297" s="774"/>
      <c r="AF297" s="655"/>
    </row>
    <row r="298" spans="1:32" ht="12" customHeight="1">
      <c r="A298" s="725" t="s">
        <v>15338</v>
      </c>
      <c r="B298" s="2">
        <v>1</v>
      </c>
      <c r="C298" s="4" t="s">
        <v>1041</v>
      </c>
      <c r="D298" s="1" t="s">
        <v>1044</v>
      </c>
      <c r="E298" s="6">
        <f t="shared" si="4"/>
        <v>50</v>
      </c>
      <c r="F298" s="2" t="s">
        <v>5</v>
      </c>
      <c r="G298" s="1" t="s">
        <v>15273</v>
      </c>
      <c r="H298" s="3" t="s">
        <v>1045</v>
      </c>
      <c r="K298" s="8" t="s">
        <v>16120</v>
      </c>
      <c r="L298" s="1" t="s">
        <v>48</v>
      </c>
      <c r="M298" s="1" t="s">
        <v>25</v>
      </c>
      <c r="N298" s="16">
        <v>4</v>
      </c>
      <c r="O298" s="17">
        <v>4</v>
      </c>
      <c r="P298" s="3" t="s">
        <v>188</v>
      </c>
      <c r="Q298" s="20">
        <v>22902</v>
      </c>
      <c r="R298" s="3" t="s">
        <v>16655</v>
      </c>
      <c r="S298" s="3" t="s">
        <v>1046</v>
      </c>
      <c r="T298" s="3" t="s">
        <v>5457</v>
      </c>
      <c r="U298" s="3" t="s">
        <v>146</v>
      </c>
      <c r="AD298" s="2" t="s">
        <v>146</v>
      </c>
      <c r="AE298" s="774"/>
      <c r="AF298" s="655"/>
    </row>
    <row r="299" spans="1:32" ht="12" customHeight="1">
      <c r="A299" s="725" t="s">
        <v>15339</v>
      </c>
      <c r="B299" s="2">
        <v>1</v>
      </c>
      <c r="C299" s="4" t="s">
        <v>1058</v>
      </c>
      <c r="D299" s="1" t="s">
        <v>1066</v>
      </c>
      <c r="E299" s="6">
        <f t="shared" si="4"/>
        <v>44</v>
      </c>
      <c r="F299" s="2" t="s">
        <v>5</v>
      </c>
      <c r="G299" s="1" t="s">
        <v>15273</v>
      </c>
      <c r="K299" s="23" t="s">
        <v>16120</v>
      </c>
      <c r="L299" s="1" t="s">
        <v>30</v>
      </c>
      <c r="M299" s="1" t="s">
        <v>14</v>
      </c>
      <c r="N299" s="16">
        <v>1</v>
      </c>
      <c r="O299" s="17">
        <v>1</v>
      </c>
      <c r="P299" s="3" t="s">
        <v>31</v>
      </c>
      <c r="Q299" s="20">
        <v>25122</v>
      </c>
      <c r="R299" s="3" t="s">
        <v>1068</v>
      </c>
      <c r="AE299" s="698"/>
      <c r="AF299" s="655"/>
    </row>
    <row r="300" spans="1:32" ht="12" customHeight="1">
      <c r="A300" s="725" t="s">
        <v>15340</v>
      </c>
      <c r="B300" s="2">
        <v>1</v>
      </c>
      <c r="C300" s="4" t="s">
        <v>1084</v>
      </c>
      <c r="D300" s="1" t="s">
        <v>1093</v>
      </c>
      <c r="E300" s="6">
        <f t="shared" si="4"/>
        <v>40</v>
      </c>
      <c r="F300" s="2" t="s">
        <v>5</v>
      </c>
      <c r="G300" s="1" t="s">
        <v>15273</v>
      </c>
      <c r="K300" s="8" t="s">
        <v>16120</v>
      </c>
      <c r="L300" s="1" t="s">
        <v>445</v>
      </c>
      <c r="M300" s="1" t="s">
        <v>14</v>
      </c>
      <c r="N300" s="16">
        <v>1</v>
      </c>
      <c r="O300" s="17">
        <v>1</v>
      </c>
      <c r="P300" s="3" t="s">
        <v>317</v>
      </c>
      <c r="Q300" s="20">
        <v>26453</v>
      </c>
      <c r="R300" s="3" t="s">
        <v>1095</v>
      </c>
      <c r="T300" s="3" t="s">
        <v>5457</v>
      </c>
      <c r="U300" s="3" t="s">
        <v>155</v>
      </c>
      <c r="Z300" s="2" t="s">
        <v>155</v>
      </c>
      <c r="AE300" s="698"/>
      <c r="AF300" s="655"/>
    </row>
    <row r="301" spans="1:32" ht="12" customHeight="1">
      <c r="A301" s="725" t="s">
        <v>15341</v>
      </c>
      <c r="B301" s="2">
        <v>1</v>
      </c>
      <c r="C301" s="4" t="s">
        <v>1101</v>
      </c>
      <c r="D301" s="1" t="s">
        <v>1109</v>
      </c>
      <c r="E301" s="6">
        <f t="shared" si="4"/>
        <v>62</v>
      </c>
      <c r="F301" s="2" t="s">
        <v>5</v>
      </c>
      <c r="G301" s="1" t="s">
        <v>15273</v>
      </c>
      <c r="K301" s="4" t="s">
        <v>16120</v>
      </c>
      <c r="L301" s="1" t="s">
        <v>13</v>
      </c>
      <c r="M301" s="1" t="s">
        <v>14</v>
      </c>
      <c r="N301" s="16">
        <v>4</v>
      </c>
      <c r="O301" s="17">
        <v>4</v>
      </c>
      <c r="P301" s="3" t="s">
        <v>1002</v>
      </c>
      <c r="Q301" s="20">
        <v>18478</v>
      </c>
      <c r="R301" s="3" t="s">
        <v>1112</v>
      </c>
      <c r="S301" s="3" t="s">
        <v>1111</v>
      </c>
      <c r="T301" s="3" t="s">
        <v>5457</v>
      </c>
      <c r="U301" s="3" t="s">
        <v>145</v>
      </c>
      <c r="W301" s="2" t="s">
        <v>145</v>
      </c>
      <c r="AE301" s="698"/>
      <c r="AF301" s="655"/>
    </row>
    <row r="302" spans="1:32" ht="12" customHeight="1">
      <c r="A302" s="725" t="s">
        <v>15342</v>
      </c>
      <c r="B302" s="2">
        <v>1</v>
      </c>
      <c r="C302" s="4" t="s">
        <v>1120</v>
      </c>
      <c r="D302" s="1" t="s">
        <v>1124</v>
      </c>
      <c r="E302" s="6">
        <f t="shared" si="4"/>
        <v>53</v>
      </c>
      <c r="F302" s="2" t="s">
        <v>5</v>
      </c>
      <c r="G302" s="1" t="s">
        <v>15273</v>
      </c>
      <c r="H302" s="3" t="s">
        <v>1125</v>
      </c>
      <c r="K302" s="4" t="s">
        <v>16120</v>
      </c>
      <c r="L302" s="1" t="s">
        <v>30</v>
      </c>
      <c r="M302" s="1" t="s">
        <v>25</v>
      </c>
      <c r="N302" s="16">
        <v>1</v>
      </c>
      <c r="O302" s="17">
        <v>1</v>
      </c>
      <c r="P302" s="3" t="s">
        <v>255</v>
      </c>
      <c r="Q302" s="20">
        <v>21715</v>
      </c>
      <c r="R302" s="3" t="s">
        <v>1126</v>
      </c>
      <c r="T302" s="3" t="s">
        <v>5457</v>
      </c>
      <c r="U302" s="3" t="s">
        <v>47</v>
      </c>
      <c r="V302" s="2" t="s">
        <v>47</v>
      </c>
      <c r="AE302" s="698"/>
      <c r="AF302" s="655"/>
    </row>
    <row r="303" spans="1:32" ht="12" customHeight="1">
      <c r="A303" s="725" t="s">
        <v>15343</v>
      </c>
      <c r="B303" s="2">
        <v>1</v>
      </c>
      <c r="C303" s="4" t="s">
        <v>1135</v>
      </c>
      <c r="D303" s="1" t="s">
        <v>1142</v>
      </c>
      <c r="E303" s="6">
        <f t="shared" si="4"/>
        <v>62</v>
      </c>
      <c r="F303" s="2" t="s">
        <v>5</v>
      </c>
      <c r="G303" s="1" t="s">
        <v>15273</v>
      </c>
      <c r="K303" s="8" t="s">
        <v>16120</v>
      </c>
      <c r="L303" s="1" t="s">
        <v>13</v>
      </c>
      <c r="M303" s="1" t="s">
        <v>14</v>
      </c>
      <c r="N303" s="16">
        <v>4</v>
      </c>
      <c r="O303" s="17">
        <v>4</v>
      </c>
      <c r="P303" s="3" t="s">
        <v>557</v>
      </c>
      <c r="Q303" s="20">
        <v>18252</v>
      </c>
      <c r="R303" s="3" t="s">
        <v>1144</v>
      </c>
      <c r="S303" s="3" t="s">
        <v>1145</v>
      </c>
      <c r="T303" s="3" t="s">
        <v>5457</v>
      </c>
      <c r="U303" s="3" t="s">
        <v>145</v>
      </c>
      <c r="W303" s="2" t="s">
        <v>145</v>
      </c>
      <c r="AE303" s="698"/>
      <c r="AF303" s="655"/>
    </row>
    <row r="304" spans="1:32" ht="12" customHeight="1">
      <c r="A304" s="725" t="s">
        <v>15344</v>
      </c>
      <c r="B304" s="2">
        <v>1</v>
      </c>
      <c r="C304" s="4" t="s">
        <v>1154</v>
      </c>
      <c r="D304" s="1" t="s">
        <v>1161</v>
      </c>
      <c r="E304" s="6">
        <f t="shared" si="4"/>
        <v>37</v>
      </c>
      <c r="F304" s="2" t="s">
        <v>5</v>
      </c>
      <c r="G304" s="1" t="s">
        <v>15273</v>
      </c>
      <c r="K304" s="23" t="s">
        <v>16120</v>
      </c>
      <c r="L304" s="1" t="s">
        <v>30</v>
      </c>
      <c r="M304" s="1" t="s">
        <v>6</v>
      </c>
      <c r="P304" s="3" t="s">
        <v>1162</v>
      </c>
      <c r="Q304" s="20">
        <v>27616</v>
      </c>
      <c r="R304" s="3" t="s">
        <v>1163</v>
      </c>
      <c r="T304" s="3" t="s">
        <v>5457</v>
      </c>
      <c r="U304" s="3" t="s">
        <v>145</v>
      </c>
      <c r="W304" s="2" t="s">
        <v>145</v>
      </c>
      <c r="AE304" s="698"/>
      <c r="AF304" s="655"/>
    </row>
    <row r="305" spans="1:32" ht="12" customHeight="1">
      <c r="A305" s="725" t="s">
        <v>15345</v>
      </c>
      <c r="B305" s="2">
        <v>1</v>
      </c>
      <c r="C305" s="4" t="s">
        <v>1173</v>
      </c>
      <c r="D305" s="1" t="s">
        <v>1181</v>
      </c>
      <c r="E305" s="6">
        <f t="shared" si="4"/>
        <v>65</v>
      </c>
      <c r="F305" s="2" t="s">
        <v>5</v>
      </c>
      <c r="G305" s="1" t="s">
        <v>15273</v>
      </c>
      <c r="H305" s="3" t="s">
        <v>1183</v>
      </c>
      <c r="K305" s="8" t="s">
        <v>16120</v>
      </c>
      <c r="L305" s="1" t="s">
        <v>934</v>
      </c>
      <c r="M305" s="1" t="s">
        <v>25</v>
      </c>
      <c r="N305" s="16">
        <v>6</v>
      </c>
      <c r="O305" s="17">
        <v>6</v>
      </c>
      <c r="P305" s="3" t="s">
        <v>172</v>
      </c>
      <c r="Q305" s="20">
        <v>17170</v>
      </c>
      <c r="R305" s="3" t="s">
        <v>1184</v>
      </c>
      <c r="S305" s="3" t="s">
        <v>1186</v>
      </c>
      <c r="T305" s="3" t="s">
        <v>5457</v>
      </c>
      <c r="U305" s="3" t="s">
        <v>572</v>
      </c>
      <c r="W305" s="2" t="s">
        <v>145</v>
      </c>
      <c r="AB305" s="2" t="s">
        <v>104</v>
      </c>
      <c r="AE305" s="698"/>
      <c r="AF305" s="655"/>
    </row>
    <row r="306" spans="1:32" ht="12" customHeight="1">
      <c r="A306" s="725" t="s">
        <v>15346</v>
      </c>
      <c r="B306" s="2">
        <v>1</v>
      </c>
      <c r="C306" s="4" t="s">
        <v>1188</v>
      </c>
      <c r="D306" s="1" t="s">
        <v>1190</v>
      </c>
      <c r="E306" s="6">
        <f t="shared" si="4"/>
        <v>64</v>
      </c>
      <c r="F306" s="2" t="s">
        <v>5</v>
      </c>
      <c r="G306" s="1" t="s">
        <v>15273</v>
      </c>
      <c r="H306" s="3" t="s">
        <v>1191</v>
      </c>
      <c r="K306" s="4" t="s">
        <v>16120</v>
      </c>
      <c r="L306" s="1" t="s">
        <v>445</v>
      </c>
      <c r="M306" s="1" t="s">
        <v>25</v>
      </c>
      <c r="N306" s="16">
        <v>7</v>
      </c>
      <c r="O306" s="17">
        <v>7</v>
      </c>
      <c r="P306" s="3" t="s">
        <v>77</v>
      </c>
      <c r="Q306" s="20">
        <v>17776</v>
      </c>
      <c r="R306" s="3" t="s">
        <v>1193</v>
      </c>
      <c r="S306" s="3" t="s">
        <v>1194</v>
      </c>
      <c r="T306" s="3" t="s">
        <v>5457</v>
      </c>
      <c r="U306" s="3" t="s">
        <v>104</v>
      </c>
      <c r="AB306" s="2" t="s">
        <v>104</v>
      </c>
      <c r="AE306" s="698"/>
      <c r="AF306" s="655"/>
    </row>
    <row r="307" spans="1:32" ht="12" customHeight="1">
      <c r="A307" s="725" t="s">
        <v>15347</v>
      </c>
      <c r="B307" s="2">
        <v>1</v>
      </c>
      <c r="C307" s="4" t="s">
        <v>1203</v>
      </c>
      <c r="D307" s="1" t="s">
        <v>1205</v>
      </c>
      <c r="E307" s="6">
        <f t="shared" si="4"/>
        <v>57</v>
      </c>
      <c r="F307" s="2" t="s">
        <v>5</v>
      </c>
      <c r="G307" s="1" t="s">
        <v>15273</v>
      </c>
      <c r="H307" s="3" t="s">
        <v>1206</v>
      </c>
      <c r="K307" s="4" t="s">
        <v>16120</v>
      </c>
      <c r="L307" s="1" t="s">
        <v>30</v>
      </c>
      <c r="M307" s="1" t="s">
        <v>25</v>
      </c>
      <c r="N307" s="16">
        <v>6</v>
      </c>
      <c r="O307" s="17">
        <v>6</v>
      </c>
      <c r="P307" s="3" t="s">
        <v>83</v>
      </c>
      <c r="Q307" s="20">
        <v>20383</v>
      </c>
      <c r="R307" s="3" t="s">
        <v>1208</v>
      </c>
      <c r="S307" s="3" t="s">
        <v>1209</v>
      </c>
      <c r="T307" s="3" t="s">
        <v>5457</v>
      </c>
      <c r="U307" s="3" t="s">
        <v>104</v>
      </c>
      <c r="AB307" s="2" t="s">
        <v>104</v>
      </c>
      <c r="AE307" s="698"/>
      <c r="AF307" s="655"/>
    </row>
    <row r="308" spans="1:32" ht="12" customHeight="1">
      <c r="A308" s="725" t="s">
        <v>15348</v>
      </c>
      <c r="B308" s="2">
        <v>1</v>
      </c>
      <c r="C308" s="4" t="s">
        <v>1215</v>
      </c>
      <c r="D308" s="1" t="s">
        <v>1222</v>
      </c>
      <c r="E308" s="6">
        <f t="shared" si="4"/>
        <v>37</v>
      </c>
      <c r="F308" s="2" t="s">
        <v>5</v>
      </c>
      <c r="G308" s="1" t="s">
        <v>15273</v>
      </c>
      <c r="K308" s="8" t="s">
        <v>16120</v>
      </c>
      <c r="L308" s="1" t="s">
        <v>30</v>
      </c>
      <c r="M308" s="1" t="s">
        <v>6</v>
      </c>
      <c r="P308" s="3" t="s">
        <v>1223</v>
      </c>
      <c r="Q308" s="20">
        <v>27469</v>
      </c>
      <c r="R308" s="3" t="s">
        <v>1224</v>
      </c>
      <c r="T308" s="3" t="s">
        <v>5457</v>
      </c>
      <c r="AE308" s="698"/>
      <c r="AF308" s="655"/>
    </row>
    <row r="309" spans="1:32" ht="12" customHeight="1">
      <c r="A309" s="725" t="s">
        <v>15349</v>
      </c>
      <c r="B309" s="2">
        <v>1</v>
      </c>
      <c r="C309" s="4" t="s">
        <v>1227</v>
      </c>
      <c r="D309" s="1" t="s">
        <v>1233</v>
      </c>
      <c r="E309" s="6">
        <f t="shared" si="4"/>
        <v>62</v>
      </c>
      <c r="F309" s="2" t="s">
        <v>5</v>
      </c>
      <c r="G309" s="1" t="s">
        <v>15273</v>
      </c>
      <c r="H309" s="3" t="s">
        <v>1234</v>
      </c>
      <c r="K309" s="23" t="s">
        <v>16120</v>
      </c>
      <c r="L309" s="1" t="s">
        <v>445</v>
      </c>
      <c r="M309" s="1" t="s">
        <v>25</v>
      </c>
      <c r="N309" s="16">
        <v>4</v>
      </c>
      <c r="O309" s="17">
        <v>4</v>
      </c>
      <c r="P309" s="3" t="s">
        <v>1235</v>
      </c>
      <c r="Q309" s="20">
        <v>18364</v>
      </c>
      <c r="R309" s="3" t="s">
        <v>1236</v>
      </c>
      <c r="S309" s="3" t="s">
        <v>1237</v>
      </c>
      <c r="T309" s="3" t="s">
        <v>5457</v>
      </c>
      <c r="U309" s="3" t="s">
        <v>145</v>
      </c>
      <c r="W309" s="2" t="s">
        <v>145</v>
      </c>
      <c r="AE309" s="698"/>
      <c r="AF309" s="655"/>
    </row>
    <row r="310" spans="1:32" ht="12" customHeight="1">
      <c r="A310" s="725" t="s">
        <v>15350</v>
      </c>
      <c r="B310" s="2">
        <v>1</v>
      </c>
      <c r="C310" s="4" t="s">
        <v>1245</v>
      </c>
      <c r="D310" s="1" t="s">
        <v>1251</v>
      </c>
      <c r="E310" s="6">
        <f t="shared" si="4"/>
        <v>64</v>
      </c>
      <c r="F310" s="2" t="s">
        <v>5</v>
      </c>
      <c r="G310" s="1" t="s">
        <v>15273</v>
      </c>
      <c r="H310" s="3" t="s">
        <v>1252</v>
      </c>
      <c r="K310" s="8" t="s">
        <v>16120</v>
      </c>
      <c r="L310" s="1" t="s">
        <v>30</v>
      </c>
      <c r="M310" s="1" t="s">
        <v>25</v>
      </c>
      <c r="N310" s="16">
        <v>5</v>
      </c>
      <c r="O310" s="17">
        <v>5</v>
      </c>
      <c r="P310" s="3" t="s">
        <v>95</v>
      </c>
      <c r="Q310" s="20">
        <v>17873</v>
      </c>
      <c r="R310" s="3" t="s">
        <v>1253</v>
      </c>
      <c r="S310" s="3" t="s">
        <v>1254</v>
      </c>
      <c r="T310" s="3" t="s">
        <v>5457</v>
      </c>
      <c r="U310" s="3" t="s">
        <v>145</v>
      </c>
      <c r="W310" s="2" t="s">
        <v>145</v>
      </c>
      <c r="AE310" s="698"/>
      <c r="AF310" s="655"/>
    </row>
    <row r="311" spans="1:32" ht="12" customHeight="1">
      <c r="A311" s="725" t="s">
        <v>15351</v>
      </c>
      <c r="B311" s="2">
        <v>1</v>
      </c>
      <c r="C311" s="4" t="s">
        <v>1260</v>
      </c>
      <c r="D311" s="1" t="s">
        <v>1264</v>
      </c>
      <c r="E311" s="6">
        <f t="shared" si="4"/>
        <v>47</v>
      </c>
      <c r="F311" s="2" t="s">
        <v>5</v>
      </c>
      <c r="G311" s="1" t="s">
        <v>15273</v>
      </c>
      <c r="K311" s="4" t="s">
        <v>16120</v>
      </c>
      <c r="L311" s="1" t="s">
        <v>30</v>
      </c>
      <c r="M311" s="1" t="s">
        <v>14</v>
      </c>
      <c r="N311" s="16">
        <v>5</v>
      </c>
      <c r="O311" s="17">
        <v>5</v>
      </c>
      <c r="P311" s="3" t="s">
        <v>1265</v>
      </c>
      <c r="Q311" s="20">
        <v>23915</v>
      </c>
      <c r="R311" s="3" t="s">
        <v>1266</v>
      </c>
      <c r="S311" s="3" t="s">
        <v>1267</v>
      </c>
      <c r="T311" s="3" t="s">
        <v>5457</v>
      </c>
      <c r="U311" s="3" t="s">
        <v>104</v>
      </c>
      <c r="AB311" s="2" t="s">
        <v>104</v>
      </c>
      <c r="AE311" s="698"/>
      <c r="AF311" s="655"/>
    </row>
    <row r="312" spans="1:32" ht="12" customHeight="1">
      <c r="A312" s="725" t="s">
        <v>15352</v>
      </c>
      <c r="B312" s="2">
        <v>1</v>
      </c>
      <c r="C312" s="4" t="s">
        <v>1278</v>
      </c>
      <c r="D312" s="1" t="s">
        <v>1281</v>
      </c>
      <c r="E312" s="6">
        <f t="shared" si="4"/>
        <v>37</v>
      </c>
      <c r="F312" s="2" t="s">
        <v>5</v>
      </c>
      <c r="G312" s="1" t="s">
        <v>15273</v>
      </c>
      <c r="K312" s="4" t="s">
        <v>16120</v>
      </c>
      <c r="L312" s="1" t="s">
        <v>30</v>
      </c>
      <c r="M312" s="1" t="s">
        <v>14</v>
      </c>
      <c r="N312" s="16">
        <v>1</v>
      </c>
      <c r="O312" s="17">
        <v>1</v>
      </c>
      <c r="P312" s="3" t="s">
        <v>1282</v>
      </c>
      <c r="Q312" s="20">
        <v>27565</v>
      </c>
      <c r="R312" s="3" t="s">
        <v>16657</v>
      </c>
      <c r="T312" s="3" t="s">
        <v>5457</v>
      </c>
      <c r="U312" s="3" t="s">
        <v>146</v>
      </c>
      <c r="AD312" s="2" t="s">
        <v>146</v>
      </c>
      <c r="AE312" s="698"/>
      <c r="AF312" s="655"/>
    </row>
    <row r="313" spans="1:32" ht="12" customHeight="1">
      <c r="A313" s="725" t="s">
        <v>15353</v>
      </c>
      <c r="B313" s="2">
        <v>1</v>
      </c>
      <c r="C313" s="4" t="s">
        <v>1378</v>
      </c>
      <c r="D313" s="1" t="s">
        <v>1386</v>
      </c>
      <c r="E313" s="6">
        <f t="shared" si="4"/>
        <v>47</v>
      </c>
      <c r="F313" s="2" t="s">
        <v>5</v>
      </c>
      <c r="G313" s="1" t="s">
        <v>15273</v>
      </c>
      <c r="K313" s="8" t="s">
        <v>16120</v>
      </c>
      <c r="L313" s="1" t="s">
        <v>30</v>
      </c>
      <c r="M313" s="1" t="s">
        <v>14</v>
      </c>
      <c r="N313" s="16">
        <v>1</v>
      </c>
      <c r="O313" s="17">
        <v>1</v>
      </c>
      <c r="P313" s="3" t="s">
        <v>317</v>
      </c>
      <c r="Q313" s="20">
        <v>23989</v>
      </c>
      <c r="R313" s="3" t="s">
        <v>1388</v>
      </c>
      <c r="T313" s="3" t="s">
        <v>5457</v>
      </c>
      <c r="U313" s="3" t="s">
        <v>146</v>
      </c>
      <c r="AD313" s="2" t="s">
        <v>146</v>
      </c>
      <c r="AE313" s="698"/>
      <c r="AF313" s="655"/>
    </row>
    <row r="314" spans="1:32" ht="12" customHeight="1">
      <c r="A314" s="725" t="s">
        <v>15354</v>
      </c>
      <c r="B314" s="2">
        <v>1</v>
      </c>
      <c r="C314" s="4" t="s">
        <v>1408</v>
      </c>
      <c r="D314" s="1" t="s">
        <v>1414</v>
      </c>
      <c r="E314" s="6">
        <f t="shared" si="4"/>
        <v>35</v>
      </c>
      <c r="F314" s="2" t="s">
        <v>5</v>
      </c>
      <c r="G314" s="1" t="s">
        <v>15273</v>
      </c>
      <c r="K314" s="23" t="s">
        <v>16120</v>
      </c>
      <c r="L314" s="1" t="s">
        <v>445</v>
      </c>
      <c r="M314" s="1" t="s">
        <v>14</v>
      </c>
      <c r="N314" s="16">
        <v>1</v>
      </c>
      <c r="O314" s="17">
        <v>1</v>
      </c>
      <c r="P314" s="3" t="s">
        <v>317</v>
      </c>
      <c r="Q314" s="20">
        <v>28165</v>
      </c>
      <c r="R314" s="3" t="s">
        <v>1415</v>
      </c>
      <c r="T314" s="3" t="s">
        <v>5457</v>
      </c>
      <c r="U314" s="3" t="s">
        <v>47</v>
      </c>
      <c r="V314" s="2" t="s">
        <v>47</v>
      </c>
      <c r="AE314" s="698"/>
      <c r="AF314" s="655"/>
    </row>
    <row r="315" spans="1:32" ht="12" customHeight="1">
      <c r="A315" s="725" t="s">
        <v>15355</v>
      </c>
      <c r="B315" s="2">
        <v>1</v>
      </c>
      <c r="C315" s="4" t="s">
        <v>1423</v>
      </c>
      <c r="D315" s="1" t="s">
        <v>1426</v>
      </c>
      <c r="E315" s="6">
        <f t="shared" si="4"/>
        <v>48</v>
      </c>
      <c r="F315" s="2" t="s">
        <v>5</v>
      </c>
      <c r="G315" s="1" t="s">
        <v>15273</v>
      </c>
      <c r="K315" s="8" t="s">
        <v>16120</v>
      </c>
      <c r="L315" s="1" t="s">
        <v>934</v>
      </c>
      <c r="M315" s="1" t="s">
        <v>14</v>
      </c>
      <c r="N315" s="16">
        <v>1</v>
      </c>
      <c r="O315" s="17">
        <v>1</v>
      </c>
      <c r="P315" s="3" t="s">
        <v>695</v>
      </c>
      <c r="Q315" s="20">
        <v>23475</v>
      </c>
      <c r="R315" s="3" t="s">
        <v>1427</v>
      </c>
      <c r="T315" s="3" t="s">
        <v>5457</v>
      </c>
      <c r="U315" s="3" t="s">
        <v>145</v>
      </c>
      <c r="W315" s="2" t="s">
        <v>145</v>
      </c>
      <c r="AE315" s="698"/>
      <c r="AF315" s="655"/>
    </row>
    <row r="316" spans="1:32" ht="12" customHeight="1">
      <c r="A316" s="725" t="s">
        <v>15356</v>
      </c>
      <c r="B316" s="2">
        <v>1</v>
      </c>
      <c r="C316" s="4" t="s">
        <v>1443</v>
      </c>
      <c r="D316" s="1" t="s">
        <v>1451</v>
      </c>
      <c r="E316" s="6">
        <f t="shared" si="4"/>
        <v>44</v>
      </c>
      <c r="F316" s="2" t="s">
        <v>5</v>
      </c>
      <c r="G316" s="1" t="s">
        <v>15273</v>
      </c>
      <c r="K316" s="4" t="s">
        <v>16120</v>
      </c>
      <c r="L316" s="1" t="s">
        <v>30</v>
      </c>
      <c r="M316" s="1" t="s">
        <v>6</v>
      </c>
      <c r="P316" s="3" t="s">
        <v>1089</v>
      </c>
      <c r="Q316" s="20">
        <v>25097</v>
      </c>
      <c r="R316" s="3" t="s">
        <v>1452</v>
      </c>
      <c r="T316" s="3" t="s">
        <v>5457</v>
      </c>
      <c r="AE316" s="698"/>
      <c r="AF316" s="655"/>
    </row>
    <row r="317" spans="1:32" ht="12" customHeight="1">
      <c r="A317" s="725" t="s">
        <v>15357</v>
      </c>
      <c r="B317" s="2">
        <v>1</v>
      </c>
      <c r="C317" s="4" t="s">
        <v>1460</v>
      </c>
      <c r="D317" s="1" t="s">
        <v>1468</v>
      </c>
      <c r="E317" s="6">
        <f t="shared" si="4"/>
        <v>63</v>
      </c>
      <c r="F317" s="2" t="s">
        <v>5</v>
      </c>
      <c r="G317" s="1" t="s">
        <v>15273</v>
      </c>
      <c r="H317" s="3" t="s">
        <v>1469</v>
      </c>
      <c r="K317" s="4" t="s">
        <v>16120</v>
      </c>
      <c r="L317" s="1" t="s">
        <v>934</v>
      </c>
      <c r="M317" s="1" t="s">
        <v>25</v>
      </c>
      <c r="N317" s="16">
        <v>5</v>
      </c>
      <c r="O317" s="17">
        <v>5</v>
      </c>
      <c r="P317" s="3" t="s">
        <v>95</v>
      </c>
      <c r="Q317" s="20">
        <v>17919</v>
      </c>
      <c r="R317" s="3" t="s">
        <v>1470</v>
      </c>
      <c r="S317" s="3" t="s">
        <v>1471</v>
      </c>
      <c r="T317" s="3" t="s">
        <v>5457</v>
      </c>
      <c r="U317" s="3" t="s">
        <v>145</v>
      </c>
      <c r="W317" s="2" t="s">
        <v>145</v>
      </c>
      <c r="AE317" s="698"/>
      <c r="AF317" s="655"/>
    </row>
    <row r="318" spans="1:32" ht="12" customHeight="1">
      <c r="A318" s="725" t="s">
        <v>15358</v>
      </c>
      <c r="B318" s="2">
        <v>1</v>
      </c>
      <c r="C318" s="4" t="s">
        <v>1487</v>
      </c>
      <c r="D318" s="1" t="s">
        <v>1496</v>
      </c>
      <c r="E318" s="6">
        <f t="shared" si="4"/>
        <v>49</v>
      </c>
      <c r="F318" s="2" t="s">
        <v>5</v>
      </c>
      <c r="G318" s="1" t="s">
        <v>15273</v>
      </c>
      <c r="K318" s="8" t="s">
        <v>16120</v>
      </c>
      <c r="L318" s="1" t="s">
        <v>30</v>
      </c>
      <c r="M318" s="1" t="s">
        <v>6</v>
      </c>
      <c r="P318" s="3" t="s">
        <v>172</v>
      </c>
      <c r="Q318" s="20">
        <v>23231</v>
      </c>
      <c r="R318" s="3" t="s">
        <v>1498</v>
      </c>
      <c r="T318" s="3" t="s">
        <v>5457</v>
      </c>
      <c r="U318" s="3" t="s">
        <v>173</v>
      </c>
      <c r="W318" s="2" t="s">
        <v>145</v>
      </c>
      <c r="Z318" s="2" t="s">
        <v>155</v>
      </c>
      <c r="AE318" s="698"/>
      <c r="AF318" s="655"/>
    </row>
    <row r="319" spans="1:32" ht="12" customHeight="1">
      <c r="A319" s="725" t="s">
        <v>15359</v>
      </c>
      <c r="B319" s="2">
        <v>1</v>
      </c>
      <c r="C319" s="4" t="s">
        <v>1505</v>
      </c>
      <c r="D319" s="1" t="s">
        <v>1513</v>
      </c>
      <c r="E319" s="6">
        <f t="shared" si="4"/>
        <v>63</v>
      </c>
      <c r="F319" s="2" t="s">
        <v>5</v>
      </c>
      <c r="G319" s="1" t="s">
        <v>15273</v>
      </c>
      <c r="H319" s="3" t="s">
        <v>1514</v>
      </c>
      <c r="K319" s="23" t="s">
        <v>16120</v>
      </c>
      <c r="L319" s="1" t="s">
        <v>934</v>
      </c>
      <c r="M319" s="1" t="s">
        <v>25</v>
      </c>
      <c r="N319" s="16">
        <v>9</v>
      </c>
      <c r="O319" s="17">
        <v>9</v>
      </c>
      <c r="P319" s="3" t="s">
        <v>31</v>
      </c>
      <c r="Q319" s="20">
        <v>18137</v>
      </c>
      <c r="R319" s="3" t="s">
        <v>1515</v>
      </c>
      <c r="S319" s="3" t="s">
        <v>1516</v>
      </c>
      <c r="T319" s="3" t="s">
        <v>5457</v>
      </c>
      <c r="U319" s="3" t="s">
        <v>104</v>
      </c>
      <c r="AB319" s="2" t="s">
        <v>104</v>
      </c>
      <c r="AE319" s="698"/>
      <c r="AF319" s="655"/>
    </row>
    <row r="320" spans="1:32" ht="12" customHeight="1">
      <c r="A320" s="725" t="s">
        <v>15360</v>
      </c>
      <c r="B320" s="2">
        <v>1</v>
      </c>
      <c r="C320" s="4" t="s">
        <v>1524</v>
      </c>
      <c r="D320" s="1" t="s">
        <v>1533</v>
      </c>
      <c r="E320" s="6">
        <f t="shared" si="4"/>
        <v>44</v>
      </c>
      <c r="F320" s="2" t="s">
        <v>5</v>
      </c>
      <c r="G320" s="1" t="s">
        <v>15273</v>
      </c>
      <c r="K320" s="8" t="s">
        <v>16120</v>
      </c>
      <c r="L320" s="1" t="s">
        <v>445</v>
      </c>
      <c r="M320" s="1" t="s">
        <v>14</v>
      </c>
      <c r="N320" s="16">
        <v>1</v>
      </c>
      <c r="O320" s="17">
        <v>1</v>
      </c>
      <c r="P320" s="3" t="s">
        <v>695</v>
      </c>
      <c r="Q320" s="20">
        <v>24924</v>
      </c>
      <c r="R320" s="3" t="s">
        <v>1534</v>
      </c>
      <c r="T320" s="3" t="s">
        <v>5457</v>
      </c>
      <c r="U320" s="3" t="s">
        <v>149</v>
      </c>
      <c r="W320" s="2" t="s">
        <v>145</v>
      </c>
      <c r="AA320" s="2" t="s">
        <v>85</v>
      </c>
      <c r="AE320" s="698"/>
      <c r="AF320" s="655"/>
    </row>
    <row r="321" spans="1:32" ht="12" customHeight="1">
      <c r="A321" s="725" t="s">
        <v>15361</v>
      </c>
      <c r="B321" s="2">
        <v>1</v>
      </c>
      <c r="C321" s="4" t="s">
        <v>1545</v>
      </c>
      <c r="D321" s="1" t="s">
        <v>1549</v>
      </c>
      <c r="E321" s="6">
        <f t="shared" si="4"/>
        <v>49</v>
      </c>
      <c r="F321" s="2" t="s">
        <v>5</v>
      </c>
      <c r="G321" s="1" t="s">
        <v>15273</v>
      </c>
      <c r="H321" s="3" t="s">
        <v>1550</v>
      </c>
      <c r="K321" s="4" t="s">
        <v>16120</v>
      </c>
      <c r="L321" s="1" t="s">
        <v>445</v>
      </c>
      <c r="M321" s="1" t="s">
        <v>25</v>
      </c>
      <c r="N321" s="16">
        <v>5</v>
      </c>
      <c r="O321" s="17">
        <v>5</v>
      </c>
      <c r="P321" s="3" t="s">
        <v>1551</v>
      </c>
      <c r="Q321" s="20">
        <v>23021</v>
      </c>
      <c r="R321" s="3" t="s">
        <v>1552</v>
      </c>
      <c r="S321" s="3" t="s">
        <v>1553</v>
      </c>
      <c r="T321" s="3" t="s">
        <v>5457</v>
      </c>
      <c r="U321" s="3" t="s">
        <v>104</v>
      </c>
      <c r="AB321" s="2" t="s">
        <v>104</v>
      </c>
      <c r="AE321" s="698"/>
      <c r="AF321" s="655"/>
    </row>
    <row r="322" spans="1:32" ht="12" customHeight="1">
      <c r="A322" s="725" t="s">
        <v>15362</v>
      </c>
      <c r="B322" s="2">
        <v>1</v>
      </c>
      <c r="C322" s="4" t="s">
        <v>1558</v>
      </c>
      <c r="D322" s="1" t="s">
        <v>1564</v>
      </c>
      <c r="E322" s="6">
        <f t="shared" ref="E322:E385" si="5">DATEDIF(Q322,$Q$1119,"Y")</f>
        <v>41</v>
      </c>
      <c r="F322" s="2" t="s">
        <v>5</v>
      </c>
      <c r="G322" s="1" t="s">
        <v>15273</v>
      </c>
      <c r="H322" s="3" t="s">
        <v>1565</v>
      </c>
      <c r="I322" s="1" t="s">
        <v>373</v>
      </c>
      <c r="K322" s="4" t="s">
        <v>16120</v>
      </c>
      <c r="L322" s="1" t="s">
        <v>48</v>
      </c>
      <c r="M322" s="1" t="s">
        <v>6</v>
      </c>
      <c r="O322" s="17">
        <v>2</v>
      </c>
      <c r="P322" s="3" t="s">
        <v>459</v>
      </c>
      <c r="Q322" s="20">
        <v>26023</v>
      </c>
      <c r="R322" s="3" t="s">
        <v>1567</v>
      </c>
      <c r="S322" s="3" t="s">
        <v>374</v>
      </c>
      <c r="T322" s="3" t="s">
        <v>5457</v>
      </c>
      <c r="U322" s="3" t="s">
        <v>1569</v>
      </c>
      <c r="Y322" s="2" t="s">
        <v>229</v>
      </c>
      <c r="AA322" s="2" t="s">
        <v>85</v>
      </c>
      <c r="AE322" s="698"/>
      <c r="AF322" s="655"/>
    </row>
    <row r="323" spans="1:32" ht="12" customHeight="1">
      <c r="A323" s="725" t="s">
        <v>15363</v>
      </c>
      <c r="B323" s="2">
        <v>1</v>
      </c>
      <c r="C323" s="4" t="s">
        <v>1573</v>
      </c>
      <c r="D323" s="1" t="s">
        <v>1579</v>
      </c>
      <c r="E323" s="6">
        <f t="shared" si="5"/>
        <v>36</v>
      </c>
      <c r="F323" s="2" t="s">
        <v>19</v>
      </c>
      <c r="G323" s="1" t="s">
        <v>15273</v>
      </c>
      <c r="K323" s="8" t="s">
        <v>16120</v>
      </c>
      <c r="L323" s="1" t="s">
        <v>30</v>
      </c>
      <c r="M323" s="1" t="s">
        <v>6</v>
      </c>
      <c r="P323" s="3" t="s">
        <v>1580</v>
      </c>
      <c r="Q323" s="20">
        <v>28065</v>
      </c>
      <c r="R323" s="3" t="s">
        <v>1581</v>
      </c>
      <c r="T323" s="3" t="s">
        <v>5457</v>
      </c>
      <c r="AE323" s="698"/>
      <c r="AF323" s="655"/>
    </row>
    <row r="324" spans="1:32" ht="12" customHeight="1">
      <c r="A324" s="725" t="s">
        <v>15364</v>
      </c>
      <c r="B324" s="2">
        <v>1</v>
      </c>
      <c r="C324" s="4" t="s">
        <v>1592</v>
      </c>
      <c r="D324" s="1" t="s">
        <v>1596</v>
      </c>
      <c r="E324" s="6">
        <f t="shared" si="5"/>
        <v>44</v>
      </c>
      <c r="F324" s="2" t="s">
        <v>5</v>
      </c>
      <c r="G324" s="1" t="s">
        <v>15273</v>
      </c>
      <c r="K324" s="23" t="s">
        <v>16120</v>
      </c>
      <c r="L324" s="1" t="s">
        <v>934</v>
      </c>
      <c r="M324" s="1" t="s">
        <v>14</v>
      </c>
      <c r="N324" s="16">
        <v>2</v>
      </c>
      <c r="O324" s="17">
        <v>2</v>
      </c>
      <c r="P324" s="3" t="s">
        <v>462</v>
      </c>
      <c r="Q324" s="20">
        <v>25093</v>
      </c>
      <c r="R324" s="3" t="s">
        <v>1598</v>
      </c>
      <c r="T324" s="3" t="s">
        <v>5457</v>
      </c>
      <c r="AE324" s="698"/>
      <c r="AF324" s="655"/>
    </row>
    <row r="325" spans="1:32" ht="12" customHeight="1">
      <c r="A325" s="725" t="s">
        <v>15365</v>
      </c>
      <c r="B325" s="2">
        <v>1</v>
      </c>
      <c r="C325" s="4" t="s">
        <v>1608</v>
      </c>
      <c r="D325" s="1" t="s">
        <v>1615</v>
      </c>
      <c r="E325" s="6">
        <f t="shared" si="5"/>
        <v>33</v>
      </c>
      <c r="F325" s="2" t="s">
        <v>19</v>
      </c>
      <c r="G325" s="1" t="s">
        <v>15273</v>
      </c>
      <c r="K325" s="8" t="s">
        <v>16120</v>
      </c>
      <c r="L325" s="1" t="s">
        <v>30</v>
      </c>
      <c r="M325" s="1" t="s">
        <v>6</v>
      </c>
      <c r="P325" s="3" t="s">
        <v>31</v>
      </c>
      <c r="Q325" s="20">
        <v>28950</v>
      </c>
      <c r="R325" s="3" t="s">
        <v>16660</v>
      </c>
      <c r="U325" s="3" t="s">
        <v>146</v>
      </c>
      <c r="AD325" s="2" t="s">
        <v>146</v>
      </c>
      <c r="AE325" s="774"/>
      <c r="AF325" s="655"/>
    </row>
    <row r="326" spans="1:32" ht="12" customHeight="1">
      <c r="A326" s="725" t="s">
        <v>15366</v>
      </c>
      <c r="B326" s="2">
        <v>1</v>
      </c>
      <c r="C326" s="4" t="s">
        <v>1620</v>
      </c>
      <c r="D326" s="1" t="s">
        <v>2062</v>
      </c>
      <c r="E326" s="6">
        <f t="shared" si="5"/>
        <v>47</v>
      </c>
      <c r="F326" s="2" t="s">
        <v>19</v>
      </c>
      <c r="G326" s="1" t="s">
        <v>15273</v>
      </c>
      <c r="K326" s="4" t="s">
        <v>16120</v>
      </c>
      <c r="L326" s="1" t="s">
        <v>476</v>
      </c>
      <c r="M326" s="1" t="s">
        <v>6</v>
      </c>
      <c r="P326" s="3" t="s">
        <v>3416</v>
      </c>
      <c r="Q326" s="20">
        <v>24043</v>
      </c>
      <c r="R326" s="3" t="s">
        <v>6144</v>
      </c>
      <c r="U326" s="3" t="s">
        <v>104</v>
      </c>
      <c r="AB326" s="2" t="s">
        <v>104</v>
      </c>
      <c r="AE326" s="774"/>
      <c r="AF326" s="655"/>
    </row>
    <row r="327" spans="1:32" ht="12" customHeight="1">
      <c r="A327" s="725" t="s">
        <v>15367</v>
      </c>
      <c r="B327" s="2">
        <v>1</v>
      </c>
      <c r="C327" s="4" t="s">
        <v>1633</v>
      </c>
      <c r="D327" s="1" t="s">
        <v>1642</v>
      </c>
      <c r="E327" s="6">
        <f t="shared" si="5"/>
        <v>36</v>
      </c>
      <c r="F327" s="2" t="s">
        <v>5</v>
      </c>
      <c r="G327" s="1" t="s">
        <v>15273</v>
      </c>
      <c r="K327" s="4" t="s">
        <v>16120</v>
      </c>
      <c r="L327" s="1" t="s">
        <v>30</v>
      </c>
      <c r="M327" s="1" t="s">
        <v>6</v>
      </c>
      <c r="P327" s="3" t="s">
        <v>150</v>
      </c>
      <c r="Q327" s="20">
        <v>28033</v>
      </c>
      <c r="R327" s="3" t="s">
        <v>1643</v>
      </c>
      <c r="AE327" s="774"/>
      <c r="AF327" s="655"/>
    </row>
    <row r="328" spans="1:32" ht="12" customHeight="1">
      <c r="A328" s="725" t="s">
        <v>15368</v>
      </c>
      <c r="B328" s="2">
        <v>33</v>
      </c>
      <c r="C328" s="2"/>
      <c r="D328" s="2" t="s">
        <v>15253</v>
      </c>
      <c r="E328" s="6">
        <f t="shared" si="5"/>
        <v>45</v>
      </c>
      <c r="F328" s="2" t="s">
        <v>5</v>
      </c>
      <c r="G328" s="2" t="s">
        <v>6067</v>
      </c>
      <c r="H328" s="22"/>
      <c r="I328" s="2"/>
      <c r="J328" s="2"/>
      <c r="K328" s="8" t="s">
        <v>16120</v>
      </c>
      <c r="L328" s="2" t="s">
        <v>5247</v>
      </c>
      <c r="M328" s="2" t="s">
        <v>6</v>
      </c>
      <c r="N328" s="24"/>
      <c r="O328" s="25"/>
      <c r="P328" s="22" t="s">
        <v>3517</v>
      </c>
      <c r="Q328" s="21">
        <v>24694</v>
      </c>
      <c r="R328" s="22" t="s">
        <v>6069</v>
      </c>
      <c r="S328" s="22"/>
      <c r="T328" s="22"/>
      <c r="U328" s="22"/>
      <c r="AE328" s="698"/>
      <c r="AF328" s="655"/>
    </row>
    <row r="329" spans="1:32" ht="12" customHeight="1">
      <c r="A329" s="725" t="s">
        <v>15369</v>
      </c>
      <c r="B329" s="2">
        <v>34</v>
      </c>
      <c r="C329" s="2"/>
      <c r="D329" s="2" t="s">
        <v>6070</v>
      </c>
      <c r="E329" s="6">
        <f t="shared" si="5"/>
        <v>51</v>
      </c>
      <c r="F329" s="2" t="s">
        <v>5</v>
      </c>
      <c r="G329" s="2" t="s">
        <v>6067</v>
      </c>
      <c r="H329" s="22"/>
      <c r="I329" s="2"/>
      <c r="J329" s="2"/>
      <c r="K329" s="23" t="s">
        <v>16120</v>
      </c>
      <c r="L329" s="2" t="s">
        <v>5247</v>
      </c>
      <c r="M329" s="2" t="s">
        <v>6</v>
      </c>
      <c r="N329" s="24"/>
      <c r="O329" s="25"/>
      <c r="P329" s="22" t="s">
        <v>6071</v>
      </c>
      <c r="Q329" s="21">
        <v>22319</v>
      </c>
      <c r="R329" s="22" t="s">
        <v>6072</v>
      </c>
      <c r="S329" s="22"/>
      <c r="T329" s="22"/>
      <c r="U329" s="22"/>
      <c r="AE329" s="698"/>
      <c r="AF329" s="655"/>
    </row>
    <row r="330" spans="1:32" ht="12" customHeight="1" thickBot="1">
      <c r="A330" s="726" t="s">
        <v>15370</v>
      </c>
      <c r="B330" s="702">
        <v>35</v>
      </c>
      <c r="C330" s="702"/>
      <c r="D330" s="702" t="s">
        <v>15254</v>
      </c>
      <c r="E330" s="701">
        <f t="shared" si="5"/>
        <v>62</v>
      </c>
      <c r="F330" s="702" t="s">
        <v>5</v>
      </c>
      <c r="G330" s="702" t="s">
        <v>6067</v>
      </c>
      <c r="H330" s="720"/>
      <c r="I330" s="702"/>
      <c r="J330" s="702"/>
      <c r="K330" s="704" t="s">
        <v>16120</v>
      </c>
      <c r="L330" s="702" t="s">
        <v>5247</v>
      </c>
      <c r="M330" s="702" t="s">
        <v>6</v>
      </c>
      <c r="N330" s="721"/>
      <c r="O330" s="722"/>
      <c r="P330" s="720" t="s">
        <v>451</v>
      </c>
      <c r="Q330" s="723">
        <v>18541</v>
      </c>
      <c r="R330" s="720" t="s">
        <v>16245</v>
      </c>
      <c r="S330" s="720"/>
      <c r="T330" s="720"/>
      <c r="U330" s="720"/>
      <c r="V330" s="702"/>
      <c r="W330" s="702"/>
      <c r="X330" s="702"/>
      <c r="Y330" s="702"/>
      <c r="Z330" s="702"/>
      <c r="AA330" s="702"/>
      <c r="AB330" s="702"/>
      <c r="AC330" s="702"/>
      <c r="AD330" s="702"/>
      <c r="AE330" s="708"/>
      <c r="AF330" s="655"/>
    </row>
    <row r="331" spans="1:32" ht="12" customHeight="1">
      <c r="A331" s="780" t="s">
        <v>16246</v>
      </c>
      <c r="B331" s="696">
        <v>1</v>
      </c>
      <c r="C331" s="688" t="s">
        <v>1026</v>
      </c>
      <c r="D331" s="687" t="s">
        <v>1035</v>
      </c>
      <c r="E331" s="690">
        <f t="shared" si="5"/>
        <v>53</v>
      </c>
      <c r="F331" s="696" t="s">
        <v>5</v>
      </c>
      <c r="G331" s="687" t="s">
        <v>15273</v>
      </c>
      <c r="H331" s="747" t="s">
        <v>1040</v>
      </c>
      <c r="I331" s="687"/>
      <c r="J331" s="687"/>
      <c r="K331" s="688" t="s">
        <v>16125</v>
      </c>
      <c r="L331" s="687"/>
      <c r="M331" s="687" t="s">
        <v>25</v>
      </c>
      <c r="N331" s="748">
        <v>1</v>
      </c>
      <c r="O331" s="749">
        <v>1</v>
      </c>
      <c r="P331" s="747" t="s">
        <v>172</v>
      </c>
      <c r="Q331" s="773">
        <v>21631</v>
      </c>
      <c r="R331" s="747" t="s">
        <v>1037</v>
      </c>
      <c r="S331" s="747"/>
      <c r="T331" s="747" t="s">
        <v>5561</v>
      </c>
      <c r="U331" s="747" t="s">
        <v>145</v>
      </c>
      <c r="V331" s="696"/>
      <c r="W331" s="696" t="s">
        <v>145</v>
      </c>
      <c r="X331" s="696"/>
      <c r="Y331" s="696"/>
      <c r="Z331" s="696"/>
      <c r="AA331" s="696"/>
      <c r="AB331" s="696"/>
      <c r="AC331" s="696"/>
      <c r="AD331" s="696"/>
      <c r="AE331" s="805"/>
      <c r="AF331" s="655"/>
    </row>
    <row r="332" spans="1:32" ht="12" customHeight="1">
      <c r="A332" s="790" t="s">
        <v>16247</v>
      </c>
      <c r="B332" s="2">
        <v>1</v>
      </c>
      <c r="C332" s="4" t="s">
        <v>1042</v>
      </c>
      <c r="D332" s="1" t="s">
        <v>1048</v>
      </c>
      <c r="E332" s="6">
        <f t="shared" si="5"/>
        <v>55</v>
      </c>
      <c r="F332" s="2" t="s">
        <v>5</v>
      </c>
      <c r="G332" s="1" t="s">
        <v>15273</v>
      </c>
      <c r="H332" s="3" t="s">
        <v>1049</v>
      </c>
      <c r="K332" s="4" t="s">
        <v>16125</v>
      </c>
      <c r="M332" s="1" t="s">
        <v>25</v>
      </c>
      <c r="N332" s="16">
        <v>2</v>
      </c>
      <c r="O332" s="17">
        <v>2</v>
      </c>
      <c r="P332" s="3" t="s">
        <v>188</v>
      </c>
      <c r="Q332" s="20">
        <v>21127</v>
      </c>
      <c r="R332" s="3" t="s">
        <v>1050</v>
      </c>
      <c r="T332" s="3" t="s">
        <v>5561</v>
      </c>
      <c r="U332" s="3" t="s">
        <v>258</v>
      </c>
      <c r="Z332" s="2" t="s">
        <v>155</v>
      </c>
      <c r="AB332" s="2" t="s">
        <v>104</v>
      </c>
      <c r="AE332" s="774"/>
      <c r="AF332" s="655"/>
    </row>
    <row r="333" spans="1:32" ht="12" customHeight="1">
      <c r="A333" s="790" t="s">
        <v>16248</v>
      </c>
      <c r="B333" s="2">
        <v>1</v>
      </c>
      <c r="C333" s="4" t="s">
        <v>1059</v>
      </c>
      <c r="D333" s="1" t="s">
        <v>879</v>
      </c>
      <c r="E333" s="6">
        <f t="shared" si="5"/>
        <v>47</v>
      </c>
      <c r="F333" s="2" t="s">
        <v>19</v>
      </c>
      <c r="G333" s="1" t="s">
        <v>15273</v>
      </c>
      <c r="H333" s="12" t="s">
        <v>1299</v>
      </c>
      <c r="I333" s="19"/>
      <c r="J333" s="19"/>
      <c r="K333" s="4" t="s">
        <v>16125</v>
      </c>
      <c r="L333" s="6"/>
      <c r="M333" s="6" t="s">
        <v>25</v>
      </c>
      <c r="N333" s="13">
        <v>1</v>
      </c>
      <c r="O333" s="14">
        <v>1</v>
      </c>
      <c r="P333" s="19" t="s">
        <v>586</v>
      </c>
      <c r="Q333" s="15">
        <v>23806</v>
      </c>
      <c r="R333" s="12" t="s">
        <v>2742</v>
      </c>
      <c r="S333" s="12"/>
      <c r="T333" s="12" t="s">
        <v>5561</v>
      </c>
      <c r="U333" s="12" t="s">
        <v>258</v>
      </c>
      <c r="Z333" s="2" t="s">
        <v>155</v>
      </c>
      <c r="AB333" s="2" t="s">
        <v>104</v>
      </c>
      <c r="AE333" s="698"/>
      <c r="AF333" s="655"/>
    </row>
    <row r="334" spans="1:32" ht="12" customHeight="1">
      <c r="A334" s="790" t="s">
        <v>16249</v>
      </c>
      <c r="B334" s="2">
        <v>1</v>
      </c>
      <c r="C334" s="4" t="s">
        <v>1085</v>
      </c>
      <c r="D334" s="1" t="s">
        <v>5534</v>
      </c>
      <c r="E334" s="6">
        <f t="shared" si="5"/>
        <v>38</v>
      </c>
      <c r="F334" s="2" t="s">
        <v>19</v>
      </c>
      <c r="G334" s="1" t="s">
        <v>15273</v>
      </c>
      <c r="H334" s="3" t="s">
        <v>5535</v>
      </c>
      <c r="K334" s="4" t="s">
        <v>16125</v>
      </c>
      <c r="M334" s="1" t="s">
        <v>25</v>
      </c>
      <c r="N334" s="16">
        <v>1</v>
      </c>
      <c r="O334" s="17">
        <v>1</v>
      </c>
      <c r="P334" s="3" t="s">
        <v>31</v>
      </c>
      <c r="Q334" s="20">
        <v>27088</v>
      </c>
      <c r="R334" s="3" t="s">
        <v>5536</v>
      </c>
      <c r="T334" s="3" t="s">
        <v>5561</v>
      </c>
      <c r="AE334" s="698"/>
      <c r="AF334" s="655"/>
    </row>
    <row r="335" spans="1:32" ht="12" customHeight="1">
      <c r="A335" s="790" t="s">
        <v>16250</v>
      </c>
      <c r="B335" s="2">
        <v>1</v>
      </c>
      <c r="C335" s="4" t="s">
        <v>1102</v>
      </c>
      <c r="D335" s="1" t="s">
        <v>3397</v>
      </c>
      <c r="E335" s="6">
        <f t="shared" si="5"/>
        <v>50</v>
      </c>
      <c r="F335" s="2" t="s">
        <v>19</v>
      </c>
      <c r="G335" s="1" t="s">
        <v>15273</v>
      </c>
      <c r="K335" s="4" t="s">
        <v>16125</v>
      </c>
      <c r="M335" s="1" t="s">
        <v>6</v>
      </c>
      <c r="P335" s="3" t="s">
        <v>3398</v>
      </c>
      <c r="Q335" s="20">
        <v>22895</v>
      </c>
      <c r="R335" s="3" t="s">
        <v>3399</v>
      </c>
      <c r="T335" s="3" t="s">
        <v>5561</v>
      </c>
      <c r="AE335" s="698"/>
      <c r="AF335" s="655"/>
    </row>
    <row r="336" spans="1:32" ht="12" customHeight="1">
      <c r="A336" s="790" t="s">
        <v>16251</v>
      </c>
      <c r="B336" s="2">
        <v>1</v>
      </c>
      <c r="C336" s="4" t="s">
        <v>1121</v>
      </c>
      <c r="D336" s="1" t="s">
        <v>1130</v>
      </c>
      <c r="E336" s="6">
        <f t="shared" si="5"/>
        <v>58</v>
      </c>
      <c r="F336" s="2" t="s">
        <v>5</v>
      </c>
      <c r="G336" s="1" t="s">
        <v>15273</v>
      </c>
      <c r="H336" s="3" t="s">
        <v>1131</v>
      </c>
      <c r="K336" s="4" t="s">
        <v>16125</v>
      </c>
      <c r="M336" s="1" t="s">
        <v>25</v>
      </c>
      <c r="N336" s="16">
        <v>3</v>
      </c>
      <c r="O336" s="17">
        <v>3</v>
      </c>
      <c r="P336" s="3" t="s">
        <v>83</v>
      </c>
      <c r="Q336" s="20">
        <v>19786</v>
      </c>
      <c r="R336" s="3" t="s">
        <v>1133</v>
      </c>
      <c r="S336" s="3" t="s">
        <v>4567</v>
      </c>
      <c r="T336" s="3" t="s">
        <v>5561</v>
      </c>
      <c r="AE336" s="698"/>
      <c r="AF336" s="655"/>
    </row>
    <row r="337" spans="1:32" ht="12" customHeight="1">
      <c r="A337" s="790" t="s">
        <v>16252</v>
      </c>
      <c r="B337" s="2">
        <v>1</v>
      </c>
      <c r="C337" s="4" t="s">
        <v>1136</v>
      </c>
      <c r="D337" s="1" t="s">
        <v>3993</v>
      </c>
      <c r="E337" s="6">
        <f t="shared" si="5"/>
        <v>53</v>
      </c>
      <c r="F337" s="2" t="s">
        <v>19</v>
      </c>
      <c r="G337" s="1" t="s">
        <v>15273</v>
      </c>
      <c r="H337" s="3" t="s">
        <v>3994</v>
      </c>
      <c r="I337" s="1" t="s">
        <v>373</v>
      </c>
      <c r="K337" s="4" t="s">
        <v>16125</v>
      </c>
      <c r="M337" s="1" t="s">
        <v>6</v>
      </c>
      <c r="O337" s="17">
        <v>2</v>
      </c>
      <c r="P337" s="3" t="s">
        <v>3996</v>
      </c>
      <c r="Q337" s="20">
        <v>21595</v>
      </c>
      <c r="R337" s="3" t="s">
        <v>3997</v>
      </c>
      <c r="S337" s="3" t="s">
        <v>374</v>
      </c>
      <c r="T337" s="3" t="s">
        <v>5561</v>
      </c>
      <c r="U337" s="3" t="s">
        <v>375</v>
      </c>
      <c r="W337" s="2" t="s">
        <v>145</v>
      </c>
      <c r="Y337" s="2" t="s">
        <v>229</v>
      </c>
      <c r="AE337" s="698"/>
      <c r="AF337" s="655"/>
    </row>
    <row r="338" spans="1:32" ht="12" customHeight="1">
      <c r="A338" s="790" t="s">
        <v>16253</v>
      </c>
      <c r="B338" s="2">
        <v>1</v>
      </c>
      <c r="C338" s="4" t="s">
        <v>1155</v>
      </c>
      <c r="D338" s="1" t="s">
        <v>3194</v>
      </c>
      <c r="E338" s="6">
        <f t="shared" si="5"/>
        <v>41</v>
      </c>
      <c r="F338" s="2" t="s">
        <v>19</v>
      </c>
      <c r="G338" s="1" t="s">
        <v>15273</v>
      </c>
      <c r="K338" s="4" t="s">
        <v>16125</v>
      </c>
      <c r="M338" s="1" t="s">
        <v>14</v>
      </c>
      <c r="N338" s="16">
        <v>1</v>
      </c>
      <c r="O338" s="17">
        <v>1</v>
      </c>
      <c r="P338" s="3" t="s">
        <v>523</v>
      </c>
      <c r="Q338" s="20">
        <v>26081</v>
      </c>
      <c r="R338" s="3" t="s">
        <v>3195</v>
      </c>
      <c r="T338" s="3" t="s">
        <v>5561</v>
      </c>
      <c r="AE338" s="698"/>
      <c r="AF338" s="655"/>
    </row>
    <row r="339" spans="1:32" ht="12" customHeight="1">
      <c r="A339" s="790" t="s">
        <v>16254</v>
      </c>
      <c r="B339" s="2">
        <v>1</v>
      </c>
      <c r="C339" s="4" t="s">
        <v>1188</v>
      </c>
      <c r="D339" s="1" t="s">
        <v>1195</v>
      </c>
      <c r="E339" s="6">
        <f t="shared" si="5"/>
        <v>55</v>
      </c>
      <c r="F339" s="2" t="s">
        <v>5</v>
      </c>
      <c r="G339" s="1" t="s">
        <v>15273</v>
      </c>
      <c r="H339" s="3" t="s">
        <v>1196</v>
      </c>
      <c r="K339" s="4" t="s">
        <v>16125</v>
      </c>
      <c r="M339" s="1" t="s">
        <v>25</v>
      </c>
      <c r="N339" s="16">
        <v>1</v>
      </c>
      <c r="O339" s="17">
        <v>1</v>
      </c>
      <c r="P339" s="3" t="s">
        <v>1197</v>
      </c>
      <c r="Q339" s="20">
        <v>21126</v>
      </c>
      <c r="R339" s="3" t="s">
        <v>1198</v>
      </c>
      <c r="T339" s="3" t="s">
        <v>5561</v>
      </c>
      <c r="U339" s="3" t="s">
        <v>145</v>
      </c>
      <c r="W339" s="2" t="s">
        <v>145</v>
      </c>
      <c r="AE339" s="698"/>
      <c r="AF339" s="655"/>
    </row>
    <row r="340" spans="1:32" ht="12" customHeight="1">
      <c r="A340" s="790" t="s">
        <v>16255</v>
      </c>
      <c r="B340" s="2">
        <v>1</v>
      </c>
      <c r="C340" s="4" t="s">
        <v>1203</v>
      </c>
      <c r="D340" s="1" t="s">
        <v>1210</v>
      </c>
      <c r="E340" s="6">
        <f t="shared" si="5"/>
        <v>42</v>
      </c>
      <c r="F340" s="2" t="s">
        <v>5</v>
      </c>
      <c r="G340" s="1" t="s">
        <v>15273</v>
      </c>
      <c r="H340" s="3" t="s">
        <v>1211</v>
      </c>
      <c r="K340" s="4" t="s">
        <v>16125</v>
      </c>
      <c r="M340" s="1" t="s">
        <v>25</v>
      </c>
      <c r="N340" s="16">
        <v>1</v>
      </c>
      <c r="O340" s="17">
        <v>1</v>
      </c>
      <c r="P340" s="3" t="s">
        <v>462</v>
      </c>
      <c r="Q340" s="20">
        <v>25580</v>
      </c>
      <c r="R340" s="3" t="s">
        <v>1213</v>
      </c>
      <c r="T340" s="3" t="s">
        <v>5561</v>
      </c>
      <c r="AE340" s="698"/>
      <c r="AF340" s="655"/>
    </row>
    <row r="341" spans="1:32" ht="12" customHeight="1">
      <c r="A341" s="790" t="s">
        <v>16256</v>
      </c>
      <c r="B341" s="2">
        <v>1</v>
      </c>
      <c r="C341" s="4" t="s">
        <v>1261</v>
      </c>
      <c r="D341" s="1" t="s">
        <v>1268</v>
      </c>
      <c r="E341" s="6">
        <f t="shared" si="5"/>
        <v>48</v>
      </c>
      <c r="F341" s="2" t="s">
        <v>19</v>
      </c>
      <c r="G341" s="1" t="s">
        <v>15273</v>
      </c>
      <c r="H341" s="3" t="s">
        <v>1269</v>
      </c>
      <c r="K341" s="4" t="s">
        <v>16125</v>
      </c>
      <c r="M341" s="1" t="s">
        <v>25</v>
      </c>
      <c r="N341" s="16">
        <v>1</v>
      </c>
      <c r="O341" s="17">
        <v>1</v>
      </c>
      <c r="P341" s="3" t="s">
        <v>1271</v>
      </c>
      <c r="Q341" s="20">
        <v>23639</v>
      </c>
      <c r="R341" s="3" t="s">
        <v>1270</v>
      </c>
      <c r="T341" s="3" t="s">
        <v>16114</v>
      </c>
      <c r="U341" s="3" t="s">
        <v>145</v>
      </c>
      <c r="W341" s="2" t="s">
        <v>145</v>
      </c>
      <c r="AE341" s="698"/>
      <c r="AF341" s="655"/>
    </row>
    <row r="342" spans="1:32" ht="12" customHeight="1">
      <c r="A342" s="790" t="s">
        <v>16257</v>
      </c>
      <c r="B342" s="2">
        <v>1</v>
      </c>
      <c r="C342" s="4" t="s">
        <v>1379</v>
      </c>
      <c r="D342" s="1" t="s">
        <v>5791</v>
      </c>
      <c r="E342" s="6">
        <f t="shared" si="5"/>
        <v>56</v>
      </c>
      <c r="F342" s="2" t="s">
        <v>5</v>
      </c>
      <c r="G342" s="1" t="s">
        <v>15273</v>
      </c>
      <c r="K342" s="4" t="s">
        <v>16125</v>
      </c>
      <c r="M342" s="1" t="s">
        <v>6</v>
      </c>
      <c r="P342" s="3" t="s">
        <v>188</v>
      </c>
      <c r="Q342" s="21">
        <v>20770</v>
      </c>
      <c r="R342" s="3" t="s">
        <v>5792</v>
      </c>
      <c r="T342" s="3" t="s">
        <v>5561</v>
      </c>
      <c r="AE342" s="698"/>
      <c r="AF342" s="655"/>
    </row>
    <row r="343" spans="1:32" ht="12" customHeight="1">
      <c r="A343" s="790" t="s">
        <v>16258</v>
      </c>
      <c r="B343" s="2">
        <v>1</v>
      </c>
      <c r="C343" s="4" t="s">
        <v>1409</v>
      </c>
      <c r="D343" s="1" t="s">
        <v>5946</v>
      </c>
      <c r="E343" s="6">
        <f t="shared" si="5"/>
        <v>50</v>
      </c>
      <c r="F343" s="2" t="s">
        <v>5</v>
      </c>
      <c r="G343" s="1" t="s">
        <v>15273</v>
      </c>
      <c r="H343" s="3" t="s">
        <v>5947</v>
      </c>
      <c r="K343" s="4" t="s">
        <v>16125</v>
      </c>
      <c r="M343" s="1" t="s">
        <v>25</v>
      </c>
      <c r="N343" s="16">
        <v>1</v>
      </c>
      <c r="O343" s="17">
        <v>1</v>
      </c>
      <c r="P343" s="3" t="s">
        <v>1271</v>
      </c>
      <c r="Q343" s="20">
        <v>22972</v>
      </c>
      <c r="R343" s="3" t="s">
        <v>5949</v>
      </c>
      <c r="T343" s="3" t="s">
        <v>5561</v>
      </c>
      <c r="U343" s="3" t="s">
        <v>145</v>
      </c>
      <c r="W343" s="2" t="s">
        <v>145</v>
      </c>
      <c r="AE343" s="698"/>
      <c r="AF343" s="655"/>
    </row>
    <row r="344" spans="1:32" ht="12" customHeight="1">
      <c r="A344" s="790" t="s">
        <v>16259</v>
      </c>
      <c r="B344" s="2">
        <v>1</v>
      </c>
      <c r="C344" s="4" t="s">
        <v>1488</v>
      </c>
      <c r="D344" s="1" t="s">
        <v>1500</v>
      </c>
      <c r="E344" s="6">
        <f t="shared" si="5"/>
        <v>64</v>
      </c>
      <c r="F344" s="2" t="s">
        <v>19</v>
      </c>
      <c r="G344" s="1" t="s">
        <v>15273</v>
      </c>
      <c r="H344" s="3" t="s">
        <v>1501</v>
      </c>
      <c r="K344" s="4" t="s">
        <v>16125</v>
      </c>
      <c r="M344" s="1" t="s">
        <v>25</v>
      </c>
      <c r="N344" s="16">
        <v>4</v>
      </c>
      <c r="O344" s="17">
        <v>4</v>
      </c>
      <c r="P344" s="3" t="s">
        <v>317</v>
      </c>
      <c r="Q344" s="20">
        <v>17647</v>
      </c>
      <c r="R344" s="3" t="s">
        <v>1502</v>
      </c>
      <c r="S344" s="3" t="s">
        <v>16687</v>
      </c>
      <c r="T344" s="3" t="s">
        <v>16114</v>
      </c>
      <c r="AE344" s="698"/>
      <c r="AF344" s="655"/>
    </row>
    <row r="345" spans="1:32" ht="12" customHeight="1">
      <c r="A345" s="790" t="s">
        <v>16260</v>
      </c>
      <c r="B345" s="2">
        <v>1</v>
      </c>
      <c r="C345" s="4" t="s">
        <v>1574</v>
      </c>
      <c r="D345" s="1" t="s">
        <v>1587</v>
      </c>
      <c r="E345" s="6">
        <f t="shared" si="5"/>
        <v>57</v>
      </c>
      <c r="F345" s="2" t="s">
        <v>5</v>
      </c>
      <c r="G345" s="1" t="s">
        <v>15273</v>
      </c>
      <c r="K345" s="4" t="s">
        <v>16125</v>
      </c>
      <c r="M345" s="1" t="s">
        <v>6</v>
      </c>
      <c r="P345" s="3" t="s">
        <v>317</v>
      </c>
      <c r="Q345" s="20">
        <v>20399</v>
      </c>
      <c r="R345" s="3" t="s">
        <v>1588</v>
      </c>
      <c r="T345" s="3" t="s">
        <v>5561</v>
      </c>
      <c r="U345" s="3" t="s">
        <v>1589</v>
      </c>
      <c r="X345" s="2" t="s">
        <v>75</v>
      </c>
      <c r="Z345" s="2" t="s">
        <v>155</v>
      </c>
      <c r="AE345" s="698"/>
      <c r="AF345" s="655"/>
    </row>
    <row r="346" spans="1:32" ht="12" customHeight="1">
      <c r="A346" s="790" t="s">
        <v>16261</v>
      </c>
      <c r="B346" s="2">
        <v>1</v>
      </c>
      <c r="C346" s="4" t="s">
        <v>1593</v>
      </c>
      <c r="D346" s="1" t="s">
        <v>1599</v>
      </c>
      <c r="E346" s="6">
        <f t="shared" si="5"/>
        <v>47</v>
      </c>
      <c r="F346" s="2" t="s">
        <v>5</v>
      </c>
      <c r="G346" s="1" t="s">
        <v>15273</v>
      </c>
      <c r="H346" s="3" t="s">
        <v>1600</v>
      </c>
      <c r="K346" s="4" t="s">
        <v>16125</v>
      </c>
      <c r="M346" s="1" t="s">
        <v>25</v>
      </c>
      <c r="N346" s="16">
        <v>3</v>
      </c>
      <c r="O346" s="17">
        <v>3</v>
      </c>
      <c r="P346" s="3" t="s">
        <v>188</v>
      </c>
      <c r="Q346" s="20">
        <v>24070</v>
      </c>
      <c r="R346" s="3" t="s">
        <v>1601</v>
      </c>
      <c r="S346" s="3" t="s">
        <v>16691</v>
      </c>
      <c r="T346" s="3" t="s">
        <v>16114</v>
      </c>
      <c r="U346" s="3" t="s">
        <v>104</v>
      </c>
      <c r="AB346" s="2" t="s">
        <v>104</v>
      </c>
      <c r="AE346" s="698"/>
      <c r="AF346" s="655"/>
    </row>
    <row r="347" spans="1:32" ht="12" customHeight="1" thickBot="1">
      <c r="A347" s="782" t="s">
        <v>16262</v>
      </c>
      <c r="B347" s="702">
        <v>17</v>
      </c>
      <c r="C347" s="702"/>
      <c r="D347" s="702" t="s">
        <v>2998</v>
      </c>
      <c r="E347" s="701">
        <f t="shared" si="5"/>
        <v>42</v>
      </c>
      <c r="F347" s="702" t="s">
        <v>5</v>
      </c>
      <c r="G347" s="702" t="s">
        <v>6067</v>
      </c>
      <c r="H347" s="720" t="s">
        <v>2999</v>
      </c>
      <c r="I347" s="702"/>
      <c r="J347" s="702"/>
      <c r="K347" s="770" t="s">
        <v>16125</v>
      </c>
      <c r="L347" s="702"/>
      <c r="M347" s="702" t="s">
        <v>25</v>
      </c>
      <c r="N347" s="721">
        <v>1</v>
      </c>
      <c r="O347" s="722">
        <v>1</v>
      </c>
      <c r="P347" s="720" t="s">
        <v>2996</v>
      </c>
      <c r="Q347" s="723">
        <v>25787</v>
      </c>
      <c r="R347" s="720" t="s">
        <v>3000</v>
      </c>
      <c r="S347" s="720"/>
      <c r="T347" s="720"/>
      <c r="U347" s="720"/>
      <c r="V347" s="702"/>
      <c r="W347" s="702"/>
      <c r="X347" s="702"/>
      <c r="Y347" s="702"/>
      <c r="Z347" s="702"/>
      <c r="AA347" s="702"/>
      <c r="AB347" s="702"/>
      <c r="AC347" s="702"/>
      <c r="AD347" s="702"/>
      <c r="AE347" s="708"/>
      <c r="AF347" s="655"/>
    </row>
    <row r="348" spans="1:32" ht="12" customHeight="1">
      <c r="A348" s="745" t="s">
        <v>2139</v>
      </c>
      <c r="B348" s="696">
        <v>1</v>
      </c>
      <c r="C348" s="696"/>
      <c r="D348" s="696" t="s">
        <v>2142</v>
      </c>
      <c r="E348" s="690">
        <f t="shared" si="5"/>
        <v>59</v>
      </c>
      <c r="F348" s="696" t="s">
        <v>5</v>
      </c>
      <c r="G348" s="696" t="s">
        <v>6067</v>
      </c>
      <c r="H348" s="715" t="s">
        <v>2143</v>
      </c>
      <c r="I348" s="696"/>
      <c r="J348" s="696"/>
      <c r="K348" s="692" t="s">
        <v>16118</v>
      </c>
      <c r="L348" s="696"/>
      <c r="M348" s="696" t="s">
        <v>25</v>
      </c>
      <c r="N348" s="717">
        <v>5</v>
      </c>
      <c r="O348" s="718">
        <v>5</v>
      </c>
      <c r="P348" s="715" t="s">
        <v>2144</v>
      </c>
      <c r="Q348" s="719">
        <v>19633</v>
      </c>
      <c r="R348" s="715" t="s">
        <v>2145</v>
      </c>
      <c r="S348" s="715" t="s">
        <v>2146</v>
      </c>
      <c r="T348" s="715"/>
      <c r="U348" s="715" t="s">
        <v>2147</v>
      </c>
      <c r="V348" s="696"/>
      <c r="W348" s="696"/>
      <c r="X348" s="696"/>
      <c r="Y348" s="696"/>
      <c r="Z348" s="696"/>
      <c r="AA348" s="696"/>
      <c r="AB348" s="696"/>
      <c r="AC348" s="696" t="s">
        <v>2147</v>
      </c>
      <c r="AD348" s="696"/>
      <c r="AE348" s="697"/>
      <c r="AF348" s="655"/>
    </row>
    <row r="349" spans="1:32" ht="12" customHeight="1">
      <c r="A349" s="791" t="s">
        <v>2140</v>
      </c>
      <c r="B349" s="2">
        <v>2</v>
      </c>
      <c r="C349" s="2"/>
      <c r="D349" s="2" t="s">
        <v>2148</v>
      </c>
      <c r="E349" s="6">
        <f t="shared" si="5"/>
        <v>56</v>
      </c>
      <c r="F349" s="2" t="s">
        <v>19</v>
      </c>
      <c r="G349" s="2" t="s">
        <v>6067</v>
      </c>
      <c r="H349" s="22" t="s">
        <v>2149</v>
      </c>
      <c r="I349" s="2"/>
      <c r="J349" s="2"/>
      <c r="K349" s="8" t="s">
        <v>16118</v>
      </c>
      <c r="L349" s="2"/>
      <c r="M349" s="2" t="s">
        <v>25</v>
      </c>
      <c r="N349" s="24">
        <v>3</v>
      </c>
      <c r="O349" s="25">
        <v>3</v>
      </c>
      <c r="P349" s="22" t="s">
        <v>2150</v>
      </c>
      <c r="Q349" s="21">
        <v>20589</v>
      </c>
      <c r="R349" s="22" t="s">
        <v>2152</v>
      </c>
      <c r="S349" s="22" t="s">
        <v>2151</v>
      </c>
      <c r="T349" s="22"/>
      <c r="U349" s="22"/>
      <c r="AE349" s="698"/>
      <c r="AF349" s="655"/>
    </row>
    <row r="350" spans="1:32" ht="12" customHeight="1">
      <c r="A350" s="791" t="s">
        <v>2141</v>
      </c>
      <c r="B350" s="2">
        <v>3</v>
      </c>
      <c r="C350" s="2"/>
      <c r="D350" s="6" t="s">
        <v>2153</v>
      </c>
      <c r="E350" s="6">
        <f t="shared" si="5"/>
        <v>53</v>
      </c>
      <c r="F350" s="6" t="s">
        <v>5</v>
      </c>
      <c r="G350" s="2" t="s">
        <v>6067</v>
      </c>
      <c r="H350" s="12"/>
      <c r="I350" s="6"/>
      <c r="J350" s="19"/>
      <c r="K350" s="23" t="s">
        <v>16118</v>
      </c>
      <c r="L350" s="6"/>
      <c r="M350" s="6" t="s">
        <v>6</v>
      </c>
      <c r="N350" s="13"/>
      <c r="O350" s="14"/>
      <c r="P350" s="12" t="s">
        <v>1884</v>
      </c>
      <c r="Q350" s="15">
        <v>21737</v>
      </c>
      <c r="R350" s="12" t="s">
        <v>2154</v>
      </c>
      <c r="S350" s="12"/>
      <c r="T350" s="12"/>
      <c r="U350" s="12"/>
      <c r="AE350" s="698"/>
      <c r="AF350" s="655"/>
    </row>
    <row r="351" spans="1:32" ht="12" customHeight="1">
      <c r="A351" s="791" t="s">
        <v>5899</v>
      </c>
      <c r="B351" s="2">
        <v>4</v>
      </c>
      <c r="C351" s="2"/>
      <c r="D351" s="6" t="s">
        <v>5901</v>
      </c>
      <c r="E351" s="6">
        <f t="shared" si="5"/>
        <v>51</v>
      </c>
      <c r="F351" s="6" t="s">
        <v>5</v>
      </c>
      <c r="G351" s="2" t="s">
        <v>6067</v>
      </c>
      <c r="H351" s="12"/>
      <c r="I351" s="6"/>
      <c r="J351" s="19"/>
      <c r="K351" s="8" t="s">
        <v>16118</v>
      </c>
      <c r="L351" s="6"/>
      <c r="M351" s="6" t="s">
        <v>6</v>
      </c>
      <c r="N351" s="13"/>
      <c r="O351" s="14"/>
      <c r="P351" s="12" t="s">
        <v>95</v>
      </c>
      <c r="Q351" s="15">
        <v>22484</v>
      </c>
      <c r="R351" s="12" t="s">
        <v>5902</v>
      </c>
      <c r="S351" s="12"/>
      <c r="T351" s="12"/>
      <c r="U351" s="12"/>
      <c r="AE351" s="698"/>
      <c r="AF351" s="655"/>
    </row>
    <row r="352" spans="1:32" ht="12" customHeight="1" thickBot="1">
      <c r="A352" s="746" t="s">
        <v>5900</v>
      </c>
      <c r="B352" s="702">
        <v>5</v>
      </c>
      <c r="C352" s="702"/>
      <c r="D352" s="701" t="s">
        <v>5903</v>
      </c>
      <c r="E352" s="701">
        <f t="shared" si="5"/>
        <v>65</v>
      </c>
      <c r="F352" s="701" t="s">
        <v>5</v>
      </c>
      <c r="G352" s="702" t="s">
        <v>6067</v>
      </c>
      <c r="H352" s="740"/>
      <c r="I352" s="701"/>
      <c r="J352" s="741"/>
      <c r="K352" s="770" t="s">
        <v>16118</v>
      </c>
      <c r="L352" s="701"/>
      <c r="M352" s="701" t="s">
        <v>6</v>
      </c>
      <c r="N352" s="742"/>
      <c r="O352" s="743"/>
      <c r="P352" s="740" t="s">
        <v>5904</v>
      </c>
      <c r="Q352" s="744">
        <v>17396</v>
      </c>
      <c r="R352" s="740" t="s">
        <v>5905</v>
      </c>
      <c r="S352" s="740"/>
      <c r="T352" s="740"/>
      <c r="U352" s="740"/>
      <c r="V352" s="702"/>
      <c r="W352" s="702"/>
      <c r="X352" s="702"/>
      <c r="Y352" s="702"/>
      <c r="Z352" s="702"/>
      <c r="AA352" s="702"/>
      <c r="AB352" s="702"/>
      <c r="AC352" s="702"/>
      <c r="AD352" s="702"/>
      <c r="AE352" s="708"/>
      <c r="AF352" s="655"/>
    </row>
    <row r="353" spans="1:32" ht="12" customHeight="1">
      <c r="A353" s="750" t="s">
        <v>16263</v>
      </c>
      <c r="B353" s="696">
        <v>1</v>
      </c>
      <c r="C353" s="688" t="s">
        <v>1609</v>
      </c>
      <c r="D353" s="687" t="s">
        <v>1610</v>
      </c>
      <c r="E353" s="690">
        <f t="shared" si="5"/>
        <v>58</v>
      </c>
      <c r="F353" s="696" t="s">
        <v>5</v>
      </c>
      <c r="G353" s="687" t="s">
        <v>15273</v>
      </c>
      <c r="H353" s="747" t="s">
        <v>1611</v>
      </c>
      <c r="I353" s="687"/>
      <c r="J353" s="687"/>
      <c r="K353" s="688" t="s">
        <v>16116</v>
      </c>
      <c r="L353" s="687" t="s">
        <v>4422</v>
      </c>
      <c r="M353" s="687" t="s">
        <v>25</v>
      </c>
      <c r="N353" s="748">
        <v>6</v>
      </c>
      <c r="O353" s="749">
        <v>6</v>
      </c>
      <c r="P353" s="747" t="s">
        <v>1612</v>
      </c>
      <c r="Q353" s="773">
        <v>19875</v>
      </c>
      <c r="R353" s="747" t="s">
        <v>1613</v>
      </c>
      <c r="S353" s="747" t="s">
        <v>1614</v>
      </c>
      <c r="T353" s="747" t="s">
        <v>16465</v>
      </c>
      <c r="U353" s="747"/>
      <c r="V353" s="696"/>
      <c r="W353" s="696"/>
      <c r="X353" s="696"/>
      <c r="Y353" s="696"/>
      <c r="Z353" s="696"/>
      <c r="AA353" s="696"/>
      <c r="AB353" s="696"/>
      <c r="AC353" s="696"/>
      <c r="AD353" s="696"/>
      <c r="AE353" s="805"/>
      <c r="AF353" s="655"/>
    </row>
    <row r="354" spans="1:32" ht="12" customHeight="1">
      <c r="A354" s="751" t="s">
        <v>15659</v>
      </c>
      <c r="B354" s="2">
        <v>2</v>
      </c>
      <c r="C354" s="2"/>
      <c r="D354" s="6" t="s">
        <v>6011</v>
      </c>
      <c r="E354" s="6">
        <f t="shared" si="5"/>
        <v>55</v>
      </c>
      <c r="F354" s="6" t="s">
        <v>5</v>
      </c>
      <c r="G354" s="2" t="s">
        <v>6067</v>
      </c>
      <c r="H354" s="19"/>
      <c r="I354" s="6"/>
      <c r="J354" s="19"/>
      <c r="K354" s="19" t="s">
        <v>16130</v>
      </c>
      <c r="L354" s="6" t="s">
        <v>4993</v>
      </c>
      <c r="M354" s="6" t="s">
        <v>6</v>
      </c>
      <c r="N354" s="13"/>
      <c r="O354" s="14"/>
      <c r="P354" s="12" t="s">
        <v>6012</v>
      </c>
      <c r="Q354" s="15">
        <v>21135</v>
      </c>
      <c r="R354" s="12" t="s">
        <v>6013</v>
      </c>
      <c r="S354" s="12"/>
      <c r="T354" s="12"/>
      <c r="U354" s="19" t="s">
        <v>6014</v>
      </c>
      <c r="V354" s="2" t="s">
        <v>6014</v>
      </c>
      <c r="AE354" s="807"/>
      <c r="AF354" s="655"/>
    </row>
    <row r="355" spans="1:32" ht="12" customHeight="1">
      <c r="A355" s="751" t="s">
        <v>16264</v>
      </c>
      <c r="B355" s="2">
        <v>3</v>
      </c>
      <c r="C355" s="4" t="s">
        <v>1011</v>
      </c>
      <c r="D355" s="1" t="s">
        <v>5360</v>
      </c>
      <c r="E355" s="6">
        <f t="shared" si="5"/>
        <v>36</v>
      </c>
      <c r="F355" s="2" t="s">
        <v>5</v>
      </c>
      <c r="G355" s="1" t="s">
        <v>15273</v>
      </c>
      <c r="K355" s="4" t="s">
        <v>16116</v>
      </c>
      <c r="L355" s="1" t="s">
        <v>4997</v>
      </c>
      <c r="M355" s="1" t="s">
        <v>6</v>
      </c>
      <c r="P355" s="3" t="s">
        <v>317</v>
      </c>
      <c r="Q355" s="20">
        <v>27754</v>
      </c>
      <c r="R355" s="3" t="s">
        <v>5362</v>
      </c>
      <c r="U355" s="3" t="s">
        <v>145</v>
      </c>
      <c r="W355" s="2" t="s">
        <v>145</v>
      </c>
      <c r="AE355" s="774"/>
      <c r="AF355" s="655"/>
    </row>
    <row r="356" spans="1:32" ht="12" customHeight="1">
      <c r="A356" s="751" t="s">
        <v>16265</v>
      </c>
      <c r="B356" s="2">
        <v>3</v>
      </c>
      <c r="C356" s="4" t="s">
        <v>1027</v>
      </c>
      <c r="D356" s="1" t="s">
        <v>1034</v>
      </c>
      <c r="E356" s="6">
        <f t="shared" si="5"/>
        <v>44</v>
      </c>
      <c r="F356" s="2" t="s">
        <v>5</v>
      </c>
      <c r="G356" s="1" t="s">
        <v>15273</v>
      </c>
      <c r="K356" s="4" t="s">
        <v>16116</v>
      </c>
      <c r="L356" s="1" t="s">
        <v>469</v>
      </c>
      <c r="M356" s="1" t="s">
        <v>6</v>
      </c>
      <c r="P356" s="3" t="s">
        <v>1038</v>
      </c>
      <c r="Q356" s="20">
        <v>25145</v>
      </c>
      <c r="R356" s="3" t="s">
        <v>5615</v>
      </c>
      <c r="AE356" s="774"/>
      <c r="AF356" s="655"/>
    </row>
    <row r="357" spans="1:32" ht="12" customHeight="1">
      <c r="A357" s="751" t="s">
        <v>16266</v>
      </c>
      <c r="B357" s="2">
        <v>3</v>
      </c>
      <c r="C357" s="4" t="s">
        <v>1043</v>
      </c>
      <c r="D357" s="1" t="s">
        <v>5622</v>
      </c>
      <c r="E357" s="6">
        <f t="shared" si="5"/>
        <v>49</v>
      </c>
      <c r="F357" s="2" t="s">
        <v>5</v>
      </c>
      <c r="G357" s="1" t="s">
        <v>15273</v>
      </c>
      <c r="K357" s="4" t="s">
        <v>16116</v>
      </c>
      <c r="L357" s="1" t="s">
        <v>4997</v>
      </c>
      <c r="M357" s="1" t="s">
        <v>6</v>
      </c>
      <c r="P357" s="3" t="s">
        <v>6162</v>
      </c>
      <c r="Q357" s="21">
        <v>23036</v>
      </c>
      <c r="R357" s="3" t="s">
        <v>6163</v>
      </c>
      <c r="T357" s="3" t="s">
        <v>469</v>
      </c>
      <c r="AE357" s="774"/>
      <c r="AF357" s="655"/>
    </row>
    <row r="358" spans="1:32" ht="12" customHeight="1">
      <c r="A358" s="751" t="s">
        <v>16267</v>
      </c>
      <c r="B358" s="2">
        <v>3</v>
      </c>
      <c r="C358" s="4" t="s">
        <v>1086</v>
      </c>
      <c r="D358" s="1" t="s">
        <v>1097</v>
      </c>
      <c r="E358" s="6">
        <f t="shared" si="5"/>
        <v>48</v>
      </c>
      <c r="F358" s="2" t="s">
        <v>5</v>
      </c>
      <c r="G358" s="1" t="s">
        <v>15273</v>
      </c>
      <c r="K358" s="4" t="s">
        <v>16116</v>
      </c>
      <c r="L358" s="1" t="s">
        <v>469</v>
      </c>
      <c r="M358" s="1" t="s">
        <v>6</v>
      </c>
      <c r="P358" s="3" t="s">
        <v>462</v>
      </c>
      <c r="Q358" s="20">
        <v>23691</v>
      </c>
      <c r="R358" s="3" t="s">
        <v>1099</v>
      </c>
      <c r="U358" s="3" t="s">
        <v>145</v>
      </c>
      <c r="W358" s="2" t="s">
        <v>145</v>
      </c>
      <c r="AE358" s="698"/>
      <c r="AF358" s="655"/>
    </row>
    <row r="359" spans="1:32" ht="12" customHeight="1">
      <c r="A359" s="751" t="s">
        <v>16268</v>
      </c>
      <c r="B359" s="2">
        <v>3</v>
      </c>
      <c r="C359" s="4" t="s">
        <v>1103</v>
      </c>
      <c r="D359" s="1" t="s">
        <v>5762</v>
      </c>
      <c r="E359" s="6">
        <f t="shared" si="5"/>
        <v>49</v>
      </c>
      <c r="F359" s="2" t="s">
        <v>5</v>
      </c>
      <c r="G359" s="1" t="s">
        <v>15273</v>
      </c>
      <c r="K359" s="4" t="s">
        <v>16116</v>
      </c>
      <c r="L359" s="1" t="s">
        <v>276</v>
      </c>
      <c r="M359" s="1" t="s">
        <v>14</v>
      </c>
      <c r="N359" s="16">
        <v>1</v>
      </c>
      <c r="O359" s="17">
        <v>1</v>
      </c>
      <c r="P359" s="3" t="s">
        <v>317</v>
      </c>
      <c r="Q359" s="20">
        <v>23167</v>
      </c>
      <c r="R359" s="3" t="s">
        <v>5766</v>
      </c>
      <c r="U359" s="3" t="s">
        <v>47</v>
      </c>
      <c r="V359" s="2" t="s">
        <v>47</v>
      </c>
      <c r="AE359" s="698"/>
      <c r="AF359" s="655"/>
    </row>
    <row r="360" spans="1:32" ht="12" customHeight="1">
      <c r="A360" s="751" t="s">
        <v>16269</v>
      </c>
      <c r="B360" s="2">
        <v>3</v>
      </c>
      <c r="C360" s="4" t="s">
        <v>1122</v>
      </c>
      <c r="D360" s="1" t="s">
        <v>5981</v>
      </c>
      <c r="E360" s="6">
        <f t="shared" si="5"/>
        <v>51</v>
      </c>
      <c r="F360" s="2" t="s">
        <v>5</v>
      </c>
      <c r="G360" s="1" t="s">
        <v>15273</v>
      </c>
      <c r="K360" s="4" t="s">
        <v>16116</v>
      </c>
      <c r="L360" s="1" t="s">
        <v>4997</v>
      </c>
      <c r="M360" s="1" t="s">
        <v>6</v>
      </c>
      <c r="P360" s="3" t="s">
        <v>317</v>
      </c>
      <c r="Q360" s="20">
        <v>22393</v>
      </c>
      <c r="R360" s="3" t="s">
        <v>16280</v>
      </c>
      <c r="AE360" s="698"/>
      <c r="AF360" s="655"/>
    </row>
    <row r="361" spans="1:32" ht="12" customHeight="1">
      <c r="A361" s="751" t="s">
        <v>16270</v>
      </c>
      <c r="B361" s="2">
        <v>3</v>
      </c>
      <c r="C361" s="4" t="s">
        <v>1165</v>
      </c>
      <c r="D361" s="1" t="s">
        <v>5006</v>
      </c>
      <c r="E361" s="6">
        <f t="shared" si="5"/>
        <v>37</v>
      </c>
      <c r="F361" s="2" t="s">
        <v>5</v>
      </c>
      <c r="G361" s="1" t="s">
        <v>15273</v>
      </c>
      <c r="K361" s="4" t="s">
        <v>16116</v>
      </c>
      <c r="L361" s="1" t="s">
        <v>276</v>
      </c>
      <c r="M361" s="1" t="s">
        <v>6</v>
      </c>
      <c r="P361" s="3" t="s">
        <v>5007</v>
      </c>
      <c r="Q361" s="21">
        <v>27643</v>
      </c>
      <c r="R361" s="3" t="s">
        <v>5008</v>
      </c>
      <c r="U361" s="3" t="s">
        <v>145</v>
      </c>
      <c r="W361" s="2" t="s">
        <v>145</v>
      </c>
      <c r="AE361" s="698"/>
      <c r="AF361" s="655"/>
    </row>
    <row r="362" spans="1:32" ht="12" customHeight="1">
      <c r="A362" s="751" t="s">
        <v>16271</v>
      </c>
      <c r="B362" s="2">
        <v>3</v>
      </c>
      <c r="C362" s="4" t="s">
        <v>1216</v>
      </c>
      <c r="D362" s="1" t="s">
        <v>5514</v>
      </c>
      <c r="E362" s="6">
        <f t="shared" si="5"/>
        <v>46</v>
      </c>
      <c r="F362" s="2" t="s">
        <v>5</v>
      </c>
      <c r="G362" s="1" t="s">
        <v>15273</v>
      </c>
      <c r="K362" s="4" t="s">
        <v>16116</v>
      </c>
      <c r="L362" s="1" t="s">
        <v>4997</v>
      </c>
      <c r="M362" s="1" t="s">
        <v>6</v>
      </c>
      <c r="P362" s="3" t="s">
        <v>983</v>
      </c>
      <c r="Q362" s="21">
        <v>24292</v>
      </c>
      <c r="R362" s="3" t="s">
        <v>6160</v>
      </c>
      <c r="T362" s="3" t="s">
        <v>469</v>
      </c>
      <c r="AE362" s="698"/>
      <c r="AF362" s="655"/>
    </row>
    <row r="363" spans="1:32" ht="12" customHeight="1">
      <c r="A363" s="751" t="s">
        <v>16272</v>
      </c>
      <c r="B363" s="2">
        <v>3</v>
      </c>
      <c r="C363" s="4" t="s">
        <v>1228</v>
      </c>
      <c r="D363" s="1" t="s">
        <v>5364</v>
      </c>
      <c r="E363" s="6">
        <f t="shared" si="5"/>
        <v>52</v>
      </c>
      <c r="F363" s="2" t="s">
        <v>5</v>
      </c>
      <c r="G363" s="1" t="s">
        <v>15273</v>
      </c>
      <c r="K363" s="4" t="s">
        <v>16116</v>
      </c>
      <c r="L363" s="1" t="s">
        <v>4997</v>
      </c>
      <c r="M363" s="1" t="s">
        <v>6</v>
      </c>
      <c r="P363" s="3" t="s">
        <v>317</v>
      </c>
      <c r="Q363" s="20">
        <v>22062</v>
      </c>
      <c r="R363" s="3" t="s">
        <v>16282</v>
      </c>
      <c r="U363" s="3" t="s">
        <v>47</v>
      </c>
      <c r="V363" s="2" t="s">
        <v>47</v>
      </c>
      <c r="AE363" s="698"/>
      <c r="AF363" s="655"/>
    </row>
    <row r="364" spans="1:32" ht="12" customHeight="1">
      <c r="A364" s="751" t="s">
        <v>16273</v>
      </c>
      <c r="B364" s="2">
        <v>3</v>
      </c>
      <c r="C364" s="4" t="s">
        <v>1262</v>
      </c>
      <c r="D364" s="1" t="s">
        <v>5366</v>
      </c>
      <c r="E364" s="6">
        <f t="shared" si="5"/>
        <v>44</v>
      </c>
      <c r="F364" s="2" t="s">
        <v>19</v>
      </c>
      <c r="G364" s="1" t="s">
        <v>15273</v>
      </c>
      <c r="K364" s="4" t="s">
        <v>16116</v>
      </c>
      <c r="L364" s="1" t="s">
        <v>4997</v>
      </c>
      <c r="M364" s="1" t="s">
        <v>6</v>
      </c>
      <c r="P364" s="3" t="s">
        <v>31</v>
      </c>
      <c r="Q364" s="20">
        <v>25024</v>
      </c>
      <c r="R364" s="3" t="s">
        <v>16283</v>
      </c>
      <c r="AE364" s="698"/>
      <c r="AF364" s="655"/>
    </row>
    <row r="365" spans="1:32" ht="12" customHeight="1">
      <c r="A365" s="751" t="s">
        <v>16274</v>
      </c>
      <c r="B365" s="2">
        <v>3</v>
      </c>
      <c r="C365" s="4" t="s">
        <v>4594</v>
      </c>
      <c r="D365" s="1" t="s">
        <v>5371</v>
      </c>
      <c r="E365" s="6">
        <f t="shared" si="5"/>
        <v>45</v>
      </c>
      <c r="F365" s="2" t="s">
        <v>5</v>
      </c>
      <c r="G365" s="1" t="s">
        <v>15273</v>
      </c>
      <c r="K365" s="4" t="s">
        <v>16116</v>
      </c>
      <c r="L365" s="1" t="s">
        <v>469</v>
      </c>
      <c r="M365" s="1" t="s">
        <v>6</v>
      </c>
      <c r="P365" s="3" t="s">
        <v>5368</v>
      </c>
      <c r="Q365" s="21">
        <v>24769</v>
      </c>
      <c r="R365" s="22" t="s">
        <v>5369</v>
      </c>
      <c r="AE365" s="698"/>
      <c r="AF365" s="655"/>
    </row>
    <row r="366" spans="1:32" ht="12" customHeight="1">
      <c r="A366" s="751" t="s">
        <v>16275</v>
      </c>
      <c r="B366" s="2">
        <v>3</v>
      </c>
      <c r="C366" s="4" t="s">
        <v>1461</v>
      </c>
      <c r="D366" s="1" t="s">
        <v>5624</v>
      </c>
      <c r="E366" s="6">
        <f t="shared" si="5"/>
        <v>62</v>
      </c>
      <c r="F366" s="2" t="s">
        <v>5</v>
      </c>
      <c r="G366" s="1" t="s">
        <v>15273</v>
      </c>
      <c r="K366" s="4" t="s">
        <v>16116</v>
      </c>
      <c r="L366" s="1" t="s">
        <v>4422</v>
      </c>
      <c r="M366" s="1" t="s">
        <v>6</v>
      </c>
      <c r="P366" s="3" t="s">
        <v>172</v>
      </c>
      <c r="Q366" s="20">
        <v>18272</v>
      </c>
      <c r="R366" s="3" t="s">
        <v>5626</v>
      </c>
      <c r="U366" s="3" t="s">
        <v>145</v>
      </c>
      <c r="W366" s="2" t="s">
        <v>145</v>
      </c>
      <c r="AE366" s="698"/>
      <c r="AF366" s="655"/>
    </row>
    <row r="367" spans="1:32" ht="12" customHeight="1">
      <c r="A367" s="751" t="s">
        <v>16276</v>
      </c>
      <c r="B367" s="2">
        <v>3</v>
      </c>
      <c r="C367" s="4" t="s">
        <v>1489</v>
      </c>
      <c r="D367" s="1" t="s">
        <v>5373</v>
      </c>
      <c r="E367" s="6">
        <f t="shared" si="5"/>
        <v>29</v>
      </c>
      <c r="F367" s="2" t="s">
        <v>5</v>
      </c>
      <c r="G367" s="1" t="s">
        <v>15273</v>
      </c>
      <c r="K367" s="4" t="s">
        <v>16116</v>
      </c>
      <c r="L367" s="1" t="s">
        <v>4993</v>
      </c>
      <c r="M367" s="1" t="s">
        <v>6</v>
      </c>
      <c r="P367" s="3" t="s">
        <v>450</v>
      </c>
      <c r="Q367" s="21">
        <v>30372</v>
      </c>
      <c r="R367" s="3" t="s">
        <v>15666</v>
      </c>
      <c r="AE367" s="698"/>
      <c r="AF367" s="655"/>
    </row>
    <row r="368" spans="1:32" ht="12" customHeight="1">
      <c r="A368" s="751" t="s">
        <v>16277</v>
      </c>
      <c r="B368" s="2">
        <v>3</v>
      </c>
      <c r="C368" s="4" t="s">
        <v>1506</v>
      </c>
      <c r="D368" s="1" t="s">
        <v>5375</v>
      </c>
      <c r="E368" s="6">
        <f t="shared" si="5"/>
        <v>38</v>
      </c>
      <c r="F368" s="2" t="s">
        <v>5</v>
      </c>
      <c r="G368" s="1" t="s">
        <v>15273</v>
      </c>
      <c r="K368" s="4" t="s">
        <v>16116</v>
      </c>
      <c r="L368" s="1" t="s">
        <v>469</v>
      </c>
      <c r="M368" s="1" t="s">
        <v>6</v>
      </c>
      <c r="P368" s="3" t="s">
        <v>1002</v>
      </c>
      <c r="Q368" s="20">
        <v>27314</v>
      </c>
      <c r="R368" s="3" t="s">
        <v>5377</v>
      </c>
      <c r="U368" s="3" t="s">
        <v>145</v>
      </c>
      <c r="W368" s="2" t="s">
        <v>145</v>
      </c>
      <c r="AE368" s="698"/>
      <c r="AF368" s="655"/>
    </row>
    <row r="369" spans="1:32" ht="12" customHeight="1">
      <c r="A369" s="751" t="s">
        <v>16278</v>
      </c>
      <c r="B369" s="2">
        <v>3</v>
      </c>
      <c r="C369" s="4" t="s">
        <v>1525</v>
      </c>
      <c r="D369" s="1" t="s">
        <v>1543</v>
      </c>
      <c r="E369" s="6">
        <f t="shared" si="5"/>
        <v>47</v>
      </c>
      <c r="F369" s="2" t="s">
        <v>5</v>
      </c>
      <c r="G369" s="1" t="s">
        <v>15273</v>
      </c>
      <c r="K369" s="4" t="s">
        <v>16116</v>
      </c>
      <c r="L369" s="1" t="s">
        <v>4993</v>
      </c>
      <c r="M369" s="1" t="s">
        <v>14</v>
      </c>
      <c r="N369" s="16">
        <v>1</v>
      </c>
      <c r="O369" s="17">
        <v>1</v>
      </c>
      <c r="P369" s="3" t="s">
        <v>450</v>
      </c>
      <c r="Q369" s="20">
        <v>23949</v>
      </c>
      <c r="R369" s="3" t="s">
        <v>16658</v>
      </c>
      <c r="U369" s="3" t="s">
        <v>146</v>
      </c>
      <c r="AD369" s="2" t="s">
        <v>146</v>
      </c>
      <c r="AE369" s="698"/>
      <c r="AF369" s="655"/>
    </row>
    <row r="370" spans="1:32" ht="12" customHeight="1">
      <c r="A370" s="751" t="s">
        <v>16279</v>
      </c>
      <c r="B370" s="2">
        <v>3</v>
      </c>
      <c r="C370" s="4" t="s">
        <v>1559</v>
      </c>
      <c r="D370" s="1" t="s">
        <v>5519</v>
      </c>
      <c r="E370" s="6">
        <f t="shared" si="5"/>
        <v>41</v>
      </c>
      <c r="F370" s="2" t="s">
        <v>5</v>
      </c>
      <c r="G370" s="1" t="s">
        <v>15273</v>
      </c>
      <c r="K370" s="4" t="s">
        <v>16116</v>
      </c>
      <c r="L370" s="1" t="s">
        <v>4997</v>
      </c>
      <c r="M370" s="1" t="s">
        <v>6</v>
      </c>
      <c r="P370" s="3" t="s">
        <v>1809</v>
      </c>
      <c r="Q370" s="21">
        <v>26008</v>
      </c>
      <c r="R370" s="3" t="s">
        <v>5520</v>
      </c>
      <c r="T370" s="3" t="s">
        <v>469</v>
      </c>
      <c r="U370" s="3" t="s">
        <v>85</v>
      </c>
      <c r="AA370" s="2" t="s">
        <v>85</v>
      </c>
      <c r="AE370" s="698"/>
      <c r="AF370" s="655"/>
    </row>
    <row r="371" spans="1:32" ht="12" customHeight="1">
      <c r="A371" s="751" t="s">
        <v>15655</v>
      </c>
      <c r="B371" s="2">
        <v>19</v>
      </c>
      <c r="C371" s="2"/>
      <c r="D371" s="6" t="s">
        <v>6004</v>
      </c>
      <c r="E371" s="6">
        <f t="shared" si="5"/>
        <v>55</v>
      </c>
      <c r="F371" s="6" t="s">
        <v>5</v>
      </c>
      <c r="G371" s="2" t="s">
        <v>6067</v>
      </c>
      <c r="H371" s="19"/>
      <c r="I371" s="6"/>
      <c r="J371" s="19"/>
      <c r="K371" s="19" t="s">
        <v>16130</v>
      </c>
      <c r="L371" s="6" t="s">
        <v>6005</v>
      </c>
      <c r="M371" s="6" t="s">
        <v>14</v>
      </c>
      <c r="N371" s="13">
        <v>3</v>
      </c>
      <c r="O371" s="14">
        <v>3</v>
      </c>
      <c r="P371" s="12" t="s">
        <v>6006</v>
      </c>
      <c r="Q371" s="15">
        <v>20828</v>
      </c>
      <c r="R371" s="12" t="s">
        <v>6007</v>
      </c>
      <c r="S371" s="12" t="s">
        <v>6008</v>
      </c>
      <c r="T371" s="12"/>
      <c r="U371" s="19" t="s">
        <v>5960</v>
      </c>
      <c r="W371" s="2" t="s">
        <v>5960</v>
      </c>
      <c r="AE371" s="807"/>
      <c r="AF371" s="655"/>
    </row>
    <row r="372" spans="1:32" ht="12" customHeight="1" thickBot="1">
      <c r="A372" s="752" t="s">
        <v>15661</v>
      </c>
      <c r="B372" s="702">
        <v>20</v>
      </c>
      <c r="C372" s="702"/>
      <c r="D372" s="701" t="s">
        <v>6018</v>
      </c>
      <c r="E372" s="701">
        <f t="shared" si="5"/>
        <v>55</v>
      </c>
      <c r="F372" s="701" t="s">
        <v>5</v>
      </c>
      <c r="G372" s="702" t="s">
        <v>6067</v>
      </c>
      <c r="H372" s="740"/>
      <c r="I372" s="701"/>
      <c r="J372" s="741"/>
      <c r="K372" s="704" t="s">
        <v>16130</v>
      </c>
      <c r="L372" s="701" t="s">
        <v>5867</v>
      </c>
      <c r="M372" s="701" t="s">
        <v>6</v>
      </c>
      <c r="N372" s="742"/>
      <c r="O372" s="743"/>
      <c r="P372" s="740" t="s">
        <v>31</v>
      </c>
      <c r="Q372" s="744">
        <v>21148</v>
      </c>
      <c r="R372" s="740" t="s">
        <v>6021</v>
      </c>
      <c r="S372" s="740"/>
      <c r="T372" s="740"/>
      <c r="U372" s="741" t="s">
        <v>6019</v>
      </c>
      <c r="V372" s="702"/>
      <c r="W372" s="702" t="s">
        <v>5960</v>
      </c>
      <c r="X372" s="702"/>
      <c r="Y372" s="702"/>
      <c r="Z372" s="702"/>
      <c r="AA372" s="702"/>
      <c r="AB372" s="702"/>
      <c r="AC372" s="702"/>
      <c r="AD372" s="702" t="s">
        <v>6020</v>
      </c>
      <c r="AE372" s="792"/>
      <c r="AF372" s="655"/>
    </row>
    <row r="373" spans="1:32" ht="12" customHeight="1">
      <c r="A373" s="757" t="s">
        <v>16285</v>
      </c>
      <c r="B373" s="696">
        <v>1</v>
      </c>
      <c r="C373" s="688" t="s">
        <v>1012</v>
      </c>
      <c r="D373" s="687" t="s">
        <v>1021</v>
      </c>
      <c r="E373" s="690">
        <f t="shared" si="5"/>
        <v>38</v>
      </c>
      <c r="F373" s="696" t="s">
        <v>5</v>
      </c>
      <c r="G373" s="687" t="s">
        <v>15273</v>
      </c>
      <c r="H373" s="747"/>
      <c r="I373" s="687"/>
      <c r="J373" s="687"/>
      <c r="K373" s="688" t="s">
        <v>16128</v>
      </c>
      <c r="L373" s="687"/>
      <c r="M373" s="687" t="s">
        <v>6</v>
      </c>
      <c r="N373" s="748"/>
      <c r="O373" s="749"/>
      <c r="P373" s="747" t="s">
        <v>1022</v>
      </c>
      <c r="Q373" s="773">
        <v>27090</v>
      </c>
      <c r="R373" s="747" t="s">
        <v>1023</v>
      </c>
      <c r="S373" s="747"/>
      <c r="T373" s="747"/>
      <c r="U373" s="747"/>
      <c r="V373" s="696"/>
      <c r="W373" s="696"/>
      <c r="X373" s="696"/>
      <c r="Y373" s="696"/>
      <c r="Z373" s="696"/>
      <c r="AA373" s="696"/>
      <c r="AB373" s="696"/>
      <c r="AC373" s="696"/>
      <c r="AD373" s="696"/>
      <c r="AE373" s="805"/>
      <c r="AF373" s="655"/>
    </row>
    <row r="374" spans="1:32" ht="12" customHeight="1">
      <c r="A374" s="758" t="s">
        <v>16286</v>
      </c>
      <c r="B374" s="2">
        <v>1</v>
      </c>
      <c r="C374" s="4" t="s">
        <v>5533</v>
      </c>
      <c r="D374" s="1" t="s">
        <v>5760</v>
      </c>
      <c r="E374" s="6">
        <f t="shared" si="5"/>
        <v>57</v>
      </c>
      <c r="F374" s="2" t="s">
        <v>5</v>
      </c>
      <c r="G374" s="1" t="s">
        <v>15273</v>
      </c>
      <c r="K374" s="4" t="s">
        <v>16128</v>
      </c>
      <c r="M374" s="1" t="s">
        <v>6</v>
      </c>
      <c r="P374" s="3" t="s">
        <v>317</v>
      </c>
      <c r="Q374" s="20">
        <v>20272</v>
      </c>
      <c r="R374" s="3" t="s">
        <v>5759</v>
      </c>
      <c r="AE374" s="698"/>
      <c r="AF374" s="655"/>
    </row>
    <row r="375" spans="1:32" ht="12" customHeight="1">
      <c r="A375" s="758" t="s">
        <v>16287</v>
      </c>
      <c r="B375" s="2">
        <v>1</v>
      </c>
      <c r="C375" s="4" t="s">
        <v>5734</v>
      </c>
      <c r="D375" s="1" t="s">
        <v>1116</v>
      </c>
      <c r="E375" s="6">
        <f t="shared" si="5"/>
        <v>43</v>
      </c>
      <c r="F375" s="2" t="s">
        <v>5</v>
      </c>
      <c r="G375" s="1" t="s">
        <v>15273</v>
      </c>
      <c r="K375" s="8" t="s">
        <v>16128</v>
      </c>
      <c r="M375" s="1" t="s">
        <v>6</v>
      </c>
      <c r="P375" s="3" t="s">
        <v>1117</v>
      </c>
      <c r="Q375" s="20">
        <v>25325</v>
      </c>
      <c r="R375" s="3" t="s">
        <v>1118</v>
      </c>
      <c r="AE375" s="698"/>
      <c r="AF375" s="655"/>
    </row>
    <row r="376" spans="1:32" ht="12" customHeight="1">
      <c r="A376" s="758" t="s">
        <v>16288</v>
      </c>
      <c r="B376" s="2">
        <v>1</v>
      </c>
      <c r="C376" s="4" t="s">
        <v>1123</v>
      </c>
      <c r="D376" s="1" t="s">
        <v>1128</v>
      </c>
      <c r="E376" s="6">
        <f t="shared" si="5"/>
        <v>45</v>
      </c>
      <c r="F376" s="2" t="s">
        <v>5</v>
      </c>
      <c r="G376" s="1" t="s">
        <v>15273</v>
      </c>
      <c r="K376" s="4" t="s">
        <v>16128</v>
      </c>
      <c r="M376" s="1" t="s">
        <v>6</v>
      </c>
      <c r="P376" s="3" t="s">
        <v>695</v>
      </c>
      <c r="Q376" s="20">
        <v>24582</v>
      </c>
      <c r="R376" s="3" t="s">
        <v>1129</v>
      </c>
      <c r="AE376" s="698"/>
      <c r="AF376" s="655"/>
    </row>
    <row r="377" spans="1:32" ht="12" customHeight="1">
      <c r="A377" s="758" t="s">
        <v>16289</v>
      </c>
      <c r="B377" s="2">
        <v>1</v>
      </c>
      <c r="C377" s="4" t="s">
        <v>1137</v>
      </c>
      <c r="D377" s="1" t="s">
        <v>1149</v>
      </c>
      <c r="E377" s="6">
        <f t="shared" si="5"/>
        <v>41</v>
      </c>
      <c r="F377" s="2" t="s">
        <v>5</v>
      </c>
      <c r="G377" s="1" t="s">
        <v>15273</v>
      </c>
      <c r="K377" s="4" t="s">
        <v>16128</v>
      </c>
      <c r="M377" s="1" t="s">
        <v>6</v>
      </c>
      <c r="P377" s="3" t="s">
        <v>317</v>
      </c>
      <c r="Q377" s="20">
        <v>26271</v>
      </c>
      <c r="R377" s="3" t="s">
        <v>1150</v>
      </c>
      <c r="T377" s="3" t="s">
        <v>6031</v>
      </c>
      <c r="U377" s="3" t="s">
        <v>85</v>
      </c>
      <c r="AA377" s="2" t="s">
        <v>85</v>
      </c>
      <c r="AE377" s="698"/>
      <c r="AF377" s="655"/>
    </row>
    <row r="378" spans="1:32" ht="12" customHeight="1">
      <c r="A378" s="758" t="s">
        <v>16290</v>
      </c>
      <c r="B378" s="2">
        <v>1</v>
      </c>
      <c r="C378" s="4" t="s">
        <v>1229</v>
      </c>
      <c r="D378" s="1" t="s">
        <v>1242</v>
      </c>
      <c r="E378" s="6">
        <f t="shared" si="5"/>
        <v>39</v>
      </c>
      <c r="F378" s="2" t="s">
        <v>5</v>
      </c>
      <c r="G378" s="1" t="s">
        <v>15273</v>
      </c>
      <c r="K378" s="4" t="s">
        <v>16128</v>
      </c>
      <c r="M378" s="1" t="s">
        <v>6</v>
      </c>
      <c r="P378" s="3" t="s">
        <v>462</v>
      </c>
      <c r="Q378" s="20">
        <v>26745</v>
      </c>
      <c r="R378" s="3" t="s">
        <v>1243</v>
      </c>
      <c r="AE378" s="698"/>
      <c r="AF378" s="655"/>
    </row>
    <row r="379" spans="1:32" ht="12" customHeight="1">
      <c r="A379" s="758" t="s">
        <v>16291</v>
      </c>
      <c r="B379" s="2">
        <v>1</v>
      </c>
      <c r="C379" s="4" t="s">
        <v>1263</v>
      </c>
      <c r="D379" s="1" t="s">
        <v>1275</v>
      </c>
      <c r="E379" s="6">
        <f t="shared" si="5"/>
        <v>44</v>
      </c>
      <c r="F379" s="2" t="s">
        <v>5</v>
      </c>
      <c r="G379" s="1" t="s">
        <v>15273</v>
      </c>
      <c r="K379" s="4" t="s">
        <v>16128</v>
      </c>
      <c r="M379" s="1" t="s">
        <v>6</v>
      </c>
      <c r="P379" s="3" t="s">
        <v>188</v>
      </c>
      <c r="Q379" s="20">
        <v>24902</v>
      </c>
      <c r="R379" s="3" t="s">
        <v>1276</v>
      </c>
      <c r="U379" s="3" t="s">
        <v>145</v>
      </c>
      <c r="W379" s="2" t="s">
        <v>145</v>
      </c>
      <c r="AE379" s="698"/>
      <c r="AF379" s="655"/>
    </row>
    <row r="380" spans="1:32" ht="12" customHeight="1">
      <c r="A380" s="758" t="s">
        <v>16292</v>
      </c>
      <c r="B380" s="2">
        <v>1</v>
      </c>
      <c r="C380" s="4" t="s">
        <v>1279</v>
      </c>
      <c r="D380" s="1" t="s">
        <v>1286</v>
      </c>
      <c r="E380" s="6">
        <f t="shared" si="5"/>
        <v>48</v>
      </c>
      <c r="F380" s="2" t="s">
        <v>5</v>
      </c>
      <c r="G380" s="1" t="s">
        <v>15273</v>
      </c>
      <c r="H380" s="3" t="s">
        <v>1287</v>
      </c>
      <c r="K380" s="4" t="s">
        <v>16128</v>
      </c>
      <c r="M380" s="1" t="s">
        <v>25</v>
      </c>
      <c r="N380" s="16">
        <v>1</v>
      </c>
      <c r="O380" s="17">
        <v>5</v>
      </c>
      <c r="P380" s="3" t="s">
        <v>1288</v>
      </c>
      <c r="Q380" s="20">
        <v>23418</v>
      </c>
      <c r="R380" s="3" t="s">
        <v>1289</v>
      </c>
      <c r="S380" s="3" t="s">
        <v>1290</v>
      </c>
      <c r="U380" s="3" t="s">
        <v>1291</v>
      </c>
      <c r="Y380" s="2" t="s">
        <v>229</v>
      </c>
      <c r="AB380" s="2" t="s">
        <v>104</v>
      </c>
      <c r="AE380" s="698"/>
      <c r="AF380" s="655"/>
    </row>
    <row r="381" spans="1:32" ht="12" customHeight="1">
      <c r="A381" s="758" t="s">
        <v>16293</v>
      </c>
      <c r="B381" s="2">
        <v>1</v>
      </c>
      <c r="C381" s="4" t="s">
        <v>5367</v>
      </c>
      <c r="D381" s="1" t="s">
        <v>4595</v>
      </c>
      <c r="E381" s="6">
        <f t="shared" si="5"/>
        <v>51</v>
      </c>
      <c r="F381" s="2" t="s">
        <v>5</v>
      </c>
      <c r="G381" s="1" t="s">
        <v>15273</v>
      </c>
      <c r="K381" s="8" t="s">
        <v>16128</v>
      </c>
      <c r="M381" s="1" t="s">
        <v>6</v>
      </c>
      <c r="P381" s="3" t="s">
        <v>317</v>
      </c>
      <c r="Q381" s="21">
        <v>22493</v>
      </c>
      <c r="R381" s="22" t="s">
        <v>4597</v>
      </c>
      <c r="U381" s="3" t="s">
        <v>47</v>
      </c>
      <c r="V381" s="2" t="s">
        <v>47</v>
      </c>
      <c r="AE381" s="698"/>
      <c r="AF381" s="655"/>
    </row>
    <row r="382" spans="1:32" ht="12" customHeight="1">
      <c r="A382" s="758" t="s">
        <v>16294</v>
      </c>
      <c r="B382" s="2">
        <v>1</v>
      </c>
      <c r="C382" s="4" t="s">
        <v>1395</v>
      </c>
      <c r="D382" s="1" t="s">
        <v>1404</v>
      </c>
      <c r="E382" s="6">
        <f t="shared" si="5"/>
        <v>43</v>
      </c>
      <c r="F382" s="2" t="s">
        <v>5</v>
      </c>
      <c r="G382" s="1" t="s">
        <v>15273</v>
      </c>
      <c r="K382" s="4" t="s">
        <v>16128</v>
      </c>
      <c r="M382" s="1" t="s">
        <v>6</v>
      </c>
      <c r="P382" s="3" t="s">
        <v>1405</v>
      </c>
      <c r="Q382" s="20">
        <v>25444</v>
      </c>
      <c r="R382" s="3" t="s">
        <v>1406</v>
      </c>
      <c r="AE382" s="698"/>
      <c r="AF382" s="655"/>
    </row>
    <row r="383" spans="1:32" ht="12" customHeight="1">
      <c r="A383" s="758" t="s">
        <v>16295</v>
      </c>
      <c r="B383" s="2">
        <v>1</v>
      </c>
      <c r="C383" s="4" t="s">
        <v>1410</v>
      </c>
      <c r="D383" s="1" t="s">
        <v>1419</v>
      </c>
      <c r="E383" s="6">
        <f t="shared" si="5"/>
        <v>53</v>
      </c>
      <c r="F383" s="2" t="s">
        <v>19</v>
      </c>
      <c r="G383" s="1" t="s">
        <v>15273</v>
      </c>
      <c r="K383" s="4" t="s">
        <v>16128</v>
      </c>
      <c r="M383" s="1" t="s">
        <v>6</v>
      </c>
      <c r="P383" s="3" t="s">
        <v>1420</v>
      </c>
      <c r="Q383" s="20">
        <v>21778</v>
      </c>
      <c r="R383" s="3" t="s">
        <v>1421</v>
      </c>
      <c r="T383" s="3" t="s">
        <v>6031</v>
      </c>
      <c r="U383" s="3" t="s">
        <v>145</v>
      </c>
      <c r="W383" s="2" t="s">
        <v>145</v>
      </c>
      <c r="AE383" s="698"/>
      <c r="AF383" s="655"/>
    </row>
    <row r="384" spans="1:32" ht="12" customHeight="1">
      <c r="A384" s="758" t="s">
        <v>16296</v>
      </c>
      <c r="B384" s="2">
        <v>1</v>
      </c>
      <c r="C384" s="4" t="s">
        <v>1424</v>
      </c>
      <c r="D384" s="1" t="s">
        <v>1430</v>
      </c>
      <c r="E384" s="6">
        <f t="shared" si="5"/>
        <v>56</v>
      </c>
      <c r="F384" s="2" t="s">
        <v>5</v>
      </c>
      <c r="G384" s="1" t="s">
        <v>15273</v>
      </c>
      <c r="H384" s="3" t="s">
        <v>1431</v>
      </c>
      <c r="K384" s="4" t="s">
        <v>16128</v>
      </c>
      <c r="M384" s="1" t="s">
        <v>25</v>
      </c>
      <c r="N384" s="16">
        <v>3</v>
      </c>
      <c r="O384" s="17">
        <v>3</v>
      </c>
      <c r="P384" s="3" t="s">
        <v>317</v>
      </c>
      <c r="Q384" s="20">
        <v>20573</v>
      </c>
      <c r="R384" s="3" t="s">
        <v>1432</v>
      </c>
      <c r="S384" s="3" t="s">
        <v>1433</v>
      </c>
      <c r="U384" s="3" t="s">
        <v>47</v>
      </c>
      <c r="V384" s="2" t="s">
        <v>47</v>
      </c>
      <c r="AE384" s="698"/>
      <c r="AF384" s="655"/>
    </row>
    <row r="385" spans="1:32" ht="12" customHeight="1">
      <c r="A385" s="758" t="s">
        <v>16297</v>
      </c>
      <c r="B385" s="2">
        <v>1</v>
      </c>
      <c r="C385" s="4" t="s">
        <v>1444</v>
      </c>
      <c r="D385" s="1" t="s">
        <v>1454</v>
      </c>
      <c r="E385" s="6">
        <f t="shared" si="5"/>
        <v>37</v>
      </c>
      <c r="F385" s="2" t="s">
        <v>5</v>
      </c>
      <c r="G385" s="1" t="s">
        <v>15273</v>
      </c>
      <c r="K385" s="4" t="s">
        <v>16128</v>
      </c>
      <c r="M385" s="1" t="s">
        <v>6</v>
      </c>
      <c r="P385" s="3" t="s">
        <v>302</v>
      </c>
      <c r="Q385" s="20">
        <v>27718</v>
      </c>
      <c r="R385" s="3" t="s">
        <v>1456</v>
      </c>
      <c r="T385" s="3" t="s">
        <v>6031</v>
      </c>
      <c r="U385" s="3" t="s">
        <v>147</v>
      </c>
      <c r="AC385" s="2" t="s">
        <v>147</v>
      </c>
      <c r="AE385" s="698"/>
      <c r="AF385" s="655"/>
    </row>
    <row r="386" spans="1:32" ht="12" customHeight="1">
      <c r="A386" s="758" t="s">
        <v>16298</v>
      </c>
      <c r="B386" s="2">
        <v>1</v>
      </c>
      <c r="C386" s="4" t="s">
        <v>1462</v>
      </c>
      <c r="D386" s="1" t="s">
        <v>1474</v>
      </c>
      <c r="E386" s="6">
        <f t="shared" ref="E386:E449" si="6">DATEDIF(Q386,$Q$1119,"Y")</f>
        <v>47</v>
      </c>
      <c r="F386" s="2" t="s">
        <v>5</v>
      </c>
      <c r="G386" s="1" t="s">
        <v>15273</v>
      </c>
      <c r="K386" s="4" t="s">
        <v>16128</v>
      </c>
      <c r="M386" s="1" t="s">
        <v>6</v>
      </c>
      <c r="P386" s="3" t="s">
        <v>317</v>
      </c>
      <c r="Q386" s="20">
        <v>23762</v>
      </c>
      <c r="R386" s="3" t="s">
        <v>1475</v>
      </c>
      <c r="AE386" s="698"/>
      <c r="AF386" s="655"/>
    </row>
    <row r="387" spans="1:32" ht="12" customHeight="1">
      <c r="A387" s="758" t="s">
        <v>16299</v>
      </c>
      <c r="B387" s="2">
        <v>1</v>
      </c>
      <c r="C387" s="4" t="s">
        <v>1507</v>
      </c>
      <c r="D387" s="1" t="s">
        <v>1520</v>
      </c>
      <c r="E387" s="6">
        <f t="shared" si="6"/>
        <v>34</v>
      </c>
      <c r="F387" s="2" t="s">
        <v>5</v>
      </c>
      <c r="G387" s="1" t="s">
        <v>15273</v>
      </c>
      <c r="K387" s="8" t="s">
        <v>16128</v>
      </c>
      <c r="M387" s="1" t="s">
        <v>6</v>
      </c>
      <c r="P387" s="3" t="s">
        <v>450</v>
      </c>
      <c r="Q387" s="20">
        <v>28592</v>
      </c>
      <c r="R387" s="3" t="s">
        <v>1522</v>
      </c>
      <c r="U387" s="3" t="s">
        <v>145</v>
      </c>
      <c r="W387" s="2" t="s">
        <v>145</v>
      </c>
      <c r="AE387" s="698"/>
      <c r="AF387" s="655"/>
    </row>
    <row r="388" spans="1:32" ht="12" customHeight="1">
      <c r="A388" s="758" t="s">
        <v>16300</v>
      </c>
      <c r="B388" s="2">
        <v>1</v>
      </c>
      <c r="C388" s="4" t="s">
        <v>1526</v>
      </c>
      <c r="D388" s="1" t="s">
        <v>15988</v>
      </c>
      <c r="E388" s="6">
        <f t="shared" si="6"/>
        <v>41</v>
      </c>
      <c r="F388" s="2" t="s">
        <v>5</v>
      </c>
      <c r="G388" s="1" t="s">
        <v>15273</v>
      </c>
      <c r="K388" s="4" t="s">
        <v>16128</v>
      </c>
      <c r="M388" s="1" t="s">
        <v>6</v>
      </c>
      <c r="P388" s="3" t="s">
        <v>87</v>
      </c>
      <c r="Q388" s="20">
        <v>26114</v>
      </c>
      <c r="R388" s="3" t="s">
        <v>16304</v>
      </c>
      <c r="AE388" s="698"/>
      <c r="AF388" s="655"/>
    </row>
    <row r="389" spans="1:32" ht="12" customHeight="1">
      <c r="A389" s="758" t="s">
        <v>16301</v>
      </c>
      <c r="B389" s="2">
        <v>1</v>
      </c>
      <c r="C389" s="4" t="s">
        <v>1575</v>
      </c>
      <c r="D389" s="1" t="s">
        <v>1585</v>
      </c>
      <c r="E389" s="6">
        <f t="shared" si="6"/>
        <v>49</v>
      </c>
      <c r="F389" s="2" t="s">
        <v>5</v>
      </c>
      <c r="G389" s="1" t="s">
        <v>15273</v>
      </c>
      <c r="K389" s="4" t="s">
        <v>16128</v>
      </c>
      <c r="M389" s="1" t="s">
        <v>6</v>
      </c>
      <c r="P389" s="3" t="s">
        <v>172</v>
      </c>
      <c r="Q389" s="20">
        <v>23082</v>
      </c>
      <c r="R389" s="3" t="s">
        <v>1586</v>
      </c>
      <c r="T389" s="3" t="s">
        <v>6031</v>
      </c>
      <c r="U389" s="3" t="s">
        <v>47</v>
      </c>
      <c r="V389" s="2" t="s">
        <v>47</v>
      </c>
      <c r="AE389" s="698"/>
      <c r="AF389" s="655"/>
    </row>
    <row r="390" spans="1:32" ht="12" customHeight="1">
      <c r="A390" s="758" t="s">
        <v>16302</v>
      </c>
      <c r="B390" s="2">
        <v>1</v>
      </c>
      <c r="C390" s="4" t="s">
        <v>1594</v>
      </c>
      <c r="D390" s="1" t="s">
        <v>1605</v>
      </c>
      <c r="E390" s="6">
        <f t="shared" si="6"/>
        <v>45</v>
      </c>
      <c r="F390" s="2" t="s">
        <v>5</v>
      </c>
      <c r="G390" s="1" t="s">
        <v>15273</v>
      </c>
      <c r="K390" s="4" t="s">
        <v>16128</v>
      </c>
      <c r="M390" s="1" t="s">
        <v>6</v>
      </c>
      <c r="P390" s="3" t="s">
        <v>188</v>
      </c>
      <c r="Q390" s="20">
        <v>24657</v>
      </c>
      <c r="R390" s="3" t="s">
        <v>1606</v>
      </c>
      <c r="T390" s="3" t="s">
        <v>6031</v>
      </c>
      <c r="AE390" s="774"/>
      <c r="AF390" s="655"/>
    </row>
    <row r="391" spans="1:32" ht="12" customHeight="1" thickBot="1">
      <c r="A391" s="759" t="s">
        <v>16303</v>
      </c>
      <c r="B391" s="702">
        <v>1</v>
      </c>
      <c r="C391" s="700" t="s">
        <v>1634</v>
      </c>
      <c r="D391" s="699" t="s">
        <v>1646</v>
      </c>
      <c r="E391" s="701">
        <f t="shared" si="6"/>
        <v>45</v>
      </c>
      <c r="F391" s="702" t="s">
        <v>5</v>
      </c>
      <c r="G391" s="699" t="s">
        <v>15273</v>
      </c>
      <c r="H391" s="703"/>
      <c r="I391" s="699"/>
      <c r="J391" s="699"/>
      <c r="K391" s="700" t="s">
        <v>16128</v>
      </c>
      <c r="L391" s="699"/>
      <c r="M391" s="699" t="s">
        <v>6</v>
      </c>
      <c r="N391" s="705"/>
      <c r="O391" s="706"/>
      <c r="P391" s="703" t="s">
        <v>1273</v>
      </c>
      <c r="Q391" s="707">
        <v>24742</v>
      </c>
      <c r="R391" s="703" t="s">
        <v>1647</v>
      </c>
      <c r="S391" s="703"/>
      <c r="T391" s="703" t="s">
        <v>6031</v>
      </c>
      <c r="U391" s="703"/>
      <c r="V391" s="702"/>
      <c r="W391" s="702"/>
      <c r="X391" s="702"/>
      <c r="Y391" s="702"/>
      <c r="Z391" s="702"/>
      <c r="AA391" s="702"/>
      <c r="AB391" s="702"/>
      <c r="AC391" s="702"/>
      <c r="AD391" s="702"/>
      <c r="AE391" s="793"/>
      <c r="AF391" s="655"/>
    </row>
    <row r="392" spans="1:32" ht="12" customHeight="1">
      <c r="A392" s="760" t="s">
        <v>5663</v>
      </c>
      <c r="B392" s="696">
        <v>1</v>
      </c>
      <c r="C392" s="696"/>
      <c r="D392" s="696" t="s">
        <v>2155</v>
      </c>
      <c r="E392" s="690">
        <f t="shared" si="6"/>
        <v>58</v>
      </c>
      <c r="F392" s="696" t="s">
        <v>5</v>
      </c>
      <c r="G392" s="696" t="s">
        <v>6067</v>
      </c>
      <c r="H392" s="715" t="s">
        <v>2156</v>
      </c>
      <c r="I392" s="696"/>
      <c r="J392" s="696"/>
      <c r="K392" s="716" t="s">
        <v>16117</v>
      </c>
      <c r="L392" s="696"/>
      <c r="M392" s="696" t="s">
        <v>25</v>
      </c>
      <c r="N392" s="717">
        <v>6</v>
      </c>
      <c r="O392" s="718">
        <v>6</v>
      </c>
      <c r="P392" s="715" t="s">
        <v>2118</v>
      </c>
      <c r="Q392" s="719">
        <v>19934</v>
      </c>
      <c r="R392" s="715" t="s">
        <v>2157</v>
      </c>
      <c r="S392" s="715" t="s">
        <v>2158</v>
      </c>
      <c r="T392" s="715"/>
      <c r="U392" s="715"/>
      <c r="V392" s="696"/>
      <c r="W392" s="696"/>
      <c r="X392" s="696"/>
      <c r="Y392" s="696"/>
      <c r="Z392" s="696"/>
      <c r="AA392" s="696"/>
      <c r="AB392" s="696"/>
      <c r="AC392" s="696"/>
      <c r="AD392" s="696"/>
      <c r="AE392" s="697"/>
      <c r="AF392" s="655"/>
    </row>
    <row r="393" spans="1:32" ht="12" customHeight="1">
      <c r="A393" s="806" t="s">
        <v>5664</v>
      </c>
      <c r="B393" s="2">
        <v>2</v>
      </c>
      <c r="C393" s="2"/>
      <c r="D393" s="2" t="s">
        <v>2159</v>
      </c>
      <c r="E393" s="6">
        <f t="shared" si="6"/>
        <v>55</v>
      </c>
      <c r="F393" s="2" t="s">
        <v>19</v>
      </c>
      <c r="G393" s="2" t="s">
        <v>6067</v>
      </c>
      <c r="H393" s="22"/>
      <c r="I393" s="2"/>
      <c r="J393" s="2"/>
      <c r="K393" s="8" t="s">
        <v>16117</v>
      </c>
      <c r="L393" s="2"/>
      <c r="M393" s="2" t="s">
        <v>6</v>
      </c>
      <c r="N393" s="24"/>
      <c r="O393" s="25">
        <v>2</v>
      </c>
      <c r="P393" s="22" t="s">
        <v>2160</v>
      </c>
      <c r="Q393" s="21">
        <v>20839</v>
      </c>
      <c r="R393" s="22" t="s">
        <v>2161</v>
      </c>
      <c r="S393" s="22" t="s">
        <v>2162</v>
      </c>
      <c r="T393" s="22"/>
      <c r="U393" s="22" t="s">
        <v>2135</v>
      </c>
      <c r="Y393" s="2" t="s">
        <v>2135</v>
      </c>
      <c r="AE393" s="698"/>
      <c r="AF393" s="655"/>
    </row>
    <row r="394" spans="1:32" ht="12" customHeight="1">
      <c r="A394" s="806" t="s">
        <v>5665</v>
      </c>
      <c r="B394" s="2">
        <v>3</v>
      </c>
      <c r="C394" s="4" t="s">
        <v>1060</v>
      </c>
      <c r="D394" s="1" t="s">
        <v>1069</v>
      </c>
      <c r="E394" s="6">
        <f t="shared" si="6"/>
        <v>38</v>
      </c>
      <c r="F394" s="2" t="s">
        <v>19</v>
      </c>
      <c r="G394" s="1" t="s">
        <v>15273</v>
      </c>
      <c r="K394" s="4" t="s">
        <v>16117</v>
      </c>
      <c r="M394" s="1" t="s">
        <v>6</v>
      </c>
      <c r="P394" s="3" t="s">
        <v>172</v>
      </c>
      <c r="Q394" s="20">
        <v>27301</v>
      </c>
      <c r="R394" s="3" t="s">
        <v>1070</v>
      </c>
      <c r="AE394" s="698"/>
      <c r="AF394" s="655"/>
    </row>
    <row r="395" spans="1:32" ht="12" customHeight="1" thickBot="1">
      <c r="A395" s="761" t="s">
        <v>16305</v>
      </c>
      <c r="B395" s="702">
        <v>4</v>
      </c>
      <c r="C395" s="702"/>
      <c r="D395" s="702" t="s">
        <v>5486</v>
      </c>
      <c r="E395" s="701">
        <f t="shared" si="6"/>
        <v>57</v>
      </c>
      <c r="F395" s="702" t="s">
        <v>19</v>
      </c>
      <c r="G395" s="702" t="s">
        <v>6067</v>
      </c>
      <c r="H395" s="720"/>
      <c r="I395" s="702"/>
      <c r="J395" s="702"/>
      <c r="K395" s="704" t="s">
        <v>16117</v>
      </c>
      <c r="L395" s="702"/>
      <c r="M395" s="702" t="s">
        <v>6</v>
      </c>
      <c r="N395" s="721"/>
      <c r="O395" s="722"/>
      <c r="P395" s="720" t="s">
        <v>5488</v>
      </c>
      <c r="Q395" s="723">
        <v>20342</v>
      </c>
      <c r="R395" s="720" t="s">
        <v>5487</v>
      </c>
      <c r="S395" s="720"/>
      <c r="T395" s="720"/>
      <c r="U395" s="720"/>
      <c r="V395" s="702"/>
      <c r="W395" s="702"/>
      <c r="X395" s="702"/>
      <c r="Y395" s="702"/>
      <c r="Z395" s="702"/>
      <c r="AA395" s="702"/>
      <c r="AB395" s="702"/>
      <c r="AC395" s="702"/>
      <c r="AD395" s="702"/>
      <c r="AE395" s="708"/>
      <c r="AF395" s="655"/>
    </row>
    <row r="396" spans="1:32" ht="12" customHeight="1">
      <c r="A396" s="784" t="s">
        <v>5698</v>
      </c>
      <c r="B396" s="696">
        <v>1</v>
      </c>
      <c r="C396" s="688" t="s">
        <v>5980</v>
      </c>
      <c r="D396" s="687" t="s">
        <v>5460</v>
      </c>
      <c r="E396" s="690">
        <f t="shared" si="6"/>
        <v>73</v>
      </c>
      <c r="F396" s="696" t="s">
        <v>19</v>
      </c>
      <c r="G396" s="687" t="s">
        <v>15273</v>
      </c>
      <c r="H396" s="747"/>
      <c r="I396" s="687"/>
      <c r="J396" s="687"/>
      <c r="K396" s="692" t="s">
        <v>16121</v>
      </c>
      <c r="L396" s="687"/>
      <c r="M396" s="687" t="s">
        <v>6</v>
      </c>
      <c r="N396" s="748"/>
      <c r="O396" s="749"/>
      <c r="P396" s="747" t="s">
        <v>5461</v>
      </c>
      <c r="Q396" s="773">
        <v>14523</v>
      </c>
      <c r="R396" s="747" t="s">
        <v>5462</v>
      </c>
      <c r="S396" s="747"/>
      <c r="T396" s="747"/>
      <c r="U396" s="747" t="s">
        <v>148</v>
      </c>
      <c r="V396" s="696"/>
      <c r="W396" s="696" t="s">
        <v>145</v>
      </c>
      <c r="X396" s="696"/>
      <c r="Y396" s="696"/>
      <c r="Z396" s="696"/>
      <c r="AA396" s="696"/>
      <c r="AB396" s="696"/>
      <c r="AC396" s="696"/>
      <c r="AD396" s="696"/>
      <c r="AE396" s="697" t="s">
        <v>69</v>
      </c>
      <c r="AF396" s="655"/>
    </row>
    <row r="397" spans="1:32" ht="12" customHeight="1">
      <c r="A397" s="785" t="s">
        <v>16307</v>
      </c>
      <c r="B397" s="2">
        <v>1</v>
      </c>
      <c r="C397" s="4" t="s">
        <v>1528</v>
      </c>
      <c r="D397" s="1" t="s">
        <v>1540</v>
      </c>
      <c r="E397" s="6">
        <f t="shared" si="6"/>
        <v>25</v>
      </c>
      <c r="F397" s="2" t="s">
        <v>5</v>
      </c>
      <c r="G397" s="1" t="s">
        <v>15273</v>
      </c>
      <c r="K397" s="4" t="s">
        <v>16121</v>
      </c>
      <c r="M397" s="1" t="s">
        <v>6</v>
      </c>
      <c r="P397" s="3" t="s">
        <v>1541</v>
      </c>
      <c r="Q397" s="20">
        <v>31980</v>
      </c>
      <c r="R397" s="3" t="s">
        <v>1542</v>
      </c>
      <c r="AE397" s="698"/>
      <c r="AF397" s="655"/>
    </row>
    <row r="398" spans="1:32" ht="12" customHeight="1" thickBot="1">
      <c r="A398" s="786" t="s">
        <v>16306</v>
      </c>
      <c r="B398" s="702">
        <v>3</v>
      </c>
      <c r="C398" s="702"/>
      <c r="D398" s="702" t="s">
        <v>5699</v>
      </c>
      <c r="E398" s="701">
        <f t="shared" si="6"/>
        <v>45</v>
      </c>
      <c r="F398" s="702" t="s">
        <v>19</v>
      </c>
      <c r="G398" s="702" t="s">
        <v>6067</v>
      </c>
      <c r="H398" s="720"/>
      <c r="I398" s="702"/>
      <c r="J398" s="702"/>
      <c r="K398" s="770" t="s">
        <v>16121</v>
      </c>
      <c r="L398" s="702"/>
      <c r="M398" s="702" t="s">
        <v>6</v>
      </c>
      <c r="N398" s="721"/>
      <c r="O398" s="722"/>
      <c r="P398" s="720" t="s">
        <v>5700</v>
      </c>
      <c r="Q398" s="723">
        <v>24712</v>
      </c>
      <c r="R398" s="720" t="s">
        <v>5701</v>
      </c>
      <c r="S398" s="720"/>
      <c r="T398" s="720"/>
      <c r="U398" s="720"/>
      <c r="V398" s="702"/>
      <c r="W398" s="702"/>
      <c r="X398" s="702"/>
      <c r="Y398" s="702"/>
      <c r="Z398" s="702"/>
      <c r="AA398" s="702"/>
      <c r="AB398" s="702"/>
      <c r="AC398" s="702"/>
      <c r="AD398" s="702"/>
      <c r="AE398" s="708"/>
      <c r="AF398" s="655"/>
    </row>
    <row r="399" spans="1:32" ht="12" customHeight="1">
      <c r="A399" s="771" t="s">
        <v>16315</v>
      </c>
      <c r="B399" s="696">
        <v>1</v>
      </c>
      <c r="C399" s="696"/>
      <c r="D399" s="696" t="s">
        <v>5106</v>
      </c>
      <c r="E399" s="690">
        <f t="shared" si="6"/>
        <v>50</v>
      </c>
      <c r="F399" s="696" t="s">
        <v>5</v>
      </c>
      <c r="G399" s="696" t="s">
        <v>6067</v>
      </c>
      <c r="H399" s="715"/>
      <c r="I399" s="696"/>
      <c r="J399" s="696"/>
      <c r="K399" s="716" t="s">
        <v>16122</v>
      </c>
      <c r="L399" s="696" t="s">
        <v>22</v>
      </c>
      <c r="M399" s="696" t="s">
        <v>6</v>
      </c>
      <c r="N399" s="717"/>
      <c r="O399" s="718"/>
      <c r="P399" s="715" t="s">
        <v>5107</v>
      </c>
      <c r="Q399" s="719">
        <v>22899</v>
      </c>
      <c r="R399" s="715" t="s">
        <v>5108</v>
      </c>
      <c r="S399" s="715"/>
      <c r="T399" s="715"/>
      <c r="U399" s="715"/>
      <c r="V399" s="696"/>
      <c r="W399" s="696"/>
      <c r="X399" s="696"/>
      <c r="Y399" s="696"/>
      <c r="Z399" s="696"/>
      <c r="AA399" s="696"/>
      <c r="AB399" s="696"/>
      <c r="AC399" s="696"/>
      <c r="AD399" s="696"/>
      <c r="AE399" s="697"/>
      <c r="AF399" s="655"/>
    </row>
    <row r="400" spans="1:32" ht="12" customHeight="1">
      <c r="A400" s="789" t="s">
        <v>16316</v>
      </c>
      <c r="B400" s="2">
        <v>2</v>
      </c>
      <c r="C400" s="2"/>
      <c r="D400" s="2" t="s">
        <v>5109</v>
      </c>
      <c r="E400" s="6">
        <f t="shared" si="6"/>
        <v>62</v>
      </c>
      <c r="F400" s="2" t="s">
        <v>5</v>
      </c>
      <c r="G400" s="2" t="s">
        <v>6067</v>
      </c>
      <c r="H400" s="22"/>
      <c r="I400" s="2"/>
      <c r="J400" s="2"/>
      <c r="K400" s="23" t="s">
        <v>16122</v>
      </c>
      <c r="L400" s="2" t="s">
        <v>22</v>
      </c>
      <c r="M400" s="2" t="s">
        <v>6</v>
      </c>
      <c r="N400" s="24"/>
      <c r="O400" s="25"/>
      <c r="P400" s="22" t="s">
        <v>5110</v>
      </c>
      <c r="Q400" s="21">
        <v>18261</v>
      </c>
      <c r="R400" s="22" t="s">
        <v>5111</v>
      </c>
      <c r="S400" s="22"/>
      <c r="T400" s="22"/>
      <c r="U400" s="22"/>
      <c r="AE400" s="698"/>
      <c r="AF400" s="655"/>
    </row>
    <row r="401" spans="1:32" ht="12" customHeight="1">
      <c r="A401" s="789" t="s">
        <v>16317</v>
      </c>
      <c r="B401" s="2">
        <v>3</v>
      </c>
      <c r="C401" s="2"/>
      <c r="D401" s="2" t="s">
        <v>5112</v>
      </c>
      <c r="E401" s="6">
        <f t="shared" si="6"/>
        <v>40</v>
      </c>
      <c r="F401" s="2" t="s">
        <v>5</v>
      </c>
      <c r="G401" s="2" t="s">
        <v>6067</v>
      </c>
      <c r="H401" s="22"/>
      <c r="I401" s="2"/>
      <c r="J401" s="2"/>
      <c r="K401" s="23" t="s">
        <v>16122</v>
      </c>
      <c r="L401" s="2" t="s">
        <v>22</v>
      </c>
      <c r="M401" s="2" t="s">
        <v>6</v>
      </c>
      <c r="N401" s="24"/>
      <c r="O401" s="25"/>
      <c r="P401" s="22" t="s">
        <v>5113</v>
      </c>
      <c r="Q401" s="21">
        <v>26625</v>
      </c>
      <c r="R401" s="22" t="s">
        <v>5114</v>
      </c>
      <c r="S401" s="22"/>
      <c r="T401" s="22"/>
      <c r="U401" s="22"/>
      <c r="AE401" s="698"/>
      <c r="AF401" s="655"/>
    </row>
    <row r="402" spans="1:32" ht="12" customHeight="1">
      <c r="A402" s="789" t="s">
        <v>16318</v>
      </c>
      <c r="B402" s="2">
        <v>4</v>
      </c>
      <c r="C402" s="2"/>
      <c r="D402" s="2" t="s">
        <v>5115</v>
      </c>
      <c r="E402" s="6">
        <f t="shared" si="6"/>
        <v>72</v>
      </c>
      <c r="F402" s="2" t="s">
        <v>5</v>
      </c>
      <c r="G402" s="2" t="s">
        <v>6067</v>
      </c>
      <c r="H402" s="22"/>
      <c r="I402" s="2"/>
      <c r="J402" s="2"/>
      <c r="K402" s="23" t="s">
        <v>16122</v>
      </c>
      <c r="L402" s="2" t="s">
        <v>22</v>
      </c>
      <c r="M402" s="2" t="s">
        <v>6</v>
      </c>
      <c r="N402" s="24"/>
      <c r="O402" s="25"/>
      <c r="P402" s="22" t="s">
        <v>5116</v>
      </c>
      <c r="Q402" s="21">
        <v>14697</v>
      </c>
      <c r="R402" s="22" t="s">
        <v>5119</v>
      </c>
      <c r="S402" s="22"/>
      <c r="T402" s="22"/>
      <c r="U402" s="22"/>
      <c r="AE402" s="698"/>
      <c r="AF402" s="655"/>
    </row>
    <row r="403" spans="1:32" ht="12" customHeight="1" thickBot="1">
      <c r="A403" s="772" t="s">
        <v>16319</v>
      </c>
      <c r="B403" s="702">
        <v>5</v>
      </c>
      <c r="C403" s="702"/>
      <c r="D403" s="702" t="s">
        <v>5117</v>
      </c>
      <c r="E403" s="701">
        <f t="shared" si="6"/>
        <v>27</v>
      </c>
      <c r="F403" s="702" t="s">
        <v>5</v>
      </c>
      <c r="G403" s="702" t="s">
        <v>6067</v>
      </c>
      <c r="H403" s="720"/>
      <c r="I403" s="702"/>
      <c r="J403" s="702"/>
      <c r="K403" s="770" t="s">
        <v>16122</v>
      </c>
      <c r="L403" s="702" t="s">
        <v>22</v>
      </c>
      <c r="M403" s="702" t="s">
        <v>6</v>
      </c>
      <c r="N403" s="721"/>
      <c r="O403" s="722"/>
      <c r="P403" s="720" t="s">
        <v>5118</v>
      </c>
      <c r="Q403" s="723">
        <v>31308</v>
      </c>
      <c r="R403" s="720" t="s">
        <v>5103</v>
      </c>
      <c r="S403" s="720"/>
      <c r="T403" s="720"/>
      <c r="U403" s="720"/>
      <c r="V403" s="702"/>
      <c r="W403" s="702"/>
      <c r="X403" s="702"/>
      <c r="Y403" s="702"/>
      <c r="Z403" s="702"/>
      <c r="AA403" s="702"/>
      <c r="AB403" s="702"/>
      <c r="AC403" s="702"/>
      <c r="AD403" s="702"/>
      <c r="AE403" s="708"/>
      <c r="AF403" s="655"/>
    </row>
    <row r="404" spans="1:32" ht="12" customHeight="1">
      <c r="A404" s="776" t="s">
        <v>15766</v>
      </c>
      <c r="B404" s="696">
        <v>1</v>
      </c>
      <c r="C404" s="688" t="s">
        <v>1648</v>
      </c>
      <c r="D404" s="687" t="s">
        <v>1654</v>
      </c>
      <c r="E404" s="690">
        <f t="shared" si="6"/>
        <v>63</v>
      </c>
      <c r="F404" s="696" t="s">
        <v>5</v>
      </c>
      <c r="G404" s="689" t="s">
        <v>15273</v>
      </c>
      <c r="H404" s="747" t="s">
        <v>1655</v>
      </c>
      <c r="I404" s="687"/>
      <c r="J404" s="687"/>
      <c r="K404" s="692" t="s">
        <v>16127</v>
      </c>
      <c r="L404" s="687" t="s">
        <v>1656</v>
      </c>
      <c r="M404" s="687" t="s">
        <v>25</v>
      </c>
      <c r="N404" s="748">
        <v>5</v>
      </c>
      <c r="O404" s="749">
        <v>5</v>
      </c>
      <c r="P404" s="747" t="s">
        <v>31</v>
      </c>
      <c r="Q404" s="773">
        <v>17955</v>
      </c>
      <c r="R404" s="747" t="s">
        <v>1657</v>
      </c>
      <c r="S404" s="747" t="s">
        <v>2521</v>
      </c>
      <c r="T404" s="747" t="s">
        <v>736</v>
      </c>
      <c r="U404" s="747" t="s">
        <v>155</v>
      </c>
      <c r="V404" s="696"/>
      <c r="W404" s="696"/>
      <c r="X404" s="696"/>
      <c r="Y404" s="696"/>
      <c r="Z404" s="696" t="s">
        <v>155</v>
      </c>
      <c r="AA404" s="696"/>
      <c r="AB404" s="696"/>
      <c r="AC404" s="696"/>
      <c r="AD404" s="696"/>
      <c r="AE404" s="805"/>
      <c r="AF404" s="655"/>
    </row>
    <row r="405" spans="1:32" ht="12" customHeight="1">
      <c r="A405" s="777" t="s">
        <v>15767</v>
      </c>
      <c r="B405" s="2">
        <v>1</v>
      </c>
      <c r="C405" s="4" t="s">
        <v>1672</v>
      </c>
      <c r="D405" s="1" t="s">
        <v>1676</v>
      </c>
      <c r="E405" s="6">
        <f t="shared" si="6"/>
        <v>67</v>
      </c>
      <c r="F405" s="2" t="s">
        <v>5</v>
      </c>
      <c r="G405" s="5" t="s">
        <v>15273</v>
      </c>
      <c r="H405" s="3" t="s">
        <v>1677</v>
      </c>
      <c r="K405" s="8" t="s">
        <v>16127</v>
      </c>
      <c r="L405" s="1" t="s">
        <v>604</v>
      </c>
      <c r="M405" s="1" t="s">
        <v>25</v>
      </c>
      <c r="N405" s="16">
        <v>4</v>
      </c>
      <c r="O405" s="17">
        <v>4</v>
      </c>
      <c r="P405" s="3" t="s">
        <v>1678</v>
      </c>
      <c r="Q405" s="20">
        <v>16481</v>
      </c>
      <c r="R405" s="3" t="s">
        <v>1679</v>
      </c>
      <c r="S405" s="3" t="s">
        <v>2517</v>
      </c>
      <c r="T405" s="3" t="s">
        <v>736</v>
      </c>
      <c r="U405" s="3" t="s">
        <v>145</v>
      </c>
      <c r="W405" s="2" t="s">
        <v>145</v>
      </c>
      <c r="AE405" s="774"/>
      <c r="AF405" s="655"/>
    </row>
    <row r="406" spans="1:32" ht="12" customHeight="1">
      <c r="A406" s="777" t="s">
        <v>15768</v>
      </c>
      <c r="B406" s="2">
        <v>1</v>
      </c>
      <c r="C406" s="4" t="s">
        <v>1686</v>
      </c>
      <c r="D406" s="1" t="s">
        <v>1689</v>
      </c>
      <c r="E406" s="6">
        <f t="shared" si="6"/>
        <v>56</v>
      </c>
      <c r="F406" s="2" t="s">
        <v>5</v>
      </c>
      <c r="G406" s="5" t="s">
        <v>15273</v>
      </c>
      <c r="H406" s="3" t="s">
        <v>1690</v>
      </c>
      <c r="K406" s="8" t="s">
        <v>16127</v>
      </c>
      <c r="L406" s="1" t="s">
        <v>604</v>
      </c>
      <c r="M406" s="1" t="s">
        <v>25</v>
      </c>
      <c r="N406" s="16">
        <v>4</v>
      </c>
      <c r="O406" s="17">
        <v>4</v>
      </c>
      <c r="P406" s="3" t="s">
        <v>188</v>
      </c>
      <c r="Q406" s="20">
        <v>20667</v>
      </c>
      <c r="R406" s="3" t="s">
        <v>16661</v>
      </c>
      <c r="S406" s="3" t="s">
        <v>2531</v>
      </c>
      <c r="T406" s="3" t="s">
        <v>736</v>
      </c>
      <c r="U406" s="3" t="s">
        <v>635</v>
      </c>
      <c r="W406" s="2" t="s">
        <v>145</v>
      </c>
      <c r="AD406" s="2" t="s">
        <v>146</v>
      </c>
      <c r="AE406" s="774"/>
      <c r="AF406" s="655"/>
    </row>
    <row r="407" spans="1:32" ht="12" customHeight="1">
      <c r="A407" s="777" t="s">
        <v>15769</v>
      </c>
      <c r="B407" s="2">
        <v>1</v>
      </c>
      <c r="C407" s="4" t="s">
        <v>1700</v>
      </c>
      <c r="D407" s="1" t="s">
        <v>1705</v>
      </c>
      <c r="E407" s="6">
        <f t="shared" si="6"/>
        <v>39</v>
      </c>
      <c r="F407" s="2" t="s">
        <v>5</v>
      </c>
      <c r="G407" s="5" t="s">
        <v>15273</v>
      </c>
      <c r="H407" s="3" t="s">
        <v>1706</v>
      </c>
      <c r="K407" s="4" t="s">
        <v>16127</v>
      </c>
      <c r="L407" s="1" t="s">
        <v>44</v>
      </c>
      <c r="M407" s="1" t="s">
        <v>25</v>
      </c>
      <c r="N407" s="16">
        <v>1</v>
      </c>
      <c r="O407" s="17">
        <v>1</v>
      </c>
      <c r="P407" s="3" t="s">
        <v>317</v>
      </c>
      <c r="Q407" s="20">
        <v>26820</v>
      </c>
      <c r="R407" s="3" t="s">
        <v>1707</v>
      </c>
      <c r="T407" s="3" t="s">
        <v>736</v>
      </c>
      <c r="AE407" s="774"/>
      <c r="AF407" s="655"/>
    </row>
    <row r="408" spans="1:32" ht="12" customHeight="1">
      <c r="A408" s="777" t="s">
        <v>15770</v>
      </c>
      <c r="B408" s="2">
        <v>1</v>
      </c>
      <c r="C408" s="4" t="s">
        <v>1717</v>
      </c>
      <c r="D408" s="1" t="s">
        <v>1722</v>
      </c>
      <c r="E408" s="6">
        <f t="shared" si="6"/>
        <v>46</v>
      </c>
      <c r="F408" s="2" t="s">
        <v>5</v>
      </c>
      <c r="G408" s="5" t="s">
        <v>15273</v>
      </c>
      <c r="H408" s="3" t="s">
        <v>1723</v>
      </c>
      <c r="K408" s="8" t="s">
        <v>16126</v>
      </c>
      <c r="L408" s="1" t="s">
        <v>44</v>
      </c>
      <c r="M408" s="1" t="s">
        <v>25</v>
      </c>
      <c r="N408" s="16">
        <v>3</v>
      </c>
      <c r="O408" s="17">
        <v>3</v>
      </c>
      <c r="P408" s="3" t="s">
        <v>188</v>
      </c>
      <c r="Q408" s="20">
        <v>24364</v>
      </c>
      <c r="R408" s="3" t="s">
        <v>1724</v>
      </c>
      <c r="S408" s="3" t="s">
        <v>1725</v>
      </c>
      <c r="T408" s="3" t="s">
        <v>736</v>
      </c>
      <c r="U408" s="3" t="s">
        <v>145</v>
      </c>
      <c r="W408" s="2" t="s">
        <v>145</v>
      </c>
      <c r="AE408" s="774"/>
      <c r="AF408" s="655"/>
    </row>
    <row r="409" spans="1:32" ht="12" customHeight="1">
      <c r="A409" s="777" t="s">
        <v>15771</v>
      </c>
      <c r="B409" s="2">
        <v>1</v>
      </c>
      <c r="C409" s="4" t="s">
        <v>1736</v>
      </c>
      <c r="D409" s="1" t="s">
        <v>1740</v>
      </c>
      <c r="E409" s="6">
        <f t="shared" si="6"/>
        <v>64</v>
      </c>
      <c r="F409" s="2" t="s">
        <v>19</v>
      </c>
      <c r="G409" s="5" t="s">
        <v>15273</v>
      </c>
      <c r="H409" s="3" t="s">
        <v>1741</v>
      </c>
      <c r="K409" s="8" t="s">
        <v>16127</v>
      </c>
      <c r="L409" s="1" t="s">
        <v>44</v>
      </c>
      <c r="M409" s="1" t="s">
        <v>25</v>
      </c>
      <c r="N409" s="16">
        <v>4</v>
      </c>
      <c r="O409" s="17">
        <v>5</v>
      </c>
      <c r="P409" s="3" t="s">
        <v>1742</v>
      </c>
      <c r="Q409" s="20">
        <v>17793</v>
      </c>
      <c r="R409" s="3" t="s">
        <v>1743</v>
      </c>
      <c r="S409" s="3" t="s">
        <v>2516</v>
      </c>
      <c r="T409" s="3" t="s">
        <v>736</v>
      </c>
      <c r="U409" s="3" t="s">
        <v>1744</v>
      </c>
      <c r="Y409" s="2" t="s">
        <v>229</v>
      </c>
      <c r="Z409" s="2" t="s">
        <v>155</v>
      </c>
      <c r="AB409" s="2" t="s">
        <v>1746</v>
      </c>
      <c r="AD409" s="3"/>
      <c r="AE409" s="774"/>
      <c r="AF409" s="655"/>
    </row>
    <row r="410" spans="1:32" ht="12" customHeight="1">
      <c r="A410" s="777" t="s">
        <v>15772</v>
      </c>
      <c r="B410" s="2">
        <v>1</v>
      </c>
      <c r="C410" s="4" t="s">
        <v>1755</v>
      </c>
      <c r="D410" s="1" t="s">
        <v>1758</v>
      </c>
      <c r="E410" s="6">
        <f t="shared" si="6"/>
        <v>52</v>
      </c>
      <c r="F410" s="2" t="s">
        <v>5</v>
      </c>
      <c r="G410" s="5" t="s">
        <v>15273</v>
      </c>
      <c r="H410" s="3" t="s">
        <v>1759</v>
      </c>
      <c r="K410" s="8" t="s">
        <v>16127</v>
      </c>
      <c r="L410" s="1" t="s">
        <v>655</v>
      </c>
      <c r="M410" s="1" t="s">
        <v>25</v>
      </c>
      <c r="N410" s="16">
        <v>4</v>
      </c>
      <c r="O410" s="17">
        <v>4</v>
      </c>
      <c r="P410" s="3" t="s">
        <v>31</v>
      </c>
      <c r="Q410" s="20">
        <v>22081</v>
      </c>
      <c r="R410" s="3" t="s">
        <v>1761</v>
      </c>
      <c r="S410" s="3" t="s">
        <v>2519</v>
      </c>
      <c r="T410" s="3" t="s">
        <v>736</v>
      </c>
      <c r="U410" s="3" t="s">
        <v>155</v>
      </c>
      <c r="Z410" s="2" t="s">
        <v>155</v>
      </c>
      <c r="AD410" s="3"/>
      <c r="AE410" s="774"/>
      <c r="AF410" s="655"/>
    </row>
    <row r="411" spans="1:32" ht="12" customHeight="1">
      <c r="A411" s="777" t="s">
        <v>15773</v>
      </c>
      <c r="B411" s="2">
        <v>1</v>
      </c>
      <c r="C411" s="4" t="s">
        <v>1767</v>
      </c>
      <c r="D411" s="1" t="s">
        <v>5827</v>
      </c>
      <c r="E411" s="6">
        <f t="shared" si="6"/>
        <v>65</v>
      </c>
      <c r="F411" s="2" t="s">
        <v>19</v>
      </c>
      <c r="G411" s="5" t="s">
        <v>15273</v>
      </c>
      <c r="K411" s="8" t="s">
        <v>16127</v>
      </c>
      <c r="L411" s="1" t="s">
        <v>604</v>
      </c>
      <c r="M411" s="1" t="s">
        <v>6</v>
      </c>
      <c r="O411" s="17">
        <v>6</v>
      </c>
      <c r="P411" s="3" t="s">
        <v>5828</v>
      </c>
      <c r="Q411" s="20">
        <v>17208</v>
      </c>
      <c r="R411" s="3" t="s">
        <v>5829</v>
      </c>
      <c r="S411" s="3" t="s">
        <v>5831</v>
      </c>
      <c r="U411" s="3" t="s">
        <v>631</v>
      </c>
      <c r="AD411" s="3"/>
      <c r="AE411" s="774"/>
      <c r="AF411" s="655"/>
    </row>
    <row r="412" spans="1:32" ht="12" customHeight="1">
      <c r="A412" s="777" t="s">
        <v>15774</v>
      </c>
      <c r="B412" s="2">
        <v>1</v>
      </c>
      <c r="C412" s="4" t="s">
        <v>1777</v>
      </c>
      <c r="D412" s="1" t="s">
        <v>4412</v>
      </c>
      <c r="E412" s="6">
        <f t="shared" si="6"/>
        <v>49</v>
      </c>
      <c r="F412" s="2" t="s">
        <v>5</v>
      </c>
      <c r="G412" s="5" t="s">
        <v>15273</v>
      </c>
      <c r="K412" s="4" t="s">
        <v>16127</v>
      </c>
      <c r="L412" s="1" t="s">
        <v>44</v>
      </c>
      <c r="M412" s="1" t="s">
        <v>6</v>
      </c>
      <c r="P412" s="3" t="s">
        <v>1038</v>
      </c>
      <c r="Q412" s="20">
        <v>23265</v>
      </c>
      <c r="R412" s="3" t="s">
        <v>4433</v>
      </c>
      <c r="T412" s="3" t="s">
        <v>736</v>
      </c>
      <c r="AD412" s="3"/>
      <c r="AE412" s="774"/>
      <c r="AF412" s="655"/>
    </row>
    <row r="413" spans="1:32" ht="12" customHeight="1">
      <c r="A413" s="777" t="s">
        <v>15775</v>
      </c>
      <c r="B413" s="2">
        <v>1</v>
      </c>
      <c r="C413" s="4" t="s">
        <v>1791</v>
      </c>
      <c r="D413" s="1" t="s">
        <v>1795</v>
      </c>
      <c r="E413" s="6">
        <f t="shared" si="6"/>
        <v>52</v>
      </c>
      <c r="F413" s="2" t="s">
        <v>19</v>
      </c>
      <c r="G413" s="5" t="s">
        <v>15273</v>
      </c>
      <c r="H413" s="3" t="s">
        <v>1796</v>
      </c>
      <c r="K413" s="8" t="s">
        <v>16126</v>
      </c>
      <c r="L413" s="1" t="s">
        <v>44</v>
      </c>
      <c r="M413" s="1" t="s">
        <v>25</v>
      </c>
      <c r="N413" s="16">
        <v>1</v>
      </c>
      <c r="O413" s="17">
        <v>1</v>
      </c>
      <c r="P413" s="3" t="s">
        <v>1038</v>
      </c>
      <c r="Q413" s="20">
        <v>21906</v>
      </c>
      <c r="R413" s="3" t="s">
        <v>1797</v>
      </c>
      <c r="T413" s="3" t="s">
        <v>736</v>
      </c>
      <c r="AB413" s="3"/>
      <c r="AC413" s="3"/>
      <c r="AD413" s="3"/>
      <c r="AE413" s="774"/>
      <c r="AF413" s="655"/>
    </row>
    <row r="414" spans="1:32" ht="12" customHeight="1">
      <c r="A414" s="777" t="s">
        <v>15776</v>
      </c>
      <c r="B414" s="2">
        <v>1</v>
      </c>
      <c r="C414" s="4" t="s">
        <v>1813</v>
      </c>
      <c r="D414" s="1" t="s">
        <v>5449</v>
      </c>
      <c r="E414" s="6">
        <f t="shared" si="6"/>
        <v>45</v>
      </c>
      <c r="F414" s="2" t="s">
        <v>19</v>
      </c>
      <c r="G414" s="5" t="s">
        <v>15273</v>
      </c>
      <c r="K414" s="8" t="s">
        <v>16127</v>
      </c>
      <c r="L414" s="1" t="s">
        <v>44</v>
      </c>
      <c r="M414" s="1" t="s">
        <v>6</v>
      </c>
      <c r="P414" s="3" t="s">
        <v>682</v>
      </c>
      <c r="Q414" s="20">
        <v>24763</v>
      </c>
      <c r="R414" s="3" t="s">
        <v>5637</v>
      </c>
      <c r="T414" s="3" t="s">
        <v>736</v>
      </c>
      <c r="AB414" s="3"/>
      <c r="AC414" s="3"/>
      <c r="AD414" s="3"/>
      <c r="AE414" s="774"/>
      <c r="AF414" s="655"/>
    </row>
    <row r="415" spans="1:32" ht="12" customHeight="1">
      <c r="A415" s="777" t="s">
        <v>15777</v>
      </c>
      <c r="B415" s="2">
        <v>1</v>
      </c>
      <c r="C415" s="4" t="s">
        <v>1847</v>
      </c>
      <c r="D415" s="1" t="s">
        <v>5450</v>
      </c>
      <c r="E415" s="6">
        <f t="shared" si="6"/>
        <v>33</v>
      </c>
      <c r="F415" s="2" t="s">
        <v>5</v>
      </c>
      <c r="G415" s="5" t="s">
        <v>15273</v>
      </c>
      <c r="K415" s="8" t="s">
        <v>16127</v>
      </c>
      <c r="L415" s="1" t="s">
        <v>44</v>
      </c>
      <c r="M415" s="1" t="s">
        <v>6</v>
      </c>
      <c r="P415" s="3" t="s">
        <v>3009</v>
      </c>
      <c r="Q415" s="20">
        <v>28884</v>
      </c>
      <c r="R415" s="3" t="s">
        <v>727</v>
      </c>
      <c r="U415" s="3" t="s">
        <v>147</v>
      </c>
      <c r="AB415" s="3"/>
      <c r="AC415" s="3" t="s">
        <v>147</v>
      </c>
      <c r="AD415" s="3"/>
      <c r="AE415" s="774"/>
      <c r="AF415" s="655"/>
    </row>
    <row r="416" spans="1:32" ht="12" customHeight="1">
      <c r="A416" s="777" t="s">
        <v>15778</v>
      </c>
      <c r="B416" s="2">
        <v>1</v>
      </c>
      <c r="C416" s="4" t="s">
        <v>1859</v>
      </c>
      <c r="D416" s="1" t="s">
        <v>5284</v>
      </c>
      <c r="E416" s="6">
        <f t="shared" si="6"/>
        <v>58</v>
      </c>
      <c r="F416" s="2" t="s">
        <v>5</v>
      </c>
      <c r="G416" s="5" t="s">
        <v>15273</v>
      </c>
      <c r="K416" s="8" t="s">
        <v>16127</v>
      </c>
      <c r="L416" s="1" t="s">
        <v>44</v>
      </c>
      <c r="M416" s="1" t="s">
        <v>6</v>
      </c>
      <c r="O416" s="17">
        <v>2</v>
      </c>
      <c r="P416" s="3" t="s">
        <v>5285</v>
      </c>
      <c r="Q416" s="20">
        <v>19995</v>
      </c>
      <c r="R416" s="3" t="s">
        <v>5287</v>
      </c>
      <c r="S416" s="3" t="s">
        <v>374</v>
      </c>
      <c r="T416" s="3" t="s">
        <v>736</v>
      </c>
      <c r="U416" s="3" t="s">
        <v>229</v>
      </c>
      <c r="Y416" s="2" t="s">
        <v>229</v>
      </c>
      <c r="AC416" s="3"/>
      <c r="AD416" s="3"/>
      <c r="AE416" s="774"/>
      <c r="AF416" s="655"/>
    </row>
    <row r="417" spans="1:32" ht="12" customHeight="1">
      <c r="A417" s="777" t="s">
        <v>15779</v>
      </c>
      <c r="B417" s="2">
        <v>1</v>
      </c>
      <c r="C417" s="4" t="s">
        <v>1873</v>
      </c>
      <c r="D417" s="1" t="s">
        <v>2356</v>
      </c>
      <c r="E417" s="6">
        <f t="shared" si="6"/>
        <v>37</v>
      </c>
      <c r="F417" s="2" t="s">
        <v>19</v>
      </c>
      <c r="G417" s="5" t="s">
        <v>15273</v>
      </c>
      <c r="H417" s="3" t="s">
        <v>4406</v>
      </c>
      <c r="K417" s="4" t="s">
        <v>16127</v>
      </c>
      <c r="L417" s="1" t="s">
        <v>44</v>
      </c>
      <c r="M417" s="1" t="s">
        <v>25</v>
      </c>
      <c r="N417" s="16">
        <v>1</v>
      </c>
      <c r="O417" s="17">
        <v>1</v>
      </c>
      <c r="P417" s="3" t="s">
        <v>1002</v>
      </c>
      <c r="Q417" s="20">
        <v>27744</v>
      </c>
      <c r="R417" s="3" t="s">
        <v>2357</v>
      </c>
      <c r="AC417" s="3"/>
      <c r="AD417" s="3"/>
      <c r="AE417" s="774"/>
      <c r="AF417" s="655"/>
    </row>
    <row r="418" spans="1:32" ht="12" customHeight="1">
      <c r="A418" s="777" t="s">
        <v>15780</v>
      </c>
      <c r="B418" s="2">
        <v>1</v>
      </c>
      <c r="C418" s="4" t="s">
        <v>1894</v>
      </c>
      <c r="D418" s="1" t="s">
        <v>5872</v>
      </c>
      <c r="E418" s="6">
        <f t="shared" si="6"/>
        <v>40</v>
      </c>
      <c r="F418" s="2" t="s">
        <v>5</v>
      </c>
      <c r="G418" s="5" t="s">
        <v>15273</v>
      </c>
      <c r="K418" s="8" t="s">
        <v>16126</v>
      </c>
      <c r="L418" s="1" t="s">
        <v>44</v>
      </c>
      <c r="M418" s="1" t="s">
        <v>6</v>
      </c>
      <c r="P418" s="3" t="s">
        <v>5940</v>
      </c>
      <c r="Q418" s="20">
        <v>26492</v>
      </c>
      <c r="R418" s="3" t="s">
        <v>16320</v>
      </c>
      <c r="T418" s="3" t="s">
        <v>736</v>
      </c>
      <c r="AC418" s="3"/>
      <c r="AD418" s="3"/>
      <c r="AE418" s="774"/>
      <c r="AF418" s="655"/>
    </row>
    <row r="419" spans="1:32" ht="12" customHeight="1">
      <c r="A419" s="777" t="s">
        <v>15781</v>
      </c>
      <c r="B419" s="2">
        <v>1</v>
      </c>
      <c r="C419" s="4" t="s">
        <v>1913</v>
      </c>
      <c r="D419" s="1" t="s">
        <v>1916</v>
      </c>
      <c r="E419" s="6">
        <f t="shared" si="6"/>
        <v>41</v>
      </c>
      <c r="F419" s="2" t="s">
        <v>19</v>
      </c>
      <c r="G419" s="5" t="s">
        <v>15273</v>
      </c>
      <c r="H419" s="3" t="s">
        <v>1917</v>
      </c>
      <c r="K419" s="8" t="s">
        <v>16127</v>
      </c>
      <c r="L419" s="1" t="s">
        <v>44</v>
      </c>
      <c r="M419" s="1" t="s">
        <v>25</v>
      </c>
      <c r="N419" s="16">
        <v>1</v>
      </c>
      <c r="O419" s="17">
        <v>1</v>
      </c>
      <c r="P419" s="3" t="s">
        <v>1918</v>
      </c>
      <c r="Q419" s="20">
        <v>25951</v>
      </c>
      <c r="R419" s="3" t="s">
        <v>1919</v>
      </c>
      <c r="T419" s="3" t="s">
        <v>736</v>
      </c>
      <c r="U419" s="3" t="s">
        <v>145</v>
      </c>
      <c r="W419" s="2" t="s">
        <v>145</v>
      </c>
      <c r="AE419" s="698"/>
      <c r="AF419" s="655"/>
    </row>
    <row r="420" spans="1:32" ht="12" customHeight="1">
      <c r="A420" s="777" t="s">
        <v>15782</v>
      </c>
      <c r="B420" s="2">
        <v>1</v>
      </c>
      <c r="C420" s="4" t="s">
        <v>1930</v>
      </c>
      <c r="D420" s="1" t="s">
        <v>1934</v>
      </c>
      <c r="E420" s="6">
        <f t="shared" si="6"/>
        <v>66</v>
      </c>
      <c r="F420" s="2" t="s">
        <v>5</v>
      </c>
      <c r="G420" s="5" t="s">
        <v>15273</v>
      </c>
      <c r="H420" s="3" t="s">
        <v>1935</v>
      </c>
      <c r="K420" s="8" t="s">
        <v>16127</v>
      </c>
      <c r="L420" s="1" t="s">
        <v>655</v>
      </c>
      <c r="M420" s="1" t="s">
        <v>25</v>
      </c>
      <c r="N420" s="16">
        <v>10</v>
      </c>
      <c r="O420" s="17">
        <v>10</v>
      </c>
      <c r="P420" s="3" t="s">
        <v>1937</v>
      </c>
      <c r="Q420" s="20">
        <v>17085</v>
      </c>
      <c r="R420" s="3" t="s">
        <v>1959</v>
      </c>
      <c r="S420" s="3" t="s">
        <v>1938</v>
      </c>
      <c r="T420" s="3" t="s">
        <v>736</v>
      </c>
      <c r="AE420" s="698"/>
      <c r="AF420" s="655"/>
    </row>
    <row r="421" spans="1:32" ht="12" customHeight="1">
      <c r="A421" s="777" t="s">
        <v>15783</v>
      </c>
      <c r="B421" s="2">
        <v>1</v>
      </c>
      <c r="C421" s="4" t="s">
        <v>1953</v>
      </c>
      <c r="D421" s="1" t="s">
        <v>1956</v>
      </c>
      <c r="E421" s="6">
        <f t="shared" si="6"/>
        <v>56</v>
      </c>
      <c r="F421" s="2" t="s">
        <v>5</v>
      </c>
      <c r="G421" s="5" t="s">
        <v>15273</v>
      </c>
      <c r="H421" s="3" t="s">
        <v>1957</v>
      </c>
      <c r="K421" s="8" t="s">
        <v>16127</v>
      </c>
      <c r="L421" s="1" t="s">
        <v>655</v>
      </c>
      <c r="M421" s="1" t="s">
        <v>25</v>
      </c>
      <c r="N421" s="16">
        <v>5</v>
      </c>
      <c r="O421" s="17">
        <v>5</v>
      </c>
      <c r="P421" s="3" t="s">
        <v>1958</v>
      </c>
      <c r="Q421" s="20">
        <v>20795</v>
      </c>
      <c r="R421" s="3" t="s">
        <v>1960</v>
      </c>
      <c r="S421" s="3" t="s">
        <v>2533</v>
      </c>
      <c r="T421" s="3" t="s">
        <v>736</v>
      </c>
      <c r="U421" s="3" t="s">
        <v>47</v>
      </c>
      <c r="V421" s="2" t="s">
        <v>47</v>
      </c>
      <c r="AE421" s="698"/>
      <c r="AF421" s="655"/>
    </row>
    <row r="422" spans="1:32" ht="12" customHeight="1">
      <c r="A422" s="777" t="s">
        <v>15784</v>
      </c>
      <c r="B422" s="2">
        <v>1</v>
      </c>
      <c r="C422" s="4" t="s">
        <v>1965</v>
      </c>
      <c r="D422" s="1" t="s">
        <v>1968</v>
      </c>
      <c r="E422" s="6">
        <f t="shared" si="6"/>
        <v>48</v>
      </c>
      <c r="F422" s="2" t="s">
        <v>5</v>
      </c>
      <c r="G422" s="5" t="s">
        <v>15273</v>
      </c>
      <c r="H422" s="3" t="s">
        <v>1969</v>
      </c>
      <c r="K422" s="4" t="s">
        <v>16127</v>
      </c>
      <c r="L422" s="1" t="s">
        <v>44</v>
      </c>
      <c r="M422" s="1" t="s">
        <v>25</v>
      </c>
      <c r="N422" s="16">
        <v>4</v>
      </c>
      <c r="O422" s="17">
        <v>4</v>
      </c>
      <c r="P422" s="3" t="s">
        <v>450</v>
      </c>
      <c r="Q422" s="20">
        <v>23473</v>
      </c>
      <c r="R422" s="3" t="s">
        <v>1971</v>
      </c>
      <c r="S422" s="3" t="s">
        <v>2528</v>
      </c>
      <c r="T422" s="3" t="s">
        <v>736</v>
      </c>
      <c r="AE422" s="698"/>
      <c r="AF422" s="655"/>
    </row>
    <row r="423" spans="1:32" ht="12" customHeight="1">
      <c r="A423" s="777" t="s">
        <v>15785</v>
      </c>
      <c r="B423" s="2">
        <v>1</v>
      </c>
      <c r="C423" s="4" t="s">
        <v>1978</v>
      </c>
      <c r="D423" s="1" t="s">
        <v>1981</v>
      </c>
      <c r="E423" s="6">
        <f t="shared" si="6"/>
        <v>50</v>
      </c>
      <c r="F423" s="2" t="s">
        <v>5</v>
      </c>
      <c r="G423" s="5" t="s">
        <v>15273</v>
      </c>
      <c r="H423" s="3" t="s">
        <v>1982</v>
      </c>
      <c r="K423" s="8" t="s">
        <v>16126</v>
      </c>
      <c r="L423" s="1" t="s">
        <v>44</v>
      </c>
      <c r="M423" s="1" t="s">
        <v>25</v>
      </c>
      <c r="N423" s="16">
        <v>3</v>
      </c>
      <c r="O423" s="17">
        <v>3</v>
      </c>
      <c r="P423" s="3" t="s">
        <v>1983</v>
      </c>
      <c r="Q423" s="20">
        <v>22694</v>
      </c>
      <c r="R423" s="3" t="s">
        <v>1984</v>
      </c>
      <c r="S423" s="3" t="s">
        <v>1985</v>
      </c>
      <c r="T423" s="3" t="s">
        <v>736</v>
      </c>
      <c r="AE423" s="698"/>
      <c r="AF423" s="655"/>
    </row>
    <row r="424" spans="1:32" ht="12" customHeight="1">
      <c r="A424" s="777" t="s">
        <v>15786</v>
      </c>
      <c r="B424" s="2">
        <v>1</v>
      </c>
      <c r="C424" s="4" t="s">
        <v>1989</v>
      </c>
      <c r="D424" s="1" t="s">
        <v>1994</v>
      </c>
      <c r="E424" s="6">
        <f t="shared" si="6"/>
        <v>45</v>
      </c>
      <c r="F424" s="2" t="s">
        <v>5</v>
      </c>
      <c r="G424" s="5" t="s">
        <v>15273</v>
      </c>
      <c r="H424" s="3" t="s">
        <v>1995</v>
      </c>
      <c r="K424" s="8" t="s">
        <v>16127</v>
      </c>
      <c r="L424" s="1" t="s">
        <v>1656</v>
      </c>
      <c r="M424" s="1" t="s">
        <v>25</v>
      </c>
      <c r="N424" s="16">
        <v>3</v>
      </c>
      <c r="O424" s="17">
        <v>3</v>
      </c>
      <c r="P424" s="3" t="s">
        <v>7</v>
      </c>
      <c r="Q424" s="20">
        <v>24490</v>
      </c>
      <c r="R424" s="3" t="s">
        <v>1997</v>
      </c>
      <c r="S424" s="3" t="s">
        <v>1998</v>
      </c>
      <c r="T424" s="3" t="s">
        <v>736</v>
      </c>
      <c r="U424" s="3" t="s">
        <v>104</v>
      </c>
      <c r="AB424" s="2" t="s">
        <v>104</v>
      </c>
      <c r="AE424" s="698"/>
      <c r="AF424" s="655"/>
    </row>
    <row r="425" spans="1:32" ht="12" customHeight="1">
      <c r="A425" s="777" t="s">
        <v>15787</v>
      </c>
      <c r="B425" s="2">
        <v>1</v>
      </c>
      <c r="C425" s="4" t="s">
        <v>2012</v>
      </c>
      <c r="D425" s="1" t="s">
        <v>2018</v>
      </c>
      <c r="E425" s="6">
        <f t="shared" si="6"/>
        <v>45</v>
      </c>
      <c r="F425" s="2" t="s">
        <v>19</v>
      </c>
      <c r="G425" s="5" t="s">
        <v>15273</v>
      </c>
      <c r="H425" s="3" t="s">
        <v>2019</v>
      </c>
      <c r="K425" s="8" t="s">
        <v>16127</v>
      </c>
      <c r="L425" s="1" t="s">
        <v>44</v>
      </c>
      <c r="M425" s="1" t="s">
        <v>25</v>
      </c>
      <c r="N425" s="16">
        <v>1</v>
      </c>
      <c r="O425" s="17">
        <v>1</v>
      </c>
      <c r="P425" s="3" t="s">
        <v>695</v>
      </c>
      <c r="Q425" s="20">
        <v>24760</v>
      </c>
      <c r="R425" s="3" t="s">
        <v>2020</v>
      </c>
      <c r="T425" s="3" t="s">
        <v>736</v>
      </c>
      <c r="AE425" s="698"/>
      <c r="AF425" s="655"/>
    </row>
    <row r="426" spans="1:32" ht="12" customHeight="1">
      <c r="A426" s="777" t="s">
        <v>15788</v>
      </c>
      <c r="B426" s="2">
        <v>1</v>
      </c>
      <c r="C426" s="4" t="s">
        <v>2030</v>
      </c>
      <c r="D426" s="1" t="s">
        <v>2034</v>
      </c>
      <c r="E426" s="6">
        <f t="shared" si="6"/>
        <v>56</v>
      </c>
      <c r="F426" s="2" t="s">
        <v>5</v>
      </c>
      <c r="G426" s="5" t="s">
        <v>15273</v>
      </c>
      <c r="H426" s="3" t="s">
        <v>2035</v>
      </c>
      <c r="K426" s="8" t="s">
        <v>16127</v>
      </c>
      <c r="L426" s="1" t="s">
        <v>655</v>
      </c>
      <c r="M426" s="1" t="s">
        <v>25</v>
      </c>
      <c r="N426" s="16">
        <v>3</v>
      </c>
      <c r="O426" s="17">
        <v>3</v>
      </c>
      <c r="P426" s="3" t="s">
        <v>2037</v>
      </c>
      <c r="Q426" s="20">
        <v>20632</v>
      </c>
      <c r="R426" s="3" t="s">
        <v>2038</v>
      </c>
      <c r="S426" s="3" t="s">
        <v>2039</v>
      </c>
      <c r="T426" s="3" t="s">
        <v>736</v>
      </c>
      <c r="AE426" s="698"/>
      <c r="AF426" s="655"/>
    </row>
    <row r="427" spans="1:32" ht="12" customHeight="1">
      <c r="A427" s="777" t="s">
        <v>15789</v>
      </c>
      <c r="B427" s="2">
        <v>1</v>
      </c>
      <c r="C427" s="4" t="s">
        <v>2050</v>
      </c>
      <c r="D427" s="1" t="s">
        <v>2053</v>
      </c>
      <c r="E427" s="6">
        <f t="shared" si="6"/>
        <v>57</v>
      </c>
      <c r="F427" s="2" t="s">
        <v>5</v>
      </c>
      <c r="G427" s="5" t="s">
        <v>15273</v>
      </c>
      <c r="H427" s="3" t="s">
        <v>2054</v>
      </c>
      <c r="K427" s="4" t="s">
        <v>16127</v>
      </c>
      <c r="L427" s="1" t="s">
        <v>44</v>
      </c>
      <c r="M427" s="1" t="s">
        <v>25</v>
      </c>
      <c r="N427" s="16">
        <v>1</v>
      </c>
      <c r="O427" s="17">
        <v>1</v>
      </c>
      <c r="P427" s="3" t="s">
        <v>609</v>
      </c>
      <c r="Q427" s="20">
        <v>20314</v>
      </c>
      <c r="R427" s="3" t="s">
        <v>2055</v>
      </c>
      <c r="T427" s="3" t="s">
        <v>736</v>
      </c>
      <c r="X427" s="3"/>
      <c r="Y427" s="3"/>
      <c r="Z427" s="3"/>
      <c r="AA427" s="3"/>
      <c r="AB427" s="3"/>
      <c r="AC427" s="3"/>
      <c r="AD427" s="3"/>
      <c r="AE427" s="774"/>
      <c r="AF427" s="655"/>
    </row>
    <row r="428" spans="1:32" ht="12" customHeight="1" thickBot="1">
      <c r="A428" s="778" t="s">
        <v>15790</v>
      </c>
      <c r="B428" s="702">
        <v>25</v>
      </c>
      <c r="C428" s="702"/>
      <c r="D428" s="702" t="s">
        <v>6205</v>
      </c>
      <c r="E428" s="701">
        <f t="shared" si="6"/>
        <v>72</v>
      </c>
      <c r="F428" s="702" t="s">
        <v>5</v>
      </c>
      <c r="G428" s="702" t="s">
        <v>6067</v>
      </c>
      <c r="H428" s="720"/>
      <c r="I428" s="702"/>
      <c r="J428" s="702"/>
      <c r="K428" s="704" t="s">
        <v>16126</v>
      </c>
      <c r="L428" s="702" t="s">
        <v>6208</v>
      </c>
      <c r="M428" s="702" t="s">
        <v>25</v>
      </c>
      <c r="N428" s="721">
        <v>4</v>
      </c>
      <c r="O428" s="722">
        <v>4</v>
      </c>
      <c r="P428" s="720" t="s">
        <v>6210</v>
      </c>
      <c r="Q428" s="723">
        <v>14915</v>
      </c>
      <c r="R428" s="720" t="s">
        <v>6211</v>
      </c>
      <c r="S428" s="720" t="s">
        <v>6212</v>
      </c>
      <c r="T428" s="720"/>
      <c r="U428" s="720" t="s">
        <v>6044</v>
      </c>
      <c r="V428" s="702"/>
      <c r="W428" s="702" t="s">
        <v>6044</v>
      </c>
      <c r="X428" s="702"/>
      <c r="Y428" s="702"/>
      <c r="Z428" s="702"/>
      <c r="AA428" s="702"/>
      <c r="AB428" s="702"/>
      <c r="AC428" s="702"/>
      <c r="AD428" s="702"/>
      <c r="AE428" s="708"/>
      <c r="AF428" s="655"/>
    </row>
    <row r="429" spans="1:32" ht="12" customHeight="1">
      <c r="A429" s="724" t="s">
        <v>15371</v>
      </c>
      <c r="B429" s="696">
        <v>1</v>
      </c>
      <c r="C429" s="688" t="s">
        <v>1649</v>
      </c>
      <c r="D429" s="687" t="s">
        <v>1659</v>
      </c>
      <c r="E429" s="690">
        <f t="shared" si="6"/>
        <v>38</v>
      </c>
      <c r="F429" s="696" t="s">
        <v>19</v>
      </c>
      <c r="G429" s="687" t="s">
        <v>15273</v>
      </c>
      <c r="H429" s="747"/>
      <c r="I429" s="687"/>
      <c r="J429" s="687"/>
      <c r="K429" s="688" t="s">
        <v>16120</v>
      </c>
      <c r="L429" s="687" t="s">
        <v>48</v>
      </c>
      <c r="M429" s="687" t="s">
        <v>6</v>
      </c>
      <c r="N429" s="748"/>
      <c r="O429" s="749"/>
      <c r="P429" s="747" t="s">
        <v>317</v>
      </c>
      <c r="Q429" s="773">
        <v>27103</v>
      </c>
      <c r="R429" s="747" t="s">
        <v>1661</v>
      </c>
      <c r="S429" s="747"/>
      <c r="T429" s="747" t="s">
        <v>5457</v>
      </c>
      <c r="U429" s="747" t="s">
        <v>47</v>
      </c>
      <c r="V429" s="696" t="s">
        <v>47</v>
      </c>
      <c r="W429" s="696"/>
      <c r="X429" s="696"/>
      <c r="Y429" s="696"/>
      <c r="Z429" s="696"/>
      <c r="AA429" s="696"/>
      <c r="AB429" s="696"/>
      <c r="AC429" s="696"/>
      <c r="AD429" s="696"/>
      <c r="AE429" s="805"/>
      <c r="AF429" s="655"/>
    </row>
    <row r="430" spans="1:32" ht="12" customHeight="1">
      <c r="A430" s="725" t="s">
        <v>15372</v>
      </c>
      <c r="B430" s="2">
        <v>1</v>
      </c>
      <c r="C430" s="4" t="s">
        <v>1673</v>
      </c>
      <c r="D430" s="1" t="s">
        <v>1680</v>
      </c>
      <c r="E430" s="6">
        <f t="shared" si="6"/>
        <v>33</v>
      </c>
      <c r="F430" s="2" t="s">
        <v>5</v>
      </c>
      <c r="G430" s="1" t="s">
        <v>15273</v>
      </c>
      <c r="K430" s="4" t="s">
        <v>16120</v>
      </c>
      <c r="L430" s="1" t="s">
        <v>30</v>
      </c>
      <c r="M430" s="1" t="s">
        <v>6</v>
      </c>
      <c r="P430" s="3" t="s">
        <v>302</v>
      </c>
      <c r="Q430" s="20">
        <v>29105</v>
      </c>
      <c r="R430" s="3" t="s">
        <v>1681</v>
      </c>
      <c r="AE430" s="774"/>
      <c r="AF430" s="655"/>
    </row>
    <row r="431" spans="1:32" ht="12" customHeight="1">
      <c r="A431" s="725" t="s">
        <v>15373</v>
      </c>
      <c r="B431" s="2">
        <v>1</v>
      </c>
      <c r="C431" s="4" t="s">
        <v>1687</v>
      </c>
      <c r="D431" s="1" t="s">
        <v>1694</v>
      </c>
      <c r="E431" s="6">
        <f t="shared" si="6"/>
        <v>48</v>
      </c>
      <c r="F431" s="2" t="s">
        <v>5</v>
      </c>
      <c r="G431" s="1" t="s">
        <v>15273</v>
      </c>
      <c r="K431" s="8" t="s">
        <v>16120</v>
      </c>
      <c r="L431" s="1" t="s">
        <v>30</v>
      </c>
      <c r="M431" s="1" t="s">
        <v>14</v>
      </c>
      <c r="N431" s="16">
        <v>1</v>
      </c>
      <c r="O431" s="17">
        <v>1</v>
      </c>
      <c r="P431" s="3" t="s">
        <v>31</v>
      </c>
      <c r="Q431" s="20">
        <v>23547</v>
      </c>
      <c r="R431" s="3" t="s">
        <v>759</v>
      </c>
      <c r="T431" s="3" t="s">
        <v>5457</v>
      </c>
      <c r="U431" s="3" t="s">
        <v>104</v>
      </c>
      <c r="AB431" s="2" t="s">
        <v>104</v>
      </c>
      <c r="AE431" s="774"/>
      <c r="AF431" s="655"/>
    </row>
    <row r="432" spans="1:32" ht="12" customHeight="1">
      <c r="A432" s="725" t="s">
        <v>15374</v>
      </c>
      <c r="B432" s="2">
        <v>1</v>
      </c>
      <c r="C432" s="4" t="s">
        <v>1701</v>
      </c>
      <c r="D432" s="1" t="s">
        <v>1708</v>
      </c>
      <c r="E432" s="6">
        <f t="shared" si="6"/>
        <v>45</v>
      </c>
      <c r="F432" s="2" t="s">
        <v>5</v>
      </c>
      <c r="G432" s="1" t="s">
        <v>15273</v>
      </c>
      <c r="H432" s="3" t="s">
        <v>1709</v>
      </c>
      <c r="K432" s="23" t="s">
        <v>16120</v>
      </c>
      <c r="L432" s="1" t="s">
        <v>30</v>
      </c>
      <c r="M432" s="1" t="s">
        <v>25</v>
      </c>
      <c r="N432" s="16">
        <v>2</v>
      </c>
      <c r="O432" s="17">
        <v>2</v>
      </c>
      <c r="P432" s="3" t="s">
        <v>188</v>
      </c>
      <c r="Q432" s="20">
        <v>24524</v>
      </c>
      <c r="R432" s="3" t="s">
        <v>1710</v>
      </c>
      <c r="T432" s="3" t="s">
        <v>5457</v>
      </c>
      <c r="AE432" s="774"/>
      <c r="AF432" s="655"/>
    </row>
    <row r="433" spans="1:32" ht="12" customHeight="1">
      <c r="A433" s="725" t="s">
        <v>15375</v>
      </c>
      <c r="B433" s="2">
        <v>1</v>
      </c>
      <c r="C433" s="4" t="s">
        <v>1718</v>
      </c>
      <c r="D433" s="1" t="s">
        <v>1726</v>
      </c>
      <c r="E433" s="6">
        <f t="shared" si="6"/>
        <v>51</v>
      </c>
      <c r="F433" s="2" t="s">
        <v>5</v>
      </c>
      <c r="G433" s="1" t="s">
        <v>15273</v>
      </c>
      <c r="K433" s="8" t="s">
        <v>16120</v>
      </c>
      <c r="L433" s="1" t="s">
        <v>13</v>
      </c>
      <c r="M433" s="1" t="s">
        <v>14</v>
      </c>
      <c r="N433" s="16">
        <v>1</v>
      </c>
      <c r="O433" s="17">
        <v>1</v>
      </c>
      <c r="P433" s="3" t="s">
        <v>31</v>
      </c>
      <c r="Q433" s="20">
        <v>22526</v>
      </c>
      <c r="R433" s="3" t="s">
        <v>1727</v>
      </c>
      <c r="AE433" s="774"/>
      <c r="AF433" s="655"/>
    </row>
    <row r="434" spans="1:32" ht="12" customHeight="1">
      <c r="A434" s="725" t="s">
        <v>15376</v>
      </c>
      <c r="B434" s="2">
        <v>1</v>
      </c>
      <c r="C434" s="4" t="s">
        <v>1737</v>
      </c>
      <c r="D434" s="1" t="s">
        <v>1747</v>
      </c>
      <c r="E434" s="6">
        <f t="shared" si="6"/>
        <v>48</v>
      </c>
      <c r="F434" s="2" t="s">
        <v>5</v>
      </c>
      <c r="G434" s="1" t="s">
        <v>15273</v>
      </c>
      <c r="K434" s="4" t="s">
        <v>16120</v>
      </c>
      <c r="L434" s="1" t="s">
        <v>48</v>
      </c>
      <c r="M434" s="1" t="s">
        <v>14</v>
      </c>
      <c r="N434" s="16">
        <v>1</v>
      </c>
      <c r="O434" s="17">
        <v>1</v>
      </c>
      <c r="P434" s="3" t="s">
        <v>462</v>
      </c>
      <c r="Q434" s="20">
        <v>23434</v>
      </c>
      <c r="R434" s="3" t="s">
        <v>1749</v>
      </c>
      <c r="T434" s="3" t="s">
        <v>5457</v>
      </c>
      <c r="U434" s="3" t="s">
        <v>104</v>
      </c>
      <c r="AB434" s="2" t="s">
        <v>1746</v>
      </c>
      <c r="AD434" s="3"/>
      <c r="AE434" s="774"/>
      <c r="AF434" s="655"/>
    </row>
    <row r="435" spans="1:32" ht="12" customHeight="1">
      <c r="A435" s="725" t="s">
        <v>15377</v>
      </c>
      <c r="B435" s="2">
        <v>1</v>
      </c>
      <c r="C435" s="4" t="s">
        <v>1756</v>
      </c>
      <c r="D435" s="1" t="s">
        <v>1762</v>
      </c>
      <c r="E435" s="6">
        <f t="shared" si="6"/>
        <v>63</v>
      </c>
      <c r="F435" s="2" t="s">
        <v>5</v>
      </c>
      <c r="G435" s="1" t="s">
        <v>15273</v>
      </c>
      <c r="K435" s="4" t="s">
        <v>16120</v>
      </c>
      <c r="L435" s="1" t="s">
        <v>48</v>
      </c>
      <c r="M435" s="1" t="s">
        <v>14</v>
      </c>
      <c r="N435" s="16">
        <v>1</v>
      </c>
      <c r="O435" s="17">
        <v>1</v>
      </c>
      <c r="P435" s="3" t="s">
        <v>557</v>
      </c>
      <c r="Q435" s="20">
        <v>17982</v>
      </c>
      <c r="R435" s="3" t="s">
        <v>1763</v>
      </c>
      <c r="U435" s="3" t="s">
        <v>145</v>
      </c>
      <c r="W435" s="2" t="s">
        <v>145</v>
      </c>
      <c r="AD435" s="3"/>
      <c r="AE435" s="774"/>
      <c r="AF435" s="655"/>
    </row>
    <row r="436" spans="1:32" ht="12" customHeight="1">
      <c r="A436" s="725" t="s">
        <v>15378</v>
      </c>
      <c r="B436" s="2">
        <v>1</v>
      </c>
      <c r="C436" s="4" t="s">
        <v>1768</v>
      </c>
      <c r="D436" s="1" t="s">
        <v>1770</v>
      </c>
      <c r="E436" s="6">
        <f t="shared" si="6"/>
        <v>55</v>
      </c>
      <c r="F436" s="2" t="s">
        <v>5</v>
      </c>
      <c r="G436" s="1" t="s">
        <v>15273</v>
      </c>
      <c r="H436" s="3" t="s">
        <v>1771</v>
      </c>
      <c r="K436" s="8" t="s">
        <v>16120</v>
      </c>
      <c r="L436" s="1" t="s">
        <v>934</v>
      </c>
      <c r="M436" s="1" t="s">
        <v>25</v>
      </c>
      <c r="N436" s="16">
        <v>7</v>
      </c>
      <c r="O436" s="17">
        <v>7</v>
      </c>
      <c r="P436" s="3" t="s">
        <v>31</v>
      </c>
      <c r="Q436" s="20">
        <v>20929</v>
      </c>
      <c r="R436" s="3" t="s">
        <v>1772</v>
      </c>
      <c r="S436" s="3" t="s">
        <v>1774</v>
      </c>
      <c r="T436" s="3" t="s">
        <v>5457</v>
      </c>
      <c r="U436" s="3" t="s">
        <v>258</v>
      </c>
      <c r="Z436" s="2" t="s">
        <v>155</v>
      </c>
      <c r="AB436" s="2" t="s">
        <v>104</v>
      </c>
      <c r="AD436" s="3"/>
      <c r="AE436" s="774"/>
      <c r="AF436" s="655"/>
    </row>
    <row r="437" spans="1:32" ht="12" customHeight="1">
      <c r="A437" s="725" t="s">
        <v>15379</v>
      </c>
      <c r="B437" s="2">
        <v>1</v>
      </c>
      <c r="C437" s="4" t="s">
        <v>1778</v>
      </c>
      <c r="D437" s="1" t="s">
        <v>1781</v>
      </c>
      <c r="E437" s="6">
        <f t="shared" si="6"/>
        <v>50</v>
      </c>
      <c r="F437" s="2" t="s">
        <v>5</v>
      </c>
      <c r="G437" s="1" t="s">
        <v>15273</v>
      </c>
      <c r="H437" s="3" t="s">
        <v>1782</v>
      </c>
      <c r="K437" s="23" t="s">
        <v>16120</v>
      </c>
      <c r="L437" s="1" t="s">
        <v>30</v>
      </c>
      <c r="M437" s="1" t="s">
        <v>25</v>
      </c>
      <c r="N437" s="16">
        <v>3</v>
      </c>
      <c r="O437" s="17">
        <v>3</v>
      </c>
      <c r="P437" s="3" t="s">
        <v>188</v>
      </c>
      <c r="Q437" s="20">
        <v>22653</v>
      </c>
      <c r="R437" s="3" t="s">
        <v>1783</v>
      </c>
      <c r="S437" s="3" t="s">
        <v>1784</v>
      </c>
      <c r="T437" s="3" t="s">
        <v>15616</v>
      </c>
      <c r="U437" s="3" t="s">
        <v>145</v>
      </c>
      <c r="W437" s="2" t="s">
        <v>145</v>
      </c>
      <c r="AD437" s="3"/>
      <c r="AE437" s="774"/>
      <c r="AF437" s="655"/>
    </row>
    <row r="438" spans="1:32" ht="12" customHeight="1">
      <c r="A438" s="725" t="s">
        <v>15380</v>
      </c>
      <c r="B438" s="2">
        <v>1</v>
      </c>
      <c r="C438" s="4" t="s">
        <v>1792</v>
      </c>
      <c r="D438" s="1" t="s">
        <v>1798</v>
      </c>
      <c r="E438" s="6">
        <f t="shared" si="6"/>
        <v>60</v>
      </c>
      <c r="F438" s="2" t="s">
        <v>19</v>
      </c>
      <c r="G438" s="1" t="s">
        <v>15273</v>
      </c>
      <c r="H438" s="3" t="s">
        <v>1799</v>
      </c>
      <c r="K438" s="8" t="s">
        <v>16120</v>
      </c>
      <c r="L438" s="1" t="s">
        <v>30</v>
      </c>
      <c r="M438" s="1" t="s">
        <v>25</v>
      </c>
      <c r="N438" s="16">
        <v>6</v>
      </c>
      <c r="O438" s="17">
        <v>7</v>
      </c>
      <c r="P438" s="3" t="s">
        <v>1800</v>
      </c>
      <c r="Q438" s="20">
        <v>19190</v>
      </c>
      <c r="R438" s="3" t="s">
        <v>1802</v>
      </c>
      <c r="S438" s="3" t="s">
        <v>1803</v>
      </c>
      <c r="T438" s="3" t="s">
        <v>5457</v>
      </c>
      <c r="U438" s="3" t="s">
        <v>631</v>
      </c>
      <c r="Y438" s="2" t="s">
        <v>229</v>
      </c>
      <c r="Z438" s="2" t="s">
        <v>155</v>
      </c>
      <c r="AB438" s="3"/>
      <c r="AC438" s="3"/>
      <c r="AD438" s="3"/>
      <c r="AE438" s="774"/>
      <c r="AF438" s="655"/>
    </row>
    <row r="439" spans="1:32" ht="12" customHeight="1">
      <c r="A439" s="725" t="s">
        <v>15381</v>
      </c>
      <c r="B439" s="2">
        <v>1</v>
      </c>
      <c r="C439" s="4" t="s">
        <v>1814</v>
      </c>
      <c r="D439" s="1" t="s">
        <v>1817</v>
      </c>
      <c r="E439" s="6">
        <f t="shared" si="6"/>
        <v>58</v>
      </c>
      <c r="F439" s="2" t="s">
        <v>5</v>
      </c>
      <c r="G439" s="1" t="s">
        <v>15273</v>
      </c>
      <c r="H439" s="3" t="s">
        <v>1818</v>
      </c>
      <c r="K439" s="4" t="s">
        <v>16120</v>
      </c>
      <c r="L439" s="1" t="s">
        <v>48</v>
      </c>
      <c r="M439" s="1" t="s">
        <v>25</v>
      </c>
      <c r="N439" s="16">
        <v>5</v>
      </c>
      <c r="O439" s="17">
        <v>5</v>
      </c>
      <c r="P439" s="3" t="s">
        <v>188</v>
      </c>
      <c r="Q439" s="20">
        <v>19867</v>
      </c>
      <c r="R439" s="3" t="s">
        <v>1819</v>
      </c>
      <c r="S439" s="3" t="s">
        <v>1821</v>
      </c>
      <c r="T439" s="3" t="s">
        <v>5457</v>
      </c>
      <c r="U439" s="3" t="s">
        <v>145</v>
      </c>
      <c r="W439" s="2" t="s">
        <v>145</v>
      </c>
      <c r="AB439" s="3"/>
      <c r="AC439" s="3"/>
      <c r="AD439" s="3"/>
      <c r="AE439" s="774"/>
      <c r="AF439" s="655"/>
    </row>
    <row r="440" spans="1:32" ht="12" customHeight="1">
      <c r="A440" s="725" t="s">
        <v>15382</v>
      </c>
      <c r="B440" s="2">
        <v>1</v>
      </c>
      <c r="C440" s="4" t="s">
        <v>1848</v>
      </c>
      <c r="D440" s="1" t="s">
        <v>1851</v>
      </c>
      <c r="E440" s="6">
        <f t="shared" si="6"/>
        <v>63</v>
      </c>
      <c r="F440" s="2" t="s">
        <v>5</v>
      </c>
      <c r="G440" s="1" t="s">
        <v>15273</v>
      </c>
      <c r="H440" s="3" t="s">
        <v>1852</v>
      </c>
      <c r="K440" s="4" t="s">
        <v>16120</v>
      </c>
      <c r="L440" s="1" t="s">
        <v>30</v>
      </c>
      <c r="M440" s="1" t="s">
        <v>25</v>
      </c>
      <c r="N440" s="16">
        <v>6</v>
      </c>
      <c r="O440" s="17">
        <v>6</v>
      </c>
      <c r="P440" s="3" t="s">
        <v>159</v>
      </c>
      <c r="Q440" s="20">
        <v>17914</v>
      </c>
      <c r="R440" s="3" t="s">
        <v>1854</v>
      </c>
      <c r="S440" s="3" t="s">
        <v>1855</v>
      </c>
      <c r="T440" s="3" t="s">
        <v>5457</v>
      </c>
      <c r="AC440" s="3"/>
      <c r="AD440" s="3"/>
      <c r="AE440" s="774"/>
      <c r="AF440" s="655"/>
    </row>
    <row r="441" spans="1:32" ht="12" customHeight="1">
      <c r="A441" s="725" t="s">
        <v>15383</v>
      </c>
      <c r="B441" s="2">
        <v>1</v>
      </c>
      <c r="C441" s="4" t="s">
        <v>1860</v>
      </c>
      <c r="D441" s="1" t="s">
        <v>1864</v>
      </c>
      <c r="E441" s="6">
        <f t="shared" si="6"/>
        <v>56</v>
      </c>
      <c r="F441" s="2" t="s">
        <v>19</v>
      </c>
      <c r="G441" s="1" t="s">
        <v>15273</v>
      </c>
      <c r="K441" s="8" t="s">
        <v>16120</v>
      </c>
      <c r="L441" s="1" t="s">
        <v>48</v>
      </c>
      <c r="M441" s="1" t="s">
        <v>14</v>
      </c>
      <c r="N441" s="16">
        <v>3</v>
      </c>
      <c r="O441" s="17">
        <v>3</v>
      </c>
      <c r="P441" s="3" t="s">
        <v>317</v>
      </c>
      <c r="Q441" s="20">
        <v>20651</v>
      </c>
      <c r="R441" s="3" t="s">
        <v>1866</v>
      </c>
      <c r="S441" s="3" t="s">
        <v>1867</v>
      </c>
      <c r="T441" s="3" t="s">
        <v>5457</v>
      </c>
      <c r="U441" s="3" t="s">
        <v>155</v>
      </c>
      <c r="Z441" s="2" t="s">
        <v>155</v>
      </c>
      <c r="AC441" s="3"/>
      <c r="AD441" s="3"/>
      <c r="AE441" s="774"/>
      <c r="AF441" s="655"/>
    </row>
    <row r="442" spans="1:32" ht="12" customHeight="1">
      <c r="A442" s="725" t="s">
        <v>15384</v>
      </c>
      <c r="B442" s="2">
        <v>1</v>
      </c>
      <c r="C442" s="4" t="s">
        <v>1874</v>
      </c>
      <c r="D442" s="1" t="s">
        <v>1878</v>
      </c>
      <c r="E442" s="6">
        <f t="shared" si="6"/>
        <v>41</v>
      </c>
      <c r="F442" s="2" t="s">
        <v>5</v>
      </c>
      <c r="G442" s="1" t="s">
        <v>15273</v>
      </c>
      <c r="K442" s="23" t="s">
        <v>16120</v>
      </c>
      <c r="L442" s="1" t="s">
        <v>65</v>
      </c>
      <c r="M442" s="1" t="s">
        <v>6</v>
      </c>
      <c r="O442" s="17">
        <v>2</v>
      </c>
      <c r="P442" s="3" t="s">
        <v>1879</v>
      </c>
      <c r="Q442" s="20">
        <v>26229</v>
      </c>
      <c r="R442" s="3" t="s">
        <v>1880</v>
      </c>
      <c r="S442" s="3" t="s">
        <v>1881</v>
      </c>
      <c r="T442" s="3" t="s">
        <v>5457</v>
      </c>
      <c r="U442" s="3" t="s">
        <v>229</v>
      </c>
      <c r="Y442" s="2" t="s">
        <v>229</v>
      </c>
      <c r="AC442" s="3"/>
      <c r="AD442" s="3"/>
      <c r="AE442" s="774"/>
      <c r="AF442" s="655"/>
    </row>
    <row r="443" spans="1:32" ht="12" customHeight="1">
      <c r="A443" s="725" t="s">
        <v>15385</v>
      </c>
      <c r="B443" s="2">
        <v>1</v>
      </c>
      <c r="C443" s="4" t="s">
        <v>1895</v>
      </c>
      <c r="D443" s="1" t="s">
        <v>1902</v>
      </c>
      <c r="E443" s="6">
        <f t="shared" si="6"/>
        <v>66</v>
      </c>
      <c r="F443" s="2" t="s">
        <v>5</v>
      </c>
      <c r="G443" s="1" t="s">
        <v>15273</v>
      </c>
      <c r="K443" s="8" t="s">
        <v>16120</v>
      </c>
      <c r="L443" s="1" t="s">
        <v>48</v>
      </c>
      <c r="M443" s="1" t="s">
        <v>6</v>
      </c>
      <c r="P443" s="3" t="s">
        <v>1903</v>
      </c>
      <c r="Q443" s="20">
        <v>17042</v>
      </c>
      <c r="R443" s="3" t="s">
        <v>1904</v>
      </c>
      <c r="T443" s="3" t="s">
        <v>5457</v>
      </c>
      <c r="U443" s="3" t="s">
        <v>145</v>
      </c>
      <c r="W443" s="2" t="s">
        <v>145</v>
      </c>
      <c r="AC443" s="3"/>
      <c r="AD443" s="3"/>
      <c r="AE443" s="774"/>
      <c r="AF443" s="655"/>
    </row>
    <row r="444" spans="1:32" ht="12" customHeight="1">
      <c r="A444" s="725" t="s">
        <v>15386</v>
      </c>
      <c r="B444" s="2">
        <v>1</v>
      </c>
      <c r="C444" s="4" t="s">
        <v>1914</v>
      </c>
      <c r="D444" s="1" t="s">
        <v>1920</v>
      </c>
      <c r="E444" s="6">
        <f t="shared" si="6"/>
        <v>67</v>
      </c>
      <c r="F444" s="2" t="s">
        <v>5</v>
      </c>
      <c r="G444" s="1" t="s">
        <v>15273</v>
      </c>
      <c r="H444" s="3" t="s">
        <v>1921</v>
      </c>
      <c r="K444" s="4" t="s">
        <v>16120</v>
      </c>
      <c r="L444" s="1" t="s">
        <v>934</v>
      </c>
      <c r="M444" s="1" t="s">
        <v>25</v>
      </c>
      <c r="N444" s="16">
        <v>5</v>
      </c>
      <c r="O444" s="17">
        <v>5</v>
      </c>
      <c r="P444" s="3" t="s">
        <v>1922</v>
      </c>
      <c r="Q444" s="20">
        <v>16684</v>
      </c>
      <c r="R444" s="3" t="s">
        <v>1923</v>
      </c>
      <c r="S444" s="3" t="s">
        <v>1925</v>
      </c>
      <c r="U444" s="3" t="s">
        <v>47</v>
      </c>
      <c r="V444" s="2" t="s">
        <v>47</v>
      </c>
      <c r="AE444" s="698"/>
      <c r="AF444" s="655"/>
    </row>
    <row r="445" spans="1:32" ht="12" customHeight="1">
      <c r="A445" s="725" t="s">
        <v>15387</v>
      </c>
      <c r="B445" s="2">
        <v>1</v>
      </c>
      <c r="C445" s="4" t="s">
        <v>1931</v>
      </c>
      <c r="D445" s="1" t="s">
        <v>1939</v>
      </c>
      <c r="E445" s="6">
        <f t="shared" si="6"/>
        <v>70</v>
      </c>
      <c r="F445" s="2" t="s">
        <v>5</v>
      </c>
      <c r="G445" s="1" t="s">
        <v>15273</v>
      </c>
      <c r="K445" s="4" t="s">
        <v>16120</v>
      </c>
      <c r="L445" s="1" t="s">
        <v>30</v>
      </c>
      <c r="M445" s="1" t="s">
        <v>14</v>
      </c>
      <c r="N445" s="16">
        <v>1</v>
      </c>
      <c r="O445" s="17">
        <v>1</v>
      </c>
      <c r="P445" s="3" t="s">
        <v>188</v>
      </c>
      <c r="Q445" s="20">
        <v>15354</v>
      </c>
      <c r="R445" s="3" t="s">
        <v>1943</v>
      </c>
      <c r="S445" s="3" t="s">
        <v>810</v>
      </c>
      <c r="T445" s="3" t="s">
        <v>15616</v>
      </c>
      <c r="U445" s="3" t="s">
        <v>1942</v>
      </c>
      <c r="W445" s="2" t="s">
        <v>145</v>
      </c>
      <c r="X445" s="2" t="s">
        <v>75</v>
      </c>
      <c r="AE445" s="698" t="s">
        <v>69</v>
      </c>
      <c r="AF445" s="655"/>
    </row>
    <row r="446" spans="1:32" ht="12" customHeight="1">
      <c r="A446" s="725" t="s">
        <v>15388</v>
      </c>
      <c r="B446" s="2">
        <v>1</v>
      </c>
      <c r="C446" s="4" t="s">
        <v>1954</v>
      </c>
      <c r="D446" s="1" t="s">
        <v>1961</v>
      </c>
      <c r="E446" s="6">
        <f t="shared" si="6"/>
        <v>39</v>
      </c>
      <c r="F446" s="2" t="s">
        <v>5</v>
      </c>
      <c r="G446" s="1" t="s">
        <v>15273</v>
      </c>
      <c r="K446" s="8" t="s">
        <v>16120</v>
      </c>
      <c r="L446" s="1" t="s">
        <v>65</v>
      </c>
      <c r="M446" s="1" t="s">
        <v>14</v>
      </c>
      <c r="N446" s="16">
        <v>1</v>
      </c>
      <c r="O446" s="17">
        <v>1</v>
      </c>
      <c r="P446" s="3" t="s">
        <v>31</v>
      </c>
      <c r="Q446" s="20">
        <v>26907</v>
      </c>
      <c r="R446" s="3" t="s">
        <v>1962</v>
      </c>
      <c r="AE446" s="698"/>
      <c r="AF446" s="655"/>
    </row>
    <row r="447" spans="1:32" ht="12" customHeight="1">
      <c r="A447" s="725" t="s">
        <v>15389</v>
      </c>
      <c r="B447" s="2">
        <v>1</v>
      </c>
      <c r="C447" s="4" t="s">
        <v>1966</v>
      </c>
      <c r="D447" s="1" t="s">
        <v>1972</v>
      </c>
      <c r="E447" s="6">
        <f t="shared" si="6"/>
        <v>42</v>
      </c>
      <c r="F447" s="2" t="s">
        <v>5</v>
      </c>
      <c r="G447" s="1" t="s">
        <v>15273</v>
      </c>
      <c r="K447" s="23" t="s">
        <v>16120</v>
      </c>
      <c r="L447" s="1" t="s">
        <v>476</v>
      </c>
      <c r="M447" s="1" t="s">
        <v>14</v>
      </c>
      <c r="N447" s="16">
        <v>1</v>
      </c>
      <c r="O447" s="17">
        <v>1</v>
      </c>
      <c r="P447" s="3" t="s">
        <v>317</v>
      </c>
      <c r="Q447" s="20">
        <v>25727</v>
      </c>
      <c r="R447" s="3" t="s">
        <v>1974</v>
      </c>
      <c r="T447" s="3" t="s">
        <v>5457</v>
      </c>
      <c r="U447" s="3" t="s">
        <v>47</v>
      </c>
      <c r="V447" s="2" t="s">
        <v>47</v>
      </c>
      <c r="AE447" s="698"/>
      <c r="AF447" s="655"/>
    </row>
    <row r="448" spans="1:32" ht="12" customHeight="1">
      <c r="A448" s="725" t="s">
        <v>15390</v>
      </c>
      <c r="B448" s="2">
        <v>1</v>
      </c>
      <c r="C448" s="4" t="s">
        <v>1979</v>
      </c>
      <c r="D448" s="1" t="s">
        <v>1986</v>
      </c>
      <c r="E448" s="6">
        <f t="shared" si="6"/>
        <v>48</v>
      </c>
      <c r="F448" s="2" t="s">
        <v>5</v>
      </c>
      <c r="G448" s="1" t="s">
        <v>15273</v>
      </c>
      <c r="K448" s="8" t="s">
        <v>16120</v>
      </c>
      <c r="L448" s="1" t="s">
        <v>30</v>
      </c>
      <c r="M448" s="1" t="s">
        <v>6</v>
      </c>
      <c r="P448" s="3" t="s">
        <v>317</v>
      </c>
      <c r="Q448" s="20">
        <v>23520</v>
      </c>
      <c r="R448" s="3" t="s">
        <v>613</v>
      </c>
      <c r="T448" s="3" t="s">
        <v>5457</v>
      </c>
      <c r="AE448" s="698"/>
      <c r="AF448" s="655"/>
    </row>
    <row r="449" spans="1:32" ht="12" customHeight="1">
      <c r="A449" s="725" t="s">
        <v>15391</v>
      </c>
      <c r="B449" s="2">
        <v>1</v>
      </c>
      <c r="C449" s="4" t="s">
        <v>1990</v>
      </c>
      <c r="D449" s="1" t="s">
        <v>2000</v>
      </c>
      <c r="E449" s="6">
        <f t="shared" si="6"/>
        <v>51</v>
      </c>
      <c r="F449" s="2" t="s">
        <v>5</v>
      </c>
      <c r="G449" s="1" t="s">
        <v>15273</v>
      </c>
      <c r="K449" s="4" t="s">
        <v>16120</v>
      </c>
      <c r="L449" s="1" t="s">
        <v>30</v>
      </c>
      <c r="M449" s="1" t="s">
        <v>14</v>
      </c>
      <c r="N449" s="16">
        <v>5</v>
      </c>
      <c r="O449" s="17">
        <v>5</v>
      </c>
      <c r="P449" s="3" t="s">
        <v>317</v>
      </c>
      <c r="Q449" s="20">
        <v>22468</v>
      </c>
      <c r="R449" s="3" t="s">
        <v>2003</v>
      </c>
      <c r="S449" s="3" t="s">
        <v>2002</v>
      </c>
      <c r="U449" s="3" t="s">
        <v>146</v>
      </c>
      <c r="AD449" s="2" t="s">
        <v>146</v>
      </c>
      <c r="AE449" s="698"/>
      <c r="AF449" s="655"/>
    </row>
    <row r="450" spans="1:32" ht="12" customHeight="1">
      <c r="A450" s="725" t="s">
        <v>15392</v>
      </c>
      <c r="B450" s="2">
        <v>1</v>
      </c>
      <c r="C450" s="4" t="s">
        <v>2013</v>
      </c>
      <c r="D450" s="1" t="s">
        <v>2021</v>
      </c>
      <c r="E450" s="6">
        <f t="shared" ref="E450:E513" si="7">DATEDIF(Q450,$Q$1119,"Y")</f>
        <v>31</v>
      </c>
      <c r="F450" s="2" t="s">
        <v>5</v>
      </c>
      <c r="G450" s="1" t="s">
        <v>15273</v>
      </c>
      <c r="K450" s="4" t="s">
        <v>16120</v>
      </c>
      <c r="L450" s="1" t="s">
        <v>30</v>
      </c>
      <c r="M450" s="1" t="s">
        <v>6</v>
      </c>
      <c r="P450" s="3" t="s">
        <v>2022</v>
      </c>
      <c r="Q450" s="20">
        <v>29736</v>
      </c>
      <c r="R450" s="3" t="s">
        <v>2023</v>
      </c>
      <c r="T450" s="3" t="s">
        <v>5457</v>
      </c>
      <c r="AE450" s="698"/>
      <c r="AF450" s="655"/>
    </row>
    <row r="451" spans="1:32" ht="12" customHeight="1">
      <c r="A451" s="725" t="s">
        <v>15393</v>
      </c>
      <c r="B451" s="2">
        <v>1</v>
      </c>
      <c r="C451" s="4" t="s">
        <v>2031</v>
      </c>
      <c r="D451" s="1" t="s">
        <v>2040</v>
      </c>
      <c r="E451" s="6">
        <f t="shared" si="7"/>
        <v>49</v>
      </c>
      <c r="F451" s="2" t="s">
        <v>5</v>
      </c>
      <c r="G451" s="1" t="s">
        <v>15273</v>
      </c>
      <c r="K451" s="8" t="s">
        <v>16120</v>
      </c>
      <c r="L451" s="1" t="s">
        <v>48</v>
      </c>
      <c r="M451" s="1" t="s">
        <v>14</v>
      </c>
      <c r="N451" s="16">
        <v>2</v>
      </c>
      <c r="O451" s="17">
        <v>2</v>
      </c>
      <c r="P451" s="3" t="s">
        <v>557</v>
      </c>
      <c r="Q451" s="20">
        <v>23254</v>
      </c>
      <c r="R451" s="3" t="s">
        <v>2042</v>
      </c>
      <c r="S451" s="3" t="s">
        <v>2043</v>
      </c>
      <c r="T451" s="3" t="s">
        <v>5457</v>
      </c>
      <c r="U451" s="3" t="s">
        <v>145</v>
      </c>
      <c r="W451" s="2" t="s">
        <v>145</v>
      </c>
      <c r="AE451" s="698"/>
      <c r="AF451" s="655"/>
    </row>
    <row r="452" spans="1:32" ht="12" customHeight="1">
      <c r="A452" s="725" t="s">
        <v>15394</v>
      </c>
      <c r="B452" s="2">
        <v>1</v>
      </c>
      <c r="C452" s="4" t="s">
        <v>2051</v>
      </c>
      <c r="D452" s="1" t="s">
        <v>2056</v>
      </c>
      <c r="E452" s="6">
        <f t="shared" si="7"/>
        <v>43</v>
      </c>
      <c r="F452" s="2" t="s">
        <v>5</v>
      </c>
      <c r="G452" s="1" t="s">
        <v>15273</v>
      </c>
      <c r="H452" s="3" t="s">
        <v>2057</v>
      </c>
      <c r="K452" s="23" t="s">
        <v>16120</v>
      </c>
      <c r="L452" s="1" t="s">
        <v>445</v>
      </c>
      <c r="M452" s="1" t="s">
        <v>25</v>
      </c>
      <c r="N452" s="16">
        <v>3</v>
      </c>
      <c r="O452" s="17">
        <v>3</v>
      </c>
      <c r="P452" s="3" t="s">
        <v>2058</v>
      </c>
      <c r="Q452" s="20">
        <v>25483</v>
      </c>
      <c r="R452" s="3" t="s">
        <v>2059</v>
      </c>
      <c r="T452" s="3" t="s">
        <v>5457</v>
      </c>
      <c r="U452" s="3" t="s">
        <v>47</v>
      </c>
      <c r="V452" s="2" t="s">
        <v>47</v>
      </c>
      <c r="X452" s="3"/>
      <c r="Y452" s="3"/>
      <c r="Z452" s="3"/>
      <c r="AA452" s="3"/>
      <c r="AB452" s="3"/>
      <c r="AC452" s="3"/>
      <c r="AD452" s="3"/>
      <c r="AE452" s="774"/>
      <c r="AF452" s="655"/>
    </row>
    <row r="453" spans="1:32" ht="12" customHeight="1">
      <c r="A453" s="725" t="s">
        <v>15395</v>
      </c>
      <c r="B453" s="2">
        <v>25</v>
      </c>
      <c r="C453" s="2"/>
      <c r="D453" s="2" t="s">
        <v>6073</v>
      </c>
      <c r="E453" s="6">
        <f t="shared" si="7"/>
        <v>68</v>
      </c>
      <c r="F453" s="2" t="s">
        <v>5</v>
      </c>
      <c r="G453" s="2" t="s">
        <v>6067</v>
      </c>
      <c r="H453" s="22"/>
      <c r="I453" s="2"/>
      <c r="J453" s="2"/>
      <c r="K453" s="8" t="s">
        <v>16120</v>
      </c>
      <c r="L453" s="2" t="s">
        <v>5247</v>
      </c>
      <c r="M453" s="2" t="s">
        <v>6</v>
      </c>
      <c r="N453" s="24"/>
      <c r="O453" s="25"/>
      <c r="P453" s="22" t="s">
        <v>6074</v>
      </c>
      <c r="Q453" s="21">
        <v>16147</v>
      </c>
      <c r="R453" s="22" t="s">
        <v>6075</v>
      </c>
      <c r="S453" s="22"/>
      <c r="T453" s="22"/>
      <c r="U453" s="22"/>
      <c r="AE453" s="698"/>
      <c r="AF453" s="655"/>
    </row>
    <row r="454" spans="1:32" ht="12" customHeight="1">
      <c r="A454" s="725" t="s">
        <v>15396</v>
      </c>
      <c r="B454" s="2">
        <v>26</v>
      </c>
      <c r="C454" s="2"/>
      <c r="D454" s="2" t="s">
        <v>6076</v>
      </c>
      <c r="E454" s="6">
        <f t="shared" si="7"/>
        <v>40</v>
      </c>
      <c r="F454" s="2" t="s">
        <v>5</v>
      </c>
      <c r="G454" s="2" t="s">
        <v>6067</v>
      </c>
      <c r="H454" s="22"/>
      <c r="I454" s="2"/>
      <c r="J454" s="2"/>
      <c r="K454" s="4" t="s">
        <v>16120</v>
      </c>
      <c r="L454" s="2" t="s">
        <v>5247</v>
      </c>
      <c r="M454" s="2" t="s">
        <v>6</v>
      </c>
      <c r="N454" s="24"/>
      <c r="O454" s="25"/>
      <c r="P454" s="22" t="s">
        <v>188</v>
      </c>
      <c r="Q454" s="21">
        <v>26421</v>
      </c>
      <c r="R454" s="22" t="s">
        <v>16321</v>
      </c>
      <c r="S454" s="22"/>
      <c r="T454" s="22"/>
      <c r="U454" s="22"/>
      <c r="AE454" s="698"/>
      <c r="AF454" s="655"/>
    </row>
    <row r="455" spans="1:32" ht="12" customHeight="1">
      <c r="A455" s="725" t="s">
        <v>15397</v>
      </c>
      <c r="B455" s="2">
        <v>27</v>
      </c>
      <c r="C455" s="2"/>
      <c r="D455" s="2" t="s">
        <v>6077</v>
      </c>
      <c r="E455" s="6">
        <f t="shared" si="7"/>
        <v>32</v>
      </c>
      <c r="F455" s="2" t="s">
        <v>5</v>
      </c>
      <c r="G455" s="2" t="s">
        <v>6067</v>
      </c>
      <c r="H455" s="22"/>
      <c r="I455" s="2"/>
      <c r="J455" s="2"/>
      <c r="K455" s="4" t="s">
        <v>16120</v>
      </c>
      <c r="L455" s="2" t="s">
        <v>5247</v>
      </c>
      <c r="M455" s="2" t="s">
        <v>6</v>
      </c>
      <c r="N455" s="24"/>
      <c r="O455" s="25"/>
      <c r="P455" s="22" t="s">
        <v>6078</v>
      </c>
      <c r="Q455" s="21">
        <v>29563</v>
      </c>
      <c r="R455" s="22" t="s">
        <v>6079</v>
      </c>
      <c r="S455" s="22"/>
      <c r="T455" s="22"/>
      <c r="U455" s="22" t="s">
        <v>6080</v>
      </c>
      <c r="Z455" s="2" t="s">
        <v>6080</v>
      </c>
      <c r="AE455" s="698"/>
      <c r="AF455" s="655"/>
    </row>
    <row r="456" spans="1:32" ht="12" customHeight="1">
      <c r="A456" s="725" t="s">
        <v>15398</v>
      </c>
      <c r="B456" s="2">
        <v>28</v>
      </c>
      <c r="C456" s="2"/>
      <c r="D456" s="2" t="s">
        <v>6081</v>
      </c>
      <c r="E456" s="6">
        <f t="shared" si="7"/>
        <v>67</v>
      </c>
      <c r="F456" s="2" t="s">
        <v>5</v>
      </c>
      <c r="G456" s="2" t="s">
        <v>6067</v>
      </c>
      <c r="H456" s="22"/>
      <c r="I456" s="2"/>
      <c r="J456" s="2"/>
      <c r="K456" s="8" t="s">
        <v>16120</v>
      </c>
      <c r="L456" s="2" t="s">
        <v>5247</v>
      </c>
      <c r="M456" s="2" t="s">
        <v>6</v>
      </c>
      <c r="N456" s="24"/>
      <c r="O456" s="25"/>
      <c r="P456" s="22" t="s">
        <v>381</v>
      </c>
      <c r="Q456" s="21">
        <v>16766</v>
      </c>
      <c r="R456" s="22" t="s">
        <v>16322</v>
      </c>
      <c r="S456" s="22"/>
      <c r="T456" s="22"/>
      <c r="U456" s="22" t="s">
        <v>16323</v>
      </c>
      <c r="AE456" s="698" t="s">
        <v>16323</v>
      </c>
      <c r="AF456" s="655"/>
    </row>
    <row r="457" spans="1:32" ht="12" customHeight="1" thickBot="1">
      <c r="A457" s="726" t="s">
        <v>15399</v>
      </c>
      <c r="B457" s="702">
        <v>29</v>
      </c>
      <c r="C457" s="702"/>
      <c r="D457" s="702" t="s">
        <v>6082</v>
      </c>
      <c r="E457" s="701">
        <f t="shared" si="7"/>
        <v>69</v>
      </c>
      <c r="F457" s="702" t="s">
        <v>5</v>
      </c>
      <c r="G457" s="702" t="s">
        <v>6067</v>
      </c>
      <c r="H457" s="720"/>
      <c r="I457" s="702"/>
      <c r="J457" s="702"/>
      <c r="K457" s="770" t="s">
        <v>16120</v>
      </c>
      <c r="L457" s="702" t="s">
        <v>5247</v>
      </c>
      <c r="M457" s="702" t="s">
        <v>6</v>
      </c>
      <c r="N457" s="721"/>
      <c r="O457" s="722"/>
      <c r="P457" s="720" t="s">
        <v>1903</v>
      </c>
      <c r="Q457" s="723">
        <v>16042</v>
      </c>
      <c r="R457" s="720" t="s">
        <v>15255</v>
      </c>
      <c r="S457" s="720"/>
      <c r="T457" s="720"/>
      <c r="U457" s="720"/>
      <c r="V457" s="702"/>
      <c r="W457" s="702"/>
      <c r="X457" s="702"/>
      <c r="Y457" s="702"/>
      <c r="Z457" s="702"/>
      <c r="AA457" s="702"/>
      <c r="AB457" s="702"/>
      <c r="AC457" s="702"/>
      <c r="AD457" s="702"/>
      <c r="AE457" s="708"/>
      <c r="AF457" s="655"/>
    </row>
    <row r="458" spans="1:32" ht="12" customHeight="1">
      <c r="A458" s="780" t="s">
        <v>16334</v>
      </c>
      <c r="B458" s="696">
        <v>1</v>
      </c>
      <c r="C458" s="688" t="s">
        <v>1650</v>
      </c>
      <c r="D458" s="687" t="s">
        <v>6173</v>
      </c>
      <c r="E458" s="690">
        <f t="shared" si="7"/>
        <v>46</v>
      </c>
      <c r="F458" s="696" t="s">
        <v>5</v>
      </c>
      <c r="G458" s="687" t="s">
        <v>15273</v>
      </c>
      <c r="H458" s="747"/>
      <c r="I458" s="687"/>
      <c r="J458" s="687"/>
      <c r="K458" s="688" t="s">
        <v>16125</v>
      </c>
      <c r="L458" s="687"/>
      <c r="M458" s="687" t="s">
        <v>6</v>
      </c>
      <c r="N458" s="748"/>
      <c r="O458" s="749"/>
      <c r="P458" s="747" t="s">
        <v>317</v>
      </c>
      <c r="Q458" s="773">
        <v>24225</v>
      </c>
      <c r="R458" s="747" t="s">
        <v>2373</v>
      </c>
      <c r="S458" s="747"/>
      <c r="T458" s="747" t="s">
        <v>5561</v>
      </c>
      <c r="U458" s="747"/>
      <c r="V458" s="696"/>
      <c r="W458" s="696"/>
      <c r="X458" s="696"/>
      <c r="Y458" s="696"/>
      <c r="Z458" s="696"/>
      <c r="AA458" s="696"/>
      <c r="AB458" s="696"/>
      <c r="AC458" s="696"/>
      <c r="AD458" s="696"/>
      <c r="AE458" s="805"/>
      <c r="AF458" s="655"/>
    </row>
    <row r="459" spans="1:32" ht="12" customHeight="1">
      <c r="A459" s="790" t="s">
        <v>16335</v>
      </c>
      <c r="B459" s="2">
        <v>1</v>
      </c>
      <c r="C459" s="4" t="s">
        <v>1688</v>
      </c>
      <c r="D459" s="1" t="s">
        <v>5736</v>
      </c>
      <c r="E459" s="6">
        <f t="shared" si="7"/>
        <v>47</v>
      </c>
      <c r="F459" s="2" t="s">
        <v>5</v>
      </c>
      <c r="G459" s="1" t="s">
        <v>15273</v>
      </c>
      <c r="K459" s="4" t="s">
        <v>16125</v>
      </c>
      <c r="M459" s="1" t="s">
        <v>6</v>
      </c>
      <c r="P459" s="3" t="s">
        <v>467</v>
      </c>
      <c r="Q459" s="20">
        <v>24057</v>
      </c>
      <c r="R459" s="3" t="s">
        <v>5737</v>
      </c>
      <c r="T459" s="3" t="s">
        <v>5561</v>
      </c>
      <c r="AE459" s="774"/>
      <c r="AF459" s="655"/>
    </row>
    <row r="460" spans="1:32" ht="12" customHeight="1">
      <c r="A460" s="790" t="s">
        <v>16336</v>
      </c>
      <c r="B460" s="2">
        <v>1</v>
      </c>
      <c r="C460" s="4" t="s">
        <v>1719</v>
      </c>
      <c r="D460" s="1" t="s">
        <v>6175</v>
      </c>
      <c r="E460" s="6">
        <f t="shared" si="7"/>
        <v>44</v>
      </c>
      <c r="F460" s="2" t="s">
        <v>19</v>
      </c>
      <c r="G460" s="1" t="s">
        <v>15273</v>
      </c>
      <c r="K460" s="4" t="s">
        <v>16125</v>
      </c>
      <c r="M460" s="1" t="s">
        <v>6</v>
      </c>
      <c r="P460" s="3" t="s">
        <v>6176</v>
      </c>
      <c r="Q460" s="20">
        <v>24895</v>
      </c>
      <c r="R460" s="3" t="s">
        <v>6177</v>
      </c>
      <c r="T460" s="3" t="s">
        <v>5561</v>
      </c>
      <c r="AE460" s="774"/>
      <c r="AF460" s="655"/>
    </row>
    <row r="461" spans="1:32" ht="12" customHeight="1">
      <c r="A461" s="790" t="s">
        <v>16337</v>
      </c>
      <c r="B461" s="2">
        <v>1</v>
      </c>
      <c r="C461" s="4" t="s">
        <v>1757</v>
      </c>
      <c r="D461" s="1" t="s">
        <v>5739</v>
      </c>
      <c r="E461" s="6">
        <f t="shared" si="7"/>
        <v>52</v>
      </c>
      <c r="F461" s="2" t="s">
        <v>5</v>
      </c>
      <c r="G461" s="1" t="s">
        <v>15273</v>
      </c>
      <c r="K461" s="4" t="s">
        <v>16125</v>
      </c>
      <c r="M461" s="1" t="s">
        <v>6</v>
      </c>
      <c r="P461" s="3" t="s">
        <v>188</v>
      </c>
      <c r="Q461" s="20">
        <v>22063</v>
      </c>
      <c r="R461" s="3" t="s">
        <v>15995</v>
      </c>
      <c r="T461" s="3" t="s">
        <v>5561</v>
      </c>
      <c r="AD461" s="3"/>
      <c r="AE461" s="774"/>
      <c r="AF461" s="655"/>
    </row>
    <row r="462" spans="1:32" ht="12" customHeight="1">
      <c r="A462" s="790" t="s">
        <v>16338</v>
      </c>
      <c r="B462" s="2">
        <v>1</v>
      </c>
      <c r="C462" s="4" t="s">
        <v>1779</v>
      </c>
      <c r="D462" s="1" t="s">
        <v>1788</v>
      </c>
      <c r="E462" s="6">
        <f t="shared" si="7"/>
        <v>46</v>
      </c>
      <c r="F462" s="2" t="s">
        <v>5</v>
      </c>
      <c r="G462" s="1" t="s">
        <v>15273</v>
      </c>
      <c r="H462" s="3" t="s">
        <v>1789</v>
      </c>
      <c r="K462" s="4" t="s">
        <v>16125</v>
      </c>
      <c r="M462" s="1" t="s">
        <v>25</v>
      </c>
      <c r="N462" s="16">
        <v>1</v>
      </c>
      <c r="O462" s="17">
        <v>1</v>
      </c>
      <c r="P462" s="3" t="s">
        <v>31</v>
      </c>
      <c r="Q462" s="20">
        <v>24349</v>
      </c>
      <c r="R462" s="3" t="s">
        <v>1790</v>
      </c>
      <c r="T462" s="3" t="s">
        <v>5561</v>
      </c>
      <c r="AB462" s="3"/>
      <c r="AC462" s="3"/>
      <c r="AD462" s="3"/>
      <c r="AE462" s="774"/>
      <c r="AF462" s="655"/>
    </row>
    <row r="463" spans="1:32" ht="12" customHeight="1">
      <c r="A463" s="790" t="s">
        <v>16339</v>
      </c>
      <c r="B463" s="2">
        <v>1</v>
      </c>
      <c r="C463" s="4" t="s">
        <v>1793</v>
      </c>
      <c r="D463" s="1" t="s">
        <v>5740</v>
      </c>
      <c r="E463" s="6">
        <f t="shared" si="7"/>
        <v>44</v>
      </c>
      <c r="F463" s="2" t="s">
        <v>5</v>
      </c>
      <c r="G463" s="1" t="s">
        <v>15273</v>
      </c>
      <c r="K463" s="4" t="s">
        <v>16125</v>
      </c>
      <c r="M463" s="1" t="s">
        <v>6</v>
      </c>
      <c r="P463" s="3" t="s">
        <v>1903</v>
      </c>
      <c r="Q463" s="20">
        <v>25167</v>
      </c>
      <c r="R463" s="3" t="s">
        <v>5741</v>
      </c>
      <c r="T463" s="3" t="s">
        <v>5561</v>
      </c>
      <c r="AB463" s="3"/>
      <c r="AC463" s="3"/>
      <c r="AD463" s="3"/>
      <c r="AE463" s="774"/>
      <c r="AF463" s="655"/>
    </row>
    <row r="464" spans="1:32" ht="12" customHeight="1">
      <c r="A464" s="790" t="s">
        <v>16340</v>
      </c>
      <c r="B464" s="2">
        <v>1</v>
      </c>
      <c r="C464" s="4" t="s">
        <v>1815</v>
      </c>
      <c r="D464" s="1" t="s">
        <v>5742</v>
      </c>
      <c r="E464" s="6">
        <f t="shared" si="7"/>
        <v>43</v>
      </c>
      <c r="F464" s="2" t="s">
        <v>19</v>
      </c>
      <c r="G464" s="1" t="s">
        <v>15273</v>
      </c>
      <c r="K464" s="4" t="s">
        <v>16125</v>
      </c>
      <c r="M464" s="1" t="s">
        <v>6</v>
      </c>
      <c r="P464" s="3" t="s">
        <v>5743</v>
      </c>
      <c r="Q464" s="20">
        <v>25395</v>
      </c>
      <c r="R464" s="3" t="s">
        <v>5744</v>
      </c>
      <c r="T464" s="3" t="s">
        <v>5561</v>
      </c>
      <c r="U464" s="3" t="s">
        <v>145</v>
      </c>
      <c r="W464" s="2" t="s">
        <v>145</v>
      </c>
      <c r="AB464" s="3"/>
      <c r="AC464" s="3"/>
      <c r="AD464" s="3"/>
      <c r="AE464" s="774"/>
      <c r="AF464" s="655"/>
    </row>
    <row r="465" spans="1:32" ht="12" customHeight="1">
      <c r="A465" s="790" t="s">
        <v>16341</v>
      </c>
      <c r="B465" s="2">
        <v>1</v>
      </c>
      <c r="C465" s="4" t="s">
        <v>1827</v>
      </c>
      <c r="D465" s="1" t="s">
        <v>1831</v>
      </c>
      <c r="E465" s="6">
        <f t="shared" si="7"/>
        <v>47</v>
      </c>
      <c r="F465" s="2" t="s">
        <v>19</v>
      </c>
      <c r="G465" s="1" t="s">
        <v>15273</v>
      </c>
      <c r="H465" s="3" t="s">
        <v>1832</v>
      </c>
      <c r="K465" s="4" t="s">
        <v>16125</v>
      </c>
      <c r="M465" s="1" t="s">
        <v>25</v>
      </c>
      <c r="N465" s="16">
        <v>2</v>
      </c>
      <c r="O465" s="17">
        <v>3</v>
      </c>
      <c r="P465" s="3" t="s">
        <v>1833</v>
      </c>
      <c r="Q465" s="20">
        <v>23972</v>
      </c>
      <c r="R465" s="3" t="s">
        <v>1834</v>
      </c>
      <c r="S465" s="3" t="s">
        <v>1835</v>
      </c>
      <c r="T465" s="3" t="s">
        <v>5561</v>
      </c>
      <c r="U465" s="3" t="s">
        <v>1569</v>
      </c>
      <c r="Y465" s="2" t="s">
        <v>229</v>
      </c>
      <c r="AA465" s="2" t="s">
        <v>85</v>
      </c>
      <c r="AB465" s="3"/>
      <c r="AC465" s="3"/>
      <c r="AD465" s="3"/>
      <c r="AE465" s="774"/>
      <c r="AF465" s="655"/>
    </row>
    <row r="466" spans="1:32" ht="12" customHeight="1">
      <c r="A466" s="790" t="s">
        <v>16333</v>
      </c>
      <c r="B466" s="2">
        <v>1</v>
      </c>
      <c r="C466" s="4" t="s">
        <v>1849</v>
      </c>
      <c r="D466" s="1" t="s">
        <v>6179</v>
      </c>
      <c r="E466" s="6">
        <f t="shared" si="7"/>
        <v>40</v>
      </c>
      <c r="F466" s="2" t="s">
        <v>5</v>
      </c>
      <c r="G466" s="1" t="s">
        <v>15273</v>
      </c>
      <c r="K466" s="4" t="s">
        <v>16125</v>
      </c>
      <c r="M466" s="1" t="s">
        <v>6</v>
      </c>
      <c r="P466" s="3" t="s">
        <v>16002</v>
      </c>
      <c r="Q466" s="20">
        <v>26489</v>
      </c>
      <c r="R466" s="3" t="s">
        <v>16000</v>
      </c>
      <c r="T466" s="3" t="s">
        <v>5561</v>
      </c>
      <c r="U466" s="3" t="s">
        <v>145</v>
      </c>
      <c r="W466" s="2" t="s">
        <v>145</v>
      </c>
      <c r="AC466" s="3"/>
      <c r="AD466" s="3"/>
      <c r="AE466" s="774"/>
      <c r="AF466" s="655"/>
    </row>
    <row r="467" spans="1:32" ht="12" customHeight="1">
      <c r="A467" s="790" t="s">
        <v>16326</v>
      </c>
      <c r="B467" s="2">
        <v>1</v>
      </c>
      <c r="C467" s="4" t="s">
        <v>1861</v>
      </c>
      <c r="D467" s="1" t="s">
        <v>1869</v>
      </c>
      <c r="E467" s="6">
        <f t="shared" si="7"/>
        <v>41</v>
      </c>
      <c r="F467" s="2" t="s">
        <v>5</v>
      </c>
      <c r="G467" s="1" t="s">
        <v>15273</v>
      </c>
      <c r="H467" s="3" t="s">
        <v>1870</v>
      </c>
      <c r="K467" s="4" t="s">
        <v>16125</v>
      </c>
      <c r="M467" s="1" t="s">
        <v>25</v>
      </c>
      <c r="N467" s="16">
        <v>1</v>
      </c>
      <c r="O467" s="17">
        <v>1</v>
      </c>
      <c r="P467" s="3" t="s">
        <v>172</v>
      </c>
      <c r="Q467" s="20">
        <v>26123</v>
      </c>
      <c r="R467" s="3" t="s">
        <v>1871</v>
      </c>
      <c r="T467" s="3" t="s">
        <v>5561</v>
      </c>
      <c r="U467" s="3" t="s">
        <v>145</v>
      </c>
      <c r="W467" s="2" t="s">
        <v>145</v>
      </c>
      <c r="AC467" s="3"/>
      <c r="AD467" s="3"/>
      <c r="AE467" s="774"/>
      <c r="AF467" s="655"/>
    </row>
    <row r="468" spans="1:32" ht="12" customHeight="1">
      <c r="A468" s="790" t="s">
        <v>16327</v>
      </c>
      <c r="B468" s="2">
        <v>1</v>
      </c>
      <c r="C468" s="4" t="s">
        <v>1875</v>
      </c>
      <c r="D468" s="1" t="s">
        <v>1882</v>
      </c>
      <c r="E468" s="6">
        <f t="shared" si="7"/>
        <v>61</v>
      </c>
      <c r="F468" s="2" t="s">
        <v>5</v>
      </c>
      <c r="G468" s="1" t="s">
        <v>15273</v>
      </c>
      <c r="H468" s="3" t="s">
        <v>1883</v>
      </c>
      <c r="K468" s="4" t="s">
        <v>16125</v>
      </c>
      <c r="M468" s="1" t="s">
        <v>25</v>
      </c>
      <c r="N468" s="16">
        <v>5</v>
      </c>
      <c r="O468" s="17">
        <v>5</v>
      </c>
      <c r="P468" s="3" t="s">
        <v>1884</v>
      </c>
      <c r="Q468" s="20">
        <v>18749</v>
      </c>
      <c r="R468" s="3" t="s">
        <v>1885</v>
      </c>
      <c r="S468" s="3" t="s">
        <v>16680</v>
      </c>
      <c r="T468" s="3" t="s">
        <v>5561</v>
      </c>
      <c r="AC468" s="3"/>
      <c r="AD468" s="3"/>
      <c r="AE468" s="774"/>
      <c r="AF468" s="655"/>
    </row>
    <row r="469" spans="1:32" ht="12" customHeight="1">
      <c r="A469" s="790" t="s">
        <v>16328</v>
      </c>
      <c r="B469" s="2">
        <v>1</v>
      </c>
      <c r="C469" s="4" t="s">
        <v>1896</v>
      </c>
      <c r="D469" s="1" t="s">
        <v>1899</v>
      </c>
      <c r="E469" s="6">
        <f t="shared" si="7"/>
        <v>43</v>
      </c>
      <c r="F469" s="2" t="s">
        <v>5</v>
      </c>
      <c r="G469" s="1" t="s">
        <v>15273</v>
      </c>
      <c r="H469" s="3" t="s">
        <v>1900</v>
      </c>
      <c r="K469" s="4" t="s">
        <v>16125</v>
      </c>
      <c r="M469" s="1" t="s">
        <v>25</v>
      </c>
      <c r="N469" s="16">
        <v>1</v>
      </c>
      <c r="O469" s="17">
        <v>1</v>
      </c>
      <c r="P469" s="3" t="s">
        <v>317</v>
      </c>
      <c r="Q469" s="20">
        <v>25308</v>
      </c>
      <c r="R469" s="3" t="s">
        <v>1901</v>
      </c>
      <c r="T469" s="3" t="s">
        <v>5561</v>
      </c>
      <c r="U469" s="3" t="s">
        <v>145</v>
      </c>
      <c r="W469" s="2" t="s">
        <v>145</v>
      </c>
      <c r="AC469" s="3"/>
      <c r="AD469" s="3"/>
      <c r="AE469" s="774"/>
      <c r="AF469" s="655"/>
    </row>
    <row r="470" spans="1:32" ht="12" customHeight="1">
      <c r="A470" s="790" t="s">
        <v>16329</v>
      </c>
      <c r="B470" s="2">
        <v>1</v>
      </c>
      <c r="C470" s="4" t="s">
        <v>1932</v>
      </c>
      <c r="D470" s="1" t="s">
        <v>5746</v>
      </c>
      <c r="E470" s="6">
        <f t="shared" si="7"/>
        <v>43</v>
      </c>
      <c r="F470" s="2" t="s">
        <v>5</v>
      </c>
      <c r="G470" s="1" t="s">
        <v>15273</v>
      </c>
      <c r="K470" s="4" t="s">
        <v>16125</v>
      </c>
      <c r="M470" s="1" t="s">
        <v>6</v>
      </c>
      <c r="P470" s="3" t="s">
        <v>452</v>
      </c>
      <c r="Q470" s="20">
        <v>25253</v>
      </c>
      <c r="R470" s="3" t="s">
        <v>5747</v>
      </c>
      <c r="T470" s="3" t="s">
        <v>5561</v>
      </c>
      <c r="U470" s="3" t="s">
        <v>145</v>
      </c>
      <c r="W470" s="2" t="s">
        <v>145</v>
      </c>
      <c r="AE470" s="698"/>
      <c r="AF470" s="655"/>
    </row>
    <row r="471" spans="1:32" ht="12" customHeight="1">
      <c r="A471" s="790" t="s">
        <v>16330</v>
      </c>
      <c r="B471" s="2">
        <v>1</v>
      </c>
      <c r="C471" s="4" t="s">
        <v>1955</v>
      </c>
      <c r="D471" s="1" t="s">
        <v>1824</v>
      </c>
      <c r="E471" s="6">
        <f t="shared" si="7"/>
        <v>68</v>
      </c>
      <c r="F471" s="2" t="s">
        <v>5</v>
      </c>
      <c r="G471" s="1" t="s">
        <v>15273</v>
      </c>
      <c r="H471" s="3" t="s">
        <v>1825</v>
      </c>
      <c r="K471" s="4" t="s">
        <v>16125</v>
      </c>
      <c r="M471" s="1" t="s">
        <v>25</v>
      </c>
      <c r="N471" s="16">
        <v>2</v>
      </c>
      <c r="O471" s="17">
        <v>2</v>
      </c>
      <c r="P471" s="3" t="s">
        <v>159</v>
      </c>
      <c r="Q471" s="20">
        <v>16223</v>
      </c>
      <c r="R471" s="3" t="s">
        <v>1826</v>
      </c>
      <c r="S471" s="3" t="s">
        <v>4568</v>
      </c>
      <c r="T471" s="3" t="s">
        <v>5561</v>
      </c>
      <c r="AB471" s="3"/>
      <c r="AC471" s="3"/>
      <c r="AD471" s="3"/>
      <c r="AE471" s="774"/>
      <c r="AF471" s="655"/>
    </row>
    <row r="472" spans="1:32" ht="12" customHeight="1">
      <c r="A472" s="790" t="s">
        <v>16331</v>
      </c>
      <c r="B472" s="2">
        <v>1</v>
      </c>
      <c r="C472" s="4" t="s">
        <v>1980</v>
      </c>
      <c r="D472" s="1" t="s">
        <v>6181</v>
      </c>
      <c r="E472" s="6">
        <f t="shared" si="7"/>
        <v>60</v>
      </c>
      <c r="F472" s="2" t="s">
        <v>5</v>
      </c>
      <c r="G472" s="1" t="s">
        <v>15273</v>
      </c>
      <c r="K472" s="4" t="s">
        <v>16125</v>
      </c>
      <c r="M472" s="1" t="s">
        <v>6</v>
      </c>
      <c r="P472" s="3" t="s">
        <v>557</v>
      </c>
      <c r="Q472" s="20">
        <v>19334</v>
      </c>
      <c r="R472" s="3" t="s">
        <v>16010</v>
      </c>
      <c r="T472" s="3" t="s">
        <v>5561</v>
      </c>
      <c r="AE472" s="698"/>
      <c r="AF472" s="655"/>
    </row>
    <row r="473" spans="1:32" ht="12" customHeight="1">
      <c r="A473" s="790" t="s">
        <v>16332</v>
      </c>
      <c r="B473" s="2">
        <v>1</v>
      </c>
      <c r="C473" s="4" t="s">
        <v>2014</v>
      </c>
      <c r="D473" s="1" t="s">
        <v>6182</v>
      </c>
      <c r="E473" s="6">
        <f t="shared" si="7"/>
        <v>39</v>
      </c>
      <c r="F473" s="2" t="s">
        <v>5</v>
      </c>
      <c r="G473" s="1" t="s">
        <v>15273</v>
      </c>
      <c r="K473" s="4" t="s">
        <v>16125</v>
      </c>
      <c r="M473" s="1" t="s">
        <v>6</v>
      </c>
      <c r="P473" s="3" t="s">
        <v>31</v>
      </c>
      <c r="Q473" s="20">
        <v>26932</v>
      </c>
      <c r="R473" s="3" t="s">
        <v>6183</v>
      </c>
      <c r="T473" s="3" t="s">
        <v>5561</v>
      </c>
      <c r="U473" s="3" t="s">
        <v>155</v>
      </c>
      <c r="Z473" s="2" t="s">
        <v>155</v>
      </c>
      <c r="AE473" s="698"/>
      <c r="AF473" s="655"/>
    </row>
    <row r="474" spans="1:32" ht="12" customHeight="1">
      <c r="A474" s="790" t="s">
        <v>16324</v>
      </c>
      <c r="B474" s="2">
        <v>1</v>
      </c>
      <c r="C474" s="4" t="s">
        <v>2052</v>
      </c>
      <c r="D474" s="1" t="s">
        <v>6186</v>
      </c>
      <c r="E474" s="6">
        <f t="shared" si="7"/>
        <v>56</v>
      </c>
      <c r="F474" s="2" t="s">
        <v>5</v>
      </c>
      <c r="G474" s="1" t="s">
        <v>15273</v>
      </c>
      <c r="K474" s="4" t="s">
        <v>16125</v>
      </c>
      <c r="M474" s="1" t="s">
        <v>6</v>
      </c>
      <c r="P474" s="3" t="s">
        <v>188</v>
      </c>
      <c r="Q474" s="20">
        <v>20592</v>
      </c>
      <c r="R474" s="3" t="s">
        <v>6187</v>
      </c>
      <c r="T474" s="3" t="s">
        <v>5561</v>
      </c>
      <c r="X474" s="3"/>
      <c r="Y474" s="3"/>
      <c r="Z474" s="3"/>
      <c r="AA474" s="3"/>
      <c r="AB474" s="3"/>
      <c r="AC474" s="3"/>
      <c r="AD474" s="3"/>
      <c r="AE474" s="774"/>
      <c r="AF474" s="655"/>
    </row>
    <row r="475" spans="1:32" ht="12" customHeight="1" thickBot="1">
      <c r="A475" s="782" t="s">
        <v>16325</v>
      </c>
      <c r="B475" s="702">
        <v>18</v>
      </c>
      <c r="C475" s="702"/>
      <c r="D475" s="702" t="s">
        <v>2164</v>
      </c>
      <c r="E475" s="701">
        <f t="shared" si="7"/>
        <v>48</v>
      </c>
      <c r="F475" s="702" t="s">
        <v>5</v>
      </c>
      <c r="G475" s="702" t="s">
        <v>6067</v>
      </c>
      <c r="H475" s="720" t="s">
        <v>2165</v>
      </c>
      <c r="I475" s="702"/>
      <c r="J475" s="702"/>
      <c r="K475" s="770" t="s">
        <v>16125</v>
      </c>
      <c r="L475" s="702"/>
      <c r="M475" s="702" t="s">
        <v>25</v>
      </c>
      <c r="N475" s="721">
        <v>1</v>
      </c>
      <c r="O475" s="722">
        <v>1</v>
      </c>
      <c r="P475" s="720" t="s">
        <v>2166</v>
      </c>
      <c r="Q475" s="723">
        <v>23456</v>
      </c>
      <c r="R475" s="720" t="s">
        <v>2167</v>
      </c>
      <c r="S475" s="720" t="s">
        <v>16694</v>
      </c>
      <c r="T475" s="720"/>
      <c r="U475" s="720" t="s">
        <v>2168</v>
      </c>
      <c r="V475" s="702"/>
      <c r="W475" s="702"/>
      <c r="X475" s="702"/>
      <c r="Y475" s="702"/>
      <c r="Z475" s="702"/>
      <c r="AA475" s="702" t="s">
        <v>2168</v>
      </c>
      <c r="AB475" s="702"/>
      <c r="AC475" s="702"/>
      <c r="AD475" s="702"/>
      <c r="AE475" s="708"/>
      <c r="AF475" s="655"/>
    </row>
    <row r="476" spans="1:32" ht="12" customHeight="1">
      <c r="A476" s="745" t="s">
        <v>2169</v>
      </c>
      <c r="B476" s="696">
        <v>1</v>
      </c>
      <c r="C476" s="696"/>
      <c r="D476" s="696" t="s">
        <v>2171</v>
      </c>
      <c r="E476" s="690">
        <f t="shared" si="7"/>
        <v>53</v>
      </c>
      <c r="F476" s="696" t="s">
        <v>5</v>
      </c>
      <c r="G476" s="696" t="s">
        <v>6067</v>
      </c>
      <c r="H476" s="715" t="s">
        <v>2176</v>
      </c>
      <c r="I476" s="696"/>
      <c r="J476" s="696"/>
      <c r="K476" s="692" t="s">
        <v>16118</v>
      </c>
      <c r="L476" s="696"/>
      <c r="M476" s="696" t="s">
        <v>25</v>
      </c>
      <c r="N476" s="717">
        <v>5</v>
      </c>
      <c r="O476" s="718">
        <v>5</v>
      </c>
      <c r="P476" s="715" t="s">
        <v>2123</v>
      </c>
      <c r="Q476" s="719">
        <v>21900</v>
      </c>
      <c r="R476" s="715" t="s">
        <v>2172</v>
      </c>
      <c r="S476" s="715" t="s">
        <v>2174</v>
      </c>
      <c r="T476" s="715"/>
      <c r="U476" s="715" t="s">
        <v>2173</v>
      </c>
      <c r="V476" s="696"/>
      <c r="W476" s="696"/>
      <c r="X476" s="696"/>
      <c r="Y476" s="696"/>
      <c r="Z476" s="696" t="s">
        <v>2173</v>
      </c>
      <c r="AA476" s="696"/>
      <c r="AB476" s="696"/>
      <c r="AC476" s="696"/>
      <c r="AD476" s="696"/>
      <c r="AE476" s="697"/>
      <c r="AF476" s="655"/>
    </row>
    <row r="477" spans="1:32" ht="12" customHeight="1">
      <c r="A477" s="791" t="s">
        <v>2170</v>
      </c>
      <c r="B477" s="2">
        <v>2</v>
      </c>
      <c r="C477" s="2"/>
      <c r="D477" s="2" t="s">
        <v>2175</v>
      </c>
      <c r="E477" s="6">
        <f t="shared" si="7"/>
        <v>60</v>
      </c>
      <c r="F477" s="2" t="s">
        <v>19</v>
      </c>
      <c r="G477" s="2" t="s">
        <v>6067</v>
      </c>
      <c r="H477" s="22" t="s">
        <v>2177</v>
      </c>
      <c r="I477" s="2"/>
      <c r="J477" s="2"/>
      <c r="K477" s="8" t="s">
        <v>16118</v>
      </c>
      <c r="L477" s="2"/>
      <c r="M477" s="2" t="s">
        <v>25</v>
      </c>
      <c r="N477" s="24">
        <v>3</v>
      </c>
      <c r="O477" s="25">
        <v>3</v>
      </c>
      <c r="P477" s="22" t="s">
        <v>2123</v>
      </c>
      <c r="Q477" s="21">
        <v>19250</v>
      </c>
      <c r="R477" s="22" t="s">
        <v>2179</v>
      </c>
      <c r="S477" s="22" t="s">
        <v>2178</v>
      </c>
      <c r="T477" s="22"/>
      <c r="U477" s="22"/>
      <c r="AE477" s="698"/>
      <c r="AF477" s="655"/>
    </row>
    <row r="478" spans="1:32" ht="12" customHeight="1">
      <c r="A478" s="791" t="s">
        <v>5906</v>
      </c>
      <c r="B478" s="2">
        <v>3</v>
      </c>
      <c r="C478" s="2"/>
      <c r="D478" s="2" t="s">
        <v>5908</v>
      </c>
      <c r="E478" s="6">
        <f t="shared" si="7"/>
        <v>41</v>
      </c>
      <c r="F478" s="2" t="s">
        <v>5</v>
      </c>
      <c r="G478" s="2" t="s">
        <v>6067</v>
      </c>
      <c r="H478" s="22"/>
      <c r="I478" s="2"/>
      <c r="J478" s="2"/>
      <c r="K478" s="23" t="s">
        <v>16118</v>
      </c>
      <c r="L478" s="2"/>
      <c r="M478" s="2" t="s">
        <v>6</v>
      </c>
      <c r="N478" s="24"/>
      <c r="O478" s="25"/>
      <c r="P478" s="22" t="s">
        <v>2123</v>
      </c>
      <c r="Q478" s="21">
        <v>26138</v>
      </c>
      <c r="R478" s="22" t="s">
        <v>16342</v>
      </c>
      <c r="S478" s="22"/>
      <c r="T478" s="22"/>
      <c r="U478" s="22"/>
      <c r="AE478" s="698"/>
      <c r="AF478" s="655"/>
    </row>
    <row r="479" spans="1:32" ht="12" customHeight="1" thickBot="1">
      <c r="A479" s="746" t="s">
        <v>5907</v>
      </c>
      <c r="B479" s="702">
        <v>4</v>
      </c>
      <c r="C479" s="702"/>
      <c r="D479" s="702" t="s">
        <v>5909</v>
      </c>
      <c r="E479" s="701">
        <f t="shared" si="7"/>
        <v>38</v>
      </c>
      <c r="F479" s="702" t="s">
        <v>5</v>
      </c>
      <c r="G479" s="702" t="s">
        <v>6067</v>
      </c>
      <c r="H479" s="720"/>
      <c r="I479" s="702"/>
      <c r="J479" s="702"/>
      <c r="K479" s="704" t="s">
        <v>16118</v>
      </c>
      <c r="L479" s="702"/>
      <c r="M479" s="702" t="s">
        <v>6</v>
      </c>
      <c r="N479" s="721"/>
      <c r="O479" s="722"/>
      <c r="P479" s="720" t="s">
        <v>2123</v>
      </c>
      <c r="Q479" s="723">
        <v>27330</v>
      </c>
      <c r="R479" s="720" t="s">
        <v>16343</v>
      </c>
      <c r="S479" s="720"/>
      <c r="T479" s="720"/>
      <c r="U479" s="720"/>
      <c r="V479" s="702"/>
      <c r="W479" s="702"/>
      <c r="X479" s="702"/>
      <c r="Y479" s="702"/>
      <c r="Z479" s="702"/>
      <c r="AA479" s="702"/>
      <c r="AB479" s="702"/>
      <c r="AC479" s="702"/>
      <c r="AD479" s="702"/>
      <c r="AE479" s="708"/>
      <c r="AF479" s="655"/>
    </row>
    <row r="480" spans="1:32" ht="12" customHeight="1">
      <c r="A480" s="750" t="s">
        <v>5669</v>
      </c>
      <c r="B480" s="696">
        <v>1</v>
      </c>
      <c r="C480" s="696"/>
      <c r="D480" s="696" t="s">
        <v>2498</v>
      </c>
      <c r="E480" s="690">
        <f t="shared" si="7"/>
        <v>80</v>
      </c>
      <c r="F480" s="696" t="s">
        <v>5</v>
      </c>
      <c r="G480" s="696" t="s">
        <v>6067</v>
      </c>
      <c r="H480" s="715"/>
      <c r="I480" s="696"/>
      <c r="J480" s="696"/>
      <c r="K480" s="716" t="s">
        <v>16130</v>
      </c>
      <c r="L480" s="696" t="s">
        <v>5289</v>
      </c>
      <c r="M480" s="696" t="s">
        <v>14</v>
      </c>
      <c r="N480" s="717">
        <v>8</v>
      </c>
      <c r="O480" s="718">
        <v>13</v>
      </c>
      <c r="P480" s="715" t="s">
        <v>447</v>
      </c>
      <c r="Q480" s="719">
        <v>11962</v>
      </c>
      <c r="R480" s="715" t="s">
        <v>2499</v>
      </c>
      <c r="S480" s="715" t="s">
        <v>5403</v>
      </c>
      <c r="T480" s="715"/>
      <c r="U480" s="715" t="s">
        <v>2503</v>
      </c>
      <c r="V480" s="696"/>
      <c r="W480" s="696"/>
      <c r="X480" s="696" t="s">
        <v>2501</v>
      </c>
      <c r="Y480" s="696" t="s">
        <v>2500</v>
      </c>
      <c r="Z480" s="696"/>
      <c r="AA480" s="696" t="s">
        <v>2502</v>
      </c>
      <c r="AB480" s="696"/>
      <c r="AC480" s="696"/>
      <c r="AD480" s="696"/>
      <c r="AE480" s="697"/>
      <c r="AF480" s="655"/>
    </row>
    <row r="481" spans="1:32" ht="12" customHeight="1">
      <c r="A481" s="751" t="s">
        <v>15656</v>
      </c>
      <c r="B481" s="2">
        <v>2</v>
      </c>
      <c r="C481" s="2"/>
      <c r="D481" s="6" t="s">
        <v>16364</v>
      </c>
      <c r="E481" s="6">
        <f t="shared" si="7"/>
        <v>50</v>
      </c>
      <c r="F481" s="6" t="s">
        <v>5</v>
      </c>
      <c r="G481" s="2" t="s">
        <v>6067</v>
      </c>
      <c r="H481" s="19"/>
      <c r="I481" s="6"/>
      <c r="J481" s="19"/>
      <c r="K481" s="19" t="s">
        <v>16130</v>
      </c>
      <c r="L481" s="6" t="s">
        <v>4993</v>
      </c>
      <c r="M481" s="6" t="s">
        <v>6</v>
      </c>
      <c r="N481" s="13"/>
      <c r="O481" s="14"/>
      <c r="P481" s="12" t="s">
        <v>16365</v>
      </c>
      <c r="Q481" s="15">
        <v>22674</v>
      </c>
      <c r="R481" s="12" t="s">
        <v>16366</v>
      </c>
      <c r="S481" s="12"/>
      <c r="T481" s="12"/>
      <c r="U481" s="19"/>
      <c r="AE481" s="807"/>
      <c r="AF481" s="655"/>
    </row>
    <row r="482" spans="1:32" ht="12" customHeight="1">
      <c r="A482" s="751" t="s">
        <v>16344</v>
      </c>
      <c r="B482" s="2">
        <v>3</v>
      </c>
      <c r="C482" s="4" t="s">
        <v>4980</v>
      </c>
      <c r="D482" s="1" t="s">
        <v>4981</v>
      </c>
      <c r="E482" s="6">
        <f t="shared" si="7"/>
        <v>54</v>
      </c>
      <c r="F482" s="2" t="s">
        <v>5</v>
      </c>
      <c r="G482" s="1" t="s">
        <v>15273</v>
      </c>
      <c r="K482" s="4" t="s">
        <v>16116</v>
      </c>
      <c r="L482" s="1" t="s">
        <v>4982</v>
      </c>
      <c r="M482" s="1" t="s">
        <v>14</v>
      </c>
      <c r="N482" s="16">
        <v>1</v>
      </c>
      <c r="O482" s="17">
        <v>1</v>
      </c>
      <c r="P482" s="3" t="s">
        <v>1493</v>
      </c>
      <c r="Q482" s="21">
        <v>21193</v>
      </c>
      <c r="R482" s="3" t="s">
        <v>16662</v>
      </c>
      <c r="S482" s="3" t="s">
        <v>4986</v>
      </c>
      <c r="T482" s="3" t="s">
        <v>18564</v>
      </c>
      <c r="U482" s="3" t="s">
        <v>4984</v>
      </c>
      <c r="W482" s="2" t="s">
        <v>145</v>
      </c>
      <c r="X482" s="2" t="s">
        <v>75</v>
      </c>
      <c r="AD482" s="2" t="s">
        <v>146</v>
      </c>
      <c r="AE482" s="698"/>
      <c r="AF482" s="655"/>
    </row>
    <row r="483" spans="1:32" ht="12" customHeight="1">
      <c r="A483" s="751" t="s">
        <v>16345</v>
      </c>
      <c r="B483" s="2">
        <v>4</v>
      </c>
      <c r="C483" s="4" t="s">
        <v>1651</v>
      </c>
      <c r="D483" s="1" t="s">
        <v>5517</v>
      </c>
      <c r="E483" s="6">
        <f t="shared" si="7"/>
        <v>38</v>
      </c>
      <c r="F483" s="2" t="s">
        <v>5</v>
      </c>
      <c r="G483" s="1" t="s">
        <v>15273</v>
      </c>
      <c r="K483" s="4" t="s">
        <v>16116</v>
      </c>
      <c r="L483" s="1" t="s">
        <v>4997</v>
      </c>
      <c r="M483" s="1" t="s">
        <v>6</v>
      </c>
      <c r="P483" s="3" t="s">
        <v>5299</v>
      </c>
      <c r="Q483" s="20">
        <v>27318</v>
      </c>
      <c r="R483" s="3" t="s">
        <v>788</v>
      </c>
      <c r="AE483" s="774"/>
      <c r="AF483" s="655"/>
    </row>
    <row r="484" spans="1:32" ht="12" customHeight="1">
      <c r="A484" s="751" t="s">
        <v>16346</v>
      </c>
      <c r="B484" s="2">
        <v>4</v>
      </c>
      <c r="C484" s="4" t="s">
        <v>1674</v>
      </c>
      <c r="D484" s="1" t="s">
        <v>5768</v>
      </c>
      <c r="E484" s="6">
        <f t="shared" si="7"/>
        <v>47</v>
      </c>
      <c r="F484" s="2" t="s">
        <v>5</v>
      </c>
      <c r="G484" s="1" t="s">
        <v>15273</v>
      </c>
      <c r="K484" s="4" t="s">
        <v>16116</v>
      </c>
      <c r="L484" s="1" t="s">
        <v>276</v>
      </c>
      <c r="M484" s="1" t="s">
        <v>14</v>
      </c>
      <c r="N484" s="16">
        <v>1</v>
      </c>
      <c r="O484" s="17">
        <v>1</v>
      </c>
      <c r="P484" s="3" t="s">
        <v>172</v>
      </c>
      <c r="Q484" s="20">
        <v>23800</v>
      </c>
      <c r="R484" s="3" t="s">
        <v>5770</v>
      </c>
      <c r="U484" s="3" t="s">
        <v>104</v>
      </c>
      <c r="AB484" s="2" t="s">
        <v>104</v>
      </c>
      <c r="AE484" s="774"/>
      <c r="AF484" s="655"/>
    </row>
    <row r="485" spans="1:32" ht="12" customHeight="1">
      <c r="A485" s="751" t="s">
        <v>16347</v>
      </c>
      <c r="B485" s="2">
        <v>4</v>
      </c>
      <c r="C485" s="4" t="s">
        <v>1702</v>
      </c>
      <c r="D485" s="1" t="s">
        <v>5379</v>
      </c>
      <c r="E485" s="6">
        <f t="shared" si="7"/>
        <v>56</v>
      </c>
      <c r="F485" s="2" t="s">
        <v>5</v>
      </c>
      <c r="G485" s="1" t="s">
        <v>15273</v>
      </c>
      <c r="K485" s="4" t="s">
        <v>16116</v>
      </c>
      <c r="L485" s="1" t="s">
        <v>4993</v>
      </c>
      <c r="M485" s="1" t="s">
        <v>6</v>
      </c>
      <c r="P485" s="3" t="s">
        <v>5380</v>
      </c>
      <c r="Q485" s="21">
        <v>20791</v>
      </c>
      <c r="R485" s="3" t="s">
        <v>5381</v>
      </c>
      <c r="U485" s="3" t="s">
        <v>145</v>
      </c>
      <c r="W485" s="2" t="s">
        <v>145</v>
      </c>
      <c r="AE485" s="774"/>
      <c r="AF485" s="655"/>
    </row>
    <row r="486" spans="1:32" ht="12" customHeight="1">
      <c r="A486" s="751" t="s">
        <v>16348</v>
      </c>
      <c r="B486" s="2">
        <v>4</v>
      </c>
      <c r="C486" s="4" t="s">
        <v>1720</v>
      </c>
      <c r="D486" s="1" t="s">
        <v>5383</v>
      </c>
      <c r="E486" s="6">
        <f t="shared" si="7"/>
        <v>34</v>
      </c>
      <c r="F486" s="2" t="s">
        <v>5</v>
      </c>
      <c r="G486" s="1" t="s">
        <v>15273</v>
      </c>
      <c r="K486" s="4" t="s">
        <v>16116</v>
      </c>
      <c r="L486" s="1" t="s">
        <v>4997</v>
      </c>
      <c r="M486" s="1" t="s">
        <v>6</v>
      </c>
      <c r="P486" s="3" t="s">
        <v>6148</v>
      </c>
      <c r="Q486" s="20">
        <v>28673</v>
      </c>
      <c r="R486" s="3" t="s">
        <v>6149</v>
      </c>
      <c r="AD486" s="3"/>
      <c r="AE486" s="774"/>
      <c r="AF486" s="655"/>
    </row>
    <row r="487" spans="1:32" ht="12" customHeight="1">
      <c r="A487" s="751" t="s">
        <v>16349</v>
      </c>
      <c r="B487" s="2">
        <v>4</v>
      </c>
      <c r="C487" s="4" t="s">
        <v>1738</v>
      </c>
      <c r="D487" s="1" t="s">
        <v>5385</v>
      </c>
      <c r="E487" s="6">
        <f t="shared" si="7"/>
        <v>46</v>
      </c>
      <c r="F487" s="2" t="s">
        <v>5</v>
      </c>
      <c r="G487" s="1" t="s">
        <v>15273</v>
      </c>
      <c r="K487" s="4" t="s">
        <v>16116</v>
      </c>
      <c r="L487" s="1" t="s">
        <v>4422</v>
      </c>
      <c r="M487" s="1" t="s">
        <v>6</v>
      </c>
      <c r="P487" s="3" t="s">
        <v>182</v>
      </c>
      <c r="Q487" s="20">
        <v>24312</v>
      </c>
      <c r="R487" s="3" t="s">
        <v>5386</v>
      </c>
      <c r="U487" s="3" t="s">
        <v>145</v>
      </c>
      <c r="W487" s="2" t="s">
        <v>145</v>
      </c>
      <c r="AD487" s="3"/>
      <c r="AE487" s="774"/>
      <c r="AF487" s="655"/>
    </row>
    <row r="488" spans="1:32" ht="12" customHeight="1">
      <c r="A488" s="751" t="s">
        <v>16350</v>
      </c>
      <c r="B488" s="2">
        <v>4</v>
      </c>
      <c r="C488" s="4" t="s">
        <v>5093</v>
      </c>
      <c r="D488" s="1" t="s">
        <v>5094</v>
      </c>
      <c r="E488" s="6">
        <f t="shared" si="7"/>
        <v>45</v>
      </c>
      <c r="F488" s="2" t="s">
        <v>5</v>
      </c>
      <c r="G488" s="1" t="s">
        <v>15273</v>
      </c>
      <c r="K488" s="4" t="s">
        <v>16116</v>
      </c>
      <c r="L488" s="1" t="s">
        <v>4422</v>
      </c>
      <c r="M488" s="1" t="s">
        <v>6</v>
      </c>
      <c r="P488" s="3" t="s">
        <v>31</v>
      </c>
      <c r="Q488" s="20">
        <v>24620</v>
      </c>
      <c r="R488" s="3" t="s">
        <v>5095</v>
      </c>
      <c r="U488" s="3" t="s">
        <v>145</v>
      </c>
      <c r="W488" s="2" t="s">
        <v>145</v>
      </c>
      <c r="AD488" s="3"/>
      <c r="AE488" s="774"/>
      <c r="AF488" s="655"/>
    </row>
    <row r="489" spans="1:32" ht="12" customHeight="1">
      <c r="A489" s="751" t="s">
        <v>16351</v>
      </c>
      <c r="B489" s="2">
        <v>4</v>
      </c>
      <c r="C489" s="4" t="s">
        <v>1816</v>
      </c>
      <c r="D489" s="1" t="s">
        <v>5979</v>
      </c>
      <c r="E489" s="6">
        <f t="shared" si="7"/>
        <v>47</v>
      </c>
      <c r="F489" s="2" t="s">
        <v>5</v>
      </c>
      <c r="G489" s="1" t="s">
        <v>15273</v>
      </c>
      <c r="K489" s="4" t="s">
        <v>16116</v>
      </c>
      <c r="L489" s="1" t="s">
        <v>4997</v>
      </c>
      <c r="M489" s="1" t="s">
        <v>6</v>
      </c>
      <c r="P489" s="3" t="s">
        <v>450</v>
      </c>
      <c r="Q489" s="20">
        <v>23756</v>
      </c>
      <c r="R489" s="3" t="s">
        <v>15999</v>
      </c>
      <c r="T489" s="3" t="s">
        <v>469</v>
      </c>
      <c r="U489" s="3" t="s">
        <v>47</v>
      </c>
      <c r="V489" s="2" t="s">
        <v>47</v>
      </c>
      <c r="AB489" s="3"/>
      <c r="AC489" s="3"/>
      <c r="AD489" s="3"/>
      <c r="AE489" s="774"/>
      <c r="AF489" s="655"/>
    </row>
    <row r="490" spans="1:32" ht="12" customHeight="1">
      <c r="A490" s="751" t="s">
        <v>16352</v>
      </c>
      <c r="B490" s="2">
        <v>4</v>
      </c>
      <c r="C490" s="4" t="s">
        <v>1850</v>
      </c>
      <c r="D490" s="1" t="s">
        <v>5387</v>
      </c>
      <c r="E490" s="6">
        <f t="shared" si="7"/>
        <v>57</v>
      </c>
      <c r="F490" s="2" t="s">
        <v>5</v>
      </c>
      <c r="G490" s="1" t="s">
        <v>15273</v>
      </c>
      <c r="K490" s="4" t="s">
        <v>16116</v>
      </c>
      <c r="L490" s="1" t="s">
        <v>4422</v>
      </c>
      <c r="M490" s="1" t="s">
        <v>25</v>
      </c>
      <c r="N490" s="16">
        <v>1</v>
      </c>
      <c r="O490" s="17">
        <v>1</v>
      </c>
      <c r="P490" s="3" t="s">
        <v>1223</v>
      </c>
      <c r="Q490" s="21">
        <v>20133</v>
      </c>
      <c r="R490" s="3" t="s">
        <v>5388</v>
      </c>
      <c r="U490" s="3" t="s">
        <v>145</v>
      </c>
      <c r="W490" s="2" t="s">
        <v>145</v>
      </c>
      <c r="AC490" s="3"/>
      <c r="AD490" s="3"/>
      <c r="AE490" s="774"/>
      <c r="AF490" s="655"/>
    </row>
    <row r="491" spans="1:32" ht="12" customHeight="1">
      <c r="A491" s="751" t="s">
        <v>16353</v>
      </c>
      <c r="B491" s="2">
        <v>4</v>
      </c>
      <c r="C491" s="4" t="s">
        <v>1862</v>
      </c>
      <c r="D491" s="1" t="s">
        <v>5941</v>
      </c>
      <c r="E491" s="6">
        <f t="shared" si="7"/>
        <v>50</v>
      </c>
      <c r="F491" s="2" t="s">
        <v>5</v>
      </c>
      <c r="G491" s="1" t="s">
        <v>15273</v>
      </c>
      <c r="K491" s="4" t="s">
        <v>16116</v>
      </c>
      <c r="L491" s="1" t="s">
        <v>4997</v>
      </c>
      <c r="M491" s="1" t="s">
        <v>6</v>
      </c>
      <c r="P491" s="3" t="s">
        <v>5944</v>
      </c>
      <c r="Q491" s="21">
        <v>22981</v>
      </c>
      <c r="R491" s="3" t="s">
        <v>3358</v>
      </c>
      <c r="T491" s="3" t="s">
        <v>469</v>
      </c>
      <c r="U491" s="3" t="s">
        <v>155</v>
      </c>
      <c r="Z491" s="2" t="s">
        <v>155</v>
      </c>
      <c r="AC491" s="3"/>
      <c r="AD491" s="3"/>
      <c r="AE491" s="774"/>
      <c r="AF491" s="655"/>
    </row>
    <row r="492" spans="1:32" ht="12" customHeight="1">
      <c r="A492" s="751" t="s">
        <v>16354</v>
      </c>
      <c r="B492" s="2">
        <v>4</v>
      </c>
      <c r="C492" s="4" t="s">
        <v>1897</v>
      </c>
      <c r="D492" s="1" t="s">
        <v>1909</v>
      </c>
      <c r="E492" s="6">
        <f t="shared" si="7"/>
        <v>63</v>
      </c>
      <c r="F492" s="2" t="s">
        <v>5</v>
      </c>
      <c r="G492" s="1" t="s">
        <v>15273</v>
      </c>
      <c r="H492" s="3" t="s">
        <v>1910</v>
      </c>
      <c r="K492" s="4" t="s">
        <v>16116</v>
      </c>
      <c r="L492" s="1" t="s">
        <v>4993</v>
      </c>
      <c r="M492" s="1" t="s">
        <v>25</v>
      </c>
      <c r="N492" s="16">
        <v>3</v>
      </c>
      <c r="O492" s="17">
        <v>3</v>
      </c>
      <c r="P492" s="3" t="s">
        <v>188</v>
      </c>
      <c r="Q492" s="20">
        <v>18000</v>
      </c>
      <c r="R492" s="3" t="s">
        <v>1911</v>
      </c>
      <c r="S492" s="3" t="s">
        <v>1912</v>
      </c>
      <c r="U492" s="3" t="s">
        <v>145</v>
      </c>
      <c r="W492" s="2" t="s">
        <v>145</v>
      </c>
      <c r="AE492" s="698"/>
      <c r="AF492" s="655"/>
    </row>
    <row r="493" spans="1:32" ht="12" customHeight="1">
      <c r="A493" s="751" t="s">
        <v>16355</v>
      </c>
      <c r="B493" s="2">
        <v>4</v>
      </c>
      <c r="C493" s="4" t="s">
        <v>1915</v>
      </c>
      <c r="D493" s="1" t="s">
        <v>5010</v>
      </c>
      <c r="E493" s="6">
        <f t="shared" si="7"/>
        <v>39</v>
      </c>
      <c r="F493" s="2" t="s">
        <v>5</v>
      </c>
      <c r="G493" s="1" t="s">
        <v>15273</v>
      </c>
      <c r="K493" s="4" t="s">
        <v>16116</v>
      </c>
      <c r="L493" s="1" t="s">
        <v>4422</v>
      </c>
      <c r="M493" s="1" t="s">
        <v>6</v>
      </c>
      <c r="P493" s="3" t="s">
        <v>188</v>
      </c>
      <c r="Q493" s="21">
        <v>26688</v>
      </c>
      <c r="R493" s="3" t="s">
        <v>5011</v>
      </c>
      <c r="T493" s="3" t="s">
        <v>469</v>
      </c>
      <c r="AE493" s="698"/>
      <c r="AF493" s="655"/>
    </row>
    <row r="494" spans="1:32" ht="12" customHeight="1">
      <c r="A494" s="751" t="s">
        <v>16356</v>
      </c>
      <c r="B494" s="2">
        <v>4</v>
      </c>
      <c r="C494" s="4" t="s">
        <v>1933</v>
      </c>
      <c r="D494" s="1" t="s">
        <v>5391</v>
      </c>
      <c r="E494" s="6">
        <f t="shared" si="7"/>
        <v>45</v>
      </c>
      <c r="F494" s="2" t="s">
        <v>5</v>
      </c>
      <c r="G494" s="1" t="s">
        <v>15273</v>
      </c>
      <c r="K494" s="4" t="s">
        <v>16116</v>
      </c>
      <c r="L494" s="1" t="s">
        <v>4993</v>
      </c>
      <c r="M494" s="1" t="s">
        <v>6</v>
      </c>
      <c r="P494" s="3" t="s">
        <v>16007</v>
      </c>
      <c r="Q494" s="21">
        <v>24478</v>
      </c>
      <c r="R494" s="3" t="s">
        <v>16363</v>
      </c>
      <c r="AE494" s="698"/>
      <c r="AF494" s="655"/>
    </row>
    <row r="495" spans="1:32" ht="12" customHeight="1">
      <c r="A495" s="751" t="s">
        <v>16357</v>
      </c>
      <c r="B495" s="2">
        <v>4</v>
      </c>
      <c r="C495" s="4" t="s">
        <v>1967</v>
      </c>
      <c r="D495" s="1" t="s">
        <v>5393</v>
      </c>
      <c r="E495" s="6">
        <f t="shared" si="7"/>
        <v>39</v>
      </c>
      <c r="F495" s="2" t="s">
        <v>5</v>
      </c>
      <c r="G495" s="1" t="s">
        <v>15273</v>
      </c>
      <c r="K495" s="4" t="s">
        <v>16116</v>
      </c>
      <c r="L495" s="1" t="s">
        <v>276</v>
      </c>
      <c r="M495" s="1" t="s">
        <v>6</v>
      </c>
      <c r="P495" s="3" t="s">
        <v>188</v>
      </c>
      <c r="Q495" s="20">
        <v>26903</v>
      </c>
      <c r="R495" s="3" t="s">
        <v>5394</v>
      </c>
      <c r="U495" s="3" t="s">
        <v>145</v>
      </c>
      <c r="W495" s="2" t="s">
        <v>145</v>
      </c>
      <c r="AE495" s="698"/>
      <c r="AF495" s="655"/>
    </row>
    <row r="496" spans="1:32" ht="12" customHeight="1">
      <c r="A496" s="751" t="s">
        <v>16358</v>
      </c>
      <c r="B496" s="2">
        <v>4</v>
      </c>
      <c r="C496" s="4" t="s">
        <v>5395</v>
      </c>
      <c r="D496" s="1" t="s">
        <v>5396</v>
      </c>
      <c r="E496" s="6">
        <f t="shared" si="7"/>
        <v>30</v>
      </c>
      <c r="F496" s="2" t="s">
        <v>19</v>
      </c>
      <c r="G496" s="1" t="s">
        <v>15273</v>
      </c>
      <c r="K496" s="4" t="s">
        <v>16116</v>
      </c>
      <c r="L496" s="1" t="s">
        <v>4997</v>
      </c>
      <c r="M496" s="1" t="s">
        <v>6</v>
      </c>
      <c r="P496" s="3" t="s">
        <v>5397</v>
      </c>
      <c r="Q496" s="20">
        <v>30187</v>
      </c>
      <c r="R496" s="3" t="s">
        <v>5398</v>
      </c>
      <c r="U496" s="3" t="s">
        <v>85</v>
      </c>
      <c r="AA496" s="2" t="s">
        <v>85</v>
      </c>
      <c r="AE496" s="698"/>
      <c r="AF496" s="655"/>
    </row>
    <row r="497" spans="1:32" ht="12" customHeight="1">
      <c r="A497" s="751" t="s">
        <v>16359</v>
      </c>
      <c r="B497" s="2">
        <v>4</v>
      </c>
      <c r="C497" s="4" t="s">
        <v>1991</v>
      </c>
      <c r="D497" s="1" t="s">
        <v>5400</v>
      </c>
      <c r="E497" s="6">
        <f t="shared" si="7"/>
        <v>39</v>
      </c>
      <c r="F497" s="2" t="s">
        <v>5</v>
      </c>
      <c r="G497" s="1" t="s">
        <v>15273</v>
      </c>
      <c r="K497" s="4" t="s">
        <v>16116</v>
      </c>
      <c r="L497" s="1" t="s">
        <v>4993</v>
      </c>
      <c r="M497" s="1" t="s">
        <v>6</v>
      </c>
      <c r="P497" s="3" t="s">
        <v>5401</v>
      </c>
      <c r="Q497" s="21">
        <v>26710</v>
      </c>
      <c r="R497" s="3" t="s">
        <v>18244</v>
      </c>
      <c r="AE497" s="698"/>
      <c r="AF497" s="655"/>
    </row>
    <row r="498" spans="1:32" ht="12" customHeight="1">
      <c r="A498" s="751" t="s">
        <v>16360</v>
      </c>
      <c r="B498" s="2">
        <v>4</v>
      </c>
      <c r="C498" s="4" t="s">
        <v>2015</v>
      </c>
      <c r="D498" s="1" t="s">
        <v>5012</v>
      </c>
      <c r="E498" s="6">
        <f t="shared" si="7"/>
        <v>33</v>
      </c>
      <c r="F498" s="2" t="s">
        <v>5</v>
      </c>
      <c r="G498" s="1" t="s">
        <v>15273</v>
      </c>
      <c r="K498" s="4" t="s">
        <v>16116</v>
      </c>
      <c r="L498" s="1" t="s">
        <v>4997</v>
      </c>
      <c r="M498" s="1" t="s">
        <v>6</v>
      </c>
      <c r="P498" s="3" t="s">
        <v>381</v>
      </c>
      <c r="Q498" s="20">
        <v>29072</v>
      </c>
      <c r="R498" s="3" t="s">
        <v>5014</v>
      </c>
      <c r="U498" s="3" t="s">
        <v>104</v>
      </c>
      <c r="AB498" s="2" t="s">
        <v>104</v>
      </c>
      <c r="AE498" s="698"/>
      <c r="AF498" s="655"/>
    </row>
    <row r="499" spans="1:32" ht="12" customHeight="1">
      <c r="A499" s="751" t="s">
        <v>16361</v>
      </c>
      <c r="B499" s="2">
        <v>4</v>
      </c>
      <c r="C499" s="4" t="s">
        <v>2032</v>
      </c>
      <c r="D499" s="1" t="s">
        <v>5775</v>
      </c>
      <c r="E499" s="6">
        <f t="shared" si="7"/>
        <v>37</v>
      </c>
      <c r="F499" s="2" t="s">
        <v>5</v>
      </c>
      <c r="G499" s="1" t="s">
        <v>15273</v>
      </c>
      <c r="K499" s="4" t="s">
        <v>16116</v>
      </c>
      <c r="L499" s="1" t="s">
        <v>4993</v>
      </c>
      <c r="M499" s="1" t="s">
        <v>6</v>
      </c>
      <c r="P499" s="3" t="s">
        <v>5776</v>
      </c>
      <c r="Q499" s="20">
        <v>27555</v>
      </c>
      <c r="R499" s="3" t="s">
        <v>16284</v>
      </c>
      <c r="AE499" s="698"/>
      <c r="AF499" s="655"/>
    </row>
    <row r="500" spans="1:32" ht="12" customHeight="1">
      <c r="A500" s="751" t="s">
        <v>16362</v>
      </c>
      <c r="B500" s="2">
        <v>4</v>
      </c>
      <c r="C500" s="4" t="s">
        <v>5777</v>
      </c>
      <c r="D500" s="1" t="s">
        <v>5778</v>
      </c>
      <c r="E500" s="6">
        <f t="shared" si="7"/>
        <v>34</v>
      </c>
      <c r="F500" s="2" t="s">
        <v>5</v>
      </c>
      <c r="G500" s="1" t="s">
        <v>15273</v>
      </c>
      <c r="K500" s="4" t="s">
        <v>16116</v>
      </c>
      <c r="L500" s="1" t="s">
        <v>4997</v>
      </c>
      <c r="M500" s="1" t="s">
        <v>6</v>
      </c>
      <c r="P500" s="3" t="s">
        <v>5048</v>
      </c>
      <c r="Q500" s="20">
        <v>28485</v>
      </c>
      <c r="R500" s="3" t="s">
        <v>16304</v>
      </c>
      <c r="X500" s="3"/>
      <c r="Y500" s="3"/>
      <c r="Z500" s="3"/>
      <c r="AA500" s="3"/>
      <c r="AB500" s="3"/>
      <c r="AC500" s="3"/>
      <c r="AD500" s="3"/>
      <c r="AE500" s="774"/>
      <c r="AF500" s="655"/>
    </row>
    <row r="501" spans="1:32" ht="12" customHeight="1" thickBot="1">
      <c r="A501" s="752" t="s">
        <v>15657</v>
      </c>
      <c r="B501" s="702">
        <v>22</v>
      </c>
      <c r="C501" s="702"/>
      <c r="D501" s="701" t="s">
        <v>6009</v>
      </c>
      <c r="E501" s="701">
        <f t="shared" si="7"/>
        <v>48</v>
      </c>
      <c r="F501" s="701" t="s">
        <v>5</v>
      </c>
      <c r="G501" s="702" t="s">
        <v>6067</v>
      </c>
      <c r="H501" s="741"/>
      <c r="I501" s="701"/>
      <c r="J501" s="741"/>
      <c r="K501" s="741" t="s">
        <v>16130</v>
      </c>
      <c r="L501" s="701" t="s">
        <v>6010</v>
      </c>
      <c r="M501" s="701" t="s">
        <v>6</v>
      </c>
      <c r="N501" s="742"/>
      <c r="O501" s="743"/>
      <c r="P501" s="740" t="s">
        <v>16367</v>
      </c>
      <c r="Q501" s="744">
        <v>23471</v>
      </c>
      <c r="R501" s="740" t="s">
        <v>16405</v>
      </c>
      <c r="S501" s="740"/>
      <c r="T501" s="740"/>
      <c r="U501" s="741"/>
      <c r="V501" s="702"/>
      <c r="W501" s="702"/>
      <c r="X501" s="702"/>
      <c r="Y501" s="702"/>
      <c r="Z501" s="702"/>
      <c r="AA501" s="702"/>
      <c r="AB501" s="702"/>
      <c r="AC501" s="702"/>
      <c r="AD501" s="702"/>
      <c r="AE501" s="792"/>
      <c r="AF501" s="655"/>
    </row>
    <row r="502" spans="1:32" ht="12" customHeight="1">
      <c r="A502" s="757" t="s">
        <v>16369</v>
      </c>
      <c r="B502" s="696">
        <v>1</v>
      </c>
      <c r="C502" s="688" t="s">
        <v>1652</v>
      </c>
      <c r="D502" s="687" t="s">
        <v>1664</v>
      </c>
      <c r="E502" s="690">
        <f t="shared" si="7"/>
        <v>42</v>
      </c>
      <c r="F502" s="696" t="s">
        <v>5</v>
      </c>
      <c r="G502" s="687" t="s">
        <v>15273</v>
      </c>
      <c r="H502" s="747"/>
      <c r="I502" s="687"/>
      <c r="J502" s="687"/>
      <c r="K502" s="688" t="s">
        <v>16128</v>
      </c>
      <c r="L502" s="687"/>
      <c r="M502" s="687" t="s">
        <v>6</v>
      </c>
      <c r="N502" s="748"/>
      <c r="O502" s="749"/>
      <c r="P502" s="747" t="s">
        <v>188</v>
      </c>
      <c r="Q502" s="773">
        <v>25584</v>
      </c>
      <c r="R502" s="747" t="s">
        <v>1666</v>
      </c>
      <c r="S502" s="747"/>
      <c r="T502" s="747"/>
      <c r="U502" s="747" t="s">
        <v>145</v>
      </c>
      <c r="V502" s="696"/>
      <c r="W502" s="696" t="s">
        <v>145</v>
      </c>
      <c r="X502" s="696"/>
      <c r="Y502" s="696"/>
      <c r="Z502" s="696"/>
      <c r="AA502" s="696"/>
      <c r="AB502" s="696"/>
      <c r="AC502" s="696"/>
      <c r="AD502" s="696"/>
      <c r="AE502" s="805"/>
      <c r="AF502" s="655"/>
    </row>
    <row r="503" spans="1:32" ht="12" customHeight="1">
      <c r="A503" s="758" t="s">
        <v>16370</v>
      </c>
      <c r="B503" s="2">
        <v>1</v>
      </c>
      <c r="C503" s="4" t="s">
        <v>1675</v>
      </c>
      <c r="D503" s="1" t="s">
        <v>1684</v>
      </c>
      <c r="E503" s="6">
        <f t="shared" si="7"/>
        <v>49</v>
      </c>
      <c r="F503" s="2" t="s">
        <v>5</v>
      </c>
      <c r="G503" s="1" t="s">
        <v>15273</v>
      </c>
      <c r="K503" s="8" t="s">
        <v>16128</v>
      </c>
      <c r="M503" s="1" t="s">
        <v>6</v>
      </c>
      <c r="P503" s="3" t="s">
        <v>317</v>
      </c>
      <c r="Q503" s="20">
        <v>23167</v>
      </c>
      <c r="R503" s="3" t="s">
        <v>1685</v>
      </c>
      <c r="AE503" s="774"/>
      <c r="AF503" s="655"/>
    </row>
    <row r="504" spans="1:32" ht="12" customHeight="1">
      <c r="A504" s="758" t="s">
        <v>16371</v>
      </c>
      <c r="B504" s="2">
        <v>1</v>
      </c>
      <c r="C504" s="4" t="s">
        <v>1703</v>
      </c>
      <c r="D504" s="1" t="s">
        <v>1713</v>
      </c>
      <c r="E504" s="6">
        <f t="shared" si="7"/>
        <v>55</v>
      </c>
      <c r="F504" s="2" t="s">
        <v>5</v>
      </c>
      <c r="G504" s="1" t="s">
        <v>15273</v>
      </c>
      <c r="K504" s="4" t="s">
        <v>16128</v>
      </c>
      <c r="M504" s="1" t="s">
        <v>6</v>
      </c>
      <c r="P504" s="3" t="s">
        <v>188</v>
      </c>
      <c r="Q504" s="20">
        <v>21028</v>
      </c>
      <c r="R504" s="3" t="s">
        <v>1714</v>
      </c>
      <c r="AE504" s="774"/>
      <c r="AF504" s="655"/>
    </row>
    <row r="505" spans="1:32" ht="12" customHeight="1">
      <c r="A505" s="758" t="s">
        <v>16372</v>
      </c>
      <c r="B505" s="2">
        <v>1</v>
      </c>
      <c r="C505" s="4" t="s">
        <v>1721</v>
      </c>
      <c r="D505" s="1" t="s">
        <v>1730</v>
      </c>
      <c r="E505" s="6">
        <f t="shared" si="7"/>
        <v>36</v>
      </c>
      <c r="F505" s="2" t="s">
        <v>5</v>
      </c>
      <c r="G505" s="1" t="s">
        <v>15273</v>
      </c>
      <c r="K505" s="4" t="s">
        <v>16128</v>
      </c>
      <c r="M505" s="1" t="s">
        <v>6</v>
      </c>
      <c r="P505" s="3" t="s">
        <v>317</v>
      </c>
      <c r="Q505" s="20">
        <v>27939</v>
      </c>
      <c r="R505" s="3" t="s">
        <v>727</v>
      </c>
      <c r="U505" s="3" t="s">
        <v>147</v>
      </c>
      <c r="AC505" s="2" t="s">
        <v>147</v>
      </c>
      <c r="AD505" s="3"/>
      <c r="AE505" s="774"/>
      <c r="AF505" s="655"/>
    </row>
    <row r="506" spans="1:32" ht="12" customHeight="1">
      <c r="A506" s="758" t="s">
        <v>16373</v>
      </c>
      <c r="B506" s="2">
        <v>1</v>
      </c>
      <c r="C506" s="4" t="s">
        <v>1739</v>
      </c>
      <c r="D506" s="1" t="s">
        <v>1753</v>
      </c>
      <c r="E506" s="6">
        <f t="shared" si="7"/>
        <v>33</v>
      </c>
      <c r="F506" s="2" t="s">
        <v>5</v>
      </c>
      <c r="G506" s="1" t="s">
        <v>15273</v>
      </c>
      <c r="K506" s="4" t="s">
        <v>16128</v>
      </c>
      <c r="M506" s="1" t="s">
        <v>6</v>
      </c>
      <c r="P506" s="3" t="s">
        <v>31</v>
      </c>
      <c r="Q506" s="20">
        <v>29084</v>
      </c>
      <c r="R506" s="3" t="s">
        <v>1754</v>
      </c>
      <c r="AD506" s="3"/>
      <c r="AE506" s="774"/>
      <c r="AF506" s="655"/>
    </row>
    <row r="507" spans="1:32" ht="12" customHeight="1">
      <c r="A507" s="758" t="s">
        <v>16374</v>
      </c>
      <c r="B507" s="2">
        <v>1</v>
      </c>
      <c r="C507" s="4" t="s">
        <v>1876</v>
      </c>
      <c r="D507" s="1" t="s">
        <v>1889</v>
      </c>
      <c r="E507" s="6">
        <f t="shared" si="7"/>
        <v>41</v>
      </c>
      <c r="F507" s="2" t="s">
        <v>5</v>
      </c>
      <c r="G507" s="1" t="s">
        <v>15273</v>
      </c>
      <c r="H507" s="3" t="s">
        <v>1890</v>
      </c>
      <c r="K507" s="4" t="s">
        <v>16128</v>
      </c>
      <c r="M507" s="1" t="s">
        <v>25</v>
      </c>
      <c r="N507" s="16">
        <v>1</v>
      </c>
      <c r="O507" s="17">
        <v>1</v>
      </c>
      <c r="P507" s="3" t="s">
        <v>317</v>
      </c>
      <c r="Q507" s="20">
        <v>25954</v>
      </c>
      <c r="R507" s="3" t="s">
        <v>1891</v>
      </c>
      <c r="T507" s="3" t="s">
        <v>6031</v>
      </c>
      <c r="U507" s="3" t="s">
        <v>1892</v>
      </c>
      <c r="W507" s="2" t="s">
        <v>145</v>
      </c>
      <c r="Z507" s="2" t="s">
        <v>155</v>
      </c>
      <c r="AB507" s="2" t="s">
        <v>104</v>
      </c>
      <c r="AC507" s="3"/>
      <c r="AD507" s="3"/>
      <c r="AE507" s="774"/>
      <c r="AF507" s="655"/>
    </row>
    <row r="508" spans="1:32" ht="12" customHeight="1">
      <c r="A508" s="758" t="s">
        <v>16375</v>
      </c>
      <c r="B508" s="2">
        <v>1</v>
      </c>
      <c r="C508" s="4" t="s">
        <v>1898</v>
      </c>
      <c r="D508" s="1" t="s">
        <v>1906</v>
      </c>
      <c r="E508" s="6">
        <f t="shared" si="7"/>
        <v>47</v>
      </c>
      <c r="F508" s="2" t="s">
        <v>19</v>
      </c>
      <c r="G508" s="1" t="s">
        <v>15273</v>
      </c>
      <c r="K508" s="4" t="s">
        <v>16128</v>
      </c>
      <c r="M508" s="1" t="s">
        <v>6</v>
      </c>
      <c r="P508" s="3" t="s">
        <v>1907</v>
      </c>
      <c r="Q508" s="20">
        <v>23883</v>
      </c>
      <c r="R508" s="3" t="s">
        <v>1908</v>
      </c>
      <c r="U508" s="3" t="s">
        <v>145</v>
      </c>
      <c r="W508" s="2" t="s">
        <v>145</v>
      </c>
      <c r="AE508" s="698"/>
      <c r="AF508" s="655"/>
    </row>
    <row r="509" spans="1:32" ht="12" customHeight="1">
      <c r="A509" s="758" t="s">
        <v>16376</v>
      </c>
      <c r="B509" s="2">
        <v>1</v>
      </c>
      <c r="C509" s="4" t="s">
        <v>1992</v>
      </c>
      <c r="D509" s="1" t="s">
        <v>2007</v>
      </c>
      <c r="E509" s="6">
        <f t="shared" si="7"/>
        <v>39</v>
      </c>
      <c r="F509" s="2" t="s">
        <v>5</v>
      </c>
      <c r="G509" s="1" t="s">
        <v>15273</v>
      </c>
      <c r="K509" s="8" t="s">
        <v>16128</v>
      </c>
      <c r="M509" s="1" t="s">
        <v>6</v>
      </c>
      <c r="P509" s="3" t="s">
        <v>255</v>
      </c>
      <c r="Q509" s="20">
        <v>26687</v>
      </c>
      <c r="R509" s="3" t="s">
        <v>2009</v>
      </c>
      <c r="AE509" s="698"/>
      <c r="AF509" s="655"/>
    </row>
    <row r="510" spans="1:32" ht="12" customHeight="1">
      <c r="A510" s="758" t="s">
        <v>16377</v>
      </c>
      <c r="B510" s="2">
        <v>1</v>
      </c>
      <c r="C510" s="4" t="s">
        <v>2016</v>
      </c>
      <c r="D510" s="1" t="s">
        <v>2027</v>
      </c>
      <c r="E510" s="6">
        <f t="shared" si="7"/>
        <v>31</v>
      </c>
      <c r="F510" s="2" t="s">
        <v>5</v>
      </c>
      <c r="G510" s="1" t="s">
        <v>15273</v>
      </c>
      <c r="K510" s="4" t="s">
        <v>16128</v>
      </c>
      <c r="M510" s="1" t="s">
        <v>6</v>
      </c>
      <c r="P510" s="3" t="s">
        <v>123</v>
      </c>
      <c r="Q510" s="20">
        <v>29858</v>
      </c>
      <c r="R510" s="3" t="s">
        <v>2028</v>
      </c>
      <c r="U510" s="3" t="s">
        <v>145</v>
      </c>
      <c r="W510" s="2" t="s">
        <v>145</v>
      </c>
      <c r="AE510" s="698"/>
      <c r="AF510" s="655"/>
    </row>
    <row r="511" spans="1:32" ht="12" customHeight="1" thickBot="1">
      <c r="A511" s="759" t="s">
        <v>16378</v>
      </c>
      <c r="B511" s="702">
        <v>1</v>
      </c>
      <c r="C511" s="700" t="s">
        <v>2033</v>
      </c>
      <c r="D511" s="699" t="s">
        <v>2048</v>
      </c>
      <c r="E511" s="701">
        <f t="shared" si="7"/>
        <v>40</v>
      </c>
      <c r="F511" s="702" t="s">
        <v>5</v>
      </c>
      <c r="G511" s="699" t="s">
        <v>15273</v>
      </c>
      <c r="H511" s="703"/>
      <c r="I511" s="699"/>
      <c r="J511" s="699"/>
      <c r="K511" s="700" t="s">
        <v>16128</v>
      </c>
      <c r="L511" s="699"/>
      <c r="M511" s="699" t="s">
        <v>6</v>
      </c>
      <c r="N511" s="705"/>
      <c r="O511" s="706"/>
      <c r="P511" s="703" t="s">
        <v>557</v>
      </c>
      <c r="Q511" s="707">
        <v>26446</v>
      </c>
      <c r="R511" s="703" t="s">
        <v>2049</v>
      </c>
      <c r="S511" s="703"/>
      <c r="T511" s="703"/>
      <c r="U511" s="703" t="s">
        <v>145</v>
      </c>
      <c r="V511" s="702"/>
      <c r="W511" s="702" t="s">
        <v>145</v>
      </c>
      <c r="X511" s="703"/>
      <c r="Y511" s="703"/>
      <c r="Z511" s="703"/>
      <c r="AA511" s="703"/>
      <c r="AB511" s="703"/>
      <c r="AC511" s="703"/>
      <c r="AD511" s="703"/>
      <c r="AE511" s="793"/>
      <c r="AF511" s="655"/>
    </row>
    <row r="512" spans="1:32" ht="12" customHeight="1">
      <c r="A512" s="760" t="s">
        <v>5666</v>
      </c>
      <c r="B512" s="696">
        <v>1</v>
      </c>
      <c r="C512" s="696"/>
      <c r="D512" s="696" t="s">
        <v>2180</v>
      </c>
      <c r="E512" s="690">
        <f t="shared" si="7"/>
        <v>60</v>
      </c>
      <c r="F512" s="696" t="s">
        <v>5</v>
      </c>
      <c r="G512" s="696" t="s">
        <v>6067</v>
      </c>
      <c r="H512" s="715" t="s">
        <v>2181</v>
      </c>
      <c r="I512" s="696"/>
      <c r="J512" s="696"/>
      <c r="K512" s="716" t="s">
        <v>16117</v>
      </c>
      <c r="L512" s="696"/>
      <c r="M512" s="696" t="s">
        <v>25</v>
      </c>
      <c r="N512" s="717">
        <v>2</v>
      </c>
      <c r="O512" s="718">
        <v>4</v>
      </c>
      <c r="P512" s="715" t="s">
        <v>2118</v>
      </c>
      <c r="Q512" s="719">
        <v>19282</v>
      </c>
      <c r="R512" s="715" t="s">
        <v>2183</v>
      </c>
      <c r="S512" s="715" t="s">
        <v>2182</v>
      </c>
      <c r="T512" s="715"/>
      <c r="U512" s="715" t="s">
        <v>2135</v>
      </c>
      <c r="V512" s="696"/>
      <c r="W512" s="696"/>
      <c r="X512" s="696"/>
      <c r="Y512" s="696" t="s">
        <v>2135</v>
      </c>
      <c r="Z512" s="696"/>
      <c r="AA512" s="696"/>
      <c r="AB512" s="696"/>
      <c r="AC512" s="696"/>
      <c r="AD512" s="696"/>
      <c r="AE512" s="697"/>
      <c r="AF512" s="655"/>
    </row>
    <row r="513" spans="1:32" ht="12" customHeight="1">
      <c r="A513" s="806" t="s">
        <v>5667</v>
      </c>
      <c r="B513" s="2">
        <v>2</v>
      </c>
      <c r="C513" s="2"/>
      <c r="D513" s="6" t="s">
        <v>2184</v>
      </c>
      <c r="E513" s="6">
        <f t="shared" si="7"/>
        <v>40</v>
      </c>
      <c r="F513" s="6" t="s">
        <v>5</v>
      </c>
      <c r="G513" s="2" t="s">
        <v>6067</v>
      </c>
      <c r="H513" s="12"/>
      <c r="I513" s="6"/>
      <c r="J513" s="19"/>
      <c r="K513" s="8" t="s">
        <v>16117</v>
      </c>
      <c r="L513" s="6"/>
      <c r="M513" s="6" t="s">
        <v>6</v>
      </c>
      <c r="N513" s="13"/>
      <c r="O513" s="14"/>
      <c r="P513" s="12" t="s">
        <v>2118</v>
      </c>
      <c r="Q513" s="15">
        <v>26320</v>
      </c>
      <c r="R513" s="12" t="s">
        <v>2185</v>
      </c>
      <c r="S513" s="22"/>
      <c r="T513" s="22"/>
      <c r="U513" s="22"/>
      <c r="AE513" s="698"/>
      <c r="AF513" s="655"/>
    </row>
    <row r="514" spans="1:32" ht="12" customHeight="1">
      <c r="A514" s="806" t="s">
        <v>5668</v>
      </c>
      <c r="B514" s="2">
        <v>3</v>
      </c>
      <c r="C514" s="4" t="s">
        <v>1829</v>
      </c>
      <c r="D514" s="1" t="s">
        <v>1842</v>
      </c>
      <c r="E514" s="6">
        <f t="shared" ref="E514:E577" si="8">DATEDIF(Q514,$Q$1119,"Y")</f>
        <v>30</v>
      </c>
      <c r="F514" s="2" t="s">
        <v>19</v>
      </c>
      <c r="G514" s="1" t="s">
        <v>15273</v>
      </c>
      <c r="K514" s="4" t="s">
        <v>16117</v>
      </c>
      <c r="M514" s="1" t="s">
        <v>6</v>
      </c>
      <c r="P514" s="3" t="s">
        <v>381</v>
      </c>
      <c r="Q514" s="20">
        <v>30209</v>
      </c>
      <c r="R514" s="3" t="s">
        <v>1843</v>
      </c>
      <c r="S514" s="22"/>
      <c r="T514" s="22"/>
      <c r="U514" s="22"/>
      <c r="AE514" s="698"/>
      <c r="AF514" s="655"/>
    </row>
    <row r="515" spans="1:32" ht="12" customHeight="1" thickBot="1">
      <c r="A515" s="761" t="s">
        <v>16368</v>
      </c>
      <c r="B515" s="702">
        <v>4</v>
      </c>
      <c r="C515" s="702"/>
      <c r="D515" s="701" t="s">
        <v>5485</v>
      </c>
      <c r="E515" s="701">
        <f t="shared" si="8"/>
        <v>28</v>
      </c>
      <c r="F515" s="701" t="s">
        <v>19</v>
      </c>
      <c r="G515" s="702" t="s">
        <v>6067</v>
      </c>
      <c r="H515" s="740"/>
      <c r="I515" s="701"/>
      <c r="J515" s="741"/>
      <c r="K515" s="770" t="s">
        <v>16117</v>
      </c>
      <c r="L515" s="701"/>
      <c r="M515" s="701" t="s">
        <v>6</v>
      </c>
      <c r="N515" s="742"/>
      <c r="O515" s="743"/>
      <c r="P515" s="740" t="s">
        <v>182</v>
      </c>
      <c r="Q515" s="744">
        <v>30800</v>
      </c>
      <c r="R515" s="740" t="s">
        <v>16379</v>
      </c>
      <c r="S515" s="720"/>
      <c r="T515" s="720"/>
      <c r="U515" s="720"/>
      <c r="V515" s="702"/>
      <c r="W515" s="702"/>
      <c r="X515" s="702"/>
      <c r="Y515" s="702"/>
      <c r="Z515" s="702"/>
      <c r="AA515" s="702"/>
      <c r="AB515" s="702"/>
      <c r="AC515" s="702"/>
      <c r="AD515" s="702"/>
      <c r="AE515" s="708"/>
      <c r="AF515" s="655"/>
    </row>
    <row r="516" spans="1:32" ht="12" customHeight="1" thickBot="1">
      <c r="A516" s="813" t="s">
        <v>5952</v>
      </c>
      <c r="B516" s="660">
        <v>1</v>
      </c>
      <c r="C516" s="660"/>
      <c r="D516" s="728" t="s">
        <v>5953</v>
      </c>
      <c r="E516" s="728">
        <f t="shared" si="8"/>
        <v>44</v>
      </c>
      <c r="F516" s="728" t="s">
        <v>5</v>
      </c>
      <c r="G516" s="660" t="s">
        <v>6067</v>
      </c>
      <c r="H516" s="808"/>
      <c r="I516" s="728"/>
      <c r="J516" s="809"/>
      <c r="K516" s="762" t="s">
        <v>16121</v>
      </c>
      <c r="L516" s="728"/>
      <c r="M516" s="728" t="s">
        <v>6</v>
      </c>
      <c r="N516" s="810"/>
      <c r="O516" s="811"/>
      <c r="P516" s="808" t="s">
        <v>5954</v>
      </c>
      <c r="Q516" s="812">
        <v>25166</v>
      </c>
      <c r="R516" s="808" t="s">
        <v>5955</v>
      </c>
      <c r="S516" s="733"/>
      <c r="T516" s="733"/>
      <c r="U516" s="733"/>
      <c r="V516" s="660"/>
      <c r="W516" s="660"/>
      <c r="X516" s="660"/>
      <c r="Y516" s="660"/>
      <c r="Z516" s="660"/>
      <c r="AA516" s="660"/>
      <c r="AB516" s="660"/>
      <c r="AC516" s="660"/>
      <c r="AD516" s="660"/>
      <c r="AE516" s="664"/>
      <c r="AF516" s="655"/>
    </row>
    <row r="517" spans="1:32" ht="12" customHeight="1" thickBot="1">
      <c r="A517" s="788" t="s">
        <v>16454</v>
      </c>
      <c r="B517" s="660">
        <v>1</v>
      </c>
      <c r="C517" s="660"/>
      <c r="D517" s="660" t="s">
        <v>5481</v>
      </c>
      <c r="E517" s="728">
        <f t="shared" si="8"/>
        <v>38</v>
      </c>
      <c r="F517" s="660" t="s">
        <v>5</v>
      </c>
      <c r="G517" s="660" t="s">
        <v>6067</v>
      </c>
      <c r="H517" s="733"/>
      <c r="I517" s="660"/>
      <c r="J517" s="660"/>
      <c r="K517" s="762" t="s">
        <v>16131</v>
      </c>
      <c r="L517" s="660"/>
      <c r="M517" s="660" t="s">
        <v>6</v>
      </c>
      <c r="N517" s="763"/>
      <c r="O517" s="764"/>
      <c r="P517" s="733" t="s">
        <v>31</v>
      </c>
      <c r="Q517" s="765">
        <v>27126</v>
      </c>
      <c r="R517" s="733" t="s">
        <v>16380</v>
      </c>
      <c r="S517" s="733"/>
      <c r="T517" s="733"/>
      <c r="U517" s="733"/>
      <c r="V517" s="660"/>
      <c r="W517" s="660"/>
      <c r="X517" s="660"/>
      <c r="Y517" s="660"/>
      <c r="Z517" s="660"/>
      <c r="AA517" s="660"/>
      <c r="AB517" s="660"/>
      <c r="AC517" s="660"/>
      <c r="AD517" s="660"/>
      <c r="AE517" s="664"/>
      <c r="AF517" s="655"/>
    </row>
    <row r="518" spans="1:32" ht="12" customHeight="1">
      <c r="A518" s="771" t="s">
        <v>16455</v>
      </c>
      <c r="B518" s="696">
        <v>1</v>
      </c>
      <c r="C518" s="696"/>
      <c r="D518" s="696" t="s">
        <v>5120</v>
      </c>
      <c r="E518" s="690">
        <f t="shared" si="8"/>
        <v>43</v>
      </c>
      <c r="F518" s="696" t="s">
        <v>19</v>
      </c>
      <c r="G518" s="696" t="s">
        <v>6067</v>
      </c>
      <c r="H518" s="715"/>
      <c r="I518" s="696"/>
      <c r="J518" s="696"/>
      <c r="K518" s="716" t="s">
        <v>16122</v>
      </c>
      <c r="L518" s="696" t="s">
        <v>22</v>
      </c>
      <c r="M518" s="696" t="s">
        <v>6</v>
      </c>
      <c r="N518" s="717"/>
      <c r="O518" s="718"/>
      <c r="P518" s="715" t="s">
        <v>1903</v>
      </c>
      <c r="Q518" s="719">
        <v>25517</v>
      </c>
      <c r="R518" s="715" t="s">
        <v>5121</v>
      </c>
      <c r="S518" s="715"/>
      <c r="T518" s="715"/>
      <c r="U518" s="715"/>
      <c r="V518" s="696"/>
      <c r="W518" s="696"/>
      <c r="X518" s="696"/>
      <c r="Y518" s="696"/>
      <c r="Z518" s="696"/>
      <c r="AA518" s="696"/>
      <c r="AB518" s="696"/>
      <c r="AC518" s="696"/>
      <c r="AD518" s="696"/>
      <c r="AE518" s="697"/>
      <c r="AF518" s="655"/>
    </row>
    <row r="519" spans="1:32" ht="12" customHeight="1">
      <c r="A519" s="789" t="s">
        <v>16456</v>
      </c>
      <c r="B519" s="2">
        <v>2</v>
      </c>
      <c r="C519" s="2"/>
      <c r="D519" s="2" t="s">
        <v>5122</v>
      </c>
      <c r="E519" s="6">
        <f t="shared" si="8"/>
        <v>30</v>
      </c>
      <c r="F519" s="2" t="s">
        <v>5</v>
      </c>
      <c r="G519" s="2" t="s">
        <v>6067</v>
      </c>
      <c r="H519" s="22"/>
      <c r="I519" s="2"/>
      <c r="J519" s="2"/>
      <c r="K519" s="23" t="s">
        <v>16122</v>
      </c>
      <c r="L519" s="2" t="s">
        <v>22</v>
      </c>
      <c r="M519" s="2" t="s">
        <v>6</v>
      </c>
      <c r="N519" s="24"/>
      <c r="O519" s="25"/>
      <c r="P519" s="22" t="s">
        <v>31</v>
      </c>
      <c r="Q519" s="21">
        <v>30162</v>
      </c>
      <c r="R519" s="22" t="s">
        <v>5123</v>
      </c>
      <c r="S519" s="22"/>
      <c r="T519" s="22"/>
      <c r="U519" s="22"/>
      <c r="AE519" s="698"/>
      <c r="AF519" s="655"/>
    </row>
    <row r="520" spans="1:32" ht="12" customHeight="1">
      <c r="A520" s="789" t="s">
        <v>16457</v>
      </c>
      <c r="B520" s="2">
        <v>3</v>
      </c>
      <c r="C520" s="2"/>
      <c r="D520" s="2" t="s">
        <v>5124</v>
      </c>
      <c r="E520" s="6">
        <f t="shared" si="8"/>
        <v>62</v>
      </c>
      <c r="F520" s="2" t="s">
        <v>5</v>
      </c>
      <c r="G520" s="2" t="s">
        <v>6067</v>
      </c>
      <c r="H520" s="22"/>
      <c r="I520" s="2"/>
      <c r="J520" s="2"/>
      <c r="K520" s="23" t="s">
        <v>16122</v>
      </c>
      <c r="L520" s="2" t="s">
        <v>22</v>
      </c>
      <c r="M520" s="2" t="s">
        <v>6</v>
      </c>
      <c r="N520" s="24"/>
      <c r="O520" s="25"/>
      <c r="P520" s="22" t="s">
        <v>188</v>
      </c>
      <c r="Q520" s="21">
        <v>18527</v>
      </c>
      <c r="R520" s="22" t="s">
        <v>5125</v>
      </c>
      <c r="S520" s="22"/>
      <c r="T520" s="22"/>
      <c r="U520" s="22"/>
      <c r="AE520" s="698"/>
      <c r="AF520" s="655"/>
    </row>
    <row r="521" spans="1:32" ht="12" customHeight="1" thickBot="1">
      <c r="A521" s="772" t="s">
        <v>16458</v>
      </c>
      <c r="B521" s="702">
        <v>4</v>
      </c>
      <c r="C521" s="702"/>
      <c r="D521" s="702" t="s">
        <v>5126</v>
      </c>
      <c r="E521" s="701">
        <f t="shared" si="8"/>
        <v>65</v>
      </c>
      <c r="F521" s="702" t="s">
        <v>19</v>
      </c>
      <c r="G521" s="702" t="s">
        <v>6067</v>
      </c>
      <c r="H521" s="720"/>
      <c r="I521" s="702"/>
      <c r="J521" s="702"/>
      <c r="K521" s="770" t="s">
        <v>16122</v>
      </c>
      <c r="L521" s="702" t="s">
        <v>22</v>
      </c>
      <c r="M521" s="702" t="s">
        <v>6</v>
      </c>
      <c r="N521" s="721"/>
      <c r="O521" s="722"/>
      <c r="P521" s="720" t="s">
        <v>1555</v>
      </c>
      <c r="Q521" s="723">
        <v>17186</v>
      </c>
      <c r="R521" s="720" t="s">
        <v>5127</v>
      </c>
      <c r="S521" s="720"/>
      <c r="T521" s="720"/>
      <c r="U521" s="720"/>
      <c r="V521" s="702"/>
      <c r="W521" s="702"/>
      <c r="X521" s="702"/>
      <c r="Y521" s="702"/>
      <c r="Z521" s="702"/>
      <c r="AA521" s="702"/>
      <c r="AB521" s="702"/>
      <c r="AC521" s="702"/>
      <c r="AD521" s="702"/>
      <c r="AE521" s="708"/>
      <c r="AF521" s="655"/>
    </row>
    <row r="522" spans="1:32" ht="12" customHeight="1">
      <c r="A522" s="776" t="s">
        <v>15791</v>
      </c>
      <c r="B522" s="696">
        <v>1</v>
      </c>
      <c r="C522" s="688" t="s">
        <v>2186</v>
      </c>
      <c r="D522" s="687" t="s">
        <v>2189</v>
      </c>
      <c r="E522" s="690">
        <f t="shared" si="8"/>
        <v>45</v>
      </c>
      <c r="F522" s="696" t="s">
        <v>19</v>
      </c>
      <c r="G522" s="689" t="s">
        <v>15273</v>
      </c>
      <c r="H522" s="747" t="s">
        <v>2190</v>
      </c>
      <c r="I522" s="687"/>
      <c r="J522" s="687"/>
      <c r="K522" s="692" t="s">
        <v>16127</v>
      </c>
      <c r="L522" s="687" t="s">
        <v>44</v>
      </c>
      <c r="M522" s="687" t="s">
        <v>25</v>
      </c>
      <c r="N522" s="748">
        <v>3</v>
      </c>
      <c r="O522" s="749">
        <v>3</v>
      </c>
      <c r="P522" s="747" t="s">
        <v>2191</v>
      </c>
      <c r="Q522" s="773">
        <v>24485</v>
      </c>
      <c r="R522" s="747" t="s">
        <v>2192</v>
      </c>
      <c r="S522" s="747" t="s">
        <v>2193</v>
      </c>
      <c r="T522" s="747" t="s">
        <v>736</v>
      </c>
      <c r="U522" s="747" t="s">
        <v>145</v>
      </c>
      <c r="V522" s="696"/>
      <c r="W522" s="696" t="s">
        <v>145</v>
      </c>
      <c r="X522" s="696"/>
      <c r="Y522" s="696"/>
      <c r="Z522" s="696"/>
      <c r="AA522" s="696"/>
      <c r="AB522" s="696"/>
      <c r="AC522" s="696"/>
      <c r="AD522" s="696"/>
      <c r="AE522" s="697"/>
      <c r="AF522" s="655"/>
    </row>
    <row r="523" spans="1:32" ht="12" customHeight="1">
      <c r="A523" s="777" t="s">
        <v>15792</v>
      </c>
      <c r="B523" s="2">
        <v>1</v>
      </c>
      <c r="C523" s="4" t="s">
        <v>2200</v>
      </c>
      <c r="D523" s="1" t="s">
        <v>2204</v>
      </c>
      <c r="E523" s="6">
        <f t="shared" si="8"/>
        <v>35</v>
      </c>
      <c r="F523" s="2" t="s">
        <v>5</v>
      </c>
      <c r="G523" s="5" t="s">
        <v>15273</v>
      </c>
      <c r="H523" s="3" t="s">
        <v>2205</v>
      </c>
      <c r="K523" s="8" t="s">
        <v>16127</v>
      </c>
      <c r="L523" s="1" t="s">
        <v>44</v>
      </c>
      <c r="M523" s="1" t="s">
        <v>25</v>
      </c>
      <c r="N523" s="16">
        <v>2</v>
      </c>
      <c r="O523" s="17">
        <v>2</v>
      </c>
      <c r="P523" s="3" t="s">
        <v>317</v>
      </c>
      <c r="Q523" s="20">
        <v>28128</v>
      </c>
      <c r="R523" s="3" t="s">
        <v>2207</v>
      </c>
      <c r="S523" s="3" t="s">
        <v>2208</v>
      </c>
      <c r="T523" s="3" t="s">
        <v>736</v>
      </c>
      <c r="AE523" s="698"/>
      <c r="AF523" s="655"/>
    </row>
    <row r="524" spans="1:32" ht="12" customHeight="1">
      <c r="A524" s="777" t="s">
        <v>15793</v>
      </c>
      <c r="B524" s="2">
        <v>1</v>
      </c>
      <c r="C524" s="4" t="s">
        <v>2218</v>
      </c>
      <c r="D524" s="1" t="s">
        <v>2221</v>
      </c>
      <c r="E524" s="6">
        <f t="shared" si="8"/>
        <v>46</v>
      </c>
      <c r="F524" s="2" t="s">
        <v>5</v>
      </c>
      <c r="G524" s="5" t="s">
        <v>15273</v>
      </c>
      <c r="H524" s="3" t="s">
        <v>2222</v>
      </c>
      <c r="K524" s="8" t="s">
        <v>16127</v>
      </c>
      <c r="L524" s="1" t="s">
        <v>44</v>
      </c>
      <c r="M524" s="1" t="s">
        <v>25</v>
      </c>
      <c r="N524" s="16">
        <v>1</v>
      </c>
      <c r="O524" s="17">
        <v>3</v>
      </c>
      <c r="P524" s="3" t="s">
        <v>2223</v>
      </c>
      <c r="Q524" s="20">
        <v>24393</v>
      </c>
      <c r="R524" s="3" t="s">
        <v>2224</v>
      </c>
      <c r="S524" s="3" t="s">
        <v>2225</v>
      </c>
      <c r="T524" s="3" t="s">
        <v>736</v>
      </c>
      <c r="U524" s="3" t="s">
        <v>1291</v>
      </c>
      <c r="Y524" s="2" t="s">
        <v>229</v>
      </c>
      <c r="AB524" s="2" t="s">
        <v>104</v>
      </c>
      <c r="AE524" s="698"/>
      <c r="AF524" s="655"/>
    </row>
    <row r="525" spans="1:32" ht="12" customHeight="1">
      <c r="A525" s="777" t="s">
        <v>15794</v>
      </c>
      <c r="B525" s="2">
        <v>1</v>
      </c>
      <c r="C525" s="4" t="s">
        <v>2235</v>
      </c>
      <c r="D525" s="1" t="s">
        <v>2239</v>
      </c>
      <c r="E525" s="6">
        <f t="shared" si="8"/>
        <v>43</v>
      </c>
      <c r="F525" s="2" t="s">
        <v>19</v>
      </c>
      <c r="G525" s="5" t="s">
        <v>15273</v>
      </c>
      <c r="H525" s="3" t="s">
        <v>2240</v>
      </c>
      <c r="K525" s="4" t="s">
        <v>16127</v>
      </c>
      <c r="L525" s="1" t="s">
        <v>737</v>
      </c>
      <c r="M525" s="1" t="s">
        <v>25</v>
      </c>
      <c r="N525" s="16">
        <v>3</v>
      </c>
      <c r="O525" s="17">
        <v>3</v>
      </c>
      <c r="P525" s="3" t="s">
        <v>2242</v>
      </c>
      <c r="Q525" s="20">
        <v>25500</v>
      </c>
      <c r="R525" s="3" t="s">
        <v>2243</v>
      </c>
      <c r="S525" s="3" t="s">
        <v>304</v>
      </c>
      <c r="T525" s="3" t="s">
        <v>736</v>
      </c>
      <c r="U525" s="3" t="s">
        <v>145</v>
      </c>
      <c r="W525" s="2" t="s">
        <v>145</v>
      </c>
      <c r="AE525" s="698"/>
      <c r="AF525" s="655"/>
    </row>
    <row r="526" spans="1:32" ht="12" customHeight="1">
      <c r="A526" s="777" t="s">
        <v>15795</v>
      </c>
      <c r="B526" s="2">
        <v>1</v>
      </c>
      <c r="C526" s="4" t="s">
        <v>2256</v>
      </c>
      <c r="D526" s="1" t="s">
        <v>2259</v>
      </c>
      <c r="E526" s="6">
        <f t="shared" si="8"/>
        <v>68</v>
      </c>
      <c r="F526" s="2" t="s">
        <v>19</v>
      </c>
      <c r="G526" s="5" t="s">
        <v>15273</v>
      </c>
      <c r="H526" s="3" t="s">
        <v>2260</v>
      </c>
      <c r="K526" s="8" t="s">
        <v>16126</v>
      </c>
      <c r="L526" s="1" t="s">
        <v>44</v>
      </c>
      <c r="M526" s="1" t="s">
        <v>25</v>
      </c>
      <c r="N526" s="16">
        <v>6</v>
      </c>
      <c r="O526" s="17">
        <v>6</v>
      </c>
      <c r="P526" s="3" t="s">
        <v>188</v>
      </c>
      <c r="Q526" s="20">
        <v>16085</v>
      </c>
      <c r="R526" s="3" t="s">
        <v>2261</v>
      </c>
      <c r="S526" s="3" t="s">
        <v>2262</v>
      </c>
      <c r="T526" s="3" t="s">
        <v>736</v>
      </c>
      <c r="U526" s="3" t="s">
        <v>104</v>
      </c>
      <c r="AB526" s="2" t="s">
        <v>104</v>
      </c>
      <c r="AE526" s="698"/>
      <c r="AF526" s="655"/>
    </row>
    <row r="527" spans="1:32" ht="12" customHeight="1">
      <c r="A527" s="777" t="s">
        <v>15796</v>
      </c>
      <c r="B527" s="2">
        <v>1</v>
      </c>
      <c r="C527" s="4" t="s">
        <v>2272</v>
      </c>
      <c r="D527" s="1" t="s">
        <v>2275</v>
      </c>
      <c r="E527" s="6">
        <f t="shared" si="8"/>
        <v>68</v>
      </c>
      <c r="F527" s="2" t="s">
        <v>5</v>
      </c>
      <c r="G527" s="5" t="s">
        <v>15273</v>
      </c>
      <c r="H527" s="3" t="s">
        <v>2276</v>
      </c>
      <c r="K527" s="8" t="s">
        <v>16127</v>
      </c>
      <c r="L527" s="1" t="s">
        <v>45</v>
      </c>
      <c r="M527" s="1" t="s">
        <v>25</v>
      </c>
      <c r="N527" s="16">
        <v>5</v>
      </c>
      <c r="O527" s="17">
        <v>5</v>
      </c>
      <c r="P527" s="3" t="s">
        <v>188</v>
      </c>
      <c r="Q527" s="20">
        <v>16386</v>
      </c>
      <c r="R527" s="3" t="s">
        <v>727</v>
      </c>
      <c r="S527" s="3" t="s">
        <v>2279</v>
      </c>
      <c r="T527" s="3" t="s">
        <v>736</v>
      </c>
      <c r="U527" s="3" t="s">
        <v>147</v>
      </c>
      <c r="AC527" s="2" t="s">
        <v>147</v>
      </c>
      <c r="AE527" s="698"/>
      <c r="AF527" s="655"/>
    </row>
    <row r="528" spans="1:32" ht="12" customHeight="1">
      <c r="A528" s="777" t="s">
        <v>15797</v>
      </c>
      <c r="B528" s="2">
        <v>1</v>
      </c>
      <c r="C528" s="4" t="s">
        <v>2285</v>
      </c>
      <c r="D528" s="1" t="s">
        <v>2289</v>
      </c>
      <c r="E528" s="6">
        <f t="shared" si="8"/>
        <v>39</v>
      </c>
      <c r="F528" s="2" t="s">
        <v>5</v>
      </c>
      <c r="G528" s="5" t="s">
        <v>15273</v>
      </c>
      <c r="H528" s="3" t="s">
        <v>2290</v>
      </c>
      <c r="K528" s="8" t="s">
        <v>16127</v>
      </c>
      <c r="L528" s="1" t="s">
        <v>44</v>
      </c>
      <c r="M528" s="1" t="s">
        <v>25</v>
      </c>
      <c r="N528" s="16">
        <v>3</v>
      </c>
      <c r="O528" s="17">
        <v>3</v>
      </c>
      <c r="P528" s="3" t="s">
        <v>2291</v>
      </c>
      <c r="Q528" s="20">
        <v>26814</v>
      </c>
      <c r="R528" s="3" t="s">
        <v>2292</v>
      </c>
      <c r="S528" s="3" t="s">
        <v>2293</v>
      </c>
      <c r="AE528" s="698"/>
      <c r="AF528" s="655"/>
    </row>
    <row r="529" spans="1:32" ht="12" customHeight="1">
      <c r="A529" s="777" t="s">
        <v>15798</v>
      </c>
      <c r="B529" s="2">
        <v>1</v>
      </c>
      <c r="C529" s="4" t="s">
        <v>2318</v>
      </c>
      <c r="D529" s="1" t="s">
        <v>5446</v>
      </c>
      <c r="E529" s="6">
        <f t="shared" si="8"/>
        <v>37</v>
      </c>
      <c r="F529" s="2" t="s">
        <v>5</v>
      </c>
      <c r="G529" s="5" t="s">
        <v>15273</v>
      </c>
      <c r="K529" s="8" t="s">
        <v>16127</v>
      </c>
      <c r="L529" s="1" t="s">
        <v>44</v>
      </c>
      <c r="M529" s="1" t="s">
        <v>6</v>
      </c>
      <c r="P529" s="3" t="s">
        <v>245</v>
      </c>
      <c r="Q529" s="20">
        <v>27507</v>
      </c>
      <c r="R529" s="3" t="s">
        <v>5832</v>
      </c>
      <c r="AE529" s="698"/>
      <c r="AF529" s="655"/>
    </row>
    <row r="530" spans="1:32" ht="12" customHeight="1">
      <c r="A530" s="777" t="s">
        <v>15799</v>
      </c>
      <c r="B530" s="2">
        <v>1</v>
      </c>
      <c r="C530" s="4" t="s">
        <v>2332</v>
      </c>
      <c r="D530" s="1" t="s">
        <v>2335</v>
      </c>
      <c r="E530" s="6">
        <f t="shared" si="8"/>
        <v>53</v>
      </c>
      <c r="F530" s="2" t="s">
        <v>5</v>
      </c>
      <c r="G530" s="5" t="s">
        <v>15273</v>
      </c>
      <c r="H530" s="3" t="s">
        <v>2336</v>
      </c>
      <c r="K530" s="4" t="s">
        <v>16127</v>
      </c>
      <c r="L530" s="1" t="s">
        <v>44</v>
      </c>
      <c r="M530" s="1" t="s">
        <v>25</v>
      </c>
      <c r="N530" s="16">
        <v>4</v>
      </c>
      <c r="O530" s="17">
        <v>4</v>
      </c>
      <c r="P530" s="3" t="s">
        <v>172</v>
      </c>
      <c r="Q530" s="20">
        <v>21566</v>
      </c>
      <c r="R530" s="3" t="s">
        <v>2339</v>
      </c>
      <c r="S530" s="3" t="s">
        <v>2340</v>
      </c>
      <c r="T530" s="3" t="s">
        <v>736</v>
      </c>
      <c r="U530" s="3" t="s">
        <v>104</v>
      </c>
      <c r="AB530" s="2" t="s">
        <v>104</v>
      </c>
      <c r="AE530" s="698"/>
      <c r="AF530" s="655"/>
    </row>
    <row r="531" spans="1:32" ht="12" customHeight="1">
      <c r="A531" s="777" t="s">
        <v>15800</v>
      </c>
      <c r="B531" s="2">
        <v>1</v>
      </c>
      <c r="C531" s="4" t="s">
        <v>2352</v>
      </c>
      <c r="D531" s="1" t="s">
        <v>5309</v>
      </c>
      <c r="E531" s="6">
        <f t="shared" si="8"/>
        <v>65</v>
      </c>
      <c r="F531" s="2" t="s">
        <v>19</v>
      </c>
      <c r="G531" s="5" t="s">
        <v>15273</v>
      </c>
      <c r="K531" s="8" t="s">
        <v>16126</v>
      </c>
      <c r="L531" s="1" t="s">
        <v>44</v>
      </c>
      <c r="M531" s="1" t="s">
        <v>6</v>
      </c>
      <c r="P531" s="3" t="s">
        <v>5310</v>
      </c>
      <c r="Q531" s="20">
        <v>17478</v>
      </c>
      <c r="R531" s="3" t="s">
        <v>5311</v>
      </c>
      <c r="T531" s="3" t="s">
        <v>736</v>
      </c>
      <c r="U531" s="3" t="s">
        <v>145</v>
      </c>
      <c r="W531" s="2" t="s">
        <v>145</v>
      </c>
      <c r="AE531" s="698"/>
      <c r="AF531" s="655"/>
    </row>
    <row r="532" spans="1:32" ht="12" customHeight="1">
      <c r="A532" s="777" t="s">
        <v>15801</v>
      </c>
      <c r="B532" s="2">
        <v>1</v>
      </c>
      <c r="C532" s="4" t="s">
        <v>2366</v>
      </c>
      <c r="D532" s="1" t="s">
        <v>2369</v>
      </c>
      <c r="E532" s="6">
        <f t="shared" si="8"/>
        <v>39</v>
      </c>
      <c r="F532" s="2" t="s">
        <v>5</v>
      </c>
      <c r="G532" s="5" t="s">
        <v>15273</v>
      </c>
      <c r="H532" s="3" t="s">
        <v>2370</v>
      </c>
      <c r="K532" s="8" t="s">
        <v>16127</v>
      </c>
      <c r="L532" s="1" t="s">
        <v>44</v>
      </c>
      <c r="M532" s="1" t="s">
        <v>25</v>
      </c>
      <c r="N532" s="16">
        <v>1</v>
      </c>
      <c r="O532" s="17">
        <v>1</v>
      </c>
      <c r="P532" s="3" t="s">
        <v>1493</v>
      </c>
      <c r="Q532" s="20">
        <v>27010</v>
      </c>
      <c r="R532" s="3" t="s">
        <v>2373</v>
      </c>
      <c r="T532" s="3" t="s">
        <v>736</v>
      </c>
      <c r="AE532" s="698"/>
      <c r="AF532" s="655"/>
    </row>
    <row r="533" spans="1:32" ht="12" customHeight="1">
      <c r="A533" s="777" t="s">
        <v>15802</v>
      </c>
      <c r="B533" s="2">
        <v>1</v>
      </c>
      <c r="C533" s="4" t="s">
        <v>2381</v>
      </c>
      <c r="D533" s="1" t="s">
        <v>2385</v>
      </c>
      <c r="E533" s="6">
        <f t="shared" si="8"/>
        <v>56</v>
      </c>
      <c r="F533" s="2" t="s">
        <v>5</v>
      </c>
      <c r="G533" s="5" t="s">
        <v>15273</v>
      </c>
      <c r="H533" s="3" t="s">
        <v>2386</v>
      </c>
      <c r="K533" s="8" t="s">
        <v>16127</v>
      </c>
      <c r="L533" s="1" t="s">
        <v>604</v>
      </c>
      <c r="M533" s="1" t="s">
        <v>25</v>
      </c>
      <c r="N533" s="16">
        <v>4</v>
      </c>
      <c r="O533" s="17">
        <v>4</v>
      </c>
      <c r="P533" s="3" t="s">
        <v>188</v>
      </c>
      <c r="Q533" s="20">
        <v>20786</v>
      </c>
      <c r="R533" s="3" t="s">
        <v>2388</v>
      </c>
      <c r="S533" s="3" t="s">
        <v>2522</v>
      </c>
      <c r="U533" s="3" t="s">
        <v>146</v>
      </c>
      <c r="AD533" s="2" t="s">
        <v>146</v>
      </c>
      <c r="AE533" s="698"/>
      <c r="AF533" s="655"/>
    </row>
    <row r="534" spans="1:32" ht="12" customHeight="1">
      <c r="A534" s="777" t="s">
        <v>15803</v>
      </c>
      <c r="B534" s="2">
        <v>1</v>
      </c>
      <c r="C534" s="4" t="s">
        <v>2399</v>
      </c>
      <c r="D534" s="1" t="s">
        <v>2402</v>
      </c>
      <c r="E534" s="6">
        <f t="shared" si="8"/>
        <v>37</v>
      </c>
      <c r="F534" s="2" t="s">
        <v>5</v>
      </c>
      <c r="G534" s="5" t="s">
        <v>15273</v>
      </c>
      <c r="H534" s="3" t="s">
        <v>2403</v>
      </c>
      <c r="K534" s="8" t="s">
        <v>16127</v>
      </c>
      <c r="L534" s="1" t="s">
        <v>736</v>
      </c>
      <c r="M534" s="1" t="s">
        <v>25</v>
      </c>
      <c r="N534" s="16">
        <v>2</v>
      </c>
      <c r="O534" s="17">
        <v>2</v>
      </c>
      <c r="P534" s="3" t="s">
        <v>31</v>
      </c>
      <c r="Q534" s="20">
        <v>27384</v>
      </c>
      <c r="R534" s="3" t="s">
        <v>2406</v>
      </c>
      <c r="S534" s="3" t="s">
        <v>2405</v>
      </c>
      <c r="T534" s="3" t="s">
        <v>736</v>
      </c>
      <c r="AE534" s="698"/>
      <c r="AF534" s="655"/>
    </row>
    <row r="535" spans="1:32" ht="12" customHeight="1">
      <c r="A535" s="777" t="s">
        <v>15804</v>
      </c>
      <c r="B535" s="2">
        <v>1</v>
      </c>
      <c r="C535" s="4" t="s">
        <v>2416</v>
      </c>
      <c r="D535" s="1" t="s">
        <v>2419</v>
      </c>
      <c r="E535" s="6">
        <f t="shared" si="8"/>
        <v>68</v>
      </c>
      <c r="F535" s="2" t="s">
        <v>5</v>
      </c>
      <c r="G535" s="5" t="s">
        <v>15273</v>
      </c>
      <c r="H535" s="3" t="s">
        <v>2420</v>
      </c>
      <c r="K535" s="4" t="s">
        <v>16127</v>
      </c>
      <c r="L535" s="1" t="s">
        <v>276</v>
      </c>
      <c r="M535" s="1" t="s">
        <v>25</v>
      </c>
      <c r="N535" s="16">
        <v>3</v>
      </c>
      <c r="O535" s="17">
        <v>3</v>
      </c>
      <c r="P535" s="3" t="s">
        <v>317</v>
      </c>
      <c r="Q535" s="20">
        <v>16220</v>
      </c>
      <c r="R535" s="3" t="s">
        <v>2423</v>
      </c>
      <c r="S535" s="3" t="s">
        <v>2424</v>
      </c>
      <c r="T535" s="3" t="s">
        <v>736</v>
      </c>
      <c r="U535" s="3" t="s">
        <v>47</v>
      </c>
      <c r="V535" s="2" t="s">
        <v>47</v>
      </c>
      <c r="AE535" s="698"/>
      <c r="AF535" s="655"/>
    </row>
    <row r="536" spans="1:32" ht="12" customHeight="1">
      <c r="A536" s="777" t="s">
        <v>15805</v>
      </c>
      <c r="B536" s="2">
        <v>1</v>
      </c>
      <c r="C536" s="4" t="s">
        <v>2432</v>
      </c>
      <c r="D536" s="1" t="s">
        <v>2435</v>
      </c>
      <c r="E536" s="6">
        <f t="shared" si="8"/>
        <v>64</v>
      </c>
      <c r="F536" s="2" t="s">
        <v>5</v>
      </c>
      <c r="G536" s="5" t="s">
        <v>15273</v>
      </c>
      <c r="H536" s="3" t="s">
        <v>2436</v>
      </c>
      <c r="K536" s="8" t="s">
        <v>16126</v>
      </c>
      <c r="L536" s="1" t="s">
        <v>44</v>
      </c>
      <c r="M536" s="1" t="s">
        <v>25</v>
      </c>
      <c r="N536" s="16">
        <v>3</v>
      </c>
      <c r="O536" s="17">
        <v>3</v>
      </c>
      <c r="P536" s="3" t="s">
        <v>1493</v>
      </c>
      <c r="Q536" s="20">
        <v>17731</v>
      </c>
      <c r="R536" s="3" t="s">
        <v>2437</v>
      </c>
      <c r="S536" s="3" t="s">
        <v>2438</v>
      </c>
      <c r="T536" s="3" t="s">
        <v>736</v>
      </c>
      <c r="U536" s="3" t="s">
        <v>47</v>
      </c>
      <c r="V536" s="2" t="s">
        <v>47</v>
      </c>
      <c r="AE536" s="698"/>
      <c r="AF536" s="655"/>
    </row>
    <row r="537" spans="1:32" ht="12" customHeight="1">
      <c r="A537" s="777" t="s">
        <v>15806</v>
      </c>
      <c r="B537" s="2">
        <v>1</v>
      </c>
      <c r="C537" s="4" t="s">
        <v>2443</v>
      </c>
      <c r="D537" s="1" t="s">
        <v>2447</v>
      </c>
      <c r="E537" s="6">
        <f t="shared" si="8"/>
        <v>56</v>
      </c>
      <c r="F537" s="2" t="s">
        <v>5</v>
      </c>
      <c r="G537" s="5" t="s">
        <v>15273</v>
      </c>
      <c r="H537" s="3" t="s">
        <v>2448</v>
      </c>
      <c r="K537" s="8" t="s">
        <v>16127</v>
      </c>
      <c r="L537" s="1" t="s">
        <v>604</v>
      </c>
      <c r="M537" s="1" t="s">
        <v>25</v>
      </c>
      <c r="N537" s="16">
        <v>3</v>
      </c>
      <c r="O537" s="17">
        <v>3</v>
      </c>
      <c r="P537" s="3" t="s">
        <v>2440</v>
      </c>
      <c r="Q537" s="20">
        <v>20452</v>
      </c>
      <c r="R537" s="3" t="s">
        <v>2449</v>
      </c>
      <c r="S537" s="3" t="s">
        <v>2428</v>
      </c>
      <c r="T537" s="3" t="s">
        <v>736</v>
      </c>
      <c r="U537" s="3" t="s">
        <v>104</v>
      </c>
      <c r="AB537" s="2" t="s">
        <v>104</v>
      </c>
      <c r="AE537" s="698"/>
      <c r="AF537" s="655"/>
    </row>
    <row r="538" spans="1:32" ht="12" customHeight="1">
      <c r="A538" s="777" t="s">
        <v>15807</v>
      </c>
      <c r="B538" s="2">
        <v>1</v>
      </c>
      <c r="C538" s="4" t="s">
        <v>2455</v>
      </c>
      <c r="D538" s="1" t="s">
        <v>5338</v>
      </c>
      <c r="E538" s="6">
        <f t="shared" si="8"/>
        <v>59</v>
      </c>
      <c r="F538" s="2" t="s">
        <v>5</v>
      </c>
      <c r="G538" s="5" t="s">
        <v>15273</v>
      </c>
      <c r="K538" s="8" t="s">
        <v>16127</v>
      </c>
      <c r="L538" s="1" t="s">
        <v>44</v>
      </c>
      <c r="M538" s="1" t="s">
        <v>6</v>
      </c>
      <c r="P538" s="3" t="s">
        <v>1742</v>
      </c>
      <c r="Q538" s="20">
        <v>19599</v>
      </c>
      <c r="R538" s="3" t="s">
        <v>5339</v>
      </c>
      <c r="T538" s="3" t="s">
        <v>736</v>
      </c>
      <c r="U538" s="3" t="s">
        <v>145</v>
      </c>
      <c r="W538" s="2" t="s">
        <v>145</v>
      </c>
      <c r="AE538" s="698"/>
      <c r="AF538" s="655"/>
    </row>
    <row r="539" spans="1:32" ht="12" customHeight="1">
      <c r="A539" s="777" t="s">
        <v>15808</v>
      </c>
      <c r="B539" s="2">
        <v>1</v>
      </c>
      <c r="C539" s="4" t="s">
        <v>2468</v>
      </c>
      <c r="D539" s="1" t="s">
        <v>2472</v>
      </c>
      <c r="E539" s="6">
        <f t="shared" si="8"/>
        <v>53</v>
      </c>
      <c r="F539" s="2" t="s">
        <v>5</v>
      </c>
      <c r="G539" s="5" t="s">
        <v>15273</v>
      </c>
      <c r="H539" s="3" t="s">
        <v>2473</v>
      </c>
      <c r="K539" s="8" t="s">
        <v>16127</v>
      </c>
      <c r="L539" s="1" t="s">
        <v>44</v>
      </c>
      <c r="M539" s="1" t="s">
        <v>25</v>
      </c>
      <c r="N539" s="16">
        <v>1</v>
      </c>
      <c r="O539" s="17">
        <v>1</v>
      </c>
      <c r="P539" s="3" t="s">
        <v>31</v>
      </c>
      <c r="Q539" s="20">
        <v>21819</v>
      </c>
      <c r="R539" s="3" t="s">
        <v>1295</v>
      </c>
      <c r="T539" s="3" t="s">
        <v>736</v>
      </c>
      <c r="U539" s="3" t="s">
        <v>155</v>
      </c>
      <c r="Z539" s="2" t="s">
        <v>155</v>
      </c>
      <c r="AE539" s="698"/>
      <c r="AF539" s="655"/>
    </row>
    <row r="540" spans="1:32" ht="12" customHeight="1">
      <c r="A540" s="777" t="s">
        <v>15809</v>
      </c>
      <c r="B540" s="2">
        <v>1</v>
      </c>
      <c r="C540" s="4" t="s">
        <v>2484</v>
      </c>
      <c r="D540" s="1" t="s">
        <v>5696</v>
      </c>
      <c r="E540" s="6">
        <f t="shared" si="8"/>
        <v>33</v>
      </c>
      <c r="F540" s="2" t="s">
        <v>5</v>
      </c>
      <c r="G540" s="5" t="s">
        <v>15273</v>
      </c>
      <c r="K540" s="4" t="s">
        <v>16127</v>
      </c>
      <c r="L540" s="1" t="s">
        <v>44</v>
      </c>
      <c r="M540" s="1" t="s">
        <v>6</v>
      </c>
      <c r="P540" s="3" t="s">
        <v>1002</v>
      </c>
      <c r="Q540" s="20">
        <v>29163</v>
      </c>
      <c r="R540" s="3" t="s">
        <v>5833</v>
      </c>
      <c r="AE540" s="698"/>
      <c r="AF540" s="655"/>
    </row>
    <row r="541" spans="1:32" ht="12" customHeight="1" thickBot="1">
      <c r="A541" s="778" t="s">
        <v>15810</v>
      </c>
      <c r="B541" s="702">
        <v>20</v>
      </c>
      <c r="C541" s="702"/>
      <c r="D541" s="702" t="s">
        <v>2504</v>
      </c>
      <c r="E541" s="701">
        <f t="shared" si="8"/>
        <v>67</v>
      </c>
      <c r="F541" s="702" t="s">
        <v>5</v>
      </c>
      <c r="G541" s="702" t="s">
        <v>6067</v>
      </c>
      <c r="H541" s="720" t="s">
        <v>2505</v>
      </c>
      <c r="I541" s="702"/>
      <c r="J541" s="702"/>
      <c r="K541" s="704" t="s">
        <v>16126</v>
      </c>
      <c r="L541" s="702" t="s">
        <v>44</v>
      </c>
      <c r="M541" s="702" t="s">
        <v>25</v>
      </c>
      <c r="N541" s="721">
        <v>2</v>
      </c>
      <c r="O541" s="722">
        <v>2</v>
      </c>
      <c r="P541" s="720" t="s">
        <v>381</v>
      </c>
      <c r="Q541" s="723">
        <v>16654</v>
      </c>
      <c r="R541" s="720" t="s">
        <v>2506</v>
      </c>
      <c r="S541" s="720" t="s">
        <v>2507</v>
      </c>
      <c r="T541" s="720"/>
      <c r="U541" s="720" t="s">
        <v>2508</v>
      </c>
      <c r="V541" s="702"/>
      <c r="W541" s="702" t="s">
        <v>2509</v>
      </c>
      <c r="X541" s="702" t="s">
        <v>2501</v>
      </c>
      <c r="Y541" s="702"/>
      <c r="Z541" s="702"/>
      <c r="AA541" s="702"/>
      <c r="AB541" s="702"/>
      <c r="AC541" s="702"/>
      <c r="AD541" s="702"/>
      <c r="AE541" s="708"/>
      <c r="AF541" s="655"/>
    </row>
    <row r="542" spans="1:32" ht="12" customHeight="1">
      <c r="A542" s="724" t="s">
        <v>15400</v>
      </c>
      <c r="B542" s="696">
        <v>1</v>
      </c>
      <c r="C542" s="688" t="s">
        <v>2187</v>
      </c>
      <c r="D542" s="687" t="s">
        <v>2195</v>
      </c>
      <c r="E542" s="690">
        <f t="shared" si="8"/>
        <v>28</v>
      </c>
      <c r="F542" s="696" t="s">
        <v>5</v>
      </c>
      <c r="G542" s="687" t="s">
        <v>15273</v>
      </c>
      <c r="H542" s="747"/>
      <c r="I542" s="687"/>
      <c r="J542" s="687"/>
      <c r="K542" s="692" t="s">
        <v>16120</v>
      </c>
      <c r="L542" s="687" t="s">
        <v>30</v>
      </c>
      <c r="M542" s="687" t="s">
        <v>6</v>
      </c>
      <c r="N542" s="748"/>
      <c r="O542" s="749"/>
      <c r="P542" s="747" t="s">
        <v>31</v>
      </c>
      <c r="Q542" s="773">
        <v>30706</v>
      </c>
      <c r="R542" s="747" t="s">
        <v>2196</v>
      </c>
      <c r="S542" s="747"/>
      <c r="T542" s="747" t="s">
        <v>5457</v>
      </c>
      <c r="U542" s="747" t="s">
        <v>47</v>
      </c>
      <c r="V542" s="696" t="s">
        <v>47</v>
      </c>
      <c r="W542" s="696"/>
      <c r="X542" s="696"/>
      <c r="Y542" s="696"/>
      <c r="Z542" s="696"/>
      <c r="AA542" s="696"/>
      <c r="AB542" s="696"/>
      <c r="AC542" s="696"/>
      <c r="AD542" s="696"/>
      <c r="AE542" s="697"/>
      <c r="AF542" s="655"/>
    </row>
    <row r="543" spans="1:32" ht="12" customHeight="1">
      <c r="A543" s="725" t="s">
        <v>15401</v>
      </c>
      <c r="B543" s="2">
        <v>1</v>
      </c>
      <c r="C543" s="4" t="s">
        <v>2201</v>
      </c>
      <c r="D543" s="1" t="s">
        <v>2209</v>
      </c>
      <c r="E543" s="6">
        <f t="shared" si="8"/>
        <v>48</v>
      </c>
      <c r="F543" s="2" t="s">
        <v>5</v>
      </c>
      <c r="G543" s="1" t="s">
        <v>15273</v>
      </c>
      <c r="K543" s="4" t="s">
        <v>16120</v>
      </c>
      <c r="L543" s="1" t="s">
        <v>30</v>
      </c>
      <c r="M543" s="1" t="s">
        <v>6</v>
      </c>
      <c r="P543" s="3" t="s">
        <v>255</v>
      </c>
      <c r="Q543" s="20">
        <v>23569</v>
      </c>
      <c r="R543" s="3" t="s">
        <v>2210</v>
      </c>
      <c r="U543" s="3" t="s">
        <v>47</v>
      </c>
      <c r="V543" s="2" t="s">
        <v>47</v>
      </c>
      <c r="AE543" s="698"/>
      <c r="AF543" s="655"/>
    </row>
    <row r="544" spans="1:32" ht="12" customHeight="1">
      <c r="A544" s="725" t="s">
        <v>15402</v>
      </c>
      <c r="B544" s="2">
        <v>1</v>
      </c>
      <c r="C544" s="4" t="s">
        <v>2219</v>
      </c>
      <c r="D544" s="1" t="s">
        <v>2229</v>
      </c>
      <c r="E544" s="6">
        <f t="shared" si="8"/>
        <v>36</v>
      </c>
      <c r="F544" s="2" t="s">
        <v>5</v>
      </c>
      <c r="G544" s="1" t="s">
        <v>15273</v>
      </c>
      <c r="K544" s="4" t="s">
        <v>16120</v>
      </c>
      <c r="L544" s="1" t="s">
        <v>445</v>
      </c>
      <c r="M544" s="1" t="s">
        <v>6</v>
      </c>
      <c r="P544" s="3" t="s">
        <v>2085</v>
      </c>
      <c r="Q544" s="20">
        <v>28102</v>
      </c>
      <c r="R544" s="3" t="s">
        <v>2231</v>
      </c>
      <c r="T544" s="3" t="s">
        <v>5457</v>
      </c>
      <c r="U544" s="3" t="s">
        <v>47</v>
      </c>
      <c r="V544" s="2" t="s">
        <v>47</v>
      </c>
      <c r="AE544" s="698"/>
      <c r="AF544" s="655"/>
    </row>
    <row r="545" spans="1:32" ht="12" customHeight="1">
      <c r="A545" s="725" t="s">
        <v>15403</v>
      </c>
      <c r="B545" s="2">
        <v>1</v>
      </c>
      <c r="C545" s="4" t="s">
        <v>2236</v>
      </c>
      <c r="D545" s="1" t="s">
        <v>2245</v>
      </c>
      <c r="E545" s="6">
        <f t="shared" si="8"/>
        <v>34</v>
      </c>
      <c r="F545" s="2" t="s">
        <v>19</v>
      </c>
      <c r="G545" s="1" t="s">
        <v>15273</v>
      </c>
      <c r="K545" s="8" t="s">
        <v>16120</v>
      </c>
      <c r="L545" s="1" t="s">
        <v>30</v>
      </c>
      <c r="M545" s="1" t="s">
        <v>6</v>
      </c>
      <c r="P545" s="3" t="s">
        <v>188</v>
      </c>
      <c r="Q545" s="20">
        <v>28548</v>
      </c>
      <c r="R545" s="3" t="s">
        <v>2248</v>
      </c>
      <c r="U545" s="3" t="s">
        <v>173</v>
      </c>
      <c r="W545" s="2" t="s">
        <v>145</v>
      </c>
      <c r="Z545" s="2" t="s">
        <v>155</v>
      </c>
      <c r="AE545" s="698"/>
      <c r="AF545" s="655"/>
    </row>
    <row r="546" spans="1:32" ht="12" customHeight="1">
      <c r="A546" s="725" t="s">
        <v>15404</v>
      </c>
      <c r="B546" s="2">
        <v>1</v>
      </c>
      <c r="C546" s="4" t="s">
        <v>2257</v>
      </c>
      <c r="D546" s="1" t="s">
        <v>2264</v>
      </c>
      <c r="E546" s="6">
        <f t="shared" si="8"/>
        <v>61</v>
      </c>
      <c r="F546" s="2" t="s">
        <v>5</v>
      </c>
      <c r="G546" s="1" t="s">
        <v>15273</v>
      </c>
      <c r="H546" s="3" t="s">
        <v>2265</v>
      </c>
      <c r="K546" s="23" t="s">
        <v>16120</v>
      </c>
      <c r="L546" s="1" t="s">
        <v>65</v>
      </c>
      <c r="M546" s="1" t="s">
        <v>25</v>
      </c>
      <c r="N546" s="16">
        <v>2</v>
      </c>
      <c r="O546" s="17">
        <v>2</v>
      </c>
      <c r="P546" s="3" t="s">
        <v>455</v>
      </c>
      <c r="Q546" s="20">
        <v>18637</v>
      </c>
      <c r="R546" s="3" t="s">
        <v>2266</v>
      </c>
      <c r="T546" s="3" t="s">
        <v>5457</v>
      </c>
      <c r="U546" s="3" t="s">
        <v>371</v>
      </c>
      <c r="W546" s="2" t="s">
        <v>145</v>
      </c>
      <c r="X546" s="2" t="s">
        <v>75</v>
      </c>
      <c r="AE546" s="698"/>
      <c r="AF546" s="655"/>
    </row>
    <row r="547" spans="1:32" ht="12" customHeight="1">
      <c r="A547" s="725" t="s">
        <v>15405</v>
      </c>
      <c r="B547" s="2">
        <v>1</v>
      </c>
      <c r="C547" s="4" t="s">
        <v>2273</v>
      </c>
      <c r="D547" s="1" t="s">
        <v>2280</v>
      </c>
      <c r="E547" s="6">
        <f t="shared" si="8"/>
        <v>52</v>
      </c>
      <c r="F547" s="2" t="s">
        <v>5</v>
      </c>
      <c r="G547" s="1" t="s">
        <v>15273</v>
      </c>
      <c r="K547" s="8" t="s">
        <v>16120</v>
      </c>
      <c r="L547" s="1" t="s">
        <v>48</v>
      </c>
      <c r="M547" s="1" t="s">
        <v>14</v>
      </c>
      <c r="N547" s="16">
        <v>1</v>
      </c>
      <c r="O547" s="17">
        <v>1</v>
      </c>
      <c r="P547" s="3" t="s">
        <v>188</v>
      </c>
      <c r="Q547" s="20">
        <v>22188</v>
      </c>
      <c r="R547" s="3" t="s">
        <v>2281</v>
      </c>
      <c r="T547" s="3" t="s">
        <v>5457</v>
      </c>
      <c r="U547" s="3" t="s">
        <v>104</v>
      </c>
      <c r="AB547" s="2" t="s">
        <v>104</v>
      </c>
      <c r="AE547" s="698"/>
      <c r="AF547" s="655"/>
    </row>
    <row r="548" spans="1:32" ht="12" customHeight="1">
      <c r="A548" s="725" t="s">
        <v>15406</v>
      </c>
      <c r="B548" s="2">
        <v>1</v>
      </c>
      <c r="C548" s="4" t="s">
        <v>2286</v>
      </c>
      <c r="D548" s="1" t="s">
        <v>2294</v>
      </c>
      <c r="E548" s="6">
        <f t="shared" si="8"/>
        <v>39</v>
      </c>
      <c r="F548" s="2" t="s">
        <v>5</v>
      </c>
      <c r="G548" s="1" t="s">
        <v>15273</v>
      </c>
      <c r="K548" s="4" t="s">
        <v>16120</v>
      </c>
      <c r="L548" s="1" t="s">
        <v>30</v>
      </c>
      <c r="M548" s="1" t="s">
        <v>6</v>
      </c>
      <c r="P548" s="3" t="s">
        <v>321</v>
      </c>
      <c r="Q548" s="20">
        <v>26666</v>
      </c>
      <c r="R548" s="3" t="s">
        <v>2295</v>
      </c>
      <c r="T548" s="3" t="s">
        <v>5457</v>
      </c>
      <c r="U548" s="3" t="s">
        <v>145</v>
      </c>
      <c r="W548" s="2" t="s">
        <v>145</v>
      </c>
      <c r="AE548" s="698"/>
      <c r="AF548" s="655"/>
    </row>
    <row r="549" spans="1:32" ht="12" customHeight="1">
      <c r="A549" s="725" t="s">
        <v>15407</v>
      </c>
      <c r="B549" s="2">
        <v>1</v>
      </c>
      <c r="C549" s="4" t="s">
        <v>2302</v>
      </c>
      <c r="D549" s="1" t="s">
        <v>2304</v>
      </c>
      <c r="E549" s="6">
        <f t="shared" si="8"/>
        <v>61</v>
      </c>
      <c r="F549" s="2" t="s">
        <v>5</v>
      </c>
      <c r="G549" s="1" t="s">
        <v>15273</v>
      </c>
      <c r="H549" s="3" t="s">
        <v>2305</v>
      </c>
      <c r="K549" s="4" t="s">
        <v>16120</v>
      </c>
      <c r="L549" s="1" t="s">
        <v>476</v>
      </c>
      <c r="M549" s="1" t="s">
        <v>25</v>
      </c>
      <c r="N549" s="16">
        <v>5</v>
      </c>
      <c r="O549" s="17">
        <v>5</v>
      </c>
      <c r="P549" s="3" t="s">
        <v>2306</v>
      </c>
      <c r="Q549" s="20">
        <v>18618</v>
      </c>
      <c r="R549" s="3" t="s">
        <v>2307</v>
      </c>
      <c r="S549" s="3" t="s">
        <v>2308</v>
      </c>
      <c r="T549" s="3" t="s">
        <v>5457</v>
      </c>
      <c r="U549" s="3" t="s">
        <v>145</v>
      </c>
      <c r="W549" s="2" t="s">
        <v>145</v>
      </c>
      <c r="AE549" s="698"/>
      <c r="AF549" s="655"/>
    </row>
    <row r="550" spans="1:32" ht="12" customHeight="1">
      <c r="A550" s="725" t="s">
        <v>15408</v>
      </c>
      <c r="B550" s="2">
        <v>1</v>
      </c>
      <c r="C550" s="4" t="s">
        <v>2319</v>
      </c>
      <c r="D550" s="1" t="s">
        <v>2321</v>
      </c>
      <c r="E550" s="6">
        <f t="shared" si="8"/>
        <v>51</v>
      </c>
      <c r="F550" s="2" t="s">
        <v>5</v>
      </c>
      <c r="G550" s="1" t="s">
        <v>15273</v>
      </c>
      <c r="H550" s="3" t="s">
        <v>2322</v>
      </c>
      <c r="K550" s="8" t="s">
        <v>16120</v>
      </c>
      <c r="L550" s="1" t="s">
        <v>30</v>
      </c>
      <c r="M550" s="1" t="s">
        <v>25</v>
      </c>
      <c r="N550" s="16">
        <v>1</v>
      </c>
      <c r="O550" s="17">
        <v>1</v>
      </c>
      <c r="P550" s="3" t="s">
        <v>2058</v>
      </c>
      <c r="Q550" s="20">
        <v>22304</v>
      </c>
      <c r="R550" s="3" t="s">
        <v>2324</v>
      </c>
      <c r="T550" s="3" t="s">
        <v>6051</v>
      </c>
      <c r="U550" s="3" t="s">
        <v>2325</v>
      </c>
      <c r="V550" s="2" t="s">
        <v>47</v>
      </c>
      <c r="X550" s="2" t="s">
        <v>75</v>
      </c>
      <c r="AB550" s="2" t="s">
        <v>104</v>
      </c>
      <c r="AE550" s="698"/>
      <c r="AF550" s="655"/>
    </row>
    <row r="551" spans="1:32" ht="12" customHeight="1">
      <c r="A551" s="725" t="s">
        <v>15409</v>
      </c>
      <c r="B551" s="2">
        <v>1</v>
      </c>
      <c r="C551" s="4" t="s">
        <v>2333</v>
      </c>
      <c r="D551" s="1" t="s">
        <v>2341</v>
      </c>
      <c r="E551" s="6">
        <f t="shared" si="8"/>
        <v>51</v>
      </c>
      <c r="F551" s="2" t="s">
        <v>5</v>
      </c>
      <c r="G551" s="1" t="s">
        <v>15273</v>
      </c>
      <c r="H551" s="3" t="s">
        <v>2342</v>
      </c>
      <c r="K551" s="23" t="s">
        <v>16120</v>
      </c>
      <c r="L551" s="1" t="s">
        <v>48</v>
      </c>
      <c r="M551" s="1" t="s">
        <v>25</v>
      </c>
      <c r="N551" s="16">
        <v>4</v>
      </c>
      <c r="O551" s="17">
        <v>5</v>
      </c>
      <c r="P551" s="3" t="s">
        <v>83</v>
      </c>
      <c r="Q551" s="20">
        <v>22406</v>
      </c>
      <c r="R551" s="3" t="s">
        <v>2344</v>
      </c>
      <c r="S551" s="3" t="s">
        <v>2348</v>
      </c>
      <c r="T551" s="3" t="s">
        <v>5457</v>
      </c>
      <c r="U551" s="3" t="s">
        <v>1569</v>
      </c>
      <c r="Y551" s="2" t="s">
        <v>229</v>
      </c>
      <c r="AA551" s="2" t="s">
        <v>85</v>
      </c>
      <c r="AE551" s="698"/>
      <c r="AF551" s="655"/>
    </row>
    <row r="552" spans="1:32" ht="12" customHeight="1">
      <c r="A552" s="725" t="s">
        <v>15410</v>
      </c>
      <c r="B552" s="2">
        <v>1</v>
      </c>
      <c r="C552" s="4" t="s">
        <v>2353</v>
      </c>
      <c r="D552" s="1" t="s">
        <v>2358</v>
      </c>
      <c r="E552" s="6">
        <f t="shared" si="8"/>
        <v>38</v>
      </c>
      <c r="F552" s="2" t="s">
        <v>5</v>
      </c>
      <c r="G552" s="1" t="s">
        <v>15273</v>
      </c>
      <c r="K552" s="8" t="s">
        <v>16120</v>
      </c>
      <c r="L552" s="1" t="s">
        <v>48</v>
      </c>
      <c r="M552" s="1" t="s">
        <v>6</v>
      </c>
      <c r="P552" s="3" t="s">
        <v>77</v>
      </c>
      <c r="Q552" s="20">
        <v>27320</v>
      </c>
      <c r="R552" s="3" t="s">
        <v>2359</v>
      </c>
      <c r="T552" s="3" t="s">
        <v>6051</v>
      </c>
      <c r="AE552" s="698"/>
      <c r="AF552" s="655"/>
    </row>
    <row r="553" spans="1:32" ht="12" customHeight="1">
      <c r="A553" s="725" t="s">
        <v>15411</v>
      </c>
      <c r="B553" s="2">
        <v>1</v>
      </c>
      <c r="C553" s="4" t="s">
        <v>2367</v>
      </c>
      <c r="D553" s="1" t="s">
        <v>2374</v>
      </c>
      <c r="E553" s="6">
        <f t="shared" si="8"/>
        <v>67</v>
      </c>
      <c r="F553" s="2" t="s">
        <v>5</v>
      </c>
      <c r="G553" s="1" t="s">
        <v>15273</v>
      </c>
      <c r="H553" s="3" t="s">
        <v>2375</v>
      </c>
      <c r="K553" s="4" t="s">
        <v>16120</v>
      </c>
      <c r="L553" s="1" t="s">
        <v>48</v>
      </c>
      <c r="M553" s="1" t="s">
        <v>25</v>
      </c>
      <c r="N553" s="16">
        <v>2</v>
      </c>
      <c r="O553" s="17">
        <v>2</v>
      </c>
      <c r="P553" s="3" t="s">
        <v>557</v>
      </c>
      <c r="Q553" s="20">
        <v>16749</v>
      </c>
      <c r="R553" s="3" t="s">
        <v>2377</v>
      </c>
      <c r="T553" s="3" t="s">
        <v>5457</v>
      </c>
      <c r="U553" s="3" t="s">
        <v>145</v>
      </c>
      <c r="W553" s="2" t="s">
        <v>145</v>
      </c>
      <c r="AE553" s="698"/>
      <c r="AF553" s="655"/>
    </row>
    <row r="554" spans="1:32" ht="12" customHeight="1">
      <c r="A554" s="725" t="s">
        <v>15412</v>
      </c>
      <c r="B554" s="2">
        <v>1</v>
      </c>
      <c r="C554" s="4" t="s">
        <v>2382</v>
      </c>
      <c r="D554" s="1" t="s">
        <v>2389</v>
      </c>
      <c r="E554" s="6">
        <f t="shared" si="8"/>
        <v>53</v>
      </c>
      <c r="F554" s="2" t="s">
        <v>19</v>
      </c>
      <c r="G554" s="1" t="s">
        <v>15273</v>
      </c>
      <c r="H554" s="3" t="s">
        <v>2390</v>
      </c>
      <c r="K554" s="4" t="s">
        <v>16120</v>
      </c>
      <c r="L554" s="1" t="s">
        <v>48</v>
      </c>
      <c r="M554" s="1" t="s">
        <v>25</v>
      </c>
      <c r="N554" s="16">
        <v>2</v>
      </c>
      <c r="O554" s="17">
        <v>2</v>
      </c>
      <c r="P554" s="3" t="s">
        <v>188</v>
      </c>
      <c r="Q554" s="20">
        <v>21601</v>
      </c>
      <c r="R554" s="3" t="s">
        <v>727</v>
      </c>
      <c r="T554" s="3" t="s">
        <v>5457</v>
      </c>
      <c r="U554" s="3" t="s">
        <v>147</v>
      </c>
      <c r="AC554" s="2" t="s">
        <v>147</v>
      </c>
      <c r="AE554" s="698"/>
      <c r="AF554" s="655"/>
    </row>
    <row r="555" spans="1:32" ht="12" customHeight="1">
      <c r="A555" s="725" t="s">
        <v>15413</v>
      </c>
      <c r="B555" s="2">
        <v>1</v>
      </c>
      <c r="C555" s="4" t="s">
        <v>2400</v>
      </c>
      <c r="D555" s="1" t="s">
        <v>2407</v>
      </c>
      <c r="E555" s="6">
        <f t="shared" si="8"/>
        <v>60</v>
      </c>
      <c r="F555" s="2" t="s">
        <v>5</v>
      </c>
      <c r="G555" s="1" t="s">
        <v>15273</v>
      </c>
      <c r="H555" s="3" t="s">
        <v>2408</v>
      </c>
      <c r="K555" s="8" t="s">
        <v>16120</v>
      </c>
      <c r="L555" s="1" t="s">
        <v>30</v>
      </c>
      <c r="M555" s="1" t="s">
        <v>25</v>
      </c>
      <c r="N555" s="16">
        <v>5</v>
      </c>
      <c r="O555" s="17">
        <v>5</v>
      </c>
      <c r="P555" s="3" t="s">
        <v>95</v>
      </c>
      <c r="Q555" s="20">
        <v>19182</v>
      </c>
      <c r="R555" s="3" t="s">
        <v>2409</v>
      </c>
      <c r="S555" s="3" t="s">
        <v>2526</v>
      </c>
      <c r="T555" s="3" t="s">
        <v>15616</v>
      </c>
      <c r="U555" s="3" t="s">
        <v>145</v>
      </c>
      <c r="W555" s="2" t="s">
        <v>145</v>
      </c>
      <c r="AE555" s="698"/>
      <c r="AF555" s="655"/>
    </row>
    <row r="556" spans="1:32" ht="12" customHeight="1">
      <c r="A556" s="725" t="s">
        <v>15414</v>
      </c>
      <c r="B556" s="2">
        <v>1</v>
      </c>
      <c r="C556" s="4" t="s">
        <v>2417</v>
      </c>
      <c r="D556" s="1" t="s">
        <v>2425</v>
      </c>
      <c r="E556" s="6">
        <f t="shared" si="8"/>
        <v>56</v>
      </c>
      <c r="F556" s="2" t="s">
        <v>5</v>
      </c>
      <c r="G556" s="1" t="s">
        <v>15273</v>
      </c>
      <c r="H556" s="3" t="s">
        <v>2426</v>
      </c>
      <c r="K556" s="23" t="s">
        <v>16120</v>
      </c>
      <c r="L556" s="1" t="s">
        <v>48</v>
      </c>
      <c r="M556" s="1" t="s">
        <v>25</v>
      </c>
      <c r="N556" s="16">
        <v>4</v>
      </c>
      <c r="O556" s="17">
        <v>4</v>
      </c>
      <c r="P556" s="3" t="s">
        <v>452</v>
      </c>
      <c r="Q556" s="20">
        <v>20470</v>
      </c>
      <c r="R556" s="3" t="s">
        <v>2427</v>
      </c>
      <c r="S556" s="3" t="s">
        <v>2428</v>
      </c>
      <c r="T556" s="3" t="s">
        <v>5457</v>
      </c>
      <c r="AE556" s="698"/>
      <c r="AF556" s="655"/>
    </row>
    <row r="557" spans="1:32" ht="12" customHeight="1">
      <c r="A557" s="725" t="s">
        <v>15415</v>
      </c>
      <c r="B557" s="2">
        <v>1</v>
      </c>
      <c r="C557" s="4" t="s">
        <v>2433</v>
      </c>
      <c r="D557" s="1" t="s">
        <v>2439</v>
      </c>
      <c r="E557" s="6">
        <f t="shared" si="8"/>
        <v>51</v>
      </c>
      <c r="F557" s="2" t="s">
        <v>5</v>
      </c>
      <c r="G557" s="1" t="s">
        <v>15273</v>
      </c>
      <c r="K557" s="8" t="s">
        <v>16120</v>
      </c>
      <c r="L557" s="1" t="s">
        <v>30</v>
      </c>
      <c r="M557" s="1" t="s">
        <v>6</v>
      </c>
      <c r="P557" s="3" t="s">
        <v>2440</v>
      </c>
      <c r="Q557" s="21">
        <v>22618</v>
      </c>
      <c r="R557" s="3" t="s">
        <v>2497</v>
      </c>
      <c r="T557" s="3" t="s">
        <v>16466</v>
      </c>
      <c r="AE557" s="698"/>
      <c r="AF557" s="655"/>
    </row>
    <row r="558" spans="1:32" ht="12" customHeight="1">
      <c r="A558" s="725" t="s">
        <v>15416</v>
      </c>
      <c r="B558" s="2">
        <v>1</v>
      </c>
      <c r="C558" s="4" t="s">
        <v>2444</v>
      </c>
      <c r="D558" s="1" t="s">
        <v>2450</v>
      </c>
      <c r="E558" s="6">
        <f t="shared" si="8"/>
        <v>56</v>
      </c>
      <c r="F558" s="2" t="s">
        <v>5</v>
      </c>
      <c r="G558" s="1" t="s">
        <v>15273</v>
      </c>
      <c r="K558" s="4" t="s">
        <v>16120</v>
      </c>
      <c r="L558" s="1" t="s">
        <v>30</v>
      </c>
      <c r="M558" s="1" t="s">
        <v>6</v>
      </c>
      <c r="P558" s="3" t="s">
        <v>317</v>
      </c>
      <c r="Q558" s="20">
        <v>20639</v>
      </c>
      <c r="R558" s="3" t="s">
        <v>2451</v>
      </c>
      <c r="T558" s="3" t="s">
        <v>5457</v>
      </c>
      <c r="U558" s="3" t="s">
        <v>47</v>
      </c>
      <c r="V558" s="2" t="s">
        <v>47</v>
      </c>
      <c r="AE558" s="698"/>
      <c r="AF558" s="655"/>
    </row>
    <row r="559" spans="1:32" ht="12" customHeight="1">
      <c r="A559" s="725" t="s">
        <v>15417</v>
      </c>
      <c r="B559" s="2">
        <v>1</v>
      </c>
      <c r="C559" s="4" t="s">
        <v>2456</v>
      </c>
      <c r="D559" s="1" t="s">
        <v>2459</v>
      </c>
      <c r="E559" s="6">
        <f t="shared" si="8"/>
        <v>48</v>
      </c>
      <c r="F559" s="2" t="s">
        <v>5</v>
      </c>
      <c r="G559" s="1" t="s">
        <v>15273</v>
      </c>
      <c r="K559" s="4" t="s">
        <v>16120</v>
      </c>
      <c r="L559" s="1" t="s">
        <v>30</v>
      </c>
      <c r="M559" s="1" t="s">
        <v>6</v>
      </c>
      <c r="P559" s="3" t="s">
        <v>95</v>
      </c>
      <c r="Q559" s="20">
        <v>23592</v>
      </c>
      <c r="R559" s="3" t="s">
        <v>2460</v>
      </c>
      <c r="U559" s="3" t="s">
        <v>635</v>
      </c>
      <c r="W559" s="2" t="s">
        <v>145</v>
      </c>
      <c r="AD559" s="2" t="s">
        <v>146</v>
      </c>
      <c r="AE559" s="698"/>
      <c r="AF559" s="655"/>
    </row>
    <row r="560" spans="1:32" ht="12" customHeight="1">
      <c r="A560" s="725" t="s">
        <v>15418</v>
      </c>
      <c r="B560" s="2">
        <v>1</v>
      </c>
      <c r="C560" s="4" t="s">
        <v>2469</v>
      </c>
      <c r="D560" s="1" t="s">
        <v>2475</v>
      </c>
      <c r="E560" s="6">
        <f t="shared" si="8"/>
        <v>57</v>
      </c>
      <c r="F560" s="2" t="s">
        <v>5</v>
      </c>
      <c r="G560" s="1" t="s">
        <v>15273</v>
      </c>
      <c r="K560" s="8" t="s">
        <v>16120</v>
      </c>
      <c r="L560" s="1" t="s">
        <v>30</v>
      </c>
      <c r="M560" s="1" t="s">
        <v>14</v>
      </c>
      <c r="N560" s="16">
        <v>3</v>
      </c>
      <c r="O560" s="17">
        <v>3</v>
      </c>
      <c r="P560" s="3" t="s">
        <v>2476</v>
      </c>
      <c r="Q560" s="20">
        <v>20432</v>
      </c>
      <c r="R560" s="3" t="s">
        <v>2477</v>
      </c>
      <c r="S560" s="3" t="s">
        <v>809</v>
      </c>
      <c r="T560" s="3" t="s">
        <v>5457</v>
      </c>
      <c r="U560" s="3" t="s">
        <v>47</v>
      </c>
      <c r="V560" s="2" t="s">
        <v>47</v>
      </c>
      <c r="AE560" s="698"/>
      <c r="AF560" s="655"/>
    </row>
    <row r="561" spans="1:32" ht="12" customHeight="1">
      <c r="A561" s="725" t="s">
        <v>15419</v>
      </c>
      <c r="B561" s="2">
        <v>1</v>
      </c>
      <c r="C561" s="4" t="s">
        <v>2485</v>
      </c>
      <c r="D561" s="1" t="s">
        <v>2488</v>
      </c>
      <c r="E561" s="6">
        <f t="shared" si="8"/>
        <v>54</v>
      </c>
      <c r="F561" s="2" t="s">
        <v>5</v>
      </c>
      <c r="G561" s="1" t="s">
        <v>15273</v>
      </c>
      <c r="K561" s="23" t="s">
        <v>16120</v>
      </c>
      <c r="L561" s="1" t="s">
        <v>48</v>
      </c>
      <c r="M561" s="1" t="s">
        <v>14</v>
      </c>
      <c r="N561" s="16">
        <v>2</v>
      </c>
      <c r="O561" s="17">
        <v>2</v>
      </c>
      <c r="P561" s="3" t="s">
        <v>317</v>
      </c>
      <c r="Q561" s="20">
        <v>21398</v>
      </c>
      <c r="R561" s="3" t="s">
        <v>2490</v>
      </c>
      <c r="S561" s="3" t="s">
        <v>2489</v>
      </c>
      <c r="U561" s="3" t="s">
        <v>104</v>
      </c>
      <c r="AB561" s="2" t="s">
        <v>104</v>
      </c>
      <c r="AE561" s="698"/>
      <c r="AF561" s="655"/>
    </row>
    <row r="562" spans="1:32" ht="12" customHeight="1">
      <c r="A562" s="725" t="s">
        <v>15420</v>
      </c>
      <c r="B562" s="2">
        <v>21</v>
      </c>
      <c r="C562" s="2"/>
      <c r="D562" s="2" t="s">
        <v>6084</v>
      </c>
      <c r="E562" s="6">
        <f t="shared" si="8"/>
        <v>62</v>
      </c>
      <c r="F562" s="2" t="s">
        <v>5</v>
      </c>
      <c r="G562" s="2" t="s">
        <v>6067</v>
      </c>
      <c r="H562" s="22"/>
      <c r="I562" s="2"/>
      <c r="J562" s="2"/>
      <c r="K562" s="8" t="s">
        <v>16120</v>
      </c>
      <c r="L562" s="2" t="s">
        <v>5247</v>
      </c>
      <c r="M562" s="2" t="s">
        <v>6</v>
      </c>
      <c r="N562" s="24"/>
      <c r="O562" s="25"/>
      <c r="P562" s="22" t="s">
        <v>381</v>
      </c>
      <c r="Q562" s="21">
        <v>18406</v>
      </c>
      <c r="R562" s="22" t="s">
        <v>6085</v>
      </c>
      <c r="S562" s="22"/>
      <c r="T562" s="22"/>
      <c r="U562" s="22"/>
      <c r="AE562" s="698"/>
      <c r="AF562" s="655"/>
    </row>
    <row r="563" spans="1:32" ht="12" customHeight="1">
      <c r="A563" s="725" t="s">
        <v>15421</v>
      </c>
      <c r="B563" s="2">
        <v>22</v>
      </c>
      <c r="C563" s="2"/>
      <c r="D563" s="2" t="s">
        <v>15256</v>
      </c>
      <c r="E563" s="6">
        <f t="shared" si="8"/>
        <v>52</v>
      </c>
      <c r="F563" s="2" t="s">
        <v>5</v>
      </c>
      <c r="G563" s="2" t="s">
        <v>6067</v>
      </c>
      <c r="H563" s="22"/>
      <c r="I563" s="2"/>
      <c r="J563" s="2"/>
      <c r="K563" s="4" t="s">
        <v>16120</v>
      </c>
      <c r="L563" s="2" t="s">
        <v>5247</v>
      </c>
      <c r="M563" s="2" t="s">
        <v>6</v>
      </c>
      <c r="N563" s="24"/>
      <c r="O563" s="25"/>
      <c r="P563" s="22" t="s">
        <v>16381</v>
      </c>
      <c r="Q563" s="21">
        <v>21925</v>
      </c>
      <c r="R563" s="22" t="s">
        <v>6086</v>
      </c>
      <c r="S563" s="22"/>
      <c r="T563" s="22"/>
      <c r="U563" s="22"/>
      <c r="AE563" s="698"/>
      <c r="AF563" s="655"/>
    </row>
    <row r="564" spans="1:32" ht="12" customHeight="1">
      <c r="A564" s="725" t="s">
        <v>15422</v>
      </c>
      <c r="B564" s="2">
        <v>23</v>
      </c>
      <c r="C564" s="2"/>
      <c r="D564" s="2" t="s">
        <v>6087</v>
      </c>
      <c r="E564" s="6">
        <f t="shared" si="8"/>
        <v>52</v>
      </c>
      <c r="F564" s="2" t="s">
        <v>5</v>
      </c>
      <c r="G564" s="2" t="s">
        <v>6067</v>
      </c>
      <c r="H564" s="22"/>
      <c r="I564" s="2"/>
      <c r="J564" s="2"/>
      <c r="K564" s="4" t="s">
        <v>16120</v>
      </c>
      <c r="L564" s="2" t="s">
        <v>5247</v>
      </c>
      <c r="M564" s="2" t="s">
        <v>6</v>
      </c>
      <c r="N564" s="24"/>
      <c r="O564" s="25"/>
      <c r="P564" s="22" t="s">
        <v>16382</v>
      </c>
      <c r="Q564" s="21">
        <v>21986</v>
      </c>
      <c r="R564" s="22" t="s">
        <v>6088</v>
      </c>
      <c r="S564" s="22"/>
      <c r="T564" s="22"/>
      <c r="U564" s="22"/>
      <c r="AE564" s="698"/>
      <c r="AF564" s="655"/>
    </row>
    <row r="565" spans="1:32" ht="12" customHeight="1">
      <c r="A565" s="725" t="s">
        <v>15423</v>
      </c>
      <c r="B565" s="2">
        <v>24</v>
      </c>
      <c r="C565" s="2"/>
      <c r="D565" s="2" t="s">
        <v>6089</v>
      </c>
      <c r="E565" s="6">
        <f t="shared" si="8"/>
        <v>63</v>
      </c>
      <c r="F565" s="2" t="s">
        <v>5</v>
      </c>
      <c r="G565" s="2" t="s">
        <v>6067</v>
      </c>
      <c r="H565" s="22"/>
      <c r="I565" s="2"/>
      <c r="J565" s="2"/>
      <c r="K565" s="8" t="s">
        <v>16120</v>
      </c>
      <c r="L565" s="2" t="s">
        <v>5247</v>
      </c>
      <c r="M565" s="2" t="s">
        <v>6</v>
      </c>
      <c r="N565" s="24"/>
      <c r="O565" s="25"/>
      <c r="P565" s="22" t="s">
        <v>6090</v>
      </c>
      <c r="Q565" s="21">
        <v>17977</v>
      </c>
      <c r="R565" s="22" t="s">
        <v>6091</v>
      </c>
      <c r="S565" s="22"/>
      <c r="T565" s="22"/>
      <c r="U565" s="22"/>
      <c r="AE565" s="698"/>
      <c r="AF565" s="655"/>
    </row>
    <row r="566" spans="1:32" ht="12" customHeight="1" thickBot="1">
      <c r="A566" s="726" t="s">
        <v>15424</v>
      </c>
      <c r="B566" s="702">
        <v>25</v>
      </c>
      <c r="C566" s="702"/>
      <c r="D566" s="702" t="s">
        <v>6092</v>
      </c>
      <c r="E566" s="701">
        <f t="shared" si="8"/>
        <v>57</v>
      </c>
      <c r="F566" s="702" t="s">
        <v>5</v>
      </c>
      <c r="G566" s="702" t="s">
        <v>6067</v>
      </c>
      <c r="H566" s="720"/>
      <c r="I566" s="702"/>
      <c r="J566" s="702"/>
      <c r="K566" s="770" t="s">
        <v>16120</v>
      </c>
      <c r="L566" s="702" t="s">
        <v>5247</v>
      </c>
      <c r="M566" s="702" t="s">
        <v>6</v>
      </c>
      <c r="N566" s="721"/>
      <c r="O566" s="722"/>
      <c r="P566" s="720" t="s">
        <v>675</v>
      </c>
      <c r="Q566" s="723">
        <v>20236</v>
      </c>
      <c r="R566" s="720" t="s">
        <v>16404</v>
      </c>
      <c r="S566" s="720"/>
      <c r="T566" s="720"/>
      <c r="U566" s="720"/>
      <c r="V566" s="702"/>
      <c r="W566" s="702"/>
      <c r="X566" s="702"/>
      <c r="Y566" s="702"/>
      <c r="Z566" s="702"/>
      <c r="AA566" s="702"/>
      <c r="AB566" s="702"/>
      <c r="AC566" s="702"/>
      <c r="AD566" s="702"/>
      <c r="AE566" s="708"/>
      <c r="AF566" s="655"/>
    </row>
    <row r="567" spans="1:32" ht="12" customHeight="1">
      <c r="A567" s="780" t="s">
        <v>16383</v>
      </c>
      <c r="B567" s="696">
        <v>1</v>
      </c>
      <c r="C567" s="688" t="s">
        <v>2188</v>
      </c>
      <c r="D567" s="687" t="s">
        <v>2538</v>
      </c>
      <c r="E567" s="690">
        <f t="shared" si="8"/>
        <v>31</v>
      </c>
      <c r="F567" s="696" t="s">
        <v>5</v>
      </c>
      <c r="G567" s="687" t="s">
        <v>15273</v>
      </c>
      <c r="H567" s="747"/>
      <c r="I567" s="687"/>
      <c r="J567" s="687"/>
      <c r="K567" s="688" t="s">
        <v>16125</v>
      </c>
      <c r="L567" s="687"/>
      <c r="M567" s="687" t="s">
        <v>6</v>
      </c>
      <c r="N567" s="748"/>
      <c r="O567" s="749"/>
      <c r="P567" s="747" t="s">
        <v>2253</v>
      </c>
      <c r="Q567" s="773">
        <v>29748</v>
      </c>
      <c r="R567" s="747" t="s">
        <v>5641</v>
      </c>
      <c r="S567" s="747"/>
      <c r="T567" s="747" t="s">
        <v>5561</v>
      </c>
      <c r="U567" s="747"/>
      <c r="V567" s="696"/>
      <c r="W567" s="696"/>
      <c r="X567" s="696"/>
      <c r="Y567" s="696"/>
      <c r="Z567" s="696"/>
      <c r="AA567" s="696"/>
      <c r="AB567" s="696"/>
      <c r="AC567" s="696"/>
      <c r="AD567" s="696"/>
      <c r="AE567" s="697"/>
      <c r="AF567" s="655"/>
    </row>
    <row r="568" spans="1:32" ht="12" customHeight="1">
      <c r="A568" s="790" t="s">
        <v>16384</v>
      </c>
      <c r="B568" s="2">
        <v>1</v>
      </c>
      <c r="C568" s="4" t="s">
        <v>2470</v>
      </c>
      <c r="D568" s="1" t="s">
        <v>2478</v>
      </c>
      <c r="E568" s="6">
        <f t="shared" si="8"/>
        <v>43</v>
      </c>
      <c r="F568" s="2" t="s">
        <v>5</v>
      </c>
      <c r="G568" s="1" t="s">
        <v>15273</v>
      </c>
      <c r="K568" s="4" t="s">
        <v>16125</v>
      </c>
      <c r="M568" s="1" t="s">
        <v>6</v>
      </c>
      <c r="P568" s="3" t="s">
        <v>2479</v>
      </c>
      <c r="Q568" s="20">
        <v>25261</v>
      </c>
      <c r="R568" s="3" t="s">
        <v>2480</v>
      </c>
      <c r="T568" s="3" t="s">
        <v>5561</v>
      </c>
      <c r="AE568" s="698"/>
      <c r="AF568" s="655"/>
    </row>
    <row r="569" spans="1:32" ht="12" customHeight="1" thickBot="1">
      <c r="A569" s="782" t="s">
        <v>16385</v>
      </c>
      <c r="B569" s="702">
        <v>1</v>
      </c>
      <c r="C569" s="700" t="s">
        <v>2486</v>
      </c>
      <c r="D569" s="699" t="s">
        <v>2491</v>
      </c>
      <c r="E569" s="701">
        <f t="shared" si="8"/>
        <v>43</v>
      </c>
      <c r="F569" s="702" t="s">
        <v>5</v>
      </c>
      <c r="G569" s="699" t="s">
        <v>15273</v>
      </c>
      <c r="H569" s="703" t="s">
        <v>2492</v>
      </c>
      <c r="I569" s="699"/>
      <c r="J569" s="699"/>
      <c r="K569" s="700" t="s">
        <v>16125</v>
      </c>
      <c r="L569" s="699"/>
      <c r="M569" s="699" t="s">
        <v>25</v>
      </c>
      <c r="N569" s="705">
        <v>1</v>
      </c>
      <c r="O569" s="706">
        <v>1</v>
      </c>
      <c r="P569" s="703" t="s">
        <v>188</v>
      </c>
      <c r="Q569" s="707">
        <v>25189</v>
      </c>
      <c r="R569" s="703" t="s">
        <v>2493</v>
      </c>
      <c r="S569" s="703"/>
      <c r="T569" s="703" t="s">
        <v>5561</v>
      </c>
      <c r="U569" s="703" t="s">
        <v>155</v>
      </c>
      <c r="V569" s="702"/>
      <c r="W569" s="702"/>
      <c r="X569" s="702"/>
      <c r="Y569" s="702"/>
      <c r="Z569" s="702" t="s">
        <v>155</v>
      </c>
      <c r="AA569" s="702"/>
      <c r="AB569" s="702"/>
      <c r="AC569" s="702"/>
      <c r="AD569" s="702"/>
      <c r="AE569" s="708"/>
      <c r="AF569" s="655"/>
    </row>
    <row r="570" spans="1:32" ht="12" customHeight="1">
      <c r="A570" s="745" t="s">
        <v>2510</v>
      </c>
      <c r="B570" s="696">
        <v>1</v>
      </c>
      <c r="C570" s="696"/>
      <c r="D570" s="690" t="s">
        <v>2511</v>
      </c>
      <c r="E570" s="690">
        <f t="shared" si="8"/>
        <v>68</v>
      </c>
      <c r="F570" s="690" t="s">
        <v>5</v>
      </c>
      <c r="G570" s="696" t="s">
        <v>6067</v>
      </c>
      <c r="H570" s="735" t="s">
        <v>2512</v>
      </c>
      <c r="I570" s="690"/>
      <c r="J570" s="736"/>
      <c r="K570" s="716" t="s">
        <v>16118</v>
      </c>
      <c r="L570" s="690"/>
      <c r="M570" s="690" t="s">
        <v>25</v>
      </c>
      <c r="N570" s="737">
        <v>5</v>
      </c>
      <c r="O570" s="738">
        <v>5</v>
      </c>
      <c r="P570" s="735" t="s">
        <v>2513</v>
      </c>
      <c r="Q570" s="739">
        <v>16394</v>
      </c>
      <c r="R570" s="735" t="s">
        <v>727</v>
      </c>
      <c r="S570" s="735" t="s">
        <v>2515</v>
      </c>
      <c r="T570" s="735"/>
      <c r="U570" s="715" t="s">
        <v>147</v>
      </c>
      <c r="V570" s="696"/>
      <c r="W570" s="696"/>
      <c r="X570" s="696"/>
      <c r="Y570" s="696"/>
      <c r="Z570" s="696"/>
      <c r="AA570" s="696"/>
      <c r="AB570" s="696"/>
      <c r="AC570" s="696" t="s">
        <v>2514</v>
      </c>
      <c r="AD570" s="696"/>
      <c r="AE570" s="697"/>
      <c r="AF570" s="655"/>
    </row>
    <row r="571" spans="1:32" ht="12" customHeight="1" thickBot="1">
      <c r="A571" s="746" t="s">
        <v>5910</v>
      </c>
      <c r="B571" s="702">
        <v>2</v>
      </c>
      <c r="C571" s="702"/>
      <c r="D571" s="701" t="s">
        <v>5911</v>
      </c>
      <c r="E571" s="701">
        <f t="shared" si="8"/>
        <v>39</v>
      </c>
      <c r="F571" s="701" t="s">
        <v>5</v>
      </c>
      <c r="G571" s="702" t="s">
        <v>6067</v>
      </c>
      <c r="H571" s="740"/>
      <c r="I571" s="701"/>
      <c r="J571" s="741"/>
      <c r="K571" s="704" t="s">
        <v>16118</v>
      </c>
      <c r="L571" s="701"/>
      <c r="M571" s="701" t="s">
        <v>6</v>
      </c>
      <c r="N571" s="742"/>
      <c r="O571" s="743"/>
      <c r="P571" s="740" t="s">
        <v>2123</v>
      </c>
      <c r="Q571" s="744">
        <v>26887</v>
      </c>
      <c r="R571" s="740" t="s">
        <v>5912</v>
      </c>
      <c r="S571" s="740"/>
      <c r="T571" s="740"/>
      <c r="U571" s="720"/>
      <c r="V571" s="702"/>
      <c r="W571" s="702"/>
      <c r="X571" s="702"/>
      <c r="Y571" s="702"/>
      <c r="Z571" s="702"/>
      <c r="AA571" s="702"/>
      <c r="AB571" s="702"/>
      <c r="AC571" s="702"/>
      <c r="AD571" s="702"/>
      <c r="AE571" s="708"/>
      <c r="AF571" s="655"/>
    </row>
    <row r="572" spans="1:32" ht="12" customHeight="1">
      <c r="A572" s="750" t="s">
        <v>5865</v>
      </c>
      <c r="B572" s="696">
        <v>1</v>
      </c>
      <c r="C572" s="696"/>
      <c r="D572" s="690" t="s">
        <v>5866</v>
      </c>
      <c r="E572" s="690">
        <f t="shared" si="8"/>
        <v>48</v>
      </c>
      <c r="F572" s="690" t="s">
        <v>5</v>
      </c>
      <c r="G572" s="696" t="s">
        <v>6067</v>
      </c>
      <c r="H572" s="735"/>
      <c r="I572" s="690"/>
      <c r="J572" s="736"/>
      <c r="K572" s="692" t="s">
        <v>16130</v>
      </c>
      <c r="L572" s="690" t="s">
        <v>5867</v>
      </c>
      <c r="M572" s="690" t="s">
        <v>14</v>
      </c>
      <c r="N572" s="737">
        <v>3</v>
      </c>
      <c r="O572" s="738">
        <v>3</v>
      </c>
      <c r="P572" s="735" t="s">
        <v>452</v>
      </c>
      <c r="Q572" s="739">
        <v>23640</v>
      </c>
      <c r="R572" s="735" t="s">
        <v>5868</v>
      </c>
      <c r="S572" s="735" t="s">
        <v>5869</v>
      </c>
      <c r="T572" s="735"/>
      <c r="U572" s="715" t="s">
        <v>5870</v>
      </c>
      <c r="V572" s="696"/>
      <c r="W572" s="696"/>
      <c r="X572" s="696" t="s">
        <v>5810</v>
      </c>
      <c r="Y572" s="696"/>
      <c r="Z572" s="696"/>
      <c r="AA572" s="696"/>
      <c r="AB572" s="696"/>
      <c r="AC572" s="696"/>
      <c r="AD572" s="696" t="s">
        <v>5871</v>
      </c>
      <c r="AE572" s="697"/>
      <c r="AF572" s="655"/>
    </row>
    <row r="573" spans="1:32" ht="12" customHeight="1">
      <c r="A573" s="751" t="s">
        <v>16386</v>
      </c>
      <c r="B573" s="2">
        <v>2</v>
      </c>
      <c r="C573" s="4" t="s">
        <v>2237</v>
      </c>
      <c r="D573" s="1" t="s">
        <v>2252</v>
      </c>
      <c r="E573" s="6">
        <f t="shared" si="8"/>
        <v>64</v>
      </c>
      <c r="F573" s="2" t="s">
        <v>5</v>
      </c>
      <c r="G573" s="1" t="s">
        <v>15273</v>
      </c>
      <c r="K573" s="4" t="s">
        <v>16116</v>
      </c>
      <c r="L573" s="1" t="s">
        <v>276</v>
      </c>
      <c r="M573" s="1" t="s">
        <v>14</v>
      </c>
      <c r="N573" s="16">
        <v>3</v>
      </c>
      <c r="O573" s="17">
        <v>3</v>
      </c>
      <c r="P573" s="3" t="s">
        <v>2253</v>
      </c>
      <c r="Q573" s="20">
        <v>17615</v>
      </c>
      <c r="R573" s="3" t="s">
        <v>2254</v>
      </c>
      <c r="S573" s="3" t="s">
        <v>2255</v>
      </c>
      <c r="AE573" s="698"/>
      <c r="AF573" s="655"/>
    </row>
    <row r="574" spans="1:32" ht="12" customHeight="1">
      <c r="A574" s="751" t="s">
        <v>16387</v>
      </c>
      <c r="B574" s="2">
        <v>2</v>
      </c>
      <c r="C574" s="4" t="s">
        <v>2258</v>
      </c>
      <c r="D574" s="1" t="s">
        <v>5404</v>
      </c>
      <c r="E574" s="6">
        <f t="shared" si="8"/>
        <v>45</v>
      </c>
      <c r="F574" s="2" t="s">
        <v>5</v>
      </c>
      <c r="G574" s="1" t="s">
        <v>15273</v>
      </c>
      <c r="K574" s="4" t="s">
        <v>16116</v>
      </c>
      <c r="L574" s="1" t="s">
        <v>276</v>
      </c>
      <c r="M574" s="1" t="s">
        <v>6</v>
      </c>
      <c r="P574" s="3" t="s">
        <v>462</v>
      </c>
      <c r="Q574" s="21">
        <v>24723</v>
      </c>
      <c r="R574" s="3" t="s">
        <v>5406</v>
      </c>
      <c r="T574" s="3" t="s">
        <v>469</v>
      </c>
      <c r="U574" s="3" t="s">
        <v>147</v>
      </c>
      <c r="AC574" s="2" t="s">
        <v>147</v>
      </c>
      <c r="AE574" s="698"/>
      <c r="AF574" s="655"/>
    </row>
    <row r="575" spans="1:32" ht="12" customHeight="1">
      <c r="A575" s="751" t="s">
        <v>16388</v>
      </c>
      <c r="B575" s="2">
        <v>2</v>
      </c>
      <c r="C575" s="4" t="s">
        <v>5210</v>
      </c>
      <c r="D575" s="1" t="s">
        <v>5211</v>
      </c>
      <c r="E575" s="6">
        <f t="shared" si="8"/>
        <v>31</v>
      </c>
      <c r="F575" s="2" t="s">
        <v>5</v>
      </c>
      <c r="G575" s="1" t="s">
        <v>15273</v>
      </c>
      <c r="K575" s="4" t="s">
        <v>16116</v>
      </c>
      <c r="L575" s="1" t="s">
        <v>4997</v>
      </c>
      <c r="M575" s="1" t="s">
        <v>6</v>
      </c>
      <c r="P575" s="3" t="s">
        <v>317</v>
      </c>
      <c r="Q575" s="21">
        <v>29792</v>
      </c>
      <c r="R575" s="3" t="s">
        <v>5213</v>
      </c>
      <c r="T575" s="3" t="s">
        <v>469</v>
      </c>
      <c r="AE575" s="698"/>
      <c r="AF575" s="655"/>
    </row>
    <row r="576" spans="1:32" ht="12" customHeight="1">
      <c r="A576" s="751" t="s">
        <v>16389</v>
      </c>
      <c r="B576" s="2">
        <v>2</v>
      </c>
      <c r="C576" s="4" t="s">
        <v>2383</v>
      </c>
      <c r="D576" s="1" t="s">
        <v>5328</v>
      </c>
      <c r="E576" s="6">
        <f t="shared" si="8"/>
        <v>39</v>
      </c>
      <c r="F576" s="2" t="s">
        <v>5</v>
      </c>
      <c r="G576" s="1" t="s">
        <v>15273</v>
      </c>
      <c r="K576" s="4" t="s">
        <v>16116</v>
      </c>
      <c r="L576" s="1" t="s">
        <v>4422</v>
      </c>
      <c r="M576" s="1" t="s">
        <v>6</v>
      </c>
      <c r="P576" s="3" t="s">
        <v>2551</v>
      </c>
      <c r="Q576" s="21">
        <v>26993</v>
      </c>
      <c r="R576" s="3" t="s">
        <v>5330</v>
      </c>
      <c r="T576" s="3" t="s">
        <v>469</v>
      </c>
      <c r="U576" s="3" t="s">
        <v>145</v>
      </c>
      <c r="W576" s="2" t="s">
        <v>145</v>
      </c>
      <c r="AE576" s="698"/>
      <c r="AF576" s="655"/>
    </row>
    <row r="577" spans="1:32" ht="12" customHeight="1">
      <c r="A577" s="751" t="s">
        <v>16390</v>
      </c>
      <c r="B577" s="2">
        <v>2</v>
      </c>
      <c r="C577" s="4" t="s">
        <v>2418</v>
      </c>
      <c r="D577" s="1" t="s">
        <v>5408</v>
      </c>
      <c r="E577" s="6">
        <f t="shared" si="8"/>
        <v>38</v>
      </c>
      <c r="F577" s="2" t="s">
        <v>5</v>
      </c>
      <c r="G577" s="1" t="s">
        <v>15273</v>
      </c>
      <c r="K577" s="4" t="s">
        <v>16116</v>
      </c>
      <c r="L577" s="1" t="s">
        <v>4997</v>
      </c>
      <c r="M577" s="1" t="s">
        <v>6</v>
      </c>
      <c r="P577" s="3" t="s">
        <v>3009</v>
      </c>
      <c r="Q577" s="20">
        <v>27186</v>
      </c>
      <c r="R577" s="3" t="s">
        <v>16304</v>
      </c>
      <c r="T577" s="3" t="s">
        <v>469</v>
      </c>
      <c r="AE577" s="698"/>
      <c r="AF577" s="655"/>
    </row>
    <row r="578" spans="1:32" ht="12" customHeight="1">
      <c r="A578" s="751" t="s">
        <v>16391</v>
      </c>
      <c r="B578" s="2">
        <v>2</v>
      </c>
      <c r="C578" s="4" t="s">
        <v>2434</v>
      </c>
      <c r="D578" s="1" t="s">
        <v>5611</v>
      </c>
      <c r="E578" s="6">
        <f t="shared" ref="E578:E641" si="9">DATEDIF(Q578,$Q$1119,"Y")</f>
        <v>57</v>
      </c>
      <c r="F578" s="2" t="s">
        <v>5</v>
      </c>
      <c r="G578" s="1" t="s">
        <v>15273</v>
      </c>
      <c r="K578" s="4" t="s">
        <v>16116</v>
      </c>
      <c r="L578" s="1" t="s">
        <v>4997</v>
      </c>
      <c r="M578" s="1" t="s">
        <v>6</v>
      </c>
      <c r="P578" s="3" t="s">
        <v>5612</v>
      </c>
      <c r="Q578" s="21">
        <v>20130</v>
      </c>
      <c r="R578" s="3" t="s">
        <v>5695</v>
      </c>
      <c r="T578" s="3" t="s">
        <v>469</v>
      </c>
      <c r="AE578" s="698"/>
      <c r="AF578" s="655"/>
    </row>
    <row r="579" spans="1:32" ht="12" customHeight="1">
      <c r="A579" s="751" t="s">
        <v>16392</v>
      </c>
      <c r="B579" s="2">
        <v>2</v>
      </c>
      <c r="C579" s="4" t="s">
        <v>2445</v>
      </c>
      <c r="D579" s="1" t="s">
        <v>5297</v>
      </c>
      <c r="E579" s="6">
        <f t="shared" si="9"/>
        <v>29</v>
      </c>
      <c r="F579" s="2" t="s">
        <v>5</v>
      </c>
      <c r="G579" s="1" t="s">
        <v>15273</v>
      </c>
      <c r="K579" s="4" t="s">
        <v>16116</v>
      </c>
      <c r="L579" s="1" t="s">
        <v>4997</v>
      </c>
      <c r="M579" s="1" t="s">
        <v>6</v>
      </c>
      <c r="P579" s="3" t="s">
        <v>5299</v>
      </c>
      <c r="Q579" s="21">
        <v>30351</v>
      </c>
      <c r="R579" s="3" t="s">
        <v>5851</v>
      </c>
      <c r="T579" s="3" t="s">
        <v>469</v>
      </c>
      <c r="AE579" s="698"/>
      <c r="AF579" s="655"/>
    </row>
    <row r="580" spans="1:32" ht="12" customHeight="1">
      <c r="A580" s="751" t="s">
        <v>16393</v>
      </c>
      <c r="B580" s="2">
        <v>2</v>
      </c>
      <c r="C580" s="4" t="s">
        <v>2457</v>
      </c>
      <c r="D580" s="1" t="s">
        <v>5301</v>
      </c>
      <c r="E580" s="6">
        <f t="shared" si="9"/>
        <v>44</v>
      </c>
      <c r="F580" s="2" t="s">
        <v>5</v>
      </c>
      <c r="G580" s="1" t="s">
        <v>15273</v>
      </c>
      <c r="K580" s="4" t="s">
        <v>16116</v>
      </c>
      <c r="L580" s="1" t="s">
        <v>4997</v>
      </c>
      <c r="M580" s="1" t="s">
        <v>6</v>
      </c>
      <c r="P580" s="3" t="s">
        <v>188</v>
      </c>
      <c r="Q580" s="20">
        <v>24938</v>
      </c>
      <c r="R580" s="3" t="s">
        <v>2207</v>
      </c>
      <c r="AE580" s="698"/>
      <c r="AF580" s="655"/>
    </row>
    <row r="581" spans="1:32" ht="12" customHeight="1" thickBot="1">
      <c r="A581" s="752" t="s">
        <v>15664</v>
      </c>
      <c r="B581" s="702">
        <v>10</v>
      </c>
      <c r="C581" s="702"/>
      <c r="D581" s="701" t="s">
        <v>15665</v>
      </c>
      <c r="E581" s="701">
        <f t="shared" si="9"/>
        <v>33</v>
      </c>
      <c r="F581" s="701" t="s">
        <v>5</v>
      </c>
      <c r="G581" s="702" t="s">
        <v>6067</v>
      </c>
      <c r="H581" s="740"/>
      <c r="I581" s="701"/>
      <c r="J581" s="741"/>
      <c r="K581" s="704" t="s">
        <v>16130</v>
      </c>
      <c r="L581" s="701" t="s">
        <v>4993</v>
      </c>
      <c r="M581" s="701" t="s">
        <v>6</v>
      </c>
      <c r="N581" s="742"/>
      <c r="O581" s="743"/>
      <c r="P581" s="740" t="s">
        <v>16394</v>
      </c>
      <c r="Q581" s="744">
        <v>29197</v>
      </c>
      <c r="R581" s="740" t="s">
        <v>15666</v>
      </c>
      <c r="S581" s="740"/>
      <c r="T581" s="740"/>
      <c r="U581" s="720"/>
      <c r="V581" s="702"/>
      <c r="W581" s="702"/>
      <c r="X581" s="702"/>
      <c r="Y581" s="702"/>
      <c r="Z581" s="702"/>
      <c r="AA581" s="702"/>
      <c r="AB581" s="702"/>
      <c r="AC581" s="702"/>
      <c r="AD581" s="702"/>
      <c r="AE581" s="708"/>
      <c r="AF581" s="655"/>
    </row>
    <row r="582" spans="1:32" ht="12" customHeight="1">
      <c r="A582" s="794" t="s">
        <v>16395</v>
      </c>
      <c r="B582" s="696">
        <v>1</v>
      </c>
      <c r="C582" s="688" t="s">
        <v>2401</v>
      </c>
      <c r="D582" s="687" t="s">
        <v>2414</v>
      </c>
      <c r="E582" s="690">
        <f t="shared" si="9"/>
        <v>42</v>
      </c>
      <c r="F582" s="696" t="s">
        <v>5</v>
      </c>
      <c r="G582" s="687" t="s">
        <v>15273</v>
      </c>
      <c r="H582" s="747"/>
      <c r="I582" s="687"/>
      <c r="J582" s="687"/>
      <c r="K582" s="688" t="s">
        <v>16128</v>
      </c>
      <c r="L582" s="687"/>
      <c r="M582" s="687" t="s">
        <v>6</v>
      </c>
      <c r="N582" s="748"/>
      <c r="O582" s="749"/>
      <c r="P582" s="747" t="s">
        <v>7</v>
      </c>
      <c r="Q582" s="773">
        <v>25752</v>
      </c>
      <c r="R582" s="747" t="s">
        <v>2415</v>
      </c>
      <c r="S582" s="747"/>
      <c r="T582" s="747" t="s">
        <v>6031</v>
      </c>
      <c r="U582" s="747"/>
      <c r="V582" s="696"/>
      <c r="W582" s="696"/>
      <c r="X582" s="696"/>
      <c r="Y582" s="696"/>
      <c r="Z582" s="696"/>
      <c r="AA582" s="696"/>
      <c r="AB582" s="696"/>
      <c r="AC582" s="696"/>
      <c r="AD582" s="696"/>
      <c r="AE582" s="697"/>
      <c r="AF582" s="655"/>
    </row>
    <row r="583" spans="1:32" ht="12" customHeight="1" thickBot="1">
      <c r="A583" s="795" t="s">
        <v>16396</v>
      </c>
      <c r="B583" s="702">
        <v>1</v>
      </c>
      <c r="C583" s="700" t="s">
        <v>2458</v>
      </c>
      <c r="D583" s="699" t="s">
        <v>2464</v>
      </c>
      <c r="E583" s="701">
        <f t="shared" si="9"/>
        <v>35</v>
      </c>
      <c r="F583" s="702" t="s">
        <v>5</v>
      </c>
      <c r="G583" s="699" t="s">
        <v>15273</v>
      </c>
      <c r="H583" s="703"/>
      <c r="I583" s="699"/>
      <c r="J583" s="699"/>
      <c r="K583" s="700" t="s">
        <v>16128</v>
      </c>
      <c r="L583" s="699"/>
      <c r="M583" s="699" t="s">
        <v>6</v>
      </c>
      <c r="N583" s="705"/>
      <c r="O583" s="706"/>
      <c r="P583" s="703" t="s">
        <v>317</v>
      </c>
      <c r="Q583" s="707">
        <v>28450</v>
      </c>
      <c r="R583" s="703" t="s">
        <v>1050</v>
      </c>
      <c r="S583" s="703"/>
      <c r="T583" s="703"/>
      <c r="U583" s="703" t="s">
        <v>258</v>
      </c>
      <c r="V583" s="702"/>
      <c r="W583" s="702"/>
      <c r="X583" s="702"/>
      <c r="Y583" s="702"/>
      <c r="Z583" s="702" t="s">
        <v>155</v>
      </c>
      <c r="AA583" s="702"/>
      <c r="AB583" s="702" t="s">
        <v>104</v>
      </c>
      <c r="AC583" s="702"/>
      <c r="AD583" s="702"/>
      <c r="AE583" s="708"/>
      <c r="AF583" s="655"/>
    </row>
    <row r="584" spans="1:32" ht="12" customHeight="1">
      <c r="A584" s="760" t="s">
        <v>5670</v>
      </c>
      <c r="B584" s="696">
        <v>1</v>
      </c>
      <c r="C584" s="696"/>
      <c r="D584" s="696" t="s">
        <v>2534</v>
      </c>
      <c r="E584" s="690">
        <f t="shared" si="9"/>
        <v>42</v>
      </c>
      <c r="F584" s="696" t="s">
        <v>5</v>
      </c>
      <c r="G584" s="696" t="s">
        <v>6067</v>
      </c>
      <c r="H584" s="715"/>
      <c r="I584" s="696"/>
      <c r="J584" s="696"/>
      <c r="K584" s="692" t="s">
        <v>16117</v>
      </c>
      <c r="L584" s="696"/>
      <c r="M584" s="696" t="s">
        <v>6</v>
      </c>
      <c r="N584" s="717"/>
      <c r="O584" s="718"/>
      <c r="P584" s="715" t="s">
        <v>2535</v>
      </c>
      <c r="Q584" s="719">
        <v>25723</v>
      </c>
      <c r="R584" s="715" t="s">
        <v>2536</v>
      </c>
      <c r="S584" s="715"/>
      <c r="T584" s="715"/>
      <c r="U584" s="715"/>
      <c r="V584" s="696"/>
      <c r="W584" s="696"/>
      <c r="X584" s="696"/>
      <c r="Y584" s="696"/>
      <c r="Z584" s="696"/>
      <c r="AA584" s="696"/>
      <c r="AB584" s="696"/>
      <c r="AC584" s="696"/>
      <c r="AD584" s="696"/>
      <c r="AE584" s="697"/>
      <c r="AF584" s="655"/>
    </row>
    <row r="585" spans="1:32" ht="12" customHeight="1" thickBot="1">
      <c r="A585" s="761" t="s">
        <v>5671</v>
      </c>
      <c r="B585" s="702">
        <v>2</v>
      </c>
      <c r="C585" s="702"/>
      <c r="D585" s="702" t="s">
        <v>5489</v>
      </c>
      <c r="E585" s="701">
        <f t="shared" si="9"/>
        <v>64</v>
      </c>
      <c r="F585" s="702" t="s">
        <v>19</v>
      </c>
      <c r="G585" s="702" t="s">
        <v>6067</v>
      </c>
      <c r="H585" s="720"/>
      <c r="I585" s="702"/>
      <c r="J585" s="702"/>
      <c r="K585" s="704" t="s">
        <v>16117</v>
      </c>
      <c r="L585" s="702"/>
      <c r="M585" s="702" t="s">
        <v>6</v>
      </c>
      <c r="N585" s="721"/>
      <c r="O585" s="722"/>
      <c r="P585" s="720" t="s">
        <v>5490</v>
      </c>
      <c r="Q585" s="723">
        <v>17662</v>
      </c>
      <c r="R585" s="720" t="s">
        <v>5491</v>
      </c>
      <c r="S585" s="720"/>
      <c r="T585" s="720"/>
      <c r="U585" s="720"/>
      <c r="V585" s="702"/>
      <c r="W585" s="702"/>
      <c r="X585" s="702"/>
      <c r="Y585" s="702"/>
      <c r="Z585" s="702"/>
      <c r="AA585" s="702"/>
      <c r="AB585" s="702"/>
      <c r="AC585" s="702"/>
      <c r="AD585" s="702"/>
      <c r="AE585" s="708"/>
      <c r="AF585" s="655"/>
    </row>
    <row r="586" spans="1:32" ht="12" customHeight="1">
      <c r="A586" s="784" t="s">
        <v>16397</v>
      </c>
      <c r="B586" s="696">
        <v>1</v>
      </c>
      <c r="C586" s="688" t="s">
        <v>2203</v>
      </c>
      <c r="D586" s="687" t="s">
        <v>2217</v>
      </c>
      <c r="E586" s="690">
        <f t="shared" si="9"/>
        <v>62</v>
      </c>
      <c r="F586" s="696" t="s">
        <v>5</v>
      </c>
      <c r="G586" s="687" t="s">
        <v>15273</v>
      </c>
      <c r="H586" s="747"/>
      <c r="I586" s="687"/>
      <c r="J586" s="687"/>
      <c r="K586" s="688" t="s">
        <v>16121</v>
      </c>
      <c r="L586" s="687"/>
      <c r="M586" s="687" t="s">
        <v>6</v>
      </c>
      <c r="N586" s="748"/>
      <c r="O586" s="749"/>
      <c r="P586" s="747" t="s">
        <v>2214</v>
      </c>
      <c r="Q586" s="719">
        <v>18378</v>
      </c>
      <c r="R586" s="747" t="s">
        <v>2215</v>
      </c>
      <c r="S586" s="747"/>
      <c r="T586" s="747"/>
      <c r="U586" s="747" t="s">
        <v>69</v>
      </c>
      <c r="V586" s="696"/>
      <c r="W586" s="696"/>
      <c r="X586" s="696"/>
      <c r="Y586" s="696"/>
      <c r="Z586" s="696"/>
      <c r="AA586" s="696"/>
      <c r="AB586" s="696"/>
      <c r="AC586" s="696"/>
      <c r="AD586" s="696"/>
      <c r="AE586" s="697" t="s">
        <v>69</v>
      </c>
      <c r="AF586" s="655"/>
    </row>
    <row r="587" spans="1:32" ht="12" customHeight="1">
      <c r="A587" s="785" t="s">
        <v>16398</v>
      </c>
      <c r="B587" s="2">
        <v>1</v>
      </c>
      <c r="C587" s="4" t="s">
        <v>2303</v>
      </c>
      <c r="D587" s="1" t="s">
        <v>2310</v>
      </c>
      <c r="E587" s="6">
        <f t="shared" si="9"/>
        <v>52</v>
      </c>
      <c r="F587" s="2" t="s">
        <v>5</v>
      </c>
      <c r="G587" s="1" t="s">
        <v>15273</v>
      </c>
      <c r="K587" s="4" t="s">
        <v>16121</v>
      </c>
      <c r="M587" s="1" t="s">
        <v>6</v>
      </c>
      <c r="P587" s="3" t="s">
        <v>2311</v>
      </c>
      <c r="Q587" s="20">
        <v>22057</v>
      </c>
      <c r="R587" s="3" t="s">
        <v>2317</v>
      </c>
      <c r="U587" s="3" t="s">
        <v>69</v>
      </c>
      <c r="AE587" s="698" t="s">
        <v>69</v>
      </c>
      <c r="AF587" s="655"/>
    </row>
    <row r="588" spans="1:32" ht="12" customHeight="1">
      <c r="A588" s="785" t="s">
        <v>16399</v>
      </c>
      <c r="B588" s="2">
        <v>1</v>
      </c>
      <c r="C588" s="4" t="s">
        <v>2355</v>
      </c>
      <c r="D588" s="1" t="s">
        <v>2363</v>
      </c>
      <c r="E588" s="6">
        <f t="shared" si="9"/>
        <v>59</v>
      </c>
      <c r="F588" s="2" t="s">
        <v>5</v>
      </c>
      <c r="G588" s="1" t="s">
        <v>15273</v>
      </c>
      <c r="K588" s="8" t="s">
        <v>16121</v>
      </c>
      <c r="M588" s="1" t="s">
        <v>6</v>
      </c>
      <c r="P588" s="3" t="s">
        <v>2362</v>
      </c>
      <c r="Q588" s="21">
        <v>19391</v>
      </c>
      <c r="R588" s="3" t="s">
        <v>2364</v>
      </c>
      <c r="U588" s="3" t="s">
        <v>148</v>
      </c>
      <c r="W588" s="2" t="s">
        <v>145</v>
      </c>
      <c r="AE588" s="698" t="s">
        <v>69</v>
      </c>
      <c r="AF588" s="655"/>
    </row>
    <row r="589" spans="1:32" ht="12" customHeight="1">
      <c r="A589" s="785" t="s">
        <v>16400</v>
      </c>
      <c r="B589" s="2">
        <v>1</v>
      </c>
      <c r="C589" s="4" t="s">
        <v>5327</v>
      </c>
      <c r="D589" s="1" t="s">
        <v>2396</v>
      </c>
      <c r="E589" s="6">
        <f t="shared" si="9"/>
        <v>63</v>
      </c>
      <c r="F589" s="2" t="s">
        <v>5</v>
      </c>
      <c r="G589" s="1" t="s">
        <v>15273</v>
      </c>
      <c r="K589" s="4" t="s">
        <v>16121</v>
      </c>
      <c r="M589" s="1" t="s">
        <v>6</v>
      </c>
      <c r="P589" s="3" t="s">
        <v>2397</v>
      </c>
      <c r="Q589" s="20">
        <v>17954</v>
      </c>
      <c r="R589" s="3" t="s">
        <v>2398</v>
      </c>
      <c r="U589" s="3" t="s">
        <v>145</v>
      </c>
      <c r="W589" s="2" t="s">
        <v>145</v>
      </c>
      <c r="AE589" s="698"/>
      <c r="AF589" s="655"/>
    </row>
    <row r="590" spans="1:32" ht="12" customHeight="1">
      <c r="A590" s="785" t="s">
        <v>16401</v>
      </c>
      <c r="B590" s="2">
        <v>1</v>
      </c>
      <c r="C590" s="4" t="s">
        <v>4340</v>
      </c>
      <c r="D590" s="1" t="s">
        <v>4341</v>
      </c>
      <c r="E590" s="6">
        <f t="shared" si="9"/>
        <v>40</v>
      </c>
      <c r="F590" s="2" t="s">
        <v>19</v>
      </c>
      <c r="G590" s="1" t="s">
        <v>15273</v>
      </c>
      <c r="K590" s="4" t="s">
        <v>16121</v>
      </c>
      <c r="M590" s="1" t="s">
        <v>6</v>
      </c>
      <c r="P590" s="3" t="s">
        <v>3899</v>
      </c>
      <c r="Q590" s="20">
        <v>26311</v>
      </c>
      <c r="R590" s="3" t="s">
        <v>4342</v>
      </c>
      <c r="AE590" s="698"/>
      <c r="AF590" s="655"/>
    </row>
    <row r="591" spans="1:32" ht="12" customHeight="1" thickBot="1">
      <c r="A591" s="786" t="s">
        <v>16402</v>
      </c>
      <c r="B591" s="702">
        <v>6</v>
      </c>
      <c r="C591" s="702"/>
      <c r="D591" s="702" t="s">
        <v>5956</v>
      </c>
      <c r="E591" s="701">
        <f t="shared" si="9"/>
        <v>59</v>
      </c>
      <c r="F591" s="702" t="s">
        <v>5</v>
      </c>
      <c r="G591" s="702" t="s">
        <v>6067</v>
      </c>
      <c r="H591" s="720"/>
      <c r="I591" s="702"/>
      <c r="J591" s="702"/>
      <c r="K591" s="704" t="s">
        <v>16121</v>
      </c>
      <c r="L591" s="702"/>
      <c r="M591" s="702" t="s">
        <v>6</v>
      </c>
      <c r="N591" s="721"/>
      <c r="O591" s="722"/>
      <c r="P591" s="720" t="s">
        <v>5957</v>
      </c>
      <c r="Q591" s="723">
        <v>19583</v>
      </c>
      <c r="R591" s="720" t="s">
        <v>5958</v>
      </c>
      <c r="S591" s="720"/>
      <c r="T591" s="720"/>
      <c r="U591" s="720" t="s">
        <v>5959</v>
      </c>
      <c r="V591" s="702"/>
      <c r="W591" s="702" t="s">
        <v>5960</v>
      </c>
      <c r="X591" s="702"/>
      <c r="Y591" s="702"/>
      <c r="Z591" s="702"/>
      <c r="AA591" s="702"/>
      <c r="AB591" s="702"/>
      <c r="AC591" s="702"/>
      <c r="AD591" s="702"/>
      <c r="AE591" s="708" t="s">
        <v>5961</v>
      </c>
      <c r="AF591" s="655"/>
    </row>
    <row r="592" spans="1:32" ht="12" customHeight="1">
      <c r="A592" s="771" t="s">
        <v>16451</v>
      </c>
      <c r="B592" s="696">
        <v>1</v>
      </c>
      <c r="C592" s="696"/>
      <c r="D592" s="696" t="s">
        <v>5128</v>
      </c>
      <c r="E592" s="690">
        <f t="shared" si="9"/>
        <v>52</v>
      </c>
      <c r="F592" s="696" t="s">
        <v>5</v>
      </c>
      <c r="G592" s="696" t="s">
        <v>6067</v>
      </c>
      <c r="H592" s="715"/>
      <c r="I592" s="696"/>
      <c r="J592" s="696"/>
      <c r="K592" s="716" t="s">
        <v>16122</v>
      </c>
      <c r="L592" s="696" t="s">
        <v>22</v>
      </c>
      <c r="M592" s="696" t="s">
        <v>6</v>
      </c>
      <c r="N592" s="717"/>
      <c r="O592" s="718"/>
      <c r="P592" s="715" t="s">
        <v>5129</v>
      </c>
      <c r="Q592" s="719">
        <v>22085</v>
      </c>
      <c r="R592" s="715" t="s">
        <v>5130</v>
      </c>
      <c r="S592" s="715"/>
      <c r="T592" s="715"/>
      <c r="U592" s="715"/>
      <c r="V592" s="696"/>
      <c r="W592" s="696"/>
      <c r="X592" s="696"/>
      <c r="Y592" s="696"/>
      <c r="Z592" s="696"/>
      <c r="AA592" s="696"/>
      <c r="AB592" s="696"/>
      <c r="AC592" s="696"/>
      <c r="AD592" s="696"/>
      <c r="AE592" s="697"/>
      <c r="AF592" s="655"/>
    </row>
    <row r="593" spans="1:32" ht="12" customHeight="1">
      <c r="A593" s="789" t="s">
        <v>16452</v>
      </c>
      <c r="B593" s="2">
        <v>2</v>
      </c>
      <c r="C593" s="2"/>
      <c r="D593" s="2" t="s">
        <v>4611</v>
      </c>
      <c r="E593" s="6">
        <f t="shared" si="9"/>
        <v>57</v>
      </c>
      <c r="F593" s="2" t="s">
        <v>19</v>
      </c>
      <c r="G593" s="2" t="s">
        <v>6067</v>
      </c>
      <c r="H593" s="22"/>
      <c r="I593" s="2"/>
      <c r="J593" s="2"/>
      <c r="K593" s="23" t="s">
        <v>16122</v>
      </c>
      <c r="L593" s="2" t="s">
        <v>22</v>
      </c>
      <c r="M593" s="2" t="s">
        <v>6</v>
      </c>
      <c r="N593" s="24"/>
      <c r="O593" s="25"/>
      <c r="P593" s="22" t="s">
        <v>4612</v>
      </c>
      <c r="Q593" s="21">
        <v>20176</v>
      </c>
      <c r="R593" s="22" t="s">
        <v>4613</v>
      </c>
      <c r="S593" s="22"/>
      <c r="T593" s="22"/>
      <c r="U593" s="22"/>
      <c r="AE593" s="698"/>
      <c r="AF593" s="655"/>
    </row>
    <row r="594" spans="1:32" ht="12" customHeight="1" thickBot="1">
      <c r="A594" s="772" t="s">
        <v>16453</v>
      </c>
      <c r="B594" s="702">
        <v>3</v>
      </c>
      <c r="C594" s="702"/>
      <c r="D594" s="702" t="s">
        <v>5131</v>
      </c>
      <c r="E594" s="701">
        <f t="shared" si="9"/>
        <v>32</v>
      </c>
      <c r="F594" s="702" t="s">
        <v>5</v>
      </c>
      <c r="G594" s="702" t="s">
        <v>6067</v>
      </c>
      <c r="H594" s="720"/>
      <c r="I594" s="702"/>
      <c r="J594" s="702"/>
      <c r="K594" s="770" t="s">
        <v>16122</v>
      </c>
      <c r="L594" s="702" t="s">
        <v>22</v>
      </c>
      <c r="M594" s="702" t="s">
        <v>6</v>
      </c>
      <c r="N594" s="721"/>
      <c r="O594" s="722"/>
      <c r="P594" s="720" t="s">
        <v>5132</v>
      </c>
      <c r="Q594" s="723">
        <v>29509</v>
      </c>
      <c r="R594" s="720" t="s">
        <v>5103</v>
      </c>
      <c r="S594" s="720"/>
      <c r="T594" s="720"/>
      <c r="U594" s="720"/>
      <c r="V594" s="702"/>
      <c r="W594" s="702"/>
      <c r="X594" s="702"/>
      <c r="Y594" s="702"/>
      <c r="Z594" s="702"/>
      <c r="AA594" s="702"/>
      <c r="AB594" s="702"/>
      <c r="AC594" s="702"/>
      <c r="AD594" s="702"/>
      <c r="AE594" s="708"/>
      <c r="AF594" s="655"/>
    </row>
    <row r="595" spans="1:32" ht="12" customHeight="1">
      <c r="A595" s="776" t="s">
        <v>15811</v>
      </c>
      <c r="B595" s="696">
        <v>1</v>
      </c>
      <c r="C595" s="688" t="s">
        <v>2544</v>
      </c>
      <c r="D595" s="687" t="s">
        <v>2549</v>
      </c>
      <c r="E595" s="690">
        <f t="shared" si="9"/>
        <v>33</v>
      </c>
      <c r="F595" s="696" t="s">
        <v>5</v>
      </c>
      <c r="G595" s="689" t="s">
        <v>15273</v>
      </c>
      <c r="H595" s="747" t="s">
        <v>2550</v>
      </c>
      <c r="I595" s="687"/>
      <c r="J595" s="687"/>
      <c r="K595" s="692" t="s">
        <v>16127</v>
      </c>
      <c r="L595" s="687" t="s">
        <v>44</v>
      </c>
      <c r="M595" s="687" t="s">
        <v>25</v>
      </c>
      <c r="N595" s="748">
        <v>1</v>
      </c>
      <c r="O595" s="749">
        <v>1</v>
      </c>
      <c r="P595" s="747" t="s">
        <v>2551</v>
      </c>
      <c r="Q595" s="773">
        <v>29039</v>
      </c>
      <c r="R595" s="747" t="s">
        <v>1962</v>
      </c>
      <c r="S595" s="747"/>
      <c r="T595" s="747"/>
      <c r="U595" s="747"/>
      <c r="V595" s="696"/>
      <c r="W595" s="696"/>
      <c r="X595" s="696"/>
      <c r="Y595" s="696"/>
      <c r="Z595" s="696"/>
      <c r="AA595" s="696"/>
      <c r="AB595" s="696"/>
      <c r="AC595" s="696"/>
      <c r="AD595" s="696"/>
      <c r="AE595" s="697"/>
      <c r="AF595" s="655"/>
    </row>
    <row r="596" spans="1:32" ht="12" customHeight="1">
      <c r="A596" s="777" t="s">
        <v>15812</v>
      </c>
      <c r="B596" s="2">
        <v>1</v>
      </c>
      <c r="C596" s="4" t="s">
        <v>2570</v>
      </c>
      <c r="D596" s="1" t="s">
        <v>5451</v>
      </c>
      <c r="E596" s="6">
        <f t="shared" si="9"/>
        <v>39</v>
      </c>
      <c r="F596" s="2" t="s">
        <v>5</v>
      </c>
      <c r="G596" s="5" t="s">
        <v>15273</v>
      </c>
      <c r="K596" s="8" t="s">
        <v>16127</v>
      </c>
      <c r="L596" s="1" t="s">
        <v>44</v>
      </c>
      <c r="M596" s="1" t="s">
        <v>6</v>
      </c>
      <c r="P596" s="3" t="s">
        <v>5636</v>
      </c>
      <c r="Q596" s="20">
        <v>26977</v>
      </c>
      <c r="R596" s="3" t="s">
        <v>5452</v>
      </c>
      <c r="T596" s="3" t="s">
        <v>736</v>
      </c>
      <c r="AE596" s="698"/>
      <c r="AF596" s="655"/>
    </row>
    <row r="597" spans="1:32" ht="12" customHeight="1">
      <c r="A597" s="777" t="s">
        <v>15813</v>
      </c>
      <c r="B597" s="2">
        <v>1</v>
      </c>
      <c r="C597" s="4" t="s">
        <v>2586</v>
      </c>
      <c r="D597" s="1" t="s">
        <v>2589</v>
      </c>
      <c r="E597" s="6">
        <f t="shared" si="9"/>
        <v>45</v>
      </c>
      <c r="F597" s="2" t="s">
        <v>5</v>
      </c>
      <c r="G597" s="5" t="s">
        <v>15273</v>
      </c>
      <c r="H597" s="3" t="s">
        <v>2590</v>
      </c>
      <c r="K597" s="8" t="s">
        <v>16127</v>
      </c>
      <c r="L597" s="1" t="s">
        <v>44</v>
      </c>
      <c r="M597" s="1" t="s">
        <v>25</v>
      </c>
      <c r="N597" s="16">
        <v>3</v>
      </c>
      <c r="O597" s="17">
        <v>3</v>
      </c>
      <c r="P597" s="3" t="s">
        <v>159</v>
      </c>
      <c r="Q597" s="20">
        <v>24632</v>
      </c>
      <c r="R597" s="3" t="s">
        <v>2591</v>
      </c>
      <c r="S597" s="3" t="s">
        <v>2592</v>
      </c>
      <c r="T597" s="3" t="s">
        <v>736</v>
      </c>
      <c r="AE597" s="698"/>
      <c r="AF597" s="655"/>
    </row>
    <row r="598" spans="1:32" ht="12" customHeight="1">
      <c r="A598" s="777" t="s">
        <v>15814</v>
      </c>
      <c r="B598" s="2">
        <v>1</v>
      </c>
      <c r="C598" s="4" t="s">
        <v>2595</v>
      </c>
      <c r="D598" s="1" t="s">
        <v>4027</v>
      </c>
      <c r="E598" s="6">
        <f t="shared" si="9"/>
        <v>25</v>
      </c>
      <c r="F598" s="2" t="s">
        <v>5</v>
      </c>
      <c r="G598" s="5" t="s">
        <v>15273</v>
      </c>
      <c r="K598" s="4" t="s">
        <v>16127</v>
      </c>
      <c r="L598" s="1" t="s">
        <v>44</v>
      </c>
      <c r="M598" s="1" t="s">
        <v>6</v>
      </c>
      <c r="P598" s="3" t="s">
        <v>1089</v>
      </c>
      <c r="Q598" s="20">
        <v>32038</v>
      </c>
      <c r="R598" s="3" t="s">
        <v>4028</v>
      </c>
      <c r="T598" s="3" t="s">
        <v>736</v>
      </c>
      <c r="AE598" s="698"/>
      <c r="AF598" s="655"/>
    </row>
    <row r="599" spans="1:32" ht="12" customHeight="1">
      <c r="A599" s="777" t="s">
        <v>15815</v>
      </c>
      <c r="B599" s="2">
        <v>1</v>
      </c>
      <c r="C599" s="4" t="s">
        <v>2606</v>
      </c>
      <c r="D599" s="1" t="s">
        <v>2610</v>
      </c>
      <c r="E599" s="6">
        <f t="shared" si="9"/>
        <v>49</v>
      </c>
      <c r="F599" s="2" t="s">
        <v>5</v>
      </c>
      <c r="G599" s="5" t="s">
        <v>15273</v>
      </c>
      <c r="H599" s="3" t="s">
        <v>2611</v>
      </c>
      <c r="K599" s="8" t="s">
        <v>16126</v>
      </c>
      <c r="L599" s="1" t="s">
        <v>44</v>
      </c>
      <c r="M599" s="1" t="s">
        <v>25</v>
      </c>
      <c r="N599" s="16">
        <v>1</v>
      </c>
      <c r="O599" s="17">
        <v>1</v>
      </c>
      <c r="P599" s="3" t="s">
        <v>188</v>
      </c>
      <c r="Q599" s="20">
        <v>23183</v>
      </c>
      <c r="R599" s="3" t="s">
        <v>2612</v>
      </c>
      <c r="U599" s="3" t="s">
        <v>47</v>
      </c>
      <c r="V599" s="2" t="s">
        <v>47</v>
      </c>
      <c r="AE599" s="698"/>
      <c r="AF599" s="655"/>
    </row>
    <row r="600" spans="1:32" ht="12" customHeight="1">
      <c r="A600" s="777" t="s">
        <v>15816</v>
      </c>
      <c r="B600" s="2">
        <v>1</v>
      </c>
      <c r="C600" s="4" t="s">
        <v>2624</v>
      </c>
      <c r="D600" s="1" t="s">
        <v>2628</v>
      </c>
      <c r="E600" s="6">
        <f t="shared" si="9"/>
        <v>67</v>
      </c>
      <c r="F600" s="2" t="s">
        <v>5</v>
      </c>
      <c r="G600" s="5" t="s">
        <v>15273</v>
      </c>
      <c r="H600" s="3" t="s">
        <v>2629</v>
      </c>
      <c r="K600" s="8" t="s">
        <v>16127</v>
      </c>
      <c r="L600" s="1" t="s">
        <v>1656</v>
      </c>
      <c r="M600" s="1" t="s">
        <v>25</v>
      </c>
      <c r="N600" s="16">
        <v>4</v>
      </c>
      <c r="O600" s="17">
        <v>4</v>
      </c>
      <c r="P600" s="3" t="s">
        <v>381</v>
      </c>
      <c r="Q600" s="20">
        <v>16561</v>
      </c>
      <c r="R600" s="3" t="s">
        <v>2630</v>
      </c>
      <c r="S600" s="3" t="s">
        <v>2631</v>
      </c>
      <c r="T600" s="3" t="s">
        <v>736</v>
      </c>
      <c r="U600" s="3" t="s">
        <v>145</v>
      </c>
      <c r="W600" s="2" t="s">
        <v>145</v>
      </c>
      <c r="AE600" s="698"/>
      <c r="AF600" s="655"/>
    </row>
    <row r="601" spans="1:32" ht="12" customHeight="1">
      <c r="A601" s="777" t="s">
        <v>15817</v>
      </c>
      <c r="B601" s="2">
        <v>1</v>
      </c>
      <c r="C601" s="4" t="s">
        <v>2641</v>
      </c>
      <c r="D601" s="1" t="s">
        <v>2644</v>
      </c>
      <c r="E601" s="6">
        <f t="shared" si="9"/>
        <v>40</v>
      </c>
      <c r="F601" s="2" t="s">
        <v>5</v>
      </c>
      <c r="G601" s="5" t="s">
        <v>15273</v>
      </c>
      <c r="H601" s="3" t="s">
        <v>2645</v>
      </c>
      <c r="K601" s="8" t="s">
        <v>16127</v>
      </c>
      <c r="L601" s="1" t="s">
        <v>44</v>
      </c>
      <c r="M601" s="1" t="s">
        <v>25</v>
      </c>
      <c r="N601" s="16">
        <v>3</v>
      </c>
      <c r="O601" s="17">
        <v>3</v>
      </c>
      <c r="P601" s="3" t="s">
        <v>23</v>
      </c>
      <c r="Q601" s="20">
        <v>26323</v>
      </c>
      <c r="R601" s="3" t="s">
        <v>2647</v>
      </c>
      <c r="S601" s="3" t="s">
        <v>2648</v>
      </c>
      <c r="T601" s="3" t="s">
        <v>736</v>
      </c>
      <c r="AE601" s="698"/>
      <c r="AF601" s="655"/>
    </row>
    <row r="602" spans="1:32" ht="12" customHeight="1">
      <c r="A602" s="777" t="s">
        <v>15818</v>
      </c>
      <c r="B602" s="2">
        <v>1</v>
      </c>
      <c r="C602" s="4" t="s">
        <v>2655</v>
      </c>
      <c r="D602" s="1" t="s">
        <v>2658</v>
      </c>
      <c r="E602" s="6">
        <f t="shared" si="9"/>
        <v>36</v>
      </c>
      <c r="F602" s="2" t="s">
        <v>5</v>
      </c>
      <c r="G602" s="5" t="s">
        <v>15273</v>
      </c>
      <c r="H602" s="3" t="s">
        <v>2659</v>
      </c>
      <c r="K602" s="8" t="s">
        <v>16127</v>
      </c>
      <c r="L602" s="1" t="s">
        <v>44</v>
      </c>
      <c r="M602" s="1" t="s">
        <v>25</v>
      </c>
      <c r="N602" s="16">
        <v>1</v>
      </c>
      <c r="O602" s="17">
        <v>1</v>
      </c>
      <c r="P602" s="3" t="s">
        <v>245</v>
      </c>
      <c r="Q602" s="20">
        <v>27754</v>
      </c>
      <c r="R602" s="3" t="s">
        <v>2660</v>
      </c>
      <c r="T602" s="3" t="s">
        <v>736</v>
      </c>
      <c r="U602" s="3" t="s">
        <v>146</v>
      </c>
      <c r="AD602" s="2" t="s">
        <v>146</v>
      </c>
      <c r="AE602" s="698"/>
      <c r="AF602" s="655"/>
    </row>
    <row r="603" spans="1:32" ht="12" customHeight="1">
      <c r="A603" s="777" t="s">
        <v>15819</v>
      </c>
      <c r="B603" s="2">
        <v>1</v>
      </c>
      <c r="C603" s="4" t="s">
        <v>2668</v>
      </c>
      <c r="D603" s="1" t="s">
        <v>2672</v>
      </c>
      <c r="E603" s="6">
        <f t="shared" si="9"/>
        <v>44</v>
      </c>
      <c r="F603" s="2" t="s">
        <v>5</v>
      </c>
      <c r="G603" s="5" t="s">
        <v>15273</v>
      </c>
      <c r="H603" s="3" t="s">
        <v>2673</v>
      </c>
      <c r="K603" s="4" t="s">
        <v>16127</v>
      </c>
      <c r="L603" s="1" t="s">
        <v>44</v>
      </c>
      <c r="M603" s="1" t="s">
        <v>25</v>
      </c>
      <c r="N603" s="16">
        <v>3</v>
      </c>
      <c r="O603" s="17">
        <v>3</v>
      </c>
      <c r="P603" s="3" t="s">
        <v>317</v>
      </c>
      <c r="Q603" s="20">
        <v>24916</v>
      </c>
      <c r="R603" s="3" t="s">
        <v>2674</v>
      </c>
      <c r="S603" s="3" t="s">
        <v>247</v>
      </c>
      <c r="T603" s="3" t="s">
        <v>736</v>
      </c>
      <c r="U603" s="3" t="s">
        <v>47</v>
      </c>
      <c r="V603" s="2" t="s">
        <v>47</v>
      </c>
      <c r="AE603" s="698"/>
      <c r="AF603" s="655"/>
    </row>
    <row r="604" spans="1:32" ht="12" customHeight="1">
      <c r="A604" s="777" t="s">
        <v>15820</v>
      </c>
      <c r="B604" s="2">
        <v>1</v>
      </c>
      <c r="C604" s="4" t="s">
        <v>2686</v>
      </c>
      <c r="D604" s="1" t="s">
        <v>2689</v>
      </c>
      <c r="E604" s="6">
        <f t="shared" si="9"/>
        <v>41</v>
      </c>
      <c r="F604" s="2" t="s">
        <v>5</v>
      </c>
      <c r="G604" s="5" t="s">
        <v>15273</v>
      </c>
      <c r="H604" s="3" t="s">
        <v>2690</v>
      </c>
      <c r="K604" s="8" t="s">
        <v>16126</v>
      </c>
      <c r="L604" s="1" t="s">
        <v>44</v>
      </c>
      <c r="M604" s="1" t="s">
        <v>25</v>
      </c>
      <c r="N604" s="16">
        <v>4</v>
      </c>
      <c r="O604" s="17">
        <v>4</v>
      </c>
      <c r="P604" s="3" t="s">
        <v>1493</v>
      </c>
      <c r="Q604" s="20">
        <v>26166</v>
      </c>
      <c r="R604" s="3" t="s">
        <v>2692</v>
      </c>
      <c r="S604" s="3" t="s">
        <v>2693</v>
      </c>
      <c r="T604" s="3" t="s">
        <v>736</v>
      </c>
      <c r="AE604" s="698"/>
      <c r="AF604" s="655"/>
    </row>
    <row r="605" spans="1:32" ht="12" customHeight="1">
      <c r="A605" s="777" t="s">
        <v>15821</v>
      </c>
      <c r="B605" s="2">
        <v>1</v>
      </c>
      <c r="C605" s="4" t="s">
        <v>2698</v>
      </c>
      <c r="D605" s="1" t="s">
        <v>2701</v>
      </c>
      <c r="E605" s="6">
        <f t="shared" si="9"/>
        <v>51</v>
      </c>
      <c r="F605" s="2" t="s">
        <v>5</v>
      </c>
      <c r="G605" s="5" t="s">
        <v>15273</v>
      </c>
      <c r="H605" s="3" t="s">
        <v>2702</v>
      </c>
      <c r="K605" s="8" t="s">
        <v>16127</v>
      </c>
      <c r="L605" s="1" t="s">
        <v>681</v>
      </c>
      <c r="M605" s="1" t="s">
        <v>25</v>
      </c>
      <c r="N605" s="16">
        <v>5</v>
      </c>
      <c r="O605" s="17">
        <v>5</v>
      </c>
      <c r="P605" s="3" t="s">
        <v>188</v>
      </c>
      <c r="Q605" s="20">
        <v>22626</v>
      </c>
      <c r="R605" s="3" t="s">
        <v>2704</v>
      </c>
      <c r="S605" s="3" t="s">
        <v>2707</v>
      </c>
      <c r="T605" s="3" t="s">
        <v>736</v>
      </c>
      <c r="U605" s="3" t="s">
        <v>1892</v>
      </c>
      <c r="W605" s="2" t="s">
        <v>145</v>
      </c>
      <c r="Z605" s="2" t="s">
        <v>155</v>
      </c>
      <c r="AB605" s="2" t="s">
        <v>104</v>
      </c>
      <c r="AE605" s="698"/>
      <c r="AF605" s="655"/>
    </row>
    <row r="606" spans="1:32" ht="12" customHeight="1">
      <c r="A606" s="777" t="s">
        <v>15822</v>
      </c>
      <c r="B606" s="2">
        <v>1</v>
      </c>
      <c r="C606" s="4" t="s">
        <v>2713</v>
      </c>
      <c r="D606" s="1" t="s">
        <v>2716</v>
      </c>
      <c r="E606" s="6">
        <f t="shared" si="9"/>
        <v>38</v>
      </c>
      <c r="F606" s="2" t="s">
        <v>5</v>
      </c>
      <c r="G606" s="5" t="s">
        <v>15273</v>
      </c>
      <c r="H606" s="3" t="s">
        <v>2717</v>
      </c>
      <c r="K606" s="8" t="s">
        <v>16127</v>
      </c>
      <c r="L606" s="1" t="s">
        <v>44</v>
      </c>
      <c r="M606" s="1" t="s">
        <v>25</v>
      </c>
      <c r="N606" s="16">
        <v>1</v>
      </c>
      <c r="O606" s="17">
        <v>1</v>
      </c>
      <c r="P606" s="3" t="s">
        <v>317</v>
      </c>
      <c r="Q606" s="20">
        <v>27162</v>
      </c>
      <c r="R606" s="3" t="s">
        <v>2718</v>
      </c>
      <c r="U606" s="3" t="s">
        <v>155</v>
      </c>
      <c r="Z606" s="2" t="s">
        <v>155</v>
      </c>
      <c r="AE606" s="698"/>
      <c r="AF606" s="655"/>
    </row>
    <row r="607" spans="1:32" ht="12" customHeight="1">
      <c r="A607" s="777" t="s">
        <v>15823</v>
      </c>
      <c r="B607" s="2">
        <v>1</v>
      </c>
      <c r="C607" s="4" t="s">
        <v>2722</v>
      </c>
      <c r="D607" s="1" t="s">
        <v>2725</v>
      </c>
      <c r="E607" s="6">
        <f t="shared" si="9"/>
        <v>42</v>
      </c>
      <c r="F607" s="2" t="s">
        <v>5</v>
      </c>
      <c r="G607" s="5" t="s">
        <v>15273</v>
      </c>
      <c r="H607" s="3" t="s">
        <v>2726</v>
      </c>
      <c r="K607" s="8" t="s">
        <v>16127</v>
      </c>
      <c r="L607" s="1" t="s">
        <v>44</v>
      </c>
      <c r="M607" s="1" t="s">
        <v>25</v>
      </c>
      <c r="N607" s="16">
        <v>1</v>
      </c>
      <c r="O607" s="17">
        <v>1</v>
      </c>
      <c r="P607" s="3" t="s">
        <v>381</v>
      </c>
      <c r="Q607" s="20">
        <v>25880</v>
      </c>
      <c r="R607" s="3" t="s">
        <v>2727</v>
      </c>
      <c r="T607" s="3" t="s">
        <v>736</v>
      </c>
      <c r="U607" s="3" t="s">
        <v>145</v>
      </c>
      <c r="W607" s="2" t="s">
        <v>145</v>
      </c>
      <c r="AE607" s="698"/>
      <c r="AF607" s="655"/>
    </row>
    <row r="608" spans="1:32" ht="12" customHeight="1">
      <c r="A608" s="777" t="s">
        <v>15824</v>
      </c>
      <c r="B608" s="2">
        <v>1</v>
      </c>
      <c r="C608" s="4" t="s">
        <v>2737</v>
      </c>
      <c r="D608" s="1" t="s">
        <v>2743</v>
      </c>
      <c r="E608" s="6">
        <f t="shared" si="9"/>
        <v>38</v>
      </c>
      <c r="F608" s="2" t="s">
        <v>5</v>
      </c>
      <c r="G608" s="5" t="s">
        <v>15273</v>
      </c>
      <c r="H608" s="3" t="s">
        <v>2744</v>
      </c>
      <c r="K608" s="4" t="s">
        <v>16127</v>
      </c>
      <c r="L608" s="1" t="s">
        <v>44</v>
      </c>
      <c r="M608" s="1" t="s">
        <v>25</v>
      </c>
      <c r="N608" s="16">
        <v>1</v>
      </c>
      <c r="O608" s="17">
        <v>1</v>
      </c>
      <c r="P608" s="3" t="s">
        <v>2745</v>
      </c>
      <c r="Q608" s="20">
        <v>27347</v>
      </c>
      <c r="R608" s="3" t="s">
        <v>2746</v>
      </c>
      <c r="T608" s="3" t="s">
        <v>736</v>
      </c>
      <c r="AE608" s="698"/>
      <c r="AF608" s="655"/>
    </row>
    <row r="609" spans="1:32" ht="12" customHeight="1">
      <c r="A609" s="777" t="s">
        <v>15825</v>
      </c>
      <c r="B609" s="2">
        <v>1</v>
      </c>
      <c r="C609" s="4" t="s">
        <v>2757</v>
      </c>
      <c r="D609" s="1" t="s">
        <v>2761</v>
      </c>
      <c r="E609" s="6">
        <f t="shared" si="9"/>
        <v>47</v>
      </c>
      <c r="F609" s="2" t="s">
        <v>5</v>
      </c>
      <c r="G609" s="5" t="s">
        <v>15273</v>
      </c>
      <c r="H609" s="3" t="s">
        <v>2762</v>
      </c>
      <c r="K609" s="8" t="s">
        <v>16126</v>
      </c>
      <c r="L609" s="1" t="s">
        <v>44</v>
      </c>
      <c r="M609" s="1" t="s">
        <v>25</v>
      </c>
      <c r="N609" s="16">
        <v>5</v>
      </c>
      <c r="O609" s="17">
        <v>5</v>
      </c>
      <c r="P609" s="3" t="s">
        <v>317</v>
      </c>
      <c r="Q609" s="20">
        <v>24082</v>
      </c>
      <c r="R609" s="3" t="s">
        <v>2764</v>
      </c>
      <c r="S609" s="3" t="s">
        <v>2763</v>
      </c>
      <c r="T609" s="3" t="s">
        <v>736</v>
      </c>
      <c r="U609" s="3" t="s">
        <v>47</v>
      </c>
      <c r="V609" s="2" t="s">
        <v>47</v>
      </c>
      <c r="AE609" s="698"/>
      <c r="AF609" s="655"/>
    </row>
    <row r="610" spans="1:32" ht="12" customHeight="1">
      <c r="A610" s="777" t="s">
        <v>15826</v>
      </c>
      <c r="B610" s="2">
        <v>1</v>
      </c>
      <c r="C610" s="4" t="s">
        <v>2769</v>
      </c>
      <c r="D610" s="1" t="s">
        <v>2773</v>
      </c>
      <c r="E610" s="6">
        <f t="shared" si="9"/>
        <v>54</v>
      </c>
      <c r="F610" s="2" t="s">
        <v>5</v>
      </c>
      <c r="G610" s="5" t="s">
        <v>15273</v>
      </c>
      <c r="H610" s="3" t="s">
        <v>2774</v>
      </c>
      <c r="K610" s="8" t="s">
        <v>16127</v>
      </c>
      <c r="L610" s="1" t="s">
        <v>655</v>
      </c>
      <c r="M610" s="1" t="s">
        <v>25</v>
      </c>
      <c r="N610" s="16">
        <v>5</v>
      </c>
      <c r="O610" s="17">
        <v>5</v>
      </c>
      <c r="P610" s="3" t="s">
        <v>450</v>
      </c>
      <c r="Q610" s="20">
        <v>21331</v>
      </c>
      <c r="R610" s="3" t="s">
        <v>2776</v>
      </c>
      <c r="S610" s="3" t="s">
        <v>2777</v>
      </c>
      <c r="T610" s="3" t="s">
        <v>736</v>
      </c>
      <c r="U610" s="3" t="s">
        <v>155</v>
      </c>
      <c r="Z610" s="2" t="s">
        <v>155</v>
      </c>
      <c r="AE610" s="698"/>
      <c r="AF610" s="655"/>
    </row>
    <row r="611" spans="1:32" ht="12" customHeight="1">
      <c r="A611" s="777" t="s">
        <v>15827</v>
      </c>
      <c r="B611" s="2">
        <v>1</v>
      </c>
      <c r="C611" s="4" t="s">
        <v>2783</v>
      </c>
      <c r="D611" s="1" t="s">
        <v>4746</v>
      </c>
      <c r="E611" s="6">
        <f t="shared" si="9"/>
        <v>42</v>
      </c>
      <c r="F611" s="2" t="s">
        <v>5</v>
      </c>
      <c r="G611" s="5" t="s">
        <v>15273</v>
      </c>
      <c r="K611" s="8" t="s">
        <v>16127</v>
      </c>
      <c r="L611" s="1" t="s">
        <v>44</v>
      </c>
      <c r="M611" s="1" t="s">
        <v>6</v>
      </c>
      <c r="P611" s="3" t="s">
        <v>188</v>
      </c>
      <c r="Q611" s="20">
        <v>25807</v>
      </c>
      <c r="R611" s="3" t="s">
        <v>4747</v>
      </c>
      <c r="U611" s="3" t="s">
        <v>145</v>
      </c>
      <c r="W611" s="2" t="s">
        <v>145</v>
      </c>
      <c r="AE611" s="698"/>
      <c r="AF611" s="655"/>
    </row>
    <row r="612" spans="1:32" ht="12" customHeight="1">
      <c r="A612" s="777" t="s">
        <v>15828</v>
      </c>
      <c r="B612" s="2">
        <v>1</v>
      </c>
      <c r="C612" s="4" t="s">
        <v>2797</v>
      </c>
      <c r="D612" s="1" t="s">
        <v>2801</v>
      </c>
      <c r="E612" s="6">
        <f t="shared" si="9"/>
        <v>64</v>
      </c>
      <c r="F612" s="2" t="s">
        <v>5</v>
      </c>
      <c r="G612" s="5" t="s">
        <v>15273</v>
      </c>
      <c r="H612" s="3" t="s">
        <v>2802</v>
      </c>
      <c r="K612" s="8" t="s">
        <v>16127</v>
      </c>
      <c r="L612" s="1" t="s">
        <v>45</v>
      </c>
      <c r="M612" s="1" t="s">
        <v>25</v>
      </c>
      <c r="N612" s="16">
        <v>7</v>
      </c>
      <c r="O612" s="17">
        <v>7</v>
      </c>
      <c r="P612" s="3" t="s">
        <v>188</v>
      </c>
      <c r="Q612" s="20">
        <v>17656</v>
      </c>
      <c r="R612" s="3" t="s">
        <v>2803</v>
      </c>
      <c r="S612" s="3" t="s">
        <v>2805</v>
      </c>
      <c r="T612" s="3" t="s">
        <v>736</v>
      </c>
      <c r="U612" s="3" t="s">
        <v>2804</v>
      </c>
      <c r="W612" s="2" t="s">
        <v>145</v>
      </c>
      <c r="AB612" s="2" t="s">
        <v>104</v>
      </c>
      <c r="AE612" s="698" t="s">
        <v>69</v>
      </c>
      <c r="AF612" s="655"/>
    </row>
    <row r="613" spans="1:32" ht="12" customHeight="1">
      <c r="A613" s="777" t="s">
        <v>15829</v>
      </c>
      <c r="B613" s="2">
        <v>1</v>
      </c>
      <c r="C613" s="4" t="s">
        <v>2808</v>
      </c>
      <c r="D613" s="1" t="s">
        <v>2812</v>
      </c>
      <c r="E613" s="6">
        <f t="shared" si="9"/>
        <v>42</v>
      </c>
      <c r="F613" s="2" t="s">
        <v>5</v>
      </c>
      <c r="G613" s="5" t="s">
        <v>15273</v>
      </c>
      <c r="K613" s="4" t="s">
        <v>16127</v>
      </c>
      <c r="L613" s="1" t="s">
        <v>737</v>
      </c>
      <c r="M613" s="1" t="s">
        <v>6</v>
      </c>
      <c r="P613" s="3" t="s">
        <v>675</v>
      </c>
      <c r="Q613" s="20">
        <v>25646</v>
      </c>
      <c r="R613" s="3" t="s">
        <v>2814</v>
      </c>
      <c r="T613" s="3" t="s">
        <v>736</v>
      </c>
      <c r="U613" s="3" t="s">
        <v>145</v>
      </c>
      <c r="W613" s="2" t="s">
        <v>145</v>
      </c>
      <c r="AE613" s="698"/>
      <c r="AF613" s="655"/>
    </row>
    <row r="614" spans="1:32" ht="12" customHeight="1">
      <c r="A614" s="777" t="s">
        <v>15830</v>
      </c>
      <c r="B614" s="2">
        <v>1</v>
      </c>
      <c r="C614" s="4" t="s">
        <v>2822</v>
      </c>
      <c r="D614" s="1" t="s">
        <v>2825</v>
      </c>
      <c r="E614" s="6">
        <f t="shared" si="9"/>
        <v>38</v>
      </c>
      <c r="F614" s="2" t="s">
        <v>19</v>
      </c>
      <c r="G614" s="5" t="s">
        <v>15273</v>
      </c>
      <c r="H614" s="3" t="s">
        <v>2826</v>
      </c>
      <c r="K614" s="8" t="s">
        <v>16126</v>
      </c>
      <c r="L614" s="1" t="s">
        <v>44</v>
      </c>
      <c r="M614" s="1" t="s">
        <v>25</v>
      </c>
      <c r="N614" s="16">
        <v>1</v>
      </c>
      <c r="O614" s="17">
        <v>1</v>
      </c>
      <c r="P614" s="3" t="s">
        <v>317</v>
      </c>
      <c r="Q614" s="20">
        <v>27234</v>
      </c>
      <c r="R614" s="3" t="s">
        <v>2827</v>
      </c>
      <c r="T614" s="3" t="s">
        <v>736</v>
      </c>
      <c r="U614" s="3" t="s">
        <v>147</v>
      </c>
      <c r="AC614" s="2" t="s">
        <v>147</v>
      </c>
      <c r="AE614" s="698"/>
      <c r="AF614" s="655"/>
    </row>
    <row r="615" spans="1:32" ht="12" customHeight="1">
      <c r="A615" s="777" t="s">
        <v>15831</v>
      </c>
      <c r="B615" s="2">
        <v>1</v>
      </c>
      <c r="C615" s="4" t="s">
        <v>2833</v>
      </c>
      <c r="D615" s="1" t="s">
        <v>2836</v>
      </c>
      <c r="E615" s="6">
        <f t="shared" si="9"/>
        <v>51</v>
      </c>
      <c r="F615" s="2" t="s">
        <v>5</v>
      </c>
      <c r="G615" s="5" t="s">
        <v>15273</v>
      </c>
      <c r="H615" s="3" t="s">
        <v>2837</v>
      </c>
      <c r="K615" s="8" t="s">
        <v>16127</v>
      </c>
      <c r="L615" s="1" t="s">
        <v>604</v>
      </c>
      <c r="M615" s="1" t="s">
        <v>25</v>
      </c>
      <c r="N615" s="16">
        <v>4</v>
      </c>
      <c r="O615" s="17">
        <v>4</v>
      </c>
      <c r="P615" s="3" t="s">
        <v>2768</v>
      </c>
      <c r="Q615" s="20">
        <v>22282</v>
      </c>
      <c r="R615" s="3" t="s">
        <v>2840</v>
      </c>
      <c r="S615" s="3" t="s">
        <v>2839</v>
      </c>
      <c r="T615" s="3" t="s">
        <v>736</v>
      </c>
      <c r="AE615" s="698"/>
      <c r="AF615" s="655"/>
    </row>
    <row r="616" spans="1:32" ht="12" customHeight="1">
      <c r="A616" s="777" t="s">
        <v>15832</v>
      </c>
      <c r="B616" s="2">
        <v>1</v>
      </c>
      <c r="C616" s="4" t="s">
        <v>2845</v>
      </c>
      <c r="D616" s="1" t="s">
        <v>2848</v>
      </c>
      <c r="E616" s="6">
        <f t="shared" si="9"/>
        <v>41</v>
      </c>
      <c r="F616" s="2" t="s">
        <v>5</v>
      </c>
      <c r="G616" s="5" t="s">
        <v>15273</v>
      </c>
      <c r="H616" s="3" t="s">
        <v>2849</v>
      </c>
      <c r="K616" s="8" t="s">
        <v>16127</v>
      </c>
      <c r="L616" s="1" t="s">
        <v>44</v>
      </c>
      <c r="M616" s="1" t="s">
        <v>25</v>
      </c>
      <c r="N616" s="16">
        <v>3</v>
      </c>
      <c r="O616" s="17">
        <v>3</v>
      </c>
      <c r="P616" s="3" t="s">
        <v>2745</v>
      </c>
      <c r="Q616" s="20">
        <v>26102</v>
      </c>
      <c r="R616" s="3" t="s">
        <v>2850</v>
      </c>
      <c r="S616" s="3" t="s">
        <v>1784</v>
      </c>
      <c r="T616" s="3" t="s">
        <v>736</v>
      </c>
      <c r="AE616" s="698"/>
      <c r="AF616" s="655"/>
    </row>
    <row r="617" spans="1:32" ht="12" customHeight="1">
      <c r="A617" s="777" t="s">
        <v>15833</v>
      </c>
      <c r="B617" s="2">
        <v>1</v>
      </c>
      <c r="C617" s="4" t="s">
        <v>2856</v>
      </c>
      <c r="D617" s="1" t="s">
        <v>5060</v>
      </c>
      <c r="E617" s="6">
        <f t="shared" si="9"/>
        <v>39</v>
      </c>
      <c r="F617" s="2" t="s">
        <v>5</v>
      </c>
      <c r="G617" s="5" t="s">
        <v>15273</v>
      </c>
      <c r="K617" s="8" t="s">
        <v>16127</v>
      </c>
      <c r="L617" s="1" t="s">
        <v>44</v>
      </c>
      <c r="M617" s="1" t="s">
        <v>6</v>
      </c>
      <c r="P617" s="3" t="s">
        <v>1282</v>
      </c>
      <c r="Q617" s="20">
        <v>26918</v>
      </c>
      <c r="R617" s="3" t="s">
        <v>5061</v>
      </c>
      <c r="T617" s="3" t="s">
        <v>736</v>
      </c>
      <c r="AE617" s="698"/>
      <c r="AF617" s="655"/>
    </row>
    <row r="618" spans="1:32" ht="12" customHeight="1">
      <c r="A618" s="777" t="s">
        <v>15834</v>
      </c>
      <c r="B618" s="2">
        <v>1</v>
      </c>
      <c r="C618" s="4" t="s">
        <v>2869</v>
      </c>
      <c r="D618" s="1" t="s">
        <v>2872</v>
      </c>
      <c r="E618" s="6">
        <f t="shared" si="9"/>
        <v>47</v>
      </c>
      <c r="F618" s="2" t="s">
        <v>5</v>
      </c>
      <c r="G618" s="5" t="s">
        <v>15273</v>
      </c>
      <c r="H618" s="3" t="s">
        <v>2873</v>
      </c>
      <c r="K618" s="4" t="s">
        <v>16127</v>
      </c>
      <c r="L618" s="1" t="s">
        <v>681</v>
      </c>
      <c r="M618" s="1" t="s">
        <v>25</v>
      </c>
      <c r="N618" s="16">
        <v>3</v>
      </c>
      <c r="O618" s="17">
        <v>3</v>
      </c>
      <c r="P618" s="3" t="s">
        <v>7</v>
      </c>
      <c r="Q618" s="20">
        <v>23812</v>
      </c>
      <c r="R618" s="3" t="s">
        <v>2874</v>
      </c>
      <c r="S618" s="3" t="s">
        <v>2489</v>
      </c>
      <c r="T618" s="3" t="s">
        <v>736</v>
      </c>
      <c r="U618" s="3" t="s">
        <v>69</v>
      </c>
      <c r="AE618" s="698" t="s">
        <v>69</v>
      </c>
      <c r="AF618" s="655"/>
    </row>
    <row r="619" spans="1:32" ht="12" customHeight="1">
      <c r="A619" s="777" t="s">
        <v>15835</v>
      </c>
      <c r="B619" s="2">
        <v>1</v>
      </c>
      <c r="C619" s="4" t="s">
        <v>2875</v>
      </c>
      <c r="D619" s="1" t="s">
        <v>2879</v>
      </c>
      <c r="E619" s="6">
        <f t="shared" si="9"/>
        <v>50</v>
      </c>
      <c r="F619" s="2" t="s">
        <v>5</v>
      </c>
      <c r="G619" s="5" t="s">
        <v>15273</v>
      </c>
      <c r="H619" s="3" t="s">
        <v>2880</v>
      </c>
      <c r="K619" s="8" t="s">
        <v>16126</v>
      </c>
      <c r="L619" s="1" t="s">
        <v>44</v>
      </c>
      <c r="M619" s="1" t="s">
        <v>25</v>
      </c>
      <c r="N619" s="16">
        <v>2</v>
      </c>
      <c r="O619" s="17">
        <v>2</v>
      </c>
      <c r="P619" s="3" t="s">
        <v>188</v>
      </c>
      <c r="Q619" s="20">
        <v>22875</v>
      </c>
      <c r="R619" s="3" t="s">
        <v>2881</v>
      </c>
      <c r="S619" s="3" t="s">
        <v>1017</v>
      </c>
      <c r="T619" s="3" t="s">
        <v>736</v>
      </c>
      <c r="U619" s="3" t="s">
        <v>145</v>
      </c>
      <c r="W619" s="2" t="s">
        <v>145</v>
      </c>
      <c r="AE619" s="698"/>
      <c r="AF619" s="655"/>
    </row>
    <row r="620" spans="1:32" ht="12" customHeight="1">
      <c r="A620" s="777" t="s">
        <v>15836</v>
      </c>
      <c r="B620" s="2">
        <v>1</v>
      </c>
      <c r="C620" s="4" t="s">
        <v>2892</v>
      </c>
      <c r="D620" s="1" t="s">
        <v>2895</v>
      </c>
      <c r="E620" s="6">
        <f t="shared" si="9"/>
        <v>41</v>
      </c>
      <c r="F620" s="2" t="s">
        <v>5</v>
      </c>
      <c r="G620" s="5" t="s">
        <v>15273</v>
      </c>
      <c r="H620" s="3" t="s">
        <v>2896</v>
      </c>
      <c r="K620" s="8" t="s">
        <v>16127</v>
      </c>
      <c r="L620" s="1" t="s">
        <v>44</v>
      </c>
      <c r="M620" s="1" t="s">
        <v>25</v>
      </c>
      <c r="N620" s="16">
        <v>1</v>
      </c>
      <c r="O620" s="17">
        <v>1</v>
      </c>
      <c r="P620" s="3" t="s">
        <v>1493</v>
      </c>
      <c r="Q620" s="20">
        <v>26036</v>
      </c>
      <c r="R620" s="3" t="s">
        <v>2897</v>
      </c>
      <c r="T620" s="3" t="s">
        <v>736</v>
      </c>
      <c r="AE620" s="698"/>
      <c r="AF620" s="655"/>
    </row>
    <row r="621" spans="1:32" ht="12" customHeight="1">
      <c r="A621" s="777" t="s">
        <v>15837</v>
      </c>
      <c r="B621" s="2">
        <v>1</v>
      </c>
      <c r="C621" s="4" t="s">
        <v>2901</v>
      </c>
      <c r="D621" s="1" t="s">
        <v>2995</v>
      </c>
      <c r="E621" s="6">
        <f t="shared" si="9"/>
        <v>47</v>
      </c>
      <c r="F621" s="2" t="s">
        <v>19</v>
      </c>
      <c r="G621" s="5" t="s">
        <v>15273</v>
      </c>
      <c r="H621" s="3" t="s">
        <v>5062</v>
      </c>
      <c r="K621" s="8" t="s">
        <v>16127</v>
      </c>
      <c r="L621" s="1" t="s">
        <v>44</v>
      </c>
      <c r="M621" s="1" t="s">
        <v>25</v>
      </c>
      <c r="N621" s="16">
        <v>1</v>
      </c>
      <c r="O621" s="17">
        <v>1</v>
      </c>
      <c r="P621" s="3" t="s">
        <v>2996</v>
      </c>
      <c r="Q621" s="20">
        <v>24030</v>
      </c>
      <c r="R621" s="3" t="s">
        <v>2997</v>
      </c>
      <c r="AE621" s="698"/>
      <c r="AF621" s="655"/>
    </row>
    <row r="622" spans="1:32" ht="12" customHeight="1">
      <c r="A622" s="777" t="s">
        <v>15838</v>
      </c>
      <c r="B622" s="2">
        <v>1</v>
      </c>
      <c r="C622" s="4" t="s">
        <v>2913</v>
      </c>
      <c r="D622" s="1" t="s">
        <v>2917</v>
      </c>
      <c r="E622" s="6">
        <f t="shared" si="9"/>
        <v>46</v>
      </c>
      <c r="F622" s="2" t="s">
        <v>5</v>
      </c>
      <c r="G622" s="5" t="s">
        <v>15273</v>
      </c>
      <c r="H622" s="3" t="s">
        <v>2918</v>
      </c>
      <c r="K622" s="8" t="s">
        <v>16127</v>
      </c>
      <c r="L622" s="1" t="s">
        <v>44</v>
      </c>
      <c r="M622" s="1" t="s">
        <v>25</v>
      </c>
      <c r="N622" s="16">
        <v>1</v>
      </c>
      <c r="O622" s="17">
        <v>1</v>
      </c>
      <c r="P622" s="3" t="s">
        <v>317</v>
      </c>
      <c r="Q622" s="20">
        <v>24274</v>
      </c>
      <c r="R622" s="3" t="s">
        <v>2919</v>
      </c>
      <c r="T622" s="3" t="s">
        <v>736</v>
      </c>
      <c r="AE622" s="698"/>
      <c r="AF622" s="655"/>
    </row>
    <row r="623" spans="1:32" ht="12" customHeight="1">
      <c r="A623" s="777" t="s">
        <v>15839</v>
      </c>
      <c r="B623" s="2">
        <v>1</v>
      </c>
      <c r="C623" s="4" t="s">
        <v>2929</v>
      </c>
      <c r="D623" s="1" t="s">
        <v>5752</v>
      </c>
      <c r="E623" s="6">
        <f t="shared" si="9"/>
        <v>44</v>
      </c>
      <c r="F623" s="2" t="s">
        <v>19</v>
      </c>
      <c r="G623" s="5" t="s">
        <v>15273</v>
      </c>
      <c r="K623" s="4" t="s">
        <v>16127</v>
      </c>
      <c r="L623" s="1" t="s">
        <v>44</v>
      </c>
      <c r="M623" s="1" t="s">
        <v>6</v>
      </c>
      <c r="P623" s="3" t="s">
        <v>5834</v>
      </c>
      <c r="Q623" s="20">
        <v>24916</v>
      </c>
      <c r="R623" s="3" t="s">
        <v>5835</v>
      </c>
      <c r="AE623" s="698"/>
      <c r="AF623" s="655"/>
    </row>
    <row r="624" spans="1:32" ht="12" customHeight="1">
      <c r="A624" s="777" t="s">
        <v>15840</v>
      </c>
      <c r="B624" s="2">
        <v>1</v>
      </c>
      <c r="C624" s="4" t="s">
        <v>2943</v>
      </c>
      <c r="D624" s="1" t="s">
        <v>2946</v>
      </c>
      <c r="E624" s="6">
        <f t="shared" si="9"/>
        <v>62</v>
      </c>
      <c r="F624" s="2" t="s">
        <v>5</v>
      </c>
      <c r="G624" s="5" t="s">
        <v>15273</v>
      </c>
      <c r="H624" s="3" t="s">
        <v>2947</v>
      </c>
      <c r="K624" s="8" t="s">
        <v>16126</v>
      </c>
      <c r="L624" s="1" t="s">
        <v>604</v>
      </c>
      <c r="M624" s="1" t="s">
        <v>25</v>
      </c>
      <c r="N624" s="16">
        <v>5</v>
      </c>
      <c r="O624" s="17">
        <v>5</v>
      </c>
      <c r="P624" s="3" t="s">
        <v>1551</v>
      </c>
      <c r="Q624" s="20">
        <v>18424</v>
      </c>
      <c r="R624" s="3" t="s">
        <v>2948</v>
      </c>
      <c r="S624" s="3" t="s">
        <v>2949</v>
      </c>
      <c r="T624" s="3" t="s">
        <v>736</v>
      </c>
      <c r="U624" s="3" t="s">
        <v>145</v>
      </c>
      <c r="W624" s="2" t="s">
        <v>145</v>
      </c>
      <c r="AE624" s="698"/>
      <c r="AF624" s="655"/>
    </row>
    <row r="625" spans="1:32" ht="12" customHeight="1">
      <c r="A625" s="777" t="s">
        <v>15841</v>
      </c>
      <c r="B625" s="2">
        <v>1</v>
      </c>
      <c r="C625" s="4" t="s">
        <v>2956</v>
      </c>
      <c r="D625" s="1" t="s">
        <v>2959</v>
      </c>
      <c r="E625" s="6">
        <f t="shared" si="9"/>
        <v>59</v>
      </c>
      <c r="F625" s="2" t="s">
        <v>5</v>
      </c>
      <c r="G625" s="5" t="s">
        <v>15273</v>
      </c>
      <c r="H625" s="3" t="s">
        <v>2960</v>
      </c>
      <c r="K625" s="8" t="s">
        <v>16127</v>
      </c>
      <c r="L625" s="1" t="s">
        <v>604</v>
      </c>
      <c r="M625" s="1" t="s">
        <v>25</v>
      </c>
      <c r="N625" s="16">
        <v>7</v>
      </c>
      <c r="O625" s="17">
        <v>7</v>
      </c>
      <c r="P625" s="3" t="s">
        <v>317</v>
      </c>
      <c r="Q625" s="20">
        <v>19554</v>
      </c>
      <c r="R625" s="3" t="s">
        <v>2962</v>
      </c>
      <c r="S625" s="3" t="s">
        <v>2963</v>
      </c>
      <c r="U625" s="3" t="s">
        <v>355</v>
      </c>
      <c r="V625" s="2" t="s">
        <v>47</v>
      </c>
      <c r="AB625" s="2" t="s">
        <v>104</v>
      </c>
      <c r="AE625" s="698"/>
      <c r="AF625" s="655"/>
    </row>
    <row r="626" spans="1:32" ht="12" customHeight="1">
      <c r="A626" s="777" t="s">
        <v>15842</v>
      </c>
      <c r="B626" s="2">
        <v>1</v>
      </c>
      <c r="C626" s="4" t="s">
        <v>2967</v>
      </c>
      <c r="D626" s="1" t="s">
        <v>2970</v>
      </c>
      <c r="E626" s="6">
        <f t="shared" si="9"/>
        <v>63</v>
      </c>
      <c r="F626" s="2" t="s">
        <v>5</v>
      </c>
      <c r="G626" s="5" t="s">
        <v>15273</v>
      </c>
      <c r="H626" s="3" t="s">
        <v>2971</v>
      </c>
      <c r="K626" s="8" t="s">
        <v>16127</v>
      </c>
      <c r="L626" s="1" t="s">
        <v>44</v>
      </c>
      <c r="M626" s="1" t="s">
        <v>25</v>
      </c>
      <c r="N626" s="16">
        <v>2</v>
      </c>
      <c r="O626" s="17">
        <v>2</v>
      </c>
      <c r="P626" s="3" t="s">
        <v>2972</v>
      </c>
      <c r="Q626" s="20">
        <v>18170</v>
      </c>
      <c r="R626" s="3" t="s">
        <v>2973</v>
      </c>
      <c r="S626" s="3" t="s">
        <v>347</v>
      </c>
      <c r="T626" s="3" t="s">
        <v>736</v>
      </c>
      <c r="U626" s="3" t="s">
        <v>145</v>
      </c>
      <c r="W626" s="2" t="s">
        <v>145</v>
      </c>
      <c r="AE626" s="698"/>
      <c r="AF626" s="655"/>
    </row>
    <row r="627" spans="1:32" ht="12" customHeight="1" thickBot="1">
      <c r="A627" s="778" t="s">
        <v>15843</v>
      </c>
      <c r="B627" s="702">
        <v>1</v>
      </c>
      <c r="C627" s="700" t="s">
        <v>2982</v>
      </c>
      <c r="D627" s="699" t="s">
        <v>2985</v>
      </c>
      <c r="E627" s="701">
        <f t="shared" si="9"/>
        <v>36</v>
      </c>
      <c r="F627" s="702" t="s">
        <v>5</v>
      </c>
      <c r="G627" s="356" t="s">
        <v>15273</v>
      </c>
      <c r="H627" s="703" t="s">
        <v>2986</v>
      </c>
      <c r="I627" s="699"/>
      <c r="J627" s="699"/>
      <c r="K627" s="704" t="s">
        <v>16127</v>
      </c>
      <c r="L627" s="699" t="s">
        <v>44</v>
      </c>
      <c r="M627" s="699" t="s">
        <v>25</v>
      </c>
      <c r="N627" s="705">
        <v>1</v>
      </c>
      <c r="O627" s="706">
        <v>1</v>
      </c>
      <c r="P627" s="703" t="s">
        <v>95</v>
      </c>
      <c r="Q627" s="707">
        <v>28029</v>
      </c>
      <c r="R627" s="703" t="s">
        <v>2987</v>
      </c>
      <c r="S627" s="703"/>
      <c r="T627" s="703" t="s">
        <v>736</v>
      </c>
      <c r="U627" s="703"/>
      <c r="V627" s="702"/>
      <c r="W627" s="702"/>
      <c r="X627" s="702"/>
      <c r="Y627" s="702"/>
      <c r="Z627" s="702"/>
      <c r="AA627" s="702"/>
      <c r="AB627" s="702"/>
      <c r="AC627" s="702"/>
      <c r="AD627" s="702"/>
      <c r="AE627" s="708"/>
      <c r="AF627" s="655"/>
    </row>
    <row r="628" spans="1:32" ht="12" customHeight="1">
      <c r="A628" s="724" t="s">
        <v>15425</v>
      </c>
      <c r="B628" s="696">
        <v>1</v>
      </c>
      <c r="C628" s="688" t="s">
        <v>2545</v>
      </c>
      <c r="D628" s="687" t="s">
        <v>2552</v>
      </c>
      <c r="E628" s="690">
        <f t="shared" si="9"/>
        <v>52</v>
      </c>
      <c r="F628" s="696" t="s">
        <v>19</v>
      </c>
      <c r="G628" s="687" t="s">
        <v>15273</v>
      </c>
      <c r="H628" s="747" t="s">
        <v>2553</v>
      </c>
      <c r="I628" s="687"/>
      <c r="J628" s="687"/>
      <c r="K628" s="692" t="s">
        <v>16120</v>
      </c>
      <c r="L628" s="687" t="s">
        <v>30</v>
      </c>
      <c r="M628" s="687" t="s">
        <v>25</v>
      </c>
      <c r="N628" s="748">
        <v>6</v>
      </c>
      <c r="O628" s="749">
        <v>6</v>
      </c>
      <c r="P628" s="747" t="s">
        <v>450</v>
      </c>
      <c r="Q628" s="773">
        <v>22162</v>
      </c>
      <c r="R628" s="747" t="s">
        <v>2554</v>
      </c>
      <c r="S628" s="747" t="s">
        <v>2556</v>
      </c>
      <c r="T628" s="747" t="s">
        <v>5457</v>
      </c>
      <c r="U628" s="747" t="s">
        <v>572</v>
      </c>
      <c r="V628" s="696"/>
      <c r="W628" s="696" t="s">
        <v>145</v>
      </c>
      <c r="X628" s="696"/>
      <c r="Y628" s="696"/>
      <c r="Z628" s="696"/>
      <c r="AA628" s="696"/>
      <c r="AB628" s="696" t="s">
        <v>104</v>
      </c>
      <c r="AC628" s="696"/>
      <c r="AD628" s="696"/>
      <c r="AE628" s="697"/>
      <c r="AF628" s="655"/>
    </row>
    <row r="629" spans="1:32" ht="12" customHeight="1">
      <c r="A629" s="725" t="s">
        <v>15426</v>
      </c>
      <c r="B629" s="2">
        <v>1</v>
      </c>
      <c r="C629" s="4" t="s">
        <v>2571</v>
      </c>
      <c r="D629" s="1" t="s">
        <v>2576</v>
      </c>
      <c r="E629" s="6">
        <f t="shared" si="9"/>
        <v>49</v>
      </c>
      <c r="F629" s="2" t="s">
        <v>5</v>
      </c>
      <c r="G629" s="1" t="s">
        <v>15273</v>
      </c>
      <c r="H629" s="3" t="s">
        <v>2577</v>
      </c>
      <c r="K629" s="4" t="s">
        <v>16120</v>
      </c>
      <c r="L629" s="1" t="s">
        <v>30</v>
      </c>
      <c r="M629" s="1" t="s">
        <v>25</v>
      </c>
      <c r="N629" s="16">
        <v>5</v>
      </c>
      <c r="O629" s="17">
        <v>5</v>
      </c>
      <c r="P629" s="3" t="s">
        <v>317</v>
      </c>
      <c r="Q629" s="20">
        <v>23053</v>
      </c>
      <c r="R629" s="3" t="s">
        <v>2579</v>
      </c>
      <c r="S629" s="3" t="s">
        <v>2582</v>
      </c>
      <c r="T629" s="3" t="s">
        <v>5457</v>
      </c>
      <c r="U629" s="3" t="s">
        <v>2580</v>
      </c>
      <c r="V629" s="2" t="s">
        <v>47</v>
      </c>
      <c r="AB629" s="2" t="s">
        <v>104</v>
      </c>
      <c r="AC629" s="2" t="s">
        <v>147</v>
      </c>
      <c r="AE629" s="698"/>
      <c r="AF629" s="655"/>
    </row>
    <row r="630" spans="1:32" ht="12" customHeight="1">
      <c r="A630" s="725" t="s">
        <v>15427</v>
      </c>
      <c r="B630" s="2">
        <v>1</v>
      </c>
      <c r="C630" s="4" t="s">
        <v>2587</v>
      </c>
      <c r="D630" s="1" t="s">
        <v>2593</v>
      </c>
      <c r="E630" s="6">
        <f t="shared" si="9"/>
        <v>57</v>
      </c>
      <c r="F630" s="2" t="s">
        <v>5</v>
      </c>
      <c r="G630" s="1" t="s">
        <v>15273</v>
      </c>
      <c r="K630" s="4" t="s">
        <v>16120</v>
      </c>
      <c r="L630" s="1" t="s">
        <v>445</v>
      </c>
      <c r="M630" s="1" t="s">
        <v>14</v>
      </c>
      <c r="N630" s="16">
        <v>1</v>
      </c>
      <c r="O630" s="17">
        <v>1</v>
      </c>
      <c r="P630" s="3" t="s">
        <v>31</v>
      </c>
      <c r="Q630" s="20">
        <v>20380</v>
      </c>
      <c r="R630" s="3" t="s">
        <v>2594</v>
      </c>
      <c r="T630" s="3" t="s">
        <v>5457</v>
      </c>
      <c r="U630" s="3" t="s">
        <v>104</v>
      </c>
      <c r="AB630" s="2" t="s">
        <v>104</v>
      </c>
      <c r="AE630" s="698"/>
      <c r="AF630" s="655"/>
    </row>
    <row r="631" spans="1:32" ht="12" customHeight="1">
      <c r="A631" s="725" t="s">
        <v>15428</v>
      </c>
      <c r="B631" s="2">
        <v>1</v>
      </c>
      <c r="C631" s="4" t="s">
        <v>2596</v>
      </c>
      <c r="D631" s="1" t="s">
        <v>2598</v>
      </c>
      <c r="E631" s="6">
        <f t="shared" si="9"/>
        <v>69</v>
      </c>
      <c r="F631" s="2" t="s">
        <v>5</v>
      </c>
      <c r="G631" s="1" t="s">
        <v>15273</v>
      </c>
      <c r="H631" s="3" t="s">
        <v>2599</v>
      </c>
      <c r="K631" s="8" t="s">
        <v>16120</v>
      </c>
      <c r="L631" s="1" t="s">
        <v>476</v>
      </c>
      <c r="M631" s="1" t="s">
        <v>25</v>
      </c>
      <c r="N631" s="16">
        <v>8</v>
      </c>
      <c r="O631" s="17">
        <v>8</v>
      </c>
      <c r="P631" s="3" t="s">
        <v>31</v>
      </c>
      <c r="Q631" s="20">
        <v>15695</v>
      </c>
      <c r="R631" s="3" t="s">
        <v>2600</v>
      </c>
      <c r="S631" s="3" t="s">
        <v>2601</v>
      </c>
      <c r="T631" s="3" t="s">
        <v>5457</v>
      </c>
      <c r="U631" s="3" t="s">
        <v>104</v>
      </c>
      <c r="AB631" s="2" t="s">
        <v>104</v>
      </c>
      <c r="AE631" s="698"/>
      <c r="AF631" s="655"/>
    </row>
    <row r="632" spans="1:32" ht="12" customHeight="1">
      <c r="A632" s="725" t="s">
        <v>15429</v>
      </c>
      <c r="B632" s="2">
        <v>1</v>
      </c>
      <c r="C632" s="4" t="s">
        <v>2607</v>
      </c>
      <c r="D632" s="1" t="s">
        <v>2614</v>
      </c>
      <c r="E632" s="6">
        <f t="shared" si="9"/>
        <v>60</v>
      </c>
      <c r="F632" s="2" t="s">
        <v>5</v>
      </c>
      <c r="G632" s="1" t="s">
        <v>15273</v>
      </c>
      <c r="H632" s="3" t="s">
        <v>2615</v>
      </c>
      <c r="K632" s="23" t="s">
        <v>16120</v>
      </c>
      <c r="L632" s="1" t="s">
        <v>5247</v>
      </c>
      <c r="M632" s="1" t="s">
        <v>25</v>
      </c>
      <c r="N632" s="16">
        <v>7</v>
      </c>
      <c r="O632" s="17">
        <v>7</v>
      </c>
      <c r="P632" s="3" t="s">
        <v>451</v>
      </c>
      <c r="Q632" s="20">
        <v>19299</v>
      </c>
      <c r="R632" s="3" t="s">
        <v>2616</v>
      </c>
      <c r="S632" s="3" t="s">
        <v>2617</v>
      </c>
      <c r="T632" s="3" t="s">
        <v>5457</v>
      </c>
      <c r="U632" s="3" t="s">
        <v>104</v>
      </c>
      <c r="AB632" s="2" t="s">
        <v>104</v>
      </c>
      <c r="AE632" s="698"/>
      <c r="AF632" s="655"/>
    </row>
    <row r="633" spans="1:32" ht="12" customHeight="1">
      <c r="A633" s="725" t="s">
        <v>15430</v>
      </c>
      <c r="B633" s="2">
        <v>1</v>
      </c>
      <c r="C633" s="4" t="s">
        <v>2625</v>
      </c>
      <c r="D633" s="1" t="s">
        <v>2632</v>
      </c>
      <c r="E633" s="6">
        <f t="shared" si="9"/>
        <v>59</v>
      </c>
      <c r="F633" s="2" t="s">
        <v>19</v>
      </c>
      <c r="G633" s="1" t="s">
        <v>15273</v>
      </c>
      <c r="K633" s="8" t="s">
        <v>16120</v>
      </c>
      <c r="L633" s="1" t="s">
        <v>476</v>
      </c>
      <c r="M633" s="1" t="s">
        <v>14</v>
      </c>
      <c r="N633" s="16">
        <v>3</v>
      </c>
      <c r="O633" s="17">
        <v>3</v>
      </c>
      <c r="P633" s="3" t="s">
        <v>255</v>
      </c>
      <c r="Q633" s="20">
        <v>19419</v>
      </c>
      <c r="R633" s="3" t="s">
        <v>2633</v>
      </c>
      <c r="S633" s="3" t="s">
        <v>2634</v>
      </c>
      <c r="T633" s="3" t="s">
        <v>5457</v>
      </c>
      <c r="AE633" s="698"/>
      <c r="AF633" s="655"/>
    </row>
    <row r="634" spans="1:32" ht="12" customHeight="1">
      <c r="A634" s="725" t="s">
        <v>15431</v>
      </c>
      <c r="B634" s="2">
        <v>1</v>
      </c>
      <c r="C634" s="4" t="s">
        <v>2642</v>
      </c>
      <c r="D634" s="1" t="s">
        <v>2649</v>
      </c>
      <c r="E634" s="6">
        <f t="shared" si="9"/>
        <v>36</v>
      </c>
      <c r="F634" s="2" t="s">
        <v>5</v>
      </c>
      <c r="G634" s="1" t="s">
        <v>15273</v>
      </c>
      <c r="K634" s="4" t="s">
        <v>16120</v>
      </c>
      <c r="L634" s="1" t="s">
        <v>30</v>
      </c>
      <c r="M634" s="1" t="s">
        <v>6</v>
      </c>
      <c r="P634" s="3" t="s">
        <v>1282</v>
      </c>
      <c r="Q634" s="20">
        <v>27959</v>
      </c>
      <c r="R634" s="3" t="s">
        <v>2651</v>
      </c>
      <c r="U634" s="3" t="s">
        <v>47</v>
      </c>
      <c r="V634" s="2" t="s">
        <v>47</v>
      </c>
      <c r="AE634" s="698"/>
      <c r="AF634" s="655"/>
    </row>
    <row r="635" spans="1:32" ht="12" customHeight="1">
      <c r="A635" s="725" t="s">
        <v>15432</v>
      </c>
      <c r="B635" s="2">
        <v>1</v>
      </c>
      <c r="C635" s="4" t="s">
        <v>2656</v>
      </c>
      <c r="D635" s="1" t="s">
        <v>2662</v>
      </c>
      <c r="E635" s="6">
        <f t="shared" si="9"/>
        <v>37</v>
      </c>
      <c r="F635" s="2" t="s">
        <v>5</v>
      </c>
      <c r="G635" s="1" t="s">
        <v>15273</v>
      </c>
      <c r="K635" s="4" t="s">
        <v>16120</v>
      </c>
      <c r="L635" s="1" t="s">
        <v>30</v>
      </c>
      <c r="M635" s="1" t="s">
        <v>6</v>
      </c>
      <c r="P635" s="3" t="s">
        <v>317</v>
      </c>
      <c r="Q635" s="20">
        <v>27404</v>
      </c>
      <c r="R635" s="3" t="s">
        <v>2664</v>
      </c>
      <c r="T635" s="3" t="s">
        <v>5457</v>
      </c>
      <c r="U635" s="3" t="s">
        <v>145</v>
      </c>
      <c r="W635" s="2" t="s">
        <v>145</v>
      </c>
      <c r="AE635" s="698"/>
      <c r="AF635" s="655"/>
    </row>
    <row r="636" spans="1:32" ht="12" customHeight="1">
      <c r="A636" s="725" t="s">
        <v>15433</v>
      </c>
      <c r="B636" s="2">
        <v>1</v>
      </c>
      <c r="C636" s="4" t="s">
        <v>2669</v>
      </c>
      <c r="D636" s="1" t="s">
        <v>2676</v>
      </c>
      <c r="E636" s="6">
        <f t="shared" si="9"/>
        <v>65</v>
      </c>
      <c r="F636" s="2" t="s">
        <v>5</v>
      </c>
      <c r="G636" s="1" t="s">
        <v>15273</v>
      </c>
      <c r="H636" s="3" t="s">
        <v>2677</v>
      </c>
      <c r="K636" s="8" t="s">
        <v>16120</v>
      </c>
      <c r="L636" s="1" t="s">
        <v>476</v>
      </c>
      <c r="M636" s="1" t="s">
        <v>25</v>
      </c>
      <c r="N636" s="16">
        <v>5</v>
      </c>
      <c r="O636" s="17">
        <v>5</v>
      </c>
      <c r="P636" s="3" t="s">
        <v>381</v>
      </c>
      <c r="Q636" s="20">
        <v>17289</v>
      </c>
      <c r="R636" s="3" t="s">
        <v>2678</v>
      </c>
      <c r="S636" s="3" t="s">
        <v>2679</v>
      </c>
      <c r="T636" s="3" t="s">
        <v>5457</v>
      </c>
      <c r="U636" s="3" t="s">
        <v>145</v>
      </c>
      <c r="W636" s="2" t="s">
        <v>145</v>
      </c>
      <c r="AE636" s="698"/>
      <c r="AF636" s="655"/>
    </row>
    <row r="637" spans="1:32" ht="12" customHeight="1">
      <c r="A637" s="725" t="s">
        <v>15434</v>
      </c>
      <c r="B637" s="2">
        <v>1</v>
      </c>
      <c r="C637" s="4" t="s">
        <v>2687</v>
      </c>
      <c r="D637" s="1" t="s">
        <v>2694</v>
      </c>
      <c r="E637" s="6">
        <f t="shared" si="9"/>
        <v>30</v>
      </c>
      <c r="F637" s="2" t="s">
        <v>5</v>
      </c>
      <c r="G637" s="1" t="s">
        <v>15273</v>
      </c>
      <c r="K637" s="23" t="s">
        <v>16120</v>
      </c>
      <c r="L637" s="1" t="s">
        <v>30</v>
      </c>
      <c r="M637" s="1" t="s">
        <v>6</v>
      </c>
      <c r="P637" s="3" t="s">
        <v>1879</v>
      </c>
      <c r="Q637" s="20">
        <v>30048</v>
      </c>
      <c r="R637" s="3" t="s">
        <v>2695</v>
      </c>
      <c r="AE637" s="698"/>
      <c r="AF637" s="655"/>
    </row>
    <row r="638" spans="1:32" ht="12" customHeight="1">
      <c r="A638" s="725" t="s">
        <v>15435</v>
      </c>
      <c r="B638" s="2">
        <v>1</v>
      </c>
      <c r="C638" s="4" t="s">
        <v>2699</v>
      </c>
      <c r="D638" s="1" t="s">
        <v>2708</v>
      </c>
      <c r="E638" s="6">
        <f t="shared" si="9"/>
        <v>36</v>
      </c>
      <c r="F638" s="2" t="s">
        <v>5</v>
      </c>
      <c r="G638" s="1" t="s">
        <v>15273</v>
      </c>
      <c r="K638" s="8" t="s">
        <v>16120</v>
      </c>
      <c r="L638" s="1" t="s">
        <v>30</v>
      </c>
      <c r="M638" s="1" t="s">
        <v>6</v>
      </c>
      <c r="P638" s="3" t="s">
        <v>267</v>
      </c>
      <c r="Q638" s="20">
        <v>27857</v>
      </c>
      <c r="R638" s="3" t="s">
        <v>2709</v>
      </c>
      <c r="AE638" s="698"/>
      <c r="AF638" s="655"/>
    </row>
    <row r="639" spans="1:32" ht="12" customHeight="1">
      <c r="A639" s="725" t="s">
        <v>15436</v>
      </c>
      <c r="B639" s="2">
        <v>1</v>
      </c>
      <c r="C639" s="4" t="s">
        <v>2714</v>
      </c>
      <c r="D639" s="1" t="s">
        <v>2719</v>
      </c>
      <c r="E639" s="6">
        <f t="shared" si="9"/>
        <v>47</v>
      </c>
      <c r="F639" s="2" t="s">
        <v>5</v>
      </c>
      <c r="G639" s="1" t="s">
        <v>15273</v>
      </c>
      <c r="H639" s="3" t="s">
        <v>2720</v>
      </c>
      <c r="K639" s="4" t="s">
        <v>16120</v>
      </c>
      <c r="L639" s="1" t="s">
        <v>30</v>
      </c>
      <c r="M639" s="1" t="s">
        <v>25</v>
      </c>
      <c r="N639" s="16">
        <v>2</v>
      </c>
      <c r="O639" s="17">
        <v>2</v>
      </c>
      <c r="P639" s="3" t="s">
        <v>317</v>
      </c>
      <c r="Q639" s="20">
        <v>23851</v>
      </c>
      <c r="R639" s="3" t="s">
        <v>2721</v>
      </c>
      <c r="T639" s="3" t="s">
        <v>5457</v>
      </c>
      <c r="U639" s="3" t="s">
        <v>47</v>
      </c>
      <c r="V639" s="2" t="s">
        <v>47</v>
      </c>
      <c r="AE639" s="698"/>
      <c r="AF639" s="655"/>
    </row>
    <row r="640" spans="1:32" ht="12" customHeight="1">
      <c r="A640" s="725" t="s">
        <v>15437</v>
      </c>
      <c r="B640" s="2">
        <v>1</v>
      </c>
      <c r="C640" s="4" t="s">
        <v>2723</v>
      </c>
      <c r="D640" s="1" t="s">
        <v>2728</v>
      </c>
      <c r="E640" s="6">
        <f t="shared" si="9"/>
        <v>62</v>
      </c>
      <c r="F640" s="2" t="s">
        <v>5</v>
      </c>
      <c r="G640" s="1" t="s">
        <v>15273</v>
      </c>
      <c r="H640" s="3" t="s">
        <v>2729</v>
      </c>
      <c r="K640" s="4" t="s">
        <v>16120</v>
      </c>
      <c r="L640" s="1" t="s">
        <v>48</v>
      </c>
      <c r="M640" s="1" t="s">
        <v>25</v>
      </c>
      <c r="N640" s="16">
        <v>6</v>
      </c>
      <c r="O640" s="17">
        <v>6</v>
      </c>
      <c r="P640" s="3" t="s">
        <v>31</v>
      </c>
      <c r="Q640" s="20">
        <v>18312</v>
      </c>
      <c r="R640" s="3" t="s">
        <v>2731</v>
      </c>
      <c r="S640" s="3" t="s">
        <v>2730</v>
      </c>
      <c r="T640" s="3" t="s">
        <v>5457</v>
      </c>
      <c r="U640" s="3" t="s">
        <v>104</v>
      </c>
      <c r="AB640" s="2" t="s">
        <v>104</v>
      </c>
      <c r="AE640" s="698"/>
      <c r="AF640" s="655"/>
    </row>
    <row r="641" spans="1:32" ht="12" customHeight="1">
      <c r="A641" s="725" t="s">
        <v>15438</v>
      </c>
      <c r="B641" s="2">
        <v>1</v>
      </c>
      <c r="C641" s="4" t="s">
        <v>2738</v>
      </c>
      <c r="D641" s="1" t="s">
        <v>2747</v>
      </c>
      <c r="E641" s="6">
        <f t="shared" si="9"/>
        <v>48</v>
      </c>
      <c r="F641" s="2" t="s">
        <v>5</v>
      </c>
      <c r="G641" s="1" t="s">
        <v>15273</v>
      </c>
      <c r="K641" s="8" t="s">
        <v>16120</v>
      </c>
      <c r="L641" s="1" t="s">
        <v>30</v>
      </c>
      <c r="M641" s="1" t="s">
        <v>6</v>
      </c>
      <c r="P641" s="3" t="s">
        <v>2137</v>
      </c>
      <c r="Q641" s="20">
        <v>23617</v>
      </c>
      <c r="R641" s="3" t="s">
        <v>2749</v>
      </c>
      <c r="T641" s="3" t="s">
        <v>5457</v>
      </c>
      <c r="U641" s="3" t="s">
        <v>145</v>
      </c>
      <c r="W641" s="2" t="s">
        <v>145</v>
      </c>
      <c r="AE641" s="698"/>
      <c r="AF641" s="655"/>
    </row>
    <row r="642" spans="1:32" ht="12" customHeight="1">
      <c r="A642" s="725" t="s">
        <v>15439</v>
      </c>
      <c r="B642" s="2">
        <v>1</v>
      </c>
      <c r="C642" s="4" t="s">
        <v>2758</v>
      </c>
      <c r="D642" s="1" t="s">
        <v>5691</v>
      </c>
      <c r="E642" s="6">
        <f t="shared" ref="E642:E705" si="10">DATEDIF(Q642,$Q$1119,"Y")</f>
        <v>41</v>
      </c>
      <c r="F642" s="2" t="s">
        <v>5</v>
      </c>
      <c r="G642" s="1" t="s">
        <v>15273</v>
      </c>
      <c r="K642" s="23" t="s">
        <v>16120</v>
      </c>
      <c r="L642" s="1" t="s">
        <v>30</v>
      </c>
      <c r="M642" s="1" t="s">
        <v>6</v>
      </c>
      <c r="P642" s="3" t="s">
        <v>245</v>
      </c>
      <c r="Q642" s="20">
        <v>26040</v>
      </c>
      <c r="R642" s="3" t="s">
        <v>5692</v>
      </c>
      <c r="U642" s="3" t="s">
        <v>145</v>
      </c>
      <c r="W642" s="2" t="s">
        <v>145</v>
      </c>
      <c r="AE642" s="698"/>
      <c r="AF642" s="655"/>
    </row>
    <row r="643" spans="1:32" ht="12" customHeight="1">
      <c r="A643" s="725" t="s">
        <v>15440</v>
      </c>
      <c r="B643" s="2">
        <v>1</v>
      </c>
      <c r="C643" s="4" t="s">
        <v>2770</v>
      </c>
      <c r="D643" s="1" t="s">
        <v>2778</v>
      </c>
      <c r="E643" s="6">
        <f t="shared" si="10"/>
        <v>46</v>
      </c>
      <c r="F643" s="2" t="s">
        <v>5</v>
      </c>
      <c r="G643" s="1" t="s">
        <v>15273</v>
      </c>
      <c r="K643" s="8" t="s">
        <v>16120</v>
      </c>
      <c r="L643" s="1" t="s">
        <v>48</v>
      </c>
      <c r="M643" s="1" t="s">
        <v>6</v>
      </c>
      <c r="P643" s="3" t="s">
        <v>267</v>
      </c>
      <c r="Q643" s="20">
        <v>24278</v>
      </c>
      <c r="R643" s="3" t="s">
        <v>2779</v>
      </c>
      <c r="AE643" s="698"/>
      <c r="AF643" s="655"/>
    </row>
    <row r="644" spans="1:32" ht="12" customHeight="1">
      <c r="A644" s="725" t="s">
        <v>15441</v>
      </c>
      <c r="B644" s="2">
        <v>1</v>
      </c>
      <c r="C644" s="4" t="s">
        <v>2784</v>
      </c>
      <c r="D644" s="1" t="s">
        <v>2788</v>
      </c>
      <c r="E644" s="6">
        <f t="shared" si="10"/>
        <v>48</v>
      </c>
      <c r="F644" s="2" t="s">
        <v>5</v>
      </c>
      <c r="G644" s="1" t="s">
        <v>15273</v>
      </c>
      <c r="K644" s="4" t="s">
        <v>16120</v>
      </c>
      <c r="L644" s="1" t="s">
        <v>65</v>
      </c>
      <c r="M644" s="1" t="s">
        <v>6</v>
      </c>
      <c r="P644" s="3" t="s">
        <v>381</v>
      </c>
      <c r="Q644" s="20">
        <v>23719</v>
      </c>
      <c r="R644" s="3" t="s">
        <v>2789</v>
      </c>
      <c r="U644" s="3" t="s">
        <v>145</v>
      </c>
      <c r="W644" s="2" t="s">
        <v>145</v>
      </c>
      <c r="AE644" s="698"/>
      <c r="AF644" s="655"/>
    </row>
    <row r="645" spans="1:32" ht="12" customHeight="1">
      <c r="A645" s="725" t="s">
        <v>15442</v>
      </c>
      <c r="B645" s="2">
        <v>1</v>
      </c>
      <c r="C645" s="4" t="s">
        <v>2798</v>
      </c>
      <c r="D645" s="1" t="s">
        <v>5751</v>
      </c>
      <c r="E645" s="6">
        <f t="shared" si="10"/>
        <v>49</v>
      </c>
      <c r="F645" s="2" t="s">
        <v>5</v>
      </c>
      <c r="G645" s="1" t="s">
        <v>15273</v>
      </c>
      <c r="K645" s="4" t="s">
        <v>16120</v>
      </c>
      <c r="L645" s="1" t="s">
        <v>30</v>
      </c>
      <c r="M645" s="1" t="s">
        <v>6</v>
      </c>
      <c r="P645" s="3" t="s">
        <v>5411</v>
      </c>
      <c r="Q645" s="20">
        <v>23061</v>
      </c>
      <c r="R645" s="3" t="s">
        <v>3949</v>
      </c>
      <c r="AE645" s="698"/>
      <c r="AF645" s="655"/>
    </row>
    <row r="646" spans="1:32" ht="12" customHeight="1">
      <c r="A646" s="725" t="s">
        <v>15443</v>
      </c>
      <c r="B646" s="2">
        <v>1</v>
      </c>
      <c r="C646" s="4" t="s">
        <v>2809</v>
      </c>
      <c r="D646" s="1" t="s">
        <v>2815</v>
      </c>
      <c r="E646" s="6">
        <f t="shared" si="10"/>
        <v>39</v>
      </c>
      <c r="F646" s="2" t="s">
        <v>5</v>
      </c>
      <c r="G646" s="1" t="s">
        <v>15273</v>
      </c>
      <c r="H646" s="3" t="s">
        <v>2816</v>
      </c>
      <c r="K646" s="8" t="s">
        <v>16120</v>
      </c>
      <c r="L646" s="1" t="s">
        <v>475</v>
      </c>
      <c r="M646" s="1" t="s">
        <v>25</v>
      </c>
      <c r="N646" s="16">
        <v>2</v>
      </c>
      <c r="O646" s="17">
        <v>2</v>
      </c>
      <c r="P646" s="3" t="s">
        <v>1265</v>
      </c>
      <c r="Q646" s="20">
        <v>26653</v>
      </c>
      <c r="R646" s="3" t="s">
        <v>2818</v>
      </c>
      <c r="T646" s="3" t="s">
        <v>5457</v>
      </c>
      <c r="U646" s="3" t="s">
        <v>104</v>
      </c>
      <c r="AB646" s="2" t="s">
        <v>104</v>
      </c>
      <c r="AE646" s="698"/>
      <c r="AF646" s="655"/>
    </row>
    <row r="647" spans="1:32" ht="12" customHeight="1">
      <c r="A647" s="725" t="s">
        <v>15444</v>
      </c>
      <c r="B647" s="2">
        <v>1</v>
      </c>
      <c r="C647" s="4" t="s">
        <v>2823</v>
      </c>
      <c r="D647" s="1" t="s">
        <v>2828</v>
      </c>
      <c r="E647" s="6">
        <f t="shared" si="10"/>
        <v>54</v>
      </c>
      <c r="F647" s="2" t="s">
        <v>5</v>
      </c>
      <c r="G647" s="1" t="s">
        <v>15273</v>
      </c>
      <c r="K647" s="23" t="s">
        <v>16120</v>
      </c>
      <c r="L647" s="1" t="s">
        <v>48</v>
      </c>
      <c r="M647" s="1" t="s">
        <v>14</v>
      </c>
      <c r="N647" s="16">
        <v>2</v>
      </c>
      <c r="O647" s="17">
        <v>2</v>
      </c>
      <c r="P647" s="3" t="s">
        <v>188</v>
      </c>
      <c r="Q647" s="20">
        <v>21282</v>
      </c>
      <c r="R647" s="3" t="s">
        <v>16663</v>
      </c>
      <c r="S647" s="3" t="s">
        <v>810</v>
      </c>
      <c r="T647" s="3" t="s">
        <v>5457</v>
      </c>
      <c r="U647" s="3" t="s">
        <v>635</v>
      </c>
      <c r="W647" s="2" t="s">
        <v>145</v>
      </c>
      <c r="AD647" s="2" t="s">
        <v>146</v>
      </c>
      <c r="AE647" s="698"/>
      <c r="AF647" s="655"/>
    </row>
    <row r="648" spans="1:32" ht="12" customHeight="1">
      <c r="A648" s="725" t="s">
        <v>15445</v>
      </c>
      <c r="B648" s="2">
        <v>1</v>
      </c>
      <c r="C648" s="4" t="s">
        <v>2834</v>
      </c>
      <c r="D648" s="1" t="s">
        <v>2841</v>
      </c>
      <c r="E648" s="6">
        <f t="shared" si="10"/>
        <v>48</v>
      </c>
      <c r="F648" s="2" t="s">
        <v>5</v>
      </c>
      <c r="G648" s="1" t="s">
        <v>15273</v>
      </c>
      <c r="K648" s="8" t="s">
        <v>16120</v>
      </c>
      <c r="L648" s="1" t="s">
        <v>65</v>
      </c>
      <c r="M648" s="1" t="s">
        <v>14</v>
      </c>
      <c r="N648" s="16">
        <v>1</v>
      </c>
      <c r="O648" s="17">
        <v>1</v>
      </c>
      <c r="P648" s="3" t="s">
        <v>188</v>
      </c>
      <c r="Q648" s="20">
        <v>23569</v>
      </c>
      <c r="R648" s="3" t="s">
        <v>2842</v>
      </c>
      <c r="T648" s="3" t="s">
        <v>5457</v>
      </c>
      <c r="U648" s="3" t="s">
        <v>145</v>
      </c>
      <c r="W648" s="2" t="s">
        <v>145</v>
      </c>
      <c r="AE648" s="698"/>
      <c r="AF648" s="655"/>
    </row>
    <row r="649" spans="1:32" ht="12" customHeight="1">
      <c r="A649" s="725" t="s">
        <v>15446</v>
      </c>
      <c r="B649" s="2">
        <v>1</v>
      </c>
      <c r="C649" s="4" t="s">
        <v>2846</v>
      </c>
      <c r="D649" s="1" t="s">
        <v>2851</v>
      </c>
      <c r="E649" s="6">
        <f t="shared" si="10"/>
        <v>55</v>
      </c>
      <c r="F649" s="2" t="s">
        <v>5</v>
      </c>
      <c r="G649" s="1" t="s">
        <v>15273</v>
      </c>
      <c r="K649" s="4" t="s">
        <v>16120</v>
      </c>
      <c r="L649" s="1" t="s">
        <v>30</v>
      </c>
      <c r="M649" s="1" t="s">
        <v>6</v>
      </c>
      <c r="P649" s="3" t="s">
        <v>452</v>
      </c>
      <c r="Q649" s="20">
        <v>20920</v>
      </c>
      <c r="R649" s="3" t="s">
        <v>2852</v>
      </c>
      <c r="T649" s="3" t="s">
        <v>5457</v>
      </c>
      <c r="U649" s="3" t="s">
        <v>145</v>
      </c>
      <c r="W649" s="2" t="s">
        <v>145</v>
      </c>
      <c r="AE649" s="698"/>
      <c r="AF649" s="655"/>
    </row>
    <row r="650" spans="1:32" ht="12" customHeight="1">
      <c r="A650" s="725" t="s">
        <v>15447</v>
      </c>
      <c r="B650" s="2">
        <v>1</v>
      </c>
      <c r="C650" s="4" t="s">
        <v>2857</v>
      </c>
      <c r="D650" s="1" t="s">
        <v>2860</v>
      </c>
      <c r="E650" s="6">
        <f t="shared" si="10"/>
        <v>69</v>
      </c>
      <c r="F650" s="2" t="s">
        <v>5</v>
      </c>
      <c r="G650" s="1" t="s">
        <v>15273</v>
      </c>
      <c r="K650" s="4" t="s">
        <v>16120</v>
      </c>
      <c r="L650" s="1" t="s">
        <v>65</v>
      </c>
      <c r="M650" s="1" t="s">
        <v>14</v>
      </c>
      <c r="N650" s="16">
        <v>4</v>
      </c>
      <c r="O650" s="17">
        <v>4</v>
      </c>
      <c r="P650" s="3" t="s">
        <v>695</v>
      </c>
      <c r="Q650" s="20">
        <v>15966</v>
      </c>
      <c r="R650" s="3" t="s">
        <v>2861</v>
      </c>
      <c r="S650" s="3" t="s">
        <v>2862</v>
      </c>
      <c r="T650" s="3" t="s">
        <v>5457</v>
      </c>
      <c r="U650" s="3" t="s">
        <v>104</v>
      </c>
      <c r="AB650" s="2" t="s">
        <v>104</v>
      </c>
      <c r="AE650" s="698"/>
      <c r="AF650" s="655"/>
    </row>
    <row r="651" spans="1:32" ht="12" customHeight="1">
      <c r="A651" s="725" t="s">
        <v>15448</v>
      </c>
      <c r="B651" s="2">
        <v>1</v>
      </c>
      <c r="C651" s="4" t="s">
        <v>2870</v>
      </c>
      <c r="D651" s="1" t="s">
        <v>5843</v>
      </c>
      <c r="E651" s="6">
        <f t="shared" si="10"/>
        <v>65</v>
      </c>
      <c r="F651" s="2" t="s">
        <v>5</v>
      </c>
      <c r="G651" s="1" t="s">
        <v>15273</v>
      </c>
      <c r="K651" s="8" t="s">
        <v>16120</v>
      </c>
      <c r="L651" s="1" t="s">
        <v>44</v>
      </c>
      <c r="M651" s="1" t="s">
        <v>6</v>
      </c>
      <c r="P651" s="3" t="s">
        <v>381</v>
      </c>
      <c r="Q651" s="20">
        <v>17389</v>
      </c>
      <c r="R651" s="3" t="s">
        <v>5844</v>
      </c>
      <c r="U651" s="3" t="s">
        <v>145</v>
      </c>
      <c r="W651" s="2" t="s">
        <v>145</v>
      </c>
      <c r="AE651" s="698"/>
      <c r="AF651" s="655"/>
    </row>
    <row r="652" spans="1:32" ht="12" customHeight="1">
      <c r="A652" s="725" t="s">
        <v>15449</v>
      </c>
      <c r="B652" s="2">
        <v>1</v>
      </c>
      <c r="C652" s="4" t="s">
        <v>2876</v>
      </c>
      <c r="D652" s="1" t="s">
        <v>2883</v>
      </c>
      <c r="E652" s="6">
        <f t="shared" si="10"/>
        <v>35</v>
      </c>
      <c r="F652" s="2" t="s">
        <v>5</v>
      </c>
      <c r="G652" s="1" t="s">
        <v>15273</v>
      </c>
      <c r="K652" s="23" t="s">
        <v>16120</v>
      </c>
      <c r="L652" s="1" t="s">
        <v>48</v>
      </c>
      <c r="M652" s="1" t="s">
        <v>6</v>
      </c>
      <c r="P652" s="3" t="s">
        <v>95</v>
      </c>
      <c r="Q652" s="20">
        <v>28243</v>
      </c>
      <c r="R652" s="3" t="s">
        <v>2884</v>
      </c>
      <c r="AE652" s="698"/>
      <c r="AF652" s="655"/>
    </row>
    <row r="653" spans="1:32" ht="12" customHeight="1">
      <c r="A653" s="725" t="s">
        <v>15450</v>
      </c>
      <c r="B653" s="2">
        <v>1</v>
      </c>
      <c r="C653" s="4" t="s">
        <v>2893</v>
      </c>
      <c r="D653" s="1" t="s">
        <v>2898</v>
      </c>
      <c r="E653" s="6">
        <f t="shared" si="10"/>
        <v>54</v>
      </c>
      <c r="F653" s="2" t="s">
        <v>5</v>
      </c>
      <c r="G653" s="1" t="s">
        <v>15273</v>
      </c>
      <c r="K653" s="8" t="s">
        <v>16120</v>
      </c>
      <c r="L653" s="1" t="s">
        <v>30</v>
      </c>
      <c r="M653" s="1" t="s">
        <v>6</v>
      </c>
      <c r="P653" s="3" t="s">
        <v>2899</v>
      </c>
      <c r="Q653" s="21">
        <v>21356</v>
      </c>
      <c r="R653" s="3" t="s">
        <v>2900</v>
      </c>
      <c r="U653" s="3" t="s">
        <v>145</v>
      </c>
      <c r="W653" s="2" t="s">
        <v>145</v>
      </c>
      <c r="AE653" s="698"/>
      <c r="AF653" s="655"/>
    </row>
    <row r="654" spans="1:32" ht="12" customHeight="1">
      <c r="A654" s="725" t="s">
        <v>15451</v>
      </c>
      <c r="B654" s="2">
        <v>1</v>
      </c>
      <c r="C654" s="4" t="s">
        <v>2902</v>
      </c>
      <c r="D654" s="1" t="s">
        <v>2905</v>
      </c>
      <c r="E654" s="6">
        <f t="shared" si="10"/>
        <v>28</v>
      </c>
      <c r="F654" s="2" t="s">
        <v>5</v>
      </c>
      <c r="G654" s="1" t="s">
        <v>15273</v>
      </c>
      <c r="K654" s="4" t="s">
        <v>16120</v>
      </c>
      <c r="L654" s="1" t="s">
        <v>30</v>
      </c>
      <c r="M654" s="1" t="s">
        <v>6</v>
      </c>
      <c r="P654" s="3" t="s">
        <v>2906</v>
      </c>
      <c r="Q654" s="20">
        <v>30730</v>
      </c>
      <c r="R654" s="3" t="s">
        <v>2907</v>
      </c>
      <c r="AE654" s="698"/>
      <c r="AF654" s="655"/>
    </row>
    <row r="655" spans="1:32" ht="12" customHeight="1">
      <c r="A655" s="725" t="s">
        <v>15452</v>
      </c>
      <c r="B655" s="2">
        <v>1</v>
      </c>
      <c r="C655" s="4" t="s">
        <v>2914</v>
      </c>
      <c r="D655" s="1" t="s">
        <v>2920</v>
      </c>
      <c r="E655" s="6">
        <f t="shared" si="10"/>
        <v>47</v>
      </c>
      <c r="F655" s="2" t="s">
        <v>5</v>
      </c>
      <c r="G655" s="1" t="s">
        <v>15273</v>
      </c>
      <c r="K655" s="4" t="s">
        <v>16120</v>
      </c>
      <c r="L655" s="1" t="s">
        <v>48</v>
      </c>
      <c r="M655" s="1" t="s">
        <v>6</v>
      </c>
      <c r="P655" s="3" t="s">
        <v>447</v>
      </c>
      <c r="Q655" s="20">
        <v>23794</v>
      </c>
      <c r="R655" s="3" t="s">
        <v>2922</v>
      </c>
      <c r="U655" s="3" t="s">
        <v>145</v>
      </c>
      <c r="W655" s="2" t="s">
        <v>145</v>
      </c>
      <c r="AE655" s="698"/>
      <c r="AF655" s="655"/>
    </row>
    <row r="656" spans="1:32" ht="12" customHeight="1">
      <c r="A656" s="725" t="s">
        <v>15453</v>
      </c>
      <c r="B656" s="2">
        <v>1</v>
      </c>
      <c r="C656" s="4" t="s">
        <v>2930</v>
      </c>
      <c r="D656" s="1" t="s">
        <v>2934</v>
      </c>
      <c r="E656" s="6">
        <f t="shared" si="10"/>
        <v>65</v>
      </c>
      <c r="F656" s="2" t="s">
        <v>5</v>
      </c>
      <c r="G656" s="1" t="s">
        <v>15273</v>
      </c>
      <c r="H656" s="3" t="s">
        <v>2935</v>
      </c>
      <c r="K656" s="8" t="s">
        <v>16120</v>
      </c>
      <c r="L656" s="1" t="s">
        <v>30</v>
      </c>
      <c r="M656" s="1" t="s">
        <v>25</v>
      </c>
      <c r="N656" s="16">
        <v>9</v>
      </c>
      <c r="O656" s="17">
        <v>9</v>
      </c>
      <c r="P656" s="3" t="s">
        <v>31</v>
      </c>
      <c r="Q656" s="20">
        <v>17486</v>
      </c>
      <c r="R656" s="3" t="s">
        <v>2936</v>
      </c>
      <c r="S656" s="3" t="s">
        <v>2938</v>
      </c>
      <c r="T656" s="3" t="s">
        <v>5457</v>
      </c>
      <c r="U656" s="3" t="s">
        <v>104</v>
      </c>
      <c r="AB656" s="2" t="s">
        <v>104</v>
      </c>
      <c r="AE656" s="698"/>
      <c r="AF656" s="655"/>
    </row>
    <row r="657" spans="1:32" ht="12" customHeight="1">
      <c r="A657" s="725" t="s">
        <v>15454</v>
      </c>
      <c r="B657" s="2">
        <v>1</v>
      </c>
      <c r="C657" s="4" t="s">
        <v>2944</v>
      </c>
      <c r="D657" s="1" t="s">
        <v>2950</v>
      </c>
      <c r="E657" s="6">
        <f t="shared" si="10"/>
        <v>42</v>
      </c>
      <c r="F657" s="2" t="s">
        <v>5</v>
      </c>
      <c r="G657" s="1" t="s">
        <v>15273</v>
      </c>
      <c r="K657" s="23" t="s">
        <v>16120</v>
      </c>
      <c r="L657" s="1" t="s">
        <v>30</v>
      </c>
      <c r="M657" s="1" t="s">
        <v>6</v>
      </c>
      <c r="P657" s="3" t="s">
        <v>2951</v>
      </c>
      <c r="Q657" s="20">
        <v>25696</v>
      </c>
      <c r="R657" s="3" t="s">
        <v>2954</v>
      </c>
      <c r="AE657" s="698"/>
      <c r="AF657" s="655"/>
    </row>
    <row r="658" spans="1:32" ht="12" customHeight="1">
      <c r="A658" s="725" t="s">
        <v>15455</v>
      </c>
      <c r="B658" s="2">
        <v>1</v>
      </c>
      <c r="C658" s="4" t="s">
        <v>2957</v>
      </c>
      <c r="D658" s="1" t="s">
        <v>2965</v>
      </c>
      <c r="E658" s="6">
        <f t="shared" si="10"/>
        <v>56</v>
      </c>
      <c r="F658" s="2" t="s">
        <v>5</v>
      </c>
      <c r="G658" s="1" t="s">
        <v>15273</v>
      </c>
      <c r="K658" s="8" t="s">
        <v>16120</v>
      </c>
      <c r="L658" s="1" t="s">
        <v>30</v>
      </c>
      <c r="M658" s="1" t="s">
        <v>6</v>
      </c>
      <c r="P658" s="3" t="s">
        <v>15</v>
      </c>
      <c r="Q658" s="20">
        <v>20560</v>
      </c>
      <c r="R658" s="3" t="s">
        <v>2966</v>
      </c>
      <c r="AE658" s="698"/>
      <c r="AF658" s="655"/>
    </row>
    <row r="659" spans="1:32" ht="12" customHeight="1">
      <c r="A659" s="725" t="s">
        <v>15456</v>
      </c>
      <c r="B659" s="2">
        <v>1</v>
      </c>
      <c r="C659" s="4" t="s">
        <v>2968</v>
      </c>
      <c r="D659" s="1" t="s">
        <v>2975</v>
      </c>
      <c r="E659" s="6">
        <f t="shared" si="10"/>
        <v>48</v>
      </c>
      <c r="F659" s="2" t="s">
        <v>5</v>
      </c>
      <c r="G659" s="1" t="s">
        <v>15273</v>
      </c>
      <c r="H659" s="3" t="s">
        <v>2974</v>
      </c>
      <c r="K659" s="4" t="s">
        <v>16120</v>
      </c>
      <c r="L659" s="1" t="s">
        <v>13</v>
      </c>
      <c r="M659" s="1" t="s">
        <v>25</v>
      </c>
      <c r="N659" s="16">
        <v>5</v>
      </c>
      <c r="O659" s="17">
        <v>5</v>
      </c>
      <c r="P659" s="3" t="s">
        <v>1200</v>
      </c>
      <c r="Q659" s="20">
        <v>23726</v>
      </c>
      <c r="R659" s="3" t="s">
        <v>2977</v>
      </c>
      <c r="S659" s="3" t="s">
        <v>2978</v>
      </c>
      <c r="T659" s="3" t="s">
        <v>5457</v>
      </c>
      <c r="U659" s="3" t="s">
        <v>104</v>
      </c>
      <c r="AB659" s="2" t="s">
        <v>104</v>
      </c>
      <c r="AE659" s="698"/>
      <c r="AF659" s="655"/>
    </row>
    <row r="660" spans="1:32" ht="12" customHeight="1">
      <c r="A660" s="725" t="s">
        <v>15457</v>
      </c>
      <c r="B660" s="2">
        <v>33</v>
      </c>
      <c r="C660" s="2"/>
      <c r="D660" s="2" t="s">
        <v>15257</v>
      </c>
      <c r="E660" s="6">
        <f t="shared" si="10"/>
        <v>55</v>
      </c>
      <c r="F660" s="2" t="s">
        <v>5</v>
      </c>
      <c r="G660" s="2" t="s">
        <v>6067</v>
      </c>
      <c r="H660" s="22"/>
      <c r="I660" s="2"/>
      <c r="J660" s="2"/>
      <c r="K660" s="4" t="s">
        <v>16120</v>
      </c>
      <c r="L660" s="2" t="s">
        <v>5247</v>
      </c>
      <c r="M660" s="2" t="s">
        <v>6</v>
      </c>
      <c r="N660" s="24"/>
      <c r="O660" s="25"/>
      <c r="P660" s="22" t="s">
        <v>2214</v>
      </c>
      <c r="Q660" s="21">
        <v>20841</v>
      </c>
      <c r="R660" s="22" t="s">
        <v>16403</v>
      </c>
      <c r="S660" s="22"/>
      <c r="T660" s="22"/>
      <c r="U660" s="22"/>
      <c r="AE660" s="698"/>
      <c r="AF660" s="655"/>
    </row>
    <row r="661" spans="1:32" ht="12" customHeight="1">
      <c r="A661" s="725" t="s">
        <v>15458</v>
      </c>
      <c r="B661" s="2">
        <v>34</v>
      </c>
      <c r="C661" s="2"/>
      <c r="D661" s="2" t="s">
        <v>6093</v>
      </c>
      <c r="E661" s="6">
        <f t="shared" si="10"/>
        <v>61</v>
      </c>
      <c r="F661" s="2" t="s">
        <v>5</v>
      </c>
      <c r="G661" s="2" t="s">
        <v>6067</v>
      </c>
      <c r="H661" s="22"/>
      <c r="I661" s="2"/>
      <c r="J661" s="2"/>
      <c r="K661" s="8" t="s">
        <v>16120</v>
      </c>
      <c r="L661" s="2" t="s">
        <v>5247</v>
      </c>
      <c r="M661" s="2" t="s">
        <v>6</v>
      </c>
      <c r="N661" s="24"/>
      <c r="O661" s="25"/>
      <c r="P661" s="22" t="s">
        <v>695</v>
      </c>
      <c r="Q661" s="21">
        <v>18895</v>
      </c>
      <c r="R661" s="22" t="s">
        <v>6094</v>
      </c>
      <c r="S661" s="22"/>
      <c r="T661" s="22"/>
      <c r="U661" s="22"/>
      <c r="AE661" s="698"/>
      <c r="AF661" s="655"/>
    </row>
    <row r="662" spans="1:32" ht="12" customHeight="1">
      <c r="A662" s="725" t="s">
        <v>15459</v>
      </c>
      <c r="B662" s="2">
        <v>35</v>
      </c>
      <c r="C662" s="2"/>
      <c r="D662" s="2" t="s">
        <v>15258</v>
      </c>
      <c r="E662" s="6">
        <f t="shared" si="10"/>
        <v>57</v>
      </c>
      <c r="F662" s="2" t="s">
        <v>5</v>
      </c>
      <c r="G662" s="2" t="s">
        <v>6067</v>
      </c>
      <c r="H662" s="22"/>
      <c r="I662" s="2"/>
      <c r="J662" s="2"/>
      <c r="K662" s="23" t="s">
        <v>16120</v>
      </c>
      <c r="L662" s="2" t="s">
        <v>5247</v>
      </c>
      <c r="M662" s="2" t="s">
        <v>6</v>
      </c>
      <c r="N662" s="24"/>
      <c r="O662" s="25"/>
      <c r="P662" s="22" t="s">
        <v>5215</v>
      </c>
      <c r="Q662" s="21">
        <v>20150</v>
      </c>
      <c r="R662" s="22" t="s">
        <v>6095</v>
      </c>
      <c r="S662" s="22"/>
      <c r="T662" s="22"/>
      <c r="U662" s="22"/>
      <c r="AE662" s="698"/>
      <c r="AF662" s="655"/>
    </row>
    <row r="663" spans="1:32" ht="12" customHeight="1" thickBot="1">
      <c r="A663" s="726" t="s">
        <v>15460</v>
      </c>
      <c r="B663" s="702">
        <v>36</v>
      </c>
      <c r="C663" s="702"/>
      <c r="D663" s="702" t="s">
        <v>6096</v>
      </c>
      <c r="E663" s="701">
        <f t="shared" si="10"/>
        <v>33</v>
      </c>
      <c r="F663" s="702" t="s">
        <v>5</v>
      </c>
      <c r="G663" s="702" t="s">
        <v>6067</v>
      </c>
      <c r="H663" s="720"/>
      <c r="I663" s="702"/>
      <c r="J663" s="702"/>
      <c r="K663" s="704" t="s">
        <v>16120</v>
      </c>
      <c r="L663" s="702" t="s">
        <v>5247</v>
      </c>
      <c r="M663" s="702" t="s">
        <v>6</v>
      </c>
      <c r="N663" s="721"/>
      <c r="O663" s="722"/>
      <c r="P663" s="720" t="s">
        <v>6098</v>
      </c>
      <c r="Q663" s="723">
        <v>28983</v>
      </c>
      <c r="R663" s="720" t="s">
        <v>6097</v>
      </c>
      <c r="S663" s="720"/>
      <c r="T663" s="720"/>
      <c r="U663" s="720"/>
      <c r="V663" s="702"/>
      <c r="W663" s="702"/>
      <c r="X663" s="702"/>
      <c r="Y663" s="702"/>
      <c r="Z663" s="702"/>
      <c r="AA663" s="702"/>
      <c r="AB663" s="702"/>
      <c r="AC663" s="702"/>
      <c r="AD663" s="702"/>
      <c r="AE663" s="708"/>
      <c r="AF663" s="655"/>
    </row>
    <row r="664" spans="1:32" ht="12" customHeight="1">
      <c r="A664" s="780" t="s">
        <v>16411</v>
      </c>
      <c r="B664" s="696">
        <v>1</v>
      </c>
      <c r="C664" s="688" t="s">
        <v>2546</v>
      </c>
      <c r="D664" s="687" t="s">
        <v>2557</v>
      </c>
      <c r="E664" s="690">
        <f t="shared" si="10"/>
        <v>47</v>
      </c>
      <c r="F664" s="696" t="s">
        <v>19</v>
      </c>
      <c r="G664" s="687" t="s">
        <v>15273</v>
      </c>
      <c r="H664" s="747" t="s">
        <v>2558</v>
      </c>
      <c r="I664" s="687"/>
      <c r="J664" s="687"/>
      <c r="K664" s="688" t="s">
        <v>16125</v>
      </c>
      <c r="L664" s="687"/>
      <c r="M664" s="687" t="s">
        <v>25</v>
      </c>
      <c r="N664" s="748">
        <v>1</v>
      </c>
      <c r="O664" s="749">
        <v>1</v>
      </c>
      <c r="P664" s="747" t="s">
        <v>2559</v>
      </c>
      <c r="Q664" s="773">
        <v>23862</v>
      </c>
      <c r="R664" s="747" t="s">
        <v>2560</v>
      </c>
      <c r="S664" s="747"/>
      <c r="T664" s="747" t="s">
        <v>5561</v>
      </c>
      <c r="U664" s="747" t="s">
        <v>572</v>
      </c>
      <c r="V664" s="696"/>
      <c r="W664" s="696" t="s">
        <v>145</v>
      </c>
      <c r="X664" s="696"/>
      <c r="Y664" s="696"/>
      <c r="Z664" s="696"/>
      <c r="AA664" s="696"/>
      <c r="AB664" s="696" t="s">
        <v>104</v>
      </c>
      <c r="AC664" s="696"/>
      <c r="AD664" s="696"/>
      <c r="AE664" s="697"/>
      <c r="AF664" s="655"/>
    </row>
    <row r="665" spans="1:32" ht="12" customHeight="1">
      <c r="A665" s="790" t="s">
        <v>16412</v>
      </c>
      <c r="B665" s="2">
        <v>1</v>
      </c>
      <c r="C665" s="4" t="s">
        <v>2572</v>
      </c>
      <c r="D665" s="1" t="s">
        <v>2573</v>
      </c>
      <c r="E665" s="6">
        <f t="shared" si="10"/>
        <v>59</v>
      </c>
      <c r="F665" s="2" t="s">
        <v>5</v>
      </c>
      <c r="G665" s="1" t="s">
        <v>15273</v>
      </c>
      <c r="H665" s="3" t="s">
        <v>2574</v>
      </c>
      <c r="K665" s="4" t="s">
        <v>16125</v>
      </c>
      <c r="M665" s="1" t="s">
        <v>25</v>
      </c>
      <c r="N665" s="16">
        <v>1</v>
      </c>
      <c r="O665" s="17">
        <v>1</v>
      </c>
      <c r="P665" s="3" t="s">
        <v>1089</v>
      </c>
      <c r="Q665" s="20">
        <v>19592</v>
      </c>
      <c r="R665" s="3" t="s">
        <v>2575</v>
      </c>
      <c r="T665" s="3" t="s">
        <v>5561</v>
      </c>
      <c r="AE665" s="698"/>
      <c r="AF665" s="655"/>
    </row>
    <row r="666" spans="1:32" ht="12" customHeight="1">
      <c r="A666" s="790" t="s">
        <v>16413</v>
      </c>
      <c r="B666" s="2">
        <v>1</v>
      </c>
      <c r="C666" s="4" t="s">
        <v>2588</v>
      </c>
      <c r="D666" s="1" t="s">
        <v>15633</v>
      </c>
      <c r="E666" s="6">
        <f t="shared" si="10"/>
        <v>55</v>
      </c>
      <c r="F666" s="2" t="s">
        <v>5</v>
      </c>
      <c r="G666" s="1" t="s">
        <v>15273</v>
      </c>
      <c r="K666" s="4" t="s">
        <v>16125</v>
      </c>
      <c r="M666" s="1" t="s">
        <v>6</v>
      </c>
      <c r="P666" s="3" t="s">
        <v>245</v>
      </c>
      <c r="Q666" s="20">
        <v>20891</v>
      </c>
      <c r="R666" s="3" t="s">
        <v>16012</v>
      </c>
      <c r="T666" s="3" t="s">
        <v>5561</v>
      </c>
      <c r="AE666" s="698"/>
      <c r="AF666" s="655"/>
    </row>
    <row r="667" spans="1:32" ht="12" customHeight="1">
      <c r="A667" s="790" t="s">
        <v>16414</v>
      </c>
      <c r="B667" s="2">
        <v>1</v>
      </c>
      <c r="C667" s="4" t="s">
        <v>2670</v>
      </c>
      <c r="D667" s="1" t="s">
        <v>2683</v>
      </c>
      <c r="E667" s="6">
        <f t="shared" si="10"/>
        <v>41</v>
      </c>
      <c r="F667" s="2" t="s">
        <v>19</v>
      </c>
      <c r="G667" s="1" t="s">
        <v>15273</v>
      </c>
      <c r="H667" s="3" t="s">
        <v>2684</v>
      </c>
      <c r="K667" s="4" t="s">
        <v>16125</v>
      </c>
      <c r="M667" s="1" t="s">
        <v>25</v>
      </c>
      <c r="N667" s="16">
        <v>1</v>
      </c>
      <c r="O667" s="17">
        <v>1</v>
      </c>
      <c r="P667" s="3" t="s">
        <v>983</v>
      </c>
      <c r="Q667" s="20">
        <v>26245</v>
      </c>
      <c r="R667" s="3" t="s">
        <v>2685</v>
      </c>
      <c r="T667" s="3" t="s">
        <v>5561</v>
      </c>
      <c r="AE667" s="698"/>
      <c r="AF667" s="655"/>
    </row>
    <row r="668" spans="1:32" ht="12" customHeight="1">
      <c r="A668" s="790" t="s">
        <v>16415</v>
      </c>
      <c r="B668" s="2">
        <v>1</v>
      </c>
      <c r="C668" s="4" t="s">
        <v>2700</v>
      </c>
      <c r="D668" s="1" t="s">
        <v>5080</v>
      </c>
      <c r="E668" s="6">
        <f t="shared" si="10"/>
        <v>44</v>
      </c>
      <c r="F668" s="2" t="s">
        <v>5</v>
      </c>
      <c r="G668" s="1" t="s">
        <v>15273</v>
      </c>
      <c r="K668" s="4" t="s">
        <v>16125</v>
      </c>
      <c r="M668" s="1" t="s">
        <v>6</v>
      </c>
      <c r="P668" s="3" t="s">
        <v>447</v>
      </c>
      <c r="Q668" s="20">
        <v>25057</v>
      </c>
      <c r="R668" s="3" t="s">
        <v>2207</v>
      </c>
      <c r="T668" s="3" t="s">
        <v>5561</v>
      </c>
      <c r="AE668" s="698"/>
      <c r="AF668" s="655"/>
    </row>
    <row r="669" spans="1:32" ht="12" customHeight="1">
      <c r="A669" s="790" t="s">
        <v>16416</v>
      </c>
      <c r="B669" s="2">
        <v>1</v>
      </c>
      <c r="C669" s="4" t="s">
        <v>2715</v>
      </c>
      <c r="D669" s="1" t="s">
        <v>6192</v>
      </c>
      <c r="E669" s="6">
        <f t="shared" si="10"/>
        <v>57</v>
      </c>
      <c r="F669" s="2" t="s">
        <v>5</v>
      </c>
      <c r="G669" s="1" t="s">
        <v>15273</v>
      </c>
      <c r="K669" s="4" t="s">
        <v>16125</v>
      </c>
      <c r="M669" s="1" t="s">
        <v>6</v>
      </c>
      <c r="P669" s="3" t="s">
        <v>1200</v>
      </c>
      <c r="Q669" s="21">
        <v>20141</v>
      </c>
      <c r="R669" s="3" t="s">
        <v>16013</v>
      </c>
      <c r="T669" s="3" t="s">
        <v>5561</v>
      </c>
      <c r="AE669" s="698"/>
      <c r="AF669" s="655"/>
    </row>
    <row r="670" spans="1:32" ht="12" customHeight="1">
      <c r="A670" s="790" t="s">
        <v>16417</v>
      </c>
      <c r="B670" s="2">
        <v>1</v>
      </c>
      <c r="C670" s="4" t="s">
        <v>2724</v>
      </c>
      <c r="D670" s="1" t="s">
        <v>5083</v>
      </c>
      <c r="E670" s="6">
        <f t="shared" si="10"/>
        <v>26</v>
      </c>
      <c r="F670" s="2" t="s">
        <v>5</v>
      </c>
      <c r="G670" s="1" t="s">
        <v>15273</v>
      </c>
      <c r="K670" s="4" t="s">
        <v>16125</v>
      </c>
      <c r="M670" s="1" t="s">
        <v>6</v>
      </c>
      <c r="P670" s="3" t="s">
        <v>31</v>
      </c>
      <c r="Q670" s="20">
        <v>31697</v>
      </c>
      <c r="R670" s="3" t="s">
        <v>750</v>
      </c>
      <c r="T670" s="3" t="s">
        <v>5561</v>
      </c>
      <c r="AE670" s="698"/>
      <c r="AF670" s="655"/>
    </row>
    <row r="671" spans="1:32" ht="12" customHeight="1">
      <c r="A671" s="790" t="s">
        <v>16418</v>
      </c>
      <c r="B671" s="2">
        <v>1</v>
      </c>
      <c r="C671" s="4" t="s">
        <v>2739</v>
      </c>
      <c r="D671" s="1" t="s">
        <v>2753</v>
      </c>
      <c r="E671" s="6">
        <f t="shared" si="10"/>
        <v>49</v>
      </c>
      <c r="F671" s="2" t="s">
        <v>19</v>
      </c>
      <c r="G671" s="1" t="s">
        <v>15273</v>
      </c>
      <c r="H671" s="3" t="s">
        <v>2754</v>
      </c>
      <c r="K671" s="4" t="s">
        <v>16125</v>
      </c>
      <c r="M671" s="1" t="s">
        <v>25</v>
      </c>
      <c r="N671" s="16">
        <v>1</v>
      </c>
      <c r="O671" s="17">
        <v>1</v>
      </c>
      <c r="P671" s="3" t="s">
        <v>2755</v>
      </c>
      <c r="Q671" s="20">
        <v>23017</v>
      </c>
      <c r="R671" s="3" t="s">
        <v>2756</v>
      </c>
      <c r="S671" s="3" t="s">
        <v>5544</v>
      </c>
      <c r="T671" s="3" t="s">
        <v>5561</v>
      </c>
      <c r="U671" s="3" t="s">
        <v>145</v>
      </c>
      <c r="W671" s="2" t="s">
        <v>145</v>
      </c>
      <c r="AE671" s="698"/>
      <c r="AF671" s="655"/>
    </row>
    <row r="672" spans="1:32" ht="12" customHeight="1">
      <c r="A672" s="790" t="s">
        <v>16419</v>
      </c>
      <c r="B672" s="2">
        <v>1</v>
      </c>
      <c r="C672" s="4" t="s">
        <v>2759</v>
      </c>
      <c r="D672" s="1" t="s">
        <v>6033</v>
      </c>
      <c r="E672" s="6">
        <f t="shared" si="10"/>
        <v>51</v>
      </c>
      <c r="F672" s="2" t="s">
        <v>5</v>
      </c>
      <c r="G672" s="1" t="s">
        <v>15273</v>
      </c>
      <c r="K672" s="4" t="s">
        <v>16125</v>
      </c>
      <c r="M672" s="1" t="s">
        <v>6</v>
      </c>
      <c r="P672" s="3" t="s">
        <v>16014</v>
      </c>
      <c r="Q672" s="20">
        <v>22446</v>
      </c>
      <c r="R672" s="3" t="s">
        <v>16015</v>
      </c>
      <c r="T672" s="3" t="s">
        <v>5561</v>
      </c>
      <c r="AE672" s="698"/>
      <c r="AF672" s="655"/>
    </row>
    <row r="673" spans="1:32" ht="12" customHeight="1">
      <c r="A673" s="790" t="s">
        <v>16420</v>
      </c>
      <c r="B673" s="2">
        <v>1</v>
      </c>
      <c r="C673" s="4" t="s">
        <v>2771</v>
      </c>
      <c r="D673" s="1" t="s">
        <v>5793</v>
      </c>
      <c r="E673" s="6">
        <f t="shared" si="10"/>
        <v>38</v>
      </c>
      <c r="F673" s="2" t="s">
        <v>5</v>
      </c>
      <c r="G673" s="1" t="s">
        <v>15273</v>
      </c>
      <c r="K673" s="4" t="s">
        <v>16125</v>
      </c>
      <c r="M673" s="1" t="s">
        <v>6</v>
      </c>
      <c r="P673" s="3" t="s">
        <v>16016</v>
      </c>
      <c r="Q673" s="20">
        <v>27259</v>
      </c>
      <c r="R673" s="3" t="s">
        <v>16017</v>
      </c>
      <c r="T673" s="3" t="s">
        <v>5561</v>
      </c>
      <c r="AE673" s="698"/>
      <c r="AF673" s="655"/>
    </row>
    <row r="674" spans="1:32" ht="12" customHeight="1">
      <c r="A674" s="790" t="s">
        <v>16421</v>
      </c>
      <c r="B674" s="2">
        <v>1</v>
      </c>
      <c r="C674" s="4" t="s">
        <v>2785</v>
      </c>
      <c r="D674" s="1" t="s">
        <v>2790</v>
      </c>
      <c r="E674" s="6">
        <f t="shared" si="10"/>
        <v>54</v>
      </c>
      <c r="F674" s="2" t="s">
        <v>5</v>
      </c>
      <c r="G674" s="1" t="s">
        <v>15273</v>
      </c>
      <c r="H674" s="3" t="s">
        <v>2791</v>
      </c>
      <c r="K674" s="4" t="s">
        <v>16125</v>
      </c>
      <c r="M674" s="1" t="s">
        <v>25</v>
      </c>
      <c r="N674" s="16">
        <v>4</v>
      </c>
      <c r="O674" s="17">
        <v>4</v>
      </c>
      <c r="P674" s="3" t="s">
        <v>2792</v>
      </c>
      <c r="Q674" s="20">
        <v>21199</v>
      </c>
      <c r="R674" s="3" t="s">
        <v>2793</v>
      </c>
      <c r="S674" s="3" t="s">
        <v>16681</v>
      </c>
      <c r="T674" s="3" t="s">
        <v>5561</v>
      </c>
      <c r="AE674" s="698"/>
      <c r="AF674" s="655"/>
    </row>
    <row r="675" spans="1:32" ht="12" customHeight="1">
      <c r="A675" s="790" t="s">
        <v>16422</v>
      </c>
      <c r="B675" s="2">
        <v>1</v>
      </c>
      <c r="C675" s="4" t="s">
        <v>2799</v>
      </c>
      <c r="D675" s="1" t="s">
        <v>5239</v>
      </c>
      <c r="E675" s="6">
        <f t="shared" si="10"/>
        <v>52</v>
      </c>
      <c r="F675" s="2" t="s">
        <v>5</v>
      </c>
      <c r="G675" s="1" t="s">
        <v>15273</v>
      </c>
      <c r="K675" s="4" t="s">
        <v>16125</v>
      </c>
      <c r="M675" s="1" t="s">
        <v>14</v>
      </c>
      <c r="N675" s="16">
        <v>3</v>
      </c>
      <c r="O675" s="17">
        <v>3</v>
      </c>
      <c r="P675" s="3" t="s">
        <v>31</v>
      </c>
      <c r="Q675" s="20">
        <v>21923</v>
      </c>
      <c r="R675" s="3" t="s">
        <v>5240</v>
      </c>
      <c r="T675" s="3" t="s">
        <v>5561</v>
      </c>
      <c r="U675" s="3" t="s">
        <v>146</v>
      </c>
      <c r="AD675" s="2" t="s">
        <v>146</v>
      </c>
      <c r="AE675" s="698"/>
      <c r="AF675" s="655"/>
    </row>
    <row r="676" spans="1:32" ht="12" customHeight="1">
      <c r="A676" s="790" t="s">
        <v>16423</v>
      </c>
      <c r="B676" s="2">
        <v>1</v>
      </c>
      <c r="C676" s="4" t="s">
        <v>2810</v>
      </c>
      <c r="D676" s="1" t="s">
        <v>6022</v>
      </c>
      <c r="E676" s="6">
        <f t="shared" si="10"/>
        <v>56</v>
      </c>
      <c r="F676" s="2" t="s">
        <v>5</v>
      </c>
      <c r="G676" s="1" t="s">
        <v>15273</v>
      </c>
      <c r="H676" s="3" t="s">
        <v>6024</v>
      </c>
      <c r="K676" s="4" t="s">
        <v>16125</v>
      </c>
      <c r="M676" s="1" t="s">
        <v>25</v>
      </c>
      <c r="N676" s="16">
        <v>1</v>
      </c>
      <c r="O676" s="17">
        <v>1</v>
      </c>
      <c r="P676" s="3" t="s">
        <v>6023</v>
      </c>
      <c r="Q676" s="20">
        <v>20479</v>
      </c>
      <c r="R676" s="3" t="s">
        <v>6025</v>
      </c>
      <c r="T676" s="3" t="s">
        <v>5561</v>
      </c>
      <c r="AE676" s="698"/>
      <c r="AF676" s="655"/>
    </row>
    <row r="677" spans="1:32" ht="12" customHeight="1">
      <c r="A677" s="790" t="s">
        <v>16424</v>
      </c>
      <c r="B677" s="2">
        <v>1</v>
      </c>
      <c r="C677" s="4" t="s">
        <v>2824</v>
      </c>
      <c r="D677" s="1" t="s">
        <v>6194</v>
      </c>
      <c r="E677" s="6">
        <f t="shared" si="10"/>
        <v>31</v>
      </c>
      <c r="F677" s="2" t="s">
        <v>19</v>
      </c>
      <c r="G677" s="1" t="s">
        <v>15273</v>
      </c>
      <c r="K677" s="4" t="s">
        <v>16125</v>
      </c>
      <c r="M677" s="1" t="s">
        <v>6</v>
      </c>
      <c r="P677" s="3" t="s">
        <v>6195</v>
      </c>
      <c r="Q677" s="21">
        <v>29879</v>
      </c>
      <c r="R677" s="3" t="s">
        <v>727</v>
      </c>
      <c r="T677" s="3" t="s">
        <v>5561</v>
      </c>
      <c r="U677" s="3" t="s">
        <v>147</v>
      </c>
      <c r="AC677" s="2" t="s">
        <v>147</v>
      </c>
      <c r="AE677" s="698"/>
      <c r="AF677" s="655"/>
    </row>
    <row r="678" spans="1:32" ht="12" customHeight="1">
      <c r="A678" s="790" t="s">
        <v>16425</v>
      </c>
      <c r="B678" s="2">
        <v>1</v>
      </c>
      <c r="C678" s="4" t="s">
        <v>2835</v>
      </c>
      <c r="D678" s="1" t="s">
        <v>16018</v>
      </c>
      <c r="E678" s="6">
        <f t="shared" si="10"/>
        <v>39</v>
      </c>
      <c r="F678" s="2" t="s">
        <v>19</v>
      </c>
      <c r="G678" s="1" t="s">
        <v>15273</v>
      </c>
      <c r="K678" s="4" t="s">
        <v>16125</v>
      </c>
      <c r="M678" s="1" t="s">
        <v>6</v>
      </c>
      <c r="P678" s="3" t="s">
        <v>381</v>
      </c>
      <c r="Q678" s="20">
        <v>26897</v>
      </c>
      <c r="R678" s="3" t="s">
        <v>16019</v>
      </c>
      <c r="T678" s="3" t="s">
        <v>5561</v>
      </c>
      <c r="AE678" s="698"/>
      <c r="AF678" s="655"/>
    </row>
    <row r="679" spans="1:32" ht="12" customHeight="1">
      <c r="A679" s="790" t="s">
        <v>16426</v>
      </c>
      <c r="B679" s="2">
        <v>1</v>
      </c>
      <c r="C679" s="4" t="s">
        <v>2847</v>
      </c>
      <c r="D679" s="1" t="s">
        <v>4428</v>
      </c>
      <c r="E679" s="6">
        <f t="shared" si="10"/>
        <v>43</v>
      </c>
      <c r="F679" s="2" t="s">
        <v>5</v>
      </c>
      <c r="G679" s="1" t="s">
        <v>15273</v>
      </c>
      <c r="K679" s="4" t="s">
        <v>16125</v>
      </c>
      <c r="M679" s="1" t="s">
        <v>6</v>
      </c>
      <c r="P679" s="3" t="s">
        <v>450</v>
      </c>
      <c r="Q679" s="20">
        <v>25447</v>
      </c>
      <c r="R679" s="3" t="s">
        <v>4430</v>
      </c>
      <c r="T679" s="3" t="s">
        <v>5561</v>
      </c>
      <c r="U679" s="3" t="s">
        <v>145</v>
      </c>
      <c r="W679" s="2" t="s">
        <v>145</v>
      </c>
      <c r="AE679" s="698"/>
      <c r="AF679" s="655"/>
    </row>
    <row r="680" spans="1:32" ht="12" customHeight="1">
      <c r="A680" s="790" t="s">
        <v>16427</v>
      </c>
      <c r="B680" s="2">
        <v>1</v>
      </c>
      <c r="C680" s="4" t="s">
        <v>2858</v>
      </c>
      <c r="D680" s="1" t="s">
        <v>5995</v>
      </c>
      <c r="E680" s="6">
        <f t="shared" si="10"/>
        <v>52</v>
      </c>
      <c r="F680" s="2" t="s">
        <v>5</v>
      </c>
      <c r="G680" s="1" t="s">
        <v>15273</v>
      </c>
      <c r="K680" s="4" t="s">
        <v>16125</v>
      </c>
      <c r="M680" s="1" t="s">
        <v>6</v>
      </c>
      <c r="P680" s="3" t="s">
        <v>5411</v>
      </c>
      <c r="Q680" s="21">
        <v>22231</v>
      </c>
      <c r="R680" s="3" t="s">
        <v>5996</v>
      </c>
      <c r="T680" s="3" t="s">
        <v>5561</v>
      </c>
      <c r="AE680" s="698"/>
      <c r="AF680" s="655"/>
    </row>
    <row r="681" spans="1:32" ht="12" customHeight="1">
      <c r="A681" s="790" t="s">
        <v>16428</v>
      </c>
      <c r="B681" s="2">
        <v>1</v>
      </c>
      <c r="C681" s="4" t="s">
        <v>2877</v>
      </c>
      <c r="D681" s="1" t="s">
        <v>2885</v>
      </c>
      <c r="E681" s="6">
        <f t="shared" si="10"/>
        <v>62</v>
      </c>
      <c r="F681" s="2" t="s">
        <v>5</v>
      </c>
      <c r="G681" s="1" t="s">
        <v>15273</v>
      </c>
      <c r="K681" s="4" t="s">
        <v>16125</v>
      </c>
      <c r="M681" s="1" t="s">
        <v>14</v>
      </c>
      <c r="N681" s="16">
        <v>2</v>
      </c>
      <c r="O681" s="17">
        <v>3</v>
      </c>
      <c r="P681" s="3" t="s">
        <v>317</v>
      </c>
      <c r="Q681" s="20">
        <v>18529</v>
      </c>
      <c r="R681" s="3" t="s">
        <v>2886</v>
      </c>
      <c r="S681" s="3" t="s">
        <v>5064</v>
      </c>
      <c r="T681" s="3" t="s">
        <v>5561</v>
      </c>
      <c r="U681" s="3" t="s">
        <v>2887</v>
      </c>
      <c r="V681" s="2" t="s">
        <v>47</v>
      </c>
      <c r="X681" s="2" t="s">
        <v>75</v>
      </c>
      <c r="Y681" s="2" t="s">
        <v>229</v>
      </c>
      <c r="AE681" s="698"/>
      <c r="AF681" s="655"/>
    </row>
    <row r="682" spans="1:32" ht="12" customHeight="1">
      <c r="A682" s="790" t="s">
        <v>16429</v>
      </c>
      <c r="B682" s="2">
        <v>1</v>
      </c>
      <c r="C682" s="4" t="s">
        <v>2894</v>
      </c>
      <c r="D682" s="1" t="s">
        <v>1807</v>
      </c>
      <c r="E682" s="6">
        <f t="shared" si="10"/>
        <v>68</v>
      </c>
      <c r="F682" s="2" t="s">
        <v>5</v>
      </c>
      <c r="G682" s="1" t="s">
        <v>15273</v>
      </c>
      <c r="H682" s="3" t="s">
        <v>1808</v>
      </c>
      <c r="K682" s="4" t="s">
        <v>16125</v>
      </c>
      <c r="M682" s="1" t="s">
        <v>25</v>
      </c>
      <c r="N682" s="16">
        <v>5</v>
      </c>
      <c r="O682" s="17">
        <v>5</v>
      </c>
      <c r="P682" s="3" t="s">
        <v>1809</v>
      </c>
      <c r="Q682" s="20">
        <v>16072</v>
      </c>
      <c r="R682" s="3" t="s">
        <v>1810</v>
      </c>
      <c r="S682" s="3" t="s">
        <v>5458</v>
      </c>
      <c r="T682" s="3" t="s">
        <v>5561</v>
      </c>
      <c r="U682" s="3" t="s">
        <v>47</v>
      </c>
      <c r="V682" s="2" t="s">
        <v>47</v>
      </c>
      <c r="AB682" s="3"/>
      <c r="AC682" s="3"/>
      <c r="AD682" s="3"/>
      <c r="AE682" s="774"/>
      <c r="AF682" s="655"/>
    </row>
    <row r="683" spans="1:32" ht="12" customHeight="1">
      <c r="A683" s="790" t="s">
        <v>16430</v>
      </c>
      <c r="B683" s="2">
        <v>1</v>
      </c>
      <c r="C683" s="4" t="s">
        <v>2903</v>
      </c>
      <c r="D683" s="1" t="s">
        <v>2908</v>
      </c>
      <c r="E683" s="6">
        <f t="shared" si="10"/>
        <v>69</v>
      </c>
      <c r="F683" s="2" t="s">
        <v>5</v>
      </c>
      <c r="G683" s="1" t="s">
        <v>15273</v>
      </c>
      <c r="H683" s="3" t="s">
        <v>2909</v>
      </c>
      <c r="K683" s="4" t="s">
        <v>16125</v>
      </c>
      <c r="M683" s="1" t="s">
        <v>25</v>
      </c>
      <c r="N683" s="16">
        <v>3</v>
      </c>
      <c r="O683" s="17">
        <v>3</v>
      </c>
      <c r="P683" s="3" t="s">
        <v>172</v>
      </c>
      <c r="Q683" s="20">
        <v>16024</v>
      </c>
      <c r="R683" s="3" t="s">
        <v>2911</v>
      </c>
      <c r="S683" s="3" t="s">
        <v>16692</v>
      </c>
      <c r="T683" s="3" t="s">
        <v>5561</v>
      </c>
      <c r="U683" s="3" t="s">
        <v>371</v>
      </c>
      <c r="W683" s="2" t="s">
        <v>145</v>
      </c>
      <c r="X683" s="2" t="s">
        <v>75</v>
      </c>
      <c r="AE683" s="698"/>
      <c r="AF683" s="655"/>
    </row>
    <row r="684" spans="1:32" ht="12" customHeight="1" thickBot="1">
      <c r="A684" s="782" t="s">
        <v>16410</v>
      </c>
      <c r="B684" s="702">
        <v>21</v>
      </c>
      <c r="C684" s="702"/>
      <c r="D684" s="701" t="s">
        <v>3021</v>
      </c>
      <c r="E684" s="701">
        <f t="shared" si="10"/>
        <v>70</v>
      </c>
      <c r="F684" s="701" t="s">
        <v>5</v>
      </c>
      <c r="G684" s="702" t="s">
        <v>6067</v>
      </c>
      <c r="H684" s="740" t="s">
        <v>3022</v>
      </c>
      <c r="I684" s="701"/>
      <c r="J684" s="741"/>
      <c r="K684" s="704" t="s">
        <v>16125</v>
      </c>
      <c r="L684" s="701"/>
      <c r="M684" s="701" t="s">
        <v>25</v>
      </c>
      <c r="N684" s="742">
        <v>1</v>
      </c>
      <c r="O684" s="743">
        <v>1</v>
      </c>
      <c r="P684" s="740" t="s">
        <v>3023</v>
      </c>
      <c r="Q684" s="744">
        <v>15652</v>
      </c>
      <c r="R684" s="740" t="s">
        <v>3024</v>
      </c>
      <c r="S684" s="740" t="s">
        <v>4570</v>
      </c>
      <c r="T684" s="740"/>
      <c r="U684" s="740" t="s">
        <v>2942</v>
      </c>
      <c r="V684" s="702"/>
      <c r="W684" s="702" t="s">
        <v>2942</v>
      </c>
      <c r="X684" s="702"/>
      <c r="Y684" s="702"/>
      <c r="Z684" s="702"/>
      <c r="AA684" s="702"/>
      <c r="AB684" s="702"/>
      <c r="AC684" s="702"/>
      <c r="AD684" s="720"/>
      <c r="AE684" s="792"/>
      <c r="AF684" s="655"/>
    </row>
    <row r="685" spans="1:32" ht="12" customHeight="1">
      <c r="A685" s="745" t="s">
        <v>3001</v>
      </c>
      <c r="B685" s="696">
        <v>1</v>
      </c>
      <c r="C685" s="696"/>
      <c r="D685" s="696" t="s">
        <v>3004</v>
      </c>
      <c r="E685" s="690">
        <f t="shared" si="10"/>
        <v>57</v>
      </c>
      <c r="F685" s="696" t="s">
        <v>5</v>
      </c>
      <c r="G685" s="696" t="s">
        <v>6067</v>
      </c>
      <c r="H685" s="715" t="s">
        <v>3005</v>
      </c>
      <c r="I685" s="696"/>
      <c r="J685" s="696"/>
      <c r="K685" s="692" t="s">
        <v>16118</v>
      </c>
      <c r="L685" s="696"/>
      <c r="M685" s="696" t="s">
        <v>25</v>
      </c>
      <c r="N685" s="717">
        <v>5</v>
      </c>
      <c r="O685" s="718">
        <v>5</v>
      </c>
      <c r="P685" s="715" t="s">
        <v>2123</v>
      </c>
      <c r="Q685" s="719">
        <v>20337</v>
      </c>
      <c r="R685" s="715" t="s">
        <v>727</v>
      </c>
      <c r="S685" s="715" t="s">
        <v>3006</v>
      </c>
      <c r="T685" s="715"/>
      <c r="U685" s="715" t="s">
        <v>147</v>
      </c>
      <c r="V685" s="696"/>
      <c r="W685" s="696"/>
      <c r="X685" s="696"/>
      <c r="Y685" s="696"/>
      <c r="Z685" s="696"/>
      <c r="AA685" s="696"/>
      <c r="AB685" s="696"/>
      <c r="AC685" s="696" t="s">
        <v>3007</v>
      </c>
      <c r="AD685" s="715"/>
      <c r="AE685" s="814"/>
      <c r="AF685" s="655"/>
    </row>
    <row r="686" spans="1:32" ht="12" customHeight="1">
      <c r="A686" s="791" t="s">
        <v>3002</v>
      </c>
      <c r="B686" s="2">
        <v>2</v>
      </c>
      <c r="C686" s="2"/>
      <c r="D686" s="6" t="s">
        <v>3008</v>
      </c>
      <c r="E686" s="6">
        <f t="shared" si="10"/>
        <v>43</v>
      </c>
      <c r="F686" s="6" t="s">
        <v>5</v>
      </c>
      <c r="G686" s="2" t="s">
        <v>6067</v>
      </c>
      <c r="H686" s="12"/>
      <c r="I686" s="6"/>
      <c r="J686" s="19"/>
      <c r="K686" s="23" t="s">
        <v>16118</v>
      </c>
      <c r="L686" s="6"/>
      <c r="M686" s="6" t="s">
        <v>14</v>
      </c>
      <c r="N686" s="13">
        <v>1</v>
      </c>
      <c r="O686" s="14">
        <v>1</v>
      </c>
      <c r="P686" s="12" t="s">
        <v>3009</v>
      </c>
      <c r="Q686" s="15">
        <v>25520</v>
      </c>
      <c r="R686" s="12" t="s">
        <v>3010</v>
      </c>
      <c r="S686" s="12" t="s">
        <v>3011</v>
      </c>
      <c r="T686" s="12"/>
      <c r="U686" s="12"/>
      <c r="AD686" s="22"/>
      <c r="AE686" s="807"/>
      <c r="AF686" s="655"/>
    </row>
    <row r="687" spans="1:32" ht="12" customHeight="1">
      <c r="A687" s="791" t="s">
        <v>3003</v>
      </c>
      <c r="B687" s="2">
        <v>3</v>
      </c>
      <c r="C687" s="2"/>
      <c r="D687" s="6" t="s">
        <v>3012</v>
      </c>
      <c r="E687" s="6">
        <f t="shared" si="10"/>
        <v>49</v>
      </c>
      <c r="F687" s="6" t="s">
        <v>5</v>
      </c>
      <c r="G687" s="2" t="s">
        <v>6067</v>
      </c>
      <c r="H687" s="12"/>
      <c r="I687" s="6"/>
      <c r="J687" s="19"/>
      <c r="K687" s="8" t="s">
        <v>16118</v>
      </c>
      <c r="L687" s="6"/>
      <c r="M687" s="6" t="s">
        <v>6</v>
      </c>
      <c r="N687" s="13"/>
      <c r="O687" s="14"/>
      <c r="P687" s="12" t="s">
        <v>3013</v>
      </c>
      <c r="Q687" s="15">
        <v>23261</v>
      </c>
      <c r="R687" s="12" t="s">
        <v>16432</v>
      </c>
      <c r="S687" s="22"/>
      <c r="T687" s="22"/>
      <c r="U687" s="22"/>
      <c r="AD687" s="22"/>
      <c r="AE687" s="807"/>
      <c r="AF687" s="655"/>
    </row>
    <row r="688" spans="1:32" ht="12" customHeight="1">
      <c r="A688" s="791" t="s">
        <v>5913</v>
      </c>
      <c r="B688" s="2">
        <v>4</v>
      </c>
      <c r="C688" s="2"/>
      <c r="D688" s="6" t="s">
        <v>5915</v>
      </c>
      <c r="E688" s="6">
        <f t="shared" si="10"/>
        <v>43</v>
      </c>
      <c r="F688" s="6" t="s">
        <v>5</v>
      </c>
      <c r="G688" s="2" t="s">
        <v>6067</v>
      </c>
      <c r="H688" s="12"/>
      <c r="I688" s="6"/>
      <c r="J688" s="19"/>
      <c r="K688" s="23" t="s">
        <v>16118</v>
      </c>
      <c r="L688" s="6"/>
      <c r="M688" s="6" t="s">
        <v>6</v>
      </c>
      <c r="N688" s="13"/>
      <c r="O688" s="14"/>
      <c r="P688" s="12" t="s">
        <v>5916</v>
      </c>
      <c r="Q688" s="15">
        <v>25448</v>
      </c>
      <c r="R688" s="12" t="s">
        <v>16433</v>
      </c>
      <c r="S688" s="22"/>
      <c r="T688" s="22"/>
      <c r="U688" s="22"/>
      <c r="AD688" s="22"/>
      <c r="AE688" s="807"/>
      <c r="AF688" s="655"/>
    </row>
    <row r="689" spans="1:32" ht="12" customHeight="1" thickBot="1">
      <c r="A689" s="746" t="s">
        <v>5914</v>
      </c>
      <c r="B689" s="702">
        <v>5</v>
      </c>
      <c r="C689" s="702"/>
      <c r="D689" s="701" t="s">
        <v>5917</v>
      </c>
      <c r="E689" s="701">
        <f t="shared" si="10"/>
        <v>32</v>
      </c>
      <c r="F689" s="701" t="s">
        <v>5</v>
      </c>
      <c r="G689" s="702" t="s">
        <v>6067</v>
      </c>
      <c r="H689" s="740"/>
      <c r="I689" s="701"/>
      <c r="J689" s="741"/>
      <c r="K689" s="704" t="s">
        <v>16118</v>
      </c>
      <c r="L689" s="701"/>
      <c r="M689" s="701" t="s">
        <v>6</v>
      </c>
      <c r="N689" s="742"/>
      <c r="O689" s="743"/>
      <c r="P689" s="740" t="s">
        <v>2820</v>
      </c>
      <c r="Q689" s="744">
        <v>29244</v>
      </c>
      <c r="R689" s="740" t="s">
        <v>16431</v>
      </c>
      <c r="S689" s="720"/>
      <c r="T689" s="720"/>
      <c r="U689" s="720"/>
      <c r="V689" s="702"/>
      <c r="W689" s="702"/>
      <c r="X689" s="702"/>
      <c r="Y689" s="702"/>
      <c r="Z689" s="702"/>
      <c r="AA689" s="702"/>
      <c r="AB689" s="702"/>
      <c r="AC689" s="702"/>
      <c r="AD689" s="720"/>
      <c r="AE689" s="792"/>
      <c r="AF689" s="655"/>
    </row>
    <row r="690" spans="1:32" ht="12" customHeight="1">
      <c r="A690" s="750" t="s">
        <v>5676</v>
      </c>
      <c r="B690" s="696">
        <v>1</v>
      </c>
      <c r="C690" s="696"/>
      <c r="D690" s="696" t="s">
        <v>5593</v>
      </c>
      <c r="E690" s="690">
        <f t="shared" si="10"/>
        <v>69</v>
      </c>
      <c r="F690" s="696" t="s">
        <v>5</v>
      </c>
      <c r="G690" s="696" t="s">
        <v>6067</v>
      </c>
      <c r="H690" s="715" t="s">
        <v>5594</v>
      </c>
      <c r="I690" s="696" t="s">
        <v>5595</v>
      </c>
      <c r="J690" s="696"/>
      <c r="K690" s="692" t="s">
        <v>16130</v>
      </c>
      <c r="L690" s="696" t="s">
        <v>4993</v>
      </c>
      <c r="M690" s="696" t="s">
        <v>14</v>
      </c>
      <c r="N690" s="717">
        <v>4</v>
      </c>
      <c r="O690" s="718">
        <v>12</v>
      </c>
      <c r="P690" s="715" t="s">
        <v>5596</v>
      </c>
      <c r="Q690" s="719">
        <v>15779</v>
      </c>
      <c r="R690" s="715" t="s">
        <v>5597</v>
      </c>
      <c r="S690" s="715" t="s">
        <v>5598</v>
      </c>
      <c r="T690" s="715"/>
      <c r="U690" s="715" t="s">
        <v>5599</v>
      </c>
      <c r="V690" s="696"/>
      <c r="W690" s="696"/>
      <c r="X690" s="696"/>
      <c r="Y690" s="696" t="s">
        <v>5600</v>
      </c>
      <c r="Z690" s="696"/>
      <c r="AA690" s="696"/>
      <c r="AB690" s="696" t="s">
        <v>5601</v>
      </c>
      <c r="AC690" s="696"/>
      <c r="AD690" s="715"/>
      <c r="AE690" s="814"/>
      <c r="AF690" s="655"/>
    </row>
    <row r="691" spans="1:32" ht="12" customHeight="1">
      <c r="A691" s="1106" t="s">
        <v>16434</v>
      </c>
      <c r="B691" s="657">
        <v>2</v>
      </c>
      <c r="C691" s="4" t="s">
        <v>2597</v>
      </c>
      <c r="D691" s="1" t="s">
        <v>4420</v>
      </c>
      <c r="E691" s="6">
        <f t="shared" si="10"/>
        <v>50</v>
      </c>
      <c r="F691" s="2" t="s">
        <v>5</v>
      </c>
      <c r="G691" s="1" t="s">
        <v>15273</v>
      </c>
      <c r="H691" s="3" t="s">
        <v>4421</v>
      </c>
      <c r="K691" s="4" t="s">
        <v>16116</v>
      </c>
      <c r="L691" s="1" t="s">
        <v>4422</v>
      </c>
      <c r="M691" s="1" t="s">
        <v>25</v>
      </c>
      <c r="N691" s="16">
        <v>1</v>
      </c>
      <c r="O691" s="17">
        <v>1</v>
      </c>
      <c r="P691" s="3" t="s">
        <v>450</v>
      </c>
      <c r="Q691" s="21">
        <v>22698</v>
      </c>
      <c r="R691" s="3" t="s">
        <v>2605</v>
      </c>
      <c r="T691" s="3" t="s">
        <v>18564</v>
      </c>
      <c r="AE691" s="698"/>
      <c r="AF691" s="655"/>
    </row>
    <row r="692" spans="1:32" ht="12" customHeight="1">
      <c r="A692" s="1106" t="s">
        <v>16435</v>
      </c>
      <c r="B692" s="657">
        <v>3</v>
      </c>
      <c r="C692" s="4" t="s">
        <v>2626</v>
      </c>
      <c r="D692" s="1" t="s">
        <v>5781</v>
      </c>
      <c r="E692" s="6">
        <f t="shared" si="10"/>
        <v>36</v>
      </c>
      <c r="F692" s="2" t="s">
        <v>5</v>
      </c>
      <c r="G692" s="1" t="s">
        <v>15273</v>
      </c>
      <c r="K692" s="4" t="s">
        <v>16116</v>
      </c>
      <c r="L692" s="1" t="s">
        <v>4997</v>
      </c>
      <c r="M692" s="1" t="s">
        <v>6</v>
      </c>
      <c r="P692" s="3" t="s">
        <v>188</v>
      </c>
      <c r="Q692" s="20">
        <v>27952</v>
      </c>
      <c r="R692" s="3" t="s">
        <v>2636</v>
      </c>
      <c r="U692" s="3" t="s">
        <v>145</v>
      </c>
      <c r="W692" s="2" t="s">
        <v>145</v>
      </c>
      <c r="AE692" s="698"/>
      <c r="AF692" s="655"/>
    </row>
    <row r="693" spans="1:32" ht="12" customHeight="1">
      <c r="A693" s="1106" t="s">
        <v>16436</v>
      </c>
      <c r="B693" s="657">
        <v>3</v>
      </c>
      <c r="C693" s="4" t="s">
        <v>2643</v>
      </c>
      <c r="D693" s="1" t="s">
        <v>5221</v>
      </c>
      <c r="E693" s="6">
        <f t="shared" si="10"/>
        <v>46</v>
      </c>
      <c r="F693" s="2" t="s">
        <v>5</v>
      </c>
      <c r="G693" s="1" t="s">
        <v>15273</v>
      </c>
      <c r="K693" s="4" t="s">
        <v>16116</v>
      </c>
      <c r="L693" s="1" t="s">
        <v>4997</v>
      </c>
      <c r="M693" s="1" t="s">
        <v>6</v>
      </c>
      <c r="P693" s="3" t="s">
        <v>1162</v>
      </c>
      <c r="Q693" s="21">
        <v>24355</v>
      </c>
      <c r="R693" s="3" t="s">
        <v>5222</v>
      </c>
      <c r="T693" s="3" t="s">
        <v>469</v>
      </c>
      <c r="AE693" s="698"/>
      <c r="AF693" s="655"/>
    </row>
    <row r="694" spans="1:32" ht="12" customHeight="1">
      <c r="A694" s="1106" t="s">
        <v>16437</v>
      </c>
      <c r="B694" s="657">
        <v>3</v>
      </c>
      <c r="C694" s="4" t="s">
        <v>2657</v>
      </c>
      <c r="D694" s="1" t="s">
        <v>5193</v>
      </c>
      <c r="E694" s="6">
        <f t="shared" si="10"/>
        <v>63</v>
      </c>
      <c r="F694" s="2" t="s">
        <v>5</v>
      </c>
      <c r="G694" s="1" t="s">
        <v>15273</v>
      </c>
      <c r="K694" s="4" t="s">
        <v>16116</v>
      </c>
      <c r="L694" s="1" t="s">
        <v>4997</v>
      </c>
      <c r="M694" s="1" t="s">
        <v>6</v>
      </c>
      <c r="P694" s="3" t="s">
        <v>447</v>
      </c>
      <c r="Q694" s="21">
        <v>18008</v>
      </c>
      <c r="R694" s="3" t="s">
        <v>5194</v>
      </c>
      <c r="T694" s="3" t="s">
        <v>469</v>
      </c>
      <c r="U694" s="3" t="s">
        <v>333</v>
      </c>
      <c r="V694" s="2" t="s">
        <v>47</v>
      </c>
      <c r="X694" s="2" t="s">
        <v>75</v>
      </c>
      <c r="AE694" s="698"/>
      <c r="AF694" s="655"/>
    </row>
    <row r="695" spans="1:32" ht="12" customHeight="1">
      <c r="A695" s="1106" t="s">
        <v>16438</v>
      </c>
      <c r="B695" s="657">
        <v>3</v>
      </c>
      <c r="C695" s="4" t="s">
        <v>5015</v>
      </c>
      <c r="D695" s="1" t="s">
        <v>5016</v>
      </c>
      <c r="E695" s="6">
        <f t="shared" si="10"/>
        <v>39</v>
      </c>
      <c r="F695" s="2" t="s">
        <v>5</v>
      </c>
      <c r="G695" s="1" t="s">
        <v>15273</v>
      </c>
      <c r="K695" s="4" t="s">
        <v>16116</v>
      </c>
      <c r="L695" s="1" t="s">
        <v>4422</v>
      </c>
      <c r="M695" s="1" t="s">
        <v>6</v>
      </c>
      <c r="P695" s="3" t="s">
        <v>5018</v>
      </c>
      <c r="Q695" s="20">
        <v>26654</v>
      </c>
      <c r="R695" s="3" t="s">
        <v>5019</v>
      </c>
      <c r="T695" s="3" t="s">
        <v>469</v>
      </c>
      <c r="U695" s="3" t="s">
        <v>635</v>
      </c>
      <c r="W695" s="2" t="s">
        <v>145</v>
      </c>
      <c r="AD695" s="2" t="s">
        <v>146</v>
      </c>
      <c r="AE695" s="698"/>
      <c r="AF695" s="655"/>
    </row>
    <row r="696" spans="1:32" ht="12" customHeight="1">
      <c r="A696" s="1106" t="s">
        <v>16439</v>
      </c>
      <c r="B696" s="657">
        <v>3</v>
      </c>
      <c r="C696" s="4" t="s">
        <v>2786</v>
      </c>
      <c r="D696" s="1" t="s">
        <v>5021</v>
      </c>
      <c r="E696" s="6">
        <f t="shared" si="10"/>
        <v>34</v>
      </c>
      <c r="F696" s="2" t="s">
        <v>5</v>
      </c>
      <c r="G696" s="1" t="s">
        <v>15273</v>
      </c>
      <c r="K696" s="4" t="s">
        <v>16116</v>
      </c>
      <c r="L696" s="1" t="s">
        <v>4997</v>
      </c>
      <c r="M696" s="1" t="s">
        <v>6</v>
      </c>
      <c r="P696" s="3" t="s">
        <v>31</v>
      </c>
      <c r="Q696" s="20">
        <v>28691</v>
      </c>
      <c r="R696" s="3" t="s">
        <v>773</v>
      </c>
      <c r="T696" s="3" t="s">
        <v>469</v>
      </c>
      <c r="U696" s="3" t="s">
        <v>155</v>
      </c>
      <c r="Z696" s="2" t="s">
        <v>155</v>
      </c>
      <c r="AE696" s="698"/>
      <c r="AF696" s="655"/>
    </row>
    <row r="697" spans="1:32" ht="12" customHeight="1">
      <c r="A697" s="1106" t="s">
        <v>16440</v>
      </c>
      <c r="B697" s="657">
        <v>3</v>
      </c>
      <c r="C697" s="4" t="s">
        <v>2800</v>
      </c>
      <c r="D697" s="1" t="s">
        <v>5410</v>
      </c>
      <c r="E697" s="6">
        <f t="shared" si="10"/>
        <v>52</v>
      </c>
      <c r="F697" s="2" t="s">
        <v>5</v>
      </c>
      <c r="G697" s="1" t="s">
        <v>15273</v>
      </c>
      <c r="K697" s="4" t="s">
        <v>16116</v>
      </c>
      <c r="L697" s="1" t="s">
        <v>4997</v>
      </c>
      <c r="M697" s="1" t="s">
        <v>6</v>
      </c>
      <c r="P697" s="3" t="s">
        <v>5411</v>
      </c>
      <c r="Q697" s="21">
        <v>22135</v>
      </c>
      <c r="R697" s="3" t="s">
        <v>5412</v>
      </c>
      <c r="T697" s="3" t="s">
        <v>469</v>
      </c>
      <c r="AE697" s="698"/>
      <c r="AF697" s="655"/>
    </row>
    <row r="698" spans="1:32" ht="12" customHeight="1">
      <c r="A698" s="1106" t="s">
        <v>16441</v>
      </c>
      <c r="B698" s="657">
        <v>3</v>
      </c>
      <c r="C698" s="4" t="s">
        <v>4427</v>
      </c>
      <c r="D698" s="1" t="s">
        <v>5024</v>
      </c>
      <c r="E698" s="6">
        <f t="shared" si="10"/>
        <v>45</v>
      </c>
      <c r="F698" s="2" t="s">
        <v>5</v>
      </c>
      <c r="G698" s="1" t="s">
        <v>15273</v>
      </c>
      <c r="K698" s="4" t="s">
        <v>16116</v>
      </c>
      <c r="L698" s="1" t="s">
        <v>4997</v>
      </c>
      <c r="M698" s="1" t="s">
        <v>6</v>
      </c>
      <c r="P698" s="3" t="s">
        <v>317</v>
      </c>
      <c r="Q698" s="21">
        <v>24499</v>
      </c>
      <c r="R698" s="3" t="s">
        <v>16446</v>
      </c>
      <c r="T698" s="3" t="s">
        <v>469</v>
      </c>
      <c r="U698" s="3" t="s">
        <v>47</v>
      </c>
      <c r="V698" s="2" t="s">
        <v>47</v>
      </c>
      <c r="AE698" s="698"/>
      <c r="AF698" s="655"/>
    </row>
    <row r="699" spans="1:32" ht="12" customHeight="1">
      <c r="A699" s="1106" t="s">
        <v>16442</v>
      </c>
      <c r="B699" s="657">
        <v>3</v>
      </c>
      <c r="C699" s="4" t="s">
        <v>2878</v>
      </c>
      <c r="D699" s="1" t="s">
        <v>2890</v>
      </c>
      <c r="E699" s="6">
        <f t="shared" si="10"/>
        <v>41</v>
      </c>
      <c r="F699" s="2" t="s">
        <v>5</v>
      </c>
      <c r="G699" s="1" t="s">
        <v>15273</v>
      </c>
      <c r="K699" s="4" t="s">
        <v>16116</v>
      </c>
      <c r="L699" s="1" t="s">
        <v>4997</v>
      </c>
      <c r="M699" s="1" t="s">
        <v>6</v>
      </c>
      <c r="P699" s="3" t="s">
        <v>317</v>
      </c>
      <c r="Q699" s="20">
        <v>25923</v>
      </c>
      <c r="R699" s="3" t="s">
        <v>2891</v>
      </c>
      <c r="T699" s="3" t="s">
        <v>469</v>
      </c>
      <c r="U699" s="3" t="s">
        <v>47</v>
      </c>
      <c r="V699" s="2" t="s">
        <v>47</v>
      </c>
      <c r="AE699" s="698"/>
      <c r="AF699" s="655"/>
    </row>
    <row r="700" spans="1:32" ht="12" customHeight="1">
      <c r="A700" s="1106" t="s">
        <v>16443</v>
      </c>
      <c r="B700" s="657">
        <v>3</v>
      </c>
      <c r="C700" s="4" t="s">
        <v>2915</v>
      </c>
      <c r="D700" s="1" t="s">
        <v>5414</v>
      </c>
      <c r="E700" s="6">
        <f t="shared" si="10"/>
        <v>47</v>
      </c>
      <c r="F700" s="2" t="s">
        <v>5</v>
      </c>
      <c r="G700" s="1" t="s">
        <v>15273</v>
      </c>
      <c r="K700" s="4" t="s">
        <v>16116</v>
      </c>
      <c r="L700" s="1" t="s">
        <v>4422</v>
      </c>
      <c r="M700" s="1" t="s">
        <v>6</v>
      </c>
      <c r="P700" s="3" t="s">
        <v>317</v>
      </c>
      <c r="Q700" s="20">
        <v>23743</v>
      </c>
      <c r="R700" s="3" t="s">
        <v>727</v>
      </c>
      <c r="T700" s="3" t="s">
        <v>469</v>
      </c>
      <c r="U700" s="3" t="s">
        <v>3181</v>
      </c>
      <c r="AB700" s="2" t="s">
        <v>104</v>
      </c>
      <c r="AC700" s="2" t="s">
        <v>147</v>
      </c>
      <c r="AE700" s="698"/>
      <c r="AF700" s="655"/>
    </row>
    <row r="701" spans="1:32" ht="12" customHeight="1">
      <c r="A701" s="1106" t="s">
        <v>16444</v>
      </c>
      <c r="B701" s="657">
        <v>3</v>
      </c>
      <c r="C701" s="4" t="s">
        <v>2931</v>
      </c>
      <c r="D701" s="1" t="s">
        <v>5214</v>
      </c>
      <c r="E701" s="6">
        <f t="shared" si="10"/>
        <v>58</v>
      </c>
      <c r="F701" s="2" t="s">
        <v>5</v>
      </c>
      <c r="G701" s="1" t="s">
        <v>15273</v>
      </c>
      <c r="K701" s="4" t="s">
        <v>16116</v>
      </c>
      <c r="L701" s="1" t="s">
        <v>4422</v>
      </c>
      <c r="M701" s="1" t="s">
        <v>6</v>
      </c>
      <c r="P701" s="3" t="s">
        <v>5215</v>
      </c>
      <c r="Q701" s="20">
        <v>19852</v>
      </c>
      <c r="R701" s="3" t="s">
        <v>5216</v>
      </c>
      <c r="U701" s="3" t="s">
        <v>371</v>
      </c>
      <c r="W701" s="2" t="s">
        <v>145</v>
      </c>
      <c r="X701" s="2" t="s">
        <v>75</v>
      </c>
      <c r="AE701" s="698"/>
      <c r="AF701" s="655"/>
    </row>
    <row r="702" spans="1:32" ht="12" customHeight="1">
      <c r="A702" s="1106" t="s">
        <v>16445</v>
      </c>
      <c r="B702" s="657">
        <v>3</v>
      </c>
      <c r="C702" s="4" t="s">
        <v>2945</v>
      </c>
      <c r="D702" s="1" t="s">
        <v>5416</v>
      </c>
      <c r="E702" s="6">
        <f t="shared" si="10"/>
        <v>45</v>
      </c>
      <c r="F702" s="2" t="s">
        <v>5</v>
      </c>
      <c r="G702" s="1" t="s">
        <v>15273</v>
      </c>
      <c r="K702" s="4" t="s">
        <v>16116</v>
      </c>
      <c r="L702" s="1" t="s">
        <v>4997</v>
      </c>
      <c r="M702" s="1" t="s">
        <v>6</v>
      </c>
      <c r="P702" s="3" t="s">
        <v>31</v>
      </c>
      <c r="Q702" s="20">
        <v>24667</v>
      </c>
      <c r="R702" s="3" t="s">
        <v>3010</v>
      </c>
      <c r="T702" s="3" t="s">
        <v>469</v>
      </c>
      <c r="AE702" s="698"/>
      <c r="AF702" s="655"/>
    </row>
    <row r="703" spans="1:32" ht="12" customHeight="1" thickBot="1">
      <c r="A703" s="1107" t="s">
        <v>15654</v>
      </c>
      <c r="B703" s="702">
        <v>14</v>
      </c>
      <c r="C703" s="702"/>
      <c r="D703" s="701" t="s">
        <v>6001</v>
      </c>
      <c r="E703" s="701">
        <f t="shared" si="10"/>
        <v>51</v>
      </c>
      <c r="F703" s="701" t="s">
        <v>5</v>
      </c>
      <c r="G703" s="702" t="s">
        <v>6067</v>
      </c>
      <c r="H703" s="741"/>
      <c r="I703" s="701"/>
      <c r="J703" s="741"/>
      <c r="K703" s="704" t="s">
        <v>16130</v>
      </c>
      <c r="L703" s="701" t="s">
        <v>276</v>
      </c>
      <c r="M703" s="701" t="s">
        <v>14</v>
      </c>
      <c r="N703" s="742">
        <v>1</v>
      </c>
      <c r="O703" s="743">
        <v>1</v>
      </c>
      <c r="P703" s="740" t="s">
        <v>6002</v>
      </c>
      <c r="Q703" s="744">
        <v>22312</v>
      </c>
      <c r="R703" s="740" t="s">
        <v>6003</v>
      </c>
      <c r="S703" s="740"/>
      <c r="T703" s="740"/>
      <c r="U703" s="741" t="s">
        <v>5960</v>
      </c>
      <c r="V703" s="702"/>
      <c r="W703" s="702" t="s">
        <v>5960</v>
      </c>
      <c r="X703" s="702"/>
      <c r="Y703" s="702"/>
      <c r="Z703" s="702"/>
      <c r="AA703" s="702"/>
      <c r="AB703" s="702"/>
      <c r="AC703" s="702"/>
      <c r="AD703" s="702"/>
      <c r="AE703" s="792"/>
      <c r="AF703" s="655"/>
    </row>
    <row r="704" spans="1:32" ht="12" customHeight="1">
      <c r="A704" s="757" t="s">
        <v>15641</v>
      </c>
      <c r="B704" s="696">
        <v>1</v>
      </c>
      <c r="C704" s="688" t="s">
        <v>2627</v>
      </c>
      <c r="D704" s="687" t="s">
        <v>2637</v>
      </c>
      <c r="E704" s="690">
        <f t="shared" si="10"/>
        <v>38</v>
      </c>
      <c r="F704" s="696" t="s">
        <v>5</v>
      </c>
      <c r="G704" s="687" t="s">
        <v>15273</v>
      </c>
      <c r="H704" s="747"/>
      <c r="I704" s="687"/>
      <c r="J704" s="687"/>
      <c r="K704" s="688" t="s">
        <v>16128</v>
      </c>
      <c r="L704" s="687"/>
      <c r="M704" s="687" t="s">
        <v>6</v>
      </c>
      <c r="N704" s="748"/>
      <c r="O704" s="749"/>
      <c r="P704" s="747" t="s">
        <v>462</v>
      </c>
      <c r="Q704" s="773">
        <v>27203</v>
      </c>
      <c r="R704" s="747" t="s">
        <v>2639</v>
      </c>
      <c r="S704" s="747"/>
      <c r="T704" s="747"/>
      <c r="U704" s="747"/>
      <c r="V704" s="696"/>
      <c r="W704" s="696"/>
      <c r="X704" s="696"/>
      <c r="Y704" s="696"/>
      <c r="Z704" s="696"/>
      <c r="AA704" s="696"/>
      <c r="AB704" s="696"/>
      <c r="AC704" s="696"/>
      <c r="AD704" s="696"/>
      <c r="AE704" s="697"/>
      <c r="AF704" s="655"/>
    </row>
    <row r="705" spans="1:32" ht="12" customHeight="1">
      <c r="A705" s="758" t="s">
        <v>16448</v>
      </c>
      <c r="B705" s="2">
        <v>1</v>
      </c>
      <c r="C705" s="4" t="s">
        <v>5607</v>
      </c>
      <c r="D705" s="1" t="s">
        <v>5608</v>
      </c>
      <c r="E705" s="6">
        <f t="shared" si="10"/>
        <v>37</v>
      </c>
      <c r="F705" s="2" t="s">
        <v>5</v>
      </c>
      <c r="G705" s="1" t="s">
        <v>15273</v>
      </c>
      <c r="K705" s="8" t="s">
        <v>16128</v>
      </c>
      <c r="M705" s="1" t="s">
        <v>6</v>
      </c>
      <c r="P705" s="3" t="s">
        <v>245</v>
      </c>
      <c r="Q705" s="20">
        <v>27503</v>
      </c>
      <c r="R705" s="3" t="s">
        <v>5609</v>
      </c>
      <c r="T705" s="3" t="s">
        <v>6031</v>
      </c>
      <c r="U705" s="3" t="s">
        <v>85</v>
      </c>
      <c r="AA705" s="2" t="s">
        <v>85</v>
      </c>
      <c r="AE705" s="698"/>
      <c r="AF705" s="655"/>
    </row>
    <row r="706" spans="1:32" ht="12" customHeight="1">
      <c r="A706" s="758" t="s">
        <v>16449</v>
      </c>
      <c r="B706" s="2">
        <v>1</v>
      </c>
      <c r="C706" s="4" t="s">
        <v>2859</v>
      </c>
      <c r="D706" s="1" t="s">
        <v>2865</v>
      </c>
      <c r="E706" s="6">
        <f t="shared" ref="E706:E769" si="11">DATEDIF(Q706,$Q$1119,"Y")</f>
        <v>52</v>
      </c>
      <c r="F706" s="2" t="s">
        <v>5</v>
      </c>
      <c r="G706" s="1" t="s">
        <v>15273</v>
      </c>
      <c r="H706" s="3" t="s">
        <v>2866</v>
      </c>
      <c r="K706" s="4" t="s">
        <v>16128</v>
      </c>
      <c r="M706" s="1" t="s">
        <v>25</v>
      </c>
      <c r="N706" s="16">
        <v>1</v>
      </c>
      <c r="O706" s="17">
        <v>1</v>
      </c>
      <c r="P706" s="3" t="s">
        <v>255</v>
      </c>
      <c r="Q706" s="20">
        <v>22176</v>
      </c>
      <c r="R706" s="3" t="s">
        <v>2868</v>
      </c>
      <c r="T706" s="3" t="s">
        <v>16096</v>
      </c>
      <c r="AE706" s="698"/>
      <c r="AF706" s="655"/>
    </row>
    <row r="707" spans="1:32" ht="12" customHeight="1" thickBot="1">
      <c r="A707" s="759" t="s">
        <v>16447</v>
      </c>
      <c r="B707" s="702">
        <v>4</v>
      </c>
      <c r="C707" s="702"/>
      <c r="D707" s="702" t="s">
        <v>15642</v>
      </c>
      <c r="E707" s="701">
        <f t="shared" si="11"/>
        <v>48</v>
      </c>
      <c r="F707" s="702" t="s">
        <v>5</v>
      </c>
      <c r="G707" s="702" t="s">
        <v>6067</v>
      </c>
      <c r="H707" s="720"/>
      <c r="I707" s="702"/>
      <c r="J707" s="702"/>
      <c r="K707" s="770" t="s">
        <v>16128</v>
      </c>
      <c r="L707" s="702"/>
      <c r="M707" s="702" t="s">
        <v>6</v>
      </c>
      <c r="N707" s="721"/>
      <c r="O707" s="722">
        <v>2</v>
      </c>
      <c r="P707" s="720" t="s">
        <v>15643</v>
      </c>
      <c r="Q707" s="723">
        <v>23470</v>
      </c>
      <c r="R707" s="720" t="s">
        <v>15644</v>
      </c>
      <c r="S707" s="720" t="s">
        <v>374</v>
      </c>
      <c r="T707" s="720"/>
      <c r="U707" s="720" t="s">
        <v>15645</v>
      </c>
      <c r="V707" s="702"/>
      <c r="W707" s="702"/>
      <c r="X707" s="702"/>
      <c r="Y707" s="702" t="s">
        <v>229</v>
      </c>
      <c r="Z707" s="702"/>
      <c r="AA707" s="702"/>
      <c r="AB707" s="702"/>
      <c r="AC707" s="702"/>
      <c r="AD707" s="720"/>
      <c r="AE707" s="792"/>
      <c r="AF707" s="655"/>
    </row>
    <row r="708" spans="1:32" ht="12" customHeight="1">
      <c r="A708" s="760" t="s">
        <v>5672</v>
      </c>
      <c r="B708" s="696">
        <v>1</v>
      </c>
      <c r="C708" s="696"/>
      <c r="D708" s="696" t="s">
        <v>3014</v>
      </c>
      <c r="E708" s="690">
        <f t="shared" si="11"/>
        <v>67</v>
      </c>
      <c r="F708" s="696" t="s">
        <v>5</v>
      </c>
      <c r="G708" s="696" t="s">
        <v>6067</v>
      </c>
      <c r="H708" s="715" t="s">
        <v>3015</v>
      </c>
      <c r="I708" s="696"/>
      <c r="J708" s="696"/>
      <c r="K708" s="716" t="s">
        <v>16117</v>
      </c>
      <c r="L708" s="696"/>
      <c r="M708" s="696" t="s">
        <v>25</v>
      </c>
      <c r="N708" s="717">
        <v>5</v>
      </c>
      <c r="O708" s="718">
        <v>5</v>
      </c>
      <c r="P708" s="715" t="s">
        <v>3016</v>
      </c>
      <c r="Q708" s="719">
        <v>16752</v>
      </c>
      <c r="R708" s="715" t="s">
        <v>3017</v>
      </c>
      <c r="S708" s="715"/>
      <c r="T708" s="715"/>
      <c r="U708" s="715"/>
      <c r="V708" s="696"/>
      <c r="W708" s="696"/>
      <c r="X708" s="696"/>
      <c r="Y708" s="696"/>
      <c r="Z708" s="696"/>
      <c r="AA708" s="696"/>
      <c r="AB708" s="696"/>
      <c r="AC708" s="696"/>
      <c r="AD708" s="715"/>
      <c r="AE708" s="814"/>
      <c r="AF708" s="655"/>
    </row>
    <row r="709" spans="1:32" ht="12" customHeight="1">
      <c r="A709" s="806" t="s">
        <v>5673</v>
      </c>
      <c r="B709" s="2">
        <v>2</v>
      </c>
      <c r="C709" s="2"/>
      <c r="D709" s="2" t="s">
        <v>3018</v>
      </c>
      <c r="E709" s="6">
        <f t="shared" si="11"/>
        <v>47</v>
      </c>
      <c r="F709" s="2" t="s">
        <v>19</v>
      </c>
      <c r="G709" s="2" t="s">
        <v>6067</v>
      </c>
      <c r="H709" s="22"/>
      <c r="I709" s="2"/>
      <c r="J709" s="2"/>
      <c r="K709" s="8" t="s">
        <v>16117</v>
      </c>
      <c r="L709" s="2"/>
      <c r="M709" s="2" t="s">
        <v>6</v>
      </c>
      <c r="N709" s="24"/>
      <c r="O709" s="25"/>
      <c r="P709" s="22" t="s">
        <v>3019</v>
      </c>
      <c r="Q709" s="21">
        <v>23872</v>
      </c>
      <c r="R709" s="22" t="s">
        <v>3020</v>
      </c>
      <c r="S709" s="22"/>
      <c r="T709" s="22"/>
      <c r="U709" s="22"/>
      <c r="AD709" s="22"/>
      <c r="AE709" s="807"/>
      <c r="AF709" s="655"/>
    </row>
    <row r="710" spans="1:32" ht="12" customHeight="1" thickBot="1">
      <c r="A710" s="761" t="s">
        <v>5674</v>
      </c>
      <c r="B710" s="702">
        <v>3</v>
      </c>
      <c r="C710" s="702"/>
      <c r="D710" s="702" t="s">
        <v>5492</v>
      </c>
      <c r="E710" s="701">
        <f t="shared" si="11"/>
        <v>57</v>
      </c>
      <c r="F710" s="702" t="s">
        <v>5</v>
      </c>
      <c r="G710" s="702" t="s">
        <v>6067</v>
      </c>
      <c r="H710" s="720"/>
      <c r="I710" s="702"/>
      <c r="J710" s="702"/>
      <c r="K710" s="770" t="s">
        <v>16117</v>
      </c>
      <c r="L710" s="702"/>
      <c r="M710" s="702" t="s">
        <v>6</v>
      </c>
      <c r="N710" s="721"/>
      <c r="O710" s="722"/>
      <c r="P710" s="720" t="s">
        <v>2906</v>
      </c>
      <c r="Q710" s="723">
        <v>20126</v>
      </c>
      <c r="R710" s="720" t="s">
        <v>5493</v>
      </c>
      <c r="S710" s="720"/>
      <c r="T710" s="720"/>
      <c r="U710" s="720" t="s">
        <v>5494</v>
      </c>
      <c r="V710" s="702"/>
      <c r="W710" s="702" t="s">
        <v>5494</v>
      </c>
      <c r="X710" s="702"/>
      <c r="Y710" s="702"/>
      <c r="Z710" s="702"/>
      <c r="AA710" s="702"/>
      <c r="AB710" s="702"/>
      <c r="AC710" s="702"/>
      <c r="AD710" s="720"/>
      <c r="AE710" s="792"/>
      <c r="AF710" s="655"/>
    </row>
    <row r="711" spans="1:32" ht="12" customHeight="1">
      <c r="A711" s="784" t="s">
        <v>5675</v>
      </c>
      <c r="B711" s="696">
        <v>1</v>
      </c>
      <c r="C711" s="688" t="s">
        <v>5413</v>
      </c>
      <c r="D711" s="687" t="s">
        <v>2927</v>
      </c>
      <c r="E711" s="690">
        <f t="shared" si="11"/>
        <v>63</v>
      </c>
      <c r="F711" s="696" t="s">
        <v>19</v>
      </c>
      <c r="G711" s="687" t="s">
        <v>15273</v>
      </c>
      <c r="H711" s="747"/>
      <c r="I711" s="687"/>
      <c r="J711" s="687"/>
      <c r="K711" s="688" t="s">
        <v>16121</v>
      </c>
      <c r="L711" s="687"/>
      <c r="M711" s="687" t="s">
        <v>6</v>
      </c>
      <c r="N711" s="748"/>
      <c r="O711" s="749"/>
      <c r="P711" s="747" t="s">
        <v>2926</v>
      </c>
      <c r="Q711" s="719">
        <v>17914</v>
      </c>
      <c r="R711" s="747" t="s">
        <v>2921</v>
      </c>
      <c r="S711" s="747"/>
      <c r="T711" s="747"/>
      <c r="U711" s="747" t="s">
        <v>145</v>
      </c>
      <c r="V711" s="696"/>
      <c r="W711" s="696" t="s">
        <v>145</v>
      </c>
      <c r="X711" s="696"/>
      <c r="Y711" s="696"/>
      <c r="Z711" s="696"/>
      <c r="AA711" s="696"/>
      <c r="AB711" s="696"/>
      <c r="AC711" s="696"/>
      <c r="AD711" s="696"/>
      <c r="AE711" s="697"/>
      <c r="AF711" s="655"/>
    </row>
    <row r="712" spans="1:32" ht="12" customHeight="1" thickBot="1">
      <c r="A712" s="786" t="s">
        <v>16450</v>
      </c>
      <c r="B712" s="702">
        <v>2</v>
      </c>
      <c r="C712" s="702"/>
      <c r="D712" s="702" t="s">
        <v>5472</v>
      </c>
      <c r="E712" s="701">
        <f t="shared" si="11"/>
        <v>64</v>
      </c>
      <c r="F712" s="702" t="s">
        <v>5</v>
      </c>
      <c r="G712" s="702" t="s">
        <v>6067</v>
      </c>
      <c r="H712" s="720"/>
      <c r="I712" s="702"/>
      <c r="J712" s="702"/>
      <c r="K712" s="770" t="s">
        <v>16121</v>
      </c>
      <c r="L712" s="702"/>
      <c r="M712" s="702" t="s">
        <v>6</v>
      </c>
      <c r="N712" s="721"/>
      <c r="O712" s="722"/>
      <c r="P712" s="720" t="s">
        <v>5473</v>
      </c>
      <c r="Q712" s="723">
        <v>17547</v>
      </c>
      <c r="R712" s="720" t="s">
        <v>5474</v>
      </c>
      <c r="S712" s="720"/>
      <c r="T712" s="720"/>
      <c r="U712" s="720"/>
      <c r="V712" s="702"/>
      <c r="W712" s="702"/>
      <c r="X712" s="702"/>
      <c r="Y712" s="702"/>
      <c r="Z712" s="702"/>
      <c r="AA712" s="702"/>
      <c r="AB712" s="702"/>
      <c r="AC712" s="702"/>
      <c r="AD712" s="720"/>
      <c r="AE712" s="792"/>
      <c r="AF712" s="655"/>
    </row>
    <row r="713" spans="1:32" ht="12" customHeight="1">
      <c r="A713" s="771" t="s">
        <v>16459</v>
      </c>
      <c r="B713" s="696">
        <v>1</v>
      </c>
      <c r="C713" s="696"/>
      <c r="D713" s="696" t="s">
        <v>5133</v>
      </c>
      <c r="E713" s="690">
        <f t="shared" si="11"/>
        <v>45</v>
      </c>
      <c r="F713" s="696" t="s">
        <v>5</v>
      </c>
      <c r="G713" s="696" t="s">
        <v>6067</v>
      </c>
      <c r="H713" s="715"/>
      <c r="I713" s="696"/>
      <c r="J713" s="696"/>
      <c r="K713" s="716" t="s">
        <v>16122</v>
      </c>
      <c r="L713" s="696" t="s">
        <v>22</v>
      </c>
      <c r="M713" s="696" t="s">
        <v>6</v>
      </c>
      <c r="N713" s="717"/>
      <c r="O713" s="718"/>
      <c r="P713" s="715" t="s">
        <v>5134</v>
      </c>
      <c r="Q713" s="719">
        <v>24765</v>
      </c>
      <c r="R713" s="715" t="s">
        <v>5136</v>
      </c>
      <c r="S713" s="715"/>
      <c r="T713" s="715"/>
      <c r="U713" s="715"/>
      <c r="V713" s="696"/>
      <c r="W713" s="696"/>
      <c r="X713" s="696"/>
      <c r="Y713" s="696"/>
      <c r="Z713" s="696"/>
      <c r="AA713" s="696"/>
      <c r="AB713" s="696"/>
      <c r="AC713" s="696"/>
      <c r="AD713" s="715"/>
      <c r="AE713" s="814"/>
      <c r="AF713" s="655"/>
    </row>
    <row r="714" spans="1:32" ht="12" customHeight="1">
      <c r="A714" s="789" t="s">
        <v>16460</v>
      </c>
      <c r="B714" s="2">
        <v>2</v>
      </c>
      <c r="C714" s="2"/>
      <c r="D714" s="2" t="s">
        <v>5137</v>
      </c>
      <c r="E714" s="6">
        <f t="shared" si="11"/>
        <v>70</v>
      </c>
      <c r="F714" s="2" t="s">
        <v>5</v>
      </c>
      <c r="G714" s="2" t="s">
        <v>6067</v>
      </c>
      <c r="H714" s="22"/>
      <c r="I714" s="2"/>
      <c r="J714" s="2"/>
      <c r="K714" s="23" t="s">
        <v>16122</v>
      </c>
      <c r="L714" s="2" t="s">
        <v>22</v>
      </c>
      <c r="M714" s="2" t="s">
        <v>6</v>
      </c>
      <c r="N714" s="24"/>
      <c r="O714" s="25"/>
      <c r="P714" s="22" t="s">
        <v>5135</v>
      </c>
      <c r="Q714" s="21">
        <v>15392</v>
      </c>
      <c r="R714" s="22" t="s">
        <v>5138</v>
      </c>
      <c r="S714" s="22"/>
      <c r="T714" s="22"/>
      <c r="U714" s="22"/>
      <c r="AD714" s="22"/>
      <c r="AE714" s="807"/>
      <c r="AF714" s="655"/>
    </row>
    <row r="715" spans="1:32" ht="12" customHeight="1">
      <c r="A715" s="789" t="s">
        <v>16461</v>
      </c>
      <c r="B715" s="2">
        <v>3</v>
      </c>
      <c r="C715" s="2"/>
      <c r="D715" s="2" t="s">
        <v>4618</v>
      </c>
      <c r="E715" s="6">
        <f t="shared" si="11"/>
        <v>50</v>
      </c>
      <c r="F715" s="2" t="s">
        <v>19</v>
      </c>
      <c r="G715" s="2" t="s">
        <v>6067</v>
      </c>
      <c r="H715" s="22"/>
      <c r="I715" s="2"/>
      <c r="J715" s="2"/>
      <c r="K715" s="23" t="s">
        <v>16122</v>
      </c>
      <c r="L715" s="2" t="s">
        <v>22</v>
      </c>
      <c r="M715" s="2" t="s">
        <v>6</v>
      </c>
      <c r="N715" s="24"/>
      <c r="O715" s="25"/>
      <c r="P715" s="22" t="s">
        <v>4619</v>
      </c>
      <c r="Q715" s="21">
        <v>22873</v>
      </c>
      <c r="R715" s="22" t="s">
        <v>4620</v>
      </c>
      <c r="S715" s="22"/>
      <c r="T715" s="22"/>
      <c r="U715" s="22"/>
      <c r="AD715" s="22"/>
      <c r="AE715" s="807"/>
      <c r="AF715" s="655"/>
    </row>
    <row r="716" spans="1:32" ht="12" customHeight="1">
      <c r="A716" s="789" t="s">
        <v>16462</v>
      </c>
      <c r="B716" s="2">
        <v>4</v>
      </c>
      <c r="C716" s="2"/>
      <c r="D716" s="2" t="s">
        <v>4615</v>
      </c>
      <c r="E716" s="6">
        <f t="shared" si="11"/>
        <v>44</v>
      </c>
      <c r="F716" s="2" t="s">
        <v>19</v>
      </c>
      <c r="G716" s="2" t="s">
        <v>6067</v>
      </c>
      <c r="H716" s="22"/>
      <c r="I716" s="2"/>
      <c r="J716" s="2"/>
      <c r="K716" s="23" t="s">
        <v>16122</v>
      </c>
      <c r="L716" s="2" t="s">
        <v>22</v>
      </c>
      <c r="M716" s="2" t="s">
        <v>6</v>
      </c>
      <c r="N716" s="24"/>
      <c r="O716" s="25"/>
      <c r="P716" s="22" t="s">
        <v>4616</v>
      </c>
      <c r="Q716" s="21">
        <v>25147</v>
      </c>
      <c r="R716" s="22" t="s">
        <v>4617</v>
      </c>
      <c r="S716" s="22"/>
      <c r="T716" s="22"/>
      <c r="U716" s="22"/>
      <c r="AD716" s="22"/>
      <c r="AE716" s="807"/>
      <c r="AF716" s="655"/>
    </row>
    <row r="717" spans="1:32" ht="12" customHeight="1" thickBot="1">
      <c r="A717" s="772" t="s">
        <v>16463</v>
      </c>
      <c r="B717" s="702">
        <v>5</v>
      </c>
      <c r="C717" s="702"/>
      <c r="D717" s="702" t="s">
        <v>5139</v>
      </c>
      <c r="E717" s="701">
        <f t="shared" si="11"/>
        <v>56</v>
      </c>
      <c r="F717" s="702" t="s">
        <v>5</v>
      </c>
      <c r="G717" s="702" t="s">
        <v>6067</v>
      </c>
      <c r="H717" s="720"/>
      <c r="I717" s="702"/>
      <c r="J717" s="702"/>
      <c r="K717" s="770" t="s">
        <v>16122</v>
      </c>
      <c r="L717" s="702" t="s">
        <v>22</v>
      </c>
      <c r="M717" s="702" t="s">
        <v>6</v>
      </c>
      <c r="N717" s="721"/>
      <c r="O717" s="722"/>
      <c r="P717" s="720" t="s">
        <v>5140</v>
      </c>
      <c r="Q717" s="723">
        <v>20458</v>
      </c>
      <c r="R717" s="720" t="s">
        <v>4623</v>
      </c>
      <c r="S717" s="720"/>
      <c r="T717" s="720"/>
      <c r="U717" s="720"/>
      <c r="V717" s="702"/>
      <c r="W717" s="702"/>
      <c r="X717" s="702"/>
      <c r="Y717" s="702"/>
      <c r="Z717" s="702"/>
      <c r="AA717" s="702"/>
      <c r="AB717" s="702"/>
      <c r="AC717" s="702"/>
      <c r="AD717" s="720"/>
      <c r="AE717" s="792"/>
      <c r="AF717" s="655"/>
    </row>
    <row r="718" spans="1:32" ht="12" customHeight="1">
      <c r="A718" s="776" t="s">
        <v>15847</v>
      </c>
      <c r="B718" s="696">
        <v>1</v>
      </c>
      <c r="C718" s="688" t="s">
        <v>3025</v>
      </c>
      <c r="D718" s="687" t="s">
        <v>3028</v>
      </c>
      <c r="E718" s="690">
        <f t="shared" si="11"/>
        <v>67</v>
      </c>
      <c r="F718" s="696" t="s">
        <v>5</v>
      </c>
      <c r="G718" s="689" t="s">
        <v>15273</v>
      </c>
      <c r="H718" s="747" t="s">
        <v>3029</v>
      </c>
      <c r="I718" s="687"/>
      <c r="J718" s="687"/>
      <c r="K718" s="688" t="s">
        <v>16127</v>
      </c>
      <c r="L718" s="687" t="s">
        <v>681</v>
      </c>
      <c r="M718" s="687" t="s">
        <v>25</v>
      </c>
      <c r="N718" s="748">
        <v>8</v>
      </c>
      <c r="O718" s="749">
        <v>8</v>
      </c>
      <c r="P718" s="747" t="s">
        <v>1282</v>
      </c>
      <c r="Q718" s="773">
        <v>16461</v>
      </c>
      <c r="R718" s="747" t="s">
        <v>3031</v>
      </c>
      <c r="S718" s="747" t="s">
        <v>3033</v>
      </c>
      <c r="T718" s="747" t="s">
        <v>736</v>
      </c>
      <c r="U718" s="747" t="s">
        <v>69</v>
      </c>
      <c r="V718" s="696"/>
      <c r="W718" s="696"/>
      <c r="X718" s="696"/>
      <c r="Y718" s="696"/>
      <c r="Z718" s="696"/>
      <c r="AA718" s="696"/>
      <c r="AB718" s="696"/>
      <c r="AC718" s="696"/>
      <c r="AD718" s="696"/>
      <c r="AE718" s="697" t="s">
        <v>69</v>
      </c>
      <c r="AF718" s="655"/>
    </row>
    <row r="719" spans="1:32" ht="12" customHeight="1">
      <c r="A719" s="777" t="s">
        <v>15848</v>
      </c>
      <c r="B719" s="2">
        <v>1</v>
      </c>
      <c r="C719" s="4" t="s">
        <v>3040</v>
      </c>
      <c r="D719" s="1" t="s">
        <v>3044</v>
      </c>
      <c r="E719" s="6">
        <f t="shared" si="11"/>
        <v>50</v>
      </c>
      <c r="F719" s="2" t="s">
        <v>5</v>
      </c>
      <c r="G719" s="5" t="s">
        <v>15273</v>
      </c>
      <c r="H719" s="3" t="s">
        <v>3045</v>
      </c>
      <c r="K719" s="8" t="s">
        <v>16126</v>
      </c>
      <c r="L719" s="1" t="s">
        <v>655</v>
      </c>
      <c r="M719" s="1" t="s">
        <v>25</v>
      </c>
      <c r="N719" s="16">
        <v>3</v>
      </c>
      <c r="O719" s="17">
        <v>3</v>
      </c>
      <c r="P719" s="3" t="s">
        <v>3047</v>
      </c>
      <c r="Q719" s="20">
        <v>22812</v>
      </c>
      <c r="R719" s="3" t="s">
        <v>3048</v>
      </c>
      <c r="S719" s="3" t="s">
        <v>3049</v>
      </c>
      <c r="T719" s="3" t="s">
        <v>736</v>
      </c>
      <c r="U719" s="3" t="s">
        <v>145</v>
      </c>
      <c r="W719" s="2" t="s">
        <v>145</v>
      </c>
      <c r="AE719" s="698"/>
      <c r="AF719" s="655"/>
    </row>
    <row r="720" spans="1:32" ht="12" customHeight="1">
      <c r="A720" s="777" t="s">
        <v>15849</v>
      </c>
      <c r="B720" s="2">
        <v>1</v>
      </c>
      <c r="C720" s="4" t="s">
        <v>3059</v>
      </c>
      <c r="D720" s="1" t="s">
        <v>3062</v>
      </c>
      <c r="E720" s="6">
        <f t="shared" si="11"/>
        <v>41</v>
      </c>
      <c r="F720" s="2" t="s">
        <v>5</v>
      </c>
      <c r="G720" s="5" t="s">
        <v>15273</v>
      </c>
      <c r="H720" s="3" t="s">
        <v>3063</v>
      </c>
      <c r="K720" s="8" t="s">
        <v>16127</v>
      </c>
      <c r="L720" s="1" t="s">
        <v>681</v>
      </c>
      <c r="M720" s="1" t="s">
        <v>25</v>
      </c>
      <c r="N720" s="16">
        <v>3</v>
      </c>
      <c r="O720" s="17">
        <v>3</v>
      </c>
      <c r="P720" s="3" t="s">
        <v>447</v>
      </c>
      <c r="Q720" s="20">
        <v>26077</v>
      </c>
      <c r="R720" s="3" t="s">
        <v>16664</v>
      </c>
      <c r="S720" s="3" t="s">
        <v>3066</v>
      </c>
      <c r="T720" s="3" t="s">
        <v>736</v>
      </c>
      <c r="U720" s="3" t="s">
        <v>3064</v>
      </c>
      <c r="AD720" s="2" t="s">
        <v>146</v>
      </c>
      <c r="AE720" s="698" t="s">
        <v>69</v>
      </c>
      <c r="AF720" s="655"/>
    </row>
    <row r="721" spans="1:32" ht="12" customHeight="1">
      <c r="A721" s="777" t="s">
        <v>15850</v>
      </c>
      <c r="B721" s="2">
        <v>1</v>
      </c>
      <c r="C721" s="4" t="s">
        <v>3073</v>
      </c>
      <c r="D721" s="1" t="s">
        <v>3077</v>
      </c>
      <c r="E721" s="6">
        <f t="shared" si="11"/>
        <v>68</v>
      </c>
      <c r="F721" s="2" t="s">
        <v>5</v>
      </c>
      <c r="G721" s="5" t="s">
        <v>15273</v>
      </c>
      <c r="H721" s="3" t="s">
        <v>3078</v>
      </c>
      <c r="K721" s="8" t="s">
        <v>16127</v>
      </c>
      <c r="L721" s="1" t="s">
        <v>655</v>
      </c>
      <c r="M721" s="1" t="s">
        <v>25</v>
      </c>
      <c r="N721" s="16">
        <v>3</v>
      </c>
      <c r="O721" s="17">
        <v>5</v>
      </c>
      <c r="P721" s="3" t="s">
        <v>3079</v>
      </c>
      <c r="Q721" s="20">
        <v>16294</v>
      </c>
      <c r="R721" s="3" t="s">
        <v>3080</v>
      </c>
      <c r="S721" s="3" t="s">
        <v>3081</v>
      </c>
      <c r="T721" s="3" t="s">
        <v>736</v>
      </c>
      <c r="U721" s="3" t="s">
        <v>375</v>
      </c>
      <c r="W721" s="2" t="s">
        <v>145</v>
      </c>
      <c r="Y721" s="2" t="s">
        <v>229</v>
      </c>
      <c r="AE721" s="698"/>
      <c r="AF721" s="655"/>
    </row>
    <row r="722" spans="1:32" ht="12" customHeight="1">
      <c r="A722" s="777" t="s">
        <v>15851</v>
      </c>
      <c r="B722" s="2">
        <v>1</v>
      </c>
      <c r="C722" s="4" t="s">
        <v>3094</v>
      </c>
      <c r="D722" s="1" t="s">
        <v>3099</v>
      </c>
      <c r="E722" s="6">
        <f t="shared" si="11"/>
        <v>33</v>
      </c>
      <c r="F722" s="2" t="s">
        <v>19</v>
      </c>
      <c r="G722" s="5" t="s">
        <v>15273</v>
      </c>
      <c r="K722" s="8" t="s">
        <v>16127</v>
      </c>
      <c r="L722" s="1" t="s">
        <v>44</v>
      </c>
      <c r="M722" s="1" t="s">
        <v>6</v>
      </c>
      <c r="P722" s="3" t="s">
        <v>3100</v>
      </c>
      <c r="Q722" s="20">
        <v>28965</v>
      </c>
      <c r="R722" s="3" t="s">
        <v>3101</v>
      </c>
      <c r="U722" s="3" t="s">
        <v>145</v>
      </c>
      <c r="W722" s="2" t="s">
        <v>145</v>
      </c>
      <c r="AE722" s="698"/>
      <c r="AF722" s="655"/>
    </row>
    <row r="723" spans="1:32" ht="12" customHeight="1">
      <c r="A723" s="777" t="s">
        <v>15852</v>
      </c>
      <c r="B723" s="2">
        <v>1</v>
      </c>
      <c r="C723" s="4" t="s">
        <v>3117</v>
      </c>
      <c r="D723" s="1" t="s">
        <v>3120</v>
      </c>
      <c r="E723" s="6">
        <f t="shared" si="11"/>
        <v>50</v>
      </c>
      <c r="F723" s="2" t="s">
        <v>5</v>
      </c>
      <c r="G723" s="5" t="s">
        <v>15273</v>
      </c>
      <c r="H723" s="3" t="s">
        <v>3121</v>
      </c>
      <c r="K723" s="4" t="s">
        <v>16127</v>
      </c>
      <c r="L723" s="1" t="s">
        <v>655</v>
      </c>
      <c r="M723" s="1" t="s">
        <v>25</v>
      </c>
      <c r="N723" s="16">
        <v>6</v>
      </c>
      <c r="O723" s="17">
        <v>6</v>
      </c>
      <c r="P723" s="3" t="s">
        <v>1493</v>
      </c>
      <c r="Q723" s="20">
        <v>22766</v>
      </c>
      <c r="R723" s="3" t="s">
        <v>16665</v>
      </c>
      <c r="S723" s="3" t="s">
        <v>3123</v>
      </c>
      <c r="T723" s="3" t="s">
        <v>736</v>
      </c>
      <c r="U723" s="3" t="s">
        <v>635</v>
      </c>
      <c r="W723" s="2" t="s">
        <v>145</v>
      </c>
      <c r="AD723" s="2" t="s">
        <v>146</v>
      </c>
      <c r="AE723" s="698"/>
      <c r="AF723" s="655"/>
    </row>
    <row r="724" spans="1:32" ht="12" customHeight="1">
      <c r="A724" s="777" t="s">
        <v>15853</v>
      </c>
      <c r="B724" s="2">
        <v>1</v>
      </c>
      <c r="C724" s="4" t="s">
        <v>3128</v>
      </c>
      <c r="D724" s="1" t="s">
        <v>3132</v>
      </c>
      <c r="E724" s="6">
        <f t="shared" si="11"/>
        <v>38</v>
      </c>
      <c r="F724" s="2" t="s">
        <v>5</v>
      </c>
      <c r="G724" s="5" t="s">
        <v>15273</v>
      </c>
      <c r="H724" s="3" t="s">
        <v>3133</v>
      </c>
      <c r="K724" s="8" t="s">
        <v>16126</v>
      </c>
      <c r="L724" s="1" t="s">
        <v>44</v>
      </c>
      <c r="M724" s="1" t="s">
        <v>25</v>
      </c>
      <c r="N724" s="16">
        <v>3</v>
      </c>
      <c r="O724" s="17">
        <v>3</v>
      </c>
      <c r="P724" s="3" t="s">
        <v>7</v>
      </c>
      <c r="Q724" s="20">
        <v>27239</v>
      </c>
      <c r="R724" s="3" t="s">
        <v>3134</v>
      </c>
      <c r="S724" s="3" t="s">
        <v>247</v>
      </c>
      <c r="T724" s="3" t="s">
        <v>736</v>
      </c>
      <c r="AE724" s="698"/>
      <c r="AF724" s="655"/>
    </row>
    <row r="725" spans="1:32" ht="12" customHeight="1">
      <c r="A725" s="777" t="s">
        <v>15854</v>
      </c>
      <c r="B725" s="2">
        <v>1</v>
      </c>
      <c r="C725" s="4" t="s">
        <v>3141</v>
      </c>
      <c r="D725" s="1" t="s">
        <v>3148</v>
      </c>
      <c r="E725" s="6">
        <f t="shared" si="11"/>
        <v>45</v>
      </c>
      <c r="F725" s="2" t="s">
        <v>5</v>
      </c>
      <c r="G725" s="5" t="s">
        <v>15273</v>
      </c>
      <c r="H725" s="3" t="s">
        <v>3149</v>
      </c>
      <c r="K725" s="8" t="s">
        <v>16127</v>
      </c>
      <c r="L725" s="1" t="s">
        <v>44</v>
      </c>
      <c r="M725" s="1" t="s">
        <v>25</v>
      </c>
      <c r="N725" s="16">
        <v>2</v>
      </c>
      <c r="O725" s="17">
        <v>2</v>
      </c>
      <c r="P725" s="3" t="s">
        <v>1493</v>
      </c>
      <c r="Q725" s="20">
        <v>24504</v>
      </c>
      <c r="R725" s="3" t="s">
        <v>3150</v>
      </c>
      <c r="S725" s="3" t="s">
        <v>3151</v>
      </c>
      <c r="T725" s="3" t="s">
        <v>736</v>
      </c>
      <c r="U725" s="3" t="s">
        <v>47</v>
      </c>
      <c r="V725" s="2" t="s">
        <v>47</v>
      </c>
      <c r="AE725" s="698"/>
      <c r="AF725" s="655"/>
    </row>
    <row r="726" spans="1:32" ht="12" customHeight="1">
      <c r="A726" s="777" t="s">
        <v>15855</v>
      </c>
      <c r="B726" s="2">
        <v>1</v>
      </c>
      <c r="C726" s="4" t="s">
        <v>3172</v>
      </c>
      <c r="D726" s="1" t="s">
        <v>3175</v>
      </c>
      <c r="E726" s="6">
        <f t="shared" si="11"/>
        <v>38</v>
      </c>
      <c r="F726" s="2" t="s">
        <v>19</v>
      </c>
      <c r="G726" s="5" t="s">
        <v>15273</v>
      </c>
      <c r="H726" s="3" t="s">
        <v>3176</v>
      </c>
      <c r="K726" s="8" t="s">
        <v>16127</v>
      </c>
      <c r="L726" s="1" t="s">
        <v>44</v>
      </c>
      <c r="M726" s="1" t="s">
        <v>25</v>
      </c>
      <c r="N726" s="16">
        <v>1</v>
      </c>
      <c r="O726" s="17">
        <v>1</v>
      </c>
      <c r="P726" s="3" t="s">
        <v>1282</v>
      </c>
      <c r="Q726" s="20">
        <v>27220</v>
      </c>
      <c r="R726" s="3" t="s">
        <v>16666</v>
      </c>
      <c r="U726" s="3" t="s">
        <v>146</v>
      </c>
      <c r="AD726" s="2" t="s">
        <v>146</v>
      </c>
      <c r="AE726" s="698"/>
      <c r="AF726" s="655"/>
    </row>
    <row r="727" spans="1:32" ht="12" customHeight="1">
      <c r="A727" s="777" t="s">
        <v>15856</v>
      </c>
      <c r="B727" s="2">
        <v>1</v>
      </c>
      <c r="C727" s="4" t="s">
        <v>3186</v>
      </c>
      <c r="D727" s="1" t="s">
        <v>3189</v>
      </c>
      <c r="E727" s="6">
        <f t="shared" si="11"/>
        <v>50</v>
      </c>
      <c r="F727" s="2" t="s">
        <v>5</v>
      </c>
      <c r="G727" s="5" t="s">
        <v>15273</v>
      </c>
      <c r="H727" s="3" t="s">
        <v>3190</v>
      </c>
      <c r="K727" s="8" t="s">
        <v>16127</v>
      </c>
      <c r="L727" s="1" t="s">
        <v>655</v>
      </c>
      <c r="M727" s="1" t="s">
        <v>25</v>
      </c>
      <c r="N727" s="16">
        <v>4</v>
      </c>
      <c r="O727" s="17">
        <v>4</v>
      </c>
      <c r="P727" s="3" t="s">
        <v>1282</v>
      </c>
      <c r="Q727" s="20">
        <v>22652</v>
      </c>
      <c r="R727" s="3" t="s">
        <v>16667</v>
      </c>
      <c r="S727" s="3" t="s">
        <v>3191</v>
      </c>
      <c r="T727" s="3" t="s">
        <v>736</v>
      </c>
      <c r="U727" s="3" t="s">
        <v>146</v>
      </c>
      <c r="AD727" s="2" t="s">
        <v>146</v>
      </c>
      <c r="AE727" s="698"/>
      <c r="AF727" s="655"/>
    </row>
    <row r="728" spans="1:32" ht="12" customHeight="1">
      <c r="A728" s="777" t="s">
        <v>15857</v>
      </c>
      <c r="B728" s="2">
        <v>1</v>
      </c>
      <c r="C728" s="4" t="s">
        <v>3199</v>
      </c>
      <c r="D728" s="1" t="s">
        <v>5453</v>
      </c>
      <c r="E728" s="6">
        <f t="shared" si="11"/>
        <v>32</v>
      </c>
      <c r="F728" s="2" t="s">
        <v>19</v>
      </c>
      <c r="G728" s="5" t="s">
        <v>15273</v>
      </c>
      <c r="K728" s="4" t="s">
        <v>16127</v>
      </c>
      <c r="L728" s="1" t="s">
        <v>44</v>
      </c>
      <c r="M728" s="1" t="s">
        <v>6</v>
      </c>
      <c r="P728" s="3" t="s">
        <v>3539</v>
      </c>
      <c r="Q728" s="20">
        <v>29428</v>
      </c>
      <c r="R728" s="3" t="s">
        <v>5454</v>
      </c>
      <c r="T728" s="3" t="s">
        <v>736</v>
      </c>
      <c r="U728" s="3" t="s">
        <v>145</v>
      </c>
      <c r="W728" s="2" t="s">
        <v>145</v>
      </c>
      <c r="AE728" s="698"/>
      <c r="AF728" s="655"/>
    </row>
    <row r="729" spans="1:32" ht="12" customHeight="1">
      <c r="A729" s="777" t="s">
        <v>15858</v>
      </c>
      <c r="B729" s="2">
        <v>1</v>
      </c>
      <c r="C729" s="4" t="s">
        <v>3249</v>
      </c>
      <c r="D729" s="1" t="s">
        <v>6026</v>
      </c>
      <c r="E729" s="6">
        <f t="shared" si="11"/>
        <v>29</v>
      </c>
      <c r="F729" s="2" t="s">
        <v>5</v>
      </c>
      <c r="G729" s="5" t="s">
        <v>15273</v>
      </c>
      <c r="K729" s="8" t="s">
        <v>16126</v>
      </c>
      <c r="L729" s="1" t="s">
        <v>44</v>
      </c>
      <c r="M729" s="1" t="s">
        <v>6</v>
      </c>
      <c r="P729" s="3" t="s">
        <v>6027</v>
      </c>
      <c r="Q729" s="20">
        <v>30328</v>
      </c>
      <c r="R729" s="3" t="s">
        <v>6028</v>
      </c>
      <c r="AE729" s="698"/>
      <c r="AF729" s="655"/>
    </row>
    <row r="730" spans="1:32" ht="12" customHeight="1">
      <c r="A730" s="777" t="s">
        <v>15859</v>
      </c>
      <c r="B730" s="2">
        <v>1</v>
      </c>
      <c r="C730" s="4" t="s">
        <v>3258</v>
      </c>
      <c r="D730" s="1" t="s">
        <v>3263</v>
      </c>
      <c r="E730" s="6">
        <f t="shared" si="11"/>
        <v>50</v>
      </c>
      <c r="F730" s="2" t="s">
        <v>5</v>
      </c>
      <c r="G730" s="5" t="s">
        <v>15273</v>
      </c>
      <c r="H730" s="3" t="s">
        <v>3264</v>
      </c>
      <c r="K730" s="8" t="s">
        <v>16127</v>
      </c>
      <c r="L730" s="1" t="s">
        <v>681</v>
      </c>
      <c r="M730" s="1" t="s">
        <v>25</v>
      </c>
      <c r="N730" s="16">
        <v>4</v>
      </c>
      <c r="O730" s="17">
        <v>4</v>
      </c>
      <c r="P730" s="3" t="s">
        <v>3266</v>
      </c>
      <c r="Q730" s="20">
        <v>22721</v>
      </c>
      <c r="R730" s="3" t="s">
        <v>16669</v>
      </c>
      <c r="S730" s="3" t="s">
        <v>3267</v>
      </c>
      <c r="T730" s="3" t="s">
        <v>736</v>
      </c>
      <c r="U730" s="3" t="s">
        <v>146</v>
      </c>
      <c r="AD730" s="2" t="s">
        <v>146</v>
      </c>
      <c r="AE730" s="698"/>
      <c r="AF730" s="655"/>
    </row>
    <row r="731" spans="1:32" ht="12" customHeight="1">
      <c r="A731" s="777" t="s">
        <v>15860</v>
      </c>
      <c r="B731" s="2">
        <v>1</v>
      </c>
      <c r="C731" s="4" t="s">
        <v>3277</v>
      </c>
      <c r="D731" s="1" t="s">
        <v>5455</v>
      </c>
      <c r="E731" s="6">
        <f t="shared" si="11"/>
        <v>38</v>
      </c>
      <c r="F731" s="2" t="s">
        <v>19</v>
      </c>
      <c r="G731" s="5" t="s">
        <v>15273</v>
      </c>
      <c r="K731" s="8" t="s">
        <v>16127</v>
      </c>
      <c r="L731" s="1" t="s">
        <v>44</v>
      </c>
      <c r="M731" s="1" t="s">
        <v>6</v>
      </c>
      <c r="P731" s="3" t="s">
        <v>2291</v>
      </c>
      <c r="Q731" s="20">
        <v>27379</v>
      </c>
      <c r="R731" s="3" t="s">
        <v>5456</v>
      </c>
      <c r="U731" s="3" t="s">
        <v>145</v>
      </c>
      <c r="W731" s="2" t="s">
        <v>145</v>
      </c>
      <c r="AE731" s="698"/>
      <c r="AF731" s="655"/>
    </row>
    <row r="732" spans="1:32" ht="12" customHeight="1">
      <c r="A732" s="777" t="s">
        <v>15861</v>
      </c>
      <c r="B732" s="2">
        <v>1</v>
      </c>
      <c r="C732" s="4" t="s">
        <v>3299</v>
      </c>
      <c r="D732" s="1" t="s">
        <v>3303</v>
      </c>
      <c r="E732" s="6">
        <f t="shared" si="11"/>
        <v>63</v>
      </c>
      <c r="F732" s="2" t="s">
        <v>5</v>
      </c>
      <c r="G732" s="5" t="s">
        <v>15273</v>
      </c>
      <c r="H732" s="3" t="s">
        <v>3304</v>
      </c>
      <c r="K732" s="8" t="s">
        <v>16127</v>
      </c>
      <c r="L732" s="1" t="s">
        <v>604</v>
      </c>
      <c r="M732" s="1" t="s">
        <v>25</v>
      </c>
      <c r="N732" s="16">
        <v>6</v>
      </c>
      <c r="O732" s="17">
        <v>6</v>
      </c>
      <c r="P732" s="3" t="s">
        <v>3306</v>
      </c>
      <c r="Q732" s="20">
        <v>18205</v>
      </c>
      <c r="R732" s="3" t="s">
        <v>3307</v>
      </c>
      <c r="S732" s="3" t="s">
        <v>3308</v>
      </c>
      <c r="T732" s="3" t="s">
        <v>736</v>
      </c>
      <c r="AE732" s="698"/>
      <c r="AF732" s="655"/>
    </row>
    <row r="733" spans="1:32" ht="12" customHeight="1">
      <c r="A733" s="777" t="s">
        <v>15862</v>
      </c>
      <c r="B733" s="2">
        <v>1</v>
      </c>
      <c r="C733" s="4" t="s">
        <v>3316</v>
      </c>
      <c r="D733" s="1" t="s">
        <v>3560</v>
      </c>
      <c r="E733" s="6">
        <f t="shared" si="11"/>
        <v>30</v>
      </c>
      <c r="F733" s="2" t="s">
        <v>5</v>
      </c>
      <c r="G733" s="5" t="s">
        <v>15273</v>
      </c>
      <c r="H733" s="3" t="s">
        <v>3561</v>
      </c>
      <c r="K733" s="4" t="s">
        <v>16127</v>
      </c>
      <c r="L733" s="1" t="s">
        <v>681</v>
      </c>
      <c r="M733" s="1" t="s">
        <v>25</v>
      </c>
      <c r="N733" s="16">
        <v>1</v>
      </c>
      <c r="O733" s="17">
        <v>1</v>
      </c>
      <c r="P733" s="3" t="s">
        <v>7</v>
      </c>
      <c r="Q733" s="20">
        <v>30007</v>
      </c>
      <c r="R733" s="3" t="s">
        <v>3562</v>
      </c>
      <c r="T733" s="3" t="s">
        <v>736</v>
      </c>
      <c r="AE733" s="698"/>
      <c r="AF733" s="655"/>
    </row>
    <row r="734" spans="1:32" ht="12" customHeight="1">
      <c r="A734" s="777" t="s">
        <v>15863</v>
      </c>
      <c r="B734" s="2">
        <v>1</v>
      </c>
      <c r="C734" s="4" t="s">
        <v>3327</v>
      </c>
      <c r="D734" s="1" t="s">
        <v>3331</v>
      </c>
      <c r="E734" s="6">
        <f t="shared" si="11"/>
        <v>50</v>
      </c>
      <c r="F734" s="2" t="s">
        <v>5</v>
      </c>
      <c r="G734" s="5" t="s">
        <v>15273</v>
      </c>
      <c r="H734" s="3" t="s">
        <v>3332</v>
      </c>
      <c r="K734" s="8" t="s">
        <v>16126</v>
      </c>
      <c r="L734" s="1" t="s">
        <v>655</v>
      </c>
      <c r="M734" s="1" t="s">
        <v>25</v>
      </c>
      <c r="N734" s="16">
        <v>3</v>
      </c>
      <c r="O734" s="17">
        <v>3</v>
      </c>
      <c r="P734" s="3" t="s">
        <v>2037</v>
      </c>
      <c r="Q734" s="20">
        <v>22984</v>
      </c>
      <c r="R734" s="3" t="s">
        <v>3334</v>
      </c>
      <c r="S734" s="3" t="s">
        <v>3335</v>
      </c>
      <c r="T734" s="3" t="s">
        <v>736</v>
      </c>
      <c r="AE734" s="698"/>
      <c r="AF734" s="655"/>
    </row>
    <row r="735" spans="1:32" ht="12" customHeight="1">
      <c r="A735" s="777" t="s">
        <v>15864</v>
      </c>
      <c r="B735" s="2">
        <v>1</v>
      </c>
      <c r="C735" s="4" t="s">
        <v>3345</v>
      </c>
      <c r="D735" s="1" t="s">
        <v>3349</v>
      </c>
      <c r="E735" s="6">
        <f t="shared" si="11"/>
        <v>52</v>
      </c>
      <c r="F735" s="2" t="s">
        <v>19</v>
      </c>
      <c r="G735" s="5" t="s">
        <v>15273</v>
      </c>
      <c r="H735" s="3" t="s">
        <v>3350</v>
      </c>
      <c r="K735" s="8" t="s">
        <v>16127</v>
      </c>
      <c r="L735" s="1" t="s">
        <v>45</v>
      </c>
      <c r="M735" s="1" t="s">
        <v>25</v>
      </c>
      <c r="N735" s="16">
        <v>4</v>
      </c>
      <c r="O735" s="17">
        <v>4</v>
      </c>
      <c r="P735" s="3" t="s">
        <v>188</v>
      </c>
      <c r="Q735" s="20">
        <v>22034</v>
      </c>
      <c r="R735" s="3" t="s">
        <v>3351</v>
      </c>
      <c r="S735" s="3" t="s">
        <v>3352</v>
      </c>
      <c r="T735" s="3" t="s">
        <v>736</v>
      </c>
      <c r="AE735" s="698"/>
      <c r="AF735" s="655"/>
    </row>
    <row r="736" spans="1:32" ht="12" customHeight="1">
      <c r="A736" s="777" t="s">
        <v>15865</v>
      </c>
      <c r="B736" s="2">
        <v>1</v>
      </c>
      <c r="C736" s="4" t="s">
        <v>3362</v>
      </c>
      <c r="D736" s="1" t="s">
        <v>3366</v>
      </c>
      <c r="E736" s="6">
        <f t="shared" si="11"/>
        <v>63</v>
      </c>
      <c r="F736" s="2" t="s">
        <v>5</v>
      </c>
      <c r="G736" s="5" t="s">
        <v>15273</v>
      </c>
      <c r="H736" s="3" t="s">
        <v>3367</v>
      </c>
      <c r="K736" s="8" t="s">
        <v>16127</v>
      </c>
      <c r="L736" s="1" t="s">
        <v>45</v>
      </c>
      <c r="M736" s="1" t="s">
        <v>25</v>
      </c>
      <c r="N736" s="16">
        <v>5</v>
      </c>
      <c r="O736" s="17">
        <v>5</v>
      </c>
      <c r="P736" s="3" t="s">
        <v>381</v>
      </c>
      <c r="Q736" s="20">
        <v>17976</v>
      </c>
      <c r="R736" s="3" t="s">
        <v>3368</v>
      </c>
      <c r="S736" s="3" t="s">
        <v>3369</v>
      </c>
      <c r="T736" s="3" t="s">
        <v>736</v>
      </c>
      <c r="U736" s="3" t="s">
        <v>69</v>
      </c>
      <c r="AE736" s="698" t="s">
        <v>69</v>
      </c>
      <c r="AF736" s="655"/>
    </row>
    <row r="737" spans="1:32" ht="12" customHeight="1">
      <c r="A737" s="777" t="s">
        <v>15866</v>
      </c>
      <c r="B737" s="2">
        <v>1</v>
      </c>
      <c r="C737" s="4" t="s">
        <v>3376</v>
      </c>
      <c r="D737" s="1" t="s">
        <v>3379</v>
      </c>
      <c r="E737" s="6">
        <f t="shared" si="11"/>
        <v>53</v>
      </c>
      <c r="F737" s="2" t="s">
        <v>5</v>
      </c>
      <c r="G737" s="5" t="s">
        <v>15273</v>
      </c>
      <c r="H737" s="3" t="s">
        <v>3380</v>
      </c>
      <c r="K737" s="8" t="s">
        <v>16127</v>
      </c>
      <c r="L737" s="1" t="s">
        <v>604</v>
      </c>
      <c r="M737" s="1" t="s">
        <v>25</v>
      </c>
      <c r="N737" s="16">
        <v>5</v>
      </c>
      <c r="O737" s="17">
        <v>5</v>
      </c>
      <c r="P737" s="3" t="s">
        <v>2551</v>
      </c>
      <c r="Q737" s="20">
        <v>21768</v>
      </c>
      <c r="R737" s="3" t="s">
        <v>16670</v>
      </c>
      <c r="S737" s="3" t="s">
        <v>3383</v>
      </c>
      <c r="T737" s="3" t="s">
        <v>736</v>
      </c>
      <c r="U737" s="3" t="s">
        <v>146</v>
      </c>
      <c r="AD737" s="2" t="s">
        <v>146</v>
      </c>
      <c r="AE737" s="698"/>
      <c r="AF737" s="655"/>
    </row>
    <row r="738" spans="1:32" ht="12" customHeight="1">
      <c r="A738" s="777" t="s">
        <v>15867</v>
      </c>
      <c r="B738" s="2">
        <v>1</v>
      </c>
      <c r="C738" s="4" t="s">
        <v>3389</v>
      </c>
      <c r="D738" s="1" t="s">
        <v>3396</v>
      </c>
      <c r="E738" s="6">
        <f t="shared" si="11"/>
        <v>61</v>
      </c>
      <c r="F738" s="2" t="s">
        <v>5</v>
      </c>
      <c r="G738" s="5" t="s">
        <v>15273</v>
      </c>
      <c r="H738" s="3" t="s">
        <v>3393</v>
      </c>
      <c r="K738" s="4" t="s">
        <v>16127</v>
      </c>
      <c r="L738" s="1" t="s">
        <v>604</v>
      </c>
      <c r="M738" s="1" t="s">
        <v>25</v>
      </c>
      <c r="N738" s="16">
        <v>1</v>
      </c>
      <c r="O738" s="17">
        <v>2</v>
      </c>
      <c r="P738" s="3" t="s">
        <v>474</v>
      </c>
      <c r="Q738" s="20">
        <v>18906</v>
      </c>
      <c r="R738" s="3" t="s">
        <v>3394</v>
      </c>
      <c r="S738" s="3" t="s">
        <v>374</v>
      </c>
      <c r="T738" s="3" t="s">
        <v>736</v>
      </c>
      <c r="U738" s="3" t="s">
        <v>375</v>
      </c>
      <c r="W738" s="2" t="s">
        <v>145</v>
      </c>
      <c r="Y738" s="2" t="s">
        <v>229</v>
      </c>
      <c r="AE738" s="698"/>
      <c r="AF738" s="655"/>
    </row>
    <row r="739" spans="1:32" ht="12" customHeight="1">
      <c r="A739" s="777" t="s">
        <v>15868</v>
      </c>
      <c r="B739" s="2">
        <v>1</v>
      </c>
      <c r="C739" s="4" t="s">
        <v>3401</v>
      </c>
      <c r="D739" s="1" t="s">
        <v>15844</v>
      </c>
      <c r="E739" s="6">
        <f t="shared" si="11"/>
        <v>48</v>
      </c>
      <c r="F739" s="2" t="s">
        <v>5</v>
      </c>
      <c r="G739" s="5" t="s">
        <v>15273</v>
      </c>
      <c r="K739" s="8" t="s">
        <v>16126</v>
      </c>
      <c r="L739" s="1" t="s">
        <v>44</v>
      </c>
      <c r="M739" s="1" t="s">
        <v>6</v>
      </c>
      <c r="P739" s="3" t="s">
        <v>15845</v>
      </c>
      <c r="Q739" s="21">
        <v>23490</v>
      </c>
      <c r="R739" s="3" t="s">
        <v>15846</v>
      </c>
      <c r="T739" s="3" t="s">
        <v>736</v>
      </c>
      <c r="AE739" s="698"/>
      <c r="AF739" s="655"/>
    </row>
    <row r="740" spans="1:32" ht="12" customHeight="1">
      <c r="A740" s="777" t="s">
        <v>15869</v>
      </c>
      <c r="B740" s="2">
        <v>1</v>
      </c>
      <c r="C740" s="4" t="s">
        <v>3434</v>
      </c>
      <c r="D740" s="1" t="s">
        <v>3437</v>
      </c>
      <c r="E740" s="6">
        <f t="shared" si="11"/>
        <v>41</v>
      </c>
      <c r="F740" s="2" t="s">
        <v>5</v>
      </c>
      <c r="G740" s="5" t="s">
        <v>15273</v>
      </c>
      <c r="H740" s="3" t="s">
        <v>3438</v>
      </c>
      <c r="K740" s="8" t="s">
        <v>16127</v>
      </c>
      <c r="L740" s="1" t="s">
        <v>44</v>
      </c>
      <c r="M740" s="1" t="s">
        <v>25</v>
      </c>
      <c r="N740" s="16">
        <v>1</v>
      </c>
      <c r="O740" s="17">
        <v>1</v>
      </c>
      <c r="P740" s="3" t="s">
        <v>557</v>
      </c>
      <c r="Q740" s="20">
        <v>26031</v>
      </c>
      <c r="R740" s="3" t="s">
        <v>3440</v>
      </c>
      <c r="U740" s="3" t="s">
        <v>173</v>
      </c>
      <c r="W740" s="2" t="s">
        <v>145</v>
      </c>
      <c r="Z740" s="2" t="s">
        <v>155</v>
      </c>
      <c r="AE740" s="698"/>
      <c r="AF740" s="655"/>
    </row>
    <row r="741" spans="1:32" ht="12" customHeight="1">
      <c r="A741" s="777" t="s">
        <v>15870</v>
      </c>
      <c r="B741" s="2">
        <v>1</v>
      </c>
      <c r="C741" s="4" t="s">
        <v>5999</v>
      </c>
      <c r="D741" s="1" t="s">
        <v>6052</v>
      </c>
      <c r="E741" s="6">
        <f t="shared" si="11"/>
        <v>35</v>
      </c>
      <c r="F741" s="2" t="s">
        <v>5</v>
      </c>
      <c r="G741" s="5" t="s">
        <v>15273</v>
      </c>
      <c r="K741" s="8" t="s">
        <v>16127</v>
      </c>
      <c r="L741" s="1" t="s">
        <v>44</v>
      </c>
      <c r="M741" s="1" t="s">
        <v>6</v>
      </c>
      <c r="P741" s="3" t="s">
        <v>267</v>
      </c>
      <c r="Q741" s="21">
        <v>28313</v>
      </c>
      <c r="R741" s="3" t="s">
        <v>6054</v>
      </c>
      <c r="T741" s="3" t="s">
        <v>736</v>
      </c>
      <c r="U741" s="3" t="s">
        <v>145</v>
      </c>
      <c r="W741" s="2" t="s">
        <v>145</v>
      </c>
      <c r="AE741" s="698"/>
      <c r="AF741" s="655"/>
    </row>
    <row r="742" spans="1:32" ht="12" customHeight="1">
      <c r="A742" s="777" t="s">
        <v>15871</v>
      </c>
      <c r="B742" s="2">
        <v>1</v>
      </c>
      <c r="C742" s="4" t="s">
        <v>3484</v>
      </c>
      <c r="D742" s="1" t="s">
        <v>3488</v>
      </c>
      <c r="E742" s="6">
        <f t="shared" si="11"/>
        <v>44</v>
      </c>
      <c r="F742" s="2" t="s">
        <v>5</v>
      </c>
      <c r="G742" s="5" t="s">
        <v>15273</v>
      </c>
      <c r="H742" s="3" t="s">
        <v>3489</v>
      </c>
      <c r="K742" s="8" t="s">
        <v>16127</v>
      </c>
      <c r="L742" s="1" t="s">
        <v>44</v>
      </c>
      <c r="M742" s="1" t="s">
        <v>25</v>
      </c>
      <c r="N742" s="16">
        <v>3</v>
      </c>
      <c r="O742" s="17">
        <v>3</v>
      </c>
      <c r="P742" s="3" t="s">
        <v>317</v>
      </c>
      <c r="Q742" s="20">
        <v>25086</v>
      </c>
      <c r="R742" s="3" t="s">
        <v>3492</v>
      </c>
      <c r="S742" s="3" t="s">
        <v>3491</v>
      </c>
      <c r="T742" s="3" t="s">
        <v>736</v>
      </c>
      <c r="AE742" s="698"/>
      <c r="AF742" s="655"/>
    </row>
    <row r="743" spans="1:32" ht="12" customHeight="1">
      <c r="A743" s="777" t="s">
        <v>15872</v>
      </c>
      <c r="B743" s="2">
        <v>1</v>
      </c>
      <c r="C743" s="4" t="s">
        <v>3504</v>
      </c>
      <c r="D743" s="1" t="s">
        <v>3508</v>
      </c>
      <c r="E743" s="6">
        <f t="shared" si="11"/>
        <v>47</v>
      </c>
      <c r="F743" s="2" t="s">
        <v>19</v>
      </c>
      <c r="G743" s="5" t="s">
        <v>15273</v>
      </c>
      <c r="H743" s="3" t="s">
        <v>3509</v>
      </c>
      <c r="K743" s="4" t="s">
        <v>16127</v>
      </c>
      <c r="L743" s="1" t="s">
        <v>44</v>
      </c>
      <c r="M743" s="1" t="s">
        <v>25</v>
      </c>
      <c r="N743" s="16">
        <v>1</v>
      </c>
      <c r="O743" s="17">
        <v>1</v>
      </c>
      <c r="P743" s="3" t="s">
        <v>3510</v>
      </c>
      <c r="Q743" s="20">
        <v>24089</v>
      </c>
      <c r="R743" s="3" t="s">
        <v>3513</v>
      </c>
      <c r="T743" s="3" t="s">
        <v>736</v>
      </c>
      <c r="U743" s="3" t="s">
        <v>3511</v>
      </c>
      <c r="W743" s="2" t="s">
        <v>145</v>
      </c>
      <c r="Z743" s="2" t="s">
        <v>155</v>
      </c>
      <c r="AD743" s="2" t="s">
        <v>146</v>
      </c>
      <c r="AE743" s="698"/>
      <c r="AF743" s="655"/>
    </row>
    <row r="744" spans="1:32" ht="12" customHeight="1">
      <c r="A744" s="777" t="s">
        <v>15873</v>
      </c>
      <c r="B744" s="2">
        <v>1</v>
      </c>
      <c r="C744" s="4" t="s">
        <v>3521</v>
      </c>
      <c r="D744" s="1" t="s">
        <v>3524</v>
      </c>
      <c r="E744" s="6">
        <f t="shared" si="11"/>
        <v>55</v>
      </c>
      <c r="F744" s="2" t="s">
        <v>5</v>
      </c>
      <c r="G744" s="5" t="s">
        <v>15273</v>
      </c>
      <c r="H744" s="3" t="s">
        <v>3525</v>
      </c>
      <c r="K744" s="8" t="s">
        <v>16126</v>
      </c>
      <c r="L744" s="1" t="s">
        <v>681</v>
      </c>
      <c r="M744" s="1" t="s">
        <v>25</v>
      </c>
      <c r="N744" s="16">
        <v>1</v>
      </c>
      <c r="O744" s="17">
        <v>1</v>
      </c>
      <c r="P744" s="3" t="s">
        <v>2551</v>
      </c>
      <c r="Q744" s="20">
        <v>21019</v>
      </c>
      <c r="R744" s="3" t="s">
        <v>3527</v>
      </c>
      <c r="U744" s="3" t="s">
        <v>148</v>
      </c>
      <c r="W744" s="2" t="s">
        <v>145</v>
      </c>
      <c r="AE744" s="698" t="s">
        <v>69</v>
      </c>
      <c r="AF744" s="655"/>
    </row>
    <row r="745" spans="1:32" ht="12" customHeight="1">
      <c r="A745" s="777" t="s">
        <v>15874</v>
      </c>
      <c r="B745" s="2">
        <v>1</v>
      </c>
      <c r="C745" s="4" t="s">
        <v>3534</v>
      </c>
      <c r="D745" s="1" t="s">
        <v>3538</v>
      </c>
      <c r="E745" s="6">
        <f t="shared" si="11"/>
        <v>41</v>
      </c>
      <c r="F745" s="2" t="s">
        <v>5</v>
      </c>
      <c r="G745" s="5" t="s">
        <v>15273</v>
      </c>
      <c r="K745" s="8" t="s">
        <v>16127</v>
      </c>
      <c r="L745" s="1" t="s">
        <v>44</v>
      </c>
      <c r="M745" s="1" t="s">
        <v>6</v>
      </c>
      <c r="P745" s="3" t="s">
        <v>3539</v>
      </c>
      <c r="Q745" s="20">
        <v>26248</v>
      </c>
      <c r="R745" s="3" t="s">
        <v>3540</v>
      </c>
      <c r="T745" s="3" t="s">
        <v>736</v>
      </c>
      <c r="AE745" s="698"/>
      <c r="AF745" s="655"/>
    </row>
    <row r="746" spans="1:32" ht="12" customHeight="1">
      <c r="A746" s="777" t="s">
        <v>15875</v>
      </c>
      <c r="B746" s="2">
        <v>1</v>
      </c>
      <c r="C746" s="4" t="s">
        <v>3546</v>
      </c>
      <c r="D746" s="1" t="s">
        <v>3549</v>
      </c>
      <c r="E746" s="6">
        <f t="shared" si="11"/>
        <v>48</v>
      </c>
      <c r="F746" s="2" t="s">
        <v>5</v>
      </c>
      <c r="G746" s="5" t="s">
        <v>15273</v>
      </c>
      <c r="H746" s="3" t="s">
        <v>3550</v>
      </c>
      <c r="K746" s="8" t="s">
        <v>16127</v>
      </c>
      <c r="L746" s="1" t="s">
        <v>655</v>
      </c>
      <c r="M746" s="1" t="s">
        <v>25</v>
      </c>
      <c r="N746" s="16">
        <v>1</v>
      </c>
      <c r="O746" s="17">
        <v>1</v>
      </c>
      <c r="P746" s="3" t="s">
        <v>3552</v>
      </c>
      <c r="Q746" s="20">
        <v>23552</v>
      </c>
      <c r="R746" s="3" t="s">
        <v>3553</v>
      </c>
      <c r="T746" s="3" t="s">
        <v>736</v>
      </c>
      <c r="AE746" s="698"/>
      <c r="AF746" s="655"/>
    </row>
    <row r="747" spans="1:32" ht="12" customHeight="1">
      <c r="A747" s="777" t="s">
        <v>15876</v>
      </c>
      <c r="B747" s="2">
        <v>1</v>
      </c>
      <c r="C747" s="4" t="s">
        <v>3563</v>
      </c>
      <c r="D747" s="1" t="s">
        <v>3566</v>
      </c>
      <c r="E747" s="6">
        <f t="shared" si="11"/>
        <v>56</v>
      </c>
      <c r="F747" s="2" t="s">
        <v>5</v>
      </c>
      <c r="G747" s="5" t="s">
        <v>15273</v>
      </c>
      <c r="H747" s="3" t="s">
        <v>3567</v>
      </c>
      <c r="K747" s="8" t="s">
        <v>16127</v>
      </c>
      <c r="L747" s="1" t="s">
        <v>737</v>
      </c>
      <c r="M747" s="1" t="s">
        <v>25</v>
      </c>
      <c r="N747" s="16">
        <v>2</v>
      </c>
      <c r="O747" s="17">
        <v>2</v>
      </c>
      <c r="P747" s="3" t="s">
        <v>188</v>
      </c>
      <c r="Q747" s="20">
        <v>20742</v>
      </c>
      <c r="R747" s="3" t="s">
        <v>3569</v>
      </c>
      <c r="S747" s="3" t="s">
        <v>2208</v>
      </c>
      <c r="T747" s="3" t="s">
        <v>736</v>
      </c>
      <c r="U747" s="3" t="s">
        <v>104</v>
      </c>
      <c r="AB747" s="2" t="s">
        <v>104</v>
      </c>
      <c r="AE747" s="698"/>
      <c r="AF747" s="655"/>
    </row>
    <row r="748" spans="1:32" ht="12" customHeight="1">
      <c r="A748" s="777" t="s">
        <v>15877</v>
      </c>
      <c r="B748" s="2">
        <v>1</v>
      </c>
      <c r="C748" s="4" t="s">
        <v>3581</v>
      </c>
      <c r="D748" s="1" t="s">
        <v>3585</v>
      </c>
      <c r="E748" s="6">
        <f t="shared" si="11"/>
        <v>48</v>
      </c>
      <c r="F748" s="2" t="s">
        <v>5</v>
      </c>
      <c r="G748" s="5" t="s">
        <v>15273</v>
      </c>
      <c r="H748" s="3" t="s">
        <v>3586</v>
      </c>
      <c r="K748" s="4" t="s">
        <v>16127</v>
      </c>
      <c r="L748" s="1" t="s">
        <v>604</v>
      </c>
      <c r="M748" s="1" t="s">
        <v>25</v>
      </c>
      <c r="N748" s="16">
        <v>3</v>
      </c>
      <c r="O748" s="17">
        <v>3</v>
      </c>
      <c r="P748" s="3" t="s">
        <v>447</v>
      </c>
      <c r="Q748" s="20">
        <v>23574</v>
      </c>
      <c r="R748" s="3" t="s">
        <v>3587</v>
      </c>
      <c r="S748" s="3" t="s">
        <v>809</v>
      </c>
      <c r="T748" s="3" t="s">
        <v>736</v>
      </c>
      <c r="U748" s="3" t="s">
        <v>146</v>
      </c>
      <c r="AD748" s="2" t="s">
        <v>146</v>
      </c>
      <c r="AE748" s="698"/>
      <c r="AF748" s="655"/>
    </row>
    <row r="749" spans="1:32" ht="12" customHeight="1">
      <c r="A749" s="777" t="s">
        <v>15878</v>
      </c>
      <c r="B749" s="2">
        <v>1</v>
      </c>
      <c r="C749" s="4" t="s">
        <v>3598</v>
      </c>
      <c r="D749" s="1" t="s">
        <v>3602</v>
      </c>
      <c r="E749" s="6">
        <f t="shared" si="11"/>
        <v>41</v>
      </c>
      <c r="F749" s="2" t="s">
        <v>5</v>
      </c>
      <c r="G749" s="5" t="s">
        <v>15273</v>
      </c>
      <c r="H749" s="3" t="s">
        <v>3603</v>
      </c>
      <c r="K749" s="8" t="s">
        <v>16126</v>
      </c>
      <c r="L749" s="1" t="s">
        <v>44</v>
      </c>
      <c r="M749" s="1" t="s">
        <v>25</v>
      </c>
      <c r="N749" s="16">
        <v>1</v>
      </c>
      <c r="O749" s="17">
        <v>1</v>
      </c>
      <c r="P749" s="3" t="s">
        <v>3605</v>
      </c>
      <c r="Q749" s="20">
        <v>26082</v>
      </c>
      <c r="R749" s="3" t="s">
        <v>3604</v>
      </c>
      <c r="T749" s="3" t="s">
        <v>736</v>
      </c>
      <c r="U749" s="3" t="s">
        <v>104</v>
      </c>
      <c r="AB749" s="2" t="s">
        <v>104</v>
      </c>
      <c r="AE749" s="698"/>
      <c r="AF749" s="655"/>
    </row>
    <row r="750" spans="1:32" ht="12" customHeight="1">
      <c r="A750" s="777" t="s">
        <v>15879</v>
      </c>
      <c r="B750" s="2">
        <v>1</v>
      </c>
      <c r="C750" s="4" t="s">
        <v>3610</v>
      </c>
      <c r="D750" s="1" t="s">
        <v>3771</v>
      </c>
      <c r="E750" s="6">
        <f t="shared" si="11"/>
        <v>57</v>
      </c>
      <c r="F750" s="2" t="s">
        <v>19</v>
      </c>
      <c r="G750" s="5" t="s">
        <v>15273</v>
      </c>
      <c r="H750" s="3" t="s">
        <v>4196</v>
      </c>
      <c r="K750" s="8" t="s">
        <v>16127</v>
      </c>
      <c r="L750" s="1" t="s">
        <v>44</v>
      </c>
      <c r="M750" s="1" t="s">
        <v>25</v>
      </c>
      <c r="N750" s="16">
        <v>1</v>
      </c>
      <c r="O750" s="17">
        <v>1</v>
      </c>
      <c r="P750" s="3" t="s">
        <v>3772</v>
      </c>
      <c r="Q750" s="20">
        <v>20376</v>
      </c>
      <c r="R750" s="3" t="s">
        <v>3773</v>
      </c>
      <c r="U750" s="3" t="s">
        <v>572</v>
      </c>
      <c r="W750" s="2" t="s">
        <v>145</v>
      </c>
      <c r="AB750" s="2" t="s">
        <v>104</v>
      </c>
      <c r="AE750" s="698"/>
      <c r="AF750" s="655"/>
    </row>
    <row r="751" spans="1:32" ht="12" customHeight="1">
      <c r="A751" s="777" t="s">
        <v>15880</v>
      </c>
      <c r="B751" s="2">
        <v>1</v>
      </c>
      <c r="C751" s="4" t="s">
        <v>3629</v>
      </c>
      <c r="D751" s="1" t="s">
        <v>3775</v>
      </c>
      <c r="E751" s="6">
        <f t="shared" si="11"/>
        <v>60</v>
      </c>
      <c r="F751" s="2" t="s">
        <v>5</v>
      </c>
      <c r="G751" s="5" t="s">
        <v>15273</v>
      </c>
      <c r="H751" s="3" t="s">
        <v>5207</v>
      </c>
      <c r="K751" s="8" t="s">
        <v>16127</v>
      </c>
      <c r="L751" s="1" t="s">
        <v>44</v>
      </c>
      <c r="M751" s="1" t="s">
        <v>25</v>
      </c>
      <c r="N751" s="16">
        <v>1</v>
      </c>
      <c r="O751" s="17">
        <v>1</v>
      </c>
      <c r="P751" s="3" t="s">
        <v>3776</v>
      </c>
      <c r="Q751" s="20">
        <v>19106</v>
      </c>
      <c r="R751" s="3" t="s">
        <v>3777</v>
      </c>
      <c r="T751" s="3" t="s">
        <v>736</v>
      </c>
      <c r="AE751" s="698"/>
      <c r="AF751" s="655"/>
    </row>
    <row r="752" spans="1:32" ht="12" customHeight="1">
      <c r="A752" s="777" t="s">
        <v>15881</v>
      </c>
      <c r="B752" s="2">
        <v>1</v>
      </c>
      <c r="C752" s="4" t="s">
        <v>3640</v>
      </c>
      <c r="D752" s="1" t="s">
        <v>3643</v>
      </c>
      <c r="E752" s="6">
        <f t="shared" si="11"/>
        <v>37</v>
      </c>
      <c r="F752" s="2" t="s">
        <v>5</v>
      </c>
      <c r="G752" s="5" t="s">
        <v>15273</v>
      </c>
      <c r="H752" s="3" t="s">
        <v>3644</v>
      </c>
      <c r="K752" s="8" t="s">
        <v>16127</v>
      </c>
      <c r="L752" s="1" t="s">
        <v>44</v>
      </c>
      <c r="M752" s="1" t="s">
        <v>25</v>
      </c>
      <c r="N752" s="16">
        <v>1</v>
      </c>
      <c r="O752" s="17">
        <v>1</v>
      </c>
      <c r="P752" s="3" t="s">
        <v>255</v>
      </c>
      <c r="Q752" s="20">
        <v>27588</v>
      </c>
      <c r="R752" s="3" t="s">
        <v>3646</v>
      </c>
      <c r="T752" s="3" t="s">
        <v>736</v>
      </c>
      <c r="AE752" s="698"/>
      <c r="AF752" s="655"/>
    </row>
    <row r="753" spans="1:32" ht="12" customHeight="1">
      <c r="A753" s="777" t="s">
        <v>15882</v>
      </c>
      <c r="B753" s="2">
        <v>1</v>
      </c>
      <c r="C753" s="4" t="s">
        <v>3653</v>
      </c>
      <c r="D753" s="1" t="s">
        <v>3656</v>
      </c>
      <c r="E753" s="6">
        <f t="shared" si="11"/>
        <v>53</v>
      </c>
      <c r="F753" s="2" t="s">
        <v>5</v>
      </c>
      <c r="G753" s="5" t="s">
        <v>15273</v>
      </c>
      <c r="H753" s="3" t="s">
        <v>3657</v>
      </c>
      <c r="K753" s="4" t="s">
        <v>16127</v>
      </c>
      <c r="L753" s="1" t="s">
        <v>604</v>
      </c>
      <c r="M753" s="1" t="s">
        <v>25</v>
      </c>
      <c r="N753" s="16">
        <v>4</v>
      </c>
      <c r="O753" s="17">
        <v>4</v>
      </c>
      <c r="P753" s="3" t="s">
        <v>317</v>
      </c>
      <c r="Q753" s="20">
        <v>21665</v>
      </c>
      <c r="R753" s="3" t="s">
        <v>3659</v>
      </c>
      <c r="S753" s="3" t="s">
        <v>3658</v>
      </c>
      <c r="T753" s="3" t="s">
        <v>736</v>
      </c>
      <c r="U753" s="3" t="s">
        <v>104</v>
      </c>
      <c r="AB753" s="2" t="s">
        <v>104</v>
      </c>
      <c r="AE753" s="698"/>
      <c r="AF753" s="655"/>
    </row>
    <row r="754" spans="1:32" ht="12" customHeight="1">
      <c r="A754" s="777" t="s">
        <v>15883</v>
      </c>
      <c r="B754" s="2">
        <v>1</v>
      </c>
      <c r="C754" s="4" t="s">
        <v>3666</v>
      </c>
      <c r="D754" s="1" t="s">
        <v>3669</v>
      </c>
      <c r="E754" s="6">
        <f t="shared" si="11"/>
        <v>58</v>
      </c>
      <c r="F754" s="2" t="s">
        <v>5</v>
      </c>
      <c r="G754" s="5" t="s">
        <v>15273</v>
      </c>
      <c r="H754" s="3" t="s">
        <v>3670</v>
      </c>
      <c r="K754" s="8" t="s">
        <v>16126</v>
      </c>
      <c r="L754" s="1" t="s">
        <v>604</v>
      </c>
      <c r="M754" s="1" t="s">
        <v>25</v>
      </c>
      <c r="N754" s="16">
        <v>3</v>
      </c>
      <c r="O754" s="17">
        <v>3</v>
      </c>
      <c r="P754" s="3" t="s">
        <v>1983</v>
      </c>
      <c r="Q754" s="20">
        <v>20000</v>
      </c>
      <c r="R754" s="3" t="s">
        <v>3672</v>
      </c>
      <c r="S754" s="3" t="s">
        <v>3671</v>
      </c>
      <c r="T754" s="3" t="s">
        <v>736</v>
      </c>
      <c r="U754" s="3" t="s">
        <v>47</v>
      </c>
      <c r="V754" s="2" t="s">
        <v>47</v>
      </c>
      <c r="AE754" s="698"/>
      <c r="AF754" s="655"/>
    </row>
    <row r="755" spans="1:32" ht="12" customHeight="1">
      <c r="A755" s="777" t="s">
        <v>15884</v>
      </c>
      <c r="B755" s="2">
        <v>1</v>
      </c>
      <c r="C755" s="4" t="s">
        <v>3677</v>
      </c>
      <c r="D755" s="1" t="s">
        <v>3680</v>
      </c>
      <c r="E755" s="6">
        <f t="shared" si="11"/>
        <v>52</v>
      </c>
      <c r="F755" s="2" t="s">
        <v>5</v>
      </c>
      <c r="G755" s="5" t="s">
        <v>15273</v>
      </c>
      <c r="H755" s="3" t="s">
        <v>3681</v>
      </c>
      <c r="K755" s="8" t="s">
        <v>16127</v>
      </c>
      <c r="L755" s="1" t="s">
        <v>44</v>
      </c>
      <c r="M755" s="1" t="s">
        <v>25</v>
      </c>
      <c r="N755" s="16">
        <v>3</v>
      </c>
      <c r="O755" s="17">
        <v>3</v>
      </c>
      <c r="P755" s="3" t="s">
        <v>1485</v>
      </c>
      <c r="Q755" s="20">
        <v>22151</v>
      </c>
      <c r="R755" s="3" t="s">
        <v>3682</v>
      </c>
      <c r="S755" s="3" t="s">
        <v>3683</v>
      </c>
      <c r="T755" s="3" t="s">
        <v>736</v>
      </c>
      <c r="AE755" s="698"/>
      <c r="AF755" s="655"/>
    </row>
    <row r="756" spans="1:32" ht="12" customHeight="1">
      <c r="A756" s="777" t="s">
        <v>15885</v>
      </c>
      <c r="B756" s="2">
        <v>1</v>
      </c>
      <c r="C756" s="4" t="s">
        <v>3689</v>
      </c>
      <c r="D756" s="1" t="s">
        <v>3692</v>
      </c>
      <c r="E756" s="6">
        <f t="shared" si="11"/>
        <v>37</v>
      </c>
      <c r="F756" s="2" t="s">
        <v>5</v>
      </c>
      <c r="G756" s="5" t="s">
        <v>15273</v>
      </c>
      <c r="K756" s="8" t="s">
        <v>16127</v>
      </c>
      <c r="L756" s="1" t="s">
        <v>44</v>
      </c>
      <c r="M756" s="1" t="s">
        <v>6</v>
      </c>
      <c r="P756" s="3" t="s">
        <v>3693</v>
      </c>
      <c r="Q756" s="20">
        <v>27577</v>
      </c>
      <c r="R756" s="3" t="s">
        <v>3694</v>
      </c>
      <c r="T756" s="3" t="s">
        <v>736</v>
      </c>
      <c r="AE756" s="698"/>
      <c r="AF756" s="655"/>
    </row>
    <row r="757" spans="1:32" ht="12" customHeight="1">
      <c r="A757" s="777" t="s">
        <v>15886</v>
      </c>
      <c r="B757" s="2">
        <v>1</v>
      </c>
      <c r="C757" s="4" t="s">
        <v>3707</v>
      </c>
      <c r="D757" s="1" t="s">
        <v>3710</v>
      </c>
      <c r="E757" s="6">
        <f t="shared" si="11"/>
        <v>49</v>
      </c>
      <c r="F757" s="2" t="s">
        <v>5</v>
      </c>
      <c r="G757" s="5" t="s">
        <v>15273</v>
      </c>
      <c r="H757" s="3" t="s">
        <v>3711</v>
      </c>
      <c r="K757" s="8" t="s">
        <v>16127</v>
      </c>
      <c r="L757" s="1" t="s">
        <v>44</v>
      </c>
      <c r="M757" s="1" t="s">
        <v>25</v>
      </c>
      <c r="N757" s="16">
        <v>1</v>
      </c>
      <c r="O757" s="17">
        <v>1</v>
      </c>
      <c r="P757" s="3" t="s">
        <v>1282</v>
      </c>
      <c r="Q757" s="20">
        <v>23296</v>
      </c>
      <c r="R757" s="3" t="s">
        <v>3712</v>
      </c>
      <c r="T757" s="3" t="s">
        <v>736</v>
      </c>
      <c r="U757" s="3" t="s">
        <v>145</v>
      </c>
      <c r="W757" s="2" t="s">
        <v>145</v>
      </c>
      <c r="AE757" s="698"/>
      <c r="AF757" s="655"/>
    </row>
    <row r="758" spans="1:32" ht="12" customHeight="1">
      <c r="A758" s="777" t="s">
        <v>15887</v>
      </c>
      <c r="B758" s="2">
        <v>1</v>
      </c>
      <c r="C758" s="4" t="s">
        <v>3718</v>
      </c>
      <c r="D758" s="1" t="s">
        <v>3721</v>
      </c>
      <c r="E758" s="6">
        <f t="shared" si="11"/>
        <v>56</v>
      </c>
      <c r="F758" s="2" t="s">
        <v>5</v>
      </c>
      <c r="G758" s="5" t="s">
        <v>15273</v>
      </c>
      <c r="H758" s="3" t="s">
        <v>3722</v>
      </c>
      <c r="K758" s="4" t="s">
        <v>16127</v>
      </c>
      <c r="L758" s="1" t="s">
        <v>44</v>
      </c>
      <c r="M758" s="1" t="s">
        <v>25</v>
      </c>
      <c r="N758" s="16">
        <v>1</v>
      </c>
      <c r="O758" s="17">
        <v>1</v>
      </c>
      <c r="P758" s="3" t="s">
        <v>450</v>
      </c>
      <c r="Q758" s="20">
        <v>20544</v>
      </c>
      <c r="R758" s="3" t="s">
        <v>3723</v>
      </c>
      <c r="AE758" s="698"/>
      <c r="AF758" s="655"/>
    </row>
    <row r="759" spans="1:32" ht="12" customHeight="1">
      <c r="A759" s="777" t="s">
        <v>15888</v>
      </c>
      <c r="B759" s="2">
        <v>1</v>
      </c>
      <c r="C759" s="4" t="s">
        <v>3729</v>
      </c>
      <c r="D759" s="1" t="s">
        <v>3732</v>
      </c>
      <c r="E759" s="6">
        <f t="shared" si="11"/>
        <v>56</v>
      </c>
      <c r="F759" s="2" t="s">
        <v>5</v>
      </c>
      <c r="G759" s="5" t="s">
        <v>15273</v>
      </c>
      <c r="H759" s="3" t="s">
        <v>3733</v>
      </c>
      <c r="K759" s="8" t="s">
        <v>16126</v>
      </c>
      <c r="L759" s="1" t="s">
        <v>44</v>
      </c>
      <c r="M759" s="1" t="s">
        <v>25</v>
      </c>
      <c r="N759" s="16">
        <v>1</v>
      </c>
      <c r="O759" s="17">
        <v>1</v>
      </c>
      <c r="P759" s="3" t="s">
        <v>317</v>
      </c>
      <c r="Q759" s="20">
        <v>20648</v>
      </c>
      <c r="R759" s="3" t="s">
        <v>3735</v>
      </c>
      <c r="S759" s="3" t="s">
        <v>3736</v>
      </c>
      <c r="T759" s="3" t="s">
        <v>736</v>
      </c>
      <c r="U759" s="3" t="s">
        <v>47</v>
      </c>
      <c r="V759" s="2" t="s">
        <v>47</v>
      </c>
      <c r="AE759" s="698"/>
      <c r="AF759" s="655"/>
    </row>
    <row r="760" spans="1:32" ht="12" customHeight="1" thickBot="1">
      <c r="A760" s="778" t="s">
        <v>15889</v>
      </c>
      <c r="B760" s="702">
        <v>1</v>
      </c>
      <c r="C760" s="700" t="s">
        <v>3743</v>
      </c>
      <c r="D760" s="699" t="s">
        <v>5693</v>
      </c>
      <c r="E760" s="701">
        <f t="shared" si="11"/>
        <v>52</v>
      </c>
      <c r="F760" s="702" t="s">
        <v>5</v>
      </c>
      <c r="G760" s="356" t="s">
        <v>15273</v>
      </c>
      <c r="H760" s="703"/>
      <c r="I760" s="699"/>
      <c r="J760" s="699"/>
      <c r="K760" s="704" t="s">
        <v>16127</v>
      </c>
      <c r="L760" s="699" t="s">
        <v>44</v>
      </c>
      <c r="M760" s="699" t="s">
        <v>6</v>
      </c>
      <c r="N760" s="705"/>
      <c r="O760" s="706"/>
      <c r="P760" s="703" t="s">
        <v>3153</v>
      </c>
      <c r="Q760" s="707">
        <v>22156</v>
      </c>
      <c r="R760" s="703" t="s">
        <v>5855</v>
      </c>
      <c r="S760" s="703"/>
      <c r="T760" s="703"/>
      <c r="U760" s="703" t="s">
        <v>155</v>
      </c>
      <c r="V760" s="702"/>
      <c r="W760" s="702"/>
      <c r="X760" s="702"/>
      <c r="Y760" s="702"/>
      <c r="Z760" s="702" t="s">
        <v>155</v>
      </c>
      <c r="AA760" s="702"/>
      <c r="AB760" s="702"/>
      <c r="AC760" s="702"/>
      <c r="AD760" s="702"/>
      <c r="AE760" s="708"/>
      <c r="AF760" s="655"/>
    </row>
    <row r="761" spans="1:32" ht="12" customHeight="1">
      <c r="A761" s="724" t="s">
        <v>5256</v>
      </c>
      <c r="B761" s="696">
        <v>1</v>
      </c>
      <c r="C761" s="688" t="s">
        <v>3026</v>
      </c>
      <c r="D761" s="687" t="s">
        <v>3034</v>
      </c>
      <c r="E761" s="690">
        <f t="shared" si="11"/>
        <v>40</v>
      </c>
      <c r="F761" s="696" t="s">
        <v>5</v>
      </c>
      <c r="G761" s="687" t="s">
        <v>15273</v>
      </c>
      <c r="H761" s="747"/>
      <c r="I761" s="687"/>
      <c r="J761" s="687"/>
      <c r="K761" s="688" t="s">
        <v>16120</v>
      </c>
      <c r="L761" s="687" t="s">
        <v>30</v>
      </c>
      <c r="M761" s="687" t="s">
        <v>6</v>
      </c>
      <c r="N761" s="748"/>
      <c r="O761" s="749"/>
      <c r="P761" s="747" t="s">
        <v>188</v>
      </c>
      <c r="Q761" s="773">
        <v>26405</v>
      </c>
      <c r="R761" s="747" t="s">
        <v>3035</v>
      </c>
      <c r="S761" s="747"/>
      <c r="T761" s="747" t="s">
        <v>5457</v>
      </c>
      <c r="U761" s="747" t="s">
        <v>145</v>
      </c>
      <c r="V761" s="696"/>
      <c r="W761" s="696" t="s">
        <v>145</v>
      </c>
      <c r="X761" s="696"/>
      <c r="Y761" s="696"/>
      <c r="Z761" s="696"/>
      <c r="AA761" s="696"/>
      <c r="AB761" s="696"/>
      <c r="AC761" s="696"/>
      <c r="AD761" s="696"/>
      <c r="AE761" s="697"/>
      <c r="AF761" s="655"/>
    </row>
    <row r="762" spans="1:32" ht="12" customHeight="1">
      <c r="A762" s="725" t="s">
        <v>5938</v>
      </c>
      <c r="B762" s="2">
        <v>1</v>
      </c>
      <c r="C762" s="4" t="s">
        <v>3041</v>
      </c>
      <c r="D762" s="1" t="s">
        <v>3050</v>
      </c>
      <c r="E762" s="6">
        <f t="shared" si="11"/>
        <v>47</v>
      </c>
      <c r="F762" s="2" t="s">
        <v>5</v>
      </c>
      <c r="G762" s="1" t="s">
        <v>15273</v>
      </c>
      <c r="K762" s="4" t="s">
        <v>16120</v>
      </c>
      <c r="L762" s="1" t="s">
        <v>934</v>
      </c>
      <c r="M762" s="1" t="s">
        <v>14</v>
      </c>
      <c r="N762" s="16">
        <v>1</v>
      </c>
      <c r="O762" s="17">
        <v>1</v>
      </c>
      <c r="P762" s="3" t="s">
        <v>1493</v>
      </c>
      <c r="Q762" s="20">
        <v>23957</v>
      </c>
      <c r="R762" s="3" t="s">
        <v>3053</v>
      </c>
      <c r="T762" s="3" t="s">
        <v>5457</v>
      </c>
      <c r="U762" s="3" t="s">
        <v>47</v>
      </c>
      <c r="V762" s="2" t="s">
        <v>47</v>
      </c>
      <c r="AE762" s="698"/>
      <c r="AF762" s="655"/>
    </row>
    <row r="763" spans="1:32" ht="12" customHeight="1">
      <c r="A763" s="725" t="s">
        <v>6099</v>
      </c>
      <c r="B763" s="2">
        <v>1</v>
      </c>
      <c r="C763" s="4" t="s">
        <v>3060</v>
      </c>
      <c r="D763" s="1" t="s">
        <v>3067</v>
      </c>
      <c r="E763" s="6">
        <f t="shared" si="11"/>
        <v>40</v>
      </c>
      <c r="F763" s="2" t="s">
        <v>5</v>
      </c>
      <c r="G763" s="1" t="s">
        <v>15273</v>
      </c>
      <c r="K763" s="8" t="s">
        <v>16120</v>
      </c>
      <c r="L763" s="1" t="s">
        <v>30</v>
      </c>
      <c r="M763" s="1" t="s">
        <v>6</v>
      </c>
      <c r="P763" s="3" t="s">
        <v>31</v>
      </c>
      <c r="Q763" s="20">
        <v>26319</v>
      </c>
      <c r="R763" s="3" t="s">
        <v>3068</v>
      </c>
      <c r="T763" s="3" t="s">
        <v>5457</v>
      </c>
      <c r="AE763" s="698"/>
      <c r="AF763" s="655"/>
    </row>
    <row r="764" spans="1:32" ht="12" customHeight="1">
      <c r="A764" s="725" t="s">
        <v>15461</v>
      </c>
      <c r="B764" s="2">
        <v>1</v>
      </c>
      <c r="C764" s="4" t="s">
        <v>3074</v>
      </c>
      <c r="D764" s="1" t="s">
        <v>3083</v>
      </c>
      <c r="E764" s="6">
        <f t="shared" si="11"/>
        <v>33</v>
      </c>
      <c r="F764" s="2" t="s">
        <v>5</v>
      </c>
      <c r="G764" s="1" t="s">
        <v>15273</v>
      </c>
      <c r="K764" s="23" t="s">
        <v>16120</v>
      </c>
      <c r="L764" s="1" t="s">
        <v>30</v>
      </c>
      <c r="M764" s="1" t="s">
        <v>6</v>
      </c>
      <c r="P764" s="3" t="s">
        <v>1282</v>
      </c>
      <c r="Q764" s="20">
        <v>29000</v>
      </c>
      <c r="R764" s="3" t="s">
        <v>3085</v>
      </c>
      <c r="T764" s="3" t="s">
        <v>5457</v>
      </c>
      <c r="AE764" s="698"/>
      <c r="AF764" s="655"/>
    </row>
    <row r="765" spans="1:32" ht="12" customHeight="1">
      <c r="A765" s="725" t="s">
        <v>15462</v>
      </c>
      <c r="B765" s="2">
        <v>1</v>
      </c>
      <c r="C765" s="4" t="s">
        <v>3118</v>
      </c>
      <c r="D765" s="1" t="s">
        <v>3124</v>
      </c>
      <c r="E765" s="6">
        <f t="shared" si="11"/>
        <v>50</v>
      </c>
      <c r="F765" s="2" t="s">
        <v>5</v>
      </c>
      <c r="G765" s="1" t="s">
        <v>15273</v>
      </c>
      <c r="K765" s="8" t="s">
        <v>16120</v>
      </c>
      <c r="L765" s="1" t="s">
        <v>30</v>
      </c>
      <c r="M765" s="1" t="s">
        <v>6</v>
      </c>
      <c r="P765" s="3" t="s">
        <v>2085</v>
      </c>
      <c r="Q765" s="20">
        <v>22864</v>
      </c>
      <c r="R765" s="3" t="s">
        <v>3125</v>
      </c>
      <c r="AE765" s="698"/>
      <c r="AF765" s="655"/>
    </row>
    <row r="766" spans="1:32" ht="12" customHeight="1">
      <c r="A766" s="725" t="s">
        <v>15463</v>
      </c>
      <c r="B766" s="2">
        <v>1</v>
      </c>
      <c r="C766" s="4" t="s">
        <v>3129</v>
      </c>
      <c r="D766" s="1" t="s">
        <v>3136</v>
      </c>
      <c r="E766" s="6">
        <f t="shared" si="11"/>
        <v>31</v>
      </c>
      <c r="F766" s="2" t="s">
        <v>5</v>
      </c>
      <c r="G766" s="1" t="s">
        <v>15273</v>
      </c>
      <c r="K766" s="4" t="s">
        <v>16120</v>
      </c>
      <c r="L766" s="1" t="s">
        <v>30</v>
      </c>
      <c r="M766" s="1" t="s">
        <v>6</v>
      </c>
      <c r="P766" s="3" t="s">
        <v>188</v>
      </c>
      <c r="Q766" s="20">
        <v>29603</v>
      </c>
      <c r="R766" s="3" t="s">
        <v>3137</v>
      </c>
      <c r="AE766" s="698"/>
      <c r="AF766" s="655"/>
    </row>
    <row r="767" spans="1:32" ht="12" customHeight="1">
      <c r="A767" s="725" t="s">
        <v>15464</v>
      </c>
      <c r="B767" s="2">
        <v>1</v>
      </c>
      <c r="C767" s="4" t="s">
        <v>3142</v>
      </c>
      <c r="D767" s="1" t="s">
        <v>3152</v>
      </c>
      <c r="E767" s="6">
        <f t="shared" si="11"/>
        <v>42</v>
      </c>
      <c r="F767" s="2" t="s">
        <v>5</v>
      </c>
      <c r="G767" s="1" t="s">
        <v>15273</v>
      </c>
      <c r="K767" s="4" t="s">
        <v>16120</v>
      </c>
      <c r="L767" s="1" t="s">
        <v>30</v>
      </c>
      <c r="M767" s="1" t="s">
        <v>6</v>
      </c>
      <c r="P767" s="3" t="s">
        <v>3153</v>
      </c>
      <c r="Q767" s="20">
        <v>25760</v>
      </c>
      <c r="R767" s="3" t="s">
        <v>3154</v>
      </c>
      <c r="T767" s="3" t="s">
        <v>5457</v>
      </c>
      <c r="U767" s="3" t="s">
        <v>145</v>
      </c>
      <c r="W767" s="2" t="s">
        <v>145</v>
      </c>
      <c r="AE767" s="698"/>
      <c r="AF767" s="655"/>
    </row>
    <row r="768" spans="1:32" ht="12" customHeight="1">
      <c r="A768" s="725" t="s">
        <v>15465</v>
      </c>
      <c r="B768" s="2">
        <v>1</v>
      </c>
      <c r="C768" s="4" t="s">
        <v>3173</v>
      </c>
      <c r="D768" s="1" t="s">
        <v>3177</v>
      </c>
      <c r="E768" s="6">
        <f t="shared" si="11"/>
        <v>67</v>
      </c>
      <c r="F768" s="2" t="s">
        <v>5</v>
      </c>
      <c r="G768" s="1" t="s">
        <v>15273</v>
      </c>
      <c r="H768" s="3" t="s">
        <v>3178</v>
      </c>
      <c r="K768" s="8" t="s">
        <v>16120</v>
      </c>
      <c r="L768" s="1" t="s">
        <v>30</v>
      </c>
      <c r="M768" s="1" t="s">
        <v>25</v>
      </c>
      <c r="N768" s="16">
        <v>10</v>
      </c>
      <c r="O768" s="17">
        <v>10</v>
      </c>
      <c r="P768" s="3" t="s">
        <v>317</v>
      </c>
      <c r="Q768" s="20">
        <v>16503</v>
      </c>
      <c r="R768" s="3" t="s">
        <v>727</v>
      </c>
      <c r="S768" s="3" t="s">
        <v>3180</v>
      </c>
      <c r="T768" s="3" t="s">
        <v>5457</v>
      </c>
      <c r="U768" s="3" t="s">
        <v>3181</v>
      </c>
      <c r="AB768" s="2" t="s">
        <v>104</v>
      </c>
      <c r="AC768" s="2" t="s">
        <v>147</v>
      </c>
      <c r="AE768" s="698"/>
      <c r="AF768" s="655"/>
    </row>
    <row r="769" spans="1:32" ht="12" customHeight="1">
      <c r="A769" s="725" t="s">
        <v>15466</v>
      </c>
      <c r="B769" s="2">
        <v>1</v>
      </c>
      <c r="C769" s="4" t="s">
        <v>3187</v>
      </c>
      <c r="D769" s="1" t="s">
        <v>3192</v>
      </c>
      <c r="E769" s="6">
        <f t="shared" si="11"/>
        <v>47</v>
      </c>
      <c r="F769" s="2" t="s">
        <v>5</v>
      </c>
      <c r="G769" s="1" t="s">
        <v>15273</v>
      </c>
      <c r="K769" s="23" t="s">
        <v>16120</v>
      </c>
      <c r="L769" s="1" t="s">
        <v>30</v>
      </c>
      <c r="M769" s="1" t="s">
        <v>6</v>
      </c>
      <c r="P769" s="3" t="s">
        <v>31</v>
      </c>
      <c r="Q769" s="20">
        <v>23829</v>
      </c>
      <c r="R769" s="3" t="s">
        <v>3193</v>
      </c>
      <c r="AE769" s="698"/>
      <c r="AF769" s="655"/>
    </row>
    <row r="770" spans="1:32" ht="12" customHeight="1">
      <c r="A770" s="725" t="s">
        <v>15467</v>
      </c>
      <c r="B770" s="2">
        <v>1</v>
      </c>
      <c r="C770" s="4" t="s">
        <v>3200</v>
      </c>
      <c r="D770" s="1" t="s">
        <v>3208</v>
      </c>
      <c r="E770" s="6">
        <f t="shared" ref="E770:E833" si="12">DATEDIF(Q770,$Q$1119,"Y")</f>
        <v>45</v>
      </c>
      <c r="F770" s="2" t="s">
        <v>5</v>
      </c>
      <c r="G770" s="1" t="s">
        <v>15273</v>
      </c>
      <c r="K770" s="8" t="s">
        <v>16120</v>
      </c>
      <c r="L770" s="1" t="s">
        <v>30</v>
      </c>
      <c r="M770" s="1" t="s">
        <v>6</v>
      </c>
      <c r="P770" s="3" t="s">
        <v>3209</v>
      </c>
      <c r="Q770" s="20">
        <v>24668</v>
      </c>
      <c r="R770" s="3" t="s">
        <v>3210</v>
      </c>
      <c r="U770" s="3" t="s">
        <v>145</v>
      </c>
      <c r="W770" s="2" t="s">
        <v>145</v>
      </c>
      <c r="AE770" s="698"/>
      <c r="AF770" s="655"/>
    </row>
    <row r="771" spans="1:32" ht="12" customHeight="1">
      <c r="A771" s="725" t="s">
        <v>15468</v>
      </c>
      <c r="B771" s="2">
        <v>1</v>
      </c>
      <c r="C771" s="4" t="s">
        <v>3226</v>
      </c>
      <c r="D771" s="1" t="s">
        <v>3230</v>
      </c>
      <c r="E771" s="6">
        <f t="shared" si="12"/>
        <v>61</v>
      </c>
      <c r="F771" s="2" t="s">
        <v>5</v>
      </c>
      <c r="G771" s="1" t="s">
        <v>15273</v>
      </c>
      <c r="K771" s="4" t="s">
        <v>16120</v>
      </c>
      <c r="L771" s="1" t="s">
        <v>476</v>
      </c>
      <c r="M771" s="1" t="s">
        <v>14</v>
      </c>
      <c r="N771" s="16">
        <v>2</v>
      </c>
      <c r="O771" s="17">
        <v>2</v>
      </c>
      <c r="P771" s="3" t="s">
        <v>2394</v>
      </c>
      <c r="Q771" s="20">
        <v>18821</v>
      </c>
      <c r="R771" s="3" t="s">
        <v>3232</v>
      </c>
      <c r="T771" s="3" t="s">
        <v>5457</v>
      </c>
      <c r="U771" s="3" t="s">
        <v>104</v>
      </c>
      <c r="AB771" s="2" t="s">
        <v>104</v>
      </c>
      <c r="AE771" s="698"/>
      <c r="AF771" s="655"/>
    </row>
    <row r="772" spans="1:32" ht="12" customHeight="1">
      <c r="A772" s="725" t="s">
        <v>15469</v>
      </c>
      <c r="B772" s="2">
        <v>1</v>
      </c>
      <c r="C772" s="4" t="s">
        <v>3259</v>
      </c>
      <c r="D772" s="1" t="s">
        <v>3268</v>
      </c>
      <c r="E772" s="6">
        <f t="shared" si="12"/>
        <v>42</v>
      </c>
      <c r="F772" s="2" t="s">
        <v>5</v>
      </c>
      <c r="G772" s="1" t="s">
        <v>15273</v>
      </c>
      <c r="K772" s="4" t="s">
        <v>16120</v>
      </c>
      <c r="L772" s="1" t="s">
        <v>48</v>
      </c>
      <c r="M772" s="1" t="s">
        <v>14</v>
      </c>
      <c r="N772" s="16">
        <v>2</v>
      </c>
      <c r="O772" s="17">
        <v>2</v>
      </c>
      <c r="P772" s="3" t="s">
        <v>245</v>
      </c>
      <c r="Q772" s="20">
        <v>25855</v>
      </c>
      <c r="R772" s="3" t="s">
        <v>3269</v>
      </c>
      <c r="S772" s="3" t="s">
        <v>304</v>
      </c>
      <c r="T772" s="3" t="s">
        <v>5457</v>
      </c>
      <c r="U772" s="3" t="s">
        <v>104</v>
      </c>
      <c r="AB772" s="2" t="s">
        <v>104</v>
      </c>
      <c r="AE772" s="698"/>
      <c r="AF772" s="655"/>
    </row>
    <row r="773" spans="1:32" ht="12" customHeight="1">
      <c r="A773" s="725" t="s">
        <v>15470</v>
      </c>
      <c r="B773" s="2">
        <v>1</v>
      </c>
      <c r="C773" s="4" t="s">
        <v>3300</v>
      </c>
      <c r="D773" s="1" t="s">
        <v>3309</v>
      </c>
      <c r="E773" s="6">
        <f t="shared" si="12"/>
        <v>50</v>
      </c>
      <c r="F773" s="2" t="s">
        <v>19</v>
      </c>
      <c r="G773" s="1" t="s">
        <v>15273</v>
      </c>
      <c r="K773" s="8" t="s">
        <v>16120</v>
      </c>
      <c r="L773" s="1" t="s">
        <v>13</v>
      </c>
      <c r="M773" s="1" t="s">
        <v>14</v>
      </c>
      <c r="N773" s="16">
        <v>1</v>
      </c>
      <c r="O773" s="17">
        <v>1</v>
      </c>
      <c r="P773" s="3" t="s">
        <v>3310</v>
      </c>
      <c r="Q773" s="20">
        <v>22843</v>
      </c>
      <c r="R773" s="3" t="s">
        <v>3311</v>
      </c>
      <c r="T773" s="3" t="s">
        <v>5457</v>
      </c>
      <c r="U773" s="3" t="s">
        <v>145</v>
      </c>
      <c r="W773" s="2" t="s">
        <v>145</v>
      </c>
      <c r="AE773" s="698"/>
      <c r="AF773" s="655"/>
    </row>
    <row r="774" spans="1:32" ht="12" customHeight="1">
      <c r="A774" s="725" t="s">
        <v>15471</v>
      </c>
      <c r="B774" s="2">
        <v>1</v>
      </c>
      <c r="C774" s="4" t="s">
        <v>3317</v>
      </c>
      <c r="D774" s="1" t="s">
        <v>3321</v>
      </c>
      <c r="E774" s="6">
        <f t="shared" si="12"/>
        <v>48</v>
      </c>
      <c r="F774" s="2" t="s">
        <v>5</v>
      </c>
      <c r="G774" s="1" t="s">
        <v>15273</v>
      </c>
      <c r="K774" s="23" t="s">
        <v>16120</v>
      </c>
      <c r="L774" s="1" t="s">
        <v>13</v>
      </c>
      <c r="M774" s="1" t="s">
        <v>14</v>
      </c>
      <c r="N774" s="16">
        <v>1</v>
      </c>
      <c r="O774" s="17">
        <v>1</v>
      </c>
      <c r="P774" s="3" t="s">
        <v>3322</v>
      </c>
      <c r="Q774" s="20">
        <v>23631</v>
      </c>
      <c r="R774" s="3" t="s">
        <v>3323</v>
      </c>
      <c r="T774" s="3" t="s">
        <v>5457</v>
      </c>
      <c r="AE774" s="698"/>
      <c r="AF774" s="655"/>
    </row>
    <row r="775" spans="1:32" ht="12" customHeight="1">
      <c r="A775" s="725" t="s">
        <v>15472</v>
      </c>
      <c r="B775" s="2">
        <v>1</v>
      </c>
      <c r="C775" s="4" t="s">
        <v>3328</v>
      </c>
      <c r="D775" s="1" t="s">
        <v>3336</v>
      </c>
      <c r="E775" s="6">
        <f t="shared" si="12"/>
        <v>64</v>
      </c>
      <c r="F775" s="2" t="s">
        <v>5</v>
      </c>
      <c r="G775" s="1" t="s">
        <v>15273</v>
      </c>
      <c r="K775" s="8" t="s">
        <v>16120</v>
      </c>
      <c r="L775" s="1" t="s">
        <v>13</v>
      </c>
      <c r="M775" s="1" t="s">
        <v>14</v>
      </c>
      <c r="N775" s="16">
        <v>1</v>
      </c>
      <c r="O775" s="17">
        <v>1</v>
      </c>
      <c r="P775" s="3" t="s">
        <v>172</v>
      </c>
      <c r="Q775" s="20">
        <v>17693</v>
      </c>
      <c r="R775" s="3" t="s">
        <v>3338</v>
      </c>
      <c r="T775" s="3" t="s">
        <v>5457</v>
      </c>
      <c r="U775" s="3" t="s">
        <v>572</v>
      </c>
      <c r="W775" s="2" t="s">
        <v>145</v>
      </c>
      <c r="AB775" s="2" t="s">
        <v>104</v>
      </c>
      <c r="AE775" s="698"/>
      <c r="AF775" s="655"/>
    </row>
    <row r="776" spans="1:32" ht="12" customHeight="1">
      <c r="A776" s="725" t="s">
        <v>15473</v>
      </c>
      <c r="B776" s="2">
        <v>1</v>
      </c>
      <c r="C776" s="4" t="s">
        <v>3346</v>
      </c>
      <c r="D776" s="1" t="s">
        <v>4635</v>
      </c>
      <c r="E776" s="6">
        <f t="shared" si="12"/>
        <v>43</v>
      </c>
      <c r="F776" s="2" t="s">
        <v>5</v>
      </c>
      <c r="G776" s="1" t="s">
        <v>15273</v>
      </c>
      <c r="K776" s="4" t="s">
        <v>16120</v>
      </c>
      <c r="L776" s="1" t="s">
        <v>30</v>
      </c>
      <c r="M776" s="1" t="s">
        <v>6</v>
      </c>
      <c r="P776" s="3" t="s">
        <v>5836</v>
      </c>
      <c r="Q776" s="20">
        <v>25438</v>
      </c>
      <c r="R776" s="3" t="s">
        <v>5837</v>
      </c>
      <c r="AE776" s="698"/>
      <c r="AF776" s="655"/>
    </row>
    <row r="777" spans="1:32" ht="12" customHeight="1">
      <c r="A777" s="725" t="s">
        <v>15474</v>
      </c>
      <c r="B777" s="2">
        <v>1</v>
      </c>
      <c r="C777" s="4" t="s">
        <v>3363</v>
      </c>
      <c r="D777" s="1" t="s">
        <v>3370</v>
      </c>
      <c r="E777" s="6">
        <f t="shared" si="12"/>
        <v>66</v>
      </c>
      <c r="F777" s="2" t="s">
        <v>19</v>
      </c>
      <c r="G777" s="1" t="s">
        <v>15273</v>
      </c>
      <c r="K777" s="4" t="s">
        <v>16120</v>
      </c>
      <c r="L777" s="1" t="s">
        <v>65</v>
      </c>
      <c r="M777" s="1" t="s">
        <v>14</v>
      </c>
      <c r="N777" s="16">
        <v>1</v>
      </c>
      <c r="O777" s="17">
        <v>1</v>
      </c>
      <c r="P777" s="3" t="s">
        <v>3371</v>
      </c>
      <c r="Q777" s="20">
        <v>16844</v>
      </c>
      <c r="R777" s="3" t="s">
        <v>3372</v>
      </c>
      <c r="AE777" s="698"/>
      <c r="AF777" s="655"/>
    </row>
    <row r="778" spans="1:32" ht="12" customHeight="1">
      <c r="A778" s="725" t="s">
        <v>15475</v>
      </c>
      <c r="B778" s="2">
        <v>1</v>
      </c>
      <c r="C778" s="4" t="s">
        <v>3377</v>
      </c>
      <c r="D778" s="1" t="s">
        <v>3384</v>
      </c>
      <c r="E778" s="6">
        <f t="shared" si="12"/>
        <v>61</v>
      </c>
      <c r="F778" s="2" t="s">
        <v>5</v>
      </c>
      <c r="G778" s="1" t="s">
        <v>15273</v>
      </c>
      <c r="K778" s="8" t="s">
        <v>16120</v>
      </c>
      <c r="L778" s="1" t="s">
        <v>475</v>
      </c>
      <c r="M778" s="1" t="s">
        <v>14</v>
      </c>
      <c r="N778" s="16">
        <v>3</v>
      </c>
      <c r="O778" s="17">
        <v>3</v>
      </c>
      <c r="P778" s="3" t="s">
        <v>675</v>
      </c>
      <c r="Q778" s="20">
        <v>18940</v>
      </c>
      <c r="R778" s="3" t="s">
        <v>3385</v>
      </c>
      <c r="S778" s="3" t="s">
        <v>3335</v>
      </c>
      <c r="T778" s="3" t="s">
        <v>5457</v>
      </c>
      <c r="U778" s="3" t="s">
        <v>104</v>
      </c>
      <c r="AB778" s="2" t="s">
        <v>104</v>
      </c>
      <c r="AE778" s="698"/>
      <c r="AF778" s="655"/>
    </row>
    <row r="779" spans="1:32" ht="12" customHeight="1">
      <c r="A779" s="725" t="s">
        <v>15476</v>
      </c>
      <c r="B779" s="2">
        <v>1</v>
      </c>
      <c r="C779" s="4" t="s">
        <v>3390</v>
      </c>
      <c r="D779" s="1" t="s">
        <v>5576</v>
      </c>
      <c r="E779" s="6">
        <f t="shared" si="12"/>
        <v>35</v>
      </c>
      <c r="F779" s="2" t="s">
        <v>5</v>
      </c>
      <c r="G779" s="1" t="s">
        <v>15273</v>
      </c>
      <c r="K779" s="23" t="s">
        <v>16120</v>
      </c>
      <c r="L779" s="1" t="s">
        <v>30</v>
      </c>
      <c r="M779" s="1" t="s">
        <v>6</v>
      </c>
      <c r="P779" s="3" t="s">
        <v>3776</v>
      </c>
      <c r="Q779" s="20">
        <v>28410</v>
      </c>
      <c r="R779" s="3" t="s">
        <v>5577</v>
      </c>
      <c r="U779" s="3" t="s">
        <v>145</v>
      </c>
      <c r="W779" s="2" t="s">
        <v>145</v>
      </c>
      <c r="AE779" s="698"/>
      <c r="AF779" s="655"/>
    </row>
    <row r="780" spans="1:32" ht="12" customHeight="1">
      <c r="A780" s="725" t="s">
        <v>15477</v>
      </c>
      <c r="B780" s="2">
        <v>1</v>
      </c>
      <c r="C780" s="4" t="s">
        <v>3418</v>
      </c>
      <c r="D780" s="1" t="s">
        <v>3421</v>
      </c>
      <c r="E780" s="6">
        <f t="shared" si="12"/>
        <v>72</v>
      </c>
      <c r="F780" s="2" t="s">
        <v>5</v>
      </c>
      <c r="G780" s="1" t="s">
        <v>15273</v>
      </c>
      <c r="H780" s="3" t="s">
        <v>3422</v>
      </c>
      <c r="K780" s="8" t="s">
        <v>16120</v>
      </c>
      <c r="L780" s="1" t="s">
        <v>476</v>
      </c>
      <c r="M780" s="1" t="s">
        <v>25</v>
      </c>
      <c r="N780" s="16">
        <v>5</v>
      </c>
      <c r="O780" s="17">
        <v>5</v>
      </c>
      <c r="P780" s="3" t="s">
        <v>3424</v>
      </c>
      <c r="Q780" s="20">
        <v>14938</v>
      </c>
      <c r="R780" s="3" t="s">
        <v>3425</v>
      </c>
      <c r="S780" s="3" t="s">
        <v>3426</v>
      </c>
      <c r="T780" s="3" t="s">
        <v>5457</v>
      </c>
      <c r="U780" s="3" t="s">
        <v>47</v>
      </c>
      <c r="V780" s="2" t="s">
        <v>47</v>
      </c>
      <c r="AE780" s="698"/>
      <c r="AF780" s="655"/>
    </row>
    <row r="781" spans="1:32" ht="12" customHeight="1">
      <c r="A781" s="725" t="s">
        <v>15478</v>
      </c>
      <c r="B781" s="2">
        <v>1</v>
      </c>
      <c r="C781" s="4" t="s">
        <v>3465</v>
      </c>
      <c r="D781" s="1" t="s">
        <v>3476</v>
      </c>
      <c r="E781" s="6">
        <f t="shared" si="12"/>
        <v>63</v>
      </c>
      <c r="F781" s="2" t="s">
        <v>5</v>
      </c>
      <c r="G781" s="1" t="s">
        <v>15273</v>
      </c>
      <c r="K781" s="4" t="s">
        <v>16120</v>
      </c>
      <c r="L781" s="1" t="s">
        <v>30</v>
      </c>
      <c r="M781" s="1" t="s">
        <v>6</v>
      </c>
      <c r="P781" s="3" t="s">
        <v>3477</v>
      </c>
      <c r="Q781" s="20">
        <v>18000</v>
      </c>
      <c r="R781" s="3" t="s">
        <v>3478</v>
      </c>
      <c r="T781" s="3" t="s">
        <v>5457</v>
      </c>
      <c r="U781" s="3" t="s">
        <v>371</v>
      </c>
      <c r="W781" s="2" t="s">
        <v>145</v>
      </c>
      <c r="X781" s="2" t="s">
        <v>75</v>
      </c>
      <c r="AE781" s="698"/>
      <c r="AF781" s="655"/>
    </row>
    <row r="782" spans="1:32" ht="12" customHeight="1">
      <c r="A782" s="725" t="s">
        <v>15479</v>
      </c>
      <c r="B782" s="2">
        <v>1</v>
      </c>
      <c r="C782" s="4" t="s">
        <v>3485</v>
      </c>
      <c r="D782" s="1" t="s">
        <v>3493</v>
      </c>
      <c r="E782" s="6">
        <f t="shared" si="12"/>
        <v>36</v>
      </c>
      <c r="F782" s="2" t="s">
        <v>5</v>
      </c>
      <c r="G782" s="1" t="s">
        <v>15273</v>
      </c>
      <c r="K782" s="4" t="s">
        <v>16120</v>
      </c>
      <c r="L782" s="1" t="s">
        <v>48</v>
      </c>
      <c r="M782" s="1" t="s">
        <v>6</v>
      </c>
      <c r="P782" s="3" t="s">
        <v>3009</v>
      </c>
      <c r="Q782" s="20">
        <v>27877</v>
      </c>
      <c r="R782" s="3" t="s">
        <v>3495</v>
      </c>
      <c r="T782" s="3" t="s">
        <v>5457</v>
      </c>
      <c r="U782" s="3" t="s">
        <v>3496</v>
      </c>
      <c r="AA782" s="2" t="s">
        <v>85</v>
      </c>
      <c r="AB782" s="2" t="s">
        <v>1746</v>
      </c>
      <c r="AE782" s="698"/>
      <c r="AF782" s="655"/>
    </row>
    <row r="783" spans="1:32" ht="12" customHeight="1">
      <c r="A783" s="725" t="s">
        <v>15480</v>
      </c>
      <c r="B783" s="2">
        <v>1</v>
      </c>
      <c r="C783" s="4" t="s">
        <v>3505</v>
      </c>
      <c r="D783" s="1" t="s">
        <v>3514</v>
      </c>
      <c r="E783" s="6">
        <f t="shared" si="12"/>
        <v>59</v>
      </c>
      <c r="F783" s="2" t="s">
        <v>5</v>
      </c>
      <c r="G783" s="1" t="s">
        <v>15273</v>
      </c>
      <c r="K783" s="8" t="s">
        <v>16120</v>
      </c>
      <c r="L783" s="1" t="s">
        <v>476</v>
      </c>
      <c r="M783" s="1" t="s">
        <v>14</v>
      </c>
      <c r="N783" s="16">
        <v>1</v>
      </c>
      <c r="O783" s="17">
        <v>1</v>
      </c>
      <c r="P783" s="3" t="s">
        <v>317</v>
      </c>
      <c r="Q783" s="20">
        <v>19707</v>
      </c>
      <c r="R783" s="3" t="s">
        <v>3515</v>
      </c>
      <c r="T783" s="3" t="s">
        <v>5457</v>
      </c>
      <c r="U783" s="3" t="s">
        <v>47</v>
      </c>
      <c r="V783" s="2" t="s">
        <v>47</v>
      </c>
      <c r="AE783" s="698"/>
      <c r="AF783" s="655"/>
    </row>
    <row r="784" spans="1:32" ht="12" customHeight="1">
      <c r="A784" s="725" t="s">
        <v>15481</v>
      </c>
      <c r="B784" s="2">
        <v>1</v>
      </c>
      <c r="C784" s="4" t="s">
        <v>3535</v>
      </c>
      <c r="D784" s="1" t="s">
        <v>3541</v>
      </c>
      <c r="E784" s="6">
        <f t="shared" si="12"/>
        <v>47</v>
      </c>
      <c r="F784" s="2" t="s">
        <v>5</v>
      </c>
      <c r="G784" s="1" t="s">
        <v>15273</v>
      </c>
      <c r="K784" s="23" t="s">
        <v>16120</v>
      </c>
      <c r="L784" s="1" t="s">
        <v>48</v>
      </c>
      <c r="M784" s="1" t="s">
        <v>14</v>
      </c>
      <c r="N784" s="16">
        <v>1</v>
      </c>
      <c r="O784" s="17">
        <v>1</v>
      </c>
      <c r="P784" s="3" t="s">
        <v>3539</v>
      </c>
      <c r="Q784" s="20">
        <v>23900</v>
      </c>
      <c r="R784" s="3" t="s">
        <v>3542</v>
      </c>
      <c r="T784" s="3" t="s">
        <v>5457</v>
      </c>
      <c r="AE784" s="698"/>
      <c r="AF784" s="655"/>
    </row>
    <row r="785" spans="1:32" ht="12" customHeight="1">
      <c r="A785" s="725" t="s">
        <v>15482</v>
      </c>
      <c r="B785" s="2">
        <v>1</v>
      </c>
      <c r="C785" s="4" t="s">
        <v>3547</v>
      </c>
      <c r="D785" s="1" t="s">
        <v>3554</v>
      </c>
      <c r="E785" s="6">
        <f t="shared" si="12"/>
        <v>41</v>
      </c>
      <c r="F785" s="2" t="s">
        <v>5</v>
      </c>
      <c r="G785" s="1" t="s">
        <v>15273</v>
      </c>
      <c r="K785" s="8" t="s">
        <v>16120</v>
      </c>
      <c r="L785" s="1" t="s">
        <v>30</v>
      </c>
      <c r="M785" s="1" t="s">
        <v>6</v>
      </c>
      <c r="P785" s="3" t="s">
        <v>317</v>
      </c>
      <c r="Q785" s="20">
        <v>26187</v>
      </c>
      <c r="R785" s="3" t="s">
        <v>3555</v>
      </c>
      <c r="T785" s="3" t="s">
        <v>5457</v>
      </c>
      <c r="U785" s="3" t="s">
        <v>47</v>
      </c>
      <c r="V785" s="2" t="s">
        <v>47</v>
      </c>
      <c r="AE785" s="698"/>
      <c r="AF785" s="655"/>
    </row>
    <row r="786" spans="1:32" ht="12" customHeight="1">
      <c r="A786" s="725" t="s">
        <v>15483</v>
      </c>
      <c r="B786" s="2">
        <v>1</v>
      </c>
      <c r="C786" s="4" t="s">
        <v>3564</v>
      </c>
      <c r="D786" s="1" t="s">
        <v>3572</v>
      </c>
      <c r="E786" s="6">
        <f t="shared" si="12"/>
        <v>60</v>
      </c>
      <c r="F786" s="2" t="s">
        <v>5</v>
      </c>
      <c r="G786" s="1" t="s">
        <v>15273</v>
      </c>
      <c r="H786" s="3" t="s">
        <v>3573</v>
      </c>
      <c r="K786" s="4" t="s">
        <v>16120</v>
      </c>
      <c r="L786" s="1" t="s">
        <v>65</v>
      </c>
      <c r="M786" s="1" t="s">
        <v>25</v>
      </c>
      <c r="N786" s="16">
        <v>3</v>
      </c>
      <c r="O786" s="17">
        <v>3</v>
      </c>
      <c r="P786" s="3" t="s">
        <v>557</v>
      </c>
      <c r="Q786" s="20">
        <v>19021</v>
      </c>
      <c r="R786" s="3" t="s">
        <v>3575</v>
      </c>
      <c r="S786" s="3" t="s">
        <v>809</v>
      </c>
      <c r="T786" s="3" t="s">
        <v>5457</v>
      </c>
      <c r="U786" s="3" t="s">
        <v>104</v>
      </c>
      <c r="AB786" s="2" t="s">
        <v>104</v>
      </c>
      <c r="AE786" s="698"/>
      <c r="AF786" s="655"/>
    </row>
    <row r="787" spans="1:32" ht="12" customHeight="1">
      <c r="A787" s="725" t="s">
        <v>15484</v>
      </c>
      <c r="B787" s="2">
        <v>1</v>
      </c>
      <c r="C787" s="4" t="s">
        <v>3582</v>
      </c>
      <c r="D787" s="1" t="s">
        <v>3589</v>
      </c>
      <c r="E787" s="6">
        <f t="shared" si="12"/>
        <v>46</v>
      </c>
      <c r="F787" s="2" t="s">
        <v>5</v>
      </c>
      <c r="G787" s="1" t="s">
        <v>15273</v>
      </c>
      <c r="K787" s="4" t="s">
        <v>16120</v>
      </c>
      <c r="L787" s="1" t="s">
        <v>30</v>
      </c>
      <c r="M787" s="1" t="s">
        <v>6</v>
      </c>
      <c r="P787" s="3" t="s">
        <v>3590</v>
      </c>
      <c r="Q787" s="20">
        <v>24127</v>
      </c>
      <c r="R787" s="3" t="s">
        <v>3591</v>
      </c>
      <c r="T787" s="3" t="s">
        <v>5457</v>
      </c>
      <c r="U787" s="3" t="s">
        <v>146</v>
      </c>
      <c r="AD787" s="2" t="s">
        <v>146</v>
      </c>
      <c r="AE787" s="698"/>
      <c r="AF787" s="655"/>
    </row>
    <row r="788" spans="1:32" ht="12" customHeight="1">
      <c r="A788" s="725" t="s">
        <v>15485</v>
      </c>
      <c r="B788" s="2">
        <v>1</v>
      </c>
      <c r="C788" s="4" t="s">
        <v>3599</v>
      </c>
      <c r="D788" s="1" t="s">
        <v>3606</v>
      </c>
      <c r="E788" s="6">
        <f t="shared" si="12"/>
        <v>46</v>
      </c>
      <c r="F788" s="2" t="s">
        <v>5</v>
      </c>
      <c r="G788" s="1" t="s">
        <v>15273</v>
      </c>
      <c r="K788" s="8" t="s">
        <v>16120</v>
      </c>
      <c r="L788" s="1" t="s">
        <v>445</v>
      </c>
      <c r="M788" s="1" t="s">
        <v>6</v>
      </c>
      <c r="P788" s="3" t="s">
        <v>3607</v>
      </c>
      <c r="Q788" s="20">
        <v>24217</v>
      </c>
      <c r="R788" s="3" t="s">
        <v>3608</v>
      </c>
      <c r="T788" s="3" t="s">
        <v>5457</v>
      </c>
      <c r="AE788" s="698"/>
      <c r="AF788" s="655"/>
    </row>
    <row r="789" spans="1:32" ht="12" customHeight="1">
      <c r="A789" s="725" t="s">
        <v>15486</v>
      </c>
      <c r="B789" s="2">
        <v>1</v>
      </c>
      <c r="C789" s="4" t="s">
        <v>3630</v>
      </c>
      <c r="D789" s="1" t="s">
        <v>3632</v>
      </c>
      <c r="E789" s="6">
        <f t="shared" si="12"/>
        <v>50</v>
      </c>
      <c r="F789" s="2" t="s">
        <v>5</v>
      </c>
      <c r="G789" s="1" t="s">
        <v>15273</v>
      </c>
      <c r="H789" s="3" t="s">
        <v>3633</v>
      </c>
      <c r="K789" s="23" t="s">
        <v>16120</v>
      </c>
      <c r="L789" s="1" t="s">
        <v>30</v>
      </c>
      <c r="M789" s="1" t="s">
        <v>25</v>
      </c>
      <c r="N789" s="16">
        <v>3</v>
      </c>
      <c r="O789" s="17">
        <v>3</v>
      </c>
      <c r="P789" s="3" t="s">
        <v>3634</v>
      </c>
      <c r="Q789" s="20">
        <v>22934</v>
      </c>
      <c r="R789" s="3" t="s">
        <v>3635</v>
      </c>
      <c r="S789" s="3" t="s">
        <v>304</v>
      </c>
      <c r="T789" s="3" t="s">
        <v>5457</v>
      </c>
      <c r="U789" s="3" t="s">
        <v>355</v>
      </c>
      <c r="V789" s="2" t="s">
        <v>47</v>
      </c>
      <c r="AB789" s="2" t="s">
        <v>104</v>
      </c>
      <c r="AE789" s="698"/>
      <c r="AF789" s="655"/>
    </row>
    <row r="790" spans="1:32" ht="12" customHeight="1">
      <c r="A790" s="725" t="s">
        <v>15487</v>
      </c>
      <c r="B790" s="2">
        <v>1</v>
      </c>
      <c r="C790" s="4" t="s">
        <v>3641</v>
      </c>
      <c r="D790" s="1" t="s">
        <v>3647</v>
      </c>
      <c r="E790" s="6">
        <f t="shared" si="12"/>
        <v>64</v>
      </c>
      <c r="F790" s="2" t="s">
        <v>5</v>
      </c>
      <c r="G790" s="1" t="s">
        <v>15273</v>
      </c>
      <c r="K790" s="8" t="s">
        <v>16120</v>
      </c>
      <c r="L790" s="1" t="s">
        <v>30</v>
      </c>
      <c r="M790" s="1" t="s">
        <v>14</v>
      </c>
      <c r="N790" s="16">
        <v>6</v>
      </c>
      <c r="O790" s="17">
        <v>6</v>
      </c>
      <c r="P790" s="3" t="s">
        <v>188</v>
      </c>
      <c r="Q790" s="20">
        <v>17574</v>
      </c>
      <c r="R790" s="3" t="s">
        <v>3648</v>
      </c>
      <c r="S790" s="3" t="s">
        <v>3649</v>
      </c>
      <c r="T790" s="3" t="s">
        <v>5457</v>
      </c>
      <c r="U790" s="3" t="s">
        <v>104</v>
      </c>
      <c r="AB790" s="2" t="s">
        <v>104</v>
      </c>
      <c r="AE790" s="698"/>
      <c r="AF790" s="655"/>
    </row>
    <row r="791" spans="1:32" ht="12" customHeight="1">
      <c r="A791" s="725" t="s">
        <v>15488</v>
      </c>
      <c r="B791" s="2">
        <v>1</v>
      </c>
      <c r="C791" s="4" t="s">
        <v>3654</v>
      </c>
      <c r="D791" s="1" t="s">
        <v>3660</v>
      </c>
      <c r="E791" s="6">
        <f t="shared" si="12"/>
        <v>42</v>
      </c>
      <c r="F791" s="2" t="s">
        <v>5</v>
      </c>
      <c r="G791" s="1" t="s">
        <v>15273</v>
      </c>
      <c r="K791" s="4" t="s">
        <v>16120</v>
      </c>
      <c r="L791" s="1" t="s">
        <v>30</v>
      </c>
      <c r="M791" s="1" t="s">
        <v>6</v>
      </c>
      <c r="P791" s="3" t="s">
        <v>3661</v>
      </c>
      <c r="Q791" s="20">
        <v>25756</v>
      </c>
      <c r="R791" s="3" t="s">
        <v>3662</v>
      </c>
      <c r="T791" s="3" t="s">
        <v>5457</v>
      </c>
      <c r="AE791" s="698"/>
      <c r="AF791" s="655"/>
    </row>
    <row r="792" spans="1:32" ht="12" customHeight="1">
      <c r="A792" s="725" t="s">
        <v>15489</v>
      </c>
      <c r="B792" s="2">
        <v>1</v>
      </c>
      <c r="C792" s="4" t="s">
        <v>3667</v>
      </c>
      <c r="D792" s="1" t="s">
        <v>3674</v>
      </c>
      <c r="E792" s="6">
        <f t="shared" si="12"/>
        <v>48</v>
      </c>
      <c r="F792" s="2" t="s">
        <v>5</v>
      </c>
      <c r="G792" s="1" t="s">
        <v>15273</v>
      </c>
      <c r="K792" s="4" t="s">
        <v>16120</v>
      </c>
      <c r="L792" s="1" t="s">
        <v>30</v>
      </c>
      <c r="M792" s="1" t="s">
        <v>6</v>
      </c>
      <c r="P792" s="3" t="s">
        <v>3544</v>
      </c>
      <c r="Q792" s="20">
        <v>23368</v>
      </c>
      <c r="R792" s="3" t="s">
        <v>727</v>
      </c>
      <c r="T792" s="3" t="s">
        <v>5457</v>
      </c>
      <c r="U792" s="3" t="s">
        <v>147</v>
      </c>
      <c r="AC792" s="2" t="s">
        <v>147</v>
      </c>
      <c r="AE792" s="698"/>
      <c r="AF792" s="655"/>
    </row>
    <row r="793" spans="1:32" ht="12" customHeight="1">
      <c r="A793" s="725" t="s">
        <v>15490</v>
      </c>
      <c r="B793" s="2">
        <v>1</v>
      </c>
      <c r="C793" s="4" t="s">
        <v>3678</v>
      </c>
      <c r="D793" s="1" t="s">
        <v>3684</v>
      </c>
      <c r="E793" s="6">
        <f t="shared" si="12"/>
        <v>48</v>
      </c>
      <c r="F793" s="2" t="s">
        <v>5</v>
      </c>
      <c r="G793" s="1" t="s">
        <v>15273</v>
      </c>
      <c r="K793" s="8" t="s">
        <v>16120</v>
      </c>
      <c r="L793" s="1" t="s">
        <v>30</v>
      </c>
      <c r="M793" s="1" t="s">
        <v>6</v>
      </c>
      <c r="P793" s="3" t="s">
        <v>31</v>
      </c>
      <c r="Q793" s="20">
        <v>23659</v>
      </c>
      <c r="R793" s="3" t="s">
        <v>3685</v>
      </c>
      <c r="T793" s="3" t="s">
        <v>5457</v>
      </c>
      <c r="U793" s="3" t="s">
        <v>145</v>
      </c>
      <c r="W793" s="2" t="s">
        <v>145</v>
      </c>
      <c r="AE793" s="698"/>
      <c r="AF793" s="655"/>
    </row>
    <row r="794" spans="1:32" ht="12" customHeight="1">
      <c r="A794" s="725" t="s">
        <v>15491</v>
      </c>
      <c r="B794" s="2">
        <v>1</v>
      </c>
      <c r="C794" s="4" t="s">
        <v>3690</v>
      </c>
      <c r="D794" s="1" t="s">
        <v>3695</v>
      </c>
      <c r="E794" s="6">
        <f t="shared" si="12"/>
        <v>51</v>
      </c>
      <c r="F794" s="2" t="s">
        <v>19</v>
      </c>
      <c r="G794" s="1" t="s">
        <v>15273</v>
      </c>
      <c r="H794" s="3" t="s">
        <v>3696</v>
      </c>
      <c r="K794" s="23" t="s">
        <v>16120</v>
      </c>
      <c r="L794" s="1" t="s">
        <v>30</v>
      </c>
      <c r="M794" s="1" t="s">
        <v>25</v>
      </c>
      <c r="N794" s="16">
        <v>5</v>
      </c>
      <c r="O794" s="17">
        <v>5</v>
      </c>
      <c r="P794" s="3" t="s">
        <v>3607</v>
      </c>
      <c r="Q794" s="20">
        <v>22347</v>
      </c>
      <c r="R794" s="3" t="s">
        <v>3697</v>
      </c>
      <c r="S794" s="3" t="s">
        <v>3698</v>
      </c>
      <c r="T794" s="3" t="s">
        <v>5457</v>
      </c>
      <c r="U794" s="3" t="s">
        <v>146</v>
      </c>
      <c r="AD794" s="2" t="s">
        <v>146</v>
      </c>
      <c r="AE794" s="698"/>
      <c r="AF794" s="655"/>
    </row>
    <row r="795" spans="1:32" ht="12" customHeight="1">
      <c r="A795" s="725" t="s">
        <v>15492</v>
      </c>
      <c r="B795" s="2">
        <v>1</v>
      </c>
      <c r="C795" s="4" t="s">
        <v>3708</v>
      </c>
      <c r="D795" s="1" t="s">
        <v>3713</v>
      </c>
      <c r="E795" s="6">
        <f t="shared" si="12"/>
        <v>68</v>
      </c>
      <c r="F795" s="2" t="s">
        <v>5</v>
      </c>
      <c r="G795" s="1" t="s">
        <v>15273</v>
      </c>
      <c r="K795" s="8" t="s">
        <v>16120</v>
      </c>
      <c r="L795" s="1" t="s">
        <v>48</v>
      </c>
      <c r="M795" s="1" t="s">
        <v>14</v>
      </c>
      <c r="N795" s="16">
        <v>2</v>
      </c>
      <c r="O795" s="17">
        <v>2</v>
      </c>
      <c r="P795" s="3" t="s">
        <v>31</v>
      </c>
      <c r="Q795" s="20">
        <v>16136</v>
      </c>
      <c r="R795" s="3" t="s">
        <v>3714</v>
      </c>
      <c r="S795" s="3" t="s">
        <v>1082</v>
      </c>
      <c r="T795" s="3" t="s">
        <v>5457</v>
      </c>
      <c r="U795" s="3" t="s">
        <v>104</v>
      </c>
      <c r="AB795" s="2" t="s">
        <v>104</v>
      </c>
      <c r="AE795" s="698"/>
      <c r="AF795" s="655"/>
    </row>
    <row r="796" spans="1:32" ht="12" customHeight="1">
      <c r="A796" s="725" t="s">
        <v>15493</v>
      </c>
      <c r="B796" s="2">
        <v>1</v>
      </c>
      <c r="C796" s="4" t="s">
        <v>3719</v>
      </c>
      <c r="D796" s="1" t="s">
        <v>3724</v>
      </c>
      <c r="E796" s="6">
        <f t="shared" si="12"/>
        <v>38</v>
      </c>
      <c r="F796" s="2" t="s">
        <v>5</v>
      </c>
      <c r="G796" s="1" t="s">
        <v>15273</v>
      </c>
      <c r="K796" s="4" t="s">
        <v>16120</v>
      </c>
      <c r="L796" s="1" t="s">
        <v>934</v>
      </c>
      <c r="M796" s="1" t="s">
        <v>6</v>
      </c>
      <c r="P796" s="3" t="s">
        <v>188</v>
      </c>
      <c r="Q796" s="20">
        <v>27214</v>
      </c>
      <c r="R796" s="3" t="s">
        <v>3725</v>
      </c>
      <c r="T796" s="3" t="s">
        <v>5457</v>
      </c>
      <c r="U796" s="3" t="s">
        <v>104</v>
      </c>
      <c r="AB796" s="2" t="s">
        <v>104</v>
      </c>
      <c r="AE796" s="698"/>
      <c r="AF796" s="655"/>
    </row>
    <row r="797" spans="1:32" ht="12" customHeight="1">
      <c r="A797" s="725" t="s">
        <v>15494</v>
      </c>
      <c r="B797" s="2">
        <v>1</v>
      </c>
      <c r="C797" s="4" t="s">
        <v>3730</v>
      </c>
      <c r="D797" s="1" t="s">
        <v>3738</v>
      </c>
      <c r="E797" s="6">
        <f t="shared" si="12"/>
        <v>47</v>
      </c>
      <c r="F797" s="2" t="s">
        <v>5</v>
      </c>
      <c r="G797" s="1" t="s">
        <v>15273</v>
      </c>
      <c r="K797" s="4" t="s">
        <v>16120</v>
      </c>
      <c r="L797" s="1" t="s">
        <v>30</v>
      </c>
      <c r="M797" s="1" t="s">
        <v>6</v>
      </c>
      <c r="P797" s="3" t="s">
        <v>3739</v>
      </c>
      <c r="Q797" s="20">
        <v>23972</v>
      </c>
      <c r="R797" s="3" t="s">
        <v>3740</v>
      </c>
      <c r="T797" s="3" t="s">
        <v>5457</v>
      </c>
      <c r="AE797" s="698"/>
      <c r="AF797" s="655"/>
    </row>
    <row r="798" spans="1:32" ht="12" customHeight="1">
      <c r="A798" s="725" t="s">
        <v>15495</v>
      </c>
      <c r="B798" s="2">
        <v>1</v>
      </c>
      <c r="C798" s="4" t="s">
        <v>3744</v>
      </c>
      <c r="D798" s="1" t="s">
        <v>3750</v>
      </c>
      <c r="E798" s="6">
        <f t="shared" si="12"/>
        <v>60</v>
      </c>
      <c r="F798" s="2" t="s">
        <v>5</v>
      </c>
      <c r="G798" s="1" t="s">
        <v>15273</v>
      </c>
      <c r="H798" s="3" t="s">
        <v>3751</v>
      </c>
      <c r="K798" s="8" t="s">
        <v>16120</v>
      </c>
      <c r="L798" s="1" t="s">
        <v>934</v>
      </c>
      <c r="M798" s="1" t="s">
        <v>25</v>
      </c>
      <c r="N798" s="16">
        <v>4</v>
      </c>
      <c r="O798" s="17">
        <v>4</v>
      </c>
      <c r="P798" s="3" t="s">
        <v>188</v>
      </c>
      <c r="Q798" s="20">
        <v>19095</v>
      </c>
      <c r="R798" s="3" t="s">
        <v>3752</v>
      </c>
      <c r="S798" s="3" t="s">
        <v>3753</v>
      </c>
      <c r="T798" s="3" t="s">
        <v>5457</v>
      </c>
      <c r="U798" s="3" t="s">
        <v>371</v>
      </c>
      <c r="W798" s="2" t="s">
        <v>145</v>
      </c>
      <c r="X798" s="2" t="s">
        <v>75</v>
      </c>
      <c r="AE798" s="698"/>
      <c r="AF798" s="655"/>
    </row>
    <row r="799" spans="1:32" ht="12" customHeight="1" thickBot="1">
      <c r="A799" s="726" t="s">
        <v>15496</v>
      </c>
      <c r="B799" s="702">
        <v>39</v>
      </c>
      <c r="C799" s="702"/>
      <c r="D799" s="702" t="s">
        <v>6100</v>
      </c>
      <c r="E799" s="701">
        <f t="shared" si="12"/>
        <v>66</v>
      </c>
      <c r="F799" s="702" t="s">
        <v>5</v>
      </c>
      <c r="G799" s="702" t="s">
        <v>6067</v>
      </c>
      <c r="H799" s="720"/>
      <c r="I799" s="702"/>
      <c r="J799" s="702"/>
      <c r="K799" s="704" t="s">
        <v>16120</v>
      </c>
      <c r="L799" s="702" t="s">
        <v>5247</v>
      </c>
      <c r="M799" s="702" t="s">
        <v>6</v>
      </c>
      <c r="N799" s="721"/>
      <c r="O799" s="722"/>
      <c r="P799" s="720" t="s">
        <v>16468</v>
      </c>
      <c r="Q799" s="723">
        <v>16803</v>
      </c>
      <c r="R799" s="720" t="s">
        <v>16469</v>
      </c>
      <c r="S799" s="720"/>
      <c r="T799" s="720"/>
      <c r="U799" s="720"/>
      <c r="V799" s="702"/>
      <c r="W799" s="702"/>
      <c r="X799" s="702"/>
      <c r="Y799" s="702"/>
      <c r="Z799" s="702"/>
      <c r="AA799" s="702"/>
      <c r="AB799" s="702"/>
      <c r="AC799" s="702"/>
      <c r="AD799" s="720"/>
      <c r="AE799" s="792"/>
      <c r="AF799" s="655"/>
    </row>
    <row r="800" spans="1:32" ht="12" customHeight="1">
      <c r="A800" s="780" t="s">
        <v>16470</v>
      </c>
      <c r="B800" s="696">
        <v>1</v>
      </c>
      <c r="C800" s="688" t="s">
        <v>3143</v>
      </c>
      <c r="D800" s="687" t="s">
        <v>3160</v>
      </c>
      <c r="E800" s="690">
        <f t="shared" si="12"/>
        <v>63</v>
      </c>
      <c r="F800" s="696" t="s">
        <v>5</v>
      </c>
      <c r="G800" s="687" t="s">
        <v>15273</v>
      </c>
      <c r="H800" s="747" t="s">
        <v>3161</v>
      </c>
      <c r="I800" s="687"/>
      <c r="J800" s="687"/>
      <c r="K800" s="688" t="s">
        <v>16125</v>
      </c>
      <c r="L800" s="687"/>
      <c r="M800" s="687" t="s">
        <v>25</v>
      </c>
      <c r="N800" s="748">
        <v>2</v>
      </c>
      <c r="O800" s="749">
        <v>2</v>
      </c>
      <c r="P800" s="747" t="s">
        <v>317</v>
      </c>
      <c r="Q800" s="773">
        <v>18132</v>
      </c>
      <c r="R800" s="747" t="s">
        <v>3162</v>
      </c>
      <c r="S800" s="747" t="s">
        <v>4569</v>
      </c>
      <c r="T800" s="747" t="s">
        <v>5561</v>
      </c>
      <c r="U800" s="747" t="s">
        <v>47</v>
      </c>
      <c r="V800" s="696" t="s">
        <v>47</v>
      </c>
      <c r="W800" s="696"/>
      <c r="X800" s="696"/>
      <c r="Y800" s="696"/>
      <c r="Z800" s="696"/>
      <c r="AA800" s="696"/>
      <c r="AB800" s="696"/>
      <c r="AC800" s="696"/>
      <c r="AD800" s="696"/>
      <c r="AE800" s="697"/>
      <c r="AF800" s="655"/>
    </row>
    <row r="801" spans="1:32" ht="12" customHeight="1">
      <c r="A801" s="790" t="s">
        <v>16471</v>
      </c>
      <c r="B801" s="2">
        <v>1</v>
      </c>
      <c r="C801" s="4" t="s">
        <v>3174</v>
      </c>
      <c r="D801" s="1" t="s">
        <v>5800</v>
      </c>
      <c r="E801" s="6">
        <f t="shared" si="12"/>
        <v>65</v>
      </c>
      <c r="F801" s="2" t="s">
        <v>5</v>
      </c>
      <c r="G801" s="1" t="s">
        <v>15273</v>
      </c>
      <c r="K801" s="4" t="s">
        <v>16125</v>
      </c>
      <c r="M801" s="1" t="s">
        <v>6</v>
      </c>
      <c r="P801" s="3" t="s">
        <v>188</v>
      </c>
      <c r="Q801" s="20">
        <v>17458</v>
      </c>
      <c r="R801" s="3" t="s">
        <v>5801</v>
      </c>
      <c r="T801" s="3" t="s">
        <v>5561</v>
      </c>
      <c r="U801" s="3" t="s">
        <v>155</v>
      </c>
      <c r="Z801" s="2" t="s">
        <v>155</v>
      </c>
      <c r="AE801" s="698"/>
      <c r="AF801" s="655"/>
    </row>
    <row r="802" spans="1:32" ht="12" customHeight="1">
      <c r="A802" s="790" t="s">
        <v>16472</v>
      </c>
      <c r="B802" s="2">
        <v>1</v>
      </c>
      <c r="C802" s="4" t="s">
        <v>3201</v>
      </c>
      <c r="D802" s="1" t="s">
        <v>3217</v>
      </c>
      <c r="E802" s="6">
        <f t="shared" si="12"/>
        <v>41</v>
      </c>
      <c r="F802" s="2" t="s">
        <v>5</v>
      </c>
      <c r="G802" s="1" t="s">
        <v>15273</v>
      </c>
      <c r="H802" s="3" t="s">
        <v>3218</v>
      </c>
      <c r="K802" s="4" t="s">
        <v>16125</v>
      </c>
      <c r="M802" s="1" t="s">
        <v>25</v>
      </c>
      <c r="N802" s="16">
        <v>1</v>
      </c>
      <c r="O802" s="17">
        <v>1</v>
      </c>
      <c r="P802" s="3" t="s">
        <v>1493</v>
      </c>
      <c r="Q802" s="20">
        <v>25995</v>
      </c>
      <c r="R802" s="3" t="s">
        <v>3220</v>
      </c>
      <c r="S802" s="3" t="s">
        <v>5545</v>
      </c>
      <c r="T802" s="3" t="s">
        <v>5561</v>
      </c>
      <c r="AE802" s="698"/>
      <c r="AF802" s="655"/>
    </row>
    <row r="803" spans="1:32" ht="12" customHeight="1">
      <c r="A803" s="790" t="s">
        <v>16473</v>
      </c>
      <c r="B803" s="2">
        <v>1</v>
      </c>
      <c r="C803" s="4" t="s">
        <v>3226</v>
      </c>
      <c r="D803" s="1" t="s">
        <v>3233</v>
      </c>
      <c r="E803" s="6">
        <f t="shared" si="12"/>
        <v>45</v>
      </c>
      <c r="F803" s="2" t="s">
        <v>5</v>
      </c>
      <c r="G803" s="1" t="s">
        <v>15273</v>
      </c>
      <c r="H803" s="3" t="s">
        <v>3234</v>
      </c>
      <c r="K803" s="4" t="s">
        <v>16125</v>
      </c>
      <c r="M803" s="1" t="s">
        <v>25</v>
      </c>
      <c r="N803" s="16">
        <v>1</v>
      </c>
      <c r="O803" s="17">
        <v>1</v>
      </c>
      <c r="P803" s="3" t="s">
        <v>3235</v>
      </c>
      <c r="Q803" s="20">
        <v>24727</v>
      </c>
      <c r="R803" s="3" t="s">
        <v>3236</v>
      </c>
      <c r="T803" s="3" t="s">
        <v>5561</v>
      </c>
      <c r="AE803" s="698"/>
      <c r="AF803" s="655"/>
    </row>
    <row r="804" spans="1:32" ht="12" customHeight="1">
      <c r="A804" s="790" t="s">
        <v>16474</v>
      </c>
      <c r="B804" s="2">
        <v>1</v>
      </c>
      <c r="C804" s="4" t="s">
        <v>3286</v>
      </c>
      <c r="D804" s="1" t="s">
        <v>3289</v>
      </c>
      <c r="E804" s="6">
        <f t="shared" si="12"/>
        <v>60</v>
      </c>
      <c r="F804" s="2" t="s">
        <v>5</v>
      </c>
      <c r="G804" s="1" t="s">
        <v>15273</v>
      </c>
      <c r="H804" s="3" t="s">
        <v>3290</v>
      </c>
      <c r="K804" s="4" t="s">
        <v>16125</v>
      </c>
      <c r="M804" s="1" t="s">
        <v>25</v>
      </c>
      <c r="N804" s="16">
        <v>1</v>
      </c>
      <c r="O804" s="17">
        <v>1</v>
      </c>
      <c r="P804" s="3" t="s">
        <v>3291</v>
      </c>
      <c r="Q804" s="20">
        <v>19155</v>
      </c>
      <c r="R804" s="3" t="s">
        <v>3292</v>
      </c>
      <c r="T804" s="3" t="s">
        <v>5561</v>
      </c>
      <c r="U804" s="3" t="s">
        <v>145</v>
      </c>
      <c r="W804" s="2" t="s">
        <v>145</v>
      </c>
      <c r="AE804" s="698"/>
      <c r="AF804" s="655"/>
    </row>
    <row r="805" spans="1:32" ht="12" customHeight="1">
      <c r="A805" s="790" t="s">
        <v>16475</v>
      </c>
      <c r="B805" s="2">
        <v>1</v>
      </c>
      <c r="C805" s="4" t="s">
        <v>3301</v>
      </c>
      <c r="D805" s="1" t="s">
        <v>4645</v>
      </c>
      <c r="E805" s="6">
        <f t="shared" si="12"/>
        <v>56</v>
      </c>
      <c r="F805" s="2" t="s">
        <v>5</v>
      </c>
      <c r="G805" s="1" t="s">
        <v>15273</v>
      </c>
      <c r="H805" s="3" t="s">
        <v>4646</v>
      </c>
      <c r="K805" s="4" t="s">
        <v>16125</v>
      </c>
      <c r="M805" s="1" t="s">
        <v>25</v>
      </c>
      <c r="N805" s="16">
        <v>1</v>
      </c>
      <c r="O805" s="17">
        <v>1</v>
      </c>
      <c r="P805" s="3" t="s">
        <v>3212</v>
      </c>
      <c r="Q805" s="20">
        <v>20678</v>
      </c>
      <c r="R805" s="3" t="s">
        <v>3213</v>
      </c>
      <c r="T805" s="3" t="s">
        <v>5561</v>
      </c>
      <c r="AE805" s="698"/>
      <c r="AF805" s="655"/>
    </row>
    <row r="806" spans="1:32" ht="12" customHeight="1">
      <c r="A806" s="790" t="s">
        <v>16476</v>
      </c>
      <c r="B806" s="2">
        <v>1</v>
      </c>
      <c r="C806" s="4" t="s">
        <v>3418</v>
      </c>
      <c r="D806" s="1" t="s">
        <v>3428</v>
      </c>
      <c r="E806" s="6">
        <f t="shared" si="12"/>
        <v>42</v>
      </c>
      <c r="F806" s="2" t="s">
        <v>5</v>
      </c>
      <c r="G806" s="1" t="s">
        <v>15273</v>
      </c>
      <c r="H806" s="3" t="s">
        <v>3429</v>
      </c>
      <c r="K806" s="4" t="s">
        <v>16125</v>
      </c>
      <c r="M806" s="1" t="s">
        <v>25</v>
      </c>
      <c r="N806" s="16">
        <v>1</v>
      </c>
      <c r="O806" s="17">
        <v>1</v>
      </c>
      <c r="P806" s="3" t="s">
        <v>317</v>
      </c>
      <c r="Q806" s="20">
        <v>25904</v>
      </c>
      <c r="R806" s="3" t="s">
        <v>3431</v>
      </c>
      <c r="T806" s="3" t="s">
        <v>5561</v>
      </c>
      <c r="AE806" s="698"/>
      <c r="AF806" s="655"/>
    </row>
    <row r="807" spans="1:32" ht="12" customHeight="1">
      <c r="A807" s="790" t="s">
        <v>16477</v>
      </c>
      <c r="B807" s="2">
        <v>1</v>
      </c>
      <c r="C807" s="4" t="s">
        <v>3454</v>
      </c>
      <c r="D807" s="1" t="s">
        <v>3456</v>
      </c>
      <c r="E807" s="6">
        <f t="shared" si="12"/>
        <v>64</v>
      </c>
      <c r="F807" s="2" t="s">
        <v>5</v>
      </c>
      <c r="G807" s="1" t="s">
        <v>15273</v>
      </c>
      <c r="H807" s="3" t="s">
        <v>3457</v>
      </c>
      <c r="K807" s="4" t="s">
        <v>16125</v>
      </c>
      <c r="M807" s="1" t="s">
        <v>25</v>
      </c>
      <c r="N807" s="16">
        <v>2</v>
      </c>
      <c r="O807" s="17">
        <v>2</v>
      </c>
      <c r="P807" s="3" t="s">
        <v>317</v>
      </c>
      <c r="Q807" s="20">
        <v>17696</v>
      </c>
      <c r="R807" s="3" t="s">
        <v>727</v>
      </c>
      <c r="T807" s="3" t="s">
        <v>5561</v>
      </c>
      <c r="U807" s="3" t="s">
        <v>147</v>
      </c>
      <c r="AC807" s="2" t="s">
        <v>147</v>
      </c>
      <c r="AE807" s="698"/>
      <c r="AF807" s="655"/>
    </row>
    <row r="808" spans="1:32" ht="12" customHeight="1">
      <c r="A808" s="790" t="s">
        <v>16478</v>
      </c>
      <c r="B808" s="2">
        <v>1</v>
      </c>
      <c r="C808" s="4" t="s">
        <v>3465</v>
      </c>
      <c r="D808" s="1" t="s">
        <v>3468</v>
      </c>
      <c r="E808" s="6">
        <f t="shared" si="12"/>
        <v>61</v>
      </c>
      <c r="F808" s="2" t="s">
        <v>5</v>
      </c>
      <c r="G808" s="1" t="s">
        <v>15273</v>
      </c>
      <c r="H808" s="3" t="s">
        <v>3469</v>
      </c>
      <c r="K808" s="4" t="s">
        <v>16125</v>
      </c>
      <c r="M808" s="1" t="s">
        <v>25</v>
      </c>
      <c r="N808" s="16">
        <v>2</v>
      </c>
      <c r="O808" s="17">
        <v>2</v>
      </c>
      <c r="P808" s="3" t="s">
        <v>3470</v>
      </c>
      <c r="Q808" s="20">
        <v>18669</v>
      </c>
      <c r="R808" s="3" t="s">
        <v>3471</v>
      </c>
      <c r="T808" s="3" t="s">
        <v>5561</v>
      </c>
      <c r="U808" s="3" t="s">
        <v>145</v>
      </c>
      <c r="W808" s="2" t="s">
        <v>145</v>
      </c>
      <c r="AE808" s="698"/>
      <c r="AF808" s="655"/>
    </row>
    <row r="809" spans="1:32" ht="12" customHeight="1">
      <c r="A809" s="790" t="s">
        <v>16479</v>
      </c>
      <c r="B809" s="2">
        <v>1</v>
      </c>
      <c r="C809" s="4" t="s">
        <v>3536</v>
      </c>
      <c r="D809" s="1" t="s">
        <v>5084</v>
      </c>
      <c r="E809" s="6">
        <f t="shared" si="12"/>
        <v>35</v>
      </c>
      <c r="F809" s="2" t="s">
        <v>19</v>
      </c>
      <c r="G809" s="1" t="s">
        <v>15273</v>
      </c>
      <c r="K809" s="4" t="s">
        <v>16125</v>
      </c>
      <c r="M809" s="1" t="s">
        <v>6</v>
      </c>
      <c r="P809" s="3" t="s">
        <v>317</v>
      </c>
      <c r="Q809" s="20">
        <v>28398</v>
      </c>
      <c r="R809" s="3" t="s">
        <v>5087</v>
      </c>
      <c r="T809" s="3" t="s">
        <v>5561</v>
      </c>
      <c r="U809" s="3" t="s">
        <v>47</v>
      </c>
      <c r="V809" s="2" t="s">
        <v>47</v>
      </c>
      <c r="AE809" s="698"/>
      <c r="AF809" s="655"/>
    </row>
    <row r="810" spans="1:32" ht="12" customHeight="1">
      <c r="A810" s="790" t="s">
        <v>16480</v>
      </c>
      <c r="B810" s="2">
        <v>1</v>
      </c>
      <c r="C810" s="4" t="s">
        <v>3583</v>
      </c>
      <c r="D810" s="1" t="s">
        <v>6202</v>
      </c>
      <c r="E810" s="6">
        <f t="shared" si="12"/>
        <v>57</v>
      </c>
      <c r="F810" s="2" t="s">
        <v>5</v>
      </c>
      <c r="G810" s="1" t="s">
        <v>15273</v>
      </c>
      <c r="K810" s="4" t="s">
        <v>16125</v>
      </c>
      <c r="M810" s="1" t="s">
        <v>6</v>
      </c>
      <c r="P810" s="3" t="s">
        <v>2085</v>
      </c>
      <c r="Q810" s="21">
        <v>20160</v>
      </c>
      <c r="R810" s="3" t="s">
        <v>6203</v>
      </c>
      <c r="T810" s="3" t="s">
        <v>5561</v>
      </c>
      <c r="U810" s="3" t="s">
        <v>145</v>
      </c>
      <c r="W810" s="2" t="s">
        <v>145</v>
      </c>
      <c r="AE810" s="698"/>
      <c r="AF810" s="655"/>
    </row>
    <row r="811" spans="1:32" ht="12" customHeight="1">
      <c r="A811" s="790" t="s">
        <v>16481</v>
      </c>
      <c r="B811" s="2">
        <v>1</v>
      </c>
      <c r="C811" s="4" t="s">
        <v>3691</v>
      </c>
      <c r="D811" s="1" t="s">
        <v>3700</v>
      </c>
      <c r="E811" s="6">
        <f t="shared" si="12"/>
        <v>41</v>
      </c>
      <c r="F811" s="2" t="s">
        <v>5</v>
      </c>
      <c r="G811" s="1" t="s">
        <v>15273</v>
      </c>
      <c r="I811" s="1" t="s">
        <v>373</v>
      </c>
      <c r="K811" s="4" t="s">
        <v>16125</v>
      </c>
      <c r="M811" s="1" t="s">
        <v>14</v>
      </c>
      <c r="N811" s="16">
        <v>2</v>
      </c>
      <c r="O811" s="17">
        <v>4</v>
      </c>
      <c r="P811" s="3" t="s">
        <v>1493</v>
      </c>
      <c r="Q811" s="20">
        <v>26138</v>
      </c>
      <c r="R811" s="3" t="s">
        <v>3703</v>
      </c>
      <c r="S811" s="3" t="s">
        <v>16683</v>
      </c>
      <c r="T811" s="3" t="s">
        <v>5561</v>
      </c>
      <c r="U811" s="3" t="s">
        <v>229</v>
      </c>
      <c r="Y811" s="2" t="s">
        <v>229</v>
      </c>
      <c r="AE811" s="698"/>
      <c r="AF811" s="655"/>
    </row>
    <row r="812" spans="1:32" ht="12" customHeight="1">
      <c r="A812" s="790" t="s">
        <v>16482</v>
      </c>
      <c r="B812" s="2">
        <v>13</v>
      </c>
      <c r="C812" s="2"/>
      <c r="D812" s="6" t="s">
        <v>3778</v>
      </c>
      <c r="E812" s="6">
        <f t="shared" si="12"/>
        <v>67</v>
      </c>
      <c r="F812" s="6" t="s">
        <v>5</v>
      </c>
      <c r="G812" s="2" t="s">
        <v>6067</v>
      </c>
      <c r="H812" s="12" t="s">
        <v>3779</v>
      </c>
      <c r="I812" s="6"/>
      <c r="J812" s="19"/>
      <c r="K812" s="8" t="s">
        <v>16125</v>
      </c>
      <c r="L812" s="6"/>
      <c r="M812" s="6" t="s">
        <v>25</v>
      </c>
      <c r="N812" s="13">
        <v>1</v>
      </c>
      <c r="O812" s="14">
        <v>1</v>
      </c>
      <c r="P812" s="12" t="s">
        <v>3780</v>
      </c>
      <c r="Q812" s="15">
        <v>16438</v>
      </c>
      <c r="R812" s="12" t="s">
        <v>3781</v>
      </c>
      <c r="S812" s="12"/>
      <c r="T812" s="12"/>
      <c r="U812" s="12"/>
      <c r="AD812" s="22"/>
      <c r="AE812" s="807"/>
      <c r="AF812" s="655"/>
    </row>
    <row r="813" spans="1:32" ht="12" customHeight="1" thickBot="1">
      <c r="A813" s="782" t="s">
        <v>16483</v>
      </c>
      <c r="B813" s="702">
        <v>14</v>
      </c>
      <c r="C813" s="702"/>
      <c r="D813" s="702" t="s">
        <v>5584</v>
      </c>
      <c r="E813" s="701">
        <f t="shared" si="12"/>
        <v>32</v>
      </c>
      <c r="F813" s="702" t="s">
        <v>19</v>
      </c>
      <c r="G813" s="702" t="s">
        <v>6067</v>
      </c>
      <c r="H813" s="720" t="s">
        <v>5585</v>
      </c>
      <c r="I813" s="702"/>
      <c r="J813" s="702"/>
      <c r="K813" s="770" t="s">
        <v>16125</v>
      </c>
      <c r="L813" s="702"/>
      <c r="M813" s="702" t="s">
        <v>25</v>
      </c>
      <c r="N813" s="721">
        <v>1</v>
      </c>
      <c r="O813" s="722">
        <v>1</v>
      </c>
      <c r="P813" s="720" t="s">
        <v>5586</v>
      </c>
      <c r="Q813" s="723">
        <v>29524</v>
      </c>
      <c r="R813" s="720" t="s">
        <v>5587</v>
      </c>
      <c r="S813" s="720"/>
      <c r="T813" s="720"/>
      <c r="U813" s="720"/>
      <c r="V813" s="702"/>
      <c r="W813" s="702"/>
      <c r="X813" s="702"/>
      <c r="Y813" s="702"/>
      <c r="Z813" s="702"/>
      <c r="AA813" s="702"/>
      <c r="AB813" s="702"/>
      <c r="AC813" s="702"/>
      <c r="AD813" s="702"/>
      <c r="AE813" s="708"/>
      <c r="AF813" s="655"/>
    </row>
    <row r="814" spans="1:32" ht="12" customHeight="1">
      <c r="A814" s="745" t="s">
        <v>3782</v>
      </c>
      <c r="B814" s="696">
        <v>1</v>
      </c>
      <c r="C814" s="696"/>
      <c r="D814" s="690" t="s">
        <v>3786</v>
      </c>
      <c r="E814" s="690">
        <f t="shared" si="12"/>
        <v>54</v>
      </c>
      <c r="F814" s="690" t="s">
        <v>5</v>
      </c>
      <c r="G814" s="696" t="s">
        <v>6067</v>
      </c>
      <c r="H814" s="735" t="s">
        <v>3787</v>
      </c>
      <c r="I814" s="690"/>
      <c r="J814" s="736"/>
      <c r="K814" s="692" t="s">
        <v>16118</v>
      </c>
      <c r="L814" s="690"/>
      <c r="M814" s="690" t="s">
        <v>25</v>
      </c>
      <c r="N814" s="737">
        <v>2</v>
      </c>
      <c r="O814" s="738">
        <v>2</v>
      </c>
      <c r="P814" s="735" t="s">
        <v>1493</v>
      </c>
      <c r="Q814" s="739">
        <v>21361</v>
      </c>
      <c r="R814" s="735" t="s">
        <v>3788</v>
      </c>
      <c r="S814" s="735" t="s">
        <v>3789</v>
      </c>
      <c r="T814" s="735"/>
      <c r="U814" s="735" t="s">
        <v>3774</v>
      </c>
      <c r="V814" s="696"/>
      <c r="W814" s="696" t="s">
        <v>3774</v>
      </c>
      <c r="X814" s="696"/>
      <c r="Y814" s="696"/>
      <c r="Z814" s="696"/>
      <c r="AA814" s="696"/>
      <c r="AB814" s="696"/>
      <c r="AC814" s="696"/>
      <c r="AD814" s="715"/>
      <c r="AE814" s="814"/>
      <c r="AF814" s="655"/>
    </row>
    <row r="815" spans="1:32" ht="12" customHeight="1">
      <c r="A815" s="791" t="s">
        <v>3783</v>
      </c>
      <c r="B815" s="2">
        <v>2</v>
      </c>
      <c r="C815" s="2"/>
      <c r="D815" s="2" t="s">
        <v>3790</v>
      </c>
      <c r="E815" s="6">
        <f t="shared" si="12"/>
        <v>49</v>
      </c>
      <c r="F815" s="2" t="s">
        <v>19</v>
      </c>
      <c r="G815" s="2" t="s">
        <v>6067</v>
      </c>
      <c r="H815" s="22"/>
      <c r="I815" s="2"/>
      <c r="J815" s="2"/>
      <c r="K815" s="23" t="s">
        <v>16118</v>
      </c>
      <c r="L815" s="2"/>
      <c r="M815" s="2" t="s">
        <v>6</v>
      </c>
      <c r="N815" s="24"/>
      <c r="O815" s="25">
        <v>2</v>
      </c>
      <c r="P815" s="22" t="s">
        <v>3791</v>
      </c>
      <c r="Q815" s="21">
        <v>23043</v>
      </c>
      <c r="R815" s="22" t="s">
        <v>3792</v>
      </c>
      <c r="S815" s="22" t="s">
        <v>3793</v>
      </c>
      <c r="T815" s="22"/>
      <c r="U815" s="22" t="s">
        <v>3794</v>
      </c>
      <c r="Y815" s="2" t="s">
        <v>3795</v>
      </c>
      <c r="AA815" s="2" t="s">
        <v>3796</v>
      </c>
      <c r="AD815" s="22"/>
      <c r="AE815" s="807"/>
      <c r="AF815" s="655"/>
    </row>
    <row r="816" spans="1:32" ht="12" customHeight="1">
      <c r="A816" s="791" t="s">
        <v>3784</v>
      </c>
      <c r="B816" s="2">
        <v>3</v>
      </c>
      <c r="C816" s="2"/>
      <c r="D816" s="6" t="s">
        <v>3797</v>
      </c>
      <c r="E816" s="6">
        <f t="shared" si="12"/>
        <v>41</v>
      </c>
      <c r="F816" s="6" t="s">
        <v>5</v>
      </c>
      <c r="G816" s="2" t="s">
        <v>6067</v>
      </c>
      <c r="H816" s="12"/>
      <c r="I816" s="6"/>
      <c r="J816" s="19"/>
      <c r="K816" s="8" t="s">
        <v>16118</v>
      </c>
      <c r="L816" s="6"/>
      <c r="M816" s="6" t="s">
        <v>6</v>
      </c>
      <c r="N816" s="13"/>
      <c r="O816" s="14"/>
      <c r="P816" s="12" t="s">
        <v>2123</v>
      </c>
      <c r="Q816" s="15">
        <v>26034</v>
      </c>
      <c r="R816" s="12" t="s">
        <v>3798</v>
      </c>
      <c r="S816" s="12"/>
      <c r="T816" s="12"/>
      <c r="U816" s="12"/>
      <c r="AD816" s="22"/>
      <c r="AE816" s="807"/>
      <c r="AF816" s="655"/>
    </row>
    <row r="817" spans="1:32" ht="12" customHeight="1">
      <c r="A817" s="791" t="s">
        <v>3785</v>
      </c>
      <c r="B817" s="2">
        <v>4</v>
      </c>
      <c r="C817" s="2"/>
      <c r="D817" s="2" t="s">
        <v>3799</v>
      </c>
      <c r="E817" s="6">
        <f t="shared" si="12"/>
        <v>37</v>
      </c>
      <c r="F817" s="2" t="s">
        <v>5</v>
      </c>
      <c r="G817" s="2" t="s">
        <v>6067</v>
      </c>
      <c r="H817" s="22"/>
      <c r="I817" s="2"/>
      <c r="J817" s="2"/>
      <c r="K817" s="23" t="s">
        <v>16118</v>
      </c>
      <c r="L817" s="2"/>
      <c r="M817" s="2" t="s">
        <v>6</v>
      </c>
      <c r="N817" s="24"/>
      <c r="O817" s="25"/>
      <c r="P817" s="22" t="s">
        <v>3800</v>
      </c>
      <c r="Q817" s="21">
        <v>27667</v>
      </c>
      <c r="R817" s="22" t="s">
        <v>3801</v>
      </c>
      <c r="S817" s="22"/>
      <c r="T817" s="22"/>
      <c r="U817" s="22"/>
      <c r="AD817" s="22"/>
      <c r="AE817" s="807"/>
      <c r="AF817" s="655"/>
    </row>
    <row r="818" spans="1:32" ht="12" customHeight="1">
      <c r="A818" s="791" t="s">
        <v>5918</v>
      </c>
      <c r="B818" s="2">
        <v>5</v>
      </c>
      <c r="C818" s="2"/>
      <c r="D818" s="2" t="s">
        <v>5921</v>
      </c>
      <c r="E818" s="6">
        <f t="shared" si="12"/>
        <v>53</v>
      </c>
      <c r="F818" s="2" t="s">
        <v>5</v>
      </c>
      <c r="G818" s="2" t="s">
        <v>6067</v>
      </c>
      <c r="H818" s="22"/>
      <c r="I818" s="2"/>
      <c r="J818" s="2"/>
      <c r="K818" s="8" t="s">
        <v>16118</v>
      </c>
      <c r="L818" s="2"/>
      <c r="M818" s="2" t="s">
        <v>6</v>
      </c>
      <c r="N818" s="24"/>
      <c r="O818" s="25"/>
      <c r="P818" s="22" t="s">
        <v>3009</v>
      </c>
      <c r="Q818" s="21">
        <v>21604</v>
      </c>
      <c r="R818" s="22" t="s">
        <v>16484</v>
      </c>
      <c r="S818" s="22"/>
      <c r="T818" s="22"/>
      <c r="U818" s="22"/>
      <c r="AD818" s="22"/>
      <c r="AE818" s="807"/>
      <c r="AF818" s="655"/>
    </row>
    <row r="819" spans="1:32" ht="12" customHeight="1">
      <c r="A819" s="791" t="s">
        <v>5919</v>
      </c>
      <c r="B819" s="2">
        <v>6</v>
      </c>
      <c r="C819" s="2"/>
      <c r="D819" s="2" t="s">
        <v>5922</v>
      </c>
      <c r="E819" s="6">
        <f t="shared" si="12"/>
        <v>56</v>
      </c>
      <c r="F819" s="2" t="s">
        <v>5</v>
      </c>
      <c r="G819" s="2" t="s">
        <v>6067</v>
      </c>
      <c r="H819" s="22"/>
      <c r="I819" s="2"/>
      <c r="J819" s="2"/>
      <c r="K819" s="8" t="s">
        <v>16118</v>
      </c>
      <c r="L819" s="2"/>
      <c r="M819" s="2" t="s">
        <v>6</v>
      </c>
      <c r="N819" s="24"/>
      <c r="O819" s="25"/>
      <c r="P819" s="22" t="s">
        <v>16382</v>
      </c>
      <c r="Q819" s="21">
        <v>20787</v>
      </c>
      <c r="R819" s="22" t="s">
        <v>5923</v>
      </c>
      <c r="S819" s="22"/>
      <c r="T819" s="22"/>
      <c r="U819" s="22"/>
      <c r="AD819" s="22"/>
      <c r="AE819" s="807"/>
      <c r="AF819" s="655"/>
    </row>
    <row r="820" spans="1:32" ht="12" customHeight="1" thickBot="1">
      <c r="A820" s="746" t="s">
        <v>5920</v>
      </c>
      <c r="B820" s="702">
        <v>7</v>
      </c>
      <c r="C820" s="702"/>
      <c r="D820" s="702" t="s">
        <v>5924</v>
      </c>
      <c r="E820" s="701">
        <f t="shared" si="12"/>
        <v>54</v>
      </c>
      <c r="F820" s="702" t="s">
        <v>5</v>
      </c>
      <c r="G820" s="702" t="s">
        <v>6067</v>
      </c>
      <c r="H820" s="720"/>
      <c r="I820" s="702"/>
      <c r="J820" s="702"/>
      <c r="K820" s="770" t="s">
        <v>16118</v>
      </c>
      <c r="L820" s="702"/>
      <c r="M820" s="702" t="s">
        <v>6</v>
      </c>
      <c r="N820" s="721"/>
      <c r="O820" s="722"/>
      <c r="P820" s="720" t="s">
        <v>3517</v>
      </c>
      <c r="Q820" s="723">
        <v>21354</v>
      </c>
      <c r="R820" s="720" t="s">
        <v>16485</v>
      </c>
      <c r="S820" s="720"/>
      <c r="T820" s="720"/>
      <c r="U820" s="720"/>
      <c r="V820" s="702"/>
      <c r="W820" s="702"/>
      <c r="X820" s="702"/>
      <c r="Y820" s="702"/>
      <c r="Z820" s="702"/>
      <c r="AA820" s="702"/>
      <c r="AB820" s="702"/>
      <c r="AC820" s="702"/>
      <c r="AD820" s="720"/>
      <c r="AE820" s="792"/>
      <c r="AF820" s="655"/>
    </row>
    <row r="821" spans="1:32" ht="12" customHeight="1">
      <c r="A821" s="750" t="s">
        <v>5680</v>
      </c>
      <c r="B821" s="696">
        <v>1</v>
      </c>
      <c r="C821" s="696"/>
      <c r="D821" s="696" t="s">
        <v>5806</v>
      </c>
      <c r="E821" s="690">
        <f t="shared" si="12"/>
        <v>55</v>
      </c>
      <c r="F821" s="696" t="s">
        <v>5</v>
      </c>
      <c r="G821" s="696" t="s">
        <v>6067</v>
      </c>
      <c r="H821" s="715"/>
      <c r="I821" s="696"/>
      <c r="J821" s="696"/>
      <c r="K821" s="736" t="s">
        <v>16130</v>
      </c>
      <c r="L821" s="696" t="s">
        <v>5807</v>
      </c>
      <c r="M821" s="696" t="s">
        <v>6</v>
      </c>
      <c r="N821" s="717"/>
      <c r="O821" s="718">
        <v>2</v>
      </c>
      <c r="P821" s="715" t="s">
        <v>188</v>
      </c>
      <c r="Q821" s="719">
        <v>21079</v>
      </c>
      <c r="R821" s="715" t="s">
        <v>5808</v>
      </c>
      <c r="S821" s="715"/>
      <c r="T821" s="715"/>
      <c r="U821" s="715" t="s">
        <v>5809</v>
      </c>
      <c r="V821" s="696"/>
      <c r="W821" s="696"/>
      <c r="X821" s="696" t="s">
        <v>5810</v>
      </c>
      <c r="Y821" s="696"/>
      <c r="Z821" s="696"/>
      <c r="AA821" s="696" t="s">
        <v>5811</v>
      </c>
      <c r="AB821" s="696"/>
      <c r="AC821" s="696"/>
      <c r="AD821" s="715"/>
      <c r="AE821" s="814"/>
      <c r="AF821" s="655"/>
    </row>
    <row r="822" spans="1:32" ht="12" customHeight="1">
      <c r="A822" s="751" t="s">
        <v>5805</v>
      </c>
      <c r="B822" s="2">
        <v>2</v>
      </c>
      <c r="C822" s="2"/>
      <c r="D822" s="2" t="s">
        <v>5288</v>
      </c>
      <c r="E822" s="6">
        <f t="shared" si="12"/>
        <v>64</v>
      </c>
      <c r="F822" s="2" t="s">
        <v>5</v>
      </c>
      <c r="G822" s="2" t="s">
        <v>6067</v>
      </c>
      <c r="H822" s="22"/>
      <c r="I822" s="2"/>
      <c r="J822" s="2"/>
      <c r="K822" s="19" t="s">
        <v>16130</v>
      </c>
      <c r="L822" s="2" t="s">
        <v>5289</v>
      </c>
      <c r="M822" s="2" t="s">
        <v>14</v>
      </c>
      <c r="N822" s="24">
        <v>5</v>
      </c>
      <c r="O822" s="25">
        <v>5</v>
      </c>
      <c r="P822" s="22" t="s">
        <v>5290</v>
      </c>
      <c r="Q822" s="21">
        <v>17721</v>
      </c>
      <c r="R822" s="22" t="s">
        <v>5291</v>
      </c>
      <c r="S822" s="22" t="s">
        <v>5292</v>
      </c>
      <c r="T822" s="22"/>
      <c r="U822" s="22" t="s">
        <v>5293</v>
      </c>
      <c r="AB822" s="2" t="s">
        <v>5294</v>
      </c>
      <c r="AC822" s="2" t="s">
        <v>5295</v>
      </c>
      <c r="AD822" s="22"/>
      <c r="AE822" s="807"/>
      <c r="AF822" s="655"/>
    </row>
    <row r="823" spans="1:32" ht="12" customHeight="1">
      <c r="A823" s="751" t="s">
        <v>16486</v>
      </c>
      <c r="B823" s="2">
        <v>3</v>
      </c>
      <c r="C823" s="4" t="s">
        <v>3202</v>
      </c>
      <c r="D823" s="1" t="s">
        <v>4413</v>
      </c>
      <c r="E823" s="6">
        <f t="shared" si="12"/>
        <v>41</v>
      </c>
      <c r="F823" s="2" t="s">
        <v>5</v>
      </c>
      <c r="G823" s="1" t="s">
        <v>15273</v>
      </c>
      <c r="K823" s="4" t="s">
        <v>16116</v>
      </c>
      <c r="L823" s="1" t="s">
        <v>276</v>
      </c>
      <c r="M823" s="1" t="s">
        <v>6</v>
      </c>
      <c r="P823" s="3" t="s">
        <v>3235</v>
      </c>
      <c r="Q823" s="20">
        <v>26231</v>
      </c>
      <c r="R823" s="3" t="s">
        <v>3210</v>
      </c>
      <c r="U823" s="3" t="s">
        <v>145</v>
      </c>
      <c r="W823" s="2" t="s">
        <v>145</v>
      </c>
      <c r="AE823" s="698"/>
      <c r="AF823" s="655"/>
    </row>
    <row r="824" spans="1:32" ht="12" customHeight="1">
      <c r="A824" s="751" t="s">
        <v>16487</v>
      </c>
      <c r="B824" s="2">
        <v>3</v>
      </c>
      <c r="C824" s="4" t="s">
        <v>3347</v>
      </c>
      <c r="D824" s="1" t="s">
        <v>3355</v>
      </c>
      <c r="E824" s="6">
        <f t="shared" si="12"/>
        <v>41</v>
      </c>
      <c r="F824" s="2" t="s">
        <v>5</v>
      </c>
      <c r="G824" s="1" t="s">
        <v>15273</v>
      </c>
      <c r="H824" s="3" t="s">
        <v>3356</v>
      </c>
      <c r="K824" s="4" t="s">
        <v>16116</v>
      </c>
      <c r="L824" s="1" t="s">
        <v>276</v>
      </c>
      <c r="M824" s="1" t="s">
        <v>25</v>
      </c>
      <c r="N824" s="16">
        <v>3</v>
      </c>
      <c r="O824" s="17">
        <v>3</v>
      </c>
      <c r="P824" s="3" t="s">
        <v>188</v>
      </c>
      <c r="Q824" s="20">
        <v>26162</v>
      </c>
      <c r="R824" s="3" t="s">
        <v>3358</v>
      </c>
      <c r="S824" s="3" t="s">
        <v>3359</v>
      </c>
      <c r="T824" s="3" t="s">
        <v>18564</v>
      </c>
      <c r="U824" s="3" t="s">
        <v>258</v>
      </c>
      <c r="Z824" s="2" t="s">
        <v>155</v>
      </c>
      <c r="AB824" s="2" t="s">
        <v>104</v>
      </c>
      <c r="AE824" s="698"/>
      <c r="AF824" s="655"/>
    </row>
    <row r="825" spans="1:32" ht="12" customHeight="1">
      <c r="A825" s="751" t="s">
        <v>16488</v>
      </c>
      <c r="B825" s="2">
        <v>3</v>
      </c>
      <c r="C825" s="4" t="s">
        <v>3391</v>
      </c>
      <c r="D825" s="1" t="s">
        <v>5331</v>
      </c>
      <c r="E825" s="6">
        <f t="shared" si="12"/>
        <v>43</v>
      </c>
      <c r="F825" s="2" t="s">
        <v>5</v>
      </c>
      <c r="G825" s="1" t="s">
        <v>15273</v>
      </c>
      <c r="K825" s="4" t="s">
        <v>16116</v>
      </c>
      <c r="L825" s="1" t="s">
        <v>276</v>
      </c>
      <c r="M825" s="1" t="s">
        <v>6</v>
      </c>
      <c r="P825" s="3" t="s">
        <v>381</v>
      </c>
      <c r="Q825" s="21">
        <v>25214</v>
      </c>
      <c r="R825" s="3" t="s">
        <v>5335</v>
      </c>
      <c r="U825" s="3" t="s">
        <v>572</v>
      </c>
      <c r="W825" s="2" t="s">
        <v>145</v>
      </c>
      <c r="AB825" s="2" t="s">
        <v>104</v>
      </c>
      <c r="AE825" s="698"/>
      <c r="AF825" s="655"/>
    </row>
    <row r="826" spans="1:32" ht="12" customHeight="1">
      <c r="A826" s="751" t="s">
        <v>16489</v>
      </c>
      <c r="B826" s="2">
        <v>3</v>
      </c>
      <c r="C826" s="4" t="s">
        <v>3402</v>
      </c>
      <c r="D826" s="1" t="s">
        <v>3411</v>
      </c>
      <c r="E826" s="6">
        <f t="shared" si="12"/>
        <v>65</v>
      </c>
      <c r="F826" s="2" t="s">
        <v>5</v>
      </c>
      <c r="G826" s="1" t="s">
        <v>15273</v>
      </c>
      <c r="H826" s="3" t="s">
        <v>3412</v>
      </c>
      <c r="K826" s="4" t="s">
        <v>16116</v>
      </c>
      <c r="L826" s="1" t="s">
        <v>276</v>
      </c>
      <c r="M826" s="1" t="s">
        <v>25</v>
      </c>
      <c r="N826" s="16">
        <v>5</v>
      </c>
      <c r="O826" s="17">
        <v>7</v>
      </c>
      <c r="P826" s="3" t="s">
        <v>675</v>
      </c>
      <c r="Q826" s="20">
        <v>17177</v>
      </c>
      <c r="R826" s="3" t="s">
        <v>3413</v>
      </c>
      <c r="S826" s="3" t="s">
        <v>3414</v>
      </c>
      <c r="T826" s="3" t="s">
        <v>18564</v>
      </c>
      <c r="U826" s="3" t="s">
        <v>229</v>
      </c>
      <c r="Y826" s="2" t="s">
        <v>229</v>
      </c>
      <c r="AE826" s="698"/>
      <c r="AF826" s="655"/>
    </row>
    <row r="827" spans="1:32" ht="12" customHeight="1">
      <c r="A827" s="751" t="s">
        <v>16490</v>
      </c>
      <c r="B827" s="2">
        <v>3</v>
      </c>
      <c r="C827" s="4" t="s">
        <v>3419</v>
      </c>
      <c r="D827" s="1" t="s">
        <v>4414</v>
      </c>
      <c r="E827" s="6">
        <f t="shared" si="12"/>
        <v>39</v>
      </c>
      <c r="F827" s="2" t="s">
        <v>5</v>
      </c>
      <c r="G827" s="1" t="s">
        <v>15273</v>
      </c>
      <c r="K827" s="4" t="s">
        <v>16116</v>
      </c>
      <c r="L827" s="1" t="s">
        <v>276</v>
      </c>
      <c r="M827" s="1" t="s">
        <v>6</v>
      </c>
      <c r="P827" s="3" t="s">
        <v>4415</v>
      </c>
      <c r="Q827" s="20">
        <v>26758</v>
      </c>
      <c r="R827" s="3" t="s">
        <v>4416</v>
      </c>
      <c r="U827" s="3" t="s">
        <v>145</v>
      </c>
      <c r="W827" s="2" t="s">
        <v>145</v>
      </c>
      <c r="AE827" s="698"/>
      <c r="AF827" s="655"/>
    </row>
    <row r="828" spans="1:32" ht="12" customHeight="1">
      <c r="A828" s="751" t="s">
        <v>16491</v>
      </c>
      <c r="B828" s="2">
        <v>3</v>
      </c>
      <c r="C828" s="4" t="s">
        <v>3455</v>
      </c>
      <c r="D828" s="1" t="s">
        <v>4417</v>
      </c>
      <c r="E828" s="6">
        <f t="shared" si="12"/>
        <v>47</v>
      </c>
      <c r="F828" s="2" t="s">
        <v>5</v>
      </c>
      <c r="G828" s="1" t="s">
        <v>15273</v>
      </c>
      <c r="K828" s="4" t="s">
        <v>16116</v>
      </c>
      <c r="L828" s="1" t="s">
        <v>276</v>
      </c>
      <c r="M828" s="1" t="s">
        <v>6</v>
      </c>
      <c r="P828" s="3" t="s">
        <v>4418</v>
      </c>
      <c r="Q828" s="21">
        <v>23769</v>
      </c>
      <c r="R828" s="3" t="s">
        <v>4419</v>
      </c>
      <c r="U828" s="3" t="s">
        <v>145</v>
      </c>
      <c r="W828" s="2" t="s">
        <v>145</v>
      </c>
      <c r="AE828" s="698"/>
      <c r="AF828" s="655"/>
    </row>
    <row r="829" spans="1:32" ht="12" customHeight="1">
      <c r="A829" s="751" t="s">
        <v>16492</v>
      </c>
      <c r="B829" s="2">
        <v>3</v>
      </c>
      <c r="C829" s="4" t="s">
        <v>3565</v>
      </c>
      <c r="D829" s="1" t="s">
        <v>5098</v>
      </c>
      <c r="E829" s="6">
        <f t="shared" si="12"/>
        <v>46</v>
      </c>
      <c r="F829" s="2" t="s">
        <v>19</v>
      </c>
      <c r="G829" s="1" t="s">
        <v>15273</v>
      </c>
      <c r="K829" s="4" t="s">
        <v>16116</v>
      </c>
      <c r="L829" s="1" t="s">
        <v>4993</v>
      </c>
      <c r="M829" s="1" t="s">
        <v>6</v>
      </c>
      <c r="P829" s="3" t="s">
        <v>675</v>
      </c>
      <c r="Q829" s="20">
        <v>24295</v>
      </c>
      <c r="R829" s="3" t="s">
        <v>5100</v>
      </c>
      <c r="T829" s="3" t="s">
        <v>469</v>
      </c>
      <c r="U829" s="3" t="s">
        <v>145</v>
      </c>
      <c r="W829" s="2" t="s">
        <v>145</v>
      </c>
      <c r="AE829" s="698"/>
      <c r="AF829" s="655"/>
    </row>
    <row r="830" spans="1:32" ht="12" customHeight="1">
      <c r="A830" s="751" t="s">
        <v>16493</v>
      </c>
      <c r="B830" s="2">
        <v>3</v>
      </c>
      <c r="C830" s="4" t="s">
        <v>3745</v>
      </c>
      <c r="D830" s="1" t="s">
        <v>3746</v>
      </c>
      <c r="E830" s="6">
        <f t="shared" si="12"/>
        <v>49</v>
      </c>
      <c r="F830" s="2" t="s">
        <v>5</v>
      </c>
      <c r="G830" s="1" t="s">
        <v>15273</v>
      </c>
      <c r="H830" s="3" t="s">
        <v>3747</v>
      </c>
      <c r="K830" s="4" t="s">
        <v>16116</v>
      </c>
      <c r="L830" s="1" t="s">
        <v>4422</v>
      </c>
      <c r="M830" s="1" t="s">
        <v>25</v>
      </c>
      <c r="N830" s="16">
        <v>1</v>
      </c>
      <c r="O830" s="17">
        <v>1</v>
      </c>
      <c r="P830" s="3" t="s">
        <v>2745</v>
      </c>
      <c r="Q830" s="20">
        <v>23174</v>
      </c>
      <c r="R830" s="3" t="s">
        <v>3749</v>
      </c>
      <c r="T830" s="3" t="s">
        <v>18564</v>
      </c>
      <c r="AE830" s="698"/>
      <c r="AF830" s="655"/>
    </row>
    <row r="831" spans="1:32" ht="12" customHeight="1">
      <c r="A831" s="751" t="s">
        <v>15660</v>
      </c>
      <c r="B831" s="2">
        <v>11</v>
      </c>
      <c r="C831" s="2"/>
      <c r="D831" s="6" t="s">
        <v>6015</v>
      </c>
      <c r="E831" s="6">
        <f t="shared" si="12"/>
        <v>62</v>
      </c>
      <c r="F831" s="6" t="s">
        <v>5</v>
      </c>
      <c r="G831" s="2" t="s">
        <v>6067</v>
      </c>
      <c r="H831" s="19"/>
      <c r="I831" s="6"/>
      <c r="J831" s="19"/>
      <c r="K831" s="19" t="s">
        <v>16130</v>
      </c>
      <c r="L831" s="6" t="s">
        <v>4993</v>
      </c>
      <c r="M831" s="6" t="s">
        <v>6</v>
      </c>
      <c r="N831" s="13"/>
      <c r="O831" s="14"/>
      <c r="P831" s="12" t="s">
        <v>6016</v>
      </c>
      <c r="Q831" s="15">
        <v>18360</v>
      </c>
      <c r="R831" s="12" t="s">
        <v>6017</v>
      </c>
      <c r="S831" s="12"/>
      <c r="T831" s="12"/>
      <c r="U831" s="19" t="s">
        <v>5960</v>
      </c>
      <c r="W831" s="2" t="s">
        <v>5960</v>
      </c>
      <c r="AE831" s="807"/>
      <c r="AF831" s="655"/>
    </row>
    <row r="832" spans="1:32" ht="12" customHeight="1">
      <c r="A832" s="751" t="s">
        <v>16494</v>
      </c>
      <c r="B832" s="2">
        <v>12</v>
      </c>
      <c r="C832" s="4" t="s">
        <v>3027</v>
      </c>
      <c r="D832" s="1" t="s">
        <v>5027</v>
      </c>
      <c r="E832" s="6">
        <f t="shared" si="12"/>
        <v>49</v>
      </c>
      <c r="F832" s="2" t="s">
        <v>5</v>
      </c>
      <c r="G832" s="1" t="s">
        <v>15273</v>
      </c>
      <c r="K832" s="4" t="s">
        <v>16116</v>
      </c>
      <c r="L832" s="1" t="s">
        <v>4997</v>
      </c>
      <c r="M832" s="1" t="s">
        <v>6</v>
      </c>
      <c r="P832" s="3" t="s">
        <v>6158</v>
      </c>
      <c r="Q832" s="20">
        <v>23263</v>
      </c>
      <c r="R832" s="3" t="s">
        <v>5028</v>
      </c>
      <c r="T832" s="3" t="s">
        <v>469</v>
      </c>
      <c r="AE832" s="698"/>
      <c r="AF832" s="655"/>
    </row>
    <row r="833" spans="1:32" ht="12" customHeight="1">
      <c r="A833" s="751" t="s">
        <v>16495</v>
      </c>
      <c r="B833" s="2">
        <v>12</v>
      </c>
      <c r="C833" s="4" t="s">
        <v>3061</v>
      </c>
      <c r="D833" s="1" t="s">
        <v>5419</v>
      </c>
      <c r="E833" s="6">
        <f t="shared" si="12"/>
        <v>44</v>
      </c>
      <c r="F833" s="2" t="s">
        <v>5</v>
      </c>
      <c r="G833" s="1" t="s">
        <v>15273</v>
      </c>
      <c r="K833" s="4" t="s">
        <v>16116</v>
      </c>
      <c r="L833" s="1" t="s">
        <v>4997</v>
      </c>
      <c r="M833" s="1" t="s">
        <v>6</v>
      </c>
      <c r="P833" s="3" t="s">
        <v>245</v>
      </c>
      <c r="Q833" s="20">
        <v>24936</v>
      </c>
      <c r="R833" s="3" t="s">
        <v>5420</v>
      </c>
      <c r="T833" s="3" t="s">
        <v>469</v>
      </c>
      <c r="U833" s="3" t="s">
        <v>145</v>
      </c>
      <c r="W833" s="2" t="s">
        <v>145</v>
      </c>
      <c r="AE833" s="698"/>
      <c r="AF833" s="655"/>
    </row>
    <row r="834" spans="1:32" ht="12" customHeight="1">
      <c r="A834" s="751" t="s">
        <v>16496</v>
      </c>
      <c r="B834" s="2">
        <v>12</v>
      </c>
      <c r="C834" s="4" t="s">
        <v>3075</v>
      </c>
      <c r="D834" s="1" t="s">
        <v>5030</v>
      </c>
      <c r="E834" s="6">
        <f t="shared" ref="E834:E897" si="13">DATEDIF(Q834,$Q$1119,"Y")</f>
        <v>39</v>
      </c>
      <c r="F834" s="2" t="s">
        <v>5</v>
      </c>
      <c r="G834" s="1" t="s">
        <v>15273</v>
      </c>
      <c r="K834" s="4" t="s">
        <v>16116</v>
      </c>
      <c r="L834" s="1" t="s">
        <v>276</v>
      </c>
      <c r="M834" s="1" t="s">
        <v>6</v>
      </c>
      <c r="P834" s="3" t="s">
        <v>16031</v>
      </c>
      <c r="Q834" s="20">
        <v>26910</v>
      </c>
      <c r="R834" s="3" t="s">
        <v>5032</v>
      </c>
      <c r="T834" s="3" t="s">
        <v>469</v>
      </c>
      <c r="U834" s="3" t="s">
        <v>104</v>
      </c>
      <c r="AB834" s="2" t="s">
        <v>104</v>
      </c>
      <c r="AE834" s="698"/>
      <c r="AF834" s="655"/>
    </row>
    <row r="835" spans="1:32" ht="12" customHeight="1">
      <c r="A835" s="751" t="s">
        <v>16497</v>
      </c>
      <c r="B835" s="2">
        <v>12</v>
      </c>
      <c r="C835" s="4" t="s">
        <v>3096</v>
      </c>
      <c r="D835" s="1" t="s">
        <v>5627</v>
      </c>
      <c r="E835" s="6">
        <f t="shared" si="13"/>
        <v>60</v>
      </c>
      <c r="F835" s="2" t="s">
        <v>5</v>
      </c>
      <c r="G835" s="1" t="s">
        <v>15273</v>
      </c>
      <c r="K835" s="4" t="s">
        <v>16116</v>
      </c>
      <c r="L835" s="1" t="s">
        <v>276</v>
      </c>
      <c r="M835" s="1" t="s">
        <v>6</v>
      </c>
      <c r="P835" s="3" t="s">
        <v>3291</v>
      </c>
      <c r="Q835" s="20">
        <v>19047</v>
      </c>
      <c r="R835" s="3" t="s">
        <v>5628</v>
      </c>
      <c r="U835" s="3" t="s">
        <v>145</v>
      </c>
      <c r="W835" s="2" t="s">
        <v>145</v>
      </c>
      <c r="AE835" s="698"/>
      <c r="AF835" s="655"/>
    </row>
    <row r="836" spans="1:32" ht="12" customHeight="1">
      <c r="A836" s="751" t="s">
        <v>16498</v>
      </c>
      <c r="B836" s="2">
        <v>12</v>
      </c>
      <c r="C836" s="4" t="s">
        <v>3130</v>
      </c>
      <c r="D836" s="1" t="s">
        <v>5522</v>
      </c>
      <c r="E836" s="6">
        <f t="shared" si="13"/>
        <v>47</v>
      </c>
      <c r="F836" s="2" t="s">
        <v>5</v>
      </c>
      <c r="G836" s="1" t="s">
        <v>15273</v>
      </c>
      <c r="K836" s="4" t="s">
        <v>16116</v>
      </c>
      <c r="L836" s="1" t="s">
        <v>4997</v>
      </c>
      <c r="M836" s="1" t="s">
        <v>6</v>
      </c>
      <c r="P836" s="3" t="s">
        <v>1493</v>
      </c>
      <c r="Q836" s="21">
        <v>24013</v>
      </c>
      <c r="R836" s="3" t="s">
        <v>5523</v>
      </c>
      <c r="T836" s="3" t="s">
        <v>469</v>
      </c>
      <c r="AE836" s="698"/>
      <c r="AF836" s="655"/>
    </row>
    <row r="837" spans="1:32" ht="12" customHeight="1">
      <c r="A837" s="751" t="s">
        <v>16499</v>
      </c>
      <c r="B837" s="2">
        <v>12</v>
      </c>
      <c r="C837" s="4" t="s">
        <v>3144</v>
      </c>
      <c r="D837" s="1" t="s">
        <v>5630</v>
      </c>
      <c r="E837" s="6">
        <f t="shared" si="13"/>
        <v>58</v>
      </c>
      <c r="F837" s="2" t="s">
        <v>19</v>
      </c>
      <c r="G837" s="1" t="s">
        <v>15273</v>
      </c>
      <c r="K837" s="4" t="s">
        <v>16116</v>
      </c>
      <c r="L837" s="1" t="s">
        <v>4997</v>
      </c>
      <c r="M837" s="1" t="s">
        <v>6</v>
      </c>
      <c r="P837" s="3" t="s">
        <v>16034</v>
      </c>
      <c r="Q837" s="20">
        <v>20051</v>
      </c>
      <c r="R837" s="3" t="s">
        <v>5631</v>
      </c>
      <c r="AE837" s="698"/>
      <c r="AF837" s="655"/>
    </row>
    <row r="838" spans="1:32" ht="12" customHeight="1">
      <c r="A838" s="751" t="s">
        <v>16500</v>
      </c>
      <c r="B838" s="2">
        <v>12</v>
      </c>
      <c r="C838" s="4" t="s">
        <v>3188</v>
      </c>
      <c r="D838" s="1" t="s">
        <v>5510</v>
      </c>
      <c r="E838" s="6">
        <f t="shared" si="13"/>
        <v>66</v>
      </c>
      <c r="F838" s="2" t="s">
        <v>5</v>
      </c>
      <c r="G838" s="1" t="s">
        <v>15273</v>
      </c>
      <c r="K838" s="4" t="s">
        <v>16116</v>
      </c>
      <c r="L838" s="1" t="s">
        <v>276</v>
      </c>
      <c r="M838" s="1" t="s">
        <v>14</v>
      </c>
      <c r="N838" s="16">
        <v>1</v>
      </c>
      <c r="O838" s="17">
        <v>1</v>
      </c>
      <c r="P838" s="3" t="s">
        <v>3140</v>
      </c>
      <c r="Q838" s="21">
        <v>16866</v>
      </c>
      <c r="R838" s="3" t="s">
        <v>5512</v>
      </c>
      <c r="U838" s="3" t="s">
        <v>145</v>
      </c>
      <c r="W838" s="2" t="s">
        <v>145</v>
      </c>
      <c r="AE838" s="698"/>
      <c r="AF838" s="655"/>
    </row>
    <row r="839" spans="1:32" ht="12" customHeight="1">
      <c r="A839" s="751" t="s">
        <v>16501</v>
      </c>
      <c r="B839" s="2">
        <v>12</v>
      </c>
      <c r="C839" s="4" t="s">
        <v>3227</v>
      </c>
      <c r="D839" s="1" t="s">
        <v>5422</v>
      </c>
      <c r="E839" s="6">
        <f t="shared" si="13"/>
        <v>37</v>
      </c>
      <c r="F839" s="2" t="s">
        <v>19</v>
      </c>
      <c r="G839" s="1" t="s">
        <v>15273</v>
      </c>
      <c r="K839" s="4" t="s">
        <v>16116</v>
      </c>
      <c r="M839" s="1" t="s">
        <v>6</v>
      </c>
      <c r="P839" s="3" t="s">
        <v>317</v>
      </c>
      <c r="Q839" s="20">
        <v>27673</v>
      </c>
      <c r="R839" s="3" t="s">
        <v>16032</v>
      </c>
      <c r="T839" s="3" t="s">
        <v>469</v>
      </c>
      <c r="U839" s="3" t="s">
        <v>147</v>
      </c>
      <c r="AC839" s="2" t="s">
        <v>147</v>
      </c>
      <c r="AE839" s="698"/>
      <c r="AF839" s="655"/>
    </row>
    <row r="840" spans="1:32" ht="12" customHeight="1">
      <c r="A840" s="751" t="s">
        <v>16502</v>
      </c>
      <c r="B840" s="2">
        <v>12</v>
      </c>
      <c r="C840" s="4" t="s">
        <v>3260</v>
      </c>
      <c r="D840" s="1" t="s">
        <v>5033</v>
      </c>
      <c r="E840" s="6">
        <f t="shared" si="13"/>
        <v>29</v>
      </c>
      <c r="F840" s="2" t="s">
        <v>5</v>
      </c>
      <c r="G840" s="1" t="s">
        <v>15273</v>
      </c>
      <c r="K840" s="4" t="s">
        <v>16116</v>
      </c>
      <c r="L840" s="1" t="s">
        <v>4997</v>
      </c>
      <c r="M840" s="1" t="s">
        <v>6</v>
      </c>
      <c r="P840" s="3" t="s">
        <v>317</v>
      </c>
      <c r="Q840" s="20">
        <v>30504</v>
      </c>
      <c r="R840" s="3" t="s">
        <v>6159</v>
      </c>
      <c r="T840" s="3" t="s">
        <v>469</v>
      </c>
      <c r="U840" s="3" t="s">
        <v>47</v>
      </c>
      <c r="V840" s="2" t="s">
        <v>47</v>
      </c>
      <c r="AE840" s="698"/>
      <c r="AF840" s="655"/>
    </row>
    <row r="841" spans="1:32" ht="12" customHeight="1">
      <c r="A841" s="751" t="s">
        <v>16503</v>
      </c>
      <c r="B841" s="2">
        <v>12</v>
      </c>
      <c r="C841" s="4" t="s">
        <v>3302</v>
      </c>
      <c r="D841" s="1" t="s">
        <v>5034</v>
      </c>
      <c r="E841" s="6">
        <f t="shared" si="13"/>
        <v>29</v>
      </c>
      <c r="F841" s="2" t="s">
        <v>19</v>
      </c>
      <c r="G841" s="1" t="s">
        <v>15273</v>
      </c>
      <c r="K841" s="4" t="s">
        <v>16116</v>
      </c>
      <c r="L841" s="1" t="s">
        <v>4997</v>
      </c>
      <c r="M841" s="1" t="s">
        <v>6</v>
      </c>
      <c r="P841" s="3" t="s">
        <v>5616</v>
      </c>
      <c r="Q841" s="20">
        <v>30436</v>
      </c>
      <c r="R841" s="3" t="s">
        <v>16304</v>
      </c>
      <c r="T841" s="3" t="s">
        <v>469</v>
      </c>
      <c r="AE841" s="698"/>
      <c r="AF841" s="655"/>
    </row>
    <row r="842" spans="1:32" ht="12" customHeight="1">
      <c r="A842" s="751" t="s">
        <v>16504</v>
      </c>
      <c r="B842" s="2">
        <v>12</v>
      </c>
      <c r="C842" s="4" t="s">
        <v>3318</v>
      </c>
      <c r="D842" s="1" t="s">
        <v>5035</v>
      </c>
      <c r="E842" s="6">
        <f t="shared" si="13"/>
        <v>43</v>
      </c>
      <c r="F842" s="2" t="s">
        <v>5</v>
      </c>
      <c r="G842" s="1" t="s">
        <v>15273</v>
      </c>
      <c r="K842" s="4" t="s">
        <v>16116</v>
      </c>
      <c r="L842" s="1" t="s">
        <v>4997</v>
      </c>
      <c r="M842" s="1" t="s">
        <v>6</v>
      </c>
      <c r="P842" s="3" t="s">
        <v>31</v>
      </c>
      <c r="Q842" s="20">
        <v>25323</v>
      </c>
      <c r="R842" s="3" t="s">
        <v>3490</v>
      </c>
      <c r="T842" s="3" t="s">
        <v>469</v>
      </c>
      <c r="AE842" s="698"/>
      <c r="AF842" s="655"/>
    </row>
    <row r="843" spans="1:32" ht="12" customHeight="1">
      <c r="A843" s="751" t="s">
        <v>16505</v>
      </c>
      <c r="B843" s="2">
        <v>12</v>
      </c>
      <c r="C843" s="4" t="s">
        <v>3329</v>
      </c>
      <c r="D843" s="1" t="s">
        <v>5036</v>
      </c>
      <c r="E843" s="6">
        <f t="shared" si="13"/>
        <v>47</v>
      </c>
      <c r="F843" s="2" t="s">
        <v>5</v>
      </c>
      <c r="G843" s="1" t="s">
        <v>15273</v>
      </c>
      <c r="K843" s="4" t="s">
        <v>16116</v>
      </c>
      <c r="L843" s="1" t="s">
        <v>4997</v>
      </c>
      <c r="M843" s="1" t="s">
        <v>6</v>
      </c>
      <c r="P843" s="3" t="s">
        <v>302</v>
      </c>
      <c r="Q843" s="20">
        <v>24029</v>
      </c>
      <c r="R843" s="3" t="s">
        <v>5037</v>
      </c>
      <c r="U843" s="3" t="s">
        <v>47</v>
      </c>
      <c r="V843" s="2" t="s">
        <v>47</v>
      </c>
      <c r="AE843" s="698"/>
      <c r="AF843" s="655"/>
    </row>
    <row r="844" spans="1:32" ht="12" customHeight="1">
      <c r="A844" s="751" t="s">
        <v>16506</v>
      </c>
      <c r="B844" s="2">
        <v>12</v>
      </c>
      <c r="C844" s="4" t="s">
        <v>3364</v>
      </c>
      <c r="D844" s="1" t="s">
        <v>5038</v>
      </c>
      <c r="E844" s="6">
        <f t="shared" si="13"/>
        <v>48</v>
      </c>
      <c r="F844" s="2" t="s">
        <v>5</v>
      </c>
      <c r="G844" s="1" t="s">
        <v>15273</v>
      </c>
      <c r="K844" s="4" t="s">
        <v>16116</v>
      </c>
      <c r="L844" s="1" t="s">
        <v>4997</v>
      </c>
      <c r="M844" s="1" t="s">
        <v>6</v>
      </c>
      <c r="P844" s="3" t="s">
        <v>3016</v>
      </c>
      <c r="Q844" s="20">
        <v>23380</v>
      </c>
      <c r="R844" s="3" t="s">
        <v>5617</v>
      </c>
      <c r="T844" s="3" t="s">
        <v>469</v>
      </c>
      <c r="AE844" s="698"/>
      <c r="AF844" s="655"/>
    </row>
    <row r="845" spans="1:32" ht="12" customHeight="1">
      <c r="A845" s="751" t="s">
        <v>16507</v>
      </c>
      <c r="B845" s="2">
        <v>12</v>
      </c>
      <c r="C845" s="4" t="s">
        <v>3466</v>
      </c>
      <c r="D845" s="1" t="s">
        <v>3481</v>
      </c>
      <c r="E845" s="6">
        <f t="shared" si="13"/>
        <v>44</v>
      </c>
      <c r="F845" s="2" t="s">
        <v>5</v>
      </c>
      <c r="G845" s="1" t="s">
        <v>15273</v>
      </c>
      <c r="K845" s="4" t="s">
        <v>16116</v>
      </c>
      <c r="L845" s="1" t="s">
        <v>276</v>
      </c>
      <c r="M845" s="1" t="s">
        <v>6</v>
      </c>
      <c r="P845" s="3" t="s">
        <v>3482</v>
      </c>
      <c r="Q845" s="21">
        <v>24995</v>
      </c>
      <c r="R845" s="3" t="s">
        <v>3483</v>
      </c>
      <c r="T845" s="3" t="s">
        <v>469</v>
      </c>
      <c r="AE845" s="698"/>
      <c r="AF845" s="655"/>
    </row>
    <row r="846" spans="1:32" ht="12" customHeight="1">
      <c r="A846" s="751" t="s">
        <v>16508</v>
      </c>
      <c r="B846" s="2">
        <v>12</v>
      </c>
      <c r="C846" s="4" t="s">
        <v>3486</v>
      </c>
      <c r="D846" s="1" t="s">
        <v>5039</v>
      </c>
      <c r="E846" s="6">
        <f t="shared" si="13"/>
        <v>28</v>
      </c>
      <c r="F846" s="2" t="s">
        <v>5</v>
      </c>
      <c r="G846" s="1" t="s">
        <v>15273</v>
      </c>
      <c r="K846" s="4" t="s">
        <v>16116</v>
      </c>
      <c r="L846" s="1" t="s">
        <v>4997</v>
      </c>
      <c r="M846" s="1" t="s">
        <v>6</v>
      </c>
      <c r="P846" s="3" t="s">
        <v>317</v>
      </c>
      <c r="Q846" s="21">
        <v>30691</v>
      </c>
      <c r="R846" s="3" t="s">
        <v>16671</v>
      </c>
      <c r="T846" s="3" t="s">
        <v>469</v>
      </c>
      <c r="U846" s="3" t="s">
        <v>1510</v>
      </c>
      <c r="V846" s="2" t="s">
        <v>47</v>
      </c>
      <c r="AD846" s="2" t="s">
        <v>146</v>
      </c>
      <c r="AE846" s="698"/>
      <c r="AF846" s="655"/>
    </row>
    <row r="847" spans="1:32" ht="12" customHeight="1">
      <c r="A847" s="751" t="s">
        <v>16509</v>
      </c>
      <c r="B847" s="2">
        <v>12</v>
      </c>
      <c r="C847" s="4" t="s">
        <v>3537</v>
      </c>
      <c r="D847" s="1" t="s">
        <v>5041</v>
      </c>
      <c r="E847" s="6">
        <f t="shared" si="13"/>
        <v>50</v>
      </c>
      <c r="F847" s="2" t="s">
        <v>5</v>
      </c>
      <c r="G847" s="1" t="s">
        <v>15273</v>
      </c>
      <c r="K847" s="4" t="s">
        <v>16116</v>
      </c>
      <c r="L847" s="1" t="s">
        <v>276</v>
      </c>
      <c r="M847" s="1" t="s">
        <v>6</v>
      </c>
      <c r="P847" s="3" t="s">
        <v>1282</v>
      </c>
      <c r="Q847" s="20">
        <v>22765</v>
      </c>
      <c r="R847" s="3" t="s">
        <v>5042</v>
      </c>
      <c r="T847" s="3" t="s">
        <v>469</v>
      </c>
      <c r="U847" s="3" t="s">
        <v>145</v>
      </c>
      <c r="W847" s="2" t="s">
        <v>145</v>
      </c>
      <c r="AE847" s="698"/>
      <c r="AF847" s="655"/>
    </row>
    <row r="848" spans="1:32" ht="12" customHeight="1">
      <c r="A848" s="751" t="s">
        <v>16510</v>
      </c>
      <c r="B848" s="2">
        <v>12</v>
      </c>
      <c r="C848" s="4" t="s">
        <v>3548</v>
      </c>
      <c r="D848" s="1" t="s">
        <v>5424</v>
      </c>
      <c r="E848" s="6">
        <f t="shared" si="13"/>
        <v>38</v>
      </c>
      <c r="F848" s="2" t="s">
        <v>5</v>
      </c>
      <c r="G848" s="1" t="s">
        <v>15273</v>
      </c>
      <c r="K848" s="4" t="s">
        <v>16116</v>
      </c>
      <c r="L848" s="1" t="s">
        <v>4997</v>
      </c>
      <c r="M848" s="1" t="s">
        <v>6</v>
      </c>
      <c r="P848" s="3" t="s">
        <v>5425</v>
      </c>
      <c r="Q848" s="21">
        <v>27209</v>
      </c>
      <c r="R848" s="3" t="s">
        <v>5426</v>
      </c>
      <c r="T848" s="3" t="s">
        <v>469</v>
      </c>
      <c r="U848" s="3" t="s">
        <v>155</v>
      </c>
      <c r="Z848" s="2" t="s">
        <v>155</v>
      </c>
      <c r="AE848" s="698"/>
      <c r="AF848" s="655"/>
    </row>
    <row r="849" spans="1:32" ht="12" customHeight="1">
      <c r="A849" s="751" t="s">
        <v>16511</v>
      </c>
      <c r="B849" s="2">
        <v>12</v>
      </c>
      <c r="C849" s="4" t="s">
        <v>3584</v>
      </c>
      <c r="D849" s="1" t="s">
        <v>3595</v>
      </c>
      <c r="E849" s="6">
        <f t="shared" si="13"/>
        <v>45</v>
      </c>
      <c r="F849" s="2" t="s">
        <v>19</v>
      </c>
      <c r="G849" s="1" t="s">
        <v>15273</v>
      </c>
      <c r="K849" s="4" t="s">
        <v>16116</v>
      </c>
      <c r="L849" s="1" t="s">
        <v>469</v>
      </c>
      <c r="M849" s="1" t="s">
        <v>6</v>
      </c>
      <c r="P849" s="3" t="s">
        <v>3596</v>
      </c>
      <c r="Q849" s="20">
        <v>24584</v>
      </c>
      <c r="R849" s="3" t="s">
        <v>3597</v>
      </c>
      <c r="AE849" s="698"/>
      <c r="AF849" s="655"/>
    </row>
    <row r="850" spans="1:32" ht="12" customHeight="1">
      <c r="A850" s="751" t="s">
        <v>16512</v>
      </c>
      <c r="B850" s="2">
        <v>12</v>
      </c>
      <c r="C850" s="4" t="s">
        <v>3631</v>
      </c>
      <c r="D850" s="1" t="s">
        <v>5428</v>
      </c>
      <c r="E850" s="6">
        <f t="shared" si="13"/>
        <v>45</v>
      </c>
      <c r="F850" s="2" t="s">
        <v>5</v>
      </c>
      <c r="G850" s="1" t="s">
        <v>15273</v>
      </c>
      <c r="K850" s="4" t="s">
        <v>16116</v>
      </c>
      <c r="L850" s="1" t="s">
        <v>4997</v>
      </c>
      <c r="M850" s="1" t="s">
        <v>6</v>
      </c>
      <c r="P850" s="3" t="s">
        <v>2291</v>
      </c>
      <c r="Q850" s="21">
        <v>24586</v>
      </c>
      <c r="R850" s="3" t="s">
        <v>6150</v>
      </c>
      <c r="T850" s="3" t="s">
        <v>469</v>
      </c>
      <c r="AE850" s="698"/>
      <c r="AF850" s="655"/>
    </row>
    <row r="851" spans="1:32" ht="12" customHeight="1">
      <c r="A851" s="751" t="s">
        <v>16513</v>
      </c>
      <c r="B851" s="2">
        <v>12</v>
      </c>
      <c r="C851" s="4" t="s">
        <v>3642</v>
      </c>
      <c r="D851" s="1" t="s">
        <v>5045</v>
      </c>
      <c r="E851" s="6">
        <f t="shared" si="13"/>
        <v>30</v>
      </c>
      <c r="F851" s="2" t="s">
        <v>5</v>
      </c>
      <c r="G851" s="1" t="s">
        <v>15273</v>
      </c>
      <c r="K851" s="4" t="s">
        <v>16116</v>
      </c>
      <c r="L851" s="1" t="s">
        <v>4997</v>
      </c>
      <c r="M851" s="1" t="s">
        <v>6</v>
      </c>
      <c r="P851" s="3" t="s">
        <v>317</v>
      </c>
      <c r="Q851" s="21">
        <v>30268</v>
      </c>
      <c r="R851" s="3" t="s">
        <v>16522</v>
      </c>
      <c r="T851" s="3" t="s">
        <v>469</v>
      </c>
      <c r="AE851" s="698"/>
      <c r="AF851" s="655"/>
    </row>
    <row r="852" spans="1:32" ht="12" customHeight="1">
      <c r="A852" s="751" t="s">
        <v>16514</v>
      </c>
      <c r="B852" s="2">
        <v>12</v>
      </c>
      <c r="C852" s="4" t="s">
        <v>3655</v>
      </c>
      <c r="D852" s="1" t="s">
        <v>5430</v>
      </c>
      <c r="E852" s="6">
        <f t="shared" si="13"/>
        <v>26</v>
      </c>
      <c r="F852" s="2" t="s">
        <v>5</v>
      </c>
      <c r="G852" s="1" t="s">
        <v>15273</v>
      </c>
      <c r="K852" s="4" t="s">
        <v>16116</v>
      </c>
      <c r="L852" s="1" t="s">
        <v>4997</v>
      </c>
      <c r="M852" s="1" t="s">
        <v>6</v>
      </c>
      <c r="P852" s="3" t="s">
        <v>16049</v>
      </c>
      <c r="Q852" s="20">
        <v>31731</v>
      </c>
      <c r="R852" s="3" t="s">
        <v>5536</v>
      </c>
      <c r="T852" s="3" t="s">
        <v>469</v>
      </c>
      <c r="AE852" s="698"/>
      <c r="AF852" s="655"/>
    </row>
    <row r="853" spans="1:32" ht="12" customHeight="1">
      <c r="A853" s="751" t="s">
        <v>16515</v>
      </c>
      <c r="B853" s="2">
        <v>12</v>
      </c>
      <c r="C853" s="4" t="s">
        <v>3668</v>
      </c>
      <c r="D853" s="1" t="s">
        <v>5633</v>
      </c>
      <c r="E853" s="6">
        <f t="shared" si="13"/>
        <v>46</v>
      </c>
      <c r="F853" s="2" t="s">
        <v>5</v>
      </c>
      <c r="G853" s="1" t="s">
        <v>15273</v>
      </c>
      <c r="K853" s="4" t="s">
        <v>16116</v>
      </c>
      <c r="L853" s="1" t="s">
        <v>4997</v>
      </c>
      <c r="M853" s="1" t="s">
        <v>6</v>
      </c>
      <c r="P853" s="3" t="s">
        <v>16050</v>
      </c>
      <c r="Q853" s="20">
        <v>24419</v>
      </c>
      <c r="R853" s="3" t="s">
        <v>5634</v>
      </c>
      <c r="T853" s="3" t="s">
        <v>469</v>
      </c>
      <c r="AE853" s="698"/>
      <c r="AF853" s="655"/>
    </row>
    <row r="854" spans="1:32" ht="12" customHeight="1">
      <c r="A854" s="751" t="s">
        <v>16516</v>
      </c>
      <c r="B854" s="2">
        <v>12</v>
      </c>
      <c r="C854" s="4" t="s">
        <v>3679</v>
      </c>
      <c r="D854" s="1" t="s">
        <v>5047</v>
      </c>
      <c r="E854" s="6">
        <f t="shared" si="13"/>
        <v>52</v>
      </c>
      <c r="F854" s="2" t="s">
        <v>5</v>
      </c>
      <c r="G854" s="1" t="s">
        <v>15273</v>
      </c>
      <c r="K854" s="4" t="s">
        <v>16116</v>
      </c>
      <c r="L854" s="1" t="s">
        <v>4997</v>
      </c>
      <c r="M854" s="1" t="s">
        <v>6</v>
      </c>
      <c r="P854" s="3" t="s">
        <v>5048</v>
      </c>
      <c r="Q854" s="21">
        <v>22205</v>
      </c>
      <c r="R854" s="3" t="s">
        <v>5049</v>
      </c>
      <c r="T854" s="3" t="s">
        <v>469</v>
      </c>
      <c r="U854" s="3" t="s">
        <v>47</v>
      </c>
      <c r="V854" s="2" t="s">
        <v>47</v>
      </c>
      <c r="AE854" s="698"/>
      <c r="AF854" s="655"/>
    </row>
    <row r="855" spans="1:32" ht="12" customHeight="1">
      <c r="A855" s="751" t="s">
        <v>16517</v>
      </c>
      <c r="B855" s="2">
        <v>12</v>
      </c>
      <c r="C855" s="4" t="s">
        <v>3699</v>
      </c>
      <c r="D855" s="1" t="s">
        <v>5051</v>
      </c>
      <c r="E855" s="6">
        <f t="shared" si="13"/>
        <v>33</v>
      </c>
      <c r="F855" s="2" t="s">
        <v>5</v>
      </c>
      <c r="G855" s="1" t="s">
        <v>15273</v>
      </c>
      <c r="K855" s="4" t="s">
        <v>16116</v>
      </c>
      <c r="L855" s="1" t="s">
        <v>4997</v>
      </c>
      <c r="M855" s="1" t="s">
        <v>6</v>
      </c>
      <c r="P855" s="3" t="s">
        <v>657</v>
      </c>
      <c r="Q855" s="20">
        <v>28850</v>
      </c>
      <c r="R855" s="3" t="s">
        <v>6157</v>
      </c>
      <c r="T855" s="3" t="s">
        <v>469</v>
      </c>
      <c r="U855" s="3" t="s">
        <v>47</v>
      </c>
      <c r="V855" s="2" t="s">
        <v>47</v>
      </c>
      <c r="AE855" s="698"/>
      <c r="AF855" s="655"/>
    </row>
    <row r="856" spans="1:32" ht="12" customHeight="1">
      <c r="A856" s="751" t="s">
        <v>16518</v>
      </c>
      <c r="B856" s="2">
        <v>12</v>
      </c>
      <c r="C856" s="4" t="s">
        <v>3709</v>
      </c>
      <c r="D856" s="1" t="s">
        <v>5053</v>
      </c>
      <c r="E856" s="6">
        <f t="shared" si="13"/>
        <v>45</v>
      </c>
      <c r="F856" s="2" t="s">
        <v>5</v>
      </c>
      <c r="G856" s="1" t="s">
        <v>15273</v>
      </c>
      <c r="K856" s="4" t="s">
        <v>16116</v>
      </c>
      <c r="L856" s="1" t="s">
        <v>4997</v>
      </c>
      <c r="M856" s="1" t="s">
        <v>6</v>
      </c>
      <c r="P856" s="3" t="s">
        <v>77</v>
      </c>
      <c r="Q856" s="20">
        <v>24707</v>
      </c>
      <c r="R856" s="3" t="s">
        <v>5054</v>
      </c>
      <c r="T856" s="3" t="s">
        <v>469</v>
      </c>
      <c r="AE856" s="698"/>
      <c r="AF856" s="655"/>
    </row>
    <row r="857" spans="1:32" ht="12" customHeight="1">
      <c r="A857" s="751" t="s">
        <v>16519</v>
      </c>
      <c r="B857" s="2">
        <v>12</v>
      </c>
      <c r="C857" s="4" t="s">
        <v>3720</v>
      </c>
      <c r="D857" s="1" t="s">
        <v>5525</v>
      </c>
      <c r="E857" s="6">
        <f t="shared" si="13"/>
        <v>45</v>
      </c>
      <c r="F857" s="2" t="s">
        <v>5</v>
      </c>
      <c r="G857" s="1" t="s">
        <v>15273</v>
      </c>
      <c r="K857" s="4" t="s">
        <v>16116</v>
      </c>
      <c r="L857" s="1" t="s">
        <v>4997</v>
      </c>
      <c r="M857" s="1" t="s">
        <v>6</v>
      </c>
      <c r="P857" s="3" t="s">
        <v>669</v>
      </c>
      <c r="Q857" s="21">
        <v>24558</v>
      </c>
      <c r="R857" s="3" t="s">
        <v>5592</v>
      </c>
      <c r="T857" s="3" t="s">
        <v>469</v>
      </c>
      <c r="U857" s="3" t="s">
        <v>572</v>
      </c>
      <c r="W857" s="2" t="s">
        <v>145</v>
      </c>
      <c r="AB857" s="2" t="s">
        <v>104</v>
      </c>
      <c r="AE857" s="698"/>
      <c r="AF857" s="655"/>
    </row>
    <row r="858" spans="1:32" ht="12" customHeight="1">
      <c r="A858" s="751" t="s">
        <v>16520</v>
      </c>
      <c r="B858" s="2">
        <v>12</v>
      </c>
      <c r="C858" s="4" t="s">
        <v>3731</v>
      </c>
      <c r="D858" s="1" t="s">
        <v>1293</v>
      </c>
      <c r="E858" s="6">
        <f t="shared" si="13"/>
        <v>40</v>
      </c>
      <c r="F858" s="2" t="s">
        <v>5</v>
      </c>
      <c r="G858" s="1" t="s">
        <v>15273</v>
      </c>
      <c r="K858" s="4" t="s">
        <v>16116</v>
      </c>
      <c r="L858" s="1" t="s">
        <v>276</v>
      </c>
      <c r="M858" s="1" t="s">
        <v>14</v>
      </c>
      <c r="N858" s="16">
        <v>1</v>
      </c>
      <c r="O858" s="17">
        <v>1</v>
      </c>
      <c r="P858" s="3" t="s">
        <v>31</v>
      </c>
      <c r="Q858" s="20">
        <v>26595</v>
      </c>
      <c r="R858" s="3" t="s">
        <v>1295</v>
      </c>
      <c r="U858" s="3" t="s">
        <v>155</v>
      </c>
      <c r="Z858" s="2" t="s">
        <v>155</v>
      </c>
      <c r="AE858" s="698"/>
      <c r="AF858" s="655"/>
    </row>
    <row r="859" spans="1:32" ht="12" customHeight="1">
      <c r="A859" s="751" t="s">
        <v>16521</v>
      </c>
      <c r="B859" s="2">
        <v>12</v>
      </c>
      <c r="C859" s="4" t="s">
        <v>3760</v>
      </c>
      <c r="D859" s="1" t="s">
        <v>5303</v>
      </c>
      <c r="E859" s="6">
        <f t="shared" si="13"/>
        <v>45</v>
      </c>
      <c r="F859" s="2" t="s">
        <v>5</v>
      </c>
      <c r="G859" s="1" t="s">
        <v>15273</v>
      </c>
      <c r="K859" s="4" t="s">
        <v>16116</v>
      </c>
      <c r="L859" s="1" t="s">
        <v>4422</v>
      </c>
      <c r="M859" s="1" t="s">
        <v>6</v>
      </c>
      <c r="P859" s="3" t="s">
        <v>3047</v>
      </c>
      <c r="Q859" s="21">
        <v>24709</v>
      </c>
      <c r="R859" s="3" t="s">
        <v>5304</v>
      </c>
      <c r="T859" s="3" t="s">
        <v>469</v>
      </c>
      <c r="U859" s="3" t="s">
        <v>145</v>
      </c>
      <c r="W859" s="2" t="s">
        <v>145</v>
      </c>
      <c r="AE859" s="698"/>
      <c r="AF859" s="655"/>
    </row>
    <row r="860" spans="1:32" ht="12" customHeight="1" thickBot="1">
      <c r="A860" s="752" t="s">
        <v>15667</v>
      </c>
      <c r="B860" s="702">
        <v>40</v>
      </c>
      <c r="C860" s="702"/>
      <c r="D860" s="701" t="s">
        <v>15668</v>
      </c>
      <c r="E860" s="701">
        <f t="shared" si="13"/>
        <v>46</v>
      </c>
      <c r="F860" s="701" t="s">
        <v>5</v>
      </c>
      <c r="G860" s="702" t="s">
        <v>6067</v>
      </c>
      <c r="H860" s="741"/>
      <c r="I860" s="701"/>
      <c r="J860" s="741"/>
      <c r="K860" s="704" t="s">
        <v>16130</v>
      </c>
      <c r="L860" s="701" t="s">
        <v>15669</v>
      </c>
      <c r="M860" s="701" t="s">
        <v>6</v>
      </c>
      <c r="N860" s="742"/>
      <c r="O860" s="743"/>
      <c r="P860" s="740" t="s">
        <v>83</v>
      </c>
      <c r="Q860" s="744">
        <v>24424</v>
      </c>
      <c r="R860" s="740" t="s">
        <v>16523</v>
      </c>
      <c r="S860" s="740"/>
      <c r="T860" s="740"/>
      <c r="U860" s="741"/>
      <c r="V860" s="702"/>
      <c r="W860" s="702"/>
      <c r="X860" s="702"/>
      <c r="Y860" s="702"/>
      <c r="Z860" s="702"/>
      <c r="AA860" s="702"/>
      <c r="AB860" s="702"/>
      <c r="AC860" s="702"/>
      <c r="AD860" s="702"/>
      <c r="AE860" s="792"/>
      <c r="AF860" s="655"/>
    </row>
    <row r="861" spans="1:32" ht="12" customHeight="1">
      <c r="A861" s="757" t="s">
        <v>16524</v>
      </c>
      <c r="B861" s="696">
        <v>1</v>
      </c>
      <c r="C861" s="688" t="s">
        <v>3042</v>
      </c>
      <c r="D861" s="687" t="s">
        <v>3057</v>
      </c>
      <c r="E861" s="690">
        <f t="shared" si="13"/>
        <v>52</v>
      </c>
      <c r="F861" s="696" t="s">
        <v>5</v>
      </c>
      <c r="G861" s="687" t="s">
        <v>15273</v>
      </c>
      <c r="H861" s="747"/>
      <c r="I861" s="687"/>
      <c r="J861" s="687"/>
      <c r="K861" s="688" t="s">
        <v>16128</v>
      </c>
      <c r="L861" s="687"/>
      <c r="M861" s="687" t="s">
        <v>6</v>
      </c>
      <c r="N861" s="748"/>
      <c r="O861" s="749"/>
      <c r="P861" s="747" t="s">
        <v>1493</v>
      </c>
      <c r="Q861" s="773">
        <v>21931</v>
      </c>
      <c r="R861" s="747" t="s">
        <v>3058</v>
      </c>
      <c r="S861" s="747"/>
      <c r="T861" s="747" t="s">
        <v>6031</v>
      </c>
      <c r="U861" s="747" t="s">
        <v>47</v>
      </c>
      <c r="V861" s="696" t="s">
        <v>47</v>
      </c>
      <c r="W861" s="696"/>
      <c r="X861" s="696"/>
      <c r="Y861" s="696"/>
      <c r="Z861" s="696"/>
      <c r="AA861" s="696"/>
      <c r="AB861" s="696"/>
      <c r="AC861" s="696"/>
      <c r="AD861" s="696"/>
      <c r="AE861" s="697"/>
      <c r="AF861" s="655"/>
    </row>
    <row r="862" spans="1:32" ht="12" customHeight="1">
      <c r="A862" s="758" t="s">
        <v>16525</v>
      </c>
      <c r="B862" s="2">
        <v>1</v>
      </c>
      <c r="C862" s="4" t="s">
        <v>3097</v>
      </c>
      <c r="D862" s="1" t="s">
        <v>3112</v>
      </c>
      <c r="E862" s="6">
        <f t="shared" si="13"/>
        <v>53</v>
      </c>
      <c r="F862" s="2" t="s">
        <v>5</v>
      </c>
      <c r="G862" s="1" t="s">
        <v>15273</v>
      </c>
      <c r="H862" s="3" t="s">
        <v>3113</v>
      </c>
      <c r="K862" s="4" t="s">
        <v>16128</v>
      </c>
      <c r="M862" s="1" t="s">
        <v>25</v>
      </c>
      <c r="N862" s="16">
        <v>1</v>
      </c>
      <c r="O862" s="17">
        <v>1</v>
      </c>
      <c r="P862" s="3" t="s">
        <v>3114</v>
      </c>
      <c r="Q862" s="20">
        <v>21741</v>
      </c>
      <c r="R862" s="3" t="s">
        <v>3115</v>
      </c>
      <c r="U862" s="3" t="s">
        <v>85</v>
      </c>
      <c r="AA862" s="2" t="s">
        <v>85</v>
      </c>
      <c r="AE862" s="698"/>
      <c r="AF862" s="655"/>
    </row>
    <row r="863" spans="1:32" ht="12" customHeight="1">
      <c r="A863" s="758" t="s">
        <v>16526</v>
      </c>
      <c r="B863" s="2">
        <v>1</v>
      </c>
      <c r="C863" s="4" t="s">
        <v>3145</v>
      </c>
      <c r="D863" s="1" t="s">
        <v>3157</v>
      </c>
      <c r="E863" s="6">
        <f t="shared" si="13"/>
        <v>62</v>
      </c>
      <c r="F863" s="2" t="s">
        <v>5</v>
      </c>
      <c r="G863" s="1" t="s">
        <v>15273</v>
      </c>
      <c r="K863" s="4" t="s">
        <v>16128</v>
      </c>
      <c r="M863" s="1" t="s">
        <v>6</v>
      </c>
      <c r="P863" s="3" t="s">
        <v>3158</v>
      </c>
      <c r="Q863" s="20">
        <v>18590</v>
      </c>
      <c r="R863" s="3" t="s">
        <v>3159</v>
      </c>
      <c r="AE863" s="698"/>
      <c r="AF863" s="655"/>
    </row>
    <row r="864" spans="1:32" ht="12" customHeight="1">
      <c r="A864" s="758" t="s">
        <v>16527</v>
      </c>
      <c r="B864" s="2">
        <v>1</v>
      </c>
      <c r="C864" s="4" t="s">
        <v>3378</v>
      </c>
      <c r="D864" s="1" t="s">
        <v>3242</v>
      </c>
      <c r="E864" s="6">
        <f t="shared" si="13"/>
        <v>43</v>
      </c>
      <c r="F864" s="2" t="s">
        <v>5</v>
      </c>
      <c r="G864" s="1" t="s">
        <v>15273</v>
      </c>
      <c r="K864" s="4" t="s">
        <v>16128</v>
      </c>
      <c r="M864" s="1" t="s">
        <v>6</v>
      </c>
      <c r="P864" s="3" t="s">
        <v>466</v>
      </c>
      <c r="Q864" s="20">
        <v>25336</v>
      </c>
      <c r="R864" s="3" t="s">
        <v>3244</v>
      </c>
      <c r="T864" s="3" t="s">
        <v>5092</v>
      </c>
      <c r="AE864" s="698"/>
      <c r="AF864" s="655"/>
    </row>
    <row r="865" spans="1:32" ht="12" customHeight="1">
      <c r="A865" s="758" t="s">
        <v>16528</v>
      </c>
      <c r="B865" s="2">
        <v>1</v>
      </c>
      <c r="C865" s="4" t="s">
        <v>3506</v>
      </c>
      <c r="D865" s="1" t="s">
        <v>3519</v>
      </c>
      <c r="E865" s="6">
        <f t="shared" si="13"/>
        <v>38</v>
      </c>
      <c r="F865" s="2" t="s">
        <v>5</v>
      </c>
      <c r="G865" s="1" t="s">
        <v>15273</v>
      </c>
      <c r="K865" s="8" t="s">
        <v>16128</v>
      </c>
      <c r="M865" s="1" t="s">
        <v>6</v>
      </c>
      <c r="P865" s="3" t="s">
        <v>1493</v>
      </c>
      <c r="Q865" s="20">
        <v>27115</v>
      </c>
      <c r="R865" s="3" t="s">
        <v>3520</v>
      </c>
      <c r="T865" s="3" t="s">
        <v>6031</v>
      </c>
      <c r="U865" s="3" t="s">
        <v>145</v>
      </c>
      <c r="W865" s="2" t="s">
        <v>145</v>
      </c>
      <c r="AE865" s="698"/>
      <c r="AF865" s="655"/>
    </row>
    <row r="866" spans="1:32" ht="12" customHeight="1" thickBot="1">
      <c r="A866" s="759" t="s">
        <v>16529</v>
      </c>
      <c r="B866" s="702">
        <v>1</v>
      </c>
      <c r="C866" s="700" t="s">
        <v>3600</v>
      </c>
      <c r="D866" s="699" t="s">
        <v>3609</v>
      </c>
      <c r="E866" s="701">
        <f t="shared" si="13"/>
        <v>40</v>
      </c>
      <c r="F866" s="702" t="s">
        <v>5</v>
      </c>
      <c r="G866" s="699" t="s">
        <v>15273</v>
      </c>
      <c r="H866" s="703"/>
      <c r="I866" s="699"/>
      <c r="J866" s="699"/>
      <c r="K866" s="700" t="s">
        <v>16128</v>
      </c>
      <c r="L866" s="699"/>
      <c r="M866" s="699" t="s">
        <v>6</v>
      </c>
      <c r="N866" s="705"/>
      <c r="O866" s="706"/>
      <c r="P866" s="703" t="s">
        <v>3539</v>
      </c>
      <c r="Q866" s="707">
        <v>26480</v>
      </c>
      <c r="R866" s="703" t="s">
        <v>16672</v>
      </c>
      <c r="S866" s="703"/>
      <c r="T866" s="703" t="s">
        <v>6031</v>
      </c>
      <c r="U866" s="703" t="s">
        <v>146</v>
      </c>
      <c r="V866" s="702"/>
      <c r="W866" s="702"/>
      <c r="X866" s="702"/>
      <c r="Y866" s="702"/>
      <c r="Z866" s="702"/>
      <c r="AA866" s="702"/>
      <c r="AB866" s="702"/>
      <c r="AC866" s="702"/>
      <c r="AD866" s="702" t="s">
        <v>146</v>
      </c>
      <c r="AE866" s="708"/>
      <c r="AF866" s="655"/>
    </row>
    <row r="867" spans="1:32" ht="12" customHeight="1">
      <c r="A867" s="760" t="s">
        <v>5677</v>
      </c>
      <c r="B867" s="696">
        <v>1</v>
      </c>
      <c r="C867" s="688" t="s">
        <v>3098</v>
      </c>
      <c r="D867" s="687" t="s">
        <v>3106</v>
      </c>
      <c r="E867" s="690">
        <f t="shared" si="13"/>
        <v>65</v>
      </c>
      <c r="F867" s="696" t="s">
        <v>5</v>
      </c>
      <c r="G867" s="687" t="s">
        <v>15273</v>
      </c>
      <c r="H867" s="747" t="s">
        <v>3107</v>
      </c>
      <c r="I867" s="687"/>
      <c r="J867" s="687"/>
      <c r="K867" s="688" t="s">
        <v>16117</v>
      </c>
      <c r="L867" s="687"/>
      <c r="M867" s="687" t="s">
        <v>25</v>
      </c>
      <c r="N867" s="748">
        <v>6</v>
      </c>
      <c r="O867" s="749">
        <v>6</v>
      </c>
      <c r="P867" s="747" t="s">
        <v>7</v>
      </c>
      <c r="Q867" s="773">
        <v>17178</v>
      </c>
      <c r="R867" s="747" t="s">
        <v>3108</v>
      </c>
      <c r="S867" s="747" t="s">
        <v>3109</v>
      </c>
      <c r="T867" s="747"/>
      <c r="U867" s="747" t="s">
        <v>145</v>
      </c>
      <c r="V867" s="696"/>
      <c r="W867" s="696" t="s">
        <v>145</v>
      </c>
      <c r="X867" s="696"/>
      <c r="Y867" s="696"/>
      <c r="Z867" s="696"/>
      <c r="AA867" s="696"/>
      <c r="AB867" s="696"/>
      <c r="AC867" s="696"/>
      <c r="AD867" s="696"/>
      <c r="AE867" s="697"/>
      <c r="AF867" s="655"/>
    </row>
    <row r="868" spans="1:32" ht="12" customHeight="1">
      <c r="A868" s="806" t="s">
        <v>5678</v>
      </c>
      <c r="B868" s="2">
        <v>2</v>
      </c>
      <c r="C868" s="2"/>
      <c r="D868" s="2" t="s">
        <v>3802</v>
      </c>
      <c r="E868" s="6">
        <f t="shared" si="13"/>
        <v>52</v>
      </c>
      <c r="F868" s="2" t="s">
        <v>5</v>
      </c>
      <c r="G868" s="2" t="s">
        <v>6067</v>
      </c>
      <c r="H868" s="22" t="s">
        <v>3803</v>
      </c>
      <c r="I868" s="2"/>
      <c r="J868" s="2"/>
      <c r="K868" s="8" t="s">
        <v>16117</v>
      </c>
      <c r="L868" s="2"/>
      <c r="M868" s="2" t="s">
        <v>25</v>
      </c>
      <c r="N868" s="24">
        <v>1</v>
      </c>
      <c r="O868" s="25">
        <v>3</v>
      </c>
      <c r="P868" s="22" t="s">
        <v>3804</v>
      </c>
      <c r="Q868" s="21">
        <v>21909</v>
      </c>
      <c r="R868" s="22" t="s">
        <v>3805</v>
      </c>
      <c r="S868" s="22" t="s">
        <v>374</v>
      </c>
      <c r="T868" s="22"/>
      <c r="U868" s="22" t="s">
        <v>3795</v>
      </c>
      <c r="Y868" s="2" t="s">
        <v>3795</v>
      </c>
      <c r="AD868" s="22"/>
      <c r="AE868" s="807"/>
      <c r="AF868" s="655"/>
    </row>
    <row r="869" spans="1:32" ht="12" customHeight="1">
      <c r="A869" s="806" t="s">
        <v>16530</v>
      </c>
      <c r="B869" s="2">
        <v>3</v>
      </c>
      <c r="C869" s="4" t="s">
        <v>3261</v>
      </c>
      <c r="D869" s="1" t="s">
        <v>3270</v>
      </c>
      <c r="E869" s="6">
        <f t="shared" si="13"/>
        <v>44</v>
      </c>
      <c r="F869" s="2" t="s">
        <v>5</v>
      </c>
      <c r="G869" s="1" t="s">
        <v>15273</v>
      </c>
      <c r="K869" s="4" t="s">
        <v>16117</v>
      </c>
      <c r="M869" s="1" t="s">
        <v>6</v>
      </c>
      <c r="P869" s="3" t="s">
        <v>3271</v>
      </c>
      <c r="Q869" s="20">
        <v>24963</v>
      </c>
      <c r="R869" s="3" t="s">
        <v>3273</v>
      </c>
      <c r="U869" s="3" t="s">
        <v>149</v>
      </c>
      <c r="V869" s="2" t="s">
        <v>47</v>
      </c>
      <c r="W869" s="2" t="s">
        <v>145</v>
      </c>
      <c r="AA869" s="2" t="s">
        <v>85</v>
      </c>
      <c r="AE869" s="698"/>
      <c r="AF869" s="655"/>
    </row>
    <row r="870" spans="1:32" ht="12" customHeight="1">
      <c r="A870" s="806" t="s">
        <v>16531</v>
      </c>
      <c r="B870" s="2">
        <v>4</v>
      </c>
      <c r="C870" s="2"/>
      <c r="D870" s="2" t="s">
        <v>3806</v>
      </c>
      <c r="E870" s="6">
        <f t="shared" si="13"/>
        <v>40</v>
      </c>
      <c r="F870" s="2" t="s">
        <v>5</v>
      </c>
      <c r="G870" s="2" t="s">
        <v>6067</v>
      </c>
      <c r="H870" s="22"/>
      <c r="I870" s="2"/>
      <c r="J870" s="2"/>
      <c r="K870" s="8" t="s">
        <v>16117</v>
      </c>
      <c r="L870" s="2"/>
      <c r="M870" s="2" t="s">
        <v>6</v>
      </c>
      <c r="N870" s="24"/>
      <c r="O870" s="25"/>
      <c r="P870" s="22" t="s">
        <v>3807</v>
      </c>
      <c r="Q870" s="21">
        <v>26605</v>
      </c>
      <c r="R870" s="22" t="s">
        <v>3808</v>
      </c>
      <c r="S870" s="22"/>
      <c r="T870" s="22"/>
      <c r="U870" s="22"/>
      <c r="AD870" s="22"/>
      <c r="AE870" s="807"/>
      <c r="AF870" s="655"/>
    </row>
    <row r="871" spans="1:32" ht="12" customHeight="1">
      <c r="A871" s="806" t="s">
        <v>16532</v>
      </c>
      <c r="B871" s="2">
        <v>5</v>
      </c>
      <c r="C871" s="4" t="s">
        <v>5026</v>
      </c>
      <c r="D871" s="1" t="s">
        <v>3037</v>
      </c>
      <c r="E871" s="6">
        <f t="shared" si="13"/>
        <v>54</v>
      </c>
      <c r="F871" s="2" t="s">
        <v>19</v>
      </c>
      <c r="G871" s="1" t="s">
        <v>15273</v>
      </c>
      <c r="K871" s="4" t="s">
        <v>16117</v>
      </c>
      <c r="M871" s="1" t="s">
        <v>6</v>
      </c>
      <c r="P871" s="3" t="s">
        <v>3038</v>
      </c>
      <c r="Q871" s="20">
        <v>21287</v>
      </c>
      <c r="R871" s="3" t="s">
        <v>3039</v>
      </c>
      <c r="U871" s="3" t="s">
        <v>145</v>
      </c>
      <c r="W871" s="2" t="s">
        <v>145</v>
      </c>
      <c r="AE871" s="698"/>
      <c r="AF871" s="655"/>
    </row>
    <row r="872" spans="1:32" ht="12" customHeight="1">
      <c r="A872" s="806" t="s">
        <v>16533</v>
      </c>
      <c r="B872" s="2">
        <v>5</v>
      </c>
      <c r="C872" s="4" t="s">
        <v>5050</v>
      </c>
      <c r="D872" s="1" t="s">
        <v>3704</v>
      </c>
      <c r="E872" s="6">
        <f t="shared" si="13"/>
        <v>64</v>
      </c>
      <c r="F872" s="2" t="s">
        <v>19</v>
      </c>
      <c r="G872" s="1" t="s">
        <v>15273</v>
      </c>
      <c r="K872" s="4" t="s">
        <v>16117</v>
      </c>
      <c r="M872" s="1" t="s">
        <v>6</v>
      </c>
      <c r="P872" s="3" t="s">
        <v>3705</v>
      </c>
      <c r="Q872" s="20">
        <v>17606</v>
      </c>
      <c r="R872" s="3" t="s">
        <v>3706</v>
      </c>
      <c r="U872" s="3" t="s">
        <v>145</v>
      </c>
      <c r="W872" s="2" t="s">
        <v>145</v>
      </c>
      <c r="AE872" s="698"/>
      <c r="AF872" s="655"/>
    </row>
    <row r="873" spans="1:32" ht="12" customHeight="1" thickBot="1">
      <c r="A873" s="761" t="s">
        <v>16534</v>
      </c>
      <c r="B873" s="702">
        <v>5</v>
      </c>
      <c r="C873" s="700" t="s">
        <v>3761</v>
      </c>
      <c r="D873" s="699" t="s">
        <v>3767</v>
      </c>
      <c r="E873" s="701">
        <f t="shared" si="13"/>
        <v>61</v>
      </c>
      <c r="F873" s="702" t="s">
        <v>5</v>
      </c>
      <c r="G873" s="699" t="s">
        <v>15273</v>
      </c>
      <c r="H873" s="703"/>
      <c r="I873" s="699"/>
      <c r="J873" s="699"/>
      <c r="K873" s="700" t="s">
        <v>16117</v>
      </c>
      <c r="L873" s="699"/>
      <c r="M873" s="699" t="s">
        <v>6</v>
      </c>
      <c r="N873" s="705"/>
      <c r="O873" s="706"/>
      <c r="P873" s="703" t="s">
        <v>3079</v>
      </c>
      <c r="Q873" s="707">
        <v>18922</v>
      </c>
      <c r="R873" s="703" t="s">
        <v>3770</v>
      </c>
      <c r="S873" s="703"/>
      <c r="T873" s="703"/>
      <c r="U873" s="703" t="s">
        <v>155</v>
      </c>
      <c r="V873" s="702"/>
      <c r="W873" s="702"/>
      <c r="X873" s="702"/>
      <c r="Y873" s="702"/>
      <c r="Z873" s="702" t="s">
        <v>155</v>
      </c>
      <c r="AA873" s="702"/>
      <c r="AB873" s="702"/>
      <c r="AC873" s="702"/>
      <c r="AD873" s="702"/>
      <c r="AE873" s="708"/>
      <c r="AF873" s="655"/>
    </row>
    <row r="874" spans="1:32" ht="12" customHeight="1">
      <c r="A874" s="784" t="s">
        <v>5679</v>
      </c>
      <c r="B874" s="696">
        <v>1</v>
      </c>
      <c r="C874" s="688" t="s">
        <v>5466</v>
      </c>
      <c r="D874" s="687" t="s">
        <v>5467</v>
      </c>
      <c r="E874" s="690">
        <f t="shared" si="13"/>
        <v>33</v>
      </c>
      <c r="F874" s="696" t="s">
        <v>5</v>
      </c>
      <c r="G874" s="687" t="s">
        <v>15273</v>
      </c>
      <c r="H874" s="747"/>
      <c r="I874" s="687"/>
      <c r="J874" s="687"/>
      <c r="K874" s="692" t="s">
        <v>16121</v>
      </c>
      <c r="L874" s="687"/>
      <c r="M874" s="687" t="s">
        <v>6</v>
      </c>
      <c r="N874" s="748"/>
      <c r="O874" s="749"/>
      <c r="P874" s="747" t="s">
        <v>1493</v>
      </c>
      <c r="Q874" s="719">
        <v>28981</v>
      </c>
      <c r="R874" s="747" t="s">
        <v>5469</v>
      </c>
      <c r="S874" s="747"/>
      <c r="T874" s="747"/>
      <c r="U874" s="747"/>
      <c r="V874" s="696"/>
      <c r="W874" s="696"/>
      <c r="X874" s="696"/>
      <c r="Y874" s="696"/>
      <c r="Z874" s="696"/>
      <c r="AA874" s="696"/>
      <c r="AB874" s="696"/>
      <c r="AC874" s="696"/>
      <c r="AD874" s="696"/>
      <c r="AE874" s="697"/>
      <c r="AF874" s="655"/>
    </row>
    <row r="875" spans="1:32" ht="12" customHeight="1">
      <c r="A875" s="785" t="s">
        <v>16536</v>
      </c>
      <c r="B875" s="2">
        <v>1</v>
      </c>
      <c r="C875" s="4" t="s">
        <v>3262</v>
      </c>
      <c r="D875" s="1" t="s">
        <v>3274</v>
      </c>
      <c r="E875" s="6">
        <f t="shared" si="13"/>
        <v>63</v>
      </c>
      <c r="F875" s="2" t="s">
        <v>5</v>
      </c>
      <c r="G875" s="1" t="s">
        <v>15273</v>
      </c>
      <c r="K875" s="4" t="s">
        <v>16121</v>
      </c>
      <c r="M875" s="1" t="s">
        <v>6</v>
      </c>
      <c r="P875" s="3" t="s">
        <v>3275</v>
      </c>
      <c r="Q875" s="21">
        <v>17899</v>
      </c>
      <c r="R875" s="3" t="s">
        <v>3276</v>
      </c>
      <c r="U875" s="3" t="s">
        <v>69</v>
      </c>
      <c r="AE875" s="698" t="s">
        <v>69</v>
      </c>
      <c r="AF875" s="655"/>
    </row>
    <row r="876" spans="1:32" ht="12" customHeight="1" thickBot="1">
      <c r="A876" s="786" t="s">
        <v>16535</v>
      </c>
      <c r="B876" s="702">
        <v>3</v>
      </c>
      <c r="C876" s="702"/>
      <c r="D876" s="702" t="s">
        <v>5475</v>
      </c>
      <c r="E876" s="701">
        <f t="shared" si="13"/>
        <v>62</v>
      </c>
      <c r="F876" s="702" t="s">
        <v>5</v>
      </c>
      <c r="G876" s="702" t="s">
        <v>6067</v>
      </c>
      <c r="H876" s="720"/>
      <c r="I876" s="702"/>
      <c r="J876" s="702"/>
      <c r="K876" s="704" t="s">
        <v>16121</v>
      </c>
      <c r="L876" s="702"/>
      <c r="M876" s="702" t="s">
        <v>25</v>
      </c>
      <c r="N876" s="721">
        <v>1</v>
      </c>
      <c r="O876" s="722">
        <v>1</v>
      </c>
      <c r="P876" s="720" t="s">
        <v>5476</v>
      </c>
      <c r="Q876" s="723">
        <v>18318</v>
      </c>
      <c r="R876" s="720" t="s">
        <v>5477</v>
      </c>
      <c r="S876" s="720"/>
      <c r="T876" s="720"/>
      <c r="U876" s="720" t="s">
        <v>5478</v>
      </c>
      <c r="V876" s="702"/>
      <c r="W876" s="702"/>
      <c r="X876" s="702"/>
      <c r="Y876" s="702"/>
      <c r="Z876" s="702"/>
      <c r="AA876" s="702"/>
      <c r="AB876" s="702"/>
      <c r="AC876" s="702"/>
      <c r="AD876" s="720"/>
      <c r="AE876" s="792" t="s">
        <v>5478</v>
      </c>
      <c r="AF876" s="655"/>
    </row>
    <row r="877" spans="1:32" ht="12" customHeight="1">
      <c r="A877" s="771" t="s">
        <v>16560</v>
      </c>
      <c r="B877" s="696">
        <v>1</v>
      </c>
      <c r="C877" s="696"/>
      <c r="D877" s="696" t="s">
        <v>3809</v>
      </c>
      <c r="E877" s="690">
        <f t="shared" si="13"/>
        <v>41</v>
      </c>
      <c r="F877" s="696" t="s">
        <v>5</v>
      </c>
      <c r="G877" s="696" t="s">
        <v>6067</v>
      </c>
      <c r="H877" s="715"/>
      <c r="I877" s="696"/>
      <c r="J877" s="696"/>
      <c r="K877" s="716" t="s">
        <v>16122</v>
      </c>
      <c r="L877" s="696" t="s">
        <v>3810</v>
      </c>
      <c r="M877" s="696" t="s">
        <v>6</v>
      </c>
      <c r="N877" s="717"/>
      <c r="O877" s="718"/>
      <c r="P877" s="715" t="s">
        <v>3811</v>
      </c>
      <c r="Q877" s="719">
        <v>26241</v>
      </c>
      <c r="R877" s="715" t="s">
        <v>3812</v>
      </c>
      <c r="S877" s="715"/>
      <c r="T877" s="715"/>
      <c r="U877" s="715"/>
      <c r="V877" s="696"/>
      <c r="W877" s="696"/>
      <c r="X877" s="696"/>
      <c r="Y877" s="696"/>
      <c r="Z877" s="696"/>
      <c r="AA877" s="696"/>
      <c r="AB877" s="696"/>
      <c r="AC877" s="696"/>
      <c r="AD877" s="696"/>
      <c r="AE877" s="697"/>
      <c r="AF877" s="655"/>
    </row>
    <row r="878" spans="1:32" ht="12" customHeight="1">
      <c r="A878" s="789" t="s">
        <v>16561</v>
      </c>
      <c r="B878" s="2">
        <v>2</v>
      </c>
      <c r="C878" s="2"/>
      <c r="D878" s="2" t="s">
        <v>5141</v>
      </c>
      <c r="E878" s="6">
        <f t="shared" si="13"/>
        <v>29</v>
      </c>
      <c r="F878" s="2" t="s">
        <v>19</v>
      </c>
      <c r="G878" s="2" t="s">
        <v>6067</v>
      </c>
      <c r="H878" s="22"/>
      <c r="I878" s="2"/>
      <c r="J878" s="2"/>
      <c r="K878" s="23" t="s">
        <v>16122</v>
      </c>
      <c r="L878" s="2" t="s">
        <v>22</v>
      </c>
      <c r="M878" s="2" t="s">
        <v>6</v>
      </c>
      <c r="N878" s="24"/>
      <c r="O878" s="25"/>
      <c r="P878" s="22" t="s">
        <v>3539</v>
      </c>
      <c r="Q878" s="21">
        <v>30338</v>
      </c>
      <c r="R878" s="22" t="s">
        <v>5103</v>
      </c>
      <c r="S878" s="22"/>
      <c r="T878" s="22"/>
      <c r="U878" s="22"/>
      <c r="AE878" s="698"/>
      <c r="AF878" s="655"/>
    </row>
    <row r="879" spans="1:32" ht="12" customHeight="1">
      <c r="A879" s="789" t="s">
        <v>16562</v>
      </c>
      <c r="B879" s="2">
        <v>3</v>
      </c>
      <c r="C879" s="2"/>
      <c r="D879" s="2" t="s">
        <v>4621</v>
      </c>
      <c r="E879" s="6">
        <f t="shared" si="13"/>
        <v>54</v>
      </c>
      <c r="F879" s="2" t="s">
        <v>5</v>
      </c>
      <c r="G879" s="2" t="s">
        <v>6067</v>
      </c>
      <c r="H879" s="22"/>
      <c r="I879" s="2"/>
      <c r="J879" s="2"/>
      <c r="K879" s="23" t="s">
        <v>16122</v>
      </c>
      <c r="L879" s="2" t="s">
        <v>22</v>
      </c>
      <c r="M879" s="2" t="s">
        <v>6</v>
      </c>
      <c r="N879" s="24"/>
      <c r="O879" s="25"/>
      <c r="P879" s="22" t="s">
        <v>4622</v>
      </c>
      <c r="Q879" s="21">
        <v>21444</v>
      </c>
      <c r="R879" s="22" t="s">
        <v>4623</v>
      </c>
      <c r="S879" s="22"/>
      <c r="T879" s="22"/>
      <c r="U879" s="22"/>
      <c r="AE879" s="698"/>
      <c r="AF879" s="655"/>
    </row>
    <row r="880" spans="1:32" ht="12" customHeight="1">
      <c r="A880" s="789" t="s">
        <v>16563</v>
      </c>
      <c r="B880" s="2">
        <v>4</v>
      </c>
      <c r="C880" s="2"/>
      <c r="D880" s="2" t="s">
        <v>4627</v>
      </c>
      <c r="E880" s="6">
        <f t="shared" si="13"/>
        <v>41</v>
      </c>
      <c r="F880" s="2" t="s">
        <v>19</v>
      </c>
      <c r="G880" s="2" t="s">
        <v>6067</v>
      </c>
      <c r="H880" s="22"/>
      <c r="I880" s="2"/>
      <c r="J880" s="2"/>
      <c r="K880" s="23" t="s">
        <v>16122</v>
      </c>
      <c r="L880" s="2" t="s">
        <v>22</v>
      </c>
      <c r="M880" s="2" t="s">
        <v>6</v>
      </c>
      <c r="N880" s="24"/>
      <c r="O880" s="25"/>
      <c r="P880" s="22" t="s">
        <v>4628</v>
      </c>
      <c r="Q880" s="21">
        <v>25925</v>
      </c>
      <c r="R880" s="22" t="s">
        <v>4629</v>
      </c>
      <c r="S880" s="22"/>
      <c r="T880" s="22"/>
      <c r="U880" s="22"/>
      <c r="AE880" s="698"/>
      <c r="AF880" s="655"/>
    </row>
    <row r="881" spans="1:32" ht="12" customHeight="1">
      <c r="A881" s="789" t="s">
        <v>16564</v>
      </c>
      <c r="B881" s="2">
        <v>5</v>
      </c>
      <c r="C881" s="2"/>
      <c r="D881" s="2" t="s">
        <v>4630</v>
      </c>
      <c r="E881" s="6">
        <f t="shared" si="13"/>
        <v>49</v>
      </c>
      <c r="F881" s="2" t="s">
        <v>19</v>
      </c>
      <c r="G881" s="2" t="s">
        <v>6067</v>
      </c>
      <c r="H881" s="22"/>
      <c r="I881" s="2"/>
      <c r="J881" s="2"/>
      <c r="K881" s="23" t="s">
        <v>16122</v>
      </c>
      <c r="L881" s="2" t="s">
        <v>22</v>
      </c>
      <c r="M881" s="2" t="s">
        <v>6</v>
      </c>
      <c r="N881" s="24"/>
      <c r="O881" s="25"/>
      <c r="P881" s="22" t="s">
        <v>4631</v>
      </c>
      <c r="Q881" s="21">
        <v>23060</v>
      </c>
      <c r="R881" s="22" t="s">
        <v>4614</v>
      </c>
      <c r="S881" s="22"/>
      <c r="T881" s="22"/>
      <c r="U881" s="22"/>
      <c r="AE881" s="698"/>
      <c r="AF881" s="655"/>
    </row>
    <row r="882" spans="1:32" ht="12" customHeight="1" thickBot="1">
      <c r="A882" s="772" t="s">
        <v>16565</v>
      </c>
      <c r="B882" s="702">
        <v>6</v>
      </c>
      <c r="C882" s="702"/>
      <c r="D882" s="702" t="s">
        <v>4624</v>
      </c>
      <c r="E882" s="701">
        <f t="shared" si="13"/>
        <v>52</v>
      </c>
      <c r="F882" s="702" t="s">
        <v>5</v>
      </c>
      <c r="G882" s="702" t="s">
        <v>6067</v>
      </c>
      <c r="H882" s="720"/>
      <c r="I882" s="702"/>
      <c r="J882" s="702"/>
      <c r="K882" s="770" t="s">
        <v>16122</v>
      </c>
      <c r="L882" s="702" t="s">
        <v>22</v>
      </c>
      <c r="M882" s="702" t="s">
        <v>6</v>
      </c>
      <c r="N882" s="721"/>
      <c r="O882" s="722"/>
      <c r="P882" s="720" t="s">
        <v>4625</v>
      </c>
      <c r="Q882" s="723">
        <v>21958</v>
      </c>
      <c r="R882" s="720" t="s">
        <v>4626</v>
      </c>
      <c r="S882" s="720"/>
      <c r="T882" s="720"/>
      <c r="U882" s="720"/>
      <c r="V882" s="702"/>
      <c r="W882" s="702"/>
      <c r="X882" s="702"/>
      <c r="Y882" s="702"/>
      <c r="Z882" s="702"/>
      <c r="AA882" s="702"/>
      <c r="AB882" s="702"/>
      <c r="AC882" s="702"/>
      <c r="AD882" s="702"/>
      <c r="AE882" s="708"/>
      <c r="AF882" s="655"/>
    </row>
    <row r="883" spans="1:32" ht="12" customHeight="1">
      <c r="A883" s="776" t="s">
        <v>15890</v>
      </c>
      <c r="B883" s="696">
        <v>1</v>
      </c>
      <c r="C883" s="688" t="s">
        <v>3822</v>
      </c>
      <c r="D883" s="687" t="s">
        <v>3825</v>
      </c>
      <c r="E883" s="690">
        <f t="shared" si="13"/>
        <v>50</v>
      </c>
      <c r="F883" s="696" t="s">
        <v>5</v>
      </c>
      <c r="G883" s="689" t="s">
        <v>15273</v>
      </c>
      <c r="H883" s="747" t="s">
        <v>3826</v>
      </c>
      <c r="I883" s="687"/>
      <c r="J883" s="687"/>
      <c r="K883" s="692" t="s">
        <v>16127</v>
      </c>
      <c r="L883" s="687" t="s">
        <v>44</v>
      </c>
      <c r="M883" s="687" t="s">
        <v>25</v>
      </c>
      <c r="N883" s="748">
        <v>1</v>
      </c>
      <c r="O883" s="749">
        <v>1</v>
      </c>
      <c r="P883" s="747" t="s">
        <v>188</v>
      </c>
      <c r="Q883" s="773">
        <v>22970</v>
      </c>
      <c r="R883" s="747" t="s">
        <v>3827</v>
      </c>
      <c r="S883" s="747"/>
      <c r="T883" s="747"/>
      <c r="U883" s="747" t="s">
        <v>145</v>
      </c>
      <c r="V883" s="696"/>
      <c r="W883" s="696" t="s">
        <v>145</v>
      </c>
      <c r="X883" s="696"/>
      <c r="Y883" s="696"/>
      <c r="Z883" s="696"/>
      <c r="AA883" s="696"/>
      <c r="AB883" s="696"/>
      <c r="AC883" s="696"/>
      <c r="AD883" s="696"/>
      <c r="AE883" s="697"/>
      <c r="AF883" s="655"/>
    </row>
    <row r="884" spans="1:32" ht="12" customHeight="1">
      <c r="A884" s="777" t="s">
        <v>15891</v>
      </c>
      <c r="B884" s="2">
        <v>1</v>
      </c>
      <c r="C884" s="4" t="s">
        <v>3834</v>
      </c>
      <c r="D884" s="1" t="s">
        <v>3837</v>
      </c>
      <c r="E884" s="6">
        <f t="shared" si="13"/>
        <v>52</v>
      </c>
      <c r="F884" s="2" t="s">
        <v>5</v>
      </c>
      <c r="G884" s="5" t="s">
        <v>15273</v>
      </c>
      <c r="H884" s="3" t="s">
        <v>3838</v>
      </c>
      <c r="K884" s="8" t="s">
        <v>16127</v>
      </c>
      <c r="L884" s="1" t="s">
        <v>45</v>
      </c>
      <c r="M884" s="1" t="s">
        <v>25</v>
      </c>
      <c r="N884" s="16">
        <v>1</v>
      </c>
      <c r="O884" s="17">
        <v>1</v>
      </c>
      <c r="P884" s="3" t="s">
        <v>3839</v>
      </c>
      <c r="Q884" s="20">
        <v>22177</v>
      </c>
      <c r="R884" s="3" t="s">
        <v>3840</v>
      </c>
      <c r="U884" s="3" t="s">
        <v>148</v>
      </c>
      <c r="W884" s="2" t="s">
        <v>145</v>
      </c>
      <c r="AE884" s="698" t="s">
        <v>69</v>
      </c>
      <c r="AF884" s="655"/>
    </row>
    <row r="885" spans="1:32" ht="12" customHeight="1">
      <c r="A885" s="777" t="s">
        <v>15892</v>
      </c>
      <c r="B885" s="2">
        <v>1</v>
      </c>
      <c r="C885" s="4" t="s">
        <v>3855</v>
      </c>
      <c r="D885" s="1" t="s">
        <v>5088</v>
      </c>
      <c r="E885" s="6">
        <f t="shared" si="13"/>
        <v>32</v>
      </c>
      <c r="F885" s="2" t="s">
        <v>5</v>
      </c>
      <c r="G885" s="5" t="s">
        <v>15273</v>
      </c>
      <c r="K885" s="4" t="s">
        <v>16127</v>
      </c>
      <c r="L885" s="1" t="s">
        <v>44</v>
      </c>
      <c r="M885" s="1" t="s">
        <v>6</v>
      </c>
      <c r="P885" s="3" t="s">
        <v>5209</v>
      </c>
      <c r="Q885" s="20">
        <v>29388</v>
      </c>
      <c r="R885" s="3" t="s">
        <v>5089</v>
      </c>
      <c r="AE885" s="698"/>
      <c r="AF885" s="655"/>
    </row>
    <row r="886" spans="1:32" ht="12" customHeight="1">
      <c r="A886" s="777" t="s">
        <v>15893</v>
      </c>
      <c r="B886" s="2">
        <v>1</v>
      </c>
      <c r="C886" s="4" t="s">
        <v>3867</v>
      </c>
      <c r="D886" s="1" t="s">
        <v>3871</v>
      </c>
      <c r="E886" s="6">
        <f t="shared" si="13"/>
        <v>43</v>
      </c>
      <c r="F886" s="2" t="s">
        <v>5</v>
      </c>
      <c r="G886" s="5" t="s">
        <v>15273</v>
      </c>
      <c r="H886" s="3" t="s">
        <v>3872</v>
      </c>
      <c r="K886" s="8" t="s">
        <v>16126</v>
      </c>
      <c r="L886" s="1" t="s">
        <v>44</v>
      </c>
      <c r="M886" s="1" t="s">
        <v>25</v>
      </c>
      <c r="N886" s="16">
        <v>1</v>
      </c>
      <c r="O886" s="17">
        <v>1</v>
      </c>
      <c r="P886" s="3" t="s">
        <v>317</v>
      </c>
      <c r="Q886" s="20">
        <v>25472</v>
      </c>
      <c r="R886" s="3" t="s">
        <v>3873</v>
      </c>
      <c r="T886" s="3" t="s">
        <v>736</v>
      </c>
      <c r="U886" s="3" t="s">
        <v>47</v>
      </c>
      <c r="V886" s="2" t="s">
        <v>47</v>
      </c>
      <c r="AE886" s="698"/>
      <c r="AF886" s="655"/>
    </row>
    <row r="887" spans="1:32" ht="12" customHeight="1">
      <c r="A887" s="777" t="s">
        <v>15894</v>
      </c>
      <c r="B887" s="2">
        <v>1</v>
      </c>
      <c r="C887" s="4" t="s">
        <v>3887</v>
      </c>
      <c r="D887" s="1" t="s">
        <v>3890</v>
      </c>
      <c r="E887" s="6">
        <f t="shared" si="13"/>
        <v>41</v>
      </c>
      <c r="F887" s="2" t="s">
        <v>5</v>
      </c>
      <c r="G887" s="5" t="s">
        <v>15273</v>
      </c>
      <c r="H887" s="3" t="s">
        <v>3891</v>
      </c>
      <c r="K887" s="8" t="s">
        <v>16127</v>
      </c>
      <c r="L887" s="1" t="s">
        <v>44</v>
      </c>
      <c r="M887" s="1" t="s">
        <v>25</v>
      </c>
      <c r="N887" s="16">
        <v>3</v>
      </c>
      <c r="O887" s="17">
        <v>3</v>
      </c>
      <c r="P887" s="3" t="s">
        <v>2022</v>
      </c>
      <c r="Q887" s="20">
        <v>26233</v>
      </c>
      <c r="R887" s="3" t="s">
        <v>788</v>
      </c>
      <c r="S887" s="3" t="s">
        <v>247</v>
      </c>
      <c r="T887" s="3" t="s">
        <v>736</v>
      </c>
      <c r="AE887" s="698"/>
      <c r="AF887" s="655"/>
    </row>
    <row r="888" spans="1:32" ht="12" customHeight="1">
      <c r="A888" s="777" t="s">
        <v>15895</v>
      </c>
      <c r="B888" s="2">
        <v>1</v>
      </c>
      <c r="C888" s="4" t="s">
        <v>3901</v>
      </c>
      <c r="D888" s="1" t="s">
        <v>3905</v>
      </c>
      <c r="E888" s="6">
        <f t="shared" si="13"/>
        <v>37</v>
      </c>
      <c r="F888" s="2" t="s">
        <v>5</v>
      </c>
      <c r="G888" s="5" t="s">
        <v>15273</v>
      </c>
      <c r="K888" s="8" t="s">
        <v>16127</v>
      </c>
      <c r="L888" s="1" t="s">
        <v>44</v>
      </c>
      <c r="M888" s="1" t="s">
        <v>6</v>
      </c>
      <c r="P888" s="3" t="s">
        <v>267</v>
      </c>
      <c r="Q888" s="20">
        <v>27737</v>
      </c>
      <c r="R888" s="3" t="s">
        <v>727</v>
      </c>
      <c r="T888" s="3" t="s">
        <v>736</v>
      </c>
      <c r="U888" s="3" t="s">
        <v>147</v>
      </c>
      <c r="AC888" s="2" t="s">
        <v>147</v>
      </c>
      <c r="AE888" s="698"/>
      <c r="AF888" s="655"/>
    </row>
    <row r="889" spans="1:32" ht="12" customHeight="1">
      <c r="A889" s="777" t="s">
        <v>15896</v>
      </c>
      <c r="B889" s="2">
        <v>1</v>
      </c>
      <c r="C889" s="4" t="s">
        <v>3918</v>
      </c>
      <c r="D889" s="1" t="s">
        <v>3921</v>
      </c>
      <c r="E889" s="6">
        <f t="shared" si="13"/>
        <v>40</v>
      </c>
      <c r="F889" s="2" t="s">
        <v>5</v>
      </c>
      <c r="G889" s="5" t="s">
        <v>15273</v>
      </c>
      <c r="H889" s="3" t="s">
        <v>3922</v>
      </c>
      <c r="K889" s="8" t="s">
        <v>16127</v>
      </c>
      <c r="L889" s="1" t="s">
        <v>44</v>
      </c>
      <c r="M889" s="1" t="s">
        <v>25</v>
      </c>
      <c r="N889" s="16">
        <v>2</v>
      </c>
      <c r="O889" s="17">
        <v>2</v>
      </c>
      <c r="P889" s="3" t="s">
        <v>3544</v>
      </c>
      <c r="Q889" s="20">
        <v>26447</v>
      </c>
      <c r="R889" s="3" t="s">
        <v>3923</v>
      </c>
      <c r="S889" s="3" t="s">
        <v>3924</v>
      </c>
      <c r="T889" s="3" t="s">
        <v>736</v>
      </c>
      <c r="AE889" s="698"/>
      <c r="AF889" s="655"/>
    </row>
    <row r="890" spans="1:32" ht="12" customHeight="1">
      <c r="A890" s="777" t="s">
        <v>15897</v>
      </c>
      <c r="B890" s="2">
        <v>1</v>
      </c>
      <c r="C890" s="4" t="s">
        <v>3929</v>
      </c>
      <c r="D890" s="1" t="s">
        <v>3932</v>
      </c>
      <c r="E890" s="6">
        <f t="shared" si="13"/>
        <v>46</v>
      </c>
      <c r="F890" s="2" t="s">
        <v>5</v>
      </c>
      <c r="G890" s="5" t="s">
        <v>15273</v>
      </c>
      <c r="H890" s="3" t="s">
        <v>3933</v>
      </c>
      <c r="K890" s="4" t="s">
        <v>16127</v>
      </c>
      <c r="L890" s="1" t="s">
        <v>44</v>
      </c>
      <c r="M890" s="1" t="s">
        <v>25</v>
      </c>
      <c r="N890" s="16">
        <v>1</v>
      </c>
      <c r="O890" s="17">
        <v>1</v>
      </c>
      <c r="P890" s="3" t="s">
        <v>31</v>
      </c>
      <c r="Q890" s="20">
        <v>24333</v>
      </c>
      <c r="R890" s="3" t="s">
        <v>3934</v>
      </c>
      <c r="T890" s="3" t="s">
        <v>736</v>
      </c>
      <c r="AE890" s="698"/>
      <c r="AF890" s="655"/>
    </row>
    <row r="891" spans="1:32" ht="12" customHeight="1">
      <c r="A891" s="777" t="s">
        <v>15898</v>
      </c>
      <c r="B891" s="2">
        <v>1</v>
      </c>
      <c r="C891" s="4" t="s">
        <v>3938</v>
      </c>
      <c r="D891" s="1" t="s">
        <v>5602</v>
      </c>
      <c r="E891" s="6">
        <f t="shared" si="13"/>
        <v>49</v>
      </c>
      <c r="F891" s="2" t="s">
        <v>5</v>
      </c>
      <c r="G891" s="5" t="s">
        <v>15273</v>
      </c>
      <c r="K891" s="8" t="s">
        <v>16126</v>
      </c>
      <c r="L891" s="1" t="s">
        <v>44</v>
      </c>
      <c r="M891" s="1" t="s">
        <v>6</v>
      </c>
      <c r="P891" s="3" t="s">
        <v>5603</v>
      </c>
      <c r="Q891" s="21">
        <v>23153</v>
      </c>
      <c r="R891" s="3" t="s">
        <v>5838</v>
      </c>
      <c r="U891" s="3" t="s">
        <v>155</v>
      </c>
      <c r="Z891" s="2" t="s">
        <v>155</v>
      </c>
      <c r="AE891" s="698"/>
      <c r="AF891" s="655"/>
    </row>
    <row r="892" spans="1:32" ht="12" customHeight="1">
      <c r="A892" s="777" t="s">
        <v>15899</v>
      </c>
      <c r="B892" s="2">
        <v>1</v>
      </c>
      <c r="C892" s="4" t="s">
        <v>3953</v>
      </c>
      <c r="D892" s="1" t="s">
        <v>3956</v>
      </c>
      <c r="E892" s="6">
        <f t="shared" si="13"/>
        <v>41</v>
      </c>
      <c r="F892" s="2" t="s">
        <v>5</v>
      </c>
      <c r="G892" s="5" t="s">
        <v>15273</v>
      </c>
      <c r="H892" s="3" t="s">
        <v>3957</v>
      </c>
      <c r="K892" s="8" t="s">
        <v>16127</v>
      </c>
      <c r="L892" s="1" t="s">
        <v>44</v>
      </c>
      <c r="M892" s="1" t="s">
        <v>25</v>
      </c>
      <c r="N892" s="16">
        <v>3</v>
      </c>
      <c r="O892" s="17">
        <v>3</v>
      </c>
      <c r="P892" s="3" t="s">
        <v>317</v>
      </c>
      <c r="Q892" s="20">
        <v>26150</v>
      </c>
      <c r="R892" s="3" t="s">
        <v>16673</v>
      </c>
      <c r="S892" s="3" t="s">
        <v>3958</v>
      </c>
      <c r="T892" s="3" t="s">
        <v>736</v>
      </c>
      <c r="U892" s="3" t="s">
        <v>146</v>
      </c>
      <c r="AD892" s="2" t="s">
        <v>146</v>
      </c>
      <c r="AE892" s="698"/>
      <c r="AF892" s="655"/>
    </row>
    <row r="893" spans="1:32" ht="12" customHeight="1">
      <c r="A893" s="777" t="s">
        <v>15900</v>
      </c>
      <c r="B893" s="2">
        <v>1</v>
      </c>
      <c r="C893" s="4" t="s">
        <v>3964</v>
      </c>
      <c r="D893" s="1" t="s">
        <v>3967</v>
      </c>
      <c r="E893" s="6">
        <f t="shared" si="13"/>
        <v>42</v>
      </c>
      <c r="F893" s="2" t="s">
        <v>5</v>
      </c>
      <c r="G893" s="5" t="s">
        <v>15273</v>
      </c>
      <c r="H893" s="3" t="s">
        <v>3968</v>
      </c>
      <c r="K893" s="8" t="s">
        <v>16127</v>
      </c>
      <c r="L893" s="1" t="s">
        <v>44</v>
      </c>
      <c r="M893" s="1" t="s">
        <v>25</v>
      </c>
      <c r="N893" s="16">
        <v>1</v>
      </c>
      <c r="O893" s="17">
        <v>1</v>
      </c>
      <c r="P893" s="3" t="s">
        <v>3969</v>
      </c>
      <c r="Q893" s="20">
        <v>25771</v>
      </c>
      <c r="R893" s="3" t="s">
        <v>3970</v>
      </c>
      <c r="U893" s="3" t="s">
        <v>47</v>
      </c>
      <c r="V893" s="2" t="s">
        <v>47</v>
      </c>
      <c r="AE893" s="698"/>
      <c r="AF893" s="655"/>
    </row>
    <row r="894" spans="1:32" ht="12" customHeight="1">
      <c r="A894" s="777" t="s">
        <v>15901</v>
      </c>
      <c r="B894" s="2">
        <v>1</v>
      </c>
      <c r="C894" s="4" t="s">
        <v>3976</v>
      </c>
      <c r="D894" s="1" t="s">
        <v>3979</v>
      </c>
      <c r="E894" s="6">
        <f t="shared" si="13"/>
        <v>48</v>
      </c>
      <c r="F894" s="2" t="s">
        <v>5</v>
      </c>
      <c r="G894" s="5" t="s">
        <v>15273</v>
      </c>
      <c r="H894" s="3" t="s">
        <v>3980</v>
      </c>
      <c r="K894" s="8" t="s">
        <v>16127</v>
      </c>
      <c r="L894" s="1" t="s">
        <v>737</v>
      </c>
      <c r="M894" s="1" t="s">
        <v>25</v>
      </c>
      <c r="N894" s="16">
        <v>1</v>
      </c>
      <c r="O894" s="17">
        <v>1</v>
      </c>
      <c r="P894" s="3" t="s">
        <v>462</v>
      </c>
      <c r="Q894" s="20">
        <v>23447</v>
      </c>
      <c r="R894" s="3" t="s">
        <v>3983</v>
      </c>
      <c r="T894" s="3" t="s">
        <v>736</v>
      </c>
      <c r="AE894" s="698"/>
      <c r="AF894" s="655"/>
    </row>
    <row r="895" spans="1:32" ht="12" customHeight="1">
      <c r="A895" s="777" t="s">
        <v>15902</v>
      </c>
      <c r="B895" s="2">
        <v>1</v>
      </c>
      <c r="C895" s="4" t="s">
        <v>3990</v>
      </c>
      <c r="D895" s="1" t="s">
        <v>4000</v>
      </c>
      <c r="E895" s="6">
        <f t="shared" si="13"/>
        <v>53</v>
      </c>
      <c r="F895" s="2" t="s">
        <v>5</v>
      </c>
      <c r="G895" s="5" t="s">
        <v>15273</v>
      </c>
      <c r="H895" s="3" t="s">
        <v>4001</v>
      </c>
      <c r="K895" s="4" t="s">
        <v>16127</v>
      </c>
      <c r="L895" s="1" t="s">
        <v>44</v>
      </c>
      <c r="M895" s="1" t="s">
        <v>25</v>
      </c>
      <c r="N895" s="16">
        <v>2</v>
      </c>
      <c r="O895" s="17">
        <v>2</v>
      </c>
      <c r="P895" s="3" t="s">
        <v>2551</v>
      </c>
      <c r="Q895" s="20">
        <v>21717</v>
      </c>
      <c r="R895" s="3" t="s">
        <v>4003</v>
      </c>
      <c r="S895" s="3" t="s">
        <v>4004</v>
      </c>
      <c r="T895" s="3" t="s">
        <v>736</v>
      </c>
      <c r="U895" s="3" t="s">
        <v>146</v>
      </c>
      <c r="AD895" s="2" t="s">
        <v>146</v>
      </c>
      <c r="AE895" s="698"/>
      <c r="AF895" s="655"/>
    </row>
    <row r="896" spans="1:32" ht="12" customHeight="1">
      <c r="A896" s="777" t="s">
        <v>15903</v>
      </c>
      <c r="B896" s="2">
        <v>1</v>
      </c>
      <c r="C896" s="4" t="s">
        <v>4022</v>
      </c>
      <c r="D896" s="1" t="s">
        <v>4029</v>
      </c>
      <c r="E896" s="6">
        <f t="shared" si="13"/>
        <v>49</v>
      </c>
      <c r="F896" s="2" t="s">
        <v>5</v>
      </c>
      <c r="G896" s="5" t="s">
        <v>15273</v>
      </c>
      <c r="H896" s="3" t="s">
        <v>4030</v>
      </c>
      <c r="K896" s="8" t="s">
        <v>16126</v>
      </c>
      <c r="L896" s="1" t="s">
        <v>44</v>
      </c>
      <c r="M896" s="1" t="s">
        <v>25</v>
      </c>
      <c r="N896" s="16">
        <v>3</v>
      </c>
      <c r="O896" s="17">
        <v>3</v>
      </c>
      <c r="P896" s="3" t="s">
        <v>317</v>
      </c>
      <c r="Q896" s="20">
        <v>23210</v>
      </c>
      <c r="R896" s="3" t="s">
        <v>4031</v>
      </c>
      <c r="S896" s="3" t="s">
        <v>247</v>
      </c>
      <c r="T896" s="3" t="s">
        <v>736</v>
      </c>
      <c r="U896" s="3" t="s">
        <v>47</v>
      </c>
      <c r="V896" s="2" t="s">
        <v>47</v>
      </c>
      <c r="AE896" s="698"/>
      <c r="AF896" s="655"/>
    </row>
    <row r="897" spans="1:32" ht="12" customHeight="1">
      <c r="A897" s="777" t="s">
        <v>15904</v>
      </c>
      <c r="B897" s="2">
        <v>1</v>
      </c>
      <c r="C897" s="4" t="s">
        <v>4037</v>
      </c>
      <c r="D897" s="1" t="s">
        <v>4040</v>
      </c>
      <c r="E897" s="6">
        <f t="shared" si="13"/>
        <v>29</v>
      </c>
      <c r="F897" s="2" t="s">
        <v>5</v>
      </c>
      <c r="G897" s="5" t="s">
        <v>15273</v>
      </c>
      <c r="K897" s="8" t="s">
        <v>16127</v>
      </c>
      <c r="L897" s="1" t="s">
        <v>44</v>
      </c>
      <c r="M897" s="1" t="s">
        <v>6</v>
      </c>
      <c r="P897" s="3" t="s">
        <v>4041</v>
      </c>
      <c r="Q897" s="20">
        <v>30338</v>
      </c>
      <c r="R897" s="3" t="s">
        <v>4042</v>
      </c>
      <c r="AE897" s="698"/>
      <c r="AF897" s="655"/>
    </row>
    <row r="898" spans="1:32" ht="12" customHeight="1">
      <c r="A898" s="777" t="s">
        <v>15905</v>
      </c>
      <c r="B898" s="2">
        <v>1</v>
      </c>
      <c r="C898" s="4" t="s">
        <v>4049</v>
      </c>
      <c r="D898" s="1" t="s">
        <v>4052</v>
      </c>
      <c r="E898" s="6">
        <f t="shared" ref="E898:E961" si="14">DATEDIF(Q898,$Q$1119,"Y")</f>
        <v>58</v>
      </c>
      <c r="F898" s="2" t="s">
        <v>5</v>
      </c>
      <c r="G898" s="5" t="s">
        <v>15273</v>
      </c>
      <c r="H898" s="3" t="s">
        <v>4053</v>
      </c>
      <c r="K898" s="8" t="s">
        <v>16127</v>
      </c>
      <c r="L898" s="1" t="s">
        <v>44</v>
      </c>
      <c r="M898" s="1" t="s">
        <v>25</v>
      </c>
      <c r="N898" s="16">
        <v>5</v>
      </c>
      <c r="O898" s="17">
        <v>5</v>
      </c>
      <c r="P898" s="3" t="s">
        <v>317</v>
      </c>
      <c r="Q898" s="20">
        <v>19738</v>
      </c>
      <c r="R898" s="3" t="s">
        <v>4054</v>
      </c>
      <c r="S898" s="3" t="s">
        <v>4056</v>
      </c>
      <c r="T898" s="3" t="s">
        <v>736</v>
      </c>
      <c r="U898" s="3" t="s">
        <v>658</v>
      </c>
      <c r="V898" s="2" t="s">
        <v>47</v>
      </c>
      <c r="AC898" s="2" t="s">
        <v>147</v>
      </c>
      <c r="AE898" s="698"/>
      <c r="AF898" s="655"/>
    </row>
    <row r="899" spans="1:32" ht="12" customHeight="1">
      <c r="A899" s="777" t="s">
        <v>15906</v>
      </c>
      <c r="B899" s="2">
        <v>1</v>
      </c>
      <c r="C899" s="4" t="s">
        <v>4065</v>
      </c>
      <c r="D899" s="1" t="s">
        <v>4068</v>
      </c>
      <c r="E899" s="6">
        <f t="shared" si="14"/>
        <v>34</v>
      </c>
      <c r="F899" s="2" t="s">
        <v>5</v>
      </c>
      <c r="G899" s="5" t="s">
        <v>15273</v>
      </c>
      <c r="H899" s="3" t="s">
        <v>4069</v>
      </c>
      <c r="K899" s="8" t="s">
        <v>16127</v>
      </c>
      <c r="L899" s="1" t="s">
        <v>44</v>
      </c>
      <c r="M899" s="1" t="s">
        <v>25</v>
      </c>
      <c r="N899" s="16">
        <v>1</v>
      </c>
      <c r="O899" s="17">
        <v>1</v>
      </c>
      <c r="P899" s="3" t="s">
        <v>4070</v>
      </c>
      <c r="Q899" s="20">
        <v>28524</v>
      </c>
      <c r="R899" s="3" t="s">
        <v>4071</v>
      </c>
      <c r="T899" s="3" t="s">
        <v>736</v>
      </c>
      <c r="AE899" s="698"/>
      <c r="AF899" s="655"/>
    </row>
    <row r="900" spans="1:32" ht="12" customHeight="1">
      <c r="A900" s="777" t="s">
        <v>15907</v>
      </c>
      <c r="B900" s="2">
        <v>1</v>
      </c>
      <c r="C900" s="4" t="s">
        <v>4080</v>
      </c>
      <c r="D900" s="1" t="s">
        <v>5697</v>
      </c>
      <c r="E900" s="6">
        <f t="shared" si="14"/>
        <v>45</v>
      </c>
      <c r="F900" s="2" t="s">
        <v>5</v>
      </c>
      <c r="G900" s="5" t="s">
        <v>15273</v>
      </c>
      <c r="K900" s="4" t="s">
        <v>16127</v>
      </c>
      <c r="L900" s="1" t="s">
        <v>44</v>
      </c>
      <c r="M900" s="1" t="s">
        <v>6</v>
      </c>
      <c r="P900" s="3" t="s">
        <v>123</v>
      </c>
      <c r="Q900" s="20">
        <v>24570</v>
      </c>
      <c r="R900" s="3" t="s">
        <v>5839</v>
      </c>
      <c r="AE900" s="698"/>
      <c r="AF900" s="655"/>
    </row>
    <row r="901" spans="1:32" ht="12" customHeight="1" thickBot="1">
      <c r="A901" s="778" t="s">
        <v>15908</v>
      </c>
      <c r="B901" s="702">
        <v>19</v>
      </c>
      <c r="C901" s="702"/>
      <c r="D901" s="702" t="s">
        <v>4091</v>
      </c>
      <c r="E901" s="701">
        <f t="shared" si="14"/>
        <v>42</v>
      </c>
      <c r="F901" s="702" t="s">
        <v>5</v>
      </c>
      <c r="G901" s="702" t="s">
        <v>6067</v>
      </c>
      <c r="H901" s="720" t="s">
        <v>4092</v>
      </c>
      <c r="I901" s="702"/>
      <c r="J901" s="702"/>
      <c r="K901" s="704" t="s">
        <v>16126</v>
      </c>
      <c r="L901" s="702" t="s">
        <v>737</v>
      </c>
      <c r="M901" s="702" t="s">
        <v>25</v>
      </c>
      <c r="N901" s="721">
        <v>1</v>
      </c>
      <c r="O901" s="722">
        <v>1</v>
      </c>
      <c r="P901" s="720" t="s">
        <v>4093</v>
      </c>
      <c r="Q901" s="723">
        <v>25754</v>
      </c>
      <c r="R901" s="720" t="s">
        <v>4094</v>
      </c>
      <c r="S901" s="720"/>
      <c r="T901" s="720"/>
      <c r="U901" s="720" t="s">
        <v>4075</v>
      </c>
      <c r="V901" s="702"/>
      <c r="W901" s="702" t="s">
        <v>4075</v>
      </c>
      <c r="X901" s="702"/>
      <c r="Y901" s="702"/>
      <c r="Z901" s="702"/>
      <c r="AA901" s="702"/>
      <c r="AB901" s="702"/>
      <c r="AC901" s="702"/>
      <c r="AD901" s="702"/>
      <c r="AE901" s="708"/>
      <c r="AF901" s="655"/>
    </row>
    <row r="902" spans="1:32" ht="12" customHeight="1">
      <c r="A902" s="724" t="s">
        <v>5970</v>
      </c>
      <c r="B902" s="696">
        <v>1</v>
      </c>
      <c r="C902" s="688" t="s">
        <v>3823</v>
      </c>
      <c r="D902" s="687" t="s">
        <v>3828</v>
      </c>
      <c r="E902" s="690">
        <f t="shared" si="14"/>
        <v>51</v>
      </c>
      <c r="F902" s="696" t="s">
        <v>5</v>
      </c>
      <c r="G902" s="687" t="s">
        <v>15273</v>
      </c>
      <c r="H902" s="747" t="s">
        <v>3829</v>
      </c>
      <c r="I902" s="687"/>
      <c r="J902" s="687"/>
      <c r="K902" s="688" t="s">
        <v>16120</v>
      </c>
      <c r="L902" s="687" t="s">
        <v>30</v>
      </c>
      <c r="M902" s="687" t="s">
        <v>25</v>
      </c>
      <c r="N902" s="748">
        <v>2</v>
      </c>
      <c r="O902" s="749">
        <v>2</v>
      </c>
      <c r="P902" s="747" t="s">
        <v>317</v>
      </c>
      <c r="Q902" s="773">
        <v>22268</v>
      </c>
      <c r="R902" s="747" t="s">
        <v>3830</v>
      </c>
      <c r="S902" s="747"/>
      <c r="T902" s="747" t="s">
        <v>5457</v>
      </c>
      <c r="U902" s="747" t="s">
        <v>355</v>
      </c>
      <c r="V902" s="696" t="s">
        <v>47</v>
      </c>
      <c r="W902" s="696"/>
      <c r="X902" s="696"/>
      <c r="Y902" s="696"/>
      <c r="Z902" s="696"/>
      <c r="AA902" s="696"/>
      <c r="AB902" s="696" t="s">
        <v>104</v>
      </c>
      <c r="AC902" s="696"/>
      <c r="AD902" s="696"/>
      <c r="AE902" s="697"/>
      <c r="AF902" s="655"/>
    </row>
    <row r="903" spans="1:32" ht="12" customHeight="1">
      <c r="A903" s="725" t="s">
        <v>6101</v>
      </c>
      <c r="B903" s="2">
        <v>1</v>
      </c>
      <c r="C903" s="4" t="s">
        <v>3835</v>
      </c>
      <c r="D903" s="1" t="s">
        <v>3844</v>
      </c>
      <c r="E903" s="6">
        <f t="shared" si="14"/>
        <v>68</v>
      </c>
      <c r="F903" s="2" t="s">
        <v>5</v>
      </c>
      <c r="G903" s="1" t="s">
        <v>15273</v>
      </c>
      <c r="H903" s="3" t="s">
        <v>3845</v>
      </c>
      <c r="K903" s="4" t="s">
        <v>16120</v>
      </c>
      <c r="L903" s="1" t="s">
        <v>48</v>
      </c>
      <c r="M903" s="1" t="s">
        <v>25</v>
      </c>
      <c r="N903" s="16">
        <v>7</v>
      </c>
      <c r="O903" s="17">
        <v>7</v>
      </c>
      <c r="P903" s="3" t="s">
        <v>317</v>
      </c>
      <c r="Q903" s="20">
        <v>16167</v>
      </c>
      <c r="R903" s="3" t="s">
        <v>3847</v>
      </c>
      <c r="S903" s="3" t="s">
        <v>3851</v>
      </c>
      <c r="T903" s="3" t="s">
        <v>5457</v>
      </c>
      <c r="U903" s="3" t="s">
        <v>355</v>
      </c>
      <c r="V903" s="2" t="s">
        <v>47</v>
      </c>
      <c r="AB903" s="2" t="s">
        <v>104</v>
      </c>
      <c r="AE903" s="698"/>
      <c r="AF903" s="655"/>
    </row>
    <row r="904" spans="1:32" ht="12" customHeight="1">
      <c r="A904" s="725" t="s">
        <v>6102</v>
      </c>
      <c r="B904" s="2">
        <v>1</v>
      </c>
      <c r="C904" s="4" t="s">
        <v>3856</v>
      </c>
      <c r="D904" s="1" t="s">
        <v>3858</v>
      </c>
      <c r="E904" s="6">
        <f t="shared" si="14"/>
        <v>66</v>
      </c>
      <c r="F904" s="2" t="s">
        <v>5</v>
      </c>
      <c r="G904" s="1" t="s">
        <v>15273</v>
      </c>
      <c r="H904" s="3" t="s">
        <v>3859</v>
      </c>
      <c r="K904" s="8" t="s">
        <v>16120</v>
      </c>
      <c r="L904" s="1" t="s">
        <v>13</v>
      </c>
      <c r="M904" s="1" t="s">
        <v>25</v>
      </c>
      <c r="N904" s="16">
        <v>4</v>
      </c>
      <c r="O904" s="17">
        <v>4</v>
      </c>
      <c r="P904" s="3" t="s">
        <v>31</v>
      </c>
      <c r="Q904" s="20">
        <v>17109</v>
      </c>
      <c r="R904" s="3" t="s">
        <v>3860</v>
      </c>
      <c r="S904" s="3" t="s">
        <v>3861</v>
      </c>
      <c r="T904" s="3" t="s">
        <v>5457</v>
      </c>
      <c r="U904" s="3" t="s">
        <v>258</v>
      </c>
      <c r="Z904" s="2" t="s">
        <v>155</v>
      </c>
      <c r="AB904" s="2" t="s">
        <v>104</v>
      </c>
      <c r="AE904" s="698"/>
      <c r="AF904" s="655"/>
    </row>
    <row r="905" spans="1:32" ht="12" customHeight="1">
      <c r="A905" s="725" t="s">
        <v>6103</v>
      </c>
      <c r="B905" s="2">
        <v>1</v>
      </c>
      <c r="C905" s="4" t="s">
        <v>3868</v>
      </c>
      <c r="D905" s="1" t="s">
        <v>3874</v>
      </c>
      <c r="E905" s="6">
        <f t="shared" si="14"/>
        <v>58</v>
      </c>
      <c r="F905" s="2" t="s">
        <v>5</v>
      </c>
      <c r="G905" s="1" t="s">
        <v>15273</v>
      </c>
      <c r="H905" s="3" t="s">
        <v>3875</v>
      </c>
      <c r="K905" s="23" t="s">
        <v>16120</v>
      </c>
      <c r="L905" s="1" t="s">
        <v>30</v>
      </c>
      <c r="M905" s="1" t="s">
        <v>25</v>
      </c>
      <c r="N905" s="16">
        <v>8</v>
      </c>
      <c r="O905" s="17">
        <v>8</v>
      </c>
      <c r="P905" s="3" t="s">
        <v>31</v>
      </c>
      <c r="Q905" s="20">
        <v>19885</v>
      </c>
      <c r="R905" s="3" t="s">
        <v>16658</v>
      </c>
      <c r="S905" s="3" t="s">
        <v>3878</v>
      </c>
      <c r="T905" s="3" t="s">
        <v>5457</v>
      </c>
      <c r="U905" s="3" t="s">
        <v>3876</v>
      </c>
      <c r="AB905" s="2" t="s">
        <v>104</v>
      </c>
      <c r="AD905" s="2" t="s">
        <v>146</v>
      </c>
      <c r="AE905" s="698"/>
      <c r="AF905" s="655"/>
    </row>
    <row r="906" spans="1:32" ht="12" customHeight="1">
      <c r="A906" s="725" t="s">
        <v>6104</v>
      </c>
      <c r="B906" s="2">
        <v>1</v>
      </c>
      <c r="C906" s="4" t="s">
        <v>3888</v>
      </c>
      <c r="D906" s="1" t="s">
        <v>3894</v>
      </c>
      <c r="E906" s="6">
        <f t="shared" si="14"/>
        <v>47</v>
      </c>
      <c r="F906" s="2" t="s">
        <v>5</v>
      </c>
      <c r="G906" s="1" t="s">
        <v>15273</v>
      </c>
      <c r="K906" s="8" t="s">
        <v>16120</v>
      </c>
      <c r="L906" s="1" t="s">
        <v>30</v>
      </c>
      <c r="M906" s="1" t="s">
        <v>6</v>
      </c>
      <c r="P906" s="3" t="s">
        <v>3898</v>
      </c>
      <c r="Q906" s="20">
        <v>23993</v>
      </c>
      <c r="R906" s="3" t="s">
        <v>3896</v>
      </c>
      <c r="T906" s="3" t="s">
        <v>5457</v>
      </c>
      <c r="U906" s="3" t="s">
        <v>658</v>
      </c>
      <c r="V906" s="2" t="s">
        <v>47</v>
      </c>
      <c r="AC906" s="2" t="s">
        <v>147</v>
      </c>
      <c r="AE906" s="698"/>
      <c r="AF906" s="655"/>
    </row>
    <row r="907" spans="1:32" ht="12" customHeight="1">
      <c r="A907" s="725" t="s">
        <v>6105</v>
      </c>
      <c r="B907" s="2">
        <v>1</v>
      </c>
      <c r="C907" s="4" t="s">
        <v>3902</v>
      </c>
      <c r="D907" s="1" t="s">
        <v>3907</v>
      </c>
      <c r="E907" s="6">
        <f t="shared" si="14"/>
        <v>53</v>
      </c>
      <c r="F907" s="2" t="s">
        <v>19</v>
      </c>
      <c r="G907" s="1" t="s">
        <v>15273</v>
      </c>
      <c r="H907" s="3" t="s">
        <v>3908</v>
      </c>
      <c r="K907" s="4" t="s">
        <v>16120</v>
      </c>
      <c r="L907" s="1" t="s">
        <v>30</v>
      </c>
      <c r="M907" s="1" t="s">
        <v>25</v>
      </c>
      <c r="N907" s="16">
        <v>2</v>
      </c>
      <c r="O907" s="17">
        <v>2</v>
      </c>
      <c r="P907" s="3" t="s">
        <v>3909</v>
      </c>
      <c r="Q907" s="20">
        <v>21689</v>
      </c>
      <c r="R907" s="3" t="s">
        <v>3910</v>
      </c>
      <c r="T907" s="3" t="s">
        <v>5457</v>
      </c>
      <c r="AE907" s="698"/>
      <c r="AF907" s="655"/>
    </row>
    <row r="908" spans="1:32" ht="12" customHeight="1">
      <c r="A908" s="725" t="s">
        <v>6111</v>
      </c>
      <c r="B908" s="2">
        <v>1</v>
      </c>
      <c r="C908" s="4" t="s">
        <v>3919</v>
      </c>
      <c r="D908" s="1" t="s">
        <v>3925</v>
      </c>
      <c r="E908" s="6">
        <f t="shared" si="14"/>
        <v>38</v>
      </c>
      <c r="F908" s="2" t="s">
        <v>5</v>
      </c>
      <c r="G908" s="1" t="s">
        <v>15273</v>
      </c>
      <c r="K908" s="4" t="s">
        <v>16120</v>
      </c>
      <c r="L908" s="1" t="s">
        <v>13</v>
      </c>
      <c r="M908" s="1" t="s">
        <v>14</v>
      </c>
      <c r="N908" s="16">
        <v>1</v>
      </c>
      <c r="O908" s="17">
        <v>1</v>
      </c>
      <c r="P908" s="3" t="s">
        <v>267</v>
      </c>
      <c r="Q908" s="20">
        <v>27065</v>
      </c>
      <c r="R908" s="3" t="s">
        <v>3926</v>
      </c>
      <c r="T908" s="3" t="s">
        <v>5457</v>
      </c>
      <c r="U908" s="3" t="s">
        <v>104</v>
      </c>
      <c r="AB908" s="2" t="s">
        <v>104</v>
      </c>
      <c r="AE908" s="698"/>
      <c r="AF908" s="655"/>
    </row>
    <row r="909" spans="1:32" ht="12" customHeight="1">
      <c r="A909" s="725" t="s">
        <v>15497</v>
      </c>
      <c r="B909" s="2">
        <v>1</v>
      </c>
      <c r="C909" s="4" t="s">
        <v>3930</v>
      </c>
      <c r="D909" s="1" t="s">
        <v>4095</v>
      </c>
      <c r="E909" s="6">
        <f t="shared" si="14"/>
        <v>57</v>
      </c>
      <c r="F909" s="2" t="s">
        <v>5</v>
      </c>
      <c r="G909" s="1" t="s">
        <v>15273</v>
      </c>
      <c r="H909" s="3" t="s">
        <v>4654</v>
      </c>
      <c r="K909" s="8" t="s">
        <v>16120</v>
      </c>
      <c r="L909" s="1" t="s">
        <v>13</v>
      </c>
      <c r="M909" s="1" t="s">
        <v>25</v>
      </c>
      <c r="N909" s="16">
        <v>3</v>
      </c>
      <c r="O909" s="17">
        <v>3</v>
      </c>
      <c r="P909" s="3" t="s">
        <v>317</v>
      </c>
      <c r="Q909" s="20">
        <v>20415</v>
      </c>
      <c r="R909" s="3" t="s">
        <v>4097</v>
      </c>
      <c r="S909" s="3" t="s">
        <v>247</v>
      </c>
      <c r="T909" s="3" t="s">
        <v>5457</v>
      </c>
      <c r="U909" s="3" t="s">
        <v>355</v>
      </c>
      <c r="V909" s="2" t="s">
        <v>47</v>
      </c>
      <c r="AB909" s="2" t="s">
        <v>104</v>
      </c>
      <c r="AE909" s="698"/>
      <c r="AF909" s="655"/>
    </row>
    <row r="910" spans="1:32" ht="12" customHeight="1">
      <c r="A910" s="725" t="s">
        <v>15498</v>
      </c>
      <c r="B910" s="2">
        <v>1</v>
      </c>
      <c r="C910" s="4" t="s">
        <v>3939</v>
      </c>
      <c r="D910" s="1" t="s">
        <v>3942</v>
      </c>
      <c r="E910" s="6">
        <f t="shared" si="14"/>
        <v>55</v>
      </c>
      <c r="F910" s="2" t="s">
        <v>5</v>
      </c>
      <c r="G910" s="1" t="s">
        <v>15273</v>
      </c>
      <c r="H910" s="3" t="s">
        <v>3943</v>
      </c>
      <c r="K910" s="23" t="s">
        <v>16120</v>
      </c>
      <c r="L910" s="1" t="s">
        <v>476</v>
      </c>
      <c r="M910" s="1" t="s">
        <v>25</v>
      </c>
      <c r="N910" s="16">
        <v>6</v>
      </c>
      <c r="O910" s="17">
        <v>6</v>
      </c>
      <c r="P910" s="3" t="s">
        <v>188</v>
      </c>
      <c r="Q910" s="20">
        <v>21030</v>
      </c>
      <c r="R910" s="3" t="s">
        <v>3944</v>
      </c>
      <c r="S910" s="3" t="s">
        <v>3945</v>
      </c>
      <c r="T910" s="3" t="s">
        <v>5457</v>
      </c>
      <c r="U910" s="3" t="s">
        <v>104</v>
      </c>
      <c r="AB910" s="2" t="s">
        <v>104</v>
      </c>
      <c r="AE910" s="698"/>
      <c r="AF910" s="655"/>
    </row>
    <row r="911" spans="1:32" ht="12" customHeight="1">
      <c r="A911" s="725" t="s">
        <v>15499</v>
      </c>
      <c r="B911" s="2">
        <v>1</v>
      </c>
      <c r="C911" s="4" t="s">
        <v>3954</v>
      </c>
      <c r="D911" s="1" t="s">
        <v>3959</v>
      </c>
      <c r="E911" s="6">
        <f t="shared" si="14"/>
        <v>64</v>
      </c>
      <c r="F911" s="2" t="s">
        <v>5</v>
      </c>
      <c r="G911" s="1" t="s">
        <v>15273</v>
      </c>
      <c r="K911" s="8" t="s">
        <v>16120</v>
      </c>
      <c r="L911" s="1" t="s">
        <v>13</v>
      </c>
      <c r="M911" s="1" t="s">
        <v>14</v>
      </c>
      <c r="N911" s="16">
        <v>1</v>
      </c>
      <c r="O911" s="17">
        <v>1</v>
      </c>
      <c r="P911" s="3" t="s">
        <v>317</v>
      </c>
      <c r="Q911" s="20">
        <v>17746</v>
      </c>
      <c r="R911" s="3" t="s">
        <v>3960</v>
      </c>
      <c r="T911" s="3" t="s">
        <v>5457</v>
      </c>
      <c r="U911" s="3" t="s">
        <v>47</v>
      </c>
      <c r="V911" s="2" t="s">
        <v>47</v>
      </c>
      <c r="AE911" s="698"/>
      <c r="AF911" s="655"/>
    </row>
    <row r="912" spans="1:32" ht="12" customHeight="1">
      <c r="A912" s="725" t="s">
        <v>15500</v>
      </c>
      <c r="B912" s="2">
        <v>1</v>
      </c>
      <c r="C912" s="4" t="s">
        <v>3965</v>
      </c>
      <c r="D912" s="1" t="s">
        <v>3971</v>
      </c>
      <c r="E912" s="6">
        <f t="shared" si="14"/>
        <v>49</v>
      </c>
      <c r="F912" s="2" t="s">
        <v>5</v>
      </c>
      <c r="G912" s="1" t="s">
        <v>15273</v>
      </c>
      <c r="H912" s="3" t="s">
        <v>3972</v>
      </c>
      <c r="K912" s="4" t="s">
        <v>16120</v>
      </c>
      <c r="L912" s="1" t="s">
        <v>30</v>
      </c>
      <c r="M912" s="1" t="s">
        <v>25</v>
      </c>
      <c r="N912" s="16">
        <v>4</v>
      </c>
      <c r="O912" s="17">
        <v>4</v>
      </c>
      <c r="P912" s="3" t="s">
        <v>31</v>
      </c>
      <c r="Q912" s="20">
        <v>23081</v>
      </c>
      <c r="R912" s="3" t="s">
        <v>16674</v>
      </c>
      <c r="S912" s="3" t="s">
        <v>3973</v>
      </c>
      <c r="T912" s="3" t="s">
        <v>5457</v>
      </c>
      <c r="U912" s="3" t="s">
        <v>635</v>
      </c>
      <c r="W912" s="2" t="s">
        <v>145</v>
      </c>
      <c r="AD912" s="2" t="s">
        <v>146</v>
      </c>
      <c r="AE912" s="698"/>
      <c r="AF912" s="655"/>
    </row>
    <row r="913" spans="1:32" ht="12" customHeight="1">
      <c r="A913" s="725" t="s">
        <v>15501</v>
      </c>
      <c r="B913" s="2">
        <v>1</v>
      </c>
      <c r="C913" s="4" t="s">
        <v>3977</v>
      </c>
      <c r="D913" s="1" t="s">
        <v>3984</v>
      </c>
      <c r="E913" s="6">
        <f t="shared" si="14"/>
        <v>42</v>
      </c>
      <c r="F913" s="2" t="s">
        <v>5</v>
      </c>
      <c r="G913" s="1" t="s">
        <v>15273</v>
      </c>
      <c r="K913" s="4" t="s">
        <v>16120</v>
      </c>
      <c r="L913" s="1" t="s">
        <v>30</v>
      </c>
      <c r="M913" s="1" t="s">
        <v>6</v>
      </c>
      <c r="P913" s="3" t="s">
        <v>172</v>
      </c>
      <c r="Q913" s="20">
        <v>25683</v>
      </c>
      <c r="R913" s="3" t="s">
        <v>3985</v>
      </c>
      <c r="T913" s="3" t="s">
        <v>5457</v>
      </c>
      <c r="U913" s="3" t="s">
        <v>258</v>
      </c>
      <c r="Z913" s="2" t="s">
        <v>155</v>
      </c>
      <c r="AB913" s="2" t="s">
        <v>104</v>
      </c>
      <c r="AE913" s="698"/>
      <c r="AF913" s="655"/>
    </row>
    <row r="914" spans="1:32" ht="12" customHeight="1">
      <c r="A914" s="725" t="s">
        <v>15502</v>
      </c>
      <c r="B914" s="2">
        <v>1</v>
      </c>
      <c r="C914" s="4" t="s">
        <v>3991</v>
      </c>
      <c r="D914" s="1" t="s">
        <v>4005</v>
      </c>
      <c r="E914" s="6">
        <f t="shared" si="14"/>
        <v>54</v>
      </c>
      <c r="F914" s="2" t="s">
        <v>5</v>
      </c>
      <c r="G914" s="1" t="s">
        <v>15273</v>
      </c>
      <c r="K914" s="8" t="s">
        <v>16120</v>
      </c>
      <c r="L914" s="1" t="s">
        <v>476</v>
      </c>
      <c r="M914" s="1" t="s">
        <v>14</v>
      </c>
      <c r="N914" s="16">
        <v>2</v>
      </c>
      <c r="O914" s="17">
        <v>2</v>
      </c>
      <c r="P914" s="3" t="s">
        <v>255</v>
      </c>
      <c r="Q914" s="20">
        <v>21209</v>
      </c>
      <c r="R914" s="3" t="s">
        <v>4006</v>
      </c>
      <c r="S914" s="3" t="s">
        <v>2428</v>
      </c>
      <c r="T914" s="3" t="s">
        <v>5457</v>
      </c>
      <c r="U914" s="3" t="s">
        <v>355</v>
      </c>
      <c r="V914" s="2" t="s">
        <v>47</v>
      </c>
      <c r="AB914" s="2" t="s">
        <v>104</v>
      </c>
      <c r="AE914" s="698"/>
      <c r="AF914" s="655"/>
    </row>
    <row r="915" spans="1:32" ht="12" customHeight="1">
      <c r="A915" s="725" t="s">
        <v>15503</v>
      </c>
      <c r="B915" s="2">
        <v>1</v>
      </c>
      <c r="C915" s="4" t="s">
        <v>4012</v>
      </c>
      <c r="D915" s="1" t="s">
        <v>4014</v>
      </c>
      <c r="E915" s="6">
        <f t="shared" si="14"/>
        <v>62</v>
      </c>
      <c r="F915" s="2" t="s">
        <v>5</v>
      </c>
      <c r="G915" s="1" t="s">
        <v>15273</v>
      </c>
      <c r="K915" s="23" t="s">
        <v>16120</v>
      </c>
      <c r="L915" s="1" t="s">
        <v>476</v>
      </c>
      <c r="M915" s="1" t="s">
        <v>6</v>
      </c>
      <c r="P915" s="3" t="s">
        <v>1879</v>
      </c>
      <c r="Q915" s="20">
        <v>18513</v>
      </c>
      <c r="R915" s="3" t="s">
        <v>4015</v>
      </c>
      <c r="U915" s="3" t="s">
        <v>145</v>
      </c>
      <c r="W915" s="2" t="s">
        <v>145</v>
      </c>
      <c r="AE915" s="698"/>
      <c r="AF915" s="655"/>
    </row>
    <row r="916" spans="1:32" ht="12" customHeight="1">
      <c r="A916" s="725" t="s">
        <v>15504</v>
      </c>
      <c r="B916" s="2">
        <v>1</v>
      </c>
      <c r="C916" s="4" t="s">
        <v>4023</v>
      </c>
      <c r="D916" s="1" t="s">
        <v>4032</v>
      </c>
      <c r="E916" s="6">
        <f t="shared" si="14"/>
        <v>29</v>
      </c>
      <c r="F916" s="2" t="s">
        <v>5</v>
      </c>
      <c r="G916" s="1" t="s">
        <v>15273</v>
      </c>
      <c r="K916" s="8" t="s">
        <v>16120</v>
      </c>
      <c r="L916" s="1" t="s">
        <v>30</v>
      </c>
      <c r="M916" s="1" t="s">
        <v>6</v>
      </c>
      <c r="P916" s="3" t="s">
        <v>450</v>
      </c>
      <c r="Q916" s="20">
        <v>30414</v>
      </c>
      <c r="R916" s="3" t="s">
        <v>4033</v>
      </c>
      <c r="T916" s="3" t="s">
        <v>5457</v>
      </c>
      <c r="U916" s="3" t="s">
        <v>104</v>
      </c>
      <c r="AB916" s="2" t="s">
        <v>104</v>
      </c>
      <c r="AE916" s="698"/>
      <c r="AF916" s="655"/>
    </row>
    <row r="917" spans="1:32" ht="12" customHeight="1">
      <c r="A917" s="725" t="s">
        <v>15505</v>
      </c>
      <c r="B917" s="2">
        <v>1</v>
      </c>
      <c r="C917" s="4" t="s">
        <v>4038</v>
      </c>
      <c r="D917" s="1" t="s">
        <v>4043</v>
      </c>
      <c r="E917" s="6">
        <f t="shared" si="14"/>
        <v>70</v>
      </c>
      <c r="F917" s="2" t="s">
        <v>5</v>
      </c>
      <c r="G917" s="1" t="s">
        <v>15273</v>
      </c>
      <c r="H917" s="3" t="s">
        <v>4044</v>
      </c>
      <c r="K917" s="4" t="s">
        <v>16120</v>
      </c>
      <c r="L917" s="1" t="s">
        <v>30</v>
      </c>
      <c r="M917" s="1" t="s">
        <v>25</v>
      </c>
      <c r="N917" s="16">
        <v>10</v>
      </c>
      <c r="O917" s="17">
        <v>10</v>
      </c>
      <c r="P917" s="3" t="s">
        <v>381</v>
      </c>
      <c r="Q917" s="20">
        <v>15415</v>
      </c>
      <c r="R917" s="3" t="s">
        <v>727</v>
      </c>
      <c r="S917" s="3" t="s">
        <v>4046</v>
      </c>
      <c r="T917" s="3" t="s">
        <v>5457</v>
      </c>
      <c r="U917" s="3" t="s">
        <v>3181</v>
      </c>
      <c r="AB917" s="2" t="s">
        <v>104</v>
      </c>
      <c r="AC917" s="2" t="s">
        <v>147</v>
      </c>
      <c r="AE917" s="698"/>
      <c r="AF917" s="655"/>
    </row>
    <row r="918" spans="1:32" ht="12" customHeight="1">
      <c r="A918" s="725" t="s">
        <v>15506</v>
      </c>
      <c r="B918" s="2">
        <v>1</v>
      </c>
      <c r="C918" s="4" t="s">
        <v>4050</v>
      </c>
      <c r="D918" s="1" t="s">
        <v>4057</v>
      </c>
      <c r="E918" s="6">
        <f t="shared" si="14"/>
        <v>53</v>
      </c>
      <c r="F918" s="2" t="s">
        <v>5</v>
      </c>
      <c r="G918" s="1" t="s">
        <v>15273</v>
      </c>
      <c r="H918" s="3" t="s">
        <v>4058</v>
      </c>
      <c r="I918" s="1" t="s">
        <v>373</v>
      </c>
      <c r="K918" s="4" t="s">
        <v>16120</v>
      </c>
      <c r="L918" s="1" t="s">
        <v>48</v>
      </c>
      <c r="M918" s="1" t="s">
        <v>6</v>
      </c>
      <c r="O918" s="17">
        <v>3</v>
      </c>
      <c r="P918" s="3" t="s">
        <v>31</v>
      </c>
      <c r="Q918" s="20">
        <v>21641</v>
      </c>
      <c r="R918" s="3" t="s">
        <v>3431</v>
      </c>
      <c r="S918" s="3" t="s">
        <v>4060</v>
      </c>
      <c r="T918" s="3" t="s">
        <v>5457</v>
      </c>
      <c r="U918" s="3" t="s">
        <v>1291</v>
      </c>
      <c r="Y918" s="2" t="s">
        <v>229</v>
      </c>
      <c r="AB918" s="2" t="s">
        <v>104</v>
      </c>
      <c r="AE918" s="698"/>
      <c r="AF918" s="655"/>
    </row>
    <row r="919" spans="1:32" ht="12" customHeight="1">
      <c r="A919" s="725" t="s">
        <v>15507</v>
      </c>
      <c r="B919" s="2">
        <v>1</v>
      </c>
      <c r="C919" s="4" t="s">
        <v>4066</v>
      </c>
      <c r="D919" s="1" t="s">
        <v>4072</v>
      </c>
      <c r="E919" s="6">
        <f t="shared" si="14"/>
        <v>70</v>
      </c>
      <c r="F919" s="2" t="s">
        <v>5</v>
      </c>
      <c r="G919" s="1" t="s">
        <v>15273</v>
      </c>
      <c r="H919" s="3" t="s">
        <v>4073</v>
      </c>
      <c r="K919" s="8" t="s">
        <v>16120</v>
      </c>
      <c r="L919" s="1" t="s">
        <v>65</v>
      </c>
      <c r="M919" s="1" t="s">
        <v>25</v>
      </c>
      <c r="N919" s="16">
        <v>7</v>
      </c>
      <c r="O919" s="17">
        <v>7</v>
      </c>
      <c r="P919" s="3" t="s">
        <v>31</v>
      </c>
      <c r="Q919" s="20">
        <v>15655</v>
      </c>
      <c r="R919" s="3" t="s">
        <v>4074</v>
      </c>
      <c r="S919" s="3" t="s">
        <v>4076</v>
      </c>
      <c r="T919" s="3" t="s">
        <v>5457</v>
      </c>
      <c r="U919" s="3" t="s">
        <v>145</v>
      </c>
      <c r="W919" s="2" t="s">
        <v>145</v>
      </c>
      <c r="AE919" s="698"/>
      <c r="AF919" s="655"/>
    </row>
    <row r="920" spans="1:32" ht="12" customHeight="1">
      <c r="A920" s="725" t="s">
        <v>15508</v>
      </c>
      <c r="B920" s="2">
        <v>19</v>
      </c>
      <c r="C920" s="2"/>
      <c r="D920" s="2" t="s">
        <v>5935</v>
      </c>
      <c r="E920" s="6">
        <f t="shared" si="14"/>
        <v>64</v>
      </c>
      <c r="F920" s="2" t="s">
        <v>5</v>
      </c>
      <c r="G920" s="2" t="s">
        <v>6067</v>
      </c>
      <c r="H920" s="22" t="s">
        <v>5939</v>
      </c>
      <c r="I920" s="2"/>
      <c r="J920" s="2"/>
      <c r="K920" s="23" t="s">
        <v>16120</v>
      </c>
      <c r="L920" s="2" t="s">
        <v>48</v>
      </c>
      <c r="M920" s="2" t="s">
        <v>25</v>
      </c>
      <c r="N920" s="24">
        <v>4</v>
      </c>
      <c r="O920" s="25">
        <v>4</v>
      </c>
      <c r="P920" s="22" t="s">
        <v>188</v>
      </c>
      <c r="Q920" s="21">
        <v>17753</v>
      </c>
      <c r="R920" s="22" t="s">
        <v>5936</v>
      </c>
      <c r="S920" s="22" t="s">
        <v>5937</v>
      </c>
      <c r="T920" s="22"/>
      <c r="U920" s="22" t="s">
        <v>145</v>
      </c>
      <c r="W920" s="2" t="s">
        <v>145</v>
      </c>
      <c r="AE920" s="698"/>
      <c r="AF920" s="655"/>
    </row>
    <row r="921" spans="1:32" ht="12" customHeight="1">
      <c r="A921" s="725" t="s">
        <v>15509</v>
      </c>
      <c r="B921" s="2">
        <v>20</v>
      </c>
      <c r="C921" s="2"/>
      <c r="D921" s="2" t="s">
        <v>5261</v>
      </c>
      <c r="E921" s="6">
        <f t="shared" si="14"/>
        <v>70</v>
      </c>
      <c r="F921" s="2" t="s">
        <v>5</v>
      </c>
      <c r="G921" s="2" t="s">
        <v>6067</v>
      </c>
      <c r="H921" s="22"/>
      <c r="I921" s="2"/>
      <c r="J921" s="2"/>
      <c r="K921" s="8" t="s">
        <v>16120</v>
      </c>
      <c r="L921" s="2" t="s">
        <v>5262</v>
      </c>
      <c r="M921" s="2" t="s">
        <v>6</v>
      </c>
      <c r="N921" s="24"/>
      <c r="O921" s="25">
        <v>6</v>
      </c>
      <c r="P921" s="22" t="s">
        <v>5263</v>
      </c>
      <c r="Q921" s="21">
        <v>15443</v>
      </c>
      <c r="R921" s="22" t="s">
        <v>5264</v>
      </c>
      <c r="S921" s="22" t="s">
        <v>5267</v>
      </c>
      <c r="T921" s="22"/>
      <c r="U921" s="22" t="s">
        <v>5265</v>
      </c>
      <c r="W921" s="2" t="s">
        <v>5201</v>
      </c>
      <c r="Y921" s="2" t="s">
        <v>5266</v>
      </c>
      <c r="AE921" s="698"/>
      <c r="AF921" s="655"/>
    </row>
    <row r="922" spans="1:32" ht="12" customHeight="1">
      <c r="A922" s="725" t="s">
        <v>15510</v>
      </c>
      <c r="B922" s="2">
        <v>21</v>
      </c>
      <c r="C922" s="2"/>
      <c r="D922" s="2" t="s">
        <v>6106</v>
      </c>
      <c r="E922" s="6">
        <f t="shared" si="14"/>
        <v>65</v>
      </c>
      <c r="F922" s="2" t="s">
        <v>5</v>
      </c>
      <c r="G922" s="2" t="s">
        <v>6067</v>
      </c>
      <c r="H922" s="22"/>
      <c r="I922" s="2"/>
      <c r="J922" s="2"/>
      <c r="K922" s="4" t="s">
        <v>16120</v>
      </c>
      <c r="L922" s="2" t="s">
        <v>5247</v>
      </c>
      <c r="M922" s="2" t="s">
        <v>6</v>
      </c>
      <c r="N922" s="24"/>
      <c r="O922" s="25"/>
      <c r="P922" s="22" t="s">
        <v>16538</v>
      </c>
      <c r="Q922" s="21">
        <v>17207</v>
      </c>
      <c r="R922" s="22" t="s">
        <v>16537</v>
      </c>
      <c r="S922" s="22"/>
      <c r="T922" s="22"/>
      <c r="U922" s="22" t="s">
        <v>145</v>
      </c>
      <c r="W922" s="2" t="s">
        <v>145</v>
      </c>
      <c r="AE922" s="698"/>
      <c r="AF922" s="655"/>
    </row>
    <row r="923" spans="1:32" ht="12" customHeight="1">
      <c r="A923" s="725" t="s">
        <v>15511</v>
      </c>
      <c r="B923" s="2">
        <v>22</v>
      </c>
      <c r="C923" s="2"/>
      <c r="D923" s="2" t="s">
        <v>6107</v>
      </c>
      <c r="E923" s="6">
        <f t="shared" si="14"/>
        <v>39</v>
      </c>
      <c r="F923" s="2" t="s">
        <v>5</v>
      </c>
      <c r="G923" s="2" t="s">
        <v>6067</v>
      </c>
      <c r="H923" s="22"/>
      <c r="I923" s="2"/>
      <c r="J923" s="2"/>
      <c r="K923" s="4" t="s">
        <v>16120</v>
      </c>
      <c r="L923" s="2" t="s">
        <v>5247</v>
      </c>
      <c r="M923" s="2" t="s">
        <v>6</v>
      </c>
      <c r="N923" s="24"/>
      <c r="O923" s="25"/>
      <c r="P923" s="22" t="s">
        <v>16539</v>
      </c>
      <c r="Q923" s="21">
        <v>26774</v>
      </c>
      <c r="R923" s="22" t="s">
        <v>16540</v>
      </c>
      <c r="S923" s="22"/>
      <c r="T923" s="22"/>
      <c r="U923" s="22"/>
      <c r="AE923" s="698"/>
      <c r="AF923" s="655"/>
    </row>
    <row r="924" spans="1:32" ht="12" customHeight="1">
      <c r="A924" s="725" t="s">
        <v>15512</v>
      </c>
      <c r="B924" s="2">
        <v>23</v>
      </c>
      <c r="C924" s="2"/>
      <c r="D924" s="2" t="s">
        <v>6108</v>
      </c>
      <c r="E924" s="6">
        <f t="shared" si="14"/>
        <v>47</v>
      </c>
      <c r="F924" s="2" t="s">
        <v>5</v>
      </c>
      <c r="G924" s="2" t="s">
        <v>6067</v>
      </c>
      <c r="H924" s="22"/>
      <c r="I924" s="2"/>
      <c r="J924" s="2"/>
      <c r="K924" s="8" t="s">
        <v>16120</v>
      </c>
      <c r="L924" s="2" t="s">
        <v>5247</v>
      </c>
      <c r="M924" s="2" t="s">
        <v>6</v>
      </c>
      <c r="N924" s="24"/>
      <c r="O924" s="25"/>
      <c r="P924" s="22" t="s">
        <v>695</v>
      </c>
      <c r="Q924" s="21">
        <v>24077</v>
      </c>
      <c r="R924" s="22" t="s">
        <v>16541</v>
      </c>
      <c r="S924" s="22"/>
      <c r="T924" s="22"/>
      <c r="U924" s="22"/>
      <c r="AE924" s="698"/>
      <c r="AF924" s="655"/>
    </row>
    <row r="925" spans="1:32" ht="12" customHeight="1">
      <c r="A925" s="725" t="s">
        <v>15513</v>
      </c>
      <c r="B925" s="2">
        <v>24</v>
      </c>
      <c r="C925" s="2"/>
      <c r="D925" s="2" t="s">
        <v>6109</v>
      </c>
      <c r="E925" s="6">
        <f t="shared" si="14"/>
        <v>54</v>
      </c>
      <c r="F925" s="2" t="s">
        <v>5</v>
      </c>
      <c r="G925" s="2" t="s">
        <v>6067</v>
      </c>
      <c r="H925" s="22"/>
      <c r="I925" s="2"/>
      <c r="J925" s="2"/>
      <c r="K925" s="23" t="s">
        <v>16120</v>
      </c>
      <c r="L925" s="2" t="s">
        <v>5247</v>
      </c>
      <c r="M925" s="2" t="s">
        <v>6</v>
      </c>
      <c r="N925" s="24"/>
      <c r="O925" s="25"/>
      <c r="P925" s="22" t="s">
        <v>16542</v>
      </c>
      <c r="Q925" s="21">
        <v>21380</v>
      </c>
      <c r="R925" s="22" t="s">
        <v>6110</v>
      </c>
      <c r="S925" s="22"/>
      <c r="T925" s="22"/>
      <c r="U925" s="22"/>
      <c r="AE925" s="698"/>
      <c r="AF925" s="655"/>
    </row>
    <row r="926" spans="1:32" ht="12" customHeight="1">
      <c r="A926" s="725" t="s">
        <v>15514</v>
      </c>
      <c r="B926" s="2">
        <v>25</v>
      </c>
      <c r="C926" s="2"/>
      <c r="D926" s="2" t="s">
        <v>6112</v>
      </c>
      <c r="E926" s="6">
        <f t="shared" si="14"/>
        <v>50</v>
      </c>
      <c r="F926" s="2" t="s">
        <v>5</v>
      </c>
      <c r="G926" s="2" t="s">
        <v>6067</v>
      </c>
      <c r="H926" s="22"/>
      <c r="I926" s="2"/>
      <c r="J926" s="2"/>
      <c r="K926" s="8" t="s">
        <v>16120</v>
      </c>
      <c r="L926" s="2" t="s">
        <v>5247</v>
      </c>
      <c r="M926" s="2" t="s">
        <v>6</v>
      </c>
      <c r="N926" s="24"/>
      <c r="O926" s="25"/>
      <c r="P926" s="22" t="s">
        <v>83</v>
      </c>
      <c r="Q926" s="21">
        <v>22972</v>
      </c>
      <c r="R926" s="22" t="s">
        <v>16543</v>
      </c>
      <c r="S926" s="22"/>
      <c r="T926" s="22"/>
      <c r="U926" s="22" t="s">
        <v>16545</v>
      </c>
      <c r="Z926" s="2" t="s">
        <v>16545</v>
      </c>
      <c r="AE926" s="698"/>
      <c r="AF926" s="655"/>
    </row>
    <row r="927" spans="1:32" ht="12" customHeight="1" thickBot="1">
      <c r="A927" s="726" t="s">
        <v>15515</v>
      </c>
      <c r="B927" s="702">
        <v>26</v>
      </c>
      <c r="C927" s="702"/>
      <c r="D927" s="702" t="s">
        <v>6113</v>
      </c>
      <c r="E927" s="701">
        <f t="shared" si="14"/>
        <v>39</v>
      </c>
      <c r="F927" s="702" t="s">
        <v>5</v>
      </c>
      <c r="G927" s="702" t="s">
        <v>6067</v>
      </c>
      <c r="H927" s="720"/>
      <c r="I927" s="702"/>
      <c r="J927" s="702"/>
      <c r="K927" s="700" t="s">
        <v>16120</v>
      </c>
      <c r="L927" s="702" t="s">
        <v>5247</v>
      </c>
      <c r="M927" s="702" t="s">
        <v>6</v>
      </c>
      <c r="N927" s="721"/>
      <c r="O927" s="722"/>
      <c r="P927" s="720" t="s">
        <v>597</v>
      </c>
      <c r="Q927" s="723">
        <v>26960</v>
      </c>
      <c r="R927" s="720" t="s">
        <v>16546</v>
      </c>
      <c r="S927" s="720"/>
      <c r="T927" s="720"/>
      <c r="U927" s="720"/>
      <c r="V927" s="702"/>
      <c r="W927" s="702"/>
      <c r="X927" s="702"/>
      <c r="Y927" s="702"/>
      <c r="Z927" s="702"/>
      <c r="AA927" s="702"/>
      <c r="AB927" s="702"/>
      <c r="AC927" s="702"/>
      <c r="AD927" s="702"/>
      <c r="AE927" s="708"/>
      <c r="AF927" s="655"/>
    </row>
    <row r="928" spans="1:32" ht="12" customHeight="1">
      <c r="A928" s="780" t="s">
        <v>16646</v>
      </c>
      <c r="B928" s="696">
        <v>1</v>
      </c>
      <c r="C928" s="688" t="s">
        <v>3940</v>
      </c>
      <c r="D928" s="687" t="s">
        <v>3946</v>
      </c>
      <c r="E928" s="823">
        <f t="shared" si="14"/>
        <v>44</v>
      </c>
      <c r="F928" s="696" t="s">
        <v>5</v>
      </c>
      <c r="G928" s="687" t="s">
        <v>15273</v>
      </c>
      <c r="H928" s="747" t="s">
        <v>3947</v>
      </c>
      <c r="I928" s="687"/>
      <c r="J928" s="687"/>
      <c r="K928" s="688" t="s">
        <v>16125</v>
      </c>
      <c r="L928" s="687"/>
      <c r="M928" s="687" t="s">
        <v>25</v>
      </c>
      <c r="N928" s="748">
        <v>1</v>
      </c>
      <c r="O928" s="749">
        <v>1</v>
      </c>
      <c r="P928" s="747" t="s">
        <v>172</v>
      </c>
      <c r="Q928" s="773">
        <v>25130</v>
      </c>
      <c r="R928" s="747" t="s">
        <v>3949</v>
      </c>
      <c r="S928" s="747"/>
      <c r="T928" s="747" t="s">
        <v>5561</v>
      </c>
      <c r="U928" s="747" t="s">
        <v>104</v>
      </c>
      <c r="V928" s="696"/>
      <c r="W928" s="696"/>
      <c r="X928" s="696"/>
      <c r="Y928" s="696"/>
      <c r="Z928" s="696"/>
      <c r="AA928" s="696"/>
      <c r="AB928" s="696" t="s">
        <v>104</v>
      </c>
      <c r="AC928" s="696"/>
      <c r="AD928" s="696"/>
      <c r="AE928" s="697"/>
      <c r="AF928" s="655"/>
    </row>
    <row r="929" spans="1:32" ht="12" customHeight="1">
      <c r="A929" s="790" t="s">
        <v>16647</v>
      </c>
      <c r="B929" s="2">
        <v>1</v>
      </c>
      <c r="C929" s="4" t="s">
        <v>4012</v>
      </c>
      <c r="D929" s="1" t="s">
        <v>4019</v>
      </c>
      <c r="E929" s="214">
        <f t="shared" si="14"/>
        <v>76</v>
      </c>
      <c r="F929" s="2" t="s">
        <v>5</v>
      </c>
      <c r="G929" s="1" t="s">
        <v>15273</v>
      </c>
      <c r="H929" s="3" t="s">
        <v>4020</v>
      </c>
      <c r="K929" s="4" t="s">
        <v>16125</v>
      </c>
      <c r="M929" s="1" t="s">
        <v>25</v>
      </c>
      <c r="N929" s="16">
        <v>11</v>
      </c>
      <c r="O929" s="17">
        <v>11</v>
      </c>
      <c r="P929" s="3" t="s">
        <v>317</v>
      </c>
      <c r="Q929" s="20">
        <v>13455</v>
      </c>
      <c r="R929" s="3" t="s">
        <v>4021</v>
      </c>
      <c r="S929" s="3" t="s">
        <v>5542</v>
      </c>
      <c r="T929" s="3" t="s">
        <v>5561</v>
      </c>
      <c r="U929" s="3" t="s">
        <v>47</v>
      </c>
      <c r="V929" s="2" t="s">
        <v>47</v>
      </c>
      <c r="AE929" s="698"/>
      <c r="AF929" s="655"/>
    </row>
    <row r="930" spans="1:32" ht="12" customHeight="1" thickBot="1">
      <c r="A930" s="782" t="s">
        <v>16648</v>
      </c>
      <c r="B930" s="702">
        <v>1</v>
      </c>
      <c r="C930" s="700" t="s">
        <v>4039</v>
      </c>
      <c r="D930" s="699" t="s">
        <v>6136</v>
      </c>
      <c r="E930" s="701">
        <f t="shared" si="14"/>
        <v>53</v>
      </c>
      <c r="F930" s="702" t="s">
        <v>5</v>
      </c>
      <c r="G930" s="699" t="s">
        <v>15273</v>
      </c>
      <c r="H930" s="703"/>
      <c r="I930" s="699"/>
      <c r="J930" s="699"/>
      <c r="K930" s="700" t="s">
        <v>16125</v>
      </c>
      <c r="L930" s="699"/>
      <c r="M930" s="699" t="s">
        <v>6</v>
      </c>
      <c r="N930" s="705"/>
      <c r="O930" s="706"/>
      <c r="P930" s="703" t="s">
        <v>1282</v>
      </c>
      <c r="Q930" s="707">
        <v>21558</v>
      </c>
      <c r="R930" s="703" t="s">
        <v>6137</v>
      </c>
      <c r="S930" s="703"/>
      <c r="T930" s="703" t="s">
        <v>5561</v>
      </c>
      <c r="U930" s="703"/>
      <c r="V930" s="702"/>
      <c r="W930" s="702"/>
      <c r="X930" s="702"/>
      <c r="Y930" s="702"/>
      <c r="Z930" s="702"/>
      <c r="AA930" s="702"/>
      <c r="AB930" s="702"/>
      <c r="AC930" s="702"/>
      <c r="AD930" s="702"/>
      <c r="AE930" s="708"/>
      <c r="AF930" s="655"/>
    </row>
    <row r="931" spans="1:32" ht="12" customHeight="1">
      <c r="A931" s="745" t="s">
        <v>4099</v>
      </c>
      <c r="B931" s="696">
        <v>1</v>
      </c>
      <c r="C931" s="696"/>
      <c r="D931" s="696" t="s">
        <v>4101</v>
      </c>
      <c r="E931" s="823">
        <f t="shared" si="14"/>
        <v>60</v>
      </c>
      <c r="F931" s="696" t="s">
        <v>5</v>
      </c>
      <c r="G931" s="696" t="s">
        <v>6067</v>
      </c>
      <c r="H931" s="715" t="s">
        <v>4102</v>
      </c>
      <c r="I931" s="696"/>
      <c r="J931" s="696"/>
      <c r="K931" s="692" t="s">
        <v>16118</v>
      </c>
      <c r="L931" s="696"/>
      <c r="M931" s="696" t="s">
        <v>25</v>
      </c>
      <c r="N931" s="717">
        <v>6</v>
      </c>
      <c r="O931" s="718">
        <v>6</v>
      </c>
      <c r="P931" s="715" t="s">
        <v>4103</v>
      </c>
      <c r="Q931" s="719">
        <v>19029</v>
      </c>
      <c r="R931" s="715" t="s">
        <v>4104</v>
      </c>
      <c r="S931" s="715" t="s">
        <v>4105</v>
      </c>
      <c r="T931" s="715"/>
      <c r="U931" s="715"/>
      <c r="V931" s="696"/>
      <c r="W931" s="696"/>
      <c r="X931" s="696"/>
      <c r="Y931" s="696"/>
      <c r="Z931" s="696"/>
      <c r="AA931" s="696"/>
      <c r="AB931" s="696"/>
      <c r="AC931" s="696"/>
      <c r="AD931" s="696"/>
      <c r="AE931" s="697"/>
      <c r="AF931" s="655"/>
    </row>
    <row r="932" spans="1:32" ht="12" customHeight="1">
      <c r="A932" s="791" t="s">
        <v>4100</v>
      </c>
      <c r="B932" s="2">
        <v>2</v>
      </c>
      <c r="C932" s="2"/>
      <c r="D932" s="6" t="s">
        <v>4106</v>
      </c>
      <c r="E932" s="6">
        <f t="shared" si="14"/>
        <v>61</v>
      </c>
      <c r="F932" s="6" t="s">
        <v>5</v>
      </c>
      <c r="G932" s="2" t="s">
        <v>6067</v>
      </c>
      <c r="H932" s="12"/>
      <c r="I932" s="6"/>
      <c r="J932" s="19"/>
      <c r="K932" s="23" t="s">
        <v>16118</v>
      </c>
      <c r="L932" s="6"/>
      <c r="M932" s="6" t="s">
        <v>14</v>
      </c>
      <c r="N932" s="13">
        <v>5</v>
      </c>
      <c r="O932" s="14">
        <v>5</v>
      </c>
      <c r="P932" s="12" t="s">
        <v>2123</v>
      </c>
      <c r="Q932" s="15">
        <v>18721</v>
      </c>
      <c r="R932" s="12" t="s">
        <v>4107</v>
      </c>
      <c r="S932" s="12" t="s">
        <v>4108</v>
      </c>
      <c r="T932" s="12"/>
      <c r="U932" s="12"/>
      <c r="AE932" s="698"/>
      <c r="AF932" s="655"/>
    </row>
    <row r="933" spans="1:32" ht="12" customHeight="1">
      <c r="A933" s="791" t="s">
        <v>5925</v>
      </c>
      <c r="B933" s="2">
        <v>3</v>
      </c>
      <c r="C933" s="2"/>
      <c r="D933" s="6" t="s">
        <v>16547</v>
      </c>
      <c r="E933" s="6">
        <f t="shared" si="14"/>
        <v>37</v>
      </c>
      <c r="F933" s="6" t="s">
        <v>5</v>
      </c>
      <c r="G933" s="2" t="s">
        <v>6067</v>
      </c>
      <c r="H933" s="12"/>
      <c r="I933" s="6"/>
      <c r="J933" s="19"/>
      <c r="K933" s="8" t="s">
        <v>16118</v>
      </c>
      <c r="L933" s="6"/>
      <c r="M933" s="6" t="s">
        <v>6</v>
      </c>
      <c r="N933" s="13"/>
      <c r="O933" s="14"/>
      <c r="P933" s="12" t="s">
        <v>3996</v>
      </c>
      <c r="Q933" s="15">
        <v>27587</v>
      </c>
      <c r="R933" s="12" t="s">
        <v>16548</v>
      </c>
      <c r="S933" s="12"/>
      <c r="T933" s="12"/>
      <c r="U933" s="12"/>
      <c r="AE933" s="698"/>
      <c r="AF933" s="655"/>
    </row>
    <row r="934" spans="1:32" ht="12" customHeight="1" thickBot="1">
      <c r="A934" s="746" t="s">
        <v>5926</v>
      </c>
      <c r="B934" s="702">
        <v>4</v>
      </c>
      <c r="C934" s="702"/>
      <c r="D934" s="701" t="s">
        <v>5927</v>
      </c>
      <c r="E934" s="701">
        <f t="shared" si="14"/>
        <v>45</v>
      </c>
      <c r="F934" s="701" t="s">
        <v>5</v>
      </c>
      <c r="G934" s="702" t="s">
        <v>6067</v>
      </c>
      <c r="H934" s="740"/>
      <c r="I934" s="701"/>
      <c r="J934" s="741"/>
      <c r="K934" s="704" t="s">
        <v>16118</v>
      </c>
      <c r="L934" s="701"/>
      <c r="M934" s="701" t="s">
        <v>6</v>
      </c>
      <c r="N934" s="742"/>
      <c r="O934" s="743"/>
      <c r="P934" s="740" t="s">
        <v>2123</v>
      </c>
      <c r="Q934" s="744">
        <v>24607</v>
      </c>
      <c r="R934" s="740" t="s">
        <v>16549</v>
      </c>
      <c r="S934" s="740"/>
      <c r="T934" s="740"/>
      <c r="U934" s="740" t="s">
        <v>16551</v>
      </c>
      <c r="V934" s="702" t="s">
        <v>16551</v>
      </c>
      <c r="W934" s="702"/>
      <c r="X934" s="702"/>
      <c r="Y934" s="702"/>
      <c r="Z934" s="702"/>
      <c r="AA934" s="702"/>
      <c r="AB934" s="702"/>
      <c r="AC934" s="702"/>
      <c r="AD934" s="702"/>
      <c r="AE934" s="708"/>
      <c r="AF934" s="655"/>
    </row>
    <row r="935" spans="1:32" ht="12" customHeight="1">
      <c r="A935" s="750" t="s">
        <v>16552</v>
      </c>
      <c r="B935" s="696">
        <v>1</v>
      </c>
      <c r="C935" s="688" t="s">
        <v>3903</v>
      </c>
      <c r="D935" s="687" t="s">
        <v>3914</v>
      </c>
      <c r="E935" s="690">
        <f t="shared" si="14"/>
        <v>73</v>
      </c>
      <c r="F935" s="696" t="s">
        <v>5</v>
      </c>
      <c r="G935" s="687" t="s">
        <v>15273</v>
      </c>
      <c r="H935" s="747" t="s">
        <v>3915</v>
      </c>
      <c r="I935" s="687"/>
      <c r="J935" s="687"/>
      <c r="K935" s="688" t="s">
        <v>16116</v>
      </c>
      <c r="L935" s="687" t="s">
        <v>4993</v>
      </c>
      <c r="M935" s="687" t="s">
        <v>25</v>
      </c>
      <c r="N935" s="748">
        <v>10</v>
      </c>
      <c r="O935" s="749">
        <v>10</v>
      </c>
      <c r="P935" s="747" t="s">
        <v>31</v>
      </c>
      <c r="Q935" s="773">
        <v>14460</v>
      </c>
      <c r="R935" s="747" t="s">
        <v>3917</v>
      </c>
      <c r="S935" s="747" t="s">
        <v>5553</v>
      </c>
      <c r="T935" s="747"/>
      <c r="U935" s="747" t="s">
        <v>104</v>
      </c>
      <c r="V935" s="696"/>
      <c r="W935" s="696"/>
      <c r="X935" s="696"/>
      <c r="Y935" s="696"/>
      <c r="Z935" s="696"/>
      <c r="AA935" s="696"/>
      <c r="AB935" s="696" t="s">
        <v>104</v>
      </c>
      <c r="AC935" s="696"/>
      <c r="AD935" s="696"/>
      <c r="AE935" s="697"/>
      <c r="AF935" s="655"/>
    </row>
    <row r="936" spans="1:32" ht="12" customHeight="1">
      <c r="A936" s="751" t="s">
        <v>16553</v>
      </c>
      <c r="B936" s="2">
        <v>1</v>
      </c>
      <c r="C936" s="4" t="s">
        <v>3920</v>
      </c>
      <c r="D936" s="1" t="s">
        <v>5056</v>
      </c>
      <c r="E936" s="6">
        <f t="shared" si="14"/>
        <v>51</v>
      </c>
      <c r="F936" s="2" t="s">
        <v>5</v>
      </c>
      <c r="G936" s="1" t="s">
        <v>15273</v>
      </c>
      <c r="K936" s="4" t="s">
        <v>16116</v>
      </c>
      <c r="L936" s="1" t="s">
        <v>276</v>
      </c>
      <c r="M936" s="1" t="s">
        <v>6</v>
      </c>
      <c r="P936" s="3" t="s">
        <v>302</v>
      </c>
      <c r="Q936" s="21">
        <v>22277</v>
      </c>
      <c r="R936" s="3" t="s">
        <v>5618</v>
      </c>
      <c r="U936" s="3" t="s">
        <v>145</v>
      </c>
      <c r="W936" s="2" t="s">
        <v>145</v>
      </c>
      <c r="AE936" s="698"/>
      <c r="AF936" s="655"/>
    </row>
    <row r="937" spans="1:32" ht="12" customHeight="1">
      <c r="A937" s="751" t="s">
        <v>16554</v>
      </c>
      <c r="B937" s="2">
        <v>1</v>
      </c>
      <c r="C937" s="4" t="s">
        <v>3955</v>
      </c>
      <c r="D937" s="1" t="s">
        <v>5861</v>
      </c>
      <c r="E937" s="6">
        <f t="shared" si="14"/>
        <v>43</v>
      </c>
      <c r="F937" s="2" t="s">
        <v>5</v>
      </c>
      <c r="G937" s="1" t="s">
        <v>15273</v>
      </c>
      <c r="K937" s="4" t="s">
        <v>16116</v>
      </c>
      <c r="L937" s="1" t="s">
        <v>4997</v>
      </c>
      <c r="M937" s="1" t="s">
        <v>6</v>
      </c>
      <c r="P937" s="3" t="s">
        <v>349</v>
      </c>
      <c r="Q937" s="20">
        <v>25192</v>
      </c>
      <c r="R937" s="3" t="s">
        <v>5974</v>
      </c>
      <c r="T937" s="3" t="s">
        <v>469</v>
      </c>
      <c r="AE937" s="698"/>
      <c r="AF937" s="655"/>
    </row>
    <row r="938" spans="1:32" ht="12" customHeight="1">
      <c r="A938" s="751" t="s">
        <v>16555</v>
      </c>
      <c r="B938" s="2">
        <v>1</v>
      </c>
      <c r="C938" s="4" t="s">
        <v>3966</v>
      </c>
      <c r="D938" s="1" t="s">
        <v>5233</v>
      </c>
      <c r="E938" s="6">
        <f t="shared" si="14"/>
        <v>49</v>
      </c>
      <c r="F938" s="2" t="s">
        <v>5</v>
      </c>
      <c r="G938" s="1" t="s">
        <v>15273</v>
      </c>
      <c r="K938" s="4" t="s">
        <v>16116</v>
      </c>
      <c r="L938" s="1" t="s">
        <v>4993</v>
      </c>
      <c r="M938" s="1" t="s">
        <v>6</v>
      </c>
      <c r="P938" s="3" t="s">
        <v>6151</v>
      </c>
      <c r="Q938" s="21">
        <v>23332</v>
      </c>
      <c r="R938" s="3" t="s">
        <v>5232</v>
      </c>
      <c r="AE938" s="698"/>
      <c r="AF938" s="655"/>
    </row>
    <row r="939" spans="1:32" ht="12" customHeight="1">
      <c r="A939" s="751" t="s">
        <v>16556</v>
      </c>
      <c r="B939" s="2">
        <v>1</v>
      </c>
      <c r="C939" s="4" t="s">
        <v>4024</v>
      </c>
      <c r="D939" s="1" t="s">
        <v>5235</v>
      </c>
      <c r="E939" s="6">
        <f t="shared" si="14"/>
        <v>30</v>
      </c>
      <c r="F939" s="2" t="s">
        <v>5</v>
      </c>
      <c r="G939" s="1" t="s">
        <v>15273</v>
      </c>
      <c r="K939" s="4" t="s">
        <v>16116</v>
      </c>
      <c r="L939" s="1" t="s">
        <v>4997</v>
      </c>
      <c r="M939" s="1" t="s">
        <v>6</v>
      </c>
      <c r="P939" s="3" t="s">
        <v>5236</v>
      </c>
      <c r="Q939" s="21">
        <v>30183</v>
      </c>
      <c r="R939" s="3" t="s">
        <v>16558</v>
      </c>
      <c r="T939" s="3" t="s">
        <v>469</v>
      </c>
      <c r="AE939" s="698"/>
      <c r="AF939" s="655"/>
    </row>
    <row r="940" spans="1:32" ht="12" customHeight="1">
      <c r="A940" s="751" t="s">
        <v>16557</v>
      </c>
      <c r="B940" s="2">
        <v>1</v>
      </c>
      <c r="C940" s="4" t="s">
        <v>4051</v>
      </c>
      <c r="D940" s="1" t="s">
        <v>5432</v>
      </c>
      <c r="E940" s="6">
        <f t="shared" si="14"/>
        <v>29</v>
      </c>
      <c r="F940" s="2" t="s">
        <v>19</v>
      </c>
      <c r="G940" s="1" t="s">
        <v>15273</v>
      </c>
      <c r="K940" s="4" t="s">
        <v>16116</v>
      </c>
      <c r="L940" s="1" t="s">
        <v>4997</v>
      </c>
      <c r="M940" s="1" t="s">
        <v>6</v>
      </c>
      <c r="P940" s="3" t="s">
        <v>5433</v>
      </c>
      <c r="Q940" s="21">
        <v>30495</v>
      </c>
      <c r="R940" s="3" t="s">
        <v>5434</v>
      </c>
      <c r="T940" s="3" t="s">
        <v>469</v>
      </c>
      <c r="U940" s="3" t="s">
        <v>145</v>
      </c>
      <c r="W940" s="2" t="s">
        <v>145</v>
      </c>
      <c r="AE940" s="698"/>
      <c r="AF940" s="655"/>
    </row>
    <row r="941" spans="1:32" ht="12" customHeight="1">
      <c r="A941" s="751" t="s">
        <v>15670</v>
      </c>
      <c r="B941" s="2">
        <v>7</v>
      </c>
      <c r="C941" s="2"/>
      <c r="D941" s="6" t="s">
        <v>15946</v>
      </c>
      <c r="E941" s="6">
        <f t="shared" si="14"/>
        <v>60</v>
      </c>
      <c r="F941" s="6" t="s">
        <v>5</v>
      </c>
      <c r="G941" s="2" t="s">
        <v>6067</v>
      </c>
      <c r="H941" s="12"/>
      <c r="I941" s="6"/>
      <c r="J941" s="19"/>
      <c r="K941" s="23" t="s">
        <v>16130</v>
      </c>
      <c r="L941" s="6" t="s">
        <v>4993</v>
      </c>
      <c r="M941" s="6" t="s">
        <v>6</v>
      </c>
      <c r="N941" s="13"/>
      <c r="O941" s="14"/>
      <c r="P941" s="12" t="s">
        <v>255</v>
      </c>
      <c r="Q941" s="15">
        <v>19211</v>
      </c>
      <c r="R941" s="12" t="s">
        <v>15672</v>
      </c>
      <c r="S941" s="12"/>
      <c r="T941" s="12"/>
      <c r="U941" s="12"/>
      <c r="AE941" s="698"/>
      <c r="AF941" s="655"/>
    </row>
    <row r="942" spans="1:32" ht="12" customHeight="1" thickBot="1">
      <c r="A942" s="752" t="s">
        <v>15671</v>
      </c>
      <c r="B942" s="702">
        <v>8</v>
      </c>
      <c r="C942" s="702"/>
      <c r="D942" s="701" t="s">
        <v>15945</v>
      </c>
      <c r="E942" s="701">
        <f t="shared" si="14"/>
        <v>45</v>
      </c>
      <c r="F942" s="701" t="s">
        <v>5</v>
      </c>
      <c r="G942" s="702" t="s">
        <v>6067</v>
      </c>
      <c r="H942" s="740"/>
      <c r="I942" s="701"/>
      <c r="J942" s="741"/>
      <c r="K942" s="741" t="s">
        <v>16130</v>
      </c>
      <c r="L942" s="701" t="s">
        <v>4993</v>
      </c>
      <c r="M942" s="701" t="s">
        <v>6</v>
      </c>
      <c r="N942" s="742"/>
      <c r="O942" s="743"/>
      <c r="P942" s="740" t="s">
        <v>5841</v>
      </c>
      <c r="Q942" s="744">
        <v>24630</v>
      </c>
      <c r="R942" s="740" t="s">
        <v>16284</v>
      </c>
      <c r="S942" s="740"/>
      <c r="T942" s="740"/>
      <c r="U942" s="740"/>
      <c r="V942" s="702"/>
      <c r="W942" s="702"/>
      <c r="X942" s="702"/>
      <c r="Y942" s="702"/>
      <c r="Z942" s="702"/>
      <c r="AA942" s="702"/>
      <c r="AB942" s="702"/>
      <c r="AC942" s="702"/>
      <c r="AD942" s="702"/>
      <c r="AE942" s="708"/>
      <c r="AF942" s="655"/>
    </row>
    <row r="943" spans="1:32" ht="12" customHeight="1">
      <c r="A943" s="757" t="s">
        <v>15646</v>
      </c>
      <c r="B943" s="696">
        <v>1</v>
      </c>
      <c r="C943" s="688" t="s">
        <v>5687</v>
      </c>
      <c r="D943" s="687" t="s">
        <v>3882</v>
      </c>
      <c r="E943" s="690">
        <f t="shared" si="14"/>
        <v>37</v>
      </c>
      <c r="F943" s="696" t="s">
        <v>5</v>
      </c>
      <c r="G943" s="687" t="s">
        <v>15273</v>
      </c>
      <c r="H943" s="747"/>
      <c r="I943" s="687"/>
      <c r="J943" s="687"/>
      <c r="K943" s="688" t="s">
        <v>16128</v>
      </c>
      <c r="L943" s="687"/>
      <c r="M943" s="687" t="s">
        <v>6</v>
      </c>
      <c r="N943" s="748"/>
      <c r="O943" s="749"/>
      <c r="P943" s="747" t="s">
        <v>1405</v>
      </c>
      <c r="Q943" s="773">
        <v>27447</v>
      </c>
      <c r="R943" s="747" t="s">
        <v>3883</v>
      </c>
      <c r="S943" s="747"/>
      <c r="T943" s="747" t="s">
        <v>6031</v>
      </c>
      <c r="U943" s="747"/>
      <c r="V943" s="696"/>
      <c r="W943" s="696"/>
      <c r="X943" s="696"/>
      <c r="Y943" s="696"/>
      <c r="Z943" s="696"/>
      <c r="AA943" s="696"/>
      <c r="AB943" s="696"/>
      <c r="AC943" s="696"/>
      <c r="AD943" s="696"/>
      <c r="AE943" s="697"/>
      <c r="AF943" s="655"/>
    </row>
    <row r="944" spans="1:32" ht="12" customHeight="1" thickBot="1">
      <c r="A944" s="759" t="s">
        <v>16559</v>
      </c>
      <c r="B944" s="702">
        <v>2</v>
      </c>
      <c r="C944" s="702"/>
      <c r="D944" s="701" t="s">
        <v>15647</v>
      </c>
      <c r="E944" s="701">
        <f t="shared" si="14"/>
        <v>47</v>
      </c>
      <c r="F944" s="701" t="s">
        <v>5</v>
      </c>
      <c r="G944" s="702" t="s">
        <v>6067</v>
      </c>
      <c r="H944" s="740"/>
      <c r="I944" s="701"/>
      <c r="J944" s="741"/>
      <c r="K944" s="704" t="s">
        <v>16128</v>
      </c>
      <c r="L944" s="701"/>
      <c r="M944" s="701" t="s">
        <v>6</v>
      </c>
      <c r="N944" s="742"/>
      <c r="O944" s="743"/>
      <c r="P944" s="740" t="s">
        <v>15648</v>
      </c>
      <c r="Q944" s="744">
        <v>23984</v>
      </c>
      <c r="R944" s="740" t="s">
        <v>15649</v>
      </c>
      <c r="S944" s="740"/>
      <c r="T944" s="740"/>
      <c r="U944" s="740" t="s">
        <v>15650</v>
      </c>
      <c r="V944" s="702"/>
      <c r="W944" s="702" t="s">
        <v>15650</v>
      </c>
      <c r="X944" s="702"/>
      <c r="Y944" s="702"/>
      <c r="Z944" s="702"/>
      <c r="AA944" s="702"/>
      <c r="AB944" s="702"/>
      <c r="AC944" s="702"/>
      <c r="AD944" s="702"/>
      <c r="AE944" s="708"/>
      <c r="AF944" s="655"/>
    </row>
    <row r="945" spans="1:32" ht="12" customHeight="1">
      <c r="A945" s="760" t="s">
        <v>5681</v>
      </c>
      <c r="B945" s="696">
        <v>1</v>
      </c>
      <c r="C945" s="696"/>
      <c r="D945" s="696" t="s">
        <v>4109</v>
      </c>
      <c r="E945" s="690">
        <f t="shared" si="14"/>
        <v>37</v>
      </c>
      <c r="F945" s="696" t="s">
        <v>19</v>
      </c>
      <c r="G945" s="696" t="s">
        <v>6067</v>
      </c>
      <c r="H945" s="715"/>
      <c r="I945" s="696"/>
      <c r="J945" s="696"/>
      <c r="K945" s="716" t="s">
        <v>16117</v>
      </c>
      <c r="L945" s="696"/>
      <c r="M945" s="696" t="s">
        <v>6</v>
      </c>
      <c r="N945" s="717"/>
      <c r="O945" s="718"/>
      <c r="P945" s="715" t="s">
        <v>4110</v>
      </c>
      <c r="Q945" s="719">
        <v>27656</v>
      </c>
      <c r="R945" s="715" t="s">
        <v>4111</v>
      </c>
      <c r="S945" s="715"/>
      <c r="T945" s="715"/>
      <c r="U945" s="715"/>
      <c r="V945" s="696"/>
      <c r="W945" s="696"/>
      <c r="X945" s="696"/>
      <c r="Y945" s="696"/>
      <c r="Z945" s="696"/>
      <c r="AA945" s="696"/>
      <c r="AB945" s="696"/>
      <c r="AC945" s="696"/>
      <c r="AD945" s="696"/>
      <c r="AE945" s="697"/>
      <c r="AF945" s="655"/>
    </row>
    <row r="946" spans="1:32" ht="12" customHeight="1" thickBot="1">
      <c r="A946" s="761" t="s">
        <v>5682</v>
      </c>
      <c r="B946" s="702">
        <v>2</v>
      </c>
      <c r="C946" s="702"/>
      <c r="D946" s="702" t="s">
        <v>5495</v>
      </c>
      <c r="E946" s="701">
        <f t="shared" si="14"/>
        <v>34</v>
      </c>
      <c r="F946" s="702" t="s">
        <v>5</v>
      </c>
      <c r="G946" s="702" t="s">
        <v>6067</v>
      </c>
      <c r="H946" s="720"/>
      <c r="I946" s="702"/>
      <c r="J946" s="702"/>
      <c r="K946" s="704" t="s">
        <v>16117</v>
      </c>
      <c r="L946" s="702"/>
      <c r="M946" s="702" t="s">
        <v>6</v>
      </c>
      <c r="N946" s="721"/>
      <c r="O946" s="722"/>
      <c r="P946" s="720" t="s">
        <v>5496</v>
      </c>
      <c r="Q946" s="723">
        <v>28549</v>
      </c>
      <c r="R946" s="720" t="s">
        <v>5497</v>
      </c>
      <c r="S946" s="720"/>
      <c r="T946" s="720"/>
      <c r="U946" s="720"/>
      <c r="V946" s="702"/>
      <c r="W946" s="702"/>
      <c r="X946" s="702"/>
      <c r="Y946" s="702"/>
      <c r="Z946" s="702"/>
      <c r="AA946" s="702"/>
      <c r="AB946" s="702"/>
      <c r="AC946" s="702"/>
      <c r="AD946" s="702"/>
      <c r="AE946" s="708"/>
      <c r="AF946" s="655"/>
    </row>
    <row r="947" spans="1:32" ht="12" customHeight="1" thickBot="1">
      <c r="A947" s="813" t="s">
        <v>5683</v>
      </c>
      <c r="B947" s="660">
        <v>1</v>
      </c>
      <c r="C947" s="660"/>
      <c r="D947" s="728" t="s">
        <v>4112</v>
      </c>
      <c r="E947" s="728">
        <f t="shared" si="14"/>
        <v>64</v>
      </c>
      <c r="F947" s="728" t="s">
        <v>5</v>
      </c>
      <c r="G947" s="660" t="s">
        <v>6067</v>
      </c>
      <c r="H947" s="808"/>
      <c r="I947" s="728"/>
      <c r="J947" s="809"/>
      <c r="K947" s="762" t="s">
        <v>16121</v>
      </c>
      <c r="L947" s="728"/>
      <c r="M947" s="728" t="s">
        <v>14</v>
      </c>
      <c r="N947" s="810">
        <v>1</v>
      </c>
      <c r="O947" s="811">
        <v>1</v>
      </c>
      <c r="P947" s="808" t="s">
        <v>4113</v>
      </c>
      <c r="Q947" s="812">
        <v>17732</v>
      </c>
      <c r="R947" s="808" t="s">
        <v>4115</v>
      </c>
      <c r="S947" s="808"/>
      <c r="T947" s="808"/>
      <c r="U947" s="733" t="s">
        <v>4114</v>
      </c>
      <c r="V947" s="660"/>
      <c r="W947" s="660"/>
      <c r="X947" s="660"/>
      <c r="Y947" s="660"/>
      <c r="Z947" s="660"/>
      <c r="AA947" s="660"/>
      <c r="AB947" s="660"/>
      <c r="AC947" s="660"/>
      <c r="AD947" s="660"/>
      <c r="AE947" s="664" t="s">
        <v>4114</v>
      </c>
      <c r="AF947" s="655"/>
    </row>
    <row r="948" spans="1:32" ht="12" customHeight="1">
      <c r="A948" s="771" t="s">
        <v>16566</v>
      </c>
      <c r="B948" s="696">
        <v>1</v>
      </c>
      <c r="C948" s="696"/>
      <c r="D948" s="690" t="s">
        <v>5143</v>
      </c>
      <c r="E948" s="690">
        <f t="shared" si="14"/>
        <v>46</v>
      </c>
      <c r="F948" s="690" t="s">
        <v>5</v>
      </c>
      <c r="G948" s="696" t="s">
        <v>6067</v>
      </c>
      <c r="H948" s="735"/>
      <c r="I948" s="690"/>
      <c r="J948" s="736"/>
      <c r="K948" s="716" t="s">
        <v>16122</v>
      </c>
      <c r="L948" s="690" t="s">
        <v>22</v>
      </c>
      <c r="M948" s="690" t="s">
        <v>6</v>
      </c>
      <c r="N948" s="737"/>
      <c r="O948" s="738"/>
      <c r="P948" s="735" t="s">
        <v>188</v>
      </c>
      <c r="Q948" s="739">
        <v>24405</v>
      </c>
      <c r="R948" s="735" t="s">
        <v>5144</v>
      </c>
      <c r="S948" s="735"/>
      <c r="T948" s="735"/>
      <c r="U948" s="715"/>
      <c r="V948" s="696"/>
      <c r="W948" s="696"/>
      <c r="X948" s="696"/>
      <c r="Y948" s="696"/>
      <c r="Z948" s="696"/>
      <c r="AA948" s="696"/>
      <c r="AB948" s="696"/>
      <c r="AC948" s="696"/>
      <c r="AD948" s="696"/>
      <c r="AE948" s="697"/>
      <c r="AF948" s="655"/>
    </row>
    <row r="949" spans="1:32" ht="12" customHeight="1">
      <c r="A949" s="789" t="s">
        <v>16567</v>
      </c>
      <c r="B949" s="2">
        <v>2</v>
      </c>
      <c r="C949" s="2"/>
      <c r="D949" s="6" t="s">
        <v>4632</v>
      </c>
      <c r="E949" s="6">
        <f t="shared" si="14"/>
        <v>51</v>
      </c>
      <c r="F949" s="6" t="s">
        <v>19</v>
      </c>
      <c r="G949" s="2" t="s">
        <v>6067</v>
      </c>
      <c r="H949" s="12"/>
      <c r="I949" s="6"/>
      <c r="J949" s="19"/>
      <c r="K949" s="23" t="s">
        <v>16122</v>
      </c>
      <c r="L949" s="6" t="s">
        <v>22</v>
      </c>
      <c r="M949" s="6" t="s">
        <v>6</v>
      </c>
      <c r="N949" s="13"/>
      <c r="O949" s="14"/>
      <c r="P949" s="12" t="s">
        <v>4633</v>
      </c>
      <c r="Q949" s="15">
        <v>22442</v>
      </c>
      <c r="R949" s="12" t="s">
        <v>4634</v>
      </c>
      <c r="S949" s="12"/>
      <c r="T949" s="12"/>
      <c r="U949" s="22"/>
      <c r="AE949" s="698"/>
      <c r="AF949" s="655"/>
    </row>
    <row r="950" spans="1:32" ht="12" customHeight="1" thickBot="1">
      <c r="A950" s="772" t="s">
        <v>16568</v>
      </c>
      <c r="B950" s="702">
        <v>3</v>
      </c>
      <c r="C950" s="702"/>
      <c r="D950" s="701" t="s">
        <v>5145</v>
      </c>
      <c r="E950" s="701">
        <f t="shared" si="14"/>
        <v>64</v>
      </c>
      <c r="F950" s="701" t="s">
        <v>5</v>
      </c>
      <c r="G950" s="702" t="s">
        <v>6067</v>
      </c>
      <c r="H950" s="740"/>
      <c r="I950" s="701"/>
      <c r="J950" s="741"/>
      <c r="K950" s="770" t="s">
        <v>16122</v>
      </c>
      <c r="L950" s="701" t="s">
        <v>22</v>
      </c>
      <c r="M950" s="701" t="s">
        <v>6</v>
      </c>
      <c r="N950" s="742"/>
      <c r="O950" s="743"/>
      <c r="P950" s="740" t="s">
        <v>5142</v>
      </c>
      <c r="Q950" s="744">
        <v>17658</v>
      </c>
      <c r="R950" s="740" t="s">
        <v>5146</v>
      </c>
      <c r="S950" s="740"/>
      <c r="T950" s="740"/>
      <c r="U950" s="720"/>
      <c r="V950" s="702"/>
      <c r="W950" s="702"/>
      <c r="X950" s="702"/>
      <c r="Y950" s="702"/>
      <c r="Z950" s="702"/>
      <c r="AA950" s="702"/>
      <c r="AB950" s="702"/>
      <c r="AC950" s="702"/>
      <c r="AD950" s="702"/>
      <c r="AE950" s="708"/>
      <c r="AF950" s="655"/>
    </row>
    <row r="951" spans="1:32" ht="12" customHeight="1">
      <c r="A951" s="776" t="s">
        <v>15909</v>
      </c>
      <c r="B951" s="696">
        <v>1</v>
      </c>
      <c r="C951" s="688" t="s">
        <v>4116</v>
      </c>
      <c r="D951" s="687" t="s">
        <v>4119</v>
      </c>
      <c r="E951" s="690">
        <f t="shared" si="14"/>
        <v>66</v>
      </c>
      <c r="F951" s="696" t="s">
        <v>5</v>
      </c>
      <c r="G951" s="689" t="s">
        <v>15273</v>
      </c>
      <c r="H951" s="747" t="s">
        <v>4120</v>
      </c>
      <c r="I951" s="687"/>
      <c r="J951" s="687"/>
      <c r="K951" s="692" t="s">
        <v>16127</v>
      </c>
      <c r="L951" s="687" t="s">
        <v>45</v>
      </c>
      <c r="M951" s="687" t="s">
        <v>25</v>
      </c>
      <c r="N951" s="748">
        <v>6</v>
      </c>
      <c r="O951" s="749">
        <v>6</v>
      </c>
      <c r="P951" s="747" t="s">
        <v>2223</v>
      </c>
      <c r="Q951" s="773">
        <v>16817</v>
      </c>
      <c r="R951" s="747" t="s">
        <v>727</v>
      </c>
      <c r="S951" s="747"/>
      <c r="T951" s="747" t="s">
        <v>736</v>
      </c>
      <c r="U951" s="747" t="s">
        <v>147</v>
      </c>
      <c r="V951" s="696"/>
      <c r="W951" s="696"/>
      <c r="X951" s="696"/>
      <c r="Y951" s="696"/>
      <c r="Z951" s="696"/>
      <c r="AA951" s="696"/>
      <c r="AB951" s="696"/>
      <c r="AC951" s="696" t="s">
        <v>147</v>
      </c>
      <c r="AD951" s="696"/>
      <c r="AE951" s="697"/>
      <c r="AF951" s="655"/>
    </row>
    <row r="952" spans="1:32" ht="12" customHeight="1">
      <c r="A952" s="777" t="s">
        <v>15910</v>
      </c>
      <c r="B952" s="2">
        <v>1</v>
      </c>
      <c r="C952" s="4" t="s">
        <v>4127</v>
      </c>
      <c r="D952" s="1" t="s">
        <v>4131</v>
      </c>
      <c r="E952" s="6">
        <f t="shared" si="14"/>
        <v>41</v>
      </c>
      <c r="F952" s="2" t="s">
        <v>19</v>
      </c>
      <c r="G952" s="5" t="s">
        <v>15273</v>
      </c>
      <c r="H952" s="3" t="s">
        <v>4132</v>
      </c>
      <c r="K952" s="8" t="s">
        <v>16127</v>
      </c>
      <c r="L952" s="1" t="s">
        <v>44</v>
      </c>
      <c r="M952" s="1" t="s">
        <v>25</v>
      </c>
      <c r="N952" s="16">
        <v>3</v>
      </c>
      <c r="O952" s="17">
        <v>3</v>
      </c>
      <c r="P952" s="3" t="s">
        <v>188</v>
      </c>
      <c r="Q952" s="20">
        <v>26267</v>
      </c>
      <c r="R952" s="3" t="s">
        <v>4133</v>
      </c>
      <c r="S952" s="3" t="s">
        <v>4134</v>
      </c>
      <c r="AE952" s="698"/>
      <c r="AF952" s="655"/>
    </row>
    <row r="953" spans="1:32" ht="12" customHeight="1">
      <c r="A953" s="777" t="s">
        <v>15911</v>
      </c>
      <c r="B953" s="2">
        <v>1</v>
      </c>
      <c r="C953" s="4" t="s">
        <v>4144</v>
      </c>
      <c r="D953" s="1" t="s">
        <v>4148</v>
      </c>
      <c r="E953" s="6">
        <f t="shared" si="14"/>
        <v>46</v>
      </c>
      <c r="F953" s="2" t="s">
        <v>5</v>
      </c>
      <c r="G953" s="5" t="s">
        <v>15273</v>
      </c>
      <c r="H953" s="3" t="s">
        <v>4149</v>
      </c>
      <c r="K953" s="8" t="s">
        <v>16127</v>
      </c>
      <c r="L953" s="1" t="s">
        <v>44</v>
      </c>
      <c r="M953" s="1" t="s">
        <v>25</v>
      </c>
      <c r="N953" s="16">
        <v>1</v>
      </c>
      <c r="O953" s="17">
        <v>1</v>
      </c>
      <c r="P953" s="3" t="s">
        <v>3693</v>
      </c>
      <c r="Q953" s="20">
        <v>24250</v>
      </c>
      <c r="R953" s="3" t="s">
        <v>4150</v>
      </c>
      <c r="T953" s="3" t="s">
        <v>736</v>
      </c>
      <c r="AE953" s="698"/>
      <c r="AF953" s="655"/>
    </row>
    <row r="954" spans="1:32" ht="12" customHeight="1">
      <c r="A954" s="777" t="s">
        <v>15912</v>
      </c>
      <c r="B954" s="2">
        <v>1</v>
      </c>
      <c r="C954" s="4" t="s">
        <v>4160</v>
      </c>
      <c r="D954" s="1" t="s">
        <v>4163</v>
      </c>
      <c r="E954" s="6">
        <f t="shared" si="14"/>
        <v>41</v>
      </c>
      <c r="F954" s="2" t="s">
        <v>5</v>
      </c>
      <c r="G954" s="5" t="s">
        <v>15273</v>
      </c>
      <c r="H954" s="3" t="s">
        <v>4164</v>
      </c>
      <c r="K954" s="4" t="s">
        <v>16127</v>
      </c>
      <c r="L954" s="1" t="s">
        <v>44</v>
      </c>
      <c r="M954" s="1" t="s">
        <v>25</v>
      </c>
      <c r="N954" s="16">
        <v>2</v>
      </c>
      <c r="O954" s="17">
        <v>2</v>
      </c>
      <c r="P954" s="3" t="s">
        <v>317</v>
      </c>
      <c r="Q954" s="20">
        <v>26041</v>
      </c>
      <c r="R954" s="3" t="s">
        <v>4165</v>
      </c>
      <c r="S954" s="3" t="s">
        <v>810</v>
      </c>
      <c r="T954" s="3" t="s">
        <v>736</v>
      </c>
      <c r="U954" s="3" t="s">
        <v>47</v>
      </c>
      <c r="V954" s="2" t="s">
        <v>47</v>
      </c>
      <c r="AE954" s="698"/>
      <c r="AF954" s="655"/>
    </row>
    <row r="955" spans="1:32" ht="12" customHeight="1">
      <c r="A955" s="777" t="s">
        <v>15913</v>
      </c>
      <c r="B955" s="2">
        <v>1</v>
      </c>
      <c r="C955" s="4" t="s">
        <v>4174</v>
      </c>
      <c r="D955" s="1" t="s">
        <v>4177</v>
      </c>
      <c r="E955" s="6">
        <f t="shared" si="14"/>
        <v>43</v>
      </c>
      <c r="F955" s="2" t="s">
        <v>5</v>
      </c>
      <c r="G955" s="5" t="s">
        <v>15273</v>
      </c>
      <c r="H955" s="3" t="s">
        <v>4178</v>
      </c>
      <c r="K955" s="8" t="s">
        <v>16126</v>
      </c>
      <c r="L955" s="1" t="s">
        <v>44</v>
      </c>
      <c r="M955" s="1" t="s">
        <v>25</v>
      </c>
      <c r="N955" s="16">
        <v>1</v>
      </c>
      <c r="O955" s="17">
        <v>1</v>
      </c>
      <c r="P955" s="3" t="s">
        <v>255</v>
      </c>
      <c r="Q955" s="20">
        <v>25324</v>
      </c>
      <c r="R955" s="3" t="s">
        <v>1629</v>
      </c>
      <c r="T955" s="3" t="s">
        <v>736</v>
      </c>
      <c r="U955" s="3" t="s">
        <v>47</v>
      </c>
      <c r="V955" s="2" t="s">
        <v>47</v>
      </c>
      <c r="AE955" s="698"/>
      <c r="AF955" s="655"/>
    </row>
    <row r="956" spans="1:32" ht="12" customHeight="1">
      <c r="A956" s="777" t="s">
        <v>15914</v>
      </c>
      <c r="B956" s="2">
        <v>1</v>
      </c>
      <c r="C956" s="4" t="s">
        <v>4192</v>
      </c>
      <c r="D956" s="1" t="s">
        <v>4198</v>
      </c>
      <c r="E956" s="6">
        <f t="shared" si="14"/>
        <v>52</v>
      </c>
      <c r="F956" s="2" t="s">
        <v>19</v>
      </c>
      <c r="G956" s="5" t="s">
        <v>15273</v>
      </c>
      <c r="H956" s="3" t="s">
        <v>4199</v>
      </c>
      <c r="K956" s="8" t="s">
        <v>16127</v>
      </c>
      <c r="L956" s="1" t="s">
        <v>44</v>
      </c>
      <c r="M956" s="1" t="s">
        <v>25</v>
      </c>
      <c r="N956" s="16">
        <v>1</v>
      </c>
      <c r="O956" s="17">
        <v>1</v>
      </c>
      <c r="P956" s="3" t="s">
        <v>3607</v>
      </c>
      <c r="Q956" s="20">
        <v>22082</v>
      </c>
      <c r="R956" s="3" t="s">
        <v>4201</v>
      </c>
      <c r="T956" s="3" t="s">
        <v>736</v>
      </c>
      <c r="U956" s="3" t="s">
        <v>155</v>
      </c>
      <c r="Z956" s="2" t="s">
        <v>155</v>
      </c>
      <c r="AE956" s="698"/>
      <c r="AF956" s="655"/>
    </row>
    <row r="957" spans="1:32" ht="12" customHeight="1">
      <c r="A957" s="777" t="s">
        <v>15915</v>
      </c>
      <c r="B957" s="2">
        <v>1</v>
      </c>
      <c r="C957" s="4" t="s">
        <v>4220</v>
      </c>
      <c r="D957" s="1" t="s">
        <v>4223</v>
      </c>
      <c r="E957" s="6">
        <f t="shared" si="14"/>
        <v>49</v>
      </c>
      <c r="F957" s="2" t="s">
        <v>5</v>
      </c>
      <c r="G957" s="5" t="s">
        <v>15273</v>
      </c>
      <c r="H957" s="3" t="s">
        <v>4224</v>
      </c>
      <c r="K957" s="8" t="s">
        <v>16127</v>
      </c>
      <c r="L957" s="1" t="s">
        <v>44</v>
      </c>
      <c r="M957" s="1" t="s">
        <v>25</v>
      </c>
      <c r="N957" s="16">
        <v>1</v>
      </c>
      <c r="O957" s="17">
        <v>1</v>
      </c>
      <c r="P957" s="3" t="s">
        <v>4225</v>
      </c>
      <c r="Q957" s="20">
        <v>23187</v>
      </c>
      <c r="R957" s="3" t="s">
        <v>4226</v>
      </c>
      <c r="T957" s="3" t="s">
        <v>736</v>
      </c>
      <c r="AE957" s="698"/>
      <c r="AF957" s="655"/>
    </row>
    <row r="958" spans="1:32" ht="12" customHeight="1">
      <c r="A958" s="777" t="s">
        <v>15916</v>
      </c>
      <c r="B958" s="2">
        <v>1</v>
      </c>
      <c r="C958" s="4" t="s">
        <v>4233</v>
      </c>
      <c r="D958" s="1" t="s">
        <v>4241</v>
      </c>
      <c r="E958" s="6">
        <f t="shared" si="14"/>
        <v>40</v>
      </c>
      <c r="F958" s="2" t="s">
        <v>5</v>
      </c>
      <c r="G958" s="5" t="s">
        <v>15273</v>
      </c>
      <c r="H958" s="3" t="s">
        <v>4242</v>
      </c>
      <c r="K958" s="8" t="s">
        <v>16127</v>
      </c>
      <c r="L958" s="1" t="s">
        <v>44</v>
      </c>
      <c r="M958" s="1" t="s">
        <v>25</v>
      </c>
      <c r="N958" s="16">
        <v>1</v>
      </c>
      <c r="O958" s="17">
        <v>1</v>
      </c>
      <c r="P958" s="3" t="s">
        <v>4243</v>
      </c>
      <c r="Q958" s="20">
        <v>26315</v>
      </c>
      <c r="R958" s="3" t="s">
        <v>4244</v>
      </c>
      <c r="T958" s="3" t="s">
        <v>736</v>
      </c>
      <c r="U958" s="3" t="s">
        <v>104</v>
      </c>
      <c r="AB958" s="2" t="s">
        <v>104</v>
      </c>
      <c r="AE958" s="698"/>
      <c r="AF958" s="655"/>
    </row>
    <row r="959" spans="1:32" ht="12" customHeight="1" thickBot="1">
      <c r="A959" s="778" t="s">
        <v>15917</v>
      </c>
      <c r="B959" s="702">
        <v>1</v>
      </c>
      <c r="C959" s="700" t="s">
        <v>4254</v>
      </c>
      <c r="D959" s="699" t="s">
        <v>4257</v>
      </c>
      <c r="E959" s="701">
        <f t="shared" si="14"/>
        <v>32</v>
      </c>
      <c r="F959" s="702" t="s">
        <v>5</v>
      </c>
      <c r="G959" s="356" t="s">
        <v>15273</v>
      </c>
      <c r="H959" s="703"/>
      <c r="I959" s="699"/>
      <c r="J959" s="699"/>
      <c r="K959" s="700" t="s">
        <v>16127</v>
      </c>
      <c r="L959" s="699" t="s">
        <v>44</v>
      </c>
      <c r="M959" s="699" t="s">
        <v>6</v>
      </c>
      <c r="N959" s="705"/>
      <c r="O959" s="706"/>
      <c r="P959" s="703" t="s">
        <v>172</v>
      </c>
      <c r="Q959" s="707">
        <v>29475</v>
      </c>
      <c r="R959" s="703" t="s">
        <v>4259</v>
      </c>
      <c r="S959" s="703"/>
      <c r="T959" s="703" t="s">
        <v>736</v>
      </c>
      <c r="U959" s="703" t="s">
        <v>145</v>
      </c>
      <c r="V959" s="702"/>
      <c r="W959" s="702" t="s">
        <v>145</v>
      </c>
      <c r="X959" s="702"/>
      <c r="Y959" s="702"/>
      <c r="Z959" s="702"/>
      <c r="AA959" s="702"/>
      <c r="AB959" s="702"/>
      <c r="AC959" s="702"/>
      <c r="AD959" s="702"/>
      <c r="AE959" s="708"/>
      <c r="AF959" s="655"/>
    </row>
    <row r="960" spans="1:32" ht="12" customHeight="1">
      <c r="A960" s="724" t="s">
        <v>15516</v>
      </c>
      <c r="B960" s="696">
        <v>1</v>
      </c>
      <c r="C960" s="688" t="s">
        <v>4117</v>
      </c>
      <c r="D960" s="687" t="s">
        <v>4122</v>
      </c>
      <c r="E960" s="690">
        <f t="shared" si="14"/>
        <v>59</v>
      </c>
      <c r="F960" s="696" t="s">
        <v>5</v>
      </c>
      <c r="G960" s="687" t="s">
        <v>15273</v>
      </c>
      <c r="H960" s="747"/>
      <c r="I960" s="687"/>
      <c r="J960" s="687"/>
      <c r="K960" s="688" t="s">
        <v>16120</v>
      </c>
      <c r="L960" s="687" t="s">
        <v>30</v>
      </c>
      <c r="M960" s="687" t="s">
        <v>6</v>
      </c>
      <c r="N960" s="748"/>
      <c r="O960" s="749"/>
      <c r="P960" s="747" t="s">
        <v>4123</v>
      </c>
      <c r="Q960" s="773">
        <v>19347</v>
      </c>
      <c r="R960" s="747" t="s">
        <v>4128</v>
      </c>
      <c r="S960" s="747"/>
      <c r="T960" s="747" t="s">
        <v>5457</v>
      </c>
      <c r="U960" s="747" t="s">
        <v>145</v>
      </c>
      <c r="V960" s="696"/>
      <c r="W960" s="696" t="s">
        <v>145</v>
      </c>
      <c r="X960" s="696"/>
      <c r="Y960" s="696"/>
      <c r="Z960" s="696"/>
      <c r="AA960" s="696"/>
      <c r="AB960" s="696"/>
      <c r="AC960" s="696"/>
      <c r="AD960" s="696"/>
      <c r="AE960" s="697"/>
      <c r="AF960" s="655"/>
    </row>
    <row r="961" spans="1:32" ht="12" customHeight="1">
      <c r="A961" s="725" t="s">
        <v>15517</v>
      </c>
      <c r="B961" s="2">
        <v>1</v>
      </c>
      <c r="C961" s="4" t="s">
        <v>4129</v>
      </c>
      <c r="D961" s="1" t="s">
        <v>4135</v>
      </c>
      <c r="E961" s="6">
        <f t="shared" si="14"/>
        <v>62</v>
      </c>
      <c r="F961" s="2" t="s">
        <v>5</v>
      </c>
      <c r="G961" s="1" t="s">
        <v>15273</v>
      </c>
      <c r="H961" s="3" t="s">
        <v>4140</v>
      </c>
      <c r="K961" s="8" t="s">
        <v>16120</v>
      </c>
      <c r="L961" s="1" t="s">
        <v>445</v>
      </c>
      <c r="M961" s="1" t="s">
        <v>25</v>
      </c>
      <c r="N961" s="16">
        <v>7</v>
      </c>
      <c r="O961" s="17">
        <v>7</v>
      </c>
      <c r="P961" s="3" t="s">
        <v>452</v>
      </c>
      <c r="Q961" s="20">
        <v>18322</v>
      </c>
      <c r="R961" s="3" t="s">
        <v>4138</v>
      </c>
      <c r="S961" s="3" t="s">
        <v>4139</v>
      </c>
      <c r="T961" s="3" t="s">
        <v>5457</v>
      </c>
      <c r="U961" s="3" t="s">
        <v>145</v>
      </c>
      <c r="W961" s="2" t="s">
        <v>145</v>
      </c>
      <c r="AE961" s="698"/>
      <c r="AF961" s="655"/>
    </row>
    <row r="962" spans="1:32" ht="12" customHeight="1">
      <c r="A962" s="725" t="s">
        <v>15518</v>
      </c>
      <c r="B962" s="2">
        <v>1</v>
      </c>
      <c r="C962" s="4" t="s">
        <v>4145</v>
      </c>
      <c r="D962" s="1" t="s">
        <v>4151</v>
      </c>
      <c r="E962" s="6">
        <f t="shared" ref="E962:E1025" si="15">DATEDIF(Q962,$Q$1119,"Y")</f>
        <v>43</v>
      </c>
      <c r="F962" s="2" t="s">
        <v>5</v>
      </c>
      <c r="G962" s="1" t="s">
        <v>15273</v>
      </c>
      <c r="H962" s="3" t="s">
        <v>4152</v>
      </c>
      <c r="K962" s="23" t="s">
        <v>16120</v>
      </c>
      <c r="L962" s="1" t="s">
        <v>30</v>
      </c>
      <c r="M962" s="1" t="s">
        <v>25</v>
      </c>
      <c r="N962" s="16">
        <v>4</v>
      </c>
      <c r="O962" s="17">
        <v>4</v>
      </c>
      <c r="P962" s="3" t="s">
        <v>31</v>
      </c>
      <c r="Q962" s="20">
        <v>25420</v>
      </c>
      <c r="R962" s="3" t="s">
        <v>4153</v>
      </c>
      <c r="S962" s="3" t="s">
        <v>4154</v>
      </c>
      <c r="T962" s="3" t="s">
        <v>5457</v>
      </c>
      <c r="U962" s="3" t="s">
        <v>104</v>
      </c>
      <c r="AB962" s="2" t="s">
        <v>104</v>
      </c>
      <c r="AE962" s="698"/>
      <c r="AF962" s="655"/>
    </row>
    <row r="963" spans="1:32" ht="12" customHeight="1">
      <c r="A963" s="725" t="s">
        <v>15519</v>
      </c>
      <c r="B963" s="2">
        <v>1</v>
      </c>
      <c r="C963" s="4" t="s">
        <v>4161</v>
      </c>
      <c r="D963" s="1" t="s">
        <v>4168</v>
      </c>
      <c r="E963" s="6">
        <f t="shared" si="15"/>
        <v>54</v>
      </c>
      <c r="F963" s="2" t="s">
        <v>5</v>
      </c>
      <c r="G963" s="1" t="s">
        <v>15273</v>
      </c>
      <c r="H963" s="3" t="s">
        <v>4169</v>
      </c>
      <c r="K963" s="8" t="s">
        <v>16120</v>
      </c>
      <c r="L963" s="1" t="s">
        <v>30</v>
      </c>
      <c r="M963" s="1" t="s">
        <v>25</v>
      </c>
      <c r="N963" s="16">
        <v>4</v>
      </c>
      <c r="O963" s="17">
        <v>4</v>
      </c>
      <c r="P963" s="3" t="s">
        <v>450</v>
      </c>
      <c r="Q963" s="20">
        <v>21210</v>
      </c>
      <c r="R963" s="3" t="s">
        <v>4170</v>
      </c>
      <c r="S963" s="3" t="s">
        <v>4171</v>
      </c>
      <c r="T963" s="3" t="s">
        <v>5457</v>
      </c>
      <c r="U963" s="3" t="s">
        <v>104</v>
      </c>
      <c r="AB963" s="2" t="s">
        <v>104</v>
      </c>
      <c r="AE963" s="698"/>
      <c r="AF963" s="655"/>
    </row>
    <row r="964" spans="1:32" ht="12" customHeight="1">
      <c r="A964" s="725" t="s">
        <v>15520</v>
      </c>
      <c r="B964" s="2">
        <v>1</v>
      </c>
      <c r="C964" s="4" t="s">
        <v>4175</v>
      </c>
      <c r="D964" s="1" t="s">
        <v>4179</v>
      </c>
      <c r="E964" s="6">
        <f t="shared" si="15"/>
        <v>47</v>
      </c>
      <c r="F964" s="2" t="s">
        <v>5</v>
      </c>
      <c r="G964" s="1" t="s">
        <v>15273</v>
      </c>
      <c r="K964" s="4" t="s">
        <v>16120</v>
      </c>
      <c r="L964" s="1" t="s">
        <v>30</v>
      </c>
      <c r="M964" s="1" t="s">
        <v>6</v>
      </c>
      <c r="P964" s="3" t="s">
        <v>4103</v>
      </c>
      <c r="Q964" s="20">
        <v>23956</v>
      </c>
      <c r="R964" s="3" t="s">
        <v>4180</v>
      </c>
      <c r="T964" s="3" t="s">
        <v>5457</v>
      </c>
      <c r="U964" s="3" t="s">
        <v>47</v>
      </c>
      <c r="V964" s="2" t="s">
        <v>47</v>
      </c>
      <c r="AE964" s="698"/>
      <c r="AF964" s="655"/>
    </row>
    <row r="965" spans="1:32" ht="12" customHeight="1">
      <c r="A965" s="725" t="s">
        <v>15521</v>
      </c>
      <c r="B965" s="2">
        <v>1</v>
      </c>
      <c r="C965" s="4" t="s">
        <v>4185</v>
      </c>
      <c r="D965" s="1" t="s">
        <v>4187</v>
      </c>
      <c r="E965" s="6">
        <f t="shared" si="15"/>
        <v>44</v>
      </c>
      <c r="F965" s="2" t="s">
        <v>5</v>
      </c>
      <c r="G965" s="1" t="s">
        <v>15273</v>
      </c>
      <c r="K965" s="4" t="s">
        <v>16120</v>
      </c>
      <c r="L965" s="1" t="s">
        <v>934</v>
      </c>
      <c r="M965" s="1" t="s">
        <v>6</v>
      </c>
      <c r="P965" s="3" t="s">
        <v>4103</v>
      </c>
      <c r="Q965" s="20">
        <v>25143</v>
      </c>
      <c r="R965" s="3" t="s">
        <v>4188</v>
      </c>
      <c r="T965" s="3" t="s">
        <v>5457</v>
      </c>
      <c r="U965" s="3" t="s">
        <v>104</v>
      </c>
      <c r="AB965" s="2" t="s">
        <v>104</v>
      </c>
      <c r="AE965" s="698"/>
      <c r="AF965" s="655"/>
    </row>
    <row r="966" spans="1:32" ht="12" customHeight="1">
      <c r="A966" s="725" t="s">
        <v>15522</v>
      </c>
      <c r="B966" s="2">
        <v>1</v>
      </c>
      <c r="C966" s="4" t="s">
        <v>4193</v>
      </c>
      <c r="D966" s="1" t="s">
        <v>4202</v>
      </c>
      <c r="E966" s="6">
        <f t="shared" si="15"/>
        <v>62</v>
      </c>
      <c r="F966" s="2" t="s">
        <v>5</v>
      </c>
      <c r="G966" s="1" t="s">
        <v>15273</v>
      </c>
      <c r="H966" s="3" t="s">
        <v>4203</v>
      </c>
      <c r="K966" s="8" t="s">
        <v>16120</v>
      </c>
      <c r="L966" s="1" t="s">
        <v>476</v>
      </c>
      <c r="M966" s="1" t="s">
        <v>25</v>
      </c>
      <c r="N966" s="16">
        <v>5</v>
      </c>
      <c r="O966" s="17">
        <v>6</v>
      </c>
      <c r="P966" s="3" t="s">
        <v>255</v>
      </c>
      <c r="Q966" s="20">
        <v>18574</v>
      </c>
      <c r="R966" s="3" t="s">
        <v>4204</v>
      </c>
      <c r="S966" s="3" t="s">
        <v>4205</v>
      </c>
      <c r="U966" s="3" t="s">
        <v>1291</v>
      </c>
      <c r="Y966" s="2" t="s">
        <v>229</v>
      </c>
      <c r="AB966" s="2" t="s">
        <v>104</v>
      </c>
      <c r="AE966" s="698"/>
      <c r="AF966" s="655"/>
    </row>
    <row r="967" spans="1:32" ht="12" customHeight="1">
      <c r="A967" s="725" t="s">
        <v>15523</v>
      </c>
      <c r="B967" s="2">
        <v>1</v>
      </c>
      <c r="C967" s="4" t="s">
        <v>4214</v>
      </c>
      <c r="D967" s="1" t="s">
        <v>4216</v>
      </c>
      <c r="E967" s="6">
        <f t="shared" si="15"/>
        <v>60</v>
      </c>
      <c r="F967" s="2" t="s">
        <v>5</v>
      </c>
      <c r="G967" s="1" t="s">
        <v>15273</v>
      </c>
      <c r="H967" s="3" t="s">
        <v>4217</v>
      </c>
      <c r="K967" s="23" t="s">
        <v>16120</v>
      </c>
      <c r="L967" s="1" t="s">
        <v>30</v>
      </c>
      <c r="M967" s="1" t="s">
        <v>25</v>
      </c>
      <c r="N967" s="16">
        <v>8</v>
      </c>
      <c r="O967" s="17">
        <v>8</v>
      </c>
      <c r="P967" s="3" t="s">
        <v>317</v>
      </c>
      <c r="Q967" s="20">
        <v>19125</v>
      </c>
      <c r="R967" s="3" t="s">
        <v>4218</v>
      </c>
      <c r="S967" s="3" t="s">
        <v>4219</v>
      </c>
      <c r="U967" s="3" t="s">
        <v>104</v>
      </c>
      <c r="AB967" s="2" t="s">
        <v>104</v>
      </c>
      <c r="AE967" s="698"/>
      <c r="AF967" s="655"/>
    </row>
    <row r="968" spans="1:32" ht="12" customHeight="1">
      <c r="A968" s="725" t="s">
        <v>15524</v>
      </c>
      <c r="B968" s="2">
        <v>1</v>
      </c>
      <c r="C968" s="4" t="s">
        <v>4221</v>
      </c>
      <c r="D968" s="1" t="s">
        <v>4227</v>
      </c>
      <c r="E968" s="6">
        <f t="shared" si="15"/>
        <v>56</v>
      </c>
      <c r="F968" s="2" t="s">
        <v>5</v>
      </c>
      <c r="G968" s="1" t="s">
        <v>15273</v>
      </c>
      <c r="K968" s="8" t="s">
        <v>16120</v>
      </c>
      <c r="L968" s="1" t="s">
        <v>30</v>
      </c>
      <c r="M968" s="1" t="s">
        <v>6</v>
      </c>
      <c r="P968" s="3" t="s">
        <v>188</v>
      </c>
      <c r="Q968" s="20">
        <v>20546</v>
      </c>
      <c r="R968" s="3" t="s">
        <v>4228</v>
      </c>
      <c r="U968" s="3" t="s">
        <v>145</v>
      </c>
      <c r="W968" s="2" t="s">
        <v>145</v>
      </c>
      <c r="AE968" s="698"/>
      <c r="AF968" s="655"/>
    </row>
    <row r="969" spans="1:32" ht="12" customHeight="1">
      <c r="A969" s="725" t="s">
        <v>15525</v>
      </c>
      <c r="B969" s="2">
        <v>1</v>
      </c>
      <c r="C969" s="4" t="s">
        <v>4234</v>
      </c>
      <c r="D969" s="1" t="s">
        <v>4237</v>
      </c>
      <c r="E969" s="6">
        <f t="shared" si="15"/>
        <v>65</v>
      </c>
      <c r="F969" s="2" t="s">
        <v>5</v>
      </c>
      <c r="G969" s="1" t="s">
        <v>15273</v>
      </c>
      <c r="H969" s="3" t="s">
        <v>4238</v>
      </c>
      <c r="K969" s="4" t="s">
        <v>16120</v>
      </c>
      <c r="L969" s="1" t="s">
        <v>30</v>
      </c>
      <c r="M969" s="1" t="s">
        <v>25</v>
      </c>
      <c r="N969" s="16">
        <v>6</v>
      </c>
      <c r="O969" s="17">
        <v>6</v>
      </c>
      <c r="P969" s="3" t="s">
        <v>31</v>
      </c>
      <c r="Q969" s="20">
        <v>17414</v>
      </c>
      <c r="R969" s="3" t="s">
        <v>4239</v>
      </c>
      <c r="S969" s="3" t="s">
        <v>4240</v>
      </c>
      <c r="T969" s="3" t="s">
        <v>5457</v>
      </c>
      <c r="U969" s="3" t="s">
        <v>104</v>
      </c>
      <c r="AB969" s="2" t="s">
        <v>104</v>
      </c>
      <c r="AE969" s="698"/>
      <c r="AF969" s="655"/>
    </row>
    <row r="970" spans="1:32" ht="12" customHeight="1">
      <c r="A970" s="725" t="s">
        <v>15526</v>
      </c>
      <c r="B970" s="2">
        <v>1</v>
      </c>
      <c r="C970" s="4" t="s">
        <v>4255</v>
      </c>
      <c r="D970" s="1" t="s">
        <v>4260</v>
      </c>
      <c r="E970" s="6">
        <f t="shared" si="15"/>
        <v>59</v>
      </c>
      <c r="F970" s="2" t="s">
        <v>5</v>
      </c>
      <c r="G970" s="1" t="s">
        <v>15273</v>
      </c>
      <c r="H970" s="3" t="s">
        <v>4261</v>
      </c>
      <c r="K970" s="4" t="s">
        <v>16120</v>
      </c>
      <c r="L970" s="1" t="s">
        <v>476</v>
      </c>
      <c r="M970" s="1" t="s">
        <v>25</v>
      </c>
      <c r="N970" s="16">
        <v>4</v>
      </c>
      <c r="O970" s="17">
        <v>4</v>
      </c>
      <c r="P970" s="3" t="s">
        <v>317</v>
      </c>
      <c r="Q970" s="20">
        <v>19707</v>
      </c>
      <c r="R970" s="3" t="s">
        <v>4262</v>
      </c>
      <c r="S970" s="3" t="s">
        <v>4263</v>
      </c>
      <c r="T970" s="3" t="s">
        <v>5457</v>
      </c>
      <c r="U970" s="3" t="s">
        <v>47</v>
      </c>
      <c r="V970" s="2" t="s">
        <v>47</v>
      </c>
      <c r="AE970" s="698"/>
      <c r="AF970" s="655"/>
    </row>
    <row r="971" spans="1:32" ht="12" customHeight="1">
      <c r="A971" s="725" t="s">
        <v>15527</v>
      </c>
      <c r="B971" s="2">
        <v>1</v>
      </c>
      <c r="C971" s="4" t="s">
        <v>4267</v>
      </c>
      <c r="D971" s="1" t="s">
        <v>4268</v>
      </c>
      <c r="E971" s="6">
        <f t="shared" si="15"/>
        <v>55</v>
      </c>
      <c r="F971" s="2" t="s">
        <v>5</v>
      </c>
      <c r="G971" s="1" t="s">
        <v>15273</v>
      </c>
      <c r="H971" s="3" t="s">
        <v>4269</v>
      </c>
      <c r="K971" s="8" t="s">
        <v>16120</v>
      </c>
      <c r="L971" s="1" t="s">
        <v>30</v>
      </c>
      <c r="M971" s="1" t="s">
        <v>25</v>
      </c>
      <c r="N971" s="16">
        <v>7</v>
      </c>
      <c r="O971" s="17">
        <v>7</v>
      </c>
      <c r="P971" s="3" t="s">
        <v>150</v>
      </c>
      <c r="Q971" s="20">
        <v>21107</v>
      </c>
      <c r="R971" s="3" t="s">
        <v>4270</v>
      </c>
      <c r="S971" s="3" t="s">
        <v>4271</v>
      </c>
      <c r="T971" s="3" t="s">
        <v>5457</v>
      </c>
      <c r="U971" s="3" t="s">
        <v>104</v>
      </c>
      <c r="AB971" s="2" t="s">
        <v>104</v>
      </c>
      <c r="AE971" s="698"/>
      <c r="AF971" s="655"/>
    </row>
    <row r="972" spans="1:32" ht="12" customHeight="1">
      <c r="A972" s="725" t="s">
        <v>15528</v>
      </c>
      <c r="B972" s="2">
        <v>1</v>
      </c>
      <c r="C972" s="4" t="s">
        <v>4276</v>
      </c>
      <c r="D972" s="1" t="s">
        <v>4277</v>
      </c>
      <c r="E972" s="6">
        <f t="shared" si="15"/>
        <v>60</v>
      </c>
      <c r="F972" s="2" t="s">
        <v>5</v>
      </c>
      <c r="G972" s="1" t="s">
        <v>15273</v>
      </c>
      <c r="H972" s="3" t="s">
        <v>4278</v>
      </c>
      <c r="K972" s="23" t="s">
        <v>16120</v>
      </c>
      <c r="L972" s="1" t="s">
        <v>30</v>
      </c>
      <c r="M972" s="1" t="s">
        <v>25</v>
      </c>
      <c r="N972" s="16">
        <v>7</v>
      </c>
      <c r="O972" s="17">
        <v>7</v>
      </c>
      <c r="P972" s="3" t="s">
        <v>188</v>
      </c>
      <c r="Q972" s="20">
        <v>19125</v>
      </c>
      <c r="R972" s="3" t="s">
        <v>4279</v>
      </c>
      <c r="S972" s="3" t="s">
        <v>4281</v>
      </c>
      <c r="T972" s="3" t="s">
        <v>5457</v>
      </c>
      <c r="U972" s="3" t="s">
        <v>559</v>
      </c>
      <c r="W972" s="2" t="s">
        <v>145</v>
      </c>
      <c r="AC972" s="2" t="s">
        <v>147</v>
      </c>
      <c r="AE972" s="698"/>
      <c r="AF972" s="655"/>
    </row>
    <row r="973" spans="1:32" ht="12" customHeight="1">
      <c r="A973" s="725" t="s">
        <v>15529</v>
      </c>
      <c r="B973" s="2">
        <v>14</v>
      </c>
      <c r="C973" s="2"/>
      <c r="D973" s="2" t="s">
        <v>5257</v>
      </c>
      <c r="E973" s="6">
        <f t="shared" si="15"/>
        <v>71</v>
      </c>
      <c r="F973" s="2" t="s">
        <v>5</v>
      </c>
      <c r="G973" s="2" t="s">
        <v>6067</v>
      </c>
      <c r="H973" s="22"/>
      <c r="I973" s="2"/>
      <c r="J973" s="2"/>
      <c r="K973" s="23" t="s">
        <v>16120</v>
      </c>
      <c r="L973" s="2" t="s">
        <v>5247</v>
      </c>
      <c r="M973" s="2" t="s">
        <v>14</v>
      </c>
      <c r="N973" s="24">
        <v>1</v>
      </c>
      <c r="O973" s="25">
        <v>1</v>
      </c>
      <c r="P973" s="22" t="s">
        <v>5258</v>
      </c>
      <c r="Q973" s="21">
        <v>15255</v>
      </c>
      <c r="R973" s="22" t="s">
        <v>5259</v>
      </c>
      <c r="S973" s="22"/>
      <c r="T973" s="22"/>
      <c r="U973" s="22"/>
      <c r="AD973" s="22"/>
      <c r="AE973" s="807"/>
      <c r="AF973" s="655"/>
    </row>
    <row r="974" spans="1:32" ht="12" customHeight="1">
      <c r="A974" s="725" t="s">
        <v>15530</v>
      </c>
      <c r="B974" s="2">
        <v>15</v>
      </c>
      <c r="C974" s="2"/>
      <c r="D974" s="6" t="s">
        <v>6114</v>
      </c>
      <c r="E974" s="6">
        <f t="shared" si="15"/>
        <v>57</v>
      </c>
      <c r="F974" s="6" t="s">
        <v>5</v>
      </c>
      <c r="G974" s="2" t="s">
        <v>6067</v>
      </c>
      <c r="H974" s="12"/>
      <c r="I974" s="6"/>
      <c r="J974" s="19"/>
      <c r="K974" s="8" t="s">
        <v>16120</v>
      </c>
      <c r="L974" s="6" t="s">
        <v>5247</v>
      </c>
      <c r="M974" s="6" t="s">
        <v>6</v>
      </c>
      <c r="N974" s="13"/>
      <c r="O974" s="14"/>
      <c r="P974" s="12" t="s">
        <v>16569</v>
      </c>
      <c r="Q974" s="15">
        <v>20210</v>
      </c>
      <c r="R974" s="12" t="s">
        <v>16570</v>
      </c>
      <c r="S974" s="12"/>
      <c r="T974" s="12"/>
      <c r="U974" s="22"/>
      <c r="AE974" s="698"/>
      <c r="AF974" s="655"/>
    </row>
    <row r="975" spans="1:32" ht="12" customHeight="1">
      <c r="A975" s="725" t="s">
        <v>15531</v>
      </c>
      <c r="B975" s="2">
        <v>16</v>
      </c>
      <c r="C975" s="2"/>
      <c r="D975" s="6" t="s">
        <v>15259</v>
      </c>
      <c r="E975" s="6">
        <f t="shared" si="15"/>
        <v>45</v>
      </c>
      <c r="F975" s="6" t="s">
        <v>5</v>
      </c>
      <c r="G975" s="2" t="s">
        <v>6067</v>
      </c>
      <c r="H975" s="12"/>
      <c r="I975" s="6"/>
      <c r="J975" s="19"/>
      <c r="K975" s="4" t="s">
        <v>16120</v>
      </c>
      <c r="L975" s="6" t="s">
        <v>5247</v>
      </c>
      <c r="M975" s="6" t="s">
        <v>6</v>
      </c>
      <c r="N975" s="13"/>
      <c r="O975" s="14"/>
      <c r="P975" s="12" t="s">
        <v>16571</v>
      </c>
      <c r="Q975" s="15">
        <v>24723</v>
      </c>
      <c r="R975" s="12" t="s">
        <v>16572</v>
      </c>
      <c r="S975" s="12"/>
      <c r="T975" s="12"/>
      <c r="U975" s="22"/>
      <c r="AE975" s="698"/>
      <c r="AF975" s="655"/>
    </row>
    <row r="976" spans="1:32" ht="12" customHeight="1">
      <c r="A976" s="725" t="s">
        <v>15532</v>
      </c>
      <c r="B976" s="2">
        <v>17</v>
      </c>
      <c r="C976" s="2"/>
      <c r="D976" s="6" t="s">
        <v>15260</v>
      </c>
      <c r="E976" s="6">
        <f t="shared" si="15"/>
        <v>61</v>
      </c>
      <c r="F976" s="6" t="s">
        <v>5</v>
      </c>
      <c r="G976" s="2" t="s">
        <v>6067</v>
      </c>
      <c r="H976" s="12"/>
      <c r="I976" s="6"/>
      <c r="J976" s="19"/>
      <c r="K976" s="4" t="s">
        <v>16120</v>
      </c>
      <c r="L976" s="6" t="s">
        <v>5247</v>
      </c>
      <c r="M976" s="6" t="s">
        <v>6</v>
      </c>
      <c r="N976" s="13"/>
      <c r="O976" s="14"/>
      <c r="P976" s="12" t="s">
        <v>16573</v>
      </c>
      <c r="Q976" s="15">
        <v>18631</v>
      </c>
      <c r="R976" s="12" t="s">
        <v>16574</v>
      </c>
      <c r="S976" s="12"/>
      <c r="T976" s="12"/>
      <c r="U976" s="22"/>
      <c r="AE976" s="698"/>
      <c r="AF976" s="655"/>
    </row>
    <row r="977" spans="1:32" ht="12" customHeight="1" thickBot="1">
      <c r="A977" s="726" t="s">
        <v>16467</v>
      </c>
      <c r="B977" s="702">
        <v>18</v>
      </c>
      <c r="C977" s="702"/>
      <c r="D977" s="701" t="s">
        <v>15261</v>
      </c>
      <c r="E977" s="701">
        <f t="shared" si="15"/>
        <v>50</v>
      </c>
      <c r="F977" s="701" t="s">
        <v>19</v>
      </c>
      <c r="G977" s="702" t="s">
        <v>6067</v>
      </c>
      <c r="H977" s="740"/>
      <c r="I977" s="701"/>
      <c r="J977" s="741"/>
      <c r="K977" s="704" t="s">
        <v>16120</v>
      </c>
      <c r="L977" s="701" t="s">
        <v>5247</v>
      </c>
      <c r="M977" s="701" t="s">
        <v>6</v>
      </c>
      <c r="N977" s="742"/>
      <c r="O977" s="743"/>
      <c r="P977" s="740" t="s">
        <v>6115</v>
      </c>
      <c r="Q977" s="744">
        <v>22687</v>
      </c>
      <c r="R977" s="740" t="s">
        <v>6116</v>
      </c>
      <c r="S977" s="740"/>
      <c r="T977" s="740"/>
      <c r="U977" s="720"/>
      <c r="V977" s="702"/>
      <c r="W977" s="702"/>
      <c r="X977" s="702"/>
      <c r="Y977" s="702"/>
      <c r="Z977" s="702"/>
      <c r="AA977" s="702"/>
      <c r="AB977" s="702"/>
      <c r="AC977" s="702"/>
      <c r="AD977" s="702"/>
      <c r="AE977" s="708"/>
      <c r="AF977" s="655"/>
    </row>
    <row r="978" spans="1:32" ht="12" customHeight="1">
      <c r="A978" s="780" t="s">
        <v>15639</v>
      </c>
      <c r="B978" s="696">
        <v>1</v>
      </c>
      <c r="C978" s="688" t="s">
        <v>4214</v>
      </c>
      <c r="D978" s="687" t="s">
        <v>4208</v>
      </c>
      <c r="E978" s="690">
        <f t="shared" si="15"/>
        <v>37</v>
      </c>
      <c r="F978" s="696" t="s">
        <v>5</v>
      </c>
      <c r="G978" s="687" t="s">
        <v>15273</v>
      </c>
      <c r="H978" s="747" t="s">
        <v>4638</v>
      </c>
      <c r="I978" s="687" t="s">
        <v>373</v>
      </c>
      <c r="J978" s="687"/>
      <c r="K978" s="688" t="s">
        <v>16125</v>
      </c>
      <c r="L978" s="687"/>
      <c r="M978" s="687" t="s">
        <v>6</v>
      </c>
      <c r="N978" s="748"/>
      <c r="O978" s="749">
        <v>2</v>
      </c>
      <c r="P978" s="747" t="s">
        <v>188</v>
      </c>
      <c r="Q978" s="773">
        <v>27508</v>
      </c>
      <c r="R978" s="747" t="s">
        <v>4640</v>
      </c>
      <c r="S978" s="747" t="s">
        <v>374</v>
      </c>
      <c r="T978" s="747" t="s">
        <v>5561</v>
      </c>
      <c r="U978" s="747" t="s">
        <v>1569</v>
      </c>
      <c r="V978" s="696"/>
      <c r="W978" s="696"/>
      <c r="X978" s="696"/>
      <c r="Y978" s="696" t="s">
        <v>229</v>
      </c>
      <c r="Z978" s="696"/>
      <c r="AA978" s="696" t="s">
        <v>85</v>
      </c>
      <c r="AB978" s="696"/>
      <c r="AC978" s="696"/>
      <c r="AD978" s="696"/>
      <c r="AE978" s="697"/>
      <c r="AF978" s="655"/>
    </row>
    <row r="979" spans="1:32" ht="12" customHeight="1" thickBot="1">
      <c r="A979" s="782" t="s">
        <v>16575</v>
      </c>
      <c r="B979" s="702">
        <v>2</v>
      </c>
      <c r="C979" s="702"/>
      <c r="D979" s="701" t="s">
        <v>15640</v>
      </c>
      <c r="E979" s="701">
        <f t="shared" si="15"/>
        <v>49</v>
      </c>
      <c r="F979" s="701" t="s">
        <v>19</v>
      </c>
      <c r="G979" s="702" t="s">
        <v>6067</v>
      </c>
      <c r="H979" s="740"/>
      <c r="I979" s="701"/>
      <c r="J979" s="741"/>
      <c r="K979" s="704" t="s">
        <v>16125</v>
      </c>
      <c r="L979" s="701"/>
      <c r="M979" s="701" t="s">
        <v>6</v>
      </c>
      <c r="N979" s="742"/>
      <c r="O979" s="743"/>
      <c r="P979" s="740" t="s">
        <v>16576</v>
      </c>
      <c r="Q979" s="744">
        <v>23350</v>
      </c>
      <c r="R979" s="740" t="s">
        <v>16577</v>
      </c>
      <c r="S979" s="740"/>
      <c r="T979" s="740"/>
      <c r="U979" s="720"/>
      <c r="V979" s="702"/>
      <c r="W979" s="702"/>
      <c r="X979" s="702"/>
      <c r="Y979" s="702"/>
      <c r="Z979" s="702"/>
      <c r="AA979" s="702"/>
      <c r="AB979" s="702"/>
      <c r="AC979" s="702"/>
      <c r="AD979" s="702"/>
      <c r="AE979" s="708"/>
      <c r="AF979" s="655"/>
    </row>
    <row r="980" spans="1:32" ht="12" customHeight="1">
      <c r="A980" s="745" t="s">
        <v>4284</v>
      </c>
      <c r="B980" s="696">
        <v>1</v>
      </c>
      <c r="C980" s="696"/>
      <c r="D980" s="696" t="s">
        <v>4285</v>
      </c>
      <c r="E980" s="690">
        <f t="shared" si="15"/>
        <v>61</v>
      </c>
      <c r="F980" s="696" t="s">
        <v>5</v>
      </c>
      <c r="G980" s="696" t="s">
        <v>6067</v>
      </c>
      <c r="H980" s="715" t="s">
        <v>4286</v>
      </c>
      <c r="I980" s="696"/>
      <c r="J980" s="696"/>
      <c r="K980" s="716" t="s">
        <v>16118</v>
      </c>
      <c r="L980" s="696"/>
      <c r="M980" s="696" t="s">
        <v>25</v>
      </c>
      <c r="N980" s="717">
        <v>5</v>
      </c>
      <c r="O980" s="718">
        <v>5</v>
      </c>
      <c r="P980" s="715" t="s">
        <v>1884</v>
      </c>
      <c r="Q980" s="719">
        <v>18872</v>
      </c>
      <c r="R980" s="715" t="s">
        <v>4287</v>
      </c>
      <c r="S980" s="715" t="s">
        <v>4288</v>
      </c>
      <c r="T980" s="715"/>
      <c r="U980" s="715"/>
      <c r="V980" s="696"/>
      <c r="W980" s="696"/>
      <c r="X980" s="696"/>
      <c r="Y980" s="696"/>
      <c r="Z980" s="696"/>
      <c r="AA980" s="696"/>
      <c r="AB980" s="696"/>
      <c r="AC980" s="696"/>
      <c r="AD980" s="696"/>
      <c r="AE980" s="697"/>
      <c r="AF980" s="655"/>
    </row>
    <row r="981" spans="1:32" ht="12" customHeight="1" thickBot="1">
      <c r="A981" s="746" t="s">
        <v>5928</v>
      </c>
      <c r="B981" s="702">
        <v>2</v>
      </c>
      <c r="C981" s="702"/>
      <c r="D981" s="702" t="s">
        <v>5929</v>
      </c>
      <c r="E981" s="701">
        <f t="shared" si="15"/>
        <v>46</v>
      </c>
      <c r="F981" s="702" t="s">
        <v>5</v>
      </c>
      <c r="G981" s="702" t="s">
        <v>6067</v>
      </c>
      <c r="H981" s="720"/>
      <c r="I981" s="702"/>
      <c r="J981" s="702"/>
      <c r="K981" s="704" t="s">
        <v>16118</v>
      </c>
      <c r="L981" s="702"/>
      <c r="M981" s="702" t="s">
        <v>6</v>
      </c>
      <c r="N981" s="721"/>
      <c r="O981" s="722"/>
      <c r="P981" s="720" t="s">
        <v>2123</v>
      </c>
      <c r="Q981" s="723">
        <v>24176</v>
      </c>
      <c r="R981" s="720" t="s">
        <v>16578</v>
      </c>
      <c r="S981" s="720"/>
      <c r="T981" s="720"/>
      <c r="U981" s="720"/>
      <c r="V981" s="702"/>
      <c r="W981" s="702"/>
      <c r="X981" s="702"/>
      <c r="Y981" s="702"/>
      <c r="Z981" s="702"/>
      <c r="AA981" s="702"/>
      <c r="AB981" s="702"/>
      <c r="AC981" s="702"/>
      <c r="AD981" s="702"/>
      <c r="AE981" s="708"/>
      <c r="AF981" s="655"/>
    </row>
    <row r="982" spans="1:32" ht="12" customHeight="1">
      <c r="A982" s="750" t="s">
        <v>16579</v>
      </c>
      <c r="B982" s="696">
        <v>1</v>
      </c>
      <c r="C982" s="688" t="s">
        <v>4194</v>
      </c>
      <c r="D982" s="687" t="s">
        <v>5196</v>
      </c>
      <c r="E982" s="690">
        <f t="shared" si="15"/>
        <v>54</v>
      </c>
      <c r="F982" s="696" t="s">
        <v>5</v>
      </c>
      <c r="G982" s="687" t="s">
        <v>15273</v>
      </c>
      <c r="H982" s="747"/>
      <c r="I982" s="687"/>
      <c r="J982" s="687"/>
      <c r="K982" s="688" t="s">
        <v>16116</v>
      </c>
      <c r="L982" s="687" t="s">
        <v>276</v>
      </c>
      <c r="M982" s="687" t="s">
        <v>6</v>
      </c>
      <c r="N982" s="748"/>
      <c r="O982" s="749"/>
      <c r="P982" s="747" t="s">
        <v>95</v>
      </c>
      <c r="Q982" s="773">
        <v>21433</v>
      </c>
      <c r="R982" s="747" t="s">
        <v>5199</v>
      </c>
      <c r="S982" s="747"/>
      <c r="T982" s="747"/>
      <c r="U982" s="747" t="s">
        <v>145</v>
      </c>
      <c r="V982" s="696"/>
      <c r="W982" s="696" t="s">
        <v>145</v>
      </c>
      <c r="X982" s="696"/>
      <c r="Y982" s="696"/>
      <c r="Z982" s="696"/>
      <c r="AA982" s="696"/>
      <c r="AB982" s="696"/>
      <c r="AC982" s="696"/>
      <c r="AD982" s="696"/>
      <c r="AE982" s="697"/>
      <c r="AF982" s="655"/>
    </row>
    <row r="983" spans="1:32" ht="12" customHeight="1">
      <c r="A983" s="751" t="s">
        <v>16580</v>
      </c>
      <c r="B983" s="2">
        <v>1</v>
      </c>
      <c r="C983" s="4" t="s">
        <v>4215</v>
      </c>
      <c r="D983" s="1" t="s">
        <v>5307</v>
      </c>
      <c r="E983" s="6">
        <f t="shared" si="15"/>
        <v>39</v>
      </c>
      <c r="F983" s="2" t="s">
        <v>5</v>
      </c>
      <c r="G983" s="1" t="s">
        <v>15273</v>
      </c>
      <c r="K983" s="4" t="s">
        <v>16116</v>
      </c>
      <c r="L983" s="1" t="s">
        <v>4997</v>
      </c>
      <c r="M983" s="1" t="s">
        <v>6</v>
      </c>
      <c r="P983" s="3" t="s">
        <v>6161</v>
      </c>
      <c r="Q983" s="20">
        <v>26698</v>
      </c>
      <c r="R983" s="3" t="s">
        <v>5308</v>
      </c>
      <c r="T983" s="3" t="s">
        <v>469</v>
      </c>
      <c r="AE983" s="698"/>
      <c r="AF983" s="655"/>
    </row>
    <row r="984" spans="1:32" ht="12" customHeight="1">
      <c r="A984" s="751" t="s">
        <v>16581</v>
      </c>
      <c r="B984" s="2">
        <v>1</v>
      </c>
      <c r="C984" s="4" t="s">
        <v>4222</v>
      </c>
      <c r="D984" s="1" t="s">
        <v>5203</v>
      </c>
      <c r="E984" s="6">
        <f t="shared" si="15"/>
        <v>31</v>
      </c>
      <c r="F984" s="2" t="s">
        <v>19</v>
      </c>
      <c r="G984" s="1" t="s">
        <v>15273</v>
      </c>
      <c r="K984" s="4" t="s">
        <v>16116</v>
      </c>
      <c r="L984" s="1" t="s">
        <v>4997</v>
      </c>
      <c r="M984" s="1" t="s">
        <v>6</v>
      </c>
      <c r="P984" s="3" t="s">
        <v>5204</v>
      </c>
      <c r="Q984" s="21">
        <v>29769</v>
      </c>
      <c r="R984" s="3" t="s">
        <v>5205</v>
      </c>
      <c r="T984" s="3" t="s">
        <v>469</v>
      </c>
      <c r="AE984" s="698"/>
      <c r="AF984" s="655"/>
    </row>
    <row r="985" spans="1:32" ht="12" customHeight="1">
      <c r="A985" s="751" t="s">
        <v>16582</v>
      </c>
      <c r="B985" s="2">
        <v>1</v>
      </c>
      <c r="C985" s="4" t="s">
        <v>4235</v>
      </c>
      <c r="D985" s="1" t="s">
        <v>4248</v>
      </c>
      <c r="E985" s="6">
        <f t="shared" si="15"/>
        <v>47</v>
      </c>
      <c r="F985" s="2" t="s">
        <v>5</v>
      </c>
      <c r="G985" s="1" t="s">
        <v>15273</v>
      </c>
      <c r="H985" s="3" t="s">
        <v>4249</v>
      </c>
      <c r="I985" s="1" t="s">
        <v>373</v>
      </c>
      <c r="K985" s="4" t="s">
        <v>16116</v>
      </c>
      <c r="L985" s="1" t="s">
        <v>469</v>
      </c>
      <c r="M985" s="1" t="s">
        <v>6</v>
      </c>
      <c r="O985" s="17">
        <v>1</v>
      </c>
      <c r="P985" s="3" t="s">
        <v>4251</v>
      </c>
      <c r="Q985" s="20">
        <v>24036</v>
      </c>
      <c r="R985" s="3" t="s">
        <v>4252</v>
      </c>
      <c r="S985" s="3" t="s">
        <v>4253</v>
      </c>
      <c r="T985" s="3" t="s">
        <v>16465</v>
      </c>
      <c r="U985" s="3" t="s">
        <v>355</v>
      </c>
      <c r="V985" s="2" t="s">
        <v>47</v>
      </c>
      <c r="AB985" s="2" t="s">
        <v>104</v>
      </c>
      <c r="AE985" s="698"/>
      <c r="AF985" s="655"/>
    </row>
    <row r="986" spans="1:32" ht="12" customHeight="1">
      <c r="A986" s="751" t="s">
        <v>16583</v>
      </c>
      <c r="B986" s="2">
        <v>5</v>
      </c>
      <c r="C986" s="4" t="s">
        <v>4162</v>
      </c>
      <c r="D986" s="1" t="s">
        <v>5862</v>
      </c>
      <c r="E986" s="6">
        <f t="shared" si="15"/>
        <v>66</v>
      </c>
      <c r="F986" s="2" t="s">
        <v>5</v>
      </c>
      <c r="G986" s="1" t="s">
        <v>15273</v>
      </c>
      <c r="K986" s="4" t="s">
        <v>16116</v>
      </c>
      <c r="L986" s="1" t="s">
        <v>4997</v>
      </c>
      <c r="M986" s="1" t="s">
        <v>6</v>
      </c>
      <c r="P986" s="3" t="s">
        <v>3539</v>
      </c>
      <c r="Q986" s="20">
        <v>16892</v>
      </c>
      <c r="R986" s="3" t="s">
        <v>5951</v>
      </c>
      <c r="U986" s="3" t="s">
        <v>145</v>
      </c>
      <c r="W986" s="2" t="s">
        <v>145</v>
      </c>
      <c r="AE986" s="698"/>
      <c r="AF986" s="655"/>
    </row>
    <row r="987" spans="1:32" ht="12" customHeight="1">
      <c r="A987" s="751" t="s">
        <v>16584</v>
      </c>
      <c r="B987" s="2">
        <v>6</v>
      </c>
      <c r="C987" s="4" t="s">
        <v>4256</v>
      </c>
      <c r="D987" s="1" t="s">
        <v>5437</v>
      </c>
      <c r="E987" s="6">
        <f t="shared" si="15"/>
        <v>35</v>
      </c>
      <c r="F987" s="2" t="s">
        <v>5</v>
      </c>
      <c r="G987" s="1" t="s">
        <v>15273</v>
      </c>
      <c r="K987" s="4" t="s">
        <v>16116</v>
      </c>
      <c r="L987" s="1" t="s">
        <v>4997</v>
      </c>
      <c r="M987" s="1" t="s">
        <v>6</v>
      </c>
      <c r="P987" s="3" t="s">
        <v>255</v>
      </c>
      <c r="Q987" s="20">
        <v>28131</v>
      </c>
      <c r="R987" s="3" t="s">
        <v>5213</v>
      </c>
      <c r="T987" s="3" t="s">
        <v>469</v>
      </c>
      <c r="AE987" s="698"/>
      <c r="AF987" s="655"/>
    </row>
    <row r="988" spans="1:32" ht="12" customHeight="1" thickBot="1">
      <c r="A988" s="752" t="s">
        <v>15673</v>
      </c>
      <c r="B988" s="702">
        <v>7</v>
      </c>
      <c r="C988" s="702"/>
      <c r="D988" s="702" t="s">
        <v>15674</v>
      </c>
      <c r="E988" s="701">
        <f t="shared" si="15"/>
        <v>38</v>
      </c>
      <c r="F988" s="702" t="s">
        <v>5</v>
      </c>
      <c r="G988" s="702" t="s">
        <v>6067</v>
      </c>
      <c r="H988" s="720"/>
      <c r="I988" s="702"/>
      <c r="J988" s="702"/>
      <c r="K988" s="741" t="s">
        <v>16130</v>
      </c>
      <c r="L988" s="702" t="s">
        <v>4993</v>
      </c>
      <c r="M988" s="702" t="s">
        <v>6</v>
      </c>
      <c r="N988" s="721"/>
      <c r="O988" s="722"/>
      <c r="P988" s="720" t="s">
        <v>16585</v>
      </c>
      <c r="Q988" s="723">
        <v>27058</v>
      </c>
      <c r="R988" s="720" t="s">
        <v>16284</v>
      </c>
      <c r="S988" s="720"/>
      <c r="T988" s="720"/>
      <c r="U988" s="720"/>
      <c r="V988" s="702"/>
      <c r="W988" s="702"/>
      <c r="X988" s="702"/>
      <c r="Y988" s="702"/>
      <c r="Z988" s="702"/>
      <c r="AA988" s="702"/>
      <c r="AB988" s="702"/>
      <c r="AC988" s="702"/>
      <c r="AD988" s="702"/>
      <c r="AE988" s="708"/>
      <c r="AF988" s="655"/>
    </row>
    <row r="989" spans="1:32" ht="12" customHeight="1" thickBot="1">
      <c r="A989" s="818" t="s">
        <v>15651</v>
      </c>
      <c r="B989" s="660">
        <v>1</v>
      </c>
      <c r="C989" s="660"/>
      <c r="D989" s="660" t="s">
        <v>15652</v>
      </c>
      <c r="E989" s="728">
        <f t="shared" si="15"/>
        <v>30</v>
      </c>
      <c r="F989" s="660" t="s">
        <v>5</v>
      </c>
      <c r="G989" s="660" t="s">
        <v>6067</v>
      </c>
      <c r="H989" s="733"/>
      <c r="I989" s="660"/>
      <c r="J989" s="660"/>
      <c r="K989" s="762" t="s">
        <v>16128</v>
      </c>
      <c r="L989" s="660"/>
      <c r="M989" s="660" t="s">
        <v>6</v>
      </c>
      <c r="N989" s="763"/>
      <c r="O989" s="764"/>
      <c r="P989" s="733" t="s">
        <v>188</v>
      </c>
      <c r="Q989" s="765">
        <v>30097</v>
      </c>
      <c r="R989" s="733" t="s">
        <v>15653</v>
      </c>
      <c r="S989" s="733"/>
      <c r="T989" s="733"/>
      <c r="U989" s="733"/>
      <c r="V989" s="660"/>
      <c r="W989" s="660"/>
      <c r="X989" s="660"/>
      <c r="Y989" s="660"/>
      <c r="Z989" s="660"/>
      <c r="AA989" s="660"/>
      <c r="AB989" s="660"/>
      <c r="AC989" s="660"/>
      <c r="AD989" s="660"/>
      <c r="AE989" s="664"/>
      <c r="AF989" s="655"/>
    </row>
    <row r="990" spans="1:32" ht="12" customHeight="1">
      <c r="A990" s="760" t="s">
        <v>5684</v>
      </c>
      <c r="B990" s="696">
        <v>1</v>
      </c>
      <c r="C990" s="696"/>
      <c r="D990" s="696" t="s">
        <v>4289</v>
      </c>
      <c r="E990" s="690">
        <f t="shared" si="15"/>
        <v>60</v>
      </c>
      <c r="F990" s="696" t="s">
        <v>5</v>
      </c>
      <c r="G990" s="696" t="s">
        <v>6067</v>
      </c>
      <c r="H990" s="715"/>
      <c r="I990" s="696"/>
      <c r="J990" s="696"/>
      <c r="K990" s="716" t="s">
        <v>16117</v>
      </c>
      <c r="L990" s="696"/>
      <c r="M990" s="696" t="s">
        <v>6</v>
      </c>
      <c r="N990" s="717"/>
      <c r="O990" s="718"/>
      <c r="P990" s="715" t="s">
        <v>4290</v>
      </c>
      <c r="Q990" s="719">
        <v>19034</v>
      </c>
      <c r="R990" s="715" t="s">
        <v>4291</v>
      </c>
      <c r="S990" s="715"/>
      <c r="T990" s="715"/>
      <c r="U990" s="715" t="s">
        <v>148</v>
      </c>
      <c r="V990" s="696"/>
      <c r="W990" s="696" t="s">
        <v>4075</v>
      </c>
      <c r="X990" s="696"/>
      <c r="Y990" s="696"/>
      <c r="Z990" s="696"/>
      <c r="AA990" s="696"/>
      <c r="AB990" s="696"/>
      <c r="AC990" s="696"/>
      <c r="AD990" s="696"/>
      <c r="AE990" s="697" t="s">
        <v>4114</v>
      </c>
      <c r="AF990" s="655"/>
    </row>
    <row r="991" spans="1:32" ht="12" customHeight="1" thickBot="1">
      <c r="A991" s="761" t="s">
        <v>16586</v>
      </c>
      <c r="B991" s="702">
        <v>2</v>
      </c>
      <c r="C991" s="700" t="s">
        <v>5436</v>
      </c>
      <c r="D991" s="699" t="s">
        <v>4264</v>
      </c>
      <c r="E991" s="701">
        <f t="shared" si="15"/>
        <v>53</v>
      </c>
      <c r="F991" s="702" t="s">
        <v>5</v>
      </c>
      <c r="G991" s="699" t="s">
        <v>15273</v>
      </c>
      <c r="H991" s="703"/>
      <c r="I991" s="699"/>
      <c r="J991" s="699"/>
      <c r="K991" s="700" t="s">
        <v>16117</v>
      </c>
      <c r="L991" s="699"/>
      <c r="M991" s="699" t="s">
        <v>14</v>
      </c>
      <c r="N991" s="705">
        <v>2</v>
      </c>
      <c r="O991" s="706">
        <v>2</v>
      </c>
      <c r="P991" s="703" t="s">
        <v>4230</v>
      </c>
      <c r="Q991" s="707">
        <v>21656</v>
      </c>
      <c r="R991" s="703" t="s">
        <v>4265</v>
      </c>
      <c r="S991" s="703"/>
      <c r="T991" s="703"/>
      <c r="U991" s="703"/>
      <c r="V991" s="702"/>
      <c r="W991" s="702"/>
      <c r="X991" s="702"/>
      <c r="Y991" s="702"/>
      <c r="Z991" s="702"/>
      <c r="AA991" s="702"/>
      <c r="AB991" s="702"/>
      <c r="AC991" s="702"/>
      <c r="AD991" s="702"/>
      <c r="AE991" s="708"/>
      <c r="AF991" s="655"/>
    </row>
    <row r="992" spans="1:32" ht="12" customHeight="1" thickBot="1">
      <c r="A992" s="813" t="s">
        <v>16587</v>
      </c>
      <c r="B992" s="660">
        <v>1</v>
      </c>
      <c r="C992" s="727" t="s">
        <v>4186</v>
      </c>
      <c r="D992" s="659" t="s">
        <v>4190</v>
      </c>
      <c r="E992" s="728">
        <f t="shared" si="15"/>
        <v>54</v>
      </c>
      <c r="F992" s="660" t="s">
        <v>5</v>
      </c>
      <c r="G992" s="659" t="s">
        <v>15273</v>
      </c>
      <c r="H992" s="729"/>
      <c r="I992" s="659"/>
      <c r="J992" s="659"/>
      <c r="K992" s="727" t="s">
        <v>16121</v>
      </c>
      <c r="L992" s="659"/>
      <c r="M992" s="659" t="s">
        <v>6</v>
      </c>
      <c r="N992" s="730"/>
      <c r="O992" s="731"/>
      <c r="P992" s="729" t="s">
        <v>3306</v>
      </c>
      <c r="Q992" s="732">
        <v>21436</v>
      </c>
      <c r="R992" s="729" t="s">
        <v>4191</v>
      </c>
      <c r="S992" s="729"/>
      <c r="T992" s="729"/>
      <c r="U992" s="729" t="s">
        <v>69</v>
      </c>
      <c r="V992" s="660"/>
      <c r="W992" s="660"/>
      <c r="X992" s="660"/>
      <c r="Y992" s="660"/>
      <c r="Z992" s="660"/>
      <c r="AA992" s="660"/>
      <c r="AB992" s="660"/>
      <c r="AC992" s="660"/>
      <c r="AD992" s="660"/>
      <c r="AE992" s="664" t="s">
        <v>69</v>
      </c>
      <c r="AF992" s="655"/>
    </row>
    <row r="993" spans="1:32" ht="12" customHeight="1">
      <c r="A993" s="771" t="s">
        <v>16588</v>
      </c>
      <c r="B993" s="696">
        <v>1</v>
      </c>
      <c r="C993" s="696"/>
      <c r="D993" s="696" t="s">
        <v>5147</v>
      </c>
      <c r="E993" s="690">
        <f t="shared" si="15"/>
        <v>45</v>
      </c>
      <c r="F993" s="696" t="s">
        <v>5</v>
      </c>
      <c r="G993" s="696" t="s">
        <v>6067</v>
      </c>
      <c r="H993" s="715"/>
      <c r="I993" s="696"/>
      <c r="J993" s="696"/>
      <c r="K993" s="716" t="s">
        <v>16122</v>
      </c>
      <c r="L993" s="696" t="s">
        <v>22</v>
      </c>
      <c r="M993" s="696" t="s">
        <v>6</v>
      </c>
      <c r="N993" s="717"/>
      <c r="O993" s="718"/>
      <c r="P993" s="715" t="s">
        <v>31</v>
      </c>
      <c r="Q993" s="719">
        <v>24477</v>
      </c>
      <c r="R993" s="715" t="s">
        <v>5148</v>
      </c>
      <c r="S993" s="715"/>
      <c r="T993" s="715"/>
      <c r="U993" s="715"/>
      <c r="V993" s="696"/>
      <c r="W993" s="696"/>
      <c r="X993" s="696"/>
      <c r="Y993" s="696"/>
      <c r="Z993" s="696"/>
      <c r="AA993" s="696"/>
      <c r="AB993" s="696"/>
      <c r="AC993" s="696"/>
      <c r="AD993" s="696"/>
      <c r="AE993" s="697"/>
      <c r="AF993" s="655"/>
    </row>
    <row r="994" spans="1:32" ht="12" customHeight="1" thickBot="1">
      <c r="A994" s="772" t="s">
        <v>16589</v>
      </c>
      <c r="B994" s="702">
        <v>2</v>
      </c>
      <c r="C994" s="702"/>
      <c r="D994" s="702" t="s">
        <v>5149</v>
      </c>
      <c r="E994" s="701">
        <f t="shared" si="15"/>
        <v>58</v>
      </c>
      <c r="F994" s="702" t="s">
        <v>19</v>
      </c>
      <c r="G994" s="702" t="s">
        <v>6067</v>
      </c>
      <c r="H994" s="720"/>
      <c r="I994" s="702"/>
      <c r="J994" s="702"/>
      <c r="K994" s="770" t="s">
        <v>16122</v>
      </c>
      <c r="L994" s="702" t="s">
        <v>22</v>
      </c>
      <c r="M994" s="702" t="s">
        <v>6</v>
      </c>
      <c r="N994" s="721"/>
      <c r="O994" s="722"/>
      <c r="P994" s="720" t="s">
        <v>5150</v>
      </c>
      <c r="Q994" s="723">
        <v>19819</v>
      </c>
      <c r="R994" s="720" t="s">
        <v>5151</v>
      </c>
      <c r="S994" s="720"/>
      <c r="T994" s="720"/>
      <c r="U994" s="720"/>
      <c r="V994" s="702"/>
      <c r="W994" s="702"/>
      <c r="X994" s="702"/>
      <c r="Y994" s="702"/>
      <c r="Z994" s="702"/>
      <c r="AA994" s="702"/>
      <c r="AB994" s="702"/>
      <c r="AC994" s="702"/>
      <c r="AD994" s="702"/>
      <c r="AE994" s="708"/>
      <c r="AF994" s="655"/>
    </row>
    <row r="995" spans="1:32" ht="12" customHeight="1">
      <c r="A995" s="776" t="s">
        <v>15918</v>
      </c>
      <c r="B995" s="696">
        <v>1</v>
      </c>
      <c r="C995" s="688" t="s">
        <v>4292</v>
      </c>
      <c r="D995" s="687" t="s">
        <v>4296</v>
      </c>
      <c r="E995" s="690">
        <f t="shared" si="15"/>
        <v>61</v>
      </c>
      <c r="F995" s="696" t="s">
        <v>5</v>
      </c>
      <c r="G995" s="689" t="s">
        <v>15273</v>
      </c>
      <c r="H995" s="747" t="s">
        <v>4297</v>
      </c>
      <c r="I995" s="687"/>
      <c r="J995" s="687"/>
      <c r="K995" s="692" t="s">
        <v>16126</v>
      </c>
      <c r="L995" s="687" t="s">
        <v>45</v>
      </c>
      <c r="M995" s="687" t="s">
        <v>25</v>
      </c>
      <c r="N995" s="748">
        <v>7</v>
      </c>
      <c r="O995" s="749">
        <v>7</v>
      </c>
      <c r="P995" s="747" t="s">
        <v>381</v>
      </c>
      <c r="Q995" s="773">
        <v>18765</v>
      </c>
      <c r="R995" s="747" t="s">
        <v>4298</v>
      </c>
      <c r="S995" s="747" t="s">
        <v>4299</v>
      </c>
      <c r="T995" s="747" t="s">
        <v>736</v>
      </c>
      <c r="U995" s="747" t="s">
        <v>104</v>
      </c>
      <c r="V995" s="696"/>
      <c r="W995" s="696"/>
      <c r="X995" s="696"/>
      <c r="Y995" s="696"/>
      <c r="Z995" s="696"/>
      <c r="AA995" s="696"/>
      <c r="AB995" s="696" t="s">
        <v>104</v>
      </c>
      <c r="AC995" s="696"/>
      <c r="AD995" s="696"/>
      <c r="AE995" s="697"/>
      <c r="AF995" s="655"/>
    </row>
    <row r="996" spans="1:32" ht="12" customHeight="1">
      <c r="A996" s="777" t="s">
        <v>15919</v>
      </c>
      <c r="B996" s="2">
        <v>1</v>
      </c>
      <c r="C996" s="4" t="s">
        <v>4305</v>
      </c>
      <c r="D996" s="1" t="s">
        <v>4308</v>
      </c>
      <c r="E996" s="6">
        <f t="shared" si="15"/>
        <v>42</v>
      </c>
      <c r="F996" s="2" t="s">
        <v>5</v>
      </c>
      <c r="G996" s="5" t="s">
        <v>15273</v>
      </c>
      <c r="H996" s="3" t="s">
        <v>4309</v>
      </c>
      <c r="K996" s="8" t="s">
        <v>16127</v>
      </c>
      <c r="L996" s="1" t="s">
        <v>44</v>
      </c>
      <c r="M996" s="1" t="s">
        <v>25</v>
      </c>
      <c r="N996" s="16">
        <v>1</v>
      </c>
      <c r="O996" s="17">
        <v>1</v>
      </c>
      <c r="P996" s="3" t="s">
        <v>302</v>
      </c>
      <c r="Q996" s="20">
        <v>25806</v>
      </c>
      <c r="R996" s="3" t="s">
        <v>16675</v>
      </c>
      <c r="T996" s="3" t="s">
        <v>736</v>
      </c>
      <c r="U996" s="3" t="s">
        <v>146</v>
      </c>
      <c r="AD996" s="2" t="s">
        <v>146</v>
      </c>
      <c r="AE996" s="698"/>
      <c r="AF996" s="655"/>
    </row>
    <row r="997" spans="1:32" ht="12" customHeight="1">
      <c r="A997" s="777" t="s">
        <v>15920</v>
      </c>
      <c r="B997" s="2">
        <v>1</v>
      </c>
      <c r="C997" s="4" t="s">
        <v>4316</v>
      </c>
      <c r="D997" s="1" t="s">
        <v>4320</v>
      </c>
      <c r="E997" s="6">
        <f t="shared" si="15"/>
        <v>63</v>
      </c>
      <c r="F997" s="2" t="s">
        <v>19</v>
      </c>
      <c r="G997" s="5" t="s">
        <v>15273</v>
      </c>
      <c r="H997" s="3" t="s">
        <v>4321</v>
      </c>
      <c r="K997" s="8" t="s">
        <v>16127</v>
      </c>
      <c r="L997" s="1" t="s">
        <v>45</v>
      </c>
      <c r="M997" s="1" t="s">
        <v>25</v>
      </c>
      <c r="N997" s="16">
        <v>2</v>
      </c>
      <c r="O997" s="17">
        <v>2</v>
      </c>
      <c r="P997" s="3" t="s">
        <v>570</v>
      </c>
      <c r="Q997" s="20">
        <v>18099</v>
      </c>
      <c r="R997" s="3" t="s">
        <v>4324</v>
      </c>
      <c r="S997" s="3" t="s">
        <v>1784</v>
      </c>
      <c r="T997" s="3" t="s">
        <v>736</v>
      </c>
      <c r="U997" s="3" t="s">
        <v>148</v>
      </c>
      <c r="W997" s="2" t="s">
        <v>145</v>
      </c>
      <c r="AE997" s="698" t="s">
        <v>69</v>
      </c>
      <c r="AF997" s="655"/>
    </row>
    <row r="998" spans="1:32" ht="12" customHeight="1">
      <c r="A998" s="777" t="s">
        <v>15921</v>
      </c>
      <c r="B998" s="2">
        <v>1</v>
      </c>
      <c r="C998" s="4" t="s">
        <v>4332</v>
      </c>
      <c r="D998" s="1" t="s">
        <v>5227</v>
      </c>
      <c r="E998" s="6">
        <f t="shared" si="15"/>
        <v>38</v>
      </c>
      <c r="F998" s="2" t="s">
        <v>5</v>
      </c>
      <c r="G998" s="5" t="s">
        <v>15273</v>
      </c>
      <c r="K998" s="8" t="s">
        <v>16127</v>
      </c>
      <c r="L998" s="1" t="s">
        <v>44</v>
      </c>
      <c r="M998" s="1" t="s">
        <v>6</v>
      </c>
      <c r="P998" s="3" t="s">
        <v>5228</v>
      </c>
      <c r="Q998" s="20">
        <v>27153</v>
      </c>
      <c r="R998" s="3" t="s">
        <v>5229</v>
      </c>
      <c r="T998" s="3" t="s">
        <v>736</v>
      </c>
      <c r="U998" s="3" t="s">
        <v>145</v>
      </c>
      <c r="W998" s="2" t="s">
        <v>145</v>
      </c>
      <c r="AE998" s="698"/>
      <c r="AF998" s="655"/>
    </row>
    <row r="999" spans="1:32" ht="12" customHeight="1">
      <c r="A999" s="777" t="s">
        <v>15922</v>
      </c>
      <c r="B999" s="2">
        <v>1</v>
      </c>
      <c r="C999" s="4" t="s">
        <v>4384</v>
      </c>
      <c r="D999" s="1" t="s">
        <v>4357</v>
      </c>
      <c r="E999" s="6">
        <f t="shared" si="15"/>
        <v>37</v>
      </c>
      <c r="F999" s="2" t="s">
        <v>5</v>
      </c>
      <c r="G999" s="5" t="s">
        <v>15273</v>
      </c>
      <c r="H999" s="3" t="s">
        <v>4358</v>
      </c>
      <c r="K999" s="4" t="s">
        <v>16127</v>
      </c>
      <c r="L999" s="1" t="s">
        <v>44</v>
      </c>
      <c r="M999" s="1" t="s">
        <v>25</v>
      </c>
      <c r="N999" s="16">
        <v>3</v>
      </c>
      <c r="O999" s="17">
        <v>3</v>
      </c>
      <c r="P999" s="3" t="s">
        <v>317</v>
      </c>
      <c r="Q999" s="20">
        <v>27504</v>
      </c>
      <c r="R999" s="3" t="s">
        <v>4359</v>
      </c>
      <c r="S999" s="3" t="s">
        <v>2428</v>
      </c>
      <c r="T999" s="3" t="s">
        <v>736</v>
      </c>
      <c r="AE999" s="698"/>
      <c r="AF999" s="655"/>
    </row>
    <row r="1000" spans="1:32" ht="12" customHeight="1">
      <c r="A1000" s="777" t="s">
        <v>15923</v>
      </c>
      <c r="B1000" s="2">
        <v>1</v>
      </c>
      <c r="C1000" s="4" t="s">
        <v>4387</v>
      </c>
      <c r="D1000" s="1" t="s">
        <v>4368</v>
      </c>
      <c r="E1000" s="6">
        <f t="shared" si="15"/>
        <v>65</v>
      </c>
      <c r="F1000" s="2" t="s">
        <v>5</v>
      </c>
      <c r="G1000" s="5" t="s">
        <v>15273</v>
      </c>
      <c r="H1000" s="3" t="s">
        <v>4369</v>
      </c>
      <c r="K1000" s="8" t="s">
        <v>16126</v>
      </c>
      <c r="L1000" s="1" t="s">
        <v>604</v>
      </c>
      <c r="M1000" s="1" t="s">
        <v>25</v>
      </c>
      <c r="N1000" s="16">
        <v>7</v>
      </c>
      <c r="O1000" s="17">
        <v>7</v>
      </c>
      <c r="P1000" s="3" t="s">
        <v>317</v>
      </c>
      <c r="Q1000" s="20">
        <v>17378</v>
      </c>
      <c r="R1000" s="3" t="s">
        <v>4372</v>
      </c>
      <c r="S1000" s="3" t="s">
        <v>4371</v>
      </c>
      <c r="T1000" s="3" t="s">
        <v>736</v>
      </c>
      <c r="U1000" s="3" t="s">
        <v>47</v>
      </c>
      <c r="V1000" s="2" t="s">
        <v>47</v>
      </c>
      <c r="AE1000" s="698"/>
      <c r="AF1000" s="655"/>
    </row>
    <row r="1001" spans="1:32" ht="12" customHeight="1">
      <c r="A1001" s="777" t="s">
        <v>15924</v>
      </c>
      <c r="B1001" s="2">
        <v>1</v>
      </c>
      <c r="C1001" s="4" t="s">
        <v>4391</v>
      </c>
      <c r="D1001" s="1" t="s">
        <v>4379</v>
      </c>
      <c r="E1001" s="6">
        <f t="shared" si="15"/>
        <v>54</v>
      </c>
      <c r="F1001" s="2" t="s">
        <v>5</v>
      </c>
      <c r="G1001" s="5" t="s">
        <v>15273</v>
      </c>
      <c r="H1001" s="3" t="s">
        <v>4380</v>
      </c>
      <c r="K1001" s="8" t="s">
        <v>16127</v>
      </c>
      <c r="L1001" s="1" t="s">
        <v>44</v>
      </c>
      <c r="M1001" s="1" t="s">
        <v>25</v>
      </c>
      <c r="N1001" s="16">
        <v>1</v>
      </c>
      <c r="O1001" s="17">
        <v>1</v>
      </c>
      <c r="P1001" s="3" t="s">
        <v>172</v>
      </c>
      <c r="Q1001" s="20">
        <v>21339</v>
      </c>
      <c r="R1001" s="3" t="s">
        <v>4382</v>
      </c>
      <c r="T1001" s="3" t="s">
        <v>736</v>
      </c>
      <c r="U1001" s="3" t="s">
        <v>75</v>
      </c>
      <c r="X1001" s="2" t="s">
        <v>75</v>
      </c>
      <c r="AE1001" s="698"/>
      <c r="AF1001" s="655"/>
    </row>
    <row r="1002" spans="1:32" ht="12" customHeight="1">
      <c r="A1002" s="777" t="s">
        <v>15925</v>
      </c>
      <c r="B1002" s="2">
        <v>1</v>
      </c>
      <c r="C1002" s="4" t="s">
        <v>4396</v>
      </c>
      <c r="D1002" s="1" t="s">
        <v>4399</v>
      </c>
      <c r="E1002" s="6">
        <f t="shared" si="15"/>
        <v>40</v>
      </c>
      <c r="F1002" s="2" t="s">
        <v>5</v>
      </c>
      <c r="G1002" s="5" t="s">
        <v>15273</v>
      </c>
      <c r="H1002" s="3" t="s">
        <v>4400</v>
      </c>
      <c r="K1002" s="8" t="s">
        <v>16127</v>
      </c>
      <c r="L1002" s="1" t="s">
        <v>44</v>
      </c>
      <c r="M1002" s="1" t="s">
        <v>25</v>
      </c>
      <c r="N1002" s="16">
        <v>1</v>
      </c>
      <c r="O1002" s="17">
        <v>1</v>
      </c>
      <c r="P1002" s="3" t="s">
        <v>2214</v>
      </c>
      <c r="Q1002" s="20">
        <v>26299</v>
      </c>
      <c r="R1002" s="3" t="s">
        <v>4401</v>
      </c>
      <c r="AE1002" s="698"/>
      <c r="AF1002" s="655"/>
    </row>
    <row r="1003" spans="1:32" ht="12" customHeight="1">
      <c r="A1003" s="777" t="s">
        <v>15926</v>
      </c>
      <c r="B1003" s="2">
        <v>1</v>
      </c>
      <c r="C1003" s="4" t="s">
        <v>4435</v>
      </c>
      <c r="D1003" s="1" t="s">
        <v>4438</v>
      </c>
      <c r="E1003" s="6">
        <f t="shared" si="15"/>
        <v>39</v>
      </c>
      <c r="F1003" s="2" t="s">
        <v>5</v>
      </c>
      <c r="G1003" s="5" t="s">
        <v>15273</v>
      </c>
      <c r="H1003" s="3" t="s">
        <v>4439</v>
      </c>
      <c r="K1003" s="8" t="s">
        <v>16127</v>
      </c>
      <c r="L1003" s="1" t="s">
        <v>44</v>
      </c>
      <c r="M1003" s="1" t="s">
        <v>25</v>
      </c>
      <c r="N1003" s="16">
        <v>1</v>
      </c>
      <c r="O1003" s="17">
        <v>1</v>
      </c>
      <c r="P1003" s="3" t="s">
        <v>2223</v>
      </c>
      <c r="Q1003" s="20">
        <v>26672</v>
      </c>
      <c r="R1003" s="3" t="s">
        <v>4441</v>
      </c>
      <c r="T1003" s="3" t="s">
        <v>736</v>
      </c>
      <c r="U1003" s="3" t="s">
        <v>47</v>
      </c>
      <c r="V1003" s="2" t="s">
        <v>47</v>
      </c>
      <c r="AE1003" s="698"/>
      <c r="AF1003" s="655"/>
    </row>
    <row r="1004" spans="1:32" ht="12" customHeight="1">
      <c r="A1004" s="777" t="s">
        <v>15927</v>
      </c>
      <c r="B1004" s="2">
        <v>1</v>
      </c>
      <c r="C1004" s="4" t="s">
        <v>4452</v>
      </c>
      <c r="D1004" s="1" t="s">
        <v>4456</v>
      </c>
      <c r="E1004" s="6">
        <f t="shared" si="15"/>
        <v>39</v>
      </c>
      <c r="F1004" s="2" t="s">
        <v>5</v>
      </c>
      <c r="G1004" s="5" t="s">
        <v>15273</v>
      </c>
      <c r="H1004" s="3" t="s">
        <v>4457</v>
      </c>
      <c r="K1004" s="4" t="s">
        <v>16127</v>
      </c>
      <c r="L1004" s="1" t="s">
        <v>44</v>
      </c>
      <c r="M1004" s="1" t="s">
        <v>25</v>
      </c>
      <c r="N1004" s="16">
        <v>2</v>
      </c>
      <c r="O1004" s="17">
        <v>2</v>
      </c>
      <c r="P1004" s="3" t="s">
        <v>1493</v>
      </c>
      <c r="Q1004" s="20">
        <v>26838</v>
      </c>
      <c r="R1004" s="3" t="s">
        <v>16676</v>
      </c>
      <c r="S1004" s="3" t="s">
        <v>2043</v>
      </c>
      <c r="T1004" s="3" t="s">
        <v>736</v>
      </c>
      <c r="U1004" s="3" t="s">
        <v>146</v>
      </c>
      <c r="AD1004" s="2" t="s">
        <v>146</v>
      </c>
      <c r="AE1004" s="698"/>
      <c r="AF1004" s="655"/>
    </row>
    <row r="1005" spans="1:32" ht="12" customHeight="1">
      <c r="A1005" s="777" t="s">
        <v>15928</v>
      </c>
      <c r="B1005" s="2">
        <v>1</v>
      </c>
      <c r="C1005" s="4" t="s">
        <v>4480</v>
      </c>
      <c r="D1005" s="1" t="s">
        <v>4483</v>
      </c>
      <c r="E1005" s="6">
        <f t="shared" si="15"/>
        <v>53</v>
      </c>
      <c r="F1005" s="2" t="s">
        <v>5</v>
      </c>
      <c r="G1005" s="5" t="s">
        <v>15273</v>
      </c>
      <c r="H1005" s="3" t="s">
        <v>4484</v>
      </c>
      <c r="K1005" s="8" t="s">
        <v>16126</v>
      </c>
      <c r="L1005" s="1" t="s">
        <v>604</v>
      </c>
      <c r="M1005" s="1" t="s">
        <v>25</v>
      </c>
      <c r="N1005" s="16">
        <v>5</v>
      </c>
      <c r="O1005" s="17">
        <v>5</v>
      </c>
      <c r="P1005" s="3" t="s">
        <v>317</v>
      </c>
      <c r="Q1005" s="20">
        <v>21733</v>
      </c>
      <c r="R1005" s="3" t="s">
        <v>16677</v>
      </c>
      <c r="S1005" s="3" t="s">
        <v>4486</v>
      </c>
      <c r="T1005" s="3" t="s">
        <v>736</v>
      </c>
      <c r="U1005" s="3" t="s">
        <v>635</v>
      </c>
      <c r="W1005" s="2" t="s">
        <v>145</v>
      </c>
      <c r="AD1005" s="2" t="s">
        <v>146</v>
      </c>
      <c r="AE1005" s="698"/>
      <c r="AF1005" s="655"/>
    </row>
    <row r="1006" spans="1:32" ht="12" customHeight="1">
      <c r="A1006" s="777" t="s">
        <v>15929</v>
      </c>
      <c r="B1006" s="2">
        <v>1</v>
      </c>
      <c r="C1006" s="4" t="s">
        <v>4494</v>
      </c>
      <c r="D1006" s="1" t="s">
        <v>4497</v>
      </c>
      <c r="E1006" s="6">
        <f t="shared" si="15"/>
        <v>47</v>
      </c>
      <c r="F1006" s="2" t="s">
        <v>5</v>
      </c>
      <c r="G1006" s="5" t="s">
        <v>15273</v>
      </c>
      <c r="H1006" s="3" t="s">
        <v>4498</v>
      </c>
      <c r="K1006" s="8" t="s">
        <v>16127</v>
      </c>
      <c r="L1006" s="1" t="s">
        <v>44</v>
      </c>
      <c r="M1006" s="1" t="s">
        <v>25</v>
      </c>
      <c r="N1006" s="16">
        <v>2</v>
      </c>
      <c r="O1006" s="17">
        <v>2</v>
      </c>
      <c r="P1006" s="3" t="s">
        <v>317</v>
      </c>
      <c r="Q1006" s="20">
        <v>23985</v>
      </c>
      <c r="R1006" s="3" t="s">
        <v>4499</v>
      </c>
      <c r="S1006" s="3" t="s">
        <v>4500</v>
      </c>
      <c r="U1006" s="3" t="s">
        <v>47</v>
      </c>
      <c r="V1006" s="2" t="s">
        <v>47</v>
      </c>
      <c r="AE1006" s="698"/>
      <c r="AF1006" s="655"/>
    </row>
    <row r="1007" spans="1:32" ht="12" customHeight="1">
      <c r="A1007" s="777" t="s">
        <v>15930</v>
      </c>
      <c r="B1007" s="2">
        <v>1</v>
      </c>
      <c r="C1007" s="4" t="s">
        <v>4514</v>
      </c>
      <c r="D1007" s="1" t="s">
        <v>4517</v>
      </c>
      <c r="E1007" s="6">
        <f t="shared" si="15"/>
        <v>66</v>
      </c>
      <c r="F1007" s="2" t="s">
        <v>5</v>
      </c>
      <c r="G1007" s="5" t="s">
        <v>15273</v>
      </c>
      <c r="H1007" s="3" t="s">
        <v>4518</v>
      </c>
      <c r="K1007" s="8" t="s">
        <v>16127</v>
      </c>
      <c r="L1007" s="1" t="s">
        <v>681</v>
      </c>
      <c r="M1007" s="1" t="s">
        <v>25</v>
      </c>
      <c r="N1007" s="16">
        <v>7</v>
      </c>
      <c r="O1007" s="17">
        <v>7</v>
      </c>
      <c r="P1007" s="3" t="s">
        <v>4520</v>
      </c>
      <c r="Q1007" s="20">
        <v>16793</v>
      </c>
      <c r="R1007" s="3" t="s">
        <v>4521</v>
      </c>
      <c r="S1007" s="3" t="s">
        <v>4524</v>
      </c>
      <c r="T1007" s="3" t="s">
        <v>736</v>
      </c>
      <c r="U1007" s="3" t="s">
        <v>148</v>
      </c>
      <c r="W1007" s="2" t="s">
        <v>145</v>
      </c>
      <c r="AE1007" s="698" t="s">
        <v>69</v>
      </c>
      <c r="AF1007" s="655"/>
    </row>
    <row r="1008" spans="1:32" ht="12" customHeight="1">
      <c r="A1008" s="777" t="s">
        <v>15931</v>
      </c>
      <c r="B1008" s="2">
        <v>1</v>
      </c>
      <c r="C1008" s="4" t="s">
        <v>4530</v>
      </c>
      <c r="D1008" s="1" t="s">
        <v>5549</v>
      </c>
      <c r="E1008" s="6">
        <f t="shared" si="15"/>
        <v>69</v>
      </c>
      <c r="F1008" s="2" t="s">
        <v>5</v>
      </c>
      <c r="G1008" s="5" t="s">
        <v>15273</v>
      </c>
      <c r="H1008" s="3" t="s">
        <v>5550</v>
      </c>
      <c r="K1008" s="8" t="s">
        <v>16127</v>
      </c>
      <c r="L1008" s="1" t="s">
        <v>44</v>
      </c>
      <c r="M1008" s="1" t="s">
        <v>25</v>
      </c>
      <c r="N1008" s="16">
        <v>1</v>
      </c>
      <c r="O1008" s="17">
        <v>1</v>
      </c>
      <c r="P1008" s="3" t="s">
        <v>5551</v>
      </c>
      <c r="Q1008" s="21">
        <v>15899</v>
      </c>
      <c r="R1008" s="3" t="s">
        <v>5552</v>
      </c>
      <c r="T1008" s="3" t="s">
        <v>736</v>
      </c>
      <c r="U1008" s="3" t="s">
        <v>148</v>
      </c>
      <c r="W1008" s="2" t="s">
        <v>145</v>
      </c>
      <c r="AE1008" s="698" t="s">
        <v>69</v>
      </c>
      <c r="AF1008" s="655"/>
    </row>
    <row r="1009" spans="1:32" ht="12" customHeight="1">
      <c r="A1009" s="777" t="s">
        <v>15932</v>
      </c>
      <c r="B1009" s="2">
        <v>1</v>
      </c>
      <c r="C1009" s="4" t="s">
        <v>4547</v>
      </c>
      <c r="D1009" s="1" t="s">
        <v>4551</v>
      </c>
      <c r="E1009" s="6">
        <f t="shared" si="15"/>
        <v>49</v>
      </c>
      <c r="F1009" s="2" t="s">
        <v>5</v>
      </c>
      <c r="G1009" s="5" t="s">
        <v>15273</v>
      </c>
      <c r="H1009" s="3" t="s">
        <v>4552</v>
      </c>
      <c r="K1009" s="4" t="s">
        <v>16127</v>
      </c>
      <c r="L1009" s="1" t="s">
        <v>276</v>
      </c>
      <c r="M1009" s="1" t="s">
        <v>25</v>
      </c>
      <c r="N1009" s="16">
        <v>2</v>
      </c>
      <c r="O1009" s="17">
        <v>2</v>
      </c>
      <c r="P1009" s="3" t="s">
        <v>447</v>
      </c>
      <c r="Q1009" s="20">
        <v>23168</v>
      </c>
      <c r="R1009" s="3" t="s">
        <v>4555</v>
      </c>
      <c r="S1009" s="3" t="s">
        <v>4554</v>
      </c>
      <c r="T1009" s="3" t="s">
        <v>736</v>
      </c>
      <c r="U1009" s="3" t="s">
        <v>572</v>
      </c>
      <c r="W1009" s="2" t="s">
        <v>145</v>
      </c>
      <c r="AB1009" s="2" t="s">
        <v>104</v>
      </c>
      <c r="AE1009" s="698"/>
      <c r="AF1009" s="655"/>
    </row>
    <row r="1010" spans="1:32" ht="12" customHeight="1">
      <c r="A1010" s="777" t="s">
        <v>15933</v>
      </c>
      <c r="B1010" s="2">
        <v>1</v>
      </c>
      <c r="C1010" s="4" t="s">
        <v>4664</v>
      </c>
      <c r="D1010" s="1" t="s">
        <v>4668</v>
      </c>
      <c r="E1010" s="6">
        <f t="shared" si="15"/>
        <v>60</v>
      </c>
      <c r="F1010" s="2" t="s">
        <v>5</v>
      </c>
      <c r="G1010" s="5" t="s">
        <v>15273</v>
      </c>
      <c r="K1010" s="8" t="s">
        <v>16126</v>
      </c>
      <c r="L1010" s="1" t="s">
        <v>44</v>
      </c>
      <c r="M1010" s="1" t="s">
        <v>6</v>
      </c>
      <c r="P1010" s="3" t="s">
        <v>317</v>
      </c>
      <c r="Q1010" s="20">
        <v>19047</v>
      </c>
      <c r="R1010" s="3" t="s">
        <v>5635</v>
      </c>
      <c r="U1010" s="3" t="s">
        <v>145</v>
      </c>
      <c r="W1010" s="2" t="s">
        <v>145</v>
      </c>
      <c r="AE1010" s="698"/>
      <c r="AF1010" s="655"/>
    </row>
    <row r="1011" spans="1:32" ht="12" customHeight="1">
      <c r="A1011" s="777" t="s">
        <v>15934</v>
      </c>
      <c r="B1011" s="2">
        <v>1</v>
      </c>
      <c r="C1011" s="4" t="s">
        <v>4679</v>
      </c>
      <c r="D1011" s="1" t="s">
        <v>4684</v>
      </c>
      <c r="E1011" s="6">
        <f t="shared" si="15"/>
        <v>42</v>
      </c>
      <c r="F1011" s="2" t="s">
        <v>5</v>
      </c>
      <c r="G1011" s="5" t="s">
        <v>15273</v>
      </c>
      <c r="K1011" s="8" t="s">
        <v>16127</v>
      </c>
      <c r="L1011" s="1" t="s">
        <v>44</v>
      </c>
      <c r="M1011" s="1" t="s">
        <v>6</v>
      </c>
      <c r="P1011" s="3" t="s">
        <v>4686</v>
      </c>
      <c r="Q1011" s="20">
        <v>25768</v>
      </c>
      <c r="R1011" s="3" t="s">
        <v>4685</v>
      </c>
      <c r="U1011" s="3" t="s">
        <v>145</v>
      </c>
      <c r="W1011" s="2" t="s">
        <v>145</v>
      </c>
      <c r="AE1011" s="698"/>
      <c r="AF1011" s="655"/>
    </row>
    <row r="1012" spans="1:32" ht="12" customHeight="1">
      <c r="A1012" s="777" t="s">
        <v>15935</v>
      </c>
      <c r="B1012" s="2">
        <v>1</v>
      </c>
      <c r="C1012" s="4" t="s">
        <v>4702</v>
      </c>
      <c r="D1012" s="1" t="s">
        <v>5502</v>
      </c>
      <c r="E1012" s="6">
        <f t="shared" si="15"/>
        <v>34</v>
      </c>
      <c r="F1012" s="2" t="s">
        <v>5</v>
      </c>
      <c r="G1012" s="5" t="s">
        <v>15273</v>
      </c>
      <c r="K1012" s="8" t="s">
        <v>16127</v>
      </c>
      <c r="L1012" s="1" t="s">
        <v>44</v>
      </c>
      <c r="M1012" s="1" t="s">
        <v>6</v>
      </c>
      <c r="P1012" s="3" t="s">
        <v>4736</v>
      </c>
      <c r="Q1012" s="20">
        <v>28515</v>
      </c>
      <c r="R1012" s="3" t="s">
        <v>5503</v>
      </c>
      <c r="T1012" s="3" t="s">
        <v>736</v>
      </c>
      <c r="AE1012" s="698"/>
      <c r="AF1012" s="655"/>
    </row>
    <row r="1013" spans="1:32" ht="12" customHeight="1">
      <c r="A1013" s="777" t="s">
        <v>15936</v>
      </c>
      <c r="B1013" s="2">
        <v>1</v>
      </c>
      <c r="C1013" s="4" t="s">
        <v>4743</v>
      </c>
      <c r="D1013" s="1" t="s">
        <v>4748</v>
      </c>
      <c r="E1013" s="6">
        <f t="shared" si="15"/>
        <v>54</v>
      </c>
      <c r="F1013" s="2" t="s">
        <v>5</v>
      </c>
      <c r="G1013" s="5" t="s">
        <v>15273</v>
      </c>
      <c r="H1013" s="3" t="s">
        <v>4749</v>
      </c>
      <c r="K1013" s="8" t="s">
        <v>16127</v>
      </c>
      <c r="L1013" s="1" t="s">
        <v>44</v>
      </c>
      <c r="M1013" s="1" t="s">
        <v>25</v>
      </c>
      <c r="N1013" s="16">
        <v>3</v>
      </c>
      <c r="O1013" s="17">
        <v>3</v>
      </c>
      <c r="P1013" s="3" t="s">
        <v>317</v>
      </c>
      <c r="Q1013" s="20">
        <v>21260</v>
      </c>
      <c r="R1013" s="3" t="s">
        <v>4750</v>
      </c>
      <c r="S1013" s="3" t="s">
        <v>4751</v>
      </c>
      <c r="T1013" s="3" t="s">
        <v>736</v>
      </c>
      <c r="AE1013" s="698"/>
      <c r="AF1013" s="655"/>
    </row>
    <row r="1014" spans="1:32" ht="12" customHeight="1">
      <c r="A1014" s="777" t="s">
        <v>15937</v>
      </c>
      <c r="B1014" s="2">
        <v>1</v>
      </c>
      <c r="C1014" s="4" t="s">
        <v>4766</v>
      </c>
      <c r="D1014" s="1" t="s">
        <v>4770</v>
      </c>
      <c r="E1014" s="6">
        <f t="shared" si="15"/>
        <v>69</v>
      </c>
      <c r="F1014" s="2" t="s">
        <v>5</v>
      </c>
      <c r="G1014" s="5" t="s">
        <v>15273</v>
      </c>
      <c r="H1014" s="3" t="s">
        <v>4771</v>
      </c>
      <c r="K1014" s="4" t="s">
        <v>16127</v>
      </c>
      <c r="L1014" s="1" t="s">
        <v>45</v>
      </c>
      <c r="M1014" s="1" t="s">
        <v>25</v>
      </c>
      <c r="N1014" s="16">
        <v>6</v>
      </c>
      <c r="O1014" s="17">
        <v>6</v>
      </c>
      <c r="P1014" s="3" t="s">
        <v>4772</v>
      </c>
      <c r="Q1014" s="20">
        <v>16014</v>
      </c>
      <c r="R1014" s="3" t="s">
        <v>4773</v>
      </c>
      <c r="S1014" s="3" t="s">
        <v>4775</v>
      </c>
      <c r="T1014" s="3" t="s">
        <v>736</v>
      </c>
      <c r="U1014" s="3" t="s">
        <v>85</v>
      </c>
      <c r="AA1014" s="2" t="s">
        <v>85</v>
      </c>
      <c r="AE1014" s="698"/>
      <c r="AF1014" s="655"/>
    </row>
    <row r="1015" spans="1:32" ht="12" customHeight="1">
      <c r="A1015" s="777" t="s">
        <v>15938</v>
      </c>
      <c r="B1015" s="2">
        <v>1</v>
      </c>
      <c r="C1015" s="4" t="s">
        <v>4784</v>
      </c>
      <c r="D1015" s="1" t="s">
        <v>4788</v>
      </c>
      <c r="E1015" s="6">
        <f t="shared" si="15"/>
        <v>63</v>
      </c>
      <c r="F1015" s="2" t="s">
        <v>5</v>
      </c>
      <c r="G1015" s="5" t="s">
        <v>15273</v>
      </c>
      <c r="H1015" s="3" t="s">
        <v>4789</v>
      </c>
      <c r="K1015" s="4" t="s">
        <v>16127</v>
      </c>
      <c r="L1015" s="1" t="s">
        <v>44</v>
      </c>
      <c r="M1015" s="1" t="s">
        <v>25</v>
      </c>
      <c r="N1015" s="16">
        <v>1</v>
      </c>
      <c r="O1015" s="17">
        <v>1</v>
      </c>
      <c r="P1015" s="3" t="s">
        <v>317</v>
      </c>
      <c r="Q1015" s="20">
        <v>17937</v>
      </c>
      <c r="R1015" s="3" t="s">
        <v>4790</v>
      </c>
      <c r="S1015" s="3" t="s">
        <v>836</v>
      </c>
      <c r="T1015" s="3" t="s">
        <v>736</v>
      </c>
      <c r="U1015" s="3" t="s">
        <v>47</v>
      </c>
      <c r="V1015" s="2" t="s">
        <v>47</v>
      </c>
      <c r="AE1015" s="698"/>
      <c r="AF1015" s="655"/>
    </row>
    <row r="1016" spans="1:32" ht="12" customHeight="1">
      <c r="A1016" s="777" t="s">
        <v>15939</v>
      </c>
      <c r="B1016" s="2">
        <v>1</v>
      </c>
      <c r="C1016" s="4" t="s">
        <v>4805</v>
      </c>
      <c r="D1016" s="1" t="s">
        <v>4808</v>
      </c>
      <c r="E1016" s="6">
        <f t="shared" si="15"/>
        <v>59</v>
      </c>
      <c r="F1016" s="2" t="s">
        <v>5</v>
      </c>
      <c r="G1016" s="5" t="s">
        <v>15273</v>
      </c>
      <c r="H1016" s="3" t="s">
        <v>4809</v>
      </c>
      <c r="K1016" s="4" t="s">
        <v>16127</v>
      </c>
      <c r="L1016" s="1" t="s">
        <v>44</v>
      </c>
      <c r="M1016" s="1" t="s">
        <v>25</v>
      </c>
      <c r="N1016" s="16">
        <v>1</v>
      </c>
      <c r="O1016" s="17">
        <v>1</v>
      </c>
      <c r="P1016" s="3" t="s">
        <v>302</v>
      </c>
      <c r="Q1016" s="20">
        <v>19450</v>
      </c>
      <c r="R1016" s="3" t="s">
        <v>4810</v>
      </c>
      <c r="AE1016" s="698"/>
      <c r="AF1016" s="655"/>
    </row>
    <row r="1017" spans="1:32" ht="12" customHeight="1">
      <c r="A1017" s="777" t="s">
        <v>15940</v>
      </c>
      <c r="B1017" s="2">
        <v>1</v>
      </c>
      <c r="C1017" s="4" t="s">
        <v>4822</v>
      </c>
      <c r="D1017" s="1" t="s">
        <v>4825</v>
      </c>
      <c r="E1017" s="6">
        <f t="shared" si="15"/>
        <v>51</v>
      </c>
      <c r="F1017" s="2" t="s">
        <v>5</v>
      </c>
      <c r="G1017" s="5" t="s">
        <v>15273</v>
      </c>
      <c r="H1017" s="3" t="s">
        <v>4826</v>
      </c>
      <c r="K1017" s="4" t="s">
        <v>16127</v>
      </c>
      <c r="L1017" s="1" t="s">
        <v>655</v>
      </c>
      <c r="M1017" s="1" t="s">
        <v>25</v>
      </c>
      <c r="N1017" s="16">
        <v>5</v>
      </c>
      <c r="O1017" s="17">
        <v>5</v>
      </c>
      <c r="P1017" s="3" t="s">
        <v>188</v>
      </c>
      <c r="Q1017" s="20">
        <v>22587</v>
      </c>
      <c r="R1017" s="3" t="s">
        <v>4828</v>
      </c>
      <c r="S1017" s="3" t="s">
        <v>4829</v>
      </c>
      <c r="T1017" s="3" t="s">
        <v>736</v>
      </c>
      <c r="U1017" s="3" t="s">
        <v>104</v>
      </c>
      <c r="AB1017" s="2" t="s">
        <v>104</v>
      </c>
      <c r="AE1017" s="698"/>
      <c r="AF1017" s="655"/>
    </row>
    <row r="1018" spans="1:32" ht="12" customHeight="1">
      <c r="A1018" s="777" t="s">
        <v>15941</v>
      </c>
      <c r="B1018" s="2">
        <v>1</v>
      </c>
      <c r="C1018" s="4" t="s">
        <v>4837</v>
      </c>
      <c r="D1018" s="1" t="s">
        <v>4840</v>
      </c>
      <c r="E1018" s="6">
        <f t="shared" si="15"/>
        <v>54</v>
      </c>
      <c r="F1018" s="2" t="s">
        <v>5</v>
      </c>
      <c r="G1018" s="5" t="s">
        <v>15273</v>
      </c>
      <c r="H1018" s="3" t="s">
        <v>4841</v>
      </c>
      <c r="K1018" s="4" t="s">
        <v>16127</v>
      </c>
      <c r="L1018" s="1" t="s">
        <v>276</v>
      </c>
      <c r="M1018" s="1" t="s">
        <v>25</v>
      </c>
      <c r="N1018" s="16">
        <v>1</v>
      </c>
      <c r="O1018" s="17">
        <v>1</v>
      </c>
      <c r="P1018" s="3" t="s">
        <v>4312</v>
      </c>
      <c r="Q1018" s="20">
        <v>21286</v>
      </c>
      <c r="R1018" s="3" t="s">
        <v>16679</v>
      </c>
      <c r="T1018" s="3" t="s">
        <v>736</v>
      </c>
      <c r="U1018" s="3" t="s">
        <v>635</v>
      </c>
      <c r="W1018" s="2" t="s">
        <v>145</v>
      </c>
      <c r="AD1018" s="2" t="s">
        <v>146</v>
      </c>
      <c r="AE1018" s="698"/>
      <c r="AF1018" s="655"/>
    </row>
    <row r="1019" spans="1:32" ht="12" customHeight="1">
      <c r="A1019" s="777" t="s">
        <v>15942</v>
      </c>
      <c r="B1019" s="2">
        <v>1</v>
      </c>
      <c r="C1019" s="4" t="s">
        <v>4868</v>
      </c>
      <c r="D1019" s="1" t="s">
        <v>4871</v>
      </c>
      <c r="E1019" s="6">
        <f t="shared" si="15"/>
        <v>62</v>
      </c>
      <c r="F1019" s="2" t="s">
        <v>5</v>
      </c>
      <c r="G1019" s="5" t="s">
        <v>15273</v>
      </c>
      <c r="H1019" s="3" t="s">
        <v>4872</v>
      </c>
      <c r="K1019" s="4" t="s">
        <v>16127</v>
      </c>
      <c r="L1019" s="1" t="s">
        <v>45</v>
      </c>
      <c r="M1019" s="1" t="s">
        <v>25</v>
      </c>
      <c r="N1019" s="16">
        <v>1</v>
      </c>
      <c r="O1019" s="17">
        <v>1</v>
      </c>
      <c r="P1019" s="3" t="s">
        <v>7</v>
      </c>
      <c r="Q1019" s="20">
        <v>18453</v>
      </c>
      <c r="R1019" s="3" t="s">
        <v>4873</v>
      </c>
      <c r="T1019" s="3" t="s">
        <v>736</v>
      </c>
      <c r="U1019" s="3" t="s">
        <v>69</v>
      </c>
      <c r="AE1019" s="698" t="s">
        <v>69</v>
      </c>
      <c r="AF1019" s="655"/>
    </row>
    <row r="1020" spans="1:32" ht="12" customHeight="1">
      <c r="A1020" s="777" t="s">
        <v>15943</v>
      </c>
      <c r="B1020" s="2">
        <v>1</v>
      </c>
      <c r="C1020" s="4" t="s">
        <v>4912</v>
      </c>
      <c r="D1020" s="1" t="s">
        <v>4916</v>
      </c>
      <c r="E1020" s="6">
        <f t="shared" si="15"/>
        <v>56</v>
      </c>
      <c r="F1020" s="2" t="s">
        <v>5</v>
      </c>
      <c r="G1020" s="5" t="s">
        <v>15273</v>
      </c>
      <c r="K1020" s="4" t="s">
        <v>16127</v>
      </c>
      <c r="L1020" s="1" t="s">
        <v>44</v>
      </c>
      <c r="M1020" s="1" t="s">
        <v>6</v>
      </c>
      <c r="P1020" s="3" t="s">
        <v>5173</v>
      </c>
      <c r="Q1020" s="20">
        <v>20642</v>
      </c>
      <c r="R1020" s="3" t="s">
        <v>5840</v>
      </c>
      <c r="T1020" s="3" t="s">
        <v>736</v>
      </c>
      <c r="AE1020" s="698"/>
      <c r="AF1020" s="655"/>
    </row>
    <row r="1021" spans="1:32" ht="12" customHeight="1" thickBot="1">
      <c r="A1021" s="778" t="s">
        <v>15944</v>
      </c>
      <c r="B1021" s="702">
        <v>1</v>
      </c>
      <c r="C1021" s="700" t="s">
        <v>4927</v>
      </c>
      <c r="D1021" s="699" t="s">
        <v>4931</v>
      </c>
      <c r="E1021" s="701">
        <f t="shared" si="15"/>
        <v>45</v>
      </c>
      <c r="F1021" s="702" t="s">
        <v>5</v>
      </c>
      <c r="G1021" s="356" t="s">
        <v>15273</v>
      </c>
      <c r="H1021" s="703"/>
      <c r="I1021" s="699"/>
      <c r="J1021" s="699"/>
      <c r="K1021" s="700" t="s">
        <v>16127</v>
      </c>
      <c r="L1021" s="699" t="s">
        <v>44</v>
      </c>
      <c r="M1021" s="699" t="s">
        <v>6</v>
      </c>
      <c r="N1021" s="705"/>
      <c r="O1021" s="706"/>
      <c r="P1021" s="703" t="s">
        <v>5841</v>
      </c>
      <c r="Q1021" s="707">
        <v>24799</v>
      </c>
      <c r="R1021" s="703" t="s">
        <v>5842</v>
      </c>
      <c r="S1021" s="703"/>
      <c r="T1021" s="703"/>
      <c r="U1021" s="703" t="s">
        <v>145</v>
      </c>
      <c r="V1021" s="702"/>
      <c r="W1021" s="702" t="s">
        <v>145</v>
      </c>
      <c r="X1021" s="702"/>
      <c r="Y1021" s="702"/>
      <c r="Z1021" s="702"/>
      <c r="AA1021" s="702"/>
      <c r="AB1021" s="702"/>
      <c r="AC1021" s="702"/>
      <c r="AD1021" s="702"/>
      <c r="AE1021" s="708"/>
      <c r="AF1021" s="655"/>
    </row>
    <row r="1022" spans="1:32" ht="12" customHeight="1">
      <c r="A1022" s="724" t="s">
        <v>15948</v>
      </c>
      <c r="B1022" s="696">
        <v>1</v>
      </c>
      <c r="C1022" s="688" t="s">
        <v>4293</v>
      </c>
      <c r="D1022" s="687" t="s">
        <v>5967</v>
      </c>
      <c r="E1022" s="690">
        <f t="shared" si="15"/>
        <v>50</v>
      </c>
      <c r="F1022" s="696" t="s">
        <v>5</v>
      </c>
      <c r="G1022" s="687" t="s">
        <v>15273</v>
      </c>
      <c r="H1022" s="747"/>
      <c r="I1022" s="687"/>
      <c r="J1022" s="687"/>
      <c r="K1022" s="688" t="s">
        <v>16120</v>
      </c>
      <c r="L1022" s="687" t="s">
        <v>445</v>
      </c>
      <c r="M1022" s="687" t="s">
        <v>6</v>
      </c>
      <c r="N1022" s="748"/>
      <c r="O1022" s="749"/>
      <c r="P1022" s="747" t="s">
        <v>321</v>
      </c>
      <c r="Q1022" s="773">
        <v>22738</v>
      </c>
      <c r="R1022" s="747" t="s">
        <v>5968</v>
      </c>
      <c r="S1022" s="747"/>
      <c r="T1022" s="747"/>
      <c r="U1022" s="747"/>
      <c r="V1022" s="696"/>
      <c r="W1022" s="696"/>
      <c r="X1022" s="696"/>
      <c r="Y1022" s="696"/>
      <c r="Z1022" s="696"/>
      <c r="AA1022" s="696"/>
      <c r="AB1022" s="696"/>
      <c r="AC1022" s="696"/>
      <c r="AD1022" s="696"/>
      <c r="AE1022" s="697"/>
      <c r="AF1022" s="655"/>
    </row>
    <row r="1023" spans="1:32" ht="12" customHeight="1">
      <c r="A1023" s="725" t="s">
        <v>5260</v>
      </c>
      <c r="B1023" s="2">
        <v>1</v>
      </c>
      <c r="C1023" s="4" t="s">
        <v>4306</v>
      </c>
      <c r="D1023" s="1" t="s">
        <v>4311</v>
      </c>
      <c r="E1023" s="6">
        <f t="shared" si="15"/>
        <v>40</v>
      </c>
      <c r="F1023" s="2" t="s">
        <v>5</v>
      </c>
      <c r="G1023" s="1" t="s">
        <v>15273</v>
      </c>
      <c r="K1023" s="8" t="s">
        <v>16120</v>
      </c>
      <c r="L1023" s="1" t="s">
        <v>30</v>
      </c>
      <c r="M1023" s="1" t="s">
        <v>6</v>
      </c>
      <c r="P1023" s="3" t="s">
        <v>4312</v>
      </c>
      <c r="Q1023" s="20">
        <v>26588</v>
      </c>
      <c r="R1023" s="3" t="s">
        <v>4313</v>
      </c>
      <c r="U1023" s="3" t="s">
        <v>145</v>
      </c>
      <c r="W1023" s="2" t="s">
        <v>145</v>
      </c>
      <c r="AE1023" s="698"/>
      <c r="AF1023" s="655"/>
    </row>
    <row r="1024" spans="1:32" ht="12" customHeight="1">
      <c r="A1024" s="725" t="s">
        <v>5962</v>
      </c>
      <c r="B1024" s="2">
        <v>1</v>
      </c>
      <c r="C1024" s="4" t="s">
        <v>4317</v>
      </c>
      <c r="D1024" s="1" t="s">
        <v>4325</v>
      </c>
      <c r="E1024" s="6">
        <f t="shared" si="15"/>
        <v>40</v>
      </c>
      <c r="F1024" s="2" t="s">
        <v>5</v>
      </c>
      <c r="G1024" s="1" t="s">
        <v>15273</v>
      </c>
      <c r="K1024" s="23" t="s">
        <v>16120</v>
      </c>
      <c r="L1024" s="1" t="s">
        <v>30</v>
      </c>
      <c r="M1024" s="1" t="s">
        <v>6</v>
      </c>
      <c r="P1024" s="3" t="s">
        <v>317</v>
      </c>
      <c r="Q1024" s="20">
        <v>26494</v>
      </c>
      <c r="R1024" s="3" t="s">
        <v>4326</v>
      </c>
      <c r="T1024" s="3" t="s">
        <v>5457</v>
      </c>
      <c r="U1024" s="3" t="s">
        <v>47</v>
      </c>
      <c r="V1024" s="2" t="s">
        <v>47</v>
      </c>
      <c r="AE1024" s="698"/>
      <c r="AF1024" s="655"/>
    </row>
    <row r="1025" spans="1:32" ht="12" customHeight="1">
      <c r="A1025" s="725" t="s">
        <v>6117</v>
      </c>
      <c r="B1025" s="2">
        <v>1</v>
      </c>
      <c r="C1025" s="4" t="s">
        <v>4333</v>
      </c>
      <c r="D1025" s="1" t="s">
        <v>4338</v>
      </c>
      <c r="E1025" s="6">
        <f t="shared" si="15"/>
        <v>50</v>
      </c>
      <c r="F1025" s="2" t="s">
        <v>5</v>
      </c>
      <c r="G1025" s="1" t="s">
        <v>15273</v>
      </c>
      <c r="K1025" s="8" t="s">
        <v>16120</v>
      </c>
      <c r="L1025" s="1" t="s">
        <v>30</v>
      </c>
      <c r="M1025" s="1" t="s">
        <v>6</v>
      </c>
      <c r="P1025" s="3" t="s">
        <v>452</v>
      </c>
      <c r="Q1025" s="20">
        <v>22938</v>
      </c>
      <c r="R1025" s="3" t="s">
        <v>4339</v>
      </c>
      <c r="T1025" s="3" t="s">
        <v>5457</v>
      </c>
      <c r="AE1025" s="698"/>
      <c r="AF1025" s="655"/>
    </row>
    <row r="1026" spans="1:32" ht="12" customHeight="1">
      <c r="A1026" s="725" t="s">
        <v>6118</v>
      </c>
      <c r="B1026" s="2">
        <v>1</v>
      </c>
      <c r="C1026" s="4" t="s">
        <v>4385</v>
      </c>
      <c r="D1026" s="1" t="s">
        <v>4361</v>
      </c>
      <c r="E1026" s="6">
        <f t="shared" ref="E1026:E1089" si="16">DATEDIF(Q1026,$Q$1119,"Y")</f>
        <v>68</v>
      </c>
      <c r="F1026" s="2" t="s">
        <v>5</v>
      </c>
      <c r="G1026" s="1" t="s">
        <v>15273</v>
      </c>
      <c r="K1026" s="4" t="s">
        <v>16120</v>
      </c>
      <c r="L1026" s="1" t="s">
        <v>934</v>
      </c>
      <c r="M1026" s="1" t="s">
        <v>14</v>
      </c>
      <c r="N1026" s="16">
        <v>5</v>
      </c>
      <c r="O1026" s="17">
        <v>5</v>
      </c>
      <c r="P1026" s="3" t="s">
        <v>317</v>
      </c>
      <c r="Q1026" s="20">
        <v>16346</v>
      </c>
      <c r="R1026" s="3" t="s">
        <v>4362</v>
      </c>
      <c r="S1026" s="3" t="s">
        <v>4365</v>
      </c>
      <c r="T1026" s="3" t="s">
        <v>5457</v>
      </c>
      <c r="U1026" s="3" t="s">
        <v>2580</v>
      </c>
      <c r="V1026" s="2" t="s">
        <v>47</v>
      </c>
      <c r="AB1026" s="2" t="s">
        <v>104</v>
      </c>
      <c r="AC1026" s="2" t="s">
        <v>147</v>
      </c>
      <c r="AE1026" s="698"/>
      <c r="AF1026" s="655"/>
    </row>
    <row r="1027" spans="1:32" ht="12" customHeight="1">
      <c r="A1027" s="725" t="s">
        <v>6119</v>
      </c>
      <c r="B1027" s="2">
        <v>1</v>
      </c>
      <c r="C1027" s="4" t="s">
        <v>4392</v>
      </c>
      <c r="D1027" s="1" t="s">
        <v>5482</v>
      </c>
      <c r="E1027" s="6">
        <f t="shared" si="16"/>
        <v>52</v>
      </c>
      <c r="F1027" s="2" t="s">
        <v>5</v>
      </c>
      <c r="G1027" s="1" t="s">
        <v>15273</v>
      </c>
      <c r="K1027" s="4" t="s">
        <v>16120</v>
      </c>
      <c r="L1027" s="1" t="s">
        <v>476</v>
      </c>
      <c r="M1027" s="1" t="s">
        <v>6</v>
      </c>
      <c r="P1027" s="3" t="s">
        <v>15956</v>
      </c>
      <c r="Q1027" s="20">
        <v>21934</v>
      </c>
      <c r="R1027" s="3" t="s">
        <v>15957</v>
      </c>
      <c r="T1027" s="3" t="s">
        <v>5457</v>
      </c>
      <c r="AE1027" s="698"/>
      <c r="AF1027" s="655"/>
    </row>
    <row r="1028" spans="1:32" ht="12" customHeight="1">
      <c r="A1028" s="725" t="s">
        <v>6120</v>
      </c>
      <c r="B1028" s="2">
        <v>1</v>
      </c>
      <c r="C1028" s="4" t="s">
        <v>4397</v>
      </c>
      <c r="D1028" s="1" t="s">
        <v>4402</v>
      </c>
      <c r="E1028" s="6">
        <f t="shared" si="16"/>
        <v>72</v>
      </c>
      <c r="F1028" s="2" t="s">
        <v>5</v>
      </c>
      <c r="G1028" s="1" t="s">
        <v>15273</v>
      </c>
      <c r="H1028" s="3" t="s">
        <v>4403</v>
      </c>
      <c r="K1028" s="8" t="s">
        <v>16120</v>
      </c>
      <c r="L1028" s="1" t="s">
        <v>445</v>
      </c>
      <c r="M1028" s="1" t="s">
        <v>25</v>
      </c>
      <c r="N1028" s="16">
        <v>10</v>
      </c>
      <c r="O1028" s="17">
        <v>10</v>
      </c>
      <c r="P1028" s="3" t="s">
        <v>123</v>
      </c>
      <c r="Q1028" s="20">
        <v>14874</v>
      </c>
      <c r="R1028" s="3" t="s">
        <v>4404</v>
      </c>
      <c r="S1028" s="3" t="s">
        <v>4405</v>
      </c>
      <c r="U1028" s="3" t="s">
        <v>104</v>
      </c>
      <c r="AB1028" s="2" t="s">
        <v>104</v>
      </c>
      <c r="AE1028" s="698"/>
      <c r="AF1028" s="655"/>
    </row>
    <row r="1029" spans="1:32" ht="12" customHeight="1">
      <c r="A1029" s="725" t="s">
        <v>6121</v>
      </c>
      <c r="B1029" s="2">
        <v>1</v>
      </c>
      <c r="C1029" s="4" t="s">
        <v>4436</v>
      </c>
      <c r="D1029" s="1" t="s">
        <v>4443</v>
      </c>
      <c r="E1029" s="6">
        <f t="shared" si="16"/>
        <v>65</v>
      </c>
      <c r="F1029" s="2" t="s">
        <v>5</v>
      </c>
      <c r="G1029" s="1" t="s">
        <v>15273</v>
      </c>
      <c r="K1029" s="23" t="s">
        <v>16120</v>
      </c>
      <c r="L1029" s="1" t="s">
        <v>13</v>
      </c>
      <c r="M1029" s="1" t="s">
        <v>14</v>
      </c>
      <c r="N1029" s="16">
        <v>5</v>
      </c>
      <c r="O1029" s="17">
        <v>5</v>
      </c>
      <c r="P1029" s="3" t="s">
        <v>4444</v>
      </c>
      <c r="Q1029" s="20">
        <v>17310</v>
      </c>
      <c r="R1029" s="3" t="s">
        <v>4445</v>
      </c>
      <c r="S1029" s="3" t="s">
        <v>4447</v>
      </c>
      <c r="T1029" s="3" t="s">
        <v>5457</v>
      </c>
      <c r="U1029" s="3" t="s">
        <v>104</v>
      </c>
      <c r="AB1029" s="2" t="s">
        <v>104</v>
      </c>
      <c r="AE1029" s="698"/>
      <c r="AF1029" s="655"/>
    </row>
    <row r="1030" spans="1:32" ht="12" customHeight="1">
      <c r="A1030" s="725" t="s">
        <v>15533</v>
      </c>
      <c r="B1030" s="2">
        <v>1</v>
      </c>
      <c r="C1030" s="4" t="s">
        <v>4471</v>
      </c>
      <c r="D1030" s="1" t="s">
        <v>4473</v>
      </c>
      <c r="E1030" s="6">
        <f t="shared" si="16"/>
        <v>44</v>
      </c>
      <c r="F1030" s="2" t="s">
        <v>5</v>
      </c>
      <c r="G1030" s="1" t="s">
        <v>15273</v>
      </c>
      <c r="H1030" s="3" t="s">
        <v>4474</v>
      </c>
      <c r="K1030" s="8" t="s">
        <v>16120</v>
      </c>
      <c r="L1030" s="1" t="s">
        <v>5247</v>
      </c>
      <c r="M1030" s="1" t="s">
        <v>25</v>
      </c>
      <c r="N1030" s="16">
        <v>3</v>
      </c>
      <c r="O1030" s="17">
        <v>3</v>
      </c>
      <c r="P1030" s="3" t="s">
        <v>245</v>
      </c>
      <c r="Q1030" s="20">
        <v>24929</v>
      </c>
      <c r="R1030" s="3" t="s">
        <v>4475</v>
      </c>
      <c r="S1030" s="3" t="s">
        <v>2428</v>
      </c>
      <c r="T1030" s="3" t="s">
        <v>5457</v>
      </c>
      <c r="U1030" s="3" t="s">
        <v>104</v>
      </c>
      <c r="AB1030" s="2" t="s">
        <v>104</v>
      </c>
      <c r="AE1030" s="698"/>
      <c r="AF1030" s="655"/>
    </row>
    <row r="1031" spans="1:32" ht="12" customHeight="1">
      <c r="A1031" s="725" t="s">
        <v>15534</v>
      </c>
      <c r="B1031" s="2">
        <v>1</v>
      </c>
      <c r="C1031" s="4" t="s">
        <v>4481</v>
      </c>
      <c r="D1031" s="1" t="s">
        <v>4487</v>
      </c>
      <c r="E1031" s="6">
        <f t="shared" si="16"/>
        <v>39</v>
      </c>
      <c r="F1031" s="2" t="s">
        <v>5</v>
      </c>
      <c r="G1031" s="1" t="s">
        <v>15273</v>
      </c>
      <c r="K1031" s="4" t="s">
        <v>16120</v>
      </c>
      <c r="L1031" s="1" t="s">
        <v>30</v>
      </c>
      <c r="M1031" s="1" t="s">
        <v>6</v>
      </c>
      <c r="P1031" s="3" t="s">
        <v>4312</v>
      </c>
      <c r="Q1031" s="20">
        <v>26927</v>
      </c>
      <c r="R1031" s="3" t="s">
        <v>4489</v>
      </c>
      <c r="T1031" s="3" t="s">
        <v>5457</v>
      </c>
      <c r="U1031" s="3" t="s">
        <v>145</v>
      </c>
      <c r="W1031" s="2" t="s">
        <v>145</v>
      </c>
      <c r="AE1031" s="698"/>
      <c r="AF1031" s="655"/>
    </row>
    <row r="1032" spans="1:32" ht="12" customHeight="1">
      <c r="A1032" s="725" t="s">
        <v>15535</v>
      </c>
      <c r="B1032" s="2">
        <v>1</v>
      </c>
      <c r="C1032" s="4" t="s">
        <v>4495</v>
      </c>
      <c r="D1032" s="1" t="s">
        <v>4501</v>
      </c>
      <c r="E1032" s="6">
        <f t="shared" si="16"/>
        <v>65</v>
      </c>
      <c r="F1032" s="2" t="s">
        <v>5</v>
      </c>
      <c r="G1032" s="1" t="s">
        <v>15273</v>
      </c>
      <c r="H1032" s="3" t="s">
        <v>4502</v>
      </c>
      <c r="K1032" s="4" t="s">
        <v>16120</v>
      </c>
      <c r="L1032" s="1" t="s">
        <v>30</v>
      </c>
      <c r="M1032" s="1" t="s">
        <v>25</v>
      </c>
      <c r="N1032" s="16">
        <v>5</v>
      </c>
      <c r="O1032" s="17">
        <v>5</v>
      </c>
      <c r="P1032" s="3" t="s">
        <v>317</v>
      </c>
      <c r="Q1032" s="20">
        <v>17172</v>
      </c>
      <c r="R1032" s="3" t="s">
        <v>4503</v>
      </c>
      <c r="S1032" s="3" t="s">
        <v>4504</v>
      </c>
      <c r="T1032" s="3" t="s">
        <v>5457</v>
      </c>
      <c r="AE1032" s="698"/>
      <c r="AF1032" s="655"/>
    </row>
    <row r="1033" spans="1:32" ht="12" customHeight="1">
      <c r="A1033" s="725" t="s">
        <v>15536</v>
      </c>
      <c r="B1033" s="2">
        <v>1</v>
      </c>
      <c r="C1033" s="4" t="s">
        <v>4515</v>
      </c>
      <c r="D1033" s="1" t="s">
        <v>4525</v>
      </c>
      <c r="E1033" s="6">
        <f t="shared" si="16"/>
        <v>64</v>
      </c>
      <c r="F1033" s="2" t="s">
        <v>5</v>
      </c>
      <c r="G1033" s="1" t="s">
        <v>15273</v>
      </c>
      <c r="K1033" s="8" t="s">
        <v>16120</v>
      </c>
      <c r="L1033" s="1" t="s">
        <v>934</v>
      </c>
      <c r="M1033" s="1" t="s">
        <v>14</v>
      </c>
      <c r="N1033" s="16">
        <v>1</v>
      </c>
      <c r="O1033" s="17">
        <v>1</v>
      </c>
      <c r="P1033" s="3" t="s">
        <v>4526</v>
      </c>
      <c r="Q1033" s="20">
        <v>17718</v>
      </c>
      <c r="R1033" s="3" t="s">
        <v>4527</v>
      </c>
      <c r="T1033" s="3" t="s">
        <v>5457</v>
      </c>
      <c r="U1033" s="3" t="s">
        <v>145</v>
      </c>
      <c r="W1033" s="2" t="s">
        <v>145</v>
      </c>
      <c r="AE1033" s="698"/>
      <c r="AF1033" s="655"/>
    </row>
    <row r="1034" spans="1:32" ht="12" customHeight="1">
      <c r="A1034" s="725" t="s">
        <v>15537</v>
      </c>
      <c r="B1034" s="2">
        <v>1</v>
      </c>
      <c r="C1034" s="4" t="s">
        <v>4531</v>
      </c>
      <c r="D1034" s="1" t="s">
        <v>4533</v>
      </c>
      <c r="E1034" s="6">
        <f t="shared" si="16"/>
        <v>66</v>
      </c>
      <c r="F1034" s="2" t="s">
        <v>5</v>
      </c>
      <c r="G1034" s="1" t="s">
        <v>15273</v>
      </c>
      <c r="K1034" s="23" t="s">
        <v>16120</v>
      </c>
      <c r="L1034" s="1" t="s">
        <v>30</v>
      </c>
      <c r="M1034" s="1" t="s">
        <v>6</v>
      </c>
      <c r="P1034" s="3" t="s">
        <v>172</v>
      </c>
      <c r="Q1034" s="20">
        <v>16916</v>
      </c>
      <c r="R1034" s="3" t="s">
        <v>4534</v>
      </c>
      <c r="T1034" s="3" t="s">
        <v>5457</v>
      </c>
      <c r="U1034" s="3" t="s">
        <v>145</v>
      </c>
      <c r="W1034" s="2" t="s">
        <v>145</v>
      </c>
      <c r="AE1034" s="698"/>
      <c r="AF1034" s="655"/>
    </row>
    <row r="1035" spans="1:32" ht="12" customHeight="1">
      <c r="A1035" s="725" t="s">
        <v>15538</v>
      </c>
      <c r="B1035" s="2">
        <v>1</v>
      </c>
      <c r="C1035" s="4" t="s">
        <v>4536</v>
      </c>
      <c r="D1035" s="1" t="s">
        <v>4542</v>
      </c>
      <c r="E1035" s="6">
        <f t="shared" si="16"/>
        <v>71</v>
      </c>
      <c r="F1035" s="2" t="s">
        <v>5</v>
      </c>
      <c r="G1035" s="1" t="s">
        <v>15273</v>
      </c>
      <c r="H1035" s="3" t="s">
        <v>4543</v>
      </c>
      <c r="K1035" s="8" t="s">
        <v>16120</v>
      </c>
      <c r="L1035" s="1" t="s">
        <v>48</v>
      </c>
      <c r="M1035" s="1" t="s">
        <v>25</v>
      </c>
      <c r="N1035" s="16">
        <v>3</v>
      </c>
      <c r="O1035" s="17">
        <v>3</v>
      </c>
      <c r="P1035" s="3" t="s">
        <v>4545</v>
      </c>
      <c r="Q1035" s="20">
        <v>15200</v>
      </c>
      <c r="R1035" s="3" t="s">
        <v>4546</v>
      </c>
      <c r="S1035" s="3" t="s">
        <v>347</v>
      </c>
      <c r="T1035" s="3" t="s">
        <v>5457</v>
      </c>
      <c r="U1035" s="3" t="s">
        <v>145</v>
      </c>
      <c r="W1035" s="2" t="s">
        <v>145</v>
      </c>
      <c r="AE1035" s="698"/>
      <c r="AF1035" s="655"/>
    </row>
    <row r="1036" spans="1:32" ht="12" customHeight="1">
      <c r="A1036" s="725" t="s">
        <v>15539</v>
      </c>
      <c r="B1036" s="2">
        <v>1</v>
      </c>
      <c r="C1036" s="4" t="s">
        <v>4548</v>
      </c>
      <c r="D1036" s="1" t="s">
        <v>4557</v>
      </c>
      <c r="E1036" s="6">
        <f t="shared" si="16"/>
        <v>65</v>
      </c>
      <c r="F1036" s="2" t="s">
        <v>5</v>
      </c>
      <c r="G1036" s="1" t="s">
        <v>15273</v>
      </c>
      <c r="H1036" s="3" t="s">
        <v>4558</v>
      </c>
      <c r="K1036" s="4" t="s">
        <v>16120</v>
      </c>
      <c r="L1036" s="1" t="s">
        <v>476</v>
      </c>
      <c r="M1036" s="1" t="s">
        <v>25</v>
      </c>
      <c r="N1036" s="16">
        <v>4</v>
      </c>
      <c r="O1036" s="17">
        <v>4</v>
      </c>
      <c r="P1036" s="3" t="s">
        <v>188</v>
      </c>
      <c r="Q1036" s="20">
        <v>17196</v>
      </c>
      <c r="R1036" s="3" t="s">
        <v>4559</v>
      </c>
      <c r="S1036" s="3" t="s">
        <v>4560</v>
      </c>
      <c r="T1036" s="3" t="s">
        <v>5457</v>
      </c>
      <c r="U1036" s="3" t="s">
        <v>145</v>
      </c>
      <c r="W1036" s="2" t="s">
        <v>145</v>
      </c>
      <c r="AE1036" s="698"/>
      <c r="AF1036" s="655"/>
    </row>
    <row r="1037" spans="1:32" ht="12" customHeight="1">
      <c r="A1037" s="725" t="s">
        <v>15540</v>
      </c>
      <c r="B1037" s="2">
        <v>1</v>
      </c>
      <c r="C1037" s="4" t="s">
        <v>4665</v>
      </c>
      <c r="D1037" s="1" t="s">
        <v>4670</v>
      </c>
      <c r="E1037" s="6">
        <f t="shared" si="16"/>
        <v>43</v>
      </c>
      <c r="F1037" s="2" t="s">
        <v>5</v>
      </c>
      <c r="G1037" s="1" t="s">
        <v>15273</v>
      </c>
      <c r="K1037" s="4" t="s">
        <v>16120</v>
      </c>
      <c r="L1037" s="1" t="s">
        <v>13</v>
      </c>
      <c r="M1037" s="1" t="s">
        <v>14</v>
      </c>
      <c r="N1037" s="16">
        <v>1</v>
      </c>
      <c r="O1037" s="17">
        <v>1</v>
      </c>
      <c r="P1037" s="3" t="s">
        <v>188</v>
      </c>
      <c r="Q1037" s="20">
        <v>25427</v>
      </c>
      <c r="R1037" s="3" t="s">
        <v>4671</v>
      </c>
      <c r="AE1037" s="698"/>
      <c r="AF1037" s="655"/>
    </row>
    <row r="1038" spans="1:32" ht="12" customHeight="1">
      <c r="A1038" s="725" t="s">
        <v>15541</v>
      </c>
      <c r="B1038" s="2">
        <v>1</v>
      </c>
      <c r="C1038" s="4" t="s">
        <v>4680</v>
      </c>
      <c r="D1038" s="1" t="s">
        <v>4687</v>
      </c>
      <c r="E1038" s="6">
        <f t="shared" si="16"/>
        <v>71</v>
      </c>
      <c r="F1038" s="2" t="s">
        <v>5</v>
      </c>
      <c r="G1038" s="1" t="s">
        <v>15273</v>
      </c>
      <c r="H1038" s="3" t="s">
        <v>4688</v>
      </c>
      <c r="K1038" s="8" t="s">
        <v>16120</v>
      </c>
      <c r="L1038" s="1" t="s">
        <v>934</v>
      </c>
      <c r="M1038" s="1" t="s">
        <v>25</v>
      </c>
      <c r="N1038" s="16">
        <v>13</v>
      </c>
      <c r="O1038" s="17">
        <v>13</v>
      </c>
      <c r="P1038" s="3" t="s">
        <v>317</v>
      </c>
      <c r="Q1038" s="20">
        <v>15252</v>
      </c>
      <c r="R1038" s="3" t="s">
        <v>4690</v>
      </c>
      <c r="S1038" s="3" t="s">
        <v>4691</v>
      </c>
      <c r="T1038" s="3" t="s">
        <v>5457</v>
      </c>
      <c r="U1038" s="3" t="s">
        <v>355</v>
      </c>
      <c r="V1038" s="2" t="s">
        <v>47</v>
      </c>
      <c r="AB1038" s="2" t="s">
        <v>104</v>
      </c>
      <c r="AE1038" s="698"/>
      <c r="AF1038" s="655"/>
    </row>
    <row r="1039" spans="1:32" ht="12" customHeight="1">
      <c r="A1039" s="725" t="s">
        <v>15542</v>
      </c>
      <c r="B1039" s="2">
        <v>1</v>
      </c>
      <c r="C1039" s="4" t="s">
        <v>4703</v>
      </c>
      <c r="D1039" s="1" t="s">
        <v>4707</v>
      </c>
      <c r="E1039" s="6">
        <f t="shared" si="16"/>
        <v>62</v>
      </c>
      <c r="F1039" s="2" t="s">
        <v>5</v>
      </c>
      <c r="G1039" s="1" t="s">
        <v>15273</v>
      </c>
      <c r="H1039" s="3" t="s">
        <v>4708</v>
      </c>
      <c r="K1039" s="23" t="s">
        <v>16120</v>
      </c>
      <c r="L1039" s="1" t="s">
        <v>934</v>
      </c>
      <c r="M1039" s="1" t="s">
        <v>25</v>
      </c>
      <c r="N1039" s="16">
        <v>3</v>
      </c>
      <c r="O1039" s="17">
        <v>3</v>
      </c>
      <c r="P1039" s="3" t="s">
        <v>381</v>
      </c>
      <c r="Q1039" s="20">
        <v>18573</v>
      </c>
      <c r="R1039" s="3" t="s">
        <v>4709</v>
      </c>
      <c r="S1039" s="3" t="s">
        <v>810</v>
      </c>
      <c r="T1039" s="3" t="s">
        <v>5457</v>
      </c>
      <c r="U1039" s="3" t="s">
        <v>173</v>
      </c>
      <c r="W1039" s="2" t="s">
        <v>145</v>
      </c>
      <c r="Z1039" s="2" t="s">
        <v>155</v>
      </c>
      <c r="AE1039" s="698"/>
      <c r="AF1039" s="655"/>
    </row>
    <row r="1040" spans="1:32" ht="12" customHeight="1">
      <c r="A1040" s="725" t="s">
        <v>15543</v>
      </c>
      <c r="B1040" s="2">
        <v>1</v>
      </c>
      <c r="C1040" s="4" t="s">
        <v>4729</v>
      </c>
      <c r="D1040" s="1" t="s">
        <v>4731</v>
      </c>
      <c r="E1040" s="6">
        <f t="shared" si="16"/>
        <v>51</v>
      </c>
      <c r="F1040" s="2" t="s">
        <v>5</v>
      </c>
      <c r="G1040" s="1" t="s">
        <v>15273</v>
      </c>
      <c r="H1040" s="3" t="s">
        <v>4732</v>
      </c>
      <c r="K1040" s="8" t="s">
        <v>16120</v>
      </c>
      <c r="L1040" s="1" t="s">
        <v>934</v>
      </c>
      <c r="M1040" s="1" t="s">
        <v>25</v>
      </c>
      <c r="N1040" s="16">
        <v>4</v>
      </c>
      <c r="O1040" s="17">
        <v>4</v>
      </c>
      <c r="P1040" s="3" t="s">
        <v>188</v>
      </c>
      <c r="Q1040" s="20">
        <v>22339</v>
      </c>
      <c r="R1040" s="3" t="s">
        <v>4733</v>
      </c>
      <c r="S1040" s="3" t="s">
        <v>4734</v>
      </c>
      <c r="T1040" s="3" t="s">
        <v>5457</v>
      </c>
      <c r="AE1040" s="698"/>
      <c r="AF1040" s="655"/>
    </row>
    <row r="1041" spans="1:32" ht="12" customHeight="1">
      <c r="A1041" s="725" t="s">
        <v>15544</v>
      </c>
      <c r="B1041" s="2">
        <v>1</v>
      </c>
      <c r="C1041" s="4" t="s">
        <v>4744</v>
      </c>
      <c r="D1041" s="1" t="s">
        <v>4752</v>
      </c>
      <c r="E1041" s="6">
        <f t="shared" si="16"/>
        <v>43</v>
      </c>
      <c r="F1041" s="2" t="s">
        <v>5</v>
      </c>
      <c r="G1041" s="1" t="s">
        <v>15273</v>
      </c>
      <c r="K1041" s="4" t="s">
        <v>16120</v>
      </c>
      <c r="L1041" s="1" t="s">
        <v>48</v>
      </c>
      <c r="M1041" s="1" t="s">
        <v>6</v>
      </c>
      <c r="P1041" s="3" t="s">
        <v>4753</v>
      </c>
      <c r="Q1041" s="20">
        <v>25408</v>
      </c>
      <c r="R1041" s="3" t="s">
        <v>4754</v>
      </c>
      <c r="T1041" s="3" t="s">
        <v>5457</v>
      </c>
      <c r="AE1041" s="698"/>
      <c r="AF1041" s="655"/>
    </row>
    <row r="1042" spans="1:32" ht="12" customHeight="1">
      <c r="A1042" s="725" t="s">
        <v>15545</v>
      </c>
      <c r="B1042" s="2">
        <v>1</v>
      </c>
      <c r="C1042" s="4" t="s">
        <v>4758</v>
      </c>
      <c r="D1042" s="1" t="s">
        <v>4760</v>
      </c>
      <c r="E1042" s="6">
        <f t="shared" si="16"/>
        <v>71</v>
      </c>
      <c r="F1042" s="2" t="s">
        <v>5</v>
      </c>
      <c r="G1042" s="1" t="s">
        <v>15273</v>
      </c>
      <c r="H1042" s="3" t="s">
        <v>4761</v>
      </c>
      <c r="K1042" s="4" t="s">
        <v>16120</v>
      </c>
      <c r="L1042" s="1" t="s">
        <v>48</v>
      </c>
      <c r="M1042" s="1" t="s">
        <v>25</v>
      </c>
      <c r="N1042" s="16">
        <v>9</v>
      </c>
      <c r="O1042" s="17">
        <v>11</v>
      </c>
      <c r="P1042" s="3" t="s">
        <v>245</v>
      </c>
      <c r="Q1042" s="20">
        <v>15095</v>
      </c>
      <c r="R1042" s="3" t="s">
        <v>4762</v>
      </c>
      <c r="S1042" s="3" t="s">
        <v>4765</v>
      </c>
      <c r="T1042" s="3" t="s">
        <v>5457</v>
      </c>
      <c r="U1042" s="3" t="s">
        <v>4763</v>
      </c>
      <c r="X1042" s="2" t="s">
        <v>75</v>
      </c>
      <c r="Y1042" s="2" t="s">
        <v>229</v>
      </c>
      <c r="AE1042" s="698"/>
      <c r="AF1042" s="655"/>
    </row>
    <row r="1043" spans="1:32" ht="12" customHeight="1">
      <c r="A1043" s="725" t="s">
        <v>15546</v>
      </c>
      <c r="B1043" s="2">
        <v>1</v>
      </c>
      <c r="C1043" s="4" t="s">
        <v>4767</v>
      </c>
      <c r="D1043" s="1" t="s">
        <v>4776</v>
      </c>
      <c r="E1043" s="6">
        <f t="shared" si="16"/>
        <v>55</v>
      </c>
      <c r="F1043" s="2" t="s">
        <v>5</v>
      </c>
      <c r="G1043" s="1" t="s">
        <v>15273</v>
      </c>
      <c r="H1043" s="3" t="s">
        <v>4777</v>
      </c>
      <c r="K1043" s="8" t="s">
        <v>16120</v>
      </c>
      <c r="L1043" s="1" t="s">
        <v>445</v>
      </c>
      <c r="M1043" s="1" t="s">
        <v>25</v>
      </c>
      <c r="N1043" s="16">
        <v>5</v>
      </c>
      <c r="O1043" s="17">
        <v>5</v>
      </c>
      <c r="P1043" s="3" t="s">
        <v>188</v>
      </c>
      <c r="Q1043" s="20">
        <v>21056</v>
      </c>
      <c r="R1043" s="3" t="s">
        <v>4778</v>
      </c>
      <c r="S1043" s="3" t="s">
        <v>4779</v>
      </c>
      <c r="T1043" s="3" t="s">
        <v>5457</v>
      </c>
      <c r="U1043" s="3" t="s">
        <v>145</v>
      </c>
      <c r="W1043" s="2" t="s">
        <v>145</v>
      </c>
      <c r="AE1043" s="698"/>
      <c r="AF1043" s="655"/>
    </row>
    <row r="1044" spans="1:32" ht="12" customHeight="1">
      <c r="A1044" s="725" t="s">
        <v>15547</v>
      </c>
      <c r="B1044" s="2">
        <v>1</v>
      </c>
      <c r="C1044" s="4" t="s">
        <v>4785</v>
      </c>
      <c r="D1044" s="1" t="s">
        <v>4792</v>
      </c>
      <c r="E1044" s="6">
        <f t="shared" si="16"/>
        <v>37</v>
      </c>
      <c r="F1044" s="2" t="s">
        <v>5</v>
      </c>
      <c r="G1044" s="1" t="s">
        <v>15273</v>
      </c>
      <c r="K1044" s="23" t="s">
        <v>16120</v>
      </c>
      <c r="L1044" s="1" t="s">
        <v>30</v>
      </c>
      <c r="M1044" s="1" t="s">
        <v>6</v>
      </c>
      <c r="P1044" s="3" t="s">
        <v>245</v>
      </c>
      <c r="Q1044" s="20">
        <v>27482</v>
      </c>
      <c r="R1044" s="3" t="s">
        <v>4793</v>
      </c>
      <c r="U1044" s="3" t="s">
        <v>145</v>
      </c>
      <c r="W1044" s="2" t="s">
        <v>145</v>
      </c>
      <c r="AE1044" s="698"/>
      <c r="AF1044" s="655"/>
    </row>
    <row r="1045" spans="1:32" ht="12" customHeight="1">
      <c r="A1045" s="725" t="s">
        <v>15548</v>
      </c>
      <c r="B1045" s="2">
        <v>1</v>
      </c>
      <c r="C1045" s="4" t="s">
        <v>4806</v>
      </c>
      <c r="D1045" s="1" t="s">
        <v>4811</v>
      </c>
      <c r="E1045" s="6">
        <f t="shared" si="16"/>
        <v>52</v>
      </c>
      <c r="F1045" s="2" t="s">
        <v>5</v>
      </c>
      <c r="G1045" s="1" t="s">
        <v>15273</v>
      </c>
      <c r="H1045" s="3" t="s">
        <v>4812</v>
      </c>
      <c r="K1045" s="8" t="s">
        <v>16120</v>
      </c>
      <c r="L1045" s="1" t="s">
        <v>30</v>
      </c>
      <c r="M1045" s="1" t="s">
        <v>25</v>
      </c>
      <c r="N1045" s="16">
        <v>3</v>
      </c>
      <c r="O1045" s="17">
        <v>3</v>
      </c>
      <c r="P1045" s="3" t="s">
        <v>1742</v>
      </c>
      <c r="Q1045" s="20">
        <v>22098</v>
      </c>
      <c r="R1045" s="3" t="s">
        <v>4813</v>
      </c>
      <c r="S1045" s="3" t="s">
        <v>347</v>
      </c>
      <c r="T1045" s="3" t="s">
        <v>5457</v>
      </c>
      <c r="U1045" s="3" t="s">
        <v>104</v>
      </c>
      <c r="AB1045" s="2" t="s">
        <v>104</v>
      </c>
      <c r="AE1045" s="698"/>
      <c r="AF1045" s="655"/>
    </row>
    <row r="1046" spans="1:32" ht="12" customHeight="1">
      <c r="A1046" s="725" t="s">
        <v>15549</v>
      </c>
      <c r="B1046" s="2">
        <v>1</v>
      </c>
      <c r="C1046" s="4" t="s">
        <v>4815</v>
      </c>
      <c r="D1046" s="1" t="s">
        <v>4816</v>
      </c>
      <c r="E1046" s="6">
        <f t="shared" si="16"/>
        <v>47</v>
      </c>
      <c r="F1046" s="2" t="s">
        <v>5</v>
      </c>
      <c r="G1046" s="1" t="s">
        <v>15273</v>
      </c>
      <c r="H1046" s="3" t="s">
        <v>4817</v>
      </c>
      <c r="K1046" s="4" t="s">
        <v>16120</v>
      </c>
      <c r="L1046" s="1" t="s">
        <v>30</v>
      </c>
      <c r="M1046" s="1" t="s">
        <v>25</v>
      </c>
      <c r="N1046" s="16">
        <v>3</v>
      </c>
      <c r="O1046" s="17">
        <v>3</v>
      </c>
      <c r="P1046" s="3" t="s">
        <v>317</v>
      </c>
      <c r="Q1046" s="20">
        <v>23957</v>
      </c>
      <c r="R1046" s="3" t="s">
        <v>4818</v>
      </c>
      <c r="S1046" s="3" t="s">
        <v>4819</v>
      </c>
      <c r="T1046" s="3" t="s">
        <v>5457</v>
      </c>
      <c r="U1046" s="3" t="s">
        <v>47</v>
      </c>
      <c r="V1046" s="2" t="s">
        <v>47</v>
      </c>
      <c r="AE1046" s="698"/>
      <c r="AF1046" s="655"/>
    </row>
    <row r="1047" spans="1:32" ht="12" customHeight="1">
      <c r="A1047" s="725" t="s">
        <v>15550</v>
      </c>
      <c r="B1047" s="2">
        <v>1</v>
      </c>
      <c r="C1047" s="4" t="s">
        <v>4838</v>
      </c>
      <c r="D1047" s="1" t="s">
        <v>4845</v>
      </c>
      <c r="E1047" s="6">
        <f t="shared" si="16"/>
        <v>41</v>
      </c>
      <c r="F1047" s="2" t="s">
        <v>5</v>
      </c>
      <c r="G1047" s="1" t="s">
        <v>15273</v>
      </c>
      <c r="H1047" s="3" t="s">
        <v>4846</v>
      </c>
      <c r="K1047" s="4" t="s">
        <v>16120</v>
      </c>
      <c r="L1047" s="1" t="s">
        <v>30</v>
      </c>
      <c r="M1047" s="1" t="s">
        <v>25</v>
      </c>
      <c r="N1047" s="16">
        <v>2</v>
      </c>
      <c r="O1047" s="17">
        <v>2</v>
      </c>
      <c r="P1047" s="3" t="s">
        <v>4847</v>
      </c>
      <c r="Q1047" s="20">
        <v>26083</v>
      </c>
      <c r="R1047" s="3" t="s">
        <v>4848</v>
      </c>
      <c r="S1047" s="3" t="s">
        <v>4849</v>
      </c>
      <c r="T1047" s="3" t="s">
        <v>5457</v>
      </c>
      <c r="U1047" s="3" t="s">
        <v>104</v>
      </c>
      <c r="AB1047" s="2" t="s">
        <v>104</v>
      </c>
      <c r="AE1047" s="698"/>
      <c r="AF1047" s="655"/>
    </row>
    <row r="1048" spans="1:32" ht="12" customHeight="1">
      <c r="A1048" s="725" t="s">
        <v>15551</v>
      </c>
      <c r="B1048" s="2">
        <v>1</v>
      </c>
      <c r="C1048" s="4" t="s">
        <v>4850</v>
      </c>
      <c r="D1048" s="1" t="s">
        <v>4855</v>
      </c>
      <c r="E1048" s="6">
        <f t="shared" si="16"/>
        <v>72</v>
      </c>
      <c r="F1048" s="2" t="s">
        <v>5</v>
      </c>
      <c r="G1048" s="1" t="s">
        <v>15273</v>
      </c>
      <c r="H1048" s="3" t="s">
        <v>4856</v>
      </c>
      <c r="K1048" s="8" t="s">
        <v>16120</v>
      </c>
      <c r="L1048" s="1" t="s">
        <v>48</v>
      </c>
      <c r="M1048" s="1" t="s">
        <v>25</v>
      </c>
      <c r="N1048" s="16">
        <v>7</v>
      </c>
      <c r="O1048" s="17">
        <v>7</v>
      </c>
      <c r="P1048" s="3" t="s">
        <v>317</v>
      </c>
      <c r="Q1048" s="20">
        <v>14944</v>
      </c>
      <c r="R1048" s="3" t="s">
        <v>4857</v>
      </c>
      <c r="S1048" s="3" t="s">
        <v>4858</v>
      </c>
      <c r="T1048" s="3" t="s">
        <v>5457</v>
      </c>
      <c r="U1048" s="3" t="s">
        <v>47</v>
      </c>
      <c r="V1048" s="2" t="s">
        <v>47</v>
      </c>
      <c r="AE1048" s="698"/>
      <c r="AF1048" s="655"/>
    </row>
    <row r="1049" spans="1:32" ht="12" customHeight="1">
      <c r="A1049" s="725" t="s">
        <v>15552</v>
      </c>
      <c r="B1049" s="2">
        <v>1</v>
      </c>
      <c r="C1049" s="4" t="s">
        <v>4869</v>
      </c>
      <c r="D1049" s="1" t="s">
        <v>4874</v>
      </c>
      <c r="E1049" s="6">
        <f t="shared" si="16"/>
        <v>54</v>
      </c>
      <c r="F1049" s="2" t="s">
        <v>5</v>
      </c>
      <c r="G1049" s="1" t="s">
        <v>15273</v>
      </c>
      <c r="H1049" s="3" t="s">
        <v>4867</v>
      </c>
      <c r="K1049" s="23" t="s">
        <v>16120</v>
      </c>
      <c r="L1049" s="1" t="s">
        <v>30</v>
      </c>
      <c r="M1049" s="1" t="s">
        <v>25</v>
      </c>
      <c r="N1049" s="16">
        <v>2</v>
      </c>
      <c r="O1049" s="17">
        <v>2</v>
      </c>
      <c r="P1049" s="3" t="s">
        <v>31</v>
      </c>
      <c r="Q1049" s="20">
        <v>21457</v>
      </c>
      <c r="R1049" s="3" t="s">
        <v>4875</v>
      </c>
      <c r="T1049" s="3" t="s">
        <v>5457</v>
      </c>
      <c r="U1049" s="3" t="s">
        <v>104</v>
      </c>
      <c r="AB1049" s="2" t="s">
        <v>104</v>
      </c>
      <c r="AE1049" s="698"/>
      <c r="AF1049" s="655"/>
    </row>
    <row r="1050" spans="1:32" ht="12" customHeight="1">
      <c r="A1050" s="725" t="s">
        <v>15553</v>
      </c>
      <c r="B1050" s="2">
        <v>1</v>
      </c>
      <c r="C1050" s="4" t="s">
        <v>4879</v>
      </c>
      <c r="D1050" s="1" t="s">
        <v>4883</v>
      </c>
      <c r="E1050" s="6">
        <f t="shared" si="16"/>
        <v>67</v>
      </c>
      <c r="F1050" s="2" t="s">
        <v>5</v>
      </c>
      <c r="G1050" s="1" t="s">
        <v>15273</v>
      </c>
      <c r="H1050" s="3" t="s">
        <v>4884</v>
      </c>
      <c r="K1050" s="8" t="s">
        <v>16120</v>
      </c>
      <c r="L1050" s="1" t="s">
        <v>934</v>
      </c>
      <c r="M1050" s="1" t="s">
        <v>25</v>
      </c>
      <c r="N1050" s="16">
        <v>3</v>
      </c>
      <c r="O1050" s="17">
        <v>5</v>
      </c>
      <c r="P1050" s="3" t="s">
        <v>4885</v>
      </c>
      <c r="Q1050" s="20">
        <v>16535</v>
      </c>
      <c r="R1050" s="3" t="s">
        <v>4886</v>
      </c>
      <c r="S1050" s="3" t="s">
        <v>4887</v>
      </c>
      <c r="T1050" s="3" t="s">
        <v>5457</v>
      </c>
      <c r="U1050" s="3" t="s">
        <v>375</v>
      </c>
      <c r="W1050" s="2" t="s">
        <v>145</v>
      </c>
      <c r="Y1050" s="2" t="s">
        <v>229</v>
      </c>
      <c r="AE1050" s="698"/>
      <c r="AF1050" s="655"/>
    </row>
    <row r="1051" spans="1:32" ht="12" customHeight="1">
      <c r="A1051" s="725" t="s">
        <v>15554</v>
      </c>
      <c r="B1051" s="2">
        <v>1</v>
      </c>
      <c r="C1051" s="4" t="s">
        <v>4889</v>
      </c>
      <c r="D1051" s="1" t="s">
        <v>4892</v>
      </c>
      <c r="E1051" s="6">
        <f t="shared" si="16"/>
        <v>39</v>
      </c>
      <c r="F1051" s="2" t="s">
        <v>5</v>
      </c>
      <c r="G1051" s="1" t="s">
        <v>15273</v>
      </c>
      <c r="K1051" s="4" t="s">
        <v>16120</v>
      </c>
      <c r="L1051" s="1" t="s">
        <v>30</v>
      </c>
      <c r="M1051" s="1" t="s">
        <v>6</v>
      </c>
      <c r="P1051" s="3" t="s">
        <v>188</v>
      </c>
      <c r="Q1051" s="20">
        <v>26674</v>
      </c>
      <c r="R1051" s="3" t="s">
        <v>4893</v>
      </c>
      <c r="T1051" s="3" t="s">
        <v>5457</v>
      </c>
      <c r="U1051" s="3" t="s">
        <v>104</v>
      </c>
      <c r="AB1051" s="2" t="s">
        <v>104</v>
      </c>
      <c r="AE1051" s="698"/>
      <c r="AF1051" s="655"/>
    </row>
    <row r="1052" spans="1:32" ht="12" customHeight="1">
      <c r="A1052" s="725" t="s">
        <v>15555</v>
      </c>
      <c r="B1052" s="2">
        <v>1</v>
      </c>
      <c r="C1052" s="4" t="s">
        <v>4903</v>
      </c>
      <c r="D1052" s="1" t="s">
        <v>4905</v>
      </c>
      <c r="E1052" s="6">
        <f t="shared" si="16"/>
        <v>47</v>
      </c>
      <c r="F1052" s="2" t="s">
        <v>5</v>
      </c>
      <c r="G1052" s="1" t="s">
        <v>15273</v>
      </c>
      <c r="K1052" s="4" t="s">
        <v>16120</v>
      </c>
      <c r="L1052" s="1" t="s">
        <v>30</v>
      </c>
      <c r="M1052" s="1" t="s">
        <v>6</v>
      </c>
      <c r="P1052" s="3" t="s">
        <v>557</v>
      </c>
      <c r="Q1052" s="20">
        <v>23962</v>
      </c>
      <c r="R1052" s="3" t="s">
        <v>4906</v>
      </c>
      <c r="T1052" s="3" t="s">
        <v>5457</v>
      </c>
      <c r="U1052" s="3" t="s">
        <v>147</v>
      </c>
      <c r="AC1052" s="2" t="s">
        <v>147</v>
      </c>
      <c r="AE1052" s="698"/>
      <c r="AF1052" s="655"/>
    </row>
    <row r="1053" spans="1:32" ht="12" customHeight="1">
      <c r="A1053" s="725" t="s">
        <v>15556</v>
      </c>
      <c r="B1053" s="2">
        <v>1</v>
      </c>
      <c r="C1053" s="4" t="s">
        <v>4913</v>
      </c>
      <c r="D1053" s="1" t="s">
        <v>4917</v>
      </c>
      <c r="E1053" s="6">
        <f t="shared" si="16"/>
        <v>54</v>
      </c>
      <c r="F1053" s="2" t="s">
        <v>19</v>
      </c>
      <c r="G1053" s="1" t="s">
        <v>15273</v>
      </c>
      <c r="K1053" s="8" t="s">
        <v>16120</v>
      </c>
      <c r="L1053" s="1" t="s">
        <v>30</v>
      </c>
      <c r="M1053" s="1" t="s">
        <v>6</v>
      </c>
      <c r="P1053" s="3" t="s">
        <v>4918</v>
      </c>
      <c r="Q1053" s="20">
        <v>21461</v>
      </c>
      <c r="R1053" s="3" t="s">
        <v>4919</v>
      </c>
      <c r="T1053" s="3" t="s">
        <v>5457</v>
      </c>
      <c r="AE1053" s="698"/>
      <c r="AF1053" s="655"/>
    </row>
    <row r="1054" spans="1:32" ht="12" customHeight="1">
      <c r="A1054" s="725" t="s">
        <v>15557</v>
      </c>
      <c r="B1054" s="2">
        <v>1</v>
      </c>
      <c r="C1054" s="4" t="s">
        <v>4928</v>
      </c>
      <c r="D1054" s="1" t="s">
        <v>4934</v>
      </c>
      <c r="E1054" s="6">
        <f t="shared" si="16"/>
        <v>58</v>
      </c>
      <c r="F1054" s="2" t="s">
        <v>5</v>
      </c>
      <c r="G1054" s="1" t="s">
        <v>15273</v>
      </c>
      <c r="K1054" s="4" t="s">
        <v>16120</v>
      </c>
      <c r="L1054" s="1" t="s">
        <v>13</v>
      </c>
      <c r="M1054" s="1" t="s">
        <v>14</v>
      </c>
      <c r="N1054" s="16">
        <v>2</v>
      </c>
      <c r="O1054" s="17">
        <v>2</v>
      </c>
      <c r="P1054" s="3" t="s">
        <v>450</v>
      </c>
      <c r="Q1054" s="20">
        <v>19943</v>
      </c>
      <c r="R1054" s="3" t="s">
        <v>4938</v>
      </c>
      <c r="S1054" s="3" t="s">
        <v>809</v>
      </c>
      <c r="T1054" s="3" t="s">
        <v>5457</v>
      </c>
      <c r="U1054" s="3" t="s">
        <v>572</v>
      </c>
      <c r="W1054" s="2" t="s">
        <v>145</v>
      </c>
      <c r="AB1054" s="2" t="s">
        <v>104</v>
      </c>
      <c r="AE1054" s="698"/>
      <c r="AF1054" s="655"/>
    </row>
    <row r="1055" spans="1:32" ht="12" customHeight="1">
      <c r="A1055" s="725" t="s">
        <v>15558</v>
      </c>
      <c r="B1055" s="2">
        <v>34</v>
      </c>
      <c r="C1055" s="4"/>
      <c r="D1055" s="1" t="s">
        <v>15949</v>
      </c>
      <c r="E1055" s="6">
        <f t="shared" si="16"/>
        <v>67</v>
      </c>
      <c r="F1055" s="2" t="s">
        <v>19</v>
      </c>
      <c r="G1055" s="5" t="s">
        <v>6067</v>
      </c>
      <c r="K1055" s="23" t="s">
        <v>16120</v>
      </c>
      <c r="L1055" s="1" t="s">
        <v>65</v>
      </c>
      <c r="M1055" s="1" t="s">
        <v>14</v>
      </c>
      <c r="N1055" s="16">
        <v>3</v>
      </c>
      <c r="O1055" s="17">
        <v>3</v>
      </c>
      <c r="P1055" s="3" t="s">
        <v>188</v>
      </c>
      <c r="Q1055" s="20">
        <v>16712</v>
      </c>
      <c r="R1055" s="3" t="s">
        <v>15950</v>
      </c>
      <c r="S1055" s="3" t="s">
        <v>15951</v>
      </c>
      <c r="AE1055" s="698"/>
      <c r="AF1055" s="655"/>
    </row>
    <row r="1056" spans="1:32" ht="12" customHeight="1">
      <c r="A1056" s="725" t="s">
        <v>15559</v>
      </c>
      <c r="B1056" s="2">
        <v>35</v>
      </c>
      <c r="C1056" s="2"/>
      <c r="D1056" s="2" t="s">
        <v>4946</v>
      </c>
      <c r="E1056" s="6">
        <f t="shared" si="16"/>
        <v>68</v>
      </c>
      <c r="F1056" s="2" t="s">
        <v>5</v>
      </c>
      <c r="G1056" s="2" t="s">
        <v>6067</v>
      </c>
      <c r="H1056" s="22"/>
      <c r="I1056" s="2"/>
      <c r="J1056" s="2"/>
      <c r="K1056" s="8" t="s">
        <v>16120</v>
      </c>
      <c r="L1056" s="2" t="s">
        <v>4947</v>
      </c>
      <c r="M1056" s="2" t="s">
        <v>14</v>
      </c>
      <c r="N1056" s="24">
        <v>4</v>
      </c>
      <c r="O1056" s="25">
        <v>4</v>
      </c>
      <c r="P1056" s="22" t="s">
        <v>4948</v>
      </c>
      <c r="Q1056" s="21">
        <v>16166</v>
      </c>
      <c r="R1056" s="22" t="s">
        <v>4949</v>
      </c>
      <c r="S1056" s="22" t="s">
        <v>4951</v>
      </c>
      <c r="T1056" s="22"/>
      <c r="U1056" s="22" t="s">
        <v>4950</v>
      </c>
      <c r="V1056" s="2" t="s">
        <v>47</v>
      </c>
      <c r="AE1056" s="698"/>
      <c r="AF1056" s="655"/>
    </row>
    <row r="1057" spans="1:32" ht="12" customHeight="1">
      <c r="A1057" s="725" t="s">
        <v>15560</v>
      </c>
      <c r="B1057" s="2">
        <v>36</v>
      </c>
      <c r="C1057" s="2"/>
      <c r="D1057" s="2" t="s">
        <v>5963</v>
      </c>
      <c r="E1057" s="6">
        <f t="shared" si="16"/>
        <v>44</v>
      </c>
      <c r="F1057" s="2" t="s">
        <v>5</v>
      </c>
      <c r="G1057" s="2" t="s">
        <v>6067</v>
      </c>
      <c r="H1057" s="22"/>
      <c r="I1057" s="2"/>
      <c r="J1057" s="2"/>
      <c r="K1057" s="4" t="s">
        <v>16120</v>
      </c>
      <c r="L1057" s="2" t="s">
        <v>5964</v>
      </c>
      <c r="M1057" s="2" t="s">
        <v>6</v>
      </c>
      <c r="N1057" s="24"/>
      <c r="O1057" s="25"/>
      <c r="P1057" s="22" t="s">
        <v>5965</v>
      </c>
      <c r="Q1057" s="21">
        <v>25072</v>
      </c>
      <c r="R1057" s="22" t="s">
        <v>5966</v>
      </c>
      <c r="S1057" s="22"/>
      <c r="T1057" s="22"/>
      <c r="U1057" s="22"/>
      <c r="AE1057" s="698"/>
      <c r="AF1057" s="655"/>
    </row>
    <row r="1058" spans="1:32" ht="12" customHeight="1">
      <c r="A1058" s="725" t="s">
        <v>15561</v>
      </c>
      <c r="B1058" s="2">
        <v>37</v>
      </c>
      <c r="C1058" s="2"/>
      <c r="D1058" s="2" t="s">
        <v>6122</v>
      </c>
      <c r="E1058" s="6">
        <f t="shared" si="16"/>
        <v>66</v>
      </c>
      <c r="F1058" s="2" t="s">
        <v>5</v>
      </c>
      <c r="G1058" s="2" t="s">
        <v>6067</v>
      </c>
      <c r="H1058" s="22"/>
      <c r="I1058" s="2"/>
      <c r="J1058" s="2"/>
      <c r="K1058" s="23" t="s">
        <v>16120</v>
      </c>
      <c r="L1058" s="2" t="s">
        <v>5247</v>
      </c>
      <c r="M1058" s="2" t="s">
        <v>6</v>
      </c>
      <c r="N1058" s="24"/>
      <c r="O1058" s="25"/>
      <c r="P1058" s="22" t="s">
        <v>6123</v>
      </c>
      <c r="Q1058" s="21">
        <v>17018</v>
      </c>
      <c r="R1058" s="22" t="s">
        <v>6124</v>
      </c>
      <c r="S1058" s="22"/>
      <c r="T1058" s="22"/>
      <c r="U1058" s="22" t="s">
        <v>6044</v>
      </c>
      <c r="W1058" s="2" t="s">
        <v>6044</v>
      </c>
      <c r="AE1058" s="698"/>
      <c r="AF1058" s="655"/>
    </row>
    <row r="1059" spans="1:32" ht="12" customHeight="1">
      <c r="A1059" s="725" t="s">
        <v>15562</v>
      </c>
      <c r="B1059" s="2">
        <v>38</v>
      </c>
      <c r="C1059" s="2"/>
      <c r="D1059" s="2" t="s">
        <v>6125</v>
      </c>
      <c r="E1059" s="6">
        <f t="shared" si="16"/>
        <v>63</v>
      </c>
      <c r="F1059" s="2" t="s">
        <v>5</v>
      </c>
      <c r="G1059" s="2" t="s">
        <v>6067</v>
      </c>
      <c r="H1059" s="22"/>
      <c r="I1059" s="2"/>
      <c r="J1059" s="2"/>
      <c r="K1059" s="23" t="s">
        <v>16120</v>
      </c>
      <c r="L1059" s="2" t="s">
        <v>5247</v>
      </c>
      <c r="M1059" s="2" t="s">
        <v>6</v>
      </c>
      <c r="N1059" s="24"/>
      <c r="O1059" s="25"/>
      <c r="P1059" s="22" t="s">
        <v>6078</v>
      </c>
      <c r="Q1059" s="21">
        <v>18125</v>
      </c>
      <c r="R1059" s="22" t="s">
        <v>6126</v>
      </c>
      <c r="S1059" s="22"/>
      <c r="T1059" s="22"/>
      <c r="U1059" s="22"/>
      <c r="AE1059" s="698"/>
      <c r="AF1059" s="655"/>
    </row>
    <row r="1060" spans="1:32" ht="12" customHeight="1">
      <c r="A1060" s="725" t="s">
        <v>15563</v>
      </c>
      <c r="B1060" s="2">
        <v>39</v>
      </c>
      <c r="C1060" s="2"/>
      <c r="D1060" s="2" t="s">
        <v>6127</v>
      </c>
      <c r="E1060" s="6">
        <f t="shared" si="16"/>
        <v>63</v>
      </c>
      <c r="F1060" s="2" t="s">
        <v>5</v>
      </c>
      <c r="G1060" s="2" t="s">
        <v>6067</v>
      </c>
      <c r="H1060" s="22"/>
      <c r="I1060" s="2"/>
      <c r="J1060" s="2"/>
      <c r="K1060" s="23" t="s">
        <v>16120</v>
      </c>
      <c r="L1060" s="2" t="s">
        <v>5247</v>
      </c>
      <c r="M1060" s="2" t="s">
        <v>6</v>
      </c>
      <c r="N1060" s="24"/>
      <c r="O1060" s="25"/>
      <c r="P1060" s="22" t="s">
        <v>6128</v>
      </c>
      <c r="Q1060" s="21">
        <v>18207</v>
      </c>
      <c r="R1060" s="22" t="s">
        <v>6129</v>
      </c>
      <c r="S1060" s="22"/>
      <c r="T1060" s="22"/>
      <c r="U1060" s="22"/>
      <c r="AE1060" s="698"/>
      <c r="AF1060" s="655"/>
    </row>
    <row r="1061" spans="1:32" ht="12" customHeight="1">
      <c r="A1061" s="725" t="s">
        <v>15564</v>
      </c>
      <c r="B1061" s="2">
        <v>40</v>
      </c>
      <c r="C1061" s="2"/>
      <c r="D1061" s="2" t="s">
        <v>6130</v>
      </c>
      <c r="E1061" s="6">
        <f t="shared" si="16"/>
        <v>60</v>
      </c>
      <c r="F1061" s="2" t="s">
        <v>5</v>
      </c>
      <c r="G1061" s="2" t="s">
        <v>6067</v>
      </c>
      <c r="H1061" s="22"/>
      <c r="I1061" s="2"/>
      <c r="J1061" s="2"/>
      <c r="K1061" s="23" t="s">
        <v>16120</v>
      </c>
      <c r="L1061" s="2" t="s">
        <v>5247</v>
      </c>
      <c r="M1061" s="2" t="s">
        <v>6</v>
      </c>
      <c r="N1061" s="24"/>
      <c r="O1061" s="25"/>
      <c r="P1061" s="22" t="s">
        <v>31</v>
      </c>
      <c r="Q1061" s="21">
        <v>19226</v>
      </c>
      <c r="R1061" s="22" t="s">
        <v>6131</v>
      </c>
      <c r="S1061" s="22"/>
      <c r="T1061" s="22"/>
      <c r="U1061" s="22"/>
      <c r="AE1061" s="698"/>
      <c r="AF1061" s="655"/>
    </row>
    <row r="1062" spans="1:32" ht="12" customHeight="1" thickBot="1">
      <c r="A1062" s="726" t="s">
        <v>15565</v>
      </c>
      <c r="B1062" s="702">
        <v>41</v>
      </c>
      <c r="C1062" s="702"/>
      <c r="D1062" s="702" t="s">
        <v>6132</v>
      </c>
      <c r="E1062" s="701">
        <f t="shared" si="16"/>
        <v>30</v>
      </c>
      <c r="F1062" s="702" t="s">
        <v>5</v>
      </c>
      <c r="G1062" s="702" t="s">
        <v>6067</v>
      </c>
      <c r="H1062" s="720"/>
      <c r="I1062" s="702"/>
      <c r="J1062" s="702"/>
      <c r="K1062" s="770" t="s">
        <v>16120</v>
      </c>
      <c r="L1062" s="702" t="s">
        <v>5247</v>
      </c>
      <c r="M1062" s="702" t="s">
        <v>6</v>
      </c>
      <c r="N1062" s="721"/>
      <c r="O1062" s="722"/>
      <c r="P1062" s="720" t="s">
        <v>3772</v>
      </c>
      <c r="Q1062" s="723">
        <v>29983</v>
      </c>
      <c r="R1062" s="720" t="s">
        <v>16591</v>
      </c>
      <c r="S1062" s="720"/>
      <c r="T1062" s="720"/>
      <c r="U1062" s="720"/>
      <c r="V1062" s="702"/>
      <c r="W1062" s="702"/>
      <c r="X1062" s="702"/>
      <c r="Y1062" s="702"/>
      <c r="Z1062" s="702"/>
      <c r="AA1062" s="702"/>
      <c r="AB1062" s="702"/>
      <c r="AC1062" s="702"/>
      <c r="AD1062" s="702"/>
      <c r="AE1062" s="708"/>
      <c r="AF1062" s="655"/>
    </row>
    <row r="1063" spans="1:32" ht="12" customHeight="1">
      <c r="A1063" s="780" t="s">
        <v>16592</v>
      </c>
      <c r="B1063" s="696">
        <v>1</v>
      </c>
      <c r="C1063" s="688" t="s">
        <v>4334</v>
      </c>
      <c r="D1063" s="687" t="s">
        <v>4343</v>
      </c>
      <c r="E1063" s="690">
        <f t="shared" si="16"/>
        <v>59</v>
      </c>
      <c r="F1063" s="696" t="s">
        <v>5</v>
      </c>
      <c r="G1063" s="687" t="s">
        <v>15273</v>
      </c>
      <c r="H1063" s="747" t="s">
        <v>4344</v>
      </c>
      <c r="I1063" s="687"/>
      <c r="J1063" s="687"/>
      <c r="K1063" s="688" t="s">
        <v>16125</v>
      </c>
      <c r="L1063" s="687"/>
      <c r="M1063" s="687" t="s">
        <v>25</v>
      </c>
      <c r="N1063" s="748">
        <v>2</v>
      </c>
      <c r="O1063" s="749">
        <v>2</v>
      </c>
      <c r="P1063" s="747" t="s">
        <v>317</v>
      </c>
      <c r="Q1063" s="773">
        <v>19474</v>
      </c>
      <c r="R1063" s="747" t="s">
        <v>4347</v>
      </c>
      <c r="S1063" s="747"/>
      <c r="T1063" s="747" t="s">
        <v>5561</v>
      </c>
      <c r="U1063" s="747" t="s">
        <v>145</v>
      </c>
      <c r="V1063" s="696"/>
      <c r="W1063" s="696" t="s">
        <v>145</v>
      </c>
      <c r="X1063" s="696"/>
      <c r="Y1063" s="696"/>
      <c r="Z1063" s="696"/>
      <c r="AA1063" s="696"/>
      <c r="AB1063" s="696"/>
      <c r="AC1063" s="696"/>
      <c r="AD1063" s="696"/>
      <c r="AE1063" s="697"/>
      <c r="AF1063" s="655"/>
    </row>
    <row r="1064" spans="1:32" ht="12" customHeight="1">
      <c r="A1064" s="790" t="s">
        <v>16593</v>
      </c>
      <c r="B1064" s="2">
        <v>1</v>
      </c>
      <c r="C1064" s="4" t="s">
        <v>4536</v>
      </c>
      <c r="D1064" s="1" t="s">
        <v>4538</v>
      </c>
      <c r="E1064" s="6">
        <f t="shared" si="16"/>
        <v>70</v>
      </c>
      <c r="F1064" s="2" t="s">
        <v>5</v>
      </c>
      <c r="G1064" s="1" t="s">
        <v>15273</v>
      </c>
      <c r="H1064" s="3" t="s">
        <v>4539</v>
      </c>
      <c r="K1064" s="4" t="s">
        <v>16125</v>
      </c>
      <c r="M1064" s="1" t="s">
        <v>25</v>
      </c>
      <c r="N1064" s="16">
        <v>5</v>
      </c>
      <c r="O1064" s="17">
        <v>5</v>
      </c>
      <c r="P1064" s="3" t="s">
        <v>188</v>
      </c>
      <c r="Q1064" s="20">
        <v>15439</v>
      </c>
      <c r="R1064" s="3" t="s">
        <v>4540</v>
      </c>
      <c r="S1064" s="3" t="s">
        <v>16689</v>
      </c>
      <c r="T1064" s="3" t="s">
        <v>5561</v>
      </c>
      <c r="U1064" s="3" t="s">
        <v>147</v>
      </c>
      <c r="AC1064" s="2" t="s">
        <v>147</v>
      </c>
      <c r="AE1064" s="698"/>
      <c r="AF1064" s="655"/>
    </row>
    <row r="1065" spans="1:32" ht="12" customHeight="1">
      <c r="A1065" s="790" t="s">
        <v>16594</v>
      </c>
      <c r="B1065" s="2">
        <v>1</v>
      </c>
      <c r="C1065" s="4" t="s">
        <v>4681</v>
      </c>
      <c r="D1065" s="1" t="s">
        <v>4692</v>
      </c>
      <c r="E1065" s="6">
        <f t="shared" si="16"/>
        <v>46</v>
      </c>
      <c r="F1065" s="2" t="s">
        <v>5</v>
      </c>
      <c r="G1065" s="1" t="s">
        <v>15273</v>
      </c>
      <c r="H1065" s="3" t="s">
        <v>4693</v>
      </c>
      <c r="K1065" s="4" t="s">
        <v>16125</v>
      </c>
      <c r="M1065" s="1" t="s">
        <v>25</v>
      </c>
      <c r="N1065" s="16">
        <v>1</v>
      </c>
      <c r="O1065" s="17">
        <v>1</v>
      </c>
      <c r="P1065" s="3" t="s">
        <v>31</v>
      </c>
      <c r="Q1065" s="20">
        <v>24219</v>
      </c>
      <c r="R1065" s="3" t="s">
        <v>4694</v>
      </c>
      <c r="T1065" s="3" t="s">
        <v>5561</v>
      </c>
      <c r="AE1065" s="698"/>
      <c r="AF1065" s="655"/>
    </row>
    <row r="1066" spans="1:32" ht="12" customHeight="1">
      <c r="A1066" s="790" t="s">
        <v>16595</v>
      </c>
      <c r="B1066" s="2">
        <v>1</v>
      </c>
      <c r="C1066" s="4" t="s">
        <v>4786</v>
      </c>
      <c r="D1066" s="1" t="s">
        <v>4800</v>
      </c>
      <c r="E1066" s="6">
        <f t="shared" si="16"/>
        <v>36</v>
      </c>
      <c r="F1066" s="2" t="s">
        <v>5</v>
      </c>
      <c r="G1066" s="1" t="s">
        <v>15273</v>
      </c>
      <c r="H1066" s="3" t="s">
        <v>4801</v>
      </c>
      <c r="I1066" s="1" t="s">
        <v>373</v>
      </c>
      <c r="K1066" s="4" t="s">
        <v>16125</v>
      </c>
      <c r="M1066" s="1" t="s">
        <v>6</v>
      </c>
      <c r="O1066" s="17">
        <v>2</v>
      </c>
      <c r="P1066" s="3" t="s">
        <v>4803</v>
      </c>
      <c r="Q1066" s="20">
        <v>27873</v>
      </c>
      <c r="R1066" s="3" t="s">
        <v>4804</v>
      </c>
      <c r="T1066" s="3" t="s">
        <v>5561</v>
      </c>
      <c r="AE1066" s="698"/>
      <c r="AF1066" s="655"/>
    </row>
    <row r="1067" spans="1:32" ht="12" customHeight="1">
      <c r="A1067" s="790" t="s">
        <v>16596</v>
      </c>
      <c r="B1067" s="2">
        <v>1</v>
      </c>
      <c r="C1067" s="4" t="s">
        <v>4914</v>
      </c>
      <c r="D1067" s="1" t="s">
        <v>4920</v>
      </c>
      <c r="E1067" s="6">
        <f t="shared" si="16"/>
        <v>53</v>
      </c>
      <c r="F1067" s="2" t="s">
        <v>5</v>
      </c>
      <c r="G1067" s="1" t="s">
        <v>15273</v>
      </c>
      <c r="H1067" s="3" t="s">
        <v>4921</v>
      </c>
      <c r="K1067" s="4" t="s">
        <v>16125</v>
      </c>
      <c r="M1067" s="1" t="s">
        <v>25</v>
      </c>
      <c r="N1067" s="16">
        <v>1</v>
      </c>
      <c r="O1067" s="17">
        <v>1</v>
      </c>
      <c r="P1067" s="3" t="s">
        <v>4922</v>
      </c>
      <c r="Q1067" s="20">
        <v>21836</v>
      </c>
      <c r="R1067" s="3" t="s">
        <v>4923</v>
      </c>
      <c r="T1067" s="3" t="s">
        <v>16653</v>
      </c>
      <c r="U1067" s="3" t="s">
        <v>149</v>
      </c>
      <c r="W1067" s="2" t="s">
        <v>145</v>
      </c>
      <c r="AA1067" s="2" t="s">
        <v>85</v>
      </c>
      <c r="AE1067" s="698"/>
      <c r="AF1067" s="655"/>
    </row>
    <row r="1068" spans="1:32" ht="12" customHeight="1">
      <c r="A1068" s="790" t="s">
        <v>16597</v>
      </c>
      <c r="B1068" s="2">
        <v>6</v>
      </c>
      <c r="C1068" s="4" t="s">
        <v>4307</v>
      </c>
      <c r="D1068" s="1" t="s">
        <v>4424</v>
      </c>
      <c r="E1068" s="6">
        <f t="shared" si="16"/>
        <v>39</v>
      </c>
      <c r="F1068" s="2" t="s">
        <v>5</v>
      </c>
      <c r="G1068" s="1" t="s">
        <v>15273</v>
      </c>
      <c r="K1068" s="4" t="s">
        <v>16125</v>
      </c>
      <c r="M1068" s="1" t="s">
        <v>6</v>
      </c>
      <c r="P1068" s="3" t="s">
        <v>4425</v>
      </c>
      <c r="Q1068" s="20">
        <v>26872</v>
      </c>
      <c r="R1068" s="3" t="s">
        <v>4426</v>
      </c>
      <c r="T1068" s="3" t="s">
        <v>5561</v>
      </c>
      <c r="AE1068" s="698"/>
      <c r="AF1068" s="655"/>
    </row>
    <row r="1069" spans="1:32" ht="12" customHeight="1">
      <c r="A1069" s="790" t="s">
        <v>16598</v>
      </c>
      <c r="B1069" s="2">
        <v>6</v>
      </c>
      <c r="C1069" s="4" t="s">
        <v>4386</v>
      </c>
      <c r="D1069" s="1" t="s">
        <v>5796</v>
      </c>
      <c r="E1069" s="6">
        <f t="shared" si="16"/>
        <v>47</v>
      </c>
      <c r="F1069" s="2" t="s">
        <v>5</v>
      </c>
      <c r="G1069" s="1" t="s">
        <v>15273</v>
      </c>
      <c r="K1069" s="4" t="s">
        <v>16125</v>
      </c>
      <c r="M1069" s="1" t="s">
        <v>6</v>
      </c>
      <c r="P1069" s="3" t="s">
        <v>5797</v>
      </c>
      <c r="Q1069" s="21">
        <v>24038</v>
      </c>
      <c r="R1069" s="3" t="s">
        <v>5798</v>
      </c>
      <c r="T1069" s="3" t="s">
        <v>5561</v>
      </c>
      <c r="U1069" s="3" t="s">
        <v>145</v>
      </c>
      <c r="W1069" s="2" t="s">
        <v>145</v>
      </c>
      <c r="AE1069" s="698"/>
      <c r="AF1069" s="655"/>
    </row>
    <row r="1070" spans="1:32" ht="12" customHeight="1">
      <c r="A1070" s="790" t="s">
        <v>16599</v>
      </c>
      <c r="B1070" s="2">
        <v>6</v>
      </c>
      <c r="C1070" s="4" t="s">
        <v>4549</v>
      </c>
      <c r="D1070" s="1" t="s">
        <v>4561</v>
      </c>
      <c r="E1070" s="6">
        <f t="shared" si="16"/>
        <v>50</v>
      </c>
      <c r="F1070" s="2" t="s">
        <v>5</v>
      </c>
      <c r="G1070" s="1" t="s">
        <v>15273</v>
      </c>
      <c r="K1070" s="4" t="s">
        <v>16125</v>
      </c>
      <c r="M1070" s="1" t="s">
        <v>6</v>
      </c>
      <c r="P1070" s="3" t="s">
        <v>1493</v>
      </c>
      <c r="Q1070" s="20">
        <v>22982</v>
      </c>
      <c r="R1070" s="3" t="s">
        <v>4562</v>
      </c>
      <c r="T1070" s="3" t="s">
        <v>5561</v>
      </c>
      <c r="U1070" s="3" t="s">
        <v>145</v>
      </c>
      <c r="W1070" s="2" t="s">
        <v>145</v>
      </c>
      <c r="AE1070" s="698"/>
      <c r="AF1070" s="655"/>
    </row>
    <row r="1071" spans="1:32" ht="12" customHeight="1">
      <c r="A1071" s="790" t="s">
        <v>16600</v>
      </c>
      <c r="B1071" s="2">
        <v>6</v>
      </c>
      <c r="C1071" s="4" t="s">
        <v>4745</v>
      </c>
      <c r="D1071" s="1" t="s">
        <v>5749</v>
      </c>
      <c r="E1071" s="6">
        <f t="shared" si="16"/>
        <v>45</v>
      </c>
      <c r="F1071" s="2" t="s">
        <v>5</v>
      </c>
      <c r="G1071" s="1" t="s">
        <v>15273</v>
      </c>
      <c r="K1071" s="4" t="s">
        <v>16125</v>
      </c>
      <c r="M1071" s="1" t="s">
        <v>6</v>
      </c>
      <c r="P1071" s="3" t="s">
        <v>452</v>
      </c>
      <c r="Q1071" s="20">
        <v>24638</v>
      </c>
      <c r="R1071" s="3" t="s">
        <v>5750</v>
      </c>
      <c r="T1071" s="3" t="s">
        <v>5561</v>
      </c>
      <c r="AE1071" s="698"/>
      <c r="AF1071" s="655"/>
    </row>
    <row r="1072" spans="1:32" ht="12" customHeight="1" thickBot="1">
      <c r="A1072" s="782" t="s">
        <v>16601</v>
      </c>
      <c r="B1072" s="702">
        <v>6</v>
      </c>
      <c r="C1072" s="700" t="s">
        <v>4824</v>
      </c>
      <c r="D1072" s="699" t="s">
        <v>6134</v>
      </c>
      <c r="E1072" s="701">
        <f t="shared" si="16"/>
        <v>55</v>
      </c>
      <c r="F1072" s="702" t="s">
        <v>5</v>
      </c>
      <c r="G1072" s="699" t="s">
        <v>15273</v>
      </c>
      <c r="H1072" s="703"/>
      <c r="I1072" s="699"/>
      <c r="J1072" s="699"/>
      <c r="K1072" s="700" t="s">
        <v>16125</v>
      </c>
      <c r="L1072" s="699"/>
      <c r="M1072" s="699" t="s">
        <v>6</v>
      </c>
      <c r="N1072" s="705"/>
      <c r="O1072" s="706"/>
      <c r="P1072" s="703" t="s">
        <v>16079</v>
      </c>
      <c r="Q1072" s="707">
        <v>21021</v>
      </c>
      <c r="R1072" s="703" t="s">
        <v>16080</v>
      </c>
      <c r="S1072" s="703"/>
      <c r="T1072" s="703" t="s">
        <v>5561</v>
      </c>
      <c r="U1072" s="703"/>
      <c r="V1072" s="702"/>
      <c r="W1072" s="702"/>
      <c r="X1072" s="702"/>
      <c r="Y1072" s="702"/>
      <c r="Z1072" s="702"/>
      <c r="AA1072" s="702"/>
      <c r="AB1072" s="702"/>
      <c r="AC1072" s="702"/>
      <c r="AD1072" s="702"/>
      <c r="AE1072" s="708"/>
      <c r="AF1072" s="655"/>
    </row>
    <row r="1073" spans="1:32" ht="12" customHeight="1">
      <c r="A1073" s="745" t="s">
        <v>4952</v>
      </c>
      <c r="B1073" s="696">
        <v>1</v>
      </c>
      <c r="C1073" s="696"/>
      <c r="D1073" s="696" t="s">
        <v>4956</v>
      </c>
      <c r="E1073" s="690">
        <f t="shared" si="16"/>
        <v>56</v>
      </c>
      <c r="F1073" s="696" t="s">
        <v>5</v>
      </c>
      <c r="G1073" s="696" t="s">
        <v>6067</v>
      </c>
      <c r="H1073" s="715" t="s">
        <v>4957</v>
      </c>
      <c r="I1073" s="696"/>
      <c r="J1073" s="696"/>
      <c r="K1073" s="716" t="s">
        <v>16118</v>
      </c>
      <c r="L1073" s="696"/>
      <c r="M1073" s="696" t="s">
        <v>25</v>
      </c>
      <c r="N1073" s="717">
        <v>4</v>
      </c>
      <c r="O1073" s="718">
        <v>4</v>
      </c>
      <c r="P1073" s="715" t="s">
        <v>4958</v>
      </c>
      <c r="Q1073" s="719">
        <v>20533</v>
      </c>
      <c r="R1073" s="715" t="s">
        <v>4959</v>
      </c>
      <c r="S1073" s="715" t="s">
        <v>4960</v>
      </c>
      <c r="T1073" s="715"/>
      <c r="U1073" s="715"/>
      <c r="V1073" s="696"/>
      <c r="W1073" s="696"/>
      <c r="X1073" s="696"/>
      <c r="Y1073" s="696"/>
      <c r="Z1073" s="696"/>
      <c r="AA1073" s="696"/>
      <c r="AB1073" s="696"/>
      <c r="AC1073" s="696"/>
      <c r="AD1073" s="696"/>
      <c r="AE1073" s="697"/>
      <c r="AF1073" s="655"/>
    </row>
    <row r="1074" spans="1:32" ht="12" customHeight="1">
      <c r="A1074" s="791" t="s">
        <v>4953</v>
      </c>
      <c r="B1074" s="2">
        <v>2</v>
      </c>
      <c r="C1074" s="2"/>
      <c r="D1074" s="2" t="s">
        <v>4961</v>
      </c>
      <c r="E1074" s="6">
        <f t="shared" si="16"/>
        <v>43</v>
      </c>
      <c r="F1074" s="2" t="s">
        <v>5</v>
      </c>
      <c r="G1074" s="2" t="s">
        <v>6067</v>
      </c>
      <c r="H1074" s="22" t="s">
        <v>4962</v>
      </c>
      <c r="I1074" s="2"/>
      <c r="J1074" s="2"/>
      <c r="K1074" s="8" t="s">
        <v>16118</v>
      </c>
      <c r="L1074" s="2"/>
      <c r="M1074" s="2" t="s">
        <v>25</v>
      </c>
      <c r="N1074" s="24">
        <v>1</v>
      </c>
      <c r="O1074" s="25">
        <v>5</v>
      </c>
      <c r="P1074" s="22" t="s">
        <v>4963</v>
      </c>
      <c r="Q1074" s="21">
        <v>25359</v>
      </c>
      <c r="R1074" s="22" t="s">
        <v>4964</v>
      </c>
      <c r="S1074" s="22" t="s">
        <v>4965</v>
      </c>
      <c r="T1074" s="22"/>
      <c r="U1074" s="22" t="s">
        <v>4966</v>
      </c>
      <c r="Y1074" s="2" t="s">
        <v>4966</v>
      </c>
      <c r="AE1074" s="698"/>
      <c r="AF1074" s="655"/>
    </row>
    <row r="1075" spans="1:32" ht="12" customHeight="1">
      <c r="A1075" s="791" t="s">
        <v>4954</v>
      </c>
      <c r="B1075" s="2">
        <v>3</v>
      </c>
      <c r="C1075" s="2"/>
      <c r="D1075" s="6" t="s">
        <v>4967</v>
      </c>
      <c r="E1075" s="6">
        <f t="shared" si="16"/>
        <v>42</v>
      </c>
      <c r="F1075" s="6" t="s">
        <v>5</v>
      </c>
      <c r="G1075" s="2" t="s">
        <v>6067</v>
      </c>
      <c r="H1075" s="12"/>
      <c r="I1075" s="6"/>
      <c r="J1075" s="19"/>
      <c r="K1075" s="8" t="s">
        <v>16118</v>
      </c>
      <c r="L1075" s="6"/>
      <c r="M1075" s="6" t="s">
        <v>6</v>
      </c>
      <c r="N1075" s="13"/>
      <c r="O1075" s="14"/>
      <c r="P1075" s="12" t="s">
        <v>188</v>
      </c>
      <c r="Q1075" s="15">
        <v>25696</v>
      </c>
      <c r="R1075" s="12" t="s">
        <v>4969</v>
      </c>
      <c r="S1075" s="12"/>
      <c r="T1075" s="12"/>
      <c r="U1075" s="12" t="s">
        <v>147</v>
      </c>
      <c r="AC1075" s="2" t="s">
        <v>4968</v>
      </c>
      <c r="AE1075" s="698"/>
      <c r="AF1075" s="655"/>
    </row>
    <row r="1076" spans="1:32" ht="12" customHeight="1">
      <c r="A1076" s="791" t="s">
        <v>4955</v>
      </c>
      <c r="B1076" s="2">
        <v>4</v>
      </c>
      <c r="C1076" s="2"/>
      <c r="D1076" s="2" t="s">
        <v>4970</v>
      </c>
      <c r="E1076" s="6">
        <f t="shared" si="16"/>
        <v>53</v>
      </c>
      <c r="F1076" s="2" t="s">
        <v>19</v>
      </c>
      <c r="G1076" s="2" t="s">
        <v>6067</v>
      </c>
      <c r="H1076" s="22"/>
      <c r="I1076" s="2"/>
      <c r="J1076" s="2"/>
      <c r="K1076" s="23" t="s">
        <v>16118</v>
      </c>
      <c r="L1076" s="2"/>
      <c r="M1076" s="2" t="s">
        <v>6</v>
      </c>
      <c r="N1076" s="24"/>
      <c r="O1076" s="25"/>
      <c r="P1076" s="22" t="s">
        <v>2123</v>
      </c>
      <c r="Q1076" s="21">
        <v>21570</v>
      </c>
      <c r="R1076" s="22" t="s">
        <v>4971</v>
      </c>
      <c r="S1076" s="22"/>
      <c r="T1076" s="22"/>
      <c r="U1076" s="22" t="s">
        <v>4972</v>
      </c>
      <c r="W1076" s="2" t="s">
        <v>4972</v>
      </c>
      <c r="AE1076" s="698"/>
      <c r="AF1076" s="655"/>
    </row>
    <row r="1077" spans="1:32" ht="12" customHeight="1">
      <c r="A1077" s="791" t="s">
        <v>5930</v>
      </c>
      <c r="B1077" s="2">
        <v>5</v>
      </c>
      <c r="C1077" s="2"/>
      <c r="D1077" s="2" t="s">
        <v>5932</v>
      </c>
      <c r="E1077" s="6">
        <f t="shared" si="16"/>
        <v>36</v>
      </c>
      <c r="F1077" s="2" t="s">
        <v>5</v>
      </c>
      <c r="G1077" s="2" t="s">
        <v>6067</v>
      </c>
      <c r="H1077" s="22"/>
      <c r="I1077" s="2"/>
      <c r="J1077" s="2"/>
      <c r="K1077" s="8" t="s">
        <v>16118</v>
      </c>
      <c r="L1077" s="2"/>
      <c r="M1077" s="2" t="s">
        <v>6</v>
      </c>
      <c r="N1077" s="24"/>
      <c r="O1077" s="25"/>
      <c r="P1077" s="22" t="s">
        <v>5933</v>
      </c>
      <c r="Q1077" s="21">
        <v>27846</v>
      </c>
      <c r="R1077" s="22" t="s">
        <v>16602</v>
      </c>
      <c r="S1077" s="22"/>
      <c r="T1077" s="22"/>
      <c r="U1077" s="22"/>
      <c r="AE1077" s="698"/>
      <c r="AF1077" s="655"/>
    </row>
    <row r="1078" spans="1:32" ht="12" customHeight="1" thickBot="1">
      <c r="A1078" s="746" t="s">
        <v>5931</v>
      </c>
      <c r="B1078" s="702">
        <v>6</v>
      </c>
      <c r="C1078" s="702"/>
      <c r="D1078" s="702" t="s">
        <v>5934</v>
      </c>
      <c r="E1078" s="701">
        <f t="shared" si="16"/>
        <v>36</v>
      </c>
      <c r="F1078" s="702" t="s">
        <v>5</v>
      </c>
      <c r="G1078" s="702" t="s">
        <v>6067</v>
      </c>
      <c r="H1078" s="720"/>
      <c r="I1078" s="702"/>
      <c r="J1078" s="702"/>
      <c r="K1078" s="770" t="s">
        <v>16118</v>
      </c>
      <c r="L1078" s="702"/>
      <c r="M1078" s="702" t="s">
        <v>6</v>
      </c>
      <c r="N1078" s="721"/>
      <c r="O1078" s="722"/>
      <c r="P1078" s="720" t="s">
        <v>4328</v>
      </c>
      <c r="Q1078" s="723">
        <v>27815</v>
      </c>
      <c r="R1078" s="720" t="s">
        <v>16603</v>
      </c>
      <c r="S1078" s="720"/>
      <c r="T1078" s="720"/>
      <c r="U1078" s="720"/>
      <c r="V1078" s="702"/>
      <c r="W1078" s="702"/>
      <c r="X1078" s="702"/>
      <c r="Y1078" s="702"/>
      <c r="Z1078" s="702"/>
      <c r="AA1078" s="702"/>
      <c r="AB1078" s="702"/>
      <c r="AC1078" s="702"/>
      <c r="AD1078" s="702"/>
      <c r="AE1078" s="708"/>
      <c r="AF1078" s="655"/>
    </row>
    <row r="1079" spans="1:32" ht="12" customHeight="1">
      <c r="A1079" s="750" t="s">
        <v>16613</v>
      </c>
      <c r="B1079" s="696">
        <v>1</v>
      </c>
      <c r="C1079" s="688" t="s">
        <v>4666</v>
      </c>
      <c r="D1079" s="687" t="s">
        <v>4675</v>
      </c>
      <c r="E1079" s="690">
        <f t="shared" si="16"/>
        <v>52</v>
      </c>
      <c r="F1079" s="696" t="s">
        <v>5</v>
      </c>
      <c r="G1079" s="687" t="s">
        <v>15273</v>
      </c>
      <c r="H1079" s="747" t="s">
        <v>4676</v>
      </c>
      <c r="I1079" s="687"/>
      <c r="J1079" s="687"/>
      <c r="K1079" s="688" t="s">
        <v>16116</v>
      </c>
      <c r="L1079" s="687" t="s">
        <v>564</v>
      </c>
      <c r="M1079" s="687" t="s">
        <v>25</v>
      </c>
      <c r="N1079" s="748">
        <v>4</v>
      </c>
      <c r="O1079" s="749">
        <v>4</v>
      </c>
      <c r="P1079" s="747" t="s">
        <v>31</v>
      </c>
      <c r="Q1079" s="773">
        <v>22178</v>
      </c>
      <c r="R1079" s="747" t="s">
        <v>4677</v>
      </c>
      <c r="S1079" s="747" t="s">
        <v>4678</v>
      </c>
      <c r="T1079" s="747" t="s">
        <v>18564</v>
      </c>
      <c r="U1079" s="747" t="s">
        <v>104</v>
      </c>
      <c r="V1079" s="696"/>
      <c r="W1079" s="696"/>
      <c r="X1079" s="696"/>
      <c r="Y1079" s="696"/>
      <c r="Z1079" s="696"/>
      <c r="AA1079" s="696"/>
      <c r="AB1079" s="696" t="s">
        <v>104</v>
      </c>
      <c r="AC1079" s="696"/>
      <c r="AD1079" s="696"/>
      <c r="AE1079" s="697"/>
      <c r="AF1079" s="655"/>
    </row>
    <row r="1080" spans="1:32" ht="12" customHeight="1">
      <c r="A1080" s="751" t="s">
        <v>16614</v>
      </c>
      <c r="B1080" s="2">
        <v>2</v>
      </c>
      <c r="C1080" s="4" t="s">
        <v>4423</v>
      </c>
      <c r="D1080" s="1" t="s">
        <v>5529</v>
      </c>
      <c r="E1080" s="6">
        <f t="shared" si="16"/>
        <v>35</v>
      </c>
      <c r="F1080" s="2" t="s">
        <v>5</v>
      </c>
      <c r="G1080" s="1" t="s">
        <v>15273</v>
      </c>
      <c r="K1080" s="4" t="s">
        <v>16116</v>
      </c>
      <c r="L1080" s="1" t="s">
        <v>4993</v>
      </c>
      <c r="M1080" s="1" t="s">
        <v>6</v>
      </c>
      <c r="P1080" s="3" t="s">
        <v>1485</v>
      </c>
      <c r="Q1080" s="21">
        <v>28268</v>
      </c>
      <c r="R1080" s="3" t="s">
        <v>16056</v>
      </c>
      <c r="AE1080" s="698"/>
      <c r="AF1080" s="655"/>
    </row>
    <row r="1081" spans="1:32" ht="12" customHeight="1">
      <c r="A1081" s="751" t="s">
        <v>16615</v>
      </c>
      <c r="B1081" s="2">
        <v>2</v>
      </c>
      <c r="C1081" s="4" t="s">
        <v>4335</v>
      </c>
      <c r="D1081" s="1" t="s">
        <v>4351</v>
      </c>
      <c r="E1081" s="6">
        <f t="shared" si="16"/>
        <v>51</v>
      </c>
      <c r="F1081" s="2" t="s">
        <v>5</v>
      </c>
      <c r="G1081" s="1" t="s">
        <v>15273</v>
      </c>
      <c r="K1081" s="4" t="s">
        <v>16116</v>
      </c>
      <c r="L1081" s="1" t="s">
        <v>4993</v>
      </c>
      <c r="M1081" s="1" t="s">
        <v>6</v>
      </c>
      <c r="P1081" s="3" t="s">
        <v>4352</v>
      </c>
      <c r="Q1081" s="20">
        <v>22462</v>
      </c>
      <c r="R1081" s="3" t="s">
        <v>4354</v>
      </c>
      <c r="U1081" s="3" t="s">
        <v>104</v>
      </c>
      <c r="AB1081" s="2" t="s">
        <v>104</v>
      </c>
      <c r="AE1081" s="698"/>
      <c r="AF1081" s="655"/>
    </row>
    <row r="1082" spans="1:32" ht="12" customHeight="1">
      <c r="A1082" s="751" t="s">
        <v>16616</v>
      </c>
      <c r="B1082" s="2">
        <v>2</v>
      </c>
      <c r="C1082" s="4" t="s">
        <v>5438</v>
      </c>
      <c r="D1082" s="1" t="s">
        <v>5439</v>
      </c>
      <c r="E1082" s="6">
        <f t="shared" si="16"/>
        <v>56</v>
      </c>
      <c r="F1082" s="2" t="s">
        <v>5</v>
      </c>
      <c r="G1082" s="1" t="s">
        <v>15273</v>
      </c>
      <c r="K1082" s="4" t="s">
        <v>16116</v>
      </c>
      <c r="L1082" s="1" t="s">
        <v>4997</v>
      </c>
      <c r="M1082" s="1" t="s">
        <v>6</v>
      </c>
      <c r="P1082" s="3" t="s">
        <v>188</v>
      </c>
      <c r="Q1082" s="21">
        <v>20613</v>
      </c>
      <c r="R1082" s="3" t="s">
        <v>6152</v>
      </c>
      <c r="T1082" s="3" t="s">
        <v>469</v>
      </c>
      <c r="AE1082" s="698"/>
      <c r="AF1082" s="655"/>
    </row>
    <row r="1083" spans="1:32" ht="12" customHeight="1">
      <c r="A1083" s="751" t="s">
        <v>16617</v>
      </c>
      <c r="B1083" s="2">
        <v>2</v>
      </c>
      <c r="C1083" s="4" t="s">
        <v>4388</v>
      </c>
      <c r="D1083" s="1" t="s">
        <v>5864</v>
      </c>
      <c r="E1083" s="6">
        <f t="shared" si="16"/>
        <v>36</v>
      </c>
      <c r="F1083" s="2" t="s">
        <v>5</v>
      </c>
      <c r="G1083" s="1" t="s">
        <v>15273</v>
      </c>
      <c r="K1083" s="4" t="s">
        <v>16116</v>
      </c>
      <c r="L1083" s="1" t="s">
        <v>4997</v>
      </c>
      <c r="M1083" s="1" t="s">
        <v>6</v>
      </c>
      <c r="P1083" s="3" t="s">
        <v>1617</v>
      </c>
      <c r="Q1083" s="20">
        <v>28076</v>
      </c>
      <c r="R1083" s="3" t="s">
        <v>16057</v>
      </c>
      <c r="T1083" s="3" t="s">
        <v>469</v>
      </c>
      <c r="AE1083" s="698"/>
      <c r="AF1083" s="655"/>
    </row>
    <row r="1084" spans="1:32" ht="12" customHeight="1">
      <c r="A1084" s="751" t="s">
        <v>16618</v>
      </c>
      <c r="B1084" s="2">
        <v>2</v>
      </c>
      <c r="C1084" s="4" t="s">
        <v>4437</v>
      </c>
      <c r="D1084" s="1" t="s">
        <v>6153</v>
      </c>
      <c r="E1084" s="6">
        <f t="shared" si="16"/>
        <v>47</v>
      </c>
      <c r="F1084" s="2" t="s">
        <v>5</v>
      </c>
      <c r="G1084" s="1" t="s">
        <v>15273</v>
      </c>
      <c r="K1084" s="4" t="s">
        <v>16116</v>
      </c>
      <c r="L1084" s="1" t="s">
        <v>469</v>
      </c>
      <c r="M1084" s="1" t="s">
        <v>6</v>
      </c>
      <c r="P1084" s="3" t="s">
        <v>1879</v>
      </c>
      <c r="Q1084" s="20">
        <v>23848</v>
      </c>
      <c r="R1084" s="3" t="s">
        <v>6156</v>
      </c>
      <c r="T1084" s="3" t="s">
        <v>469</v>
      </c>
      <c r="AE1084" s="698"/>
      <c r="AF1084" s="655"/>
    </row>
    <row r="1085" spans="1:32" ht="12" customHeight="1">
      <c r="A1085" s="751" t="s">
        <v>16619</v>
      </c>
      <c r="B1085" s="2">
        <v>2</v>
      </c>
      <c r="C1085" s="4" t="s">
        <v>4471</v>
      </c>
      <c r="D1085" s="1" t="s">
        <v>5782</v>
      </c>
      <c r="E1085" s="6">
        <f t="shared" si="16"/>
        <v>33</v>
      </c>
      <c r="F1085" s="2" t="s">
        <v>5</v>
      </c>
      <c r="G1085" s="1" t="s">
        <v>15273</v>
      </c>
      <c r="K1085" s="4" t="s">
        <v>16116</v>
      </c>
      <c r="L1085" s="1" t="s">
        <v>4997</v>
      </c>
      <c r="M1085" s="1" t="s">
        <v>6</v>
      </c>
      <c r="P1085" s="3" t="s">
        <v>188</v>
      </c>
      <c r="Q1085" s="20">
        <v>29159</v>
      </c>
      <c r="R1085" s="3" t="s">
        <v>727</v>
      </c>
      <c r="T1085" s="3" t="s">
        <v>469</v>
      </c>
      <c r="AC1085" s="2" t="s">
        <v>147</v>
      </c>
      <c r="AE1085" s="698"/>
      <c r="AF1085" s="655"/>
    </row>
    <row r="1086" spans="1:32" ht="12" customHeight="1">
      <c r="A1086" s="751" t="s">
        <v>16620</v>
      </c>
      <c r="B1086" s="2">
        <v>2</v>
      </c>
      <c r="C1086" s="4" t="s">
        <v>4704</v>
      </c>
      <c r="D1086" s="1" t="s">
        <v>4705</v>
      </c>
      <c r="E1086" s="6">
        <f t="shared" si="16"/>
        <v>45</v>
      </c>
      <c r="F1086" s="2" t="s">
        <v>5</v>
      </c>
      <c r="G1086" s="1" t="s">
        <v>15273</v>
      </c>
      <c r="K1086" s="4" t="s">
        <v>16116</v>
      </c>
      <c r="L1086" s="1" t="s">
        <v>4422</v>
      </c>
      <c r="M1086" s="1" t="s">
        <v>6</v>
      </c>
      <c r="P1086" s="3" t="s">
        <v>3772</v>
      </c>
      <c r="Q1086" s="20">
        <v>24582</v>
      </c>
      <c r="R1086" s="3" t="s">
        <v>4706</v>
      </c>
      <c r="AE1086" s="698"/>
      <c r="AF1086" s="655"/>
    </row>
    <row r="1087" spans="1:32" ht="12" customHeight="1">
      <c r="A1087" s="751" t="s">
        <v>16621</v>
      </c>
      <c r="B1087" s="2">
        <v>2</v>
      </c>
      <c r="C1087" s="4" t="s">
        <v>4715</v>
      </c>
      <c r="D1087" s="1" t="s">
        <v>4720</v>
      </c>
      <c r="E1087" s="6">
        <f t="shared" si="16"/>
        <v>70</v>
      </c>
      <c r="F1087" s="2" t="s">
        <v>5</v>
      </c>
      <c r="G1087" s="1" t="s">
        <v>15273</v>
      </c>
      <c r="H1087" s="3" t="s">
        <v>4721</v>
      </c>
      <c r="K1087" s="4" t="s">
        <v>16116</v>
      </c>
      <c r="L1087" s="1" t="s">
        <v>4993</v>
      </c>
      <c r="M1087" s="1" t="s">
        <v>25</v>
      </c>
      <c r="N1087" s="16">
        <v>8</v>
      </c>
      <c r="O1087" s="17">
        <v>8</v>
      </c>
      <c r="P1087" s="3" t="s">
        <v>172</v>
      </c>
      <c r="Q1087" s="20">
        <v>15391</v>
      </c>
      <c r="R1087" s="3" t="s">
        <v>4723</v>
      </c>
      <c r="S1087" s="3" t="s">
        <v>5547</v>
      </c>
      <c r="U1087" s="3" t="s">
        <v>104</v>
      </c>
      <c r="AB1087" s="2" t="s">
        <v>104</v>
      </c>
      <c r="AE1087" s="698"/>
      <c r="AF1087" s="655"/>
    </row>
    <row r="1088" spans="1:32" ht="12" customHeight="1">
      <c r="A1088" s="751" t="s">
        <v>16604</v>
      </c>
      <c r="B1088" s="2">
        <v>2</v>
      </c>
      <c r="C1088" s="4" t="s">
        <v>5057</v>
      </c>
      <c r="D1088" s="1" t="s">
        <v>5058</v>
      </c>
      <c r="E1088" s="6">
        <f t="shared" si="16"/>
        <v>42</v>
      </c>
      <c r="F1088" s="2" t="s">
        <v>5</v>
      </c>
      <c r="G1088" s="1" t="s">
        <v>15273</v>
      </c>
      <c r="K1088" s="4" t="s">
        <v>16116</v>
      </c>
      <c r="L1088" s="1" t="s">
        <v>4997</v>
      </c>
      <c r="M1088" s="1" t="s">
        <v>6</v>
      </c>
      <c r="P1088" s="3" t="s">
        <v>31</v>
      </c>
      <c r="Q1088" s="21">
        <v>25674</v>
      </c>
      <c r="R1088" s="3" t="s">
        <v>16622</v>
      </c>
      <c r="T1088" s="3" t="s">
        <v>469</v>
      </c>
      <c r="AE1088" s="698"/>
      <c r="AF1088" s="655"/>
    </row>
    <row r="1089" spans="1:32" ht="12" customHeight="1">
      <c r="A1089" s="751" t="s">
        <v>16605</v>
      </c>
      <c r="B1089" s="2">
        <v>2</v>
      </c>
      <c r="C1089" s="4" t="s">
        <v>4758</v>
      </c>
      <c r="D1089" s="1" t="s">
        <v>5441</v>
      </c>
      <c r="E1089" s="6">
        <f t="shared" si="16"/>
        <v>43</v>
      </c>
      <c r="F1089" s="2" t="s">
        <v>5</v>
      </c>
      <c r="G1089" s="1" t="s">
        <v>15273</v>
      </c>
      <c r="K1089" s="4" t="s">
        <v>16116</v>
      </c>
      <c r="L1089" s="1" t="s">
        <v>4997</v>
      </c>
      <c r="M1089" s="1" t="s">
        <v>6</v>
      </c>
      <c r="P1089" s="3" t="s">
        <v>5442</v>
      </c>
      <c r="Q1089" s="20">
        <v>25546</v>
      </c>
      <c r="R1089" s="3" t="s">
        <v>5443</v>
      </c>
      <c r="T1089" s="3" t="s">
        <v>469</v>
      </c>
      <c r="AE1089" s="698"/>
      <c r="AF1089" s="655"/>
    </row>
    <row r="1090" spans="1:32" ht="12" customHeight="1">
      <c r="A1090" s="751" t="s">
        <v>16606</v>
      </c>
      <c r="B1090" s="2">
        <v>2</v>
      </c>
      <c r="C1090" s="4" t="s">
        <v>4787</v>
      </c>
      <c r="D1090" s="1" t="s">
        <v>4797</v>
      </c>
      <c r="E1090" s="6">
        <f t="shared" ref="E1090:E1118" si="17">DATEDIF(Q1090,$Q$1119,"Y")</f>
        <v>69</v>
      </c>
      <c r="F1090" s="2" t="s">
        <v>5</v>
      </c>
      <c r="G1090" s="1" t="s">
        <v>15273</v>
      </c>
      <c r="K1090" s="4" t="s">
        <v>16116</v>
      </c>
      <c r="L1090" s="1" t="s">
        <v>4993</v>
      </c>
      <c r="M1090" s="1" t="s">
        <v>14</v>
      </c>
      <c r="N1090" s="16">
        <v>6</v>
      </c>
      <c r="O1090" s="17">
        <v>6</v>
      </c>
      <c r="P1090" s="3" t="s">
        <v>317</v>
      </c>
      <c r="Q1090" s="20">
        <v>15864</v>
      </c>
      <c r="R1090" s="3" t="s">
        <v>3162</v>
      </c>
      <c r="S1090" s="3" t="s">
        <v>4798</v>
      </c>
      <c r="U1090" s="3" t="s">
        <v>47</v>
      </c>
      <c r="V1090" s="2" t="s">
        <v>47</v>
      </c>
      <c r="AE1090" s="698"/>
      <c r="AF1090" s="655"/>
    </row>
    <row r="1091" spans="1:32" ht="12" customHeight="1">
      <c r="A1091" s="751" t="s">
        <v>16607</v>
      </c>
      <c r="B1091" s="2">
        <v>2</v>
      </c>
      <c r="C1091" s="4" t="s">
        <v>5530</v>
      </c>
      <c r="D1091" s="1" t="s">
        <v>5531</v>
      </c>
      <c r="E1091" s="6">
        <f t="shared" si="17"/>
        <v>31</v>
      </c>
      <c r="F1091" s="2" t="s">
        <v>5</v>
      </c>
      <c r="G1091" s="1" t="s">
        <v>15273</v>
      </c>
      <c r="K1091" s="4" t="s">
        <v>16116</v>
      </c>
      <c r="L1091" s="1" t="s">
        <v>4997</v>
      </c>
      <c r="M1091" s="1" t="s">
        <v>6</v>
      </c>
      <c r="P1091" s="3" t="s">
        <v>452</v>
      </c>
      <c r="Q1091" s="21">
        <v>29936</v>
      </c>
      <c r="R1091" s="3" t="s">
        <v>5532</v>
      </c>
      <c r="AE1091" s="698"/>
      <c r="AF1091" s="655"/>
    </row>
    <row r="1092" spans="1:32" ht="12" customHeight="1">
      <c r="A1092" s="751" t="s">
        <v>16608</v>
      </c>
      <c r="B1092" s="2">
        <v>2</v>
      </c>
      <c r="C1092" s="4" t="s">
        <v>4851</v>
      </c>
      <c r="D1092" s="1" t="s">
        <v>4861</v>
      </c>
      <c r="E1092" s="6">
        <f t="shared" si="17"/>
        <v>36</v>
      </c>
      <c r="F1092" s="2" t="s">
        <v>5</v>
      </c>
      <c r="G1092" s="1" t="s">
        <v>15273</v>
      </c>
      <c r="K1092" s="4" t="s">
        <v>16116</v>
      </c>
      <c r="L1092" s="1" t="s">
        <v>4997</v>
      </c>
      <c r="M1092" s="1" t="s">
        <v>6</v>
      </c>
      <c r="P1092" s="3" t="s">
        <v>381</v>
      </c>
      <c r="Q1092" s="21">
        <v>27844</v>
      </c>
      <c r="R1092" s="3" t="s">
        <v>4862</v>
      </c>
      <c r="T1092" s="3" t="s">
        <v>469</v>
      </c>
      <c r="AE1092" s="698"/>
      <c r="AF1092" s="655"/>
    </row>
    <row r="1093" spans="1:32" ht="12" customHeight="1">
      <c r="A1093" s="751" t="s">
        <v>16609</v>
      </c>
      <c r="B1093" s="2">
        <v>2</v>
      </c>
      <c r="C1093" s="4" t="s">
        <v>4890</v>
      </c>
      <c r="D1093" s="1" t="s">
        <v>5783</v>
      </c>
      <c r="E1093" s="6">
        <f t="shared" si="17"/>
        <v>67</v>
      </c>
      <c r="F1093" s="2" t="s">
        <v>5</v>
      </c>
      <c r="G1093" s="1" t="s">
        <v>15273</v>
      </c>
      <c r="K1093" s="4" t="s">
        <v>16116</v>
      </c>
      <c r="L1093" s="1" t="s">
        <v>4997</v>
      </c>
      <c r="M1093" s="1" t="s">
        <v>6</v>
      </c>
      <c r="P1093" s="3" t="s">
        <v>31</v>
      </c>
      <c r="Q1093" s="20">
        <v>16482</v>
      </c>
      <c r="R1093" s="3" t="s">
        <v>16623</v>
      </c>
      <c r="T1093" s="3" t="s">
        <v>469</v>
      </c>
      <c r="AE1093" s="698"/>
      <c r="AF1093" s="655"/>
    </row>
    <row r="1094" spans="1:32" ht="12" customHeight="1">
      <c r="A1094" s="751" t="s">
        <v>16610</v>
      </c>
      <c r="B1094" s="2">
        <v>2</v>
      </c>
      <c r="C1094" s="4" t="s">
        <v>4903</v>
      </c>
      <c r="D1094" s="1" t="s">
        <v>5784</v>
      </c>
      <c r="E1094" s="6">
        <f t="shared" si="17"/>
        <v>58</v>
      </c>
      <c r="F1094" s="2" t="s">
        <v>5</v>
      </c>
      <c r="G1094" s="1" t="s">
        <v>15273</v>
      </c>
      <c r="K1094" s="4" t="s">
        <v>16116</v>
      </c>
      <c r="L1094" s="1" t="s">
        <v>4997</v>
      </c>
      <c r="M1094" s="1" t="s">
        <v>6</v>
      </c>
      <c r="P1094" s="3" t="s">
        <v>5817</v>
      </c>
      <c r="Q1094" s="20">
        <v>20063</v>
      </c>
      <c r="R1094" s="3" t="s">
        <v>5818</v>
      </c>
      <c r="T1094" s="3" t="s">
        <v>469</v>
      </c>
      <c r="AE1094" s="698"/>
      <c r="AF1094" s="655"/>
    </row>
    <row r="1095" spans="1:32" ht="12" customHeight="1">
      <c r="A1095" s="751" t="s">
        <v>16611</v>
      </c>
      <c r="B1095" s="2">
        <v>2</v>
      </c>
      <c r="C1095" s="4" t="s">
        <v>4915</v>
      </c>
      <c r="D1095" s="1" t="s">
        <v>5786</v>
      </c>
      <c r="E1095" s="6">
        <f t="shared" si="17"/>
        <v>45</v>
      </c>
      <c r="F1095" s="2" t="s">
        <v>5</v>
      </c>
      <c r="G1095" s="1" t="s">
        <v>15273</v>
      </c>
      <c r="K1095" s="4" t="s">
        <v>16116</v>
      </c>
      <c r="L1095" s="1" t="s">
        <v>4997</v>
      </c>
      <c r="M1095" s="1" t="s">
        <v>6</v>
      </c>
      <c r="P1095" s="3" t="s">
        <v>5819</v>
      </c>
      <c r="Q1095" s="20">
        <v>24566</v>
      </c>
      <c r="R1095" s="3" t="s">
        <v>16085</v>
      </c>
      <c r="T1095" s="3" t="s">
        <v>469</v>
      </c>
      <c r="AE1095" s="698"/>
      <c r="AF1095" s="655"/>
    </row>
    <row r="1096" spans="1:32" ht="12" customHeight="1">
      <c r="A1096" s="751" t="s">
        <v>16612</v>
      </c>
      <c r="B1096" s="2">
        <v>2</v>
      </c>
      <c r="C1096" s="4" t="s">
        <v>4929</v>
      </c>
      <c r="D1096" s="1" t="s">
        <v>5445</v>
      </c>
      <c r="E1096" s="6">
        <f t="shared" si="17"/>
        <v>34</v>
      </c>
      <c r="F1096" s="2" t="s">
        <v>5</v>
      </c>
      <c r="G1096" s="1" t="s">
        <v>15273</v>
      </c>
      <c r="K1096" s="4" t="s">
        <v>16116</v>
      </c>
      <c r="L1096" s="1" t="s">
        <v>4997</v>
      </c>
      <c r="M1096" s="1" t="s">
        <v>6</v>
      </c>
      <c r="P1096" s="3" t="s">
        <v>245</v>
      </c>
      <c r="Q1096" s="21">
        <v>28712</v>
      </c>
      <c r="R1096" s="3" t="s">
        <v>16304</v>
      </c>
      <c r="T1096" s="3" t="s">
        <v>469</v>
      </c>
      <c r="AE1096" s="698"/>
      <c r="AF1096" s="655"/>
    </row>
    <row r="1097" spans="1:32" ht="12" customHeight="1" thickBot="1">
      <c r="A1097" s="752" t="s">
        <v>15658</v>
      </c>
      <c r="B1097" s="702">
        <v>19</v>
      </c>
      <c r="C1097" s="702"/>
      <c r="D1097" s="701" t="s">
        <v>16624</v>
      </c>
      <c r="E1097" s="701">
        <f t="shared" si="17"/>
        <v>54</v>
      </c>
      <c r="F1097" s="701" t="s">
        <v>5</v>
      </c>
      <c r="G1097" s="702" t="s">
        <v>6067</v>
      </c>
      <c r="H1097" s="741"/>
      <c r="I1097" s="701"/>
      <c r="J1097" s="741"/>
      <c r="K1097" s="704" t="s">
        <v>16130</v>
      </c>
      <c r="L1097" s="701" t="s">
        <v>6010</v>
      </c>
      <c r="M1097" s="701" t="s">
        <v>6</v>
      </c>
      <c r="N1097" s="742"/>
      <c r="O1097" s="743"/>
      <c r="P1097" s="740" t="s">
        <v>4866</v>
      </c>
      <c r="Q1097" s="744">
        <v>21451</v>
      </c>
      <c r="R1097" s="740" t="s">
        <v>16625</v>
      </c>
      <c r="S1097" s="740"/>
      <c r="T1097" s="740"/>
      <c r="U1097" s="741"/>
      <c r="V1097" s="702"/>
      <c r="W1097" s="702"/>
      <c r="X1097" s="702"/>
      <c r="Y1097" s="702"/>
      <c r="Z1097" s="702"/>
      <c r="AA1097" s="702"/>
      <c r="AB1097" s="702"/>
      <c r="AC1097" s="702"/>
      <c r="AD1097" s="702"/>
      <c r="AE1097" s="792"/>
      <c r="AF1097" s="655"/>
    </row>
    <row r="1098" spans="1:32" ht="12" customHeight="1">
      <c r="A1098" s="757" t="s">
        <v>16626</v>
      </c>
      <c r="B1098" s="696">
        <v>1</v>
      </c>
      <c r="C1098" s="688" t="s">
        <v>4294</v>
      </c>
      <c r="D1098" s="687" t="s">
        <v>4303</v>
      </c>
      <c r="E1098" s="690">
        <f t="shared" si="17"/>
        <v>38</v>
      </c>
      <c r="F1098" s="696" t="s">
        <v>5</v>
      </c>
      <c r="G1098" s="687" t="s">
        <v>15273</v>
      </c>
      <c r="H1098" s="747"/>
      <c r="I1098" s="687"/>
      <c r="J1098" s="687"/>
      <c r="K1098" s="688" t="s">
        <v>16128</v>
      </c>
      <c r="L1098" s="687"/>
      <c r="M1098" s="687" t="s">
        <v>6</v>
      </c>
      <c r="N1098" s="748"/>
      <c r="O1098" s="749"/>
      <c r="P1098" s="747" t="s">
        <v>1273</v>
      </c>
      <c r="Q1098" s="773">
        <v>27110</v>
      </c>
      <c r="R1098" s="747" t="s">
        <v>4304</v>
      </c>
      <c r="S1098" s="747"/>
      <c r="T1098" s="747" t="s">
        <v>6031</v>
      </c>
      <c r="U1098" s="747"/>
      <c r="V1098" s="696"/>
      <c r="W1098" s="696"/>
      <c r="X1098" s="696"/>
      <c r="Y1098" s="696"/>
      <c r="Z1098" s="696"/>
      <c r="AA1098" s="696"/>
      <c r="AB1098" s="696"/>
      <c r="AC1098" s="696"/>
      <c r="AD1098" s="696"/>
      <c r="AE1098" s="697"/>
      <c r="AF1098" s="655"/>
    </row>
    <row r="1099" spans="1:32" ht="12" customHeight="1">
      <c r="A1099" s="758" t="s">
        <v>16627</v>
      </c>
      <c r="B1099" s="2">
        <v>1</v>
      </c>
      <c r="C1099" s="4" t="s">
        <v>4318</v>
      </c>
      <c r="D1099" s="1" t="s">
        <v>4330</v>
      </c>
      <c r="E1099" s="6">
        <f t="shared" si="17"/>
        <v>51</v>
      </c>
      <c r="F1099" s="2" t="s">
        <v>5</v>
      </c>
      <c r="G1099" s="1" t="s">
        <v>15273</v>
      </c>
      <c r="K1099" s="4" t="s">
        <v>16128</v>
      </c>
      <c r="M1099" s="1" t="s">
        <v>6</v>
      </c>
      <c r="P1099" s="3" t="s">
        <v>4328</v>
      </c>
      <c r="Q1099" s="20">
        <v>22418</v>
      </c>
      <c r="R1099" s="3" t="s">
        <v>4331</v>
      </c>
      <c r="T1099" s="3" t="s">
        <v>6031</v>
      </c>
      <c r="U1099" s="3" t="s">
        <v>145</v>
      </c>
      <c r="W1099" s="2" t="s">
        <v>145</v>
      </c>
      <c r="AE1099" s="698"/>
      <c r="AF1099" s="655"/>
    </row>
    <row r="1100" spans="1:32" ht="12" customHeight="1">
      <c r="A1100" s="758" t="s">
        <v>16628</v>
      </c>
      <c r="B1100" s="2">
        <v>1</v>
      </c>
      <c r="C1100" s="4" t="s">
        <v>4393</v>
      </c>
      <c r="D1100" s="1" t="s">
        <v>5646</v>
      </c>
      <c r="E1100" s="6">
        <f t="shared" si="17"/>
        <v>49</v>
      </c>
      <c r="F1100" s="2" t="s">
        <v>5</v>
      </c>
      <c r="G1100" s="1" t="s">
        <v>15273</v>
      </c>
      <c r="K1100" s="4" t="s">
        <v>16128</v>
      </c>
      <c r="M1100" s="1" t="s">
        <v>6</v>
      </c>
      <c r="P1100" s="3" t="s">
        <v>95</v>
      </c>
      <c r="Q1100" s="21">
        <v>23228</v>
      </c>
      <c r="R1100" s="3" t="s">
        <v>5647</v>
      </c>
      <c r="T1100" s="3" t="s">
        <v>6031</v>
      </c>
      <c r="AE1100" s="698"/>
      <c r="AF1100" s="655"/>
    </row>
    <row r="1101" spans="1:32" ht="12" customHeight="1">
      <c r="A1101" s="758" t="s">
        <v>16629</v>
      </c>
      <c r="B1101" s="2">
        <v>1</v>
      </c>
      <c r="C1101" s="4" t="s">
        <v>4454</v>
      </c>
      <c r="D1101" s="1" t="s">
        <v>4467</v>
      </c>
      <c r="E1101" s="6">
        <f t="shared" si="17"/>
        <v>57</v>
      </c>
      <c r="F1101" s="2" t="s">
        <v>5</v>
      </c>
      <c r="G1101" s="1" t="s">
        <v>15273</v>
      </c>
      <c r="K1101" s="4" t="s">
        <v>16128</v>
      </c>
      <c r="M1101" s="1" t="s">
        <v>6</v>
      </c>
      <c r="P1101" s="3" t="s">
        <v>172</v>
      </c>
      <c r="Q1101" s="20">
        <v>20188</v>
      </c>
      <c r="R1101" s="3" t="s">
        <v>4469</v>
      </c>
      <c r="T1101" s="3" t="s">
        <v>6031</v>
      </c>
      <c r="U1101" s="3" t="s">
        <v>145</v>
      </c>
      <c r="W1101" s="2" t="s">
        <v>145</v>
      </c>
      <c r="AE1101" s="698"/>
      <c r="AF1101" s="655"/>
    </row>
    <row r="1102" spans="1:32" ht="12" customHeight="1">
      <c r="A1102" s="758" t="s">
        <v>16630</v>
      </c>
      <c r="B1102" s="2">
        <v>1</v>
      </c>
      <c r="C1102" s="4" t="s">
        <v>4682</v>
      </c>
      <c r="D1102" s="1" t="s">
        <v>4699</v>
      </c>
      <c r="E1102" s="6">
        <f t="shared" si="17"/>
        <v>41</v>
      </c>
      <c r="F1102" s="2" t="s">
        <v>19</v>
      </c>
      <c r="G1102" s="1" t="s">
        <v>15273</v>
      </c>
      <c r="K1102" s="4" t="s">
        <v>16128</v>
      </c>
      <c r="M1102" s="1" t="s">
        <v>6</v>
      </c>
      <c r="P1102" s="3" t="s">
        <v>4700</v>
      </c>
      <c r="Q1102" s="20">
        <v>26205</v>
      </c>
      <c r="R1102" s="3" t="s">
        <v>4701</v>
      </c>
      <c r="T1102" s="3" t="s">
        <v>6031</v>
      </c>
      <c r="U1102" s="3" t="s">
        <v>104</v>
      </c>
      <c r="AB1102" s="2" t="s">
        <v>104</v>
      </c>
      <c r="AE1102" s="698"/>
      <c r="AF1102" s="655"/>
    </row>
    <row r="1103" spans="1:32" ht="12" customHeight="1" thickBot="1">
      <c r="A1103" s="759" t="s">
        <v>16631</v>
      </c>
      <c r="B1103" s="702">
        <v>1</v>
      </c>
      <c r="C1103" s="700" t="s">
        <v>4768</v>
      </c>
      <c r="D1103" s="699" t="s">
        <v>4782</v>
      </c>
      <c r="E1103" s="701">
        <f t="shared" si="17"/>
        <v>36</v>
      </c>
      <c r="F1103" s="702" t="s">
        <v>5</v>
      </c>
      <c r="G1103" s="699" t="s">
        <v>15273</v>
      </c>
      <c r="H1103" s="703"/>
      <c r="I1103" s="699"/>
      <c r="J1103" s="699"/>
      <c r="K1103" s="700" t="s">
        <v>16128</v>
      </c>
      <c r="L1103" s="699"/>
      <c r="M1103" s="699" t="s">
        <v>6</v>
      </c>
      <c r="N1103" s="705"/>
      <c r="O1103" s="706"/>
      <c r="P1103" s="703" t="s">
        <v>452</v>
      </c>
      <c r="Q1103" s="707">
        <v>27924</v>
      </c>
      <c r="R1103" s="703" t="s">
        <v>16678</v>
      </c>
      <c r="S1103" s="703"/>
      <c r="T1103" s="703" t="s">
        <v>6031</v>
      </c>
      <c r="U1103" s="703" t="s">
        <v>146</v>
      </c>
      <c r="V1103" s="702"/>
      <c r="W1103" s="702"/>
      <c r="X1103" s="702"/>
      <c r="Y1103" s="702"/>
      <c r="Z1103" s="702"/>
      <c r="AA1103" s="702"/>
      <c r="AB1103" s="702"/>
      <c r="AC1103" s="702"/>
      <c r="AD1103" s="702" t="s">
        <v>146</v>
      </c>
      <c r="AE1103" s="708"/>
      <c r="AF1103" s="655"/>
    </row>
    <row r="1104" spans="1:32" ht="12" customHeight="1">
      <c r="A1104" s="760" t="s">
        <v>15614</v>
      </c>
      <c r="B1104" s="696">
        <v>1</v>
      </c>
      <c r="C1104" s="688" t="s">
        <v>4891</v>
      </c>
      <c r="D1104" s="687" t="s">
        <v>4894</v>
      </c>
      <c r="E1104" s="690">
        <f t="shared" si="17"/>
        <v>64</v>
      </c>
      <c r="F1104" s="696" t="s">
        <v>5</v>
      </c>
      <c r="G1104" s="687" t="s">
        <v>15273</v>
      </c>
      <c r="H1104" s="747" t="s">
        <v>4895</v>
      </c>
      <c r="I1104" s="687"/>
      <c r="J1104" s="687"/>
      <c r="K1104" s="688" t="s">
        <v>16117</v>
      </c>
      <c r="L1104" s="687"/>
      <c r="M1104" s="687" t="s">
        <v>25</v>
      </c>
      <c r="N1104" s="748">
        <v>4</v>
      </c>
      <c r="O1104" s="749">
        <v>4</v>
      </c>
      <c r="P1104" s="747" t="s">
        <v>1678</v>
      </c>
      <c r="Q1104" s="773">
        <v>17519</v>
      </c>
      <c r="R1104" s="747" t="s">
        <v>4896</v>
      </c>
      <c r="S1104" s="747"/>
      <c r="T1104" s="747" t="s">
        <v>16652</v>
      </c>
      <c r="U1104" s="747" t="s">
        <v>69</v>
      </c>
      <c r="V1104" s="696"/>
      <c r="W1104" s="696"/>
      <c r="X1104" s="696"/>
      <c r="Y1104" s="696"/>
      <c r="Z1104" s="696"/>
      <c r="AA1104" s="696"/>
      <c r="AB1104" s="696"/>
      <c r="AC1104" s="696"/>
      <c r="AD1104" s="696"/>
      <c r="AE1104" s="697" t="s">
        <v>69</v>
      </c>
      <c r="AF1104" s="655"/>
    </row>
    <row r="1105" spans="1:32" ht="12" customHeight="1">
      <c r="A1105" s="806" t="s">
        <v>5685</v>
      </c>
      <c r="B1105" s="2">
        <v>2</v>
      </c>
      <c r="C1105" s="2"/>
      <c r="D1105" s="6" t="s">
        <v>4973</v>
      </c>
      <c r="E1105" s="6">
        <f t="shared" si="17"/>
        <v>51</v>
      </c>
      <c r="F1105" s="6" t="s">
        <v>5</v>
      </c>
      <c r="G1105" s="2" t="s">
        <v>6067</v>
      </c>
      <c r="H1105" s="12"/>
      <c r="I1105" s="6"/>
      <c r="J1105" s="19"/>
      <c r="K1105" s="8" t="s">
        <v>16117</v>
      </c>
      <c r="L1105" s="6"/>
      <c r="M1105" s="6" t="s">
        <v>6</v>
      </c>
      <c r="N1105" s="13"/>
      <c r="O1105" s="14"/>
      <c r="P1105" s="12" t="s">
        <v>4974</v>
      </c>
      <c r="Q1105" s="15">
        <v>22401</v>
      </c>
      <c r="R1105" s="12" t="s">
        <v>4975</v>
      </c>
      <c r="S1105" s="12"/>
      <c r="T1105" s="12"/>
      <c r="U1105" s="12" t="s">
        <v>4976</v>
      </c>
      <c r="W1105" s="2" t="s">
        <v>4972</v>
      </c>
      <c r="AE1105" s="698" t="s">
        <v>4977</v>
      </c>
      <c r="AF1105" s="655"/>
    </row>
    <row r="1106" spans="1:32" ht="12" customHeight="1">
      <c r="A1106" s="806" t="s">
        <v>16632</v>
      </c>
      <c r="B1106" s="2">
        <v>3</v>
      </c>
      <c r="C1106" s="4" t="s">
        <v>5440</v>
      </c>
      <c r="D1106" s="1" t="s">
        <v>4448</v>
      </c>
      <c r="E1106" s="6">
        <f t="shared" si="17"/>
        <v>49</v>
      </c>
      <c r="F1106" s="2" t="s">
        <v>5</v>
      </c>
      <c r="G1106" s="1" t="s">
        <v>15273</v>
      </c>
      <c r="K1106" s="4" t="s">
        <v>16117</v>
      </c>
      <c r="M1106" s="1" t="s">
        <v>6</v>
      </c>
      <c r="P1106" s="3" t="s">
        <v>4449</v>
      </c>
      <c r="Q1106" s="20">
        <v>23023</v>
      </c>
      <c r="R1106" s="3" t="s">
        <v>4450</v>
      </c>
      <c r="U1106" s="3" t="s">
        <v>145</v>
      </c>
      <c r="W1106" s="2" t="s">
        <v>145</v>
      </c>
      <c r="AE1106" s="698"/>
      <c r="AF1106" s="655"/>
    </row>
    <row r="1107" spans="1:32" ht="12" customHeight="1" thickBot="1">
      <c r="A1107" s="761" t="s">
        <v>16633</v>
      </c>
      <c r="B1107" s="702">
        <v>4</v>
      </c>
      <c r="C1107" s="702"/>
      <c r="D1107" s="701" t="s">
        <v>5498</v>
      </c>
      <c r="E1107" s="701">
        <f t="shared" si="17"/>
        <v>46</v>
      </c>
      <c r="F1107" s="701" t="s">
        <v>5</v>
      </c>
      <c r="G1107" s="702" t="s">
        <v>6067</v>
      </c>
      <c r="H1107" s="740"/>
      <c r="I1107" s="701"/>
      <c r="J1107" s="741"/>
      <c r="K1107" s="704" t="s">
        <v>16117</v>
      </c>
      <c r="L1107" s="701"/>
      <c r="M1107" s="701" t="s">
        <v>6</v>
      </c>
      <c r="N1107" s="742"/>
      <c r="O1107" s="743"/>
      <c r="P1107" s="740" t="s">
        <v>5499</v>
      </c>
      <c r="Q1107" s="744">
        <v>24159</v>
      </c>
      <c r="R1107" s="740" t="s">
        <v>5500</v>
      </c>
      <c r="S1107" s="740"/>
      <c r="T1107" s="740"/>
      <c r="U1107" s="740" t="s">
        <v>147</v>
      </c>
      <c r="V1107" s="702"/>
      <c r="W1107" s="702"/>
      <c r="X1107" s="702"/>
      <c r="Y1107" s="702"/>
      <c r="Z1107" s="702"/>
      <c r="AA1107" s="702"/>
      <c r="AB1107" s="702"/>
      <c r="AC1107" s="702" t="s">
        <v>5501</v>
      </c>
      <c r="AD1107" s="702"/>
      <c r="AE1107" s="708"/>
      <c r="AF1107" s="655"/>
    </row>
    <row r="1108" spans="1:32" ht="12" customHeight="1">
      <c r="A1108" s="784" t="s">
        <v>16635</v>
      </c>
      <c r="B1108" s="696">
        <v>1</v>
      </c>
      <c r="C1108" s="688" t="s">
        <v>5343</v>
      </c>
      <c r="D1108" s="687" t="s">
        <v>5344</v>
      </c>
      <c r="E1108" s="690">
        <f t="shared" si="17"/>
        <v>36</v>
      </c>
      <c r="F1108" s="696" t="s">
        <v>19</v>
      </c>
      <c r="G1108" s="687" t="s">
        <v>15273</v>
      </c>
      <c r="H1108" s="747"/>
      <c r="I1108" s="687"/>
      <c r="J1108" s="687"/>
      <c r="K1108" s="688" t="s">
        <v>16121</v>
      </c>
      <c r="L1108" s="687"/>
      <c r="M1108" s="687" t="s">
        <v>6</v>
      </c>
      <c r="N1108" s="748"/>
      <c r="O1108" s="749"/>
      <c r="P1108" s="747" t="s">
        <v>4070</v>
      </c>
      <c r="Q1108" s="719">
        <v>27912</v>
      </c>
      <c r="R1108" s="747" t="s">
        <v>5470</v>
      </c>
      <c r="S1108" s="747"/>
      <c r="T1108" s="747"/>
      <c r="U1108" s="747"/>
      <c r="V1108" s="696"/>
      <c r="W1108" s="696"/>
      <c r="X1108" s="696"/>
      <c r="Y1108" s="696"/>
      <c r="Z1108" s="696"/>
      <c r="AA1108" s="696"/>
      <c r="AB1108" s="696"/>
      <c r="AC1108" s="696"/>
      <c r="AD1108" s="696"/>
      <c r="AE1108" s="697"/>
      <c r="AF1108" s="655"/>
    </row>
    <row r="1109" spans="1:32" ht="12" customHeight="1">
      <c r="A1109" s="785" t="s">
        <v>16636</v>
      </c>
      <c r="B1109" s="2">
        <v>1</v>
      </c>
      <c r="C1109" s="4" t="s">
        <v>4730</v>
      </c>
      <c r="D1109" s="1" t="s">
        <v>4738</v>
      </c>
      <c r="E1109" s="6">
        <f t="shared" si="17"/>
        <v>69</v>
      </c>
      <c r="F1109" s="2" t="s">
        <v>5</v>
      </c>
      <c r="G1109" s="1" t="s">
        <v>15273</v>
      </c>
      <c r="K1109" s="8" t="s">
        <v>16121</v>
      </c>
      <c r="M1109" s="1" t="s">
        <v>25</v>
      </c>
      <c r="N1109" s="16">
        <v>1</v>
      </c>
      <c r="O1109" s="17">
        <v>1</v>
      </c>
      <c r="P1109" s="3" t="s">
        <v>4739</v>
      </c>
      <c r="Q1109" s="20">
        <v>15879</v>
      </c>
      <c r="R1109" s="3" t="s">
        <v>4742</v>
      </c>
      <c r="U1109" s="3" t="s">
        <v>1942</v>
      </c>
      <c r="W1109" s="2" t="s">
        <v>145</v>
      </c>
      <c r="X1109" s="2" t="s">
        <v>75</v>
      </c>
      <c r="AE1109" s="698" t="s">
        <v>69</v>
      </c>
      <c r="AF1109" s="655"/>
    </row>
    <row r="1110" spans="1:32" ht="12" customHeight="1">
      <c r="A1110" s="785" t="s">
        <v>16637</v>
      </c>
      <c r="B1110" s="2">
        <v>1</v>
      </c>
      <c r="C1110" s="4" t="s">
        <v>16076</v>
      </c>
      <c r="D1110" s="1" t="s">
        <v>5345</v>
      </c>
      <c r="E1110" s="6">
        <f t="shared" si="17"/>
        <v>46</v>
      </c>
      <c r="F1110" s="2" t="s">
        <v>5</v>
      </c>
      <c r="G1110" s="1" t="s">
        <v>15273</v>
      </c>
      <c r="K1110" s="4" t="s">
        <v>16121</v>
      </c>
      <c r="M1110" s="1" t="s">
        <v>6</v>
      </c>
      <c r="P1110" s="3" t="s">
        <v>3552</v>
      </c>
      <c r="Q1110" s="20">
        <v>24378</v>
      </c>
      <c r="R1110" s="3" t="s">
        <v>5346</v>
      </c>
      <c r="AE1110" s="698"/>
      <c r="AF1110" s="655"/>
    </row>
    <row r="1111" spans="1:32" ht="12" customHeight="1">
      <c r="A1111" s="785" t="s">
        <v>16638</v>
      </c>
      <c r="B1111" s="2">
        <v>1</v>
      </c>
      <c r="C1111" s="4" t="s">
        <v>5705</v>
      </c>
      <c r="D1111" s="1" t="s">
        <v>5706</v>
      </c>
      <c r="E1111" s="6">
        <f t="shared" si="17"/>
        <v>56</v>
      </c>
      <c r="F1111" s="2" t="s">
        <v>5</v>
      </c>
      <c r="G1111" s="1" t="s">
        <v>15273</v>
      </c>
      <c r="K1111" s="4" t="s">
        <v>16121</v>
      </c>
      <c r="M1111" s="1" t="s">
        <v>6</v>
      </c>
      <c r="P1111" s="3" t="s">
        <v>5707</v>
      </c>
      <c r="Q1111" s="20">
        <v>20799</v>
      </c>
      <c r="R1111" s="3" t="s">
        <v>5708</v>
      </c>
      <c r="U1111" s="3" t="s">
        <v>69</v>
      </c>
      <c r="AE1111" s="698" t="s">
        <v>69</v>
      </c>
      <c r="AF1111" s="655"/>
    </row>
    <row r="1112" spans="1:32" ht="12" customHeight="1" thickBot="1">
      <c r="A1112" s="786" t="s">
        <v>16639</v>
      </c>
      <c r="B1112" s="702">
        <v>1</v>
      </c>
      <c r="C1112" s="700" t="s">
        <v>4904</v>
      </c>
      <c r="D1112" s="699" t="s">
        <v>4907</v>
      </c>
      <c r="E1112" s="701">
        <f t="shared" si="17"/>
        <v>67</v>
      </c>
      <c r="F1112" s="702" t="s">
        <v>5</v>
      </c>
      <c r="G1112" s="699" t="s">
        <v>15273</v>
      </c>
      <c r="H1112" s="703" t="s">
        <v>4908</v>
      </c>
      <c r="I1112" s="699"/>
      <c r="J1112" s="699"/>
      <c r="K1112" s="700" t="s">
        <v>16121</v>
      </c>
      <c r="L1112" s="699"/>
      <c r="M1112" s="699" t="s">
        <v>25</v>
      </c>
      <c r="N1112" s="705">
        <v>3</v>
      </c>
      <c r="O1112" s="706">
        <v>5</v>
      </c>
      <c r="P1112" s="703" t="s">
        <v>4660</v>
      </c>
      <c r="Q1112" s="707">
        <v>16642</v>
      </c>
      <c r="R1112" s="703" t="s">
        <v>4909</v>
      </c>
      <c r="S1112" s="703" t="s">
        <v>4910</v>
      </c>
      <c r="T1112" s="703" t="s">
        <v>16652</v>
      </c>
      <c r="U1112" s="703" t="s">
        <v>4911</v>
      </c>
      <c r="V1112" s="702"/>
      <c r="W1112" s="702" t="s">
        <v>145</v>
      </c>
      <c r="X1112" s="702"/>
      <c r="Y1112" s="702" t="s">
        <v>229</v>
      </c>
      <c r="Z1112" s="702"/>
      <c r="AA1112" s="702"/>
      <c r="AB1112" s="702"/>
      <c r="AC1112" s="702" t="s">
        <v>147</v>
      </c>
      <c r="AD1112" s="702"/>
      <c r="AE1112" s="708"/>
      <c r="AF1112" s="655"/>
    </row>
    <row r="1113" spans="1:32" ht="12" customHeight="1" thickBot="1">
      <c r="A1113" s="821" t="s">
        <v>15617</v>
      </c>
      <c r="B1113" s="660">
        <v>1</v>
      </c>
      <c r="C1113" s="660"/>
      <c r="D1113" s="660" t="s">
        <v>15618</v>
      </c>
      <c r="E1113" s="728">
        <f t="shared" si="17"/>
        <v>43</v>
      </c>
      <c r="F1113" s="660" t="s">
        <v>5</v>
      </c>
      <c r="G1113" s="660" t="s">
        <v>6067</v>
      </c>
      <c r="H1113" s="733" t="s">
        <v>15622</v>
      </c>
      <c r="I1113" s="660"/>
      <c r="J1113" s="660"/>
      <c r="K1113" s="762" t="s">
        <v>16119</v>
      </c>
      <c r="L1113" s="660"/>
      <c r="M1113" s="660" t="s">
        <v>25</v>
      </c>
      <c r="N1113" s="763">
        <v>1</v>
      </c>
      <c r="O1113" s="764">
        <v>1</v>
      </c>
      <c r="P1113" s="733" t="s">
        <v>15619</v>
      </c>
      <c r="Q1113" s="765">
        <v>25217</v>
      </c>
      <c r="R1113" s="733" t="s">
        <v>15620</v>
      </c>
      <c r="S1113" s="733" t="s">
        <v>15621</v>
      </c>
      <c r="T1113" s="733"/>
      <c r="U1113" s="733"/>
      <c r="V1113" s="660"/>
      <c r="W1113" s="660"/>
      <c r="X1113" s="660"/>
      <c r="Y1113" s="660"/>
      <c r="Z1113" s="660"/>
      <c r="AA1113" s="660"/>
      <c r="AB1113" s="660"/>
      <c r="AC1113" s="660"/>
      <c r="AD1113" s="660"/>
      <c r="AE1113" s="820"/>
      <c r="AF1113" s="655"/>
    </row>
    <row r="1114" spans="1:32" ht="12" customHeight="1">
      <c r="A1114" s="771" t="s">
        <v>16641</v>
      </c>
      <c r="B1114" s="696">
        <v>1</v>
      </c>
      <c r="C1114" s="696"/>
      <c r="D1114" s="690" t="s">
        <v>5152</v>
      </c>
      <c r="E1114" s="690">
        <f t="shared" si="17"/>
        <v>51</v>
      </c>
      <c r="F1114" s="690" t="s">
        <v>5</v>
      </c>
      <c r="G1114" s="696" t="s">
        <v>6067</v>
      </c>
      <c r="H1114" s="735"/>
      <c r="I1114" s="690"/>
      <c r="J1114" s="736"/>
      <c r="K1114" s="716" t="s">
        <v>16122</v>
      </c>
      <c r="L1114" s="690" t="s">
        <v>22</v>
      </c>
      <c r="M1114" s="690" t="s">
        <v>6</v>
      </c>
      <c r="N1114" s="737"/>
      <c r="O1114" s="738"/>
      <c r="P1114" s="735" t="s">
        <v>1089</v>
      </c>
      <c r="Q1114" s="739">
        <v>22545</v>
      </c>
      <c r="R1114" s="735" t="s">
        <v>5154</v>
      </c>
      <c r="S1114" s="735"/>
      <c r="T1114" s="735"/>
      <c r="U1114" s="735" t="s">
        <v>5155</v>
      </c>
      <c r="V1114" s="696"/>
      <c r="W1114" s="696"/>
      <c r="X1114" s="696"/>
      <c r="Y1114" s="696"/>
      <c r="Z1114" s="696" t="s">
        <v>5155</v>
      </c>
      <c r="AA1114" s="696"/>
      <c r="AB1114" s="696"/>
      <c r="AC1114" s="696"/>
      <c r="AD1114" s="696"/>
      <c r="AE1114" s="697"/>
      <c r="AF1114" s="655"/>
    </row>
    <row r="1115" spans="1:32" ht="12" customHeight="1">
      <c r="A1115" s="789" t="s">
        <v>16642</v>
      </c>
      <c r="B1115" s="2">
        <v>2</v>
      </c>
      <c r="C1115" s="2"/>
      <c r="D1115" s="2" t="s">
        <v>16640</v>
      </c>
      <c r="E1115" s="6">
        <f t="shared" si="17"/>
        <v>53</v>
      </c>
      <c r="F1115" s="2" t="s">
        <v>19</v>
      </c>
      <c r="G1115" s="2" t="s">
        <v>6067</v>
      </c>
      <c r="H1115" s="22"/>
      <c r="I1115" s="2"/>
      <c r="J1115" s="2"/>
      <c r="K1115" s="23" t="s">
        <v>16122</v>
      </c>
      <c r="L1115" s="2" t="s">
        <v>22</v>
      </c>
      <c r="M1115" s="2" t="s">
        <v>6</v>
      </c>
      <c r="N1115" s="24"/>
      <c r="O1115" s="25"/>
      <c r="P1115" s="22" t="s">
        <v>2163</v>
      </c>
      <c r="Q1115" s="21">
        <v>21854</v>
      </c>
      <c r="R1115" s="22" t="s">
        <v>5158</v>
      </c>
      <c r="S1115" s="22"/>
      <c r="T1115" s="22"/>
      <c r="U1115" s="22"/>
      <c r="AE1115" s="807"/>
      <c r="AF1115" s="655"/>
    </row>
    <row r="1116" spans="1:32" ht="12" customHeight="1">
      <c r="A1116" s="789" t="s">
        <v>16643</v>
      </c>
      <c r="B1116" s="2">
        <v>3</v>
      </c>
      <c r="C1116" s="2"/>
      <c r="D1116" s="2" t="s">
        <v>4978</v>
      </c>
      <c r="E1116" s="6">
        <f t="shared" si="17"/>
        <v>34</v>
      </c>
      <c r="F1116" s="2" t="s">
        <v>5</v>
      </c>
      <c r="G1116" s="2" t="s">
        <v>6067</v>
      </c>
      <c r="H1116" s="22"/>
      <c r="I1116" s="2"/>
      <c r="J1116" s="2"/>
      <c r="K1116" s="23" t="s">
        <v>16122</v>
      </c>
      <c r="L1116" s="2" t="s">
        <v>22</v>
      </c>
      <c r="M1116" s="2" t="s">
        <v>6</v>
      </c>
      <c r="N1116" s="24"/>
      <c r="O1116" s="25"/>
      <c r="P1116" s="22" t="s">
        <v>95</v>
      </c>
      <c r="Q1116" s="21">
        <v>28595</v>
      </c>
      <c r="R1116" s="22" t="s">
        <v>4979</v>
      </c>
      <c r="S1116" s="22"/>
      <c r="T1116" s="22"/>
      <c r="U1116" s="22"/>
      <c r="AE1116" s="698"/>
      <c r="AF1116" s="655"/>
    </row>
    <row r="1117" spans="1:32" ht="12" customHeight="1">
      <c r="A1117" s="789" t="s">
        <v>16644</v>
      </c>
      <c r="B1117" s="2">
        <v>4</v>
      </c>
      <c r="C1117" s="2"/>
      <c r="D1117" s="2" t="s">
        <v>5156</v>
      </c>
      <c r="E1117" s="6">
        <f t="shared" si="17"/>
        <v>58</v>
      </c>
      <c r="F1117" s="2" t="s">
        <v>5</v>
      </c>
      <c r="G1117" s="2" t="s">
        <v>6067</v>
      </c>
      <c r="H1117" s="22"/>
      <c r="I1117" s="2"/>
      <c r="J1117" s="2"/>
      <c r="K1117" s="23" t="s">
        <v>16122</v>
      </c>
      <c r="L1117" s="2" t="s">
        <v>22</v>
      </c>
      <c r="M1117" s="2" t="s">
        <v>6</v>
      </c>
      <c r="N1117" s="24"/>
      <c r="O1117" s="25"/>
      <c r="P1117" s="22" t="s">
        <v>1903</v>
      </c>
      <c r="Q1117" s="21">
        <v>19779</v>
      </c>
      <c r="R1117" s="22" t="s">
        <v>5157</v>
      </c>
      <c r="S1117" s="22"/>
      <c r="T1117" s="22"/>
      <c r="U1117" s="22"/>
      <c r="AE1117" s="807"/>
      <c r="AF1117" s="655"/>
    </row>
    <row r="1118" spans="1:32" ht="12" customHeight="1" thickBot="1">
      <c r="A1118" s="772" t="s">
        <v>16645</v>
      </c>
      <c r="B1118" s="702">
        <v>5</v>
      </c>
      <c r="C1118" s="702"/>
      <c r="D1118" s="701" t="s">
        <v>5159</v>
      </c>
      <c r="E1118" s="701">
        <f t="shared" si="17"/>
        <v>52</v>
      </c>
      <c r="F1118" s="701" t="s">
        <v>5</v>
      </c>
      <c r="G1118" s="702" t="s">
        <v>6067</v>
      </c>
      <c r="H1118" s="741"/>
      <c r="I1118" s="701"/>
      <c r="J1118" s="741"/>
      <c r="K1118" s="741" t="s">
        <v>16122</v>
      </c>
      <c r="L1118" s="701" t="s">
        <v>22</v>
      </c>
      <c r="M1118" s="701" t="s">
        <v>6</v>
      </c>
      <c r="N1118" s="742"/>
      <c r="O1118" s="743"/>
      <c r="P1118" s="740" t="s">
        <v>5153</v>
      </c>
      <c r="Q1118" s="744">
        <v>22235</v>
      </c>
      <c r="R1118" s="740" t="s">
        <v>5160</v>
      </c>
      <c r="S1118" s="740"/>
      <c r="T1118" s="740"/>
      <c r="U1118" s="741"/>
      <c r="V1118" s="702"/>
      <c r="W1118" s="702"/>
      <c r="X1118" s="702"/>
      <c r="Y1118" s="702"/>
      <c r="Z1118" s="702"/>
      <c r="AA1118" s="702"/>
      <c r="AB1118" s="702"/>
      <c r="AC1118" s="702"/>
      <c r="AD1118" s="702"/>
      <c r="AE1118" s="792"/>
      <c r="AF1118" s="655"/>
    </row>
    <row r="1119" spans="1:32" ht="12" customHeight="1">
      <c r="A1119" s="684"/>
      <c r="B1119" s="685"/>
      <c r="C1119" s="685"/>
      <c r="D1119" s="684"/>
      <c r="E1119" s="684"/>
      <c r="F1119" s="822">
        <f>COUNTIF(F2:F1118,"女")</f>
        <v>144</v>
      </c>
      <c r="G1119" s="822">
        <f>COUNTIF(G2:G1118,"単")</f>
        <v>210</v>
      </c>
      <c r="H1119" s="684"/>
      <c r="I1119" s="684"/>
      <c r="J1119" s="684"/>
      <c r="K1119" s="684"/>
      <c r="L1119" s="684"/>
      <c r="M1119" s="684"/>
      <c r="N1119" s="684"/>
      <c r="O1119" s="684"/>
      <c r="P1119" s="684"/>
      <c r="Q1119" s="714">
        <f>小選挙区!P1298</f>
        <v>41259</v>
      </c>
      <c r="R1119" s="684"/>
      <c r="S1119" s="684"/>
      <c r="T1119" s="684" t="s">
        <v>5270</v>
      </c>
      <c r="U1119" s="684">
        <f>COUNTIF(V13:V1118,"官")</f>
        <v>102</v>
      </c>
      <c r="V1119" s="684"/>
      <c r="W1119" s="684"/>
      <c r="X1119" s="684"/>
      <c r="Y1119" s="684"/>
      <c r="Z1119" s="684"/>
      <c r="AA1119" s="684"/>
      <c r="AB1119" s="684"/>
      <c r="AC1119" s="684"/>
      <c r="AD1119" s="684"/>
      <c r="AE1119" s="684"/>
    </row>
    <row r="1120" spans="1:32" ht="12" customHeight="1">
      <c r="T1120" s="3" t="s">
        <v>5271</v>
      </c>
      <c r="U1120" s="3">
        <f>COUNTIF(W13:W1118,"議")</f>
        <v>288</v>
      </c>
    </row>
    <row r="1121" spans="20:21" s="3" customFormat="1" ht="12" customHeight="1">
      <c r="T1121" s="3" t="s">
        <v>5272</v>
      </c>
      <c r="U1121" s="3">
        <f>COUNTIF(X13:X1118,"首")</f>
        <v>28</v>
      </c>
    </row>
    <row r="1122" spans="20:21" s="3" customFormat="1" ht="12" customHeight="1">
      <c r="T1122" s="3" t="s">
        <v>5273</v>
      </c>
      <c r="U1122" s="3">
        <f>COUNTIF(Y13:Y1118,"鞍")</f>
        <v>37</v>
      </c>
    </row>
    <row r="1123" spans="20:21" s="3" customFormat="1" ht="12" customHeight="1">
      <c r="T1123" s="3" t="s">
        <v>5274</v>
      </c>
      <c r="U1123" s="3">
        <f>COUNTIF(Z13:Z1118,"ジ")</f>
        <v>65</v>
      </c>
    </row>
    <row r="1124" spans="20:21" s="3" customFormat="1" ht="12" customHeight="1">
      <c r="T1124" s="3" t="s">
        <v>5275</v>
      </c>
      <c r="U1124" s="3">
        <f>COUNTIF(AA13:AA1118,"タ")</f>
        <v>23</v>
      </c>
    </row>
    <row r="1125" spans="20:21" s="3" customFormat="1" ht="12" customHeight="1">
      <c r="T1125" s="3" t="s">
        <v>5276</v>
      </c>
      <c r="U1125" s="3">
        <f>COUNTIF(AB13:AB1118,"二")</f>
        <v>143</v>
      </c>
    </row>
    <row r="1126" spans="20:21" s="3" customFormat="1" ht="12" customHeight="1">
      <c r="T1126" s="3" t="s">
        <v>5277</v>
      </c>
      <c r="U1126" s="3">
        <f>COUNTIF(AC13:AC1118,"法")</f>
        <v>40</v>
      </c>
    </row>
    <row r="1127" spans="20:21" s="3" customFormat="1" ht="12" customHeight="1">
      <c r="T1127" s="3" t="s">
        <v>5278</v>
      </c>
      <c r="U1127" s="3">
        <f>COUNTIF(AD13:AD1118,"松")</f>
        <v>53</v>
      </c>
    </row>
    <row r="1128" spans="20:21" s="3" customFormat="1" ht="12" customHeight="1">
      <c r="T1128" s="3" t="s">
        <v>5279</v>
      </c>
      <c r="U1128" s="3">
        <f>COUNTIF(AE13:AE1118,"労")</f>
        <v>42</v>
      </c>
    </row>
  </sheetData>
  <sortState ref="A2:AF1118">
    <sortCondition ref="A2:A1118"/>
  </sortState>
  <phoneticPr fontId="3"/>
  <conditionalFormatting sqref="A1129:XFD1048576 A1119:S1128 V1119:XFD1128 A1:XFD1 AF2:XFD12 A2:B12 A50:B71 AF50:XFD71 E2:E12 AF142:XFD168 A169:D169 F169:J169 A142:B168 A265:B295 AF265:XFD295 A296:D296 F296:J296 E265:E296 A404:B427 AF404:XFD427 A428:D428 F428:J428 E404:E428 A522:B540 AF522:XFD540 A541:D541 F541:J541 E522:E541 A595:B627 AF595:XFD627 A628:D647 E595:E647 A718:B760 AF718:XFD760 A761:D761 F761:J761 E718:E761 A884:B901 AF884:XFD901 A902:D902 F902:J902 E884:E902 A951:B959 AF951:XFD959 A960:D974 F960:J974 E951:E974 A994:B1021 AF994:XFD1021 A1022:D1022 F1022:J1022 A13:J23 L13:XFD23 F72:J98 L72:XFD98 L169:XFD206 L296:XFD330 L428:XFD457 L541:XFD566 F628:XFD643 F644:J647 A648:J648 L644:XFD648 L761:XFD799 L902:XFD927 L960:XFD977 A24:XFD27 A49:XFD49 A28:B28 U28:XFD28 A29:D30 F29:XFD30 A31:B33 AF31:XFD33 A34:D34 F34:XFD34 A35:B37 AF35:XFD37 A38:D38 F38:XFD38 A39:B39 S39:XFD39 A40:D40 F40:XFD40 A41:B47 AF41:XFD47 A48:D48 F48:XFD48 E28:E48 A72:D98 L113:XFD115 U99:XFD99 AF100:XFD105 U106:XFD106 A99:B112 AF107:XFD112 E50:E112 A113:J113 L129:XFD130 AF116:XFD128 A114:D115 F114:J115 A116:B128 F129:J130 F140:XFD141 A129:D130 A136:D141 A131:B135 F136:J139 L136:XFD139 AF131:XFD135 E114:E169 A170:J204 L219:XFD224 AF207:XFD218 A207:B218 A219:D221 F219:J221 A205:D206 F205:J206 E205:E221 A222:J224 L241:XFD243 AF225:XFD240 A225:B240 A241:D242 F241:J242 E225:E242 A243:J243 L255:XFD256 AF244:XFD254 A244:B254 A255:D256 A261:J264 L260:XFD264 AF257:XFD259 F255:J256 A257:B258 B259 A259:A260 B260:D260 F260:J260 E244:E260 A297:J330 A331:B346 L347:XFD355 AF331:XFD346 A347:D347 F347:J347 E331:E347 A348:J354 L392:XFD393 AF356:XFD391 A355:D355 F355:J355 A356:B391 E355:E391 A392:J393 A394:B394 L395:XFD395 AF394:XFD394 E394 A395:J395 A399:J403 A396:B397 L398:XFD403 AF396:XFD397 A398:D398 F398:J398 E396:E398 A429:J457 A458:B474 L475:XFD481 AF458:XFD474 A475:D475 F475:J475 E458:E475 A476:J480 L501:XFD501 A481:D481 F481:J481 AF482:XFD500 A482:B500 A517:J521 A514:B514 L515:XFD521 S514:XFD514 A515:D516 F515:J516 F501:J501 A501:D501 A512:D513 A502:B511 F512:J513 L512:XFD513 AF502:XFD511 E481:E516 A542:J566 L570:XFD572 AF567:XFD569 A567:B569 A570:D570 F570:J570 E567:E570 A571:J572 A573:B580 L581:XFD581 AF573:XFD580 F581:J581 A581:D581 A582:B583 L584:XFD585 AF582:XFD583 A584:D584 F584:J584 E573:E584 A585:J585 A592:J594 A586:B590 L591:XFD594 AF586:XFD590 A591:D591 F591:J591 E586:E591 A649:XFD663 A664:B683 AF664:XFD683 A684:D684 F684:XFD684 E664:E684 A685:XFD690 A691:B702 AF691:XFD702 E691:E702 A703:XFD703 A704:B706 AF704:XFD706 E704:E706 A707:XFD710 A711:B711 AF711:XFD711 A712:D713 F712:XFD713 E711:E713 A714:XFD717 A762:J799 A800:B811 L812:XFD822 AF800:XFD811 A812:D812 F812:J812 E800:E812 A813:J822 L831:XFD831 AF823:XFD830 A823:B830 A831:D831 F831:J831 B860:D860 L860:XFD860 AF832:XFD859 B832:B859 F860:J860 A877:J883 L868:XFD868 AF861:XFD867 B861:B867 B868:D868 B870:D870 B869 L870:XFD870 AF869:XFD869 L876:XFD883 B871:B875 AF871:XFD875 F870:J870 F868:J868 A832:A875 A876:D876 F876:J876 E823:E876 A935:B940 L941:XFD942 AF935:XFD940 A941:D941 F941:J941 E935:E941 A942:J942 A945:J950 A943:B943 L944:XFD950 AF943:XFD943 A944:D944 F944:J944 E943:E944 A975:J977 A978:B978 L979:XFD981 AF978:XFD978 A979:D979 F979:J979 E978:E979 A980:J981 L988:XFD990 AF982:XFD987 A982:B987 A988:D989 F988:J989 E982:E989 A990:J990 A993:D993 A991:B992 L993:XFD993 AF991:XFD992 F993:J993 E991:E1022 L1022:XFD1062 K1048:K1062 A1023:J1062 A1063:B1072 AF1063:XFD1072 A1073:D1073 F1073:XFD1073 E1063:E1073 A1074:XFD1078 A1079:B1096 AF1079:XFD1096 F1097:XFD1097 A1097:D1097 AF1098:XFD1104 A1098:B1104 A1105:D1105 A1106:B1106 AF1106:XFD1106 A1107:D1107 F1107:XFD1107 F1105:XFD1105 AF1108:XFD1112 A1114:XFD1118 A1113:D1113 F1113:XFD1113 E1079:E1113 A1108:B1112 A903:J927 A932:J934 A928:B930 L931:XFD934 AF928:XFD930 A931:D931 F931:J931 E928:E931">
    <cfRule type="containsText" dxfId="865" priority="432" operator="containsText" text="？">
      <formula>NOT(ISERROR(SEARCH("？",A1)))</formula>
    </cfRule>
  </conditionalFormatting>
  <conditionalFormatting sqref="F1 F13:F27 F72:F98 F169:F206 F428:F457 F541:F566 F761:F799 F960:F977 F296:F330 F628:F663 F902:F927 F29:F30 F34 F38 F40 F48:F49 F113:F115 F129:F130 F136:F141 F219:F224 F241:F243 F255:F256 F260:F264 F347:F355 F392:F393 F395 F398:F403 F475:F481 F501 F515:F521 F512:F513 F570:F572 F581 F584:F585 F591:F594 F684:F690 F703 F707:F710 F712:F717 F812:F822 F831 F860 F868 F870 F876:F883 F941:F942 F944:F950 F979:F981 F988:F990 F993 F1022:F1062 F1073:F1078 F1097 F1105 F1107 F1113:F1048576 F931:F934">
    <cfRule type="containsText" dxfId="864" priority="431" operator="containsText" text="女">
      <formula>NOT(ISERROR(SEARCH("女",F1)))</formula>
    </cfRule>
  </conditionalFormatting>
  <conditionalFormatting sqref="T1119:U1128">
    <cfRule type="containsText" dxfId="863" priority="430" operator="containsText" text="？">
      <formula>NOT(ISERROR(SEARCH("？",T1119)))</formula>
    </cfRule>
  </conditionalFormatting>
  <conditionalFormatting sqref="C24:AE24 C14:J23 L14:AE23">
    <cfRule type="containsText" dxfId="862" priority="429" operator="containsText" text="？">
      <formula>NOT(ISERROR(SEARCH("？",C14)))</formula>
    </cfRule>
  </conditionalFormatting>
  <conditionalFormatting sqref="F14:F24">
    <cfRule type="containsText" dxfId="861" priority="428" operator="containsText" text="女">
      <formula>NOT(ISERROR(SEARCH("女",F14)))</formula>
    </cfRule>
  </conditionalFormatting>
  <conditionalFormatting sqref="F91:F95">
    <cfRule type="containsText" dxfId="860" priority="424" operator="containsText" text="女">
      <formula>NOT(ISERROR(SEARCH("女",F91)))</formula>
    </cfRule>
  </conditionalFormatting>
  <conditionalFormatting sqref="C72:D90 F72:J90 L72:AE90">
    <cfRule type="containsText" dxfId="859" priority="427" operator="containsText" text="？">
      <formula>NOT(ISERROR(SEARCH("？",C72)))</formula>
    </cfRule>
  </conditionalFormatting>
  <conditionalFormatting sqref="F72:F90">
    <cfRule type="containsText" dxfId="858" priority="426" operator="containsText" text="女">
      <formula>NOT(ISERROR(SEARCH("女",F72)))</formula>
    </cfRule>
  </conditionalFormatting>
  <conditionalFormatting sqref="C91:D95 F91:J95 L91:AE95">
    <cfRule type="containsText" dxfId="857" priority="425" operator="containsText" text="？">
      <formula>NOT(ISERROR(SEARCH("？",C91)))</formula>
    </cfRule>
  </conditionalFormatting>
  <conditionalFormatting sqref="C169:D169 F169:J169 C170:J200 L169:AE200">
    <cfRule type="containsText" dxfId="856" priority="423" operator="containsText" text="？">
      <formula>NOT(ISERROR(SEARCH("？",C169)))</formula>
    </cfRule>
  </conditionalFormatting>
  <conditionalFormatting sqref="F169:F200">
    <cfRule type="containsText" dxfId="855" priority="422" operator="containsText" text="女">
      <formula>NOT(ISERROR(SEARCH("女",F169)))</formula>
    </cfRule>
  </conditionalFormatting>
  <conditionalFormatting sqref="C400:J403 C428:D428 F428:J428 E404:E428 L400:AE403 C429:J447 L428:AE447">
    <cfRule type="containsText" dxfId="854" priority="419" operator="containsText" text="？">
      <formula>NOT(ISERROR(SEARCH("？",C400)))</formula>
    </cfRule>
  </conditionalFormatting>
  <conditionalFormatting sqref="F400:F403 F428:F447">
    <cfRule type="containsText" dxfId="853" priority="418" operator="containsText" text="女">
      <formula>NOT(ISERROR(SEARCH("女",F400)))</formula>
    </cfRule>
  </conditionalFormatting>
  <conditionalFormatting sqref="C585:J585 C628:D647 E595:E647 L584:AE585 F628:AE643 F644:J647 C648:J648 L644:AE648 C649:AE654 K654:K658 C584:D584 F584:J584 L591:AE594 C592:J594 C591:D591 F591:J591 E586:E591">
    <cfRule type="containsText" dxfId="852" priority="415" operator="containsText" text="？">
      <formula>NOT(ISERROR(SEARCH("？",C584)))</formula>
    </cfRule>
  </conditionalFormatting>
  <conditionalFormatting sqref="F584:F585 F628:F654 F591:F594">
    <cfRule type="containsText" dxfId="851" priority="414" operator="containsText" text="女">
      <formula>NOT(ISERROR(SEARCH("女",F584)))</formula>
    </cfRule>
  </conditionalFormatting>
  <conditionalFormatting sqref="C714:AE715 C712:D713 F712:AE713">
    <cfRule type="containsText" dxfId="850" priority="413" operator="containsText" text="？">
      <formula>NOT(ISERROR(SEARCH("？",C712)))</formula>
    </cfRule>
  </conditionalFormatting>
  <conditionalFormatting sqref="F712:F715">
    <cfRule type="containsText" dxfId="849" priority="412" operator="containsText" text="女">
      <formula>NOT(ISERROR(SEARCH("女",F712)))</formula>
    </cfRule>
  </conditionalFormatting>
  <conditionalFormatting sqref="C716:AE717 C761:D761 F761:J761 E718:E761 C762:J774 L761:AE774">
    <cfRule type="containsText" dxfId="848" priority="411" operator="containsText" text="？">
      <formula>NOT(ISERROR(SEARCH("？",C716)))</formula>
    </cfRule>
  </conditionalFormatting>
  <conditionalFormatting sqref="F716:F717 F761:F774">
    <cfRule type="containsText" dxfId="847" priority="410" operator="containsText" text="女">
      <formula>NOT(ISERROR(SEARCH("女",F716)))</formula>
    </cfRule>
  </conditionalFormatting>
  <conditionalFormatting sqref="C775:J792 L775:AE792">
    <cfRule type="containsText" dxfId="846" priority="409" operator="containsText" text="？">
      <formula>NOT(ISERROR(SEARCH("？",C775)))</formula>
    </cfRule>
  </conditionalFormatting>
  <conditionalFormatting sqref="F775:F792">
    <cfRule type="containsText" dxfId="845" priority="408" operator="containsText" text="女">
      <formula>NOT(ISERROR(SEARCH("女",F775)))</formula>
    </cfRule>
  </conditionalFormatting>
  <conditionalFormatting sqref="C880:J883 C902:D902 F902:J902 E884:E902 L878:AE883 L902:AE902 C878:D879 F878:J879">
    <cfRule type="containsText" dxfId="844" priority="407" operator="containsText" text="？">
      <formula>NOT(ISERROR(SEARCH("？",C878)))</formula>
    </cfRule>
  </conditionalFormatting>
  <conditionalFormatting sqref="F878:F883">
    <cfRule type="containsText" dxfId="843" priority="406" operator="containsText" text="女">
      <formula>NOT(ISERROR(SEARCH("女",F878)))</formula>
    </cfRule>
  </conditionalFormatting>
  <conditionalFormatting sqref="C934:J934 C960:D964 F960:J964 E951:E974 L934:AE934 L960:AE964 L941:AE942 C942:J942 C941:D941 F941:J941 E935:E941 C945:J950 L944:AE950 C944:D944 F944:J944 E943:E944">
    <cfRule type="containsText" dxfId="842" priority="405" operator="containsText" text="？">
      <formula>NOT(ISERROR(SEARCH("？",C934)))</formula>
    </cfRule>
  </conditionalFormatting>
  <conditionalFormatting sqref="F934 F960:F964 F941:F942 F944:F950">
    <cfRule type="containsText" dxfId="841" priority="404" operator="containsText" text="女">
      <formula>NOT(ISERROR(SEARCH("女",F934)))</formula>
    </cfRule>
  </conditionalFormatting>
  <conditionalFormatting sqref="C980:J981 C1022:D1022 F1022:J1022 L980:AE981 C1023:J1028 L1022:AE1028 L988:AE990 C990:J990 C988:D989 F988:J989 E982:E989 C993:D993 L993:AE993 F993:J993 E991:E1022">
    <cfRule type="containsText" dxfId="840" priority="403" operator="containsText" text="？">
      <formula>NOT(ISERROR(SEARCH("？",C980)))</formula>
    </cfRule>
  </conditionalFormatting>
  <conditionalFormatting sqref="F980:F981 F1022:F1028 F988:F990 F993">
    <cfRule type="containsText" dxfId="839" priority="402" operator="containsText" text="女">
      <formula>NOT(ISERROR(SEARCH("女",F980)))</formula>
    </cfRule>
  </conditionalFormatting>
  <conditionalFormatting sqref="C1035:J1041 L1035:AE1041">
    <cfRule type="containsText" dxfId="838" priority="399" operator="containsText" text="？">
      <formula>NOT(ISERROR(SEARCH("？",C1035)))</formula>
    </cfRule>
  </conditionalFormatting>
  <conditionalFormatting sqref="F1035:F1041">
    <cfRule type="containsText" dxfId="837" priority="398" operator="containsText" text="女">
      <formula>NOT(ISERROR(SEARCH("女",F1035)))</formula>
    </cfRule>
  </conditionalFormatting>
  <conditionalFormatting sqref="C1042:J1049 L1042:AE1049">
    <cfRule type="containsText" dxfId="836" priority="397" operator="containsText" text="？">
      <formula>NOT(ISERROR(SEARCH("？",C1042)))</formula>
    </cfRule>
  </conditionalFormatting>
  <conditionalFormatting sqref="F1042:F1049">
    <cfRule type="containsText" dxfId="835" priority="396" operator="containsText" text="女">
      <formula>NOT(ISERROR(SEARCH("女",F1042)))</formula>
    </cfRule>
  </conditionalFormatting>
  <conditionalFormatting sqref="F2:F12">
    <cfRule type="containsText" dxfId="834" priority="394" operator="containsText" text="女">
      <formula>NOT(ISERROR(SEARCH("女",F2)))</formula>
    </cfRule>
  </conditionalFormatting>
  <conditionalFormatting sqref="C2:D12 F2:AE12">
    <cfRule type="containsText" dxfId="833" priority="395" operator="containsText" text="？">
      <formula>NOT(ISERROR(SEARCH("？",C2)))</formula>
    </cfRule>
  </conditionalFormatting>
  <conditionalFormatting sqref="F50:F71">
    <cfRule type="containsText" dxfId="832" priority="392" operator="containsText" text="女">
      <formula>NOT(ISERROR(SEARCH("女",F50)))</formula>
    </cfRule>
  </conditionalFormatting>
  <conditionalFormatting sqref="C50:D71 F60:AE67 F50:J59 L50:AE59 F68:J71 L68:AE71">
    <cfRule type="containsText" dxfId="831" priority="393" operator="containsText" text="？">
      <formula>NOT(ISERROR(SEARCH("？",C50)))</formula>
    </cfRule>
  </conditionalFormatting>
  <conditionalFormatting sqref="F142:F168">
    <cfRule type="containsText" dxfId="830" priority="390" operator="containsText" text="女">
      <formula>NOT(ISERROR(SEARCH("女",F142)))</formula>
    </cfRule>
  </conditionalFormatting>
  <conditionalFormatting sqref="C142:D168 F142:AE145 F146:J168 L146:AE168">
    <cfRule type="containsText" dxfId="829" priority="391" operator="containsText" text="？">
      <formula>NOT(ISERROR(SEARCH("？",C142)))</formula>
    </cfRule>
  </conditionalFormatting>
  <conditionalFormatting sqref="C265:D295 F265:J295 L265:AE295">
    <cfRule type="containsText" dxfId="828" priority="389" operator="containsText" text="？">
      <formula>NOT(ISERROR(SEARCH("？",C265)))</formula>
    </cfRule>
  </conditionalFormatting>
  <conditionalFormatting sqref="F265:F295">
    <cfRule type="containsText" dxfId="827" priority="388" operator="containsText" text="女">
      <formula>NOT(ISERROR(SEARCH("女",F265)))</formula>
    </cfRule>
  </conditionalFormatting>
  <conditionalFormatting sqref="C404:D427 F404:J427 L404:AE427">
    <cfRule type="containsText" dxfId="826" priority="387" operator="containsText" text="？">
      <formula>NOT(ISERROR(SEARCH("？",C404)))</formula>
    </cfRule>
  </conditionalFormatting>
  <conditionalFormatting sqref="F404:F427">
    <cfRule type="containsText" dxfId="825" priority="386" operator="containsText" text="女">
      <formula>NOT(ISERROR(SEARCH("女",F404)))</formula>
    </cfRule>
  </conditionalFormatting>
  <conditionalFormatting sqref="C522:D540 F522:J540 L522:AE540">
    <cfRule type="containsText" dxfId="824" priority="385" operator="containsText" text="？">
      <formula>NOT(ISERROR(SEARCH("？",C522)))</formula>
    </cfRule>
  </conditionalFormatting>
  <conditionalFormatting sqref="F522:F540">
    <cfRule type="containsText" dxfId="823" priority="384" operator="containsText" text="女">
      <formula>NOT(ISERROR(SEARCH("女",F522)))</formula>
    </cfRule>
  </conditionalFormatting>
  <conditionalFormatting sqref="C595:D627 F623:AE627 F595:J622 L595:AE622">
    <cfRule type="containsText" dxfId="822" priority="383" operator="containsText" text="？">
      <formula>NOT(ISERROR(SEARCH("？",C595)))</formula>
    </cfRule>
  </conditionalFormatting>
  <conditionalFormatting sqref="F595:F627">
    <cfRule type="containsText" dxfId="821" priority="382" operator="containsText" text="女">
      <formula>NOT(ISERROR(SEARCH("女",F595)))</formula>
    </cfRule>
  </conditionalFormatting>
  <conditionalFormatting sqref="C718:D760 F718:AE747 F748:J760 L748:AE760">
    <cfRule type="containsText" dxfId="820" priority="381" operator="containsText" text="？">
      <formula>NOT(ISERROR(SEARCH("？",C718)))</formula>
    </cfRule>
  </conditionalFormatting>
  <conditionalFormatting sqref="F718:F760">
    <cfRule type="containsText" dxfId="819" priority="380" operator="containsText" text="女">
      <formula>NOT(ISERROR(SEARCH("女",F718)))</formula>
    </cfRule>
  </conditionalFormatting>
  <conditionalFormatting sqref="C884:D901 F884:J901 L884:AE901">
    <cfRule type="containsText" dxfId="818" priority="379" operator="containsText" text="？">
      <formula>NOT(ISERROR(SEARCH("？",C884)))</formula>
    </cfRule>
  </conditionalFormatting>
  <conditionalFormatting sqref="F884:F901">
    <cfRule type="containsText" dxfId="817" priority="378" operator="containsText" text="女">
      <formula>NOT(ISERROR(SEARCH("女",F884)))</formula>
    </cfRule>
  </conditionalFormatting>
  <conditionalFormatting sqref="C951:D959 F951:J959 L951:AE959">
    <cfRule type="containsText" dxfId="816" priority="377" operator="containsText" text="？">
      <formula>NOT(ISERROR(SEARCH("？",C951)))</formula>
    </cfRule>
  </conditionalFormatting>
  <conditionalFormatting sqref="F951:F959">
    <cfRule type="containsText" dxfId="815" priority="376" operator="containsText" text="女">
      <formula>NOT(ISERROR(SEARCH("女",F951)))</formula>
    </cfRule>
  </conditionalFormatting>
  <conditionalFormatting sqref="C994:D1021 F994:J1021 L994:AE1021">
    <cfRule type="containsText" dxfId="814" priority="375" operator="containsText" text="？">
      <formula>NOT(ISERROR(SEARCH("？",C994)))</formula>
    </cfRule>
  </conditionalFormatting>
  <conditionalFormatting sqref="F994:F1021">
    <cfRule type="containsText" dxfId="813" priority="374" operator="containsText" text="女">
      <formula>NOT(ISERROR(SEARCH("女",F994)))</formula>
    </cfRule>
  </conditionalFormatting>
  <conditionalFormatting sqref="K13:K23">
    <cfRule type="containsText" dxfId="812" priority="373" operator="containsText" text="？">
      <formula>NOT(ISERROR(SEARCH("？",K13)))</formula>
    </cfRule>
  </conditionalFormatting>
  <conditionalFormatting sqref="K50:K54">
    <cfRule type="containsText" dxfId="811" priority="372" operator="containsText" text="？">
      <formula>NOT(ISERROR(SEARCH("？",K50)))</formula>
    </cfRule>
  </conditionalFormatting>
  <conditionalFormatting sqref="K55:K59">
    <cfRule type="containsText" dxfId="810" priority="371" operator="containsText" text="？">
      <formula>NOT(ISERROR(SEARCH("？",K55)))</formula>
    </cfRule>
  </conditionalFormatting>
  <conditionalFormatting sqref="K68:K72">
    <cfRule type="containsText" dxfId="809" priority="370" operator="containsText" text="？">
      <formula>NOT(ISERROR(SEARCH("？",K68)))</formula>
    </cfRule>
  </conditionalFormatting>
  <conditionalFormatting sqref="K73:K77">
    <cfRule type="containsText" dxfId="808" priority="369" operator="containsText" text="？">
      <formula>NOT(ISERROR(SEARCH("？",K73)))</formula>
    </cfRule>
  </conditionalFormatting>
  <conditionalFormatting sqref="K78:K82">
    <cfRule type="containsText" dxfId="807" priority="368" operator="containsText" text="？">
      <formula>NOT(ISERROR(SEARCH("？",K78)))</formula>
    </cfRule>
  </conditionalFormatting>
  <conditionalFormatting sqref="K83:K87">
    <cfRule type="containsText" dxfId="806" priority="367" operator="containsText" text="？">
      <formula>NOT(ISERROR(SEARCH("？",K83)))</formula>
    </cfRule>
  </conditionalFormatting>
  <conditionalFormatting sqref="K88:K92">
    <cfRule type="containsText" dxfId="805" priority="366" operator="containsText" text="？">
      <formula>NOT(ISERROR(SEARCH("？",K88)))</formula>
    </cfRule>
  </conditionalFormatting>
  <conditionalFormatting sqref="K93:K97">
    <cfRule type="containsText" dxfId="804" priority="365" operator="containsText" text="？">
      <formula>NOT(ISERROR(SEARCH("？",K93)))</formula>
    </cfRule>
  </conditionalFormatting>
  <conditionalFormatting sqref="K98 K113:K115 K129">
    <cfRule type="containsText" dxfId="803" priority="364" operator="containsText" text="？">
      <formula>NOT(ISERROR(SEARCH("？",K98)))</formula>
    </cfRule>
  </conditionalFormatting>
  <conditionalFormatting sqref="K130 K136:K139">
    <cfRule type="containsText" dxfId="802" priority="363" operator="containsText" text="？">
      <formula>NOT(ISERROR(SEARCH("？",K130)))</formula>
    </cfRule>
  </conditionalFormatting>
  <conditionalFormatting sqref="K146">
    <cfRule type="containsText" dxfId="801" priority="362" operator="containsText" text="？">
      <formula>NOT(ISERROR(SEARCH("？",K146)))</formula>
    </cfRule>
  </conditionalFormatting>
  <conditionalFormatting sqref="K147:K150">
    <cfRule type="containsText" dxfId="800" priority="361" operator="containsText" text="？">
      <formula>NOT(ISERROR(SEARCH("？",K147)))</formula>
    </cfRule>
  </conditionalFormatting>
  <conditionalFormatting sqref="K151">
    <cfRule type="containsText" dxfId="799" priority="360" operator="containsText" text="？">
      <formula>NOT(ISERROR(SEARCH("？",K151)))</formula>
    </cfRule>
  </conditionalFormatting>
  <conditionalFormatting sqref="K152:K155">
    <cfRule type="containsText" dxfId="798" priority="359" operator="containsText" text="？">
      <formula>NOT(ISERROR(SEARCH("？",K152)))</formula>
    </cfRule>
  </conditionalFormatting>
  <conditionalFormatting sqref="K156">
    <cfRule type="containsText" dxfId="797" priority="358" operator="containsText" text="？">
      <formula>NOT(ISERROR(SEARCH("？",K156)))</formula>
    </cfRule>
  </conditionalFormatting>
  <conditionalFormatting sqref="K157:K160">
    <cfRule type="containsText" dxfId="796" priority="357" operator="containsText" text="？">
      <formula>NOT(ISERROR(SEARCH("？",K157)))</formula>
    </cfRule>
  </conditionalFormatting>
  <conditionalFormatting sqref="K161">
    <cfRule type="containsText" dxfId="795" priority="356" operator="containsText" text="？">
      <formula>NOT(ISERROR(SEARCH("？",K161)))</formula>
    </cfRule>
  </conditionalFormatting>
  <conditionalFormatting sqref="K162:K165">
    <cfRule type="containsText" dxfId="794" priority="355" operator="containsText" text="？">
      <formula>NOT(ISERROR(SEARCH("？",K162)))</formula>
    </cfRule>
  </conditionalFormatting>
  <conditionalFormatting sqref="K166">
    <cfRule type="containsText" dxfId="793" priority="354" operator="containsText" text="？">
      <formula>NOT(ISERROR(SEARCH("？",K166)))</formula>
    </cfRule>
  </conditionalFormatting>
  <conditionalFormatting sqref="K167:K170">
    <cfRule type="containsText" dxfId="792" priority="353" operator="containsText" text="？">
      <formula>NOT(ISERROR(SEARCH("？",K167)))</formula>
    </cfRule>
  </conditionalFormatting>
  <conditionalFormatting sqref="K171">
    <cfRule type="containsText" dxfId="791" priority="352" operator="containsText" text="？">
      <formula>NOT(ISERROR(SEARCH("？",K171)))</formula>
    </cfRule>
  </conditionalFormatting>
  <conditionalFormatting sqref="K172:K175">
    <cfRule type="containsText" dxfId="790" priority="351" operator="containsText" text="？">
      <formula>NOT(ISERROR(SEARCH("？",K172)))</formula>
    </cfRule>
  </conditionalFormatting>
  <conditionalFormatting sqref="K176">
    <cfRule type="containsText" dxfId="789" priority="350" operator="containsText" text="？">
      <formula>NOT(ISERROR(SEARCH("？",K176)))</formula>
    </cfRule>
  </conditionalFormatting>
  <conditionalFormatting sqref="K177:K180">
    <cfRule type="containsText" dxfId="788" priority="349" operator="containsText" text="？">
      <formula>NOT(ISERROR(SEARCH("？",K177)))</formula>
    </cfRule>
  </conditionalFormatting>
  <conditionalFormatting sqref="K181">
    <cfRule type="containsText" dxfId="787" priority="348" operator="containsText" text="？">
      <formula>NOT(ISERROR(SEARCH("？",K181)))</formula>
    </cfRule>
  </conditionalFormatting>
  <conditionalFormatting sqref="K182:K185">
    <cfRule type="containsText" dxfId="786" priority="347" operator="containsText" text="？">
      <formula>NOT(ISERROR(SEARCH("？",K182)))</formula>
    </cfRule>
  </conditionalFormatting>
  <conditionalFormatting sqref="K186">
    <cfRule type="containsText" dxfId="785" priority="346" operator="containsText" text="？">
      <formula>NOT(ISERROR(SEARCH("？",K186)))</formula>
    </cfRule>
  </conditionalFormatting>
  <conditionalFormatting sqref="K187:K190">
    <cfRule type="containsText" dxfId="784" priority="345" operator="containsText" text="？">
      <formula>NOT(ISERROR(SEARCH("？",K187)))</formula>
    </cfRule>
  </conditionalFormatting>
  <conditionalFormatting sqref="K191">
    <cfRule type="containsText" dxfId="783" priority="344" operator="containsText" text="？">
      <formula>NOT(ISERROR(SEARCH("？",K191)))</formula>
    </cfRule>
  </conditionalFormatting>
  <conditionalFormatting sqref="K192:K195">
    <cfRule type="containsText" dxfId="782" priority="343" operator="containsText" text="？">
      <formula>NOT(ISERROR(SEARCH("？",K192)))</formula>
    </cfRule>
  </conditionalFormatting>
  <conditionalFormatting sqref="K196">
    <cfRule type="containsText" dxfId="781" priority="342" operator="containsText" text="？">
      <formula>NOT(ISERROR(SEARCH("？",K196)))</formula>
    </cfRule>
  </conditionalFormatting>
  <conditionalFormatting sqref="K197:K200">
    <cfRule type="containsText" dxfId="780" priority="341" operator="containsText" text="？">
      <formula>NOT(ISERROR(SEARCH("？",K197)))</formula>
    </cfRule>
  </conditionalFormatting>
  <conditionalFormatting sqref="K201">
    <cfRule type="containsText" dxfId="779" priority="340" operator="containsText" text="？">
      <formula>NOT(ISERROR(SEARCH("？",K201)))</formula>
    </cfRule>
  </conditionalFormatting>
  <conditionalFormatting sqref="K202:K205">
    <cfRule type="containsText" dxfId="778" priority="339" operator="containsText" text="？">
      <formula>NOT(ISERROR(SEARCH("？",K202)))</formula>
    </cfRule>
  </conditionalFormatting>
  <conditionalFormatting sqref="K206">
    <cfRule type="containsText" dxfId="777" priority="338" operator="containsText" text="？">
      <formula>NOT(ISERROR(SEARCH("？",K206)))</formula>
    </cfRule>
  </conditionalFormatting>
  <conditionalFormatting sqref="K219:K222">
    <cfRule type="containsText" dxfId="776" priority="337" operator="containsText" text="？">
      <formula>NOT(ISERROR(SEARCH("？",K219)))</formula>
    </cfRule>
  </conditionalFormatting>
  <conditionalFormatting sqref="K223">
    <cfRule type="containsText" dxfId="775" priority="336" operator="containsText" text="？">
      <formula>NOT(ISERROR(SEARCH("？",K223)))</formula>
    </cfRule>
  </conditionalFormatting>
  <conditionalFormatting sqref="K224 K241:K243">
    <cfRule type="containsText" dxfId="774" priority="335" operator="containsText" text="？">
      <formula>NOT(ISERROR(SEARCH("？",K224)))</formula>
    </cfRule>
  </conditionalFormatting>
  <conditionalFormatting sqref="K255">
    <cfRule type="containsText" dxfId="773" priority="334" operator="containsText" text="？">
      <formula>NOT(ISERROR(SEARCH("？",K255)))</formula>
    </cfRule>
  </conditionalFormatting>
  <conditionalFormatting sqref="K256 K260:K262">
    <cfRule type="containsText" dxfId="772" priority="333" operator="containsText" text="？">
      <formula>NOT(ISERROR(SEARCH("？",K256)))</formula>
    </cfRule>
  </conditionalFormatting>
  <conditionalFormatting sqref="K263">
    <cfRule type="containsText" dxfId="771" priority="332" operator="containsText" text="？">
      <formula>NOT(ISERROR(SEARCH("？",K263)))</formula>
    </cfRule>
  </conditionalFormatting>
  <conditionalFormatting sqref="K264:K267">
    <cfRule type="containsText" dxfId="770" priority="331" operator="containsText" text="？">
      <formula>NOT(ISERROR(SEARCH("？",K264)))</formula>
    </cfRule>
  </conditionalFormatting>
  <conditionalFormatting sqref="K268">
    <cfRule type="containsText" dxfId="769" priority="330" operator="containsText" text="？">
      <formula>NOT(ISERROR(SEARCH("？",K268)))</formula>
    </cfRule>
  </conditionalFormatting>
  <conditionalFormatting sqref="K269:K272">
    <cfRule type="containsText" dxfId="768" priority="329" operator="containsText" text="？">
      <formula>NOT(ISERROR(SEARCH("？",K269)))</formula>
    </cfRule>
  </conditionalFormatting>
  <conditionalFormatting sqref="K273">
    <cfRule type="containsText" dxfId="767" priority="328" operator="containsText" text="？">
      <formula>NOT(ISERROR(SEARCH("？",K273)))</formula>
    </cfRule>
  </conditionalFormatting>
  <conditionalFormatting sqref="K274:K277">
    <cfRule type="containsText" dxfId="766" priority="327" operator="containsText" text="？">
      <formula>NOT(ISERROR(SEARCH("？",K274)))</formula>
    </cfRule>
  </conditionalFormatting>
  <conditionalFormatting sqref="K278">
    <cfRule type="containsText" dxfId="765" priority="326" operator="containsText" text="？">
      <formula>NOT(ISERROR(SEARCH("？",K278)))</formula>
    </cfRule>
  </conditionalFormatting>
  <conditionalFormatting sqref="K279:K282">
    <cfRule type="containsText" dxfId="764" priority="325" operator="containsText" text="？">
      <formula>NOT(ISERROR(SEARCH("？",K279)))</formula>
    </cfRule>
  </conditionalFormatting>
  <conditionalFormatting sqref="K283">
    <cfRule type="containsText" dxfId="763" priority="324" operator="containsText" text="？">
      <formula>NOT(ISERROR(SEARCH("？",K283)))</formula>
    </cfRule>
  </conditionalFormatting>
  <conditionalFormatting sqref="K284:K287">
    <cfRule type="containsText" dxfId="762" priority="323" operator="containsText" text="？">
      <formula>NOT(ISERROR(SEARCH("？",K284)))</formula>
    </cfRule>
  </conditionalFormatting>
  <conditionalFormatting sqref="K288">
    <cfRule type="containsText" dxfId="761" priority="322" operator="containsText" text="？">
      <formula>NOT(ISERROR(SEARCH("？",K288)))</formula>
    </cfRule>
  </conditionalFormatting>
  <conditionalFormatting sqref="K289:K292">
    <cfRule type="containsText" dxfId="760" priority="321" operator="containsText" text="？">
      <formula>NOT(ISERROR(SEARCH("？",K289)))</formula>
    </cfRule>
  </conditionalFormatting>
  <conditionalFormatting sqref="K293">
    <cfRule type="containsText" dxfId="759" priority="320" operator="containsText" text="？">
      <formula>NOT(ISERROR(SEARCH("？",K293)))</formula>
    </cfRule>
  </conditionalFormatting>
  <conditionalFormatting sqref="K294:K297">
    <cfRule type="containsText" dxfId="758" priority="319" operator="containsText" text="？">
      <formula>NOT(ISERROR(SEARCH("？",K294)))</formula>
    </cfRule>
  </conditionalFormatting>
  <conditionalFormatting sqref="K298">
    <cfRule type="containsText" dxfId="757" priority="318" operator="containsText" text="？">
      <formula>NOT(ISERROR(SEARCH("？",K298)))</formula>
    </cfRule>
  </conditionalFormatting>
  <conditionalFormatting sqref="K299:K302">
    <cfRule type="containsText" dxfId="756" priority="317" operator="containsText" text="？">
      <formula>NOT(ISERROR(SEARCH("？",K299)))</formula>
    </cfRule>
  </conditionalFormatting>
  <conditionalFormatting sqref="K303">
    <cfRule type="containsText" dxfId="755" priority="316" operator="containsText" text="？">
      <formula>NOT(ISERROR(SEARCH("？",K303)))</formula>
    </cfRule>
  </conditionalFormatting>
  <conditionalFormatting sqref="K304:K307">
    <cfRule type="containsText" dxfId="754" priority="315" operator="containsText" text="？">
      <formula>NOT(ISERROR(SEARCH("？",K304)))</formula>
    </cfRule>
  </conditionalFormatting>
  <conditionalFormatting sqref="K308">
    <cfRule type="containsText" dxfId="753" priority="314" operator="containsText" text="？">
      <formula>NOT(ISERROR(SEARCH("？",K308)))</formula>
    </cfRule>
  </conditionalFormatting>
  <conditionalFormatting sqref="K309:K312">
    <cfRule type="containsText" dxfId="752" priority="313" operator="containsText" text="？">
      <formula>NOT(ISERROR(SEARCH("？",K309)))</formula>
    </cfRule>
  </conditionalFormatting>
  <conditionalFormatting sqref="K313">
    <cfRule type="containsText" dxfId="751" priority="312" operator="containsText" text="？">
      <formula>NOT(ISERROR(SEARCH("？",K313)))</formula>
    </cfRule>
  </conditionalFormatting>
  <conditionalFormatting sqref="K314:K317">
    <cfRule type="containsText" dxfId="750" priority="311" operator="containsText" text="？">
      <formula>NOT(ISERROR(SEARCH("？",K314)))</formula>
    </cfRule>
  </conditionalFormatting>
  <conditionalFormatting sqref="K318">
    <cfRule type="containsText" dxfId="749" priority="310" operator="containsText" text="？">
      <formula>NOT(ISERROR(SEARCH("？",K318)))</formula>
    </cfRule>
  </conditionalFormatting>
  <conditionalFormatting sqref="K319:K322">
    <cfRule type="containsText" dxfId="748" priority="309" operator="containsText" text="？">
      <formula>NOT(ISERROR(SEARCH("？",K319)))</formula>
    </cfRule>
  </conditionalFormatting>
  <conditionalFormatting sqref="K323">
    <cfRule type="containsText" dxfId="747" priority="308" operator="containsText" text="？">
      <formula>NOT(ISERROR(SEARCH("？",K323)))</formula>
    </cfRule>
  </conditionalFormatting>
  <conditionalFormatting sqref="K324:K327">
    <cfRule type="containsText" dxfId="746" priority="307" operator="containsText" text="？">
      <formula>NOT(ISERROR(SEARCH("？",K324)))</formula>
    </cfRule>
  </conditionalFormatting>
  <conditionalFormatting sqref="K328">
    <cfRule type="containsText" dxfId="745" priority="306" operator="containsText" text="？">
      <formula>NOT(ISERROR(SEARCH("？",K328)))</formula>
    </cfRule>
  </conditionalFormatting>
  <conditionalFormatting sqref="K329:K330 K347:K348">
    <cfRule type="containsText" dxfId="744" priority="305" operator="containsText" text="？">
      <formula>NOT(ISERROR(SEARCH("？",K329)))</formula>
    </cfRule>
  </conditionalFormatting>
  <conditionalFormatting sqref="K349">
    <cfRule type="containsText" dxfId="743" priority="304" operator="containsText" text="？">
      <formula>NOT(ISERROR(SEARCH("？",K349)))</formula>
    </cfRule>
  </conditionalFormatting>
  <conditionalFormatting sqref="K350:K353">
    <cfRule type="containsText" dxfId="742" priority="303" operator="containsText" text="？">
      <formula>NOT(ISERROR(SEARCH("？",K350)))</formula>
    </cfRule>
  </conditionalFormatting>
  <conditionalFormatting sqref="K354">
    <cfRule type="containsText" dxfId="741" priority="302" operator="containsText" text="？">
      <formula>NOT(ISERROR(SEARCH("？",K354)))</formula>
    </cfRule>
  </conditionalFormatting>
  <conditionalFormatting sqref="K355 K392:K393 K395">
    <cfRule type="containsText" dxfId="740" priority="301" operator="containsText" text="？">
      <formula>NOT(ISERROR(SEARCH("？",K355)))</formula>
    </cfRule>
  </conditionalFormatting>
  <conditionalFormatting sqref="K398">
    <cfRule type="containsText" dxfId="739" priority="300" operator="containsText" text="？">
      <formula>NOT(ISERROR(SEARCH("？",K398)))</formula>
    </cfRule>
  </conditionalFormatting>
  <conditionalFormatting sqref="K399:K402">
    <cfRule type="containsText" dxfId="738" priority="299" operator="containsText" text="？">
      <formula>NOT(ISERROR(SEARCH("？",K399)))</formula>
    </cfRule>
  </conditionalFormatting>
  <conditionalFormatting sqref="K403">
    <cfRule type="containsText" dxfId="737" priority="298" operator="containsText" text="？">
      <formula>NOT(ISERROR(SEARCH("？",K403)))</formula>
    </cfRule>
  </conditionalFormatting>
  <conditionalFormatting sqref="K404:K407">
    <cfRule type="containsText" dxfId="736" priority="297" operator="containsText" text="？">
      <formula>NOT(ISERROR(SEARCH("？",K404)))</formula>
    </cfRule>
  </conditionalFormatting>
  <conditionalFormatting sqref="K408">
    <cfRule type="containsText" dxfId="735" priority="296" operator="containsText" text="？">
      <formula>NOT(ISERROR(SEARCH("？",K408)))</formula>
    </cfRule>
  </conditionalFormatting>
  <conditionalFormatting sqref="K409:K412">
    <cfRule type="containsText" dxfId="734" priority="295" operator="containsText" text="？">
      <formula>NOT(ISERROR(SEARCH("？",K409)))</formula>
    </cfRule>
  </conditionalFormatting>
  <conditionalFormatting sqref="K413">
    <cfRule type="containsText" dxfId="733" priority="294" operator="containsText" text="？">
      <formula>NOT(ISERROR(SEARCH("？",K413)))</formula>
    </cfRule>
  </conditionalFormatting>
  <conditionalFormatting sqref="K414:K417">
    <cfRule type="containsText" dxfId="732" priority="293" operator="containsText" text="？">
      <formula>NOT(ISERROR(SEARCH("？",K414)))</formula>
    </cfRule>
  </conditionalFormatting>
  <conditionalFormatting sqref="K418">
    <cfRule type="containsText" dxfId="731" priority="292" operator="containsText" text="？">
      <formula>NOT(ISERROR(SEARCH("？",K418)))</formula>
    </cfRule>
  </conditionalFormatting>
  <conditionalFormatting sqref="K419:K422">
    <cfRule type="containsText" dxfId="730" priority="291" operator="containsText" text="？">
      <formula>NOT(ISERROR(SEARCH("？",K419)))</formula>
    </cfRule>
  </conditionalFormatting>
  <conditionalFormatting sqref="K423">
    <cfRule type="containsText" dxfId="729" priority="290" operator="containsText" text="？">
      <formula>NOT(ISERROR(SEARCH("？",K423)))</formula>
    </cfRule>
  </conditionalFormatting>
  <conditionalFormatting sqref="K424:K427">
    <cfRule type="containsText" dxfId="728" priority="289" operator="containsText" text="？">
      <formula>NOT(ISERROR(SEARCH("？",K424)))</formula>
    </cfRule>
  </conditionalFormatting>
  <conditionalFormatting sqref="K428">
    <cfRule type="containsText" dxfId="727" priority="288" operator="containsText" text="？">
      <formula>NOT(ISERROR(SEARCH("？",K428)))</formula>
    </cfRule>
  </conditionalFormatting>
  <conditionalFormatting sqref="K429:K432">
    <cfRule type="containsText" dxfId="726" priority="287" operator="containsText" text="？">
      <formula>NOT(ISERROR(SEARCH("？",K429)))</formula>
    </cfRule>
  </conditionalFormatting>
  <conditionalFormatting sqref="K433">
    <cfRule type="containsText" dxfId="725" priority="286" operator="containsText" text="？">
      <formula>NOT(ISERROR(SEARCH("？",K433)))</formula>
    </cfRule>
  </conditionalFormatting>
  <conditionalFormatting sqref="K434:K437">
    <cfRule type="containsText" dxfId="724" priority="285" operator="containsText" text="？">
      <formula>NOT(ISERROR(SEARCH("？",K434)))</formula>
    </cfRule>
  </conditionalFormatting>
  <conditionalFormatting sqref="K438">
    <cfRule type="containsText" dxfId="723" priority="284" operator="containsText" text="？">
      <formula>NOT(ISERROR(SEARCH("？",K438)))</formula>
    </cfRule>
  </conditionalFormatting>
  <conditionalFormatting sqref="K439:K442">
    <cfRule type="containsText" dxfId="722" priority="283" operator="containsText" text="？">
      <formula>NOT(ISERROR(SEARCH("？",K439)))</formula>
    </cfRule>
  </conditionalFormatting>
  <conditionalFormatting sqref="K443">
    <cfRule type="containsText" dxfId="721" priority="282" operator="containsText" text="？">
      <formula>NOT(ISERROR(SEARCH("？",K443)))</formula>
    </cfRule>
  </conditionalFormatting>
  <conditionalFormatting sqref="K444:K447">
    <cfRule type="containsText" dxfId="720" priority="281" operator="containsText" text="？">
      <formula>NOT(ISERROR(SEARCH("？",K444)))</formula>
    </cfRule>
  </conditionalFormatting>
  <conditionalFormatting sqref="K448">
    <cfRule type="containsText" dxfId="719" priority="280" operator="containsText" text="？">
      <formula>NOT(ISERROR(SEARCH("？",K448)))</formula>
    </cfRule>
  </conditionalFormatting>
  <conditionalFormatting sqref="K449:K452">
    <cfRule type="containsText" dxfId="718" priority="279" operator="containsText" text="？">
      <formula>NOT(ISERROR(SEARCH("？",K449)))</formula>
    </cfRule>
  </conditionalFormatting>
  <conditionalFormatting sqref="K453">
    <cfRule type="containsText" dxfId="717" priority="278" operator="containsText" text="？">
      <formula>NOT(ISERROR(SEARCH("？",K453)))</formula>
    </cfRule>
  </conditionalFormatting>
  <conditionalFormatting sqref="K454:K457">
    <cfRule type="containsText" dxfId="716" priority="277" operator="containsText" text="？">
      <formula>NOT(ISERROR(SEARCH("？",K454)))</formula>
    </cfRule>
  </conditionalFormatting>
  <conditionalFormatting sqref="K475">
    <cfRule type="containsText" dxfId="715" priority="276" operator="containsText" text="？">
      <formula>NOT(ISERROR(SEARCH("？",K475)))</formula>
    </cfRule>
  </conditionalFormatting>
  <conditionalFormatting sqref="K476:K479">
    <cfRule type="containsText" dxfId="714" priority="275" operator="containsText" text="？">
      <formula>NOT(ISERROR(SEARCH("？",K476)))</formula>
    </cfRule>
  </conditionalFormatting>
  <conditionalFormatting sqref="K480">
    <cfRule type="containsText" dxfId="713" priority="274" operator="containsText" text="？">
      <formula>NOT(ISERROR(SEARCH("？",K480)))</formula>
    </cfRule>
  </conditionalFormatting>
  <conditionalFormatting sqref="K481 K501 K512:K513">
    <cfRule type="containsText" dxfId="712" priority="273" operator="containsText" text="？">
      <formula>NOT(ISERROR(SEARCH("？",K481)))</formula>
    </cfRule>
  </conditionalFormatting>
  <conditionalFormatting sqref="K515">
    <cfRule type="containsText" dxfId="711" priority="272" operator="containsText" text="？">
      <formula>NOT(ISERROR(SEARCH("？",K515)))</formula>
    </cfRule>
  </conditionalFormatting>
  <conditionalFormatting sqref="K516:K519">
    <cfRule type="containsText" dxfId="710" priority="271" operator="containsText" text="？">
      <formula>NOT(ISERROR(SEARCH("？",K516)))</formula>
    </cfRule>
  </conditionalFormatting>
  <conditionalFormatting sqref="K520">
    <cfRule type="containsText" dxfId="709" priority="270" operator="containsText" text="？">
      <formula>NOT(ISERROR(SEARCH("？",K520)))</formula>
    </cfRule>
  </conditionalFormatting>
  <conditionalFormatting sqref="K521:K524">
    <cfRule type="containsText" dxfId="708" priority="269" operator="containsText" text="？">
      <formula>NOT(ISERROR(SEARCH("？",K521)))</formula>
    </cfRule>
  </conditionalFormatting>
  <conditionalFormatting sqref="K525">
    <cfRule type="containsText" dxfId="707" priority="268" operator="containsText" text="？">
      <formula>NOT(ISERROR(SEARCH("？",K525)))</formula>
    </cfRule>
  </conditionalFormatting>
  <conditionalFormatting sqref="K526:K529">
    <cfRule type="containsText" dxfId="706" priority="267" operator="containsText" text="？">
      <formula>NOT(ISERROR(SEARCH("？",K526)))</formula>
    </cfRule>
  </conditionalFormatting>
  <conditionalFormatting sqref="K530">
    <cfRule type="containsText" dxfId="705" priority="266" operator="containsText" text="？">
      <formula>NOT(ISERROR(SEARCH("？",K530)))</formula>
    </cfRule>
  </conditionalFormatting>
  <conditionalFormatting sqref="K531:K534">
    <cfRule type="containsText" dxfId="704" priority="265" operator="containsText" text="？">
      <formula>NOT(ISERROR(SEARCH("？",K531)))</formula>
    </cfRule>
  </conditionalFormatting>
  <conditionalFormatting sqref="K535">
    <cfRule type="containsText" dxfId="703" priority="264" operator="containsText" text="？">
      <formula>NOT(ISERROR(SEARCH("？",K535)))</formula>
    </cfRule>
  </conditionalFormatting>
  <conditionalFormatting sqref="K536:K539">
    <cfRule type="containsText" dxfId="702" priority="263" operator="containsText" text="？">
      <formula>NOT(ISERROR(SEARCH("？",K536)))</formula>
    </cfRule>
  </conditionalFormatting>
  <conditionalFormatting sqref="K540">
    <cfRule type="containsText" dxfId="701" priority="262" operator="containsText" text="？">
      <formula>NOT(ISERROR(SEARCH("？",K540)))</formula>
    </cfRule>
  </conditionalFormatting>
  <conditionalFormatting sqref="K541:K544">
    <cfRule type="containsText" dxfId="700" priority="261" operator="containsText" text="？">
      <formula>NOT(ISERROR(SEARCH("？",K541)))</formula>
    </cfRule>
  </conditionalFormatting>
  <conditionalFormatting sqref="K545">
    <cfRule type="containsText" dxfId="699" priority="260" operator="containsText" text="？">
      <formula>NOT(ISERROR(SEARCH("？",K545)))</formula>
    </cfRule>
  </conditionalFormatting>
  <conditionalFormatting sqref="K546:K549">
    <cfRule type="containsText" dxfId="698" priority="259" operator="containsText" text="？">
      <formula>NOT(ISERROR(SEARCH("？",K546)))</formula>
    </cfRule>
  </conditionalFormatting>
  <conditionalFormatting sqref="K550">
    <cfRule type="containsText" dxfId="697" priority="258" operator="containsText" text="？">
      <formula>NOT(ISERROR(SEARCH("？",K550)))</formula>
    </cfRule>
  </conditionalFormatting>
  <conditionalFormatting sqref="K551:K554">
    <cfRule type="containsText" dxfId="696" priority="257" operator="containsText" text="？">
      <formula>NOT(ISERROR(SEARCH("？",K551)))</formula>
    </cfRule>
  </conditionalFormatting>
  <conditionalFormatting sqref="K555">
    <cfRule type="containsText" dxfId="695" priority="256" operator="containsText" text="？">
      <formula>NOT(ISERROR(SEARCH("？",K555)))</formula>
    </cfRule>
  </conditionalFormatting>
  <conditionalFormatting sqref="K556:K559">
    <cfRule type="containsText" dxfId="694" priority="255" operator="containsText" text="？">
      <formula>NOT(ISERROR(SEARCH("？",K556)))</formula>
    </cfRule>
  </conditionalFormatting>
  <conditionalFormatting sqref="K560">
    <cfRule type="containsText" dxfId="693" priority="254" operator="containsText" text="？">
      <formula>NOT(ISERROR(SEARCH("？",K560)))</formula>
    </cfRule>
  </conditionalFormatting>
  <conditionalFormatting sqref="K561:K564">
    <cfRule type="containsText" dxfId="692" priority="253" operator="containsText" text="？">
      <formula>NOT(ISERROR(SEARCH("？",K561)))</formula>
    </cfRule>
  </conditionalFormatting>
  <conditionalFormatting sqref="K565">
    <cfRule type="containsText" dxfId="691" priority="252" operator="containsText" text="？">
      <formula>NOT(ISERROR(SEARCH("？",K565)))</formula>
    </cfRule>
  </conditionalFormatting>
  <conditionalFormatting sqref="K566 K570:K572">
    <cfRule type="containsText" dxfId="690" priority="251" operator="containsText" text="？">
      <formula>NOT(ISERROR(SEARCH("？",K566)))</formula>
    </cfRule>
  </conditionalFormatting>
  <conditionalFormatting sqref="K581">
    <cfRule type="containsText" dxfId="689" priority="250" operator="containsText" text="？">
      <formula>NOT(ISERROR(SEARCH("？",K581)))</formula>
    </cfRule>
  </conditionalFormatting>
  <conditionalFormatting sqref="K584:K585 K591:K592">
    <cfRule type="containsText" dxfId="688" priority="249" operator="containsText" text="？">
      <formula>NOT(ISERROR(SEARCH("？",K584)))</formula>
    </cfRule>
  </conditionalFormatting>
  <conditionalFormatting sqref="K593">
    <cfRule type="containsText" dxfId="687" priority="248" operator="containsText" text="？">
      <formula>NOT(ISERROR(SEARCH("？",K593)))</formula>
    </cfRule>
  </conditionalFormatting>
  <conditionalFormatting sqref="K594:K597">
    <cfRule type="containsText" dxfId="686" priority="247" operator="containsText" text="？">
      <formula>NOT(ISERROR(SEARCH("？",K594)))</formula>
    </cfRule>
  </conditionalFormatting>
  <conditionalFormatting sqref="K598">
    <cfRule type="containsText" dxfId="685" priority="246" operator="containsText" text="？">
      <formula>NOT(ISERROR(SEARCH("？",K598)))</formula>
    </cfRule>
  </conditionalFormatting>
  <conditionalFormatting sqref="K599:K602">
    <cfRule type="containsText" dxfId="684" priority="245" operator="containsText" text="？">
      <formula>NOT(ISERROR(SEARCH("？",K599)))</formula>
    </cfRule>
  </conditionalFormatting>
  <conditionalFormatting sqref="K603">
    <cfRule type="containsText" dxfId="683" priority="244" operator="containsText" text="？">
      <formula>NOT(ISERROR(SEARCH("？",K603)))</formula>
    </cfRule>
  </conditionalFormatting>
  <conditionalFormatting sqref="K604:K607">
    <cfRule type="containsText" dxfId="682" priority="243" operator="containsText" text="？">
      <formula>NOT(ISERROR(SEARCH("？",K604)))</formula>
    </cfRule>
  </conditionalFormatting>
  <conditionalFormatting sqref="K608">
    <cfRule type="containsText" dxfId="681" priority="242" operator="containsText" text="？">
      <formula>NOT(ISERROR(SEARCH("？",K608)))</formula>
    </cfRule>
  </conditionalFormatting>
  <conditionalFormatting sqref="K609:K612">
    <cfRule type="containsText" dxfId="680" priority="241" operator="containsText" text="？">
      <formula>NOT(ISERROR(SEARCH("？",K609)))</formula>
    </cfRule>
  </conditionalFormatting>
  <conditionalFormatting sqref="K613">
    <cfRule type="containsText" dxfId="679" priority="240" operator="containsText" text="？">
      <formula>NOT(ISERROR(SEARCH("？",K613)))</formula>
    </cfRule>
  </conditionalFormatting>
  <conditionalFormatting sqref="K614:K617">
    <cfRule type="containsText" dxfId="678" priority="239" operator="containsText" text="？">
      <formula>NOT(ISERROR(SEARCH("？",K614)))</formula>
    </cfRule>
  </conditionalFormatting>
  <conditionalFormatting sqref="K618">
    <cfRule type="containsText" dxfId="677" priority="238" operator="containsText" text="？">
      <formula>NOT(ISERROR(SEARCH("？",K618)))</formula>
    </cfRule>
  </conditionalFormatting>
  <conditionalFormatting sqref="K619:K622">
    <cfRule type="containsText" dxfId="676" priority="237" operator="containsText" text="？">
      <formula>NOT(ISERROR(SEARCH("？",K619)))</formula>
    </cfRule>
  </conditionalFormatting>
  <conditionalFormatting sqref="K644:K648">
    <cfRule type="containsText" dxfId="675" priority="236" operator="containsText" text="？">
      <formula>NOT(ISERROR(SEARCH("？",K644)))</formula>
    </cfRule>
  </conditionalFormatting>
  <conditionalFormatting sqref="K644:K648">
    <cfRule type="containsText" dxfId="674" priority="235" operator="containsText" text="？">
      <formula>NOT(ISERROR(SEARCH("？",K644)))</formula>
    </cfRule>
  </conditionalFormatting>
  <conditionalFormatting sqref="K659:K663">
    <cfRule type="containsText" dxfId="673" priority="234" operator="containsText" text="？">
      <formula>NOT(ISERROR(SEARCH("？",K659)))</formula>
    </cfRule>
  </conditionalFormatting>
  <conditionalFormatting sqref="K684:K688">
    <cfRule type="containsText" dxfId="672" priority="233" operator="containsText" text="？">
      <formula>NOT(ISERROR(SEARCH("？",K684)))</formula>
    </cfRule>
  </conditionalFormatting>
  <conditionalFormatting sqref="K689:K690 K703 K707:K708">
    <cfRule type="containsText" dxfId="671" priority="232" operator="containsText" text="？">
      <formula>NOT(ISERROR(SEARCH("？",K689)))</formula>
    </cfRule>
  </conditionalFormatting>
  <conditionalFormatting sqref="K709:K710 K712:K714">
    <cfRule type="containsText" dxfId="670" priority="231" operator="containsText" text="？">
      <formula>NOT(ISERROR(SEARCH("？",K709)))</formula>
    </cfRule>
  </conditionalFormatting>
  <conditionalFormatting sqref="K748:K767">
    <cfRule type="containsText" dxfId="669" priority="230" operator="containsText" text="？">
      <formula>NOT(ISERROR(SEARCH("？",K748)))</formula>
    </cfRule>
  </conditionalFormatting>
  <conditionalFormatting sqref="K768:K787">
    <cfRule type="containsText" dxfId="668" priority="229" operator="containsText" text="？">
      <formula>NOT(ISERROR(SEARCH("？",K768)))</formula>
    </cfRule>
  </conditionalFormatting>
  <conditionalFormatting sqref="K788:K799 K812:K819">
    <cfRule type="containsText" dxfId="667" priority="228" operator="containsText" text="？">
      <formula>NOT(ISERROR(SEARCH("？",K788)))</formula>
    </cfRule>
  </conditionalFormatting>
  <conditionalFormatting sqref="K820:K822 K831 K860 K868 K870 K876:K888">
    <cfRule type="containsText" dxfId="666" priority="227" operator="containsText" text="？">
      <formula>NOT(ISERROR(SEARCH("？",K820)))</formula>
    </cfRule>
  </conditionalFormatting>
  <conditionalFormatting sqref="K889:K908">
    <cfRule type="containsText" dxfId="665" priority="226" operator="containsText" text="？">
      <formula>NOT(ISERROR(SEARCH("？",K889)))</formula>
    </cfRule>
  </conditionalFormatting>
  <conditionalFormatting sqref="K909:K927 K931">
    <cfRule type="containsText" dxfId="664" priority="225" operator="containsText" text="？">
      <formula>NOT(ISERROR(SEARCH("？",K909)))</formula>
    </cfRule>
  </conditionalFormatting>
  <conditionalFormatting sqref="K932:K934 K941:K942 K944:K958">
    <cfRule type="containsText" dxfId="663" priority="224" operator="containsText" text="？">
      <formula>NOT(ISERROR(SEARCH("？",K932)))</formula>
    </cfRule>
  </conditionalFormatting>
  <conditionalFormatting sqref="K959:K977 K979">
    <cfRule type="containsText" dxfId="662" priority="223" operator="containsText" text="？">
      <formula>NOT(ISERROR(SEARCH("？",K959)))</formula>
    </cfRule>
  </conditionalFormatting>
  <conditionalFormatting sqref="K980:K981 K988:K990 K993:K1007">
    <cfRule type="containsText" dxfId="661" priority="222" operator="containsText" text="？">
      <formula>NOT(ISERROR(SEARCH("？",K980)))</formula>
    </cfRule>
  </conditionalFormatting>
  <conditionalFormatting sqref="K1008:K1027">
    <cfRule type="containsText" dxfId="660" priority="221" operator="containsText" text="？">
      <formula>NOT(ISERROR(SEARCH("？",K1008)))</formula>
    </cfRule>
  </conditionalFormatting>
  <conditionalFormatting sqref="K1028:K1047">
    <cfRule type="containsText" dxfId="659" priority="220" operator="containsText" text="？">
      <formula>NOT(ISERROR(SEARCH("？",K1028)))</formula>
    </cfRule>
  </conditionalFormatting>
  <conditionalFormatting sqref="C28:D28 F28:T28">
    <cfRule type="containsText" dxfId="658" priority="216" operator="containsText" text="？">
      <formula>NOT(ISERROR(SEARCH("？",C28)))</formula>
    </cfRule>
  </conditionalFormatting>
  <conditionalFormatting sqref="F28">
    <cfRule type="containsText" dxfId="657" priority="215" operator="containsText" text="女">
      <formula>NOT(ISERROR(SEARCH("女",F28)))</formula>
    </cfRule>
  </conditionalFormatting>
  <conditionalFormatting sqref="C31:D33 F31:AE33">
    <cfRule type="containsText" dxfId="656" priority="214" operator="containsText" text="？">
      <formula>NOT(ISERROR(SEARCH("？",C31)))</formula>
    </cfRule>
  </conditionalFormatting>
  <conditionalFormatting sqref="F31:F33">
    <cfRule type="containsText" dxfId="655" priority="213" operator="containsText" text="女">
      <formula>NOT(ISERROR(SEARCH("女",F31)))</formula>
    </cfRule>
  </conditionalFormatting>
  <conditionalFormatting sqref="C35:D37 F35:AE37">
    <cfRule type="containsText" dxfId="654" priority="212" operator="containsText" text="？">
      <formula>NOT(ISERROR(SEARCH("？",C35)))</formula>
    </cfRule>
  </conditionalFormatting>
  <conditionalFormatting sqref="F35:F37">
    <cfRule type="containsText" dxfId="653" priority="211" operator="containsText" text="女">
      <formula>NOT(ISERROR(SEARCH("女",F35)))</formula>
    </cfRule>
  </conditionalFormatting>
  <conditionalFormatting sqref="C39:D39 F39:R39">
    <cfRule type="containsText" dxfId="652" priority="210" operator="containsText" text="？">
      <formula>NOT(ISERROR(SEARCH("？",C39)))</formula>
    </cfRule>
  </conditionalFormatting>
  <conditionalFormatting sqref="F39">
    <cfRule type="containsText" dxfId="651" priority="209" operator="containsText" text="女">
      <formula>NOT(ISERROR(SEARCH("女",F39)))</formula>
    </cfRule>
  </conditionalFormatting>
  <conditionalFormatting sqref="C41:D47 F41:AE47">
    <cfRule type="containsText" dxfId="650" priority="208" operator="containsText" text="？">
      <formula>NOT(ISERROR(SEARCH("？",C41)))</formula>
    </cfRule>
  </conditionalFormatting>
  <conditionalFormatting sqref="F41:F47">
    <cfRule type="containsText" dxfId="649" priority="207" operator="containsText" text="女">
      <formula>NOT(ISERROR(SEARCH("女",F41)))</formula>
    </cfRule>
  </conditionalFormatting>
  <conditionalFormatting sqref="G2:G98 G113:G115 G129:G130 G136:G206 G219:G224 G241:G243 G255:G256 G260:G330 G347:G355 G392:G393 G395 G398:G457 G475:G481 G501 G515:G566 G512:G513 G570:G572 G581 G584:G585 G591:G663 G684:G690 G703 G707:G710 G712:G799 G812:G822 G831 G860 G868 G870 G876:G927 G941:G942 G944:G977 G979:G981 G988:G990 G993:G1062 G1073:G1078 G1097 G1105 G1107 G1113:G1118 G931:G934">
    <cfRule type="containsText" dxfId="648" priority="205" operator="containsText" text="単">
      <formula>NOT(ISERROR(SEARCH("単",G2)))</formula>
    </cfRule>
    <cfRule type="cellIs" dxfId="647" priority="206" operator="equal">
      <formula>"男"</formula>
    </cfRule>
  </conditionalFormatting>
  <conditionalFormatting sqref="C99:D99 F99:T99">
    <cfRule type="containsText" dxfId="646" priority="204" operator="containsText" text="？">
      <formula>NOT(ISERROR(SEARCH("？",C99)))</formula>
    </cfRule>
  </conditionalFormatting>
  <conditionalFormatting sqref="F99">
    <cfRule type="containsText" dxfId="645" priority="203" operator="containsText" text="女">
      <formula>NOT(ISERROR(SEARCH("女",F99)))</formula>
    </cfRule>
  </conditionalFormatting>
  <conditionalFormatting sqref="C100:D100 F100:AE100">
    <cfRule type="containsText" dxfId="644" priority="202" operator="containsText" text="？">
      <formula>NOT(ISERROR(SEARCH("？",C100)))</formula>
    </cfRule>
  </conditionalFormatting>
  <conditionalFormatting sqref="F100">
    <cfRule type="containsText" dxfId="643" priority="201" operator="containsText" text="女">
      <formula>NOT(ISERROR(SEARCH("女",F100)))</formula>
    </cfRule>
  </conditionalFormatting>
  <conditionalFormatting sqref="C101:D101 F101:AE101">
    <cfRule type="containsText" dxfId="642" priority="200" operator="containsText" text="？">
      <formula>NOT(ISERROR(SEARCH("？",C101)))</formula>
    </cfRule>
  </conditionalFormatting>
  <conditionalFormatting sqref="F101">
    <cfRule type="containsText" dxfId="641" priority="199" operator="containsText" text="女">
      <formula>NOT(ISERROR(SEARCH("女",F101)))</formula>
    </cfRule>
  </conditionalFormatting>
  <conditionalFormatting sqref="C102:D105 F102:AE105">
    <cfRule type="containsText" dxfId="640" priority="198" operator="containsText" text="？">
      <formula>NOT(ISERROR(SEARCH("？",C102)))</formula>
    </cfRule>
  </conditionalFormatting>
  <conditionalFormatting sqref="F102:F105">
    <cfRule type="containsText" dxfId="639" priority="197" operator="containsText" text="女">
      <formula>NOT(ISERROR(SEARCH("女",F102)))</formula>
    </cfRule>
  </conditionalFormatting>
  <conditionalFormatting sqref="F112">
    <cfRule type="containsText" dxfId="638" priority="185" operator="containsText" text="女">
      <formula>NOT(ISERROR(SEARCH("女",F112)))</formula>
    </cfRule>
  </conditionalFormatting>
  <conditionalFormatting sqref="C106:D106 F106:T106">
    <cfRule type="containsText" dxfId="637" priority="196" operator="containsText" text="？">
      <formula>NOT(ISERROR(SEARCH("？",C106)))</formula>
    </cfRule>
  </conditionalFormatting>
  <conditionalFormatting sqref="F106">
    <cfRule type="containsText" dxfId="636" priority="195" operator="containsText" text="女">
      <formula>NOT(ISERROR(SEARCH("女",F106)))</formula>
    </cfRule>
  </conditionalFormatting>
  <conditionalFormatting sqref="C107:D108 F107:AE108">
    <cfRule type="containsText" dxfId="635" priority="194" operator="containsText" text="？">
      <formula>NOT(ISERROR(SEARCH("？",C107)))</formula>
    </cfRule>
  </conditionalFormatting>
  <conditionalFormatting sqref="F107:F108">
    <cfRule type="containsText" dxfId="634" priority="193" operator="containsText" text="女">
      <formula>NOT(ISERROR(SEARCH("女",F107)))</formula>
    </cfRule>
  </conditionalFormatting>
  <conditionalFormatting sqref="C109:D109 F109:AE109">
    <cfRule type="containsText" dxfId="633" priority="192" operator="containsText" text="？">
      <formula>NOT(ISERROR(SEARCH("？",C109)))</formula>
    </cfRule>
  </conditionalFormatting>
  <conditionalFormatting sqref="F109">
    <cfRule type="containsText" dxfId="632" priority="191" operator="containsText" text="女">
      <formula>NOT(ISERROR(SEARCH("女",F109)))</formula>
    </cfRule>
  </conditionalFormatting>
  <conditionalFormatting sqref="C110:D110 F110:AE110">
    <cfRule type="containsText" dxfId="631" priority="190" operator="containsText" text="？">
      <formula>NOT(ISERROR(SEARCH("？",C110)))</formula>
    </cfRule>
  </conditionalFormatting>
  <conditionalFormatting sqref="F110">
    <cfRule type="containsText" dxfId="630" priority="189" operator="containsText" text="女">
      <formula>NOT(ISERROR(SEARCH("女",F110)))</formula>
    </cfRule>
  </conditionalFormatting>
  <conditionalFormatting sqref="C111:D111 F111:AE111">
    <cfRule type="containsText" dxfId="629" priority="188" operator="containsText" text="？">
      <formula>NOT(ISERROR(SEARCH("？",C111)))</formula>
    </cfRule>
  </conditionalFormatting>
  <conditionalFormatting sqref="F111">
    <cfRule type="containsText" dxfId="628" priority="187" operator="containsText" text="女">
      <formula>NOT(ISERROR(SEARCH("女",F111)))</formula>
    </cfRule>
  </conditionalFormatting>
  <conditionalFormatting sqref="F125">
    <cfRule type="containsText" dxfId="627" priority="171" operator="containsText" text="女">
      <formula>NOT(ISERROR(SEARCH("女",F125)))</formula>
    </cfRule>
  </conditionalFormatting>
  <conditionalFormatting sqref="C112:D112 F112:AE112">
    <cfRule type="containsText" dxfId="626" priority="186" operator="containsText" text="？">
      <formula>NOT(ISERROR(SEARCH("？",C112)))</formula>
    </cfRule>
  </conditionalFormatting>
  <conditionalFormatting sqref="F126:F128">
    <cfRule type="containsText" dxfId="625" priority="169" operator="containsText" text="女">
      <formula>NOT(ISERROR(SEARCH("女",F126)))</formula>
    </cfRule>
  </conditionalFormatting>
  <conditionalFormatting sqref="C116:D116 F116:AE116">
    <cfRule type="containsText" dxfId="624" priority="184" operator="containsText" text="？">
      <formula>NOT(ISERROR(SEARCH("？",C116)))</formula>
    </cfRule>
  </conditionalFormatting>
  <conditionalFormatting sqref="F116">
    <cfRule type="containsText" dxfId="623" priority="183" operator="containsText" text="女">
      <formula>NOT(ISERROR(SEARCH("女",F116)))</formula>
    </cfRule>
  </conditionalFormatting>
  <conditionalFormatting sqref="C125:D125 F125:AE125">
    <cfRule type="containsText" dxfId="622" priority="172" operator="containsText" text="？">
      <formula>NOT(ISERROR(SEARCH("？",C125)))</formula>
    </cfRule>
  </conditionalFormatting>
  <conditionalFormatting sqref="F131:F135">
    <cfRule type="containsText" dxfId="621" priority="167" operator="containsText" text="女">
      <formula>NOT(ISERROR(SEARCH("女",F131)))</formula>
    </cfRule>
  </conditionalFormatting>
  <conditionalFormatting sqref="C117:D117 F117:AE117">
    <cfRule type="containsText" dxfId="620" priority="180" operator="containsText" text="？">
      <formula>NOT(ISERROR(SEARCH("？",C117)))</formula>
    </cfRule>
  </conditionalFormatting>
  <conditionalFormatting sqref="F117">
    <cfRule type="containsText" dxfId="619" priority="179" operator="containsText" text="女">
      <formula>NOT(ISERROR(SEARCH("女",F117)))</formula>
    </cfRule>
  </conditionalFormatting>
  <conditionalFormatting sqref="C118:D118 F118:AE118">
    <cfRule type="containsText" dxfId="618" priority="178" operator="containsText" text="？">
      <formula>NOT(ISERROR(SEARCH("？",C118)))</formula>
    </cfRule>
  </conditionalFormatting>
  <conditionalFormatting sqref="F118">
    <cfRule type="containsText" dxfId="617" priority="177" operator="containsText" text="女">
      <formula>NOT(ISERROR(SEARCH("女",F118)))</formula>
    </cfRule>
  </conditionalFormatting>
  <conditionalFormatting sqref="C119:D121 F119:AE121">
    <cfRule type="containsText" dxfId="616" priority="176" operator="containsText" text="？">
      <formula>NOT(ISERROR(SEARCH("？",C119)))</formula>
    </cfRule>
  </conditionalFormatting>
  <conditionalFormatting sqref="F119:F121">
    <cfRule type="containsText" dxfId="615" priority="175" operator="containsText" text="女">
      <formula>NOT(ISERROR(SEARCH("女",F119)))</formula>
    </cfRule>
  </conditionalFormatting>
  <conditionalFormatting sqref="F218">
    <cfRule type="containsText" dxfId="614" priority="149" operator="containsText" text="女">
      <formula>NOT(ISERROR(SEARCH("女",F218)))</formula>
    </cfRule>
  </conditionalFormatting>
  <conditionalFormatting sqref="C122:D124 F122:AE124">
    <cfRule type="containsText" dxfId="613" priority="174" operator="containsText" text="？">
      <formula>NOT(ISERROR(SEARCH("？",C122)))</formula>
    </cfRule>
  </conditionalFormatting>
  <conditionalFormatting sqref="F122:F124">
    <cfRule type="containsText" dxfId="612" priority="173" operator="containsText" text="女">
      <formula>NOT(ISERROR(SEARCH("女",F122)))</formula>
    </cfRule>
  </conditionalFormatting>
  <conditionalFormatting sqref="C126:D128 F126:AE128">
    <cfRule type="containsText" dxfId="611" priority="170" operator="containsText" text="？">
      <formula>NOT(ISERROR(SEARCH("？",C126)))</formula>
    </cfRule>
  </conditionalFormatting>
  <conditionalFormatting sqref="F231:F240">
    <cfRule type="containsText" dxfId="610" priority="143" operator="containsText" text="女">
      <formula>NOT(ISERROR(SEARCH("女",F231)))</formula>
    </cfRule>
  </conditionalFormatting>
  <conditionalFormatting sqref="C131:D135 F131:AE135">
    <cfRule type="containsText" dxfId="609" priority="168" operator="containsText" text="？">
      <formula>NOT(ISERROR(SEARCH("？",C131)))</formula>
    </cfRule>
  </conditionalFormatting>
  <conditionalFormatting sqref="F247:F254">
    <cfRule type="containsText" dxfId="608" priority="139" operator="containsText" text="女">
      <formula>NOT(ISERROR(SEARCH("女",F247)))</formula>
    </cfRule>
  </conditionalFormatting>
  <conditionalFormatting sqref="C218:D218 F218:AE218">
    <cfRule type="containsText" dxfId="607" priority="150" operator="containsText" text="？">
      <formula>NOT(ISERROR(SEARCH("？",C218)))</formula>
    </cfRule>
  </conditionalFormatting>
  <conditionalFormatting sqref="F257">
    <cfRule type="containsText" dxfId="606" priority="137" operator="containsText" text="女">
      <formula>NOT(ISERROR(SEARCH("女",F257)))</formula>
    </cfRule>
  </conditionalFormatting>
  <conditionalFormatting sqref="F258:F259">
    <cfRule type="containsText" dxfId="605" priority="135" operator="containsText" text="女">
      <formula>NOT(ISERROR(SEARCH("女",F258)))</formula>
    </cfRule>
  </conditionalFormatting>
  <conditionalFormatting sqref="C207:D207 F207:AE207">
    <cfRule type="containsText" dxfId="604" priority="166" operator="containsText" text="？">
      <formula>NOT(ISERROR(SEARCH("？",C207)))</formula>
    </cfRule>
  </conditionalFormatting>
  <conditionalFormatting sqref="F207">
    <cfRule type="containsText" dxfId="603" priority="165" operator="containsText" text="女">
      <formula>NOT(ISERROR(SEARCH("女",F207)))</formula>
    </cfRule>
  </conditionalFormatting>
  <conditionalFormatting sqref="C208:D208 F208:AE208">
    <cfRule type="containsText" dxfId="602" priority="164" operator="containsText" text="？">
      <formula>NOT(ISERROR(SEARCH("？",C208)))</formula>
    </cfRule>
  </conditionalFormatting>
  <conditionalFormatting sqref="F208">
    <cfRule type="containsText" dxfId="601" priority="163" operator="containsText" text="女">
      <formula>NOT(ISERROR(SEARCH("女",F208)))</formula>
    </cfRule>
  </conditionalFormatting>
  <conditionalFormatting sqref="F331:F346">
    <cfRule type="containsText" dxfId="600" priority="133" operator="containsText" text="女">
      <formula>NOT(ISERROR(SEARCH("女",F331)))</formula>
    </cfRule>
  </conditionalFormatting>
  <conditionalFormatting sqref="C209:D209 F209:AE209">
    <cfRule type="containsText" dxfId="599" priority="162" operator="containsText" text="？">
      <formula>NOT(ISERROR(SEARCH("？",C209)))</formula>
    </cfRule>
  </conditionalFormatting>
  <conditionalFormatting sqref="F209">
    <cfRule type="containsText" dxfId="598" priority="161" operator="containsText" text="女">
      <formula>NOT(ISERROR(SEARCH("女",F209)))</formula>
    </cfRule>
  </conditionalFormatting>
  <conditionalFormatting sqref="C210:D210 F210:AE210">
    <cfRule type="containsText" dxfId="597" priority="160" operator="containsText" text="？">
      <formula>NOT(ISERROR(SEARCH("？",C210)))</formula>
    </cfRule>
  </conditionalFormatting>
  <conditionalFormatting sqref="F210">
    <cfRule type="containsText" dxfId="596" priority="159" operator="containsText" text="女">
      <formula>NOT(ISERROR(SEARCH("女",F210)))</formula>
    </cfRule>
  </conditionalFormatting>
  <conditionalFormatting sqref="C211:D211 F211:AE211">
    <cfRule type="containsText" dxfId="595" priority="158" operator="containsText" text="？">
      <formula>NOT(ISERROR(SEARCH("？",C211)))</formula>
    </cfRule>
  </conditionalFormatting>
  <conditionalFormatting sqref="F211">
    <cfRule type="containsText" dxfId="594" priority="157" operator="containsText" text="女">
      <formula>NOT(ISERROR(SEARCH("女",F211)))</formula>
    </cfRule>
  </conditionalFormatting>
  <conditionalFormatting sqref="F357:F372">
    <cfRule type="containsText" dxfId="593" priority="129" operator="containsText" text="女">
      <formula>NOT(ISERROR(SEARCH("女",F357)))</formula>
    </cfRule>
  </conditionalFormatting>
  <conditionalFormatting sqref="C212:D212 F212:AE212">
    <cfRule type="containsText" dxfId="592" priority="156" operator="containsText" text="？">
      <formula>NOT(ISERROR(SEARCH("？",C212)))</formula>
    </cfRule>
  </conditionalFormatting>
  <conditionalFormatting sqref="F212">
    <cfRule type="containsText" dxfId="591" priority="155" operator="containsText" text="女">
      <formula>NOT(ISERROR(SEARCH("女",F212)))</formula>
    </cfRule>
  </conditionalFormatting>
  <conditionalFormatting sqref="F373:F391">
    <cfRule type="containsText" dxfId="590" priority="127" operator="containsText" text="女">
      <formula>NOT(ISERROR(SEARCH("女",F373)))</formula>
    </cfRule>
  </conditionalFormatting>
  <conditionalFormatting sqref="C213:D215 F213:AE215">
    <cfRule type="containsText" dxfId="589" priority="154" operator="containsText" text="？">
      <formula>NOT(ISERROR(SEARCH("？",C213)))</formula>
    </cfRule>
  </conditionalFormatting>
  <conditionalFormatting sqref="F213:F215">
    <cfRule type="containsText" dxfId="588" priority="153" operator="containsText" text="女">
      <formula>NOT(ISERROR(SEARCH("女",F213)))</formula>
    </cfRule>
  </conditionalFormatting>
  <conditionalFormatting sqref="C216:D217 F216:AE217">
    <cfRule type="containsText" dxfId="587" priority="152" operator="containsText" text="？">
      <formula>NOT(ISERROR(SEARCH("？",C216)))</formula>
    </cfRule>
  </conditionalFormatting>
  <conditionalFormatting sqref="F216:F217">
    <cfRule type="containsText" dxfId="586" priority="151" operator="containsText" text="女">
      <formula>NOT(ISERROR(SEARCH("女",F216)))</formula>
    </cfRule>
  </conditionalFormatting>
  <conditionalFormatting sqref="C231:D240 F231:AE240">
    <cfRule type="containsText" dxfId="585" priority="144" operator="containsText" text="？">
      <formula>NOT(ISERROR(SEARCH("？",C231)))</formula>
    </cfRule>
  </conditionalFormatting>
  <conditionalFormatting sqref="F394">
    <cfRule type="containsText" dxfId="584" priority="125" operator="containsText" text="女">
      <formula>NOT(ISERROR(SEARCH("女",F394)))</formula>
    </cfRule>
  </conditionalFormatting>
  <conditionalFormatting sqref="F396:F397">
    <cfRule type="containsText" dxfId="583" priority="123" operator="containsText" text="女">
      <formula>NOT(ISERROR(SEARCH("女",F396)))</formula>
    </cfRule>
  </conditionalFormatting>
  <conditionalFormatting sqref="C225:D226 F225:AE226">
    <cfRule type="containsText" dxfId="582" priority="148" operator="containsText" text="？">
      <formula>NOT(ISERROR(SEARCH("？",C225)))</formula>
    </cfRule>
  </conditionalFormatting>
  <conditionalFormatting sqref="F225:F226">
    <cfRule type="containsText" dxfId="581" priority="147" operator="containsText" text="女">
      <formula>NOT(ISERROR(SEARCH("女",F225)))</formula>
    </cfRule>
  </conditionalFormatting>
  <conditionalFormatting sqref="F458:F474">
    <cfRule type="containsText" dxfId="580" priority="121" operator="containsText" text="女">
      <formula>NOT(ISERROR(SEARCH("女",F458)))</formula>
    </cfRule>
  </conditionalFormatting>
  <conditionalFormatting sqref="C227:D230 F227:AE230">
    <cfRule type="containsText" dxfId="579" priority="146" operator="containsText" text="？">
      <formula>NOT(ISERROR(SEARCH("？",C227)))</formula>
    </cfRule>
  </conditionalFormatting>
  <conditionalFormatting sqref="F227:F230">
    <cfRule type="containsText" dxfId="578" priority="145" operator="containsText" text="女">
      <formula>NOT(ISERROR(SEARCH("女",F227)))</formula>
    </cfRule>
  </conditionalFormatting>
  <conditionalFormatting sqref="C247:D254 F247:AE254">
    <cfRule type="containsText" dxfId="577" priority="140" operator="containsText" text="？">
      <formula>NOT(ISERROR(SEARCH("？",C247)))</formula>
    </cfRule>
  </conditionalFormatting>
  <conditionalFormatting sqref="F495:F500">
    <cfRule type="containsText" dxfId="576" priority="115" operator="containsText" text="女">
      <formula>NOT(ISERROR(SEARCH("女",F495)))</formula>
    </cfRule>
  </conditionalFormatting>
  <conditionalFormatting sqref="F514">
    <cfRule type="containsText" dxfId="575" priority="113" operator="containsText" text="女">
      <formula>NOT(ISERROR(SEARCH("女",F514)))</formula>
    </cfRule>
  </conditionalFormatting>
  <conditionalFormatting sqref="C244:D246 F244:AE246">
    <cfRule type="containsText" dxfId="574" priority="142" operator="containsText" text="？">
      <formula>NOT(ISERROR(SEARCH("？",C244)))</formula>
    </cfRule>
  </conditionalFormatting>
  <conditionalFormatting sqref="F244:F246">
    <cfRule type="containsText" dxfId="573" priority="141" operator="containsText" text="女">
      <formula>NOT(ISERROR(SEARCH("女",F244)))</formula>
    </cfRule>
  </conditionalFormatting>
  <conditionalFormatting sqref="C257:D257 F257:AE257">
    <cfRule type="containsText" dxfId="572" priority="138" operator="containsText" text="？">
      <formula>NOT(ISERROR(SEARCH("？",C257)))</formula>
    </cfRule>
  </conditionalFormatting>
  <conditionalFormatting sqref="F502:F511">
    <cfRule type="containsText" dxfId="571" priority="111" operator="containsText" text="女">
      <formula>NOT(ISERROR(SEARCH("女",F502)))</formula>
    </cfRule>
  </conditionalFormatting>
  <conditionalFormatting sqref="C258:D259 F258:AE259">
    <cfRule type="containsText" dxfId="570" priority="136" operator="containsText" text="？">
      <formula>NOT(ISERROR(SEARCH("？",C258)))</formula>
    </cfRule>
  </conditionalFormatting>
  <conditionalFormatting sqref="F568:F569">
    <cfRule type="containsText" dxfId="569" priority="107" operator="containsText" text="女">
      <formula>NOT(ISERROR(SEARCH("女",F568)))</formula>
    </cfRule>
  </conditionalFormatting>
  <conditionalFormatting sqref="C331:D346 F331:AE346">
    <cfRule type="containsText" dxfId="568" priority="134" operator="containsText" text="？">
      <formula>NOT(ISERROR(SEARCH("？",C331)))</formula>
    </cfRule>
  </conditionalFormatting>
  <conditionalFormatting sqref="F573:F580">
    <cfRule type="containsText" dxfId="567" priority="105" operator="containsText" text="女">
      <formula>NOT(ISERROR(SEARCH("女",F573)))</formula>
    </cfRule>
  </conditionalFormatting>
  <conditionalFormatting sqref="C357:D372 F357:AE372">
    <cfRule type="containsText" dxfId="566" priority="130" operator="containsText" text="？">
      <formula>NOT(ISERROR(SEARCH("？",C357)))</formula>
    </cfRule>
  </conditionalFormatting>
  <conditionalFormatting sqref="F582:F583">
    <cfRule type="containsText" dxfId="565" priority="103" operator="containsText" text="女">
      <formula>NOT(ISERROR(SEARCH("女",F582)))</formula>
    </cfRule>
  </conditionalFormatting>
  <conditionalFormatting sqref="C356:D356 F356:AE356">
    <cfRule type="containsText" dxfId="564" priority="132" operator="containsText" text="？">
      <formula>NOT(ISERROR(SEARCH("？",C356)))</formula>
    </cfRule>
  </conditionalFormatting>
  <conditionalFormatting sqref="F356">
    <cfRule type="containsText" dxfId="563" priority="131" operator="containsText" text="女">
      <formula>NOT(ISERROR(SEARCH("女",F356)))</formula>
    </cfRule>
  </conditionalFormatting>
  <conditionalFormatting sqref="F586:F590">
    <cfRule type="containsText" dxfId="562" priority="101" operator="containsText" text="女">
      <formula>NOT(ISERROR(SEARCH("女",F586)))</formula>
    </cfRule>
  </conditionalFormatting>
  <conditionalFormatting sqref="C373:D391 F373:AE391">
    <cfRule type="containsText" dxfId="561" priority="128" operator="containsText" text="？">
      <formula>NOT(ISERROR(SEARCH("？",C373)))</formula>
    </cfRule>
  </conditionalFormatting>
  <conditionalFormatting sqref="F664:F683">
    <cfRule type="containsText" dxfId="560" priority="99" operator="containsText" text="女">
      <formula>NOT(ISERROR(SEARCH("女",F664)))</formula>
    </cfRule>
  </conditionalFormatting>
  <conditionalFormatting sqref="C394:D394 F394:AE394">
    <cfRule type="containsText" dxfId="559" priority="126" operator="containsText" text="？">
      <formula>NOT(ISERROR(SEARCH("？",C394)))</formula>
    </cfRule>
  </conditionalFormatting>
  <conditionalFormatting sqref="F692:F702">
    <cfRule type="containsText" dxfId="558" priority="95" operator="containsText" text="女">
      <formula>NOT(ISERROR(SEARCH("女",F692)))</formula>
    </cfRule>
  </conditionalFormatting>
  <conditionalFormatting sqref="C396:D397 F396:AE397">
    <cfRule type="containsText" dxfId="557" priority="124" operator="containsText" text="？">
      <formula>NOT(ISERROR(SEARCH("？",C396)))</formula>
    </cfRule>
  </conditionalFormatting>
  <conditionalFormatting sqref="F704:F706">
    <cfRule type="containsText" dxfId="556" priority="93" operator="containsText" text="女">
      <formula>NOT(ISERROR(SEARCH("女",F704)))</formula>
    </cfRule>
  </conditionalFormatting>
  <conditionalFormatting sqref="C458:D474 F458:AE474">
    <cfRule type="containsText" dxfId="555" priority="122" operator="containsText" text="？">
      <formula>NOT(ISERROR(SEARCH("？",C458)))</formula>
    </cfRule>
  </conditionalFormatting>
  <conditionalFormatting sqref="C495:D500 F495:AE500">
    <cfRule type="containsText" dxfId="554" priority="116" operator="containsText" text="？">
      <formula>NOT(ISERROR(SEARCH("？",C495)))</formula>
    </cfRule>
  </conditionalFormatting>
  <conditionalFormatting sqref="C482:D482 F482:AE482">
    <cfRule type="containsText" dxfId="553" priority="120" operator="containsText" text="？">
      <formula>NOT(ISERROR(SEARCH("？",C482)))</formula>
    </cfRule>
  </conditionalFormatting>
  <conditionalFormatting sqref="F482">
    <cfRule type="containsText" dxfId="552" priority="119" operator="containsText" text="女">
      <formula>NOT(ISERROR(SEARCH("女",F482)))</formula>
    </cfRule>
  </conditionalFormatting>
  <conditionalFormatting sqref="C483:D494 F483:AE494">
    <cfRule type="containsText" dxfId="551" priority="118" operator="containsText" text="？">
      <formula>NOT(ISERROR(SEARCH("？",C483)))</formula>
    </cfRule>
  </conditionalFormatting>
  <conditionalFormatting sqref="F483:F494">
    <cfRule type="containsText" dxfId="550" priority="117" operator="containsText" text="女">
      <formula>NOT(ISERROR(SEARCH("女",F483)))</formula>
    </cfRule>
  </conditionalFormatting>
  <conditionalFormatting sqref="C514:D514 F514:R514">
    <cfRule type="containsText" dxfId="549" priority="114" operator="containsText" text="？">
      <formula>NOT(ISERROR(SEARCH("？",C514)))</formula>
    </cfRule>
  </conditionalFormatting>
  <conditionalFormatting sqref="C502:D511 F502:AE511">
    <cfRule type="containsText" dxfId="548" priority="112" operator="containsText" text="？">
      <formula>NOT(ISERROR(SEARCH("？",C502)))</formula>
    </cfRule>
  </conditionalFormatting>
  <conditionalFormatting sqref="C568:D569 F568:AE569">
    <cfRule type="containsText" dxfId="547" priority="108" operator="containsText" text="？">
      <formula>NOT(ISERROR(SEARCH("？",C568)))</formula>
    </cfRule>
  </conditionalFormatting>
  <conditionalFormatting sqref="C567:D567 F567:AE567">
    <cfRule type="containsText" dxfId="546" priority="110" operator="containsText" text="？">
      <formula>NOT(ISERROR(SEARCH("？",C567)))</formula>
    </cfRule>
  </conditionalFormatting>
  <conditionalFormatting sqref="F567">
    <cfRule type="containsText" dxfId="545" priority="109" operator="containsText" text="女">
      <formula>NOT(ISERROR(SEARCH("女",F567)))</formula>
    </cfRule>
  </conditionalFormatting>
  <conditionalFormatting sqref="C573:D580 F573:AE580">
    <cfRule type="containsText" dxfId="544" priority="106" operator="containsText" text="？">
      <formula>NOT(ISERROR(SEARCH("？",C573)))</formula>
    </cfRule>
  </conditionalFormatting>
  <conditionalFormatting sqref="C582:D583 F582:AE583">
    <cfRule type="containsText" dxfId="543" priority="104" operator="containsText" text="？">
      <formula>NOT(ISERROR(SEARCH("？",C582)))</formula>
    </cfRule>
  </conditionalFormatting>
  <conditionalFormatting sqref="C586:D590 F586:AE590">
    <cfRule type="containsText" dxfId="542" priority="102" operator="containsText" text="？">
      <formula>NOT(ISERROR(SEARCH("？",C586)))</formula>
    </cfRule>
  </conditionalFormatting>
  <conditionalFormatting sqref="C664:D683 F664:AE683">
    <cfRule type="containsText" dxfId="541" priority="100" operator="containsText" text="？">
      <formula>NOT(ISERROR(SEARCH("？",C664)))</formula>
    </cfRule>
  </conditionalFormatting>
  <conditionalFormatting sqref="C692:D702 F692:AE702">
    <cfRule type="containsText" dxfId="540" priority="96" operator="containsText" text="？">
      <formula>NOT(ISERROR(SEARCH("？",C692)))</formula>
    </cfRule>
  </conditionalFormatting>
  <conditionalFormatting sqref="C691:D691 F691:AE691">
    <cfRule type="containsText" dxfId="539" priority="98" operator="containsText" text="？">
      <formula>NOT(ISERROR(SEARCH("？",C691)))</formula>
    </cfRule>
  </conditionalFormatting>
  <conditionalFormatting sqref="F691">
    <cfRule type="containsText" dxfId="538" priority="97" operator="containsText" text="女">
      <formula>NOT(ISERROR(SEARCH("女",F691)))</formula>
    </cfRule>
  </conditionalFormatting>
  <conditionalFormatting sqref="C704:D706 F704:AE706">
    <cfRule type="containsText" dxfId="537" priority="94" operator="containsText" text="？">
      <formula>NOT(ISERROR(SEARCH("？",C704)))</formula>
    </cfRule>
  </conditionalFormatting>
  <conditionalFormatting sqref="C711:D711 F711:AE711">
    <cfRule type="containsText" dxfId="536" priority="92" operator="containsText" text="？">
      <formula>NOT(ISERROR(SEARCH("？",C711)))</formula>
    </cfRule>
  </conditionalFormatting>
  <conditionalFormatting sqref="F711">
    <cfRule type="containsText" dxfId="535" priority="91" operator="containsText" text="女">
      <formula>NOT(ISERROR(SEARCH("女",F711)))</formula>
    </cfRule>
  </conditionalFormatting>
  <conditionalFormatting sqref="C800:D811 F800:AE811">
    <cfRule type="containsText" dxfId="534" priority="90" operator="containsText" text="？">
      <formula>NOT(ISERROR(SEARCH("？",C800)))</formula>
    </cfRule>
  </conditionalFormatting>
  <conditionalFormatting sqref="F800:F811">
    <cfRule type="containsText" dxfId="533" priority="89" operator="containsText" text="女">
      <formula>NOT(ISERROR(SEARCH("女",F800)))</formula>
    </cfRule>
  </conditionalFormatting>
  <conditionalFormatting sqref="C823:D823 F823:AE823">
    <cfRule type="containsText" dxfId="532" priority="88" operator="containsText" text="？">
      <formula>NOT(ISERROR(SEARCH("？",C823)))</formula>
    </cfRule>
  </conditionalFormatting>
  <conditionalFormatting sqref="F823">
    <cfRule type="containsText" dxfId="531" priority="87" operator="containsText" text="女">
      <formula>NOT(ISERROR(SEARCH("女",F823)))</formula>
    </cfRule>
  </conditionalFormatting>
  <conditionalFormatting sqref="C824:D824 F824:AE824">
    <cfRule type="containsText" dxfId="530" priority="86" operator="containsText" text="？">
      <formula>NOT(ISERROR(SEARCH("？",C824)))</formula>
    </cfRule>
  </conditionalFormatting>
  <conditionalFormatting sqref="F824">
    <cfRule type="containsText" dxfId="529" priority="85" operator="containsText" text="女">
      <formula>NOT(ISERROR(SEARCH("女",F824)))</formula>
    </cfRule>
  </conditionalFormatting>
  <conditionalFormatting sqref="F830">
    <cfRule type="containsText" dxfId="528" priority="79" operator="containsText" text="女">
      <formula>NOT(ISERROR(SEARCH("女",F830)))</formula>
    </cfRule>
  </conditionalFormatting>
  <conditionalFormatting sqref="C825:D828 F825:AE828">
    <cfRule type="containsText" dxfId="527" priority="84" operator="containsText" text="？">
      <formula>NOT(ISERROR(SEARCH("？",C825)))</formula>
    </cfRule>
  </conditionalFormatting>
  <conditionalFormatting sqref="F825:F828">
    <cfRule type="containsText" dxfId="526" priority="83" operator="containsText" text="女">
      <formula>NOT(ISERROR(SEARCH("女",F825)))</formula>
    </cfRule>
  </conditionalFormatting>
  <conditionalFormatting sqref="C829:D829 F829:AE829">
    <cfRule type="containsText" dxfId="525" priority="82" operator="containsText" text="？">
      <formula>NOT(ISERROR(SEARCH("？",C829)))</formula>
    </cfRule>
  </conditionalFormatting>
  <conditionalFormatting sqref="F829">
    <cfRule type="containsText" dxfId="524" priority="81" operator="containsText" text="女">
      <formula>NOT(ISERROR(SEARCH("女",F829)))</formula>
    </cfRule>
  </conditionalFormatting>
  <conditionalFormatting sqref="C830:D830 F830:AE830">
    <cfRule type="containsText" dxfId="523" priority="80" operator="containsText" text="？">
      <formula>NOT(ISERROR(SEARCH("？",C830)))</formula>
    </cfRule>
  </conditionalFormatting>
  <conditionalFormatting sqref="F859">
    <cfRule type="containsText" dxfId="522" priority="67" operator="containsText" text="女">
      <formula>NOT(ISERROR(SEARCH("女",F859)))</formula>
    </cfRule>
  </conditionalFormatting>
  <conditionalFormatting sqref="F861:F866">
    <cfRule type="containsText" dxfId="521" priority="65" operator="containsText" text="女">
      <formula>NOT(ISERROR(SEARCH("女",F861)))</formula>
    </cfRule>
  </conditionalFormatting>
  <conditionalFormatting sqref="C832:D838 F832:AE838">
    <cfRule type="containsText" dxfId="520" priority="78" operator="containsText" text="？">
      <formula>NOT(ISERROR(SEARCH("？",C832)))</formula>
    </cfRule>
  </conditionalFormatting>
  <conditionalFormatting sqref="F832:F838">
    <cfRule type="containsText" dxfId="519" priority="77" operator="containsText" text="女">
      <formula>NOT(ISERROR(SEARCH("女",F832)))</formula>
    </cfRule>
  </conditionalFormatting>
  <conditionalFormatting sqref="C839:D843 F839:AE843">
    <cfRule type="containsText" dxfId="518" priority="76" operator="containsText" text="？">
      <formula>NOT(ISERROR(SEARCH("？",C839)))</formula>
    </cfRule>
  </conditionalFormatting>
  <conditionalFormatting sqref="F839:F843">
    <cfRule type="containsText" dxfId="517" priority="75" operator="containsText" text="女">
      <formula>NOT(ISERROR(SEARCH("女",F839)))</formula>
    </cfRule>
  </conditionalFormatting>
  <conditionalFormatting sqref="C844:D844 F844:AE844">
    <cfRule type="containsText" dxfId="516" priority="74" operator="containsText" text="？">
      <formula>NOT(ISERROR(SEARCH("？",C844)))</formula>
    </cfRule>
  </conditionalFormatting>
  <conditionalFormatting sqref="F844">
    <cfRule type="containsText" dxfId="515" priority="73" operator="containsText" text="女">
      <formula>NOT(ISERROR(SEARCH("女",F844)))</formula>
    </cfRule>
  </conditionalFormatting>
  <conditionalFormatting sqref="C845:D848 F845:AE848">
    <cfRule type="containsText" dxfId="514" priority="72" operator="containsText" text="？">
      <formula>NOT(ISERROR(SEARCH("？",C845)))</formula>
    </cfRule>
  </conditionalFormatting>
  <conditionalFormatting sqref="F845:F848">
    <cfRule type="containsText" dxfId="513" priority="71" operator="containsText" text="女">
      <formula>NOT(ISERROR(SEARCH("女",F845)))</formula>
    </cfRule>
  </conditionalFormatting>
  <conditionalFormatting sqref="C849:D858 F849:AE858">
    <cfRule type="containsText" dxfId="512" priority="70" operator="containsText" text="？">
      <formula>NOT(ISERROR(SEARCH("？",C849)))</formula>
    </cfRule>
  </conditionalFormatting>
  <conditionalFormatting sqref="F849:F858">
    <cfRule type="containsText" dxfId="511" priority="69" operator="containsText" text="女">
      <formula>NOT(ISERROR(SEARCH("女",F849)))</formula>
    </cfRule>
  </conditionalFormatting>
  <conditionalFormatting sqref="C859:D859 F859:AE859">
    <cfRule type="containsText" dxfId="510" priority="68" operator="containsText" text="？">
      <formula>NOT(ISERROR(SEARCH("？",C859)))</formula>
    </cfRule>
  </conditionalFormatting>
  <conditionalFormatting sqref="F873">
    <cfRule type="containsText" dxfId="509" priority="55" operator="containsText" text="女">
      <formula>NOT(ISERROR(SEARCH("女",F873)))</formula>
    </cfRule>
  </conditionalFormatting>
  <conditionalFormatting sqref="C861:D866 F861:AE866">
    <cfRule type="containsText" dxfId="508" priority="66" operator="containsText" text="？">
      <formula>NOT(ISERROR(SEARCH("？",C861)))</formula>
    </cfRule>
  </conditionalFormatting>
  <conditionalFormatting sqref="F874:F875">
    <cfRule type="containsText" dxfId="507" priority="53" operator="containsText" text="女">
      <formula>NOT(ISERROR(SEARCH("女",F874)))</formula>
    </cfRule>
  </conditionalFormatting>
  <conditionalFormatting sqref="C867:D867 F867:AE867">
    <cfRule type="containsText" dxfId="506" priority="64" operator="containsText" text="？">
      <formula>NOT(ISERROR(SEARCH("？",C867)))</formula>
    </cfRule>
  </conditionalFormatting>
  <conditionalFormatting sqref="F867">
    <cfRule type="containsText" dxfId="505" priority="63" operator="containsText" text="女">
      <formula>NOT(ISERROR(SEARCH("女",F867)))</formula>
    </cfRule>
  </conditionalFormatting>
  <conditionalFormatting sqref="F935:F940">
    <cfRule type="containsText" dxfId="504" priority="51" operator="containsText" text="女">
      <formula>NOT(ISERROR(SEARCH("女",F935)))</formula>
    </cfRule>
  </conditionalFormatting>
  <conditionalFormatting sqref="C869:D869 F869:AE869">
    <cfRule type="containsText" dxfId="503" priority="62" operator="containsText" text="？">
      <formula>NOT(ISERROR(SEARCH("？",C869)))</formula>
    </cfRule>
  </conditionalFormatting>
  <conditionalFormatting sqref="F869">
    <cfRule type="containsText" dxfId="502" priority="61" operator="containsText" text="女">
      <formula>NOT(ISERROR(SEARCH("女",F869)))</formula>
    </cfRule>
  </conditionalFormatting>
  <conditionalFormatting sqref="C871:D871 F871:AE871">
    <cfRule type="containsText" dxfId="501" priority="60" operator="containsText" text="？">
      <formula>NOT(ISERROR(SEARCH("？",C871)))</formula>
    </cfRule>
  </conditionalFormatting>
  <conditionalFormatting sqref="F871">
    <cfRule type="containsText" dxfId="500" priority="59" operator="containsText" text="女">
      <formula>NOT(ISERROR(SEARCH("女",F871)))</formula>
    </cfRule>
  </conditionalFormatting>
  <conditionalFormatting sqref="C872:D872 F872:AE872">
    <cfRule type="containsText" dxfId="499" priority="58" operator="containsText" text="？">
      <formula>NOT(ISERROR(SEARCH("？",C872)))</formula>
    </cfRule>
  </conditionalFormatting>
  <conditionalFormatting sqref="F872">
    <cfRule type="containsText" dxfId="498" priority="57" operator="containsText" text="女">
      <formula>NOT(ISERROR(SEARCH("女",F872)))</formula>
    </cfRule>
  </conditionalFormatting>
  <conditionalFormatting sqref="F943">
    <cfRule type="containsText" dxfId="497" priority="49" operator="containsText" text="女">
      <formula>NOT(ISERROR(SEARCH("女",F943)))</formula>
    </cfRule>
  </conditionalFormatting>
  <conditionalFormatting sqref="C873:D873 F873:AE873">
    <cfRule type="containsText" dxfId="496" priority="56" operator="containsText" text="？">
      <formula>NOT(ISERROR(SEARCH("？",C873)))</formula>
    </cfRule>
  </conditionalFormatting>
  <conditionalFormatting sqref="F978">
    <cfRule type="containsText" dxfId="495" priority="47" operator="containsText" text="女">
      <formula>NOT(ISERROR(SEARCH("女",F978)))</formula>
    </cfRule>
  </conditionalFormatting>
  <conditionalFormatting sqref="C874:D875 F874:AE875">
    <cfRule type="containsText" dxfId="494" priority="54" operator="containsText" text="？">
      <formula>NOT(ISERROR(SEARCH("？",C874)))</formula>
    </cfRule>
  </conditionalFormatting>
  <conditionalFormatting sqref="F987">
    <cfRule type="containsText" dxfId="493" priority="41" operator="containsText" text="女">
      <formula>NOT(ISERROR(SEARCH("女",F987)))</formula>
    </cfRule>
  </conditionalFormatting>
  <conditionalFormatting sqref="C935:D940 F935:AE940">
    <cfRule type="containsText" dxfId="492" priority="52" operator="containsText" text="？">
      <formula>NOT(ISERROR(SEARCH("？",C935)))</formula>
    </cfRule>
  </conditionalFormatting>
  <conditionalFormatting sqref="F991">
    <cfRule type="containsText" dxfId="491" priority="39" operator="containsText" text="女">
      <formula>NOT(ISERROR(SEARCH("女",F991)))</formula>
    </cfRule>
  </conditionalFormatting>
  <conditionalFormatting sqref="C943:D943 F943:AE943">
    <cfRule type="containsText" dxfId="490" priority="50" operator="containsText" text="？">
      <formula>NOT(ISERROR(SEARCH("？",C943)))</formula>
    </cfRule>
  </conditionalFormatting>
  <conditionalFormatting sqref="F992">
    <cfRule type="containsText" dxfId="489" priority="37" operator="containsText" text="女">
      <formula>NOT(ISERROR(SEARCH("女",F992)))</formula>
    </cfRule>
  </conditionalFormatting>
  <conditionalFormatting sqref="C978:D978 F978:AE978">
    <cfRule type="containsText" dxfId="488" priority="48" operator="containsText" text="？">
      <formula>NOT(ISERROR(SEARCH("？",C978)))</formula>
    </cfRule>
  </conditionalFormatting>
  <conditionalFormatting sqref="C982:D985 F982:AE985">
    <cfRule type="containsText" dxfId="487" priority="46" operator="containsText" text="？">
      <formula>NOT(ISERROR(SEARCH("？",C982)))</formula>
    </cfRule>
  </conditionalFormatting>
  <conditionalFormatting sqref="F982:F985">
    <cfRule type="containsText" dxfId="486" priority="45" operator="containsText" text="女">
      <formula>NOT(ISERROR(SEARCH("女",F982)))</formula>
    </cfRule>
  </conditionalFormatting>
  <conditionalFormatting sqref="C986:D986 F986:AE986">
    <cfRule type="containsText" dxfId="485" priority="44" operator="containsText" text="？">
      <formula>NOT(ISERROR(SEARCH("？",C986)))</formula>
    </cfRule>
  </conditionalFormatting>
  <conditionalFormatting sqref="F986">
    <cfRule type="containsText" dxfId="484" priority="43" operator="containsText" text="女">
      <formula>NOT(ISERROR(SEARCH("女",F986)))</formula>
    </cfRule>
  </conditionalFormatting>
  <conditionalFormatting sqref="C987:D987 F987:AE987">
    <cfRule type="containsText" dxfId="483" priority="42" operator="containsText" text="？">
      <formula>NOT(ISERROR(SEARCH("？",C987)))</formula>
    </cfRule>
  </conditionalFormatting>
  <conditionalFormatting sqref="C991:D991 F991:AE991">
    <cfRule type="containsText" dxfId="482" priority="40" operator="containsText" text="？">
      <formula>NOT(ISERROR(SEARCH("？",C991)))</formula>
    </cfRule>
  </conditionalFormatting>
  <conditionalFormatting sqref="C992:D992 F992:AE992">
    <cfRule type="containsText" dxfId="481" priority="38" operator="containsText" text="？">
      <formula>NOT(ISERROR(SEARCH("？",C992)))</formula>
    </cfRule>
  </conditionalFormatting>
  <conditionalFormatting sqref="C1063:D1063 F1063:AE1063">
    <cfRule type="containsText" dxfId="480" priority="36" operator="containsText" text="？">
      <formula>NOT(ISERROR(SEARCH("？",C1063)))</formula>
    </cfRule>
  </conditionalFormatting>
  <conditionalFormatting sqref="F1063">
    <cfRule type="containsText" dxfId="479" priority="35" operator="containsText" text="女">
      <formula>NOT(ISERROR(SEARCH("女",F1063)))</formula>
    </cfRule>
  </conditionalFormatting>
  <conditionalFormatting sqref="F1072">
    <cfRule type="containsText" dxfId="478" priority="17" operator="containsText" text="女">
      <formula>NOT(ISERROR(SEARCH("女",F1072)))</formula>
    </cfRule>
  </conditionalFormatting>
  <conditionalFormatting sqref="C1064:D1064 F1064:AE1064">
    <cfRule type="containsText" dxfId="477" priority="34" operator="containsText" text="？">
      <formula>NOT(ISERROR(SEARCH("？",C1064)))</formula>
    </cfRule>
  </conditionalFormatting>
  <conditionalFormatting sqref="F1064">
    <cfRule type="containsText" dxfId="476" priority="33" operator="containsText" text="女">
      <formula>NOT(ISERROR(SEARCH("女",F1064)))</formula>
    </cfRule>
  </conditionalFormatting>
  <conditionalFormatting sqref="C1065:D1065 F1065:AE1065">
    <cfRule type="containsText" dxfId="475" priority="32" operator="containsText" text="？">
      <formula>NOT(ISERROR(SEARCH("？",C1065)))</formula>
    </cfRule>
  </conditionalFormatting>
  <conditionalFormatting sqref="F1065">
    <cfRule type="containsText" dxfId="474" priority="31" operator="containsText" text="女">
      <formula>NOT(ISERROR(SEARCH("女",F1065)))</formula>
    </cfRule>
  </conditionalFormatting>
  <conditionalFormatting sqref="F1086:F1096">
    <cfRule type="containsText" dxfId="473" priority="11" operator="containsText" text="女">
      <formula>NOT(ISERROR(SEARCH("女",F1086)))</formula>
    </cfRule>
  </conditionalFormatting>
  <conditionalFormatting sqref="C1066:D1066 F1066:AE1066">
    <cfRule type="containsText" dxfId="472" priority="30" operator="containsText" text="？">
      <formula>NOT(ISERROR(SEARCH("？",C1066)))</formula>
    </cfRule>
  </conditionalFormatting>
  <conditionalFormatting sqref="F1066">
    <cfRule type="containsText" dxfId="471" priority="29" operator="containsText" text="女">
      <formula>NOT(ISERROR(SEARCH("女",F1066)))</formula>
    </cfRule>
  </conditionalFormatting>
  <conditionalFormatting sqref="F1098:F1103">
    <cfRule type="containsText" dxfId="470" priority="9" operator="containsText" text="女">
      <formula>NOT(ISERROR(SEARCH("女",F1098)))</formula>
    </cfRule>
  </conditionalFormatting>
  <conditionalFormatting sqref="C1067:D1067 F1067:AE1067">
    <cfRule type="containsText" dxfId="469" priority="28" operator="containsText" text="？">
      <formula>NOT(ISERROR(SEARCH("？",C1067)))</formula>
    </cfRule>
  </conditionalFormatting>
  <conditionalFormatting sqref="F1067">
    <cfRule type="containsText" dxfId="468" priority="27" operator="containsText" text="女">
      <formula>NOT(ISERROR(SEARCH("女",F1067)))</formula>
    </cfRule>
  </conditionalFormatting>
  <conditionalFormatting sqref="C1068:D1068 F1068:AE1068">
    <cfRule type="containsText" dxfId="467" priority="26" operator="containsText" text="？">
      <formula>NOT(ISERROR(SEARCH("？",C1068)))</formula>
    </cfRule>
  </conditionalFormatting>
  <conditionalFormatting sqref="F1068">
    <cfRule type="containsText" dxfId="466" priority="25" operator="containsText" text="女">
      <formula>NOT(ISERROR(SEARCH("女",F1068)))</formula>
    </cfRule>
  </conditionalFormatting>
  <conditionalFormatting sqref="F1106">
    <cfRule type="containsText" dxfId="465" priority="5" operator="containsText" text="女">
      <formula>NOT(ISERROR(SEARCH("女",F1106)))</formula>
    </cfRule>
  </conditionalFormatting>
  <conditionalFormatting sqref="C1069:D1069 F1069:AE1069">
    <cfRule type="containsText" dxfId="464" priority="24" operator="containsText" text="？">
      <formula>NOT(ISERROR(SEARCH("？",C1069)))</formula>
    </cfRule>
  </conditionalFormatting>
  <conditionalFormatting sqref="F1069">
    <cfRule type="containsText" dxfId="463" priority="23" operator="containsText" text="女">
      <formula>NOT(ISERROR(SEARCH("女",F1069)))</formula>
    </cfRule>
  </conditionalFormatting>
  <conditionalFormatting sqref="C1070:D1070 F1070:AE1070">
    <cfRule type="containsText" dxfId="462" priority="22" operator="containsText" text="？">
      <formula>NOT(ISERROR(SEARCH("？",C1070)))</formula>
    </cfRule>
  </conditionalFormatting>
  <conditionalFormatting sqref="F1070">
    <cfRule type="containsText" dxfId="461" priority="21" operator="containsText" text="女">
      <formula>NOT(ISERROR(SEARCH("女",F1070)))</formula>
    </cfRule>
  </conditionalFormatting>
  <conditionalFormatting sqref="C1071:D1071 F1071:AE1071">
    <cfRule type="containsText" dxfId="460" priority="20" operator="containsText" text="？">
      <formula>NOT(ISERROR(SEARCH("？",C1071)))</formula>
    </cfRule>
  </conditionalFormatting>
  <conditionalFormatting sqref="F1071">
    <cfRule type="containsText" dxfId="459" priority="19" operator="containsText" text="女">
      <formula>NOT(ISERROR(SEARCH("女",F1071)))</formula>
    </cfRule>
  </conditionalFormatting>
  <conditionalFormatting sqref="C1072:D1072 F1072:AE1072">
    <cfRule type="containsText" dxfId="458" priority="18" operator="containsText" text="？">
      <formula>NOT(ISERROR(SEARCH("？",C1072)))</formula>
    </cfRule>
  </conditionalFormatting>
  <conditionalFormatting sqref="F1108:F1112">
    <cfRule type="containsText" dxfId="457" priority="3" operator="containsText" text="女">
      <formula>NOT(ISERROR(SEARCH("女",F1108)))</formula>
    </cfRule>
  </conditionalFormatting>
  <conditionalFormatting sqref="C1079:D1079 F1079:AE1079">
    <cfRule type="containsText" dxfId="456" priority="16" operator="containsText" text="？">
      <formula>NOT(ISERROR(SEARCH("？",C1079)))</formula>
    </cfRule>
  </conditionalFormatting>
  <conditionalFormatting sqref="F1079">
    <cfRule type="containsText" dxfId="455" priority="15" operator="containsText" text="女">
      <formula>NOT(ISERROR(SEARCH("女",F1079)))</formula>
    </cfRule>
  </conditionalFormatting>
  <conditionalFormatting sqref="C1080:D1085 F1080:AE1085">
    <cfRule type="containsText" dxfId="454" priority="14" operator="containsText" text="？">
      <formula>NOT(ISERROR(SEARCH("？",C1080)))</formula>
    </cfRule>
  </conditionalFormatting>
  <conditionalFormatting sqref="F1080:F1085">
    <cfRule type="containsText" dxfId="453" priority="13" operator="containsText" text="女">
      <formula>NOT(ISERROR(SEARCH("女",F1080)))</formula>
    </cfRule>
  </conditionalFormatting>
  <conditionalFormatting sqref="C1086:D1096 F1086:AE1096">
    <cfRule type="containsText" dxfId="452" priority="12" operator="containsText" text="？">
      <formula>NOT(ISERROR(SEARCH("？",C1086)))</formula>
    </cfRule>
  </conditionalFormatting>
  <conditionalFormatting sqref="F928:F930">
    <cfRule type="containsText" dxfId="451" priority="1" operator="containsText" text="女">
      <formula>NOT(ISERROR(SEARCH("女",F928)))</formula>
    </cfRule>
  </conditionalFormatting>
  <conditionalFormatting sqref="C1098:D1103 F1098:AE1103">
    <cfRule type="containsText" dxfId="450" priority="10" operator="containsText" text="？">
      <formula>NOT(ISERROR(SEARCH("？",C1098)))</formula>
    </cfRule>
  </conditionalFormatting>
  <conditionalFormatting sqref="C1104:D1104 F1104:AE1104">
    <cfRule type="containsText" dxfId="449" priority="8" operator="containsText" text="？">
      <formula>NOT(ISERROR(SEARCH("？",C1104)))</formula>
    </cfRule>
  </conditionalFormatting>
  <conditionalFormatting sqref="F1104">
    <cfRule type="containsText" dxfId="448" priority="7" operator="containsText" text="女">
      <formula>NOT(ISERROR(SEARCH("女",F1104)))</formula>
    </cfRule>
  </conditionalFormatting>
  <conditionalFormatting sqref="C1106:D1106 F1106:AE1106">
    <cfRule type="containsText" dxfId="447" priority="6" operator="containsText" text="？">
      <formula>NOT(ISERROR(SEARCH("？",C1106)))</formula>
    </cfRule>
  </conditionalFormatting>
  <conditionalFormatting sqref="C1108:D1112 F1108:AE1112">
    <cfRule type="containsText" dxfId="446" priority="4" operator="containsText" text="？">
      <formula>NOT(ISERROR(SEARCH("？",C1108)))</formula>
    </cfRule>
  </conditionalFormatting>
  <conditionalFormatting sqref="C928:D930 F928:AE930">
    <cfRule type="containsText" dxfId="445" priority="2" operator="containsText" text="？">
      <formula>NOT(ISERROR(SEARCH("？",C928)))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AD1515"/>
  <sheetViews>
    <sheetView workbookViewId="0"/>
  </sheetViews>
  <sheetFormatPr defaultRowHeight="12" customHeight="1"/>
  <cols>
    <col min="1" max="2" width="4.625" style="824" customWidth="1"/>
    <col min="3" max="3" width="10.625" style="824" customWidth="1"/>
    <col min="4" max="5" width="2.625" style="824" customWidth="1"/>
    <col min="6" max="6" width="2.625" style="829" customWidth="1"/>
    <col min="7" max="7" width="9.625" style="824" customWidth="1"/>
    <col min="8" max="9" width="1.625" style="824" customWidth="1"/>
    <col min="10" max="10" width="5.625" style="824" customWidth="1"/>
    <col min="11" max="11" width="5.125" style="824" customWidth="1"/>
    <col min="12" max="14" width="2.625" style="824" customWidth="1"/>
    <col min="15" max="15" width="8.625" style="824" customWidth="1"/>
    <col min="16" max="16" width="8.125" style="824" customWidth="1"/>
    <col min="17" max="17" width="23.625" style="824" customWidth="1"/>
    <col min="18" max="18" width="27.625" style="824" customWidth="1"/>
    <col min="19" max="19" width="5.625" style="824" customWidth="1"/>
    <col min="20" max="20" width="4.625" style="824" customWidth="1"/>
    <col min="21" max="30" width="2" style="824" customWidth="1"/>
    <col min="31" max="16384" width="9" style="824"/>
  </cols>
  <sheetData>
    <row r="1" spans="1:30" ht="12" customHeight="1">
      <c r="A1" s="828" t="s">
        <v>16695</v>
      </c>
      <c r="B1" s="3" t="s">
        <v>1</v>
      </c>
      <c r="C1" s="5" t="s">
        <v>852</v>
      </c>
      <c r="D1" s="5">
        <f t="shared" ref="D1:D64" si="0">DATEDIF(P1,$P$1505,"Y")</f>
        <v>71</v>
      </c>
      <c r="E1" s="6" t="s">
        <v>5</v>
      </c>
      <c r="F1" s="6" t="s">
        <v>15273</v>
      </c>
      <c r="G1" s="7" t="s">
        <v>1317</v>
      </c>
      <c r="H1" s="5"/>
      <c r="I1" s="6"/>
      <c r="J1" s="8" t="s">
        <v>16126</v>
      </c>
      <c r="K1" s="5" t="s">
        <v>45</v>
      </c>
      <c r="L1" s="5" t="s">
        <v>25</v>
      </c>
      <c r="M1" s="5">
        <v>10</v>
      </c>
      <c r="N1" s="10">
        <v>13</v>
      </c>
      <c r="O1" s="7" t="s">
        <v>317</v>
      </c>
      <c r="P1" s="11">
        <v>14979</v>
      </c>
      <c r="Q1" s="7" t="s">
        <v>727</v>
      </c>
      <c r="R1" s="7" t="s">
        <v>803</v>
      </c>
      <c r="S1" s="7" t="s">
        <v>736</v>
      </c>
      <c r="T1" s="7" t="s">
        <v>634</v>
      </c>
      <c r="U1" s="6"/>
      <c r="V1" s="2"/>
      <c r="W1" s="2" t="s">
        <v>75</v>
      </c>
      <c r="X1" s="2"/>
      <c r="Y1" s="2"/>
      <c r="Z1" s="2"/>
      <c r="AA1" s="2" t="s">
        <v>104</v>
      </c>
      <c r="AB1" s="2" t="s">
        <v>147</v>
      </c>
      <c r="AC1" s="2"/>
      <c r="AD1" s="2"/>
    </row>
    <row r="2" spans="1:30" ht="12" customHeight="1">
      <c r="A2" s="828" t="s">
        <v>16696</v>
      </c>
      <c r="B2" s="3" t="s">
        <v>3</v>
      </c>
      <c r="C2" s="6" t="s">
        <v>929</v>
      </c>
      <c r="D2" s="5">
        <f t="shared" si="0"/>
        <v>52</v>
      </c>
      <c r="E2" s="6" t="s">
        <v>5</v>
      </c>
      <c r="F2" s="6" t="s">
        <v>15273</v>
      </c>
      <c r="G2" s="12"/>
      <c r="H2" s="6"/>
      <c r="I2" s="6"/>
      <c r="J2" s="8" t="s">
        <v>16120</v>
      </c>
      <c r="K2" s="6" t="s">
        <v>30</v>
      </c>
      <c r="L2" s="6" t="s">
        <v>6</v>
      </c>
      <c r="M2" s="6"/>
      <c r="N2" s="14"/>
      <c r="O2" s="12" t="s">
        <v>930</v>
      </c>
      <c r="P2" s="15">
        <v>22240</v>
      </c>
      <c r="Q2" s="12" t="s">
        <v>931</v>
      </c>
      <c r="R2" s="7"/>
      <c r="S2" s="7" t="s">
        <v>5457</v>
      </c>
      <c r="T2" s="7" t="s">
        <v>145</v>
      </c>
      <c r="U2" s="6"/>
      <c r="V2" s="2" t="s">
        <v>145</v>
      </c>
      <c r="W2" s="2"/>
      <c r="X2" s="2"/>
      <c r="Y2" s="2"/>
      <c r="Z2" s="2"/>
      <c r="AA2" s="2"/>
      <c r="AB2" s="2"/>
      <c r="AC2" s="2"/>
      <c r="AD2" s="2"/>
    </row>
    <row r="3" spans="1:30" ht="12" customHeight="1">
      <c r="A3" s="828" t="s">
        <v>16697</v>
      </c>
      <c r="B3" s="3" t="s">
        <v>54</v>
      </c>
      <c r="C3" s="1" t="s">
        <v>4989</v>
      </c>
      <c r="D3" s="5">
        <f t="shared" si="0"/>
        <v>35</v>
      </c>
      <c r="E3" s="2" t="s">
        <v>5</v>
      </c>
      <c r="F3" s="2" t="s">
        <v>15273</v>
      </c>
      <c r="G3" s="3"/>
      <c r="H3" s="1"/>
      <c r="I3" s="1"/>
      <c r="J3" s="4" t="s">
        <v>16116</v>
      </c>
      <c r="K3" s="1" t="s">
        <v>4997</v>
      </c>
      <c r="L3" s="1" t="s">
        <v>6</v>
      </c>
      <c r="M3" s="825"/>
      <c r="N3" s="17"/>
      <c r="O3" s="3" t="s">
        <v>23</v>
      </c>
      <c r="P3" s="21">
        <v>28233</v>
      </c>
      <c r="Q3" s="3" t="s">
        <v>5613</v>
      </c>
      <c r="R3" s="3"/>
      <c r="S3" s="3" t="s">
        <v>469</v>
      </c>
      <c r="T3" s="3" t="s">
        <v>155</v>
      </c>
      <c r="U3" s="2"/>
      <c r="V3" s="2"/>
      <c r="W3" s="2"/>
      <c r="X3" s="2"/>
      <c r="Y3" s="2" t="s">
        <v>155</v>
      </c>
      <c r="Z3" s="2"/>
      <c r="AA3" s="2"/>
      <c r="AB3" s="2"/>
      <c r="AC3" s="2"/>
      <c r="AD3" s="2"/>
    </row>
    <row r="4" spans="1:30" ht="12" customHeight="1">
      <c r="A4" s="828" t="s">
        <v>16698</v>
      </c>
      <c r="B4" s="3" t="s">
        <v>4988</v>
      </c>
      <c r="C4" s="1" t="s">
        <v>4</v>
      </c>
      <c r="D4" s="5">
        <f t="shared" si="0"/>
        <v>54</v>
      </c>
      <c r="E4" s="2" t="s">
        <v>5</v>
      </c>
      <c r="F4" s="2" t="s">
        <v>15273</v>
      </c>
      <c r="G4" s="3"/>
      <c r="H4" s="1"/>
      <c r="I4" s="1"/>
      <c r="J4" s="4" t="s">
        <v>16117</v>
      </c>
      <c r="K4" s="1"/>
      <c r="L4" s="1" t="s">
        <v>6</v>
      </c>
      <c r="M4" s="825"/>
      <c r="N4" s="17"/>
      <c r="O4" s="3" t="s">
        <v>7</v>
      </c>
      <c r="P4" s="21">
        <v>21361</v>
      </c>
      <c r="Q4" s="3" t="s">
        <v>16087</v>
      </c>
      <c r="R4" s="3"/>
      <c r="S4" s="3"/>
      <c r="T4" s="3"/>
      <c r="U4" s="2"/>
      <c r="V4" s="2"/>
      <c r="W4" s="2"/>
      <c r="X4" s="2"/>
      <c r="Y4" s="2"/>
      <c r="Z4" s="2"/>
      <c r="AA4" s="2"/>
      <c r="AB4" s="2"/>
      <c r="AC4" s="2"/>
      <c r="AD4" s="2"/>
    </row>
    <row r="5" spans="1:30" ht="12" customHeight="1">
      <c r="A5" s="828" t="s">
        <v>16699</v>
      </c>
      <c r="B5" s="3" t="s">
        <v>5556</v>
      </c>
      <c r="C5" s="1" t="s">
        <v>5557</v>
      </c>
      <c r="D5" s="5">
        <f t="shared" si="0"/>
        <v>38</v>
      </c>
      <c r="E5" s="2" t="s">
        <v>5</v>
      </c>
      <c r="F5" s="2" t="s">
        <v>15273</v>
      </c>
      <c r="G5" s="3"/>
      <c r="H5" s="1"/>
      <c r="I5" s="1"/>
      <c r="J5" s="4" t="s">
        <v>16124</v>
      </c>
      <c r="K5" s="1"/>
      <c r="L5" s="1" t="s">
        <v>6</v>
      </c>
      <c r="M5" s="825"/>
      <c r="N5" s="17"/>
      <c r="O5" s="3" t="s">
        <v>5559</v>
      </c>
      <c r="P5" s="21">
        <v>27087</v>
      </c>
      <c r="Q5" s="3" t="s">
        <v>5560</v>
      </c>
      <c r="R5" s="3"/>
      <c r="S5" s="3" t="s">
        <v>15585</v>
      </c>
      <c r="T5" s="3" t="s">
        <v>85</v>
      </c>
      <c r="U5" s="2"/>
      <c r="V5" s="2"/>
      <c r="W5" s="2"/>
      <c r="X5" s="2"/>
      <c r="Y5" s="2"/>
      <c r="Z5" s="2" t="s">
        <v>85</v>
      </c>
      <c r="AA5" s="2"/>
      <c r="AB5" s="2"/>
      <c r="AC5" s="2"/>
      <c r="AD5" s="2"/>
    </row>
    <row r="6" spans="1:30" ht="12" customHeight="1">
      <c r="A6" s="828" t="s">
        <v>16700</v>
      </c>
      <c r="B6" s="3" t="s">
        <v>8</v>
      </c>
      <c r="C6" s="5" t="s">
        <v>3559</v>
      </c>
      <c r="D6" s="5">
        <f t="shared" si="0"/>
        <v>70</v>
      </c>
      <c r="E6" s="6" t="s">
        <v>5</v>
      </c>
      <c r="F6" s="6" t="s">
        <v>15273</v>
      </c>
      <c r="G6" s="7" t="s">
        <v>1318</v>
      </c>
      <c r="H6" s="5"/>
      <c r="I6" s="19"/>
      <c r="J6" s="8" t="s">
        <v>16127</v>
      </c>
      <c r="K6" s="5" t="s">
        <v>604</v>
      </c>
      <c r="L6" s="5" t="s">
        <v>25</v>
      </c>
      <c r="M6" s="5">
        <v>4</v>
      </c>
      <c r="N6" s="10">
        <v>4</v>
      </c>
      <c r="O6" s="7" t="s">
        <v>449</v>
      </c>
      <c r="P6" s="11">
        <v>15669</v>
      </c>
      <c r="Q6" s="7" t="s">
        <v>738</v>
      </c>
      <c r="R6" s="7" t="s">
        <v>823</v>
      </c>
      <c r="S6" s="7" t="s">
        <v>736</v>
      </c>
      <c r="T6" s="7"/>
      <c r="U6" s="6"/>
      <c r="V6" s="2"/>
      <c r="W6" s="2"/>
      <c r="X6" s="2"/>
      <c r="Y6" s="2"/>
      <c r="Z6" s="2"/>
      <c r="AA6" s="2"/>
      <c r="AB6" s="2"/>
      <c r="AC6" s="2"/>
      <c r="AD6" s="2"/>
    </row>
    <row r="7" spans="1:30" ht="12" customHeight="1">
      <c r="A7" s="828" t="s">
        <v>16701</v>
      </c>
      <c r="B7" s="3" t="s">
        <v>9</v>
      </c>
      <c r="C7" s="1" t="s">
        <v>12</v>
      </c>
      <c r="D7" s="5">
        <f t="shared" si="0"/>
        <v>62</v>
      </c>
      <c r="E7" s="2" t="s">
        <v>5</v>
      </c>
      <c r="F7" s="2" t="s">
        <v>15273</v>
      </c>
      <c r="G7" s="3"/>
      <c r="H7" s="1"/>
      <c r="I7" s="1"/>
      <c r="J7" s="4" t="s">
        <v>16120</v>
      </c>
      <c r="K7" s="1" t="s">
        <v>30</v>
      </c>
      <c r="L7" s="1" t="s">
        <v>14</v>
      </c>
      <c r="M7" s="825">
        <v>3</v>
      </c>
      <c r="N7" s="17">
        <v>3</v>
      </c>
      <c r="O7" s="3" t="s">
        <v>15</v>
      </c>
      <c r="P7" s="20">
        <v>18556</v>
      </c>
      <c r="Q7" s="3" t="s">
        <v>16</v>
      </c>
      <c r="R7" s="3" t="s">
        <v>17</v>
      </c>
      <c r="S7" s="3" t="s">
        <v>5457</v>
      </c>
      <c r="T7" s="3" t="s">
        <v>145</v>
      </c>
      <c r="U7" s="2"/>
      <c r="V7" s="2" t="s">
        <v>145</v>
      </c>
      <c r="W7" s="2"/>
      <c r="X7" s="2"/>
      <c r="Y7" s="2"/>
      <c r="Z7" s="2"/>
      <c r="AA7" s="2"/>
      <c r="AB7" s="2"/>
      <c r="AC7" s="2"/>
      <c r="AD7" s="2"/>
    </row>
    <row r="8" spans="1:30" ht="12" customHeight="1">
      <c r="A8" s="828" t="s">
        <v>16702</v>
      </c>
      <c r="B8" s="3" t="s">
        <v>10</v>
      </c>
      <c r="C8" s="1" t="s">
        <v>4991</v>
      </c>
      <c r="D8" s="5">
        <f t="shared" si="0"/>
        <v>47</v>
      </c>
      <c r="E8" s="2" t="s">
        <v>19</v>
      </c>
      <c r="F8" s="2" t="s">
        <v>15273</v>
      </c>
      <c r="G8" s="3"/>
      <c r="H8" s="1"/>
      <c r="I8" s="1"/>
      <c r="J8" s="4" t="s">
        <v>16116</v>
      </c>
      <c r="K8" s="1" t="s">
        <v>4997</v>
      </c>
      <c r="L8" s="1" t="s">
        <v>6</v>
      </c>
      <c r="M8" s="825"/>
      <c r="N8" s="17"/>
      <c r="O8" s="3" t="s">
        <v>15</v>
      </c>
      <c r="P8" s="21">
        <v>23850</v>
      </c>
      <c r="Q8" s="3" t="s">
        <v>16407</v>
      </c>
      <c r="R8" s="3"/>
      <c r="S8" s="3"/>
      <c r="T8" s="3"/>
      <c r="U8" s="2"/>
      <c r="V8" s="2"/>
      <c r="W8" s="2"/>
      <c r="X8" s="2"/>
      <c r="Y8" s="2"/>
      <c r="Z8" s="2"/>
      <c r="AA8" s="2"/>
      <c r="AB8" s="2"/>
      <c r="AC8" s="2"/>
      <c r="AD8" s="2"/>
    </row>
    <row r="9" spans="1:30" ht="12" customHeight="1">
      <c r="A9" s="828" t="s">
        <v>16703</v>
      </c>
      <c r="B9" s="3" t="s">
        <v>11</v>
      </c>
      <c r="C9" s="1" t="s">
        <v>4588</v>
      </c>
      <c r="D9" s="5">
        <f t="shared" si="0"/>
        <v>42</v>
      </c>
      <c r="E9" s="2" t="s">
        <v>5</v>
      </c>
      <c r="F9" s="2" t="s">
        <v>15273</v>
      </c>
      <c r="G9" s="3"/>
      <c r="H9" s="1"/>
      <c r="I9" s="1"/>
      <c r="J9" s="4" t="s">
        <v>16128</v>
      </c>
      <c r="K9" s="1"/>
      <c r="L9" s="1" t="s">
        <v>6</v>
      </c>
      <c r="M9" s="825"/>
      <c r="N9" s="17"/>
      <c r="O9" s="3" t="s">
        <v>4589</v>
      </c>
      <c r="P9" s="21">
        <v>25910</v>
      </c>
      <c r="Q9" s="3" t="s">
        <v>4590</v>
      </c>
      <c r="R9" s="3"/>
      <c r="S9" s="3"/>
      <c r="T9" s="3"/>
      <c r="U9" s="2"/>
      <c r="V9" s="2"/>
      <c r="W9" s="2"/>
      <c r="X9" s="2"/>
      <c r="Y9" s="2"/>
      <c r="Z9" s="2"/>
      <c r="AA9" s="2"/>
      <c r="AB9" s="2"/>
      <c r="AC9" s="2"/>
      <c r="AD9" s="2"/>
    </row>
    <row r="10" spans="1:30" ht="12" customHeight="1">
      <c r="A10" s="828" t="s">
        <v>16704</v>
      </c>
      <c r="B10" s="3" t="s">
        <v>4990</v>
      </c>
      <c r="C10" s="1" t="s">
        <v>18</v>
      </c>
      <c r="D10" s="5">
        <f t="shared" si="0"/>
        <v>55</v>
      </c>
      <c r="E10" s="2" t="s">
        <v>19</v>
      </c>
      <c r="F10" s="2"/>
      <c r="G10" s="3"/>
      <c r="H10" s="1"/>
      <c r="I10" s="1"/>
      <c r="J10" s="4" t="s">
        <v>16117</v>
      </c>
      <c r="K10" s="1"/>
      <c r="L10" s="1" t="s">
        <v>6</v>
      </c>
      <c r="M10" s="825"/>
      <c r="N10" s="17"/>
      <c r="O10" s="3" t="s">
        <v>20</v>
      </c>
      <c r="P10" s="21">
        <v>21153</v>
      </c>
      <c r="Q10" s="3" t="s">
        <v>21</v>
      </c>
      <c r="R10" s="3"/>
      <c r="S10" s="3"/>
      <c r="T10" s="3"/>
      <c r="U10" s="2"/>
      <c r="V10" s="2"/>
      <c r="W10" s="2"/>
      <c r="X10" s="2"/>
      <c r="Y10" s="2"/>
      <c r="Z10" s="2"/>
      <c r="AA10" s="2"/>
      <c r="AB10" s="2"/>
      <c r="AC10" s="2"/>
      <c r="AD10" s="2"/>
    </row>
    <row r="11" spans="1:30" ht="12" customHeight="1">
      <c r="A11" s="828" t="s">
        <v>16705</v>
      </c>
      <c r="B11" s="3" t="s">
        <v>26</v>
      </c>
      <c r="C11" s="5" t="s">
        <v>870</v>
      </c>
      <c r="D11" s="5">
        <f t="shared" si="0"/>
        <v>66</v>
      </c>
      <c r="E11" s="6" t="s">
        <v>5</v>
      </c>
      <c r="F11" s="6" t="s">
        <v>15273</v>
      </c>
      <c r="G11" s="7" t="s">
        <v>1319</v>
      </c>
      <c r="H11" s="5"/>
      <c r="I11" s="19"/>
      <c r="J11" s="8" t="s">
        <v>16127</v>
      </c>
      <c r="K11" s="5" t="s">
        <v>24</v>
      </c>
      <c r="L11" s="5" t="s">
        <v>25</v>
      </c>
      <c r="M11" s="5">
        <v>5</v>
      </c>
      <c r="N11" s="10">
        <v>5</v>
      </c>
      <c r="O11" s="7" t="s">
        <v>317</v>
      </c>
      <c r="P11" s="11">
        <v>16949</v>
      </c>
      <c r="Q11" s="7" t="s">
        <v>799</v>
      </c>
      <c r="R11" s="7" t="s">
        <v>2527</v>
      </c>
      <c r="S11" s="7" t="s">
        <v>736</v>
      </c>
      <c r="T11" s="7" t="s">
        <v>47</v>
      </c>
      <c r="U11" s="2" t="s">
        <v>47</v>
      </c>
      <c r="V11" s="2"/>
      <c r="W11" s="2"/>
      <c r="X11" s="2"/>
      <c r="Y11" s="2"/>
      <c r="Z11" s="2"/>
      <c r="AA11" s="2"/>
      <c r="AB11" s="2"/>
      <c r="AC11" s="2"/>
      <c r="AD11" s="2"/>
    </row>
    <row r="12" spans="1:30" ht="12" customHeight="1">
      <c r="A12" s="828" t="s">
        <v>16706</v>
      </c>
      <c r="B12" s="3" t="s">
        <v>27</v>
      </c>
      <c r="C12" s="1" t="s">
        <v>29</v>
      </c>
      <c r="D12" s="5">
        <f t="shared" si="0"/>
        <v>52</v>
      </c>
      <c r="E12" s="2" t="s">
        <v>5</v>
      </c>
      <c r="F12" s="2" t="s">
        <v>15273</v>
      </c>
      <c r="G12" s="3"/>
      <c r="H12" s="1"/>
      <c r="I12" s="1"/>
      <c r="J12" s="4" t="s">
        <v>16120</v>
      </c>
      <c r="K12" s="1" t="s">
        <v>30</v>
      </c>
      <c r="L12" s="1" t="s">
        <v>6</v>
      </c>
      <c r="M12" s="825"/>
      <c r="N12" s="17"/>
      <c r="O12" s="3" t="s">
        <v>31</v>
      </c>
      <c r="P12" s="20">
        <v>22015</v>
      </c>
      <c r="Q12" s="3" t="s">
        <v>32</v>
      </c>
      <c r="R12" s="3"/>
      <c r="S12" s="3" t="s">
        <v>5457</v>
      </c>
      <c r="T12" s="3" t="s">
        <v>145</v>
      </c>
      <c r="U12" s="2"/>
      <c r="V12" s="2" t="s">
        <v>145</v>
      </c>
      <c r="W12" s="2"/>
      <c r="X12" s="2"/>
      <c r="Y12" s="2"/>
      <c r="Z12" s="2"/>
      <c r="AA12" s="2"/>
      <c r="AB12" s="2"/>
      <c r="AC12" s="2"/>
      <c r="AD12" s="2"/>
    </row>
    <row r="13" spans="1:30" ht="12" customHeight="1">
      <c r="A13" s="828" t="s">
        <v>16707</v>
      </c>
      <c r="B13" s="3" t="s">
        <v>28</v>
      </c>
      <c r="C13" s="1" t="s">
        <v>6138</v>
      </c>
      <c r="D13" s="5">
        <f t="shared" si="0"/>
        <v>42</v>
      </c>
      <c r="E13" s="2" t="s">
        <v>5</v>
      </c>
      <c r="F13" s="2" t="s">
        <v>15273</v>
      </c>
      <c r="G13" s="3"/>
      <c r="H13" s="1"/>
      <c r="I13" s="1"/>
      <c r="J13" s="4" t="s">
        <v>16116</v>
      </c>
      <c r="K13" s="1" t="s">
        <v>4997</v>
      </c>
      <c r="L13" s="1" t="s">
        <v>6</v>
      </c>
      <c r="M13" s="825"/>
      <c r="N13" s="17"/>
      <c r="O13" s="3" t="s">
        <v>695</v>
      </c>
      <c r="P13" s="21">
        <v>25807</v>
      </c>
      <c r="Q13" s="3" t="s">
        <v>6139</v>
      </c>
      <c r="R13" s="3"/>
      <c r="S13" s="3" t="s">
        <v>469</v>
      </c>
      <c r="T13" s="3" t="s">
        <v>47</v>
      </c>
      <c r="U13" s="2" t="s">
        <v>47</v>
      </c>
      <c r="V13" s="2"/>
      <c r="W13" s="2"/>
      <c r="X13" s="2"/>
      <c r="Y13" s="2"/>
      <c r="Z13" s="2"/>
      <c r="AA13" s="2"/>
      <c r="AB13" s="2"/>
      <c r="AC13" s="2"/>
      <c r="AD13" s="2"/>
    </row>
    <row r="14" spans="1:30" ht="12" customHeight="1">
      <c r="A14" s="828" t="s">
        <v>16708</v>
      </c>
      <c r="B14" s="3" t="s">
        <v>5562</v>
      </c>
      <c r="C14" s="1" t="s">
        <v>16086</v>
      </c>
      <c r="D14" s="5">
        <f t="shared" si="0"/>
        <v>34</v>
      </c>
      <c r="E14" s="2" t="s">
        <v>5</v>
      </c>
      <c r="F14" s="2"/>
      <c r="G14" s="3"/>
      <c r="H14" s="1"/>
      <c r="I14" s="1"/>
      <c r="J14" s="4" t="s">
        <v>16117</v>
      </c>
      <c r="K14" s="1"/>
      <c r="L14" s="1" t="s">
        <v>6</v>
      </c>
      <c r="M14" s="825"/>
      <c r="N14" s="17"/>
      <c r="O14" s="3" t="s">
        <v>34</v>
      </c>
      <c r="P14" s="21">
        <v>28510</v>
      </c>
      <c r="Q14" s="3" t="s">
        <v>33</v>
      </c>
      <c r="R14" s="3"/>
      <c r="S14" s="3"/>
      <c r="T14" s="3"/>
      <c r="U14" s="2"/>
      <c r="V14" s="2"/>
      <c r="W14" s="2"/>
      <c r="X14" s="2"/>
      <c r="Y14" s="2"/>
      <c r="Z14" s="2"/>
      <c r="AA14" s="2"/>
      <c r="AB14" s="2"/>
      <c r="AC14" s="2"/>
      <c r="AD14" s="2"/>
    </row>
    <row r="15" spans="1:30" ht="12" customHeight="1">
      <c r="A15" s="828" t="s">
        <v>16709</v>
      </c>
      <c r="B15" s="3" t="s">
        <v>5620</v>
      </c>
      <c r="C15" s="1" t="s">
        <v>5563</v>
      </c>
      <c r="D15" s="5">
        <f t="shared" si="0"/>
        <v>53</v>
      </c>
      <c r="E15" s="2" t="s">
        <v>19</v>
      </c>
      <c r="F15" s="2" t="s">
        <v>15273</v>
      </c>
      <c r="G15" s="3"/>
      <c r="H15" s="1"/>
      <c r="I15" s="1"/>
      <c r="J15" s="4" t="s">
        <v>16124</v>
      </c>
      <c r="K15" s="1"/>
      <c r="L15" s="1" t="s">
        <v>6</v>
      </c>
      <c r="M15" s="825"/>
      <c r="N15" s="17"/>
      <c r="O15" s="3" t="s">
        <v>5564</v>
      </c>
      <c r="P15" s="21">
        <v>21650</v>
      </c>
      <c r="Q15" s="3" t="s">
        <v>5565</v>
      </c>
      <c r="R15" s="3"/>
      <c r="S15" s="3" t="s">
        <v>15585</v>
      </c>
      <c r="T15" s="3" t="s">
        <v>85</v>
      </c>
      <c r="U15" s="2"/>
      <c r="V15" s="2"/>
      <c r="W15" s="2"/>
      <c r="X15" s="2"/>
      <c r="Y15" s="2"/>
      <c r="Z15" s="2" t="s">
        <v>85</v>
      </c>
      <c r="AA15" s="2"/>
      <c r="AB15" s="2"/>
      <c r="AC15" s="2"/>
      <c r="AD15" s="2"/>
    </row>
    <row r="16" spans="1:30" ht="12" customHeight="1">
      <c r="A16" s="828" t="s">
        <v>16710</v>
      </c>
      <c r="B16" s="3" t="s">
        <v>35</v>
      </c>
      <c r="C16" s="5" t="s">
        <v>921</v>
      </c>
      <c r="D16" s="5">
        <f t="shared" si="0"/>
        <v>64</v>
      </c>
      <c r="E16" s="6" t="s">
        <v>5</v>
      </c>
      <c r="F16" s="6" t="s">
        <v>15273</v>
      </c>
      <c r="G16" s="7" t="s">
        <v>1320</v>
      </c>
      <c r="H16" s="5"/>
      <c r="I16" s="19"/>
      <c r="J16" s="8" t="s">
        <v>16126</v>
      </c>
      <c r="K16" s="5" t="s">
        <v>45</v>
      </c>
      <c r="L16" s="5" t="s">
        <v>25</v>
      </c>
      <c r="M16" s="5">
        <v>7</v>
      </c>
      <c r="N16" s="10">
        <v>7</v>
      </c>
      <c r="O16" s="7" t="s">
        <v>23</v>
      </c>
      <c r="P16" s="11">
        <v>17557</v>
      </c>
      <c r="Q16" s="7" t="s">
        <v>763</v>
      </c>
      <c r="R16" s="7" t="s">
        <v>831</v>
      </c>
      <c r="S16" s="7" t="s">
        <v>736</v>
      </c>
      <c r="T16" s="3"/>
      <c r="U16" s="2"/>
      <c r="V16" s="2"/>
      <c r="W16" s="2"/>
      <c r="X16" s="2"/>
      <c r="Y16" s="2"/>
      <c r="Z16" s="2"/>
      <c r="AA16" s="2"/>
      <c r="AB16" s="2"/>
      <c r="AC16" s="2"/>
      <c r="AD16" s="2"/>
    </row>
    <row r="17" spans="1:30" ht="12" customHeight="1">
      <c r="A17" s="828" t="s">
        <v>16711</v>
      </c>
      <c r="B17" s="3" t="s">
        <v>36</v>
      </c>
      <c r="C17" s="5" t="s">
        <v>5268</v>
      </c>
      <c r="D17" s="5">
        <f t="shared" si="0"/>
        <v>51</v>
      </c>
      <c r="E17" s="6" t="s">
        <v>5</v>
      </c>
      <c r="F17" s="6" t="s">
        <v>15273</v>
      </c>
      <c r="G17" s="7"/>
      <c r="H17" s="5"/>
      <c r="I17" s="19"/>
      <c r="J17" s="8" t="s">
        <v>16120</v>
      </c>
      <c r="K17" s="5" t="s">
        <v>30</v>
      </c>
      <c r="L17" s="5" t="s">
        <v>6</v>
      </c>
      <c r="M17" s="5"/>
      <c r="N17" s="10"/>
      <c r="O17" s="7" t="s">
        <v>930</v>
      </c>
      <c r="P17" s="11">
        <v>22335</v>
      </c>
      <c r="Q17" s="7" t="s">
        <v>5269</v>
      </c>
      <c r="R17" s="7"/>
      <c r="S17" s="7" t="s">
        <v>5457</v>
      </c>
      <c r="T17" s="3" t="s">
        <v>145</v>
      </c>
      <c r="U17" s="2"/>
      <c r="V17" s="2" t="s">
        <v>145</v>
      </c>
      <c r="W17" s="2"/>
      <c r="X17" s="2"/>
      <c r="Y17" s="2"/>
      <c r="Z17" s="2"/>
      <c r="AA17" s="2"/>
      <c r="AB17" s="2"/>
      <c r="AC17" s="2"/>
      <c r="AD17" s="2"/>
    </row>
    <row r="18" spans="1:30" ht="12" customHeight="1">
      <c r="A18" s="828" t="s">
        <v>16712</v>
      </c>
      <c r="B18" s="3" t="s">
        <v>55</v>
      </c>
      <c r="C18" s="1" t="s">
        <v>37</v>
      </c>
      <c r="D18" s="5">
        <f t="shared" si="0"/>
        <v>61</v>
      </c>
      <c r="E18" s="2" t="s">
        <v>19</v>
      </c>
      <c r="F18" s="2"/>
      <c r="G18" s="3"/>
      <c r="H18" s="1"/>
      <c r="I18" s="1"/>
      <c r="J18" s="4" t="s">
        <v>16117</v>
      </c>
      <c r="K18" s="1"/>
      <c r="L18" s="1" t="s">
        <v>6</v>
      </c>
      <c r="M18" s="825"/>
      <c r="N18" s="17"/>
      <c r="O18" s="3" t="s">
        <v>38</v>
      </c>
      <c r="P18" s="21">
        <v>18866</v>
      </c>
      <c r="Q18" s="3" t="s">
        <v>89</v>
      </c>
      <c r="R18" s="3"/>
      <c r="S18" s="3"/>
      <c r="T18" s="3" t="s">
        <v>145</v>
      </c>
      <c r="U18" s="2"/>
      <c r="V18" s="2" t="s">
        <v>145</v>
      </c>
      <c r="W18" s="2"/>
      <c r="X18" s="2"/>
      <c r="Y18" s="2"/>
      <c r="Z18" s="2"/>
      <c r="AA18" s="2"/>
      <c r="AB18" s="2"/>
      <c r="AC18" s="2"/>
      <c r="AD18" s="2"/>
    </row>
    <row r="19" spans="1:30" ht="12" customHeight="1">
      <c r="A19" s="828" t="s">
        <v>16713</v>
      </c>
      <c r="B19" s="3" t="s">
        <v>5566</v>
      </c>
      <c r="C19" s="1" t="s">
        <v>5567</v>
      </c>
      <c r="D19" s="5">
        <f t="shared" si="0"/>
        <v>53</v>
      </c>
      <c r="E19" s="2" t="s">
        <v>5</v>
      </c>
      <c r="F19" s="2" t="s">
        <v>15273</v>
      </c>
      <c r="G19" s="3"/>
      <c r="H19" s="1"/>
      <c r="I19" s="1"/>
      <c r="J19" s="4" t="s">
        <v>16124</v>
      </c>
      <c r="K19" s="1"/>
      <c r="L19" s="1" t="s">
        <v>6</v>
      </c>
      <c r="M19" s="825"/>
      <c r="N19" s="17"/>
      <c r="O19" s="3" t="s">
        <v>5568</v>
      </c>
      <c r="P19" s="21">
        <v>21800</v>
      </c>
      <c r="Q19" s="3" t="s">
        <v>5569</v>
      </c>
      <c r="R19" s="3"/>
      <c r="S19" s="3" t="s">
        <v>15585</v>
      </c>
      <c r="T19" s="3" t="s">
        <v>104</v>
      </c>
      <c r="U19" s="2"/>
      <c r="V19" s="2"/>
      <c r="W19" s="2"/>
      <c r="X19" s="2"/>
      <c r="Y19" s="2"/>
      <c r="Z19" s="2"/>
      <c r="AA19" s="2" t="s">
        <v>104</v>
      </c>
      <c r="AB19" s="2"/>
      <c r="AC19" s="2"/>
      <c r="AD19" s="2"/>
    </row>
    <row r="20" spans="1:30" ht="12" customHeight="1">
      <c r="A20" s="828" t="s">
        <v>16714</v>
      </c>
      <c r="B20" s="3" t="s">
        <v>39</v>
      </c>
      <c r="C20" s="1" t="s">
        <v>43</v>
      </c>
      <c r="D20" s="5">
        <f t="shared" si="0"/>
        <v>40</v>
      </c>
      <c r="E20" s="2" t="s">
        <v>5</v>
      </c>
      <c r="F20" s="6" t="s">
        <v>15273</v>
      </c>
      <c r="G20" s="3"/>
      <c r="H20" s="1"/>
      <c r="I20" s="1"/>
      <c r="J20" s="8" t="s">
        <v>16127</v>
      </c>
      <c r="K20" s="1" t="s">
        <v>44</v>
      </c>
      <c r="L20" s="1" t="s">
        <v>6</v>
      </c>
      <c r="M20" s="825"/>
      <c r="N20" s="17"/>
      <c r="O20" s="3" t="s">
        <v>23</v>
      </c>
      <c r="P20" s="20">
        <v>26331</v>
      </c>
      <c r="Q20" s="3" t="s">
        <v>46</v>
      </c>
      <c r="R20" s="3"/>
      <c r="S20" s="3"/>
      <c r="T20" s="3" t="s">
        <v>47</v>
      </c>
      <c r="U20" s="2" t="s">
        <v>47</v>
      </c>
      <c r="V20" s="2"/>
      <c r="W20" s="2"/>
      <c r="X20" s="2"/>
      <c r="Y20" s="2"/>
      <c r="Z20" s="2"/>
      <c r="AA20" s="2"/>
      <c r="AB20" s="2"/>
      <c r="AC20" s="2"/>
      <c r="AD20" s="2"/>
    </row>
    <row r="21" spans="1:30" ht="12" customHeight="1">
      <c r="A21" s="828" t="s">
        <v>16715</v>
      </c>
      <c r="B21" s="3" t="s">
        <v>40</v>
      </c>
      <c r="C21" s="5" t="s">
        <v>916</v>
      </c>
      <c r="D21" s="5">
        <f t="shared" si="0"/>
        <v>68</v>
      </c>
      <c r="E21" s="6" t="s">
        <v>5</v>
      </c>
      <c r="F21" s="6" t="s">
        <v>15273</v>
      </c>
      <c r="G21" s="7" t="s">
        <v>1321</v>
      </c>
      <c r="H21" s="5"/>
      <c r="I21" s="19"/>
      <c r="J21" s="4" t="s">
        <v>16120</v>
      </c>
      <c r="K21" s="5" t="s">
        <v>48</v>
      </c>
      <c r="L21" s="5" t="s">
        <v>25</v>
      </c>
      <c r="M21" s="5">
        <v>10</v>
      </c>
      <c r="N21" s="10">
        <v>9</v>
      </c>
      <c r="O21" s="7" t="s">
        <v>317</v>
      </c>
      <c r="P21" s="11">
        <v>16362</v>
      </c>
      <c r="Q21" s="7" t="s">
        <v>782</v>
      </c>
      <c r="R21" s="7" t="s">
        <v>813</v>
      </c>
      <c r="S21" s="7" t="s">
        <v>5457</v>
      </c>
      <c r="T21" s="7" t="s">
        <v>355</v>
      </c>
      <c r="U21" s="2" t="s">
        <v>47</v>
      </c>
      <c r="V21" s="2"/>
      <c r="W21" s="2"/>
      <c r="X21" s="2"/>
      <c r="Y21" s="2"/>
      <c r="Z21" s="2"/>
      <c r="AA21" s="2" t="s">
        <v>104</v>
      </c>
      <c r="AB21" s="2"/>
      <c r="AC21" s="2"/>
      <c r="AD21" s="2"/>
    </row>
    <row r="22" spans="1:30" ht="12" customHeight="1">
      <c r="A22" s="828" t="s">
        <v>16716</v>
      </c>
      <c r="B22" s="3" t="s">
        <v>41</v>
      </c>
      <c r="C22" s="1" t="s">
        <v>49</v>
      </c>
      <c r="D22" s="5">
        <f t="shared" si="0"/>
        <v>49</v>
      </c>
      <c r="E22" s="2" t="s">
        <v>5</v>
      </c>
      <c r="F22" s="2" t="s">
        <v>15273</v>
      </c>
      <c r="G22" s="3"/>
      <c r="H22" s="1"/>
      <c r="I22" s="1"/>
      <c r="J22" s="4" t="s">
        <v>16128</v>
      </c>
      <c r="K22" s="1"/>
      <c r="L22" s="1" t="s">
        <v>6</v>
      </c>
      <c r="M22" s="825"/>
      <c r="N22" s="17"/>
      <c r="O22" s="3" t="s">
        <v>7</v>
      </c>
      <c r="P22" s="20">
        <v>23319</v>
      </c>
      <c r="Q22" s="3" t="s">
        <v>50</v>
      </c>
      <c r="R22" s="3"/>
      <c r="S22" s="3" t="s">
        <v>6031</v>
      </c>
      <c r="T22" s="3"/>
      <c r="U22" s="2"/>
      <c r="V22" s="2"/>
      <c r="W22" s="2"/>
      <c r="X22" s="2"/>
      <c r="Y22" s="2"/>
      <c r="Z22" s="2"/>
      <c r="AA22" s="2"/>
      <c r="AB22" s="2"/>
      <c r="AC22" s="2"/>
      <c r="AD22" s="2"/>
    </row>
    <row r="23" spans="1:30" ht="12" customHeight="1">
      <c r="A23" s="828" t="s">
        <v>16717</v>
      </c>
      <c r="B23" s="3" t="s">
        <v>42</v>
      </c>
      <c r="C23" s="1" t="s">
        <v>51</v>
      </c>
      <c r="D23" s="5">
        <f t="shared" si="0"/>
        <v>52</v>
      </c>
      <c r="E23" s="2" t="s">
        <v>5</v>
      </c>
      <c r="F23" s="2"/>
      <c r="G23" s="3"/>
      <c r="H23" s="1"/>
      <c r="I23" s="1"/>
      <c r="J23" s="4" t="s">
        <v>16117</v>
      </c>
      <c r="K23" s="1"/>
      <c r="L23" s="1" t="s">
        <v>6</v>
      </c>
      <c r="M23" s="825"/>
      <c r="N23" s="17"/>
      <c r="O23" s="3" t="s">
        <v>52</v>
      </c>
      <c r="P23" s="21">
        <v>22026</v>
      </c>
      <c r="Q23" s="3" t="s">
        <v>16088</v>
      </c>
      <c r="R23" s="7"/>
      <c r="S23" s="7"/>
      <c r="T23" s="7"/>
      <c r="U23" s="2"/>
      <c r="V23" s="2"/>
      <c r="W23" s="2"/>
      <c r="X23" s="2"/>
      <c r="Y23" s="2"/>
      <c r="Z23" s="2"/>
      <c r="AA23" s="2"/>
      <c r="AB23" s="2"/>
      <c r="AC23" s="2"/>
      <c r="AD23" s="2"/>
    </row>
    <row r="24" spans="1:30" ht="12" customHeight="1">
      <c r="A24" s="828" t="s">
        <v>16718</v>
      </c>
      <c r="B24" s="3" t="s">
        <v>5161</v>
      </c>
      <c r="C24" s="1" t="s">
        <v>5162</v>
      </c>
      <c r="D24" s="5">
        <f t="shared" si="0"/>
        <v>45</v>
      </c>
      <c r="E24" s="2" t="s">
        <v>5</v>
      </c>
      <c r="F24" s="2"/>
      <c r="G24" s="3"/>
      <c r="H24" s="1"/>
      <c r="I24" s="1"/>
      <c r="J24" s="4" t="s">
        <v>16122</v>
      </c>
      <c r="K24" s="1" t="s">
        <v>22</v>
      </c>
      <c r="L24" s="1" t="s">
        <v>6</v>
      </c>
      <c r="M24" s="825"/>
      <c r="N24" s="17"/>
      <c r="O24" s="3" t="s">
        <v>381</v>
      </c>
      <c r="P24" s="20">
        <v>24458</v>
      </c>
      <c r="Q24" s="3" t="s">
        <v>5163</v>
      </c>
      <c r="R24" s="3"/>
      <c r="S24" s="3"/>
      <c r="T24" s="3"/>
      <c r="U24" s="2"/>
      <c r="V24" s="2"/>
      <c r="W24" s="2"/>
      <c r="X24" s="2"/>
      <c r="Y24" s="2"/>
      <c r="Z24" s="2"/>
      <c r="AA24" s="2"/>
      <c r="AB24" s="2"/>
      <c r="AC24" s="2"/>
      <c r="AD24" s="2"/>
    </row>
    <row r="25" spans="1:30" ht="12" customHeight="1">
      <c r="A25" s="828" t="s">
        <v>16719</v>
      </c>
      <c r="B25" s="3" t="s">
        <v>56</v>
      </c>
      <c r="C25" s="5" t="s">
        <v>874</v>
      </c>
      <c r="D25" s="5">
        <f t="shared" si="0"/>
        <v>63</v>
      </c>
      <c r="E25" s="6" t="s">
        <v>5</v>
      </c>
      <c r="F25" s="6" t="s">
        <v>15273</v>
      </c>
      <c r="G25" s="7" t="s">
        <v>1322</v>
      </c>
      <c r="H25" s="5"/>
      <c r="I25" s="19"/>
      <c r="J25" s="8" t="s">
        <v>16127</v>
      </c>
      <c r="K25" s="5" t="s">
        <v>45</v>
      </c>
      <c r="L25" s="5" t="s">
        <v>25</v>
      </c>
      <c r="M25" s="5">
        <v>2</v>
      </c>
      <c r="N25" s="10">
        <v>2</v>
      </c>
      <c r="O25" s="7" t="s">
        <v>1434</v>
      </c>
      <c r="P25" s="11">
        <v>17967</v>
      </c>
      <c r="Q25" s="7" t="s">
        <v>798</v>
      </c>
      <c r="R25" s="7" t="s">
        <v>826</v>
      </c>
      <c r="S25" s="7" t="s">
        <v>736</v>
      </c>
      <c r="T25" s="7" t="s">
        <v>148</v>
      </c>
      <c r="U25" s="2"/>
      <c r="V25" s="2" t="s">
        <v>145</v>
      </c>
      <c r="W25" s="2"/>
      <c r="X25" s="2"/>
      <c r="Y25" s="2"/>
      <c r="Z25" s="2"/>
      <c r="AA25" s="2"/>
      <c r="AB25" s="2"/>
      <c r="AC25" s="2"/>
      <c r="AD25" s="2" t="s">
        <v>69</v>
      </c>
    </row>
    <row r="26" spans="1:30" ht="12" customHeight="1">
      <c r="A26" s="828" t="s">
        <v>16720</v>
      </c>
      <c r="B26" s="3" t="s">
        <v>57</v>
      </c>
      <c r="C26" s="5" t="s">
        <v>872</v>
      </c>
      <c r="D26" s="5">
        <f t="shared" si="0"/>
        <v>66</v>
      </c>
      <c r="E26" s="6" t="s">
        <v>5</v>
      </c>
      <c r="F26" s="6" t="s">
        <v>15273</v>
      </c>
      <c r="G26" s="7" t="s">
        <v>1308</v>
      </c>
      <c r="H26" s="5"/>
      <c r="I26" s="19"/>
      <c r="J26" s="4" t="s">
        <v>16120</v>
      </c>
      <c r="K26" s="5" t="s">
        <v>13</v>
      </c>
      <c r="L26" s="5" t="s">
        <v>25</v>
      </c>
      <c r="M26" s="5">
        <v>5</v>
      </c>
      <c r="N26" s="10">
        <v>5</v>
      </c>
      <c r="O26" s="7" t="s">
        <v>381</v>
      </c>
      <c r="P26" s="11">
        <v>17075</v>
      </c>
      <c r="Q26" s="7" t="s">
        <v>796</v>
      </c>
      <c r="R26" s="7" t="s">
        <v>804</v>
      </c>
      <c r="S26" s="7" t="s">
        <v>5457</v>
      </c>
      <c r="T26" s="3" t="s">
        <v>145</v>
      </c>
      <c r="U26" s="2"/>
      <c r="V26" s="2" t="s">
        <v>145</v>
      </c>
      <c r="W26" s="2"/>
      <c r="X26" s="2"/>
      <c r="Y26" s="2"/>
      <c r="Z26" s="2"/>
      <c r="AA26" s="2"/>
      <c r="AB26" s="2"/>
      <c r="AC26" s="2"/>
      <c r="AD26" s="2"/>
    </row>
    <row r="27" spans="1:30" ht="12" customHeight="1">
      <c r="A27" s="828" t="s">
        <v>16721</v>
      </c>
      <c r="B27" s="3" t="s">
        <v>58</v>
      </c>
      <c r="C27" s="5" t="s">
        <v>5874</v>
      </c>
      <c r="D27" s="5">
        <f t="shared" si="0"/>
        <v>42</v>
      </c>
      <c r="E27" s="6" t="s">
        <v>5</v>
      </c>
      <c r="F27" s="2" t="s">
        <v>15273</v>
      </c>
      <c r="G27" s="7"/>
      <c r="H27" s="5"/>
      <c r="I27" s="19"/>
      <c r="J27" s="8" t="s">
        <v>16128</v>
      </c>
      <c r="K27" s="5"/>
      <c r="L27" s="5" t="s">
        <v>6</v>
      </c>
      <c r="M27" s="5"/>
      <c r="N27" s="10"/>
      <c r="O27" s="7" t="s">
        <v>31</v>
      </c>
      <c r="P27" s="11">
        <v>25659</v>
      </c>
      <c r="Q27" s="7" t="s">
        <v>5875</v>
      </c>
      <c r="R27" s="7"/>
      <c r="S27" s="7" t="s">
        <v>6031</v>
      </c>
      <c r="T27" s="3" t="s">
        <v>145</v>
      </c>
      <c r="U27" s="2"/>
      <c r="V27" s="2" t="s">
        <v>145</v>
      </c>
      <c r="W27" s="2"/>
      <c r="X27" s="2"/>
      <c r="Y27" s="2"/>
      <c r="Z27" s="2"/>
      <c r="AA27" s="2"/>
      <c r="AB27" s="2"/>
      <c r="AC27" s="2"/>
      <c r="AD27" s="2"/>
    </row>
    <row r="28" spans="1:30" ht="12" customHeight="1">
      <c r="A28" s="828" t="s">
        <v>16722</v>
      </c>
      <c r="B28" s="3" t="s">
        <v>5873</v>
      </c>
      <c r="C28" s="1" t="s">
        <v>59</v>
      </c>
      <c r="D28" s="5">
        <f t="shared" si="0"/>
        <v>63</v>
      </c>
      <c r="E28" s="2" t="s">
        <v>5</v>
      </c>
      <c r="F28" s="2"/>
      <c r="G28" s="3"/>
      <c r="H28" s="1"/>
      <c r="I28" s="1"/>
      <c r="J28" s="4" t="s">
        <v>16117</v>
      </c>
      <c r="K28" s="1"/>
      <c r="L28" s="1" t="s">
        <v>6</v>
      </c>
      <c r="M28" s="825"/>
      <c r="N28" s="17"/>
      <c r="O28" s="3" t="s">
        <v>60</v>
      </c>
      <c r="P28" s="20">
        <v>18221</v>
      </c>
      <c r="Q28" s="3" t="s">
        <v>53</v>
      </c>
      <c r="R28" s="3"/>
      <c r="S28" s="3"/>
      <c r="T28" s="3"/>
      <c r="U28" s="2"/>
      <c r="V28" s="2"/>
      <c r="W28" s="2"/>
      <c r="X28" s="2"/>
      <c r="Y28" s="2"/>
      <c r="Z28" s="2"/>
      <c r="AA28" s="2"/>
      <c r="AB28" s="2"/>
      <c r="AC28" s="2"/>
      <c r="AD28" s="2"/>
    </row>
    <row r="29" spans="1:30" ht="12" customHeight="1">
      <c r="A29" s="828" t="s">
        <v>16723</v>
      </c>
      <c r="B29" s="3" t="s">
        <v>61</v>
      </c>
      <c r="C29" s="5" t="s">
        <v>915</v>
      </c>
      <c r="D29" s="5">
        <f t="shared" si="0"/>
        <v>53</v>
      </c>
      <c r="E29" s="6" t="s">
        <v>19</v>
      </c>
      <c r="F29" s="6" t="s">
        <v>15273</v>
      </c>
      <c r="G29" s="7" t="s">
        <v>1307</v>
      </c>
      <c r="H29" s="5"/>
      <c r="I29" s="19"/>
      <c r="J29" s="8" t="s">
        <v>16126</v>
      </c>
      <c r="K29" s="5" t="s">
        <v>45</v>
      </c>
      <c r="L29" s="5" t="s">
        <v>25</v>
      </c>
      <c r="M29" s="5">
        <v>3</v>
      </c>
      <c r="N29" s="10">
        <v>3</v>
      </c>
      <c r="O29" s="7" t="s">
        <v>448</v>
      </c>
      <c r="P29" s="11">
        <v>21612</v>
      </c>
      <c r="Q29" s="7" t="s">
        <v>795</v>
      </c>
      <c r="R29" s="7" t="s">
        <v>347</v>
      </c>
      <c r="S29" s="7" t="s">
        <v>736</v>
      </c>
      <c r="T29" s="3" t="s">
        <v>145</v>
      </c>
      <c r="U29" s="2"/>
      <c r="V29" s="2" t="s">
        <v>145</v>
      </c>
      <c r="W29" s="2"/>
      <c r="X29" s="2"/>
      <c r="Y29" s="2"/>
      <c r="Z29" s="2"/>
      <c r="AA29" s="2"/>
      <c r="AB29" s="2"/>
      <c r="AC29" s="2"/>
      <c r="AD29" s="2"/>
    </row>
    <row r="30" spans="1:30" ht="12" customHeight="1">
      <c r="A30" s="828" t="s">
        <v>16724</v>
      </c>
      <c r="B30" s="3" t="s">
        <v>62</v>
      </c>
      <c r="C30" s="5" t="s">
        <v>847</v>
      </c>
      <c r="D30" s="5">
        <f t="shared" si="0"/>
        <v>64</v>
      </c>
      <c r="E30" s="5" t="s">
        <v>5</v>
      </c>
      <c r="F30" s="6" t="s">
        <v>15273</v>
      </c>
      <c r="G30" s="7" t="s">
        <v>1323</v>
      </c>
      <c r="H30" s="5"/>
      <c r="I30" s="19"/>
      <c r="J30" s="8" t="s">
        <v>16120</v>
      </c>
      <c r="K30" s="5" t="s">
        <v>65</v>
      </c>
      <c r="L30" s="5" t="s">
        <v>25</v>
      </c>
      <c r="M30" s="5">
        <v>1</v>
      </c>
      <c r="N30" s="10">
        <v>1</v>
      </c>
      <c r="O30" s="12" t="s">
        <v>458</v>
      </c>
      <c r="P30" s="15">
        <v>17861</v>
      </c>
      <c r="Q30" s="7" t="s">
        <v>794</v>
      </c>
      <c r="R30" s="7"/>
      <c r="S30" s="7" t="s">
        <v>5457</v>
      </c>
      <c r="T30" s="7" t="s">
        <v>371</v>
      </c>
      <c r="U30" s="2"/>
      <c r="V30" s="2" t="s">
        <v>145</v>
      </c>
      <c r="W30" s="2" t="s">
        <v>75</v>
      </c>
      <c r="X30" s="2"/>
      <c r="Y30" s="2"/>
      <c r="Z30" s="2"/>
      <c r="AA30" s="2"/>
      <c r="AB30" s="2"/>
      <c r="AC30" s="2"/>
      <c r="AD30" s="2"/>
    </row>
    <row r="31" spans="1:30" ht="12" customHeight="1">
      <c r="A31" s="828" t="s">
        <v>16725</v>
      </c>
      <c r="B31" s="3" t="s">
        <v>63</v>
      </c>
      <c r="C31" s="1" t="s">
        <v>66</v>
      </c>
      <c r="D31" s="5">
        <f t="shared" si="0"/>
        <v>52</v>
      </c>
      <c r="E31" s="2" t="s">
        <v>19</v>
      </c>
      <c r="F31" s="2"/>
      <c r="G31" s="3"/>
      <c r="H31" s="1"/>
      <c r="I31" s="1"/>
      <c r="J31" s="4" t="s">
        <v>16117</v>
      </c>
      <c r="K31" s="1"/>
      <c r="L31" s="1" t="s">
        <v>6</v>
      </c>
      <c r="M31" s="825"/>
      <c r="N31" s="17"/>
      <c r="O31" s="3" t="s">
        <v>67</v>
      </c>
      <c r="P31" s="21">
        <v>22053</v>
      </c>
      <c r="Q31" s="3" t="s">
        <v>68</v>
      </c>
      <c r="R31" s="3"/>
      <c r="S31" s="3"/>
      <c r="T31" s="3" t="s">
        <v>148</v>
      </c>
      <c r="U31" s="2"/>
      <c r="V31" s="2" t="s">
        <v>145</v>
      </c>
      <c r="W31" s="2"/>
      <c r="X31" s="2"/>
      <c r="Y31" s="2"/>
      <c r="Z31" s="2"/>
      <c r="AA31" s="2"/>
      <c r="AB31" s="2"/>
      <c r="AC31" s="2"/>
      <c r="AD31" s="2" t="s">
        <v>69</v>
      </c>
    </row>
    <row r="32" spans="1:30" ht="12" customHeight="1">
      <c r="A32" s="828" t="s">
        <v>16726</v>
      </c>
      <c r="B32" s="3" t="s">
        <v>64</v>
      </c>
      <c r="C32" s="1" t="s">
        <v>5578</v>
      </c>
      <c r="D32" s="5">
        <f t="shared" si="0"/>
        <v>26</v>
      </c>
      <c r="E32" s="2" t="s">
        <v>19</v>
      </c>
      <c r="F32" s="2" t="s">
        <v>15273</v>
      </c>
      <c r="G32" s="3"/>
      <c r="H32" s="1"/>
      <c r="I32" s="1"/>
      <c r="J32" s="4" t="s">
        <v>16124</v>
      </c>
      <c r="K32" s="1"/>
      <c r="L32" s="1" t="s">
        <v>6</v>
      </c>
      <c r="M32" s="825"/>
      <c r="N32" s="17"/>
      <c r="O32" s="3" t="s">
        <v>5816</v>
      </c>
      <c r="P32" s="21">
        <v>31417</v>
      </c>
      <c r="Q32" s="3" t="s">
        <v>5579</v>
      </c>
      <c r="R32" s="3"/>
      <c r="S32" s="3" t="s">
        <v>15585</v>
      </c>
      <c r="T32" s="3" t="s">
        <v>258</v>
      </c>
      <c r="U32" s="2"/>
      <c r="V32" s="2"/>
      <c r="W32" s="2"/>
      <c r="X32" s="2"/>
      <c r="Y32" s="2" t="s">
        <v>155</v>
      </c>
      <c r="Z32" s="2"/>
      <c r="AA32" s="2" t="s">
        <v>104</v>
      </c>
      <c r="AB32" s="2"/>
      <c r="AC32" s="2"/>
      <c r="AD32" s="2"/>
    </row>
    <row r="33" spans="1:30" ht="12" customHeight="1">
      <c r="A33" s="828" t="s">
        <v>16727</v>
      </c>
      <c r="B33" s="3" t="s">
        <v>70</v>
      </c>
      <c r="C33" s="5" t="s">
        <v>845</v>
      </c>
      <c r="D33" s="5">
        <f t="shared" si="0"/>
        <v>53</v>
      </c>
      <c r="E33" s="5" t="s">
        <v>5</v>
      </c>
      <c r="F33" s="6" t="s">
        <v>15273</v>
      </c>
      <c r="G33" s="7" t="s">
        <v>1324</v>
      </c>
      <c r="H33" s="5"/>
      <c r="I33" s="19"/>
      <c r="J33" s="8" t="s">
        <v>16127</v>
      </c>
      <c r="K33" s="5" t="s">
        <v>44</v>
      </c>
      <c r="L33" s="5" t="s">
        <v>25</v>
      </c>
      <c r="M33" s="5">
        <v>2</v>
      </c>
      <c r="N33" s="10">
        <v>2</v>
      </c>
      <c r="O33" s="7" t="s">
        <v>23</v>
      </c>
      <c r="P33" s="11">
        <v>21664</v>
      </c>
      <c r="Q33" s="7" t="s">
        <v>793</v>
      </c>
      <c r="R33" s="7" t="s">
        <v>811</v>
      </c>
      <c r="S33" s="7" t="s">
        <v>736</v>
      </c>
      <c r="T33" s="7" t="s">
        <v>75</v>
      </c>
      <c r="U33" s="2"/>
      <c r="V33" s="2"/>
      <c r="W33" s="2" t="s">
        <v>75</v>
      </c>
      <c r="X33" s="2"/>
      <c r="Y33" s="2"/>
      <c r="Z33" s="2"/>
      <c r="AA33" s="2"/>
      <c r="AB33" s="2"/>
      <c r="AC33" s="2"/>
      <c r="AD33" s="2"/>
    </row>
    <row r="34" spans="1:30" ht="12" customHeight="1">
      <c r="A34" s="828" t="s">
        <v>16728</v>
      </c>
      <c r="B34" s="3" t="s">
        <v>71</v>
      </c>
      <c r="C34" s="1" t="s">
        <v>73</v>
      </c>
      <c r="D34" s="5">
        <f t="shared" si="0"/>
        <v>46</v>
      </c>
      <c r="E34" s="2" t="s">
        <v>5</v>
      </c>
      <c r="F34" s="2" t="s">
        <v>15273</v>
      </c>
      <c r="G34" s="3"/>
      <c r="H34" s="1"/>
      <c r="I34" s="1"/>
      <c r="J34" s="4" t="s">
        <v>16120</v>
      </c>
      <c r="K34" s="1" t="s">
        <v>30</v>
      </c>
      <c r="L34" s="1" t="s">
        <v>6</v>
      </c>
      <c r="M34" s="825"/>
      <c r="N34" s="17"/>
      <c r="O34" s="3" t="s">
        <v>23</v>
      </c>
      <c r="P34" s="20">
        <v>24254</v>
      </c>
      <c r="Q34" s="3" t="s">
        <v>74</v>
      </c>
      <c r="R34" s="3"/>
      <c r="S34" s="3" t="s">
        <v>5457</v>
      </c>
      <c r="T34" s="3" t="s">
        <v>75</v>
      </c>
      <c r="U34" s="2"/>
      <c r="V34" s="2"/>
      <c r="W34" s="2" t="s">
        <v>75</v>
      </c>
      <c r="X34" s="2"/>
      <c r="Y34" s="2"/>
      <c r="Z34" s="2"/>
      <c r="AA34" s="2"/>
      <c r="AB34" s="2"/>
      <c r="AC34" s="2"/>
      <c r="AD34" s="2"/>
    </row>
    <row r="35" spans="1:30" ht="12" customHeight="1">
      <c r="A35" s="828" t="s">
        <v>16729</v>
      </c>
      <c r="B35" s="3" t="s">
        <v>72</v>
      </c>
      <c r="C35" s="1" t="s">
        <v>5070</v>
      </c>
      <c r="D35" s="5">
        <f t="shared" si="0"/>
        <v>26</v>
      </c>
      <c r="E35" s="2" t="s">
        <v>19</v>
      </c>
      <c r="F35" s="2" t="s">
        <v>15273</v>
      </c>
      <c r="G35" s="3"/>
      <c r="H35" s="1"/>
      <c r="I35" s="1"/>
      <c r="J35" s="4" t="s">
        <v>16125</v>
      </c>
      <c r="K35" s="1"/>
      <c r="L35" s="1" t="s">
        <v>6</v>
      </c>
      <c r="M35" s="825"/>
      <c r="N35" s="17"/>
      <c r="O35" s="3" t="s">
        <v>31</v>
      </c>
      <c r="P35" s="20">
        <v>31504</v>
      </c>
      <c r="Q35" s="3" t="s">
        <v>750</v>
      </c>
      <c r="R35" s="3"/>
      <c r="S35" s="3" t="s">
        <v>5561</v>
      </c>
      <c r="T35" s="3"/>
      <c r="U35" s="2"/>
      <c r="V35" s="2"/>
      <c r="W35" s="2"/>
      <c r="X35" s="2"/>
      <c r="Y35" s="2"/>
      <c r="Z35" s="2"/>
      <c r="AA35" s="2"/>
      <c r="AB35" s="2"/>
      <c r="AC35" s="2"/>
      <c r="AD35" s="2"/>
    </row>
    <row r="36" spans="1:30" ht="12" customHeight="1">
      <c r="A36" s="828" t="s">
        <v>16730</v>
      </c>
      <c r="B36" s="3" t="s">
        <v>2933</v>
      </c>
      <c r="C36" s="1" t="s">
        <v>76</v>
      </c>
      <c r="D36" s="5">
        <f t="shared" si="0"/>
        <v>53</v>
      </c>
      <c r="E36" s="2" t="s">
        <v>5</v>
      </c>
      <c r="F36" s="2"/>
      <c r="G36" s="3"/>
      <c r="H36" s="1"/>
      <c r="I36" s="1"/>
      <c r="J36" s="4" t="s">
        <v>16117</v>
      </c>
      <c r="K36" s="1"/>
      <c r="L36" s="1" t="s">
        <v>6</v>
      </c>
      <c r="M36" s="825"/>
      <c r="N36" s="17"/>
      <c r="O36" s="3" t="s">
        <v>77</v>
      </c>
      <c r="P36" s="21">
        <v>21738</v>
      </c>
      <c r="Q36" s="3" t="s">
        <v>78</v>
      </c>
      <c r="R36" s="3"/>
      <c r="S36" s="3"/>
      <c r="T36" s="3" t="s">
        <v>145</v>
      </c>
      <c r="U36" s="2"/>
      <c r="V36" s="2" t="s">
        <v>145</v>
      </c>
      <c r="W36" s="2"/>
      <c r="X36" s="2"/>
      <c r="Y36" s="2"/>
      <c r="Z36" s="2"/>
      <c r="AA36" s="2"/>
      <c r="AB36" s="2"/>
      <c r="AC36" s="2"/>
      <c r="AD36" s="2"/>
    </row>
    <row r="37" spans="1:30" ht="12" customHeight="1">
      <c r="A37" s="828" t="s">
        <v>16731</v>
      </c>
      <c r="B37" s="3" t="s">
        <v>79</v>
      </c>
      <c r="C37" s="5" t="s">
        <v>2068</v>
      </c>
      <c r="D37" s="5">
        <f t="shared" si="0"/>
        <v>33</v>
      </c>
      <c r="E37" s="5" t="s">
        <v>5</v>
      </c>
      <c r="F37" s="6" t="s">
        <v>15273</v>
      </c>
      <c r="G37" s="7"/>
      <c r="H37" s="5"/>
      <c r="I37" s="19"/>
      <c r="J37" s="8" t="s">
        <v>16127</v>
      </c>
      <c r="K37" s="5" t="s">
        <v>737</v>
      </c>
      <c r="L37" s="5" t="s">
        <v>25</v>
      </c>
      <c r="M37" s="5">
        <v>1</v>
      </c>
      <c r="N37" s="10">
        <v>1</v>
      </c>
      <c r="O37" s="7" t="s">
        <v>31</v>
      </c>
      <c r="P37" s="11">
        <v>29058</v>
      </c>
      <c r="Q37" s="7" t="s">
        <v>1050</v>
      </c>
      <c r="R37" s="12"/>
      <c r="S37" s="12" t="s">
        <v>736</v>
      </c>
      <c r="T37" s="7" t="s">
        <v>258</v>
      </c>
      <c r="U37" s="2"/>
      <c r="V37" s="2"/>
      <c r="W37" s="2"/>
      <c r="X37" s="2"/>
      <c r="Y37" s="2" t="s">
        <v>155</v>
      </c>
      <c r="Z37" s="2"/>
      <c r="AA37" s="2" t="s">
        <v>104</v>
      </c>
      <c r="AB37" s="2"/>
      <c r="AC37" s="2"/>
      <c r="AD37" s="2"/>
    </row>
    <row r="38" spans="1:30" ht="12" customHeight="1">
      <c r="A38" s="828" t="s">
        <v>16732</v>
      </c>
      <c r="B38" s="3" t="s">
        <v>80</v>
      </c>
      <c r="C38" s="1" t="s">
        <v>82</v>
      </c>
      <c r="D38" s="5">
        <f t="shared" si="0"/>
        <v>40</v>
      </c>
      <c r="E38" s="2" t="s">
        <v>5</v>
      </c>
      <c r="F38" s="2" t="s">
        <v>15273</v>
      </c>
      <c r="G38" s="3"/>
      <c r="H38" s="1"/>
      <c r="I38" s="1"/>
      <c r="J38" s="4" t="s">
        <v>16120</v>
      </c>
      <c r="K38" s="1" t="s">
        <v>30</v>
      </c>
      <c r="L38" s="1" t="s">
        <v>6</v>
      </c>
      <c r="M38" s="825"/>
      <c r="N38" s="17"/>
      <c r="O38" s="3" t="s">
        <v>83</v>
      </c>
      <c r="P38" s="20">
        <v>26348</v>
      </c>
      <c r="Q38" s="3" t="s">
        <v>84</v>
      </c>
      <c r="R38" s="3"/>
      <c r="S38" s="3" t="s">
        <v>5457</v>
      </c>
      <c r="T38" s="3" t="s">
        <v>149</v>
      </c>
      <c r="U38" s="2"/>
      <c r="V38" s="2" t="s">
        <v>145</v>
      </c>
      <c r="W38" s="2"/>
      <c r="X38" s="2"/>
      <c r="Y38" s="2"/>
      <c r="Z38" s="2" t="s">
        <v>85</v>
      </c>
      <c r="AA38" s="2"/>
      <c r="AB38" s="2"/>
      <c r="AC38" s="2"/>
      <c r="AD38" s="2"/>
    </row>
    <row r="39" spans="1:30" ht="12" customHeight="1">
      <c r="A39" s="828" t="s">
        <v>16733</v>
      </c>
      <c r="B39" s="3" t="s">
        <v>81</v>
      </c>
      <c r="C39" s="1" t="s">
        <v>86</v>
      </c>
      <c r="D39" s="5">
        <f t="shared" si="0"/>
        <v>69</v>
      </c>
      <c r="E39" s="2" t="s">
        <v>19</v>
      </c>
      <c r="F39" s="2"/>
      <c r="G39" s="3"/>
      <c r="H39" s="1"/>
      <c r="I39" s="1"/>
      <c r="J39" s="4" t="s">
        <v>16117</v>
      </c>
      <c r="K39" s="1"/>
      <c r="L39" s="1" t="s">
        <v>6</v>
      </c>
      <c r="M39" s="825"/>
      <c r="N39" s="17"/>
      <c r="O39" s="3" t="s">
        <v>87</v>
      </c>
      <c r="P39" s="21">
        <v>15972</v>
      </c>
      <c r="Q39" s="3" t="s">
        <v>88</v>
      </c>
      <c r="R39" s="3"/>
      <c r="S39" s="3"/>
      <c r="T39" s="3" t="s">
        <v>145</v>
      </c>
      <c r="U39" s="2"/>
      <c r="V39" s="2" t="s">
        <v>145</v>
      </c>
      <c r="W39" s="2"/>
      <c r="X39" s="2"/>
      <c r="Y39" s="2"/>
      <c r="Z39" s="2"/>
      <c r="AA39" s="2"/>
      <c r="AB39" s="2"/>
      <c r="AC39" s="2"/>
      <c r="AD39" s="2"/>
    </row>
    <row r="40" spans="1:30" ht="12" customHeight="1">
      <c r="A40" s="828" t="s">
        <v>16734</v>
      </c>
      <c r="B40" s="3" t="s">
        <v>5710</v>
      </c>
      <c r="C40" s="1" t="s">
        <v>5711</v>
      </c>
      <c r="D40" s="5">
        <f t="shared" si="0"/>
        <v>53</v>
      </c>
      <c r="E40" s="2" t="s">
        <v>19</v>
      </c>
      <c r="F40" s="2"/>
      <c r="G40" s="3"/>
      <c r="H40" s="1"/>
      <c r="I40" s="1"/>
      <c r="J40" s="4" t="s">
        <v>16122</v>
      </c>
      <c r="K40" s="1" t="s">
        <v>5712</v>
      </c>
      <c r="L40" s="1" t="s">
        <v>6</v>
      </c>
      <c r="M40" s="825"/>
      <c r="N40" s="17"/>
      <c r="O40" s="3" t="s">
        <v>5714</v>
      </c>
      <c r="P40" s="21">
        <v>21680</v>
      </c>
      <c r="Q40" s="3" t="s">
        <v>5713</v>
      </c>
      <c r="R40" s="3"/>
      <c r="S40" s="3"/>
      <c r="T40" s="3"/>
      <c r="U40" s="2"/>
      <c r="V40" s="2"/>
      <c r="W40" s="2"/>
      <c r="X40" s="2"/>
      <c r="Y40" s="2"/>
      <c r="Z40" s="2"/>
      <c r="AA40" s="2"/>
      <c r="AB40" s="2"/>
      <c r="AC40" s="2"/>
      <c r="AD40" s="2"/>
    </row>
    <row r="41" spans="1:30" ht="12" customHeight="1">
      <c r="A41" s="828" t="s">
        <v>16735</v>
      </c>
      <c r="B41" s="3" t="s">
        <v>90</v>
      </c>
      <c r="C41" s="5" t="s">
        <v>891</v>
      </c>
      <c r="D41" s="5">
        <f t="shared" si="0"/>
        <v>70</v>
      </c>
      <c r="E41" s="5" t="s">
        <v>5</v>
      </c>
      <c r="F41" s="6" t="s">
        <v>15273</v>
      </c>
      <c r="G41" s="7" t="s">
        <v>1325</v>
      </c>
      <c r="H41" s="5"/>
      <c r="I41" s="19"/>
      <c r="J41" s="8" t="s">
        <v>16126</v>
      </c>
      <c r="K41" s="5" t="s">
        <v>24</v>
      </c>
      <c r="L41" s="5" t="s">
        <v>25</v>
      </c>
      <c r="M41" s="5">
        <v>7</v>
      </c>
      <c r="N41" s="10">
        <v>7</v>
      </c>
      <c r="O41" s="7" t="s">
        <v>31</v>
      </c>
      <c r="P41" s="11">
        <v>15418</v>
      </c>
      <c r="Q41" s="7" t="s">
        <v>800</v>
      </c>
      <c r="R41" s="7" t="s">
        <v>824</v>
      </c>
      <c r="S41" s="7" t="s">
        <v>736</v>
      </c>
      <c r="T41" s="7" t="s">
        <v>104</v>
      </c>
      <c r="U41" s="2"/>
      <c r="V41" s="2"/>
      <c r="W41" s="2"/>
      <c r="X41" s="2"/>
      <c r="Y41" s="2"/>
      <c r="Z41" s="2"/>
      <c r="AA41" s="2" t="s">
        <v>104</v>
      </c>
      <c r="AB41" s="2"/>
      <c r="AC41" s="2"/>
      <c r="AD41" s="2"/>
    </row>
    <row r="42" spans="1:30" ht="12" customHeight="1">
      <c r="A42" s="828" t="s">
        <v>16736</v>
      </c>
      <c r="B42" s="3" t="s">
        <v>91</v>
      </c>
      <c r="C42" s="5" t="s">
        <v>848</v>
      </c>
      <c r="D42" s="5">
        <f t="shared" si="0"/>
        <v>54</v>
      </c>
      <c r="E42" s="5" t="s">
        <v>5</v>
      </c>
      <c r="F42" s="6"/>
      <c r="G42" s="7" t="s">
        <v>1309</v>
      </c>
      <c r="H42" s="5"/>
      <c r="I42" s="19"/>
      <c r="J42" s="8" t="s">
        <v>16118</v>
      </c>
      <c r="K42" s="5"/>
      <c r="L42" s="5" t="s">
        <v>25</v>
      </c>
      <c r="M42" s="5">
        <v>1</v>
      </c>
      <c r="N42" s="10">
        <v>1</v>
      </c>
      <c r="O42" s="18" t="s">
        <v>83</v>
      </c>
      <c r="P42" s="15">
        <v>21225</v>
      </c>
      <c r="Q42" s="18" t="s">
        <v>797</v>
      </c>
      <c r="R42" s="18" t="s">
        <v>839</v>
      </c>
      <c r="S42" s="18" t="s">
        <v>276</v>
      </c>
      <c r="T42" s="3" t="s">
        <v>145</v>
      </c>
      <c r="U42" s="2"/>
      <c r="V42" s="2" t="s">
        <v>145</v>
      </c>
      <c r="W42" s="2"/>
      <c r="X42" s="2"/>
      <c r="Y42" s="2"/>
      <c r="Z42" s="2"/>
      <c r="AA42" s="2"/>
      <c r="AB42" s="2"/>
      <c r="AC42" s="2"/>
      <c r="AD42" s="2"/>
    </row>
    <row r="43" spans="1:30" ht="12" customHeight="1">
      <c r="A43" s="828" t="s">
        <v>16737</v>
      </c>
      <c r="B43" s="3" t="s">
        <v>92</v>
      </c>
      <c r="C43" s="1" t="s">
        <v>94</v>
      </c>
      <c r="D43" s="5">
        <f t="shared" si="0"/>
        <v>61</v>
      </c>
      <c r="E43" s="2" t="s">
        <v>5</v>
      </c>
      <c r="F43" s="2"/>
      <c r="G43" s="3"/>
      <c r="H43" s="1"/>
      <c r="I43" s="1"/>
      <c r="J43" s="4" t="s">
        <v>16117</v>
      </c>
      <c r="K43" s="1"/>
      <c r="L43" s="1" t="s">
        <v>6</v>
      </c>
      <c r="M43" s="825"/>
      <c r="N43" s="17"/>
      <c r="O43" s="3" t="s">
        <v>95</v>
      </c>
      <c r="P43" s="21">
        <v>18718</v>
      </c>
      <c r="Q43" s="3" t="s">
        <v>96</v>
      </c>
      <c r="R43" s="3"/>
      <c r="S43" s="3"/>
      <c r="T43" s="3" t="s">
        <v>69</v>
      </c>
      <c r="U43" s="2"/>
      <c r="V43" s="2"/>
      <c r="W43" s="2"/>
      <c r="X43" s="2"/>
      <c r="Y43" s="2"/>
      <c r="Z43" s="2"/>
      <c r="AA43" s="2"/>
      <c r="AB43" s="2"/>
      <c r="AC43" s="2"/>
      <c r="AD43" s="2" t="s">
        <v>69</v>
      </c>
    </row>
    <row r="44" spans="1:30" ht="12" customHeight="1">
      <c r="A44" s="828" t="s">
        <v>16738</v>
      </c>
      <c r="B44" s="3" t="s">
        <v>93</v>
      </c>
      <c r="C44" s="1" t="s">
        <v>5251</v>
      </c>
      <c r="D44" s="5">
        <f t="shared" si="0"/>
        <v>34</v>
      </c>
      <c r="E44" s="2" t="s">
        <v>5</v>
      </c>
      <c r="F44" s="2" t="s">
        <v>15273</v>
      </c>
      <c r="G44" s="3" t="s">
        <v>5252</v>
      </c>
      <c r="H44" s="1"/>
      <c r="I44" s="1"/>
      <c r="J44" s="4" t="s">
        <v>16124</v>
      </c>
      <c r="K44" s="1"/>
      <c r="L44" s="1" t="s">
        <v>25</v>
      </c>
      <c r="M44" s="825">
        <v>1</v>
      </c>
      <c r="N44" s="17">
        <v>1</v>
      </c>
      <c r="O44" s="3" t="s">
        <v>2085</v>
      </c>
      <c r="P44" s="21">
        <v>28585</v>
      </c>
      <c r="Q44" s="3" t="s">
        <v>5253</v>
      </c>
      <c r="R44" s="3" t="s">
        <v>5254</v>
      </c>
      <c r="S44" s="3" t="s">
        <v>15585</v>
      </c>
      <c r="T44" s="3"/>
      <c r="U44" s="2"/>
      <c r="V44" s="2"/>
      <c r="W44" s="2"/>
      <c r="X44" s="2"/>
      <c r="Y44" s="2"/>
      <c r="Z44" s="2"/>
      <c r="AA44" s="2"/>
      <c r="AB44" s="2"/>
      <c r="AC44" s="2"/>
      <c r="AD44" s="2"/>
    </row>
    <row r="45" spans="1:30" ht="12" customHeight="1">
      <c r="A45" s="828" t="s">
        <v>16739</v>
      </c>
      <c r="B45" s="3" t="s">
        <v>98</v>
      </c>
      <c r="C45" s="1" t="s">
        <v>101</v>
      </c>
      <c r="D45" s="5">
        <f t="shared" si="0"/>
        <v>53</v>
      </c>
      <c r="E45" s="2" t="s">
        <v>19</v>
      </c>
      <c r="F45" s="2" t="s">
        <v>15273</v>
      </c>
      <c r="G45" s="3"/>
      <c r="H45" s="1"/>
      <c r="I45" s="1"/>
      <c r="J45" s="8" t="s">
        <v>16120</v>
      </c>
      <c r="K45" s="1" t="s">
        <v>65</v>
      </c>
      <c r="L45" s="1" t="s">
        <v>6</v>
      </c>
      <c r="M45" s="825"/>
      <c r="N45" s="17"/>
      <c r="O45" s="3" t="s">
        <v>102</v>
      </c>
      <c r="P45" s="20">
        <v>21541</v>
      </c>
      <c r="Q45" s="3" t="s">
        <v>103</v>
      </c>
      <c r="R45" s="3"/>
      <c r="S45" s="3" t="s">
        <v>6051</v>
      </c>
      <c r="T45" s="3" t="s">
        <v>104</v>
      </c>
      <c r="U45" s="2"/>
      <c r="V45" s="2"/>
      <c r="W45" s="2"/>
      <c r="X45" s="2"/>
      <c r="Y45" s="2"/>
      <c r="Z45" s="2"/>
      <c r="AA45" s="2" t="s">
        <v>104</v>
      </c>
      <c r="AB45" s="2"/>
      <c r="AC45" s="2"/>
      <c r="AD45" s="2"/>
    </row>
    <row r="46" spans="1:30" ht="12" customHeight="1">
      <c r="A46" s="828" t="s">
        <v>16740</v>
      </c>
      <c r="B46" s="3" t="s">
        <v>99</v>
      </c>
      <c r="C46" s="1" t="s">
        <v>105</v>
      </c>
      <c r="D46" s="5">
        <f t="shared" si="0"/>
        <v>64</v>
      </c>
      <c r="E46" s="2" t="s">
        <v>19</v>
      </c>
      <c r="F46" s="2"/>
      <c r="G46" s="3"/>
      <c r="H46" s="1"/>
      <c r="I46" s="1"/>
      <c r="J46" s="4" t="s">
        <v>16117</v>
      </c>
      <c r="K46" s="1"/>
      <c r="L46" s="1" t="s">
        <v>6</v>
      </c>
      <c r="M46" s="825"/>
      <c r="N46" s="17"/>
      <c r="O46" s="3" t="s">
        <v>106</v>
      </c>
      <c r="P46" s="20">
        <v>17787</v>
      </c>
      <c r="Q46" s="3" t="s">
        <v>107</v>
      </c>
      <c r="R46" s="3"/>
      <c r="S46" s="3"/>
      <c r="T46" s="3" t="s">
        <v>145</v>
      </c>
      <c r="U46" s="2"/>
      <c r="V46" s="2" t="s">
        <v>145</v>
      </c>
      <c r="W46" s="2"/>
      <c r="X46" s="2"/>
      <c r="Y46" s="2"/>
      <c r="Z46" s="2"/>
      <c r="AA46" s="2"/>
      <c r="AB46" s="2"/>
      <c r="AC46" s="2"/>
      <c r="AD46" s="2"/>
    </row>
    <row r="47" spans="1:30" ht="12" customHeight="1">
      <c r="A47" s="828" t="s">
        <v>16741</v>
      </c>
      <c r="B47" s="3" t="s">
        <v>100</v>
      </c>
      <c r="C47" s="5" t="s">
        <v>904</v>
      </c>
      <c r="D47" s="5">
        <f t="shared" si="0"/>
        <v>39</v>
      </c>
      <c r="E47" s="5" t="s">
        <v>5</v>
      </c>
      <c r="F47" s="2" t="s">
        <v>15273</v>
      </c>
      <c r="G47" s="7" t="s">
        <v>1326</v>
      </c>
      <c r="H47" s="5"/>
      <c r="I47" s="19"/>
      <c r="J47" s="8" t="s">
        <v>16124</v>
      </c>
      <c r="K47" s="5"/>
      <c r="L47" s="5" t="s">
        <v>25</v>
      </c>
      <c r="M47" s="5">
        <v>2</v>
      </c>
      <c r="N47" s="10">
        <v>2</v>
      </c>
      <c r="O47" s="7" t="s">
        <v>188</v>
      </c>
      <c r="P47" s="11">
        <v>26833</v>
      </c>
      <c r="Q47" s="7" t="s">
        <v>750</v>
      </c>
      <c r="R47" s="3"/>
      <c r="S47" s="3" t="s">
        <v>15585</v>
      </c>
      <c r="T47" s="3"/>
      <c r="U47" s="2"/>
      <c r="V47" s="2"/>
      <c r="W47" s="2"/>
      <c r="X47" s="2"/>
      <c r="Y47" s="2"/>
      <c r="Z47" s="2"/>
      <c r="AA47" s="2"/>
      <c r="AB47" s="2"/>
      <c r="AC47" s="2"/>
      <c r="AD47" s="2"/>
    </row>
    <row r="48" spans="1:30" ht="12" customHeight="1">
      <c r="A48" s="828" t="s">
        <v>16742</v>
      </c>
      <c r="B48" s="3" t="s">
        <v>109</v>
      </c>
      <c r="C48" s="1" t="s">
        <v>2063</v>
      </c>
      <c r="D48" s="5">
        <f t="shared" si="0"/>
        <v>65</v>
      </c>
      <c r="E48" s="2" t="s">
        <v>19</v>
      </c>
      <c r="F48" s="6" t="s">
        <v>15273</v>
      </c>
      <c r="G48" s="3" t="s">
        <v>5846</v>
      </c>
      <c r="H48" s="1"/>
      <c r="I48" s="1"/>
      <c r="J48" s="8" t="s">
        <v>16127</v>
      </c>
      <c r="K48" s="1" t="s">
        <v>44</v>
      </c>
      <c r="L48" s="1" t="s">
        <v>25</v>
      </c>
      <c r="M48" s="825">
        <v>1</v>
      </c>
      <c r="N48" s="17">
        <v>1</v>
      </c>
      <c r="O48" s="3" t="s">
        <v>2066</v>
      </c>
      <c r="P48" s="20">
        <v>17176</v>
      </c>
      <c r="Q48" s="3" t="s">
        <v>2067</v>
      </c>
      <c r="R48" s="3"/>
      <c r="S48" s="3" t="s">
        <v>736</v>
      </c>
      <c r="T48" s="3"/>
      <c r="U48" s="2"/>
      <c r="V48" s="2"/>
      <c r="W48" s="2"/>
      <c r="X48" s="2"/>
      <c r="Y48" s="2"/>
      <c r="Z48" s="2"/>
      <c r="AA48" s="2"/>
      <c r="AB48" s="2"/>
      <c r="AC48" s="2"/>
      <c r="AD48" s="2"/>
    </row>
    <row r="49" spans="1:30" ht="12" customHeight="1">
      <c r="A49" s="828" t="s">
        <v>16743</v>
      </c>
      <c r="B49" s="3" t="s">
        <v>110</v>
      </c>
      <c r="C49" s="1" t="s">
        <v>933</v>
      </c>
      <c r="D49" s="5">
        <f t="shared" si="0"/>
        <v>42</v>
      </c>
      <c r="E49" s="2" t="s">
        <v>5</v>
      </c>
      <c r="F49" s="2" t="s">
        <v>15273</v>
      </c>
      <c r="G49" s="3"/>
      <c r="H49" s="1"/>
      <c r="I49" s="1"/>
      <c r="J49" s="4" t="s">
        <v>16120</v>
      </c>
      <c r="K49" s="1" t="s">
        <v>934</v>
      </c>
      <c r="L49" s="1" t="s">
        <v>6</v>
      </c>
      <c r="M49" s="825"/>
      <c r="N49" s="17"/>
      <c r="O49" s="3" t="s">
        <v>935</v>
      </c>
      <c r="P49" s="20">
        <v>25769</v>
      </c>
      <c r="Q49" s="3" t="s">
        <v>936</v>
      </c>
      <c r="R49" s="3"/>
      <c r="S49" s="3" t="s">
        <v>5457</v>
      </c>
      <c r="T49" s="3" t="s">
        <v>104</v>
      </c>
      <c r="U49" s="2"/>
      <c r="V49" s="2"/>
      <c r="W49" s="2"/>
      <c r="X49" s="2"/>
      <c r="Y49" s="2"/>
      <c r="Z49" s="2"/>
      <c r="AA49" s="2" t="s">
        <v>104</v>
      </c>
      <c r="AB49" s="2"/>
      <c r="AC49" s="2"/>
      <c r="AD49" s="2"/>
    </row>
    <row r="50" spans="1:30" ht="12" customHeight="1">
      <c r="A50" s="828" t="s">
        <v>16744</v>
      </c>
      <c r="B50" s="3" t="s">
        <v>111</v>
      </c>
      <c r="C50" s="1" t="s">
        <v>113</v>
      </c>
      <c r="D50" s="5">
        <f t="shared" si="0"/>
        <v>39</v>
      </c>
      <c r="E50" s="2" t="s">
        <v>5</v>
      </c>
      <c r="F50" s="2"/>
      <c r="G50" s="3"/>
      <c r="H50" s="1"/>
      <c r="I50" s="1"/>
      <c r="J50" s="4" t="s">
        <v>16117</v>
      </c>
      <c r="K50" s="1"/>
      <c r="L50" s="1" t="s">
        <v>6</v>
      </c>
      <c r="M50" s="825"/>
      <c r="N50" s="17"/>
      <c r="O50" s="3" t="s">
        <v>1073</v>
      </c>
      <c r="P50" s="20">
        <v>26876</v>
      </c>
      <c r="Q50" s="3" t="s">
        <v>114</v>
      </c>
      <c r="R50" s="3"/>
      <c r="S50" s="3"/>
      <c r="T50" s="3"/>
      <c r="U50" s="2"/>
      <c r="V50" s="2"/>
      <c r="W50" s="2"/>
      <c r="X50" s="2"/>
      <c r="Y50" s="2"/>
      <c r="Z50" s="2"/>
      <c r="AA50" s="2"/>
      <c r="AB50" s="2"/>
      <c r="AC50" s="2"/>
      <c r="AD50" s="2"/>
    </row>
    <row r="51" spans="1:30" ht="12" customHeight="1">
      <c r="A51" s="828" t="s">
        <v>16745</v>
      </c>
      <c r="B51" s="3" t="s">
        <v>112</v>
      </c>
      <c r="C51" s="6" t="s">
        <v>896</v>
      </c>
      <c r="D51" s="5">
        <f t="shared" si="0"/>
        <v>53</v>
      </c>
      <c r="E51" s="6" t="s">
        <v>5</v>
      </c>
      <c r="F51" s="2" t="s">
        <v>15273</v>
      </c>
      <c r="G51" s="12" t="s">
        <v>1327</v>
      </c>
      <c r="H51" s="6"/>
      <c r="I51" s="19"/>
      <c r="J51" s="8" t="s">
        <v>16124</v>
      </c>
      <c r="K51" s="6"/>
      <c r="L51" s="6" t="s">
        <v>25</v>
      </c>
      <c r="M51" s="6">
        <v>3</v>
      </c>
      <c r="N51" s="14">
        <v>3</v>
      </c>
      <c r="O51" s="12" t="s">
        <v>452</v>
      </c>
      <c r="P51" s="15">
        <v>21603</v>
      </c>
      <c r="Q51" s="12" t="s">
        <v>115</v>
      </c>
      <c r="R51" s="12" t="s">
        <v>5255</v>
      </c>
      <c r="S51" s="12" t="s">
        <v>15585</v>
      </c>
      <c r="T51" s="3"/>
      <c r="U51" s="2"/>
      <c r="V51" s="2"/>
      <c r="W51" s="2"/>
      <c r="X51" s="2"/>
      <c r="Y51" s="2"/>
      <c r="Z51" s="2"/>
      <c r="AA51" s="2"/>
      <c r="AB51" s="2"/>
      <c r="AC51" s="2"/>
      <c r="AD51" s="2"/>
    </row>
    <row r="52" spans="1:30" ht="12" customHeight="1">
      <c r="A52" s="828" t="s">
        <v>16746</v>
      </c>
      <c r="B52" s="3" t="s">
        <v>116</v>
      </c>
      <c r="C52" s="1" t="s">
        <v>4181</v>
      </c>
      <c r="D52" s="5">
        <f t="shared" si="0"/>
        <v>39</v>
      </c>
      <c r="E52" s="2" t="s">
        <v>19</v>
      </c>
      <c r="F52" s="6" t="s">
        <v>15273</v>
      </c>
      <c r="G52" s="3"/>
      <c r="H52" s="1"/>
      <c r="I52" s="1"/>
      <c r="J52" s="8" t="s">
        <v>16127</v>
      </c>
      <c r="K52" s="1" t="s">
        <v>44</v>
      </c>
      <c r="L52" s="1" t="s">
        <v>6</v>
      </c>
      <c r="M52" s="825"/>
      <c r="N52" s="17"/>
      <c r="O52" s="3" t="s">
        <v>557</v>
      </c>
      <c r="P52" s="20">
        <v>26710</v>
      </c>
      <c r="Q52" s="3" t="s">
        <v>4182</v>
      </c>
      <c r="R52" s="3"/>
      <c r="S52" s="3"/>
      <c r="T52" s="3" t="s">
        <v>155</v>
      </c>
      <c r="U52" s="2"/>
      <c r="V52" s="2"/>
      <c r="W52" s="2"/>
      <c r="X52" s="2"/>
      <c r="Y52" s="2" t="s">
        <v>155</v>
      </c>
      <c r="Z52" s="2"/>
      <c r="AA52" s="2"/>
      <c r="AB52" s="2"/>
      <c r="AC52" s="2"/>
      <c r="AD52" s="2"/>
    </row>
    <row r="53" spans="1:30" ht="12" customHeight="1">
      <c r="A53" s="828" t="s">
        <v>16747</v>
      </c>
      <c r="B53" s="3" t="s">
        <v>117</v>
      </c>
      <c r="C53" s="1" t="s">
        <v>121</v>
      </c>
      <c r="D53" s="5">
        <f t="shared" si="0"/>
        <v>46</v>
      </c>
      <c r="E53" s="2" t="s">
        <v>5</v>
      </c>
      <c r="F53" s="2" t="s">
        <v>15273</v>
      </c>
      <c r="G53" s="3"/>
      <c r="H53" s="1"/>
      <c r="I53" s="1"/>
      <c r="J53" s="4" t="s">
        <v>16120</v>
      </c>
      <c r="K53" s="1" t="s">
        <v>13</v>
      </c>
      <c r="L53" s="1" t="s">
        <v>6</v>
      </c>
      <c r="M53" s="825"/>
      <c r="N53" s="17"/>
      <c r="O53" s="3" t="s">
        <v>123</v>
      </c>
      <c r="P53" s="20">
        <v>24398</v>
      </c>
      <c r="Q53" s="3" t="s">
        <v>122</v>
      </c>
      <c r="R53" s="3"/>
      <c r="S53" s="3" t="s">
        <v>5457</v>
      </c>
      <c r="T53" s="3" t="s">
        <v>104</v>
      </c>
      <c r="U53" s="2"/>
      <c r="V53" s="2"/>
      <c r="W53" s="2"/>
      <c r="X53" s="2"/>
      <c r="Y53" s="2"/>
      <c r="Z53" s="2"/>
      <c r="AA53" s="2" t="s">
        <v>104</v>
      </c>
      <c r="AB53" s="2"/>
      <c r="AC53" s="2"/>
      <c r="AD53" s="2"/>
    </row>
    <row r="54" spans="1:30" ht="12" customHeight="1">
      <c r="A54" s="828" t="s">
        <v>16748</v>
      </c>
      <c r="B54" s="3" t="s">
        <v>118</v>
      </c>
      <c r="C54" s="6" t="s">
        <v>851</v>
      </c>
      <c r="D54" s="5">
        <f t="shared" si="0"/>
        <v>49</v>
      </c>
      <c r="E54" s="6" t="s">
        <v>5</v>
      </c>
      <c r="F54" s="2" t="s">
        <v>15273</v>
      </c>
      <c r="G54" s="12" t="s">
        <v>1328</v>
      </c>
      <c r="H54" s="6"/>
      <c r="I54" s="19"/>
      <c r="J54" s="4" t="s">
        <v>16125</v>
      </c>
      <c r="K54" s="6"/>
      <c r="L54" s="6" t="s">
        <v>25</v>
      </c>
      <c r="M54" s="6">
        <v>2</v>
      </c>
      <c r="N54" s="14">
        <v>2</v>
      </c>
      <c r="O54" s="12" t="s">
        <v>461</v>
      </c>
      <c r="P54" s="15">
        <v>23309</v>
      </c>
      <c r="Q54" s="12" t="s">
        <v>777</v>
      </c>
      <c r="R54" s="3"/>
      <c r="S54" s="3" t="s">
        <v>5561</v>
      </c>
      <c r="T54" s="3"/>
      <c r="U54" s="2"/>
      <c r="V54" s="2"/>
      <c r="W54" s="2"/>
      <c r="X54" s="2"/>
      <c r="Y54" s="2"/>
      <c r="Z54" s="2"/>
      <c r="AA54" s="2"/>
      <c r="AB54" s="2"/>
      <c r="AC54" s="2"/>
      <c r="AD54" s="2"/>
    </row>
    <row r="55" spans="1:30" ht="12" customHeight="1">
      <c r="A55" s="828" t="s">
        <v>16749</v>
      </c>
      <c r="B55" s="3" t="s">
        <v>119</v>
      </c>
      <c r="C55" s="1" t="s">
        <v>124</v>
      </c>
      <c r="D55" s="5">
        <f t="shared" si="0"/>
        <v>55</v>
      </c>
      <c r="E55" s="2" t="s">
        <v>5</v>
      </c>
      <c r="F55" s="2" t="s">
        <v>15273</v>
      </c>
      <c r="G55" s="3"/>
      <c r="H55" s="1"/>
      <c r="I55" s="1"/>
      <c r="J55" s="4" t="s">
        <v>16116</v>
      </c>
      <c r="K55" s="1" t="s">
        <v>4993</v>
      </c>
      <c r="L55" s="1" t="s">
        <v>6</v>
      </c>
      <c r="M55" s="825"/>
      <c r="N55" s="17"/>
      <c r="O55" s="3" t="s">
        <v>125</v>
      </c>
      <c r="P55" s="20">
        <v>20976</v>
      </c>
      <c r="Q55" s="3" t="s">
        <v>126</v>
      </c>
      <c r="R55" s="3"/>
      <c r="S55" s="3"/>
      <c r="T55" s="3" t="s">
        <v>145</v>
      </c>
      <c r="U55" s="2"/>
      <c r="V55" s="2" t="s">
        <v>145</v>
      </c>
      <c r="W55" s="2"/>
      <c r="X55" s="2"/>
      <c r="Y55" s="2"/>
      <c r="Z55" s="2"/>
      <c r="AA55" s="2"/>
      <c r="AB55" s="2"/>
      <c r="AC55" s="2"/>
      <c r="AD55" s="2"/>
    </row>
    <row r="56" spans="1:30" ht="12" customHeight="1">
      <c r="A56" s="828" t="s">
        <v>16750</v>
      </c>
      <c r="B56" s="3" t="s">
        <v>120</v>
      </c>
      <c r="C56" s="1" t="s">
        <v>348</v>
      </c>
      <c r="D56" s="5">
        <f t="shared" si="0"/>
        <v>32</v>
      </c>
      <c r="E56" s="2" t="s">
        <v>19</v>
      </c>
      <c r="F56" s="2"/>
      <c r="G56" s="3"/>
      <c r="H56" s="1"/>
      <c r="I56" s="1"/>
      <c r="J56" s="4" t="s">
        <v>16117</v>
      </c>
      <c r="K56" s="1"/>
      <c r="L56" s="1" t="s">
        <v>6</v>
      </c>
      <c r="M56" s="825"/>
      <c r="N56" s="17"/>
      <c r="O56" s="3" t="s">
        <v>349</v>
      </c>
      <c r="P56" s="21">
        <v>29250</v>
      </c>
      <c r="Q56" s="3" t="s">
        <v>16090</v>
      </c>
      <c r="R56" s="3"/>
      <c r="S56" s="3"/>
      <c r="T56" s="3"/>
      <c r="U56" s="2"/>
      <c r="V56" s="2"/>
      <c r="W56" s="2"/>
      <c r="X56" s="2"/>
      <c r="Y56" s="2"/>
      <c r="Z56" s="2"/>
      <c r="AA56" s="2"/>
      <c r="AB56" s="2"/>
      <c r="AC56" s="2"/>
      <c r="AD56" s="2"/>
    </row>
    <row r="57" spans="1:30" ht="12" customHeight="1">
      <c r="A57" s="828" t="s">
        <v>16751</v>
      </c>
      <c r="B57" s="3" t="s">
        <v>127</v>
      </c>
      <c r="C57" s="1" t="s">
        <v>3502</v>
      </c>
      <c r="D57" s="5">
        <f t="shared" si="0"/>
        <v>57</v>
      </c>
      <c r="E57" s="2" t="s">
        <v>5</v>
      </c>
      <c r="F57" s="6" t="s">
        <v>15273</v>
      </c>
      <c r="G57" s="3"/>
      <c r="H57" s="1"/>
      <c r="I57" s="1"/>
      <c r="J57" s="8" t="s">
        <v>16126</v>
      </c>
      <c r="K57" s="1" t="s">
        <v>44</v>
      </c>
      <c r="L57" s="1" t="s">
        <v>6</v>
      </c>
      <c r="M57" s="825"/>
      <c r="N57" s="17"/>
      <c r="O57" s="3" t="s">
        <v>381</v>
      </c>
      <c r="P57" s="20">
        <v>20164</v>
      </c>
      <c r="Q57" s="3" t="s">
        <v>3503</v>
      </c>
      <c r="R57" s="3"/>
      <c r="S57" s="3"/>
      <c r="T57" s="3" t="s">
        <v>145</v>
      </c>
      <c r="U57" s="2"/>
      <c r="V57" s="2" t="s">
        <v>145</v>
      </c>
      <c r="W57" s="2"/>
      <c r="X57" s="2"/>
      <c r="Y57" s="2"/>
      <c r="Z57" s="2"/>
      <c r="AA57" s="2"/>
      <c r="AB57" s="2"/>
      <c r="AC57" s="3"/>
      <c r="AD57" s="3"/>
    </row>
    <row r="58" spans="1:30" ht="12" customHeight="1">
      <c r="A58" s="828" t="s">
        <v>16752</v>
      </c>
      <c r="B58" s="3" t="s">
        <v>128</v>
      </c>
      <c r="C58" s="6" t="s">
        <v>869</v>
      </c>
      <c r="D58" s="5">
        <f t="shared" si="0"/>
        <v>57</v>
      </c>
      <c r="E58" s="6" t="s">
        <v>5</v>
      </c>
      <c r="F58" s="6" t="s">
        <v>15273</v>
      </c>
      <c r="G58" s="12" t="s">
        <v>1329</v>
      </c>
      <c r="H58" s="6"/>
      <c r="I58" s="19"/>
      <c r="J58" s="8" t="s">
        <v>16120</v>
      </c>
      <c r="K58" s="6" t="s">
        <v>475</v>
      </c>
      <c r="L58" s="6" t="s">
        <v>25</v>
      </c>
      <c r="M58" s="6">
        <v>4</v>
      </c>
      <c r="N58" s="14">
        <v>4</v>
      </c>
      <c r="O58" s="12" t="s">
        <v>159</v>
      </c>
      <c r="P58" s="15">
        <v>20374</v>
      </c>
      <c r="Q58" s="12" t="s">
        <v>131</v>
      </c>
      <c r="R58" s="12" t="s">
        <v>821</v>
      </c>
      <c r="S58" s="12" t="s">
        <v>5457</v>
      </c>
      <c r="T58" s="12" t="s">
        <v>104</v>
      </c>
      <c r="U58" s="2"/>
      <c r="V58" s="2"/>
      <c r="W58" s="2"/>
      <c r="X58" s="2"/>
      <c r="Y58" s="2"/>
      <c r="Z58" s="2"/>
      <c r="AA58" s="2" t="s">
        <v>104</v>
      </c>
      <c r="AB58" s="2"/>
      <c r="AC58" s="3"/>
      <c r="AD58" s="3"/>
    </row>
    <row r="59" spans="1:30" ht="12" customHeight="1">
      <c r="A59" s="828" t="s">
        <v>16753</v>
      </c>
      <c r="B59" s="3" t="s">
        <v>129</v>
      </c>
      <c r="C59" s="6" t="s">
        <v>914</v>
      </c>
      <c r="D59" s="5">
        <f t="shared" si="0"/>
        <v>42</v>
      </c>
      <c r="E59" s="6" t="s">
        <v>19</v>
      </c>
      <c r="F59" s="2" t="s">
        <v>15273</v>
      </c>
      <c r="G59" s="12" t="s">
        <v>1312</v>
      </c>
      <c r="H59" s="6"/>
      <c r="I59" s="19"/>
      <c r="J59" s="4" t="s">
        <v>16125</v>
      </c>
      <c r="K59" s="6"/>
      <c r="L59" s="6" t="s">
        <v>25</v>
      </c>
      <c r="M59" s="6">
        <v>1</v>
      </c>
      <c r="N59" s="14">
        <v>1</v>
      </c>
      <c r="O59" s="12" t="s">
        <v>460</v>
      </c>
      <c r="P59" s="15">
        <v>25913</v>
      </c>
      <c r="Q59" s="12" t="s">
        <v>744</v>
      </c>
      <c r="R59" s="3"/>
      <c r="S59" s="3" t="s">
        <v>5561</v>
      </c>
      <c r="T59" s="3"/>
      <c r="U59" s="2"/>
      <c r="V59" s="2"/>
      <c r="W59" s="2"/>
      <c r="X59" s="2"/>
      <c r="Y59" s="2"/>
      <c r="Z59" s="2"/>
      <c r="AA59" s="2"/>
      <c r="AB59" s="2"/>
      <c r="AC59" s="3"/>
      <c r="AD59" s="3"/>
    </row>
    <row r="60" spans="1:30" ht="12" customHeight="1">
      <c r="A60" s="828" t="s">
        <v>16754</v>
      </c>
      <c r="B60" s="3" t="s">
        <v>130</v>
      </c>
      <c r="C60" s="1" t="s">
        <v>15959</v>
      </c>
      <c r="D60" s="5">
        <f t="shared" si="0"/>
        <v>63</v>
      </c>
      <c r="E60" s="2" t="s">
        <v>19</v>
      </c>
      <c r="F60" s="2"/>
      <c r="G60" s="3"/>
      <c r="H60" s="1"/>
      <c r="I60" s="1"/>
      <c r="J60" s="4" t="s">
        <v>16117</v>
      </c>
      <c r="K60" s="1"/>
      <c r="L60" s="1" t="s">
        <v>6</v>
      </c>
      <c r="M60" s="825"/>
      <c r="N60" s="17"/>
      <c r="O60" s="3" t="s">
        <v>5649</v>
      </c>
      <c r="P60" s="20">
        <v>18131</v>
      </c>
      <c r="Q60" s="3" t="s">
        <v>5650</v>
      </c>
      <c r="R60" s="3"/>
      <c r="S60" s="3"/>
      <c r="T60" s="3"/>
      <c r="U60" s="2"/>
      <c r="V60" s="2"/>
      <c r="W60" s="2"/>
      <c r="X60" s="2"/>
      <c r="Y60" s="2"/>
      <c r="Z60" s="2"/>
      <c r="AA60" s="2"/>
      <c r="AB60" s="2"/>
      <c r="AC60" s="3"/>
      <c r="AD60" s="3"/>
    </row>
    <row r="61" spans="1:30" ht="12" customHeight="1">
      <c r="A61" s="828" t="s">
        <v>16755</v>
      </c>
      <c r="B61" s="3" t="s">
        <v>152</v>
      </c>
      <c r="C61" s="5" t="s">
        <v>918</v>
      </c>
      <c r="D61" s="5">
        <f t="shared" si="0"/>
        <v>43</v>
      </c>
      <c r="E61" s="5" t="s">
        <v>19</v>
      </c>
      <c r="F61" s="6" t="s">
        <v>15273</v>
      </c>
      <c r="G61" s="7" t="s">
        <v>1310</v>
      </c>
      <c r="H61" s="5"/>
      <c r="I61" s="19"/>
      <c r="J61" s="8" t="s">
        <v>16127</v>
      </c>
      <c r="K61" s="5" t="s">
        <v>604</v>
      </c>
      <c r="L61" s="5" t="s">
        <v>25</v>
      </c>
      <c r="M61" s="5">
        <v>3</v>
      </c>
      <c r="N61" s="10">
        <v>3</v>
      </c>
      <c r="O61" s="7" t="s">
        <v>468</v>
      </c>
      <c r="P61" s="11">
        <v>25394</v>
      </c>
      <c r="Q61" s="7" t="s">
        <v>754</v>
      </c>
      <c r="R61" s="7" t="s">
        <v>347</v>
      </c>
      <c r="S61" s="7"/>
      <c r="T61" s="7" t="s">
        <v>104</v>
      </c>
      <c r="U61" s="2"/>
      <c r="V61" s="2"/>
      <c r="W61" s="2"/>
      <c r="X61" s="2"/>
      <c r="Y61" s="2"/>
      <c r="Z61" s="2"/>
      <c r="AA61" s="2" t="s">
        <v>104</v>
      </c>
      <c r="AB61" s="2"/>
      <c r="AC61" s="3"/>
      <c r="AD61" s="3"/>
    </row>
    <row r="62" spans="1:30" ht="12" customHeight="1">
      <c r="A62" s="828" t="s">
        <v>16756</v>
      </c>
      <c r="B62" s="3" t="s">
        <v>153</v>
      </c>
      <c r="C62" s="5" t="s">
        <v>911</v>
      </c>
      <c r="D62" s="5">
        <f t="shared" si="0"/>
        <v>66</v>
      </c>
      <c r="E62" s="5" t="s">
        <v>5</v>
      </c>
      <c r="F62" s="6" t="s">
        <v>15273</v>
      </c>
      <c r="G62" s="7" t="s">
        <v>1330</v>
      </c>
      <c r="H62" s="5"/>
      <c r="I62" s="19"/>
      <c r="J62" s="4" t="s">
        <v>16120</v>
      </c>
      <c r="K62" s="5" t="s">
        <v>475</v>
      </c>
      <c r="L62" s="5" t="s">
        <v>25</v>
      </c>
      <c r="M62" s="5">
        <v>9</v>
      </c>
      <c r="N62" s="10">
        <v>9</v>
      </c>
      <c r="O62" s="7" t="s">
        <v>31</v>
      </c>
      <c r="P62" s="11">
        <v>17051</v>
      </c>
      <c r="Q62" s="7" t="s">
        <v>775</v>
      </c>
      <c r="R62" s="7" t="s">
        <v>820</v>
      </c>
      <c r="S62" s="7" t="s">
        <v>5457</v>
      </c>
      <c r="T62" s="7" t="s">
        <v>258</v>
      </c>
      <c r="U62" s="2"/>
      <c r="V62" s="2"/>
      <c r="W62" s="2"/>
      <c r="X62" s="2"/>
      <c r="Y62" s="2" t="s">
        <v>155</v>
      </c>
      <c r="Z62" s="2"/>
      <c r="AA62" s="2" t="s">
        <v>104</v>
      </c>
      <c r="AB62" s="2"/>
      <c r="AC62" s="3"/>
      <c r="AD62" s="3"/>
    </row>
    <row r="63" spans="1:30" ht="12" customHeight="1">
      <c r="A63" s="828" t="s">
        <v>16757</v>
      </c>
      <c r="B63" s="3" t="s">
        <v>154</v>
      </c>
      <c r="C63" s="5" t="s">
        <v>5072</v>
      </c>
      <c r="D63" s="5">
        <f t="shared" si="0"/>
        <v>34</v>
      </c>
      <c r="E63" s="5" t="s">
        <v>5</v>
      </c>
      <c r="F63" s="2" t="s">
        <v>15273</v>
      </c>
      <c r="G63" s="7"/>
      <c r="H63" s="5"/>
      <c r="I63" s="19"/>
      <c r="J63" s="4" t="s">
        <v>16125</v>
      </c>
      <c r="K63" s="5"/>
      <c r="L63" s="5" t="s">
        <v>6</v>
      </c>
      <c r="M63" s="5"/>
      <c r="N63" s="10"/>
      <c r="O63" s="7" t="s">
        <v>31</v>
      </c>
      <c r="P63" s="11">
        <v>28583</v>
      </c>
      <c r="Q63" s="7" t="s">
        <v>5536</v>
      </c>
      <c r="R63" s="7"/>
      <c r="S63" s="7" t="s">
        <v>5561</v>
      </c>
      <c r="T63" s="7"/>
      <c r="U63" s="2"/>
      <c r="V63" s="2"/>
      <c r="W63" s="2"/>
      <c r="X63" s="2"/>
      <c r="Y63" s="2"/>
      <c r="Z63" s="2"/>
      <c r="AA63" s="2"/>
      <c r="AB63" s="2"/>
      <c r="AC63" s="3"/>
      <c r="AD63" s="3"/>
    </row>
    <row r="64" spans="1:30" ht="12" customHeight="1">
      <c r="A64" s="828" t="s">
        <v>16758</v>
      </c>
      <c r="B64" s="3" t="s">
        <v>5071</v>
      </c>
      <c r="C64" s="1" t="s">
        <v>156</v>
      </c>
      <c r="D64" s="5">
        <f t="shared" si="0"/>
        <v>63</v>
      </c>
      <c r="E64" s="2" t="s">
        <v>5</v>
      </c>
      <c r="F64" s="2"/>
      <c r="G64" s="3"/>
      <c r="H64" s="1"/>
      <c r="I64" s="1"/>
      <c r="J64" s="4" t="s">
        <v>16117</v>
      </c>
      <c r="K64" s="1"/>
      <c r="L64" s="1" t="s">
        <v>6</v>
      </c>
      <c r="M64" s="825"/>
      <c r="N64" s="17"/>
      <c r="O64" s="3" t="s">
        <v>158</v>
      </c>
      <c r="P64" s="20">
        <v>18093</v>
      </c>
      <c r="Q64" s="3" t="s">
        <v>157</v>
      </c>
      <c r="R64" s="3"/>
      <c r="S64" s="3"/>
      <c r="T64" s="3"/>
      <c r="U64" s="2"/>
      <c r="V64" s="2"/>
      <c r="W64" s="2"/>
      <c r="X64" s="2"/>
      <c r="Y64" s="2"/>
      <c r="Z64" s="2"/>
      <c r="AA64" s="2"/>
      <c r="AB64" s="2"/>
      <c r="AC64" s="3"/>
      <c r="AD64" s="3"/>
    </row>
    <row r="65" spans="1:30" ht="12" customHeight="1">
      <c r="A65" s="828" t="s">
        <v>16759</v>
      </c>
      <c r="B65" s="3" t="s">
        <v>160</v>
      </c>
      <c r="C65" s="5" t="s">
        <v>917</v>
      </c>
      <c r="D65" s="5">
        <f t="shared" ref="D65:D128" si="1">DATEDIF(P65,$P$1505,"Y")</f>
        <v>58</v>
      </c>
      <c r="E65" s="5" t="s">
        <v>5</v>
      </c>
      <c r="F65" s="6" t="s">
        <v>15273</v>
      </c>
      <c r="G65" s="7" t="s">
        <v>1311</v>
      </c>
      <c r="H65" s="5"/>
      <c r="I65" s="19"/>
      <c r="J65" s="8" t="s">
        <v>16127</v>
      </c>
      <c r="K65" s="5" t="s">
        <v>736</v>
      </c>
      <c r="L65" s="5" t="s">
        <v>25</v>
      </c>
      <c r="M65" s="5">
        <v>3</v>
      </c>
      <c r="N65" s="10">
        <v>3</v>
      </c>
      <c r="O65" s="7" t="s">
        <v>456</v>
      </c>
      <c r="P65" s="11">
        <v>19759</v>
      </c>
      <c r="Q65" s="7" t="s">
        <v>755</v>
      </c>
      <c r="R65" s="7" t="s">
        <v>836</v>
      </c>
      <c r="S65" s="7" t="s">
        <v>736</v>
      </c>
      <c r="T65" s="7" t="s">
        <v>104</v>
      </c>
      <c r="U65" s="2"/>
      <c r="V65" s="2"/>
      <c r="W65" s="2"/>
      <c r="X65" s="2"/>
      <c r="Y65" s="2"/>
      <c r="Z65" s="2"/>
      <c r="AA65" s="2" t="s">
        <v>104</v>
      </c>
      <c r="AB65" s="2"/>
      <c r="AC65" s="3"/>
      <c r="AD65" s="3"/>
    </row>
    <row r="66" spans="1:30" ht="12" customHeight="1">
      <c r="A66" s="828" t="s">
        <v>16760</v>
      </c>
      <c r="B66" s="3" t="s">
        <v>161</v>
      </c>
      <c r="C66" s="5" t="s">
        <v>927</v>
      </c>
      <c r="D66" s="5">
        <f t="shared" si="1"/>
        <v>47</v>
      </c>
      <c r="E66" s="5" t="s">
        <v>5</v>
      </c>
      <c r="F66" s="6" t="s">
        <v>15273</v>
      </c>
      <c r="G66" s="7" t="s">
        <v>1331</v>
      </c>
      <c r="H66" s="5"/>
      <c r="I66" s="19"/>
      <c r="J66" s="4" t="s">
        <v>16120</v>
      </c>
      <c r="K66" s="5" t="s">
        <v>48</v>
      </c>
      <c r="L66" s="5" t="s">
        <v>25</v>
      </c>
      <c r="M66" s="5">
        <v>5</v>
      </c>
      <c r="N66" s="10">
        <v>5</v>
      </c>
      <c r="O66" s="7" t="s">
        <v>455</v>
      </c>
      <c r="P66" s="11">
        <v>23943</v>
      </c>
      <c r="Q66" s="12" t="s">
        <v>774</v>
      </c>
      <c r="R66" s="7" t="s">
        <v>805</v>
      </c>
      <c r="S66" s="7" t="s">
        <v>5457</v>
      </c>
      <c r="T66" s="7" t="s">
        <v>572</v>
      </c>
      <c r="U66" s="2"/>
      <c r="V66" s="2" t="s">
        <v>145</v>
      </c>
      <c r="W66" s="2"/>
      <c r="X66" s="2"/>
      <c r="Y66" s="2"/>
      <c r="Z66" s="2"/>
      <c r="AA66" s="2" t="s">
        <v>104</v>
      </c>
      <c r="AB66" s="2"/>
      <c r="AC66" s="3"/>
      <c r="AD66" s="3"/>
    </row>
    <row r="67" spans="1:30" ht="12" customHeight="1">
      <c r="A67" s="828" t="s">
        <v>16761</v>
      </c>
      <c r="B67" s="3" t="s">
        <v>162</v>
      </c>
      <c r="C67" s="1" t="s">
        <v>16091</v>
      </c>
      <c r="D67" s="5">
        <f t="shared" si="1"/>
        <v>51</v>
      </c>
      <c r="E67" s="2" t="s">
        <v>5</v>
      </c>
      <c r="F67" s="2"/>
      <c r="G67" s="3"/>
      <c r="H67" s="1"/>
      <c r="I67" s="1"/>
      <c r="J67" s="4" t="s">
        <v>16117</v>
      </c>
      <c r="K67" s="1"/>
      <c r="L67" s="1" t="s">
        <v>6</v>
      </c>
      <c r="M67" s="825"/>
      <c r="N67" s="17"/>
      <c r="O67" s="3" t="s">
        <v>164</v>
      </c>
      <c r="P67" s="21">
        <v>22407</v>
      </c>
      <c r="Q67" s="3" t="s">
        <v>16088</v>
      </c>
      <c r="R67" s="3"/>
      <c r="S67" s="3"/>
      <c r="T67" s="3"/>
      <c r="U67" s="2"/>
      <c r="V67" s="2"/>
      <c r="W67" s="2"/>
      <c r="X67" s="2"/>
      <c r="Y67" s="2"/>
      <c r="Z67" s="2"/>
      <c r="AA67" s="2"/>
      <c r="AB67" s="2"/>
      <c r="AC67" s="3"/>
      <c r="AD67" s="3"/>
    </row>
    <row r="68" spans="1:30" ht="12" customHeight="1">
      <c r="A68" s="828" t="s">
        <v>16762</v>
      </c>
      <c r="B68" s="3" t="s">
        <v>165</v>
      </c>
      <c r="C68" s="5" t="s">
        <v>855</v>
      </c>
      <c r="D68" s="5">
        <f t="shared" si="1"/>
        <v>46</v>
      </c>
      <c r="E68" s="5" t="s">
        <v>5</v>
      </c>
      <c r="F68" s="6" t="s">
        <v>15273</v>
      </c>
      <c r="G68" s="7" t="s">
        <v>1332</v>
      </c>
      <c r="H68" s="5"/>
      <c r="I68" s="19"/>
      <c r="J68" s="8" t="s">
        <v>16126</v>
      </c>
      <c r="K68" s="5" t="s">
        <v>44</v>
      </c>
      <c r="L68" s="5" t="s">
        <v>25</v>
      </c>
      <c r="M68" s="5">
        <v>2</v>
      </c>
      <c r="N68" s="10">
        <v>2</v>
      </c>
      <c r="O68" s="7" t="s">
        <v>317</v>
      </c>
      <c r="P68" s="11">
        <v>24387</v>
      </c>
      <c r="Q68" s="7" t="s">
        <v>760</v>
      </c>
      <c r="R68" s="7" t="s">
        <v>810</v>
      </c>
      <c r="S68" s="7" t="s">
        <v>736</v>
      </c>
      <c r="T68" s="7" t="s">
        <v>147</v>
      </c>
      <c r="U68" s="2"/>
      <c r="V68" s="2"/>
      <c r="W68" s="2"/>
      <c r="X68" s="2"/>
      <c r="Y68" s="2"/>
      <c r="Z68" s="2"/>
      <c r="AA68" s="2"/>
      <c r="AB68" s="2" t="s">
        <v>147</v>
      </c>
      <c r="AC68" s="3"/>
      <c r="AD68" s="3"/>
    </row>
    <row r="69" spans="1:30" ht="12" customHeight="1">
      <c r="A69" s="828" t="s">
        <v>16763</v>
      </c>
      <c r="B69" s="3" t="s">
        <v>166</v>
      </c>
      <c r="C69" s="1" t="s">
        <v>171</v>
      </c>
      <c r="D69" s="5">
        <f t="shared" si="1"/>
        <v>54</v>
      </c>
      <c r="E69" s="2" t="s">
        <v>19</v>
      </c>
      <c r="F69" s="2" t="s">
        <v>15273</v>
      </c>
      <c r="G69" s="3"/>
      <c r="H69" s="1"/>
      <c r="I69" s="1"/>
      <c r="J69" s="8" t="s">
        <v>16120</v>
      </c>
      <c r="K69" s="1" t="s">
        <v>30</v>
      </c>
      <c r="L69" s="1" t="s">
        <v>6</v>
      </c>
      <c r="M69" s="825"/>
      <c r="N69" s="17"/>
      <c r="O69" s="3" t="s">
        <v>172</v>
      </c>
      <c r="P69" s="20">
        <v>21204</v>
      </c>
      <c r="Q69" s="3" t="s">
        <v>212</v>
      </c>
      <c r="R69" s="3"/>
      <c r="S69" s="3"/>
      <c r="T69" s="3" t="s">
        <v>173</v>
      </c>
      <c r="U69" s="2"/>
      <c r="V69" s="2" t="s">
        <v>145</v>
      </c>
      <c r="W69" s="2"/>
      <c r="X69" s="2"/>
      <c r="Y69" s="2" t="s">
        <v>155</v>
      </c>
      <c r="Z69" s="2"/>
      <c r="AA69" s="2"/>
      <c r="AB69" s="2"/>
      <c r="AC69" s="3"/>
      <c r="AD69" s="3"/>
    </row>
    <row r="70" spans="1:30" ht="12" customHeight="1">
      <c r="A70" s="828" t="s">
        <v>16764</v>
      </c>
      <c r="B70" s="3" t="s">
        <v>167</v>
      </c>
      <c r="C70" s="1" t="s">
        <v>5990</v>
      </c>
      <c r="D70" s="5">
        <f t="shared" si="1"/>
        <v>47</v>
      </c>
      <c r="E70" s="2" t="s">
        <v>19</v>
      </c>
      <c r="F70" s="2" t="s">
        <v>15273</v>
      </c>
      <c r="G70" s="3"/>
      <c r="H70" s="1"/>
      <c r="I70" s="1"/>
      <c r="J70" s="4" t="s">
        <v>16125</v>
      </c>
      <c r="K70" s="1"/>
      <c r="L70" s="1" t="s">
        <v>6</v>
      </c>
      <c r="M70" s="825"/>
      <c r="N70" s="17"/>
      <c r="O70" s="3" t="s">
        <v>5991</v>
      </c>
      <c r="P70" s="20">
        <v>23779</v>
      </c>
      <c r="Q70" s="3" t="s">
        <v>5992</v>
      </c>
      <c r="R70" s="3"/>
      <c r="S70" s="3" t="s">
        <v>5561</v>
      </c>
      <c r="T70" s="3" t="s">
        <v>104</v>
      </c>
      <c r="U70" s="2"/>
      <c r="V70" s="2"/>
      <c r="W70" s="2"/>
      <c r="X70" s="2"/>
      <c r="Y70" s="2"/>
      <c r="Z70" s="2"/>
      <c r="AA70" s="2" t="s">
        <v>104</v>
      </c>
      <c r="AB70" s="2"/>
      <c r="AC70" s="3"/>
      <c r="AD70" s="3"/>
    </row>
    <row r="71" spans="1:30" ht="12" customHeight="1">
      <c r="A71" s="828" t="s">
        <v>16765</v>
      </c>
      <c r="B71" s="3" t="s">
        <v>168</v>
      </c>
      <c r="C71" s="1" t="s">
        <v>174</v>
      </c>
      <c r="D71" s="5">
        <f t="shared" si="1"/>
        <v>30</v>
      </c>
      <c r="E71" s="2" t="s">
        <v>19</v>
      </c>
      <c r="F71" s="2"/>
      <c r="G71" s="3"/>
      <c r="H71" s="1"/>
      <c r="I71" s="1"/>
      <c r="J71" s="4" t="s">
        <v>16117</v>
      </c>
      <c r="K71" s="1"/>
      <c r="L71" s="1" t="s">
        <v>6</v>
      </c>
      <c r="M71" s="825"/>
      <c r="N71" s="17"/>
      <c r="O71" s="3" t="s">
        <v>175</v>
      </c>
      <c r="P71" s="21">
        <v>30261</v>
      </c>
      <c r="Q71" s="3" t="s">
        <v>176</v>
      </c>
      <c r="R71" s="3"/>
      <c r="S71" s="3"/>
      <c r="T71" s="3"/>
      <c r="U71" s="2"/>
      <c r="V71" s="2"/>
      <c r="W71" s="2"/>
      <c r="X71" s="2"/>
      <c r="Y71" s="2"/>
      <c r="Z71" s="2"/>
      <c r="AA71" s="2"/>
      <c r="AB71" s="2"/>
      <c r="AC71" s="3"/>
      <c r="AD71" s="3"/>
    </row>
    <row r="72" spans="1:30" ht="12" customHeight="1">
      <c r="A72" s="828" t="s">
        <v>16766</v>
      </c>
      <c r="B72" s="3" t="s">
        <v>169</v>
      </c>
      <c r="C72" s="1" t="s">
        <v>177</v>
      </c>
      <c r="D72" s="5">
        <f t="shared" si="1"/>
        <v>65</v>
      </c>
      <c r="E72" s="2" t="s">
        <v>5</v>
      </c>
      <c r="F72" s="2" t="s">
        <v>15273</v>
      </c>
      <c r="G72" s="3"/>
      <c r="H72" s="1"/>
      <c r="I72" s="1"/>
      <c r="J72" s="4" t="s">
        <v>16121</v>
      </c>
      <c r="K72" s="1"/>
      <c r="L72" s="1" t="s">
        <v>6</v>
      </c>
      <c r="M72" s="825"/>
      <c r="N72" s="17"/>
      <c r="O72" s="3" t="s">
        <v>178</v>
      </c>
      <c r="P72" s="20">
        <v>17332</v>
      </c>
      <c r="Q72" s="3" t="s">
        <v>179</v>
      </c>
      <c r="R72" s="3"/>
      <c r="S72" s="3"/>
      <c r="T72" s="3" t="s">
        <v>148</v>
      </c>
      <c r="U72" s="2"/>
      <c r="V72" s="2" t="s">
        <v>145</v>
      </c>
      <c r="W72" s="2"/>
      <c r="X72" s="2"/>
      <c r="Y72" s="2"/>
      <c r="Z72" s="2"/>
      <c r="AA72" s="2"/>
      <c r="AB72" s="2"/>
      <c r="AC72" s="2"/>
      <c r="AD72" s="2" t="s">
        <v>69</v>
      </c>
    </row>
    <row r="73" spans="1:30" ht="12" customHeight="1">
      <c r="A73" s="828" t="s">
        <v>16767</v>
      </c>
      <c r="B73" s="3" t="s">
        <v>183</v>
      </c>
      <c r="C73" s="1" t="s">
        <v>186</v>
      </c>
      <c r="D73" s="5">
        <f t="shared" si="1"/>
        <v>59</v>
      </c>
      <c r="E73" s="2" t="s">
        <v>5</v>
      </c>
      <c r="F73" s="2" t="s">
        <v>15273</v>
      </c>
      <c r="G73" s="3"/>
      <c r="H73" s="1"/>
      <c r="I73" s="1"/>
      <c r="J73" s="4" t="s">
        <v>16120</v>
      </c>
      <c r="K73" s="1" t="s">
        <v>476</v>
      </c>
      <c r="L73" s="1" t="s">
        <v>14</v>
      </c>
      <c r="M73" s="825">
        <v>6</v>
      </c>
      <c r="N73" s="17">
        <v>6</v>
      </c>
      <c r="O73" s="3" t="s">
        <v>188</v>
      </c>
      <c r="P73" s="20">
        <v>19462</v>
      </c>
      <c r="Q73" s="3" t="s">
        <v>189</v>
      </c>
      <c r="R73" s="3" t="s">
        <v>532</v>
      </c>
      <c r="S73" s="3" t="s">
        <v>6051</v>
      </c>
      <c r="T73" s="3" t="s">
        <v>104</v>
      </c>
      <c r="U73" s="2"/>
      <c r="V73" s="2"/>
      <c r="W73" s="2"/>
      <c r="X73" s="2"/>
      <c r="Y73" s="2"/>
      <c r="Z73" s="2"/>
      <c r="AA73" s="2" t="s">
        <v>104</v>
      </c>
      <c r="AB73" s="2"/>
      <c r="AC73" s="2"/>
      <c r="AD73" s="2"/>
    </row>
    <row r="74" spans="1:30" ht="12" customHeight="1">
      <c r="A74" s="828" t="s">
        <v>16768</v>
      </c>
      <c r="B74" s="3" t="s">
        <v>184</v>
      </c>
      <c r="C74" s="5" t="s">
        <v>920</v>
      </c>
      <c r="D74" s="5">
        <f t="shared" si="1"/>
        <v>49</v>
      </c>
      <c r="E74" s="5" t="s">
        <v>5</v>
      </c>
      <c r="F74" s="2" t="s">
        <v>15273</v>
      </c>
      <c r="G74" s="7" t="s">
        <v>1333</v>
      </c>
      <c r="H74" s="5"/>
      <c r="I74" s="19"/>
      <c r="J74" s="4" t="s">
        <v>16125</v>
      </c>
      <c r="K74" s="5"/>
      <c r="L74" s="5" t="s">
        <v>25</v>
      </c>
      <c r="M74" s="5">
        <v>1</v>
      </c>
      <c r="N74" s="10">
        <v>1</v>
      </c>
      <c r="O74" s="7" t="s">
        <v>188</v>
      </c>
      <c r="P74" s="11">
        <v>23282</v>
      </c>
      <c r="Q74" s="7" t="s">
        <v>783</v>
      </c>
      <c r="R74" s="7"/>
      <c r="S74" s="7" t="s">
        <v>5561</v>
      </c>
      <c r="T74" s="7" t="s">
        <v>47</v>
      </c>
      <c r="U74" s="2" t="s">
        <v>47</v>
      </c>
      <c r="V74" s="2"/>
      <c r="W74" s="2"/>
      <c r="X74" s="2"/>
      <c r="Y74" s="2"/>
      <c r="Z74" s="2"/>
      <c r="AA74" s="2"/>
      <c r="AB74" s="2"/>
      <c r="AC74" s="2"/>
      <c r="AD74" s="2"/>
    </row>
    <row r="75" spans="1:30" ht="12" customHeight="1">
      <c r="A75" s="828" t="s">
        <v>16769</v>
      </c>
      <c r="B75" s="3" t="s">
        <v>185</v>
      </c>
      <c r="C75" s="1" t="s">
        <v>5230</v>
      </c>
      <c r="D75" s="5">
        <f t="shared" si="1"/>
        <v>64</v>
      </c>
      <c r="E75" s="2" t="s">
        <v>5</v>
      </c>
      <c r="F75" s="2"/>
      <c r="G75" s="3"/>
      <c r="H75" s="1"/>
      <c r="I75" s="1"/>
      <c r="J75" s="4" t="s">
        <v>16117</v>
      </c>
      <c r="K75" s="1"/>
      <c r="L75" s="1" t="s">
        <v>6</v>
      </c>
      <c r="M75" s="825"/>
      <c r="N75" s="17"/>
      <c r="O75" s="3" t="s">
        <v>178</v>
      </c>
      <c r="P75" s="20">
        <v>17863</v>
      </c>
      <c r="Q75" s="3" t="s">
        <v>16092</v>
      </c>
      <c r="R75" s="3"/>
      <c r="S75" s="3"/>
      <c r="T75" s="3"/>
      <c r="U75" s="2"/>
      <c r="V75" s="2"/>
      <c r="W75" s="2"/>
      <c r="X75" s="2"/>
      <c r="Y75" s="2"/>
      <c r="Z75" s="2"/>
      <c r="AA75" s="2"/>
      <c r="AB75" s="2"/>
      <c r="AC75" s="2"/>
      <c r="AD75" s="2"/>
    </row>
    <row r="76" spans="1:30" ht="12" customHeight="1">
      <c r="A76" s="828" t="s">
        <v>16770</v>
      </c>
      <c r="B76" s="3" t="s">
        <v>190</v>
      </c>
      <c r="C76" s="5" t="s">
        <v>853</v>
      </c>
      <c r="D76" s="5">
        <f t="shared" si="1"/>
        <v>59</v>
      </c>
      <c r="E76" s="5" t="s">
        <v>5</v>
      </c>
      <c r="F76" s="6" t="s">
        <v>15273</v>
      </c>
      <c r="G76" s="7" t="s">
        <v>1334</v>
      </c>
      <c r="H76" s="5"/>
      <c r="I76" s="19"/>
      <c r="J76" s="8" t="s">
        <v>16127</v>
      </c>
      <c r="K76" s="5" t="s">
        <v>737</v>
      </c>
      <c r="L76" s="5" t="s">
        <v>25</v>
      </c>
      <c r="M76" s="5">
        <v>4</v>
      </c>
      <c r="N76" s="10">
        <v>4</v>
      </c>
      <c r="O76" s="7" t="s">
        <v>188</v>
      </c>
      <c r="P76" s="11">
        <v>19646</v>
      </c>
      <c r="Q76" s="7" t="s">
        <v>746</v>
      </c>
      <c r="R76" s="7" t="s">
        <v>828</v>
      </c>
      <c r="S76" s="7" t="s">
        <v>736</v>
      </c>
      <c r="T76" s="3" t="s">
        <v>145</v>
      </c>
      <c r="U76" s="2"/>
      <c r="V76" s="2" t="s">
        <v>145</v>
      </c>
      <c r="W76" s="2"/>
      <c r="X76" s="2"/>
      <c r="Y76" s="2"/>
      <c r="Z76" s="2"/>
      <c r="AA76" s="2"/>
      <c r="AB76" s="2"/>
      <c r="AC76" s="2"/>
      <c r="AD76" s="2"/>
    </row>
    <row r="77" spans="1:30" ht="12" customHeight="1">
      <c r="A77" s="828" t="s">
        <v>16771</v>
      </c>
      <c r="B77" s="3" t="s">
        <v>191</v>
      </c>
      <c r="C77" s="1" t="s">
        <v>194</v>
      </c>
      <c r="D77" s="5">
        <f t="shared" si="1"/>
        <v>45</v>
      </c>
      <c r="E77" s="2" t="s">
        <v>5</v>
      </c>
      <c r="F77" s="2" t="s">
        <v>15273</v>
      </c>
      <c r="G77" s="3"/>
      <c r="H77" s="1"/>
      <c r="I77" s="1"/>
      <c r="J77" s="4" t="s">
        <v>16120</v>
      </c>
      <c r="K77" s="1" t="s">
        <v>48</v>
      </c>
      <c r="L77" s="1" t="s">
        <v>6</v>
      </c>
      <c r="M77" s="825"/>
      <c r="N77" s="17"/>
      <c r="O77" s="3" t="s">
        <v>31</v>
      </c>
      <c r="P77" s="20">
        <v>24712</v>
      </c>
      <c r="Q77" s="3" t="s">
        <v>195</v>
      </c>
      <c r="R77" s="3"/>
      <c r="S77" s="3"/>
      <c r="T77" s="3"/>
      <c r="U77" s="2"/>
      <c r="V77" s="2"/>
      <c r="W77" s="2"/>
      <c r="X77" s="2"/>
      <c r="Y77" s="2"/>
      <c r="Z77" s="2"/>
      <c r="AA77" s="2"/>
      <c r="AB77" s="2"/>
      <c r="AC77" s="2"/>
      <c r="AD77" s="2"/>
    </row>
    <row r="78" spans="1:30" ht="12" customHeight="1">
      <c r="A78" s="828" t="s">
        <v>16772</v>
      </c>
      <c r="B78" s="3" t="s">
        <v>192</v>
      </c>
      <c r="C78" s="1" t="s">
        <v>3205</v>
      </c>
      <c r="D78" s="5">
        <f t="shared" si="1"/>
        <v>46</v>
      </c>
      <c r="E78" s="2" t="s">
        <v>19</v>
      </c>
      <c r="F78" s="2" t="s">
        <v>15273</v>
      </c>
      <c r="G78" s="3"/>
      <c r="H78" s="1"/>
      <c r="I78" s="1"/>
      <c r="J78" s="4" t="s">
        <v>16125</v>
      </c>
      <c r="K78" s="1"/>
      <c r="L78" s="1" t="s">
        <v>6</v>
      </c>
      <c r="M78" s="825"/>
      <c r="N78" s="17"/>
      <c r="O78" s="3" t="s">
        <v>3206</v>
      </c>
      <c r="P78" s="20">
        <v>24308</v>
      </c>
      <c r="Q78" s="3" t="s">
        <v>3207</v>
      </c>
      <c r="R78" s="3"/>
      <c r="S78" s="3" t="s">
        <v>5561</v>
      </c>
      <c r="T78" s="3" t="s">
        <v>104</v>
      </c>
      <c r="U78" s="2"/>
      <c r="V78" s="2"/>
      <c r="W78" s="2"/>
      <c r="X78" s="2"/>
      <c r="Y78" s="2"/>
      <c r="Z78" s="2"/>
      <c r="AA78" s="2" t="s">
        <v>104</v>
      </c>
      <c r="AB78" s="2"/>
      <c r="AC78" s="2"/>
      <c r="AD78" s="2"/>
    </row>
    <row r="79" spans="1:30" ht="12" customHeight="1">
      <c r="A79" s="828" t="s">
        <v>16773</v>
      </c>
      <c r="B79" s="3" t="s">
        <v>193</v>
      </c>
      <c r="C79" s="1" t="s">
        <v>196</v>
      </c>
      <c r="D79" s="5">
        <f t="shared" si="1"/>
        <v>53</v>
      </c>
      <c r="E79" s="2" t="s">
        <v>5</v>
      </c>
      <c r="F79" s="2"/>
      <c r="G79" s="3"/>
      <c r="H79" s="1"/>
      <c r="I79" s="1"/>
      <c r="J79" s="4" t="s">
        <v>16117</v>
      </c>
      <c r="K79" s="1"/>
      <c r="L79" s="1" t="s">
        <v>6</v>
      </c>
      <c r="M79" s="825"/>
      <c r="N79" s="17"/>
      <c r="O79" s="3" t="s">
        <v>197</v>
      </c>
      <c r="P79" s="20">
        <v>21553</v>
      </c>
      <c r="Q79" s="3" t="s">
        <v>16094</v>
      </c>
      <c r="R79" s="3"/>
      <c r="S79" s="3"/>
      <c r="T79" s="3"/>
      <c r="U79" s="2"/>
      <c r="V79" s="2"/>
      <c r="W79" s="2"/>
      <c r="X79" s="2"/>
      <c r="Y79" s="2"/>
      <c r="Z79" s="2"/>
      <c r="AA79" s="2"/>
      <c r="AB79" s="2"/>
      <c r="AC79" s="2"/>
      <c r="AD79" s="2"/>
    </row>
    <row r="80" spans="1:30" ht="12" customHeight="1">
      <c r="A80" s="828" t="s">
        <v>16774</v>
      </c>
      <c r="B80" s="3" t="s">
        <v>198</v>
      </c>
      <c r="C80" s="1" t="s">
        <v>6034</v>
      </c>
      <c r="D80" s="5">
        <f t="shared" si="1"/>
        <v>56</v>
      </c>
      <c r="E80" s="2" t="s">
        <v>5</v>
      </c>
      <c r="F80" s="6" t="s">
        <v>15273</v>
      </c>
      <c r="G80" s="3"/>
      <c r="H80" s="1"/>
      <c r="I80" s="1"/>
      <c r="J80" s="8" t="s">
        <v>16127</v>
      </c>
      <c r="K80" s="1" t="s">
        <v>737</v>
      </c>
      <c r="L80" s="1" t="s">
        <v>6</v>
      </c>
      <c r="M80" s="825"/>
      <c r="N80" s="17"/>
      <c r="O80" s="3" t="s">
        <v>2214</v>
      </c>
      <c r="P80" s="20">
        <v>20737</v>
      </c>
      <c r="Q80" s="3" t="s">
        <v>6037</v>
      </c>
      <c r="R80" s="3"/>
      <c r="S80" s="3"/>
      <c r="T80" s="3"/>
      <c r="U80" s="2"/>
      <c r="V80" s="2"/>
      <c r="W80" s="2"/>
      <c r="X80" s="2"/>
      <c r="Y80" s="2"/>
      <c r="Z80" s="2"/>
      <c r="AA80" s="2"/>
      <c r="AB80" s="2"/>
      <c r="AC80" s="2"/>
      <c r="AD80" s="2"/>
    </row>
    <row r="81" spans="1:30" ht="12" customHeight="1">
      <c r="A81" s="828" t="s">
        <v>16775</v>
      </c>
      <c r="B81" s="3" t="s">
        <v>199</v>
      </c>
      <c r="C81" s="1" t="s">
        <v>202</v>
      </c>
      <c r="D81" s="5">
        <f t="shared" si="1"/>
        <v>29</v>
      </c>
      <c r="E81" s="2" t="s">
        <v>5</v>
      </c>
      <c r="F81" s="2" t="s">
        <v>15273</v>
      </c>
      <c r="G81" s="3"/>
      <c r="H81" s="1"/>
      <c r="I81" s="1"/>
      <c r="J81" s="8" t="s">
        <v>16120</v>
      </c>
      <c r="K81" s="1" t="s">
        <v>30</v>
      </c>
      <c r="L81" s="1" t="s">
        <v>6</v>
      </c>
      <c r="M81" s="825"/>
      <c r="N81" s="17"/>
      <c r="O81" s="3" t="s">
        <v>203</v>
      </c>
      <c r="P81" s="20">
        <v>30530</v>
      </c>
      <c r="Q81" s="3" t="s">
        <v>204</v>
      </c>
      <c r="R81" s="3"/>
      <c r="S81" s="3"/>
      <c r="T81" s="3" t="s">
        <v>147</v>
      </c>
      <c r="U81" s="2"/>
      <c r="V81" s="2"/>
      <c r="W81" s="2"/>
      <c r="X81" s="2"/>
      <c r="Y81" s="2"/>
      <c r="Z81" s="2"/>
      <c r="AA81" s="2"/>
      <c r="AB81" s="2" t="s">
        <v>147</v>
      </c>
      <c r="AC81" s="2"/>
      <c r="AD81" s="2"/>
    </row>
    <row r="82" spans="1:30" ht="12" customHeight="1">
      <c r="A82" s="828" t="s">
        <v>16776</v>
      </c>
      <c r="B82" s="3" t="s">
        <v>200</v>
      </c>
      <c r="C82" s="5" t="s">
        <v>890</v>
      </c>
      <c r="D82" s="5">
        <f t="shared" si="1"/>
        <v>70</v>
      </c>
      <c r="E82" s="5" t="s">
        <v>5</v>
      </c>
      <c r="F82" s="2"/>
      <c r="G82" s="7" t="s">
        <v>1335</v>
      </c>
      <c r="H82" s="5"/>
      <c r="I82" s="19"/>
      <c r="J82" s="4" t="s">
        <v>16125</v>
      </c>
      <c r="K82" s="5"/>
      <c r="L82" s="5" t="s">
        <v>25</v>
      </c>
      <c r="M82" s="5">
        <v>14</v>
      </c>
      <c r="N82" s="10">
        <v>14</v>
      </c>
      <c r="O82" s="7" t="s">
        <v>31</v>
      </c>
      <c r="P82" s="11">
        <v>15485</v>
      </c>
      <c r="Q82" s="7" t="s">
        <v>779</v>
      </c>
      <c r="R82" s="12" t="s">
        <v>16684</v>
      </c>
      <c r="S82" s="12" t="s">
        <v>5561</v>
      </c>
      <c r="T82" s="7" t="s">
        <v>104</v>
      </c>
      <c r="U82" s="2"/>
      <c r="V82" s="2"/>
      <c r="W82" s="2"/>
      <c r="X82" s="2"/>
      <c r="Y82" s="2"/>
      <c r="Z82" s="2"/>
      <c r="AA82" s="2" t="s">
        <v>104</v>
      </c>
      <c r="AB82" s="2"/>
      <c r="AC82" s="2"/>
      <c r="AD82" s="2"/>
    </row>
    <row r="83" spans="1:30" ht="12" customHeight="1">
      <c r="A83" s="828" t="s">
        <v>16777</v>
      </c>
      <c r="B83" s="3" t="s">
        <v>201</v>
      </c>
      <c r="C83" s="1" t="s">
        <v>205</v>
      </c>
      <c r="D83" s="5">
        <f t="shared" si="1"/>
        <v>65</v>
      </c>
      <c r="E83" s="2" t="s">
        <v>5</v>
      </c>
      <c r="F83" s="2"/>
      <c r="G83" s="3"/>
      <c r="H83" s="1"/>
      <c r="I83" s="1"/>
      <c r="J83" s="4" t="s">
        <v>16117</v>
      </c>
      <c r="K83" s="1"/>
      <c r="L83" s="1" t="s">
        <v>6</v>
      </c>
      <c r="M83" s="825"/>
      <c r="N83" s="17"/>
      <c r="O83" s="3" t="s">
        <v>178</v>
      </c>
      <c r="P83" s="20">
        <v>17506</v>
      </c>
      <c r="Q83" s="3" t="s">
        <v>206</v>
      </c>
      <c r="R83" s="3"/>
      <c r="S83" s="3"/>
      <c r="T83" s="3" t="s">
        <v>145</v>
      </c>
      <c r="U83" s="2"/>
      <c r="V83" s="2" t="s">
        <v>145</v>
      </c>
      <c r="W83" s="2"/>
      <c r="X83" s="2"/>
      <c r="Y83" s="2"/>
      <c r="Z83" s="2"/>
      <c r="AA83" s="2"/>
      <c r="AB83" s="2"/>
      <c r="AC83" s="2"/>
      <c r="AD83" s="2"/>
    </row>
    <row r="84" spans="1:30" ht="12" customHeight="1">
      <c r="A84" s="828" t="s">
        <v>16778</v>
      </c>
      <c r="B84" s="3" t="s">
        <v>207</v>
      </c>
      <c r="C84" s="5" t="s">
        <v>866</v>
      </c>
      <c r="D84" s="5">
        <f t="shared" si="1"/>
        <v>55</v>
      </c>
      <c r="E84" s="5" t="s">
        <v>19</v>
      </c>
      <c r="F84" s="6" t="s">
        <v>15273</v>
      </c>
      <c r="G84" s="7" t="s">
        <v>1336</v>
      </c>
      <c r="H84" s="5"/>
      <c r="I84" s="19"/>
      <c r="J84" s="8" t="s">
        <v>16126</v>
      </c>
      <c r="K84" s="5" t="s">
        <v>44</v>
      </c>
      <c r="L84" s="5" t="s">
        <v>25</v>
      </c>
      <c r="M84" s="5">
        <v>2</v>
      </c>
      <c r="N84" s="10">
        <v>2</v>
      </c>
      <c r="O84" s="7" t="s">
        <v>214</v>
      </c>
      <c r="P84" s="11">
        <v>20910</v>
      </c>
      <c r="Q84" s="7" t="s">
        <v>211</v>
      </c>
      <c r="R84" s="7" t="s">
        <v>841</v>
      </c>
      <c r="S84" s="7" t="s">
        <v>736</v>
      </c>
      <c r="T84" s="7" t="s">
        <v>155</v>
      </c>
      <c r="U84" s="2"/>
      <c r="V84" s="2"/>
      <c r="W84" s="2"/>
      <c r="X84" s="2"/>
      <c r="Y84" s="2" t="s">
        <v>155</v>
      </c>
      <c r="Z84" s="2"/>
      <c r="AA84" s="2"/>
      <c r="AB84" s="2"/>
      <c r="AC84" s="2"/>
      <c r="AD84" s="2"/>
    </row>
    <row r="85" spans="1:30" ht="12" customHeight="1">
      <c r="A85" s="828" t="s">
        <v>16779</v>
      </c>
      <c r="B85" s="3" t="s">
        <v>208</v>
      </c>
      <c r="C85" s="1" t="s">
        <v>213</v>
      </c>
      <c r="D85" s="5">
        <f t="shared" si="1"/>
        <v>54</v>
      </c>
      <c r="E85" s="2" t="s">
        <v>5</v>
      </c>
      <c r="F85" s="2" t="s">
        <v>15273</v>
      </c>
      <c r="G85" s="3"/>
      <c r="H85" s="1"/>
      <c r="I85" s="1"/>
      <c r="J85" s="4" t="s">
        <v>16120</v>
      </c>
      <c r="K85" s="1" t="s">
        <v>48</v>
      </c>
      <c r="L85" s="1" t="s">
        <v>14</v>
      </c>
      <c r="M85" s="825">
        <v>1</v>
      </c>
      <c r="N85" s="17">
        <v>1</v>
      </c>
      <c r="O85" s="3" t="s">
        <v>214</v>
      </c>
      <c r="P85" s="20">
        <v>21409</v>
      </c>
      <c r="Q85" s="3" t="s">
        <v>215</v>
      </c>
      <c r="R85" s="3"/>
      <c r="S85" s="3"/>
      <c r="T85" s="3" t="s">
        <v>145</v>
      </c>
      <c r="U85" s="2"/>
      <c r="V85" s="2" t="s">
        <v>145</v>
      </c>
      <c r="W85" s="2"/>
      <c r="X85" s="2"/>
      <c r="Y85" s="2"/>
      <c r="Z85" s="2"/>
      <c r="AA85" s="2"/>
      <c r="AB85" s="2"/>
      <c r="AC85" s="2"/>
      <c r="AD85" s="2"/>
    </row>
    <row r="86" spans="1:30" ht="12" customHeight="1">
      <c r="A86" s="828" t="s">
        <v>16780</v>
      </c>
      <c r="B86" s="3" t="s">
        <v>209</v>
      </c>
      <c r="C86" s="1" t="s">
        <v>2540</v>
      </c>
      <c r="D86" s="5">
        <f t="shared" si="1"/>
        <v>47</v>
      </c>
      <c r="E86" s="2" t="s">
        <v>5</v>
      </c>
      <c r="F86" s="2" t="s">
        <v>15273</v>
      </c>
      <c r="G86" s="3"/>
      <c r="H86" s="1"/>
      <c r="I86" s="1"/>
      <c r="J86" s="4" t="s">
        <v>16125</v>
      </c>
      <c r="K86" s="1"/>
      <c r="L86" s="1" t="s">
        <v>6</v>
      </c>
      <c r="M86" s="825"/>
      <c r="N86" s="17"/>
      <c r="O86" s="3" t="s">
        <v>2543</v>
      </c>
      <c r="P86" s="20">
        <v>23970</v>
      </c>
      <c r="Q86" s="3" t="s">
        <v>233</v>
      </c>
      <c r="R86" s="3"/>
      <c r="S86" s="3" t="s">
        <v>5561</v>
      </c>
      <c r="T86" s="3" t="s">
        <v>145</v>
      </c>
      <c r="U86" s="2"/>
      <c r="V86" s="2" t="s">
        <v>145</v>
      </c>
      <c r="W86" s="2"/>
      <c r="X86" s="2"/>
      <c r="Y86" s="2"/>
      <c r="Z86" s="2"/>
      <c r="AA86" s="2"/>
      <c r="AB86" s="2"/>
      <c r="AC86" s="2"/>
      <c r="AD86" s="2"/>
    </row>
    <row r="87" spans="1:30" ht="12" customHeight="1">
      <c r="A87" s="828" t="s">
        <v>16781</v>
      </c>
      <c r="B87" s="3" t="s">
        <v>210</v>
      </c>
      <c r="C87" s="1" t="s">
        <v>16095</v>
      </c>
      <c r="D87" s="5">
        <f t="shared" si="1"/>
        <v>35</v>
      </c>
      <c r="E87" s="2" t="s">
        <v>5</v>
      </c>
      <c r="F87" s="2" t="s">
        <v>15273</v>
      </c>
      <c r="G87" s="3"/>
      <c r="H87" s="1"/>
      <c r="I87" s="1"/>
      <c r="J87" s="4" t="s">
        <v>16128</v>
      </c>
      <c r="K87" s="1"/>
      <c r="L87" s="1" t="s">
        <v>6</v>
      </c>
      <c r="M87" s="825"/>
      <c r="N87" s="17"/>
      <c r="O87" s="3" t="s">
        <v>218</v>
      </c>
      <c r="P87" s="20">
        <v>28442</v>
      </c>
      <c r="Q87" s="3" t="s">
        <v>219</v>
      </c>
      <c r="R87" s="3"/>
      <c r="S87" s="3" t="s">
        <v>6031</v>
      </c>
      <c r="T87" s="3" t="s">
        <v>155</v>
      </c>
      <c r="U87" s="2"/>
      <c r="V87" s="2"/>
      <c r="W87" s="2"/>
      <c r="X87" s="2"/>
      <c r="Y87" s="2" t="s">
        <v>155</v>
      </c>
      <c r="Z87" s="2"/>
      <c r="AA87" s="2"/>
      <c r="AB87" s="2"/>
      <c r="AC87" s="2"/>
      <c r="AD87" s="3"/>
    </row>
    <row r="88" spans="1:30" ht="12" customHeight="1">
      <c r="A88" s="828" t="s">
        <v>16782</v>
      </c>
      <c r="B88" s="3" t="s">
        <v>2539</v>
      </c>
      <c r="C88" s="1" t="s">
        <v>220</v>
      </c>
      <c r="D88" s="5">
        <f t="shared" si="1"/>
        <v>53</v>
      </c>
      <c r="E88" s="2" t="s">
        <v>5</v>
      </c>
      <c r="F88" s="2"/>
      <c r="G88" s="3"/>
      <c r="H88" s="1"/>
      <c r="I88" s="1"/>
      <c r="J88" s="4" t="s">
        <v>16117</v>
      </c>
      <c r="K88" s="1"/>
      <c r="L88" s="1" t="s">
        <v>6</v>
      </c>
      <c r="M88" s="825"/>
      <c r="N88" s="17"/>
      <c r="O88" s="3" t="s">
        <v>77</v>
      </c>
      <c r="P88" s="20">
        <v>21553</v>
      </c>
      <c r="Q88" s="3" t="s">
        <v>222</v>
      </c>
      <c r="R88" s="3"/>
      <c r="S88" s="3"/>
      <c r="T88" s="3"/>
      <c r="U88" s="2"/>
      <c r="V88" s="2"/>
      <c r="W88" s="2"/>
      <c r="X88" s="2"/>
      <c r="Y88" s="2"/>
      <c r="Z88" s="2"/>
      <c r="AA88" s="2"/>
      <c r="AB88" s="2"/>
      <c r="AC88" s="2"/>
      <c r="AD88" s="3"/>
    </row>
    <row r="89" spans="1:30" ht="12" customHeight="1">
      <c r="A89" s="828" t="s">
        <v>16783</v>
      </c>
      <c r="B89" s="3" t="s">
        <v>4658</v>
      </c>
      <c r="C89" s="1" t="s">
        <v>4659</v>
      </c>
      <c r="D89" s="5">
        <f t="shared" si="1"/>
        <v>33</v>
      </c>
      <c r="E89" s="2" t="s">
        <v>5</v>
      </c>
      <c r="F89" s="2" t="s">
        <v>15273</v>
      </c>
      <c r="G89" s="3"/>
      <c r="H89" s="1"/>
      <c r="I89" s="1"/>
      <c r="J89" s="4" t="s">
        <v>16121</v>
      </c>
      <c r="K89" s="1"/>
      <c r="L89" s="1" t="s">
        <v>6</v>
      </c>
      <c r="M89" s="825"/>
      <c r="N89" s="17"/>
      <c r="O89" s="3" t="s">
        <v>4660</v>
      </c>
      <c r="P89" s="20">
        <v>28926</v>
      </c>
      <c r="Q89" s="3" t="s">
        <v>5471</v>
      </c>
      <c r="R89" s="3"/>
      <c r="S89" s="3"/>
      <c r="T89" s="3"/>
      <c r="U89" s="2"/>
      <c r="V89" s="2"/>
      <c r="W89" s="2"/>
      <c r="X89" s="2"/>
      <c r="Y89" s="2"/>
      <c r="Z89" s="2"/>
      <c r="AA89" s="2"/>
      <c r="AB89" s="2"/>
      <c r="AC89" s="2"/>
      <c r="AD89" s="3"/>
    </row>
    <row r="90" spans="1:30" ht="12" customHeight="1">
      <c r="A90" s="828" t="s">
        <v>16784</v>
      </c>
      <c r="B90" s="3" t="s">
        <v>223</v>
      </c>
      <c r="C90" s="6" t="s">
        <v>873</v>
      </c>
      <c r="D90" s="5">
        <f t="shared" si="1"/>
        <v>64</v>
      </c>
      <c r="E90" s="6" t="s">
        <v>5</v>
      </c>
      <c r="F90" s="6" t="s">
        <v>15273</v>
      </c>
      <c r="G90" s="18" t="s">
        <v>1337</v>
      </c>
      <c r="H90" s="5" t="s">
        <v>373</v>
      </c>
      <c r="I90" s="19"/>
      <c r="J90" s="8" t="s">
        <v>16127</v>
      </c>
      <c r="K90" s="6" t="s">
        <v>45</v>
      </c>
      <c r="L90" s="6" t="s">
        <v>14</v>
      </c>
      <c r="M90" s="6">
        <v>2</v>
      </c>
      <c r="N90" s="14">
        <v>4</v>
      </c>
      <c r="O90" s="12" t="s">
        <v>459</v>
      </c>
      <c r="P90" s="15">
        <v>17518</v>
      </c>
      <c r="Q90" s="12" t="s">
        <v>219</v>
      </c>
      <c r="R90" s="12" t="s">
        <v>827</v>
      </c>
      <c r="S90" s="12" t="s">
        <v>736</v>
      </c>
      <c r="T90" s="19" t="s">
        <v>631</v>
      </c>
      <c r="U90" s="2"/>
      <c r="V90" s="2"/>
      <c r="W90" s="2"/>
      <c r="X90" s="2" t="s">
        <v>229</v>
      </c>
      <c r="Y90" s="2" t="s">
        <v>155</v>
      </c>
      <c r="Z90" s="2"/>
      <c r="AA90" s="2"/>
      <c r="AB90" s="2"/>
      <c r="AC90" s="2"/>
      <c r="AD90" s="3"/>
    </row>
    <row r="91" spans="1:30" ht="12" customHeight="1">
      <c r="A91" s="828" t="s">
        <v>16785</v>
      </c>
      <c r="B91" s="3" t="s">
        <v>224</v>
      </c>
      <c r="C91" s="5" t="s">
        <v>885</v>
      </c>
      <c r="D91" s="5">
        <f t="shared" si="1"/>
        <v>50</v>
      </c>
      <c r="E91" s="5" t="s">
        <v>5</v>
      </c>
      <c r="F91" s="6" t="s">
        <v>15273</v>
      </c>
      <c r="G91" s="7" t="s">
        <v>1313</v>
      </c>
      <c r="H91" s="5"/>
      <c r="I91" s="19"/>
      <c r="J91" s="4" t="s">
        <v>16120</v>
      </c>
      <c r="K91" s="5" t="s">
        <v>30</v>
      </c>
      <c r="L91" s="5" t="s">
        <v>25</v>
      </c>
      <c r="M91" s="5">
        <v>3</v>
      </c>
      <c r="N91" s="10">
        <v>3</v>
      </c>
      <c r="O91" s="7" t="s">
        <v>463</v>
      </c>
      <c r="P91" s="11">
        <v>22830</v>
      </c>
      <c r="Q91" s="7" t="s">
        <v>758</v>
      </c>
      <c r="R91" s="7" t="s">
        <v>810</v>
      </c>
      <c r="S91" s="7"/>
      <c r="T91" s="18" t="s">
        <v>635</v>
      </c>
      <c r="U91" s="2"/>
      <c r="V91" s="2" t="s">
        <v>145</v>
      </c>
      <c r="W91" s="2"/>
      <c r="X91" s="2"/>
      <c r="Y91" s="2"/>
      <c r="Z91" s="2"/>
      <c r="AA91" s="2"/>
      <c r="AB91" s="2"/>
      <c r="AC91" s="2" t="s">
        <v>146</v>
      </c>
      <c r="AD91" s="3"/>
    </row>
    <row r="92" spans="1:30" ht="12" customHeight="1">
      <c r="A92" s="828" t="s">
        <v>16786</v>
      </c>
      <c r="B92" s="3" t="s">
        <v>225</v>
      </c>
      <c r="C92" s="5" t="s">
        <v>877</v>
      </c>
      <c r="D92" s="5">
        <f t="shared" si="1"/>
        <v>43</v>
      </c>
      <c r="E92" s="5" t="s">
        <v>5</v>
      </c>
      <c r="F92" s="2" t="s">
        <v>15273</v>
      </c>
      <c r="G92" s="7" t="s">
        <v>1338</v>
      </c>
      <c r="H92" s="5"/>
      <c r="I92" s="19"/>
      <c r="J92" s="4" t="s">
        <v>16125</v>
      </c>
      <c r="K92" s="5"/>
      <c r="L92" s="5" t="s">
        <v>25</v>
      </c>
      <c r="M92" s="5">
        <v>1</v>
      </c>
      <c r="N92" s="10">
        <v>1</v>
      </c>
      <c r="O92" s="12" t="s">
        <v>172</v>
      </c>
      <c r="P92" s="15">
        <v>25256</v>
      </c>
      <c r="Q92" s="7" t="s">
        <v>747</v>
      </c>
      <c r="R92" s="7" t="s">
        <v>4571</v>
      </c>
      <c r="S92" s="7" t="s">
        <v>5561</v>
      </c>
      <c r="T92" s="3" t="s">
        <v>155</v>
      </c>
      <c r="U92" s="2"/>
      <c r="V92" s="2"/>
      <c r="W92" s="2"/>
      <c r="X92" s="2"/>
      <c r="Y92" s="2" t="s">
        <v>155</v>
      </c>
      <c r="Z92" s="2"/>
      <c r="AA92" s="2"/>
      <c r="AB92" s="2"/>
      <c r="AC92" s="2"/>
      <c r="AD92" s="3"/>
    </row>
    <row r="93" spans="1:30" ht="12" customHeight="1">
      <c r="A93" s="828" t="s">
        <v>16787</v>
      </c>
      <c r="B93" s="3" t="s">
        <v>226</v>
      </c>
      <c r="C93" s="1" t="s">
        <v>238</v>
      </c>
      <c r="D93" s="5">
        <f t="shared" si="1"/>
        <v>64</v>
      </c>
      <c r="E93" s="2" t="s">
        <v>5</v>
      </c>
      <c r="F93" s="2" t="s">
        <v>15273</v>
      </c>
      <c r="G93" s="3"/>
      <c r="H93" s="1"/>
      <c r="I93" s="1"/>
      <c r="J93" s="4" t="s">
        <v>16116</v>
      </c>
      <c r="K93" s="1" t="s">
        <v>4993</v>
      </c>
      <c r="L93" s="1" t="s">
        <v>14</v>
      </c>
      <c r="M93" s="825">
        <v>3</v>
      </c>
      <c r="N93" s="17">
        <v>3</v>
      </c>
      <c r="O93" s="3" t="s">
        <v>214</v>
      </c>
      <c r="P93" s="20">
        <v>17592</v>
      </c>
      <c r="Q93" s="3" t="s">
        <v>240</v>
      </c>
      <c r="R93" s="3" t="s">
        <v>239</v>
      </c>
      <c r="S93" s="3"/>
      <c r="T93" s="3" t="s">
        <v>145</v>
      </c>
      <c r="U93" s="2"/>
      <c r="V93" s="2" t="s">
        <v>145</v>
      </c>
      <c r="W93" s="2"/>
      <c r="X93" s="2"/>
      <c r="Y93" s="2"/>
      <c r="Z93" s="2"/>
      <c r="AA93" s="2"/>
      <c r="AB93" s="2"/>
      <c r="AC93" s="2"/>
      <c r="AD93" s="3"/>
    </row>
    <row r="94" spans="1:30" ht="12" customHeight="1">
      <c r="A94" s="828" t="s">
        <v>16788</v>
      </c>
      <c r="B94" s="3" t="s">
        <v>227</v>
      </c>
      <c r="C94" s="1" t="s">
        <v>235</v>
      </c>
      <c r="D94" s="5">
        <f t="shared" si="1"/>
        <v>52</v>
      </c>
      <c r="E94" s="2" t="s">
        <v>5</v>
      </c>
      <c r="F94" s="2" t="s">
        <v>15273</v>
      </c>
      <c r="G94" s="3"/>
      <c r="H94" s="1"/>
      <c r="I94" s="1"/>
      <c r="J94" s="4" t="s">
        <v>16128</v>
      </c>
      <c r="K94" s="1"/>
      <c r="L94" s="1" t="s">
        <v>6</v>
      </c>
      <c r="M94" s="825"/>
      <c r="N94" s="17"/>
      <c r="O94" s="3" t="s">
        <v>236</v>
      </c>
      <c r="P94" s="20">
        <v>22015</v>
      </c>
      <c r="Q94" s="3" t="s">
        <v>237</v>
      </c>
      <c r="R94" s="3"/>
      <c r="S94" s="3"/>
      <c r="T94" s="3" t="s">
        <v>145</v>
      </c>
      <c r="U94" s="2"/>
      <c r="V94" s="2" t="s">
        <v>145</v>
      </c>
      <c r="W94" s="2"/>
      <c r="X94" s="2"/>
      <c r="Y94" s="2"/>
      <c r="Z94" s="2"/>
      <c r="AA94" s="2"/>
      <c r="AB94" s="2"/>
      <c r="AC94" s="2"/>
      <c r="AD94" s="3"/>
    </row>
    <row r="95" spans="1:30" ht="12" customHeight="1">
      <c r="A95" s="828" t="s">
        <v>16789</v>
      </c>
      <c r="B95" s="3" t="s">
        <v>228</v>
      </c>
      <c r="C95" s="1" t="s">
        <v>231</v>
      </c>
      <c r="D95" s="5">
        <f t="shared" si="1"/>
        <v>52</v>
      </c>
      <c r="E95" s="2" t="s">
        <v>19</v>
      </c>
      <c r="F95" s="2"/>
      <c r="G95" s="3"/>
      <c r="H95" s="1"/>
      <c r="I95" s="1"/>
      <c r="J95" s="4" t="s">
        <v>16117</v>
      </c>
      <c r="K95" s="1"/>
      <c r="L95" s="1" t="s">
        <v>6</v>
      </c>
      <c r="M95" s="825"/>
      <c r="N95" s="17"/>
      <c r="O95" s="3" t="s">
        <v>232</v>
      </c>
      <c r="P95" s="21">
        <v>22230</v>
      </c>
      <c r="Q95" s="3" t="s">
        <v>234</v>
      </c>
      <c r="R95" s="3"/>
      <c r="S95" s="3"/>
      <c r="T95" s="3" t="s">
        <v>145</v>
      </c>
      <c r="U95" s="2"/>
      <c r="V95" s="2" t="s">
        <v>145</v>
      </c>
      <c r="W95" s="2"/>
      <c r="X95" s="2"/>
      <c r="Y95" s="2"/>
      <c r="Z95" s="2"/>
      <c r="AA95" s="2"/>
      <c r="AB95" s="2"/>
      <c r="AC95" s="2"/>
      <c r="AD95" s="3"/>
    </row>
    <row r="96" spans="1:30" ht="12" customHeight="1">
      <c r="A96" s="828" t="s">
        <v>16790</v>
      </c>
      <c r="B96" s="3" t="s">
        <v>241</v>
      </c>
      <c r="C96" s="5" t="s">
        <v>863</v>
      </c>
      <c r="D96" s="5">
        <f t="shared" si="1"/>
        <v>41</v>
      </c>
      <c r="E96" s="5" t="s">
        <v>5</v>
      </c>
      <c r="F96" s="6" t="s">
        <v>15273</v>
      </c>
      <c r="G96" s="7" t="s">
        <v>1339</v>
      </c>
      <c r="H96" s="5"/>
      <c r="I96" s="19"/>
      <c r="J96" s="8" t="s">
        <v>16127</v>
      </c>
      <c r="K96" s="5" t="s">
        <v>604</v>
      </c>
      <c r="L96" s="5" t="s">
        <v>25</v>
      </c>
      <c r="M96" s="5">
        <v>2</v>
      </c>
      <c r="N96" s="10">
        <v>2</v>
      </c>
      <c r="O96" s="7" t="s">
        <v>188</v>
      </c>
      <c r="P96" s="11">
        <v>26061</v>
      </c>
      <c r="Q96" s="7" t="s">
        <v>748</v>
      </c>
      <c r="R96" s="3" t="s">
        <v>346</v>
      </c>
      <c r="S96" s="3" t="s">
        <v>736</v>
      </c>
      <c r="T96" s="3"/>
      <c r="U96" s="2"/>
      <c r="V96" s="2"/>
      <c r="W96" s="2"/>
      <c r="X96" s="2"/>
      <c r="Y96" s="2"/>
      <c r="Z96" s="2"/>
      <c r="AA96" s="2"/>
      <c r="AB96" s="2"/>
      <c r="AC96" s="2"/>
      <c r="AD96" s="3"/>
    </row>
    <row r="97" spans="1:30" ht="12" customHeight="1">
      <c r="A97" s="828" t="s">
        <v>16791</v>
      </c>
      <c r="B97" s="3" t="s">
        <v>242</v>
      </c>
      <c r="C97" s="1" t="s">
        <v>244</v>
      </c>
      <c r="D97" s="5">
        <f t="shared" si="1"/>
        <v>52</v>
      </c>
      <c r="E97" s="2" t="s">
        <v>5</v>
      </c>
      <c r="F97" s="2" t="s">
        <v>15273</v>
      </c>
      <c r="G97" s="3"/>
      <c r="H97" s="1"/>
      <c r="I97" s="1"/>
      <c r="J97" s="8" t="s">
        <v>16120</v>
      </c>
      <c r="K97" s="1" t="s">
        <v>48</v>
      </c>
      <c r="L97" s="1" t="s">
        <v>14</v>
      </c>
      <c r="M97" s="825">
        <v>2</v>
      </c>
      <c r="N97" s="17">
        <v>2</v>
      </c>
      <c r="O97" s="3" t="s">
        <v>245</v>
      </c>
      <c r="P97" s="20">
        <v>22113</v>
      </c>
      <c r="Q97" s="3" t="s">
        <v>246</v>
      </c>
      <c r="R97" s="3" t="s">
        <v>247</v>
      </c>
      <c r="S97" s="3" t="s">
        <v>6051</v>
      </c>
      <c r="T97" s="3"/>
      <c r="U97" s="2"/>
      <c r="V97" s="2"/>
      <c r="W97" s="2"/>
      <c r="X97" s="2"/>
      <c r="Y97" s="2"/>
      <c r="Z97" s="2"/>
      <c r="AA97" s="2"/>
      <c r="AB97" s="2"/>
      <c r="AC97" s="2"/>
      <c r="AD97" s="3"/>
    </row>
    <row r="98" spans="1:30" ht="12" customHeight="1">
      <c r="A98" s="828" t="s">
        <v>16792</v>
      </c>
      <c r="B98" s="3" t="s">
        <v>243</v>
      </c>
      <c r="C98" s="1" t="s">
        <v>248</v>
      </c>
      <c r="D98" s="5">
        <f t="shared" si="1"/>
        <v>31</v>
      </c>
      <c r="E98" s="2" t="s">
        <v>5</v>
      </c>
      <c r="F98" s="2"/>
      <c r="G98" s="3"/>
      <c r="H98" s="1"/>
      <c r="I98" s="1"/>
      <c r="J98" s="4" t="s">
        <v>16117</v>
      </c>
      <c r="K98" s="1"/>
      <c r="L98" s="1" t="s">
        <v>6</v>
      </c>
      <c r="M98" s="825"/>
      <c r="N98" s="17"/>
      <c r="O98" s="3" t="s">
        <v>249</v>
      </c>
      <c r="P98" s="21">
        <v>29905</v>
      </c>
      <c r="Q98" s="3" t="s">
        <v>259</v>
      </c>
      <c r="R98" s="3"/>
      <c r="S98" s="3"/>
      <c r="T98" s="3"/>
      <c r="U98" s="2"/>
      <c r="V98" s="2"/>
      <c r="W98" s="2"/>
      <c r="X98" s="2"/>
      <c r="Y98" s="2"/>
      <c r="Z98" s="2"/>
      <c r="AA98" s="2"/>
      <c r="AB98" s="2"/>
      <c r="AC98" s="2"/>
      <c r="AD98" s="3"/>
    </row>
    <row r="99" spans="1:30" ht="12" customHeight="1">
      <c r="A99" s="828" t="s">
        <v>16793</v>
      </c>
      <c r="B99" s="3" t="s">
        <v>250</v>
      </c>
      <c r="C99" s="5" t="s">
        <v>902</v>
      </c>
      <c r="D99" s="5">
        <f t="shared" si="1"/>
        <v>42</v>
      </c>
      <c r="E99" s="5" t="s">
        <v>5</v>
      </c>
      <c r="F99" s="6" t="s">
        <v>15273</v>
      </c>
      <c r="G99" s="7" t="s">
        <v>1340</v>
      </c>
      <c r="H99" s="5"/>
      <c r="I99" s="19"/>
      <c r="J99" s="8" t="s">
        <v>16126</v>
      </c>
      <c r="K99" s="5" t="s">
        <v>44</v>
      </c>
      <c r="L99" s="5" t="s">
        <v>25</v>
      </c>
      <c r="M99" s="5">
        <v>1</v>
      </c>
      <c r="N99" s="10">
        <v>1</v>
      </c>
      <c r="O99" s="7" t="s">
        <v>463</v>
      </c>
      <c r="P99" s="11">
        <v>25555</v>
      </c>
      <c r="Q99" s="7" t="s">
        <v>802</v>
      </c>
      <c r="R99" s="3"/>
      <c r="S99" s="3" t="s">
        <v>736</v>
      </c>
      <c r="T99" s="3"/>
      <c r="U99" s="2"/>
      <c r="V99" s="2"/>
      <c r="W99" s="2"/>
      <c r="X99" s="2"/>
      <c r="Y99" s="2"/>
      <c r="Z99" s="2"/>
      <c r="AA99" s="2"/>
      <c r="AB99" s="2"/>
      <c r="AC99" s="2"/>
      <c r="AD99" s="3"/>
    </row>
    <row r="100" spans="1:30" ht="12" customHeight="1">
      <c r="A100" s="828" t="s">
        <v>16794</v>
      </c>
      <c r="B100" s="3" t="s">
        <v>251</v>
      </c>
      <c r="C100" s="1" t="s">
        <v>254</v>
      </c>
      <c r="D100" s="5">
        <f t="shared" si="1"/>
        <v>59</v>
      </c>
      <c r="E100" s="2" t="s">
        <v>5</v>
      </c>
      <c r="F100" s="2" t="s">
        <v>15273</v>
      </c>
      <c r="G100" s="3"/>
      <c r="H100" s="1"/>
      <c r="I100" s="1"/>
      <c r="J100" s="4" t="s">
        <v>16120</v>
      </c>
      <c r="K100" s="1" t="s">
        <v>475</v>
      </c>
      <c r="L100" s="1" t="s">
        <v>14</v>
      </c>
      <c r="M100" s="825">
        <v>3</v>
      </c>
      <c r="N100" s="17">
        <v>3</v>
      </c>
      <c r="O100" s="3" t="s">
        <v>255</v>
      </c>
      <c r="P100" s="20">
        <v>19485</v>
      </c>
      <c r="Q100" s="3" t="s">
        <v>257</v>
      </c>
      <c r="R100" s="3" t="s">
        <v>256</v>
      </c>
      <c r="S100" s="3" t="s">
        <v>5457</v>
      </c>
      <c r="T100" s="3" t="s">
        <v>258</v>
      </c>
      <c r="U100" s="2"/>
      <c r="V100" s="2"/>
      <c r="W100" s="2"/>
      <c r="X100" s="2"/>
      <c r="Y100" s="2" t="s">
        <v>155</v>
      </c>
      <c r="Z100" s="2"/>
      <c r="AA100" s="2" t="s">
        <v>104</v>
      </c>
      <c r="AB100" s="2"/>
      <c r="AC100" s="2"/>
      <c r="AD100" s="3"/>
    </row>
    <row r="101" spans="1:30" ht="12" customHeight="1">
      <c r="A101" s="828" t="s">
        <v>16795</v>
      </c>
      <c r="B101" s="3" t="s">
        <v>252</v>
      </c>
      <c r="C101" s="1" t="s">
        <v>5224</v>
      </c>
      <c r="D101" s="5">
        <f t="shared" si="1"/>
        <v>38</v>
      </c>
      <c r="E101" s="2" t="s">
        <v>5</v>
      </c>
      <c r="F101" s="2" t="s">
        <v>15273</v>
      </c>
      <c r="G101" s="3"/>
      <c r="H101" s="1"/>
      <c r="I101" s="1"/>
      <c r="J101" s="4" t="s">
        <v>16116</v>
      </c>
      <c r="K101" s="1" t="s">
        <v>4997</v>
      </c>
      <c r="L101" s="1" t="s">
        <v>6</v>
      </c>
      <c r="M101" s="825"/>
      <c r="N101" s="17"/>
      <c r="O101" s="3" t="s">
        <v>5225</v>
      </c>
      <c r="P101" s="21">
        <v>27109</v>
      </c>
      <c r="Q101" s="3" t="s">
        <v>5226</v>
      </c>
      <c r="R101" s="3"/>
      <c r="S101" s="3" t="s">
        <v>469</v>
      </c>
      <c r="T101" s="3"/>
      <c r="U101" s="2"/>
      <c r="V101" s="2"/>
      <c r="W101" s="2"/>
      <c r="X101" s="2"/>
      <c r="Y101" s="2"/>
      <c r="Z101" s="2"/>
      <c r="AA101" s="2"/>
      <c r="AB101" s="2"/>
      <c r="AC101" s="2"/>
      <c r="AD101" s="3"/>
    </row>
    <row r="102" spans="1:30" ht="12" customHeight="1">
      <c r="A102" s="828" t="s">
        <v>16796</v>
      </c>
      <c r="B102" s="3" t="s">
        <v>253</v>
      </c>
      <c r="C102" s="1" t="s">
        <v>16097</v>
      </c>
      <c r="D102" s="5">
        <f t="shared" si="1"/>
        <v>30</v>
      </c>
      <c r="E102" s="2" t="s">
        <v>5</v>
      </c>
      <c r="F102" s="2"/>
      <c r="G102" s="3"/>
      <c r="H102" s="1"/>
      <c r="I102" s="1"/>
      <c r="J102" s="4" t="s">
        <v>16117</v>
      </c>
      <c r="K102" s="1"/>
      <c r="L102" s="1" t="s">
        <v>6</v>
      </c>
      <c r="M102" s="825"/>
      <c r="N102" s="17"/>
      <c r="O102" s="3" t="s">
        <v>261</v>
      </c>
      <c r="P102" s="21">
        <v>29939</v>
      </c>
      <c r="Q102" s="3" t="s">
        <v>260</v>
      </c>
      <c r="R102" s="3"/>
      <c r="S102" s="3"/>
      <c r="T102" s="3"/>
      <c r="U102" s="2"/>
      <c r="V102" s="2"/>
      <c r="W102" s="2"/>
      <c r="X102" s="2"/>
      <c r="Y102" s="2"/>
      <c r="Z102" s="2"/>
      <c r="AA102" s="2"/>
      <c r="AB102" s="2"/>
      <c r="AC102" s="2"/>
      <c r="AD102" s="3"/>
    </row>
    <row r="103" spans="1:30" ht="12" customHeight="1">
      <c r="A103" s="828" t="s">
        <v>16797</v>
      </c>
      <c r="B103" s="3" t="s">
        <v>5223</v>
      </c>
      <c r="C103" s="1" t="s">
        <v>262</v>
      </c>
      <c r="D103" s="5">
        <f t="shared" si="1"/>
        <v>40</v>
      </c>
      <c r="E103" s="2" t="s">
        <v>5</v>
      </c>
      <c r="F103" s="2"/>
      <c r="G103" s="3"/>
      <c r="H103" s="1"/>
      <c r="I103" s="1"/>
      <c r="J103" s="4" t="s">
        <v>16122</v>
      </c>
      <c r="K103" s="1" t="s">
        <v>22</v>
      </c>
      <c r="L103" s="1" t="s">
        <v>6</v>
      </c>
      <c r="M103" s="825"/>
      <c r="N103" s="17"/>
      <c r="O103" s="3" t="s">
        <v>77</v>
      </c>
      <c r="P103" s="20">
        <v>26627</v>
      </c>
      <c r="Q103" s="3" t="s">
        <v>1811</v>
      </c>
      <c r="R103" s="3"/>
      <c r="S103" s="3"/>
      <c r="T103" s="3"/>
      <c r="U103" s="2"/>
      <c r="V103" s="2"/>
      <c r="W103" s="2"/>
      <c r="X103" s="2"/>
      <c r="Y103" s="2"/>
      <c r="Z103" s="2"/>
      <c r="AA103" s="2"/>
      <c r="AB103" s="2"/>
      <c r="AC103" s="2"/>
      <c r="AD103" s="3"/>
    </row>
    <row r="104" spans="1:30" ht="12" customHeight="1">
      <c r="A104" s="828" t="s">
        <v>16798</v>
      </c>
      <c r="B104" s="3" t="s">
        <v>263</v>
      </c>
      <c r="C104" s="5" t="s">
        <v>846</v>
      </c>
      <c r="D104" s="5">
        <f t="shared" si="1"/>
        <v>50</v>
      </c>
      <c r="E104" s="5" t="s">
        <v>5</v>
      </c>
      <c r="F104" s="6" t="s">
        <v>15273</v>
      </c>
      <c r="G104" s="7" t="s">
        <v>1341</v>
      </c>
      <c r="H104" s="5"/>
      <c r="I104" s="19"/>
      <c r="J104" s="8" t="s">
        <v>16127</v>
      </c>
      <c r="K104" s="5" t="s">
        <v>24</v>
      </c>
      <c r="L104" s="5" t="s">
        <v>25</v>
      </c>
      <c r="M104" s="5">
        <v>5</v>
      </c>
      <c r="N104" s="10">
        <v>5</v>
      </c>
      <c r="O104" s="7" t="s">
        <v>188</v>
      </c>
      <c r="P104" s="11">
        <v>22663</v>
      </c>
      <c r="Q104" s="7" t="s">
        <v>1050</v>
      </c>
      <c r="R104" s="7" t="s">
        <v>829</v>
      </c>
      <c r="S104" s="7" t="s">
        <v>736</v>
      </c>
      <c r="T104" s="7" t="s">
        <v>155</v>
      </c>
      <c r="U104" s="2"/>
      <c r="V104" s="2"/>
      <c r="W104" s="2"/>
      <c r="X104" s="2"/>
      <c r="Y104" s="2" t="s">
        <v>155</v>
      </c>
      <c r="Z104" s="2"/>
      <c r="AA104" s="2"/>
      <c r="AB104" s="2"/>
      <c r="AC104" s="2"/>
      <c r="AD104" s="3"/>
    </row>
    <row r="105" spans="1:30" ht="12" customHeight="1">
      <c r="A105" s="828" t="s">
        <v>16799</v>
      </c>
      <c r="B105" s="3" t="s">
        <v>264</v>
      </c>
      <c r="C105" s="1" t="s">
        <v>266</v>
      </c>
      <c r="D105" s="5">
        <f t="shared" si="1"/>
        <v>36</v>
      </c>
      <c r="E105" s="2" t="s">
        <v>19</v>
      </c>
      <c r="F105" s="2" t="s">
        <v>15273</v>
      </c>
      <c r="G105" s="3"/>
      <c r="H105" s="1"/>
      <c r="I105" s="1"/>
      <c r="J105" s="4" t="s">
        <v>16120</v>
      </c>
      <c r="K105" s="1" t="s">
        <v>30</v>
      </c>
      <c r="L105" s="1" t="s">
        <v>6</v>
      </c>
      <c r="M105" s="825"/>
      <c r="N105" s="17"/>
      <c r="O105" s="3" t="s">
        <v>267</v>
      </c>
      <c r="P105" s="20">
        <v>27968</v>
      </c>
      <c r="Q105" s="3" t="s">
        <v>268</v>
      </c>
      <c r="R105" s="3"/>
      <c r="S105" s="3"/>
      <c r="T105" s="3" t="s">
        <v>155</v>
      </c>
      <c r="U105" s="2"/>
      <c r="V105" s="2"/>
      <c r="W105" s="2"/>
      <c r="X105" s="2"/>
      <c r="Y105" s="2" t="s">
        <v>155</v>
      </c>
      <c r="Z105" s="2"/>
      <c r="AA105" s="2"/>
      <c r="AB105" s="2"/>
      <c r="AC105" s="2"/>
      <c r="AD105" s="2"/>
    </row>
    <row r="106" spans="1:30" ht="12" customHeight="1">
      <c r="A106" s="828" t="s">
        <v>16800</v>
      </c>
      <c r="B106" s="3" t="s">
        <v>265</v>
      </c>
      <c r="C106" s="1" t="s">
        <v>6165</v>
      </c>
      <c r="D106" s="5">
        <f t="shared" si="1"/>
        <v>49</v>
      </c>
      <c r="E106" s="2" t="s">
        <v>19</v>
      </c>
      <c r="F106" s="2" t="s">
        <v>15273</v>
      </c>
      <c r="G106" s="3"/>
      <c r="H106" s="1"/>
      <c r="I106" s="1"/>
      <c r="J106" s="4" t="s">
        <v>16125</v>
      </c>
      <c r="K106" s="1"/>
      <c r="L106" s="1" t="s">
        <v>6</v>
      </c>
      <c r="M106" s="825"/>
      <c r="N106" s="17"/>
      <c r="O106" s="3" t="s">
        <v>267</v>
      </c>
      <c r="P106" s="20">
        <v>23012</v>
      </c>
      <c r="Q106" s="3" t="s">
        <v>16408</v>
      </c>
      <c r="R106" s="3"/>
      <c r="S106" s="3" t="s">
        <v>5561</v>
      </c>
      <c r="T106" s="3"/>
      <c r="U106" s="2"/>
      <c r="V106" s="2"/>
      <c r="W106" s="2"/>
      <c r="X106" s="2"/>
      <c r="Y106" s="2"/>
      <c r="Z106" s="2"/>
      <c r="AA106" s="2"/>
      <c r="AB106" s="2"/>
      <c r="AC106" s="2"/>
      <c r="AD106" s="2"/>
    </row>
    <row r="107" spans="1:30" ht="12" customHeight="1">
      <c r="A107" s="828" t="s">
        <v>16801</v>
      </c>
      <c r="B107" s="3" t="s">
        <v>6164</v>
      </c>
      <c r="C107" s="1" t="s">
        <v>269</v>
      </c>
      <c r="D107" s="5">
        <f t="shared" si="1"/>
        <v>59</v>
      </c>
      <c r="E107" s="2" t="s">
        <v>5</v>
      </c>
      <c r="F107" s="2"/>
      <c r="G107" s="3"/>
      <c r="H107" s="1"/>
      <c r="I107" s="1"/>
      <c r="J107" s="4" t="s">
        <v>16117</v>
      </c>
      <c r="K107" s="1"/>
      <c r="L107" s="1" t="s">
        <v>6</v>
      </c>
      <c r="M107" s="825"/>
      <c r="N107" s="17"/>
      <c r="O107" s="3" t="s">
        <v>271</v>
      </c>
      <c r="P107" s="21">
        <v>19463</v>
      </c>
      <c r="Q107" s="3" t="s">
        <v>16098</v>
      </c>
      <c r="R107" s="3"/>
      <c r="S107" s="3"/>
      <c r="T107" s="3"/>
      <c r="U107" s="2"/>
      <c r="V107" s="2"/>
      <c r="W107" s="2"/>
      <c r="X107" s="2"/>
      <c r="Y107" s="2"/>
      <c r="Z107" s="2"/>
      <c r="AA107" s="2"/>
      <c r="AB107" s="2"/>
      <c r="AC107" s="2"/>
      <c r="AD107" s="2"/>
    </row>
    <row r="108" spans="1:30" ht="12" customHeight="1">
      <c r="A108" s="828" t="s">
        <v>16802</v>
      </c>
      <c r="B108" s="3" t="s">
        <v>15960</v>
      </c>
      <c r="C108" s="1" t="s">
        <v>15961</v>
      </c>
      <c r="D108" s="5">
        <f t="shared" si="1"/>
        <v>53</v>
      </c>
      <c r="E108" s="2" t="s">
        <v>5</v>
      </c>
      <c r="F108" s="2"/>
      <c r="G108" s="3"/>
      <c r="H108" s="1"/>
      <c r="I108" s="1"/>
      <c r="J108" s="4" t="s">
        <v>16129</v>
      </c>
      <c r="K108" s="1"/>
      <c r="L108" s="1" t="s">
        <v>6</v>
      </c>
      <c r="M108" s="825"/>
      <c r="N108" s="17"/>
      <c r="O108" s="3" t="s">
        <v>15962</v>
      </c>
      <c r="P108" s="21">
        <v>21556</v>
      </c>
      <c r="Q108" s="3" t="s">
        <v>15963</v>
      </c>
      <c r="R108" s="3"/>
      <c r="S108" s="3"/>
      <c r="T108" s="3"/>
      <c r="U108" s="2"/>
      <c r="V108" s="2"/>
      <c r="W108" s="2"/>
      <c r="X108" s="2"/>
      <c r="Y108" s="2"/>
      <c r="Z108" s="2"/>
      <c r="AA108" s="2"/>
      <c r="AB108" s="2"/>
      <c r="AC108" s="2"/>
      <c r="AD108" s="2"/>
    </row>
    <row r="109" spans="1:30" ht="12" customHeight="1">
      <c r="A109" s="828" t="s">
        <v>16803</v>
      </c>
      <c r="B109" s="3" t="s">
        <v>272</v>
      </c>
      <c r="C109" s="1" t="s">
        <v>275</v>
      </c>
      <c r="D109" s="5">
        <f t="shared" si="1"/>
        <v>47</v>
      </c>
      <c r="E109" s="2" t="s">
        <v>19</v>
      </c>
      <c r="F109" s="6" t="s">
        <v>15273</v>
      </c>
      <c r="G109" s="3"/>
      <c r="H109" s="1"/>
      <c r="I109" s="1"/>
      <c r="J109" s="8" t="s">
        <v>16127</v>
      </c>
      <c r="K109" s="1" t="s">
        <v>276</v>
      </c>
      <c r="L109" s="1" t="s">
        <v>14</v>
      </c>
      <c r="M109" s="825">
        <v>2</v>
      </c>
      <c r="N109" s="17">
        <v>2</v>
      </c>
      <c r="O109" s="3" t="s">
        <v>277</v>
      </c>
      <c r="P109" s="20">
        <v>23750</v>
      </c>
      <c r="Q109" s="3" t="s">
        <v>233</v>
      </c>
      <c r="R109" s="3"/>
      <c r="S109" s="3" t="s">
        <v>736</v>
      </c>
      <c r="T109" s="3" t="s">
        <v>145</v>
      </c>
      <c r="U109" s="2"/>
      <c r="V109" s="2" t="s">
        <v>145</v>
      </c>
      <c r="W109" s="2"/>
      <c r="X109" s="2"/>
      <c r="Y109" s="2"/>
      <c r="Z109" s="2"/>
      <c r="AA109" s="2"/>
      <c r="AB109" s="2"/>
      <c r="AC109" s="2"/>
      <c r="AD109" s="2"/>
    </row>
    <row r="110" spans="1:30" ht="12" customHeight="1">
      <c r="A110" s="828" t="s">
        <v>16804</v>
      </c>
      <c r="B110" s="3" t="s">
        <v>273</v>
      </c>
      <c r="C110" s="5" t="s">
        <v>892</v>
      </c>
      <c r="D110" s="5">
        <f t="shared" si="1"/>
        <v>52</v>
      </c>
      <c r="E110" s="5" t="s">
        <v>5</v>
      </c>
      <c r="F110" s="6" t="s">
        <v>15273</v>
      </c>
      <c r="G110" s="7" t="s">
        <v>1342</v>
      </c>
      <c r="H110" s="5"/>
      <c r="I110" s="19"/>
      <c r="J110" s="8" t="s">
        <v>16120</v>
      </c>
      <c r="K110" s="5" t="s">
        <v>476</v>
      </c>
      <c r="L110" s="5" t="s">
        <v>25</v>
      </c>
      <c r="M110" s="5">
        <v>4</v>
      </c>
      <c r="N110" s="10">
        <v>4</v>
      </c>
      <c r="O110" s="7" t="s">
        <v>462</v>
      </c>
      <c r="P110" s="11">
        <v>22041</v>
      </c>
      <c r="Q110" s="7" t="s">
        <v>778</v>
      </c>
      <c r="R110" s="7" t="s">
        <v>2529</v>
      </c>
      <c r="S110" s="7" t="s">
        <v>5457</v>
      </c>
      <c r="T110" s="7" t="s">
        <v>146</v>
      </c>
      <c r="U110" s="2"/>
      <c r="V110" s="2"/>
      <c r="W110" s="2"/>
      <c r="X110" s="2"/>
      <c r="Y110" s="2"/>
      <c r="Z110" s="2"/>
      <c r="AA110" s="2"/>
      <c r="AB110" s="2"/>
      <c r="AC110" s="2" t="s">
        <v>146</v>
      </c>
      <c r="AD110" s="2"/>
    </row>
    <row r="111" spans="1:30" ht="12" customHeight="1">
      <c r="A111" s="828" t="s">
        <v>16805</v>
      </c>
      <c r="B111" s="3" t="s">
        <v>274</v>
      </c>
      <c r="C111" s="1" t="s">
        <v>5342</v>
      </c>
      <c r="D111" s="5">
        <f t="shared" si="1"/>
        <v>29</v>
      </c>
      <c r="E111" s="2" t="s">
        <v>5</v>
      </c>
      <c r="F111" s="2"/>
      <c r="G111" s="3"/>
      <c r="H111" s="1"/>
      <c r="I111" s="1"/>
      <c r="J111" s="4" t="s">
        <v>16117</v>
      </c>
      <c r="K111" s="1"/>
      <c r="L111" s="1" t="s">
        <v>6</v>
      </c>
      <c r="M111" s="825"/>
      <c r="N111" s="17"/>
      <c r="O111" s="3" t="s">
        <v>463</v>
      </c>
      <c r="P111" s="20">
        <v>30575</v>
      </c>
      <c r="Q111" s="3" t="s">
        <v>259</v>
      </c>
      <c r="R111" s="3"/>
      <c r="S111" s="3"/>
      <c r="T111" s="3"/>
      <c r="U111" s="2"/>
      <c r="V111" s="2"/>
      <c r="W111" s="2"/>
      <c r="X111" s="2"/>
      <c r="Y111" s="2"/>
      <c r="Z111" s="2"/>
      <c r="AA111" s="2"/>
      <c r="AB111" s="2"/>
      <c r="AC111" s="2"/>
      <c r="AD111" s="2"/>
    </row>
    <row r="112" spans="1:30" ht="12" customHeight="1">
      <c r="A112" s="828" t="s">
        <v>16806</v>
      </c>
      <c r="B112" s="3" t="s">
        <v>278</v>
      </c>
      <c r="C112" s="5" t="s">
        <v>882</v>
      </c>
      <c r="D112" s="5">
        <f t="shared" si="1"/>
        <v>36</v>
      </c>
      <c r="E112" s="5" t="s">
        <v>5</v>
      </c>
      <c r="F112" s="6" t="s">
        <v>15273</v>
      </c>
      <c r="G112" s="7" t="s">
        <v>1343</v>
      </c>
      <c r="H112" s="5"/>
      <c r="I112" s="19"/>
      <c r="J112" s="8" t="s">
        <v>16126</v>
      </c>
      <c r="K112" s="5" t="s">
        <v>44</v>
      </c>
      <c r="L112" s="5" t="s">
        <v>25</v>
      </c>
      <c r="M112" s="5">
        <v>3</v>
      </c>
      <c r="N112" s="10">
        <v>3</v>
      </c>
      <c r="O112" s="7" t="s">
        <v>381</v>
      </c>
      <c r="P112" s="11">
        <v>28023</v>
      </c>
      <c r="Q112" s="7" t="s">
        <v>743</v>
      </c>
      <c r="R112" s="7" t="s">
        <v>837</v>
      </c>
      <c r="S112" s="7"/>
      <c r="T112" s="3"/>
      <c r="U112" s="2"/>
      <c r="V112" s="2"/>
      <c r="W112" s="2"/>
      <c r="X112" s="2"/>
      <c r="Y112" s="2"/>
      <c r="Z112" s="2"/>
      <c r="AA112" s="2"/>
      <c r="AB112" s="2"/>
      <c r="AC112" s="2"/>
      <c r="AD112" s="2"/>
    </row>
    <row r="113" spans="1:30" ht="12" customHeight="1">
      <c r="A113" s="828" t="s">
        <v>16807</v>
      </c>
      <c r="B113" s="3" t="s">
        <v>279</v>
      </c>
      <c r="C113" s="1" t="s">
        <v>281</v>
      </c>
      <c r="D113" s="5">
        <f t="shared" si="1"/>
        <v>57</v>
      </c>
      <c r="E113" s="2" t="s">
        <v>5</v>
      </c>
      <c r="F113" s="2" t="s">
        <v>15273</v>
      </c>
      <c r="G113" s="3"/>
      <c r="H113" s="1"/>
      <c r="I113" s="1"/>
      <c r="J113" s="4" t="s">
        <v>16120</v>
      </c>
      <c r="K113" s="1" t="s">
        <v>30</v>
      </c>
      <c r="L113" s="1" t="s">
        <v>6</v>
      </c>
      <c r="M113" s="825"/>
      <c r="N113" s="17"/>
      <c r="O113" s="3" t="s">
        <v>283</v>
      </c>
      <c r="P113" s="20">
        <v>20206</v>
      </c>
      <c r="Q113" s="3" t="s">
        <v>282</v>
      </c>
      <c r="R113" s="3"/>
      <c r="S113" s="3" t="s">
        <v>5457</v>
      </c>
      <c r="T113" s="3" t="s">
        <v>145</v>
      </c>
      <c r="U113" s="2"/>
      <c r="V113" s="2" t="s">
        <v>145</v>
      </c>
      <c r="W113" s="2"/>
      <c r="X113" s="2"/>
      <c r="Y113" s="2"/>
      <c r="Z113" s="2"/>
      <c r="AA113" s="2"/>
      <c r="AB113" s="2"/>
      <c r="AC113" s="2"/>
      <c r="AD113" s="2"/>
    </row>
    <row r="114" spans="1:30" ht="12" customHeight="1">
      <c r="A114" s="828" t="s">
        <v>16808</v>
      </c>
      <c r="B114" s="3" t="s">
        <v>280</v>
      </c>
      <c r="C114" s="1" t="s">
        <v>1372</v>
      </c>
      <c r="D114" s="5">
        <f t="shared" si="1"/>
        <v>70</v>
      </c>
      <c r="E114" s="2" t="s">
        <v>5</v>
      </c>
      <c r="F114" s="2" t="s">
        <v>15273</v>
      </c>
      <c r="G114" s="3" t="s">
        <v>1373</v>
      </c>
      <c r="H114" s="1"/>
      <c r="I114" s="1"/>
      <c r="J114" s="4" t="s">
        <v>16125</v>
      </c>
      <c r="K114" s="1"/>
      <c r="L114" s="1" t="s">
        <v>25</v>
      </c>
      <c r="M114" s="825">
        <v>1</v>
      </c>
      <c r="N114" s="17">
        <v>1</v>
      </c>
      <c r="O114" s="3" t="s">
        <v>1374</v>
      </c>
      <c r="P114" s="20">
        <v>15441</v>
      </c>
      <c r="Q114" s="3" t="s">
        <v>1375</v>
      </c>
      <c r="R114" s="3"/>
      <c r="S114" s="3" t="s">
        <v>5561</v>
      </c>
      <c r="T114" s="3" t="s">
        <v>145</v>
      </c>
      <c r="U114" s="2"/>
      <c r="V114" s="2" t="s">
        <v>145</v>
      </c>
      <c r="W114" s="2"/>
      <c r="X114" s="2"/>
      <c r="Y114" s="2"/>
      <c r="Z114" s="2"/>
      <c r="AA114" s="2"/>
      <c r="AB114" s="2"/>
      <c r="AC114" s="2"/>
      <c r="AD114" s="2"/>
    </row>
    <row r="115" spans="1:30" ht="12" customHeight="1">
      <c r="A115" s="828" t="s">
        <v>16809</v>
      </c>
      <c r="B115" s="3" t="s">
        <v>1371</v>
      </c>
      <c r="C115" s="1" t="s">
        <v>5976</v>
      </c>
      <c r="D115" s="5">
        <f t="shared" si="1"/>
        <v>63</v>
      </c>
      <c r="E115" s="2" t="s">
        <v>5</v>
      </c>
      <c r="F115" s="2" t="s">
        <v>15273</v>
      </c>
      <c r="G115" s="3"/>
      <c r="H115" s="1"/>
      <c r="I115" s="1"/>
      <c r="J115" s="4" t="s">
        <v>16116</v>
      </c>
      <c r="K115" s="1" t="s">
        <v>276</v>
      </c>
      <c r="L115" s="1" t="s">
        <v>14</v>
      </c>
      <c r="M115" s="825">
        <v>1</v>
      </c>
      <c r="N115" s="17">
        <v>1</v>
      </c>
      <c r="O115" s="3" t="s">
        <v>381</v>
      </c>
      <c r="P115" s="20">
        <v>18186</v>
      </c>
      <c r="Q115" s="3" t="s">
        <v>5977</v>
      </c>
      <c r="R115" s="3"/>
      <c r="S115" s="3"/>
      <c r="T115" s="3"/>
      <c r="U115" s="2"/>
      <c r="V115" s="2"/>
      <c r="W115" s="2"/>
      <c r="X115" s="2"/>
      <c r="Y115" s="2"/>
      <c r="Z115" s="2"/>
      <c r="AA115" s="2"/>
      <c r="AB115" s="2"/>
      <c r="AC115" s="2"/>
      <c r="AD115" s="2"/>
    </row>
    <row r="116" spans="1:30" ht="12" customHeight="1">
      <c r="A116" s="828" t="s">
        <v>16810</v>
      </c>
      <c r="B116" s="3" t="s">
        <v>5975</v>
      </c>
      <c r="C116" s="1" t="s">
        <v>284</v>
      </c>
      <c r="D116" s="5">
        <f t="shared" si="1"/>
        <v>62</v>
      </c>
      <c r="E116" s="2" t="s">
        <v>5</v>
      </c>
      <c r="F116" s="2"/>
      <c r="G116" s="3"/>
      <c r="H116" s="1"/>
      <c r="I116" s="1"/>
      <c r="J116" s="4" t="s">
        <v>16117</v>
      </c>
      <c r="K116" s="1"/>
      <c r="L116" s="1" t="s">
        <v>6</v>
      </c>
      <c r="M116" s="825"/>
      <c r="N116" s="17"/>
      <c r="O116" s="3" t="s">
        <v>285</v>
      </c>
      <c r="P116" s="21">
        <v>18496</v>
      </c>
      <c r="Q116" s="3" t="s">
        <v>286</v>
      </c>
      <c r="R116" s="3"/>
      <c r="S116" s="3"/>
      <c r="T116" s="3" t="s">
        <v>69</v>
      </c>
      <c r="U116" s="2"/>
      <c r="V116" s="2"/>
      <c r="W116" s="2"/>
      <c r="X116" s="2"/>
      <c r="Y116" s="2"/>
      <c r="Z116" s="2"/>
      <c r="AA116" s="2"/>
      <c r="AB116" s="2"/>
      <c r="AC116" s="2"/>
      <c r="AD116" s="2" t="s">
        <v>69</v>
      </c>
    </row>
    <row r="117" spans="1:30" ht="12" customHeight="1">
      <c r="A117" s="828" t="s">
        <v>16811</v>
      </c>
      <c r="B117" s="3" t="s">
        <v>287</v>
      </c>
      <c r="C117" s="5" t="s">
        <v>907</v>
      </c>
      <c r="D117" s="5">
        <f t="shared" si="1"/>
        <v>65</v>
      </c>
      <c r="E117" s="5" t="s">
        <v>5</v>
      </c>
      <c r="F117" s="6" t="s">
        <v>15273</v>
      </c>
      <c r="G117" s="7" t="s">
        <v>1344</v>
      </c>
      <c r="H117" s="5"/>
      <c r="I117" s="19"/>
      <c r="J117" s="8" t="s">
        <v>16127</v>
      </c>
      <c r="K117" s="5" t="s">
        <v>44</v>
      </c>
      <c r="L117" s="5" t="s">
        <v>25</v>
      </c>
      <c r="M117" s="5">
        <v>1</v>
      </c>
      <c r="N117" s="10">
        <v>1</v>
      </c>
      <c r="O117" s="7" t="s">
        <v>95</v>
      </c>
      <c r="P117" s="11">
        <v>17383</v>
      </c>
      <c r="Q117" s="12" t="s">
        <v>770</v>
      </c>
      <c r="R117" s="7"/>
      <c r="S117" s="7" t="s">
        <v>736</v>
      </c>
      <c r="T117" s="7" t="s">
        <v>371</v>
      </c>
      <c r="U117" s="2"/>
      <c r="V117" s="2" t="s">
        <v>145</v>
      </c>
      <c r="W117" s="2" t="s">
        <v>75</v>
      </c>
      <c r="X117" s="2"/>
      <c r="Y117" s="2"/>
      <c r="Z117" s="2"/>
      <c r="AA117" s="2"/>
      <c r="AB117" s="2"/>
      <c r="AC117" s="2"/>
      <c r="AD117" s="2"/>
    </row>
    <row r="118" spans="1:30" ht="12" customHeight="1">
      <c r="A118" s="828" t="s">
        <v>16812</v>
      </c>
      <c r="B118" s="3" t="s">
        <v>288</v>
      </c>
      <c r="C118" s="6" t="s">
        <v>865</v>
      </c>
      <c r="D118" s="5">
        <f t="shared" si="1"/>
        <v>63</v>
      </c>
      <c r="E118" s="5" t="s">
        <v>5</v>
      </c>
      <c r="F118" s="6" t="s">
        <v>15273</v>
      </c>
      <c r="G118" s="7" t="s">
        <v>1315</v>
      </c>
      <c r="H118" s="5"/>
      <c r="I118" s="19"/>
      <c r="J118" s="4" t="s">
        <v>16120</v>
      </c>
      <c r="K118" s="5" t="s">
        <v>13</v>
      </c>
      <c r="L118" s="5" t="s">
        <v>25</v>
      </c>
      <c r="M118" s="5">
        <v>1</v>
      </c>
      <c r="N118" s="10">
        <v>5</v>
      </c>
      <c r="O118" s="7" t="s">
        <v>447</v>
      </c>
      <c r="P118" s="11">
        <v>18175</v>
      </c>
      <c r="Q118" s="7" t="s">
        <v>780</v>
      </c>
      <c r="R118" s="7" t="s">
        <v>806</v>
      </c>
      <c r="S118" s="7" t="s">
        <v>5457</v>
      </c>
      <c r="T118" s="7" t="s">
        <v>632</v>
      </c>
      <c r="U118" s="2" t="s">
        <v>47</v>
      </c>
      <c r="V118" s="2"/>
      <c r="W118" s="2"/>
      <c r="X118" s="2" t="s">
        <v>229</v>
      </c>
      <c r="Y118" s="2"/>
      <c r="Z118" s="2"/>
      <c r="AA118" s="2"/>
      <c r="AB118" s="2"/>
      <c r="AC118" s="2"/>
      <c r="AD118" s="2"/>
    </row>
    <row r="119" spans="1:30" ht="12" customHeight="1">
      <c r="A119" s="828" t="s">
        <v>16813</v>
      </c>
      <c r="B119" s="3" t="s">
        <v>289</v>
      </c>
      <c r="C119" s="1" t="s">
        <v>292</v>
      </c>
      <c r="D119" s="5">
        <f t="shared" si="1"/>
        <v>57</v>
      </c>
      <c r="E119" s="2" t="s">
        <v>5</v>
      </c>
      <c r="F119" s="2"/>
      <c r="G119" s="3"/>
      <c r="H119" s="1"/>
      <c r="I119" s="1"/>
      <c r="J119" s="4" t="s">
        <v>16117</v>
      </c>
      <c r="K119" s="1"/>
      <c r="L119" s="1" t="s">
        <v>6</v>
      </c>
      <c r="M119" s="825"/>
      <c r="N119" s="17"/>
      <c r="O119" s="3" t="s">
        <v>293</v>
      </c>
      <c r="P119" s="21">
        <v>20122</v>
      </c>
      <c r="Q119" s="3" t="s">
        <v>294</v>
      </c>
      <c r="R119" s="3"/>
      <c r="S119" s="3"/>
      <c r="T119" s="3"/>
      <c r="U119" s="2"/>
      <c r="V119" s="2"/>
      <c r="W119" s="2"/>
      <c r="X119" s="2"/>
      <c r="Y119" s="2"/>
      <c r="Z119" s="2"/>
      <c r="AA119" s="2"/>
      <c r="AB119" s="2"/>
      <c r="AC119" s="2"/>
      <c r="AD119" s="2"/>
    </row>
    <row r="120" spans="1:30" ht="12" customHeight="1">
      <c r="A120" s="828" t="s">
        <v>16814</v>
      </c>
      <c r="B120" s="3" t="s">
        <v>290</v>
      </c>
      <c r="C120" s="1" t="s">
        <v>295</v>
      </c>
      <c r="D120" s="5">
        <f t="shared" si="1"/>
        <v>65</v>
      </c>
      <c r="E120" s="2" t="s">
        <v>5</v>
      </c>
      <c r="F120" s="2" t="s">
        <v>15273</v>
      </c>
      <c r="G120" s="3"/>
      <c r="H120" s="1"/>
      <c r="I120" s="1"/>
      <c r="J120" s="4" t="s">
        <v>16121</v>
      </c>
      <c r="K120" s="1"/>
      <c r="L120" s="1" t="s">
        <v>6</v>
      </c>
      <c r="M120" s="825"/>
      <c r="N120" s="17"/>
      <c r="O120" s="3" t="s">
        <v>172</v>
      </c>
      <c r="P120" s="20">
        <v>17226</v>
      </c>
      <c r="Q120" s="3" t="s">
        <v>296</v>
      </c>
      <c r="R120" s="3"/>
      <c r="S120" s="3"/>
      <c r="T120" s="3" t="s">
        <v>145</v>
      </c>
      <c r="U120" s="2"/>
      <c r="V120" s="2" t="s">
        <v>145</v>
      </c>
      <c r="W120" s="2"/>
      <c r="X120" s="2"/>
      <c r="Y120" s="2"/>
      <c r="Z120" s="2"/>
      <c r="AA120" s="2"/>
      <c r="AB120" s="2"/>
      <c r="AC120" s="2"/>
      <c r="AD120" s="2"/>
    </row>
    <row r="121" spans="1:30" ht="12" customHeight="1">
      <c r="A121" s="828" t="s">
        <v>16815</v>
      </c>
      <c r="B121" s="3" t="s">
        <v>297</v>
      </c>
      <c r="C121" s="1" t="s">
        <v>1007</v>
      </c>
      <c r="D121" s="5">
        <f t="shared" si="1"/>
        <v>64</v>
      </c>
      <c r="E121" s="2" t="s">
        <v>19</v>
      </c>
      <c r="F121" s="6" t="s">
        <v>15273</v>
      </c>
      <c r="G121" s="3"/>
      <c r="H121" s="1"/>
      <c r="I121" s="1"/>
      <c r="J121" s="8" t="s">
        <v>16127</v>
      </c>
      <c r="K121" s="1" t="s">
        <v>45</v>
      </c>
      <c r="L121" s="1" t="s">
        <v>6</v>
      </c>
      <c r="M121" s="825"/>
      <c r="N121" s="17"/>
      <c r="O121" s="3" t="s">
        <v>302</v>
      </c>
      <c r="P121" s="20">
        <v>17674</v>
      </c>
      <c r="Q121" s="3" t="s">
        <v>1009</v>
      </c>
      <c r="R121" s="3"/>
      <c r="S121" s="3" t="s">
        <v>736</v>
      </c>
      <c r="T121" s="3" t="s">
        <v>145</v>
      </c>
      <c r="U121" s="2"/>
      <c r="V121" s="2" t="s">
        <v>145</v>
      </c>
      <c r="W121" s="2"/>
      <c r="X121" s="2"/>
      <c r="Y121" s="2"/>
      <c r="Z121" s="2"/>
      <c r="AA121" s="2"/>
      <c r="AB121" s="2"/>
      <c r="AC121" s="2"/>
      <c r="AD121" s="2"/>
    </row>
    <row r="122" spans="1:30" ht="12" customHeight="1">
      <c r="A122" s="828" t="s">
        <v>16816</v>
      </c>
      <c r="B122" s="3" t="s">
        <v>298</v>
      </c>
      <c r="C122" s="1" t="s">
        <v>301</v>
      </c>
      <c r="D122" s="5">
        <f t="shared" si="1"/>
        <v>48</v>
      </c>
      <c r="E122" s="2" t="s">
        <v>5</v>
      </c>
      <c r="F122" s="2" t="s">
        <v>15273</v>
      </c>
      <c r="G122" s="3"/>
      <c r="H122" s="1"/>
      <c r="I122" s="1"/>
      <c r="J122" s="8" t="s">
        <v>16120</v>
      </c>
      <c r="K122" s="1" t="s">
        <v>30</v>
      </c>
      <c r="L122" s="1" t="s">
        <v>14</v>
      </c>
      <c r="M122" s="825">
        <v>2</v>
      </c>
      <c r="N122" s="17">
        <v>2</v>
      </c>
      <c r="O122" s="3" t="s">
        <v>302</v>
      </c>
      <c r="P122" s="20">
        <v>23522</v>
      </c>
      <c r="Q122" s="3" t="s">
        <v>303</v>
      </c>
      <c r="R122" s="3" t="s">
        <v>304</v>
      </c>
      <c r="S122" s="3"/>
      <c r="T122" s="3" t="s">
        <v>104</v>
      </c>
      <c r="U122" s="2"/>
      <c r="V122" s="2"/>
      <c r="W122" s="2"/>
      <c r="X122" s="2"/>
      <c r="Y122" s="2"/>
      <c r="Z122" s="2"/>
      <c r="AA122" s="2" t="s">
        <v>104</v>
      </c>
      <c r="AB122" s="2"/>
      <c r="AC122" s="2"/>
      <c r="AD122" s="2"/>
    </row>
    <row r="123" spans="1:30" ht="12" customHeight="1">
      <c r="A123" s="828" t="s">
        <v>16817</v>
      </c>
      <c r="B123" s="3" t="s">
        <v>299</v>
      </c>
      <c r="C123" s="5" t="s">
        <v>862</v>
      </c>
      <c r="D123" s="5">
        <f t="shared" si="1"/>
        <v>62</v>
      </c>
      <c r="E123" s="5" t="s">
        <v>19</v>
      </c>
      <c r="F123" s="2" t="s">
        <v>15273</v>
      </c>
      <c r="G123" s="7" t="s">
        <v>1345</v>
      </c>
      <c r="H123" s="5"/>
      <c r="I123" s="19"/>
      <c r="J123" s="4" t="s">
        <v>16125</v>
      </c>
      <c r="K123" s="5"/>
      <c r="L123" s="5" t="s">
        <v>25</v>
      </c>
      <c r="M123" s="5">
        <v>1</v>
      </c>
      <c r="N123" s="10">
        <v>1</v>
      </c>
      <c r="O123" s="7" t="s">
        <v>467</v>
      </c>
      <c r="P123" s="11">
        <v>18257</v>
      </c>
      <c r="Q123" s="7" t="s">
        <v>771</v>
      </c>
      <c r="R123" s="3"/>
      <c r="S123" s="3" t="s">
        <v>5561</v>
      </c>
      <c r="T123" s="3" t="s">
        <v>145</v>
      </c>
      <c r="U123" s="2"/>
      <c r="V123" s="2" t="s">
        <v>145</v>
      </c>
      <c r="W123" s="2"/>
      <c r="X123" s="2"/>
      <c r="Y123" s="2"/>
      <c r="Z123" s="2"/>
      <c r="AA123" s="2"/>
      <c r="AB123" s="2"/>
      <c r="AC123" s="2"/>
      <c r="AD123" s="2"/>
    </row>
    <row r="124" spans="1:30" ht="12" customHeight="1">
      <c r="A124" s="828" t="s">
        <v>16818</v>
      </c>
      <c r="B124" s="3" t="s">
        <v>300</v>
      </c>
      <c r="C124" s="1" t="s">
        <v>4586</v>
      </c>
      <c r="D124" s="5">
        <f t="shared" si="1"/>
        <v>52</v>
      </c>
      <c r="E124" s="2" t="s">
        <v>5</v>
      </c>
      <c r="F124" s="2" t="s">
        <v>15273</v>
      </c>
      <c r="G124" s="3"/>
      <c r="H124" s="1"/>
      <c r="I124" s="1"/>
      <c r="J124" s="4" t="s">
        <v>16116</v>
      </c>
      <c r="K124" s="1" t="s">
        <v>4993</v>
      </c>
      <c r="L124" s="1" t="s">
        <v>6</v>
      </c>
      <c r="M124" s="825"/>
      <c r="N124" s="17"/>
      <c r="O124" s="3" t="s">
        <v>172</v>
      </c>
      <c r="P124" s="20">
        <v>22122</v>
      </c>
      <c r="Q124" s="3" t="s">
        <v>4587</v>
      </c>
      <c r="R124" s="3"/>
      <c r="S124" s="3"/>
      <c r="T124" s="3" t="s">
        <v>104</v>
      </c>
      <c r="U124" s="2"/>
      <c r="V124" s="2"/>
      <c r="W124" s="2"/>
      <c r="X124" s="2"/>
      <c r="Y124" s="2"/>
      <c r="Z124" s="2"/>
      <c r="AA124" s="2" t="s">
        <v>104</v>
      </c>
      <c r="AB124" s="2"/>
      <c r="AC124" s="2"/>
      <c r="AD124" s="2"/>
    </row>
    <row r="125" spans="1:30" ht="12" customHeight="1">
      <c r="A125" s="828" t="s">
        <v>16819</v>
      </c>
      <c r="B125" s="3" t="s">
        <v>4585</v>
      </c>
      <c r="C125" s="1" t="s">
        <v>305</v>
      </c>
      <c r="D125" s="5">
        <f t="shared" si="1"/>
        <v>68</v>
      </c>
      <c r="E125" s="2" t="s">
        <v>5</v>
      </c>
      <c r="F125" s="2"/>
      <c r="G125" s="3"/>
      <c r="H125" s="1"/>
      <c r="I125" s="1"/>
      <c r="J125" s="4" t="s">
        <v>16117</v>
      </c>
      <c r="K125" s="1"/>
      <c r="L125" s="1" t="s">
        <v>6</v>
      </c>
      <c r="M125" s="825"/>
      <c r="N125" s="17"/>
      <c r="O125" s="3" t="s">
        <v>306</v>
      </c>
      <c r="P125" s="20">
        <v>16099</v>
      </c>
      <c r="Q125" s="3" t="s">
        <v>307</v>
      </c>
      <c r="R125" s="3"/>
      <c r="S125" s="3"/>
      <c r="T125" s="3" t="s">
        <v>69</v>
      </c>
      <c r="U125" s="2"/>
      <c r="V125" s="2"/>
      <c r="W125" s="2"/>
      <c r="X125" s="2"/>
      <c r="Y125" s="2"/>
      <c r="Z125" s="2"/>
      <c r="AA125" s="2"/>
      <c r="AB125" s="2"/>
      <c r="AC125" s="2"/>
      <c r="AD125" s="2" t="s">
        <v>69</v>
      </c>
    </row>
    <row r="126" spans="1:30" ht="12" customHeight="1">
      <c r="A126" s="828" t="s">
        <v>16820</v>
      </c>
      <c r="B126" s="3" t="s">
        <v>308</v>
      </c>
      <c r="C126" s="5" t="s">
        <v>883</v>
      </c>
      <c r="D126" s="5">
        <f t="shared" si="1"/>
        <v>70</v>
      </c>
      <c r="E126" s="5" t="s">
        <v>5</v>
      </c>
      <c r="F126" s="6" t="s">
        <v>15273</v>
      </c>
      <c r="G126" s="7" t="s">
        <v>1346</v>
      </c>
      <c r="H126" s="5"/>
      <c r="I126" s="19"/>
      <c r="J126" s="8" t="s">
        <v>16126</v>
      </c>
      <c r="K126" s="5" t="s">
        <v>604</v>
      </c>
      <c r="L126" s="5" t="s">
        <v>25</v>
      </c>
      <c r="M126" s="5">
        <v>11</v>
      </c>
      <c r="N126" s="10">
        <v>11</v>
      </c>
      <c r="O126" s="7" t="s">
        <v>123</v>
      </c>
      <c r="P126" s="11">
        <v>15365</v>
      </c>
      <c r="Q126" s="7" t="s">
        <v>749</v>
      </c>
      <c r="R126" s="7" t="s">
        <v>832</v>
      </c>
      <c r="S126" s="7" t="s">
        <v>736</v>
      </c>
      <c r="T126" s="7" t="s">
        <v>104</v>
      </c>
      <c r="U126" s="2"/>
      <c r="V126" s="2"/>
      <c r="W126" s="2"/>
      <c r="X126" s="2"/>
      <c r="Y126" s="2"/>
      <c r="Z126" s="2"/>
      <c r="AA126" s="2" t="s">
        <v>104</v>
      </c>
      <c r="AB126" s="2"/>
      <c r="AC126" s="2"/>
      <c r="AD126" s="2"/>
    </row>
    <row r="127" spans="1:30" ht="12" customHeight="1">
      <c r="A127" s="828" t="s">
        <v>16821</v>
      </c>
      <c r="B127" s="3" t="s">
        <v>309</v>
      </c>
      <c r="C127" s="5" t="s">
        <v>850</v>
      </c>
      <c r="D127" s="5">
        <f t="shared" si="1"/>
        <v>62</v>
      </c>
      <c r="E127" s="5" t="s">
        <v>5</v>
      </c>
      <c r="F127" s="6" t="s">
        <v>15273</v>
      </c>
      <c r="G127" s="7" t="s">
        <v>1314</v>
      </c>
      <c r="H127" s="5"/>
      <c r="I127" s="19"/>
      <c r="J127" s="4" t="s">
        <v>16120</v>
      </c>
      <c r="K127" s="5" t="s">
        <v>30</v>
      </c>
      <c r="L127" s="5" t="s">
        <v>25</v>
      </c>
      <c r="M127" s="5">
        <v>5</v>
      </c>
      <c r="N127" s="10">
        <v>5</v>
      </c>
      <c r="O127" s="7" t="s">
        <v>381</v>
      </c>
      <c r="P127" s="11">
        <v>18280</v>
      </c>
      <c r="Q127" s="7" t="s">
        <v>842</v>
      </c>
      <c r="R127" s="7" t="s">
        <v>807</v>
      </c>
      <c r="S127" s="7" t="s">
        <v>5457</v>
      </c>
      <c r="T127" s="3" t="s">
        <v>145</v>
      </c>
      <c r="U127" s="2"/>
      <c r="V127" s="2" t="s">
        <v>145</v>
      </c>
      <c r="W127" s="2"/>
      <c r="X127" s="2"/>
      <c r="Y127" s="2"/>
      <c r="Z127" s="2"/>
      <c r="AA127" s="2"/>
      <c r="AB127" s="2"/>
      <c r="AC127" s="2"/>
      <c r="AD127" s="2"/>
    </row>
    <row r="128" spans="1:30" ht="12" customHeight="1">
      <c r="A128" s="828" t="s">
        <v>16822</v>
      </c>
      <c r="B128" s="3" t="s">
        <v>310</v>
      </c>
      <c r="C128" s="1" t="s">
        <v>16099</v>
      </c>
      <c r="D128" s="5">
        <f t="shared" si="1"/>
        <v>39</v>
      </c>
      <c r="E128" s="2" t="s">
        <v>5</v>
      </c>
      <c r="F128" s="2"/>
      <c r="G128" s="3"/>
      <c r="H128" s="1"/>
      <c r="I128" s="1"/>
      <c r="J128" s="4" t="s">
        <v>16117</v>
      </c>
      <c r="K128" s="1"/>
      <c r="L128" s="1" t="s">
        <v>6</v>
      </c>
      <c r="M128" s="825"/>
      <c r="N128" s="17"/>
      <c r="O128" s="3" t="s">
        <v>311</v>
      </c>
      <c r="P128" s="20">
        <v>27011</v>
      </c>
      <c r="Q128" s="3" t="s">
        <v>16100</v>
      </c>
      <c r="R128" s="3"/>
      <c r="S128" s="3"/>
      <c r="T128" s="3"/>
      <c r="U128" s="2"/>
      <c r="V128" s="2"/>
      <c r="W128" s="2"/>
      <c r="X128" s="2"/>
      <c r="Y128" s="2"/>
      <c r="Z128" s="2"/>
      <c r="AA128" s="2"/>
      <c r="AB128" s="2"/>
      <c r="AC128" s="2"/>
      <c r="AD128" s="2"/>
    </row>
    <row r="129" spans="1:30" ht="12" customHeight="1">
      <c r="A129" s="828" t="s">
        <v>16823</v>
      </c>
      <c r="B129" s="3" t="s">
        <v>312</v>
      </c>
      <c r="C129" s="5" t="s">
        <v>864</v>
      </c>
      <c r="D129" s="5">
        <f t="shared" ref="D129:D192" si="2">DATEDIF(P129,$P$1505,"Y")</f>
        <v>47</v>
      </c>
      <c r="E129" s="5" t="s">
        <v>5</v>
      </c>
      <c r="F129" s="6" t="s">
        <v>15273</v>
      </c>
      <c r="G129" s="7" t="s">
        <v>1347</v>
      </c>
      <c r="H129" s="5"/>
      <c r="I129" s="19"/>
      <c r="J129" s="8" t="s">
        <v>16127</v>
      </c>
      <c r="K129" s="5" t="s">
        <v>44</v>
      </c>
      <c r="L129" s="5" t="s">
        <v>25</v>
      </c>
      <c r="M129" s="5">
        <v>3</v>
      </c>
      <c r="N129" s="10">
        <v>3</v>
      </c>
      <c r="O129" s="7" t="s">
        <v>31</v>
      </c>
      <c r="P129" s="11">
        <v>23881</v>
      </c>
      <c r="Q129" s="7" t="s">
        <v>773</v>
      </c>
      <c r="R129" s="7" t="s">
        <v>822</v>
      </c>
      <c r="S129" s="7" t="s">
        <v>736</v>
      </c>
      <c r="T129" s="7" t="s">
        <v>258</v>
      </c>
      <c r="U129" s="2"/>
      <c r="V129" s="2"/>
      <c r="W129" s="2"/>
      <c r="X129" s="2"/>
      <c r="Y129" s="2" t="s">
        <v>155</v>
      </c>
      <c r="Z129" s="2"/>
      <c r="AA129" s="2" t="s">
        <v>104</v>
      </c>
      <c r="AB129" s="2"/>
      <c r="AC129" s="2"/>
      <c r="AD129" s="2"/>
    </row>
    <row r="130" spans="1:30" ht="12" customHeight="1">
      <c r="A130" s="828" t="s">
        <v>16824</v>
      </c>
      <c r="B130" s="3" t="s">
        <v>313</v>
      </c>
      <c r="C130" s="1" t="s">
        <v>316</v>
      </c>
      <c r="D130" s="5">
        <f t="shared" si="2"/>
        <v>30</v>
      </c>
      <c r="E130" s="2" t="s">
        <v>5</v>
      </c>
      <c r="F130" s="2" t="s">
        <v>15273</v>
      </c>
      <c r="G130" s="3"/>
      <c r="H130" s="1"/>
      <c r="I130" s="1"/>
      <c r="J130" s="4" t="s">
        <v>16120</v>
      </c>
      <c r="K130" s="1" t="s">
        <v>30</v>
      </c>
      <c r="L130" s="1" t="s">
        <v>6</v>
      </c>
      <c r="M130" s="825"/>
      <c r="N130" s="17"/>
      <c r="O130" s="3" t="s">
        <v>317</v>
      </c>
      <c r="P130" s="20">
        <v>29981</v>
      </c>
      <c r="Q130" s="3" t="s">
        <v>318</v>
      </c>
      <c r="R130" s="3"/>
      <c r="S130" s="3" t="s">
        <v>5457</v>
      </c>
      <c r="T130" s="3" t="s">
        <v>47</v>
      </c>
      <c r="U130" s="2" t="s">
        <v>47</v>
      </c>
      <c r="V130" s="2"/>
      <c r="W130" s="2"/>
      <c r="X130" s="2"/>
      <c r="Y130" s="2"/>
      <c r="Z130" s="2"/>
      <c r="AA130" s="2"/>
      <c r="AB130" s="2"/>
      <c r="AC130" s="2"/>
      <c r="AD130" s="2"/>
    </row>
    <row r="131" spans="1:30" ht="12" customHeight="1">
      <c r="A131" s="828" t="s">
        <v>16825</v>
      </c>
      <c r="B131" s="3" t="s">
        <v>314</v>
      </c>
      <c r="C131" s="1" t="s">
        <v>320</v>
      </c>
      <c r="D131" s="5">
        <f t="shared" si="2"/>
        <v>53</v>
      </c>
      <c r="E131" s="2" t="s">
        <v>5</v>
      </c>
      <c r="F131" s="2" t="s">
        <v>15273</v>
      </c>
      <c r="G131" s="3"/>
      <c r="H131" s="1"/>
      <c r="I131" s="1"/>
      <c r="J131" s="4" t="s">
        <v>16116</v>
      </c>
      <c r="K131" s="1" t="s">
        <v>469</v>
      </c>
      <c r="L131" s="1" t="s">
        <v>6</v>
      </c>
      <c r="M131" s="825"/>
      <c r="N131" s="17"/>
      <c r="O131" s="3" t="s">
        <v>321</v>
      </c>
      <c r="P131" s="20">
        <v>21743</v>
      </c>
      <c r="Q131" s="3" t="s">
        <v>322</v>
      </c>
      <c r="R131" s="3"/>
      <c r="S131" s="3"/>
      <c r="T131" s="3" t="s">
        <v>145</v>
      </c>
      <c r="U131" s="2"/>
      <c r="V131" s="2" t="s">
        <v>145</v>
      </c>
      <c r="W131" s="2"/>
      <c r="X131" s="2"/>
      <c r="Y131" s="2"/>
      <c r="Z131" s="2"/>
      <c r="AA131" s="2"/>
      <c r="AB131" s="2"/>
      <c r="AC131" s="2"/>
      <c r="AD131" s="2"/>
    </row>
    <row r="132" spans="1:30" ht="12" customHeight="1">
      <c r="A132" s="828" t="s">
        <v>16826</v>
      </c>
      <c r="B132" s="3" t="s">
        <v>315</v>
      </c>
      <c r="C132" s="1" t="s">
        <v>319</v>
      </c>
      <c r="D132" s="5">
        <f t="shared" si="2"/>
        <v>47</v>
      </c>
      <c r="E132" s="2" t="s">
        <v>5</v>
      </c>
      <c r="F132" s="2"/>
      <c r="G132" s="3"/>
      <c r="H132" s="1"/>
      <c r="I132" s="1"/>
      <c r="J132" s="4" t="s">
        <v>16117</v>
      </c>
      <c r="K132" s="1"/>
      <c r="L132" s="1" t="s">
        <v>6</v>
      </c>
      <c r="M132" s="825"/>
      <c r="N132" s="17"/>
      <c r="O132" s="3" t="s">
        <v>311</v>
      </c>
      <c r="P132" s="20">
        <v>23801</v>
      </c>
      <c r="Q132" s="3" t="s">
        <v>16101</v>
      </c>
      <c r="R132" s="3"/>
      <c r="S132" s="3"/>
      <c r="T132" s="3"/>
      <c r="U132" s="2"/>
      <c r="V132" s="2"/>
      <c r="W132" s="2"/>
      <c r="X132" s="2"/>
      <c r="Y132" s="2"/>
      <c r="Z132" s="2"/>
      <c r="AA132" s="2"/>
      <c r="AB132" s="2"/>
      <c r="AC132" s="2"/>
      <c r="AD132" s="2"/>
    </row>
    <row r="133" spans="1:30" ht="12" customHeight="1">
      <c r="A133" s="828" t="s">
        <v>16827</v>
      </c>
      <c r="B133" s="3" t="s">
        <v>323</v>
      </c>
      <c r="C133" s="5" t="s">
        <v>854</v>
      </c>
      <c r="D133" s="5">
        <f t="shared" si="2"/>
        <v>73</v>
      </c>
      <c r="E133" s="5" t="s">
        <v>5</v>
      </c>
      <c r="F133" s="6"/>
      <c r="G133" s="7" t="s">
        <v>1348</v>
      </c>
      <c r="H133" s="5"/>
      <c r="I133" s="19"/>
      <c r="J133" s="8" t="s">
        <v>16120</v>
      </c>
      <c r="K133" s="5" t="s">
        <v>30</v>
      </c>
      <c r="L133" s="5" t="s">
        <v>25</v>
      </c>
      <c r="M133" s="5">
        <v>13</v>
      </c>
      <c r="N133" s="10">
        <v>13</v>
      </c>
      <c r="O133" s="7" t="s">
        <v>317</v>
      </c>
      <c r="P133" s="11">
        <v>14413</v>
      </c>
      <c r="Q133" s="7" t="s">
        <v>745</v>
      </c>
      <c r="R133" s="7" t="s">
        <v>814</v>
      </c>
      <c r="S133" s="7" t="s">
        <v>5457</v>
      </c>
      <c r="T133" s="7" t="s">
        <v>355</v>
      </c>
      <c r="U133" s="2" t="s">
        <v>47</v>
      </c>
      <c r="V133" s="2"/>
      <c r="W133" s="2"/>
      <c r="X133" s="2"/>
      <c r="Y133" s="2"/>
      <c r="Z133" s="2"/>
      <c r="AA133" s="2" t="s">
        <v>104</v>
      </c>
      <c r="AB133" s="2"/>
      <c r="AC133" s="2"/>
      <c r="AD133" s="2"/>
    </row>
    <row r="134" spans="1:30" ht="12" customHeight="1">
      <c r="A134" s="828" t="s">
        <v>16828</v>
      </c>
      <c r="B134" s="3" t="s">
        <v>324</v>
      </c>
      <c r="C134" s="1" t="s">
        <v>330</v>
      </c>
      <c r="D134" s="5">
        <f t="shared" si="2"/>
        <v>45</v>
      </c>
      <c r="E134" s="2" t="s">
        <v>5</v>
      </c>
      <c r="F134" s="2" t="s">
        <v>15273</v>
      </c>
      <c r="G134" s="3"/>
      <c r="H134" s="1"/>
      <c r="I134" s="1"/>
      <c r="J134" s="4" t="s">
        <v>16116</v>
      </c>
      <c r="K134" s="1" t="s">
        <v>469</v>
      </c>
      <c r="L134" s="1" t="s">
        <v>6</v>
      </c>
      <c r="M134" s="825"/>
      <c r="N134" s="17"/>
      <c r="O134" s="3" t="s">
        <v>311</v>
      </c>
      <c r="P134" s="20">
        <v>24584</v>
      </c>
      <c r="Q134" s="3" t="s">
        <v>331</v>
      </c>
      <c r="R134" s="3"/>
      <c r="S134" s="3"/>
      <c r="T134" s="3" t="s">
        <v>145</v>
      </c>
      <c r="U134" s="2"/>
      <c r="V134" s="2" t="s">
        <v>145</v>
      </c>
      <c r="W134" s="2"/>
      <c r="X134" s="2"/>
      <c r="Y134" s="2"/>
      <c r="Z134" s="2"/>
      <c r="AA134" s="2"/>
      <c r="AB134" s="2"/>
      <c r="AC134" s="2"/>
      <c r="AD134" s="2"/>
    </row>
    <row r="135" spans="1:30" ht="12" customHeight="1">
      <c r="A135" s="828" t="s">
        <v>16829</v>
      </c>
      <c r="B135" s="3" t="s">
        <v>325</v>
      </c>
      <c r="C135" s="1" t="s">
        <v>328</v>
      </c>
      <c r="D135" s="5">
        <f t="shared" si="2"/>
        <v>34</v>
      </c>
      <c r="E135" s="2" t="s">
        <v>5</v>
      </c>
      <c r="F135" s="2"/>
      <c r="G135" s="3"/>
      <c r="H135" s="1"/>
      <c r="I135" s="1"/>
      <c r="J135" s="4" t="s">
        <v>16117</v>
      </c>
      <c r="K135" s="1"/>
      <c r="L135" s="1" t="s">
        <v>6</v>
      </c>
      <c r="M135" s="825"/>
      <c r="N135" s="17"/>
      <c r="O135" s="3" t="s">
        <v>329</v>
      </c>
      <c r="P135" s="20">
        <v>28586</v>
      </c>
      <c r="Q135" s="3" t="s">
        <v>53</v>
      </c>
      <c r="R135" s="3"/>
      <c r="S135" s="3"/>
      <c r="T135" s="3"/>
      <c r="U135" s="2"/>
      <c r="V135" s="2"/>
      <c r="W135" s="2"/>
      <c r="X135" s="2"/>
      <c r="Y135" s="2"/>
      <c r="Z135" s="2"/>
      <c r="AA135" s="2"/>
      <c r="AB135" s="2"/>
      <c r="AC135" s="2"/>
      <c r="AD135" s="2"/>
    </row>
    <row r="136" spans="1:30" ht="12" customHeight="1">
      <c r="A136" s="828" t="s">
        <v>16830</v>
      </c>
      <c r="B136" s="3" t="s">
        <v>326</v>
      </c>
      <c r="C136" s="6" t="s">
        <v>859</v>
      </c>
      <c r="D136" s="5">
        <f t="shared" si="2"/>
        <v>64</v>
      </c>
      <c r="E136" s="6" t="s">
        <v>5</v>
      </c>
      <c r="F136" s="2" t="s">
        <v>15273</v>
      </c>
      <c r="G136" s="12" t="s">
        <v>1316</v>
      </c>
      <c r="H136" s="6"/>
      <c r="I136" s="19"/>
      <c r="J136" s="8" t="s">
        <v>16121</v>
      </c>
      <c r="K136" s="6"/>
      <c r="L136" s="6" t="s">
        <v>25</v>
      </c>
      <c r="M136" s="6">
        <v>1</v>
      </c>
      <c r="N136" s="14">
        <v>1</v>
      </c>
      <c r="O136" s="12" t="s">
        <v>1435</v>
      </c>
      <c r="P136" s="15">
        <v>17742</v>
      </c>
      <c r="Q136" s="12" t="s">
        <v>843</v>
      </c>
      <c r="R136" s="12"/>
      <c r="S136" s="12"/>
      <c r="T136" s="12" t="s">
        <v>148</v>
      </c>
      <c r="U136" s="2"/>
      <c r="V136" s="2" t="s">
        <v>145</v>
      </c>
      <c r="W136" s="2"/>
      <c r="X136" s="2"/>
      <c r="Y136" s="2"/>
      <c r="Z136" s="2"/>
      <c r="AA136" s="2"/>
      <c r="AB136" s="2"/>
      <c r="AC136" s="2"/>
      <c r="AD136" s="2" t="s">
        <v>69</v>
      </c>
    </row>
    <row r="137" spans="1:30" ht="12" customHeight="1">
      <c r="A137" s="828" t="s">
        <v>16831</v>
      </c>
      <c r="B137" s="3" t="s">
        <v>327</v>
      </c>
      <c r="C137" s="1" t="s">
        <v>332</v>
      </c>
      <c r="D137" s="5">
        <f t="shared" si="2"/>
        <v>53</v>
      </c>
      <c r="E137" s="2" t="s">
        <v>5</v>
      </c>
      <c r="F137" s="2"/>
      <c r="G137" s="3"/>
      <c r="H137" s="1"/>
      <c r="I137" s="1"/>
      <c r="J137" s="4" t="s">
        <v>16129</v>
      </c>
      <c r="K137" s="1"/>
      <c r="L137" s="1" t="s">
        <v>6</v>
      </c>
      <c r="M137" s="825"/>
      <c r="N137" s="17"/>
      <c r="O137" s="3" t="s">
        <v>317</v>
      </c>
      <c r="P137" s="20">
        <v>21779</v>
      </c>
      <c r="Q137" s="3" t="s">
        <v>2928</v>
      </c>
      <c r="R137" s="3"/>
      <c r="S137" s="3"/>
      <c r="T137" s="3" t="s">
        <v>333</v>
      </c>
      <c r="U137" s="2" t="s">
        <v>47</v>
      </c>
      <c r="V137" s="2"/>
      <c r="W137" s="2" t="s">
        <v>75</v>
      </c>
      <c r="X137" s="2"/>
      <c r="Y137" s="2"/>
      <c r="Z137" s="2"/>
      <c r="AA137" s="2"/>
      <c r="AB137" s="2"/>
      <c r="AC137" s="2"/>
      <c r="AD137" s="2"/>
    </row>
    <row r="138" spans="1:30" ht="12" customHeight="1">
      <c r="A138" s="828" t="s">
        <v>16832</v>
      </c>
      <c r="B138" s="3" t="s">
        <v>335</v>
      </c>
      <c r="C138" s="1" t="s">
        <v>5538</v>
      </c>
      <c r="D138" s="5">
        <f t="shared" si="2"/>
        <v>43</v>
      </c>
      <c r="E138" s="2" t="s">
        <v>5</v>
      </c>
      <c r="F138" s="6" t="s">
        <v>15273</v>
      </c>
      <c r="G138" s="3"/>
      <c r="H138" s="1"/>
      <c r="I138" s="1"/>
      <c r="J138" s="8" t="s">
        <v>16127</v>
      </c>
      <c r="K138" s="1" t="s">
        <v>44</v>
      </c>
      <c r="L138" s="1" t="s">
        <v>6</v>
      </c>
      <c r="M138" s="825"/>
      <c r="N138" s="17"/>
      <c r="O138" s="3" t="s">
        <v>5539</v>
      </c>
      <c r="P138" s="21">
        <v>25514</v>
      </c>
      <c r="Q138" s="3" t="s">
        <v>5540</v>
      </c>
      <c r="R138" s="3"/>
      <c r="S138" s="3"/>
      <c r="T138" s="3" t="s">
        <v>635</v>
      </c>
      <c r="U138" s="2"/>
      <c r="V138" s="2" t="s">
        <v>145</v>
      </c>
      <c r="W138" s="2"/>
      <c r="X138" s="2"/>
      <c r="Y138" s="2"/>
      <c r="Z138" s="2"/>
      <c r="AA138" s="2"/>
      <c r="AB138" s="2"/>
      <c r="AC138" s="2" t="s">
        <v>146</v>
      </c>
      <c r="AD138" s="2"/>
    </row>
    <row r="139" spans="1:30" ht="12" customHeight="1">
      <c r="A139" s="828" t="s">
        <v>16833</v>
      </c>
      <c r="B139" s="3" t="s">
        <v>336</v>
      </c>
      <c r="C139" s="1" t="s">
        <v>339</v>
      </c>
      <c r="D139" s="5">
        <f t="shared" si="2"/>
        <v>57</v>
      </c>
      <c r="E139" s="2" t="s">
        <v>5</v>
      </c>
      <c r="F139" s="2" t="s">
        <v>15273</v>
      </c>
      <c r="G139" s="3"/>
      <c r="H139" s="1"/>
      <c r="I139" s="1"/>
      <c r="J139" s="4" t="s">
        <v>16120</v>
      </c>
      <c r="K139" s="1" t="s">
        <v>48</v>
      </c>
      <c r="L139" s="1" t="s">
        <v>14</v>
      </c>
      <c r="M139" s="825">
        <v>1</v>
      </c>
      <c r="N139" s="17">
        <v>1</v>
      </c>
      <c r="O139" s="3" t="s">
        <v>188</v>
      </c>
      <c r="P139" s="20">
        <v>20342</v>
      </c>
      <c r="Q139" s="3" t="s">
        <v>340</v>
      </c>
      <c r="R139" s="3"/>
      <c r="S139" s="3" t="s">
        <v>5457</v>
      </c>
      <c r="T139" s="3" t="s">
        <v>104</v>
      </c>
      <c r="U139" s="2"/>
      <c r="V139" s="2"/>
      <c r="W139" s="2"/>
      <c r="X139" s="2"/>
      <c r="Y139" s="2"/>
      <c r="Z139" s="2"/>
      <c r="AA139" s="2" t="s">
        <v>104</v>
      </c>
      <c r="AB139" s="2"/>
      <c r="AC139" s="2"/>
      <c r="AD139" s="2"/>
    </row>
    <row r="140" spans="1:30" ht="12" customHeight="1">
      <c r="A140" s="828" t="s">
        <v>16834</v>
      </c>
      <c r="B140" s="3" t="s">
        <v>337</v>
      </c>
      <c r="C140" s="5" t="s">
        <v>901</v>
      </c>
      <c r="D140" s="5">
        <f t="shared" si="2"/>
        <v>39</v>
      </c>
      <c r="E140" s="5" t="s">
        <v>5</v>
      </c>
      <c r="F140" s="2" t="s">
        <v>15273</v>
      </c>
      <c r="G140" s="7" t="s">
        <v>1349</v>
      </c>
      <c r="H140" s="5"/>
      <c r="I140" s="19"/>
      <c r="J140" s="4" t="s">
        <v>16125</v>
      </c>
      <c r="K140" s="5"/>
      <c r="L140" s="5" t="s">
        <v>25</v>
      </c>
      <c r="M140" s="5">
        <v>1</v>
      </c>
      <c r="N140" s="10">
        <v>1</v>
      </c>
      <c r="O140" s="7" t="s">
        <v>31</v>
      </c>
      <c r="P140" s="11">
        <v>26745</v>
      </c>
      <c r="Q140" s="7" t="s">
        <v>790</v>
      </c>
      <c r="R140" s="7"/>
      <c r="S140" s="7" t="s">
        <v>5561</v>
      </c>
      <c r="T140" s="7" t="s">
        <v>572</v>
      </c>
      <c r="U140" s="2"/>
      <c r="V140" s="2" t="s">
        <v>145</v>
      </c>
      <c r="W140" s="2"/>
      <c r="X140" s="2"/>
      <c r="Y140" s="2"/>
      <c r="Z140" s="2"/>
      <c r="AA140" s="2" t="s">
        <v>104</v>
      </c>
      <c r="AB140" s="2"/>
      <c r="AC140" s="2"/>
      <c r="AD140" s="2"/>
    </row>
    <row r="141" spans="1:30" ht="12" customHeight="1">
      <c r="A141" s="828" t="s">
        <v>16835</v>
      </c>
      <c r="B141" s="3" t="s">
        <v>338</v>
      </c>
      <c r="C141" s="1" t="s">
        <v>341</v>
      </c>
      <c r="D141" s="5">
        <f t="shared" si="2"/>
        <v>59</v>
      </c>
      <c r="E141" s="2" t="s">
        <v>19</v>
      </c>
      <c r="F141" s="2"/>
      <c r="G141" s="3"/>
      <c r="H141" s="1"/>
      <c r="I141" s="1"/>
      <c r="J141" s="4" t="s">
        <v>16117</v>
      </c>
      <c r="K141" s="1"/>
      <c r="L141" s="1" t="s">
        <v>6</v>
      </c>
      <c r="M141" s="825"/>
      <c r="N141" s="17"/>
      <c r="O141" s="3" t="s">
        <v>1603</v>
      </c>
      <c r="P141" s="21">
        <v>19371</v>
      </c>
      <c r="Q141" s="3" t="s">
        <v>16102</v>
      </c>
      <c r="R141" s="3"/>
      <c r="S141" s="3"/>
      <c r="T141" s="3" t="s">
        <v>69</v>
      </c>
      <c r="U141" s="2"/>
      <c r="V141" s="2"/>
      <c r="W141" s="2"/>
      <c r="X141" s="2"/>
      <c r="Y141" s="2"/>
      <c r="Z141" s="2"/>
      <c r="AA141" s="2"/>
      <c r="AB141" s="2"/>
      <c r="AC141" s="2"/>
      <c r="AD141" s="2" t="s">
        <v>69</v>
      </c>
    </row>
    <row r="142" spans="1:30" ht="12" customHeight="1">
      <c r="A142" s="828" t="s">
        <v>16836</v>
      </c>
      <c r="B142" s="3" t="s">
        <v>342</v>
      </c>
      <c r="C142" s="1" t="s">
        <v>5651</v>
      </c>
      <c r="D142" s="5">
        <f t="shared" si="2"/>
        <v>63</v>
      </c>
      <c r="E142" s="2" t="s">
        <v>5</v>
      </c>
      <c r="F142" s="6" t="s">
        <v>15273</v>
      </c>
      <c r="G142" s="3"/>
      <c r="H142" s="1"/>
      <c r="I142" s="1"/>
      <c r="J142" s="8" t="s">
        <v>16126</v>
      </c>
      <c r="K142" s="1" t="s">
        <v>44</v>
      </c>
      <c r="L142" s="1" t="s">
        <v>6</v>
      </c>
      <c r="M142" s="825"/>
      <c r="N142" s="17"/>
      <c r="O142" s="3" t="s">
        <v>5688</v>
      </c>
      <c r="P142" s="20">
        <v>18025</v>
      </c>
      <c r="Q142" s="3" t="s">
        <v>5689</v>
      </c>
      <c r="R142" s="3"/>
      <c r="S142" s="3"/>
      <c r="T142" s="3" t="s">
        <v>145</v>
      </c>
      <c r="U142" s="2"/>
      <c r="V142" s="2" t="s">
        <v>145</v>
      </c>
      <c r="W142" s="2"/>
      <c r="X142" s="2"/>
      <c r="Y142" s="2"/>
      <c r="Z142" s="2"/>
      <c r="AA142" s="2"/>
      <c r="AB142" s="2"/>
      <c r="AC142" s="2"/>
      <c r="AD142" s="2"/>
    </row>
    <row r="143" spans="1:30" ht="12" customHeight="1">
      <c r="A143" s="828" t="s">
        <v>16837</v>
      </c>
      <c r="B143" s="3" t="s">
        <v>343</v>
      </c>
      <c r="C143" s="1" t="s">
        <v>350</v>
      </c>
      <c r="D143" s="5">
        <f t="shared" si="2"/>
        <v>61</v>
      </c>
      <c r="E143" s="2" t="s">
        <v>5</v>
      </c>
      <c r="F143" s="2" t="s">
        <v>15273</v>
      </c>
      <c r="G143" s="3"/>
      <c r="H143" s="1"/>
      <c r="I143" s="1"/>
      <c r="J143" s="4" t="s">
        <v>16120</v>
      </c>
      <c r="K143" s="1" t="s">
        <v>476</v>
      </c>
      <c r="L143" s="1" t="s">
        <v>14</v>
      </c>
      <c r="M143" s="825">
        <v>5</v>
      </c>
      <c r="N143" s="17">
        <v>5</v>
      </c>
      <c r="O143" s="3" t="s">
        <v>317</v>
      </c>
      <c r="P143" s="20">
        <v>18694</v>
      </c>
      <c r="Q143" s="3" t="s">
        <v>351</v>
      </c>
      <c r="R143" s="3" t="s">
        <v>353</v>
      </c>
      <c r="S143" s="3" t="s">
        <v>5457</v>
      </c>
      <c r="T143" s="3" t="s">
        <v>355</v>
      </c>
      <c r="U143" s="2" t="s">
        <v>47</v>
      </c>
      <c r="V143" s="2"/>
      <c r="W143" s="2"/>
      <c r="X143" s="2"/>
      <c r="Y143" s="2"/>
      <c r="Z143" s="2"/>
      <c r="AA143" s="2" t="s">
        <v>104</v>
      </c>
      <c r="AB143" s="2"/>
      <c r="AC143" s="2"/>
      <c r="AD143" s="2"/>
    </row>
    <row r="144" spans="1:30" ht="12" customHeight="1">
      <c r="A144" s="828" t="s">
        <v>16838</v>
      </c>
      <c r="B144" s="3" t="s">
        <v>344</v>
      </c>
      <c r="C144" s="5" t="s">
        <v>908</v>
      </c>
      <c r="D144" s="5">
        <f t="shared" si="2"/>
        <v>33</v>
      </c>
      <c r="E144" s="5" t="s">
        <v>19</v>
      </c>
      <c r="F144" s="2" t="s">
        <v>15273</v>
      </c>
      <c r="G144" s="7" t="s">
        <v>1350</v>
      </c>
      <c r="H144" s="5"/>
      <c r="I144" s="19"/>
      <c r="J144" s="4" t="s">
        <v>16125</v>
      </c>
      <c r="K144" s="5"/>
      <c r="L144" s="5" t="s">
        <v>25</v>
      </c>
      <c r="M144" s="5">
        <v>2</v>
      </c>
      <c r="N144" s="10">
        <v>2</v>
      </c>
      <c r="O144" s="7" t="s">
        <v>1436</v>
      </c>
      <c r="P144" s="11">
        <v>29095</v>
      </c>
      <c r="Q144" s="7" t="s">
        <v>776</v>
      </c>
      <c r="R144" s="3"/>
      <c r="S144" s="3" t="s">
        <v>5561</v>
      </c>
      <c r="T144" s="3" t="s">
        <v>145</v>
      </c>
      <c r="U144" s="2"/>
      <c r="V144" s="2" t="s">
        <v>145</v>
      </c>
      <c r="W144" s="2"/>
      <c r="X144" s="2"/>
      <c r="Y144" s="2"/>
      <c r="Z144" s="2"/>
      <c r="AA144" s="2"/>
      <c r="AB144" s="2"/>
      <c r="AC144" s="2"/>
      <c r="AD144" s="2"/>
    </row>
    <row r="145" spans="1:30" ht="12" customHeight="1">
      <c r="A145" s="828" t="s">
        <v>16839</v>
      </c>
      <c r="B145" s="3" t="s">
        <v>345</v>
      </c>
      <c r="C145" s="1" t="s">
        <v>5348</v>
      </c>
      <c r="D145" s="5">
        <f t="shared" si="2"/>
        <v>31</v>
      </c>
      <c r="E145" s="2" t="s">
        <v>5</v>
      </c>
      <c r="F145" s="2" t="s">
        <v>15273</v>
      </c>
      <c r="G145" s="3"/>
      <c r="H145" s="1"/>
      <c r="I145" s="1"/>
      <c r="J145" s="4" t="s">
        <v>16116</v>
      </c>
      <c r="K145" s="1" t="s">
        <v>4997</v>
      </c>
      <c r="L145" s="1" t="s">
        <v>6</v>
      </c>
      <c r="M145" s="825"/>
      <c r="N145" s="17"/>
      <c r="O145" s="3" t="s">
        <v>455</v>
      </c>
      <c r="P145" s="20">
        <v>29583</v>
      </c>
      <c r="Q145" s="3" t="s">
        <v>16304</v>
      </c>
      <c r="R145" s="3"/>
      <c r="S145" s="3" t="s">
        <v>469</v>
      </c>
      <c r="T145" s="3"/>
      <c r="U145" s="2"/>
      <c r="V145" s="2"/>
      <c r="W145" s="2"/>
      <c r="X145" s="2"/>
      <c r="Y145" s="2"/>
      <c r="Z145" s="2"/>
      <c r="AA145" s="2"/>
      <c r="AB145" s="2"/>
      <c r="AC145" s="2"/>
      <c r="AD145" s="2"/>
    </row>
    <row r="146" spans="1:30" ht="12" customHeight="1">
      <c r="A146" s="828" t="s">
        <v>16840</v>
      </c>
      <c r="B146" s="3" t="s">
        <v>5347</v>
      </c>
      <c r="C146" s="1" t="s">
        <v>5504</v>
      </c>
      <c r="D146" s="5">
        <f t="shared" si="2"/>
        <v>60</v>
      </c>
      <c r="E146" s="2" t="s">
        <v>5</v>
      </c>
      <c r="F146" s="2"/>
      <c r="G146" s="3"/>
      <c r="H146" s="1"/>
      <c r="I146" s="1"/>
      <c r="J146" s="4" t="s">
        <v>16117</v>
      </c>
      <c r="K146" s="1"/>
      <c r="L146" s="1" t="s">
        <v>6</v>
      </c>
      <c r="M146" s="825"/>
      <c r="N146" s="17"/>
      <c r="O146" s="3" t="s">
        <v>5505</v>
      </c>
      <c r="P146" s="21">
        <v>19120</v>
      </c>
      <c r="Q146" s="3" t="s">
        <v>531</v>
      </c>
      <c r="R146" s="3"/>
      <c r="S146" s="3"/>
      <c r="T146" s="3"/>
      <c r="U146" s="2"/>
      <c r="V146" s="2"/>
      <c r="W146" s="2"/>
      <c r="X146" s="2"/>
      <c r="Y146" s="2"/>
      <c r="Z146" s="2"/>
      <c r="AA146" s="2"/>
      <c r="AB146" s="2"/>
      <c r="AC146" s="2"/>
      <c r="AD146" s="2"/>
    </row>
    <row r="147" spans="1:30" ht="12" customHeight="1">
      <c r="A147" s="828" t="s">
        <v>16841</v>
      </c>
      <c r="B147" s="3" t="s">
        <v>360</v>
      </c>
      <c r="C147" s="5" t="s">
        <v>867</v>
      </c>
      <c r="D147" s="5">
        <f t="shared" si="2"/>
        <v>48</v>
      </c>
      <c r="E147" s="5" t="s">
        <v>5</v>
      </c>
      <c r="F147" s="6" t="s">
        <v>15273</v>
      </c>
      <c r="G147" s="7" t="s">
        <v>1351</v>
      </c>
      <c r="H147" s="5"/>
      <c r="I147" s="19"/>
      <c r="J147" s="8" t="s">
        <v>16127</v>
      </c>
      <c r="K147" s="5" t="s">
        <v>24</v>
      </c>
      <c r="L147" s="5" t="s">
        <v>25</v>
      </c>
      <c r="M147" s="5">
        <v>6</v>
      </c>
      <c r="N147" s="10">
        <v>6</v>
      </c>
      <c r="O147" s="7" t="s">
        <v>450</v>
      </c>
      <c r="P147" s="11">
        <v>23517</v>
      </c>
      <c r="Q147" s="7" t="s">
        <v>792</v>
      </c>
      <c r="R147" s="7" t="s">
        <v>834</v>
      </c>
      <c r="S147" s="7" t="s">
        <v>736</v>
      </c>
      <c r="T147" s="7" t="s">
        <v>636</v>
      </c>
      <c r="U147" s="2"/>
      <c r="V147" s="2" t="s">
        <v>145</v>
      </c>
      <c r="W147" s="2"/>
      <c r="X147" s="2"/>
      <c r="Y147" s="2"/>
      <c r="Z147" s="2"/>
      <c r="AA147" s="2" t="s">
        <v>104</v>
      </c>
      <c r="AB147" s="2"/>
      <c r="AC147" s="2" t="s">
        <v>146</v>
      </c>
      <c r="AD147" s="2"/>
    </row>
    <row r="148" spans="1:30" ht="12" customHeight="1">
      <c r="A148" s="828" t="s">
        <v>16842</v>
      </c>
      <c r="B148" s="3" t="s">
        <v>361</v>
      </c>
      <c r="C148" s="1" t="s">
        <v>5206</v>
      </c>
      <c r="D148" s="5">
        <f t="shared" si="2"/>
        <v>59</v>
      </c>
      <c r="E148" s="2" t="s">
        <v>19</v>
      </c>
      <c r="F148" s="2" t="s">
        <v>15273</v>
      </c>
      <c r="G148" s="3"/>
      <c r="H148" s="1"/>
      <c r="I148" s="1"/>
      <c r="J148" s="8" t="s">
        <v>16120</v>
      </c>
      <c r="K148" s="1" t="s">
        <v>30</v>
      </c>
      <c r="L148" s="1" t="s">
        <v>6</v>
      </c>
      <c r="M148" s="825"/>
      <c r="N148" s="17"/>
      <c r="O148" s="3" t="s">
        <v>5336</v>
      </c>
      <c r="P148" s="20">
        <v>19506</v>
      </c>
      <c r="Q148" s="3" t="s">
        <v>5337</v>
      </c>
      <c r="R148" s="3"/>
      <c r="S148" s="3" t="s">
        <v>5480</v>
      </c>
      <c r="T148" s="3"/>
      <c r="U148" s="2"/>
      <c r="V148" s="2"/>
      <c r="W148" s="2"/>
      <c r="X148" s="2"/>
      <c r="Y148" s="2"/>
      <c r="Z148" s="2"/>
      <c r="AA148" s="2"/>
      <c r="AB148" s="2"/>
      <c r="AC148" s="2"/>
      <c r="AD148" s="2"/>
    </row>
    <row r="149" spans="1:30" ht="12" customHeight="1">
      <c r="A149" s="828" t="s">
        <v>16843</v>
      </c>
      <c r="B149" s="3" t="s">
        <v>362</v>
      </c>
      <c r="C149" s="1" t="s">
        <v>16103</v>
      </c>
      <c r="D149" s="5">
        <f t="shared" si="2"/>
        <v>43</v>
      </c>
      <c r="E149" s="2" t="s">
        <v>19</v>
      </c>
      <c r="F149" s="2"/>
      <c r="G149" s="3"/>
      <c r="H149" s="1"/>
      <c r="I149" s="1"/>
      <c r="J149" s="4" t="s">
        <v>16117</v>
      </c>
      <c r="K149" s="1"/>
      <c r="L149" s="1" t="s">
        <v>6</v>
      </c>
      <c r="M149" s="825"/>
      <c r="N149" s="17"/>
      <c r="O149" s="3" t="s">
        <v>15964</v>
      </c>
      <c r="P149" s="21">
        <v>25477</v>
      </c>
      <c r="Q149" s="3" t="s">
        <v>364</v>
      </c>
      <c r="R149" s="3"/>
      <c r="S149" s="3"/>
      <c r="T149" s="3"/>
      <c r="U149" s="2"/>
      <c r="V149" s="2"/>
      <c r="W149" s="2"/>
      <c r="X149" s="2"/>
      <c r="Y149" s="2"/>
      <c r="Z149" s="2"/>
      <c r="AA149" s="2"/>
      <c r="AB149" s="2"/>
      <c r="AC149" s="2"/>
      <c r="AD149" s="2"/>
    </row>
    <row r="150" spans="1:30" ht="12" customHeight="1">
      <c r="A150" s="828" t="s">
        <v>16844</v>
      </c>
      <c r="B150" s="3" t="s">
        <v>365</v>
      </c>
      <c r="C150" s="1" t="s">
        <v>369</v>
      </c>
      <c r="D150" s="5">
        <f t="shared" si="2"/>
        <v>57</v>
      </c>
      <c r="E150" s="2" t="s">
        <v>5</v>
      </c>
      <c r="F150" s="2" t="s">
        <v>15273</v>
      </c>
      <c r="G150" s="3"/>
      <c r="H150" s="1"/>
      <c r="I150" s="1"/>
      <c r="J150" s="4" t="s">
        <v>16120</v>
      </c>
      <c r="K150" s="1" t="s">
        <v>48</v>
      </c>
      <c r="L150" s="1" t="s">
        <v>6</v>
      </c>
      <c r="M150" s="825"/>
      <c r="N150" s="17"/>
      <c r="O150" s="3" t="s">
        <v>188</v>
      </c>
      <c r="P150" s="20">
        <v>20229</v>
      </c>
      <c r="Q150" s="3" t="s">
        <v>370</v>
      </c>
      <c r="R150" s="3"/>
      <c r="S150" s="3" t="s">
        <v>5457</v>
      </c>
      <c r="T150" s="3" t="s">
        <v>371</v>
      </c>
      <c r="U150" s="2"/>
      <c r="V150" s="2" t="s">
        <v>145</v>
      </c>
      <c r="W150" s="2" t="s">
        <v>75</v>
      </c>
      <c r="X150" s="2"/>
      <c r="Y150" s="2"/>
      <c r="Z150" s="2"/>
      <c r="AA150" s="2"/>
      <c r="AB150" s="2"/>
      <c r="AC150" s="2"/>
      <c r="AD150" s="2"/>
    </row>
    <row r="151" spans="1:30" ht="12" customHeight="1">
      <c r="A151" s="828" t="s">
        <v>16845</v>
      </c>
      <c r="B151" s="3" t="s">
        <v>366</v>
      </c>
      <c r="C151" s="6" t="s">
        <v>887</v>
      </c>
      <c r="D151" s="5">
        <f t="shared" si="2"/>
        <v>44</v>
      </c>
      <c r="E151" s="6" t="s">
        <v>5</v>
      </c>
      <c r="F151" s="2" t="s">
        <v>15273</v>
      </c>
      <c r="G151" s="7" t="s">
        <v>1352</v>
      </c>
      <c r="H151" s="5" t="s">
        <v>373</v>
      </c>
      <c r="I151" s="19"/>
      <c r="J151" s="4" t="s">
        <v>16116</v>
      </c>
      <c r="K151" s="6" t="s">
        <v>469</v>
      </c>
      <c r="L151" s="6" t="s">
        <v>6</v>
      </c>
      <c r="M151" s="5"/>
      <c r="N151" s="10">
        <v>1</v>
      </c>
      <c r="O151" s="18" t="s">
        <v>83</v>
      </c>
      <c r="P151" s="15">
        <v>25005</v>
      </c>
      <c r="Q151" s="12" t="s">
        <v>791</v>
      </c>
      <c r="R151" s="3" t="s">
        <v>374</v>
      </c>
      <c r="S151" s="3"/>
      <c r="T151" s="3" t="s">
        <v>375</v>
      </c>
      <c r="U151" s="2"/>
      <c r="V151" s="2" t="s">
        <v>145</v>
      </c>
      <c r="W151" s="2"/>
      <c r="X151" s="2" t="s">
        <v>229</v>
      </c>
      <c r="Y151" s="2"/>
      <c r="Z151" s="2"/>
      <c r="AA151" s="2"/>
      <c r="AB151" s="2"/>
      <c r="AC151" s="2"/>
      <c r="AD151" s="2"/>
    </row>
    <row r="152" spans="1:30" ht="12" customHeight="1">
      <c r="A152" s="828" t="s">
        <v>16846</v>
      </c>
      <c r="B152" s="3" t="s">
        <v>367</v>
      </c>
      <c r="C152" s="1" t="s">
        <v>5506</v>
      </c>
      <c r="D152" s="5">
        <f t="shared" si="2"/>
        <v>53</v>
      </c>
      <c r="E152" s="2" t="s">
        <v>5</v>
      </c>
      <c r="F152" s="2"/>
      <c r="G152" s="3"/>
      <c r="H152" s="1"/>
      <c r="I152" s="1"/>
      <c r="J152" s="4" t="s">
        <v>16117</v>
      </c>
      <c r="K152" s="1"/>
      <c r="L152" s="1" t="s">
        <v>6</v>
      </c>
      <c r="M152" s="825"/>
      <c r="N152" s="17"/>
      <c r="O152" s="3" t="s">
        <v>5507</v>
      </c>
      <c r="P152" s="20">
        <v>21770</v>
      </c>
      <c r="Q152" s="3" t="s">
        <v>5508</v>
      </c>
      <c r="R152" s="3"/>
      <c r="S152" s="3"/>
      <c r="T152" s="3"/>
      <c r="U152" s="2"/>
      <c r="V152" s="2"/>
      <c r="W152" s="2"/>
      <c r="X152" s="2"/>
      <c r="Y152" s="2"/>
      <c r="Z152" s="2"/>
      <c r="AA152" s="2"/>
      <c r="AB152" s="2"/>
      <c r="AC152" s="2"/>
      <c r="AD152" s="2"/>
    </row>
    <row r="153" spans="1:30" ht="12" customHeight="1">
      <c r="A153" s="828" t="s">
        <v>16847</v>
      </c>
      <c r="B153" s="3" t="s">
        <v>368</v>
      </c>
      <c r="C153" s="1" t="s">
        <v>4647</v>
      </c>
      <c r="D153" s="5">
        <f t="shared" si="2"/>
        <v>63</v>
      </c>
      <c r="E153" s="2" t="s">
        <v>5</v>
      </c>
      <c r="F153" s="2" t="s">
        <v>15273</v>
      </c>
      <c r="G153" s="3"/>
      <c r="H153" s="1"/>
      <c r="I153" s="1"/>
      <c r="J153" s="4" t="s">
        <v>16121</v>
      </c>
      <c r="K153" s="1"/>
      <c r="L153" s="1" t="s">
        <v>6</v>
      </c>
      <c r="M153" s="825"/>
      <c r="N153" s="17"/>
      <c r="O153" s="3" t="s">
        <v>4648</v>
      </c>
      <c r="P153" s="20">
        <v>18138</v>
      </c>
      <c r="Q153" s="3" t="s">
        <v>4649</v>
      </c>
      <c r="R153" s="3"/>
      <c r="S153" s="3"/>
      <c r="T153" s="3" t="s">
        <v>148</v>
      </c>
      <c r="U153" s="2"/>
      <c r="V153" s="2" t="s">
        <v>145</v>
      </c>
      <c r="W153" s="2"/>
      <c r="X153" s="2"/>
      <c r="Y153" s="2"/>
      <c r="Z153" s="2"/>
      <c r="AA153" s="2"/>
      <c r="AB153" s="2"/>
      <c r="AC153" s="2"/>
      <c r="AD153" s="2" t="s">
        <v>69</v>
      </c>
    </row>
    <row r="154" spans="1:30" ht="12" customHeight="1">
      <c r="A154" s="828" t="s">
        <v>16848</v>
      </c>
      <c r="B154" s="3" t="s">
        <v>376</v>
      </c>
      <c r="C154" s="5" t="s">
        <v>860</v>
      </c>
      <c r="D154" s="5">
        <f t="shared" si="2"/>
        <v>63</v>
      </c>
      <c r="E154" s="5" t="s">
        <v>5</v>
      </c>
      <c r="F154" s="6" t="s">
        <v>15273</v>
      </c>
      <c r="G154" s="7" t="s">
        <v>1353</v>
      </c>
      <c r="H154" s="18"/>
      <c r="I154" s="19"/>
      <c r="J154" s="8" t="s">
        <v>16127</v>
      </c>
      <c r="K154" s="5" t="s">
        <v>44</v>
      </c>
      <c r="L154" s="5" t="s">
        <v>25</v>
      </c>
      <c r="M154" s="5">
        <v>3</v>
      </c>
      <c r="N154" s="10">
        <v>3</v>
      </c>
      <c r="O154" s="7" t="s">
        <v>317</v>
      </c>
      <c r="P154" s="11">
        <v>17955</v>
      </c>
      <c r="Q154" s="7" t="s">
        <v>789</v>
      </c>
      <c r="R154" s="7" t="s">
        <v>379</v>
      </c>
      <c r="S154" s="7" t="s">
        <v>736</v>
      </c>
      <c r="T154" s="3" t="s">
        <v>145</v>
      </c>
      <c r="U154" s="2"/>
      <c r="V154" s="2" t="s">
        <v>145</v>
      </c>
      <c r="W154" s="2"/>
      <c r="X154" s="2"/>
      <c r="Y154" s="2"/>
      <c r="Z154" s="2"/>
      <c r="AA154" s="2"/>
      <c r="AB154" s="2"/>
      <c r="AC154" s="2"/>
      <c r="AD154" s="2"/>
    </row>
    <row r="155" spans="1:30" ht="12" customHeight="1">
      <c r="A155" s="828" t="s">
        <v>16849</v>
      </c>
      <c r="B155" s="3" t="s">
        <v>377</v>
      </c>
      <c r="C155" s="1" t="s">
        <v>380</v>
      </c>
      <c r="D155" s="5">
        <f t="shared" si="2"/>
        <v>68</v>
      </c>
      <c r="E155" s="2" t="s">
        <v>5</v>
      </c>
      <c r="F155" s="2" t="s">
        <v>15273</v>
      </c>
      <c r="G155" s="3"/>
      <c r="H155" s="1"/>
      <c r="I155" s="1"/>
      <c r="J155" s="4" t="s">
        <v>16120</v>
      </c>
      <c r="K155" s="1" t="s">
        <v>48</v>
      </c>
      <c r="L155" s="1" t="s">
        <v>14</v>
      </c>
      <c r="M155" s="825">
        <v>6</v>
      </c>
      <c r="N155" s="17">
        <v>6</v>
      </c>
      <c r="O155" s="3" t="s">
        <v>381</v>
      </c>
      <c r="P155" s="20">
        <v>16378</v>
      </c>
      <c r="Q155" s="3" t="s">
        <v>383</v>
      </c>
      <c r="R155" s="3" t="s">
        <v>382</v>
      </c>
      <c r="S155" s="3" t="s">
        <v>5457</v>
      </c>
      <c r="T155" s="3" t="s">
        <v>145</v>
      </c>
      <c r="U155" s="2"/>
      <c r="V155" s="2" t="s">
        <v>145</v>
      </c>
      <c r="W155" s="2"/>
      <c r="X155" s="2"/>
      <c r="Y155" s="2"/>
      <c r="Z155" s="2"/>
      <c r="AA155" s="2"/>
      <c r="AB155" s="2"/>
      <c r="AC155" s="2"/>
      <c r="AD155" s="2"/>
    </row>
    <row r="156" spans="1:30" ht="12" customHeight="1">
      <c r="A156" s="828" t="s">
        <v>16850</v>
      </c>
      <c r="B156" s="3" t="s">
        <v>378</v>
      </c>
      <c r="C156" s="1" t="s">
        <v>6167</v>
      </c>
      <c r="D156" s="5">
        <f t="shared" si="2"/>
        <v>64</v>
      </c>
      <c r="E156" s="2" t="s">
        <v>5</v>
      </c>
      <c r="F156" s="2" t="s">
        <v>15273</v>
      </c>
      <c r="G156" s="3"/>
      <c r="H156" s="1"/>
      <c r="I156" s="1"/>
      <c r="J156" s="4" t="s">
        <v>16125</v>
      </c>
      <c r="K156" s="1"/>
      <c r="L156" s="1" t="s">
        <v>6</v>
      </c>
      <c r="M156" s="825"/>
      <c r="N156" s="17"/>
      <c r="O156" s="3" t="s">
        <v>6168</v>
      </c>
      <c r="P156" s="20">
        <v>17531</v>
      </c>
      <c r="Q156" s="3" t="s">
        <v>6169</v>
      </c>
      <c r="R156" s="3"/>
      <c r="S156" s="3" t="s">
        <v>5561</v>
      </c>
      <c r="T156" s="3" t="s">
        <v>145</v>
      </c>
      <c r="U156" s="2"/>
      <c r="V156" s="2" t="s">
        <v>145</v>
      </c>
      <c r="W156" s="2"/>
      <c r="X156" s="2"/>
      <c r="Y156" s="2"/>
      <c r="Z156" s="2"/>
      <c r="AA156" s="2"/>
      <c r="AB156" s="2"/>
      <c r="AC156" s="2"/>
      <c r="AD156" s="2"/>
    </row>
    <row r="157" spans="1:30" ht="12" customHeight="1">
      <c r="A157" s="828" t="s">
        <v>16851</v>
      </c>
      <c r="B157" s="3" t="s">
        <v>5349</v>
      </c>
      <c r="C157" s="1" t="s">
        <v>5350</v>
      </c>
      <c r="D157" s="5">
        <f t="shared" si="2"/>
        <v>45</v>
      </c>
      <c r="E157" s="2" t="s">
        <v>5</v>
      </c>
      <c r="F157" s="2" t="s">
        <v>15273</v>
      </c>
      <c r="G157" s="3"/>
      <c r="H157" s="1"/>
      <c r="I157" s="1"/>
      <c r="J157" s="4" t="s">
        <v>16116</v>
      </c>
      <c r="K157" s="1" t="s">
        <v>4422</v>
      </c>
      <c r="L157" s="1" t="s">
        <v>14</v>
      </c>
      <c r="M157" s="825">
        <v>2</v>
      </c>
      <c r="N157" s="17">
        <v>2</v>
      </c>
      <c r="O157" s="3" t="s">
        <v>188</v>
      </c>
      <c r="P157" s="20">
        <v>24519</v>
      </c>
      <c r="Q157" s="3" t="s">
        <v>16104</v>
      </c>
      <c r="R157" s="3"/>
      <c r="S157" s="3"/>
      <c r="T157" s="3" t="s">
        <v>146</v>
      </c>
      <c r="U157" s="2"/>
      <c r="V157" s="2"/>
      <c r="W157" s="2"/>
      <c r="X157" s="2"/>
      <c r="Y157" s="2"/>
      <c r="Z157" s="2"/>
      <c r="AA157" s="2"/>
      <c r="AB157" s="2"/>
      <c r="AC157" s="2" t="s">
        <v>146</v>
      </c>
      <c r="AD157" s="2"/>
    </row>
    <row r="158" spans="1:30" ht="12" customHeight="1">
      <c r="A158" s="828" t="s">
        <v>16852</v>
      </c>
      <c r="B158" s="3" t="s">
        <v>5876</v>
      </c>
      <c r="C158" s="1" t="s">
        <v>5877</v>
      </c>
      <c r="D158" s="5">
        <f t="shared" si="2"/>
        <v>45</v>
      </c>
      <c r="E158" s="2" t="s">
        <v>5</v>
      </c>
      <c r="F158" s="2" t="s">
        <v>15273</v>
      </c>
      <c r="G158" s="3"/>
      <c r="H158" s="1"/>
      <c r="I158" s="1"/>
      <c r="J158" s="4" t="s">
        <v>16128</v>
      </c>
      <c r="K158" s="1"/>
      <c r="L158" s="1" t="s">
        <v>6</v>
      </c>
      <c r="M158" s="825"/>
      <c r="N158" s="17"/>
      <c r="O158" s="3" t="s">
        <v>5878</v>
      </c>
      <c r="P158" s="20">
        <v>24768</v>
      </c>
      <c r="Q158" s="3" t="s">
        <v>5879</v>
      </c>
      <c r="R158" s="3"/>
      <c r="S158" s="3"/>
      <c r="T158" s="3"/>
      <c r="U158" s="2"/>
      <c r="V158" s="2"/>
      <c r="W158" s="2"/>
      <c r="X158" s="2"/>
      <c r="Y158" s="2"/>
      <c r="Z158" s="2"/>
      <c r="AA158" s="2"/>
      <c r="AB158" s="2"/>
      <c r="AC158" s="2"/>
      <c r="AD158" s="2"/>
    </row>
    <row r="159" spans="1:30" ht="12" customHeight="1">
      <c r="A159" s="828" t="s">
        <v>16853</v>
      </c>
      <c r="B159" s="3" t="s">
        <v>6166</v>
      </c>
      <c r="C159" s="1" t="s">
        <v>384</v>
      </c>
      <c r="D159" s="5">
        <f t="shared" si="2"/>
        <v>53</v>
      </c>
      <c r="E159" s="2" t="s">
        <v>5</v>
      </c>
      <c r="F159" s="2"/>
      <c r="G159" s="3"/>
      <c r="H159" s="1"/>
      <c r="I159" s="1"/>
      <c r="J159" s="4" t="s">
        <v>16117</v>
      </c>
      <c r="K159" s="1"/>
      <c r="L159" s="1" t="s">
        <v>6</v>
      </c>
      <c r="M159" s="825"/>
      <c r="N159" s="17"/>
      <c r="O159" s="3" t="s">
        <v>385</v>
      </c>
      <c r="P159" s="20">
        <v>21540</v>
      </c>
      <c r="Q159" s="3" t="s">
        <v>386</v>
      </c>
      <c r="R159" s="3"/>
      <c r="S159" s="3"/>
      <c r="T159" s="3"/>
      <c r="U159" s="2"/>
      <c r="V159" s="2"/>
      <c r="W159" s="2"/>
      <c r="X159" s="2"/>
      <c r="Y159" s="2"/>
      <c r="Z159" s="2"/>
      <c r="AA159" s="2"/>
      <c r="AB159" s="2"/>
      <c r="AC159" s="2"/>
      <c r="AD159" s="2"/>
    </row>
    <row r="160" spans="1:30" ht="12" customHeight="1">
      <c r="A160" s="828" t="s">
        <v>16854</v>
      </c>
      <c r="B160" s="3" t="s">
        <v>387</v>
      </c>
      <c r="C160" s="5" t="s">
        <v>925</v>
      </c>
      <c r="D160" s="5">
        <f t="shared" si="2"/>
        <v>42</v>
      </c>
      <c r="E160" s="5" t="s">
        <v>5</v>
      </c>
      <c r="F160" s="6" t="s">
        <v>15273</v>
      </c>
      <c r="G160" s="7" t="s">
        <v>1354</v>
      </c>
      <c r="H160" s="18"/>
      <c r="I160" s="19"/>
      <c r="J160" s="8" t="s">
        <v>16126</v>
      </c>
      <c r="K160" s="5" t="s">
        <v>44</v>
      </c>
      <c r="L160" s="5" t="s">
        <v>25</v>
      </c>
      <c r="M160" s="5">
        <v>1</v>
      </c>
      <c r="N160" s="10">
        <v>1</v>
      </c>
      <c r="O160" s="7" t="s">
        <v>317</v>
      </c>
      <c r="P160" s="11">
        <v>25788</v>
      </c>
      <c r="Q160" s="7" t="s">
        <v>786</v>
      </c>
      <c r="R160" s="7"/>
      <c r="S160" s="7" t="s">
        <v>736</v>
      </c>
      <c r="T160" s="7" t="s">
        <v>47</v>
      </c>
      <c r="U160" s="2" t="s">
        <v>47</v>
      </c>
      <c r="V160" s="2"/>
      <c r="W160" s="2"/>
      <c r="X160" s="2"/>
      <c r="Y160" s="2"/>
      <c r="Z160" s="2"/>
      <c r="AA160" s="2"/>
      <c r="AB160" s="2"/>
      <c r="AC160" s="2"/>
      <c r="AD160" s="2"/>
    </row>
    <row r="161" spans="1:30" ht="12" customHeight="1">
      <c r="A161" s="828" t="s">
        <v>16855</v>
      </c>
      <c r="B161" s="3" t="s">
        <v>388</v>
      </c>
      <c r="C161" s="1" t="s">
        <v>390</v>
      </c>
      <c r="D161" s="5">
        <f t="shared" si="2"/>
        <v>58</v>
      </c>
      <c r="E161" s="2" t="s">
        <v>5</v>
      </c>
      <c r="F161" s="2" t="s">
        <v>15273</v>
      </c>
      <c r="G161" s="3"/>
      <c r="H161" s="1"/>
      <c r="I161" s="1"/>
      <c r="J161" s="8" t="s">
        <v>16120</v>
      </c>
      <c r="K161" s="1" t="s">
        <v>30</v>
      </c>
      <c r="L161" s="1" t="s">
        <v>6</v>
      </c>
      <c r="M161" s="825"/>
      <c r="N161" s="17"/>
      <c r="O161" s="3" t="s">
        <v>391</v>
      </c>
      <c r="P161" s="20">
        <v>19743</v>
      </c>
      <c r="Q161" s="3" t="s">
        <v>392</v>
      </c>
      <c r="R161" s="3"/>
      <c r="S161" s="3" t="s">
        <v>5457</v>
      </c>
      <c r="T161" s="3" t="s">
        <v>145</v>
      </c>
      <c r="U161" s="2"/>
      <c r="V161" s="2" t="s">
        <v>145</v>
      </c>
      <c r="W161" s="2"/>
      <c r="X161" s="2"/>
      <c r="Y161" s="2"/>
      <c r="Z161" s="2"/>
      <c r="AA161" s="2"/>
      <c r="AB161" s="2"/>
      <c r="AC161" s="2"/>
      <c r="AD161" s="2"/>
    </row>
    <row r="162" spans="1:30" ht="12" customHeight="1">
      <c r="A162" s="828" t="s">
        <v>16856</v>
      </c>
      <c r="B162" s="3" t="s">
        <v>389</v>
      </c>
      <c r="C162" s="1" t="s">
        <v>5730</v>
      </c>
      <c r="D162" s="5">
        <f t="shared" si="2"/>
        <v>48</v>
      </c>
      <c r="E162" s="2" t="s">
        <v>19</v>
      </c>
      <c r="F162" s="2" t="s">
        <v>15273</v>
      </c>
      <c r="G162" s="3"/>
      <c r="H162" s="1"/>
      <c r="I162" s="1"/>
      <c r="J162" s="4" t="s">
        <v>16125</v>
      </c>
      <c r="K162" s="1"/>
      <c r="L162" s="1" t="s">
        <v>6</v>
      </c>
      <c r="M162" s="825"/>
      <c r="N162" s="17"/>
      <c r="O162" s="3" t="s">
        <v>188</v>
      </c>
      <c r="P162" s="20">
        <v>23647</v>
      </c>
      <c r="Q162" s="3" t="s">
        <v>16409</v>
      </c>
      <c r="R162" s="3"/>
      <c r="S162" s="3" t="s">
        <v>5561</v>
      </c>
      <c r="T162" s="3"/>
      <c r="U162" s="2"/>
      <c r="V162" s="2"/>
      <c r="W162" s="2"/>
      <c r="X162" s="2"/>
      <c r="Y162" s="2"/>
      <c r="Z162" s="2"/>
      <c r="AA162" s="2"/>
      <c r="AB162" s="2"/>
      <c r="AC162" s="2"/>
      <c r="AD162" s="2"/>
    </row>
    <row r="163" spans="1:30" ht="12" customHeight="1">
      <c r="A163" s="828" t="s">
        <v>16857</v>
      </c>
      <c r="B163" s="3" t="s">
        <v>5313</v>
      </c>
      <c r="C163" s="1" t="s">
        <v>5314</v>
      </c>
      <c r="D163" s="5">
        <f t="shared" si="2"/>
        <v>38</v>
      </c>
      <c r="E163" s="2" t="s">
        <v>19</v>
      </c>
      <c r="F163" s="2" t="s">
        <v>15273</v>
      </c>
      <c r="G163" s="3"/>
      <c r="H163" s="1"/>
      <c r="I163" s="1"/>
      <c r="J163" s="4" t="s">
        <v>16116</v>
      </c>
      <c r="K163" s="1" t="s">
        <v>4997</v>
      </c>
      <c r="L163" s="1" t="s">
        <v>6</v>
      </c>
      <c r="M163" s="825"/>
      <c r="N163" s="17"/>
      <c r="O163" s="3" t="s">
        <v>6141</v>
      </c>
      <c r="P163" s="20">
        <v>27068</v>
      </c>
      <c r="Q163" s="3" t="s">
        <v>5315</v>
      </c>
      <c r="R163" s="3"/>
      <c r="S163" s="3" t="s">
        <v>469</v>
      </c>
      <c r="T163" s="3" t="s">
        <v>85</v>
      </c>
      <c r="U163" s="2"/>
      <c r="V163" s="2"/>
      <c r="W163" s="2"/>
      <c r="X163" s="2"/>
      <c r="Y163" s="2"/>
      <c r="Z163" s="2" t="s">
        <v>85</v>
      </c>
      <c r="AA163" s="2"/>
      <c r="AB163" s="2"/>
      <c r="AC163" s="2"/>
      <c r="AD163" s="2"/>
    </row>
    <row r="164" spans="1:30" ht="12" customHeight="1">
      <c r="A164" s="828" t="s">
        <v>16858</v>
      </c>
      <c r="B164" s="3" t="s">
        <v>5729</v>
      </c>
      <c r="C164" s="1" t="s">
        <v>393</v>
      </c>
      <c r="D164" s="5">
        <f t="shared" si="2"/>
        <v>61</v>
      </c>
      <c r="E164" s="2" t="s">
        <v>5</v>
      </c>
      <c r="F164" s="2"/>
      <c r="G164" s="3"/>
      <c r="H164" s="1"/>
      <c r="I164" s="1"/>
      <c r="J164" s="4" t="s">
        <v>16117</v>
      </c>
      <c r="K164" s="1"/>
      <c r="L164" s="1" t="s">
        <v>6</v>
      </c>
      <c r="M164" s="825"/>
      <c r="N164" s="17"/>
      <c r="O164" s="3" t="s">
        <v>394</v>
      </c>
      <c r="P164" s="20">
        <v>18844</v>
      </c>
      <c r="Q164" s="3" t="s">
        <v>395</v>
      </c>
      <c r="R164" s="3"/>
      <c r="S164" s="3"/>
      <c r="T164" s="3" t="s">
        <v>145</v>
      </c>
      <c r="U164" s="2"/>
      <c r="V164" s="2" t="s">
        <v>145</v>
      </c>
      <c r="W164" s="2"/>
      <c r="X164" s="2"/>
      <c r="Y164" s="2"/>
      <c r="Z164" s="2"/>
      <c r="AA164" s="2"/>
      <c r="AB164" s="2"/>
      <c r="AC164" s="2"/>
      <c r="AD164" s="2"/>
    </row>
    <row r="165" spans="1:30" ht="12" customHeight="1">
      <c r="A165" s="828" t="s">
        <v>16859</v>
      </c>
      <c r="B165" s="3" t="s">
        <v>396</v>
      </c>
      <c r="C165" s="5" t="s">
        <v>905</v>
      </c>
      <c r="D165" s="5">
        <f t="shared" si="2"/>
        <v>65</v>
      </c>
      <c r="E165" s="5" t="s">
        <v>5</v>
      </c>
      <c r="F165" s="6" t="s">
        <v>15273</v>
      </c>
      <c r="G165" s="7" t="s">
        <v>1355</v>
      </c>
      <c r="H165" s="18"/>
      <c r="I165" s="19"/>
      <c r="J165" s="8" t="s">
        <v>16127</v>
      </c>
      <c r="K165" s="5" t="s">
        <v>44</v>
      </c>
      <c r="L165" s="5" t="s">
        <v>25</v>
      </c>
      <c r="M165" s="5">
        <v>1</v>
      </c>
      <c r="N165" s="10">
        <v>1</v>
      </c>
      <c r="O165" s="12" t="s">
        <v>159</v>
      </c>
      <c r="P165" s="11">
        <v>17236</v>
      </c>
      <c r="Q165" s="7" t="s">
        <v>741</v>
      </c>
      <c r="R165" s="7" t="s">
        <v>400</v>
      </c>
      <c r="S165" s="7"/>
      <c r="T165" s="7" t="s">
        <v>75</v>
      </c>
      <c r="U165" s="2"/>
      <c r="V165" s="2"/>
      <c r="W165" s="2" t="s">
        <v>75</v>
      </c>
      <c r="X165" s="2"/>
      <c r="Y165" s="2"/>
      <c r="Z165" s="2"/>
      <c r="AA165" s="2"/>
      <c r="AB165" s="2"/>
      <c r="AC165" s="2"/>
      <c r="AD165" s="2"/>
    </row>
    <row r="166" spans="1:30" ht="12" customHeight="1">
      <c r="A166" s="828" t="s">
        <v>16860</v>
      </c>
      <c r="B166" s="3" t="s">
        <v>397</v>
      </c>
      <c r="C166" s="5" t="s">
        <v>857</v>
      </c>
      <c r="D166" s="5">
        <f t="shared" si="2"/>
        <v>68</v>
      </c>
      <c r="E166" s="5" t="s">
        <v>5</v>
      </c>
      <c r="F166" s="6" t="s">
        <v>15273</v>
      </c>
      <c r="G166" s="12" t="s">
        <v>1302</v>
      </c>
      <c r="H166" s="18"/>
      <c r="I166" s="19"/>
      <c r="J166" s="4" t="s">
        <v>16120</v>
      </c>
      <c r="K166" s="5" t="s">
        <v>13</v>
      </c>
      <c r="L166" s="5" t="s">
        <v>25</v>
      </c>
      <c r="M166" s="5">
        <v>9</v>
      </c>
      <c r="N166" s="10">
        <v>9</v>
      </c>
      <c r="O166" s="7" t="s">
        <v>188</v>
      </c>
      <c r="P166" s="11">
        <v>16082</v>
      </c>
      <c r="Q166" s="7" t="s">
        <v>742</v>
      </c>
      <c r="R166" s="7" t="s">
        <v>817</v>
      </c>
      <c r="S166" s="7" t="s">
        <v>5457</v>
      </c>
      <c r="T166" s="7" t="s">
        <v>173</v>
      </c>
      <c r="U166" s="2"/>
      <c r="V166" s="2" t="s">
        <v>145</v>
      </c>
      <c r="W166" s="2"/>
      <c r="X166" s="2"/>
      <c r="Y166" s="2" t="s">
        <v>155</v>
      </c>
      <c r="Z166" s="2"/>
      <c r="AA166" s="2"/>
      <c r="AB166" s="2"/>
      <c r="AC166" s="2"/>
      <c r="AD166" s="2"/>
    </row>
    <row r="167" spans="1:30" ht="12" customHeight="1">
      <c r="A167" s="828" t="s">
        <v>16861</v>
      </c>
      <c r="B167" s="3" t="s">
        <v>398</v>
      </c>
      <c r="C167" s="1" t="s">
        <v>406</v>
      </c>
      <c r="D167" s="5">
        <f t="shared" si="2"/>
        <v>43</v>
      </c>
      <c r="E167" s="2" t="s">
        <v>5</v>
      </c>
      <c r="F167" s="2" t="s">
        <v>15273</v>
      </c>
      <c r="G167" s="3"/>
      <c r="H167" s="1"/>
      <c r="I167" s="1"/>
      <c r="J167" s="4" t="s">
        <v>16128</v>
      </c>
      <c r="K167" s="1"/>
      <c r="L167" s="1" t="s">
        <v>6</v>
      </c>
      <c r="M167" s="825"/>
      <c r="N167" s="17"/>
      <c r="O167" s="3" t="s">
        <v>188</v>
      </c>
      <c r="P167" s="20">
        <v>25446</v>
      </c>
      <c r="Q167" s="3" t="s">
        <v>407</v>
      </c>
      <c r="R167" s="3"/>
      <c r="S167" s="3" t="s">
        <v>6031</v>
      </c>
      <c r="T167" s="3" t="s">
        <v>145</v>
      </c>
      <c r="U167" s="2"/>
      <c r="V167" s="2" t="s">
        <v>145</v>
      </c>
      <c r="W167" s="2"/>
      <c r="X167" s="2"/>
      <c r="Y167" s="2"/>
      <c r="Z167" s="2"/>
      <c r="AA167" s="2"/>
      <c r="AB167" s="2"/>
      <c r="AC167" s="2"/>
      <c r="AD167" s="2"/>
    </row>
    <row r="168" spans="1:30" ht="12" customHeight="1">
      <c r="A168" s="828" t="s">
        <v>16862</v>
      </c>
      <c r="B168" s="3" t="s">
        <v>399</v>
      </c>
      <c r="C168" s="1" t="s">
        <v>403</v>
      </c>
      <c r="D168" s="5">
        <f t="shared" si="2"/>
        <v>56</v>
      </c>
      <c r="E168" s="2" t="s">
        <v>19</v>
      </c>
      <c r="F168" s="2"/>
      <c r="G168" s="3"/>
      <c r="H168" s="1"/>
      <c r="I168" s="1"/>
      <c r="J168" s="4" t="s">
        <v>16117</v>
      </c>
      <c r="K168" s="1"/>
      <c r="L168" s="1" t="s">
        <v>6</v>
      </c>
      <c r="M168" s="825"/>
      <c r="N168" s="17"/>
      <c r="O168" s="3" t="s">
        <v>404</v>
      </c>
      <c r="P168" s="21">
        <v>20631</v>
      </c>
      <c r="Q168" s="3" t="s">
        <v>405</v>
      </c>
      <c r="R168" s="3"/>
      <c r="S168" s="3"/>
      <c r="T168" s="3" t="s">
        <v>145</v>
      </c>
      <c r="U168" s="2"/>
      <c r="V168" s="2" t="s">
        <v>145</v>
      </c>
      <c r="W168" s="2"/>
      <c r="X168" s="2"/>
      <c r="Y168" s="2"/>
      <c r="Z168" s="2"/>
      <c r="AA168" s="2"/>
      <c r="AB168" s="2"/>
      <c r="AC168" s="2"/>
      <c r="AD168" s="2"/>
    </row>
    <row r="169" spans="1:30" ht="12" customHeight="1">
      <c r="A169" s="828" t="s">
        <v>16863</v>
      </c>
      <c r="B169" s="3" t="s">
        <v>408</v>
      </c>
      <c r="C169" s="1" t="s">
        <v>412</v>
      </c>
      <c r="D169" s="5">
        <f t="shared" si="2"/>
        <v>53</v>
      </c>
      <c r="E169" s="2" t="s">
        <v>5</v>
      </c>
      <c r="F169" s="2" t="s">
        <v>15273</v>
      </c>
      <c r="G169" s="3"/>
      <c r="H169" s="1"/>
      <c r="I169" s="1"/>
      <c r="J169" s="4" t="s">
        <v>16120</v>
      </c>
      <c r="K169" s="1" t="s">
        <v>476</v>
      </c>
      <c r="L169" s="1" t="s">
        <v>14</v>
      </c>
      <c r="M169" s="825">
        <v>2</v>
      </c>
      <c r="N169" s="17">
        <v>2</v>
      </c>
      <c r="O169" s="3" t="s">
        <v>317</v>
      </c>
      <c r="P169" s="20">
        <v>21835</v>
      </c>
      <c r="Q169" s="3" t="s">
        <v>413</v>
      </c>
      <c r="R169" s="3"/>
      <c r="S169" s="3" t="s">
        <v>5457</v>
      </c>
      <c r="T169" s="3" t="s">
        <v>355</v>
      </c>
      <c r="U169" s="2" t="s">
        <v>47</v>
      </c>
      <c r="V169" s="2"/>
      <c r="W169" s="2"/>
      <c r="X169" s="2"/>
      <c r="Y169" s="2"/>
      <c r="Z169" s="2"/>
      <c r="AA169" s="2" t="s">
        <v>104</v>
      </c>
      <c r="AB169" s="2"/>
      <c r="AC169" s="2"/>
      <c r="AD169" s="2"/>
    </row>
    <row r="170" spans="1:30" ht="12" customHeight="1">
      <c r="A170" s="828" t="s">
        <v>16864</v>
      </c>
      <c r="B170" s="3" t="s">
        <v>409</v>
      </c>
      <c r="C170" s="5" t="s">
        <v>888</v>
      </c>
      <c r="D170" s="5">
        <f t="shared" si="2"/>
        <v>55</v>
      </c>
      <c r="E170" s="5" t="s">
        <v>5</v>
      </c>
      <c r="F170" s="2" t="s">
        <v>15273</v>
      </c>
      <c r="G170" s="7" t="s">
        <v>1356</v>
      </c>
      <c r="H170" s="18"/>
      <c r="I170" s="19"/>
      <c r="J170" s="4" t="s">
        <v>16125</v>
      </c>
      <c r="K170" s="5"/>
      <c r="L170" s="5" t="s">
        <v>25</v>
      </c>
      <c r="M170" s="5">
        <v>3</v>
      </c>
      <c r="N170" s="10">
        <v>3</v>
      </c>
      <c r="O170" s="7" t="s">
        <v>188</v>
      </c>
      <c r="P170" s="11">
        <v>20936</v>
      </c>
      <c r="Q170" s="7" t="s">
        <v>739</v>
      </c>
      <c r="R170" s="7" t="s">
        <v>5543</v>
      </c>
      <c r="S170" s="7" t="s">
        <v>5561</v>
      </c>
      <c r="T170" s="3" t="s">
        <v>145</v>
      </c>
      <c r="U170" s="2"/>
      <c r="V170" s="2" t="s">
        <v>145</v>
      </c>
      <c r="W170" s="2"/>
      <c r="X170" s="2"/>
      <c r="Y170" s="2"/>
      <c r="Z170" s="2"/>
      <c r="AA170" s="2"/>
      <c r="AB170" s="2"/>
      <c r="AC170" s="2"/>
      <c r="AD170" s="2"/>
    </row>
    <row r="171" spans="1:30" ht="12" customHeight="1">
      <c r="A171" s="828" t="s">
        <v>16865</v>
      </c>
      <c r="B171" s="3" t="s">
        <v>410</v>
      </c>
      <c r="C171" s="1" t="s">
        <v>5317</v>
      </c>
      <c r="D171" s="5">
        <f t="shared" si="2"/>
        <v>45</v>
      </c>
      <c r="E171" s="2" t="s">
        <v>5</v>
      </c>
      <c r="F171" s="2" t="s">
        <v>15273</v>
      </c>
      <c r="G171" s="3"/>
      <c r="H171" s="1"/>
      <c r="I171" s="1"/>
      <c r="J171" s="4" t="s">
        <v>16116</v>
      </c>
      <c r="K171" s="1" t="s">
        <v>4997</v>
      </c>
      <c r="L171" s="1" t="s">
        <v>6</v>
      </c>
      <c r="M171" s="825"/>
      <c r="N171" s="17"/>
      <c r="O171" s="3" t="s">
        <v>15965</v>
      </c>
      <c r="P171" s="21">
        <v>24705</v>
      </c>
      <c r="Q171" s="3" t="s">
        <v>5318</v>
      </c>
      <c r="R171" s="3"/>
      <c r="S171" s="3" t="s">
        <v>469</v>
      </c>
      <c r="T171" s="3" t="s">
        <v>145</v>
      </c>
      <c r="U171" s="2"/>
      <c r="V171" s="2" t="s">
        <v>145</v>
      </c>
      <c r="W171" s="2"/>
      <c r="X171" s="2"/>
      <c r="Y171" s="2"/>
      <c r="Z171" s="2"/>
      <c r="AA171" s="2"/>
      <c r="AB171" s="2"/>
      <c r="AC171" s="2"/>
      <c r="AD171" s="2"/>
    </row>
    <row r="172" spans="1:30" ht="12" customHeight="1">
      <c r="A172" s="828" t="s">
        <v>16866</v>
      </c>
      <c r="B172" s="3" t="s">
        <v>411</v>
      </c>
      <c r="C172" s="1" t="s">
        <v>414</v>
      </c>
      <c r="D172" s="5">
        <f t="shared" si="2"/>
        <v>62</v>
      </c>
      <c r="E172" s="2" t="s">
        <v>19</v>
      </c>
      <c r="F172" s="2"/>
      <c r="G172" s="3"/>
      <c r="H172" s="1"/>
      <c r="I172" s="1"/>
      <c r="J172" s="4" t="s">
        <v>16117</v>
      </c>
      <c r="K172" s="1"/>
      <c r="L172" s="1" t="s">
        <v>6</v>
      </c>
      <c r="M172" s="825"/>
      <c r="N172" s="17"/>
      <c r="O172" s="3" t="s">
        <v>417</v>
      </c>
      <c r="P172" s="20">
        <v>18579</v>
      </c>
      <c r="Q172" s="3" t="s">
        <v>415</v>
      </c>
      <c r="R172" s="3"/>
      <c r="S172" s="3"/>
      <c r="T172" s="3" t="s">
        <v>69</v>
      </c>
      <c r="U172" s="2"/>
      <c r="V172" s="2"/>
      <c r="W172" s="2"/>
      <c r="X172" s="2"/>
      <c r="Y172" s="2"/>
      <c r="Z172" s="2"/>
      <c r="AA172" s="2"/>
      <c r="AB172" s="2"/>
      <c r="AC172" s="2"/>
      <c r="AD172" s="2" t="s">
        <v>69</v>
      </c>
    </row>
    <row r="173" spans="1:30" ht="12" customHeight="1">
      <c r="A173" s="828" t="s">
        <v>16867</v>
      </c>
      <c r="B173" s="3" t="s">
        <v>418</v>
      </c>
      <c r="C173" s="6" t="s">
        <v>871</v>
      </c>
      <c r="D173" s="5">
        <f t="shared" si="2"/>
        <v>53</v>
      </c>
      <c r="E173" s="6" t="s">
        <v>5</v>
      </c>
      <c r="F173" s="6" t="s">
        <v>15273</v>
      </c>
      <c r="G173" s="12" t="s">
        <v>1297</v>
      </c>
      <c r="H173" s="19"/>
      <c r="I173" s="19"/>
      <c r="J173" s="8" t="s">
        <v>16127</v>
      </c>
      <c r="K173" s="6" t="s">
        <v>44</v>
      </c>
      <c r="L173" s="6" t="s">
        <v>25</v>
      </c>
      <c r="M173" s="6">
        <v>1</v>
      </c>
      <c r="N173" s="14">
        <v>1</v>
      </c>
      <c r="O173" s="12" t="s">
        <v>451</v>
      </c>
      <c r="P173" s="15">
        <v>21753</v>
      </c>
      <c r="Q173" s="12" t="s">
        <v>752</v>
      </c>
      <c r="R173" s="3"/>
      <c r="S173" s="3"/>
      <c r="T173" s="3"/>
      <c r="U173" s="2"/>
      <c r="V173" s="2"/>
      <c r="W173" s="2"/>
      <c r="X173" s="2"/>
      <c r="Y173" s="2"/>
      <c r="Z173" s="2"/>
      <c r="AA173" s="2"/>
      <c r="AB173" s="2"/>
      <c r="AC173" s="2"/>
      <c r="AD173" s="2"/>
    </row>
    <row r="174" spans="1:30" ht="12" customHeight="1">
      <c r="A174" s="828" t="s">
        <v>16868</v>
      </c>
      <c r="B174" s="3" t="s">
        <v>419</v>
      </c>
      <c r="C174" s="6" t="s">
        <v>858</v>
      </c>
      <c r="D174" s="5">
        <f t="shared" si="2"/>
        <v>57</v>
      </c>
      <c r="E174" s="6" t="s">
        <v>5</v>
      </c>
      <c r="F174" s="6" t="s">
        <v>15273</v>
      </c>
      <c r="G174" s="12" t="s">
        <v>1357</v>
      </c>
      <c r="H174" s="19"/>
      <c r="I174" s="19"/>
      <c r="J174" s="8" t="s">
        <v>16120</v>
      </c>
      <c r="K174" s="6" t="s">
        <v>30</v>
      </c>
      <c r="L174" s="6" t="s">
        <v>25</v>
      </c>
      <c r="M174" s="6">
        <v>4</v>
      </c>
      <c r="N174" s="14">
        <v>4</v>
      </c>
      <c r="O174" s="12" t="s">
        <v>172</v>
      </c>
      <c r="P174" s="15">
        <v>20380</v>
      </c>
      <c r="Q174" s="12" t="s">
        <v>762</v>
      </c>
      <c r="R174" s="12" t="s">
        <v>809</v>
      </c>
      <c r="S174" s="12" t="s">
        <v>5457</v>
      </c>
      <c r="T174" s="12" t="s">
        <v>104</v>
      </c>
      <c r="U174" s="2"/>
      <c r="V174" s="2"/>
      <c r="W174" s="2"/>
      <c r="X174" s="2"/>
      <c r="Y174" s="2"/>
      <c r="Z174" s="2"/>
      <c r="AA174" s="2" t="s">
        <v>104</v>
      </c>
      <c r="AB174" s="2"/>
      <c r="AC174" s="2"/>
      <c r="AD174" s="2"/>
    </row>
    <row r="175" spans="1:30" ht="12" customHeight="1">
      <c r="A175" s="828" t="s">
        <v>16869</v>
      </c>
      <c r="B175" s="3" t="s">
        <v>420</v>
      </c>
      <c r="C175" s="1" t="s">
        <v>421</v>
      </c>
      <c r="D175" s="5">
        <f t="shared" si="2"/>
        <v>62</v>
      </c>
      <c r="E175" s="2" t="s">
        <v>5</v>
      </c>
      <c r="F175" s="2"/>
      <c r="G175" s="3"/>
      <c r="H175" s="1"/>
      <c r="I175" s="1"/>
      <c r="J175" s="4" t="s">
        <v>16117</v>
      </c>
      <c r="K175" s="1"/>
      <c r="L175" s="1" t="s">
        <v>6</v>
      </c>
      <c r="M175" s="825"/>
      <c r="N175" s="17"/>
      <c r="O175" s="3" t="s">
        <v>422</v>
      </c>
      <c r="P175" s="20">
        <v>18453</v>
      </c>
      <c r="Q175" s="3" t="s">
        <v>364</v>
      </c>
      <c r="R175" s="3"/>
      <c r="S175" s="3"/>
      <c r="T175" s="3"/>
      <c r="U175" s="2"/>
      <c r="V175" s="2"/>
      <c r="W175" s="2"/>
      <c r="X175" s="2"/>
      <c r="Y175" s="2"/>
      <c r="Z175" s="2"/>
      <c r="AA175" s="2"/>
      <c r="AB175" s="2"/>
      <c r="AC175" s="2"/>
      <c r="AD175" s="2"/>
    </row>
    <row r="176" spans="1:30" ht="12" customHeight="1">
      <c r="A176" s="828" t="s">
        <v>16870</v>
      </c>
      <c r="B176" s="3" t="s">
        <v>424</v>
      </c>
      <c r="C176" s="6" t="s">
        <v>912</v>
      </c>
      <c r="D176" s="5">
        <f t="shared" si="2"/>
        <v>65</v>
      </c>
      <c r="E176" s="6" t="s">
        <v>5</v>
      </c>
      <c r="F176" s="6" t="s">
        <v>15273</v>
      </c>
      <c r="G176" s="12" t="s">
        <v>1358</v>
      </c>
      <c r="H176" s="19"/>
      <c r="I176" s="19"/>
      <c r="J176" s="8" t="s">
        <v>16126</v>
      </c>
      <c r="K176" s="6" t="s">
        <v>45</v>
      </c>
      <c r="L176" s="6" t="s">
        <v>25</v>
      </c>
      <c r="M176" s="6">
        <v>7</v>
      </c>
      <c r="N176" s="14">
        <v>7</v>
      </c>
      <c r="O176" s="12" t="s">
        <v>465</v>
      </c>
      <c r="P176" s="15">
        <v>17445</v>
      </c>
      <c r="Q176" s="12" t="s">
        <v>740</v>
      </c>
      <c r="R176" s="12" t="s">
        <v>838</v>
      </c>
      <c r="S176" s="12" t="s">
        <v>736</v>
      </c>
      <c r="T176" s="12" t="s">
        <v>148</v>
      </c>
      <c r="U176" s="2"/>
      <c r="V176" s="2" t="s">
        <v>145</v>
      </c>
      <c r="W176" s="2"/>
      <c r="X176" s="2"/>
      <c r="Y176" s="2"/>
      <c r="Z176" s="2"/>
      <c r="AA176" s="2"/>
      <c r="AB176" s="2"/>
      <c r="AC176" s="2"/>
      <c r="AD176" s="2" t="s">
        <v>69</v>
      </c>
    </row>
    <row r="177" spans="1:30" ht="12" customHeight="1">
      <c r="A177" s="828" t="s">
        <v>16871</v>
      </c>
      <c r="B177" s="3" t="s">
        <v>425</v>
      </c>
      <c r="C177" s="1" t="s">
        <v>427</v>
      </c>
      <c r="D177" s="5">
        <f t="shared" si="2"/>
        <v>40</v>
      </c>
      <c r="E177" s="2" t="s">
        <v>5</v>
      </c>
      <c r="F177" s="2" t="s">
        <v>15273</v>
      </c>
      <c r="G177" s="3"/>
      <c r="H177" s="1"/>
      <c r="I177" s="1"/>
      <c r="J177" s="4" t="s">
        <v>16120</v>
      </c>
      <c r="K177" s="1" t="s">
        <v>30</v>
      </c>
      <c r="L177" s="1" t="s">
        <v>6</v>
      </c>
      <c r="M177" s="825"/>
      <c r="N177" s="17"/>
      <c r="O177" s="3" t="s">
        <v>428</v>
      </c>
      <c r="P177" s="20">
        <v>26560</v>
      </c>
      <c r="Q177" s="3" t="s">
        <v>429</v>
      </c>
      <c r="R177" s="3"/>
      <c r="S177" s="3"/>
      <c r="T177" s="3"/>
      <c r="U177" s="2"/>
      <c r="V177" s="2"/>
      <c r="W177" s="2"/>
      <c r="X177" s="2"/>
      <c r="Y177" s="2"/>
      <c r="Z177" s="2"/>
      <c r="AA177" s="2"/>
      <c r="AB177" s="2"/>
      <c r="AC177" s="2"/>
      <c r="AD177" s="2"/>
    </row>
    <row r="178" spans="1:30" ht="12" customHeight="1">
      <c r="A178" s="828" t="s">
        <v>16872</v>
      </c>
      <c r="B178" s="3" t="s">
        <v>426</v>
      </c>
      <c r="C178" s="1" t="s">
        <v>430</v>
      </c>
      <c r="D178" s="5">
        <f t="shared" si="2"/>
        <v>56</v>
      </c>
      <c r="E178" s="2" t="s">
        <v>5</v>
      </c>
      <c r="F178" s="2"/>
      <c r="G178" s="3"/>
      <c r="H178" s="1"/>
      <c r="I178" s="1"/>
      <c r="J178" s="4" t="s">
        <v>16117</v>
      </c>
      <c r="K178" s="1"/>
      <c r="L178" s="1" t="s">
        <v>6</v>
      </c>
      <c r="M178" s="825"/>
      <c r="N178" s="17"/>
      <c r="O178" s="3" t="s">
        <v>431</v>
      </c>
      <c r="P178" s="20">
        <v>20709</v>
      </c>
      <c r="Q178" s="3" t="s">
        <v>432</v>
      </c>
      <c r="R178" s="3"/>
      <c r="S178" s="3"/>
      <c r="T178" s="3" t="s">
        <v>145</v>
      </c>
      <c r="U178" s="2"/>
      <c r="V178" s="2" t="s">
        <v>145</v>
      </c>
      <c r="W178" s="2"/>
      <c r="X178" s="2"/>
      <c r="Y178" s="2"/>
      <c r="Z178" s="2"/>
      <c r="AA178" s="2"/>
      <c r="AB178" s="2"/>
      <c r="AC178" s="2"/>
      <c r="AD178" s="2"/>
    </row>
    <row r="179" spans="1:30" ht="12" customHeight="1">
      <c r="A179" s="828" t="s">
        <v>16873</v>
      </c>
      <c r="B179" s="3" t="s">
        <v>433</v>
      </c>
      <c r="C179" s="6" t="s">
        <v>909</v>
      </c>
      <c r="D179" s="5">
        <f t="shared" si="2"/>
        <v>62</v>
      </c>
      <c r="E179" s="6" t="s">
        <v>19</v>
      </c>
      <c r="F179" s="6" t="s">
        <v>15273</v>
      </c>
      <c r="G179" s="12" t="s">
        <v>1359</v>
      </c>
      <c r="H179" s="19"/>
      <c r="I179" s="19"/>
      <c r="J179" s="8" t="s">
        <v>16127</v>
      </c>
      <c r="K179" s="6" t="s">
        <v>44</v>
      </c>
      <c r="L179" s="6" t="s">
        <v>25</v>
      </c>
      <c r="M179" s="6">
        <v>1</v>
      </c>
      <c r="N179" s="14">
        <v>1</v>
      </c>
      <c r="O179" s="12" t="s">
        <v>466</v>
      </c>
      <c r="P179" s="15">
        <v>18283</v>
      </c>
      <c r="Q179" s="12" t="s">
        <v>844</v>
      </c>
      <c r="R179" s="12"/>
      <c r="S179" s="12" t="s">
        <v>736</v>
      </c>
      <c r="T179" s="12" t="s">
        <v>47</v>
      </c>
      <c r="U179" s="2" t="s">
        <v>47</v>
      </c>
      <c r="V179" s="2"/>
      <c r="W179" s="2"/>
      <c r="X179" s="2"/>
      <c r="Y179" s="2"/>
      <c r="Z179" s="2"/>
      <c r="AA179" s="2"/>
      <c r="AB179" s="2"/>
      <c r="AC179" s="2"/>
      <c r="AD179" s="2"/>
    </row>
    <row r="180" spans="1:30" ht="12" customHeight="1">
      <c r="A180" s="828" t="s">
        <v>16874</v>
      </c>
      <c r="B180" s="3" t="s">
        <v>434</v>
      </c>
      <c r="C180" s="1" t="s">
        <v>436</v>
      </c>
      <c r="D180" s="5">
        <f t="shared" si="2"/>
        <v>68</v>
      </c>
      <c r="E180" s="2" t="s">
        <v>5</v>
      </c>
      <c r="F180" s="2" t="s">
        <v>15273</v>
      </c>
      <c r="G180" s="3"/>
      <c r="H180" s="1"/>
      <c r="I180" s="1"/>
      <c r="J180" s="4" t="s">
        <v>16120</v>
      </c>
      <c r="K180" s="1" t="s">
        <v>30</v>
      </c>
      <c r="L180" s="1" t="s">
        <v>14</v>
      </c>
      <c r="M180" s="825">
        <v>10</v>
      </c>
      <c r="N180" s="17">
        <v>10</v>
      </c>
      <c r="O180" s="3" t="s">
        <v>31</v>
      </c>
      <c r="P180" s="20">
        <v>16182</v>
      </c>
      <c r="Q180" s="3" t="s">
        <v>437</v>
      </c>
      <c r="R180" s="3" t="s">
        <v>533</v>
      </c>
      <c r="S180" s="3" t="s">
        <v>5457</v>
      </c>
      <c r="T180" s="3" t="s">
        <v>258</v>
      </c>
      <c r="U180" s="2"/>
      <c r="V180" s="2"/>
      <c r="W180" s="2"/>
      <c r="X180" s="2"/>
      <c r="Y180" s="2" t="s">
        <v>155</v>
      </c>
      <c r="Z180" s="2"/>
      <c r="AA180" s="2" t="s">
        <v>104</v>
      </c>
      <c r="AB180" s="2"/>
      <c r="AC180" s="2"/>
      <c r="AD180" s="2"/>
    </row>
    <row r="181" spans="1:30" ht="12" customHeight="1">
      <c r="A181" s="828" t="s">
        <v>16875</v>
      </c>
      <c r="B181" s="3" t="s">
        <v>435</v>
      </c>
      <c r="C181" s="1" t="s">
        <v>5983</v>
      </c>
      <c r="D181" s="5">
        <f t="shared" si="2"/>
        <v>54</v>
      </c>
      <c r="E181" s="2" t="s">
        <v>5</v>
      </c>
      <c r="F181" s="2" t="s">
        <v>15273</v>
      </c>
      <c r="G181" s="3"/>
      <c r="H181" s="1"/>
      <c r="I181" s="1"/>
      <c r="J181" s="4" t="s">
        <v>16125</v>
      </c>
      <c r="K181" s="1"/>
      <c r="L181" s="1" t="s">
        <v>6</v>
      </c>
      <c r="M181" s="825"/>
      <c r="N181" s="17"/>
      <c r="O181" s="3" t="s">
        <v>15966</v>
      </c>
      <c r="P181" s="20">
        <v>21325</v>
      </c>
      <c r="Q181" s="3" t="s">
        <v>5984</v>
      </c>
      <c r="R181" s="3"/>
      <c r="S181" s="3" t="s">
        <v>5561</v>
      </c>
      <c r="T181" s="3"/>
      <c r="U181" s="2"/>
      <c r="V181" s="2"/>
      <c r="W181" s="2"/>
      <c r="X181" s="2"/>
      <c r="Y181" s="2"/>
      <c r="Z181" s="2"/>
      <c r="AA181" s="2"/>
      <c r="AB181" s="2"/>
      <c r="AC181" s="2"/>
      <c r="AD181" s="2"/>
    </row>
    <row r="182" spans="1:30" ht="12" customHeight="1">
      <c r="A182" s="828" t="s">
        <v>16876</v>
      </c>
      <c r="B182" s="3" t="s">
        <v>4994</v>
      </c>
      <c r="C182" s="1" t="s">
        <v>4996</v>
      </c>
      <c r="D182" s="5">
        <f t="shared" si="2"/>
        <v>41</v>
      </c>
      <c r="E182" s="2" t="s">
        <v>5</v>
      </c>
      <c r="F182" s="2" t="s">
        <v>15273</v>
      </c>
      <c r="G182" s="3"/>
      <c r="H182" s="1"/>
      <c r="I182" s="1"/>
      <c r="J182" s="4" t="s">
        <v>16116</v>
      </c>
      <c r="K182" s="1" t="s">
        <v>4997</v>
      </c>
      <c r="L182" s="1" t="s">
        <v>6</v>
      </c>
      <c r="M182" s="825"/>
      <c r="N182" s="17"/>
      <c r="O182" s="3" t="s">
        <v>15</v>
      </c>
      <c r="P182" s="21">
        <v>25966</v>
      </c>
      <c r="Q182" s="3" t="s">
        <v>5001</v>
      </c>
      <c r="R182" s="3"/>
      <c r="S182" s="3" t="s">
        <v>469</v>
      </c>
      <c r="T182" s="3"/>
      <c r="U182" s="2"/>
      <c r="V182" s="2"/>
      <c r="W182" s="2"/>
      <c r="X182" s="2"/>
      <c r="Y182" s="2"/>
      <c r="Z182" s="2"/>
      <c r="AA182" s="2"/>
      <c r="AB182" s="2"/>
      <c r="AC182" s="2"/>
      <c r="AD182" s="2"/>
    </row>
    <row r="183" spans="1:30" ht="12" customHeight="1">
      <c r="A183" s="828" t="s">
        <v>16877</v>
      </c>
      <c r="B183" s="3" t="s">
        <v>4995</v>
      </c>
      <c r="C183" s="1" t="s">
        <v>438</v>
      </c>
      <c r="D183" s="5">
        <f t="shared" si="2"/>
        <v>62</v>
      </c>
      <c r="E183" s="2" t="s">
        <v>19</v>
      </c>
      <c r="F183" s="2"/>
      <c r="G183" s="3"/>
      <c r="H183" s="1"/>
      <c r="I183" s="1"/>
      <c r="J183" s="4" t="s">
        <v>16117</v>
      </c>
      <c r="K183" s="1"/>
      <c r="L183" s="1" t="s">
        <v>6</v>
      </c>
      <c r="M183" s="825"/>
      <c r="N183" s="17"/>
      <c r="O183" s="3" t="s">
        <v>439</v>
      </c>
      <c r="P183" s="20">
        <v>18544</v>
      </c>
      <c r="Q183" s="3" t="s">
        <v>440</v>
      </c>
      <c r="R183" s="3"/>
      <c r="S183" s="3"/>
      <c r="T183" s="3"/>
      <c r="U183" s="2"/>
      <c r="V183" s="2"/>
      <c r="W183" s="2"/>
      <c r="X183" s="2"/>
      <c r="Y183" s="2"/>
      <c r="Z183" s="2"/>
      <c r="AA183" s="2"/>
      <c r="AB183" s="2"/>
      <c r="AC183" s="2"/>
      <c r="AD183" s="2"/>
    </row>
    <row r="184" spans="1:30" ht="12" customHeight="1">
      <c r="A184" s="828" t="s">
        <v>16878</v>
      </c>
      <c r="B184" s="3" t="s">
        <v>5982</v>
      </c>
      <c r="C184" s="1" t="s">
        <v>4998</v>
      </c>
      <c r="D184" s="5">
        <f t="shared" si="2"/>
        <v>48</v>
      </c>
      <c r="E184" s="2" t="s">
        <v>5</v>
      </c>
      <c r="F184" s="2"/>
      <c r="G184" s="3"/>
      <c r="H184" s="1"/>
      <c r="I184" s="1"/>
      <c r="J184" s="4" t="s">
        <v>16129</v>
      </c>
      <c r="K184" s="1" t="s">
        <v>97</v>
      </c>
      <c r="L184" s="1" t="s">
        <v>6</v>
      </c>
      <c r="M184" s="825"/>
      <c r="N184" s="17"/>
      <c r="O184" s="3" t="s">
        <v>4999</v>
      </c>
      <c r="P184" s="20">
        <v>23639</v>
      </c>
      <c r="Q184" s="3" t="s">
        <v>5000</v>
      </c>
      <c r="R184" s="3"/>
      <c r="S184" s="3"/>
      <c r="T184" s="3" t="s">
        <v>572</v>
      </c>
      <c r="U184" s="2"/>
      <c r="V184" s="2" t="s">
        <v>145</v>
      </c>
      <c r="W184" s="2"/>
      <c r="X184" s="2"/>
      <c r="Y184" s="2"/>
      <c r="Z184" s="2"/>
      <c r="AA184" s="2" t="s">
        <v>104</v>
      </c>
      <c r="AB184" s="2"/>
      <c r="AC184" s="2"/>
      <c r="AD184" s="2"/>
    </row>
    <row r="185" spans="1:30" ht="12" customHeight="1">
      <c r="A185" s="828" t="s">
        <v>16879</v>
      </c>
      <c r="B185" s="3" t="s">
        <v>441</v>
      </c>
      <c r="C185" s="6" t="s">
        <v>928</v>
      </c>
      <c r="D185" s="5">
        <f t="shared" si="2"/>
        <v>62</v>
      </c>
      <c r="E185" s="6" t="s">
        <v>5</v>
      </c>
      <c r="F185" s="6" t="s">
        <v>15273</v>
      </c>
      <c r="G185" s="12" t="s">
        <v>1300</v>
      </c>
      <c r="H185" s="19"/>
      <c r="I185" s="19"/>
      <c r="J185" s="8" t="s">
        <v>16127</v>
      </c>
      <c r="K185" s="6" t="s">
        <v>44</v>
      </c>
      <c r="L185" s="6" t="s">
        <v>25</v>
      </c>
      <c r="M185" s="6">
        <v>1</v>
      </c>
      <c r="N185" s="14">
        <v>1</v>
      </c>
      <c r="O185" s="12" t="s">
        <v>172</v>
      </c>
      <c r="P185" s="15">
        <v>18352</v>
      </c>
      <c r="Q185" s="12" t="s">
        <v>759</v>
      </c>
      <c r="R185" s="3"/>
      <c r="S185" s="3" t="s">
        <v>736</v>
      </c>
      <c r="T185" s="3"/>
      <c r="U185" s="2"/>
      <c r="V185" s="2"/>
      <c r="W185" s="2"/>
      <c r="X185" s="2"/>
      <c r="Y185" s="2"/>
      <c r="Z185" s="2"/>
      <c r="AA185" s="2"/>
      <c r="AB185" s="2"/>
      <c r="AC185" s="2"/>
      <c r="AD185" s="2"/>
    </row>
    <row r="186" spans="1:30" ht="12" customHeight="1">
      <c r="A186" s="828" t="s">
        <v>16880</v>
      </c>
      <c r="B186" s="3" t="s">
        <v>442</v>
      </c>
      <c r="C186" s="6" t="s">
        <v>849</v>
      </c>
      <c r="D186" s="5">
        <f t="shared" si="2"/>
        <v>59</v>
      </c>
      <c r="E186" s="6" t="s">
        <v>19</v>
      </c>
      <c r="F186" s="6" t="s">
        <v>15273</v>
      </c>
      <c r="G186" s="12" t="s">
        <v>1303</v>
      </c>
      <c r="H186" s="19"/>
      <c r="I186" s="19"/>
      <c r="J186" s="8" t="s">
        <v>16120</v>
      </c>
      <c r="K186" s="6" t="s">
        <v>445</v>
      </c>
      <c r="L186" s="6" t="s">
        <v>25</v>
      </c>
      <c r="M186" s="6">
        <v>2</v>
      </c>
      <c r="N186" s="14">
        <v>2</v>
      </c>
      <c r="O186" s="7" t="s">
        <v>123</v>
      </c>
      <c r="P186" s="15">
        <v>19701</v>
      </c>
      <c r="Q186" s="12" t="s">
        <v>769</v>
      </c>
      <c r="R186" s="12" t="s">
        <v>347</v>
      </c>
      <c r="S186" s="12"/>
      <c r="T186" s="12" t="s">
        <v>104</v>
      </c>
      <c r="U186" s="2"/>
      <c r="V186" s="2"/>
      <c r="W186" s="2"/>
      <c r="X186" s="2"/>
      <c r="Y186" s="2"/>
      <c r="Z186" s="2"/>
      <c r="AA186" s="2" t="s">
        <v>104</v>
      </c>
      <c r="AB186" s="2"/>
      <c r="AC186" s="2"/>
      <c r="AD186" s="2"/>
    </row>
    <row r="187" spans="1:30" ht="12" customHeight="1">
      <c r="A187" s="828" t="s">
        <v>16881</v>
      </c>
      <c r="B187" s="3" t="s">
        <v>443</v>
      </c>
      <c r="C187" s="1" t="s">
        <v>5353</v>
      </c>
      <c r="D187" s="5">
        <f t="shared" si="2"/>
        <v>33</v>
      </c>
      <c r="E187" s="2" t="s">
        <v>5</v>
      </c>
      <c r="F187" s="2" t="s">
        <v>15273</v>
      </c>
      <c r="G187" s="3"/>
      <c r="H187" s="1"/>
      <c r="I187" s="1"/>
      <c r="J187" s="4" t="s">
        <v>16116</v>
      </c>
      <c r="K187" s="1" t="s">
        <v>4997</v>
      </c>
      <c r="L187" s="1" t="s">
        <v>6</v>
      </c>
      <c r="M187" s="825"/>
      <c r="N187" s="17"/>
      <c r="O187" s="3" t="s">
        <v>159</v>
      </c>
      <c r="P187" s="20">
        <v>29057</v>
      </c>
      <c r="Q187" s="3" t="s">
        <v>5536</v>
      </c>
      <c r="R187" s="3"/>
      <c r="S187" s="3" t="s">
        <v>469</v>
      </c>
      <c r="T187" s="3"/>
      <c r="U187" s="2"/>
      <c r="V187" s="2"/>
      <c r="W187" s="2"/>
      <c r="X187" s="2"/>
      <c r="Y187" s="2"/>
      <c r="Z187" s="2"/>
      <c r="AA187" s="2"/>
      <c r="AB187" s="2"/>
      <c r="AC187" s="2"/>
      <c r="AD187" s="2"/>
    </row>
    <row r="188" spans="1:30" ht="12" customHeight="1">
      <c r="A188" s="828" t="s">
        <v>16882</v>
      </c>
      <c r="B188" s="3" t="s">
        <v>444</v>
      </c>
      <c r="C188" s="1" t="s">
        <v>15953</v>
      </c>
      <c r="D188" s="5">
        <f t="shared" si="2"/>
        <v>60</v>
      </c>
      <c r="E188" s="2" t="s">
        <v>5</v>
      </c>
      <c r="F188" s="2"/>
      <c r="G188" s="3"/>
      <c r="H188" s="1"/>
      <c r="I188" s="1"/>
      <c r="J188" s="4" t="s">
        <v>16117</v>
      </c>
      <c r="K188" s="1"/>
      <c r="L188" s="1" t="s">
        <v>6</v>
      </c>
      <c r="M188" s="825"/>
      <c r="N188" s="17"/>
      <c r="O188" s="3" t="s">
        <v>15954</v>
      </c>
      <c r="P188" s="21">
        <v>19117</v>
      </c>
      <c r="Q188" s="3" t="s">
        <v>15955</v>
      </c>
      <c r="R188" s="3"/>
      <c r="S188" s="3"/>
      <c r="T188" s="3"/>
      <c r="U188" s="2"/>
      <c r="V188" s="2"/>
      <c r="W188" s="2"/>
      <c r="X188" s="2"/>
      <c r="Y188" s="2"/>
      <c r="Z188" s="2"/>
      <c r="AA188" s="2"/>
      <c r="AB188" s="2"/>
      <c r="AC188" s="2"/>
      <c r="AD188" s="2"/>
    </row>
    <row r="189" spans="1:30" ht="12" customHeight="1">
      <c r="A189" s="828" t="s">
        <v>16883</v>
      </c>
      <c r="B189" s="3" t="s">
        <v>5352</v>
      </c>
      <c r="C189" s="6" t="s">
        <v>913</v>
      </c>
      <c r="D189" s="5">
        <f t="shared" si="2"/>
        <v>63</v>
      </c>
      <c r="E189" s="6" t="s">
        <v>5</v>
      </c>
      <c r="F189" s="6"/>
      <c r="G189" s="12" t="s">
        <v>1360</v>
      </c>
      <c r="H189" s="19"/>
      <c r="I189" s="19"/>
      <c r="J189" s="8" t="s">
        <v>16129</v>
      </c>
      <c r="K189" s="6" t="s">
        <v>446</v>
      </c>
      <c r="L189" s="6" t="s">
        <v>25</v>
      </c>
      <c r="M189" s="6">
        <v>11</v>
      </c>
      <c r="N189" s="14">
        <v>11</v>
      </c>
      <c r="O189" s="12" t="s">
        <v>172</v>
      </c>
      <c r="P189" s="15">
        <v>17998</v>
      </c>
      <c r="Q189" s="12" t="s">
        <v>753</v>
      </c>
      <c r="R189" s="12" t="s">
        <v>3986</v>
      </c>
      <c r="S189" s="12" t="s">
        <v>5457</v>
      </c>
      <c r="T189" s="12" t="s">
        <v>104</v>
      </c>
      <c r="U189" s="2"/>
      <c r="V189" s="2"/>
      <c r="W189" s="2"/>
      <c r="X189" s="2"/>
      <c r="Y189" s="2"/>
      <c r="Z189" s="2"/>
      <c r="AA189" s="2" t="s">
        <v>104</v>
      </c>
      <c r="AB189" s="2"/>
      <c r="AC189" s="2"/>
      <c r="AD189" s="2"/>
    </row>
    <row r="190" spans="1:30" ht="12" customHeight="1">
      <c r="A190" s="828" t="s">
        <v>16884</v>
      </c>
      <c r="B190" s="3" t="s">
        <v>470</v>
      </c>
      <c r="C190" s="5" t="s">
        <v>903</v>
      </c>
      <c r="D190" s="5">
        <f t="shared" si="2"/>
        <v>50</v>
      </c>
      <c r="E190" s="5" t="s">
        <v>5</v>
      </c>
      <c r="F190" s="6" t="s">
        <v>15273</v>
      </c>
      <c r="G190" s="7" t="s">
        <v>1361</v>
      </c>
      <c r="H190" s="18"/>
      <c r="I190" s="19"/>
      <c r="J190" s="8" t="s">
        <v>16126</v>
      </c>
      <c r="K190" s="5" t="s">
        <v>44</v>
      </c>
      <c r="L190" s="5" t="s">
        <v>25</v>
      </c>
      <c r="M190" s="5">
        <v>1</v>
      </c>
      <c r="N190" s="10">
        <v>1</v>
      </c>
      <c r="O190" s="7" t="s">
        <v>474</v>
      </c>
      <c r="P190" s="11">
        <v>22769</v>
      </c>
      <c r="Q190" s="7" t="s">
        <v>1503</v>
      </c>
      <c r="R190" s="3"/>
      <c r="S190" s="3" t="s">
        <v>736</v>
      </c>
      <c r="T190" s="3"/>
      <c r="U190" s="2"/>
      <c r="V190" s="2"/>
      <c r="W190" s="2"/>
      <c r="X190" s="2"/>
      <c r="Y190" s="2"/>
      <c r="Z190" s="2"/>
      <c r="AA190" s="2"/>
      <c r="AB190" s="2"/>
      <c r="AC190" s="2"/>
      <c r="AD190" s="2"/>
    </row>
    <row r="191" spans="1:30" ht="12" customHeight="1">
      <c r="A191" s="828" t="s">
        <v>16885</v>
      </c>
      <c r="B191" s="3" t="s">
        <v>471</v>
      </c>
      <c r="C191" s="1" t="s">
        <v>477</v>
      </c>
      <c r="D191" s="5">
        <f t="shared" si="2"/>
        <v>59</v>
      </c>
      <c r="E191" s="2" t="s">
        <v>5</v>
      </c>
      <c r="F191" s="2" t="s">
        <v>15273</v>
      </c>
      <c r="G191" s="3"/>
      <c r="H191" s="1"/>
      <c r="I191" s="1"/>
      <c r="J191" s="4" t="s">
        <v>16120</v>
      </c>
      <c r="K191" s="1" t="s">
        <v>13</v>
      </c>
      <c r="L191" s="1" t="s">
        <v>14</v>
      </c>
      <c r="M191" s="825">
        <v>9</v>
      </c>
      <c r="N191" s="17">
        <v>9</v>
      </c>
      <c r="O191" s="3" t="s">
        <v>31</v>
      </c>
      <c r="P191" s="20">
        <v>19685</v>
      </c>
      <c r="Q191" s="3" t="s">
        <v>478</v>
      </c>
      <c r="R191" s="3" t="s">
        <v>534</v>
      </c>
      <c r="S191" s="3" t="s">
        <v>5457</v>
      </c>
      <c r="T191" s="3" t="s">
        <v>104</v>
      </c>
      <c r="U191" s="2"/>
      <c r="V191" s="2"/>
      <c r="W191" s="2"/>
      <c r="X191" s="2"/>
      <c r="Y191" s="2"/>
      <c r="Z191" s="2"/>
      <c r="AA191" s="2" t="s">
        <v>104</v>
      </c>
      <c r="AB191" s="2"/>
      <c r="AC191" s="2"/>
      <c r="AD191" s="2"/>
    </row>
    <row r="192" spans="1:30" ht="12" customHeight="1">
      <c r="A192" s="828" t="s">
        <v>16886</v>
      </c>
      <c r="B192" s="3" t="s">
        <v>472</v>
      </c>
      <c r="C192" s="1" t="s">
        <v>480</v>
      </c>
      <c r="D192" s="5">
        <f t="shared" si="2"/>
        <v>41</v>
      </c>
      <c r="E192" s="2" t="s">
        <v>5</v>
      </c>
      <c r="F192" s="2" t="s">
        <v>15273</v>
      </c>
      <c r="G192" s="3"/>
      <c r="H192" s="1"/>
      <c r="I192" s="1"/>
      <c r="J192" s="4" t="s">
        <v>16128</v>
      </c>
      <c r="K192" s="1"/>
      <c r="L192" s="1" t="s">
        <v>6</v>
      </c>
      <c r="M192" s="825"/>
      <c r="N192" s="17"/>
      <c r="O192" s="3" t="s">
        <v>31</v>
      </c>
      <c r="P192" s="20">
        <v>25990</v>
      </c>
      <c r="Q192" s="3" t="s">
        <v>481</v>
      </c>
      <c r="R192" s="3"/>
      <c r="S192" s="3" t="s">
        <v>6031</v>
      </c>
      <c r="T192" s="3"/>
      <c r="U192" s="2"/>
      <c r="V192" s="2"/>
      <c r="W192" s="2"/>
      <c r="X192" s="2"/>
      <c r="Y192" s="2"/>
      <c r="Z192" s="2"/>
      <c r="AA192" s="2"/>
      <c r="AB192" s="2"/>
      <c r="AC192" s="2"/>
      <c r="AD192" s="2"/>
    </row>
    <row r="193" spans="1:30" ht="12" customHeight="1">
      <c r="A193" s="828" t="s">
        <v>16887</v>
      </c>
      <c r="B193" s="3" t="s">
        <v>473</v>
      </c>
      <c r="C193" s="1" t="s">
        <v>482</v>
      </c>
      <c r="D193" s="5">
        <f t="shared" ref="D193:D256" si="3">DATEDIF(P193,$P$1505,"Y")</f>
        <v>57</v>
      </c>
      <c r="E193" s="2" t="s">
        <v>5</v>
      </c>
      <c r="F193" s="2"/>
      <c r="G193" s="3"/>
      <c r="H193" s="1"/>
      <c r="I193" s="1"/>
      <c r="J193" s="4" t="s">
        <v>16117</v>
      </c>
      <c r="K193" s="1"/>
      <c r="L193" s="1" t="s">
        <v>6</v>
      </c>
      <c r="M193" s="825"/>
      <c r="N193" s="17"/>
      <c r="O193" s="3" t="s">
        <v>483</v>
      </c>
      <c r="P193" s="20">
        <v>20091</v>
      </c>
      <c r="Q193" s="3" t="s">
        <v>484</v>
      </c>
      <c r="R193" s="3"/>
      <c r="S193" s="3"/>
      <c r="T193" s="3"/>
      <c r="U193" s="2"/>
      <c r="V193" s="2"/>
      <c r="W193" s="2"/>
      <c r="X193" s="2"/>
      <c r="Y193" s="2"/>
      <c r="Z193" s="2"/>
      <c r="AA193" s="2"/>
      <c r="AB193" s="2"/>
      <c r="AC193" s="2"/>
      <c r="AD193" s="2"/>
    </row>
    <row r="194" spans="1:30" ht="12" customHeight="1">
      <c r="A194" s="828" t="s">
        <v>16888</v>
      </c>
      <c r="B194" s="3" t="s">
        <v>485</v>
      </c>
      <c r="C194" s="5" t="s">
        <v>924</v>
      </c>
      <c r="D194" s="5">
        <f t="shared" si="3"/>
        <v>64</v>
      </c>
      <c r="E194" s="5" t="s">
        <v>5</v>
      </c>
      <c r="F194" s="6" t="s">
        <v>15273</v>
      </c>
      <c r="G194" s="7" t="s">
        <v>1362</v>
      </c>
      <c r="H194" s="18"/>
      <c r="I194" s="19"/>
      <c r="J194" s="8" t="s">
        <v>16127</v>
      </c>
      <c r="K194" s="5" t="s">
        <v>44</v>
      </c>
      <c r="L194" s="5" t="s">
        <v>25</v>
      </c>
      <c r="M194" s="5">
        <v>2</v>
      </c>
      <c r="N194" s="10">
        <v>4</v>
      </c>
      <c r="O194" s="7" t="s">
        <v>77</v>
      </c>
      <c r="P194" s="11">
        <v>17640</v>
      </c>
      <c r="Q194" s="7" t="s">
        <v>785</v>
      </c>
      <c r="R194" s="7" t="s">
        <v>489</v>
      </c>
      <c r="S194" s="7" t="s">
        <v>736</v>
      </c>
      <c r="T194" s="7" t="s">
        <v>75</v>
      </c>
      <c r="U194" s="2"/>
      <c r="V194" s="2"/>
      <c r="W194" s="2" t="s">
        <v>75</v>
      </c>
      <c r="X194" s="2"/>
      <c r="Y194" s="2"/>
      <c r="Z194" s="2"/>
      <c r="AA194" s="2"/>
      <c r="AB194" s="2"/>
      <c r="AC194" s="2"/>
      <c r="AD194" s="2"/>
    </row>
    <row r="195" spans="1:30" ht="12" customHeight="1">
      <c r="A195" s="828" t="s">
        <v>16889</v>
      </c>
      <c r="B195" s="3" t="s">
        <v>486</v>
      </c>
      <c r="C195" s="1" t="s">
        <v>492</v>
      </c>
      <c r="D195" s="5">
        <f t="shared" si="3"/>
        <v>69</v>
      </c>
      <c r="E195" s="2" t="s">
        <v>5</v>
      </c>
      <c r="F195" s="2" t="s">
        <v>15273</v>
      </c>
      <c r="G195" s="3"/>
      <c r="H195" s="1"/>
      <c r="I195" s="1"/>
      <c r="J195" s="4" t="s">
        <v>16120</v>
      </c>
      <c r="K195" s="1" t="s">
        <v>65</v>
      </c>
      <c r="L195" s="1" t="s">
        <v>14</v>
      </c>
      <c r="M195" s="825">
        <v>4</v>
      </c>
      <c r="N195" s="17">
        <v>4</v>
      </c>
      <c r="O195" s="3" t="s">
        <v>493</v>
      </c>
      <c r="P195" s="20">
        <v>15701</v>
      </c>
      <c r="Q195" s="3" t="s">
        <v>494</v>
      </c>
      <c r="R195" s="3" t="s">
        <v>496</v>
      </c>
      <c r="S195" s="3" t="s">
        <v>5457</v>
      </c>
      <c r="T195" s="3" t="s">
        <v>145</v>
      </c>
      <c r="U195" s="2"/>
      <c r="V195" s="2" t="s">
        <v>145</v>
      </c>
      <c r="W195" s="2"/>
      <c r="X195" s="2"/>
      <c r="Y195" s="2"/>
      <c r="Z195" s="2"/>
      <c r="AA195" s="2"/>
      <c r="AB195" s="2"/>
      <c r="AC195" s="2"/>
      <c r="AD195" s="2"/>
    </row>
    <row r="196" spans="1:30" ht="12" customHeight="1">
      <c r="A196" s="828" t="s">
        <v>16890</v>
      </c>
      <c r="B196" s="3" t="s">
        <v>487</v>
      </c>
      <c r="C196" s="1" t="s">
        <v>500</v>
      </c>
      <c r="D196" s="5">
        <f t="shared" si="3"/>
        <v>43</v>
      </c>
      <c r="E196" s="2" t="s">
        <v>5</v>
      </c>
      <c r="F196" s="2" t="s">
        <v>15273</v>
      </c>
      <c r="G196" s="3"/>
      <c r="H196" s="1"/>
      <c r="I196" s="1"/>
      <c r="J196" s="8" t="s">
        <v>16128</v>
      </c>
      <c r="K196" s="1"/>
      <c r="L196" s="1" t="s">
        <v>6</v>
      </c>
      <c r="M196" s="825"/>
      <c r="N196" s="17"/>
      <c r="O196" s="3" t="s">
        <v>501</v>
      </c>
      <c r="P196" s="20">
        <v>25303</v>
      </c>
      <c r="Q196" s="3" t="s">
        <v>502</v>
      </c>
      <c r="R196" s="3"/>
      <c r="S196" s="3" t="s">
        <v>6031</v>
      </c>
      <c r="T196" s="3"/>
      <c r="U196" s="2"/>
      <c r="V196" s="2"/>
      <c r="W196" s="2"/>
      <c r="X196" s="2"/>
      <c r="Y196" s="2"/>
      <c r="Z196" s="2"/>
      <c r="AA196" s="2"/>
      <c r="AB196" s="3"/>
      <c r="AC196" s="3"/>
      <c r="AD196" s="3"/>
    </row>
    <row r="197" spans="1:30" ht="12" customHeight="1">
      <c r="A197" s="828" t="s">
        <v>16891</v>
      </c>
      <c r="B197" s="3" t="s">
        <v>488</v>
      </c>
      <c r="C197" s="1" t="s">
        <v>497</v>
      </c>
      <c r="D197" s="5">
        <f t="shared" si="3"/>
        <v>64</v>
      </c>
      <c r="E197" s="2" t="s">
        <v>5</v>
      </c>
      <c r="F197" s="2"/>
      <c r="G197" s="3"/>
      <c r="H197" s="1"/>
      <c r="I197" s="1"/>
      <c r="J197" s="4" t="s">
        <v>16117</v>
      </c>
      <c r="K197" s="1"/>
      <c r="L197" s="1" t="s">
        <v>6</v>
      </c>
      <c r="M197" s="825"/>
      <c r="N197" s="17"/>
      <c r="O197" s="3" t="s">
        <v>498</v>
      </c>
      <c r="P197" s="21">
        <v>17557</v>
      </c>
      <c r="Q197" s="3" t="s">
        <v>499</v>
      </c>
      <c r="R197" s="3"/>
      <c r="S197" s="3"/>
      <c r="T197" s="3" t="s">
        <v>145</v>
      </c>
      <c r="U197" s="2"/>
      <c r="V197" s="2" t="s">
        <v>145</v>
      </c>
      <c r="W197" s="2"/>
      <c r="X197" s="2"/>
      <c r="Y197" s="2"/>
      <c r="Z197" s="2"/>
      <c r="AA197" s="2"/>
      <c r="AB197" s="3"/>
      <c r="AC197" s="3"/>
      <c r="AD197" s="3"/>
    </row>
    <row r="198" spans="1:30" ht="12" customHeight="1">
      <c r="A198" s="828" t="s">
        <v>16892</v>
      </c>
      <c r="B198" s="3" t="s">
        <v>503</v>
      </c>
      <c r="C198" s="1" t="s">
        <v>506</v>
      </c>
      <c r="D198" s="5">
        <f t="shared" si="3"/>
        <v>33</v>
      </c>
      <c r="E198" s="2" t="s">
        <v>5</v>
      </c>
      <c r="F198" s="2" t="s">
        <v>15273</v>
      </c>
      <c r="G198" s="3"/>
      <c r="H198" s="1"/>
      <c r="I198" s="1"/>
      <c r="J198" s="8" t="s">
        <v>16120</v>
      </c>
      <c r="K198" s="1" t="s">
        <v>30</v>
      </c>
      <c r="L198" s="1" t="s">
        <v>6</v>
      </c>
      <c r="M198" s="825"/>
      <c r="N198" s="17"/>
      <c r="O198" s="3" t="s">
        <v>462</v>
      </c>
      <c r="P198" s="20">
        <v>28967</v>
      </c>
      <c r="Q198" s="3" t="s">
        <v>508</v>
      </c>
      <c r="R198" s="3"/>
      <c r="S198" s="3" t="s">
        <v>5457</v>
      </c>
      <c r="T198" s="3"/>
      <c r="U198" s="2"/>
      <c r="V198" s="2"/>
      <c r="W198" s="2"/>
      <c r="X198" s="2"/>
      <c r="Y198" s="2"/>
      <c r="Z198" s="2"/>
      <c r="AA198" s="2"/>
      <c r="AB198" s="3"/>
      <c r="AC198" s="3"/>
      <c r="AD198" s="3"/>
    </row>
    <row r="199" spans="1:30" ht="12" customHeight="1">
      <c r="A199" s="828" t="s">
        <v>16893</v>
      </c>
      <c r="B199" s="3" t="s">
        <v>504</v>
      </c>
      <c r="C199" s="5" t="s">
        <v>919</v>
      </c>
      <c r="D199" s="5">
        <f t="shared" si="3"/>
        <v>60</v>
      </c>
      <c r="E199" s="5" t="s">
        <v>5</v>
      </c>
      <c r="F199" s="2"/>
      <c r="G199" s="7" t="s">
        <v>1363</v>
      </c>
      <c r="H199" s="18"/>
      <c r="I199" s="19"/>
      <c r="J199" s="4" t="s">
        <v>16128</v>
      </c>
      <c r="K199" s="5"/>
      <c r="L199" s="5" t="s">
        <v>25</v>
      </c>
      <c r="M199" s="5">
        <v>5</v>
      </c>
      <c r="N199" s="10">
        <v>5</v>
      </c>
      <c r="O199" s="7" t="s">
        <v>188</v>
      </c>
      <c r="P199" s="11">
        <v>19070</v>
      </c>
      <c r="Q199" s="7" t="s">
        <v>756</v>
      </c>
      <c r="R199" s="7" t="s">
        <v>833</v>
      </c>
      <c r="S199" s="7"/>
      <c r="T199" s="7" t="s">
        <v>104</v>
      </c>
      <c r="U199" s="2"/>
      <c r="V199" s="2"/>
      <c r="W199" s="2"/>
      <c r="X199" s="2"/>
      <c r="Y199" s="2"/>
      <c r="Z199" s="2"/>
      <c r="AA199" s="2" t="s">
        <v>104</v>
      </c>
      <c r="AB199" s="3"/>
      <c r="AC199" s="3"/>
      <c r="AD199" s="3"/>
    </row>
    <row r="200" spans="1:30" ht="12" customHeight="1">
      <c r="A200" s="828" t="s">
        <v>16894</v>
      </c>
      <c r="B200" s="3" t="s">
        <v>505</v>
      </c>
      <c r="C200" s="1" t="s">
        <v>509</v>
      </c>
      <c r="D200" s="5">
        <f t="shared" si="3"/>
        <v>61</v>
      </c>
      <c r="E200" s="2" t="s">
        <v>19</v>
      </c>
      <c r="F200" s="2"/>
      <c r="G200" s="3"/>
      <c r="H200" s="1"/>
      <c r="I200" s="1"/>
      <c r="J200" s="4" t="s">
        <v>16117</v>
      </c>
      <c r="K200" s="1"/>
      <c r="L200" s="1" t="s">
        <v>6</v>
      </c>
      <c r="M200" s="825"/>
      <c r="N200" s="17"/>
      <c r="O200" s="3" t="s">
        <v>510</v>
      </c>
      <c r="P200" s="21">
        <v>18732</v>
      </c>
      <c r="Q200" s="3" t="s">
        <v>511</v>
      </c>
      <c r="R200" s="3"/>
      <c r="S200" s="3"/>
      <c r="T200" s="3" t="s">
        <v>145</v>
      </c>
      <c r="U200" s="2"/>
      <c r="V200" s="2" t="s">
        <v>145</v>
      </c>
      <c r="W200" s="2"/>
      <c r="X200" s="2"/>
      <c r="Y200" s="2"/>
      <c r="Z200" s="2"/>
      <c r="AA200" s="2"/>
      <c r="AB200" s="3"/>
      <c r="AC200" s="3"/>
      <c r="AD200" s="3"/>
    </row>
    <row r="201" spans="1:30" ht="12" customHeight="1">
      <c r="A201" s="828" t="s">
        <v>16895</v>
      </c>
      <c r="B201" s="3" t="s">
        <v>512</v>
      </c>
      <c r="C201" s="1" t="s">
        <v>2072</v>
      </c>
      <c r="D201" s="5">
        <f t="shared" si="3"/>
        <v>57</v>
      </c>
      <c r="E201" s="2" t="s">
        <v>19</v>
      </c>
      <c r="F201" s="6" t="s">
        <v>15273</v>
      </c>
      <c r="G201" s="3" t="s">
        <v>5447</v>
      </c>
      <c r="H201" s="1"/>
      <c r="I201" s="1"/>
      <c r="J201" s="8" t="s">
        <v>16127</v>
      </c>
      <c r="K201" s="1" t="s">
        <v>45</v>
      </c>
      <c r="L201" s="1" t="s">
        <v>25</v>
      </c>
      <c r="M201" s="825">
        <v>1</v>
      </c>
      <c r="N201" s="17">
        <v>1</v>
      </c>
      <c r="O201" s="3" t="s">
        <v>2073</v>
      </c>
      <c r="P201" s="20">
        <v>20240</v>
      </c>
      <c r="Q201" s="3" t="s">
        <v>2075</v>
      </c>
      <c r="R201" s="3"/>
      <c r="S201" s="3"/>
      <c r="T201" s="3" t="s">
        <v>69</v>
      </c>
      <c r="U201" s="2"/>
      <c r="V201" s="2"/>
      <c r="W201" s="2"/>
      <c r="X201" s="2"/>
      <c r="Y201" s="2"/>
      <c r="Z201" s="2"/>
      <c r="AA201" s="2"/>
      <c r="AB201" s="3"/>
      <c r="AC201" s="3"/>
      <c r="AD201" s="3" t="s">
        <v>69</v>
      </c>
    </row>
    <row r="202" spans="1:30" ht="12" customHeight="1">
      <c r="A202" s="828" t="s">
        <v>16896</v>
      </c>
      <c r="B202" s="3" t="s">
        <v>513</v>
      </c>
      <c r="C202" s="5" t="s">
        <v>876</v>
      </c>
      <c r="D202" s="5">
        <f t="shared" si="3"/>
        <v>60</v>
      </c>
      <c r="E202" s="5" t="s">
        <v>5</v>
      </c>
      <c r="F202" s="6" t="s">
        <v>15273</v>
      </c>
      <c r="G202" s="12" t="s">
        <v>1306</v>
      </c>
      <c r="H202" s="18"/>
      <c r="I202" s="19"/>
      <c r="J202" s="4" t="s">
        <v>16120</v>
      </c>
      <c r="K202" s="5" t="s">
        <v>30</v>
      </c>
      <c r="L202" s="5" t="s">
        <v>25</v>
      </c>
      <c r="M202" s="5">
        <v>5</v>
      </c>
      <c r="N202" s="10">
        <v>5</v>
      </c>
      <c r="O202" s="7" t="s">
        <v>172</v>
      </c>
      <c r="P202" s="11">
        <v>19165</v>
      </c>
      <c r="Q202" s="7" t="s">
        <v>784</v>
      </c>
      <c r="R202" s="7" t="s">
        <v>819</v>
      </c>
      <c r="S202" s="7" t="s">
        <v>5457</v>
      </c>
      <c r="T202" s="3" t="s">
        <v>145</v>
      </c>
      <c r="U202" s="2"/>
      <c r="V202" s="2" t="s">
        <v>145</v>
      </c>
      <c r="W202" s="2"/>
      <c r="X202" s="2"/>
      <c r="Y202" s="2"/>
      <c r="Z202" s="2"/>
      <c r="AA202" s="2"/>
      <c r="AB202" s="3"/>
      <c r="AC202" s="3"/>
      <c r="AD202" s="3"/>
    </row>
    <row r="203" spans="1:30" ht="12" customHeight="1">
      <c r="A203" s="828" t="s">
        <v>16897</v>
      </c>
      <c r="B203" s="3" t="s">
        <v>514</v>
      </c>
      <c r="C203" s="6" t="s">
        <v>880</v>
      </c>
      <c r="D203" s="5">
        <f t="shared" si="3"/>
        <v>69</v>
      </c>
      <c r="E203" s="5" t="s">
        <v>5</v>
      </c>
      <c r="F203" s="2" t="s">
        <v>15273</v>
      </c>
      <c r="G203" s="7" t="s">
        <v>1364</v>
      </c>
      <c r="H203" s="18"/>
      <c r="I203" s="19"/>
      <c r="J203" s="4" t="s">
        <v>16125</v>
      </c>
      <c r="K203" s="5"/>
      <c r="L203" s="5" t="s">
        <v>25</v>
      </c>
      <c r="M203" s="5">
        <v>5</v>
      </c>
      <c r="N203" s="10">
        <v>8</v>
      </c>
      <c r="O203" s="7" t="s">
        <v>31</v>
      </c>
      <c r="P203" s="11">
        <v>15821</v>
      </c>
      <c r="Q203" s="7" t="s">
        <v>768</v>
      </c>
      <c r="R203" s="7" t="s">
        <v>16685</v>
      </c>
      <c r="S203" s="7" t="s">
        <v>5561</v>
      </c>
      <c r="T203" s="7" t="s">
        <v>229</v>
      </c>
      <c r="U203" s="2"/>
      <c r="V203" s="2"/>
      <c r="W203" s="2"/>
      <c r="X203" s="2" t="s">
        <v>229</v>
      </c>
      <c r="Y203" s="2"/>
      <c r="Z203" s="2"/>
      <c r="AA203" s="2"/>
      <c r="AB203" s="3"/>
      <c r="AC203" s="3"/>
      <c r="AD203" s="3"/>
    </row>
    <row r="204" spans="1:30" ht="12" customHeight="1">
      <c r="A204" s="828" t="s">
        <v>16898</v>
      </c>
      <c r="B204" s="3" t="s">
        <v>515</v>
      </c>
      <c r="C204" s="1" t="s">
        <v>519</v>
      </c>
      <c r="D204" s="5">
        <f t="shared" si="3"/>
        <v>35</v>
      </c>
      <c r="E204" s="2" t="s">
        <v>5</v>
      </c>
      <c r="F204" s="2" t="s">
        <v>15273</v>
      </c>
      <c r="G204" s="3"/>
      <c r="H204" s="1"/>
      <c r="I204" s="1"/>
      <c r="J204" s="4" t="s">
        <v>16128</v>
      </c>
      <c r="K204" s="1"/>
      <c r="L204" s="1" t="s">
        <v>6</v>
      </c>
      <c r="M204" s="825"/>
      <c r="N204" s="17"/>
      <c r="O204" s="3" t="s">
        <v>522</v>
      </c>
      <c r="P204" s="20">
        <v>28212</v>
      </c>
      <c r="Q204" s="3" t="s">
        <v>520</v>
      </c>
      <c r="R204" s="3"/>
      <c r="S204" s="3" t="s">
        <v>6031</v>
      </c>
      <c r="T204" s="3" t="s">
        <v>47</v>
      </c>
      <c r="U204" s="2" t="s">
        <v>47</v>
      </c>
      <c r="V204" s="2"/>
      <c r="W204" s="2"/>
      <c r="X204" s="2"/>
      <c r="Y204" s="2"/>
      <c r="Z204" s="2"/>
      <c r="AA204" s="2"/>
      <c r="AB204" s="3"/>
      <c r="AC204" s="3"/>
      <c r="AD204" s="3"/>
    </row>
    <row r="205" spans="1:30" ht="12" customHeight="1">
      <c r="A205" s="828" t="s">
        <v>16899</v>
      </c>
      <c r="B205" s="3" t="s">
        <v>516</v>
      </c>
      <c r="C205" s="1" t="s">
        <v>16105</v>
      </c>
      <c r="D205" s="5">
        <f t="shared" si="3"/>
        <v>65</v>
      </c>
      <c r="E205" s="2" t="s">
        <v>5</v>
      </c>
      <c r="F205" s="2"/>
      <c r="G205" s="3"/>
      <c r="H205" s="1"/>
      <c r="I205" s="1"/>
      <c r="J205" s="4" t="s">
        <v>16117</v>
      </c>
      <c r="K205" s="1"/>
      <c r="L205" s="1" t="s">
        <v>6</v>
      </c>
      <c r="M205" s="825"/>
      <c r="N205" s="17"/>
      <c r="O205" s="3" t="s">
        <v>95</v>
      </c>
      <c r="P205" s="21">
        <v>17243</v>
      </c>
      <c r="Q205" s="3" t="s">
        <v>518</v>
      </c>
      <c r="R205" s="3"/>
      <c r="S205" s="3"/>
      <c r="T205" s="3" t="s">
        <v>145</v>
      </c>
      <c r="U205" s="2"/>
      <c r="V205" s="2" t="s">
        <v>145</v>
      </c>
      <c r="W205" s="2"/>
      <c r="X205" s="2"/>
      <c r="Y205" s="2"/>
      <c r="Z205" s="2"/>
      <c r="AA205" s="2"/>
      <c r="AB205" s="3"/>
      <c r="AC205" s="3"/>
      <c r="AD205" s="3"/>
    </row>
    <row r="206" spans="1:30" ht="12" customHeight="1">
      <c r="A206" s="828" t="s">
        <v>16900</v>
      </c>
      <c r="B206" s="3" t="s">
        <v>524</v>
      </c>
      <c r="C206" s="6" t="s">
        <v>926</v>
      </c>
      <c r="D206" s="5">
        <f t="shared" si="3"/>
        <v>57</v>
      </c>
      <c r="E206" s="6" t="s">
        <v>5</v>
      </c>
      <c r="F206" s="6" t="s">
        <v>15273</v>
      </c>
      <c r="G206" s="12" t="s">
        <v>1365</v>
      </c>
      <c r="H206" s="19"/>
      <c r="I206" s="19"/>
      <c r="J206" s="4" t="s">
        <v>16120</v>
      </c>
      <c r="K206" s="6" t="s">
        <v>13</v>
      </c>
      <c r="L206" s="6" t="s">
        <v>25</v>
      </c>
      <c r="M206" s="6">
        <v>6</v>
      </c>
      <c r="N206" s="14">
        <v>6</v>
      </c>
      <c r="O206" s="12" t="s">
        <v>255</v>
      </c>
      <c r="P206" s="15">
        <v>20369</v>
      </c>
      <c r="Q206" s="12" t="s">
        <v>527</v>
      </c>
      <c r="R206" s="7" t="s">
        <v>815</v>
      </c>
      <c r="S206" s="7" t="s">
        <v>5457</v>
      </c>
      <c r="T206" s="12" t="s">
        <v>155</v>
      </c>
      <c r="U206" s="2"/>
      <c r="V206" s="2"/>
      <c r="W206" s="2"/>
      <c r="X206" s="2"/>
      <c r="Y206" s="2" t="s">
        <v>155</v>
      </c>
      <c r="Z206" s="2"/>
      <c r="AA206" s="2"/>
      <c r="AB206" s="3"/>
      <c r="AC206" s="3"/>
      <c r="AD206" s="3"/>
    </row>
    <row r="207" spans="1:30" ht="12" customHeight="1">
      <c r="A207" s="828" t="s">
        <v>16901</v>
      </c>
      <c r="B207" s="3" t="s">
        <v>525</v>
      </c>
      <c r="C207" s="6" t="s">
        <v>922</v>
      </c>
      <c r="D207" s="5">
        <f t="shared" si="3"/>
        <v>46</v>
      </c>
      <c r="E207" s="6" t="s">
        <v>5</v>
      </c>
      <c r="F207" s="2" t="s">
        <v>15273</v>
      </c>
      <c r="G207" s="12" t="s">
        <v>1298</v>
      </c>
      <c r="H207" s="19"/>
      <c r="I207" s="19"/>
      <c r="J207" s="4" t="s">
        <v>16128</v>
      </c>
      <c r="K207" s="6"/>
      <c r="L207" s="6" t="s">
        <v>25</v>
      </c>
      <c r="M207" s="6">
        <v>1</v>
      </c>
      <c r="N207" s="14">
        <v>1</v>
      </c>
      <c r="O207" s="12" t="s">
        <v>188</v>
      </c>
      <c r="P207" s="15">
        <v>24404</v>
      </c>
      <c r="Q207" s="12" t="s">
        <v>759</v>
      </c>
      <c r="R207" s="7"/>
      <c r="S207" s="7" t="s">
        <v>6031</v>
      </c>
      <c r="T207" s="7" t="s">
        <v>104</v>
      </c>
      <c r="U207" s="2"/>
      <c r="V207" s="2"/>
      <c r="W207" s="2"/>
      <c r="X207" s="2"/>
      <c r="Y207" s="2"/>
      <c r="Z207" s="2"/>
      <c r="AA207" s="2" t="s">
        <v>104</v>
      </c>
      <c r="AB207" s="3"/>
      <c r="AC207" s="3"/>
      <c r="AD207" s="3"/>
    </row>
    <row r="208" spans="1:30" ht="12" customHeight="1">
      <c r="A208" s="828" t="s">
        <v>16902</v>
      </c>
      <c r="B208" s="3" t="s">
        <v>526</v>
      </c>
      <c r="C208" s="1" t="s">
        <v>529</v>
      </c>
      <c r="D208" s="5">
        <f t="shared" si="3"/>
        <v>56</v>
      </c>
      <c r="E208" s="2" t="s">
        <v>5</v>
      </c>
      <c r="F208" s="2"/>
      <c r="G208" s="3"/>
      <c r="H208" s="1"/>
      <c r="I208" s="1"/>
      <c r="J208" s="4" t="s">
        <v>16117</v>
      </c>
      <c r="K208" s="1"/>
      <c r="L208" s="1" t="s">
        <v>6</v>
      </c>
      <c r="M208" s="825"/>
      <c r="N208" s="17"/>
      <c r="O208" s="3" t="s">
        <v>530</v>
      </c>
      <c r="P208" s="20">
        <v>20476</v>
      </c>
      <c r="Q208" s="3" t="s">
        <v>531</v>
      </c>
      <c r="R208" s="22"/>
      <c r="S208" s="22"/>
      <c r="T208" s="3"/>
      <c r="U208" s="2"/>
      <c r="V208" s="2"/>
      <c r="W208" s="2"/>
      <c r="X208" s="2"/>
      <c r="Y208" s="2"/>
      <c r="Z208" s="2"/>
      <c r="AA208" s="2"/>
      <c r="AB208" s="3"/>
      <c r="AC208" s="3"/>
      <c r="AD208" s="3"/>
    </row>
    <row r="209" spans="1:30" ht="12" customHeight="1">
      <c r="A209" s="828" t="s">
        <v>16903</v>
      </c>
      <c r="B209" s="3" t="s">
        <v>535</v>
      </c>
      <c r="C209" s="6" t="s">
        <v>861</v>
      </c>
      <c r="D209" s="5">
        <f t="shared" si="3"/>
        <v>42</v>
      </c>
      <c r="E209" s="6" t="s">
        <v>5</v>
      </c>
      <c r="F209" s="6" t="s">
        <v>15273</v>
      </c>
      <c r="G209" s="12" t="s">
        <v>1366</v>
      </c>
      <c r="H209" s="19"/>
      <c r="I209" s="19"/>
      <c r="J209" s="8" t="s">
        <v>16126</v>
      </c>
      <c r="K209" s="6" t="s">
        <v>44</v>
      </c>
      <c r="L209" s="6" t="s">
        <v>25</v>
      </c>
      <c r="M209" s="6">
        <v>1</v>
      </c>
      <c r="N209" s="14">
        <v>1</v>
      </c>
      <c r="O209" s="12" t="s">
        <v>381</v>
      </c>
      <c r="P209" s="15">
        <v>25613</v>
      </c>
      <c r="Q209" s="12" t="s">
        <v>772</v>
      </c>
      <c r="R209" s="12"/>
      <c r="S209" s="12"/>
      <c r="T209" s="12" t="s">
        <v>155</v>
      </c>
      <c r="U209" s="2"/>
      <c r="V209" s="2"/>
      <c r="W209" s="2"/>
      <c r="X209" s="2"/>
      <c r="Y209" s="2" t="s">
        <v>155</v>
      </c>
      <c r="Z209" s="2"/>
      <c r="AA209" s="2"/>
      <c r="AB209" s="2"/>
      <c r="AC209" s="2"/>
      <c r="AD209" s="2"/>
    </row>
    <row r="210" spans="1:30" ht="12" customHeight="1">
      <c r="A210" s="828" t="s">
        <v>16904</v>
      </c>
      <c r="B210" s="3" t="s">
        <v>536</v>
      </c>
      <c r="C210" s="6" t="s">
        <v>875</v>
      </c>
      <c r="D210" s="5">
        <f t="shared" si="3"/>
        <v>59</v>
      </c>
      <c r="E210" s="6" t="s">
        <v>5</v>
      </c>
      <c r="F210" s="6" t="s">
        <v>15273</v>
      </c>
      <c r="G210" s="12" t="s">
        <v>1301</v>
      </c>
      <c r="H210" s="19"/>
      <c r="I210" s="19"/>
      <c r="J210" s="8" t="s">
        <v>16120</v>
      </c>
      <c r="K210" s="6" t="s">
        <v>13</v>
      </c>
      <c r="L210" s="6" t="s">
        <v>25</v>
      </c>
      <c r="M210" s="6">
        <v>7</v>
      </c>
      <c r="N210" s="14">
        <v>7</v>
      </c>
      <c r="O210" s="19" t="s">
        <v>23</v>
      </c>
      <c r="P210" s="15">
        <v>19350</v>
      </c>
      <c r="Q210" s="12" t="s">
        <v>751</v>
      </c>
      <c r="R210" s="19" t="s">
        <v>816</v>
      </c>
      <c r="S210" s="19" t="s">
        <v>5457</v>
      </c>
      <c r="T210" s="19" t="s">
        <v>104</v>
      </c>
      <c r="U210" s="2"/>
      <c r="V210" s="2"/>
      <c r="W210" s="2"/>
      <c r="X210" s="2"/>
      <c r="Y210" s="2"/>
      <c r="Z210" s="2"/>
      <c r="AA210" s="2" t="s">
        <v>104</v>
      </c>
      <c r="AB210" s="2"/>
      <c r="AC210" s="2"/>
      <c r="AD210" s="2"/>
    </row>
    <row r="211" spans="1:30" ht="12" customHeight="1">
      <c r="A211" s="828" t="s">
        <v>16905</v>
      </c>
      <c r="B211" s="3" t="s">
        <v>537</v>
      </c>
      <c r="C211" s="1" t="s">
        <v>544</v>
      </c>
      <c r="D211" s="5">
        <f t="shared" si="3"/>
        <v>52</v>
      </c>
      <c r="E211" s="2" t="s">
        <v>5</v>
      </c>
      <c r="F211" s="2" t="s">
        <v>15273</v>
      </c>
      <c r="G211" s="3"/>
      <c r="H211" s="1"/>
      <c r="I211" s="1"/>
      <c r="J211" s="4" t="s">
        <v>16125</v>
      </c>
      <c r="K211" s="1"/>
      <c r="L211" s="1" t="s">
        <v>6</v>
      </c>
      <c r="M211" s="825"/>
      <c r="N211" s="17"/>
      <c r="O211" s="3" t="s">
        <v>317</v>
      </c>
      <c r="P211" s="20">
        <v>22114</v>
      </c>
      <c r="Q211" s="3" t="s">
        <v>548</v>
      </c>
      <c r="R211" s="3"/>
      <c r="S211" s="3" t="s">
        <v>5561</v>
      </c>
      <c r="T211" s="3" t="s">
        <v>547</v>
      </c>
      <c r="U211" s="2" t="s">
        <v>47</v>
      </c>
      <c r="V211" s="2" t="s">
        <v>145</v>
      </c>
      <c r="W211" s="2"/>
      <c r="X211" s="2"/>
      <c r="Y211" s="2"/>
      <c r="Z211" s="2"/>
      <c r="AA211" s="2"/>
      <c r="AB211" s="2"/>
      <c r="AC211" s="2"/>
      <c r="AD211" s="2"/>
    </row>
    <row r="212" spans="1:30" ht="12" customHeight="1">
      <c r="A212" s="828" t="s">
        <v>16906</v>
      </c>
      <c r="B212" s="3" t="s">
        <v>538</v>
      </c>
      <c r="C212" s="6" t="s">
        <v>897</v>
      </c>
      <c r="D212" s="5">
        <f t="shared" si="3"/>
        <v>41</v>
      </c>
      <c r="E212" s="6" t="s">
        <v>5</v>
      </c>
      <c r="F212" s="2" t="s">
        <v>15273</v>
      </c>
      <c r="G212" s="12" t="s">
        <v>1367</v>
      </c>
      <c r="H212" s="6" t="s">
        <v>373</v>
      </c>
      <c r="I212" s="19"/>
      <c r="J212" s="4" t="s">
        <v>16116</v>
      </c>
      <c r="K212" s="6" t="s">
        <v>469</v>
      </c>
      <c r="L212" s="6" t="s">
        <v>6</v>
      </c>
      <c r="M212" s="6"/>
      <c r="N212" s="14">
        <v>1</v>
      </c>
      <c r="O212" s="12" t="s">
        <v>255</v>
      </c>
      <c r="P212" s="15">
        <v>25987</v>
      </c>
      <c r="Q212" s="12" t="s">
        <v>787</v>
      </c>
      <c r="R212" s="12" t="s">
        <v>550</v>
      </c>
      <c r="S212" s="12" t="s">
        <v>16464</v>
      </c>
      <c r="T212" s="19" t="s">
        <v>551</v>
      </c>
      <c r="U212" s="2" t="s">
        <v>47</v>
      </c>
      <c r="V212" s="2"/>
      <c r="W212" s="2"/>
      <c r="X212" s="2" t="s">
        <v>229</v>
      </c>
      <c r="Y212" s="2"/>
      <c r="Z212" s="2"/>
      <c r="AA212" s="2" t="s">
        <v>104</v>
      </c>
      <c r="AB212" s="2"/>
      <c r="AC212" s="2"/>
      <c r="AD212" s="2"/>
    </row>
    <row r="213" spans="1:30" ht="12" customHeight="1">
      <c r="A213" s="828" t="s">
        <v>16907</v>
      </c>
      <c r="B213" s="3" t="s">
        <v>549</v>
      </c>
      <c r="C213" s="1" t="s">
        <v>540</v>
      </c>
      <c r="D213" s="5">
        <f t="shared" si="3"/>
        <v>64</v>
      </c>
      <c r="E213" s="2" t="s">
        <v>5</v>
      </c>
      <c r="F213" s="2"/>
      <c r="G213" s="3"/>
      <c r="H213" s="1"/>
      <c r="I213" s="1"/>
      <c r="J213" s="4" t="s">
        <v>16117</v>
      </c>
      <c r="K213" s="1"/>
      <c r="L213" s="1" t="s">
        <v>6</v>
      </c>
      <c r="M213" s="825"/>
      <c r="N213" s="17"/>
      <c r="O213" s="3" t="s">
        <v>541</v>
      </c>
      <c r="P213" s="21">
        <v>17572</v>
      </c>
      <c r="Q213" s="3" t="s">
        <v>542</v>
      </c>
      <c r="R213" s="3"/>
      <c r="S213" s="3"/>
      <c r="T213" s="3" t="s">
        <v>69</v>
      </c>
      <c r="U213" s="2"/>
      <c r="V213" s="2"/>
      <c r="W213" s="2"/>
      <c r="X213" s="2"/>
      <c r="Y213" s="2"/>
      <c r="Z213" s="2"/>
      <c r="AA213" s="2"/>
      <c r="AB213" s="2"/>
      <c r="AC213" s="2"/>
      <c r="AD213" s="2" t="s">
        <v>69</v>
      </c>
    </row>
    <row r="214" spans="1:30" ht="12" customHeight="1">
      <c r="A214" s="828" t="s">
        <v>16908</v>
      </c>
      <c r="B214" s="3" t="s">
        <v>552</v>
      </c>
      <c r="C214" s="1" t="s">
        <v>5847</v>
      </c>
      <c r="D214" s="5">
        <f t="shared" si="3"/>
        <v>67</v>
      </c>
      <c r="E214" s="2" t="s">
        <v>5</v>
      </c>
      <c r="F214" s="6" t="s">
        <v>15273</v>
      </c>
      <c r="G214" s="3" t="s">
        <v>5848</v>
      </c>
      <c r="H214" s="1"/>
      <c r="I214" s="1"/>
      <c r="J214" s="8" t="s">
        <v>16127</v>
      </c>
      <c r="K214" s="1" t="s">
        <v>45</v>
      </c>
      <c r="L214" s="1" t="s">
        <v>25</v>
      </c>
      <c r="M214" s="825">
        <v>1</v>
      </c>
      <c r="N214" s="17">
        <v>1</v>
      </c>
      <c r="O214" s="3" t="s">
        <v>381</v>
      </c>
      <c r="P214" s="20">
        <v>16472</v>
      </c>
      <c r="Q214" s="3" t="s">
        <v>5849</v>
      </c>
      <c r="R214" s="3"/>
      <c r="S214" s="3"/>
      <c r="T214" s="3" t="s">
        <v>148</v>
      </c>
      <c r="U214" s="2"/>
      <c r="V214" s="2" t="s">
        <v>145</v>
      </c>
      <c r="W214" s="2"/>
      <c r="X214" s="2"/>
      <c r="Y214" s="2"/>
      <c r="Z214" s="2"/>
      <c r="AA214" s="2"/>
      <c r="AB214" s="2"/>
      <c r="AC214" s="2"/>
      <c r="AD214" s="2" t="s">
        <v>69</v>
      </c>
    </row>
    <row r="215" spans="1:30" ht="12" customHeight="1">
      <c r="A215" s="828" t="s">
        <v>16909</v>
      </c>
      <c r="B215" s="3" t="s">
        <v>553</v>
      </c>
      <c r="C215" s="1" t="s">
        <v>556</v>
      </c>
      <c r="D215" s="5">
        <f t="shared" si="3"/>
        <v>32</v>
      </c>
      <c r="E215" s="2" t="s">
        <v>5</v>
      </c>
      <c r="F215" s="2" t="s">
        <v>15273</v>
      </c>
      <c r="G215" s="3"/>
      <c r="H215" s="1"/>
      <c r="I215" s="1"/>
      <c r="J215" s="4" t="s">
        <v>16120</v>
      </c>
      <c r="K215" s="1" t="s">
        <v>30</v>
      </c>
      <c r="L215" s="1" t="s">
        <v>6</v>
      </c>
      <c r="M215" s="825"/>
      <c r="N215" s="17"/>
      <c r="O215" s="3" t="s">
        <v>557</v>
      </c>
      <c r="P215" s="20">
        <v>29228</v>
      </c>
      <c r="Q215" s="3" t="s">
        <v>558</v>
      </c>
      <c r="R215" s="3"/>
      <c r="S215" s="3" t="s">
        <v>5457</v>
      </c>
      <c r="T215" s="3" t="s">
        <v>559</v>
      </c>
      <c r="U215" s="2"/>
      <c r="V215" s="2" t="s">
        <v>145</v>
      </c>
      <c r="W215" s="2"/>
      <c r="X215" s="2"/>
      <c r="Y215" s="2"/>
      <c r="Z215" s="2"/>
      <c r="AA215" s="2"/>
      <c r="AB215" s="2" t="s">
        <v>147</v>
      </c>
      <c r="AC215" s="2"/>
      <c r="AD215" s="2"/>
    </row>
    <row r="216" spans="1:30" ht="12" customHeight="1">
      <c r="A216" s="828" t="s">
        <v>16910</v>
      </c>
      <c r="B216" s="3" t="s">
        <v>554</v>
      </c>
      <c r="C216" s="5" t="s">
        <v>900</v>
      </c>
      <c r="D216" s="5">
        <f t="shared" si="3"/>
        <v>40</v>
      </c>
      <c r="E216" s="5" t="s">
        <v>5</v>
      </c>
      <c r="F216" s="2" t="s">
        <v>15273</v>
      </c>
      <c r="G216" s="7" t="s">
        <v>1368</v>
      </c>
      <c r="H216" s="18"/>
      <c r="I216" s="19"/>
      <c r="J216" s="4" t="s">
        <v>16116</v>
      </c>
      <c r="K216" s="6" t="s">
        <v>564</v>
      </c>
      <c r="L216" s="5" t="s">
        <v>25</v>
      </c>
      <c r="M216" s="5">
        <v>2</v>
      </c>
      <c r="N216" s="10">
        <v>2</v>
      </c>
      <c r="O216" s="7" t="s">
        <v>188</v>
      </c>
      <c r="P216" s="11">
        <v>26347</v>
      </c>
      <c r="Q216" s="7" t="s">
        <v>761</v>
      </c>
      <c r="R216" s="7"/>
      <c r="S216" s="7" t="s">
        <v>18564</v>
      </c>
      <c r="T216" s="7" t="s">
        <v>547</v>
      </c>
      <c r="U216" s="2" t="s">
        <v>47</v>
      </c>
      <c r="V216" s="2" t="s">
        <v>145</v>
      </c>
      <c r="W216" s="2"/>
      <c r="X216" s="2"/>
      <c r="Y216" s="2"/>
      <c r="Z216" s="2"/>
      <c r="AA216" s="2"/>
      <c r="AB216" s="2"/>
      <c r="AC216" s="2"/>
      <c r="AD216" s="2"/>
    </row>
    <row r="217" spans="1:30" ht="12" customHeight="1">
      <c r="A217" s="828" t="s">
        <v>16911</v>
      </c>
      <c r="B217" s="3" t="s">
        <v>555</v>
      </c>
      <c r="C217" s="1" t="s">
        <v>561</v>
      </c>
      <c r="D217" s="5">
        <f t="shared" si="3"/>
        <v>62</v>
      </c>
      <c r="E217" s="2" t="s">
        <v>5</v>
      </c>
      <c r="F217" s="2"/>
      <c r="G217" s="3"/>
      <c r="H217" s="1"/>
      <c r="I217" s="1"/>
      <c r="J217" s="4" t="s">
        <v>16117</v>
      </c>
      <c r="K217" s="1"/>
      <c r="L217" s="1" t="s">
        <v>6</v>
      </c>
      <c r="M217" s="825"/>
      <c r="N217" s="17"/>
      <c r="O217" s="3" t="s">
        <v>562</v>
      </c>
      <c r="P217" s="21">
        <v>18296</v>
      </c>
      <c r="Q217" s="3" t="s">
        <v>563</v>
      </c>
      <c r="R217" s="3"/>
      <c r="S217" s="3"/>
      <c r="T217" s="3" t="s">
        <v>145</v>
      </c>
      <c r="U217" s="2"/>
      <c r="V217" s="2" t="s">
        <v>145</v>
      </c>
      <c r="W217" s="2"/>
      <c r="X217" s="2"/>
      <c r="Y217" s="2"/>
      <c r="Z217" s="2"/>
      <c r="AA217" s="2"/>
      <c r="AB217" s="2"/>
      <c r="AC217" s="2"/>
      <c r="AD217" s="2"/>
    </row>
    <row r="218" spans="1:30" ht="12" customHeight="1">
      <c r="A218" s="828" t="s">
        <v>16912</v>
      </c>
      <c r="B218" s="3" t="s">
        <v>565</v>
      </c>
      <c r="C218" s="6" t="s">
        <v>856</v>
      </c>
      <c r="D218" s="5">
        <f t="shared" si="3"/>
        <v>47</v>
      </c>
      <c r="E218" s="6" t="s">
        <v>5</v>
      </c>
      <c r="F218" s="6" t="s">
        <v>15273</v>
      </c>
      <c r="G218" s="12" t="s">
        <v>1369</v>
      </c>
      <c r="H218" s="19"/>
      <c r="I218" s="19"/>
      <c r="J218" s="8" t="s">
        <v>16127</v>
      </c>
      <c r="K218" s="6" t="s">
        <v>44</v>
      </c>
      <c r="L218" s="6" t="s">
        <v>25</v>
      </c>
      <c r="M218" s="6">
        <v>1</v>
      </c>
      <c r="N218" s="14">
        <v>1</v>
      </c>
      <c r="O218" s="12" t="s">
        <v>447</v>
      </c>
      <c r="P218" s="15">
        <v>24011</v>
      </c>
      <c r="Q218" s="12" t="s">
        <v>759</v>
      </c>
      <c r="R218" s="3"/>
      <c r="S218" s="3"/>
      <c r="T218" s="3"/>
      <c r="U218" s="2"/>
      <c r="V218" s="2"/>
      <c r="W218" s="2"/>
      <c r="X218" s="2"/>
      <c r="Y218" s="2"/>
      <c r="Z218" s="2"/>
      <c r="AA218" s="2"/>
      <c r="AB218" s="2"/>
      <c r="AC218" s="2"/>
      <c r="AD218" s="2"/>
    </row>
    <row r="219" spans="1:30" ht="12" customHeight="1">
      <c r="A219" s="828" t="s">
        <v>16913</v>
      </c>
      <c r="B219" s="3" t="s">
        <v>566</v>
      </c>
      <c r="C219" s="1" t="s">
        <v>569</v>
      </c>
      <c r="D219" s="5">
        <f t="shared" si="3"/>
        <v>46</v>
      </c>
      <c r="E219" s="2" t="s">
        <v>5</v>
      </c>
      <c r="F219" s="2" t="s">
        <v>15273</v>
      </c>
      <c r="G219" s="3"/>
      <c r="H219" s="1"/>
      <c r="I219" s="1"/>
      <c r="J219" s="4" t="s">
        <v>16120</v>
      </c>
      <c r="K219" s="1" t="s">
        <v>13</v>
      </c>
      <c r="L219" s="1" t="s">
        <v>6</v>
      </c>
      <c r="M219" s="825"/>
      <c r="N219" s="17"/>
      <c r="O219" s="3" t="s">
        <v>570</v>
      </c>
      <c r="P219" s="20">
        <v>24348</v>
      </c>
      <c r="Q219" s="3" t="s">
        <v>571</v>
      </c>
      <c r="R219" s="3"/>
      <c r="S219" s="3" t="s">
        <v>5457</v>
      </c>
      <c r="T219" s="3" t="s">
        <v>572</v>
      </c>
      <c r="U219" s="2"/>
      <c r="V219" s="2" t="s">
        <v>145</v>
      </c>
      <c r="W219" s="2"/>
      <c r="X219" s="2"/>
      <c r="Y219" s="2"/>
      <c r="Z219" s="2"/>
      <c r="AA219" s="2" t="s">
        <v>104</v>
      </c>
      <c r="AB219" s="2"/>
      <c r="AC219" s="2"/>
      <c r="AD219" s="2"/>
    </row>
    <row r="220" spans="1:30" ht="12" customHeight="1">
      <c r="A220" s="828" t="s">
        <v>16914</v>
      </c>
      <c r="B220" s="3" t="s">
        <v>567</v>
      </c>
      <c r="C220" s="1" t="s">
        <v>576</v>
      </c>
      <c r="D220" s="5">
        <f t="shared" si="3"/>
        <v>60</v>
      </c>
      <c r="E220" s="2" t="s">
        <v>5</v>
      </c>
      <c r="F220" s="2" t="s">
        <v>15273</v>
      </c>
      <c r="G220" s="3"/>
      <c r="H220" s="1"/>
      <c r="I220" s="1"/>
      <c r="J220" s="4" t="s">
        <v>16125</v>
      </c>
      <c r="K220" s="1"/>
      <c r="L220" s="1" t="s">
        <v>6</v>
      </c>
      <c r="M220" s="825"/>
      <c r="N220" s="17"/>
      <c r="O220" s="3" t="s">
        <v>577</v>
      </c>
      <c r="P220" s="20">
        <v>19304</v>
      </c>
      <c r="Q220" s="3" t="s">
        <v>578</v>
      </c>
      <c r="R220" s="3"/>
      <c r="S220" s="3" t="s">
        <v>5561</v>
      </c>
      <c r="T220" s="3" t="s">
        <v>145</v>
      </c>
      <c r="U220" s="2"/>
      <c r="V220" s="2" t="s">
        <v>145</v>
      </c>
      <c r="W220" s="2"/>
      <c r="X220" s="2"/>
      <c r="Y220" s="2"/>
      <c r="Z220" s="2"/>
      <c r="AA220" s="2"/>
      <c r="AB220" s="2"/>
      <c r="AC220" s="2"/>
      <c r="AD220" s="2"/>
    </row>
    <row r="221" spans="1:30" ht="12" customHeight="1">
      <c r="A221" s="828" t="s">
        <v>16915</v>
      </c>
      <c r="B221" s="3" t="s">
        <v>568</v>
      </c>
      <c r="C221" s="1" t="s">
        <v>573</v>
      </c>
      <c r="D221" s="5">
        <f t="shared" si="3"/>
        <v>53</v>
      </c>
      <c r="E221" s="2" t="s">
        <v>5</v>
      </c>
      <c r="F221" s="2"/>
      <c r="G221" s="3"/>
      <c r="H221" s="1"/>
      <c r="I221" s="1"/>
      <c r="J221" s="4" t="s">
        <v>16117</v>
      </c>
      <c r="K221" s="1"/>
      <c r="L221" s="1" t="s">
        <v>6</v>
      </c>
      <c r="M221" s="825"/>
      <c r="N221" s="17"/>
      <c r="O221" s="3" t="s">
        <v>83</v>
      </c>
      <c r="P221" s="20">
        <v>21719</v>
      </c>
      <c r="Q221" s="3" t="s">
        <v>575</v>
      </c>
      <c r="R221" s="3"/>
      <c r="S221" s="3"/>
      <c r="T221" s="3" t="s">
        <v>69</v>
      </c>
      <c r="U221" s="2"/>
      <c r="V221" s="2"/>
      <c r="W221" s="2"/>
      <c r="X221" s="2"/>
      <c r="Y221" s="2"/>
      <c r="Z221" s="2"/>
      <c r="AA221" s="2"/>
      <c r="AB221" s="2"/>
      <c r="AC221" s="2"/>
      <c r="AD221" s="2" t="s">
        <v>69</v>
      </c>
    </row>
    <row r="222" spans="1:30" ht="12" customHeight="1">
      <c r="A222" s="828" t="s">
        <v>16916</v>
      </c>
      <c r="B222" s="3" t="s">
        <v>579</v>
      </c>
      <c r="C222" s="1" t="s">
        <v>5574</v>
      </c>
      <c r="D222" s="5">
        <f t="shared" si="3"/>
        <v>25</v>
      </c>
      <c r="E222" s="2" t="s">
        <v>5</v>
      </c>
      <c r="F222" s="6" t="s">
        <v>15273</v>
      </c>
      <c r="G222" s="3"/>
      <c r="H222" s="1"/>
      <c r="I222" s="1"/>
      <c r="J222" s="8" t="s">
        <v>16126</v>
      </c>
      <c r="K222" s="1" t="s">
        <v>44</v>
      </c>
      <c r="L222" s="1" t="s">
        <v>6</v>
      </c>
      <c r="M222" s="825"/>
      <c r="N222" s="17"/>
      <c r="O222" s="3" t="s">
        <v>321</v>
      </c>
      <c r="P222" s="20">
        <v>32124</v>
      </c>
      <c r="Q222" s="3" t="s">
        <v>5575</v>
      </c>
      <c r="R222" s="3"/>
      <c r="S222" s="3"/>
      <c r="T222" s="3"/>
      <c r="U222" s="2"/>
      <c r="V222" s="2"/>
      <c r="W222" s="2"/>
      <c r="X222" s="2"/>
      <c r="Y222" s="2"/>
      <c r="Z222" s="2"/>
      <c r="AA222" s="2"/>
      <c r="AB222" s="2"/>
      <c r="AC222" s="2"/>
      <c r="AD222" s="2"/>
    </row>
    <row r="223" spans="1:30" ht="12" customHeight="1">
      <c r="A223" s="828" t="s">
        <v>16917</v>
      </c>
      <c r="B223" s="3" t="s">
        <v>580</v>
      </c>
      <c r="C223" s="1" t="s">
        <v>583</v>
      </c>
      <c r="D223" s="5">
        <f t="shared" si="3"/>
        <v>45</v>
      </c>
      <c r="E223" s="2" t="s">
        <v>5</v>
      </c>
      <c r="F223" s="2" t="s">
        <v>15273</v>
      </c>
      <c r="G223" s="3"/>
      <c r="H223" s="1"/>
      <c r="I223" s="1"/>
      <c r="J223" s="8" t="s">
        <v>16120</v>
      </c>
      <c r="K223" s="1" t="s">
        <v>48</v>
      </c>
      <c r="L223" s="1" t="s">
        <v>6</v>
      </c>
      <c r="M223" s="825"/>
      <c r="N223" s="17"/>
      <c r="O223" s="3" t="s">
        <v>31</v>
      </c>
      <c r="P223" s="21">
        <v>24536</v>
      </c>
      <c r="Q223" s="3" t="s">
        <v>584</v>
      </c>
      <c r="R223" s="3"/>
      <c r="S223" s="3" t="s">
        <v>5457</v>
      </c>
      <c r="T223" s="3" t="s">
        <v>104</v>
      </c>
      <c r="U223" s="2"/>
      <c r="V223" s="2"/>
      <c r="W223" s="2"/>
      <c r="X223" s="2"/>
      <c r="Y223" s="2"/>
      <c r="Z223" s="2"/>
      <c r="AA223" s="2" t="s">
        <v>104</v>
      </c>
      <c r="AB223" s="2"/>
      <c r="AC223" s="2"/>
      <c r="AD223" s="2"/>
    </row>
    <row r="224" spans="1:30" ht="12" customHeight="1">
      <c r="A224" s="828" t="s">
        <v>16918</v>
      </c>
      <c r="B224" s="3" t="s">
        <v>581</v>
      </c>
      <c r="C224" s="1" t="s">
        <v>589</v>
      </c>
      <c r="D224" s="5">
        <f t="shared" si="3"/>
        <v>28</v>
      </c>
      <c r="E224" s="2" t="s">
        <v>19</v>
      </c>
      <c r="F224" s="2" t="s">
        <v>15273</v>
      </c>
      <c r="G224" s="3"/>
      <c r="H224" s="1"/>
      <c r="I224" s="1"/>
      <c r="J224" s="4" t="s">
        <v>16116</v>
      </c>
      <c r="K224" s="1" t="s">
        <v>4997</v>
      </c>
      <c r="L224" s="1" t="s">
        <v>6</v>
      </c>
      <c r="M224" s="825"/>
      <c r="N224" s="17"/>
      <c r="O224" s="3" t="s">
        <v>590</v>
      </c>
      <c r="P224" s="20">
        <v>30823</v>
      </c>
      <c r="Q224" s="3" t="s">
        <v>591</v>
      </c>
      <c r="R224" s="3"/>
      <c r="S224" s="3"/>
      <c r="T224" s="3" t="s">
        <v>173</v>
      </c>
      <c r="U224" s="2"/>
      <c r="V224" s="2" t="s">
        <v>145</v>
      </c>
      <c r="W224" s="2"/>
      <c r="X224" s="2"/>
      <c r="Y224" s="2" t="s">
        <v>155</v>
      </c>
      <c r="Z224" s="2"/>
      <c r="AA224" s="2"/>
      <c r="AB224" s="2"/>
      <c r="AC224" s="2"/>
      <c r="AD224" s="2"/>
    </row>
    <row r="225" spans="1:30" ht="12" customHeight="1">
      <c r="A225" s="828" t="s">
        <v>16919</v>
      </c>
      <c r="B225" s="3" t="s">
        <v>582</v>
      </c>
      <c r="C225" s="1" t="s">
        <v>585</v>
      </c>
      <c r="D225" s="5">
        <f t="shared" si="3"/>
        <v>63</v>
      </c>
      <c r="E225" s="2" t="s">
        <v>5</v>
      </c>
      <c r="F225" s="2"/>
      <c r="G225" s="3"/>
      <c r="H225" s="1"/>
      <c r="I225" s="1"/>
      <c r="J225" s="4" t="s">
        <v>16117</v>
      </c>
      <c r="K225" s="1"/>
      <c r="L225" s="1" t="s">
        <v>6</v>
      </c>
      <c r="M225" s="825"/>
      <c r="N225" s="17"/>
      <c r="O225" s="3" t="s">
        <v>587</v>
      </c>
      <c r="P225" s="21">
        <v>17899</v>
      </c>
      <c r="Q225" s="3" t="s">
        <v>588</v>
      </c>
      <c r="R225" s="3"/>
      <c r="S225" s="3"/>
      <c r="T225" s="3" t="s">
        <v>69</v>
      </c>
      <c r="U225" s="2"/>
      <c r="V225" s="2"/>
      <c r="W225" s="2"/>
      <c r="X225" s="2"/>
      <c r="Y225" s="2"/>
      <c r="Z225" s="2"/>
      <c r="AA225" s="2"/>
      <c r="AB225" s="2"/>
      <c r="AC225" s="2"/>
      <c r="AD225" s="2" t="s">
        <v>69</v>
      </c>
    </row>
    <row r="226" spans="1:30" ht="12" customHeight="1">
      <c r="A226" s="828" t="s">
        <v>16920</v>
      </c>
      <c r="B226" s="3" t="s">
        <v>593</v>
      </c>
      <c r="C226" s="6" t="s">
        <v>894</v>
      </c>
      <c r="D226" s="5">
        <f t="shared" si="3"/>
        <v>39</v>
      </c>
      <c r="E226" s="6" t="s">
        <v>19</v>
      </c>
      <c r="F226" s="6" t="s">
        <v>15273</v>
      </c>
      <c r="G226" s="12" t="s">
        <v>1370</v>
      </c>
      <c r="H226" s="19"/>
      <c r="I226" s="19"/>
      <c r="J226" s="4" t="s">
        <v>16120</v>
      </c>
      <c r="K226" s="6" t="s">
        <v>13</v>
      </c>
      <c r="L226" s="6" t="s">
        <v>25</v>
      </c>
      <c r="M226" s="6">
        <v>4</v>
      </c>
      <c r="N226" s="14">
        <v>4</v>
      </c>
      <c r="O226" s="12" t="s">
        <v>245</v>
      </c>
      <c r="P226" s="15">
        <v>27009</v>
      </c>
      <c r="Q226" s="12" t="s">
        <v>5614</v>
      </c>
      <c r="R226" s="12" t="s">
        <v>818</v>
      </c>
      <c r="S226" s="12" t="s">
        <v>6051</v>
      </c>
      <c r="T226" s="12" t="s">
        <v>258</v>
      </c>
      <c r="U226" s="2"/>
      <c r="V226" s="2"/>
      <c r="W226" s="2"/>
      <c r="X226" s="2"/>
      <c r="Y226" s="2" t="s">
        <v>155</v>
      </c>
      <c r="Z226" s="2"/>
      <c r="AA226" s="2" t="s">
        <v>104</v>
      </c>
      <c r="AB226" s="2"/>
      <c r="AC226" s="2"/>
      <c r="AD226" s="2"/>
    </row>
    <row r="227" spans="1:30" ht="12" customHeight="1">
      <c r="A227" s="828" t="s">
        <v>16921</v>
      </c>
      <c r="B227" s="3" t="s">
        <v>594</v>
      </c>
      <c r="C227" s="1" t="s">
        <v>596</v>
      </c>
      <c r="D227" s="5">
        <f t="shared" si="3"/>
        <v>44</v>
      </c>
      <c r="E227" s="2" t="s">
        <v>5</v>
      </c>
      <c r="F227" s="2"/>
      <c r="G227" s="3"/>
      <c r="H227" s="1"/>
      <c r="I227" s="1"/>
      <c r="J227" s="4" t="s">
        <v>16117</v>
      </c>
      <c r="K227" s="1"/>
      <c r="L227" s="1" t="s">
        <v>6</v>
      </c>
      <c r="M227" s="825"/>
      <c r="N227" s="17"/>
      <c r="O227" s="3" t="s">
        <v>597</v>
      </c>
      <c r="P227" s="21">
        <v>25149</v>
      </c>
      <c r="Q227" s="3" t="s">
        <v>531</v>
      </c>
      <c r="R227" s="3"/>
      <c r="S227" s="3"/>
      <c r="T227" s="3"/>
      <c r="U227" s="2"/>
      <c r="V227" s="2"/>
      <c r="W227" s="2"/>
      <c r="X227" s="2"/>
      <c r="Y227" s="2"/>
      <c r="Z227" s="2"/>
      <c r="AA227" s="2"/>
      <c r="AB227" s="2"/>
      <c r="AC227" s="2"/>
      <c r="AD227" s="2"/>
    </row>
    <row r="228" spans="1:30" ht="12" customHeight="1">
      <c r="A228" s="828" t="s">
        <v>16922</v>
      </c>
      <c r="B228" s="3" t="s">
        <v>595</v>
      </c>
      <c r="C228" s="1" t="s">
        <v>1437</v>
      </c>
      <c r="D228" s="5">
        <f t="shared" si="3"/>
        <v>61</v>
      </c>
      <c r="E228" s="2" t="s">
        <v>5</v>
      </c>
      <c r="F228" s="2" t="s">
        <v>15273</v>
      </c>
      <c r="G228" s="3"/>
      <c r="H228" s="1"/>
      <c r="I228" s="1"/>
      <c r="J228" s="4" t="s">
        <v>16121</v>
      </c>
      <c r="K228" s="1"/>
      <c r="L228" s="1" t="s">
        <v>6</v>
      </c>
      <c r="M228" s="825"/>
      <c r="N228" s="17"/>
      <c r="O228" s="3" t="s">
        <v>15967</v>
      </c>
      <c r="P228" s="21">
        <v>18941</v>
      </c>
      <c r="Q228" s="3" t="s">
        <v>15968</v>
      </c>
      <c r="R228" s="3"/>
      <c r="S228" s="3"/>
      <c r="T228" s="3" t="s">
        <v>148</v>
      </c>
      <c r="U228" s="2"/>
      <c r="V228" s="2" t="s">
        <v>145</v>
      </c>
      <c r="W228" s="2"/>
      <c r="X228" s="2"/>
      <c r="Y228" s="2"/>
      <c r="Z228" s="2"/>
      <c r="AA228" s="2"/>
      <c r="AB228" s="2"/>
      <c r="AC228" s="2"/>
      <c r="AD228" s="2" t="s">
        <v>69</v>
      </c>
    </row>
    <row r="229" spans="1:30" ht="12" customHeight="1">
      <c r="A229" s="828" t="s">
        <v>16923</v>
      </c>
      <c r="B229" s="3" t="s">
        <v>598</v>
      </c>
      <c r="C229" s="6" t="s">
        <v>923</v>
      </c>
      <c r="D229" s="5">
        <f t="shared" si="3"/>
        <v>51</v>
      </c>
      <c r="E229" s="6" t="s">
        <v>5</v>
      </c>
      <c r="F229" s="6" t="s">
        <v>15273</v>
      </c>
      <c r="G229" s="12" t="s">
        <v>603</v>
      </c>
      <c r="H229" s="19"/>
      <c r="I229" s="19"/>
      <c r="J229" s="8" t="s">
        <v>16127</v>
      </c>
      <c r="K229" s="6" t="s">
        <v>604</v>
      </c>
      <c r="L229" s="6" t="s">
        <v>25</v>
      </c>
      <c r="M229" s="6">
        <v>4</v>
      </c>
      <c r="N229" s="14">
        <v>4</v>
      </c>
      <c r="O229" s="12" t="s">
        <v>31</v>
      </c>
      <c r="P229" s="15">
        <v>22363</v>
      </c>
      <c r="Q229" s="12" t="s">
        <v>765</v>
      </c>
      <c r="R229" s="12" t="s">
        <v>825</v>
      </c>
      <c r="S229" s="12" t="s">
        <v>736</v>
      </c>
      <c r="T229" s="12" t="s">
        <v>146</v>
      </c>
      <c r="U229" s="2"/>
      <c r="V229" s="2"/>
      <c r="W229" s="2"/>
      <c r="X229" s="2"/>
      <c r="Y229" s="2"/>
      <c r="Z229" s="2"/>
      <c r="AA229" s="2"/>
      <c r="AB229" s="2"/>
      <c r="AC229" s="2" t="s">
        <v>146</v>
      </c>
      <c r="AD229" s="2"/>
    </row>
    <row r="230" spans="1:30" ht="12" customHeight="1">
      <c r="A230" s="828" t="s">
        <v>16924</v>
      </c>
      <c r="B230" s="3" t="s">
        <v>599</v>
      </c>
      <c r="C230" s="1" t="s">
        <v>606</v>
      </c>
      <c r="D230" s="5">
        <f t="shared" si="3"/>
        <v>32</v>
      </c>
      <c r="E230" s="2" t="s">
        <v>5</v>
      </c>
      <c r="F230" s="2" t="s">
        <v>15273</v>
      </c>
      <c r="G230" s="3"/>
      <c r="H230" s="1"/>
      <c r="I230" s="1"/>
      <c r="J230" s="4" t="s">
        <v>16120</v>
      </c>
      <c r="K230" s="1" t="s">
        <v>30</v>
      </c>
      <c r="L230" s="1" t="s">
        <v>6</v>
      </c>
      <c r="M230" s="825"/>
      <c r="N230" s="17"/>
      <c r="O230" s="3" t="s">
        <v>255</v>
      </c>
      <c r="P230" s="20">
        <v>29355</v>
      </c>
      <c r="Q230" s="3" t="s">
        <v>607</v>
      </c>
      <c r="R230" s="3"/>
      <c r="S230" s="3" t="s">
        <v>5457</v>
      </c>
      <c r="T230" s="3" t="s">
        <v>47</v>
      </c>
      <c r="U230" s="2" t="s">
        <v>47</v>
      </c>
      <c r="V230" s="2"/>
      <c r="W230" s="2"/>
      <c r="X230" s="2"/>
      <c r="Y230" s="2"/>
      <c r="Z230" s="2"/>
      <c r="AA230" s="2"/>
      <c r="AB230" s="2"/>
      <c r="AC230" s="2"/>
      <c r="AD230" s="2"/>
    </row>
    <row r="231" spans="1:30" ht="12" customHeight="1">
      <c r="A231" s="828" t="s">
        <v>16925</v>
      </c>
      <c r="B231" s="3" t="s">
        <v>600</v>
      </c>
      <c r="C231" s="1" t="s">
        <v>611</v>
      </c>
      <c r="D231" s="5">
        <f t="shared" si="3"/>
        <v>47</v>
      </c>
      <c r="E231" s="2" t="s">
        <v>5</v>
      </c>
      <c r="F231" s="2" t="s">
        <v>15273</v>
      </c>
      <c r="G231" s="3"/>
      <c r="H231" s="1"/>
      <c r="I231" s="1"/>
      <c r="J231" s="4" t="s">
        <v>16128</v>
      </c>
      <c r="K231" s="1"/>
      <c r="L231" s="1" t="s">
        <v>6</v>
      </c>
      <c r="M231" s="825"/>
      <c r="N231" s="17"/>
      <c r="O231" s="3" t="s">
        <v>612</v>
      </c>
      <c r="P231" s="20">
        <v>23868</v>
      </c>
      <c r="Q231" s="3" t="s">
        <v>613</v>
      </c>
      <c r="R231" s="3"/>
      <c r="S231" s="3" t="s">
        <v>6031</v>
      </c>
      <c r="T231" s="3"/>
      <c r="U231" s="2"/>
      <c r="V231" s="2"/>
      <c r="W231" s="2"/>
      <c r="X231" s="2"/>
      <c r="Y231" s="2"/>
      <c r="Z231" s="2"/>
      <c r="AA231" s="2"/>
      <c r="AB231" s="2"/>
      <c r="AC231" s="2"/>
      <c r="AD231" s="2"/>
    </row>
    <row r="232" spans="1:30" ht="12" customHeight="1">
      <c r="A232" s="828" t="s">
        <v>16926</v>
      </c>
      <c r="B232" s="3" t="s">
        <v>601</v>
      </c>
      <c r="C232" s="1" t="s">
        <v>608</v>
      </c>
      <c r="D232" s="5">
        <f t="shared" si="3"/>
        <v>65</v>
      </c>
      <c r="E232" s="2" t="s">
        <v>5</v>
      </c>
      <c r="F232" s="2"/>
      <c r="G232" s="3"/>
      <c r="H232" s="1"/>
      <c r="I232" s="1"/>
      <c r="J232" s="4" t="s">
        <v>16117</v>
      </c>
      <c r="K232" s="1"/>
      <c r="L232" s="1" t="s">
        <v>6</v>
      </c>
      <c r="M232" s="825"/>
      <c r="N232" s="17"/>
      <c r="O232" s="3" t="s">
        <v>609</v>
      </c>
      <c r="P232" s="21">
        <v>17505</v>
      </c>
      <c r="Q232" s="3" t="s">
        <v>610</v>
      </c>
      <c r="R232" s="3"/>
      <c r="S232" s="3"/>
      <c r="T232" s="3" t="s">
        <v>145</v>
      </c>
      <c r="U232" s="2"/>
      <c r="V232" s="2" t="s">
        <v>145</v>
      </c>
      <c r="W232" s="2"/>
      <c r="X232" s="2"/>
      <c r="Y232" s="2"/>
      <c r="Z232" s="2"/>
      <c r="AA232" s="2"/>
      <c r="AB232" s="2"/>
      <c r="AC232" s="2"/>
      <c r="AD232" s="2"/>
    </row>
    <row r="233" spans="1:30" ht="12" customHeight="1">
      <c r="A233" s="828" t="s">
        <v>16927</v>
      </c>
      <c r="B233" s="3" t="s">
        <v>602</v>
      </c>
      <c r="C233" s="1" t="s">
        <v>614</v>
      </c>
      <c r="D233" s="5">
        <f t="shared" si="3"/>
        <v>48</v>
      </c>
      <c r="E233" s="2" t="s">
        <v>5</v>
      </c>
      <c r="F233" s="2" t="s">
        <v>15273</v>
      </c>
      <c r="G233" s="3"/>
      <c r="H233" s="1"/>
      <c r="I233" s="1"/>
      <c r="J233" s="4" t="s">
        <v>16121</v>
      </c>
      <c r="K233" s="1"/>
      <c r="L233" s="1" t="s">
        <v>6</v>
      </c>
      <c r="M233" s="825"/>
      <c r="N233" s="17"/>
      <c r="O233" s="3" t="s">
        <v>615</v>
      </c>
      <c r="P233" s="20">
        <v>23716</v>
      </c>
      <c r="Q233" s="3" t="s">
        <v>5063</v>
      </c>
      <c r="R233" s="3"/>
      <c r="S233" s="3"/>
      <c r="T233" s="3"/>
      <c r="U233" s="2"/>
      <c r="V233" s="2"/>
      <c r="W233" s="2"/>
      <c r="X233" s="2"/>
      <c r="Y233" s="2"/>
      <c r="Z233" s="2"/>
      <c r="AA233" s="2"/>
      <c r="AB233" s="2"/>
      <c r="AC233" s="2"/>
      <c r="AD233" s="2"/>
    </row>
    <row r="234" spans="1:30" ht="12" customHeight="1">
      <c r="A234" s="828" t="s">
        <v>16928</v>
      </c>
      <c r="B234" s="3" t="s">
        <v>616</v>
      </c>
      <c r="C234" s="6" t="s">
        <v>906</v>
      </c>
      <c r="D234" s="5">
        <f t="shared" si="3"/>
        <v>57</v>
      </c>
      <c r="E234" s="6" t="s">
        <v>5</v>
      </c>
      <c r="F234" s="6" t="s">
        <v>15273</v>
      </c>
      <c r="G234" s="12" t="s">
        <v>620</v>
      </c>
      <c r="H234" s="19"/>
      <c r="I234" s="19"/>
      <c r="J234" s="8" t="s">
        <v>16127</v>
      </c>
      <c r="K234" s="6" t="s">
        <v>604</v>
      </c>
      <c r="L234" s="6" t="s">
        <v>25</v>
      </c>
      <c r="M234" s="6">
        <v>4</v>
      </c>
      <c r="N234" s="14">
        <v>4</v>
      </c>
      <c r="O234" s="12" t="s">
        <v>172</v>
      </c>
      <c r="P234" s="15">
        <v>20119</v>
      </c>
      <c r="Q234" s="12" t="s">
        <v>767</v>
      </c>
      <c r="R234" s="12" t="s">
        <v>1693</v>
      </c>
      <c r="S234" s="12" t="s">
        <v>736</v>
      </c>
      <c r="T234" s="3" t="s">
        <v>145</v>
      </c>
      <c r="U234" s="2"/>
      <c r="V234" s="2" t="s">
        <v>145</v>
      </c>
      <c r="W234" s="2"/>
      <c r="X234" s="2"/>
      <c r="Y234" s="2"/>
      <c r="Z234" s="2"/>
      <c r="AA234" s="2"/>
      <c r="AB234" s="2"/>
      <c r="AC234" s="2"/>
      <c r="AD234" s="2"/>
    </row>
    <row r="235" spans="1:30" ht="12" customHeight="1">
      <c r="A235" s="828" t="s">
        <v>16929</v>
      </c>
      <c r="B235" s="3" t="s">
        <v>617</v>
      </c>
      <c r="C235" s="6" t="s">
        <v>898</v>
      </c>
      <c r="D235" s="5">
        <f t="shared" si="3"/>
        <v>54</v>
      </c>
      <c r="E235" s="6" t="s">
        <v>5</v>
      </c>
      <c r="F235" s="6" t="s">
        <v>15273</v>
      </c>
      <c r="G235" s="12" t="s">
        <v>1304</v>
      </c>
      <c r="H235" s="19"/>
      <c r="I235" s="19"/>
      <c r="J235" s="8" t="s">
        <v>16120</v>
      </c>
      <c r="K235" s="6" t="s">
        <v>13</v>
      </c>
      <c r="L235" s="6" t="s">
        <v>25</v>
      </c>
      <c r="M235" s="6">
        <v>4</v>
      </c>
      <c r="N235" s="14">
        <v>4</v>
      </c>
      <c r="O235" s="12" t="s">
        <v>557</v>
      </c>
      <c r="P235" s="15">
        <v>21205</v>
      </c>
      <c r="Q235" s="12" t="s">
        <v>764</v>
      </c>
      <c r="R235" s="12" t="s">
        <v>2525</v>
      </c>
      <c r="S235" s="12" t="s">
        <v>5457</v>
      </c>
      <c r="T235" s="3" t="s">
        <v>145</v>
      </c>
      <c r="U235" s="2"/>
      <c r="V235" s="2" t="s">
        <v>145</v>
      </c>
      <c r="W235" s="2"/>
      <c r="X235" s="2"/>
      <c r="Y235" s="2"/>
      <c r="Z235" s="2"/>
      <c r="AA235" s="2"/>
      <c r="AB235" s="2"/>
      <c r="AC235" s="2"/>
      <c r="AD235" s="2"/>
    </row>
    <row r="236" spans="1:30" ht="12" customHeight="1">
      <c r="A236" s="828" t="s">
        <v>16930</v>
      </c>
      <c r="B236" s="3" t="s">
        <v>618</v>
      </c>
      <c r="C236" s="1" t="s">
        <v>625</v>
      </c>
      <c r="D236" s="5">
        <f t="shared" si="3"/>
        <v>47</v>
      </c>
      <c r="E236" s="2" t="s">
        <v>5</v>
      </c>
      <c r="F236" s="2" t="s">
        <v>15273</v>
      </c>
      <c r="G236" s="3"/>
      <c r="H236" s="1"/>
      <c r="I236" s="1"/>
      <c r="J236" s="4" t="s">
        <v>16128</v>
      </c>
      <c r="K236" s="1"/>
      <c r="L236" s="1" t="s">
        <v>6</v>
      </c>
      <c r="M236" s="825"/>
      <c r="N236" s="17"/>
      <c r="O236" s="3" t="s">
        <v>557</v>
      </c>
      <c r="P236" s="20">
        <v>23865</v>
      </c>
      <c r="Q236" s="3" t="s">
        <v>626</v>
      </c>
      <c r="R236" s="3"/>
      <c r="S236" s="3" t="s">
        <v>6031</v>
      </c>
      <c r="T236" s="3" t="s">
        <v>145</v>
      </c>
      <c r="U236" s="2"/>
      <c r="V236" s="2" t="s">
        <v>145</v>
      </c>
      <c r="W236" s="2"/>
      <c r="X236" s="2"/>
      <c r="Y236" s="2"/>
      <c r="Z236" s="2"/>
      <c r="AA236" s="2"/>
      <c r="AB236" s="2"/>
      <c r="AC236" s="2"/>
      <c r="AD236" s="2"/>
    </row>
    <row r="237" spans="1:30" ht="12" customHeight="1">
      <c r="A237" s="828" t="s">
        <v>16931</v>
      </c>
      <c r="B237" s="3" t="s">
        <v>619</v>
      </c>
      <c r="C237" s="1" t="s">
        <v>622</v>
      </c>
      <c r="D237" s="5">
        <f t="shared" si="3"/>
        <v>44</v>
      </c>
      <c r="E237" s="2" t="s">
        <v>19</v>
      </c>
      <c r="F237" s="2"/>
      <c r="G237" s="3"/>
      <c r="H237" s="1"/>
      <c r="I237" s="1"/>
      <c r="J237" s="4" t="s">
        <v>16117</v>
      </c>
      <c r="K237" s="1"/>
      <c r="L237" s="1" t="s">
        <v>6</v>
      </c>
      <c r="M237" s="825"/>
      <c r="N237" s="17"/>
      <c r="O237" s="3" t="s">
        <v>623</v>
      </c>
      <c r="P237" s="20">
        <v>25177</v>
      </c>
      <c r="Q237" s="3" t="s">
        <v>624</v>
      </c>
      <c r="R237" s="3"/>
      <c r="S237" s="3"/>
      <c r="T237" s="3" t="s">
        <v>145</v>
      </c>
      <c r="U237" s="2"/>
      <c r="V237" s="2" t="s">
        <v>145</v>
      </c>
      <c r="W237" s="2"/>
      <c r="X237" s="2"/>
      <c r="Y237" s="2"/>
      <c r="Z237" s="2"/>
      <c r="AA237" s="2"/>
      <c r="AB237" s="2"/>
      <c r="AC237" s="2"/>
      <c r="AD237" s="2"/>
    </row>
    <row r="238" spans="1:30" ht="12" customHeight="1">
      <c r="A238" s="828" t="s">
        <v>16932</v>
      </c>
      <c r="B238" s="3" t="s">
        <v>627</v>
      </c>
      <c r="C238" s="5" t="s">
        <v>878</v>
      </c>
      <c r="D238" s="5">
        <f t="shared" si="3"/>
        <v>69</v>
      </c>
      <c r="E238" s="5" t="s">
        <v>5</v>
      </c>
      <c r="F238" s="6" t="s">
        <v>15273</v>
      </c>
      <c r="G238" s="7" t="s">
        <v>638</v>
      </c>
      <c r="H238" s="18"/>
      <c r="I238" s="19"/>
      <c r="J238" s="8" t="s">
        <v>16126</v>
      </c>
      <c r="K238" s="5" t="s">
        <v>45</v>
      </c>
      <c r="L238" s="5" t="s">
        <v>25</v>
      </c>
      <c r="M238" s="5">
        <v>7</v>
      </c>
      <c r="N238" s="10">
        <v>7</v>
      </c>
      <c r="O238" s="7" t="s">
        <v>557</v>
      </c>
      <c r="P238" s="11">
        <v>15926</v>
      </c>
      <c r="Q238" s="7" t="s">
        <v>727</v>
      </c>
      <c r="R238" s="7" t="s">
        <v>830</v>
      </c>
      <c r="S238" s="7" t="s">
        <v>736</v>
      </c>
      <c r="T238" s="7" t="s">
        <v>147</v>
      </c>
      <c r="U238" s="2"/>
      <c r="V238" s="2"/>
      <c r="W238" s="2"/>
      <c r="X238" s="2"/>
      <c r="Y238" s="2"/>
      <c r="Z238" s="2"/>
      <c r="AA238" s="2"/>
      <c r="AB238" s="2" t="s">
        <v>147</v>
      </c>
      <c r="AC238" s="2"/>
      <c r="AD238" s="2"/>
    </row>
    <row r="239" spans="1:30" ht="12" customHeight="1">
      <c r="A239" s="828" t="s">
        <v>16933</v>
      </c>
      <c r="B239" s="3" t="s">
        <v>628</v>
      </c>
      <c r="C239" s="1" t="s">
        <v>639</v>
      </c>
      <c r="D239" s="5">
        <f t="shared" si="3"/>
        <v>42</v>
      </c>
      <c r="E239" s="2" t="s">
        <v>5</v>
      </c>
      <c r="F239" s="2" t="s">
        <v>15273</v>
      </c>
      <c r="G239" s="3"/>
      <c r="H239" s="1"/>
      <c r="I239" s="1"/>
      <c r="J239" s="4" t="s">
        <v>16120</v>
      </c>
      <c r="K239" s="1" t="s">
        <v>30</v>
      </c>
      <c r="L239" s="1" t="s">
        <v>6</v>
      </c>
      <c r="M239" s="825"/>
      <c r="N239" s="17"/>
      <c r="O239" s="3" t="s">
        <v>522</v>
      </c>
      <c r="P239" s="20">
        <v>25854</v>
      </c>
      <c r="Q239" s="3" t="s">
        <v>16654</v>
      </c>
      <c r="R239" s="3"/>
      <c r="S239" s="3" t="s">
        <v>5457</v>
      </c>
      <c r="T239" s="3" t="s">
        <v>146</v>
      </c>
      <c r="U239" s="2"/>
      <c r="V239" s="2"/>
      <c r="W239" s="2"/>
      <c r="X239" s="2"/>
      <c r="Y239" s="2"/>
      <c r="Z239" s="2"/>
      <c r="AA239" s="2"/>
      <c r="AB239" s="2"/>
      <c r="AC239" s="2" t="s">
        <v>146</v>
      </c>
      <c r="AD239" s="3"/>
    </row>
    <row r="240" spans="1:30" ht="12" customHeight="1">
      <c r="A240" s="828" t="s">
        <v>16934</v>
      </c>
      <c r="B240" s="3" t="s">
        <v>629</v>
      </c>
      <c r="C240" s="1" t="s">
        <v>5772</v>
      </c>
      <c r="D240" s="5">
        <f t="shared" si="3"/>
        <v>62</v>
      </c>
      <c r="E240" s="2" t="s">
        <v>5</v>
      </c>
      <c r="F240" s="2" t="s">
        <v>15273</v>
      </c>
      <c r="G240" s="3"/>
      <c r="H240" s="1"/>
      <c r="I240" s="1"/>
      <c r="J240" s="4" t="s">
        <v>16116</v>
      </c>
      <c r="K240" s="1" t="s">
        <v>276</v>
      </c>
      <c r="L240" s="1" t="s">
        <v>6</v>
      </c>
      <c r="M240" s="825"/>
      <c r="N240" s="17"/>
      <c r="O240" s="3" t="s">
        <v>321</v>
      </c>
      <c r="P240" s="21">
        <v>18612</v>
      </c>
      <c r="Q240" s="3" t="s">
        <v>5773</v>
      </c>
      <c r="R240" s="3"/>
      <c r="S240" s="3"/>
      <c r="T240" s="3" t="s">
        <v>145</v>
      </c>
      <c r="U240" s="2"/>
      <c r="V240" s="2" t="s">
        <v>145</v>
      </c>
      <c r="W240" s="2"/>
      <c r="X240" s="2"/>
      <c r="Y240" s="2"/>
      <c r="Z240" s="2"/>
      <c r="AA240" s="2"/>
      <c r="AB240" s="2"/>
      <c r="AC240" s="2"/>
      <c r="AD240" s="3"/>
    </row>
    <row r="241" spans="1:30" ht="12" customHeight="1">
      <c r="A241" s="828" t="s">
        <v>16935</v>
      </c>
      <c r="B241" s="3" t="s">
        <v>4591</v>
      </c>
      <c r="C241" s="1" t="s">
        <v>4592</v>
      </c>
      <c r="D241" s="5">
        <f t="shared" si="3"/>
        <v>35</v>
      </c>
      <c r="E241" s="2" t="s">
        <v>5</v>
      </c>
      <c r="F241" s="2" t="s">
        <v>15273</v>
      </c>
      <c r="G241" s="3"/>
      <c r="H241" s="1"/>
      <c r="I241" s="1"/>
      <c r="J241" s="8" t="s">
        <v>16128</v>
      </c>
      <c r="K241" s="1"/>
      <c r="L241" s="1" t="s">
        <v>6</v>
      </c>
      <c r="M241" s="825"/>
      <c r="N241" s="17"/>
      <c r="O241" s="3" t="s">
        <v>188</v>
      </c>
      <c r="P241" s="20">
        <v>28157</v>
      </c>
      <c r="Q241" s="3" t="s">
        <v>4593</v>
      </c>
      <c r="R241" s="3"/>
      <c r="S241" s="3"/>
      <c r="T241" s="3"/>
      <c r="U241" s="2"/>
      <c r="V241" s="2"/>
      <c r="W241" s="2"/>
      <c r="X241" s="2"/>
      <c r="Y241" s="2"/>
      <c r="Z241" s="2"/>
      <c r="AA241" s="2"/>
      <c r="AB241" s="2"/>
      <c r="AC241" s="2"/>
      <c r="AD241" s="3"/>
    </row>
    <row r="242" spans="1:30" ht="12" customHeight="1">
      <c r="A242" s="828" t="s">
        <v>16936</v>
      </c>
      <c r="B242" s="3" t="s">
        <v>5771</v>
      </c>
      <c r="C242" s="1" t="s">
        <v>640</v>
      </c>
      <c r="D242" s="5">
        <f t="shared" si="3"/>
        <v>56</v>
      </c>
      <c r="E242" s="2" t="s">
        <v>5</v>
      </c>
      <c r="F242" s="2"/>
      <c r="G242" s="3"/>
      <c r="H242" s="1"/>
      <c r="I242" s="1"/>
      <c r="J242" s="4" t="s">
        <v>16117</v>
      </c>
      <c r="K242" s="1"/>
      <c r="L242" s="1" t="s">
        <v>6</v>
      </c>
      <c r="M242" s="825"/>
      <c r="N242" s="17"/>
      <c r="O242" s="3" t="s">
        <v>381</v>
      </c>
      <c r="P242" s="20">
        <v>20466</v>
      </c>
      <c r="Q242" s="3" t="s">
        <v>641</v>
      </c>
      <c r="R242" s="3"/>
      <c r="S242" s="3"/>
      <c r="T242" s="3"/>
      <c r="U242" s="2"/>
      <c r="V242" s="2"/>
      <c r="W242" s="2"/>
      <c r="X242" s="2"/>
      <c r="Y242" s="2"/>
      <c r="Z242" s="2"/>
      <c r="AA242" s="2"/>
      <c r="AB242" s="2"/>
      <c r="AC242" s="2"/>
      <c r="AD242" s="3"/>
    </row>
    <row r="243" spans="1:30" ht="12" customHeight="1">
      <c r="A243" s="828" t="s">
        <v>16937</v>
      </c>
      <c r="B243" s="3" t="s">
        <v>642</v>
      </c>
      <c r="C243" s="6" t="s">
        <v>899</v>
      </c>
      <c r="D243" s="5">
        <f t="shared" si="3"/>
        <v>51</v>
      </c>
      <c r="E243" s="6" t="s">
        <v>5</v>
      </c>
      <c r="F243" s="6" t="s">
        <v>15273</v>
      </c>
      <c r="G243" s="12" t="s">
        <v>645</v>
      </c>
      <c r="H243" s="19"/>
      <c r="I243" s="19"/>
      <c r="J243" s="8" t="s">
        <v>16127</v>
      </c>
      <c r="K243" s="6" t="s">
        <v>44</v>
      </c>
      <c r="L243" s="6" t="s">
        <v>25</v>
      </c>
      <c r="M243" s="6">
        <v>3</v>
      </c>
      <c r="N243" s="14">
        <v>3</v>
      </c>
      <c r="O243" s="12" t="s">
        <v>95</v>
      </c>
      <c r="P243" s="15">
        <v>22564</v>
      </c>
      <c r="Q243" s="12" t="s">
        <v>757</v>
      </c>
      <c r="R243" s="12" t="s">
        <v>2523</v>
      </c>
      <c r="S243" s="12" t="s">
        <v>736</v>
      </c>
      <c r="T243" s="12" t="s">
        <v>146</v>
      </c>
      <c r="U243" s="2"/>
      <c r="V243" s="2"/>
      <c r="W243" s="2"/>
      <c r="X243" s="2"/>
      <c r="Y243" s="2"/>
      <c r="Z243" s="2"/>
      <c r="AA243" s="2"/>
      <c r="AB243" s="2"/>
      <c r="AC243" s="2" t="s">
        <v>146</v>
      </c>
      <c r="AD243" s="3"/>
    </row>
    <row r="244" spans="1:30" ht="12" customHeight="1">
      <c r="A244" s="828" t="s">
        <v>16938</v>
      </c>
      <c r="B244" s="3" t="s">
        <v>643</v>
      </c>
      <c r="C244" s="1" t="s">
        <v>646</v>
      </c>
      <c r="D244" s="5">
        <f t="shared" si="3"/>
        <v>38</v>
      </c>
      <c r="E244" s="2" t="s">
        <v>19</v>
      </c>
      <c r="F244" s="2" t="s">
        <v>15273</v>
      </c>
      <c r="G244" s="3"/>
      <c r="H244" s="1"/>
      <c r="I244" s="1"/>
      <c r="J244" s="4" t="s">
        <v>16120</v>
      </c>
      <c r="K244" s="1" t="s">
        <v>30</v>
      </c>
      <c r="L244" s="1" t="s">
        <v>6</v>
      </c>
      <c r="M244" s="825"/>
      <c r="N244" s="17"/>
      <c r="O244" s="3" t="s">
        <v>255</v>
      </c>
      <c r="P244" s="20">
        <v>27312</v>
      </c>
      <c r="Q244" s="3" t="s">
        <v>647</v>
      </c>
      <c r="R244" s="3"/>
      <c r="S244" s="3" t="s">
        <v>5457</v>
      </c>
      <c r="T244" s="3" t="s">
        <v>47</v>
      </c>
      <c r="U244" s="2" t="s">
        <v>47</v>
      </c>
      <c r="V244" s="2"/>
      <c r="W244" s="2"/>
      <c r="X244" s="2"/>
      <c r="Y244" s="2"/>
      <c r="Z244" s="2"/>
      <c r="AA244" s="2"/>
      <c r="AB244" s="2"/>
      <c r="AC244" s="2"/>
      <c r="AD244" s="3"/>
    </row>
    <row r="245" spans="1:30" ht="12" customHeight="1">
      <c r="A245" s="828" t="s">
        <v>16939</v>
      </c>
      <c r="B245" s="3" t="s">
        <v>644</v>
      </c>
      <c r="C245" s="1" t="s">
        <v>5003</v>
      </c>
      <c r="D245" s="5">
        <f t="shared" si="3"/>
        <v>34</v>
      </c>
      <c r="E245" s="2" t="s">
        <v>5</v>
      </c>
      <c r="F245" s="2" t="s">
        <v>15273</v>
      </c>
      <c r="G245" s="3"/>
      <c r="H245" s="1"/>
      <c r="I245" s="1"/>
      <c r="J245" s="4" t="s">
        <v>16116</v>
      </c>
      <c r="K245" s="1" t="s">
        <v>4997</v>
      </c>
      <c r="L245" s="1" t="s">
        <v>6</v>
      </c>
      <c r="M245" s="825"/>
      <c r="N245" s="17"/>
      <c r="O245" s="3" t="s">
        <v>1922</v>
      </c>
      <c r="P245" s="20">
        <v>28801</v>
      </c>
      <c r="Q245" s="3" t="s">
        <v>5004</v>
      </c>
      <c r="R245" s="3"/>
      <c r="S245" s="3"/>
      <c r="T245" s="3"/>
      <c r="U245" s="2"/>
      <c r="V245" s="2"/>
      <c r="W245" s="2"/>
      <c r="X245" s="2"/>
      <c r="Y245" s="2"/>
      <c r="Z245" s="2"/>
      <c r="AA245" s="2"/>
      <c r="AB245" s="2"/>
      <c r="AC245" s="2"/>
      <c r="AD245" s="3"/>
    </row>
    <row r="246" spans="1:30" ht="12" customHeight="1">
      <c r="A246" s="828" t="s">
        <v>16940</v>
      </c>
      <c r="B246" s="3" t="s">
        <v>1081</v>
      </c>
      <c r="C246" s="1" t="s">
        <v>648</v>
      </c>
      <c r="D246" s="5">
        <f t="shared" si="3"/>
        <v>56</v>
      </c>
      <c r="E246" s="2" t="s">
        <v>19</v>
      </c>
      <c r="F246" s="2" t="s">
        <v>15273</v>
      </c>
      <c r="G246" s="3"/>
      <c r="H246" s="1"/>
      <c r="I246" s="1"/>
      <c r="J246" s="4" t="s">
        <v>16117</v>
      </c>
      <c r="K246" s="1"/>
      <c r="L246" s="1" t="s">
        <v>6</v>
      </c>
      <c r="M246" s="825"/>
      <c r="N246" s="17"/>
      <c r="O246" s="3" t="s">
        <v>649</v>
      </c>
      <c r="P246" s="20">
        <v>20663</v>
      </c>
      <c r="Q246" s="3" t="s">
        <v>650</v>
      </c>
      <c r="R246" s="3"/>
      <c r="S246" s="3"/>
      <c r="T246" s="3" t="s">
        <v>145</v>
      </c>
      <c r="U246" s="2"/>
      <c r="V246" s="2" t="s">
        <v>145</v>
      </c>
      <c r="W246" s="2"/>
      <c r="X246" s="2"/>
      <c r="Y246" s="2"/>
      <c r="Z246" s="2"/>
      <c r="AA246" s="2"/>
      <c r="AB246" s="2"/>
      <c r="AC246" s="2"/>
      <c r="AD246" s="3"/>
    </row>
    <row r="247" spans="1:30" ht="12" customHeight="1">
      <c r="A247" s="828" t="s">
        <v>16941</v>
      </c>
      <c r="B247" s="3" t="s">
        <v>5002</v>
      </c>
      <c r="C247" s="2" t="s">
        <v>15969</v>
      </c>
      <c r="D247" s="5">
        <f t="shared" si="3"/>
        <v>28</v>
      </c>
      <c r="E247" s="2" t="s">
        <v>5</v>
      </c>
      <c r="F247" s="2"/>
      <c r="G247" s="3"/>
      <c r="H247" s="1"/>
      <c r="I247" s="1"/>
      <c r="J247" s="4" t="s">
        <v>16129</v>
      </c>
      <c r="K247" s="1"/>
      <c r="L247" s="1" t="s">
        <v>6</v>
      </c>
      <c r="M247" s="825"/>
      <c r="N247" s="17"/>
      <c r="O247" s="3" t="s">
        <v>16106</v>
      </c>
      <c r="P247" s="20">
        <v>30738</v>
      </c>
      <c r="Q247" s="3" t="s">
        <v>15970</v>
      </c>
      <c r="R247" s="3"/>
      <c r="S247" s="3"/>
      <c r="T247" s="3"/>
      <c r="U247" s="2"/>
      <c r="V247" s="2"/>
      <c r="W247" s="2"/>
      <c r="X247" s="2"/>
      <c r="Y247" s="2"/>
      <c r="Z247" s="2"/>
      <c r="AA247" s="2"/>
      <c r="AB247" s="2"/>
      <c r="AC247" s="2"/>
      <c r="AD247" s="3"/>
    </row>
    <row r="248" spans="1:30" ht="12" customHeight="1">
      <c r="A248" s="828" t="s">
        <v>16942</v>
      </c>
      <c r="B248" s="3" t="s">
        <v>651</v>
      </c>
      <c r="C248" s="6" t="s">
        <v>881</v>
      </c>
      <c r="D248" s="5">
        <f t="shared" si="3"/>
        <v>48</v>
      </c>
      <c r="E248" s="6" t="s">
        <v>5</v>
      </c>
      <c r="F248" s="6" t="s">
        <v>15273</v>
      </c>
      <c r="G248" s="12" t="s">
        <v>654</v>
      </c>
      <c r="H248" s="19"/>
      <c r="I248" s="19"/>
      <c r="J248" s="8" t="s">
        <v>16127</v>
      </c>
      <c r="K248" s="6" t="s">
        <v>655</v>
      </c>
      <c r="L248" s="6" t="s">
        <v>25</v>
      </c>
      <c r="M248" s="6">
        <v>6</v>
      </c>
      <c r="N248" s="14">
        <v>6</v>
      </c>
      <c r="O248" s="12" t="s">
        <v>77</v>
      </c>
      <c r="P248" s="15">
        <v>23528</v>
      </c>
      <c r="Q248" s="12" t="s">
        <v>727</v>
      </c>
      <c r="R248" s="12" t="s">
        <v>835</v>
      </c>
      <c r="S248" s="12" t="s">
        <v>736</v>
      </c>
      <c r="T248" s="12" t="s">
        <v>147</v>
      </c>
      <c r="U248" s="2"/>
      <c r="V248" s="2"/>
      <c r="W248" s="2"/>
      <c r="X248" s="2"/>
      <c r="Y248" s="2"/>
      <c r="Z248" s="2"/>
      <c r="AA248" s="2"/>
      <c r="AB248" s="2" t="s">
        <v>147</v>
      </c>
      <c r="AC248" s="2"/>
      <c r="AD248" s="3"/>
    </row>
    <row r="249" spans="1:30" ht="12" customHeight="1">
      <c r="A249" s="828" t="s">
        <v>16943</v>
      </c>
      <c r="B249" s="3" t="s">
        <v>652</v>
      </c>
      <c r="C249" s="1" t="s">
        <v>656</v>
      </c>
      <c r="D249" s="5">
        <f t="shared" si="3"/>
        <v>41</v>
      </c>
      <c r="E249" s="2" t="s">
        <v>5</v>
      </c>
      <c r="F249" s="2" t="s">
        <v>15273</v>
      </c>
      <c r="G249" s="3"/>
      <c r="H249" s="1"/>
      <c r="I249" s="1"/>
      <c r="J249" s="8" t="s">
        <v>16120</v>
      </c>
      <c r="K249" s="1" t="s">
        <v>30</v>
      </c>
      <c r="L249" s="1" t="s">
        <v>14</v>
      </c>
      <c r="M249" s="825">
        <v>1</v>
      </c>
      <c r="N249" s="17">
        <v>1</v>
      </c>
      <c r="O249" s="3" t="s">
        <v>657</v>
      </c>
      <c r="P249" s="20">
        <v>26088</v>
      </c>
      <c r="Q249" s="3" t="s">
        <v>659</v>
      </c>
      <c r="R249" s="3"/>
      <c r="S249" s="3" t="s">
        <v>5457</v>
      </c>
      <c r="T249" s="3" t="s">
        <v>658</v>
      </c>
      <c r="U249" s="2" t="s">
        <v>47</v>
      </c>
      <c r="V249" s="2"/>
      <c r="W249" s="2"/>
      <c r="X249" s="2"/>
      <c r="Y249" s="2"/>
      <c r="Z249" s="2"/>
      <c r="AA249" s="2"/>
      <c r="AB249" s="2" t="s">
        <v>147</v>
      </c>
      <c r="AC249" s="2"/>
      <c r="AD249" s="3"/>
    </row>
    <row r="250" spans="1:30" ht="12" customHeight="1">
      <c r="A250" s="828" t="s">
        <v>16944</v>
      </c>
      <c r="B250" s="3" t="s">
        <v>653</v>
      </c>
      <c r="C250" s="1" t="s">
        <v>15629</v>
      </c>
      <c r="D250" s="5">
        <f t="shared" si="3"/>
        <v>50</v>
      </c>
      <c r="E250" s="2" t="s">
        <v>5</v>
      </c>
      <c r="F250" s="2" t="s">
        <v>15273</v>
      </c>
      <c r="G250" s="3"/>
      <c r="H250" s="1"/>
      <c r="I250" s="1"/>
      <c r="J250" s="4" t="s">
        <v>16125</v>
      </c>
      <c r="K250" s="1"/>
      <c r="L250" s="1" t="s">
        <v>6</v>
      </c>
      <c r="M250" s="825"/>
      <c r="N250" s="17"/>
      <c r="O250" s="3" t="s">
        <v>15630</v>
      </c>
      <c r="P250" s="21">
        <v>22770</v>
      </c>
      <c r="Q250" s="3" t="s">
        <v>15631</v>
      </c>
      <c r="R250" s="3"/>
      <c r="S250" s="3" t="s">
        <v>5561</v>
      </c>
      <c r="T250" s="3"/>
      <c r="U250" s="2"/>
      <c r="V250" s="2"/>
      <c r="W250" s="2"/>
      <c r="X250" s="2"/>
      <c r="Y250" s="2"/>
      <c r="Z250" s="2"/>
      <c r="AA250" s="2"/>
      <c r="AB250" s="2"/>
      <c r="AC250" s="2"/>
      <c r="AD250" s="3"/>
    </row>
    <row r="251" spans="1:30" ht="12" customHeight="1">
      <c r="A251" s="828" t="s">
        <v>16945</v>
      </c>
      <c r="B251" s="3" t="s">
        <v>15628</v>
      </c>
      <c r="C251" s="1" t="s">
        <v>660</v>
      </c>
      <c r="D251" s="5">
        <f t="shared" si="3"/>
        <v>52</v>
      </c>
      <c r="E251" s="2" t="s">
        <v>5</v>
      </c>
      <c r="F251" s="2"/>
      <c r="G251" s="3"/>
      <c r="H251" s="1"/>
      <c r="I251" s="1"/>
      <c r="J251" s="4" t="s">
        <v>16117</v>
      </c>
      <c r="K251" s="1"/>
      <c r="L251" s="1" t="s">
        <v>6</v>
      </c>
      <c r="M251" s="825"/>
      <c r="N251" s="17"/>
      <c r="O251" s="3" t="s">
        <v>661</v>
      </c>
      <c r="P251" s="20">
        <v>21917</v>
      </c>
      <c r="Q251" s="3" t="s">
        <v>662</v>
      </c>
      <c r="R251" s="3"/>
      <c r="S251" s="3"/>
      <c r="T251" s="3" t="s">
        <v>145</v>
      </c>
      <c r="U251" s="2"/>
      <c r="V251" s="2" t="s">
        <v>145</v>
      </c>
      <c r="W251" s="2"/>
      <c r="X251" s="2"/>
      <c r="Y251" s="2"/>
      <c r="Z251" s="2"/>
      <c r="AA251" s="2"/>
      <c r="AB251" s="2"/>
      <c r="AC251" s="2"/>
      <c r="AD251" s="3"/>
    </row>
    <row r="252" spans="1:30" ht="12" customHeight="1">
      <c r="A252" s="828" t="s">
        <v>16946</v>
      </c>
      <c r="B252" s="3" t="s">
        <v>663</v>
      </c>
      <c r="C252" s="6" t="s">
        <v>910</v>
      </c>
      <c r="D252" s="5">
        <f t="shared" si="3"/>
        <v>55</v>
      </c>
      <c r="E252" s="6" t="s">
        <v>5</v>
      </c>
      <c r="F252" s="6" t="s">
        <v>15273</v>
      </c>
      <c r="G252" s="12" t="s">
        <v>667</v>
      </c>
      <c r="H252" s="19"/>
      <c r="I252" s="19"/>
      <c r="J252" s="8" t="s">
        <v>16126</v>
      </c>
      <c r="K252" s="6" t="s">
        <v>44</v>
      </c>
      <c r="L252" s="6" t="s">
        <v>25</v>
      </c>
      <c r="M252" s="6">
        <v>4</v>
      </c>
      <c r="N252" s="14">
        <v>4</v>
      </c>
      <c r="O252" s="12" t="s">
        <v>188</v>
      </c>
      <c r="P252" s="15">
        <v>20810</v>
      </c>
      <c r="Q252" s="12" t="s">
        <v>801</v>
      </c>
      <c r="R252" s="12" t="s">
        <v>840</v>
      </c>
      <c r="S252" s="12" t="s">
        <v>736</v>
      </c>
      <c r="T252" s="3"/>
      <c r="U252" s="2"/>
      <c r="V252" s="2"/>
      <c r="W252" s="2"/>
      <c r="X252" s="2"/>
      <c r="Y252" s="2"/>
      <c r="Z252" s="2"/>
      <c r="AA252" s="2"/>
      <c r="AB252" s="2"/>
      <c r="AC252" s="2"/>
      <c r="AD252" s="3"/>
    </row>
    <row r="253" spans="1:30" ht="12" customHeight="1">
      <c r="A253" s="828" t="s">
        <v>16947</v>
      </c>
      <c r="B253" s="3" t="s">
        <v>664</v>
      </c>
      <c r="C253" s="1" t="s">
        <v>668</v>
      </c>
      <c r="D253" s="5">
        <f t="shared" si="3"/>
        <v>43</v>
      </c>
      <c r="E253" s="2" t="s">
        <v>5</v>
      </c>
      <c r="F253" s="2" t="s">
        <v>15273</v>
      </c>
      <c r="G253" s="3"/>
      <c r="H253" s="1"/>
      <c r="I253" s="1"/>
      <c r="J253" s="4" t="s">
        <v>16120</v>
      </c>
      <c r="K253" s="1" t="s">
        <v>48</v>
      </c>
      <c r="L253" s="1" t="s">
        <v>14</v>
      </c>
      <c r="M253" s="825">
        <v>1</v>
      </c>
      <c r="N253" s="17">
        <v>1</v>
      </c>
      <c r="O253" s="3" t="s">
        <v>669</v>
      </c>
      <c r="P253" s="20">
        <v>25395</v>
      </c>
      <c r="Q253" s="3" t="s">
        <v>670</v>
      </c>
      <c r="R253" s="3"/>
      <c r="S253" s="3" t="s">
        <v>5457</v>
      </c>
      <c r="T253" s="3" t="s">
        <v>145</v>
      </c>
      <c r="U253" s="2"/>
      <c r="V253" s="2" t="s">
        <v>145</v>
      </c>
      <c r="W253" s="2"/>
      <c r="X253" s="2"/>
      <c r="Y253" s="2"/>
      <c r="Z253" s="2"/>
      <c r="AA253" s="2"/>
      <c r="AB253" s="2"/>
      <c r="AC253" s="2"/>
      <c r="AD253" s="3"/>
    </row>
    <row r="254" spans="1:30" ht="12" customHeight="1">
      <c r="A254" s="828" t="s">
        <v>16948</v>
      </c>
      <c r="B254" s="3" t="s">
        <v>665</v>
      </c>
      <c r="C254" s="1" t="s">
        <v>5857</v>
      </c>
      <c r="D254" s="5">
        <f t="shared" si="3"/>
        <v>63</v>
      </c>
      <c r="E254" s="2" t="s">
        <v>5</v>
      </c>
      <c r="F254" s="2" t="s">
        <v>15273</v>
      </c>
      <c r="G254" s="3"/>
      <c r="H254" s="1"/>
      <c r="I254" s="1"/>
      <c r="J254" s="4" t="s">
        <v>16116</v>
      </c>
      <c r="K254" s="1" t="s">
        <v>4997</v>
      </c>
      <c r="L254" s="1" t="s">
        <v>6</v>
      </c>
      <c r="M254" s="825"/>
      <c r="N254" s="17"/>
      <c r="O254" s="3" t="s">
        <v>15971</v>
      </c>
      <c r="P254" s="20">
        <v>18243</v>
      </c>
      <c r="Q254" s="3" t="s">
        <v>5859</v>
      </c>
      <c r="R254" s="3"/>
      <c r="S254" s="3" t="s">
        <v>469</v>
      </c>
      <c r="T254" s="3" t="s">
        <v>85</v>
      </c>
      <c r="U254" s="2"/>
      <c r="V254" s="2"/>
      <c r="W254" s="2"/>
      <c r="X254" s="2"/>
      <c r="Y254" s="2"/>
      <c r="Z254" s="2" t="s">
        <v>85</v>
      </c>
      <c r="AA254" s="2"/>
      <c r="AB254" s="2"/>
      <c r="AC254" s="2"/>
      <c r="AD254" s="3"/>
    </row>
    <row r="255" spans="1:30" ht="12" customHeight="1">
      <c r="A255" s="828" t="s">
        <v>16949</v>
      </c>
      <c r="B255" s="3" t="s">
        <v>666</v>
      </c>
      <c r="C255" s="1" t="s">
        <v>671</v>
      </c>
      <c r="D255" s="5">
        <f t="shared" si="3"/>
        <v>62</v>
      </c>
      <c r="E255" s="2" t="s">
        <v>5</v>
      </c>
      <c r="F255" s="2"/>
      <c r="G255" s="3"/>
      <c r="H255" s="1"/>
      <c r="I255" s="1"/>
      <c r="J255" s="4" t="s">
        <v>16117</v>
      </c>
      <c r="K255" s="1"/>
      <c r="L255" s="1" t="s">
        <v>6</v>
      </c>
      <c r="M255" s="825"/>
      <c r="N255" s="17"/>
      <c r="O255" s="3" t="s">
        <v>672</v>
      </c>
      <c r="P255" s="20">
        <v>18285</v>
      </c>
      <c r="Q255" s="3" t="s">
        <v>364</v>
      </c>
      <c r="R255" s="3"/>
      <c r="S255" s="3"/>
      <c r="T255" s="3"/>
      <c r="U255" s="2"/>
      <c r="V255" s="2"/>
      <c r="W255" s="2"/>
      <c r="X255" s="2"/>
      <c r="Y255" s="2"/>
      <c r="Z255" s="2"/>
      <c r="AA255" s="2"/>
      <c r="AB255" s="2"/>
      <c r="AC255" s="2"/>
      <c r="AD255" s="3"/>
    </row>
    <row r="256" spans="1:30" ht="12" customHeight="1">
      <c r="A256" s="828" t="s">
        <v>16950</v>
      </c>
      <c r="B256" s="3" t="s">
        <v>5856</v>
      </c>
      <c r="C256" s="1" t="s">
        <v>674</v>
      </c>
      <c r="D256" s="5">
        <f t="shared" si="3"/>
        <v>45</v>
      </c>
      <c r="E256" s="2" t="s">
        <v>5</v>
      </c>
      <c r="F256" s="2"/>
      <c r="G256" s="3"/>
      <c r="H256" s="1"/>
      <c r="I256" s="1"/>
      <c r="J256" s="4" t="s">
        <v>16122</v>
      </c>
      <c r="K256" s="1" t="s">
        <v>22</v>
      </c>
      <c r="L256" s="1" t="s">
        <v>6</v>
      </c>
      <c r="M256" s="825"/>
      <c r="N256" s="17"/>
      <c r="O256" s="3" t="s">
        <v>675</v>
      </c>
      <c r="P256" s="20">
        <v>24631</v>
      </c>
      <c r="Q256" s="3" t="s">
        <v>5174</v>
      </c>
      <c r="R256" s="3"/>
      <c r="S256" s="3"/>
      <c r="T256" s="3"/>
      <c r="U256" s="2"/>
      <c r="V256" s="2"/>
      <c r="W256" s="2"/>
      <c r="X256" s="2"/>
      <c r="Y256" s="2"/>
      <c r="Z256" s="2"/>
      <c r="AA256" s="2"/>
      <c r="AB256" s="2"/>
      <c r="AC256" s="2"/>
      <c r="AD256" s="3"/>
    </row>
    <row r="257" spans="1:30" ht="12" customHeight="1">
      <c r="A257" s="828" t="s">
        <v>16951</v>
      </c>
      <c r="B257" s="3" t="s">
        <v>676</v>
      </c>
      <c r="C257" s="1" t="s">
        <v>680</v>
      </c>
      <c r="D257" s="5">
        <f t="shared" ref="D257:D320" si="4">DATEDIF(P257,$P$1505,"Y")</f>
        <v>50</v>
      </c>
      <c r="E257" s="2" t="s">
        <v>19</v>
      </c>
      <c r="F257" s="6" t="s">
        <v>15273</v>
      </c>
      <c r="G257" s="3"/>
      <c r="H257" s="1"/>
      <c r="I257" s="1"/>
      <c r="J257" s="8" t="s">
        <v>16127</v>
      </c>
      <c r="K257" s="1" t="s">
        <v>681</v>
      </c>
      <c r="L257" s="1" t="s">
        <v>6</v>
      </c>
      <c r="M257" s="825"/>
      <c r="N257" s="17">
        <v>2</v>
      </c>
      <c r="O257" s="3" t="s">
        <v>682</v>
      </c>
      <c r="P257" s="20">
        <v>22916</v>
      </c>
      <c r="Q257" s="3" t="s">
        <v>683</v>
      </c>
      <c r="R257" s="3" t="s">
        <v>374</v>
      </c>
      <c r="S257" s="3"/>
      <c r="T257" s="3" t="s">
        <v>229</v>
      </c>
      <c r="U257" s="2"/>
      <c r="V257" s="2"/>
      <c r="W257" s="2"/>
      <c r="X257" s="2" t="s">
        <v>229</v>
      </c>
      <c r="Y257" s="2"/>
      <c r="Z257" s="2"/>
      <c r="AA257" s="2"/>
      <c r="AB257" s="2"/>
      <c r="AC257" s="2"/>
      <c r="AD257" s="3"/>
    </row>
    <row r="258" spans="1:30" ht="12" customHeight="1">
      <c r="A258" s="828" t="s">
        <v>16952</v>
      </c>
      <c r="B258" s="3" t="s">
        <v>677</v>
      </c>
      <c r="C258" s="1" t="s">
        <v>684</v>
      </c>
      <c r="D258" s="5">
        <f t="shared" si="4"/>
        <v>58</v>
      </c>
      <c r="E258" s="2" t="s">
        <v>5</v>
      </c>
      <c r="F258" s="2" t="s">
        <v>15273</v>
      </c>
      <c r="G258" s="3"/>
      <c r="H258" s="1"/>
      <c r="I258" s="1"/>
      <c r="J258" s="4" t="s">
        <v>16120</v>
      </c>
      <c r="K258" s="1" t="s">
        <v>30</v>
      </c>
      <c r="L258" s="1" t="s">
        <v>6</v>
      </c>
      <c r="M258" s="825"/>
      <c r="N258" s="17"/>
      <c r="O258" s="3" t="s">
        <v>685</v>
      </c>
      <c r="P258" s="20">
        <v>19953</v>
      </c>
      <c r="Q258" s="3" t="s">
        <v>686</v>
      </c>
      <c r="R258" s="3"/>
      <c r="S258" s="3" t="s">
        <v>5457</v>
      </c>
      <c r="T258" s="3" t="s">
        <v>145</v>
      </c>
      <c r="U258" s="2"/>
      <c r="V258" s="2" t="s">
        <v>145</v>
      </c>
      <c r="W258" s="2"/>
      <c r="X258" s="2"/>
      <c r="Y258" s="2"/>
      <c r="Z258" s="2"/>
      <c r="AA258" s="2"/>
      <c r="AB258" s="2"/>
      <c r="AC258" s="2"/>
      <c r="AD258" s="3"/>
    </row>
    <row r="259" spans="1:30" ht="12" customHeight="1">
      <c r="A259" s="828" t="s">
        <v>16953</v>
      </c>
      <c r="B259" s="3" t="s">
        <v>678</v>
      </c>
      <c r="C259" s="5" t="s">
        <v>886</v>
      </c>
      <c r="D259" s="5">
        <f t="shared" si="4"/>
        <v>47</v>
      </c>
      <c r="E259" s="5" t="s">
        <v>19</v>
      </c>
      <c r="F259" s="2" t="s">
        <v>15273</v>
      </c>
      <c r="G259" s="7" t="s">
        <v>687</v>
      </c>
      <c r="H259" s="18"/>
      <c r="I259" s="19"/>
      <c r="J259" s="4" t="s">
        <v>16125</v>
      </c>
      <c r="K259" s="5"/>
      <c r="L259" s="5" t="s">
        <v>25</v>
      </c>
      <c r="M259" s="5">
        <v>3</v>
      </c>
      <c r="N259" s="10">
        <v>3</v>
      </c>
      <c r="O259" s="7" t="s">
        <v>159</v>
      </c>
      <c r="P259" s="11">
        <v>23857</v>
      </c>
      <c r="Q259" s="7" t="s">
        <v>766</v>
      </c>
      <c r="R259" s="3" t="s">
        <v>2520</v>
      </c>
      <c r="S259" s="3" t="s">
        <v>5561</v>
      </c>
      <c r="T259" s="3" t="s">
        <v>572</v>
      </c>
      <c r="U259" s="2"/>
      <c r="V259" s="2" t="s">
        <v>145</v>
      </c>
      <c r="W259" s="2"/>
      <c r="X259" s="2"/>
      <c r="Y259" s="2"/>
      <c r="Z259" s="2"/>
      <c r="AA259" s="2" t="s">
        <v>104</v>
      </c>
      <c r="AB259" s="2"/>
      <c r="AC259" s="2"/>
      <c r="AD259" s="3"/>
    </row>
    <row r="260" spans="1:30" ht="12" customHeight="1">
      <c r="A260" s="828" t="s">
        <v>16954</v>
      </c>
      <c r="B260" s="3" t="s">
        <v>679</v>
      </c>
      <c r="C260" s="1" t="s">
        <v>5355</v>
      </c>
      <c r="D260" s="5">
        <f t="shared" si="4"/>
        <v>40</v>
      </c>
      <c r="E260" s="2" t="s">
        <v>5</v>
      </c>
      <c r="F260" s="2" t="s">
        <v>15273</v>
      </c>
      <c r="G260" s="3"/>
      <c r="H260" s="1"/>
      <c r="I260" s="1"/>
      <c r="J260" s="4" t="s">
        <v>16116</v>
      </c>
      <c r="K260" s="1" t="s">
        <v>4997</v>
      </c>
      <c r="L260" s="1" t="s">
        <v>6</v>
      </c>
      <c r="M260" s="825"/>
      <c r="N260" s="17"/>
      <c r="O260" s="3" t="s">
        <v>381</v>
      </c>
      <c r="P260" s="20">
        <v>26334</v>
      </c>
      <c r="Q260" s="3" t="s">
        <v>6142</v>
      </c>
      <c r="R260" s="3"/>
      <c r="S260" s="3" t="s">
        <v>469</v>
      </c>
      <c r="T260" s="3"/>
      <c r="U260" s="2"/>
      <c r="V260" s="2"/>
      <c r="W260" s="2"/>
      <c r="X260" s="2"/>
      <c r="Y260" s="2"/>
      <c r="Z260" s="2"/>
      <c r="AA260" s="2"/>
      <c r="AB260" s="2"/>
      <c r="AC260" s="3"/>
      <c r="AD260" s="3"/>
    </row>
    <row r="261" spans="1:30" ht="12" customHeight="1">
      <c r="A261" s="828" t="s">
        <v>16955</v>
      </c>
      <c r="B261" s="3" t="s">
        <v>5354</v>
      </c>
      <c r="C261" s="1" t="s">
        <v>688</v>
      </c>
      <c r="D261" s="5">
        <f t="shared" si="4"/>
        <v>62</v>
      </c>
      <c r="E261" s="2" t="s">
        <v>19</v>
      </c>
      <c r="F261" s="2"/>
      <c r="G261" s="3"/>
      <c r="H261" s="1"/>
      <c r="I261" s="1"/>
      <c r="J261" s="4" t="s">
        <v>16117</v>
      </c>
      <c r="K261" s="1"/>
      <c r="L261" s="1" t="s">
        <v>6</v>
      </c>
      <c r="M261" s="825"/>
      <c r="N261" s="17"/>
      <c r="O261" s="3" t="s">
        <v>689</v>
      </c>
      <c r="P261" s="20">
        <v>18292</v>
      </c>
      <c r="Q261" s="3" t="s">
        <v>690</v>
      </c>
      <c r="R261" s="3"/>
      <c r="S261" s="3"/>
      <c r="T261" s="3"/>
      <c r="U261" s="2"/>
      <c r="V261" s="2"/>
      <c r="W261" s="2"/>
      <c r="X261" s="2"/>
      <c r="Y261" s="2"/>
      <c r="Z261" s="2"/>
      <c r="AA261" s="2"/>
      <c r="AB261" s="2"/>
      <c r="AC261" s="3"/>
      <c r="AD261" s="3"/>
    </row>
    <row r="262" spans="1:30" ht="12" customHeight="1">
      <c r="A262" s="828" t="s">
        <v>16956</v>
      </c>
      <c r="B262" s="3" t="s">
        <v>691</v>
      </c>
      <c r="C262" s="6" t="s">
        <v>893</v>
      </c>
      <c r="D262" s="5">
        <f t="shared" si="4"/>
        <v>40</v>
      </c>
      <c r="E262" s="6" t="s">
        <v>5</v>
      </c>
      <c r="F262" s="6" t="s">
        <v>15273</v>
      </c>
      <c r="G262" s="12" t="s">
        <v>694</v>
      </c>
      <c r="H262" s="19"/>
      <c r="I262" s="19"/>
      <c r="J262" s="8" t="s">
        <v>16127</v>
      </c>
      <c r="K262" s="6" t="s">
        <v>44</v>
      </c>
      <c r="L262" s="6" t="s">
        <v>25</v>
      </c>
      <c r="M262" s="6">
        <v>1</v>
      </c>
      <c r="N262" s="14">
        <v>1</v>
      </c>
      <c r="O262" s="12" t="s">
        <v>695</v>
      </c>
      <c r="P262" s="15">
        <v>26424</v>
      </c>
      <c r="Q262" s="12" t="s">
        <v>788</v>
      </c>
      <c r="R262" s="3"/>
      <c r="S262" s="3" t="s">
        <v>736</v>
      </c>
      <c r="T262" s="3"/>
      <c r="U262" s="2"/>
      <c r="V262" s="2"/>
      <c r="W262" s="2"/>
      <c r="X262" s="2"/>
      <c r="Y262" s="2"/>
      <c r="Z262" s="2"/>
      <c r="AA262" s="2"/>
      <c r="AB262" s="2"/>
      <c r="AC262" s="3"/>
      <c r="AD262" s="3"/>
    </row>
    <row r="263" spans="1:30" ht="12" customHeight="1">
      <c r="A263" s="828" t="s">
        <v>16957</v>
      </c>
      <c r="B263" s="3" t="s">
        <v>692</v>
      </c>
      <c r="C263" s="6" t="s">
        <v>884</v>
      </c>
      <c r="D263" s="5">
        <f t="shared" si="4"/>
        <v>47</v>
      </c>
      <c r="E263" s="6" t="s">
        <v>5</v>
      </c>
      <c r="F263" s="6" t="s">
        <v>15273</v>
      </c>
      <c r="G263" s="12" t="s">
        <v>1305</v>
      </c>
      <c r="H263" s="19"/>
      <c r="I263" s="19"/>
      <c r="J263" s="8" t="s">
        <v>16120</v>
      </c>
      <c r="K263" s="6" t="s">
        <v>48</v>
      </c>
      <c r="L263" s="6" t="s">
        <v>25</v>
      </c>
      <c r="M263" s="6">
        <v>3</v>
      </c>
      <c r="N263" s="14">
        <v>3</v>
      </c>
      <c r="O263" s="12" t="s">
        <v>317</v>
      </c>
      <c r="P263" s="15">
        <v>24081</v>
      </c>
      <c r="Q263" s="12" t="s">
        <v>727</v>
      </c>
      <c r="R263" s="12" t="s">
        <v>304</v>
      </c>
      <c r="S263" s="12"/>
      <c r="T263" s="12" t="s">
        <v>147</v>
      </c>
      <c r="U263" s="2"/>
      <c r="V263" s="2"/>
      <c r="W263" s="2"/>
      <c r="X263" s="2"/>
      <c r="Y263" s="2"/>
      <c r="Z263" s="2"/>
      <c r="AA263" s="2"/>
      <c r="AB263" s="2" t="s">
        <v>147</v>
      </c>
      <c r="AC263" s="3"/>
      <c r="AD263" s="3"/>
    </row>
    <row r="264" spans="1:30" ht="12" customHeight="1">
      <c r="A264" s="828" t="s">
        <v>16958</v>
      </c>
      <c r="B264" s="3" t="s">
        <v>693</v>
      </c>
      <c r="C264" s="1" t="s">
        <v>15973</v>
      </c>
      <c r="D264" s="5">
        <f t="shared" si="4"/>
        <v>55</v>
      </c>
      <c r="E264" s="2" t="s">
        <v>5</v>
      </c>
      <c r="F264" s="2" t="s">
        <v>15273</v>
      </c>
      <c r="G264" s="3"/>
      <c r="H264" s="1"/>
      <c r="I264" s="1"/>
      <c r="J264" s="4" t="s">
        <v>16125</v>
      </c>
      <c r="K264" s="1"/>
      <c r="L264" s="1" t="s">
        <v>6</v>
      </c>
      <c r="M264" s="825"/>
      <c r="N264" s="17"/>
      <c r="O264" s="3" t="s">
        <v>188</v>
      </c>
      <c r="P264" s="20">
        <v>20828</v>
      </c>
      <c r="Q264" s="3" t="s">
        <v>15972</v>
      </c>
      <c r="R264" s="3"/>
      <c r="S264" s="3" t="s">
        <v>5561</v>
      </c>
      <c r="T264" s="3"/>
      <c r="U264" s="2"/>
      <c r="V264" s="2"/>
      <c r="W264" s="2"/>
      <c r="X264" s="2"/>
      <c r="Y264" s="2"/>
      <c r="Z264" s="2"/>
      <c r="AA264" s="2"/>
      <c r="AB264" s="2"/>
      <c r="AC264" s="3"/>
      <c r="AD264" s="3"/>
    </row>
    <row r="265" spans="1:30" ht="12" customHeight="1">
      <c r="A265" s="828" t="s">
        <v>16959</v>
      </c>
      <c r="B265" s="3" t="s">
        <v>1074</v>
      </c>
      <c r="C265" s="1" t="s">
        <v>1075</v>
      </c>
      <c r="D265" s="5">
        <f t="shared" si="4"/>
        <v>63</v>
      </c>
      <c r="E265" s="2" t="s">
        <v>5</v>
      </c>
      <c r="F265" s="2" t="s">
        <v>15273</v>
      </c>
      <c r="G265" s="3"/>
      <c r="H265" s="1"/>
      <c r="I265" s="1"/>
      <c r="J265" s="4" t="s">
        <v>16116</v>
      </c>
      <c r="K265" s="1" t="s">
        <v>276</v>
      </c>
      <c r="L265" s="1" t="s">
        <v>14</v>
      </c>
      <c r="M265" s="825">
        <v>2</v>
      </c>
      <c r="N265" s="17">
        <v>2</v>
      </c>
      <c r="O265" s="3" t="s">
        <v>609</v>
      </c>
      <c r="P265" s="20">
        <v>18037</v>
      </c>
      <c r="Q265" s="3" t="s">
        <v>1078</v>
      </c>
      <c r="R265" s="3" t="s">
        <v>1079</v>
      </c>
      <c r="S265" s="3"/>
      <c r="T265" s="3" t="s">
        <v>145</v>
      </c>
      <c r="U265" s="2"/>
      <c r="V265" s="2" t="s">
        <v>145</v>
      </c>
      <c r="W265" s="2"/>
      <c r="X265" s="2"/>
      <c r="Y265" s="2"/>
      <c r="Z265" s="2"/>
      <c r="AA265" s="2"/>
      <c r="AB265" s="2"/>
      <c r="AC265" s="3"/>
      <c r="AD265" s="3"/>
    </row>
    <row r="266" spans="1:30" ht="12" customHeight="1">
      <c r="A266" s="828" t="s">
        <v>16960</v>
      </c>
      <c r="B266" s="3" t="s">
        <v>5788</v>
      </c>
      <c r="C266" s="1" t="s">
        <v>696</v>
      </c>
      <c r="D266" s="5">
        <f t="shared" si="4"/>
        <v>41</v>
      </c>
      <c r="E266" s="2" t="s">
        <v>5</v>
      </c>
      <c r="F266" s="2"/>
      <c r="G266" s="3"/>
      <c r="H266" s="1"/>
      <c r="I266" s="1"/>
      <c r="J266" s="4" t="s">
        <v>16117</v>
      </c>
      <c r="K266" s="1"/>
      <c r="L266" s="1" t="s">
        <v>6</v>
      </c>
      <c r="M266" s="825"/>
      <c r="N266" s="17"/>
      <c r="O266" s="3" t="s">
        <v>609</v>
      </c>
      <c r="P266" s="20">
        <v>26198</v>
      </c>
      <c r="Q266" s="3" t="s">
        <v>531</v>
      </c>
      <c r="R266" s="3"/>
      <c r="S266" s="3"/>
      <c r="T266" s="3"/>
      <c r="U266" s="2"/>
      <c r="V266" s="2"/>
      <c r="W266" s="2"/>
      <c r="X266" s="2"/>
      <c r="Y266" s="2"/>
      <c r="Z266" s="2"/>
      <c r="AA266" s="2"/>
      <c r="AB266" s="2"/>
      <c r="AC266" s="3"/>
      <c r="AD266" s="3"/>
    </row>
    <row r="267" spans="1:30" ht="12" customHeight="1">
      <c r="A267" s="828" t="s">
        <v>16961</v>
      </c>
      <c r="B267" s="3" t="s">
        <v>697</v>
      </c>
      <c r="C267" s="6" t="s">
        <v>868</v>
      </c>
      <c r="D267" s="5">
        <f t="shared" si="4"/>
        <v>64</v>
      </c>
      <c r="E267" s="6" t="s">
        <v>5</v>
      </c>
      <c r="F267" s="6" t="s">
        <v>15273</v>
      </c>
      <c r="G267" s="12" t="s">
        <v>700</v>
      </c>
      <c r="H267" s="19"/>
      <c r="I267" s="19"/>
      <c r="J267" s="8" t="s">
        <v>16126</v>
      </c>
      <c r="K267" s="6" t="s">
        <v>655</v>
      </c>
      <c r="L267" s="6" t="s">
        <v>25</v>
      </c>
      <c r="M267" s="6">
        <v>4</v>
      </c>
      <c r="N267" s="14">
        <v>4</v>
      </c>
      <c r="O267" s="12" t="s">
        <v>317</v>
      </c>
      <c r="P267" s="15">
        <v>17839</v>
      </c>
      <c r="Q267" s="12" t="s">
        <v>701</v>
      </c>
      <c r="R267" s="12" t="s">
        <v>2518</v>
      </c>
      <c r="S267" s="12" t="s">
        <v>736</v>
      </c>
      <c r="T267" s="12" t="s">
        <v>155</v>
      </c>
      <c r="U267" s="2"/>
      <c r="V267" s="2"/>
      <c r="W267" s="2"/>
      <c r="X267" s="2"/>
      <c r="Y267" s="2" t="s">
        <v>155</v>
      </c>
      <c r="Z267" s="2"/>
      <c r="AA267" s="2"/>
      <c r="AB267" s="2"/>
      <c r="AC267" s="3"/>
      <c r="AD267" s="3"/>
    </row>
    <row r="268" spans="1:30" ht="12" customHeight="1">
      <c r="A268" s="828" t="s">
        <v>16962</v>
      </c>
      <c r="B268" s="3" t="s">
        <v>698</v>
      </c>
      <c r="C268" s="1" t="s">
        <v>702</v>
      </c>
      <c r="D268" s="5">
        <f t="shared" si="4"/>
        <v>39</v>
      </c>
      <c r="E268" s="2" t="s">
        <v>5</v>
      </c>
      <c r="F268" s="2" t="s">
        <v>15273</v>
      </c>
      <c r="G268" s="3"/>
      <c r="H268" s="1"/>
      <c r="I268" s="1"/>
      <c r="J268" s="4" t="s">
        <v>16120</v>
      </c>
      <c r="K268" s="1" t="s">
        <v>48</v>
      </c>
      <c r="L268" s="1" t="s">
        <v>14</v>
      </c>
      <c r="M268" s="825">
        <v>1</v>
      </c>
      <c r="N268" s="17">
        <v>1</v>
      </c>
      <c r="O268" s="3" t="s">
        <v>255</v>
      </c>
      <c r="P268" s="20">
        <v>26829</v>
      </c>
      <c r="Q268" s="3" t="s">
        <v>703</v>
      </c>
      <c r="R268" s="3"/>
      <c r="S268" s="3" t="s">
        <v>5457</v>
      </c>
      <c r="T268" s="3"/>
      <c r="U268" s="2"/>
      <c r="V268" s="2"/>
      <c r="W268" s="2"/>
      <c r="X268" s="2"/>
      <c r="Y268" s="2"/>
      <c r="Z268" s="2"/>
      <c r="AA268" s="2"/>
      <c r="AB268" s="2"/>
      <c r="AC268" s="3"/>
      <c r="AD268" s="3"/>
    </row>
    <row r="269" spans="1:30" ht="12" customHeight="1">
      <c r="A269" s="828" t="s">
        <v>16963</v>
      </c>
      <c r="B269" s="3" t="s">
        <v>699</v>
      </c>
      <c r="C269" s="1" t="s">
        <v>5074</v>
      </c>
      <c r="D269" s="5">
        <f t="shared" si="4"/>
        <v>49</v>
      </c>
      <c r="E269" s="2" t="s">
        <v>5</v>
      </c>
      <c r="F269" s="2" t="s">
        <v>15273</v>
      </c>
      <c r="G269" s="3"/>
      <c r="H269" s="1"/>
      <c r="I269" s="1"/>
      <c r="J269" s="4" t="s">
        <v>16125</v>
      </c>
      <c r="K269" s="1"/>
      <c r="L269" s="1" t="s">
        <v>6</v>
      </c>
      <c r="M269" s="825"/>
      <c r="N269" s="17"/>
      <c r="O269" s="3" t="s">
        <v>1493</v>
      </c>
      <c r="P269" s="20">
        <v>23066</v>
      </c>
      <c r="Q269" s="3" t="s">
        <v>5076</v>
      </c>
      <c r="R269" s="3"/>
      <c r="S269" s="3" t="s">
        <v>5561</v>
      </c>
      <c r="T269" s="3"/>
      <c r="U269" s="2"/>
      <c r="V269" s="2"/>
      <c r="W269" s="2"/>
      <c r="X269" s="2"/>
      <c r="Y269" s="2"/>
      <c r="Z269" s="2"/>
      <c r="AA269" s="2"/>
      <c r="AB269" s="2"/>
      <c r="AC269" s="3"/>
      <c r="AD269" s="3"/>
    </row>
    <row r="270" spans="1:30" ht="12" customHeight="1">
      <c r="A270" s="828" t="s">
        <v>16964</v>
      </c>
      <c r="B270" s="3" t="s">
        <v>5073</v>
      </c>
      <c r="C270" s="1" t="s">
        <v>6143</v>
      </c>
      <c r="D270" s="5">
        <f t="shared" si="4"/>
        <v>45</v>
      </c>
      <c r="E270" s="2" t="s">
        <v>5</v>
      </c>
      <c r="F270" s="2" t="s">
        <v>15273</v>
      </c>
      <c r="G270" s="3"/>
      <c r="H270" s="1"/>
      <c r="I270" s="1"/>
      <c r="J270" s="4" t="s">
        <v>16116</v>
      </c>
      <c r="K270" s="1" t="s">
        <v>4997</v>
      </c>
      <c r="L270" s="1" t="s">
        <v>6</v>
      </c>
      <c r="M270" s="825"/>
      <c r="N270" s="17"/>
      <c r="O270" s="3" t="s">
        <v>6145</v>
      </c>
      <c r="P270" s="20">
        <v>24529</v>
      </c>
      <c r="Q270" s="3" t="s">
        <v>6146</v>
      </c>
      <c r="R270" s="3"/>
      <c r="S270" s="3" t="s">
        <v>469</v>
      </c>
      <c r="T270" s="3"/>
      <c r="U270" s="2"/>
      <c r="V270" s="2"/>
      <c r="W270" s="2"/>
      <c r="X270" s="2"/>
      <c r="Y270" s="2"/>
      <c r="Z270" s="2"/>
      <c r="AA270" s="2"/>
      <c r="AB270" s="2"/>
      <c r="AC270" s="3"/>
      <c r="AD270" s="3"/>
    </row>
    <row r="271" spans="1:30" ht="12" customHeight="1">
      <c r="A271" s="828" t="s">
        <v>16965</v>
      </c>
      <c r="B271" s="3" t="s">
        <v>5356</v>
      </c>
      <c r="C271" s="1" t="s">
        <v>704</v>
      </c>
      <c r="D271" s="5">
        <f t="shared" si="4"/>
        <v>48</v>
      </c>
      <c r="E271" s="2" t="s">
        <v>5</v>
      </c>
      <c r="F271" s="2"/>
      <c r="G271" s="3"/>
      <c r="H271" s="1"/>
      <c r="I271" s="1"/>
      <c r="J271" s="4" t="s">
        <v>16117</v>
      </c>
      <c r="K271" s="1"/>
      <c r="L271" s="1" t="s">
        <v>6</v>
      </c>
      <c r="M271" s="825"/>
      <c r="N271" s="17"/>
      <c r="O271" s="3" t="s">
        <v>705</v>
      </c>
      <c r="P271" s="20">
        <v>23448</v>
      </c>
      <c r="Q271" s="3" t="s">
        <v>706</v>
      </c>
      <c r="R271" s="3"/>
      <c r="S271" s="3"/>
      <c r="T271" s="3" t="s">
        <v>145</v>
      </c>
      <c r="U271" s="2"/>
      <c r="V271" s="2" t="s">
        <v>145</v>
      </c>
      <c r="W271" s="2"/>
      <c r="X271" s="2"/>
      <c r="Y271" s="2"/>
      <c r="Z271" s="2"/>
      <c r="AA271" s="2"/>
      <c r="AB271" s="2"/>
      <c r="AC271" s="3"/>
      <c r="AD271" s="3"/>
    </row>
    <row r="272" spans="1:30" ht="12" customHeight="1">
      <c r="A272" s="828" t="s">
        <v>16966</v>
      </c>
      <c r="B272" s="3" t="s">
        <v>707</v>
      </c>
      <c r="C272" s="1" t="s">
        <v>5554</v>
      </c>
      <c r="D272" s="5">
        <f t="shared" si="4"/>
        <v>39</v>
      </c>
      <c r="E272" s="2" t="s">
        <v>5</v>
      </c>
      <c r="F272" s="6" t="s">
        <v>15273</v>
      </c>
      <c r="G272" s="3"/>
      <c r="H272" s="1"/>
      <c r="I272" s="1"/>
      <c r="J272" s="8" t="s">
        <v>16127</v>
      </c>
      <c r="K272" s="1" t="s">
        <v>44</v>
      </c>
      <c r="L272" s="1" t="s">
        <v>6</v>
      </c>
      <c r="M272" s="825"/>
      <c r="N272" s="17"/>
      <c r="O272" s="3" t="s">
        <v>459</v>
      </c>
      <c r="P272" s="20">
        <v>26960</v>
      </c>
      <c r="Q272" s="3" t="s">
        <v>5555</v>
      </c>
      <c r="R272" s="3"/>
      <c r="S272" s="3"/>
      <c r="T272" s="3"/>
      <c r="U272" s="2"/>
      <c r="V272" s="2"/>
      <c r="W272" s="2"/>
      <c r="X272" s="2"/>
      <c r="Y272" s="2"/>
      <c r="Z272" s="2"/>
      <c r="AA272" s="2"/>
      <c r="AB272" s="2"/>
      <c r="AC272" s="3"/>
      <c r="AD272" s="3"/>
    </row>
    <row r="273" spans="1:30" ht="12" customHeight="1">
      <c r="A273" s="828" t="s">
        <v>16967</v>
      </c>
      <c r="B273" s="3" t="s">
        <v>708</v>
      </c>
      <c r="C273" s="1" t="s">
        <v>712</v>
      </c>
      <c r="D273" s="5">
        <f t="shared" si="4"/>
        <v>64</v>
      </c>
      <c r="E273" s="2" t="s">
        <v>5</v>
      </c>
      <c r="F273" s="2" t="s">
        <v>15273</v>
      </c>
      <c r="G273" s="3"/>
      <c r="H273" s="1"/>
      <c r="I273" s="1"/>
      <c r="J273" s="4" t="s">
        <v>16120</v>
      </c>
      <c r="K273" s="1" t="s">
        <v>13</v>
      </c>
      <c r="L273" s="1" t="s">
        <v>14</v>
      </c>
      <c r="M273" s="825">
        <v>4</v>
      </c>
      <c r="N273" s="17">
        <v>4</v>
      </c>
      <c r="O273" s="3" t="s">
        <v>172</v>
      </c>
      <c r="P273" s="20">
        <v>17847</v>
      </c>
      <c r="Q273" s="3" t="s">
        <v>713</v>
      </c>
      <c r="R273" s="3" t="s">
        <v>714</v>
      </c>
      <c r="S273" s="3" t="s">
        <v>5457</v>
      </c>
      <c r="T273" s="3"/>
      <c r="U273" s="2"/>
      <c r="V273" s="2"/>
      <c r="W273" s="2"/>
      <c r="X273" s="2"/>
      <c r="Y273" s="2"/>
      <c r="Z273" s="2"/>
      <c r="AA273" s="2"/>
      <c r="AB273" s="2"/>
      <c r="AC273" s="3"/>
      <c r="AD273" s="3"/>
    </row>
    <row r="274" spans="1:30" ht="12" customHeight="1">
      <c r="A274" s="828" t="s">
        <v>16968</v>
      </c>
      <c r="B274" s="3" t="s">
        <v>709</v>
      </c>
      <c r="C274" s="6" t="s">
        <v>895</v>
      </c>
      <c r="D274" s="5">
        <f t="shared" si="4"/>
        <v>62</v>
      </c>
      <c r="E274" s="6" t="s">
        <v>5</v>
      </c>
      <c r="F274" s="2" t="s">
        <v>15273</v>
      </c>
      <c r="G274" s="12" t="s">
        <v>715</v>
      </c>
      <c r="H274" s="19"/>
      <c r="I274" s="19"/>
      <c r="J274" s="4" t="s">
        <v>16125</v>
      </c>
      <c r="K274" s="6"/>
      <c r="L274" s="6" t="s">
        <v>25</v>
      </c>
      <c r="M274" s="6">
        <v>2</v>
      </c>
      <c r="N274" s="14">
        <v>2</v>
      </c>
      <c r="O274" s="12" t="s">
        <v>255</v>
      </c>
      <c r="P274" s="15">
        <v>18367</v>
      </c>
      <c r="Q274" s="12" t="s">
        <v>716</v>
      </c>
      <c r="R274" s="3"/>
      <c r="S274" s="3" t="s">
        <v>5561</v>
      </c>
      <c r="T274" s="3"/>
      <c r="U274" s="2"/>
      <c r="V274" s="2"/>
      <c r="W274" s="2"/>
      <c r="X274" s="2"/>
      <c r="Y274" s="2"/>
      <c r="Z274" s="2"/>
      <c r="AA274" s="2"/>
      <c r="AB274" s="2"/>
      <c r="AC274" s="3"/>
      <c r="AD274" s="3"/>
    </row>
    <row r="275" spans="1:30" ht="12" customHeight="1">
      <c r="A275" s="828" t="s">
        <v>16969</v>
      </c>
      <c r="B275" s="3" t="s">
        <v>710</v>
      </c>
      <c r="C275" s="1" t="s">
        <v>720</v>
      </c>
      <c r="D275" s="5">
        <f t="shared" si="4"/>
        <v>57</v>
      </c>
      <c r="E275" s="2" t="s">
        <v>5</v>
      </c>
      <c r="F275" s="2" t="s">
        <v>15273</v>
      </c>
      <c r="G275" s="3"/>
      <c r="H275" s="1"/>
      <c r="I275" s="1"/>
      <c r="J275" s="4" t="s">
        <v>16116</v>
      </c>
      <c r="K275" s="1" t="s">
        <v>4997</v>
      </c>
      <c r="L275" s="1" t="s">
        <v>6</v>
      </c>
      <c r="M275" s="825"/>
      <c r="N275" s="17"/>
      <c r="O275" s="3" t="s">
        <v>172</v>
      </c>
      <c r="P275" s="20">
        <v>20119</v>
      </c>
      <c r="Q275" s="3" t="s">
        <v>721</v>
      </c>
      <c r="R275" s="3"/>
      <c r="S275" s="3"/>
      <c r="T275" s="3" t="s">
        <v>371</v>
      </c>
      <c r="U275" s="2"/>
      <c r="V275" s="2" t="s">
        <v>145</v>
      </c>
      <c r="W275" s="2" t="s">
        <v>75</v>
      </c>
      <c r="X275" s="2"/>
      <c r="Y275" s="2"/>
      <c r="Z275" s="2"/>
      <c r="AA275" s="2"/>
      <c r="AB275" s="2"/>
      <c r="AC275" s="3"/>
      <c r="AD275" s="3"/>
    </row>
    <row r="276" spans="1:30" ht="12" customHeight="1">
      <c r="A276" s="828" t="s">
        <v>16970</v>
      </c>
      <c r="B276" s="3" t="s">
        <v>711</v>
      </c>
      <c r="C276" s="1" t="s">
        <v>717</v>
      </c>
      <c r="D276" s="5">
        <f t="shared" si="4"/>
        <v>63</v>
      </c>
      <c r="E276" s="2" t="s">
        <v>5</v>
      </c>
      <c r="F276" s="2"/>
      <c r="G276" s="3"/>
      <c r="H276" s="1"/>
      <c r="I276" s="1"/>
      <c r="J276" s="4" t="s">
        <v>16117</v>
      </c>
      <c r="K276" s="1"/>
      <c r="L276" s="1" t="s">
        <v>6</v>
      </c>
      <c r="M276" s="825"/>
      <c r="N276" s="17"/>
      <c r="O276" s="3" t="s">
        <v>718</v>
      </c>
      <c r="P276" s="20">
        <v>17956</v>
      </c>
      <c r="Q276" s="3" t="s">
        <v>719</v>
      </c>
      <c r="R276" s="3"/>
      <c r="S276" s="3"/>
      <c r="T276" s="3" t="s">
        <v>145</v>
      </c>
      <c r="U276" s="2"/>
      <c r="V276" s="2" t="s">
        <v>145</v>
      </c>
      <c r="W276" s="2"/>
      <c r="X276" s="2"/>
      <c r="Y276" s="2"/>
      <c r="Z276" s="2"/>
      <c r="AA276" s="2"/>
      <c r="AB276" s="2"/>
      <c r="AC276" s="3"/>
      <c r="AD276" s="3"/>
    </row>
    <row r="277" spans="1:30" ht="12" customHeight="1">
      <c r="A277" s="828" t="s">
        <v>16971</v>
      </c>
      <c r="B277" s="3" t="s">
        <v>723</v>
      </c>
      <c r="C277" s="1" t="s">
        <v>726</v>
      </c>
      <c r="D277" s="5">
        <f t="shared" si="4"/>
        <v>37</v>
      </c>
      <c r="E277" s="2" t="s">
        <v>5</v>
      </c>
      <c r="F277" s="2" t="s">
        <v>15273</v>
      </c>
      <c r="G277" s="3"/>
      <c r="H277" s="1"/>
      <c r="I277" s="1"/>
      <c r="J277" s="8" t="s">
        <v>16120</v>
      </c>
      <c r="K277" s="1" t="s">
        <v>30</v>
      </c>
      <c r="L277" s="1" t="s">
        <v>6</v>
      </c>
      <c r="M277" s="825"/>
      <c r="N277" s="17"/>
      <c r="O277" s="3" t="s">
        <v>188</v>
      </c>
      <c r="P277" s="20">
        <v>27600</v>
      </c>
      <c r="Q277" s="3" t="s">
        <v>727</v>
      </c>
      <c r="R277" s="3"/>
      <c r="S277" s="3"/>
      <c r="T277" s="3" t="s">
        <v>147</v>
      </c>
      <c r="U277" s="2"/>
      <c r="V277" s="2"/>
      <c r="W277" s="2"/>
      <c r="X277" s="2"/>
      <c r="Y277" s="2"/>
      <c r="Z277" s="2"/>
      <c r="AA277" s="2"/>
      <c r="AB277" s="2" t="s">
        <v>147</v>
      </c>
      <c r="AC277" s="3"/>
      <c r="AD277" s="3"/>
    </row>
    <row r="278" spans="1:30" ht="12" customHeight="1">
      <c r="A278" s="828" t="s">
        <v>16972</v>
      </c>
      <c r="B278" s="3" t="s">
        <v>724</v>
      </c>
      <c r="C278" s="1" t="s">
        <v>728</v>
      </c>
      <c r="D278" s="5">
        <f t="shared" si="4"/>
        <v>28</v>
      </c>
      <c r="E278" s="2" t="s">
        <v>5</v>
      </c>
      <c r="F278" s="2"/>
      <c r="G278" s="3"/>
      <c r="H278" s="1"/>
      <c r="I278" s="1"/>
      <c r="J278" s="4" t="s">
        <v>16117</v>
      </c>
      <c r="K278" s="1"/>
      <c r="L278" s="1" t="s">
        <v>6</v>
      </c>
      <c r="M278" s="825"/>
      <c r="N278" s="17"/>
      <c r="O278" s="3" t="s">
        <v>729</v>
      </c>
      <c r="P278" s="20">
        <v>30756</v>
      </c>
      <c r="Q278" s="3" t="s">
        <v>730</v>
      </c>
      <c r="R278" s="3"/>
      <c r="S278" s="3"/>
      <c r="T278" s="3"/>
      <c r="U278" s="2"/>
      <c r="V278" s="2"/>
      <c r="W278" s="2"/>
      <c r="X278" s="2"/>
      <c r="Y278" s="2"/>
      <c r="Z278" s="2"/>
      <c r="AA278" s="2"/>
      <c r="AB278" s="2"/>
      <c r="AC278" s="3"/>
      <c r="AD278" s="3"/>
    </row>
    <row r="279" spans="1:30" ht="12" customHeight="1">
      <c r="A279" s="828" t="s">
        <v>16973</v>
      </c>
      <c r="B279" s="3" t="s">
        <v>725</v>
      </c>
      <c r="C279" s="6" t="s">
        <v>889</v>
      </c>
      <c r="D279" s="5">
        <f t="shared" si="4"/>
        <v>60</v>
      </c>
      <c r="E279" s="6" t="s">
        <v>5</v>
      </c>
      <c r="F279" s="6"/>
      <c r="G279" s="12" t="s">
        <v>731</v>
      </c>
      <c r="H279" s="19"/>
      <c r="I279" s="19"/>
      <c r="J279" s="4" t="s">
        <v>16129</v>
      </c>
      <c r="K279" s="6" t="s">
        <v>97</v>
      </c>
      <c r="L279" s="6" t="s">
        <v>25</v>
      </c>
      <c r="M279" s="6">
        <v>3</v>
      </c>
      <c r="N279" s="14">
        <v>3</v>
      </c>
      <c r="O279" s="12" t="s">
        <v>317</v>
      </c>
      <c r="P279" s="15">
        <v>19254</v>
      </c>
      <c r="Q279" s="12" t="s">
        <v>781</v>
      </c>
      <c r="R279" s="3"/>
      <c r="S279" s="3"/>
      <c r="T279" s="3" t="s">
        <v>47</v>
      </c>
      <c r="U279" s="2" t="s">
        <v>47</v>
      </c>
      <c r="V279" s="2"/>
      <c r="W279" s="2"/>
      <c r="X279" s="2"/>
      <c r="Y279" s="2"/>
      <c r="Z279" s="2"/>
      <c r="AA279" s="2"/>
      <c r="AB279" s="2"/>
      <c r="AC279" s="2"/>
      <c r="AD279" s="2"/>
    </row>
    <row r="280" spans="1:30" ht="12" customHeight="1">
      <c r="A280" s="828" t="s">
        <v>16974</v>
      </c>
      <c r="B280" s="3" t="s">
        <v>732</v>
      </c>
      <c r="C280" s="1" t="s">
        <v>938</v>
      </c>
      <c r="D280" s="5">
        <f t="shared" si="4"/>
        <v>48</v>
      </c>
      <c r="E280" s="2" t="s">
        <v>5</v>
      </c>
      <c r="F280" s="6" t="s">
        <v>15273</v>
      </c>
      <c r="G280" s="3" t="s">
        <v>939</v>
      </c>
      <c r="H280" s="1"/>
      <c r="I280" s="1"/>
      <c r="J280" s="8" t="s">
        <v>16127</v>
      </c>
      <c r="K280" s="1" t="s">
        <v>655</v>
      </c>
      <c r="L280" s="1" t="s">
        <v>25</v>
      </c>
      <c r="M280" s="825">
        <v>2</v>
      </c>
      <c r="N280" s="17">
        <v>2</v>
      </c>
      <c r="O280" s="3" t="s">
        <v>23</v>
      </c>
      <c r="P280" s="20">
        <v>23713</v>
      </c>
      <c r="Q280" s="3" t="s">
        <v>941</v>
      </c>
      <c r="R280" s="3" t="s">
        <v>942</v>
      </c>
      <c r="S280" s="3" t="s">
        <v>736</v>
      </c>
      <c r="T280" s="3" t="s">
        <v>146</v>
      </c>
      <c r="U280" s="2"/>
      <c r="V280" s="2"/>
      <c r="W280" s="2"/>
      <c r="X280" s="2"/>
      <c r="Y280" s="2"/>
      <c r="Z280" s="2"/>
      <c r="AA280" s="2"/>
      <c r="AB280" s="2"/>
      <c r="AC280" s="2" t="s">
        <v>146</v>
      </c>
      <c r="AD280" s="2"/>
    </row>
    <row r="281" spans="1:30" ht="12" customHeight="1">
      <c r="A281" s="828" t="s">
        <v>16975</v>
      </c>
      <c r="B281" s="3" t="s">
        <v>733</v>
      </c>
      <c r="C281" s="1" t="s">
        <v>944</v>
      </c>
      <c r="D281" s="5">
        <f t="shared" si="4"/>
        <v>36</v>
      </c>
      <c r="E281" s="2" t="s">
        <v>5</v>
      </c>
      <c r="F281" s="2" t="s">
        <v>15273</v>
      </c>
      <c r="G281" s="3"/>
      <c r="H281" s="1"/>
      <c r="I281" s="1"/>
      <c r="J281" s="4" t="s">
        <v>16120</v>
      </c>
      <c r="K281" s="1" t="s">
        <v>30</v>
      </c>
      <c r="L281" s="1" t="s">
        <v>6</v>
      </c>
      <c r="M281" s="825"/>
      <c r="N281" s="17"/>
      <c r="O281" s="3" t="s">
        <v>31</v>
      </c>
      <c r="P281" s="21">
        <v>28081</v>
      </c>
      <c r="Q281" s="3" t="s">
        <v>950</v>
      </c>
      <c r="R281" s="3"/>
      <c r="S281" s="3" t="s">
        <v>5457</v>
      </c>
      <c r="T281" s="3" t="s">
        <v>572</v>
      </c>
      <c r="U281" s="2"/>
      <c r="V281" s="2" t="s">
        <v>145</v>
      </c>
      <c r="W281" s="2"/>
      <c r="X281" s="2"/>
      <c r="Y281" s="2"/>
      <c r="Z281" s="2"/>
      <c r="AA281" s="2" t="s">
        <v>104</v>
      </c>
      <c r="AB281" s="2"/>
      <c r="AC281" s="2"/>
      <c r="AD281" s="2"/>
    </row>
    <row r="282" spans="1:30" ht="12" customHeight="1">
      <c r="A282" s="828" t="s">
        <v>16976</v>
      </c>
      <c r="B282" s="3" t="s">
        <v>15974</v>
      </c>
      <c r="C282" s="1" t="s">
        <v>948</v>
      </c>
      <c r="D282" s="5">
        <f t="shared" si="4"/>
        <v>44</v>
      </c>
      <c r="E282" s="2" t="s">
        <v>5</v>
      </c>
      <c r="F282" s="2" t="s">
        <v>15273</v>
      </c>
      <c r="G282" s="3"/>
      <c r="H282" s="1"/>
      <c r="I282" s="1"/>
      <c r="J282" s="4" t="s">
        <v>16128</v>
      </c>
      <c r="K282" s="1"/>
      <c r="L282" s="1" t="s">
        <v>6</v>
      </c>
      <c r="M282" s="825"/>
      <c r="N282" s="17"/>
      <c r="O282" s="3" t="s">
        <v>188</v>
      </c>
      <c r="P282" s="20">
        <v>25026</v>
      </c>
      <c r="Q282" s="3" t="s">
        <v>949</v>
      </c>
      <c r="R282" s="3"/>
      <c r="S282" s="3" t="s">
        <v>16096</v>
      </c>
      <c r="T282" s="3" t="s">
        <v>145</v>
      </c>
      <c r="U282" s="2"/>
      <c r="V282" s="2" t="s">
        <v>145</v>
      </c>
      <c r="W282" s="2"/>
      <c r="X282" s="2"/>
      <c r="Y282" s="2"/>
      <c r="Z282" s="2"/>
      <c r="AA282" s="2"/>
      <c r="AB282" s="2"/>
      <c r="AC282" s="2"/>
      <c r="AD282" s="2"/>
    </row>
    <row r="283" spans="1:30" ht="12" customHeight="1">
      <c r="A283" s="828" t="s">
        <v>16977</v>
      </c>
      <c r="B283" s="3" t="s">
        <v>734</v>
      </c>
      <c r="C283" s="1" t="s">
        <v>945</v>
      </c>
      <c r="D283" s="5">
        <f t="shared" si="4"/>
        <v>59</v>
      </c>
      <c r="E283" s="2" t="s">
        <v>5</v>
      </c>
      <c r="F283" s="2"/>
      <c r="G283" s="3"/>
      <c r="H283" s="1"/>
      <c r="I283" s="1"/>
      <c r="J283" s="4" t="s">
        <v>16117</v>
      </c>
      <c r="K283" s="1"/>
      <c r="L283" s="1" t="s">
        <v>6</v>
      </c>
      <c r="M283" s="825"/>
      <c r="N283" s="17"/>
      <c r="O283" s="3" t="s">
        <v>947</v>
      </c>
      <c r="P283" s="20">
        <v>19497</v>
      </c>
      <c r="Q283" s="3" t="s">
        <v>946</v>
      </c>
      <c r="R283" s="3"/>
      <c r="S283" s="3"/>
      <c r="T283" s="3"/>
      <c r="U283" s="2"/>
      <c r="V283" s="2"/>
      <c r="W283" s="2"/>
      <c r="X283" s="2"/>
      <c r="Y283" s="2"/>
      <c r="Z283" s="2"/>
      <c r="AA283" s="2"/>
      <c r="AB283" s="2"/>
      <c r="AC283" s="2"/>
      <c r="AD283" s="2"/>
    </row>
    <row r="284" spans="1:30" ht="12" customHeight="1">
      <c r="A284" s="828" t="s">
        <v>16978</v>
      </c>
      <c r="B284" s="3" t="s">
        <v>735</v>
      </c>
      <c r="C284" s="1" t="s">
        <v>15975</v>
      </c>
      <c r="D284" s="5">
        <f t="shared" si="4"/>
        <v>94</v>
      </c>
      <c r="E284" s="2" t="s">
        <v>5</v>
      </c>
      <c r="F284" s="2"/>
      <c r="G284" s="3"/>
      <c r="H284" s="1"/>
      <c r="I284" s="1"/>
      <c r="J284" s="4" t="s">
        <v>16129</v>
      </c>
      <c r="K284" s="1"/>
      <c r="L284" s="1" t="s">
        <v>6</v>
      </c>
      <c r="M284" s="825"/>
      <c r="N284" s="17"/>
      <c r="O284" s="3" t="s">
        <v>15976</v>
      </c>
      <c r="P284" s="20">
        <v>6788</v>
      </c>
      <c r="Q284" s="3" t="s">
        <v>15977</v>
      </c>
      <c r="R284" s="3"/>
      <c r="S284" s="3"/>
      <c r="T284" s="3"/>
      <c r="U284" s="2"/>
      <c r="V284" s="2"/>
      <c r="W284" s="2"/>
      <c r="X284" s="2"/>
      <c r="Y284" s="2"/>
      <c r="Z284" s="2"/>
      <c r="AA284" s="2"/>
      <c r="AB284" s="2"/>
      <c r="AC284" s="2"/>
      <c r="AD284" s="2"/>
    </row>
    <row r="285" spans="1:30" ht="12" customHeight="1">
      <c r="A285" s="828" t="s">
        <v>16979</v>
      </c>
      <c r="B285" s="3" t="s">
        <v>5789</v>
      </c>
      <c r="C285" s="1" t="s">
        <v>951</v>
      </c>
      <c r="D285" s="5">
        <f t="shared" si="4"/>
        <v>38</v>
      </c>
      <c r="E285" s="2" t="s">
        <v>5</v>
      </c>
      <c r="F285" s="2"/>
      <c r="G285" s="3"/>
      <c r="H285" s="1"/>
      <c r="I285" s="1"/>
      <c r="J285" s="4" t="s">
        <v>16129</v>
      </c>
      <c r="K285" s="1" t="s">
        <v>97</v>
      </c>
      <c r="L285" s="1" t="s">
        <v>6</v>
      </c>
      <c r="M285" s="825"/>
      <c r="N285" s="17"/>
      <c r="O285" s="3" t="s">
        <v>245</v>
      </c>
      <c r="P285" s="20">
        <v>27291</v>
      </c>
      <c r="Q285" s="3" t="s">
        <v>953</v>
      </c>
      <c r="R285" s="3"/>
      <c r="S285" s="3"/>
      <c r="T285" s="3" t="s">
        <v>145</v>
      </c>
      <c r="U285" s="2"/>
      <c r="V285" s="2" t="s">
        <v>145</v>
      </c>
      <c r="W285" s="2"/>
      <c r="X285" s="2"/>
      <c r="Y285" s="2"/>
      <c r="Z285" s="2"/>
      <c r="AA285" s="2"/>
      <c r="AB285" s="2"/>
      <c r="AC285" s="2"/>
      <c r="AD285" s="2"/>
    </row>
    <row r="286" spans="1:30" ht="12" customHeight="1">
      <c r="A286" s="828" t="s">
        <v>16980</v>
      </c>
      <c r="B286" s="3" t="s">
        <v>954</v>
      </c>
      <c r="C286" s="1" t="s">
        <v>958</v>
      </c>
      <c r="D286" s="5">
        <f t="shared" si="4"/>
        <v>37</v>
      </c>
      <c r="E286" s="2" t="s">
        <v>5</v>
      </c>
      <c r="F286" s="6" t="s">
        <v>15273</v>
      </c>
      <c r="G286" s="3" t="s">
        <v>959</v>
      </c>
      <c r="H286" s="1"/>
      <c r="I286" s="1"/>
      <c r="J286" s="8" t="s">
        <v>16126</v>
      </c>
      <c r="K286" s="1" t="s">
        <v>44</v>
      </c>
      <c r="L286" s="1" t="s">
        <v>25</v>
      </c>
      <c r="M286" s="825">
        <v>1</v>
      </c>
      <c r="N286" s="17">
        <v>1</v>
      </c>
      <c r="O286" s="3" t="s">
        <v>188</v>
      </c>
      <c r="P286" s="20">
        <v>27404</v>
      </c>
      <c r="Q286" s="3" t="s">
        <v>960</v>
      </c>
      <c r="R286" s="3"/>
      <c r="S286" s="3" t="s">
        <v>736</v>
      </c>
      <c r="T286" s="3" t="s">
        <v>635</v>
      </c>
      <c r="U286" s="2"/>
      <c r="V286" s="2" t="s">
        <v>145</v>
      </c>
      <c r="W286" s="2"/>
      <c r="X286" s="2"/>
      <c r="Y286" s="2"/>
      <c r="Z286" s="2"/>
      <c r="AA286" s="2"/>
      <c r="AB286" s="2"/>
      <c r="AC286" s="2" t="s">
        <v>146</v>
      </c>
      <c r="AD286" s="2"/>
    </row>
    <row r="287" spans="1:30" ht="12" customHeight="1">
      <c r="A287" s="828" t="s">
        <v>16981</v>
      </c>
      <c r="B287" s="3" t="s">
        <v>955</v>
      </c>
      <c r="C287" s="1" t="s">
        <v>962</v>
      </c>
      <c r="D287" s="5">
        <f t="shared" si="4"/>
        <v>60</v>
      </c>
      <c r="E287" s="2" t="s">
        <v>19</v>
      </c>
      <c r="F287" s="2" t="s">
        <v>15273</v>
      </c>
      <c r="G287" s="3"/>
      <c r="H287" s="1"/>
      <c r="I287" s="1"/>
      <c r="J287" s="4" t="s">
        <v>16120</v>
      </c>
      <c r="K287" s="1" t="s">
        <v>30</v>
      </c>
      <c r="L287" s="1" t="s">
        <v>14</v>
      </c>
      <c r="M287" s="825">
        <v>4</v>
      </c>
      <c r="N287" s="17">
        <v>4</v>
      </c>
      <c r="O287" s="3" t="s">
        <v>102</v>
      </c>
      <c r="P287" s="20">
        <v>19033</v>
      </c>
      <c r="Q287" s="3" t="s">
        <v>964</v>
      </c>
      <c r="R287" s="3" t="s">
        <v>963</v>
      </c>
      <c r="S287" s="3"/>
      <c r="T287" s="3" t="s">
        <v>104</v>
      </c>
      <c r="U287" s="2"/>
      <c r="V287" s="2"/>
      <c r="W287" s="2"/>
      <c r="X287" s="2"/>
      <c r="Y287" s="2"/>
      <c r="Z287" s="2"/>
      <c r="AA287" s="2" t="s">
        <v>104</v>
      </c>
      <c r="AB287" s="2"/>
      <c r="AC287" s="2"/>
      <c r="AD287" s="2"/>
    </row>
    <row r="288" spans="1:30" ht="12" customHeight="1">
      <c r="A288" s="828" t="s">
        <v>16982</v>
      </c>
      <c r="B288" s="3" t="s">
        <v>956</v>
      </c>
      <c r="C288" s="1" t="s">
        <v>5358</v>
      </c>
      <c r="D288" s="5">
        <f t="shared" si="4"/>
        <v>35</v>
      </c>
      <c r="E288" s="2" t="s">
        <v>5</v>
      </c>
      <c r="F288" s="2" t="s">
        <v>15273</v>
      </c>
      <c r="G288" s="3"/>
      <c r="H288" s="1"/>
      <c r="I288" s="1"/>
      <c r="J288" s="4" t="s">
        <v>16116</v>
      </c>
      <c r="K288" s="1" t="s">
        <v>4997</v>
      </c>
      <c r="L288" s="1" t="s">
        <v>6</v>
      </c>
      <c r="M288" s="825"/>
      <c r="N288" s="17"/>
      <c r="O288" s="3" t="s">
        <v>317</v>
      </c>
      <c r="P288" s="20">
        <v>28163</v>
      </c>
      <c r="Q288" s="3" t="s">
        <v>6147</v>
      </c>
      <c r="R288" s="3"/>
      <c r="S288" s="3"/>
      <c r="T288" s="3"/>
      <c r="U288" s="2"/>
      <c r="V288" s="2"/>
      <c r="W288" s="2"/>
      <c r="X288" s="2"/>
      <c r="Y288" s="2"/>
      <c r="Z288" s="2"/>
      <c r="AA288" s="2"/>
      <c r="AB288" s="2"/>
      <c r="AC288" s="2"/>
      <c r="AD288" s="2"/>
    </row>
    <row r="289" spans="1:30" ht="12" customHeight="1">
      <c r="A289" s="828" t="s">
        <v>16983</v>
      </c>
      <c r="B289" s="3" t="s">
        <v>957</v>
      </c>
      <c r="C289" s="1" t="s">
        <v>969</v>
      </c>
      <c r="D289" s="5">
        <f t="shared" si="4"/>
        <v>49</v>
      </c>
      <c r="E289" s="2" t="s">
        <v>5</v>
      </c>
      <c r="F289" s="2" t="s">
        <v>15273</v>
      </c>
      <c r="G289" s="3"/>
      <c r="H289" s="1"/>
      <c r="I289" s="1"/>
      <c r="J289" s="4" t="s">
        <v>16128</v>
      </c>
      <c r="K289" s="1"/>
      <c r="L289" s="1" t="s">
        <v>6</v>
      </c>
      <c r="M289" s="825"/>
      <c r="N289" s="17"/>
      <c r="O289" s="3" t="s">
        <v>188</v>
      </c>
      <c r="P289" s="20">
        <v>23159</v>
      </c>
      <c r="Q289" s="3" t="s">
        <v>970</v>
      </c>
      <c r="R289" s="3"/>
      <c r="S289" s="3"/>
      <c r="T289" s="3"/>
      <c r="U289" s="2"/>
      <c r="V289" s="2"/>
      <c r="W289" s="2"/>
      <c r="X289" s="2"/>
      <c r="Y289" s="2"/>
      <c r="Z289" s="2"/>
      <c r="AA289" s="2"/>
      <c r="AB289" s="2"/>
      <c r="AC289" s="2"/>
      <c r="AD289" s="2"/>
    </row>
    <row r="290" spans="1:30" ht="12" customHeight="1">
      <c r="A290" s="828" t="s">
        <v>16984</v>
      </c>
      <c r="B290" s="3" t="s">
        <v>5357</v>
      </c>
      <c r="C290" s="1" t="s">
        <v>965</v>
      </c>
      <c r="D290" s="5">
        <f t="shared" si="4"/>
        <v>52</v>
      </c>
      <c r="E290" s="2" t="s">
        <v>19</v>
      </c>
      <c r="F290" s="2"/>
      <c r="G290" s="3"/>
      <c r="H290" s="1"/>
      <c r="I290" s="1"/>
      <c r="J290" s="4" t="s">
        <v>16117</v>
      </c>
      <c r="K290" s="1"/>
      <c r="L290" s="1" t="s">
        <v>6</v>
      </c>
      <c r="M290" s="825"/>
      <c r="N290" s="17"/>
      <c r="O290" s="3" t="s">
        <v>966</v>
      </c>
      <c r="P290" s="20">
        <v>22212</v>
      </c>
      <c r="Q290" s="3" t="s">
        <v>967</v>
      </c>
      <c r="R290" s="3"/>
      <c r="S290" s="3"/>
      <c r="T290" s="3" t="s">
        <v>148</v>
      </c>
      <c r="U290" s="2"/>
      <c r="V290" s="2" t="s">
        <v>145</v>
      </c>
      <c r="W290" s="2"/>
      <c r="X290" s="2"/>
      <c r="Y290" s="2"/>
      <c r="Z290" s="2"/>
      <c r="AA290" s="2"/>
      <c r="AB290" s="2"/>
      <c r="AC290" s="2"/>
      <c r="AD290" s="2" t="s">
        <v>69</v>
      </c>
    </row>
    <row r="291" spans="1:30" ht="12" customHeight="1">
      <c r="A291" s="828" t="s">
        <v>16985</v>
      </c>
      <c r="B291" s="3" t="s">
        <v>971</v>
      </c>
      <c r="C291" s="1" t="s">
        <v>975</v>
      </c>
      <c r="D291" s="5">
        <f t="shared" si="4"/>
        <v>45</v>
      </c>
      <c r="E291" s="2" t="s">
        <v>5</v>
      </c>
      <c r="F291" s="6" t="s">
        <v>15273</v>
      </c>
      <c r="G291" s="3" t="s">
        <v>976</v>
      </c>
      <c r="H291" s="1"/>
      <c r="I291" s="1"/>
      <c r="J291" s="8" t="s">
        <v>16127</v>
      </c>
      <c r="K291" s="1" t="s">
        <v>44</v>
      </c>
      <c r="L291" s="1" t="s">
        <v>25</v>
      </c>
      <c r="M291" s="825">
        <v>2</v>
      </c>
      <c r="N291" s="17">
        <v>2</v>
      </c>
      <c r="O291" s="3" t="s">
        <v>977</v>
      </c>
      <c r="P291" s="20">
        <v>24479</v>
      </c>
      <c r="Q291" s="3" t="s">
        <v>978</v>
      </c>
      <c r="R291" s="3" t="s">
        <v>304</v>
      </c>
      <c r="S291" s="3" t="s">
        <v>736</v>
      </c>
      <c r="T291" s="3"/>
      <c r="U291" s="2"/>
      <c r="V291" s="2"/>
      <c r="W291" s="2"/>
      <c r="X291" s="2"/>
      <c r="Y291" s="2"/>
      <c r="Z291" s="2"/>
      <c r="AA291" s="2"/>
      <c r="AB291" s="2"/>
      <c r="AC291" s="2"/>
      <c r="AD291" s="2"/>
    </row>
    <row r="292" spans="1:30" ht="12" customHeight="1">
      <c r="A292" s="828" t="s">
        <v>16986</v>
      </c>
      <c r="B292" s="3" t="s">
        <v>972</v>
      </c>
      <c r="C292" s="1" t="s">
        <v>979</v>
      </c>
      <c r="D292" s="5">
        <f t="shared" si="4"/>
        <v>57</v>
      </c>
      <c r="E292" s="2" t="s">
        <v>5</v>
      </c>
      <c r="F292" s="2" t="s">
        <v>15273</v>
      </c>
      <c r="G292" s="3"/>
      <c r="H292" s="1"/>
      <c r="I292" s="1"/>
      <c r="J292" s="8" t="s">
        <v>16120</v>
      </c>
      <c r="K292" s="1" t="s">
        <v>48</v>
      </c>
      <c r="L292" s="1" t="s">
        <v>6</v>
      </c>
      <c r="M292" s="825"/>
      <c r="N292" s="17"/>
      <c r="O292" s="3" t="s">
        <v>172</v>
      </c>
      <c r="P292" s="20">
        <v>20339</v>
      </c>
      <c r="Q292" s="3" t="s">
        <v>981</v>
      </c>
      <c r="R292" s="3"/>
      <c r="S292" s="3" t="s">
        <v>5457</v>
      </c>
      <c r="T292" s="3" t="s">
        <v>104</v>
      </c>
      <c r="U292" s="2"/>
      <c r="V292" s="2"/>
      <c r="W292" s="2"/>
      <c r="X292" s="2"/>
      <c r="Y292" s="2"/>
      <c r="Z292" s="2"/>
      <c r="AA292" s="2" t="s">
        <v>104</v>
      </c>
      <c r="AB292" s="2"/>
      <c r="AC292" s="2"/>
      <c r="AD292" s="2"/>
    </row>
    <row r="293" spans="1:30" ht="12" customHeight="1">
      <c r="A293" s="828" t="s">
        <v>16987</v>
      </c>
      <c r="B293" s="3" t="s">
        <v>973</v>
      </c>
      <c r="C293" s="1" t="s">
        <v>985</v>
      </c>
      <c r="D293" s="5">
        <f t="shared" si="4"/>
        <v>50</v>
      </c>
      <c r="E293" s="2" t="s">
        <v>5</v>
      </c>
      <c r="F293" s="2" t="s">
        <v>15273</v>
      </c>
      <c r="G293" s="3"/>
      <c r="H293" s="1"/>
      <c r="I293" s="1"/>
      <c r="J293" s="4" t="s">
        <v>16116</v>
      </c>
      <c r="K293" s="1" t="s">
        <v>276</v>
      </c>
      <c r="L293" s="1" t="s">
        <v>6</v>
      </c>
      <c r="M293" s="825"/>
      <c r="N293" s="17"/>
      <c r="O293" s="3" t="s">
        <v>172</v>
      </c>
      <c r="P293" s="20">
        <v>22960</v>
      </c>
      <c r="Q293" s="3" t="s">
        <v>986</v>
      </c>
      <c r="R293" s="3"/>
      <c r="S293" s="3" t="s">
        <v>469</v>
      </c>
      <c r="T293" s="3" t="s">
        <v>145</v>
      </c>
      <c r="U293" s="2"/>
      <c r="V293" s="2" t="s">
        <v>145</v>
      </c>
      <c r="W293" s="2"/>
      <c r="X293" s="2"/>
      <c r="Y293" s="2"/>
      <c r="Z293" s="2"/>
      <c r="AA293" s="2"/>
      <c r="AB293" s="2"/>
      <c r="AC293" s="2"/>
      <c r="AD293" s="2"/>
    </row>
    <row r="294" spans="1:30" ht="12" customHeight="1">
      <c r="A294" s="828" t="s">
        <v>16988</v>
      </c>
      <c r="B294" s="3" t="s">
        <v>974</v>
      </c>
      <c r="C294" s="1" t="s">
        <v>982</v>
      </c>
      <c r="D294" s="5">
        <f t="shared" si="4"/>
        <v>56</v>
      </c>
      <c r="E294" s="2" t="s">
        <v>5</v>
      </c>
      <c r="F294" s="2"/>
      <c r="G294" s="3"/>
      <c r="H294" s="1"/>
      <c r="I294" s="1"/>
      <c r="J294" s="4" t="s">
        <v>16117</v>
      </c>
      <c r="K294" s="1"/>
      <c r="L294" s="1" t="s">
        <v>6</v>
      </c>
      <c r="M294" s="825"/>
      <c r="N294" s="17"/>
      <c r="O294" s="3" t="s">
        <v>983</v>
      </c>
      <c r="P294" s="20">
        <v>20468</v>
      </c>
      <c r="Q294" s="3" t="s">
        <v>984</v>
      </c>
      <c r="R294" s="3"/>
      <c r="S294" s="3"/>
      <c r="T294" s="3" t="s">
        <v>69</v>
      </c>
      <c r="U294" s="2"/>
      <c r="V294" s="2"/>
      <c r="W294" s="2"/>
      <c r="X294" s="2"/>
      <c r="Y294" s="2"/>
      <c r="Z294" s="2"/>
      <c r="AA294" s="2"/>
      <c r="AB294" s="2"/>
      <c r="AC294" s="2"/>
      <c r="AD294" s="2" t="s">
        <v>69</v>
      </c>
    </row>
    <row r="295" spans="1:30" ht="12" customHeight="1">
      <c r="A295" s="828" t="s">
        <v>16989</v>
      </c>
      <c r="B295" s="3" t="s">
        <v>15978</v>
      </c>
      <c r="C295" s="1" t="s">
        <v>15979</v>
      </c>
      <c r="D295" s="5">
        <f t="shared" si="4"/>
        <v>65</v>
      </c>
      <c r="E295" s="2" t="s">
        <v>5</v>
      </c>
      <c r="F295" s="2"/>
      <c r="G295" s="3"/>
      <c r="H295" s="1"/>
      <c r="I295" s="1"/>
      <c r="J295" s="8" t="s">
        <v>16129</v>
      </c>
      <c r="K295" s="1"/>
      <c r="L295" s="1" t="s">
        <v>6</v>
      </c>
      <c r="M295" s="825"/>
      <c r="N295" s="17"/>
      <c r="O295" s="3" t="s">
        <v>729</v>
      </c>
      <c r="P295" s="20">
        <v>17339</v>
      </c>
      <c r="Q295" s="3" t="s">
        <v>16688</v>
      </c>
      <c r="R295" s="3"/>
      <c r="S295" s="3"/>
      <c r="T295" s="3"/>
      <c r="U295" s="2"/>
      <c r="V295" s="2"/>
      <c r="W295" s="2"/>
      <c r="X295" s="2"/>
      <c r="Y295" s="2"/>
      <c r="Z295" s="2"/>
      <c r="AA295" s="2"/>
      <c r="AB295" s="2"/>
      <c r="AC295" s="2"/>
      <c r="AD295" s="2"/>
    </row>
    <row r="296" spans="1:30" ht="12" customHeight="1">
      <c r="A296" s="828" t="s">
        <v>16990</v>
      </c>
      <c r="B296" s="3" t="s">
        <v>987</v>
      </c>
      <c r="C296" s="1" t="s">
        <v>992</v>
      </c>
      <c r="D296" s="5">
        <f t="shared" si="4"/>
        <v>42</v>
      </c>
      <c r="E296" s="2" t="s">
        <v>5</v>
      </c>
      <c r="F296" s="6" t="s">
        <v>15273</v>
      </c>
      <c r="G296" s="3" t="s">
        <v>993</v>
      </c>
      <c r="H296" s="1"/>
      <c r="I296" s="1"/>
      <c r="J296" s="8" t="s">
        <v>16127</v>
      </c>
      <c r="K296" s="1" t="s">
        <v>737</v>
      </c>
      <c r="L296" s="1" t="s">
        <v>25</v>
      </c>
      <c r="M296" s="825">
        <v>3</v>
      </c>
      <c r="N296" s="17">
        <v>3</v>
      </c>
      <c r="O296" s="3" t="s">
        <v>557</v>
      </c>
      <c r="P296" s="20">
        <v>25678</v>
      </c>
      <c r="Q296" s="3" t="s">
        <v>996</v>
      </c>
      <c r="R296" s="3" t="s">
        <v>997</v>
      </c>
      <c r="S296" s="3" t="s">
        <v>736</v>
      </c>
      <c r="T296" s="3"/>
      <c r="U296" s="2"/>
      <c r="V296" s="2"/>
      <c r="W296" s="2"/>
      <c r="X296" s="2"/>
      <c r="Y296" s="2"/>
      <c r="Z296" s="2"/>
      <c r="AA296" s="2"/>
      <c r="AB296" s="2"/>
      <c r="AC296" s="2"/>
      <c r="AD296" s="2"/>
    </row>
    <row r="297" spans="1:30" ht="12" customHeight="1">
      <c r="A297" s="828" t="s">
        <v>16991</v>
      </c>
      <c r="B297" s="3" t="s">
        <v>988</v>
      </c>
      <c r="C297" s="1" t="s">
        <v>998</v>
      </c>
      <c r="D297" s="5">
        <f t="shared" si="4"/>
        <v>49</v>
      </c>
      <c r="E297" s="2" t="s">
        <v>5</v>
      </c>
      <c r="F297" s="2" t="s">
        <v>15273</v>
      </c>
      <c r="G297" s="3"/>
      <c r="H297" s="1"/>
      <c r="I297" s="1"/>
      <c r="J297" s="4" t="s">
        <v>16120</v>
      </c>
      <c r="K297" s="1" t="s">
        <v>30</v>
      </c>
      <c r="L297" s="1" t="s">
        <v>14</v>
      </c>
      <c r="M297" s="825">
        <v>1</v>
      </c>
      <c r="N297" s="17">
        <v>1</v>
      </c>
      <c r="O297" s="3" t="s">
        <v>695</v>
      </c>
      <c r="P297" s="20">
        <v>23326</v>
      </c>
      <c r="Q297" s="3" t="s">
        <v>999</v>
      </c>
      <c r="R297" s="3"/>
      <c r="S297" s="3" t="s">
        <v>5457</v>
      </c>
      <c r="T297" s="3"/>
      <c r="U297" s="2"/>
      <c r="V297" s="2"/>
      <c r="W297" s="2"/>
      <c r="X297" s="2"/>
      <c r="Y297" s="2"/>
      <c r="Z297" s="2"/>
      <c r="AA297" s="2"/>
      <c r="AB297" s="2"/>
      <c r="AC297" s="2"/>
      <c r="AD297" s="2"/>
    </row>
    <row r="298" spans="1:30" ht="12" customHeight="1">
      <c r="A298" s="828" t="s">
        <v>16992</v>
      </c>
      <c r="B298" s="3" t="s">
        <v>989</v>
      </c>
      <c r="C298" s="1" t="s">
        <v>5732</v>
      </c>
      <c r="D298" s="5">
        <f t="shared" si="4"/>
        <v>48</v>
      </c>
      <c r="E298" s="2" t="s">
        <v>19</v>
      </c>
      <c r="F298" s="2" t="s">
        <v>15273</v>
      </c>
      <c r="G298" s="3"/>
      <c r="H298" s="1"/>
      <c r="I298" s="1"/>
      <c r="J298" s="4" t="s">
        <v>16125</v>
      </c>
      <c r="K298" s="1"/>
      <c r="L298" s="1" t="s">
        <v>6</v>
      </c>
      <c r="M298" s="825"/>
      <c r="N298" s="17"/>
      <c r="O298" s="3" t="s">
        <v>15980</v>
      </c>
      <c r="P298" s="20">
        <v>23501</v>
      </c>
      <c r="Q298" s="3" t="s">
        <v>5733</v>
      </c>
      <c r="R298" s="3"/>
      <c r="S298" s="3" t="s">
        <v>5561</v>
      </c>
      <c r="T298" s="3"/>
      <c r="U298" s="2"/>
      <c r="V298" s="2"/>
      <c r="W298" s="2"/>
      <c r="X298" s="2"/>
      <c r="Y298" s="2"/>
      <c r="Z298" s="2"/>
      <c r="AA298" s="2"/>
      <c r="AB298" s="2"/>
      <c r="AC298" s="2"/>
      <c r="AD298" s="2"/>
    </row>
    <row r="299" spans="1:30" ht="12" customHeight="1">
      <c r="A299" s="828" t="s">
        <v>16993</v>
      </c>
      <c r="B299" s="3" t="s">
        <v>990</v>
      </c>
      <c r="C299" s="1" t="s">
        <v>1003</v>
      </c>
      <c r="D299" s="5">
        <f t="shared" si="4"/>
        <v>43</v>
      </c>
      <c r="E299" s="2" t="s">
        <v>5</v>
      </c>
      <c r="F299" s="2" t="s">
        <v>15273</v>
      </c>
      <c r="G299" s="3"/>
      <c r="H299" s="1"/>
      <c r="I299" s="1"/>
      <c r="J299" s="4" t="s">
        <v>16128</v>
      </c>
      <c r="K299" s="1"/>
      <c r="L299" s="1" t="s">
        <v>6</v>
      </c>
      <c r="M299" s="825"/>
      <c r="N299" s="17"/>
      <c r="O299" s="3" t="s">
        <v>1002</v>
      </c>
      <c r="P299" s="20">
        <v>25298</v>
      </c>
      <c r="Q299" s="3" t="s">
        <v>1004</v>
      </c>
      <c r="R299" s="3"/>
      <c r="S299" s="3" t="s">
        <v>6031</v>
      </c>
      <c r="T299" s="3"/>
      <c r="U299" s="2"/>
      <c r="V299" s="2"/>
      <c r="W299" s="2"/>
      <c r="X299" s="2"/>
      <c r="Y299" s="2"/>
      <c r="Z299" s="2"/>
      <c r="AA299" s="2"/>
      <c r="AB299" s="2"/>
      <c r="AC299" s="2"/>
      <c r="AD299" s="3"/>
    </row>
    <row r="300" spans="1:30" ht="12" customHeight="1">
      <c r="A300" s="828" t="s">
        <v>16994</v>
      </c>
      <c r="B300" s="3" t="s">
        <v>5731</v>
      </c>
      <c r="C300" s="1" t="s">
        <v>1000</v>
      </c>
      <c r="D300" s="5">
        <f t="shared" si="4"/>
        <v>37</v>
      </c>
      <c r="E300" s="2" t="s">
        <v>5</v>
      </c>
      <c r="F300" s="2"/>
      <c r="G300" s="3"/>
      <c r="H300" s="1"/>
      <c r="I300" s="1"/>
      <c r="J300" s="4" t="s">
        <v>16117</v>
      </c>
      <c r="K300" s="1"/>
      <c r="L300" s="1" t="s">
        <v>6</v>
      </c>
      <c r="M300" s="825"/>
      <c r="N300" s="17"/>
      <c r="O300" s="3" t="s">
        <v>557</v>
      </c>
      <c r="P300" s="20">
        <v>27445</v>
      </c>
      <c r="Q300" s="3" t="s">
        <v>1001</v>
      </c>
      <c r="R300" s="3"/>
      <c r="S300" s="3"/>
      <c r="T300" s="3"/>
      <c r="U300" s="2"/>
      <c r="V300" s="2"/>
      <c r="W300" s="2"/>
      <c r="X300" s="2"/>
      <c r="Y300" s="2"/>
      <c r="Z300" s="2"/>
      <c r="AA300" s="2"/>
      <c r="AB300" s="2"/>
      <c r="AC300" s="2"/>
      <c r="AD300" s="3"/>
    </row>
    <row r="301" spans="1:30" ht="12" customHeight="1">
      <c r="A301" s="828" t="s">
        <v>16995</v>
      </c>
      <c r="B301" s="3" t="s">
        <v>1006</v>
      </c>
      <c r="C301" s="1" t="s">
        <v>1013</v>
      </c>
      <c r="D301" s="5">
        <f t="shared" si="4"/>
        <v>51</v>
      </c>
      <c r="E301" s="2" t="s">
        <v>5</v>
      </c>
      <c r="F301" s="6" t="s">
        <v>15273</v>
      </c>
      <c r="G301" s="3" t="s">
        <v>1014</v>
      </c>
      <c r="H301" s="1"/>
      <c r="I301" s="1"/>
      <c r="J301" s="8" t="s">
        <v>16126</v>
      </c>
      <c r="K301" s="1" t="s">
        <v>44</v>
      </c>
      <c r="L301" s="1" t="s">
        <v>25</v>
      </c>
      <c r="M301" s="825">
        <v>3</v>
      </c>
      <c r="N301" s="17">
        <v>3</v>
      </c>
      <c r="O301" s="3" t="s">
        <v>317</v>
      </c>
      <c r="P301" s="20">
        <v>22546</v>
      </c>
      <c r="Q301" s="3" t="s">
        <v>1016</v>
      </c>
      <c r="R301" s="3" t="s">
        <v>1017</v>
      </c>
      <c r="S301" s="3" t="s">
        <v>736</v>
      </c>
      <c r="T301" s="3"/>
      <c r="U301" s="2"/>
      <c r="V301" s="2"/>
      <c r="W301" s="2"/>
      <c r="X301" s="2"/>
      <c r="Y301" s="2"/>
      <c r="Z301" s="2"/>
      <c r="AA301" s="2"/>
      <c r="AB301" s="2"/>
      <c r="AC301" s="2"/>
      <c r="AD301" s="3"/>
    </row>
    <row r="302" spans="1:30" ht="12" customHeight="1">
      <c r="A302" s="828" t="s">
        <v>16996</v>
      </c>
      <c r="B302" s="3" t="s">
        <v>1010</v>
      </c>
      <c r="C302" s="1" t="s">
        <v>1018</v>
      </c>
      <c r="D302" s="5">
        <f t="shared" si="4"/>
        <v>48</v>
      </c>
      <c r="E302" s="2" t="s">
        <v>5</v>
      </c>
      <c r="F302" s="2" t="s">
        <v>15273</v>
      </c>
      <c r="G302" s="3"/>
      <c r="H302" s="1"/>
      <c r="I302" s="1"/>
      <c r="J302" s="4" t="s">
        <v>16120</v>
      </c>
      <c r="K302" s="1" t="s">
        <v>30</v>
      </c>
      <c r="L302" s="1" t="s">
        <v>6</v>
      </c>
      <c r="M302" s="825"/>
      <c r="N302" s="17"/>
      <c r="O302" s="3" t="s">
        <v>381</v>
      </c>
      <c r="P302" s="20">
        <v>23623</v>
      </c>
      <c r="Q302" s="3" t="s">
        <v>727</v>
      </c>
      <c r="R302" s="3"/>
      <c r="S302" s="3" t="s">
        <v>5457</v>
      </c>
      <c r="T302" s="3" t="s">
        <v>147</v>
      </c>
      <c r="U302" s="2"/>
      <c r="V302" s="2"/>
      <c r="W302" s="2"/>
      <c r="X302" s="2"/>
      <c r="Y302" s="2"/>
      <c r="Z302" s="2"/>
      <c r="AA302" s="2"/>
      <c r="AB302" s="2" t="s">
        <v>147</v>
      </c>
      <c r="AC302" s="2"/>
      <c r="AD302" s="3"/>
    </row>
    <row r="303" spans="1:30" ht="12" customHeight="1">
      <c r="A303" s="828" t="s">
        <v>16997</v>
      </c>
      <c r="B303" s="3" t="s">
        <v>1011</v>
      </c>
      <c r="C303" s="1" t="s">
        <v>5360</v>
      </c>
      <c r="D303" s="5">
        <f t="shared" si="4"/>
        <v>36</v>
      </c>
      <c r="E303" s="2" t="s">
        <v>5</v>
      </c>
      <c r="F303" s="2" t="s">
        <v>15273</v>
      </c>
      <c r="G303" s="3"/>
      <c r="H303" s="1"/>
      <c r="I303" s="1"/>
      <c r="J303" s="4" t="s">
        <v>16116</v>
      </c>
      <c r="K303" s="1" t="s">
        <v>4997</v>
      </c>
      <c r="L303" s="1" t="s">
        <v>6</v>
      </c>
      <c r="M303" s="825"/>
      <c r="N303" s="17"/>
      <c r="O303" s="3" t="s">
        <v>317</v>
      </c>
      <c r="P303" s="20">
        <v>27754</v>
      </c>
      <c r="Q303" s="3" t="s">
        <v>5362</v>
      </c>
      <c r="R303" s="3"/>
      <c r="S303" s="3"/>
      <c r="T303" s="3" t="s">
        <v>145</v>
      </c>
      <c r="U303" s="2"/>
      <c r="V303" s="2" t="s">
        <v>145</v>
      </c>
      <c r="W303" s="2"/>
      <c r="X303" s="2"/>
      <c r="Y303" s="2"/>
      <c r="Z303" s="2"/>
      <c r="AA303" s="2"/>
      <c r="AB303" s="2"/>
      <c r="AC303" s="2"/>
      <c r="AD303" s="3"/>
    </row>
    <row r="304" spans="1:30" ht="12" customHeight="1">
      <c r="A304" s="828" t="s">
        <v>16998</v>
      </c>
      <c r="B304" s="3" t="s">
        <v>1012</v>
      </c>
      <c r="C304" s="1" t="s">
        <v>1021</v>
      </c>
      <c r="D304" s="5">
        <f t="shared" si="4"/>
        <v>38</v>
      </c>
      <c r="E304" s="2" t="s">
        <v>5</v>
      </c>
      <c r="F304" s="2" t="s">
        <v>15273</v>
      </c>
      <c r="G304" s="3"/>
      <c r="H304" s="1"/>
      <c r="I304" s="1"/>
      <c r="J304" s="4" t="s">
        <v>16128</v>
      </c>
      <c r="K304" s="1"/>
      <c r="L304" s="1" t="s">
        <v>6</v>
      </c>
      <c r="M304" s="825"/>
      <c r="N304" s="17"/>
      <c r="O304" s="3" t="s">
        <v>1022</v>
      </c>
      <c r="P304" s="20">
        <v>27090</v>
      </c>
      <c r="Q304" s="3" t="s">
        <v>1023</v>
      </c>
      <c r="R304" s="3"/>
      <c r="S304" s="3"/>
      <c r="T304" s="3"/>
      <c r="U304" s="2"/>
      <c r="V304" s="2"/>
      <c r="W304" s="2"/>
      <c r="X304" s="2"/>
      <c r="Y304" s="2"/>
      <c r="Z304" s="2"/>
      <c r="AA304" s="2"/>
      <c r="AB304" s="2"/>
      <c r="AC304" s="2"/>
      <c r="AD304" s="3"/>
    </row>
    <row r="305" spans="1:30" ht="12" customHeight="1">
      <c r="A305" s="828" t="s">
        <v>16999</v>
      </c>
      <c r="B305" s="3" t="s">
        <v>5359</v>
      </c>
      <c r="C305" s="1" t="s">
        <v>5179</v>
      </c>
      <c r="D305" s="5">
        <f t="shared" si="4"/>
        <v>36</v>
      </c>
      <c r="E305" s="2" t="s">
        <v>5</v>
      </c>
      <c r="F305" s="2"/>
      <c r="G305" s="3"/>
      <c r="H305" s="1"/>
      <c r="I305" s="1"/>
      <c r="J305" s="4" t="s">
        <v>16117</v>
      </c>
      <c r="K305" s="1"/>
      <c r="L305" s="1" t="s">
        <v>6</v>
      </c>
      <c r="M305" s="825"/>
      <c r="N305" s="17"/>
      <c r="O305" s="3" t="s">
        <v>5180</v>
      </c>
      <c r="P305" s="21">
        <v>27942</v>
      </c>
      <c r="Q305" s="3" t="s">
        <v>5181</v>
      </c>
      <c r="R305" s="3"/>
      <c r="S305" s="3"/>
      <c r="T305" s="3"/>
      <c r="U305" s="2"/>
      <c r="V305" s="2"/>
      <c r="W305" s="2"/>
      <c r="X305" s="2"/>
      <c r="Y305" s="2"/>
      <c r="Z305" s="2"/>
      <c r="AA305" s="2"/>
      <c r="AB305" s="2"/>
      <c r="AC305" s="2"/>
      <c r="AD305" s="3"/>
    </row>
    <row r="306" spans="1:30" ht="12" customHeight="1">
      <c r="A306" s="828" t="s">
        <v>17000</v>
      </c>
      <c r="B306" s="3" t="s">
        <v>1024</v>
      </c>
      <c r="C306" s="1" t="s">
        <v>5824</v>
      </c>
      <c r="D306" s="5">
        <f t="shared" si="4"/>
        <v>53</v>
      </c>
      <c r="E306" s="2" t="s">
        <v>5</v>
      </c>
      <c r="F306" s="6" t="s">
        <v>15273</v>
      </c>
      <c r="G306" s="3"/>
      <c r="H306" s="1"/>
      <c r="I306" s="1"/>
      <c r="J306" s="8" t="s">
        <v>16127</v>
      </c>
      <c r="K306" s="1" t="s">
        <v>44</v>
      </c>
      <c r="L306" s="1" t="s">
        <v>6</v>
      </c>
      <c r="M306" s="825"/>
      <c r="N306" s="17"/>
      <c r="O306" s="3" t="s">
        <v>1922</v>
      </c>
      <c r="P306" s="20">
        <v>21733</v>
      </c>
      <c r="Q306" s="3" t="s">
        <v>5825</v>
      </c>
      <c r="R306" s="3"/>
      <c r="S306" s="3" t="s">
        <v>736</v>
      </c>
      <c r="T306" s="3" t="s">
        <v>146</v>
      </c>
      <c r="U306" s="2"/>
      <c r="V306" s="2"/>
      <c r="W306" s="2"/>
      <c r="X306" s="2"/>
      <c r="Y306" s="2"/>
      <c r="Z306" s="2"/>
      <c r="AA306" s="2"/>
      <c r="AB306" s="2"/>
      <c r="AC306" s="2" t="s">
        <v>146</v>
      </c>
      <c r="AD306" s="3"/>
    </row>
    <row r="307" spans="1:30" ht="12" customHeight="1">
      <c r="A307" s="828" t="s">
        <v>17001</v>
      </c>
      <c r="B307" s="3" t="s">
        <v>1025</v>
      </c>
      <c r="C307" s="1" t="s">
        <v>1029</v>
      </c>
      <c r="D307" s="5">
        <f t="shared" si="4"/>
        <v>38</v>
      </c>
      <c r="E307" s="2" t="s">
        <v>5</v>
      </c>
      <c r="F307" s="2" t="s">
        <v>15273</v>
      </c>
      <c r="G307" s="3"/>
      <c r="H307" s="1"/>
      <c r="I307" s="1"/>
      <c r="J307" s="8" t="s">
        <v>16120</v>
      </c>
      <c r="K307" s="1" t="s">
        <v>30</v>
      </c>
      <c r="L307" s="1" t="s">
        <v>6</v>
      </c>
      <c r="M307" s="825"/>
      <c r="N307" s="17"/>
      <c r="O307" s="3" t="s">
        <v>255</v>
      </c>
      <c r="P307" s="20">
        <v>27362</v>
      </c>
      <c r="Q307" s="3" t="s">
        <v>1072</v>
      </c>
      <c r="R307" s="3"/>
      <c r="S307" s="3" t="s">
        <v>5457</v>
      </c>
      <c r="T307" s="3" t="s">
        <v>47</v>
      </c>
      <c r="U307" s="2" t="s">
        <v>47</v>
      </c>
      <c r="V307" s="2"/>
      <c r="W307" s="2"/>
      <c r="X307" s="2"/>
      <c r="Y307" s="2"/>
      <c r="Z307" s="2"/>
      <c r="AA307" s="2"/>
      <c r="AB307" s="2"/>
      <c r="AC307" s="2"/>
      <c r="AD307" s="3"/>
    </row>
    <row r="308" spans="1:30" ht="12" customHeight="1">
      <c r="A308" s="828" t="s">
        <v>17002</v>
      </c>
      <c r="B308" s="3" t="s">
        <v>1026</v>
      </c>
      <c r="C308" s="1" t="s">
        <v>1035</v>
      </c>
      <c r="D308" s="5">
        <f t="shared" si="4"/>
        <v>53</v>
      </c>
      <c r="E308" s="2" t="s">
        <v>5</v>
      </c>
      <c r="F308" s="2" t="s">
        <v>15273</v>
      </c>
      <c r="G308" s="3" t="s">
        <v>1040</v>
      </c>
      <c r="H308" s="1"/>
      <c r="I308" s="1"/>
      <c r="J308" s="4" t="s">
        <v>16125</v>
      </c>
      <c r="K308" s="1"/>
      <c r="L308" s="1" t="s">
        <v>25</v>
      </c>
      <c r="M308" s="825">
        <v>1</v>
      </c>
      <c r="N308" s="17">
        <v>1</v>
      </c>
      <c r="O308" s="3" t="s">
        <v>172</v>
      </c>
      <c r="P308" s="20">
        <v>21631</v>
      </c>
      <c r="Q308" s="3" t="s">
        <v>1037</v>
      </c>
      <c r="R308" s="3"/>
      <c r="S308" s="3" t="s">
        <v>5561</v>
      </c>
      <c r="T308" s="3" t="s">
        <v>145</v>
      </c>
      <c r="U308" s="2"/>
      <c r="V308" s="2" t="s">
        <v>145</v>
      </c>
      <c r="W308" s="2"/>
      <c r="X308" s="2"/>
      <c r="Y308" s="2"/>
      <c r="Z308" s="2"/>
      <c r="AA308" s="2"/>
      <c r="AB308" s="2"/>
      <c r="AC308" s="2"/>
      <c r="AD308" s="3"/>
    </row>
    <row r="309" spans="1:30" ht="12" customHeight="1">
      <c r="A309" s="828" t="s">
        <v>17003</v>
      </c>
      <c r="B309" s="3" t="s">
        <v>1027</v>
      </c>
      <c r="C309" s="1" t="s">
        <v>1034</v>
      </c>
      <c r="D309" s="5">
        <f t="shared" si="4"/>
        <v>44</v>
      </c>
      <c r="E309" s="2" t="s">
        <v>5</v>
      </c>
      <c r="F309" s="2" t="s">
        <v>15273</v>
      </c>
      <c r="G309" s="3"/>
      <c r="H309" s="1"/>
      <c r="I309" s="1"/>
      <c r="J309" s="4" t="s">
        <v>16116</v>
      </c>
      <c r="K309" s="1" t="s">
        <v>469</v>
      </c>
      <c r="L309" s="1" t="s">
        <v>6</v>
      </c>
      <c r="M309" s="825"/>
      <c r="N309" s="17"/>
      <c r="O309" s="3" t="s">
        <v>1038</v>
      </c>
      <c r="P309" s="20">
        <v>25145</v>
      </c>
      <c r="Q309" s="3" t="s">
        <v>5615</v>
      </c>
      <c r="R309" s="3"/>
      <c r="S309" s="3"/>
      <c r="T309" s="3"/>
      <c r="U309" s="2"/>
      <c r="V309" s="2"/>
      <c r="W309" s="2"/>
      <c r="X309" s="2"/>
      <c r="Y309" s="2"/>
      <c r="Z309" s="2"/>
      <c r="AA309" s="2"/>
      <c r="AB309" s="2"/>
      <c r="AC309" s="2"/>
      <c r="AD309" s="3"/>
    </row>
    <row r="310" spans="1:30" ht="12" customHeight="1">
      <c r="A310" s="828" t="s">
        <v>17004</v>
      </c>
      <c r="B310" s="3" t="s">
        <v>1028</v>
      </c>
      <c r="C310" s="1" t="s">
        <v>1031</v>
      </c>
      <c r="D310" s="5">
        <f t="shared" si="4"/>
        <v>35</v>
      </c>
      <c r="E310" s="2" t="s">
        <v>5</v>
      </c>
      <c r="F310" s="2"/>
      <c r="G310" s="3"/>
      <c r="H310" s="1"/>
      <c r="I310" s="1"/>
      <c r="J310" s="4" t="s">
        <v>16117</v>
      </c>
      <c r="K310" s="1"/>
      <c r="L310" s="1" t="s">
        <v>6</v>
      </c>
      <c r="M310" s="825"/>
      <c r="N310" s="17"/>
      <c r="O310" s="3" t="s">
        <v>1032</v>
      </c>
      <c r="P310" s="21">
        <v>28459</v>
      </c>
      <c r="Q310" s="3" t="s">
        <v>1033</v>
      </c>
      <c r="R310" s="3"/>
      <c r="S310" s="3"/>
      <c r="T310" s="3" t="s">
        <v>145</v>
      </c>
      <c r="U310" s="2"/>
      <c r="V310" s="2" t="s">
        <v>145</v>
      </c>
      <c r="W310" s="2"/>
      <c r="X310" s="2"/>
      <c r="Y310" s="2"/>
      <c r="Z310" s="2"/>
      <c r="AA310" s="2"/>
      <c r="AB310" s="2"/>
      <c r="AC310" s="2"/>
      <c r="AD310" s="3"/>
    </row>
    <row r="311" spans="1:30" ht="12" customHeight="1">
      <c r="A311" s="828" t="s">
        <v>17005</v>
      </c>
      <c r="B311" s="3" t="s">
        <v>1039</v>
      </c>
      <c r="C311" s="1" t="s">
        <v>1441</v>
      </c>
      <c r="D311" s="5">
        <f t="shared" si="4"/>
        <v>30</v>
      </c>
      <c r="E311" s="2" t="s">
        <v>19</v>
      </c>
      <c r="F311" s="6" t="s">
        <v>15273</v>
      </c>
      <c r="G311" s="3"/>
      <c r="H311" s="1"/>
      <c r="I311" s="1"/>
      <c r="J311" s="8" t="s">
        <v>16127</v>
      </c>
      <c r="K311" s="1" t="s">
        <v>44</v>
      </c>
      <c r="L311" s="1" t="s">
        <v>6</v>
      </c>
      <c r="M311" s="825"/>
      <c r="N311" s="17"/>
      <c r="O311" s="3" t="s">
        <v>188</v>
      </c>
      <c r="P311" s="20">
        <v>30193</v>
      </c>
      <c r="Q311" s="3" t="s">
        <v>1630</v>
      </c>
      <c r="R311" s="3"/>
      <c r="S311" s="3" t="s">
        <v>736</v>
      </c>
      <c r="T311" s="3"/>
      <c r="U311" s="2"/>
      <c r="V311" s="2"/>
      <c r="W311" s="2"/>
      <c r="X311" s="2"/>
      <c r="Y311" s="2"/>
      <c r="Z311" s="2"/>
      <c r="AA311" s="2"/>
      <c r="AB311" s="2"/>
      <c r="AC311" s="2"/>
      <c r="AD311" s="3"/>
    </row>
    <row r="312" spans="1:30" ht="12" customHeight="1">
      <c r="A312" s="828" t="s">
        <v>17006</v>
      </c>
      <c r="B312" s="3" t="s">
        <v>1041</v>
      </c>
      <c r="C312" s="1" t="s">
        <v>1044</v>
      </c>
      <c r="D312" s="5">
        <f t="shared" si="4"/>
        <v>50</v>
      </c>
      <c r="E312" s="2" t="s">
        <v>5</v>
      </c>
      <c r="F312" s="2" t="s">
        <v>15273</v>
      </c>
      <c r="G312" s="3" t="s">
        <v>1045</v>
      </c>
      <c r="H312" s="1"/>
      <c r="I312" s="1"/>
      <c r="J312" s="4" t="s">
        <v>16120</v>
      </c>
      <c r="K312" s="1" t="s">
        <v>48</v>
      </c>
      <c r="L312" s="1" t="s">
        <v>25</v>
      </c>
      <c r="M312" s="825">
        <v>4</v>
      </c>
      <c r="N312" s="17">
        <v>4</v>
      </c>
      <c r="O312" s="3" t="s">
        <v>188</v>
      </c>
      <c r="P312" s="20">
        <v>22902</v>
      </c>
      <c r="Q312" s="3" t="s">
        <v>16655</v>
      </c>
      <c r="R312" s="3" t="s">
        <v>1046</v>
      </c>
      <c r="S312" s="3" t="s">
        <v>5457</v>
      </c>
      <c r="T312" s="3" t="s">
        <v>146</v>
      </c>
      <c r="U312" s="2"/>
      <c r="V312" s="2"/>
      <c r="W312" s="2"/>
      <c r="X312" s="2"/>
      <c r="Y312" s="2"/>
      <c r="Z312" s="2"/>
      <c r="AA312" s="2"/>
      <c r="AB312" s="2"/>
      <c r="AC312" s="2" t="s">
        <v>146</v>
      </c>
      <c r="AD312" s="3"/>
    </row>
    <row r="313" spans="1:30" ht="12" customHeight="1">
      <c r="A313" s="828" t="s">
        <v>17007</v>
      </c>
      <c r="B313" s="3" t="s">
        <v>1042</v>
      </c>
      <c r="C313" s="1" t="s">
        <v>1048</v>
      </c>
      <c r="D313" s="5">
        <f t="shared" si="4"/>
        <v>55</v>
      </c>
      <c r="E313" s="2" t="s">
        <v>5</v>
      </c>
      <c r="F313" s="2" t="s">
        <v>15273</v>
      </c>
      <c r="G313" s="3" t="s">
        <v>1049</v>
      </c>
      <c r="H313" s="1"/>
      <c r="I313" s="1"/>
      <c r="J313" s="4" t="s">
        <v>16125</v>
      </c>
      <c r="K313" s="1"/>
      <c r="L313" s="1" t="s">
        <v>25</v>
      </c>
      <c r="M313" s="825">
        <v>2</v>
      </c>
      <c r="N313" s="17">
        <v>2</v>
      </c>
      <c r="O313" s="3" t="s">
        <v>188</v>
      </c>
      <c r="P313" s="20">
        <v>21127</v>
      </c>
      <c r="Q313" s="3" t="s">
        <v>1050</v>
      </c>
      <c r="R313" s="3"/>
      <c r="S313" s="3" t="s">
        <v>5561</v>
      </c>
      <c r="T313" s="3" t="s">
        <v>258</v>
      </c>
      <c r="U313" s="2"/>
      <c r="V313" s="2"/>
      <c r="W313" s="2"/>
      <c r="X313" s="2"/>
      <c r="Y313" s="2" t="s">
        <v>155</v>
      </c>
      <c r="Z313" s="2"/>
      <c r="AA313" s="2" t="s">
        <v>104</v>
      </c>
      <c r="AB313" s="2"/>
      <c r="AC313" s="2"/>
      <c r="AD313" s="3"/>
    </row>
    <row r="314" spans="1:30" ht="12" customHeight="1">
      <c r="A314" s="828" t="s">
        <v>17008</v>
      </c>
      <c r="B314" s="3" t="s">
        <v>1043</v>
      </c>
      <c r="C314" s="1" t="s">
        <v>5622</v>
      </c>
      <c r="D314" s="5">
        <f t="shared" si="4"/>
        <v>49</v>
      </c>
      <c r="E314" s="2" t="s">
        <v>5</v>
      </c>
      <c r="F314" s="2" t="s">
        <v>15273</v>
      </c>
      <c r="G314" s="3"/>
      <c r="H314" s="1"/>
      <c r="I314" s="1"/>
      <c r="J314" s="4" t="s">
        <v>16116</v>
      </c>
      <c r="K314" s="1" t="s">
        <v>4997</v>
      </c>
      <c r="L314" s="1" t="s">
        <v>6</v>
      </c>
      <c r="M314" s="825"/>
      <c r="N314" s="17"/>
      <c r="O314" s="3" t="s">
        <v>6162</v>
      </c>
      <c r="P314" s="21">
        <v>23036</v>
      </c>
      <c r="Q314" s="3" t="s">
        <v>6163</v>
      </c>
      <c r="R314" s="3"/>
      <c r="S314" s="3" t="s">
        <v>469</v>
      </c>
      <c r="T314" s="3"/>
      <c r="U314" s="2"/>
      <c r="V314" s="2"/>
      <c r="W314" s="2"/>
      <c r="X314" s="2"/>
      <c r="Y314" s="2"/>
      <c r="Z314" s="2"/>
      <c r="AA314" s="2"/>
      <c r="AB314" s="2"/>
      <c r="AC314" s="2"/>
      <c r="AD314" s="3"/>
    </row>
    <row r="315" spans="1:30" ht="12" customHeight="1">
      <c r="A315" s="828" t="s">
        <v>17009</v>
      </c>
      <c r="B315" s="3" t="s">
        <v>5621</v>
      </c>
      <c r="C315" s="1" t="s">
        <v>1054</v>
      </c>
      <c r="D315" s="5">
        <f t="shared" si="4"/>
        <v>67</v>
      </c>
      <c r="E315" s="2" t="s">
        <v>5</v>
      </c>
      <c r="F315" s="2"/>
      <c r="G315" s="3"/>
      <c r="H315" s="1"/>
      <c r="I315" s="1"/>
      <c r="J315" s="4" t="s">
        <v>16117</v>
      </c>
      <c r="K315" s="1"/>
      <c r="L315" s="1" t="s">
        <v>6</v>
      </c>
      <c r="M315" s="825"/>
      <c r="N315" s="17"/>
      <c r="O315" s="3" t="s">
        <v>1055</v>
      </c>
      <c r="P315" s="21">
        <v>16488</v>
      </c>
      <c r="Q315" s="3" t="s">
        <v>1056</v>
      </c>
      <c r="R315" s="3"/>
      <c r="S315" s="3"/>
      <c r="T315" s="3"/>
      <c r="U315" s="2"/>
      <c r="V315" s="2"/>
      <c r="W315" s="2"/>
      <c r="X315" s="2"/>
      <c r="Y315" s="2"/>
      <c r="Z315" s="2"/>
      <c r="AA315" s="2"/>
      <c r="AB315" s="2"/>
      <c r="AC315" s="2"/>
      <c r="AD315" s="3"/>
    </row>
    <row r="316" spans="1:30" ht="12" customHeight="1">
      <c r="A316" s="828" t="s">
        <v>17010</v>
      </c>
      <c r="B316" s="3" t="s">
        <v>5987</v>
      </c>
      <c r="C316" s="1" t="s">
        <v>5988</v>
      </c>
      <c r="D316" s="5">
        <f t="shared" si="4"/>
        <v>62</v>
      </c>
      <c r="E316" s="2" t="s">
        <v>19</v>
      </c>
      <c r="F316" s="2"/>
      <c r="G316" s="3"/>
      <c r="H316" s="1"/>
      <c r="I316" s="1"/>
      <c r="J316" s="4" t="s">
        <v>16129</v>
      </c>
      <c r="K316" s="1"/>
      <c r="L316" s="1" t="s">
        <v>6</v>
      </c>
      <c r="M316" s="825"/>
      <c r="N316" s="17"/>
      <c r="O316" s="3" t="s">
        <v>2795</v>
      </c>
      <c r="P316" s="21">
        <v>18396</v>
      </c>
      <c r="Q316" s="3" t="s">
        <v>5989</v>
      </c>
      <c r="R316" s="3"/>
      <c r="S316" s="3"/>
      <c r="T316" s="3"/>
      <c r="U316" s="2"/>
      <c r="V316" s="2"/>
      <c r="W316" s="2"/>
      <c r="X316" s="2"/>
      <c r="Y316" s="2"/>
      <c r="Z316" s="2"/>
      <c r="AA316" s="2"/>
      <c r="AB316" s="2"/>
      <c r="AC316" s="2"/>
      <c r="AD316" s="3"/>
    </row>
    <row r="317" spans="1:30" ht="12" customHeight="1">
      <c r="A317" s="828" t="s">
        <v>17011</v>
      </c>
      <c r="B317" s="3" t="s">
        <v>1057</v>
      </c>
      <c r="C317" s="1" t="s">
        <v>1061</v>
      </c>
      <c r="D317" s="5">
        <f t="shared" si="4"/>
        <v>55</v>
      </c>
      <c r="E317" s="2" t="s">
        <v>5</v>
      </c>
      <c r="F317" s="6" t="s">
        <v>15273</v>
      </c>
      <c r="G317" s="3" t="s">
        <v>1062</v>
      </c>
      <c r="H317" s="1"/>
      <c r="I317" s="1"/>
      <c r="J317" s="8" t="s">
        <v>16126</v>
      </c>
      <c r="K317" s="1" t="s">
        <v>604</v>
      </c>
      <c r="L317" s="1" t="s">
        <v>25</v>
      </c>
      <c r="M317" s="825">
        <v>5</v>
      </c>
      <c r="N317" s="17">
        <v>5</v>
      </c>
      <c r="O317" s="3" t="s">
        <v>188</v>
      </c>
      <c r="P317" s="20">
        <v>20960</v>
      </c>
      <c r="Q317" s="3" t="s">
        <v>16656</v>
      </c>
      <c r="R317" s="3" t="s">
        <v>1064</v>
      </c>
      <c r="S317" s="3" t="s">
        <v>736</v>
      </c>
      <c r="T317" s="3" t="s">
        <v>635</v>
      </c>
      <c r="U317" s="2"/>
      <c r="V317" s="2" t="s">
        <v>145</v>
      </c>
      <c r="W317" s="2"/>
      <c r="X317" s="2"/>
      <c r="Y317" s="2"/>
      <c r="Z317" s="2"/>
      <c r="AA317" s="2"/>
      <c r="AB317" s="2"/>
      <c r="AC317" s="2" t="s">
        <v>146</v>
      </c>
      <c r="AD317" s="3"/>
    </row>
    <row r="318" spans="1:30" ht="12" customHeight="1">
      <c r="A318" s="828" t="s">
        <v>17012</v>
      </c>
      <c r="B318" s="3" t="s">
        <v>1058</v>
      </c>
      <c r="C318" s="1" t="s">
        <v>1066</v>
      </c>
      <c r="D318" s="5">
        <f t="shared" si="4"/>
        <v>44</v>
      </c>
      <c r="E318" s="2" t="s">
        <v>5</v>
      </c>
      <c r="F318" s="2" t="s">
        <v>15273</v>
      </c>
      <c r="G318" s="3"/>
      <c r="H318" s="1"/>
      <c r="I318" s="1"/>
      <c r="J318" s="4" t="s">
        <v>16120</v>
      </c>
      <c r="K318" s="1" t="s">
        <v>30</v>
      </c>
      <c r="L318" s="1" t="s">
        <v>14</v>
      </c>
      <c r="M318" s="825">
        <v>1</v>
      </c>
      <c r="N318" s="17">
        <v>1</v>
      </c>
      <c r="O318" s="3" t="s">
        <v>31</v>
      </c>
      <c r="P318" s="20">
        <v>25122</v>
      </c>
      <c r="Q318" s="3" t="s">
        <v>1068</v>
      </c>
      <c r="R318" s="3"/>
      <c r="S318" s="3"/>
      <c r="T318" s="3"/>
      <c r="U318" s="2"/>
      <c r="V318" s="2"/>
      <c r="W318" s="2"/>
      <c r="X318" s="2"/>
      <c r="Y318" s="2"/>
      <c r="Z318" s="2"/>
      <c r="AA318" s="2"/>
      <c r="AB318" s="2"/>
      <c r="AC318" s="2"/>
      <c r="AD318" s="2"/>
    </row>
    <row r="319" spans="1:30" ht="12" customHeight="1">
      <c r="A319" s="828" t="s">
        <v>17013</v>
      </c>
      <c r="B319" s="3" t="s">
        <v>1059</v>
      </c>
      <c r="C319" s="1" t="s">
        <v>879</v>
      </c>
      <c r="D319" s="5">
        <f t="shared" si="4"/>
        <v>47</v>
      </c>
      <c r="E319" s="2" t="s">
        <v>19</v>
      </c>
      <c r="F319" s="2" t="s">
        <v>15273</v>
      </c>
      <c r="G319" s="12" t="s">
        <v>1299</v>
      </c>
      <c r="H319" s="19"/>
      <c r="I319" s="19"/>
      <c r="J319" s="4" t="s">
        <v>16125</v>
      </c>
      <c r="K319" s="6"/>
      <c r="L319" s="6" t="s">
        <v>25</v>
      </c>
      <c r="M319" s="6">
        <v>1</v>
      </c>
      <c r="N319" s="14">
        <v>1</v>
      </c>
      <c r="O319" s="19" t="s">
        <v>586</v>
      </c>
      <c r="P319" s="15">
        <v>23806</v>
      </c>
      <c r="Q319" s="12" t="s">
        <v>2742</v>
      </c>
      <c r="R319" s="12"/>
      <c r="S319" s="12" t="s">
        <v>5561</v>
      </c>
      <c r="T319" s="12" t="s">
        <v>258</v>
      </c>
      <c r="U319" s="2"/>
      <c r="V319" s="2"/>
      <c r="W319" s="2"/>
      <c r="X319" s="2"/>
      <c r="Y319" s="2" t="s">
        <v>155</v>
      </c>
      <c r="Z319" s="2"/>
      <c r="AA319" s="2" t="s">
        <v>104</v>
      </c>
      <c r="AB319" s="2"/>
      <c r="AC319" s="2"/>
      <c r="AD319" s="2"/>
    </row>
    <row r="320" spans="1:30" ht="12" customHeight="1">
      <c r="A320" s="828" t="s">
        <v>17014</v>
      </c>
      <c r="B320" s="3" t="s">
        <v>1060</v>
      </c>
      <c r="C320" s="1" t="s">
        <v>1069</v>
      </c>
      <c r="D320" s="5">
        <f t="shared" si="4"/>
        <v>38</v>
      </c>
      <c r="E320" s="2" t="s">
        <v>19</v>
      </c>
      <c r="F320" s="2" t="s">
        <v>15273</v>
      </c>
      <c r="G320" s="3"/>
      <c r="H320" s="1"/>
      <c r="I320" s="1"/>
      <c r="J320" s="4" t="s">
        <v>16117</v>
      </c>
      <c r="K320" s="1"/>
      <c r="L320" s="1" t="s">
        <v>6</v>
      </c>
      <c r="M320" s="825"/>
      <c r="N320" s="17"/>
      <c r="O320" s="3" t="s">
        <v>172</v>
      </c>
      <c r="P320" s="20">
        <v>27301</v>
      </c>
      <c r="Q320" s="3" t="s">
        <v>1070</v>
      </c>
      <c r="R320" s="3"/>
      <c r="S320" s="3"/>
      <c r="T320" s="3"/>
      <c r="U320" s="2"/>
      <c r="V320" s="2"/>
      <c r="W320" s="2"/>
      <c r="X320" s="2"/>
      <c r="Y320" s="2"/>
      <c r="Z320" s="2"/>
      <c r="AA320" s="2"/>
      <c r="AB320" s="2"/>
      <c r="AC320" s="2"/>
      <c r="AD320" s="2"/>
    </row>
    <row r="321" spans="1:30" ht="12" customHeight="1">
      <c r="A321" s="828" t="s">
        <v>17015</v>
      </c>
      <c r="B321" s="3" t="s">
        <v>1083</v>
      </c>
      <c r="C321" s="1" t="s">
        <v>1087</v>
      </c>
      <c r="D321" s="5">
        <f t="shared" ref="D321:D384" si="5">DATEDIF(P321,$P$1505,"Y")</f>
        <v>38</v>
      </c>
      <c r="E321" s="2" t="s">
        <v>5</v>
      </c>
      <c r="F321" s="6" t="s">
        <v>15273</v>
      </c>
      <c r="G321" s="3" t="s">
        <v>1088</v>
      </c>
      <c r="H321" s="1"/>
      <c r="I321" s="1"/>
      <c r="J321" s="8" t="s">
        <v>16127</v>
      </c>
      <c r="K321" s="1" t="s">
        <v>44</v>
      </c>
      <c r="L321" s="1" t="s">
        <v>25</v>
      </c>
      <c r="M321" s="825">
        <v>2</v>
      </c>
      <c r="N321" s="17">
        <v>2</v>
      </c>
      <c r="O321" s="3" t="s">
        <v>1089</v>
      </c>
      <c r="P321" s="20">
        <v>27073</v>
      </c>
      <c r="Q321" s="3" t="s">
        <v>1090</v>
      </c>
      <c r="R321" s="3" t="s">
        <v>1091</v>
      </c>
      <c r="S321" s="3" t="s">
        <v>736</v>
      </c>
      <c r="T321" s="3" t="s">
        <v>145</v>
      </c>
      <c r="U321" s="2"/>
      <c r="V321" s="2" t="s">
        <v>145</v>
      </c>
      <c r="W321" s="2"/>
      <c r="X321" s="2"/>
      <c r="Y321" s="2"/>
      <c r="Z321" s="2"/>
      <c r="AA321" s="2"/>
      <c r="AB321" s="2"/>
      <c r="AC321" s="2"/>
      <c r="AD321" s="2"/>
    </row>
    <row r="322" spans="1:30" ht="12" customHeight="1">
      <c r="A322" s="828" t="s">
        <v>17016</v>
      </c>
      <c r="B322" s="3" t="s">
        <v>1084</v>
      </c>
      <c r="C322" s="1" t="s">
        <v>1093</v>
      </c>
      <c r="D322" s="5">
        <f t="shared" si="5"/>
        <v>40</v>
      </c>
      <c r="E322" s="2" t="s">
        <v>5</v>
      </c>
      <c r="F322" s="2" t="s">
        <v>15273</v>
      </c>
      <c r="G322" s="3"/>
      <c r="H322" s="1"/>
      <c r="I322" s="1"/>
      <c r="J322" s="8" t="s">
        <v>16120</v>
      </c>
      <c r="K322" s="1" t="s">
        <v>445</v>
      </c>
      <c r="L322" s="1" t="s">
        <v>14</v>
      </c>
      <c r="M322" s="825">
        <v>1</v>
      </c>
      <c r="N322" s="17">
        <v>1</v>
      </c>
      <c r="O322" s="3" t="s">
        <v>317</v>
      </c>
      <c r="P322" s="20">
        <v>26453</v>
      </c>
      <c r="Q322" s="3" t="s">
        <v>1095</v>
      </c>
      <c r="R322" s="3"/>
      <c r="S322" s="3" t="s">
        <v>5457</v>
      </c>
      <c r="T322" s="3" t="s">
        <v>155</v>
      </c>
      <c r="U322" s="2"/>
      <c r="V322" s="2"/>
      <c r="W322" s="2"/>
      <c r="X322" s="2"/>
      <c r="Y322" s="2" t="s">
        <v>155</v>
      </c>
      <c r="Z322" s="2"/>
      <c r="AA322" s="2"/>
      <c r="AB322" s="2"/>
      <c r="AC322" s="2"/>
      <c r="AD322" s="2"/>
    </row>
    <row r="323" spans="1:30" ht="12" customHeight="1">
      <c r="A323" s="828" t="s">
        <v>17017</v>
      </c>
      <c r="B323" s="3" t="s">
        <v>1085</v>
      </c>
      <c r="C323" s="1" t="s">
        <v>5534</v>
      </c>
      <c r="D323" s="5">
        <f t="shared" si="5"/>
        <v>38</v>
      </c>
      <c r="E323" s="2" t="s">
        <v>19</v>
      </c>
      <c r="F323" s="2" t="s">
        <v>15273</v>
      </c>
      <c r="G323" s="3" t="s">
        <v>5535</v>
      </c>
      <c r="H323" s="1"/>
      <c r="I323" s="1"/>
      <c r="J323" s="4" t="s">
        <v>16125</v>
      </c>
      <c r="K323" s="1"/>
      <c r="L323" s="1" t="s">
        <v>25</v>
      </c>
      <c r="M323" s="825">
        <v>1</v>
      </c>
      <c r="N323" s="17">
        <v>1</v>
      </c>
      <c r="O323" s="3" t="s">
        <v>31</v>
      </c>
      <c r="P323" s="20">
        <v>27088</v>
      </c>
      <c r="Q323" s="3" t="s">
        <v>5536</v>
      </c>
      <c r="R323" s="3"/>
      <c r="S323" s="3" t="s">
        <v>5561</v>
      </c>
      <c r="T323" s="3"/>
      <c r="U323" s="2"/>
      <c r="V323" s="2"/>
      <c r="W323" s="2"/>
      <c r="X323" s="2"/>
      <c r="Y323" s="2"/>
      <c r="Z323" s="2"/>
      <c r="AA323" s="2"/>
      <c r="AB323" s="2"/>
      <c r="AC323" s="2"/>
      <c r="AD323" s="2"/>
    </row>
    <row r="324" spans="1:30" ht="12" customHeight="1">
      <c r="A324" s="828" t="s">
        <v>17018</v>
      </c>
      <c r="B324" s="3" t="s">
        <v>1086</v>
      </c>
      <c r="C324" s="1" t="s">
        <v>1097</v>
      </c>
      <c r="D324" s="5">
        <f t="shared" si="5"/>
        <v>48</v>
      </c>
      <c r="E324" s="2" t="s">
        <v>5</v>
      </c>
      <c r="F324" s="2" t="s">
        <v>15273</v>
      </c>
      <c r="G324" s="3"/>
      <c r="H324" s="1"/>
      <c r="I324" s="1"/>
      <c r="J324" s="4" t="s">
        <v>16116</v>
      </c>
      <c r="K324" s="1" t="s">
        <v>469</v>
      </c>
      <c r="L324" s="1" t="s">
        <v>6</v>
      </c>
      <c r="M324" s="825"/>
      <c r="N324" s="17"/>
      <c r="O324" s="3" t="s">
        <v>462</v>
      </c>
      <c r="P324" s="20">
        <v>23691</v>
      </c>
      <c r="Q324" s="3" t="s">
        <v>1099</v>
      </c>
      <c r="R324" s="3"/>
      <c r="S324" s="3"/>
      <c r="T324" s="3" t="s">
        <v>145</v>
      </c>
      <c r="U324" s="2"/>
      <c r="V324" s="2" t="s">
        <v>145</v>
      </c>
      <c r="W324" s="2"/>
      <c r="X324" s="2"/>
      <c r="Y324" s="2"/>
      <c r="Z324" s="2"/>
      <c r="AA324" s="2"/>
      <c r="AB324" s="2"/>
      <c r="AC324" s="2"/>
      <c r="AD324" s="2"/>
    </row>
    <row r="325" spans="1:30" ht="12" customHeight="1">
      <c r="A325" s="828" t="s">
        <v>17019</v>
      </c>
      <c r="B325" s="3" t="s">
        <v>5533</v>
      </c>
      <c r="C325" s="1" t="s">
        <v>5760</v>
      </c>
      <c r="D325" s="5">
        <f t="shared" si="5"/>
        <v>57</v>
      </c>
      <c r="E325" s="2" t="s">
        <v>5</v>
      </c>
      <c r="F325" s="2" t="s">
        <v>15273</v>
      </c>
      <c r="G325" s="3"/>
      <c r="H325" s="1"/>
      <c r="I325" s="1"/>
      <c r="J325" s="4" t="s">
        <v>16128</v>
      </c>
      <c r="K325" s="1"/>
      <c r="L325" s="1" t="s">
        <v>6</v>
      </c>
      <c r="M325" s="825"/>
      <c r="N325" s="17"/>
      <c r="O325" s="3" t="s">
        <v>317</v>
      </c>
      <c r="P325" s="20">
        <v>20272</v>
      </c>
      <c r="Q325" s="3" t="s">
        <v>5759</v>
      </c>
      <c r="R325" s="3"/>
      <c r="S325" s="3"/>
      <c r="T325" s="3"/>
      <c r="U325" s="2"/>
      <c r="V325" s="2"/>
      <c r="W325" s="2"/>
      <c r="X325" s="2"/>
      <c r="Y325" s="2"/>
      <c r="Z325" s="2"/>
      <c r="AA325" s="2"/>
      <c r="AB325" s="2"/>
      <c r="AC325" s="2"/>
      <c r="AD325" s="2"/>
    </row>
    <row r="326" spans="1:30" ht="12" customHeight="1">
      <c r="A326" s="828" t="s">
        <v>17020</v>
      </c>
      <c r="B326" s="3" t="s">
        <v>5758</v>
      </c>
      <c r="C326" s="1" t="s">
        <v>5182</v>
      </c>
      <c r="D326" s="5">
        <f t="shared" si="5"/>
        <v>42</v>
      </c>
      <c r="E326" s="2" t="s">
        <v>19</v>
      </c>
      <c r="F326" s="2"/>
      <c r="G326" s="3"/>
      <c r="H326" s="1"/>
      <c r="I326" s="1"/>
      <c r="J326" s="4" t="s">
        <v>16117</v>
      </c>
      <c r="K326" s="1"/>
      <c r="L326" s="1" t="s">
        <v>6</v>
      </c>
      <c r="M326" s="825"/>
      <c r="N326" s="17"/>
      <c r="O326" s="3" t="s">
        <v>5183</v>
      </c>
      <c r="P326" s="20">
        <v>25794</v>
      </c>
      <c r="Q326" s="3" t="s">
        <v>5184</v>
      </c>
      <c r="R326" s="3"/>
      <c r="S326" s="3"/>
      <c r="T326" s="3"/>
      <c r="U326" s="2"/>
      <c r="V326" s="2"/>
      <c r="W326" s="2"/>
      <c r="X326" s="2"/>
      <c r="Y326" s="2"/>
      <c r="Z326" s="2"/>
      <c r="AA326" s="2"/>
      <c r="AB326" s="2"/>
      <c r="AC326" s="2"/>
      <c r="AD326" s="2"/>
    </row>
    <row r="327" spans="1:30" ht="12" customHeight="1">
      <c r="A327" s="828" t="s">
        <v>17021</v>
      </c>
      <c r="B327" s="3" t="s">
        <v>5985</v>
      </c>
      <c r="C327" s="1" t="s">
        <v>5986</v>
      </c>
      <c r="D327" s="5">
        <f t="shared" si="5"/>
        <v>54</v>
      </c>
      <c r="E327" s="2" t="s">
        <v>5</v>
      </c>
      <c r="F327" s="2"/>
      <c r="G327" s="3"/>
      <c r="H327" s="1"/>
      <c r="I327" s="1"/>
      <c r="J327" s="4" t="s">
        <v>16129</v>
      </c>
      <c r="K327" s="1"/>
      <c r="L327" s="1" t="s">
        <v>6</v>
      </c>
      <c r="M327" s="825"/>
      <c r="N327" s="17"/>
      <c r="O327" s="3" t="s">
        <v>557</v>
      </c>
      <c r="P327" s="21">
        <v>21347</v>
      </c>
      <c r="Q327" s="3" t="s">
        <v>2207</v>
      </c>
      <c r="R327" s="3"/>
      <c r="S327" s="3"/>
      <c r="T327" s="3"/>
      <c r="U327" s="2"/>
      <c r="V327" s="2"/>
      <c r="W327" s="2"/>
      <c r="X327" s="2"/>
      <c r="Y327" s="2"/>
      <c r="Z327" s="2"/>
      <c r="AA327" s="2"/>
      <c r="AB327" s="2"/>
      <c r="AC327" s="2"/>
      <c r="AD327" s="2"/>
    </row>
    <row r="328" spans="1:30" ht="12" customHeight="1">
      <c r="A328" s="828" t="s">
        <v>17022</v>
      </c>
      <c r="B328" s="3" t="s">
        <v>1100</v>
      </c>
      <c r="C328" s="1" t="s">
        <v>1104</v>
      </c>
      <c r="D328" s="5">
        <f t="shared" si="5"/>
        <v>65</v>
      </c>
      <c r="E328" s="2" t="s">
        <v>5</v>
      </c>
      <c r="F328" s="6" t="s">
        <v>15273</v>
      </c>
      <c r="G328" s="3" t="s">
        <v>1105</v>
      </c>
      <c r="H328" s="1"/>
      <c r="I328" s="1"/>
      <c r="J328" s="8" t="s">
        <v>16127</v>
      </c>
      <c r="K328" s="1" t="s">
        <v>655</v>
      </c>
      <c r="L328" s="1" t="s">
        <v>25</v>
      </c>
      <c r="M328" s="825">
        <v>4</v>
      </c>
      <c r="N328" s="17">
        <v>4</v>
      </c>
      <c r="O328" s="3" t="s">
        <v>188</v>
      </c>
      <c r="P328" s="20">
        <v>17471</v>
      </c>
      <c r="Q328" s="3" t="s">
        <v>1107</v>
      </c>
      <c r="R328" s="3" t="s">
        <v>1108</v>
      </c>
      <c r="S328" s="3" t="s">
        <v>736</v>
      </c>
      <c r="T328" s="3" t="s">
        <v>155</v>
      </c>
      <c r="U328" s="2"/>
      <c r="V328" s="2"/>
      <c r="W328" s="2"/>
      <c r="X328" s="2"/>
      <c r="Y328" s="2" t="s">
        <v>155</v>
      </c>
      <c r="Z328" s="2"/>
      <c r="AA328" s="2"/>
      <c r="AB328" s="2"/>
      <c r="AC328" s="2"/>
      <c r="AD328" s="2"/>
    </row>
    <row r="329" spans="1:30" ht="12" customHeight="1">
      <c r="A329" s="828" t="s">
        <v>17023</v>
      </c>
      <c r="B329" s="3" t="s">
        <v>1101</v>
      </c>
      <c r="C329" s="1" t="s">
        <v>1109</v>
      </c>
      <c r="D329" s="5">
        <f t="shared" si="5"/>
        <v>62</v>
      </c>
      <c r="E329" s="2" t="s">
        <v>5</v>
      </c>
      <c r="F329" s="2" t="s">
        <v>15273</v>
      </c>
      <c r="G329" s="3"/>
      <c r="H329" s="1"/>
      <c r="I329" s="1"/>
      <c r="J329" s="4" t="s">
        <v>16120</v>
      </c>
      <c r="K329" s="1" t="s">
        <v>13</v>
      </c>
      <c r="L329" s="1" t="s">
        <v>14</v>
      </c>
      <c r="M329" s="825">
        <v>4</v>
      </c>
      <c r="N329" s="17">
        <v>4</v>
      </c>
      <c r="O329" s="3" t="s">
        <v>1002</v>
      </c>
      <c r="P329" s="20">
        <v>18478</v>
      </c>
      <c r="Q329" s="3" t="s">
        <v>1112</v>
      </c>
      <c r="R329" s="3" t="s">
        <v>1111</v>
      </c>
      <c r="S329" s="3" t="s">
        <v>5457</v>
      </c>
      <c r="T329" s="3" t="s">
        <v>145</v>
      </c>
      <c r="U329" s="2"/>
      <c r="V329" s="2" t="s">
        <v>145</v>
      </c>
      <c r="W329" s="2"/>
      <c r="X329" s="2"/>
      <c r="Y329" s="2"/>
      <c r="Z329" s="2"/>
      <c r="AA329" s="2"/>
      <c r="AB329" s="2"/>
      <c r="AC329" s="2"/>
      <c r="AD329" s="2"/>
    </row>
    <row r="330" spans="1:30" ht="12" customHeight="1">
      <c r="A330" s="828" t="s">
        <v>17024</v>
      </c>
      <c r="B330" s="3" t="s">
        <v>1102</v>
      </c>
      <c r="C330" s="1" t="s">
        <v>3397</v>
      </c>
      <c r="D330" s="5">
        <f t="shared" si="5"/>
        <v>50</v>
      </c>
      <c r="E330" s="2" t="s">
        <v>19</v>
      </c>
      <c r="F330" s="2" t="s">
        <v>15273</v>
      </c>
      <c r="G330" s="3"/>
      <c r="H330" s="1"/>
      <c r="I330" s="1"/>
      <c r="J330" s="4" t="s">
        <v>16125</v>
      </c>
      <c r="K330" s="1"/>
      <c r="L330" s="1" t="s">
        <v>6</v>
      </c>
      <c r="M330" s="825"/>
      <c r="N330" s="17"/>
      <c r="O330" s="3" t="s">
        <v>3398</v>
      </c>
      <c r="P330" s="20">
        <v>22895</v>
      </c>
      <c r="Q330" s="3" t="s">
        <v>3399</v>
      </c>
      <c r="R330" s="3"/>
      <c r="S330" s="3" t="s">
        <v>5561</v>
      </c>
      <c r="T330" s="3"/>
      <c r="U330" s="2"/>
      <c r="V330" s="2"/>
      <c r="W330" s="2"/>
      <c r="X330" s="2"/>
      <c r="Y330" s="2"/>
      <c r="Z330" s="2"/>
      <c r="AA330" s="2"/>
      <c r="AB330" s="2"/>
      <c r="AC330" s="2"/>
      <c r="AD330" s="2"/>
    </row>
    <row r="331" spans="1:30" ht="12" customHeight="1">
      <c r="A331" s="828" t="s">
        <v>17025</v>
      </c>
      <c r="B331" s="3" t="s">
        <v>1103</v>
      </c>
      <c r="C331" s="1" t="s">
        <v>5762</v>
      </c>
      <c r="D331" s="5">
        <f t="shared" si="5"/>
        <v>49</v>
      </c>
      <c r="E331" s="2" t="s">
        <v>5</v>
      </c>
      <c r="F331" s="2" t="s">
        <v>15273</v>
      </c>
      <c r="G331" s="3"/>
      <c r="H331" s="1"/>
      <c r="I331" s="1"/>
      <c r="J331" s="4" t="s">
        <v>16116</v>
      </c>
      <c r="K331" s="1" t="s">
        <v>276</v>
      </c>
      <c r="L331" s="1" t="s">
        <v>14</v>
      </c>
      <c r="M331" s="825">
        <v>1</v>
      </c>
      <c r="N331" s="17">
        <v>1</v>
      </c>
      <c r="O331" s="3" t="s">
        <v>317</v>
      </c>
      <c r="P331" s="20">
        <v>23167</v>
      </c>
      <c r="Q331" s="3" t="s">
        <v>5766</v>
      </c>
      <c r="R331" s="3"/>
      <c r="S331" s="3"/>
      <c r="T331" s="3" t="s">
        <v>47</v>
      </c>
      <c r="U331" s="2" t="s">
        <v>47</v>
      </c>
      <c r="V331" s="2"/>
      <c r="W331" s="2"/>
      <c r="X331" s="2"/>
      <c r="Y331" s="2"/>
      <c r="Z331" s="2"/>
      <c r="AA331" s="2"/>
      <c r="AB331" s="2"/>
      <c r="AC331" s="2"/>
      <c r="AD331" s="2"/>
    </row>
    <row r="332" spans="1:30" ht="12" customHeight="1">
      <c r="A332" s="828" t="s">
        <v>17026</v>
      </c>
      <c r="B332" s="3" t="s">
        <v>5734</v>
      </c>
      <c r="C332" s="1" t="s">
        <v>1116</v>
      </c>
      <c r="D332" s="5">
        <f t="shared" si="5"/>
        <v>43</v>
      </c>
      <c r="E332" s="2" t="s">
        <v>5</v>
      </c>
      <c r="F332" s="2" t="s">
        <v>15273</v>
      </c>
      <c r="G332" s="3"/>
      <c r="H332" s="1"/>
      <c r="I332" s="1"/>
      <c r="J332" s="8" t="s">
        <v>16128</v>
      </c>
      <c r="K332" s="1"/>
      <c r="L332" s="1" t="s">
        <v>6</v>
      </c>
      <c r="M332" s="825"/>
      <c r="N332" s="17"/>
      <c r="O332" s="3" t="s">
        <v>1117</v>
      </c>
      <c r="P332" s="20">
        <v>25325</v>
      </c>
      <c r="Q332" s="3" t="s">
        <v>1118</v>
      </c>
      <c r="R332" s="3"/>
      <c r="S332" s="3"/>
      <c r="T332" s="3"/>
      <c r="U332" s="2"/>
      <c r="V332" s="2"/>
      <c r="W332" s="2"/>
      <c r="X332" s="2"/>
      <c r="Y332" s="2"/>
      <c r="Z332" s="2"/>
      <c r="AA332" s="2"/>
      <c r="AB332" s="2"/>
      <c r="AC332" s="2"/>
      <c r="AD332" s="2"/>
    </row>
    <row r="333" spans="1:30" ht="12" customHeight="1">
      <c r="A333" s="828" t="s">
        <v>17027</v>
      </c>
      <c r="B333" s="3" t="s">
        <v>5761</v>
      </c>
      <c r="C333" s="1" t="s">
        <v>1113</v>
      </c>
      <c r="D333" s="5">
        <f t="shared" si="5"/>
        <v>57</v>
      </c>
      <c r="E333" s="2" t="s">
        <v>19</v>
      </c>
      <c r="F333" s="2"/>
      <c r="G333" s="3"/>
      <c r="H333" s="1"/>
      <c r="I333" s="1"/>
      <c r="J333" s="4" t="s">
        <v>16117</v>
      </c>
      <c r="K333" s="1"/>
      <c r="L333" s="1" t="s">
        <v>6</v>
      </c>
      <c r="M333" s="825"/>
      <c r="N333" s="17"/>
      <c r="O333" s="3" t="s">
        <v>1114</v>
      </c>
      <c r="P333" s="20">
        <v>20340</v>
      </c>
      <c r="Q333" s="3" t="s">
        <v>1115</v>
      </c>
      <c r="R333" s="3"/>
      <c r="S333" s="3"/>
      <c r="T333" s="3" t="s">
        <v>145</v>
      </c>
      <c r="U333" s="2"/>
      <c r="V333" s="2" t="s">
        <v>145</v>
      </c>
      <c r="W333" s="2"/>
      <c r="X333" s="2"/>
      <c r="Y333" s="2"/>
      <c r="Z333" s="2"/>
      <c r="AA333" s="2"/>
      <c r="AB333" s="2"/>
      <c r="AC333" s="2"/>
      <c r="AD333" s="2"/>
    </row>
    <row r="334" spans="1:30" ht="12" customHeight="1">
      <c r="A334" s="828" t="s">
        <v>17028</v>
      </c>
      <c r="B334" s="3" t="s">
        <v>1119</v>
      </c>
      <c r="C334" s="1" t="s">
        <v>5176</v>
      </c>
      <c r="D334" s="5">
        <f t="shared" si="5"/>
        <v>57</v>
      </c>
      <c r="E334" s="2" t="s">
        <v>5</v>
      </c>
      <c r="F334" s="6" t="s">
        <v>15273</v>
      </c>
      <c r="G334" s="3"/>
      <c r="H334" s="1"/>
      <c r="I334" s="1"/>
      <c r="J334" s="8" t="s">
        <v>16126</v>
      </c>
      <c r="K334" s="1" t="s">
        <v>44</v>
      </c>
      <c r="L334" s="1" t="s">
        <v>6</v>
      </c>
      <c r="M334" s="825"/>
      <c r="N334" s="17"/>
      <c r="O334" s="3" t="s">
        <v>4753</v>
      </c>
      <c r="P334" s="20">
        <v>20096</v>
      </c>
      <c r="Q334" s="3" t="s">
        <v>5177</v>
      </c>
      <c r="R334" s="3"/>
      <c r="S334" s="3"/>
      <c r="T334" s="3" t="s">
        <v>155</v>
      </c>
      <c r="U334" s="2"/>
      <c r="V334" s="2"/>
      <c r="W334" s="2"/>
      <c r="X334" s="2"/>
      <c r="Y334" s="2" t="s">
        <v>155</v>
      </c>
      <c r="Z334" s="2"/>
      <c r="AA334" s="2"/>
      <c r="AB334" s="2"/>
      <c r="AC334" s="2"/>
      <c r="AD334" s="2"/>
    </row>
    <row r="335" spans="1:30" ht="12" customHeight="1">
      <c r="A335" s="828" t="s">
        <v>17029</v>
      </c>
      <c r="B335" s="3" t="s">
        <v>1120</v>
      </c>
      <c r="C335" s="1" t="s">
        <v>1124</v>
      </c>
      <c r="D335" s="5">
        <f t="shared" si="5"/>
        <v>53</v>
      </c>
      <c r="E335" s="2" t="s">
        <v>5</v>
      </c>
      <c r="F335" s="2" t="s">
        <v>15273</v>
      </c>
      <c r="G335" s="3" t="s">
        <v>1125</v>
      </c>
      <c r="H335" s="1"/>
      <c r="I335" s="1"/>
      <c r="J335" s="4" t="s">
        <v>16120</v>
      </c>
      <c r="K335" s="1" t="s">
        <v>30</v>
      </c>
      <c r="L335" s="1" t="s">
        <v>25</v>
      </c>
      <c r="M335" s="825">
        <v>1</v>
      </c>
      <c r="N335" s="17">
        <v>1</v>
      </c>
      <c r="O335" s="3" t="s">
        <v>255</v>
      </c>
      <c r="P335" s="20">
        <v>21715</v>
      </c>
      <c r="Q335" s="3" t="s">
        <v>1126</v>
      </c>
      <c r="R335" s="3"/>
      <c r="S335" s="3" t="s">
        <v>5457</v>
      </c>
      <c r="T335" s="3" t="s">
        <v>47</v>
      </c>
      <c r="U335" s="2" t="s">
        <v>47</v>
      </c>
      <c r="V335" s="2"/>
      <c r="W335" s="2"/>
      <c r="X335" s="2"/>
      <c r="Y335" s="2"/>
      <c r="Z335" s="2"/>
      <c r="AA335" s="2"/>
      <c r="AB335" s="2"/>
      <c r="AC335" s="2"/>
      <c r="AD335" s="2"/>
    </row>
    <row r="336" spans="1:30" ht="12" customHeight="1">
      <c r="A336" s="828" t="s">
        <v>17030</v>
      </c>
      <c r="B336" s="3" t="s">
        <v>1121</v>
      </c>
      <c r="C336" s="1" t="s">
        <v>1130</v>
      </c>
      <c r="D336" s="5">
        <f t="shared" si="5"/>
        <v>58</v>
      </c>
      <c r="E336" s="2" t="s">
        <v>5</v>
      </c>
      <c r="F336" s="2" t="s">
        <v>15273</v>
      </c>
      <c r="G336" s="3" t="s">
        <v>1131</v>
      </c>
      <c r="H336" s="1"/>
      <c r="I336" s="1"/>
      <c r="J336" s="4" t="s">
        <v>16125</v>
      </c>
      <c r="K336" s="1"/>
      <c r="L336" s="1" t="s">
        <v>25</v>
      </c>
      <c r="M336" s="825">
        <v>3</v>
      </c>
      <c r="N336" s="17">
        <v>3</v>
      </c>
      <c r="O336" s="3" t="s">
        <v>83</v>
      </c>
      <c r="P336" s="20">
        <v>19786</v>
      </c>
      <c r="Q336" s="3" t="s">
        <v>1133</v>
      </c>
      <c r="R336" s="3" t="s">
        <v>4567</v>
      </c>
      <c r="S336" s="3" t="s">
        <v>5561</v>
      </c>
      <c r="T336" s="3"/>
      <c r="U336" s="2"/>
      <c r="V336" s="2"/>
      <c r="W336" s="2"/>
      <c r="X336" s="2"/>
      <c r="Y336" s="2"/>
      <c r="Z336" s="2"/>
      <c r="AA336" s="2"/>
      <c r="AB336" s="2"/>
      <c r="AC336" s="2"/>
      <c r="AD336" s="2"/>
    </row>
    <row r="337" spans="1:30" ht="12" customHeight="1">
      <c r="A337" s="828" t="s">
        <v>17031</v>
      </c>
      <c r="B337" s="3" t="s">
        <v>1122</v>
      </c>
      <c r="C337" s="1" t="s">
        <v>5981</v>
      </c>
      <c r="D337" s="5">
        <f t="shared" si="5"/>
        <v>51</v>
      </c>
      <c r="E337" s="2" t="s">
        <v>5</v>
      </c>
      <c r="F337" s="2" t="s">
        <v>15273</v>
      </c>
      <c r="G337" s="3"/>
      <c r="H337" s="1"/>
      <c r="I337" s="1"/>
      <c r="J337" s="4" t="s">
        <v>16116</v>
      </c>
      <c r="K337" s="1" t="s">
        <v>4997</v>
      </c>
      <c r="L337" s="1" t="s">
        <v>6</v>
      </c>
      <c r="M337" s="825"/>
      <c r="N337" s="17"/>
      <c r="O337" s="3" t="s">
        <v>317</v>
      </c>
      <c r="P337" s="20">
        <v>22393</v>
      </c>
      <c r="Q337" s="3" t="s">
        <v>16280</v>
      </c>
      <c r="R337" s="3"/>
      <c r="S337" s="3"/>
      <c r="T337" s="3"/>
      <c r="U337" s="2"/>
      <c r="V337" s="2"/>
      <c r="W337" s="2"/>
      <c r="X337" s="2"/>
      <c r="Y337" s="2"/>
      <c r="Z337" s="2"/>
      <c r="AA337" s="2"/>
      <c r="AB337" s="2"/>
      <c r="AC337" s="2"/>
      <c r="AD337" s="2"/>
    </row>
    <row r="338" spans="1:30" ht="12" customHeight="1">
      <c r="A338" s="828" t="s">
        <v>17032</v>
      </c>
      <c r="B338" s="3" t="s">
        <v>1123</v>
      </c>
      <c r="C338" s="1" t="s">
        <v>1128</v>
      </c>
      <c r="D338" s="5">
        <f t="shared" si="5"/>
        <v>45</v>
      </c>
      <c r="E338" s="2" t="s">
        <v>5</v>
      </c>
      <c r="F338" s="2" t="s">
        <v>15273</v>
      </c>
      <c r="G338" s="3"/>
      <c r="H338" s="1"/>
      <c r="I338" s="1"/>
      <c r="J338" s="4" t="s">
        <v>16128</v>
      </c>
      <c r="K338" s="1"/>
      <c r="L338" s="1" t="s">
        <v>6</v>
      </c>
      <c r="M338" s="825"/>
      <c r="N338" s="17"/>
      <c r="O338" s="3" t="s">
        <v>695</v>
      </c>
      <c r="P338" s="20">
        <v>24582</v>
      </c>
      <c r="Q338" s="3" t="s">
        <v>1129</v>
      </c>
      <c r="R338" s="3"/>
      <c r="S338" s="3"/>
      <c r="T338" s="3"/>
      <c r="U338" s="2"/>
      <c r="V338" s="2"/>
      <c r="W338" s="2"/>
      <c r="X338" s="2"/>
      <c r="Y338" s="2"/>
      <c r="Z338" s="2"/>
      <c r="AA338" s="2"/>
      <c r="AB338" s="2"/>
      <c r="AC338" s="2"/>
      <c r="AD338" s="2"/>
    </row>
    <row r="339" spans="1:30" ht="12" customHeight="1">
      <c r="A339" s="828" t="s">
        <v>17033</v>
      </c>
      <c r="B339" s="3" t="s">
        <v>5459</v>
      </c>
      <c r="C339" s="1" t="s">
        <v>5185</v>
      </c>
      <c r="D339" s="5">
        <f t="shared" si="5"/>
        <v>69</v>
      </c>
      <c r="E339" s="2" t="s">
        <v>5</v>
      </c>
      <c r="F339" s="2"/>
      <c r="G339" s="3"/>
      <c r="H339" s="1"/>
      <c r="I339" s="1"/>
      <c r="J339" s="4" t="s">
        <v>16117</v>
      </c>
      <c r="K339" s="1"/>
      <c r="L339" s="1" t="s">
        <v>6</v>
      </c>
      <c r="M339" s="825"/>
      <c r="N339" s="17"/>
      <c r="O339" s="3" t="s">
        <v>95</v>
      </c>
      <c r="P339" s="20">
        <v>15841</v>
      </c>
      <c r="Q339" s="3" t="s">
        <v>270</v>
      </c>
      <c r="R339" s="3"/>
      <c r="S339" s="3"/>
      <c r="T339" s="3"/>
      <c r="U339" s="2"/>
      <c r="V339" s="2"/>
      <c r="W339" s="2"/>
      <c r="X339" s="2"/>
      <c r="Y339" s="2"/>
      <c r="Z339" s="2"/>
      <c r="AA339" s="2"/>
      <c r="AB339" s="2"/>
      <c r="AC339" s="2"/>
      <c r="AD339" s="2"/>
    </row>
    <row r="340" spans="1:30" ht="12" customHeight="1">
      <c r="A340" s="828" t="s">
        <v>17034</v>
      </c>
      <c r="B340" s="3" t="s">
        <v>5980</v>
      </c>
      <c r="C340" s="1" t="s">
        <v>5460</v>
      </c>
      <c r="D340" s="5">
        <f t="shared" si="5"/>
        <v>73</v>
      </c>
      <c r="E340" s="2" t="s">
        <v>19</v>
      </c>
      <c r="F340" s="2" t="s">
        <v>15273</v>
      </c>
      <c r="G340" s="3"/>
      <c r="H340" s="1"/>
      <c r="I340" s="1"/>
      <c r="J340" s="8" t="s">
        <v>16121</v>
      </c>
      <c r="K340" s="1"/>
      <c r="L340" s="1" t="s">
        <v>6</v>
      </c>
      <c r="M340" s="825"/>
      <c r="N340" s="17"/>
      <c r="O340" s="3" t="s">
        <v>5461</v>
      </c>
      <c r="P340" s="20">
        <v>14523</v>
      </c>
      <c r="Q340" s="3" t="s">
        <v>5462</v>
      </c>
      <c r="R340" s="3"/>
      <c r="S340" s="3"/>
      <c r="T340" s="3" t="s">
        <v>148</v>
      </c>
      <c r="U340" s="2"/>
      <c r="V340" s="2" t="s">
        <v>145</v>
      </c>
      <c r="W340" s="2"/>
      <c r="X340" s="2"/>
      <c r="Y340" s="2"/>
      <c r="Z340" s="2"/>
      <c r="AA340" s="2"/>
      <c r="AB340" s="2"/>
      <c r="AC340" s="2"/>
      <c r="AD340" s="2" t="s">
        <v>69</v>
      </c>
    </row>
    <row r="341" spans="1:30" ht="12" customHeight="1">
      <c r="A341" s="828" t="s">
        <v>17035</v>
      </c>
      <c r="B341" s="3" t="s">
        <v>1134</v>
      </c>
      <c r="C341" s="1" t="s">
        <v>1138</v>
      </c>
      <c r="D341" s="5">
        <f t="shared" si="5"/>
        <v>69</v>
      </c>
      <c r="E341" s="2" t="s">
        <v>5</v>
      </c>
      <c r="F341" s="6" t="s">
        <v>15273</v>
      </c>
      <c r="G341" s="3" t="s">
        <v>1139</v>
      </c>
      <c r="H341" s="1"/>
      <c r="I341" s="1"/>
      <c r="J341" s="8" t="s">
        <v>16127</v>
      </c>
      <c r="K341" s="1" t="s">
        <v>604</v>
      </c>
      <c r="L341" s="1" t="s">
        <v>25</v>
      </c>
      <c r="M341" s="825">
        <v>4</v>
      </c>
      <c r="N341" s="17">
        <v>4</v>
      </c>
      <c r="O341" s="3" t="s">
        <v>188</v>
      </c>
      <c r="P341" s="20">
        <v>15957</v>
      </c>
      <c r="Q341" s="3" t="s">
        <v>1140</v>
      </c>
      <c r="R341" s="3" t="s">
        <v>1141</v>
      </c>
      <c r="S341" s="3" t="s">
        <v>736</v>
      </c>
      <c r="T341" s="3" t="s">
        <v>145</v>
      </c>
      <c r="U341" s="2"/>
      <c r="V341" s="2" t="s">
        <v>145</v>
      </c>
      <c r="W341" s="2"/>
      <c r="X341" s="2"/>
      <c r="Y341" s="2"/>
      <c r="Z341" s="2"/>
      <c r="AA341" s="2"/>
      <c r="AB341" s="2"/>
      <c r="AC341" s="2"/>
      <c r="AD341" s="2"/>
    </row>
    <row r="342" spans="1:30" ht="12" customHeight="1">
      <c r="A342" s="828" t="s">
        <v>17036</v>
      </c>
      <c r="B342" s="3" t="s">
        <v>1135</v>
      </c>
      <c r="C342" s="1" t="s">
        <v>1142</v>
      </c>
      <c r="D342" s="5">
        <f t="shared" si="5"/>
        <v>62</v>
      </c>
      <c r="E342" s="2" t="s">
        <v>5</v>
      </c>
      <c r="F342" s="2" t="s">
        <v>15273</v>
      </c>
      <c r="G342" s="3"/>
      <c r="H342" s="1"/>
      <c r="I342" s="1"/>
      <c r="J342" s="8" t="s">
        <v>16120</v>
      </c>
      <c r="K342" s="1" t="s">
        <v>13</v>
      </c>
      <c r="L342" s="1" t="s">
        <v>14</v>
      </c>
      <c r="M342" s="825">
        <v>4</v>
      </c>
      <c r="N342" s="17">
        <v>4</v>
      </c>
      <c r="O342" s="3" t="s">
        <v>557</v>
      </c>
      <c r="P342" s="20">
        <v>18252</v>
      </c>
      <c r="Q342" s="3" t="s">
        <v>1144</v>
      </c>
      <c r="R342" s="3" t="s">
        <v>1145</v>
      </c>
      <c r="S342" s="3" t="s">
        <v>5457</v>
      </c>
      <c r="T342" s="3" t="s">
        <v>145</v>
      </c>
      <c r="U342" s="2"/>
      <c r="V342" s="2" t="s">
        <v>145</v>
      </c>
      <c r="W342" s="2"/>
      <c r="X342" s="2"/>
      <c r="Y342" s="2"/>
      <c r="Z342" s="2"/>
      <c r="AA342" s="2"/>
      <c r="AB342" s="2"/>
      <c r="AC342" s="2"/>
      <c r="AD342" s="2"/>
    </row>
    <row r="343" spans="1:30" ht="12" customHeight="1">
      <c r="A343" s="828" t="s">
        <v>17037</v>
      </c>
      <c r="B343" s="3" t="s">
        <v>1136</v>
      </c>
      <c r="C343" s="1" t="s">
        <v>3993</v>
      </c>
      <c r="D343" s="5">
        <f t="shared" si="5"/>
        <v>53</v>
      </c>
      <c r="E343" s="2" t="s">
        <v>19</v>
      </c>
      <c r="F343" s="2" t="s">
        <v>15273</v>
      </c>
      <c r="G343" s="3" t="s">
        <v>3994</v>
      </c>
      <c r="H343" s="1" t="s">
        <v>373</v>
      </c>
      <c r="I343" s="1"/>
      <c r="J343" s="4" t="s">
        <v>16125</v>
      </c>
      <c r="K343" s="1"/>
      <c r="L343" s="1" t="s">
        <v>6</v>
      </c>
      <c r="M343" s="825"/>
      <c r="N343" s="17">
        <v>2</v>
      </c>
      <c r="O343" s="3" t="s">
        <v>3996</v>
      </c>
      <c r="P343" s="20">
        <v>21595</v>
      </c>
      <c r="Q343" s="3" t="s">
        <v>3997</v>
      </c>
      <c r="R343" s="3" t="s">
        <v>374</v>
      </c>
      <c r="S343" s="3" t="s">
        <v>5561</v>
      </c>
      <c r="T343" s="3" t="s">
        <v>375</v>
      </c>
      <c r="U343" s="2"/>
      <c r="V343" s="2" t="s">
        <v>145</v>
      </c>
      <c r="W343" s="2"/>
      <c r="X343" s="2" t="s">
        <v>229</v>
      </c>
      <c r="Y343" s="2"/>
      <c r="Z343" s="2"/>
      <c r="AA343" s="2"/>
      <c r="AB343" s="2"/>
      <c r="AC343" s="2"/>
      <c r="AD343" s="2"/>
    </row>
    <row r="344" spans="1:30" ht="12" customHeight="1">
      <c r="A344" s="828" t="s">
        <v>17038</v>
      </c>
      <c r="B344" s="3" t="s">
        <v>1137</v>
      </c>
      <c r="C344" s="1" t="s">
        <v>1149</v>
      </c>
      <c r="D344" s="5">
        <f t="shared" si="5"/>
        <v>41</v>
      </c>
      <c r="E344" s="2" t="s">
        <v>5</v>
      </c>
      <c r="F344" s="2" t="s">
        <v>15273</v>
      </c>
      <c r="G344" s="3"/>
      <c r="H344" s="1"/>
      <c r="I344" s="1"/>
      <c r="J344" s="4" t="s">
        <v>16128</v>
      </c>
      <c r="K344" s="1"/>
      <c r="L344" s="1" t="s">
        <v>6</v>
      </c>
      <c r="M344" s="825"/>
      <c r="N344" s="17"/>
      <c r="O344" s="3" t="s">
        <v>317</v>
      </c>
      <c r="P344" s="20">
        <v>26271</v>
      </c>
      <c r="Q344" s="3" t="s">
        <v>1150</v>
      </c>
      <c r="R344" s="3"/>
      <c r="S344" s="3" t="s">
        <v>6031</v>
      </c>
      <c r="T344" s="3" t="s">
        <v>85</v>
      </c>
      <c r="U344" s="2"/>
      <c r="V344" s="2"/>
      <c r="W344" s="2"/>
      <c r="X344" s="2"/>
      <c r="Y344" s="2"/>
      <c r="Z344" s="2" t="s">
        <v>85</v>
      </c>
      <c r="AA344" s="2"/>
      <c r="AB344" s="2"/>
      <c r="AC344" s="2"/>
      <c r="AD344" s="2"/>
    </row>
    <row r="345" spans="1:30" ht="12" customHeight="1">
      <c r="A345" s="828" t="s">
        <v>17039</v>
      </c>
      <c r="B345" s="3" t="s">
        <v>5537</v>
      </c>
      <c r="C345" s="1" t="s">
        <v>1146</v>
      </c>
      <c r="D345" s="5">
        <f t="shared" si="5"/>
        <v>62</v>
      </c>
      <c r="E345" s="2" t="s">
        <v>5</v>
      </c>
      <c r="F345" s="2"/>
      <c r="G345" s="3"/>
      <c r="H345" s="1"/>
      <c r="I345" s="1"/>
      <c r="J345" s="4" t="s">
        <v>16117</v>
      </c>
      <c r="K345" s="1"/>
      <c r="L345" s="1" t="s">
        <v>6</v>
      </c>
      <c r="M345" s="825"/>
      <c r="N345" s="17"/>
      <c r="O345" s="3" t="s">
        <v>1147</v>
      </c>
      <c r="P345" s="21">
        <v>18512</v>
      </c>
      <c r="Q345" s="3" t="s">
        <v>1148</v>
      </c>
      <c r="R345" s="3"/>
      <c r="S345" s="3"/>
      <c r="T345" s="3"/>
      <c r="U345" s="2"/>
      <c r="V345" s="2"/>
      <c r="W345" s="2"/>
      <c r="X345" s="2"/>
      <c r="Y345" s="2"/>
      <c r="Z345" s="2"/>
      <c r="AA345" s="2"/>
      <c r="AB345" s="2"/>
      <c r="AC345" s="2"/>
      <c r="AD345" s="2"/>
    </row>
    <row r="346" spans="1:30" ht="12" customHeight="1">
      <c r="A346" s="828" t="s">
        <v>17040</v>
      </c>
      <c r="B346" s="3" t="s">
        <v>1153</v>
      </c>
      <c r="C346" s="1" t="s">
        <v>1156</v>
      </c>
      <c r="D346" s="5">
        <f t="shared" si="5"/>
        <v>48</v>
      </c>
      <c r="E346" s="2" t="s">
        <v>5</v>
      </c>
      <c r="F346" s="6" t="s">
        <v>15273</v>
      </c>
      <c r="G346" s="3" t="s">
        <v>1157</v>
      </c>
      <c r="H346" s="1"/>
      <c r="I346" s="1"/>
      <c r="J346" s="8" t="s">
        <v>16127</v>
      </c>
      <c r="K346" s="1" t="s">
        <v>44</v>
      </c>
      <c r="L346" s="1" t="s">
        <v>25</v>
      </c>
      <c r="M346" s="825">
        <v>1</v>
      </c>
      <c r="N346" s="17">
        <v>1</v>
      </c>
      <c r="O346" s="3" t="s">
        <v>317</v>
      </c>
      <c r="P346" s="20">
        <v>23573</v>
      </c>
      <c r="Q346" s="3" t="s">
        <v>1159</v>
      </c>
      <c r="R346" s="3"/>
      <c r="S346" s="3" t="s">
        <v>736</v>
      </c>
      <c r="T346" s="3" t="s">
        <v>47</v>
      </c>
      <c r="U346" s="2" t="s">
        <v>47</v>
      </c>
      <c r="V346" s="2"/>
      <c r="W346" s="2"/>
      <c r="X346" s="2"/>
      <c r="Y346" s="2"/>
      <c r="Z346" s="2"/>
      <c r="AA346" s="2"/>
      <c r="AB346" s="2"/>
      <c r="AC346" s="2"/>
      <c r="AD346" s="2"/>
    </row>
    <row r="347" spans="1:30" ht="12" customHeight="1">
      <c r="A347" s="828" t="s">
        <v>17041</v>
      </c>
      <c r="B347" s="3" t="s">
        <v>1154</v>
      </c>
      <c r="C347" s="1" t="s">
        <v>1161</v>
      </c>
      <c r="D347" s="5">
        <f t="shared" si="5"/>
        <v>37</v>
      </c>
      <c r="E347" s="2" t="s">
        <v>5</v>
      </c>
      <c r="F347" s="2" t="s">
        <v>15273</v>
      </c>
      <c r="G347" s="3"/>
      <c r="H347" s="1"/>
      <c r="I347" s="1"/>
      <c r="J347" s="4" t="s">
        <v>16120</v>
      </c>
      <c r="K347" s="1" t="s">
        <v>30</v>
      </c>
      <c r="L347" s="1" t="s">
        <v>6</v>
      </c>
      <c r="M347" s="825"/>
      <c r="N347" s="17"/>
      <c r="O347" s="3" t="s">
        <v>1162</v>
      </c>
      <c r="P347" s="20">
        <v>27616</v>
      </c>
      <c r="Q347" s="3" t="s">
        <v>1163</v>
      </c>
      <c r="R347" s="3"/>
      <c r="S347" s="3" t="s">
        <v>5457</v>
      </c>
      <c r="T347" s="3" t="s">
        <v>145</v>
      </c>
      <c r="U347" s="2"/>
      <c r="V347" s="2" t="s">
        <v>145</v>
      </c>
      <c r="W347" s="2"/>
      <c r="X347" s="2"/>
      <c r="Y347" s="2"/>
      <c r="Z347" s="2"/>
      <c r="AA347" s="2"/>
      <c r="AB347" s="2"/>
      <c r="AC347" s="2"/>
      <c r="AD347" s="2"/>
    </row>
    <row r="348" spans="1:30" ht="12" customHeight="1">
      <c r="A348" s="828" t="s">
        <v>17042</v>
      </c>
      <c r="B348" s="3" t="s">
        <v>1155</v>
      </c>
      <c r="C348" s="1" t="s">
        <v>3194</v>
      </c>
      <c r="D348" s="5">
        <f t="shared" si="5"/>
        <v>41</v>
      </c>
      <c r="E348" s="2" t="s">
        <v>19</v>
      </c>
      <c r="F348" s="2" t="s">
        <v>15273</v>
      </c>
      <c r="G348" s="3"/>
      <c r="H348" s="1"/>
      <c r="I348" s="1"/>
      <c r="J348" s="4" t="s">
        <v>16125</v>
      </c>
      <c r="K348" s="1"/>
      <c r="L348" s="1" t="s">
        <v>14</v>
      </c>
      <c r="M348" s="825">
        <v>1</v>
      </c>
      <c r="N348" s="17">
        <v>1</v>
      </c>
      <c r="O348" s="3" t="s">
        <v>523</v>
      </c>
      <c r="P348" s="20">
        <v>26081</v>
      </c>
      <c r="Q348" s="3" t="s">
        <v>3195</v>
      </c>
      <c r="R348" s="3"/>
      <c r="S348" s="3" t="s">
        <v>5561</v>
      </c>
      <c r="T348" s="3"/>
      <c r="U348" s="2"/>
      <c r="V348" s="2"/>
      <c r="W348" s="2"/>
      <c r="X348" s="2"/>
      <c r="Y348" s="2"/>
      <c r="Z348" s="2"/>
      <c r="AA348" s="2"/>
      <c r="AB348" s="2"/>
      <c r="AC348" s="2"/>
      <c r="AD348" s="2"/>
    </row>
    <row r="349" spans="1:30" ht="12" customHeight="1">
      <c r="A349" s="828" t="s">
        <v>17043</v>
      </c>
      <c r="B349" s="3" t="s">
        <v>1165</v>
      </c>
      <c r="C349" s="1" t="s">
        <v>5006</v>
      </c>
      <c r="D349" s="5">
        <f t="shared" si="5"/>
        <v>37</v>
      </c>
      <c r="E349" s="2" t="s">
        <v>5</v>
      </c>
      <c r="F349" s="2" t="s">
        <v>15273</v>
      </c>
      <c r="G349" s="3"/>
      <c r="H349" s="1"/>
      <c r="I349" s="1"/>
      <c r="J349" s="4" t="s">
        <v>16116</v>
      </c>
      <c r="K349" s="1" t="s">
        <v>276</v>
      </c>
      <c r="L349" s="1" t="s">
        <v>6</v>
      </c>
      <c r="M349" s="825"/>
      <c r="N349" s="17"/>
      <c r="O349" s="3" t="s">
        <v>5007</v>
      </c>
      <c r="P349" s="21">
        <v>27643</v>
      </c>
      <c r="Q349" s="3" t="s">
        <v>5008</v>
      </c>
      <c r="R349" s="3"/>
      <c r="S349" s="3"/>
      <c r="T349" s="3" t="s">
        <v>145</v>
      </c>
      <c r="U349" s="2"/>
      <c r="V349" s="2" t="s">
        <v>145</v>
      </c>
      <c r="W349" s="2"/>
      <c r="X349" s="2"/>
      <c r="Y349" s="2"/>
      <c r="Z349" s="2"/>
      <c r="AA349" s="2"/>
      <c r="AB349" s="2"/>
      <c r="AC349" s="2"/>
      <c r="AD349" s="2"/>
    </row>
    <row r="350" spans="1:30" ht="12" customHeight="1">
      <c r="A350" s="828" t="s">
        <v>17044</v>
      </c>
      <c r="B350" s="3" t="s">
        <v>5005</v>
      </c>
      <c r="C350" s="1" t="s">
        <v>1166</v>
      </c>
      <c r="D350" s="5">
        <f t="shared" si="5"/>
        <v>44</v>
      </c>
      <c r="E350" s="2" t="s">
        <v>5</v>
      </c>
      <c r="F350" s="2"/>
      <c r="G350" s="3"/>
      <c r="H350" s="1"/>
      <c r="I350" s="1"/>
      <c r="J350" s="4" t="s">
        <v>16117</v>
      </c>
      <c r="K350" s="1"/>
      <c r="L350" s="1" t="s">
        <v>6</v>
      </c>
      <c r="M350" s="825"/>
      <c r="N350" s="17"/>
      <c r="O350" s="3" t="s">
        <v>1167</v>
      </c>
      <c r="P350" s="21">
        <v>24936</v>
      </c>
      <c r="Q350" s="3" t="s">
        <v>1168</v>
      </c>
      <c r="R350" s="3"/>
      <c r="S350" s="3"/>
      <c r="T350" s="3" t="s">
        <v>69</v>
      </c>
      <c r="U350" s="2"/>
      <c r="V350" s="2"/>
      <c r="W350" s="2"/>
      <c r="X350" s="2"/>
      <c r="Y350" s="2"/>
      <c r="Z350" s="2"/>
      <c r="AA350" s="2"/>
      <c r="AB350" s="2"/>
      <c r="AC350" s="2"/>
      <c r="AD350" s="2" t="s">
        <v>69</v>
      </c>
    </row>
    <row r="351" spans="1:30" ht="12" customHeight="1">
      <c r="A351" s="828" t="s">
        <v>17045</v>
      </c>
      <c r="B351" s="3" t="s">
        <v>5077</v>
      </c>
      <c r="C351" s="2" t="s">
        <v>1170</v>
      </c>
      <c r="D351" s="5">
        <f t="shared" si="5"/>
        <v>55</v>
      </c>
      <c r="E351" s="2" t="s">
        <v>5</v>
      </c>
      <c r="F351" s="2"/>
      <c r="G351" s="3"/>
      <c r="H351" s="1"/>
      <c r="I351" s="1"/>
      <c r="J351" s="4" t="s">
        <v>16129</v>
      </c>
      <c r="K351" s="1"/>
      <c r="L351" s="1" t="s">
        <v>14</v>
      </c>
      <c r="M351" s="825">
        <v>2</v>
      </c>
      <c r="N351" s="17">
        <v>2</v>
      </c>
      <c r="O351" s="3" t="s">
        <v>695</v>
      </c>
      <c r="P351" s="20">
        <v>21007</v>
      </c>
      <c r="Q351" s="3" t="s">
        <v>1171</v>
      </c>
      <c r="R351" s="3"/>
      <c r="S351" s="3"/>
      <c r="T351" s="3" t="s">
        <v>145</v>
      </c>
      <c r="U351" s="2"/>
      <c r="V351" s="2" t="s">
        <v>145</v>
      </c>
      <c r="W351" s="2"/>
      <c r="X351" s="2"/>
      <c r="Y351" s="2"/>
      <c r="Z351" s="2"/>
      <c r="AA351" s="2"/>
      <c r="AB351" s="2"/>
      <c r="AC351" s="2"/>
      <c r="AD351" s="2"/>
    </row>
    <row r="352" spans="1:30" ht="12" customHeight="1">
      <c r="A352" s="828" t="s">
        <v>17046</v>
      </c>
      <c r="B352" s="3" t="s">
        <v>1172</v>
      </c>
      <c r="C352" s="1" t="s">
        <v>1175</v>
      </c>
      <c r="D352" s="5">
        <f t="shared" si="5"/>
        <v>49</v>
      </c>
      <c r="E352" s="2" t="s">
        <v>5</v>
      </c>
      <c r="F352" s="6" t="s">
        <v>15273</v>
      </c>
      <c r="G352" s="3" t="s">
        <v>1176</v>
      </c>
      <c r="H352" s="1"/>
      <c r="I352" s="1"/>
      <c r="J352" s="8" t="s">
        <v>16126</v>
      </c>
      <c r="K352" s="1" t="s">
        <v>44</v>
      </c>
      <c r="L352" s="1" t="s">
        <v>25</v>
      </c>
      <c r="M352" s="825">
        <v>1</v>
      </c>
      <c r="N352" s="17">
        <v>1</v>
      </c>
      <c r="O352" s="3" t="s">
        <v>188</v>
      </c>
      <c r="P352" s="20">
        <v>23028</v>
      </c>
      <c r="Q352" s="3" t="s">
        <v>1180</v>
      </c>
      <c r="R352" s="3"/>
      <c r="S352" s="3"/>
      <c r="T352" s="3" t="s">
        <v>636</v>
      </c>
      <c r="U352" s="2"/>
      <c r="V352" s="2" t="s">
        <v>145</v>
      </c>
      <c r="W352" s="2"/>
      <c r="X352" s="2"/>
      <c r="Y352" s="2"/>
      <c r="Z352" s="2"/>
      <c r="AA352" s="2" t="s">
        <v>104</v>
      </c>
      <c r="AB352" s="2"/>
      <c r="AC352" s="2" t="s">
        <v>146</v>
      </c>
      <c r="AD352" s="2"/>
    </row>
    <row r="353" spans="1:30" ht="12" customHeight="1">
      <c r="A353" s="828" t="s">
        <v>17047</v>
      </c>
      <c r="B353" s="3" t="s">
        <v>1173</v>
      </c>
      <c r="C353" s="1" t="s">
        <v>1181</v>
      </c>
      <c r="D353" s="5">
        <f t="shared" si="5"/>
        <v>65</v>
      </c>
      <c r="E353" s="2" t="s">
        <v>5</v>
      </c>
      <c r="F353" s="2" t="s">
        <v>15273</v>
      </c>
      <c r="G353" s="3" t="s">
        <v>1183</v>
      </c>
      <c r="H353" s="1"/>
      <c r="I353" s="1"/>
      <c r="J353" s="4" t="s">
        <v>16120</v>
      </c>
      <c r="K353" s="1" t="s">
        <v>934</v>
      </c>
      <c r="L353" s="1" t="s">
        <v>25</v>
      </c>
      <c r="M353" s="825">
        <v>6</v>
      </c>
      <c r="N353" s="17">
        <v>6</v>
      </c>
      <c r="O353" s="3" t="s">
        <v>172</v>
      </c>
      <c r="P353" s="20">
        <v>17170</v>
      </c>
      <c r="Q353" s="3" t="s">
        <v>1184</v>
      </c>
      <c r="R353" s="3" t="s">
        <v>1186</v>
      </c>
      <c r="S353" s="3" t="s">
        <v>5457</v>
      </c>
      <c r="T353" s="3" t="s">
        <v>572</v>
      </c>
      <c r="U353" s="2"/>
      <c r="V353" s="2" t="s">
        <v>145</v>
      </c>
      <c r="W353" s="2"/>
      <c r="X353" s="2"/>
      <c r="Y353" s="2"/>
      <c r="Z353" s="2"/>
      <c r="AA353" s="2" t="s">
        <v>104</v>
      </c>
      <c r="AB353" s="2"/>
      <c r="AC353" s="2"/>
      <c r="AD353" s="2"/>
    </row>
    <row r="354" spans="1:30" ht="12" customHeight="1">
      <c r="A354" s="828" t="s">
        <v>17048</v>
      </c>
      <c r="B354" s="3" t="s">
        <v>1174</v>
      </c>
      <c r="C354" s="1" t="s">
        <v>5186</v>
      </c>
      <c r="D354" s="5">
        <f t="shared" si="5"/>
        <v>58</v>
      </c>
      <c r="E354" s="2" t="s">
        <v>5</v>
      </c>
      <c r="F354" s="2"/>
      <c r="G354" s="3"/>
      <c r="H354" s="1"/>
      <c r="I354" s="1"/>
      <c r="J354" s="4" t="s">
        <v>16117</v>
      </c>
      <c r="K354" s="1"/>
      <c r="L354" s="1" t="s">
        <v>6</v>
      </c>
      <c r="M354" s="825"/>
      <c r="N354" s="17"/>
      <c r="O354" s="3" t="s">
        <v>5187</v>
      </c>
      <c r="P354" s="21">
        <v>19762</v>
      </c>
      <c r="Q354" s="3" t="s">
        <v>1148</v>
      </c>
      <c r="R354" s="3"/>
      <c r="S354" s="3"/>
      <c r="T354" s="3"/>
      <c r="U354" s="2"/>
      <c r="V354" s="2"/>
      <c r="W354" s="2"/>
      <c r="X354" s="2"/>
      <c r="Y354" s="2"/>
      <c r="Z354" s="2"/>
      <c r="AA354" s="2"/>
      <c r="AB354" s="2"/>
      <c r="AC354" s="2"/>
      <c r="AD354" s="2"/>
    </row>
    <row r="355" spans="1:30" ht="12" customHeight="1">
      <c r="A355" s="828" t="s">
        <v>17049</v>
      </c>
      <c r="B355" s="3" t="s">
        <v>5820</v>
      </c>
      <c r="C355" s="1" t="s">
        <v>5821</v>
      </c>
      <c r="D355" s="5">
        <f t="shared" si="5"/>
        <v>59</v>
      </c>
      <c r="E355" s="2" t="s">
        <v>19</v>
      </c>
      <c r="F355" s="2"/>
      <c r="G355" s="3"/>
      <c r="H355" s="1"/>
      <c r="I355" s="1"/>
      <c r="J355" s="4" t="s">
        <v>16122</v>
      </c>
      <c r="K355" s="1" t="s">
        <v>15981</v>
      </c>
      <c r="L355" s="1" t="s">
        <v>6</v>
      </c>
      <c r="M355" s="825"/>
      <c r="N355" s="17"/>
      <c r="O355" s="3" t="s">
        <v>5822</v>
      </c>
      <c r="P355" s="21">
        <v>19425</v>
      </c>
      <c r="Q355" s="3" t="s">
        <v>15982</v>
      </c>
      <c r="R355" s="3"/>
      <c r="S355" s="3"/>
      <c r="T355" s="3" t="s">
        <v>85</v>
      </c>
      <c r="U355" s="2"/>
      <c r="V355" s="2"/>
      <c r="W355" s="2"/>
      <c r="X355" s="2"/>
      <c r="Y355" s="2"/>
      <c r="Z355" s="2" t="s">
        <v>85</v>
      </c>
      <c r="AA355" s="2"/>
      <c r="AB355" s="2"/>
      <c r="AC355" s="2"/>
      <c r="AD355" s="2"/>
    </row>
    <row r="356" spans="1:30" ht="12" customHeight="1">
      <c r="A356" s="828" t="s">
        <v>17050</v>
      </c>
      <c r="B356" s="3" t="s">
        <v>1187</v>
      </c>
      <c r="C356" s="1" t="s">
        <v>1190</v>
      </c>
      <c r="D356" s="5">
        <f t="shared" si="5"/>
        <v>64</v>
      </c>
      <c r="E356" s="2" t="s">
        <v>5</v>
      </c>
      <c r="F356" s="2" t="s">
        <v>15273</v>
      </c>
      <c r="G356" s="3" t="s">
        <v>1191</v>
      </c>
      <c r="H356" s="1"/>
      <c r="I356" s="1"/>
      <c r="J356" s="8" t="s">
        <v>16120</v>
      </c>
      <c r="K356" s="1" t="s">
        <v>445</v>
      </c>
      <c r="L356" s="1" t="s">
        <v>25</v>
      </c>
      <c r="M356" s="825">
        <v>7</v>
      </c>
      <c r="N356" s="17">
        <v>7</v>
      </c>
      <c r="O356" s="3" t="s">
        <v>77</v>
      </c>
      <c r="P356" s="20">
        <v>17776</v>
      </c>
      <c r="Q356" s="3" t="s">
        <v>1193</v>
      </c>
      <c r="R356" s="3" t="s">
        <v>1194</v>
      </c>
      <c r="S356" s="3" t="s">
        <v>5457</v>
      </c>
      <c r="T356" s="3" t="s">
        <v>104</v>
      </c>
      <c r="U356" s="2"/>
      <c r="V356" s="2"/>
      <c r="W356" s="2"/>
      <c r="X356" s="2"/>
      <c r="Y356" s="2"/>
      <c r="Z356" s="2"/>
      <c r="AA356" s="2" t="s">
        <v>104</v>
      </c>
      <c r="AB356" s="2"/>
      <c r="AC356" s="2"/>
      <c r="AD356" s="2"/>
    </row>
    <row r="357" spans="1:30" ht="12" customHeight="1">
      <c r="A357" s="828" t="s">
        <v>17051</v>
      </c>
      <c r="B357" s="3" t="s">
        <v>1188</v>
      </c>
      <c r="C357" s="1" t="s">
        <v>1195</v>
      </c>
      <c r="D357" s="5">
        <f t="shared" si="5"/>
        <v>55</v>
      </c>
      <c r="E357" s="2" t="s">
        <v>5</v>
      </c>
      <c r="F357" s="2" t="s">
        <v>15273</v>
      </c>
      <c r="G357" s="3" t="s">
        <v>1196</v>
      </c>
      <c r="H357" s="1"/>
      <c r="I357" s="1"/>
      <c r="J357" s="4" t="s">
        <v>16125</v>
      </c>
      <c r="K357" s="1"/>
      <c r="L357" s="1" t="s">
        <v>25</v>
      </c>
      <c r="M357" s="825">
        <v>1</v>
      </c>
      <c r="N357" s="17">
        <v>1</v>
      </c>
      <c r="O357" s="3" t="s">
        <v>1197</v>
      </c>
      <c r="P357" s="20">
        <v>21126</v>
      </c>
      <c r="Q357" s="3" t="s">
        <v>1198</v>
      </c>
      <c r="R357" s="3"/>
      <c r="S357" s="3" t="s">
        <v>5561</v>
      </c>
      <c r="T357" s="3" t="s">
        <v>145</v>
      </c>
      <c r="U357" s="2"/>
      <c r="V357" s="2" t="s">
        <v>145</v>
      </c>
      <c r="W357" s="2"/>
      <c r="X357" s="2"/>
      <c r="Y357" s="2"/>
      <c r="Z357" s="2"/>
      <c r="AA357" s="2"/>
      <c r="AB357" s="2"/>
      <c r="AC357" s="2"/>
      <c r="AD357" s="2"/>
    </row>
    <row r="358" spans="1:30" ht="12" customHeight="1">
      <c r="A358" s="828" t="s">
        <v>17052</v>
      </c>
      <c r="B358" s="3" t="s">
        <v>1189</v>
      </c>
      <c r="C358" s="1" t="s">
        <v>1199</v>
      </c>
      <c r="D358" s="5">
        <f t="shared" si="5"/>
        <v>55</v>
      </c>
      <c r="E358" s="2" t="s">
        <v>5</v>
      </c>
      <c r="F358" s="2"/>
      <c r="G358" s="3"/>
      <c r="H358" s="1"/>
      <c r="I358" s="1"/>
      <c r="J358" s="4" t="s">
        <v>16117</v>
      </c>
      <c r="K358" s="1"/>
      <c r="L358" s="1" t="s">
        <v>6</v>
      </c>
      <c r="M358" s="825"/>
      <c r="N358" s="17"/>
      <c r="O358" s="3" t="s">
        <v>1200</v>
      </c>
      <c r="P358" s="21">
        <v>20970</v>
      </c>
      <c r="Q358" s="3" t="s">
        <v>53</v>
      </c>
      <c r="R358" s="3"/>
      <c r="S358" s="3"/>
      <c r="T358" s="3"/>
      <c r="U358" s="2"/>
      <c r="V358" s="2"/>
      <c r="W358" s="2"/>
      <c r="X358" s="2"/>
      <c r="Y358" s="2"/>
      <c r="Z358" s="2"/>
      <c r="AA358" s="2"/>
      <c r="AB358" s="2"/>
      <c r="AC358" s="2"/>
      <c r="AD358" s="2"/>
    </row>
    <row r="359" spans="1:30" ht="12" customHeight="1">
      <c r="A359" s="828" t="s">
        <v>17053</v>
      </c>
      <c r="B359" s="3" t="s">
        <v>1202</v>
      </c>
      <c r="C359" s="1" t="s">
        <v>1205</v>
      </c>
      <c r="D359" s="5">
        <f t="shared" si="5"/>
        <v>57</v>
      </c>
      <c r="E359" s="2" t="s">
        <v>5</v>
      </c>
      <c r="F359" s="2" t="s">
        <v>15273</v>
      </c>
      <c r="G359" s="3" t="s">
        <v>1206</v>
      </c>
      <c r="H359" s="1"/>
      <c r="I359" s="1"/>
      <c r="J359" s="4" t="s">
        <v>16120</v>
      </c>
      <c r="K359" s="1" t="s">
        <v>30</v>
      </c>
      <c r="L359" s="1" t="s">
        <v>25</v>
      </c>
      <c r="M359" s="825">
        <v>6</v>
      </c>
      <c r="N359" s="17">
        <v>6</v>
      </c>
      <c r="O359" s="3" t="s">
        <v>83</v>
      </c>
      <c r="P359" s="20">
        <v>20383</v>
      </c>
      <c r="Q359" s="3" t="s">
        <v>1208</v>
      </c>
      <c r="R359" s="3" t="s">
        <v>1209</v>
      </c>
      <c r="S359" s="3" t="s">
        <v>5457</v>
      </c>
      <c r="T359" s="3" t="s">
        <v>104</v>
      </c>
      <c r="U359" s="2"/>
      <c r="V359" s="2"/>
      <c r="W359" s="2"/>
      <c r="X359" s="2"/>
      <c r="Y359" s="2"/>
      <c r="Z359" s="2"/>
      <c r="AA359" s="2" t="s">
        <v>104</v>
      </c>
      <c r="AB359" s="2"/>
      <c r="AC359" s="2"/>
      <c r="AD359" s="2"/>
    </row>
    <row r="360" spans="1:30" ht="12" customHeight="1">
      <c r="A360" s="828" t="s">
        <v>17054</v>
      </c>
      <c r="B360" s="3" t="s">
        <v>1203</v>
      </c>
      <c r="C360" s="1" t="s">
        <v>1210</v>
      </c>
      <c r="D360" s="5">
        <f t="shared" si="5"/>
        <v>42</v>
      </c>
      <c r="E360" s="2" t="s">
        <v>5</v>
      </c>
      <c r="F360" s="2" t="s">
        <v>15273</v>
      </c>
      <c r="G360" s="3" t="s">
        <v>1211</v>
      </c>
      <c r="H360" s="1"/>
      <c r="I360" s="1"/>
      <c r="J360" s="4" t="s">
        <v>16125</v>
      </c>
      <c r="K360" s="1"/>
      <c r="L360" s="1" t="s">
        <v>25</v>
      </c>
      <c r="M360" s="825">
        <v>1</v>
      </c>
      <c r="N360" s="17">
        <v>1</v>
      </c>
      <c r="O360" s="3" t="s">
        <v>462</v>
      </c>
      <c r="P360" s="20">
        <v>25580</v>
      </c>
      <c r="Q360" s="3" t="s">
        <v>1213</v>
      </c>
      <c r="R360" s="3"/>
      <c r="S360" s="3" t="s">
        <v>5561</v>
      </c>
      <c r="T360" s="3"/>
      <c r="U360" s="2"/>
      <c r="V360" s="2"/>
      <c r="W360" s="2"/>
      <c r="X360" s="2"/>
      <c r="Y360" s="2"/>
      <c r="Z360" s="2"/>
      <c r="AA360" s="2"/>
      <c r="AB360" s="2"/>
      <c r="AC360" s="2"/>
      <c r="AD360" s="2"/>
    </row>
    <row r="361" spans="1:30" ht="12" customHeight="1">
      <c r="A361" s="828" t="s">
        <v>17055</v>
      </c>
      <c r="B361" s="3" t="s">
        <v>1204</v>
      </c>
      <c r="C361" s="1" t="s">
        <v>5188</v>
      </c>
      <c r="D361" s="5">
        <f t="shared" si="5"/>
        <v>61</v>
      </c>
      <c r="E361" s="2" t="s">
        <v>5</v>
      </c>
      <c r="F361" s="2"/>
      <c r="G361" s="3"/>
      <c r="H361" s="1"/>
      <c r="I361" s="1"/>
      <c r="J361" s="4" t="s">
        <v>16117</v>
      </c>
      <c r="K361" s="1"/>
      <c r="L361" s="1" t="s">
        <v>6</v>
      </c>
      <c r="M361" s="825"/>
      <c r="N361" s="17"/>
      <c r="O361" s="3" t="s">
        <v>5189</v>
      </c>
      <c r="P361" s="21">
        <v>18752</v>
      </c>
      <c r="Q361" s="3" t="s">
        <v>53</v>
      </c>
      <c r="R361" s="3"/>
      <c r="S361" s="3"/>
      <c r="T361" s="3"/>
      <c r="U361" s="2"/>
      <c r="V361" s="2"/>
      <c r="W361" s="2"/>
      <c r="X361" s="2"/>
      <c r="Y361" s="2"/>
      <c r="Z361" s="2"/>
      <c r="AA361" s="2"/>
      <c r="AB361" s="2"/>
      <c r="AC361" s="2"/>
      <c r="AD361" s="2"/>
    </row>
    <row r="362" spans="1:30" ht="12" customHeight="1">
      <c r="A362" s="828" t="s">
        <v>17056</v>
      </c>
      <c r="B362" s="3" t="s">
        <v>1214</v>
      </c>
      <c r="C362" s="1" t="s">
        <v>1218</v>
      </c>
      <c r="D362" s="5">
        <f t="shared" si="5"/>
        <v>66</v>
      </c>
      <c r="E362" s="2" t="s">
        <v>5</v>
      </c>
      <c r="F362" s="6" t="s">
        <v>15273</v>
      </c>
      <c r="G362" s="3" t="s">
        <v>1219</v>
      </c>
      <c r="H362" s="1"/>
      <c r="I362" s="1"/>
      <c r="J362" s="8" t="s">
        <v>16127</v>
      </c>
      <c r="K362" s="1" t="s">
        <v>44</v>
      </c>
      <c r="L362" s="1" t="s">
        <v>25</v>
      </c>
      <c r="M362" s="825">
        <v>2</v>
      </c>
      <c r="N362" s="17">
        <v>2</v>
      </c>
      <c r="O362" s="3" t="s">
        <v>317</v>
      </c>
      <c r="P362" s="20">
        <v>16862</v>
      </c>
      <c r="Q362" s="3" t="s">
        <v>1220</v>
      </c>
      <c r="R362" s="3" t="s">
        <v>836</v>
      </c>
      <c r="S362" s="3" t="s">
        <v>736</v>
      </c>
      <c r="T362" s="3"/>
      <c r="U362" s="2"/>
      <c r="V362" s="2"/>
      <c r="W362" s="2"/>
      <c r="X362" s="2"/>
      <c r="Y362" s="2"/>
      <c r="Z362" s="2"/>
      <c r="AA362" s="2"/>
      <c r="AB362" s="2"/>
      <c r="AC362" s="2"/>
      <c r="AD362" s="2"/>
    </row>
    <row r="363" spans="1:30" ht="12" customHeight="1">
      <c r="A363" s="828" t="s">
        <v>17057</v>
      </c>
      <c r="B363" s="3" t="s">
        <v>1215</v>
      </c>
      <c r="C363" s="1" t="s">
        <v>1222</v>
      </c>
      <c r="D363" s="5">
        <f t="shared" si="5"/>
        <v>37</v>
      </c>
      <c r="E363" s="2" t="s">
        <v>5</v>
      </c>
      <c r="F363" s="2" t="s">
        <v>15273</v>
      </c>
      <c r="G363" s="3"/>
      <c r="H363" s="1"/>
      <c r="I363" s="1"/>
      <c r="J363" s="4" t="s">
        <v>16120</v>
      </c>
      <c r="K363" s="1" t="s">
        <v>30</v>
      </c>
      <c r="L363" s="1" t="s">
        <v>6</v>
      </c>
      <c r="M363" s="825"/>
      <c r="N363" s="17"/>
      <c r="O363" s="3" t="s">
        <v>1223</v>
      </c>
      <c r="P363" s="20">
        <v>27469</v>
      </c>
      <c r="Q363" s="3" t="s">
        <v>1224</v>
      </c>
      <c r="R363" s="3"/>
      <c r="S363" s="3" t="s">
        <v>5457</v>
      </c>
      <c r="T363" s="3"/>
      <c r="U363" s="2"/>
      <c r="V363" s="2"/>
      <c r="W363" s="2"/>
      <c r="X363" s="2"/>
      <c r="Y363" s="2"/>
      <c r="Z363" s="2"/>
      <c r="AA363" s="2"/>
      <c r="AB363" s="2"/>
      <c r="AC363" s="2"/>
      <c r="AD363" s="2"/>
    </row>
    <row r="364" spans="1:30" ht="12" customHeight="1">
      <c r="A364" s="828" t="s">
        <v>17058</v>
      </c>
      <c r="B364" s="3" t="s">
        <v>1216</v>
      </c>
      <c r="C364" s="1" t="s">
        <v>5514</v>
      </c>
      <c r="D364" s="5">
        <f t="shared" si="5"/>
        <v>46</v>
      </c>
      <c r="E364" s="2" t="s">
        <v>5</v>
      </c>
      <c r="F364" s="2" t="s">
        <v>15273</v>
      </c>
      <c r="G364" s="3"/>
      <c r="H364" s="1"/>
      <c r="I364" s="1"/>
      <c r="J364" s="4" t="s">
        <v>16116</v>
      </c>
      <c r="K364" s="1" t="s">
        <v>4997</v>
      </c>
      <c r="L364" s="1" t="s">
        <v>6</v>
      </c>
      <c r="M364" s="825"/>
      <c r="N364" s="17"/>
      <c r="O364" s="3" t="s">
        <v>983</v>
      </c>
      <c r="P364" s="21">
        <v>24292</v>
      </c>
      <c r="Q364" s="3" t="s">
        <v>6160</v>
      </c>
      <c r="R364" s="3"/>
      <c r="S364" s="3" t="s">
        <v>469</v>
      </c>
      <c r="T364" s="3"/>
      <c r="U364" s="2"/>
      <c r="V364" s="2"/>
      <c r="W364" s="2"/>
      <c r="X364" s="2"/>
      <c r="Y364" s="2"/>
      <c r="Z364" s="2"/>
      <c r="AA364" s="2"/>
      <c r="AB364" s="2"/>
      <c r="AC364" s="2"/>
      <c r="AD364" s="2"/>
    </row>
    <row r="365" spans="1:30" ht="12" customHeight="1">
      <c r="A365" s="828" t="s">
        <v>17059</v>
      </c>
      <c r="B365" s="3" t="s">
        <v>1217</v>
      </c>
      <c r="C365" s="1" t="s">
        <v>5190</v>
      </c>
      <c r="D365" s="5">
        <f t="shared" si="5"/>
        <v>67</v>
      </c>
      <c r="E365" s="2" t="s">
        <v>5</v>
      </c>
      <c r="F365" s="2"/>
      <c r="G365" s="3"/>
      <c r="H365" s="1"/>
      <c r="I365" s="1"/>
      <c r="J365" s="4" t="s">
        <v>16117</v>
      </c>
      <c r="K365" s="1"/>
      <c r="L365" s="1" t="s">
        <v>6</v>
      </c>
      <c r="M365" s="825"/>
      <c r="N365" s="17"/>
      <c r="O365" s="3" t="s">
        <v>5191</v>
      </c>
      <c r="P365" s="21">
        <v>16602</v>
      </c>
      <c r="Q365" s="3" t="s">
        <v>5192</v>
      </c>
      <c r="R365" s="3"/>
      <c r="S365" s="3"/>
      <c r="T365" s="3"/>
      <c r="U365" s="2"/>
      <c r="V365" s="2"/>
      <c r="W365" s="2"/>
      <c r="X365" s="2"/>
      <c r="Y365" s="2"/>
      <c r="Z365" s="2"/>
      <c r="AA365" s="2"/>
      <c r="AB365" s="2"/>
      <c r="AC365" s="2"/>
      <c r="AD365" s="2"/>
    </row>
    <row r="366" spans="1:30" ht="12" customHeight="1">
      <c r="A366" s="828" t="s">
        <v>17060</v>
      </c>
      <c r="B366" s="3" t="s">
        <v>5513</v>
      </c>
      <c r="C366" s="1" t="s">
        <v>1225</v>
      </c>
      <c r="D366" s="5">
        <f t="shared" si="5"/>
        <v>30</v>
      </c>
      <c r="E366" s="2" t="s">
        <v>5</v>
      </c>
      <c r="F366" s="2"/>
      <c r="G366" s="3"/>
      <c r="H366" s="1"/>
      <c r="I366" s="1"/>
      <c r="J366" s="4" t="s">
        <v>16122</v>
      </c>
      <c r="K366" s="1" t="s">
        <v>22</v>
      </c>
      <c r="L366" s="1" t="s">
        <v>6</v>
      </c>
      <c r="M366" s="825"/>
      <c r="N366" s="17"/>
      <c r="O366" s="3" t="s">
        <v>172</v>
      </c>
      <c r="P366" s="20">
        <v>30119</v>
      </c>
      <c r="Q366" s="3" t="s">
        <v>1787</v>
      </c>
      <c r="R366" s="3"/>
      <c r="S366" s="3"/>
      <c r="T366" s="3"/>
      <c r="U366" s="2"/>
      <c r="V366" s="2"/>
      <c r="W366" s="2"/>
      <c r="X366" s="2"/>
      <c r="Y366" s="2"/>
      <c r="Z366" s="2"/>
      <c r="AA366" s="2"/>
      <c r="AB366" s="2"/>
      <c r="AC366" s="2"/>
      <c r="AD366" s="2"/>
    </row>
    <row r="367" spans="1:30" ht="12" customHeight="1">
      <c r="A367" s="828" t="s">
        <v>17061</v>
      </c>
      <c r="B367" s="3" t="s">
        <v>1226</v>
      </c>
      <c r="C367" s="1" t="s">
        <v>1230</v>
      </c>
      <c r="D367" s="5">
        <f t="shared" si="5"/>
        <v>52</v>
      </c>
      <c r="E367" s="2" t="s">
        <v>19</v>
      </c>
      <c r="F367" s="6" t="s">
        <v>15273</v>
      </c>
      <c r="G367" s="3" t="s">
        <v>1231</v>
      </c>
      <c r="H367" s="1"/>
      <c r="I367" s="1"/>
      <c r="J367" s="8" t="s">
        <v>16127</v>
      </c>
      <c r="K367" s="1" t="s">
        <v>44</v>
      </c>
      <c r="L367" s="1" t="s">
        <v>25</v>
      </c>
      <c r="M367" s="825">
        <v>1</v>
      </c>
      <c r="N367" s="17">
        <v>1</v>
      </c>
      <c r="O367" s="3" t="s">
        <v>1232</v>
      </c>
      <c r="P367" s="20">
        <v>22183</v>
      </c>
      <c r="Q367" s="3" t="s">
        <v>1239</v>
      </c>
      <c r="R367" s="3"/>
      <c r="S367" s="3" t="s">
        <v>736</v>
      </c>
      <c r="T367" s="3" t="s">
        <v>155</v>
      </c>
      <c r="U367" s="2"/>
      <c r="V367" s="2"/>
      <c r="W367" s="2"/>
      <c r="X367" s="2"/>
      <c r="Y367" s="2" t="s">
        <v>155</v>
      </c>
      <c r="Z367" s="2"/>
      <c r="AA367" s="2"/>
      <c r="AB367" s="2"/>
      <c r="AC367" s="2"/>
      <c r="AD367" s="2"/>
    </row>
    <row r="368" spans="1:30" ht="12" customHeight="1">
      <c r="A368" s="828" t="s">
        <v>17062</v>
      </c>
      <c r="B368" s="3" t="s">
        <v>1227</v>
      </c>
      <c r="C368" s="1" t="s">
        <v>1233</v>
      </c>
      <c r="D368" s="5">
        <f t="shared" si="5"/>
        <v>62</v>
      </c>
      <c r="E368" s="2" t="s">
        <v>5</v>
      </c>
      <c r="F368" s="2" t="s">
        <v>15273</v>
      </c>
      <c r="G368" s="3" t="s">
        <v>1234</v>
      </c>
      <c r="H368" s="1"/>
      <c r="I368" s="1"/>
      <c r="J368" s="8" t="s">
        <v>16120</v>
      </c>
      <c r="K368" s="1" t="s">
        <v>445</v>
      </c>
      <c r="L368" s="1" t="s">
        <v>25</v>
      </c>
      <c r="M368" s="825">
        <v>4</v>
      </c>
      <c r="N368" s="17">
        <v>4</v>
      </c>
      <c r="O368" s="3" t="s">
        <v>1235</v>
      </c>
      <c r="P368" s="20">
        <v>18364</v>
      </c>
      <c r="Q368" s="3" t="s">
        <v>1236</v>
      </c>
      <c r="R368" s="3" t="s">
        <v>1237</v>
      </c>
      <c r="S368" s="3" t="s">
        <v>5457</v>
      </c>
      <c r="T368" s="3" t="s">
        <v>145</v>
      </c>
      <c r="U368" s="2"/>
      <c r="V368" s="2" t="s">
        <v>145</v>
      </c>
      <c r="W368" s="2"/>
      <c r="X368" s="2"/>
      <c r="Y368" s="2"/>
      <c r="Z368" s="2"/>
      <c r="AA368" s="2"/>
      <c r="AB368" s="2"/>
      <c r="AC368" s="2"/>
      <c r="AD368" s="2"/>
    </row>
    <row r="369" spans="1:30" ht="12" customHeight="1">
      <c r="A369" s="828" t="s">
        <v>17063</v>
      </c>
      <c r="B369" s="3" t="s">
        <v>1228</v>
      </c>
      <c r="C369" s="1" t="s">
        <v>5364</v>
      </c>
      <c r="D369" s="5">
        <f t="shared" si="5"/>
        <v>52</v>
      </c>
      <c r="E369" s="2" t="s">
        <v>5</v>
      </c>
      <c r="F369" s="2" t="s">
        <v>15273</v>
      </c>
      <c r="G369" s="3"/>
      <c r="H369" s="1"/>
      <c r="I369" s="1"/>
      <c r="J369" s="4" t="s">
        <v>16116</v>
      </c>
      <c r="K369" s="1" t="s">
        <v>4997</v>
      </c>
      <c r="L369" s="1" t="s">
        <v>6</v>
      </c>
      <c r="M369" s="825"/>
      <c r="N369" s="17"/>
      <c r="O369" s="3" t="s">
        <v>317</v>
      </c>
      <c r="P369" s="20">
        <v>22062</v>
      </c>
      <c r="Q369" s="3" t="s">
        <v>16281</v>
      </c>
      <c r="R369" s="3"/>
      <c r="S369" s="3"/>
      <c r="T369" s="3" t="s">
        <v>47</v>
      </c>
      <c r="U369" s="2" t="s">
        <v>47</v>
      </c>
      <c r="V369" s="2"/>
      <c r="W369" s="2"/>
      <c r="X369" s="2"/>
      <c r="Y369" s="2"/>
      <c r="Z369" s="2"/>
      <c r="AA369" s="2"/>
      <c r="AB369" s="2"/>
      <c r="AC369" s="2"/>
      <c r="AD369" s="2"/>
    </row>
    <row r="370" spans="1:30" ht="12" customHeight="1">
      <c r="A370" s="828" t="s">
        <v>17064</v>
      </c>
      <c r="B370" s="3" t="s">
        <v>1229</v>
      </c>
      <c r="C370" s="1" t="s">
        <v>1242</v>
      </c>
      <c r="D370" s="5">
        <f t="shared" si="5"/>
        <v>39</v>
      </c>
      <c r="E370" s="2" t="s">
        <v>5</v>
      </c>
      <c r="F370" s="2" t="s">
        <v>15273</v>
      </c>
      <c r="G370" s="3"/>
      <c r="H370" s="1"/>
      <c r="I370" s="1"/>
      <c r="J370" s="4" t="s">
        <v>16128</v>
      </c>
      <c r="K370" s="1"/>
      <c r="L370" s="1" t="s">
        <v>6</v>
      </c>
      <c r="M370" s="825"/>
      <c r="N370" s="17"/>
      <c r="O370" s="3" t="s">
        <v>462</v>
      </c>
      <c r="P370" s="20">
        <v>26745</v>
      </c>
      <c r="Q370" s="3" t="s">
        <v>1243</v>
      </c>
      <c r="R370" s="3"/>
      <c r="S370" s="3"/>
      <c r="T370" s="3"/>
      <c r="U370" s="2"/>
      <c r="V370" s="2"/>
      <c r="W370" s="2"/>
      <c r="X370" s="2"/>
      <c r="Y370" s="2"/>
      <c r="Z370" s="2"/>
      <c r="AA370" s="2"/>
      <c r="AB370" s="2"/>
      <c r="AC370" s="2"/>
      <c r="AD370" s="2"/>
    </row>
    <row r="371" spans="1:30" ht="12" customHeight="1">
      <c r="A371" s="828" t="s">
        <v>17065</v>
      </c>
      <c r="B371" s="3" t="s">
        <v>5363</v>
      </c>
      <c r="C371" s="1" t="s">
        <v>1240</v>
      </c>
      <c r="D371" s="5">
        <f t="shared" si="5"/>
        <v>53</v>
      </c>
      <c r="E371" s="2" t="s">
        <v>5</v>
      </c>
      <c r="F371" s="2"/>
      <c r="G371" s="3"/>
      <c r="H371" s="1"/>
      <c r="I371" s="1"/>
      <c r="J371" s="4" t="s">
        <v>16117</v>
      </c>
      <c r="K371" s="1"/>
      <c r="L371" s="1" t="s">
        <v>6</v>
      </c>
      <c r="M371" s="825"/>
      <c r="N371" s="17"/>
      <c r="O371" s="3" t="s">
        <v>182</v>
      </c>
      <c r="P371" s="21">
        <v>21616</v>
      </c>
      <c r="Q371" s="3" t="s">
        <v>1241</v>
      </c>
      <c r="R371" s="3"/>
      <c r="S371" s="3"/>
      <c r="T371" s="3"/>
      <c r="U371" s="2"/>
      <c r="V371" s="2"/>
      <c r="W371" s="2"/>
      <c r="X371" s="2"/>
      <c r="Y371" s="2"/>
      <c r="Z371" s="2"/>
      <c r="AA371" s="2"/>
      <c r="AB371" s="2"/>
      <c r="AC371" s="2"/>
      <c r="AD371" s="2"/>
    </row>
    <row r="372" spans="1:30" ht="12" customHeight="1">
      <c r="A372" s="828" t="s">
        <v>17066</v>
      </c>
      <c r="B372" s="3" t="s">
        <v>1244</v>
      </c>
      <c r="C372" s="1" t="s">
        <v>1247</v>
      </c>
      <c r="D372" s="5">
        <f t="shared" si="5"/>
        <v>37</v>
      </c>
      <c r="E372" s="2" t="s">
        <v>5</v>
      </c>
      <c r="F372" s="6" t="s">
        <v>15273</v>
      </c>
      <c r="G372" s="3" t="s">
        <v>1248</v>
      </c>
      <c r="H372" s="1"/>
      <c r="I372" s="1"/>
      <c r="J372" s="8" t="s">
        <v>16126</v>
      </c>
      <c r="K372" s="1" t="s">
        <v>44</v>
      </c>
      <c r="L372" s="1" t="s">
        <v>25</v>
      </c>
      <c r="M372" s="825">
        <v>1</v>
      </c>
      <c r="N372" s="17">
        <v>1</v>
      </c>
      <c r="O372" s="3" t="s">
        <v>1249</v>
      </c>
      <c r="P372" s="20">
        <v>27646</v>
      </c>
      <c r="Q372" s="3" t="s">
        <v>1250</v>
      </c>
      <c r="R372" s="3"/>
      <c r="S372" s="3" t="s">
        <v>736</v>
      </c>
      <c r="T372" s="3" t="s">
        <v>47</v>
      </c>
      <c r="U372" s="2" t="s">
        <v>47</v>
      </c>
      <c r="V372" s="2"/>
      <c r="W372" s="2"/>
      <c r="X372" s="2"/>
      <c r="Y372" s="2"/>
      <c r="Z372" s="2"/>
      <c r="AA372" s="2"/>
      <c r="AB372" s="2"/>
      <c r="AC372" s="2"/>
      <c r="AD372" s="2"/>
    </row>
    <row r="373" spans="1:30" ht="12" customHeight="1">
      <c r="A373" s="828" t="s">
        <v>17067</v>
      </c>
      <c r="B373" s="3" t="s">
        <v>1245</v>
      </c>
      <c r="C373" s="1" t="s">
        <v>1251</v>
      </c>
      <c r="D373" s="5">
        <f t="shared" si="5"/>
        <v>64</v>
      </c>
      <c r="E373" s="2" t="s">
        <v>5</v>
      </c>
      <c r="F373" s="2" t="s">
        <v>15273</v>
      </c>
      <c r="G373" s="3" t="s">
        <v>1252</v>
      </c>
      <c r="H373" s="1"/>
      <c r="I373" s="1"/>
      <c r="J373" s="4" t="s">
        <v>16120</v>
      </c>
      <c r="K373" s="1" t="s">
        <v>30</v>
      </c>
      <c r="L373" s="1" t="s">
        <v>25</v>
      </c>
      <c r="M373" s="825">
        <v>5</v>
      </c>
      <c r="N373" s="17">
        <v>5</v>
      </c>
      <c r="O373" s="3" t="s">
        <v>95</v>
      </c>
      <c r="P373" s="20">
        <v>17873</v>
      </c>
      <c r="Q373" s="3" t="s">
        <v>1253</v>
      </c>
      <c r="R373" s="3" t="s">
        <v>1254</v>
      </c>
      <c r="S373" s="3" t="s">
        <v>5457</v>
      </c>
      <c r="T373" s="3" t="s">
        <v>145</v>
      </c>
      <c r="U373" s="2"/>
      <c r="V373" s="2" t="s">
        <v>145</v>
      </c>
      <c r="W373" s="2"/>
      <c r="X373" s="2"/>
      <c r="Y373" s="2"/>
      <c r="Z373" s="2"/>
      <c r="AA373" s="2"/>
      <c r="AB373" s="2"/>
      <c r="AC373" s="2"/>
      <c r="AD373" s="2"/>
    </row>
    <row r="374" spans="1:30" ht="12" customHeight="1">
      <c r="A374" s="828" t="s">
        <v>17068</v>
      </c>
      <c r="B374" s="3" t="s">
        <v>1246</v>
      </c>
      <c r="C374" s="1" t="s">
        <v>1255</v>
      </c>
      <c r="D374" s="5">
        <f t="shared" si="5"/>
        <v>50</v>
      </c>
      <c r="E374" s="2" t="s">
        <v>5</v>
      </c>
      <c r="F374" s="2"/>
      <c r="G374" s="3"/>
      <c r="H374" s="1"/>
      <c r="I374" s="1"/>
      <c r="J374" s="4" t="s">
        <v>16117</v>
      </c>
      <c r="K374" s="1"/>
      <c r="L374" s="1" t="s">
        <v>6</v>
      </c>
      <c r="M374" s="825"/>
      <c r="N374" s="17"/>
      <c r="O374" s="3" t="s">
        <v>1256</v>
      </c>
      <c r="P374" s="21">
        <v>22793</v>
      </c>
      <c r="Q374" s="3" t="s">
        <v>1257</v>
      </c>
      <c r="R374" s="3"/>
      <c r="S374" s="3"/>
      <c r="T374" s="3" t="s">
        <v>2640</v>
      </c>
      <c r="U374" s="2"/>
      <c r="V374" s="2"/>
      <c r="W374" s="2"/>
      <c r="X374" s="2"/>
      <c r="Y374" s="2"/>
      <c r="Z374" s="2" t="s">
        <v>85</v>
      </c>
      <c r="AA374" s="2"/>
      <c r="AB374" s="2"/>
      <c r="AC374" s="2"/>
      <c r="AD374" s="2" t="s">
        <v>69</v>
      </c>
    </row>
    <row r="375" spans="1:30" ht="12" customHeight="1">
      <c r="A375" s="828" t="s">
        <v>17069</v>
      </c>
      <c r="B375" s="3" t="s">
        <v>1259</v>
      </c>
      <c r="C375" s="1" t="s">
        <v>1546</v>
      </c>
      <c r="D375" s="5">
        <f t="shared" si="5"/>
        <v>50</v>
      </c>
      <c r="E375" s="2" t="s">
        <v>5</v>
      </c>
      <c r="F375" s="6" t="s">
        <v>15273</v>
      </c>
      <c r="G375" s="3" t="s">
        <v>4407</v>
      </c>
      <c r="H375" s="1"/>
      <c r="I375" s="1"/>
      <c r="J375" s="8" t="s">
        <v>16127</v>
      </c>
      <c r="K375" s="1" t="s">
        <v>655</v>
      </c>
      <c r="L375" s="1" t="s">
        <v>25</v>
      </c>
      <c r="M375" s="825">
        <v>1</v>
      </c>
      <c r="N375" s="17">
        <v>1</v>
      </c>
      <c r="O375" s="3" t="s">
        <v>1547</v>
      </c>
      <c r="P375" s="20">
        <v>22991</v>
      </c>
      <c r="Q375" s="3" t="s">
        <v>1548</v>
      </c>
      <c r="R375" s="3"/>
      <c r="S375" s="3" t="s">
        <v>736</v>
      </c>
      <c r="T375" s="3" t="s">
        <v>635</v>
      </c>
      <c r="U375" s="2"/>
      <c r="V375" s="2" t="s">
        <v>145</v>
      </c>
      <c r="W375" s="2"/>
      <c r="X375" s="2"/>
      <c r="Y375" s="2"/>
      <c r="Z375" s="2"/>
      <c r="AA375" s="2"/>
      <c r="AB375" s="2"/>
      <c r="AC375" s="2" t="s">
        <v>146</v>
      </c>
      <c r="AD375" s="2"/>
    </row>
    <row r="376" spans="1:30" ht="12" customHeight="1">
      <c r="A376" s="828" t="s">
        <v>17070</v>
      </c>
      <c r="B376" s="3" t="s">
        <v>1260</v>
      </c>
      <c r="C376" s="1" t="s">
        <v>1264</v>
      </c>
      <c r="D376" s="5">
        <f t="shared" si="5"/>
        <v>47</v>
      </c>
      <c r="E376" s="2" t="s">
        <v>5</v>
      </c>
      <c r="F376" s="2" t="s">
        <v>15273</v>
      </c>
      <c r="G376" s="3"/>
      <c r="H376" s="1"/>
      <c r="I376" s="1"/>
      <c r="J376" s="4" t="s">
        <v>16120</v>
      </c>
      <c r="K376" s="1" t="s">
        <v>30</v>
      </c>
      <c r="L376" s="1" t="s">
        <v>14</v>
      </c>
      <c r="M376" s="825">
        <v>5</v>
      </c>
      <c r="N376" s="17">
        <v>5</v>
      </c>
      <c r="O376" s="3" t="s">
        <v>1265</v>
      </c>
      <c r="P376" s="20">
        <v>23915</v>
      </c>
      <c r="Q376" s="3" t="s">
        <v>1266</v>
      </c>
      <c r="R376" s="3" t="s">
        <v>1267</v>
      </c>
      <c r="S376" s="3" t="s">
        <v>5457</v>
      </c>
      <c r="T376" s="3" t="s">
        <v>104</v>
      </c>
      <c r="U376" s="2"/>
      <c r="V376" s="2"/>
      <c r="W376" s="2"/>
      <c r="X376" s="2"/>
      <c r="Y376" s="2"/>
      <c r="Z376" s="2"/>
      <c r="AA376" s="2" t="s">
        <v>104</v>
      </c>
      <c r="AB376" s="2"/>
      <c r="AC376" s="2"/>
      <c r="AD376" s="2"/>
    </row>
    <row r="377" spans="1:30" ht="12" customHeight="1">
      <c r="A377" s="828" t="s">
        <v>17071</v>
      </c>
      <c r="B377" s="3" t="s">
        <v>1261</v>
      </c>
      <c r="C377" s="1" t="s">
        <v>1268</v>
      </c>
      <c r="D377" s="5">
        <f t="shared" si="5"/>
        <v>48</v>
      </c>
      <c r="E377" s="2" t="s">
        <v>19</v>
      </c>
      <c r="F377" s="2" t="s">
        <v>15273</v>
      </c>
      <c r="G377" s="3" t="s">
        <v>1269</v>
      </c>
      <c r="H377" s="1"/>
      <c r="I377" s="1"/>
      <c r="J377" s="4" t="s">
        <v>16125</v>
      </c>
      <c r="K377" s="1"/>
      <c r="L377" s="1" t="s">
        <v>25</v>
      </c>
      <c r="M377" s="825">
        <v>1</v>
      </c>
      <c r="N377" s="17">
        <v>1</v>
      </c>
      <c r="O377" s="3" t="s">
        <v>1271</v>
      </c>
      <c r="P377" s="20">
        <v>23639</v>
      </c>
      <c r="Q377" s="3" t="s">
        <v>1270</v>
      </c>
      <c r="R377" s="3"/>
      <c r="S377" s="3" t="s">
        <v>16114</v>
      </c>
      <c r="T377" s="3" t="s">
        <v>145</v>
      </c>
      <c r="U377" s="2"/>
      <c r="V377" s="2" t="s">
        <v>145</v>
      </c>
      <c r="W377" s="2"/>
      <c r="X377" s="2"/>
      <c r="Y377" s="2"/>
      <c r="Z377" s="2"/>
      <c r="AA377" s="2"/>
      <c r="AB377" s="2"/>
      <c r="AC377" s="2"/>
      <c r="AD377" s="2"/>
    </row>
    <row r="378" spans="1:30" ht="12" customHeight="1">
      <c r="A378" s="828" t="s">
        <v>17072</v>
      </c>
      <c r="B378" s="3" t="s">
        <v>1262</v>
      </c>
      <c r="C378" s="1" t="s">
        <v>5366</v>
      </c>
      <c r="D378" s="5">
        <f t="shared" si="5"/>
        <v>44</v>
      </c>
      <c r="E378" s="2" t="s">
        <v>19</v>
      </c>
      <c r="F378" s="2" t="s">
        <v>15273</v>
      </c>
      <c r="G378" s="3"/>
      <c r="H378" s="1"/>
      <c r="I378" s="1"/>
      <c r="J378" s="4" t="s">
        <v>16116</v>
      </c>
      <c r="K378" s="1" t="s">
        <v>4997</v>
      </c>
      <c r="L378" s="1" t="s">
        <v>6</v>
      </c>
      <c r="M378" s="825"/>
      <c r="N378" s="17"/>
      <c r="O378" s="3" t="s">
        <v>31</v>
      </c>
      <c r="P378" s="20">
        <v>25024</v>
      </c>
      <c r="Q378" s="3" t="s">
        <v>16283</v>
      </c>
      <c r="R378" s="3"/>
      <c r="S378" s="3"/>
      <c r="T378" s="3"/>
      <c r="U378" s="2"/>
      <c r="V378" s="2"/>
      <c r="W378" s="2"/>
      <c r="X378" s="2"/>
      <c r="Y378" s="2"/>
      <c r="Z378" s="2"/>
      <c r="AA378" s="2"/>
      <c r="AB378" s="2"/>
      <c r="AC378" s="2"/>
      <c r="AD378" s="2"/>
    </row>
    <row r="379" spans="1:30" ht="12" customHeight="1">
      <c r="A379" s="828" t="s">
        <v>17073</v>
      </c>
      <c r="B379" s="3" t="s">
        <v>1263</v>
      </c>
      <c r="C379" s="1" t="s">
        <v>1275</v>
      </c>
      <c r="D379" s="5">
        <f t="shared" si="5"/>
        <v>44</v>
      </c>
      <c r="E379" s="2" t="s">
        <v>5</v>
      </c>
      <c r="F379" s="2" t="s">
        <v>15273</v>
      </c>
      <c r="G379" s="3"/>
      <c r="H379" s="1"/>
      <c r="I379" s="1"/>
      <c r="J379" s="4" t="s">
        <v>16128</v>
      </c>
      <c r="K379" s="1"/>
      <c r="L379" s="1" t="s">
        <v>6</v>
      </c>
      <c r="M379" s="825"/>
      <c r="N379" s="17"/>
      <c r="O379" s="3" t="s">
        <v>188</v>
      </c>
      <c r="P379" s="20">
        <v>24902</v>
      </c>
      <c r="Q379" s="3" t="s">
        <v>1276</v>
      </c>
      <c r="R379" s="3"/>
      <c r="S379" s="3"/>
      <c r="T379" s="3" t="s">
        <v>145</v>
      </c>
      <c r="U379" s="2"/>
      <c r="V379" s="2" t="s">
        <v>145</v>
      </c>
      <c r="W379" s="2"/>
      <c r="X379" s="2"/>
      <c r="Y379" s="2"/>
      <c r="Z379" s="2"/>
      <c r="AA379" s="2"/>
      <c r="AB379" s="2"/>
      <c r="AC379" s="2"/>
      <c r="AD379" s="2"/>
    </row>
    <row r="380" spans="1:30" ht="12" customHeight="1">
      <c r="A380" s="828" t="s">
        <v>17074</v>
      </c>
      <c r="B380" s="3" t="s">
        <v>5365</v>
      </c>
      <c r="C380" s="1" t="s">
        <v>1272</v>
      </c>
      <c r="D380" s="5">
        <f t="shared" si="5"/>
        <v>39</v>
      </c>
      <c r="E380" s="2" t="s">
        <v>19</v>
      </c>
      <c r="F380" s="2"/>
      <c r="G380" s="3"/>
      <c r="H380" s="1"/>
      <c r="I380" s="1"/>
      <c r="J380" s="4" t="s">
        <v>16117</v>
      </c>
      <c r="K380" s="1"/>
      <c r="L380" s="1" t="s">
        <v>6</v>
      </c>
      <c r="M380" s="825"/>
      <c r="N380" s="17"/>
      <c r="O380" s="3" t="s">
        <v>1273</v>
      </c>
      <c r="P380" s="21">
        <v>26657</v>
      </c>
      <c r="Q380" s="3" t="s">
        <v>1274</v>
      </c>
      <c r="R380" s="3"/>
      <c r="S380" s="3"/>
      <c r="T380" s="3" t="s">
        <v>69</v>
      </c>
      <c r="U380" s="2"/>
      <c r="V380" s="2"/>
      <c r="W380" s="2"/>
      <c r="X380" s="2"/>
      <c r="Y380" s="2"/>
      <c r="Z380" s="2"/>
      <c r="AA380" s="2"/>
      <c r="AB380" s="2"/>
      <c r="AC380" s="2"/>
      <c r="AD380" s="2" t="s">
        <v>69</v>
      </c>
    </row>
    <row r="381" spans="1:30" ht="12" customHeight="1">
      <c r="A381" s="828" t="s">
        <v>17075</v>
      </c>
      <c r="B381" s="3" t="s">
        <v>1277</v>
      </c>
      <c r="C381" s="1" t="s">
        <v>5325</v>
      </c>
      <c r="D381" s="5">
        <f t="shared" si="5"/>
        <v>42</v>
      </c>
      <c r="E381" s="2" t="s">
        <v>5</v>
      </c>
      <c r="F381" s="6" t="s">
        <v>15273</v>
      </c>
      <c r="G381" s="3"/>
      <c r="H381" s="1"/>
      <c r="I381" s="1"/>
      <c r="J381" s="8" t="s">
        <v>16127</v>
      </c>
      <c r="K381" s="1" t="s">
        <v>44</v>
      </c>
      <c r="L381" s="1" t="s">
        <v>6</v>
      </c>
      <c r="M381" s="825"/>
      <c r="N381" s="17"/>
      <c r="O381" s="3" t="s">
        <v>188</v>
      </c>
      <c r="P381" s="20">
        <v>25593</v>
      </c>
      <c r="Q381" s="3" t="s">
        <v>5326</v>
      </c>
      <c r="R381" s="3"/>
      <c r="S381" s="3" t="s">
        <v>736</v>
      </c>
      <c r="T381" s="3" t="s">
        <v>145</v>
      </c>
      <c r="U381" s="2"/>
      <c r="V381" s="2" t="s">
        <v>145</v>
      </c>
      <c r="W381" s="2"/>
      <c r="X381" s="2"/>
      <c r="Y381" s="2"/>
      <c r="Z381" s="2"/>
      <c r="AA381" s="2"/>
      <c r="AB381" s="2"/>
      <c r="AC381" s="2"/>
      <c r="AD381" s="2"/>
    </row>
    <row r="382" spans="1:30" ht="12" customHeight="1">
      <c r="A382" s="828" t="s">
        <v>17076</v>
      </c>
      <c r="B382" s="3" t="s">
        <v>1278</v>
      </c>
      <c r="C382" s="1" t="s">
        <v>1281</v>
      </c>
      <c r="D382" s="5">
        <f t="shared" si="5"/>
        <v>37</v>
      </c>
      <c r="E382" s="2" t="s">
        <v>5</v>
      </c>
      <c r="F382" s="2" t="s">
        <v>15273</v>
      </c>
      <c r="G382" s="3"/>
      <c r="H382" s="1"/>
      <c r="I382" s="1"/>
      <c r="J382" s="8" t="s">
        <v>16120</v>
      </c>
      <c r="K382" s="1" t="s">
        <v>30</v>
      </c>
      <c r="L382" s="1" t="s">
        <v>14</v>
      </c>
      <c r="M382" s="825">
        <v>1</v>
      </c>
      <c r="N382" s="17">
        <v>1</v>
      </c>
      <c r="O382" s="3" t="s">
        <v>1282</v>
      </c>
      <c r="P382" s="20">
        <v>27565</v>
      </c>
      <c r="Q382" s="3" t="s">
        <v>16657</v>
      </c>
      <c r="R382" s="3"/>
      <c r="S382" s="3" t="s">
        <v>5457</v>
      </c>
      <c r="T382" s="3" t="s">
        <v>146</v>
      </c>
      <c r="U382" s="2"/>
      <c r="V382" s="2"/>
      <c r="W382" s="2"/>
      <c r="X382" s="2"/>
      <c r="Y382" s="2"/>
      <c r="Z382" s="2"/>
      <c r="AA382" s="2"/>
      <c r="AB382" s="2"/>
      <c r="AC382" s="2" t="s">
        <v>146</v>
      </c>
      <c r="AD382" s="2"/>
    </row>
    <row r="383" spans="1:30" ht="12" customHeight="1">
      <c r="A383" s="828" t="s">
        <v>17077</v>
      </c>
      <c r="B383" s="3" t="s">
        <v>1279</v>
      </c>
      <c r="C383" s="1" t="s">
        <v>1286</v>
      </c>
      <c r="D383" s="5">
        <f t="shared" si="5"/>
        <v>48</v>
      </c>
      <c r="E383" s="2" t="s">
        <v>5</v>
      </c>
      <c r="F383" s="2" t="s">
        <v>15273</v>
      </c>
      <c r="G383" s="3" t="s">
        <v>1287</v>
      </c>
      <c r="H383" s="1"/>
      <c r="I383" s="1"/>
      <c r="J383" s="4" t="s">
        <v>16128</v>
      </c>
      <c r="K383" s="1"/>
      <c r="L383" s="1" t="s">
        <v>25</v>
      </c>
      <c r="M383" s="825">
        <v>1</v>
      </c>
      <c r="N383" s="17">
        <v>5</v>
      </c>
      <c r="O383" s="3" t="s">
        <v>1288</v>
      </c>
      <c r="P383" s="20">
        <v>23418</v>
      </c>
      <c r="Q383" s="3" t="s">
        <v>1289</v>
      </c>
      <c r="R383" s="3" t="s">
        <v>1290</v>
      </c>
      <c r="S383" s="3"/>
      <c r="T383" s="3" t="s">
        <v>1291</v>
      </c>
      <c r="U383" s="2"/>
      <c r="V383" s="2"/>
      <c r="W383" s="2"/>
      <c r="X383" s="2" t="s">
        <v>229</v>
      </c>
      <c r="Y383" s="2"/>
      <c r="Z383" s="2"/>
      <c r="AA383" s="2" t="s">
        <v>104</v>
      </c>
      <c r="AB383" s="2"/>
      <c r="AC383" s="2"/>
      <c r="AD383" s="2"/>
    </row>
    <row r="384" spans="1:30" ht="12" customHeight="1">
      <c r="A384" s="828" t="s">
        <v>17078</v>
      </c>
      <c r="B384" s="3" t="s">
        <v>1280</v>
      </c>
      <c r="C384" s="1" t="s">
        <v>1283</v>
      </c>
      <c r="D384" s="5">
        <f t="shared" si="5"/>
        <v>68</v>
      </c>
      <c r="E384" s="2" t="s">
        <v>5</v>
      </c>
      <c r="F384" s="2"/>
      <c r="G384" s="3"/>
      <c r="H384" s="1"/>
      <c r="I384" s="1"/>
      <c r="J384" s="4" t="s">
        <v>16117</v>
      </c>
      <c r="K384" s="1"/>
      <c r="L384" s="1" t="s">
        <v>6</v>
      </c>
      <c r="M384" s="825"/>
      <c r="N384" s="17"/>
      <c r="O384" s="3" t="s">
        <v>1284</v>
      </c>
      <c r="P384" s="21">
        <v>16393</v>
      </c>
      <c r="Q384" s="3" t="s">
        <v>1285</v>
      </c>
      <c r="R384" s="3"/>
      <c r="S384" s="3"/>
      <c r="T384" s="3" t="s">
        <v>69</v>
      </c>
      <c r="U384" s="2"/>
      <c r="V384" s="2"/>
      <c r="W384" s="2"/>
      <c r="X384" s="2"/>
      <c r="Y384" s="2"/>
      <c r="Z384" s="2"/>
      <c r="AA384" s="2"/>
      <c r="AB384" s="2"/>
      <c r="AC384" s="2"/>
      <c r="AD384" s="2" t="s">
        <v>69</v>
      </c>
    </row>
    <row r="385" spans="1:30" ht="12" customHeight="1">
      <c r="A385" s="828" t="s">
        <v>17079</v>
      </c>
      <c r="B385" s="3" t="s">
        <v>1377</v>
      </c>
      <c r="C385" s="1" t="s">
        <v>1380</v>
      </c>
      <c r="D385" s="5">
        <f t="shared" ref="D385:D448" si="6">DATEDIF(P385,$P$1505,"Y")</f>
        <v>74</v>
      </c>
      <c r="E385" s="2" t="s">
        <v>5</v>
      </c>
      <c r="F385" s="6" t="s">
        <v>15273</v>
      </c>
      <c r="G385" s="3" t="s">
        <v>1381</v>
      </c>
      <c r="H385" s="1"/>
      <c r="I385" s="1"/>
      <c r="J385" s="8" t="s">
        <v>16126</v>
      </c>
      <c r="K385" s="1" t="s">
        <v>681</v>
      </c>
      <c r="L385" s="1" t="s">
        <v>25</v>
      </c>
      <c r="M385" s="825">
        <v>6</v>
      </c>
      <c r="N385" s="17">
        <v>6</v>
      </c>
      <c r="O385" s="3" t="s">
        <v>983</v>
      </c>
      <c r="P385" s="20">
        <v>13945</v>
      </c>
      <c r="Q385" s="3" t="s">
        <v>1383</v>
      </c>
      <c r="R385" s="3" t="s">
        <v>2524</v>
      </c>
      <c r="S385" s="3" t="s">
        <v>736</v>
      </c>
      <c r="T385" s="3" t="s">
        <v>148</v>
      </c>
      <c r="U385" s="2"/>
      <c r="V385" s="2" t="s">
        <v>145</v>
      </c>
      <c r="W385" s="2"/>
      <c r="X385" s="2"/>
      <c r="Y385" s="2"/>
      <c r="Z385" s="2"/>
      <c r="AA385" s="2"/>
      <c r="AB385" s="2"/>
      <c r="AC385" s="2"/>
      <c r="AD385" s="2" t="s">
        <v>69</v>
      </c>
    </row>
    <row r="386" spans="1:30" ht="12" customHeight="1">
      <c r="A386" s="828" t="s">
        <v>17080</v>
      </c>
      <c r="B386" s="3" t="s">
        <v>1378</v>
      </c>
      <c r="C386" s="1" t="s">
        <v>1386</v>
      </c>
      <c r="D386" s="5">
        <f t="shared" si="6"/>
        <v>47</v>
      </c>
      <c r="E386" s="2" t="s">
        <v>5</v>
      </c>
      <c r="F386" s="2" t="s">
        <v>15273</v>
      </c>
      <c r="G386" s="3"/>
      <c r="H386" s="1"/>
      <c r="I386" s="1"/>
      <c r="J386" s="4" t="s">
        <v>16120</v>
      </c>
      <c r="K386" s="1" t="s">
        <v>30</v>
      </c>
      <c r="L386" s="1" t="s">
        <v>14</v>
      </c>
      <c r="M386" s="825">
        <v>1</v>
      </c>
      <c r="N386" s="17">
        <v>1</v>
      </c>
      <c r="O386" s="3" t="s">
        <v>317</v>
      </c>
      <c r="P386" s="20">
        <v>23989</v>
      </c>
      <c r="Q386" s="3" t="s">
        <v>1388</v>
      </c>
      <c r="R386" s="3"/>
      <c r="S386" s="3" t="s">
        <v>5457</v>
      </c>
      <c r="T386" s="3" t="s">
        <v>146</v>
      </c>
      <c r="U386" s="2"/>
      <c r="V386" s="2"/>
      <c r="W386" s="2"/>
      <c r="X386" s="2"/>
      <c r="Y386" s="2"/>
      <c r="Z386" s="2"/>
      <c r="AA386" s="2"/>
      <c r="AB386" s="2"/>
      <c r="AC386" s="2" t="s">
        <v>146</v>
      </c>
      <c r="AD386" s="2"/>
    </row>
    <row r="387" spans="1:30" ht="12" customHeight="1">
      <c r="A387" s="828" t="s">
        <v>17081</v>
      </c>
      <c r="B387" s="3" t="s">
        <v>1379</v>
      </c>
      <c r="C387" s="1" t="s">
        <v>5791</v>
      </c>
      <c r="D387" s="5">
        <f t="shared" si="6"/>
        <v>56</v>
      </c>
      <c r="E387" s="2" t="s">
        <v>5</v>
      </c>
      <c r="F387" s="2" t="s">
        <v>15273</v>
      </c>
      <c r="G387" s="3"/>
      <c r="H387" s="1"/>
      <c r="I387" s="1"/>
      <c r="J387" s="4" t="s">
        <v>16125</v>
      </c>
      <c r="K387" s="1"/>
      <c r="L387" s="1" t="s">
        <v>6</v>
      </c>
      <c r="M387" s="825"/>
      <c r="N387" s="17"/>
      <c r="O387" s="3" t="s">
        <v>188</v>
      </c>
      <c r="P387" s="21">
        <v>20770</v>
      </c>
      <c r="Q387" s="3" t="s">
        <v>5792</v>
      </c>
      <c r="R387" s="3"/>
      <c r="S387" s="3" t="s">
        <v>5561</v>
      </c>
      <c r="T387" s="3"/>
      <c r="U387" s="2"/>
      <c r="V387" s="2"/>
      <c r="W387" s="2"/>
      <c r="X387" s="2"/>
      <c r="Y387" s="2"/>
      <c r="Z387" s="2"/>
      <c r="AA387" s="2"/>
      <c r="AB387" s="2"/>
      <c r="AC387" s="2"/>
      <c r="AD387" s="2"/>
    </row>
    <row r="388" spans="1:30" ht="12" customHeight="1">
      <c r="A388" s="828" t="s">
        <v>17082</v>
      </c>
      <c r="B388" s="3" t="s">
        <v>4594</v>
      </c>
      <c r="C388" s="1" t="s">
        <v>5371</v>
      </c>
      <c r="D388" s="5">
        <f t="shared" si="6"/>
        <v>45</v>
      </c>
      <c r="E388" s="2" t="s">
        <v>5</v>
      </c>
      <c r="F388" s="2" t="s">
        <v>15273</v>
      </c>
      <c r="G388" s="3"/>
      <c r="H388" s="1"/>
      <c r="I388" s="1"/>
      <c r="J388" s="4" t="s">
        <v>16116</v>
      </c>
      <c r="K388" s="1" t="s">
        <v>469</v>
      </c>
      <c r="L388" s="1" t="s">
        <v>6</v>
      </c>
      <c r="M388" s="825"/>
      <c r="N388" s="17"/>
      <c r="O388" s="3" t="s">
        <v>5368</v>
      </c>
      <c r="P388" s="21">
        <v>24769</v>
      </c>
      <c r="Q388" s="22" t="s">
        <v>5369</v>
      </c>
      <c r="R388" s="3"/>
      <c r="S388" s="3"/>
      <c r="T388" s="3"/>
      <c r="U388" s="2"/>
      <c r="V388" s="2"/>
      <c r="W388" s="2"/>
      <c r="X388" s="2"/>
      <c r="Y388" s="2"/>
      <c r="Z388" s="2"/>
      <c r="AA388" s="2"/>
      <c r="AB388" s="2"/>
      <c r="AC388" s="2"/>
      <c r="AD388" s="2"/>
    </row>
    <row r="389" spans="1:30" ht="12" customHeight="1">
      <c r="A389" s="828" t="s">
        <v>17083</v>
      </c>
      <c r="B389" s="3" t="s">
        <v>5367</v>
      </c>
      <c r="C389" s="1" t="s">
        <v>4595</v>
      </c>
      <c r="D389" s="5">
        <f t="shared" si="6"/>
        <v>51</v>
      </c>
      <c r="E389" s="2" t="s">
        <v>5</v>
      </c>
      <c r="F389" s="2" t="s">
        <v>15273</v>
      </c>
      <c r="G389" s="3"/>
      <c r="H389" s="1"/>
      <c r="I389" s="1"/>
      <c r="J389" s="8" t="s">
        <v>16128</v>
      </c>
      <c r="K389" s="1"/>
      <c r="L389" s="1" t="s">
        <v>6</v>
      </c>
      <c r="M389" s="825"/>
      <c r="N389" s="17"/>
      <c r="O389" s="3" t="s">
        <v>317</v>
      </c>
      <c r="P389" s="21">
        <v>22493</v>
      </c>
      <c r="Q389" s="22" t="s">
        <v>4597</v>
      </c>
      <c r="R389" s="3"/>
      <c r="S389" s="3"/>
      <c r="T389" s="3" t="s">
        <v>47</v>
      </c>
      <c r="U389" s="2" t="s">
        <v>47</v>
      </c>
      <c r="V389" s="2"/>
      <c r="W389" s="2"/>
      <c r="X389" s="2"/>
      <c r="Y389" s="2"/>
      <c r="Z389" s="2"/>
      <c r="AA389" s="2"/>
      <c r="AB389" s="2"/>
      <c r="AC389" s="2"/>
      <c r="AD389" s="2"/>
    </row>
    <row r="390" spans="1:30" ht="12" customHeight="1">
      <c r="A390" s="828" t="s">
        <v>17084</v>
      </c>
      <c r="B390" s="3" t="s">
        <v>5790</v>
      </c>
      <c r="C390" s="1" t="s">
        <v>1390</v>
      </c>
      <c r="D390" s="5">
        <f t="shared" si="6"/>
        <v>41</v>
      </c>
      <c r="E390" s="2" t="s">
        <v>5</v>
      </c>
      <c r="F390" s="2"/>
      <c r="G390" s="3"/>
      <c r="H390" s="1"/>
      <c r="I390" s="1"/>
      <c r="J390" s="4" t="s">
        <v>16117</v>
      </c>
      <c r="K390" s="1"/>
      <c r="L390" s="1" t="s">
        <v>6</v>
      </c>
      <c r="M390" s="825"/>
      <c r="N390" s="17"/>
      <c r="O390" s="3" t="s">
        <v>1391</v>
      </c>
      <c r="P390" s="21">
        <v>26046</v>
      </c>
      <c r="Q390" s="3" t="s">
        <v>364</v>
      </c>
      <c r="R390" s="3"/>
      <c r="S390" s="3"/>
      <c r="T390" s="3"/>
      <c r="U390" s="2"/>
      <c r="V390" s="2"/>
      <c r="W390" s="2"/>
      <c r="X390" s="2"/>
      <c r="Y390" s="2"/>
      <c r="Z390" s="2"/>
      <c r="AA390" s="2"/>
      <c r="AB390" s="2"/>
      <c r="AC390" s="2"/>
      <c r="AD390" s="2"/>
    </row>
    <row r="391" spans="1:30" ht="12" customHeight="1">
      <c r="A391" s="828" t="s">
        <v>17085</v>
      </c>
      <c r="B391" s="3" t="s">
        <v>1393</v>
      </c>
      <c r="C391" s="1" t="s">
        <v>1397</v>
      </c>
      <c r="D391" s="5">
        <f t="shared" si="6"/>
        <v>71</v>
      </c>
      <c r="E391" s="2" t="s">
        <v>5</v>
      </c>
      <c r="F391" s="6" t="s">
        <v>15273</v>
      </c>
      <c r="G391" s="3" t="s">
        <v>1398</v>
      </c>
      <c r="H391" s="1"/>
      <c r="I391" s="1"/>
      <c r="J391" s="8" t="s">
        <v>16127</v>
      </c>
      <c r="K391" s="1" t="s">
        <v>45</v>
      </c>
      <c r="L391" s="1" t="s">
        <v>25</v>
      </c>
      <c r="M391" s="825">
        <v>6</v>
      </c>
      <c r="N391" s="17">
        <v>6</v>
      </c>
      <c r="O391" s="3" t="s">
        <v>188</v>
      </c>
      <c r="P391" s="20">
        <v>14965</v>
      </c>
      <c r="Q391" s="3" t="s">
        <v>1050</v>
      </c>
      <c r="R391" s="3" t="s">
        <v>2532</v>
      </c>
      <c r="S391" s="3"/>
      <c r="T391" s="3" t="s">
        <v>155</v>
      </c>
      <c r="U391" s="2"/>
      <c r="V391" s="2"/>
      <c r="W391" s="2"/>
      <c r="X391" s="2"/>
      <c r="Y391" s="2" t="s">
        <v>155</v>
      </c>
      <c r="Z391" s="2"/>
      <c r="AA391" s="2"/>
      <c r="AB391" s="2"/>
      <c r="AC391" s="2"/>
      <c r="AD391" s="2"/>
    </row>
    <row r="392" spans="1:30" ht="12" customHeight="1">
      <c r="A392" s="828" t="s">
        <v>17086</v>
      </c>
      <c r="B392" s="3" t="s">
        <v>1394</v>
      </c>
      <c r="C392" s="1" t="s">
        <v>1400</v>
      </c>
      <c r="D392" s="5">
        <f t="shared" si="6"/>
        <v>54</v>
      </c>
      <c r="E392" s="2" t="s">
        <v>5</v>
      </c>
      <c r="F392" s="2"/>
      <c r="G392" s="3"/>
      <c r="H392" s="1"/>
      <c r="I392" s="1"/>
      <c r="J392" s="4" t="s">
        <v>16118</v>
      </c>
      <c r="K392" s="1"/>
      <c r="L392" s="1" t="s">
        <v>14</v>
      </c>
      <c r="M392" s="825">
        <v>5</v>
      </c>
      <c r="N392" s="17">
        <v>5</v>
      </c>
      <c r="O392" s="3" t="s">
        <v>317</v>
      </c>
      <c r="P392" s="20">
        <v>21402</v>
      </c>
      <c r="Q392" s="3" t="s">
        <v>1401</v>
      </c>
      <c r="R392" s="3" t="s">
        <v>1402</v>
      </c>
      <c r="S392" s="3" t="s">
        <v>276</v>
      </c>
      <c r="T392" s="3" t="s">
        <v>47</v>
      </c>
      <c r="U392" s="2" t="s">
        <v>47</v>
      </c>
      <c r="V392" s="2"/>
      <c r="W392" s="2"/>
      <c r="X392" s="2"/>
      <c r="Y392" s="2"/>
      <c r="Z392" s="2"/>
      <c r="AA392" s="2"/>
      <c r="AB392" s="2"/>
      <c r="AC392" s="2"/>
      <c r="AD392" s="2"/>
    </row>
    <row r="393" spans="1:30" ht="12" customHeight="1">
      <c r="A393" s="828" t="s">
        <v>17087</v>
      </c>
      <c r="B393" s="3" t="s">
        <v>1395</v>
      </c>
      <c r="C393" s="1" t="s">
        <v>1404</v>
      </c>
      <c r="D393" s="5">
        <f t="shared" si="6"/>
        <v>43</v>
      </c>
      <c r="E393" s="2" t="s">
        <v>5</v>
      </c>
      <c r="F393" s="2" t="s">
        <v>15273</v>
      </c>
      <c r="G393" s="3"/>
      <c r="H393" s="1"/>
      <c r="I393" s="1"/>
      <c r="J393" s="4" t="s">
        <v>16128</v>
      </c>
      <c r="K393" s="1"/>
      <c r="L393" s="1" t="s">
        <v>6</v>
      </c>
      <c r="M393" s="825"/>
      <c r="N393" s="17"/>
      <c r="O393" s="3" t="s">
        <v>1405</v>
      </c>
      <c r="P393" s="20">
        <v>25444</v>
      </c>
      <c r="Q393" s="3" t="s">
        <v>1406</v>
      </c>
      <c r="R393" s="3"/>
      <c r="S393" s="3"/>
      <c r="T393" s="3"/>
      <c r="U393" s="2"/>
      <c r="V393" s="2"/>
      <c r="W393" s="2"/>
      <c r="X393" s="2"/>
      <c r="Y393" s="2"/>
      <c r="Z393" s="2"/>
      <c r="AA393" s="2"/>
      <c r="AB393" s="2"/>
      <c r="AC393" s="2"/>
      <c r="AD393" s="2"/>
    </row>
    <row r="394" spans="1:30" ht="12" customHeight="1">
      <c r="A394" s="828" t="s">
        <v>17088</v>
      </c>
      <c r="B394" s="3" t="s">
        <v>1396</v>
      </c>
      <c r="C394" s="1" t="s">
        <v>5880</v>
      </c>
      <c r="D394" s="5">
        <f t="shared" si="6"/>
        <v>60</v>
      </c>
      <c r="E394" s="2" t="s">
        <v>5</v>
      </c>
      <c r="F394" s="2"/>
      <c r="G394" s="3"/>
      <c r="H394" s="1"/>
      <c r="I394" s="1"/>
      <c r="J394" s="4" t="s">
        <v>16117</v>
      </c>
      <c r="K394" s="1"/>
      <c r="L394" s="1" t="s">
        <v>6</v>
      </c>
      <c r="M394" s="825"/>
      <c r="N394" s="17"/>
      <c r="O394" s="3" t="s">
        <v>5881</v>
      </c>
      <c r="P394" s="21">
        <v>19014</v>
      </c>
      <c r="Q394" s="3" t="s">
        <v>5882</v>
      </c>
      <c r="R394" s="3"/>
      <c r="S394" s="3"/>
      <c r="T394" s="3"/>
      <c r="U394" s="2"/>
      <c r="V394" s="2"/>
      <c r="W394" s="2"/>
      <c r="X394" s="2"/>
      <c r="Y394" s="2"/>
      <c r="Z394" s="2"/>
      <c r="AA394" s="2"/>
      <c r="AB394" s="2"/>
      <c r="AC394" s="2"/>
      <c r="AD394" s="2"/>
    </row>
    <row r="395" spans="1:30" ht="12" customHeight="1">
      <c r="A395" s="828" t="s">
        <v>17089</v>
      </c>
      <c r="B395" s="3" t="s">
        <v>1407</v>
      </c>
      <c r="C395" s="1" t="s">
        <v>1411</v>
      </c>
      <c r="D395" s="5">
        <f t="shared" si="6"/>
        <v>67</v>
      </c>
      <c r="E395" s="2" t="s">
        <v>5</v>
      </c>
      <c r="F395" s="6" t="s">
        <v>15273</v>
      </c>
      <c r="G395" s="3" t="s">
        <v>1412</v>
      </c>
      <c r="H395" s="1"/>
      <c r="I395" s="1"/>
      <c r="J395" s="8" t="s">
        <v>16127</v>
      </c>
      <c r="K395" s="1" t="s">
        <v>44</v>
      </c>
      <c r="L395" s="1" t="s">
        <v>25</v>
      </c>
      <c r="M395" s="825">
        <v>3</v>
      </c>
      <c r="N395" s="17">
        <v>3</v>
      </c>
      <c r="O395" s="3" t="s">
        <v>267</v>
      </c>
      <c r="P395" s="20">
        <v>16532</v>
      </c>
      <c r="Q395" s="3" t="s">
        <v>1413</v>
      </c>
      <c r="R395" s="3" t="s">
        <v>2530</v>
      </c>
      <c r="S395" s="3" t="s">
        <v>736</v>
      </c>
      <c r="T395" s="3" t="s">
        <v>155</v>
      </c>
      <c r="U395" s="2"/>
      <c r="V395" s="2"/>
      <c r="W395" s="2"/>
      <c r="X395" s="2"/>
      <c r="Y395" s="2" t="s">
        <v>155</v>
      </c>
      <c r="Z395" s="2"/>
      <c r="AA395" s="2"/>
      <c r="AB395" s="2"/>
      <c r="AC395" s="2"/>
      <c r="AD395" s="2"/>
    </row>
    <row r="396" spans="1:30" ht="12" customHeight="1">
      <c r="A396" s="828" t="s">
        <v>17090</v>
      </c>
      <c r="B396" s="3" t="s">
        <v>1408</v>
      </c>
      <c r="C396" s="1" t="s">
        <v>1414</v>
      </c>
      <c r="D396" s="5">
        <f t="shared" si="6"/>
        <v>35</v>
      </c>
      <c r="E396" s="2" t="s">
        <v>5</v>
      </c>
      <c r="F396" s="2" t="s">
        <v>15273</v>
      </c>
      <c r="G396" s="3"/>
      <c r="H396" s="1"/>
      <c r="I396" s="1"/>
      <c r="J396" s="4" t="s">
        <v>16120</v>
      </c>
      <c r="K396" s="1" t="s">
        <v>445</v>
      </c>
      <c r="L396" s="1" t="s">
        <v>14</v>
      </c>
      <c r="M396" s="825">
        <v>1</v>
      </c>
      <c r="N396" s="17">
        <v>1</v>
      </c>
      <c r="O396" s="3" t="s">
        <v>317</v>
      </c>
      <c r="P396" s="20">
        <v>28165</v>
      </c>
      <c r="Q396" s="3" t="s">
        <v>1415</v>
      </c>
      <c r="R396" s="3"/>
      <c r="S396" s="3" t="s">
        <v>5457</v>
      </c>
      <c r="T396" s="3" t="s">
        <v>47</v>
      </c>
      <c r="U396" s="2" t="s">
        <v>47</v>
      </c>
      <c r="V396" s="2"/>
      <c r="W396" s="2"/>
      <c r="X396" s="2"/>
      <c r="Y396" s="2"/>
      <c r="Z396" s="2"/>
      <c r="AA396" s="2"/>
      <c r="AB396" s="2"/>
      <c r="AC396" s="2"/>
      <c r="AD396" s="2"/>
    </row>
    <row r="397" spans="1:30" ht="12" customHeight="1">
      <c r="A397" s="828" t="s">
        <v>17091</v>
      </c>
      <c r="B397" s="3" t="s">
        <v>1409</v>
      </c>
      <c r="C397" s="1" t="s">
        <v>5946</v>
      </c>
      <c r="D397" s="5">
        <f t="shared" si="6"/>
        <v>50</v>
      </c>
      <c r="E397" s="2" t="s">
        <v>5</v>
      </c>
      <c r="F397" s="2" t="s">
        <v>15273</v>
      </c>
      <c r="G397" s="3" t="s">
        <v>5947</v>
      </c>
      <c r="H397" s="1"/>
      <c r="I397" s="1"/>
      <c r="J397" s="4" t="s">
        <v>16125</v>
      </c>
      <c r="K397" s="1"/>
      <c r="L397" s="1" t="s">
        <v>25</v>
      </c>
      <c r="M397" s="825">
        <v>1</v>
      </c>
      <c r="N397" s="17">
        <v>1</v>
      </c>
      <c r="O397" s="3" t="s">
        <v>1271</v>
      </c>
      <c r="P397" s="20">
        <v>22972</v>
      </c>
      <c r="Q397" s="3" t="s">
        <v>5949</v>
      </c>
      <c r="R397" s="3"/>
      <c r="S397" s="3" t="s">
        <v>5561</v>
      </c>
      <c r="T397" s="3" t="s">
        <v>145</v>
      </c>
      <c r="U397" s="2"/>
      <c r="V397" s="2" t="s">
        <v>145</v>
      </c>
      <c r="W397" s="2"/>
      <c r="X397" s="2"/>
      <c r="Y397" s="2"/>
      <c r="Z397" s="2"/>
      <c r="AA397" s="2"/>
      <c r="AB397" s="2"/>
      <c r="AC397" s="2"/>
      <c r="AD397" s="2"/>
    </row>
    <row r="398" spans="1:30" ht="12" customHeight="1">
      <c r="A398" s="828" t="s">
        <v>17092</v>
      </c>
      <c r="B398" s="3" t="s">
        <v>1410</v>
      </c>
      <c r="C398" s="1" t="s">
        <v>1419</v>
      </c>
      <c r="D398" s="5">
        <f t="shared" si="6"/>
        <v>53</v>
      </c>
      <c r="E398" s="2" t="s">
        <v>19</v>
      </c>
      <c r="F398" s="2" t="s">
        <v>15273</v>
      </c>
      <c r="G398" s="3"/>
      <c r="H398" s="1"/>
      <c r="I398" s="1"/>
      <c r="J398" s="4" t="s">
        <v>16128</v>
      </c>
      <c r="K398" s="1"/>
      <c r="L398" s="1" t="s">
        <v>6</v>
      </c>
      <c r="M398" s="825"/>
      <c r="N398" s="17"/>
      <c r="O398" s="3" t="s">
        <v>1420</v>
      </c>
      <c r="P398" s="20">
        <v>21778</v>
      </c>
      <c r="Q398" s="3" t="s">
        <v>1421</v>
      </c>
      <c r="R398" s="3"/>
      <c r="S398" s="3" t="s">
        <v>6031</v>
      </c>
      <c r="T398" s="3" t="s">
        <v>145</v>
      </c>
      <c r="U398" s="2"/>
      <c r="V398" s="2" t="s">
        <v>145</v>
      </c>
      <c r="W398" s="2"/>
      <c r="X398" s="2"/>
      <c r="Y398" s="2"/>
      <c r="Z398" s="2"/>
      <c r="AA398" s="2"/>
      <c r="AB398" s="2"/>
      <c r="AC398" s="2"/>
      <c r="AD398" s="2"/>
    </row>
    <row r="399" spans="1:30" ht="12" customHeight="1">
      <c r="A399" s="828" t="s">
        <v>17093</v>
      </c>
      <c r="B399" s="3" t="s">
        <v>5945</v>
      </c>
      <c r="C399" s="1" t="s">
        <v>1416</v>
      </c>
      <c r="D399" s="5">
        <f t="shared" si="6"/>
        <v>54</v>
      </c>
      <c r="E399" s="2" t="s">
        <v>5</v>
      </c>
      <c r="F399" s="2"/>
      <c r="G399" s="3"/>
      <c r="H399" s="1"/>
      <c r="I399" s="1"/>
      <c r="J399" s="4" t="s">
        <v>16117</v>
      </c>
      <c r="K399" s="1"/>
      <c r="L399" s="1" t="s">
        <v>6</v>
      </c>
      <c r="M399" s="825"/>
      <c r="N399" s="17"/>
      <c r="O399" s="3" t="s">
        <v>1417</v>
      </c>
      <c r="P399" s="21">
        <v>21492</v>
      </c>
      <c r="Q399" s="3" t="s">
        <v>53</v>
      </c>
      <c r="R399" s="3"/>
      <c r="S399" s="3"/>
      <c r="T399" s="3"/>
      <c r="U399" s="2"/>
      <c r="V399" s="2"/>
      <c r="W399" s="2"/>
      <c r="X399" s="2"/>
      <c r="Y399" s="2"/>
      <c r="Z399" s="2"/>
      <c r="AA399" s="2"/>
      <c r="AB399" s="2"/>
      <c r="AC399" s="2"/>
      <c r="AD399" s="2"/>
    </row>
    <row r="400" spans="1:30" ht="12" customHeight="1">
      <c r="A400" s="828" t="s">
        <v>17094</v>
      </c>
      <c r="B400" s="3" t="s">
        <v>1422</v>
      </c>
      <c r="C400" s="1" t="s">
        <v>5219</v>
      </c>
      <c r="D400" s="5">
        <f t="shared" si="6"/>
        <v>53</v>
      </c>
      <c r="E400" s="2" t="s">
        <v>19</v>
      </c>
      <c r="F400" s="6" t="s">
        <v>15273</v>
      </c>
      <c r="G400" s="3"/>
      <c r="H400" s="1"/>
      <c r="I400" s="1"/>
      <c r="J400" s="8" t="s">
        <v>16126</v>
      </c>
      <c r="K400" s="1" t="s">
        <v>44</v>
      </c>
      <c r="L400" s="1" t="s">
        <v>6</v>
      </c>
      <c r="M400" s="825"/>
      <c r="N400" s="17"/>
      <c r="O400" s="3" t="s">
        <v>5638</v>
      </c>
      <c r="P400" s="20">
        <v>21851</v>
      </c>
      <c r="Q400" s="3" t="s">
        <v>5639</v>
      </c>
      <c r="R400" s="3"/>
      <c r="S400" s="3" t="s">
        <v>736</v>
      </c>
      <c r="T400" s="3" t="s">
        <v>145</v>
      </c>
      <c r="U400" s="2"/>
      <c r="V400" s="2" t="s">
        <v>145</v>
      </c>
      <c r="W400" s="2"/>
      <c r="X400" s="2"/>
      <c r="Y400" s="2"/>
      <c r="Z400" s="2"/>
      <c r="AA400" s="2"/>
      <c r="AB400" s="2"/>
      <c r="AC400" s="2"/>
      <c r="AD400" s="2"/>
    </row>
    <row r="401" spans="1:30" ht="12" customHeight="1">
      <c r="A401" s="828" t="s">
        <v>17095</v>
      </c>
      <c r="B401" s="3" t="s">
        <v>1423</v>
      </c>
      <c r="C401" s="1" t="s">
        <v>1426</v>
      </c>
      <c r="D401" s="5">
        <f t="shared" si="6"/>
        <v>48</v>
      </c>
      <c r="E401" s="2" t="s">
        <v>5</v>
      </c>
      <c r="F401" s="2" t="s">
        <v>15273</v>
      </c>
      <c r="G401" s="3"/>
      <c r="H401" s="1"/>
      <c r="I401" s="1"/>
      <c r="J401" s="8" t="s">
        <v>16120</v>
      </c>
      <c r="K401" s="1" t="s">
        <v>934</v>
      </c>
      <c r="L401" s="1" t="s">
        <v>14</v>
      </c>
      <c r="M401" s="825">
        <v>1</v>
      </c>
      <c r="N401" s="17">
        <v>1</v>
      </c>
      <c r="O401" s="3" t="s">
        <v>695</v>
      </c>
      <c r="P401" s="20">
        <v>23475</v>
      </c>
      <c r="Q401" s="3" t="s">
        <v>1427</v>
      </c>
      <c r="R401" s="3"/>
      <c r="S401" s="3" t="s">
        <v>5457</v>
      </c>
      <c r="T401" s="3" t="s">
        <v>145</v>
      </c>
      <c r="U401" s="2"/>
      <c r="V401" s="2" t="s">
        <v>145</v>
      </c>
      <c r="W401" s="2"/>
      <c r="X401" s="2"/>
      <c r="Y401" s="2"/>
      <c r="Z401" s="2"/>
      <c r="AA401" s="2"/>
      <c r="AB401" s="2"/>
      <c r="AC401" s="2"/>
      <c r="AD401" s="2"/>
    </row>
    <row r="402" spans="1:30" ht="12" customHeight="1">
      <c r="A402" s="828" t="s">
        <v>17096</v>
      </c>
      <c r="B402" s="3" t="s">
        <v>1424</v>
      </c>
      <c r="C402" s="1" t="s">
        <v>1430</v>
      </c>
      <c r="D402" s="5">
        <f t="shared" si="6"/>
        <v>56</v>
      </c>
      <c r="E402" s="2" t="s">
        <v>5</v>
      </c>
      <c r="F402" s="2" t="s">
        <v>15273</v>
      </c>
      <c r="G402" s="3" t="s">
        <v>1431</v>
      </c>
      <c r="H402" s="1"/>
      <c r="I402" s="1"/>
      <c r="J402" s="4" t="s">
        <v>16128</v>
      </c>
      <c r="K402" s="1"/>
      <c r="L402" s="1" t="s">
        <v>25</v>
      </c>
      <c r="M402" s="825">
        <v>3</v>
      </c>
      <c r="N402" s="17">
        <v>3</v>
      </c>
      <c r="O402" s="3" t="s">
        <v>317</v>
      </c>
      <c r="P402" s="20">
        <v>20573</v>
      </c>
      <c r="Q402" s="3" t="s">
        <v>1432</v>
      </c>
      <c r="R402" s="3" t="s">
        <v>1433</v>
      </c>
      <c r="S402" s="3"/>
      <c r="T402" s="3" t="s">
        <v>47</v>
      </c>
      <c r="U402" s="2" t="s">
        <v>47</v>
      </c>
      <c r="V402" s="2"/>
      <c r="W402" s="2"/>
      <c r="X402" s="2"/>
      <c r="Y402" s="2"/>
      <c r="Z402" s="2"/>
      <c r="AA402" s="2"/>
      <c r="AB402" s="2"/>
      <c r="AC402" s="2"/>
      <c r="AD402" s="2"/>
    </row>
    <row r="403" spans="1:30" ht="12" customHeight="1">
      <c r="A403" s="828" t="s">
        <v>17097</v>
      </c>
      <c r="B403" s="3" t="s">
        <v>1425</v>
      </c>
      <c r="C403" s="1" t="s">
        <v>1428</v>
      </c>
      <c r="D403" s="5">
        <f t="shared" si="6"/>
        <v>39</v>
      </c>
      <c r="E403" s="2" t="s">
        <v>5</v>
      </c>
      <c r="F403" s="2"/>
      <c r="G403" s="3"/>
      <c r="H403" s="1"/>
      <c r="I403" s="1"/>
      <c r="J403" s="4" t="s">
        <v>16117</v>
      </c>
      <c r="K403" s="1"/>
      <c r="L403" s="1" t="s">
        <v>6</v>
      </c>
      <c r="M403" s="825"/>
      <c r="N403" s="17"/>
      <c r="O403" s="3" t="s">
        <v>983</v>
      </c>
      <c r="P403" s="21">
        <v>26766</v>
      </c>
      <c r="Q403" s="3" t="s">
        <v>1429</v>
      </c>
      <c r="R403" s="3"/>
      <c r="S403" s="3"/>
      <c r="T403" s="3"/>
      <c r="U403" s="2"/>
      <c r="V403" s="2"/>
      <c r="W403" s="2"/>
      <c r="X403" s="2"/>
      <c r="Y403" s="2"/>
      <c r="Z403" s="2"/>
      <c r="AA403" s="2"/>
      <c r="AB403" s="2"/>
      <c r="AC403" s="2"/>
      <c r="AD403" s="2"/>
    </row>
    <row r="404" spans="1:30" ht="12" customHeight="1">
      <c r="A404" s="828" t="s">
        <v>17098</v>
      </c>
      <c r="B404" s="3" t="s">
        <v>1442</v>
      </c>
      <c r="C404" s="1" t="s">
        <v>1446</v>
      </c>
      <c r="D404" s="5">
        <f t="shared" si="6"/>
        <v>47</v>
      </c>
      <c r="E404" s="2" t="s">
        <v>5</v>
      </c>
      <c r="F404" s="6" t="s">
        <v>15273</v>
      </c>
      <c r="G404" s="3" t="s">
        <v>1447</v>
      </c>
      <c r="H404" s="1"/>
      <c r="I404" s="1"/>
      <c r="J404" s="8" t="s">
        <v>16127</v>
      </c>
      <c r="K404" s="1" t="s">
        <v>44</v>
      </c>
      <c r="L404" s="1" t="s">
        <v>25</v>
      </c>
      <c r="M404" s="825">
        <v>3</v>
      </c>
      <c r="N404" s="17">
        <v>3</v>
      </c>
      <c r="O404" s="3" t="s">
        <v>31</v>
      </c>
      <c r="P404" s="20">
        <v>23745</v>
      </c>
      <c r="Q404" s="3" t="s">
        <v>1448</v>
      </c>
      <c r="R404" s="3" t="s">
        <v>1449</v>
      </c>
      <c r="S404" s="3" t="s">
        <v>736</v>
      </c>
      <c r="T404" s="3" t="s">
        <v>155</v>
      </c>
      <c r="U404" s="2"/>
      <c r="V404" s="2"/>
      <c r="W404" s="2"/>
      <c r="X404" s="2"/>
      <c r="Y404" s="2" t="s">
        <v>155</v>
      </c>
      <c r="Z404" s="2"/>
      <c r="AA404" s="2"/>
      <c r="AB404" s="2"/>
      <c r="AC404" s="2"/>
      <c r="AD404" s="2"/>
    </row>
    <row r="405" spans="1:30" ht="12" customHeight="1">
      <c r="A405" s="828" t="s">
        <v>17099</v>
      </c>
      <c r="B405" s="3" t="s">
        <v>1443</v>
      </c>
      <c r="C405" s="1" t="s">
        <v>1451</v>
      </c>
      <c r="D405" s="5">
        <f t="shared" si="6"/>
        <v>44</v>
      </c>
      <c r="E405" s="2" t="s">
        <v>5</v>
      </c>
      <c r="F405" s="2" t="s">
        <v>15273</v>
      </c>
      <c r="G405" s="3"/>
      <c r="H405" s="1"/>
      <c r="I405" s="1"/>
      <c r="J405" s="4" t="s">
        <v>16120</v>
      </c>
      <c r="K405" s="1" t="s">
        <v>30</v>
      </c>
      <c r="L405" s="1" t="s">
        <v>6</v>
      </c>
      <c r="M405" s="825"/>
      <c r="N405" s="17"/>
      <c r="O405" s="3" t="s">
        <v>1089</v>
      </c>
      <c r="P405" s="20">
        <v>25097</v>
      </c>
      <c r="Q405" s="3" t="s">
        <v>1452</v>
      </c>
      <c r="R405" s="3"/>
      <c r="S405" s="3" t="s">
        <v>5457</v>
      </c>
      <c r="T405" s="3"/>
      <c r="U405" s="2"/>
      <c r="V405" s="2"/>
      <c r="W405" s="2"/>
      <c r="X405" s="2"/>
      <c r="Y405" s="2"/>
      <c r="Z405" s="2"/>
      <c r="AA405" s="2"/>
      <c r="AB405" s="2"/>
      <c r="AC405" s="2"/>
      <c r="AD405" s="2"/>
    </row>
    <row r="406" spans="1:30" ht="12" customHeight="1">
      <c r="A406" s="828" t="s">
        <v>17100</v>
      </c>
      <c r="B406" s="3" t="s">
        <v>1444</v>
      </c>
      <c r="C406" s="1" t="s">
        <v>1454</v>
      </c>
      <c r="D406" s="5">
        <f t="shared" si="6"/>
        <v>37</v>
      </c>
      <c r="E406" s="2" t="s">
        <v>5</v>
      </c>
      <c r="F406" s="2" t="s">
        <v>15273</v>
      </c>
      <c r="G406" s="3"/>
      <c r="H406" s="1"/>
      <c r="I406" s="1"/>
      <c r="J406" s="4" t="s">
        <v>16128</v>
      </c>
      <c r="K406" s="1"/>
      <c r="L406" s="1" t="s">
        <v>6</v>
      </c>
      <c r="M406" s="825"/>
      <c r="N406" s="17"/>
      <c r="O406" s="3" t="s">
        <v>302</v>
      </c>
      <c r="P406" s="20">
        <v>27718</v>
      </c>
      <c r="Q406" s="3" t="s">
        <v>1456</v>
      </c>
      <c r="R406" s="3"/>
      <c r="S406" s="3" t="s">
        <v>6031</v>
      </c>
      <c r="T406" s="3" t="s">
        <v>147</v>
      </c>
      <c r="U406" s="2"/>
      <c r="V406" s="2"/>
      <c r="W406" s="2"/>
      <c r="X406" s="2"/>
      <c r="Y406" s="2"/>
      <c r="Z406" s="2"/>
      <c r="AA406" s="2"/>
      <c r="AB406" s="2" t="s">
        <v>147</v>
      </c>
      <c r="AC406" s="2"/>
      <c r="AD406" s="2"/>
    </row>
    <row r="407" spans="1:30" ht="12" customHeight="1">
      <c r="A407" s="828" t="s">
        <v>17101</v>
      </c>
      <c r="B407" s="3" t="s">
        <v>1445</v>
      </c>
      <c r="C407" s="1" t="s">
        <v>1453</v>
      </c>
      <c r="D407" s="5">
        <f t="shared" si="6"/>
        <v>36</v>
      </c>
      <c r="E407" s="2" t="s">
        <v>5</v>
      </c>
      <c r="F407" s="2"/>
      <c r="G407" s="3"/>
      <c r="H407" s="1"/>
      <c r="I407" s="1"/>
      <c r="J407" s="4" t="s">
        <v>16117</v>
      </c>
      <c r="K407" s="1"/>
      <c r="L407" s="1" t="s">
        <v>6</v>
      </c>
      <c r="M407" s="825"/>
      <c r="N407" s="17"/>
      <c r="O407" s="3" t="s">
        <v>1265</v>
      </c>
      <c r="P407" s="21">
        <v>27972</v>
      </c>
      <c r="Q407" s="3" t="s">
        <v>16107</v>
      </c>
      <c r="R407" s="3"/>
      <c r="S407" s="3"/>
      <c r="T407" s="3"/>
      <c r="U407" s="2"/>
      <c r="V407" s="2"/>
      <c r="W407" s="2"/>
      <c r="X407" s="2"/>
      <c r="Y407" s="2"/>
      <c r="Z407" s="2"/>
      <c r="AA407" s="2"/>
      <c r="AB407" s="2"/>
      <c r="AC407" s="2"/>
      <c r="AD407" s="2"/>
    </row>
    <row r="408" spans="1:30" ht="12" customHeight="1">
      <c r="A408" s="828" t="s">
        <v>17102</v>
      </c>
      <c r="B408" s="3" t="s">
        <v>1459</v>
      </c>
      <c r="C408" s="1" t="s">
        <v>1463</v>
      </c>
      <c r="D408" s="5">
        <f t="shared" si="6"/>
        <v>65</v>
      </c>
      <c r="E408" s="2" t="s">
        <v>5</v>
      </c>
      <c r="F408" s="6" t="s">
        <v>15273</v>
      </c>
      <c r="G408" s="3" t="s">
        <v>1458</v>
      </c>
      <c r="H408" s="1"/>
      <c r="I408" s="1"/>
      <c r="J408" s="8" t="s">
        <v>16127</v>
      </c>
      <c r="K408" s="1" t="s">
        <v>681</v>
      </c>
      <c r="L408" s="1" t="s">
        <v>25</v>
      </c>
      <c r="M408" s="825">
        <v>4</v>
      </c>
      <c r="N408" s="17">
        <v>4</v>
      </c>
      <c r="O408" s="3" t="s">
        <v>317</v>
      </c>
      <c r="P408" s="20">
        <v>17168</v>
      </c>
      <c r="Q408" s="3" t="s">
        <v>1466</v>
      </c>
      <c r="R408" s="3" t="s">
        <v>1467</v>
      </c>
      <c r="S408" s="3" t="s">
        <v>736</v>
      </c>
      <c r="T408" s="3" t="s">
        <v>69</v>
      </c>
      <c r="U408" s="2"/>
      <c r="V408" s="2"/>
      <c r="W408" s="2"/>
      <c r="X408" s="2"/>
      <c r="Y408" s="2"/>
      <c r="Z408" s="2"/>
      <c r="AA408" s="2"/>
      <c r="AB408" s="2"/>
      <c r="AC408" s="2"/>
      <c r="AD408" s="2" t="s">
        <v>69</v>
      </c>
    </row>
    <row r="409" spans="1:30" ht="12" customHeight="1">
      <c r="A409" s="828" t="s">
        <v>17103</v>
      </c>
      <c r="B409" s="3" t="s">
        <v>1460</v>
      </c>
      <c r="C409" s="1" t="s">
        <v>1468</v>
      </c>
      <c r="D409" s="5">
        <f t="shared" si="6"/>
        <v>63</v>
      </c>
      <c r="E409" s="2" t="s">
        <v>5</v>
      </c>
      <c r="F409" s="2" t="s">
        <v>15273</v>
      </c>
      <c r="G409" s="3" t="s">
        <v>1469</v>
      </c>
      <c r="H409" s="1"/>
      <c r="I409" s="1"/>
      <c r="J409" s="4" t="s">
        <v>16120</v>
      </c>
      <c r="K409" s="1" t="s">
        <v>934</v>
      </c>
      <c r="L409" s="1" t="s">
        <v>25</v>
      </c>
      <c r="M409" s="825">
        <v>5</v>
      </c>
      <c r="N409" s="17">
        <v>5</v>
      </c>
      <c r="O409" s="3" t="s">
        <v>95</v>
      </c>
      <c r="P409" s="20">
        <v>17919</v>
      </c>
      <c r="Q409" s="3" t="s">
        <v>1470</v>
      </c>
      <c r="R409" s="3" t="s">
        <v>1471</v>
      </c>
      <c r="S409" s="3" t="s">
        <v>5457</v>
      </c>
      <c r="T409" s="3" t="s">
        <v>145</v>
      </c>
      <c r="U409" s="2"/>
      <c r="V409" s="2" t="s">
        <v>145</v>
      </c>
      <c r="W409" s="2"/>
      <c r="X409" s="2"/>
      <c r="Y409" s="2"/>
      <c r="Z409" s="2"/>
      <c r="AA409" s="2"/>
      <c r="AB409" s="2"/>
      <c r="AC409" s="2"/>
      <c r="AD409" s="2"/>
    </row>
    <row r="410" spans="1:30" ht="12" customHeight="1">
      <c r="A410" s="828" t="s">
        <v>17104</v>
      </c>
      <c r="B410" s="3" t="s">
        <v>1461</v>
      </c>
      <c r="C410" s="1" t="s">
        <v>5624</v>
      </c>
      <c r="D410" s="5">
        <f t="shared" si="6"/>
        <v>62</v>
      </c>
      <c r="E410" s="2" t="s">
        <v>5</v>
      </c>
      <c r="F410" s="2" t="s">
        <v>15273</v>
      </c>
      <c r="G410" s="3"/>
      <c r="H410" s="1"/>
      <c r="I410" s="1"/>
      <c r="J410" s="4" t="s">
        <v>16116</v>
      </c>
      <c r="K410" s="1" t="s">
        <v>4422</v>
      </c>
      <c r="L410" s="1" t="s">
        <v>6</v>
      </c>
      <c r="M410" s="825"/>
      <c r="N410" s="17"/>
      <c r="O410" s="3" t="s">
        <v>172</v>
      </c>
      <c r="P410" s="20">
        <v>18272</v>
      </c>
      <c r="Q410" s="3" t="s">
        <v>5626</v>
      </c>
      <c r="R410" s="3"/>
      <c r="S410" s="3"/>
      <c r="T410" s="3" t="s">
        <v>145</v>
      </c>
      <c r="U410" s="2"/>
      <c r="V410" s="2" t="s">
        <v>145</v>
      </c>
      <c r="W410" s="2"/>
      <c r="X410" s="2"/>
      <c r="Y410" s="2"/>
      <c r="Z410" s="2"/>
      <c r="AA410" s="2"/>
      <c r="AB410" s="2"/>
      <c r="AC410" s="2"/>
      <c r="AD410" s="2"/>
    </row>
    <row r="411" spans="1:30" ht="12" customHeight="1">
      <c r="A411" s="828" t="s">
        <v>17105</v>
      </c>
      <c r="B411" s="3" t="s">
        <v>1462</v>
      </c>
      <c r="C411" s="1" t="s">
        <v>1474</v>
      </c>
      <c r="D411" s="5">
        <f t="shared" si="6"/>
        <v>47</v>
      </c>
      <c r="E411" s="2" t="s">
        <v>5</v>
      </c>
      <c r="F411" s="2" t="s">
        <v>15273</v>
      </c>
      <c r="G411" s="3"/>
      <c r="H411" s="1"/>
      <c r="I411" s="1"/>
      <c r="J411" s="4" t="s">
        <v>16128</v>
      </c>
      <c r="K411" s="1"/>
      <c r="L411" s="1" t="s">
        <v>6</v>
      </c>
      <c r="M411" s="825"/>
      <c r="N411" s="17"/>
      <c r="O411" s="3" t="s">
        <v>317</v>
      </c>
      <c r="P411" s="20">
        <v>23762</v>
      </c>
      <c r="Q411" s="3" t="s">
        <v>1475</v>
      </c>
      <c r="R411" s="3"/>
      <c r="S411" s="3"/>
      <c r="T411" s="3"/>
      <c r="U411" s="2"/>
      <c r="V411" s="2"/>
      <c r="W411" s="2"/>
      <c r="X411" s="2"/>
      <c r="Y411" s="2"/>
      <c r="Z411" s="2"/>
      <c r="AA411" s="2"/>
      <c r="AB411" s="2"/>
      <c r="AC411" s="2"/>
      <c r="AD411" s="2"/>
    </row>
    <row r="412" spans="1:30" ht="12" customHeight="1">
      <c r="A412" s="828" t="s">
        <v>17106</v>
      </c>
      <c r="B412" s="3" t="s">
        <v>5623</v>
      </c>
      <c r="C412" s="1" t="s">
        <v>1472</v>
      </c>
      <c r="D412" s="5">
        <f t="shared" si="6"/>
        <v>54</v>
      </c>
      <c r="E412" s="2" t="s">
        <v>5</v>
      </c>
      <c r="F412" s="2"/>
      <c r="G412" s="3"/>
      <c r="H412" s="1"/>
      <c r="I412" s="1"/>
      <c r="J412" s="4" t="s">
        <v>16117</v>
      </c>
      <c r="K412" s="1"/>
      <c r="L412" s="1" t="s">
        <v>6</v>
      </c>
      <c r="M412" s="825"/>
      <c r="N412" s="17"/>
      <c r="O412" s="3" t="s">
        <v>983</v>
      </c>
      <c r="P412" s="21">
        <v>21291</v>
      </c>
      <c r="Q412" s="3" t="s">
        <v>1473</v>
      </c>
      <c r="R412" s="3"/>
      <c r="S412" s="3"/>
      <c r="T412" s="3"/>
      <c r="U412" s="2"/>
      <c r="V412" s="2"/>
      <c r="W412" s="2"/>
      <c r="X412" s="2"/>
      <c r="Y412" s="2"/>
      <c r="Z412" s="2"/>
      <c r="AA412" s="2"/>
      <c r="AB412" s="2"/>
      <c r="AC412" s="2"/>
      <c r="AD412" s="2"/>
    </row>
    <row r="413" spans="1:30" ht="12" customHeight="1">
      <c r="A413" s="828" t="s">
        <v>17107</v>
      </c>
      <c r="B413" s="3" t="s">
        <v>1476</v>
      </c>
      <c r="C413" s="1" t="s">
        <v>4411</v>
      </c>
      <c r="D413" s="5">
        <f t="shared" si="6"/>
        <v>30</v>
      </c>
      <c r="E413" s="2" t="s">
        <v>5</v>
      </c>
      <c r="F413" s="6" t="s">
        <v>15273</v>
      </c>
      <c r="G413" s="3"/>
      <c r="H413" s="1"/>
      <c r="I413" s="1"/>
      <c r="J413" s="8" t="s">
        <v>16126</v>
      </c>
      <c r="K413" s="1" t="s">
        <v>44</v>
      </c>
      <c r="L413" s="1" t="s">
        <v>6</v>
      </c>
      <c r="M413" s="825"/>
      <c r="N413" s="17"/>
      <c r="O413" s="3" t="s">
        <v>4431</v>
      </c>
      <c r="P413" s="20">
        <v>30216</v>
      </c>
      <c r="Q413" s="3" t="s">
        <v>4432</v>
      </c>
      <c r="R413" s="3"/>
      <c r="S413" s="3" t="s">
        <v>736</v>
      </c>
      <c r="T413" s="3"/>
      <c r="U413" s="2"/>
      <c r="V413" s="2"/>
      <c r="W413" s="2"/>
      <c r="X413" s="2"/>
      <c r="Y413" s="2"/>
      <c r="Z413" s="2"/>
      <c r="AA413" s="2"/>
      <c r="AB413" s="2"/>
      <c r="AC413" s="2"/>
      <c r="AD413" s="2"/>
    </row>
    <row r="414" spans="1:30" ht="12" customHeight="1">
      <c r="A414" s="828" t="s">
        <v>17108</v>
      </c>
      <c r="B414" s="3" t="s">
        <v>1477</v>
      </c>
      <c r="C414" s="1" t="s">
        <v>1479</v>
      </c>
      <c r="D414" s="5">
        <f t="shared" si="6"/>
        <v>31</v>
      </c>
      <c r="E414" s="2" t="s">
        <v>5</v>
      </c>
      <c r="F414" s="2"/>
      <c r="G414" s="3" t="s">
        <v>1480</v>
      </c>
      <c r="H414" s="1"/>
      <c r="I414" s="1"/>
      <c r="J414" s="8" t="s">
        <v>16120</v>
      </c>
      <c r="K414" s="1" t="s">
        <v>30</v>
      </c>
      <c r="L414" s="1" t="s">
        <v>25</v>
      </c>
      <c r="M414" s="825">
        <v>1</v>
      </c>
      <c r="N414" s="17">
        <v>1</v>
      </c>
      <c r="O414" s="3" t="s">
        <v>1481</v>
      </c>
      <c r="P414" s="20">
        <v>29690</v>
      </c>
      <c r="Q414" s="3" t="s">
        <v>1482</v>
      </c>
      <c r="R414" s="3"/>
      <c r="S414" s="3"/>
      <c r="T414" s="3" t="s">
        <v>104</v>
      </c>
      <c r="U414" s="2"/>
      <c r="V414" s="2"/>
      <c r="W414" s="2"/>
      <c r="X414" s="2"/>
      <c r="Y414" s="2"/>
      <c r="Z414" s="2"/>
      <c r="AA414" s="2" t="s">
        <v>104</v>
      </c>
      <c r="AB414" s="2"/>
      <c r="AC414" s="2"/>
      <c r="AD414" s="2"/>
    </row>
    <row r="415" spans="1:30" ht="12" customHeight="1">
      <c r="A415" s="828" t="s">
        <v>17109</v>
      </c>
      <c r="B415" s="3" t="s">
        <v>1478</v>
      </c>
      <c r="C415" s="1" t="s">
        <v>1484</v>
      </c>
      <c r="D415" s="5">
        <f t="shared" si="6"/>
        <v>64</v>
      </c>
      <c r="E415" s="2" t="s">
        <v>5</v>
      </c>
      <c r="F415" s="2"/>
      <c r="G415" s="3"/>
      <c r="H415" s="1"/>
      <c r="I415" s="1"/>
      <c r="J415" s="4" t="s">
        <v>16117</v>
      </c>
      <c r="K415" s="1"/>
      <c r="L415" s="1" t="s">
        <v>6</v>
      </c>
      <c r="M415" s="825"/>
      <c r="N415" s="17"/>
      <c r="O415" s="3" t="s">
        <v>1485</v>
      </c>
      <c r="P415" s="21">
        <v>17565</v>
      </c>
      <c r="Q415" s="3" t="s">
        <v>16108</v>
      </c>
      <c r="R415" s="3"/>
      <c r="S415" s="3"/>
      <c r="T415" s="3"/>
      <c r="U415" s="2"/>
      <c r="V415" s="2"/>
      <c r="W415" s="2"/>
      <c r="X415" s="2"/>
      <c r="Y415" s="2"/>
      <c r="Z415" s="2"/>
      <c r="AA415" s="2"/>
      <c r="AB415" s="2"/>
      <c r="AC415" s="2"/>
      <c r="AD415" s="2"/>
    </row>
    <row r="416" spans="1:30" ht="12" customHeight="1">
      <c r="A416" s="828" t="s">
        <v>17110</v>
      </c>
      <c r="B416" s="3" t="s">
        <v>15984</v>
      </c>
      <c r="C416" s="1" t="s">
        <v>15986</v>
      </c>
      <c r="D416" s="5">
        <f t="shared" si="6"/>
        <v>64</v>
      </c>
      <c r="E416" s="2" t="s">
        <v>5</v>
      </c>
      <c r="F416" s="2"/>
      <c r="G416" s="3"/>
      <c r="H416" s="1"/>
      <c r="I416" s="1"/>
      <c r="J416" s="4" t="s">
        <v>16129</v>
      </c>
      <c r="K416" s="1"/>
      <c r="L416" s="1" t="s">
        <v>6</v>
      </c>
      <c r="M416" s="825"/>
      <c r="N416" s="17"/>
      <c r="O416" s="3" t="s">
        <v>1493</v>
      </c>
      <c r="P416" s="21">
        <v>17722</v>
      </c>
      <c r="Q416" s="3" t="s">
        <v>16304</v>
      </c>
      <c r="R416" s="3"/>
      <c r="S416" s="3"/>
      <c r="T416" s="3"/>
      <c r="U416" s="2"/>
      <c r="V416" s="2"/>
      <c r="W416" s="2"/>
      <c r="X416" s="2"/>
      <c r="Y416" s="2"/>
      <c r="Z416" s="2"/>
      <c r="AA416" s="2"/>
      <c r="AB416" s="2"/>
      <c r="AC416" s="2"/>
      <c r="AD416" s="2"/>
    </row>
    <row r="417" spans="1:30" ht="12" customHeight="1">
      <c r="A417" s="828" t="s">
        <v>17111</v>
      </c>
      <c r="B417" s="3" t="s">
        <v>15985</v>
      </c>
      <c r="C417" s="1" t="s">
        <v>15987</v>
      </c>
      <c r="D417" s="5">
        <f t="shared" si="6"/>
        <v>54</v>
      </c>
      <c r="E417" s="2" t="s">
        <v>5</v>
      </c>
      <c r="F417" s="2"/>
      <c r="G417" s="3"/>
      <c r="H417" s="1"/>
      <c r="I417" s="1"/>
      <c r="J417" s="8" t="s">
        <v>16129</v>
      </c>
      <c r="K417" s="1"/>
      <c r="L417" s="1" t="s">
        <v>6</v>
      </c>
      <c r="M417" s="825"/>
      <c r="N417" s="17"/>
      <c r="O417" s="3" t="s">
        <v>1485</v>
      </c>
      <c r="P417" s="21">
        <v>21534</v>
      </c>
      <c r="Q417" s="3" t="s">
        <v>16304</v>
      </c>
      <c r="R417" s="3"/>
      <c r="S417" s="3"/>
      <c r="T417" s="3"/>
      <c r="U417" s="2"/>
      <c r="V417" s="2"/>
      <c r="W417" s="2"/>
      <c r="X417" s="2"/>
      <c r="Y417" s="2"/>
      <c r="Z417" s="2"/>
      <c r="AA417" s="2"/>
      <c r="AB417" s="2"/>
      <c r="AC417" s="2"/>
      <c r="AD417" s="2"/>
    </row>
    <row r="418" spans="1:30" ht="12" customHeight="1">
      <c r="A418" s="828" t="s">
        <v>17112</v>
      </c>
      <c r="B418" s="3" t="s">
        <v>1486</v>
      </c>
      <c r="C418" s="1" t="s">
        <v>1490</v>
      </c>
      <c r="D418" s="5">
        <f t="shared" si="6"/>
        <v>47</v>
      </c>
      <c r="E418" s="2" t="s">
        <v>5</v>
      </c>
      <c r="F418" s="6" t="s">
        <v>15273</v>
      </c>
      <c r="G418" s="3" t="s">
        <v>1491</v>
      </c>
      <c r="H418" s="1"/>
      <c r="I418" s="1"/>
      <c r="J418" s="8" t="s">
        <v>16127</v>
      </c>
      <c r="K418" s="1" t="s">
        <v>737</v>
      </c>
      <c r="L418" s="1" t="s">
        <v>25</v>
      </c>
      <c r="M418" s="825">
        <v>3</v>
      </c>
      <c r="N418" s="17">
        <v>3</v>
      </c>
      <c r="O418" s="3" t="s">
        <v>1493</v>
      </c>
      <c r="P418" s="20">
        <v>23836</v>
      </c>
      <c r="Q418" s="3" t="s">
        <v>1494</v>
      </c>
      <c r="R418" s="3" t="s">
        <v>1495</v>
      </c>
      <c r="S418" s="3" t="s">
        <v>736</v>
      </c>
      <c r="T418" s="3"/>
      <c r="U418" s="2"/>
      <c r="V418" s="2"/>
      <c r="W418" s="2"/>
      <c r="X418" s="2"/>
      <c r="Y418" s="2"/>
      <c r="Z418" s="2"/>
      <c r="AA418" s="2"/>
      <c r="AB418" s="2"/>
      <c r="AC418" s="2"/>
      <c r="AD418" s="2"/>
    </row>
    <row r="419" spans="1:30" ht="12" customHeight="1">
      <c r="A419" s="828" t="s">
        <v>17113</v>
      </c>
      <c r="B419" s="3" t="s">
        <v>1487</v>
      </c>
      <c r="C419" s="1" t="s">
        <v>1496</v>
      </c>
      <c r="D419" s="5">
        <f t="shared" si="6"/>
        <v>49</v>
      </c>
      <c r="E419" s="2" t="s">
        <v>5</v>
      </c>
      <c r="F419" s="2" t="s">
        <v>15273</v>
      </c>
      <c r="G419" s="3"/>
      <c r="H419" s="1"/>
      <c r="I419" s="1"/>
      <c r="J419" s="4" t="s">
        <v>16120</v>
      </c>
      <c r="K419" s="1" t="s">
        <v>30</v>
      </c>
      <c r="L419" s="1" t="s">
        <v>6</v>
      </c>
      <c r="M419" s="825"/>
      <c r="N419" s="17"/>
      <c r="O419" s="3" t="s">
        <v>172</v>
      </c>
      <c r="P419" s="20">
        <v>23231</v>
      </c>
      <c r="Q419" s="3" t="s">
        <v>1498</v>
      </c>
      <c r="R419" s="3"/>
      <c r="S419" s="3" t="s">
        <v>5457</v>
      </c>
      <c r="T419" s="3" t="s">
        <v>173</v>
      </c>
      <c r="U419" s="2"/>
      <c r="V419" s="2" t="s">
        <v>145</v>
      </c>
      <c r="W419" s="2"/>
      <c r="X419" s="2"/>
      <c r="Y419" s="2" t="s">
        <v>155</v>
      </c>
      <c r="Z419" s="2"/>
      <c r="AA419" s="2"/>
      <c r="AB419" s="2"/>
      <c r="AC419" s="2"/>
      <c r="AD419" s="2"/>
    </row>
    <row r="420" spans="1:30" ht="12" customHeight="1">
      <c r="A420" s="828" t="s">
        <v>17114</v>
      </c>
      <c r="B420" s="3" t="s">
        <v>1488</v>
      </c>
      <c r="C420" s="1" t="s">
        <v>1500</v>
      </c>
      <c r="D420" s="5">
        <f t="shared" si="6"/>
        <v>64</v>
      </c>
      <c r="E420" s="2" t="s">
        <v>19</v>
      </c>
      <c r="F420" s="2" t="s">
        <v>15273</v>
      </c>
      <c r="G420" s="3" t="s">
        <v>1501</v>
      </c>
      <c r="H420" s="1"/>
      <c r="I420" s="1"/>
      <c r="J420" s="4" t="s">
        <v>16125</v>
      </c>
      <c r="K420" s="1"/>
      <c r="L420" s="1" t="s">
        <v>25</v>
      </c>
      <c r="M420" s="825">
        <v>4</v>
      </c>
      <c r="N420" s="17">
        <v>4</v>
      </c>
      <c r="O420" s="3" t="s">
        <v>317</v>
      </c>
      <c r="P420" s="20">
        <v>17647</v>
      </c>
      <c r="Q420" s="3" t="s">
        <v>1502</v>
      </c>
      <c r="R420" s="3" t="s">
        <v>16687</v>
      </c>
      <c r="S420" s="3" t="s">
        <v>16114</v>
      </c>
      <c r="T420" s="3"/>
      <c r="U420" s="2"/>
      <c r="V420" s="2"/>
      <c r="W420" s="2"/>
      <c r="X420" s="2"/>
      <c r="Y420" s="2"/>
      <c r="Z420" s="2"/>
      <c r="AA420" s="2"/>
      <c r="AB420" s="2"/>
      <c r="AC420" s="2"/>
      <c r="AD420" s="2"/>
    </row>
    <row r="421" spans="1:30" ht="12" customHeight="1">
      <c r="A421" s="828" t="s">
        <v>17115</v>
      </c>
      <c r="B421" s="3" t="s">
        <v>1489</v>
      </c>
      <c r="C421" s="1" t="s">
        <v>5373</v>
      </c>
      <c r="D421" s="5">
        <f t="shared" si="6"/>
        <v>29</v>
      </c>
      <c r="E421" s="2" t="s">
        <v>5</v>
      </c>
      <c r="F421" s="2" t="s">
        <v>15273</v>
      </c>
      <c r="G421" s="3"/>
      <c r="H421" s="1"/>
      <c r="I421" s="1"/>
      <c r="J421" s="4" t="s">
        <v>16116</v>
      </c>
      <c r="K421" s="1" t="s">
        <v>4993</v>
      </c>
      <c r="L421" s="1" t="s">
        <v>6</v>
      </c>
      <c r="M421" s="825"/>
      <c r="N421" s="17"/>
      <c r="O421" s="3" t="s">
        <v>450</v>
      </c>
      <c r="P421" s="21">
        <v>30372</v>
      </c>
      <c r="Q421" s="3" t="s">
        <v>16284</v>
      </c>
      <c r="R421" s="3"/>
      <c r="S421" s="3"/>
      <c r="T421" s="3"/>
      <c r="U421" s="2"/>
      <c r="V421" s="2"/>
      <c r="W421" s="2"/>
      <c r="X421" s="2"/>
      <c r="Y421" s="2"/>
      <c r="Z421" s="2"/>
      <c r="AA421" s="2"/>
      <c r="AB421" s="2"/>
      <c r="AC421" s="2"/>
      <c r="AD421" s="2"/>
    </row>
    <row r="422" spans="1:30" ht="12" customHeight="1">
      <c r="A422" s="828" t="s">
        <v>17116</v>
      </c>
      <c r="B422" s="3" t="s">
        <v>5372</v>
      </c>
      <c r="C422" s="1" t="s">
        <v>4582</v>
      </c>
      <c r="D422" s="5">
        <f t="shared" si="6"/>
        <v>54</v>
      </c>
      <c r="E422" s="2" t="s">
        <v>5</v>
      </c>
      <c r="F422" s="2"/>
      <c r="G422" s="3"/>
      <c r="H422" s="1"/>
      <c r="I422" s="1"/>
      <c r="J422" s="4" t="s">
        <v>16117</v>
      </c>
      <c r="K422" s="1"/>
      <c r="L422" s="1" t="s">
        <v>6</v>
      </c>
      <c r="M422" s="825"/>
      <c r="N422" s="17"/>
      <c r="O422" s="3" t="s">
        <v>4583</v>
      </c>
      <c r="P422" s="21">
        <v>21317</v>
      </c>
      <c r="Q422" s="3" t="s">
        <v>4584</v>
      </c>
      <c r="R422" s="3"/>
      <c r="S422" s="3"/>
      <c r="T422" s="3"/>
      <c r="U422" s="2"/>
      <c r="V422" s="2"/>
      <c r="W422" s="2"/>
      <c r="X422" s="2"/>
      <c r="Y422" s="2"/>
      <c r="Z422" s="2"/>
      <c r="AA422" s="2"/>
      <c r="AB422" s="2"/>
      <c r="AC422" s="2"/>
      <c r="AD422" s="2"/>
    </row>
    <row r="423" spans="1:30" ht="12" customHeight="1">
      <c r="A423" s="828" t="s">
        <v>17117</v>
      </c>
      <c r="B423" s="3" t="s">
        <v>1504</v>
      </c>
      <c r="C423" s="1" t="s">
        <v>1508</v>
      </c>
      <c r="D423" s="5">
        <f t="shared" si="6"/>
        <v>43</v>
      </c>
      <c r="E423" s="2" t="s">
        <v>5</v>
      </c>
      <c r="F423" s="6" t="s">
        <v>15273</v>
      </c>
      <c r="G423" s="3" t="s">
        <v>1509</v>
      </c>
      <c r="H423" s="1"/>
      <c r="I423" s="1"/>
      <c r="J423" s="8" t="s">
        <v>16127</v>
      </c>
      <c r="K423" s="1" t="s">
        <v>44</v>
      </c>
      <c r="L423" s="1" t="s">
        <v>25</v>
      </c>
      <c r="M423" s="825">
        <v>1</v>
      </c>
      <c r="N423" s="17">
        <v>1</v>
      </c>
      <c r="O423" s="3" t="s">
        <v>381</v>
      </c>
      <c r="P423" s="20">
        <v>25378</v>
      </c>
      <c r="Q423" s="3" t="s">
        <v>1512</v>
      </c>
      <c r="R423" s="3"/>
      <c r="S423" s="3"/>
      <c r="T423" s="3" t="s">
        <v>1510</v>
      </c>
      <c r="U423" s="2" t="s">
        <v>47</v>
      </c>
      <c r="V423" s="2"/>
      <c r="W423" s="2"/>
      <c r="X423" s="2"/>
      <c r="Y423" s="2"/>
      <c r="Z423" s="2"/>
      <c r="AA423" s="2"/>
      <c r="AB423" s="2"/>
      <c r="AC423" s="2" t="s">
        <v>146</v>
      </c>
      <c r="AD423" s="2"/>
    </row>
    <row r="424" spans="1:30" ht="12" customHeight="1">
      <c r="A424" s="828" t="s">
        <v>17118</v>
      </c>
      <c r="B424" s="3" t="s">
        <v>1505</v>
      </c>
      <c r="C424" s="1" t="s">
        <v>1513</v>
      </c>
      <c r="D424" s="5">
        <f t="shared" si="6"/>
        <v>63</v>
      </c>
      <c r="E424" s="2" t="s">
        <v>5</v>
      </c>
      <c r="F424" s="2" t="s">
        <v>15273</v>
      </c>
      <c r="G424" s="3" t="s">
        <v>1514</v>
      </c>
      <c r="H424" s="1"/>
      <c r="I424" s="1"/>
      <c r="J424" s="4" t="s">
        <v>16120</v>
      </c>
      <c r="K424" s="1" t="s">
        <v>934</v>
      </c>
      <c r="L424" s="1" t="s">
        <v>25</v>
      </c>
      <c r="M424" s="825">
        <v>9</v>
      </c>
      <c r="N424" s="17">
        <v>9</v>
      </c>
      <c r="O424" s="3" t="s">
        <v>31</v>
      </c>
      <c r="P424" s="20">
        <v>18137</v>
      </c>
      <c r="Q424" s="3" t="s">
        <v>1515</v>
      </c>
      <c r="R424" s="3" t="s">
        <v>1516</v>
      </c>
      <c r="S424" s="3" t="s">
        <v>5457</v>
      </c>
      <c r="T424" s="3" t="s">
        <v>104</v>
      </c>
      <c r="U424" s="2"/>
      <c r="V424" s="2"/>
      <c r="W424" s="2"/>
      <c r="X424" s="2"/>
      <c r="Y424" s="2"/>
      <c r="Z424" s="2"/>
      <c r="AA424" s="2" t="s">
        <v>104</v>
      </c>
      <c r="AB424" s="2"/>
      <c r="AC424" s="2"/>
      <c r="AD424" s="2"/>
    </row>
    <row r="425" spans="1:30" ht="12" customHeight="1">
      <c r="A425" s="828" t="s">
        <v>17119</v>
      </c>
      <c r="B425" s="3" t="s">
        <v>1506</v>
      </c>
      <c r="C425" s="1" t="s">
        <v>5375</v>
      </c>
      <c r="D425" s="5">
        <f t="shared" si="6"/>
        <v>38</v>
      </c>
      <c r="E425" s="2" t="s">
        <v>5</v>
      </c>
      <c r="F425" s="2" t="s">
        <v>15273</v>
      </c>
      <c r="G425" s="3"/>
      <c r="H425" s="1"/>
      <c r="I425" s="1"/>
      <c r="J425" s="4" t="s">
        <v>16116</v>
      </c>
      <c r="K425" s="1" t="s">
        <v>469</v>
      </c>
      <c r="L425" s="1" t="s">
        <v>6</v>
      </c>
      <c r="M425" s="825"/>
      <c r="N425" s="17"/>
      <c r="O425" s="3" t="s">
        <v>1002</v>
      </c>
      <c r="P425" s="20">
        <v>27314</v>
      </c>
      <c r="Q425" s="3" t="s">
        <v>5377</v>
      </c>
      <c r="R425" s="3"/>
      <c r="S425" s="3"/>
      <c r="T425" s="3" t="s">
        <v>145</v>
      </c>
      <c r="U425" s="2"/>
      <c r="V425" s="2" t="s">
        <v>145</v>
      </c>
      <c r="W425" s="2"/>
      <c r="X425" s="2"/>
      <c r="Y425" s="2"/>
      <c r="Z425" s="2"/>
      <c r="AA425" s="2"/>
      <c r="AB425" s="2"/>
      <c r="AC425" s="2"/>
      <c r="AD425" s="2"/>
    </row>
    <row r="426" spans="1:30" ht="12" customHeight="1">
      <c r="A426" s="828" t="s">
        <v>17120</v>
      </c>
      <c r="B426" s="3" t="s">
        <v>1507</v>
      </c>
      <c r="C426" s="1" t="s">
        <v>1520</v>
      </c>
      <c r="D426" s="5">
        <f t="shared" si="6"/>
        <v>34</v>
      </c>
      <c r="E426" s="2" t="s">
        <v>5</v>
      </c>
      <c r="F426" s="2" t="s">
        <v>15273</v>
      </c>
      <c r="G426" s="3"/>
      <c r="H426" s="1"/>
      <c r="I426" s="1"/>
      <c r="J426" s="8" t="s">
        <v>16128</v>
      </c>
      <c r="K426" s="1"/>
      <c r="L426" s="1" t="s">
        <v>6</v>
      </c>
      <c r="M426" s="825"/>
      <c r="N426" s="17"/>
      <c r="O426" s="3" t="s">
        <v>450</v>
      </c>
      <c r="P426" s="20">
        <v>28592</v>
      </c>
      <c r="Q426" s="3" t="s">
        <v>1522</v>
      </c>
      <c r="R426" s="3"/>
      <c r="S426" s="3"/>
      <c r="T426" s="3" t="s">
        <v>145</v>
      </c>
      <c r="U426" s="2"/>
      <c r="V426" s="2" t="s">
        <v>145</v>
      </c>
      <c r="W426" s="2"/>
      <c r="X426" s="2"/>
      <c r="Y426" s="2"/>
      <c r="Z426" s="2"/>
      <c r="AA426" s="2"/>
      <c r="AB426" s="2"/>
      <c r="AC426" s="2"/>
      <c r="AD426" s="2"/>
    </row>
    <row r="427" spans="1:30" ht="12" customHeight="1">
      <c r="A427" s="828" t="s">
        <v>17121</v>
      </c>
      <c r="B427" s="3" t="s">
        <v>5374</v>
      </c>
      <c r="C427" s="1" t="s">
        <v>1517</v>
      </c>
      <c r="D427" s="5">
        <f t="shared" si="6"/>
        <v>69</v>
      </c>
      <c r="E427" s="2" t="s">
        <v>5</v>
      </c>
      <c r="F427" s="2"/>
      <c r="G427" s="3"/>
      <c r="H427" s="1"/>
      <c r="I427" s="1"/>
      <c r="J427" s="4" t="s">
        <v>16117</v>
      </c>
      <c r="K427" s="1"/>
      <c r="L427" s="1" t="s">
        <v>6</v>
      </c>
      <c r="M427" s="825"/>
      <c r="N427" s="17"/>
      <c r="O427" s="3" t="s">
        <v>1519</v>
      </c>
      <c r="P427" s="21">
        <v>15947</v>
      </c>
      <c r="Q427" s="3" t="s">
        <v>1518</v>
      </c>
      <c r="R427" s="3"/>
      <c r="S427" s="3"/>
      <c r="T427" s="3" t="s">
        <v>69</v>
      </c>
      <c r="U427" s="2"/>
      <c r="V427" s="2"/>
      <c r="W427" s="2"/>
      <c r="X427" s="2"/>
      <c r="Y427" s="2"/>
      <c r="Z427" s="2"/>
      <c r="AA427" s="2"/>
      <c r="AB427" s="2"/>
      <c r="AC427" s="2"/>
      <c r="AD427" s="2" t="s">
        <v>69</v>
      </c>
    </row>
    <row r="428" spans="1:30" ht="12" customHeight="1">
      <c r="A428" s="828" t="s">
        <v>17122</v>
      </c>
      <c r="B428" s="3" t="s">
        <v>1523</v>
      </c>
      <c r="C428" s="1" t="s">
        <v>1529</v>
      </c>
      <c r="D428" s="5">
        <f t="shared" si="6"/>
        <v>42</v>
      </c>
      <c r="E428" s="2" t="s">
        <v>5</v>
      </c>
      <c r="F428" s="6" t="s">
        <v>15273</v>
      </c>
      <c r="G428" s="3" t="s">
        <v>1530</v>
      </c>
      <c r="H428" s="1"/>
      <c r="I428" s="1"/>
      <c r="J428" s="8" t="s">
        <v>16126</v>
      </c>
      <c r="K428" s="1" t="s">
        <v>737</v>
      </c>
      <c r="L428" s="1" t="s">
        <v>25</v>
      </c>
      <c r="M428" s="825">
        <v>1</v>
      </c>
      <c r="N428" s="17">
        <v>1</v>
      </c>
      <c r="O428" s="3" t="s">
        <v>452</v>
      </c>
      <c r="P428" s="20">
        <v>25675</v>
      </c>
      <c r="Q428" s="3" t="s">
        <v>1532</v>
      </c>
      <c r="R428" s="3"/>
      <c r="S428" s="3" t="s">
        <v>736</v>
      </c>
      <c r="T428" s="3" t="s">
        <v>572</v>
      </c>
      <c r="U428" s="2"/>
      <c r="V428" s="2" t="s">
        <v>145</v>
      </c>
      <c r="W428" s="2"/>
      <c r="X428" s="2"/>
      <c r="Y428" s="2"/>
      <c r="Z428" s="2"/>
      <c r="AA428" s="2" t="s">
        <v>104</v>
      </c>
      <c r="AB428" s="2"/>
      <c r="AC428" s="2"/>
      <c r="AD428" s="2"/>
    </row>
    <row r="429" spans="1:30" ht="12" customHeight="1">
      <c r="A429" s="828" t="s">
        <v>17123</v>
      </c>
      <c r="B429" s="3" t="s">
        <v>1524</v>
      </c>
      <c r="C429" s="1" t="s">
        <v>1533</v>
      </c>
      <c r="D429" s="5">
        <f t="shared" si="6"/>
        <v>44</v>
      </c>
      <c r="E429" s="2" t="s">
        <v>5</v>
      </c>
      <c r="F429" s="2" t="s">
        <v>15273</v>
      </c>
      <c r="G429" s="3"/>
      <c r="H429" s="1"/>
      <c r="I429" s="1"/>
      <c r="J429" s="8" t="s">
        <v>16120</v>
      </c>
      <c r="K429" s="1" t="s">
        <v>445</v>
      </c>
      <c r="L429" s="1" t="s">
        <v>14</v>
      </c>
      <c r="M429" s="825">
        <v>1</v>
      </c>
      <c r="N429" s="17">
        <v>1</v>
      </c>
      <c r="O429" s="3" t="s">
        <v>695</v>
      </c>
      <c r="P429" s="20">
        <v>24924</v>
      </c>
      <c r="Q429" s="3" t="s">
        <v>1534</v>
      </c>
      <c r="R429" s="3"/>
      <c r="S429" s="3" t="s">
        <v>5457</v>
      </c>
      <c r="T429" s="3" t="s">
        <v>149</v>
      </c>
      <c r="U429" s="2"/>
      <c r="V429" s="2" t="s">
        <v>145</v>
      </c>
      <c r="W429" s="2"/>
      <c r="X429" s="2"/>
      <c r="Y429" s="2"/>
      <c r="Z429" s="2" t="s">
        <v>85</v>
      </c>
      <c r="AA429" s="2"/>
      <c r="AB429" s="2"/>
      <c r="AC429" s="2"/>
      <c r="AD429" s="2"/>
    </row>
    <row r="430" spans="1:30" ht="12" customHeight="1">
      <c r="A430" s="828" t="s">
        <v>17124</v>
      </c>
      <c r="B430" s="3" t="s">
        <v>1525</v>
      </c>
      <c r="C430" s="1" t="s">
        <v>1543</v>
      </c>
      <c r="D430" s="5">
        <f t="shared" si="6"/>
        <v>47</v>
      </c>
      <c r="E430" s="2" t="s">
        <v>5</v>
      </c>
      <c r="F430" s="2" t="s">
        <v>15273</v>
      </c>
      <c r="G430" s="3"/>
      <c r="H430" s="1"/>
      <c r="I430" s="1"/>
      <c r="J430" s="4" t="s">
        <v>16116</v>
      </c>
      <c r="K430" s="1" t="s">
        <v>4993</v>
      </c>
      <c r="L430" s="1" t="s">
        <v>14</v>
      </c>
      <c r="M430" s="825">
        <v>1</v>
      </c>
      <c r="N430" s="17">
        <v>1</v>
      </c>
      <c r="O430" s="3" t="s">
        <v>450</v>
      </c>
      <c r="P430" s="20">
        <v>23949</v>
      </c>
      <c r="Q430" s="3" t="s">
        <v>16658</v>
      </c>
      <c r="R430" s="3"/>
      <c r="S430" s="3"/>
      <c r="T430" s="3" t="s">
        <v>146</v>
      </c>
      <c r="U430" s="2"/>
      <c r="V430" s="2"/>
      <c r="W430" s="2"/>
      <c r="X430" s="2"/>
      <c r="Y430" s="2"/>
      <c r="Z430" s="2"/>
      <c r="AA430" s="2"/>
      <c r="AB430" s="2"/>
      <c r="AC430" s="2" t="s">
        <v>146</v>
      </c>
      <c r="AD430" s="2"/>
    </row>
    <row r="431" spans="1:30" ht="12" customHeight="1">
      <c r="A431" s="828" t="s">
        <v>17125</v>
      </c>
      <c r="B431" s="3" t="s">
        <v>1526</v>
      </c>
      <c r="C431" s="1" t="s">
        <v>15988</v>
      </c>
      <c r="D431" s="5">
        <f t="shared" si="6"/>
        <v>41</v>
      </c>
      <c r="E431" s="2" t="s">
        <v>5</v>
      </c>
      <c r="F431" s="2" t="s">
        <v>15273</v>
      </c>
      <c r="G431" s="3"/>
      <c r="H431" s="1"/>
      <c r="I431" s="1"/>
      <c r="J431" s="4" t="s">
        <v>16128</v>
      </c>
      <c r="K431" s="1"/>
      <c r="L431" s="1" t="s">
        <v>6</v>
      </c>
      <c r="M431" s="825"/>
      <c r="N431" s="17"/>
      <c r="O431" s="3" t="s">
        <v>87</v>
      </c>
      <c r="P431" s="20">
        <v>26114</v>
      </c>
      <c r="Q431" s="3" t="s">
        <v>16304</v>
      </c>
      <c r="R431" s="3"/>
      <c r="S431" s="3"/>
      <c r="T431" s="3"/>
      <c r="U431" s="2"/>
      <c r="V431" s="2"/>
      <c r="W431" s="2"/>
      <c r="X431" s="2"/>
      <c r="Y431" s="2"/>
      <c r="Z431" s="2"/>
      <c r="AA431" s="2"/>
      <c r="AB431" s="2"/>
      <c r="AC431" s="2"/>
      <c r="AD431" s="2"/>
    </row>
    <row r="432" spans="1:30" ht="12" customHeight="1">
      <c r="A432" s="828" t="s">
        <v>17126</v>
      </c>
      <c r="B432" s="3" t="s">
        <v>1527</v>
      </c>
      <c r="C432" s="1" t="s">
        <v>1535</v>
      </c>
      <c r="D432" s="5">
        <f t="shared" si="6"/>
        <v>28</v>
      </c>
      <c r="E432" s="2" t="s">
        <v>19</v>
      </c>
      <c r="F432" s="2"/>
      <c r="G432" s="3"/>
      <c r="H432" s="1"/>
      <c r="I432" s="1"/>
      <c r="J432" s="4" t="s">
        <v>16117</v>
      </c>
      <c r="K432" s="1"/>
      <c r="L432" s="1" t="s">
        <v>6</v>
      </c>
      <c r="M432" s="825"/>
      <c r="N432" s="17"/>
      <c r="O432" s="3" t="s">
        <v>1536</v>
      </c>
      <c r="P432" s="21">
        <v>30985</v>
      </c>
      <c r="Q432" s="3" t="s">
        <v>1539</v>
      </c>
      <c r="R432" s="3"/>
      <c r="S432" s="3"/>
      <c r="T432" s="3"/>
      <c r="U432" s="2"/>
      <c r="V432" s="2"/>
      <c r="W432" s="2"/>
      <c r="X432" s="2"/>
      <c r="Y432" s="2"/>
      <c r="Z432" s="2"/>
      <c r="AA432" s="2"/>
      <c r="AB432" s="2"/>
      <c r="AC432" s="2"/>
      <c r="AD432" s="2"/>
    </row>
    <row r="433" spans="1:30" ht="12" customHeight="1">
      <c r="A433" s="828" t="s">
        <v>17127</v>
      </c>
      <c r="B433" s="3" t="s">
        <v>1528</v>
      </c>
      <c r="C433" s="1" t="s">
        <v>1540</v>
      </c>
      <c r="D433" s="5">
        <f t="shared" si="6"/>
        <v>25</v>
      </c>
      <c r="E433" s="2" t="s">
        <v>5</v>
      </c>
      <c r="F433" s="2" t="s">
        <v>15273</v>
      </c>
      <c r="G433" s="3"/>
      <c r="H433" s="1"/>
      <c r="I433" s="1"/>
      <c r="J433" s="4" t="s">
        <v>16121</v>
      </c>
      <c r="K433" s="1"/>
      <c r="L433" s="1" t="s">
        <v>6</v>
      </c>
      <c r="M433" s="825"/>
      <c r="N433" s="17"/>
      <c r="O433" s="3" t="s">
        <v>1541</v>
      </c>
      <c r="P433" s="20">
        <v>31980</v>
      </c>
      <c r="Q433" s="3" t="s">
        <v>1542</v>
      </c>
      <c r="R433" s="3"/>
      <c r="S433" s="3"/>
      <c r="T433" s="3"/>
      <c r="U433" s="2"/>
      <c r="V433" s="2"/>
      <c r="W433" s="2"/>
      <c r="X433" s="2"/>
      <c r="Y433" s="2"/>
      <c r="Z433" s="2"/>
      <c r="AA433" s="2"/>
      <c r="AB433" s="2"/>
      <c r="AC433" s="2"/>
      <c r="AD433" s="2"/>
    </row>
    <row r="434" spans="1:30" ht="12" customHeight="1">
      <c r="A434" s="828" t="s">
        <v>17128</v>
      </c>
      <c r="B434" s="3" t="s">
        <v>1544</v>
      </c>
      <c r="C434" s="1" t="s">
        <v>1549</v>
      </c>
      <c r="D434" s="5">
        <f t="shared" si="6"/>
        <v>49</v>
      </c>
      <c r="E434" s="2" t="s">
        <v>5</v>
      </c>
      <c r="F434" s="2" t="s">
        <v>15273</v>
      </c>
      <c r="G434" s="3" t="s">
        <v>1550</v>
      </c>
      <c r="H434" s="1"/>
      <c r="I434" s="1"/>
      <c r="J434" s="4" t="s">
        <v>16120</v>
      </c>
      <c r="K434" s="1" t="s">
        <v>445</v>
      </c>
      <c r="L434" s="1" t="s">
        <v>25</v>
      </c>
      <c r="M434" s="825">
        <v>5</v>
      </c>
      <c r="N434" s="17">
        <v>5</v>
      </c>
      <c r="O434" s="3" t="s">
        <v>1551</v>
      </c>
      <c r="P434" s="20">
        <v>23021</v>
      </c>
      <c r="Q434" s="3" t="s">
        <v>1552</v>
      </c>
      <c r="R434" s="3" t="s">
        <v>1553</v>
      </c>
      <c r="S434" s="3" t="s">
        <v>5457</v>
      </c>
      <c r="T434" s="3" t="s">
        <v>104</v>
      </c>
      <c r="U434" s="2"/>
      <c r="V434" s="2"/>
      <c r="W434" s="2"/>
      <c r="X434" s="2"/>
      <c r="Y434" s="2"/>
      <c r="Z434" s="2"/>
      <c r="AA434" s="2" t="s">
        <v>104</v>
      </c>
      <c r="AB434" s="2"/>
      <c r="AC434" s="2"/>
      <c r="AD434" s="2"/>
    </row>
    <row r="435" spans="1:30" ht="12" customHeight="1">
      <c r="A435" s="828" t="s">
        <v>17129</v>
      </c>
      <c r="B435" s="3" t="s">
        <v>1545</v>
      </c>
      <c r="C435" s="1" t="s">
        <v>1554</v>
      </c>
      <c r="D435" s="5">
        <f t="shared" si="6"/>
        <v>32</v>
      </c>
      <c r="E435" s="2" t="s">
        <v>19</v>
      </c>
      <c r="F435" s="2"/>
      <c r="G435" s="3"/>
      <c r="H435" s="1"/>
      <c r="I435" s="1"/>
      <c r="J435" s="4" t="s">
        <v>16117</v>
      </c>
      <c r="K435" s="1"/>
      <c r="L435" s="1" t="s">
        <v>6</v>
      </c>
      <c r="M435" s="825"/>
      <c r="N435" s="17"/>
      <c r="O435" s="3" t="s">
        <v>1555</v>
      </c>
      <c r="P435" s="21">
        <v>29303</v>
      </c>
      <c r="Q435" s="3" t="s">
        <v>1556</v>
      </c>
      <c r="R435" s="3"/>
      <c r="S435" s="3"/>
      <c r="T435" s="3"/>
      <c r="U435" s="2"/>
      <c r="V435" s="2"/>
      <c r="W435" s="2"/>
      <c r="X435" s="2"/>
      <c r="Y435" s="2"/>
      <c r="Z435" s="2"/>
      <c r="AA435" s="2"/>
      <c r="AB435" s="2"/>
      <c r="AC435" s="2"/>
      <c r="AD435" s="2"/>
    </row>
    <row r="436" spans="1:30" ht="12" customHeight="1">
      <c r="A436" s="828" t="s">
        <v>17130</v>
      </c>
      <c r="B436" s="3" t="s">
        <v>1557</v>
      </c>
      <c r="C436" s="1" t="s">
        <v>1560</v>
      </c>
      <c r="D436" s="5">
        <f t="shared" si="6"/>
        <v>43</v>
      </c>
      <c r="E436" s="2" t="s">
        <v>5</v>
      </c>
      <c r="F436" s="6" t="s">
        <v>15273</v>
      </c>
      <c r="G436" s="3" t="s">
        <v>1561</v>
      </c>
      <c r="H436" s="1"/>
      <c r="I436" s="1"/>
      <c r="J436" s="8" t="s">
        <v>16127</v>
      </c>
      <c r="K436" s="1" t="s">
        <v>44</v>
      </c>
      <c r="L436" s="1" t="s">
        <v>25</v>
      </c>
      <c r="M436" s="825">
        <v>1</v>
      </c>
      <c r="N436" s="17">
        <v>1</v>
      </c>
      <c r="O436" s="3" t="s">
        <v>317</v>
      </c>
      <c r="P436" s="20">
        <v>25287</v>
      </c>
      <c r="Q436" s="3" t="s">
        <v>1563</v>
      </c>
      <c r="R436" s="3"/>
      <c r="S436" s="3" t="s">
        <v>736</v>
      </c>
      <c r="T436" s="3" t="s">
        <v>47</v>
      </c>
      <c r="U436" s="2" t="s">
        <v>47</v>
      </c>
      <c r="V436" s="2"/>
      <c r="W436" s="2"/>
      <c r="X436" s="2"/>
      <c r="Y436" s="2"/>
      <c r="Z436" s="2"/>
      <c r="AA436" s="2"/>
      <c r="AB436" s="2"/>
      <c r="AC436" s="2"/>
      <c r="AD436" s="2"/>
    </row>
    <row r="437" spans="1:30" ht="12" customHeight="1">
      <c r="A437" s="828" t="s">
        <v>17131</v>
      </c>
      <c r="B437" s="3" t="s">
        <v>1558</v>
      </c>
      <c r="C437" s="1" t="s">
        <v>1564</v>
      </c>
      <c r="D437" s="5">
        <f t="shared" si="6"/>
        <v>41</v>
      </c>
      <c r="E437" s="2" t="s">
        <v>5</v>
      </c>
      <c r="F437" s="2" t="s">
        <v>15273</v>
      </c>
      <c r="G437" s="3" t="s">
        <v>1565</v>
      </c>
      <c r="H437" s="1" t="s">
        <v>373</v>
      </c>
      <c r="I437" s="1"/>
      <c r="J437" s="4" t="s">
        <v>16120</v>
      </c>
      <c r="K437" s="1" t="s">
        <v>48</v>
      </c>
      <c r="L437" s="1" t="s">
        <v>6</v>
      </c>
      <c r="M437" s="825"/>
      <c r="N437" s="17">
        <v>2</v>
      </c>
      <c r="O437" s="3" t="s">
        <v>459</v>
      </c>
      <c r="P437" s="20">
        <v>26023</v>
      </c>
      <c r="Q437" s="3" t="s">
        <v>1567</v>
      </c>
      <c r="R437" s="3" t="s">
        <v>374</v>
      </c>
      <c r="S437" s="3" t="s">
        <v>5457</v>
      </c>
      <c r="T437" s="3" t="s">
        <v>1569</v>
      </c>
      <c r="U437" s="2"/>
      <c r="V437" s="2"/>
      <c r="W437" s="2"/>
      <c r="X437" s="2" t="s">
        <v>229</v>
      </c>
      <c r="Y437" s="2"/>
      <c r="Z437" s="2" t="s">
        <v>85</v>
      </c>
      <c r="AA437" s="2"/>
      <c r="AB437" s="2"/>
      <c r="AC437" s="2"/>
      <c r="AD437" s="2"/>
    </row>
    <row r="438" spans="1:30" ht="12" customHeight="1">
      <c r="A438" s="828" t="s">
        <v>17132</v>
      </c>
      <c r="B438" s="3" t="s">
        <v>1559</v>
      </c>
      <c r="C438" s="1" t="s">
        <v>5519</v>
      </c>
      <c r="D438" s="5">
        <f t="shared" si="6"/>
        <v>41</v>
      </c>
      <c r="E438" s="2" t="s">
        <v>5</v>
      </c>
      <c r="F438" s="2" t="s">
        <v>15273</v>
      </c>
      <c r="G438" s="3"/>
      <c r="H438" s="1"/>
      <c r="I438" s="1"/>
      <c r="J438" s="4" t="s">
        <v>16116</v>
      </c>
      <c r="K438" s="1" t="s">
        <v>4997</v>
      </c>
      <c r="L438" s="1" t="s">
        <v>6</v>
      </c>
      <c r="M438" s="825"/>
      <c r="N438" s="17"/>
      <c r="O438" s="3" t="s">
        <v>1809</v>
      </c>
      <c r="P438" s="21">
        <v>26008</v>
      </c>
      <c r="Q438" s="3" t="s">
        <v>5520</v>
      </c>
      <c r="R438" s="3"/>
      <c r="S438" s="3" t="s">
        <v>469</v>
      </c>
      <c r="T438" s="3" t="s">
        <v>85</v>
      </c>
      <c r="U438" s="2"/>
      <c r="V438" s="2"/>
      <c r="W438" s="2"/>
      <c r="X438" s="2"/>
      <c r="Y438" s="2"/>
      <c r="Z438" s="2" t="s">
        <v>85</v>
      </c>
      <c r="AA438" s="2"/>
      <c r="AB438" s="2"/>
      <c r="AC438" s="2"/>
      <c r="AD438" s="2"/>
    </row>
    <row r="439" spans="1:30" ht="12" customHeight="1">
      <c r="A439" s="828" t="s">
        <v>17133</v>
      </c>
      <c r="B439" s="3" t="s">
        <v>5518</v>
      </c>
      <c r="C439" s="1" t="s">
        <v>1568</v>
      </c>
      <c r="D439" s="5">
        <f t="shared" si="6"/>
        <v>50</v>
      </c>
      <c r="E439" s="2" t="s">
        <v>5</v>
      </c>
      <c r="F439" s="2"/>
      <c r="G439" s="3"/>
      <c r="H439" s="1"/>
      <c r="I439" s="1"/>
      <c r="J439" s="4" t="s">
        <v>16117</v>
      </c>
      <c r="K439" s="1"/>
      <c r="L439" s="1" t="s">
        <v>6</v>
      </c>
      <c r="M439" s="825"/>
      <c r="N439" s="17"/>
      <c r="O439" s="3" t="s">
        <v>172</v>
      </c>
      <c r="P439" s="21">
        <v>22968</v>
      </c>
      <c r="Q439" s="3" t="s">
        <v>1571</v>
      </c>
      <c r="R439" s="3"/>
      <c r="S439" s="3"/>
      <c r="T439" s="3"/>
      <c r="U439" s="2"/>
      <c r="V439" s="2"/>
      <c r="W439" s="2"/>
      <c r="X439" s="2"/>
      <c r="Y439" s="2"/>
      <c r="Z439" s="2"/>
      <c r="AA439" s="2"/>
      <c r="AB439" s="2"/>
      <c r="AC439" s="2"/>
      <c r="AD439" s="2"/>
    </row>
    <row r="440" spans="1:30" ht="12" customHeight="1">
      <c r="A440" s="828" t="s">
        <v>17134</v>
      </c>
      <c r="B440" s="3" t="s">
        <v>1572</v>
      </c>
      <c r="C440" s="1" t="s">
        <v>1577</v>
      </c>
      <c r="D440" s="5">
        <f t="shared" si="6"/>
        <v>37</v>
      </c>
      <c r="E440" s="2" t="s">
        <v>5</v>
      </c>
      <c r="F440" s="6" t="s">
        <v>15273</v>
      </c>
      <c r="G440" s="3" t="s">
        <v>1578</v>
      </c>
      <c r="H440" s="1"/>
      <c r="I440" s="1"/>
      <c r="J440" s="8" t="s">
        <v>16127</v>
      </c>
      <c r="K440" s="1" t="s">
        <v>44</v>
      </c>
      <c r="L440" s="1" t="s">
        <v>25</v>
      </c>
      <c r="M440" s="825">
        <v>1</v>
      </c>
      <c r="N440" s="17">
        <v>1</v>
      </c>
      <c r="O440" s="3" t="s">
        <v>31</v>
      </c>
      <c r="P440" s="20">
        <v>27538</v>
      </c>
      <c r="Q440" s="3" t="s">
        <v>16659</v>
      </c>
      <c r="R440" s="3"/>
      <c r="S440" s="3" t="s">
        <v>736</v>
      </c>
      <c r="T440" s="3" t="s">
        <v>146</v>
      </c>
      <c r="U440" s="2"/>
      <c r="V440" s="2"/>
      <c r="W440" s="2"/>
      <c r="X440" s="2"/>
      <c r="Y440" s="2"/>
      <c r="Z440" s="2"/>
      <c r="AA440" s="2"/>
      <c r="AB440" s="2"/>
      <c r="AC440" s="2" t="s">
        <v>146</v>
      </c>
      <c r="AD440" s="2"/>
    </row>
    <row r="441" spans="1:30" ht="12" customHeight="1">
      <c r="A441" s="828" t="s">
        <v>17135</v>
      </c>
      <c r="B441" s="3" t="s">
        <v>1573</v>
      </c>
      <c r="C441" s="1" t="s">
        <v>1579</v>
      </c>
      <c r="D441" s="5">
        <f t="shared" si="6"/>
        <v>36</v>
      </c>
      <c r="E441" s="2" t="s">
        <v>19</v>
      </c>
      <c r="F441" s="2" t="s">
        <v>15273</v>
      </c>
      <c r="G441" s="3"/>
      <c r="H441" s="1"/>
      <c r="I441" s="1"/>
      <c r="J441" s="8" t="s">
        <v>16120</v>
      </c>
      <c r="K441" s="1" t="s">
        <v>30</v>
      </c>
      <c r="L441" s="1" t="s">
        <v>6</v>
      </c>
      <c r="M441" s="825"/>
      <c r="N441" s="17"/>
      <c r="O441" s="3" t="s">
        <v>1580</v>
      </c>
      <c r="P441" s="20">
        <v>28065</v>
      </c>
      <c r="Q441" s="3" t="s">
        <v>1581</v>
      </c>
      <c r="R441" s="3"/>
      <c r="S441" s="3" t="s">
        <v>5457</v>
      </c>
      <c r="T441" s="3"/>
      <c r="U441" s="2"/>
      <c r="V441" s="2"/>
      <c r="W441" s="2"/>
      <c r="X441" s="2"/>
      <c r="Y441" s="2"/>
      <c r="Z441" s="2"/>
      <c r="AA441" s="2"/>
      <c r="AB441" s="2"/>
      <c r="AC441" s="2"/>
      <c r="AD441" s="2"/>
    </row>
    <row r="442" spans="1:30" ht="12" customHeight="1">
      <c r="A442" s="828" t="s">
        <v>17136</v>
      </c>
      <c r="B442" s="3" t="s">
        <v>1574</v>
      </c>
      <c r="C442" s="1" t="s">
        <v>1587</v>
      </c>
      <c r="D442" s="5">
        <f t="shared" si="6"/>
        <v>57</v>
      </c>
      <c r="E442" s="2" t="s">
        <v>5</v>
      </c>
      <c r="F442" s="2" t="s">
        <v>15273</v>
      </c>
      <c r="G442" s="3"/>
      <c r="H442" s="1"/>
      <c r="I442" s="1"/>
      <c r="J442" s="4" t="s">
        <v>16125</v>
      </c>
      <c r="K442" s="1"/>
      <c r="L442" s="1" t="s">
        <v>6</v>
      </c>
      <c r="M442" s="825"/>
      <c r="N442" s="17"/>
      <c r="O442" s="3" t="s">
        <v>317</v>
      </c>
      <c r="P442" s="20">
        <v>20399</v>
      </c>
      <c r="Q442" s="3" t="s">
        <v>1588</v>
      </c>
      <c r="R442" s="3"/>
      <c r="S442" s="3" t="s">
        <v>5561</v>
      </c>
      <c r="T442" s="3" t="s">
        <v>1589</v>
      </c>
      <c r="U442" s="2"/>
      <c r="V442" s="2"/>
      <c r="W442" s="2" t="s">
        <v>75</v>
      </c>
      <c r="X442" s="2"/>
      <c r="Y442" s="2" t="s">
        <v>155</v>
      </c>
      <c r="Z442" s="2"/>
      <c r="AA442" s="2"/>
      <c r="AB442" s="2"/>
      <c r="AC442" s="2"/>
      <c r="AD442" s="2"/>
    </row>
    <row r="443" spans="1:30" ht="12" customHeight="1">
      <c r="A443" s="828" t="s">
        <v>17137</v>
      </c>
      <c r="B443" s="3" t="s">
        <v>1575</v>
      </c>
      <c r="C443" s="1" t="s">
        <v>1585</v>
      </c>
      <c r="D443" s="5">
        <f t="shared" si="6"/>
        <v>49</v>
      </c>
      <c r="E443" s="2" t="s">
        <v>5</v>
      </c>
      <c r="F443" s="2" t="s">
        <v>15273</v>
      </c>
      <c r="G443" s="3"/>
      <c r="H443" s="1"/>
      <c r="I443" s="1"/>
      <c r="J443" s="4" t="s">
        <v>16128</v>
      </c>
      <c r="K443" s="1"/>
      <c r="L443" s="1" t="s">
        <v>6</v>
      </c>
      <c r="M443" s="825"/>
      <c r="N443" s="17"/>
      <c r="O443" s="3" t="s">
        <v>172</v>
      </c>
      <c r="P443" s="20">
        <v>23082</v>
      </c>
      <c r="Q443" s="3" t="s">
        <v>1586</v>
      </c>
      <c r="R443" s="3"/>
      <c r="S443" s="3" t="s">
        <v>6031</v>
      </c>
      <c r="T443" s="3" t="s">
        <v>47</v>
      </c>
      <c r="U443" s="2" t="s">
        <v>47</v>
      </c>
      <c r="V443" s="2"/>
      <c r="W443" s="2"/>
      <c r="X443" s="2"/>
      <c r="Y443" s="2"/>
      <c r="Z443" s="2"/>
      <c r="AA443" s="2"/>
      <c r="AB443" s="2"/>
      <c r="AC443" s="2"/>
      <c r="AD443" s="2"/>
    </row>
    <row r="444" spans="1:30" ht="12" customHeight="1">
      <c r="A444" s="828" t="s">
        <v>17138</v>
      </c>
      <c r="B444" s="3" t="s">
        <v>1576</v>
      </c>
      <c r="C444" s="1" t="s">
        <v>1582</v>
      </c>
      <c r="D444" s="5">
        <f t="shared" si="6"/>
        <v>55</v>
      </c>
      <c r="E444" s="2" t="s">
        <v>5</v>
      </c>
      <c r="F444" s="2"/>
      <c r="G444" s="3"/>
      <c r="H444" s="1"/>
      <c r="I444" s="1"/>
      <c r="J444" s="4" t="s">
        <v>16117</v>
      </c>
      <c r="K444" s="1"/>
      <c r="L444" s="1" t="s">
        <v>6</v>
      </c>
      <c r="M444" s="825"/>
      <c r="N444" s="17"/>
      <c r="O444" s="3" t="s">
        <v>1583</v>
      </c>
      <c r="P444" s="21">
        <v>21168</v>
      </c>
      <c r="Q444" s="3" t="s">
        <v>1584</v>
      </c>
      <c r="R444" s="3"/>
      <c r="S444" s="3"/>
      <c r="T444" s="3"/>
      <c r="U444" s="2"/>
      <c r="V444" s="2"/>
      <c r="W444" s="2"/>
      <c r="X444" s="2"/>
      <c r="Y444" s="2"/>
      <c r="Z444" s="2"/>
      <c r="AA444" s="2"/>
      <c r="AB444" s="2"/>
      <c r="AC444" s="2"/>
      <c r="AD444" s="2"/>
    </row>
    <row r="445" spans="1:30" ht="12" customHeight="1">
      <c r="A445" s="828" t="s">
        <v>17139</v>
      </c>
      <c r="B445" s="3" t="s">
        <v>1591</v>
      </c>
      <c r="C445" s="1" t="s">
        <v>4880</v>
      </c>
      <c r="D445" s="5">
        <f t="shared" si="6"/>
        <v>55</v>
      </c>
      <c r="E445" s="2" t="s">
        <v>5</v>
      </c>
      <c r="F445" s="6" t="s">
        <v>15273</v>
      </c>
      <c r="G445" s="3" t="s">
        <v>4881</v>
      </c>
      <c r="H445" s="1"/>
      <c r="I445" s="1"/>
      <c r="J445" s="8" t="s">
        <v>16126</v>
      </c>
      <c r="K445" s="1" t="s">
        <v>44</v>
      </c>
      <c r="L445" s="1" t="s">
        <v>25</v>
      </c>
      <c r="M445" s="825">
        <v>1</v>
      </c>
      <c r="N445" s="17">
        <v>1</v>
      </c>
      <c r="O445" s="3" t="s">
        <v>447</v>
      </c>
      <c r="P445" s="20">
        <v>21096</v>
      </c>
      <c r="Q445" s="3" t="s">
        <v>4882</v>
      </c>
      <c r="R445" s="3" t="s">
        <v>3924</v>
      </c>
      <c r="S445" s="3" t="s">
        <v>736</v>
      </c>
      <c r="T445" s="3"/>
      <c r="U445" s="2"/>
      <c r="V445" s="2"/>
      <c r="W445" s="2"/>
      <c r="X445" s="2"/>
      <c r="Y445" s="2"/>
      <c r="Z445" s="2"/>
      <c r="AA445" s="2"/>
      <c r="AB445" s="2"/>
      <c r="AC445" s="2"/>
      <c r="AD445" s="2"/>
    </row>
    <row r="446" spans="1:30" ht="12" customHeight="1">
      <c r="A446" s="828" t="s">
        <v>17140</v>
      </c>
      <c r="B446" s="3" t="s">
        <v>1592</v>
      </c>
      <c r="C446" s="1" t="s">
        <v>1596</v>
      </c>
      <c r="D446" s="5">
        <f t="shared" si="6"/>
        <v>44</v>
      </c>
      <c r="E446" s="2" t="s">
        <v>5</v>
      </c>
      <c r="F446" s="2" t="s">
        <v>15273</v>
      </c>
      <c r="G446" s="3"/>
      <c r="H446" s="1"/>
      <c r="I446" s="1"/>
      <c r="J446" s="4" t="s">
        <v>16120</v>
      </c>
      <c r="K446" s="1" t="s">
        <v>934</v>
      </c>
      <c r="L446" s="1" t="s">
        <v>14</v>
      </c>
      <c r="M446" s="825">
        <v>2</v>
      </c>
      <c r="N446" s="17">
        <v>2</v>
      </c>
      <c r="O446" s="3" t="s">
        <v>462</v>
      </c>
      <c r="P446" s="20">
        <v>25093</v>
      </c>
      <c r="Q446" s="3" t="s">
        <v>1598</v>
      </c>
      <c r="R446" s="3"/>
      <c r="S446" s="3" t="s">
        <v>5457</v>
      </c>
      <c r="T446" s="3"/>
      <c r="U446" s="2"/>
      <c r="V446" s="2"/>
      <c r="W446" s="2"/>
      <c r="X446" s="2"/>
      <c r="Y446" s="2"/>
      <c r="Z446" s="2"/>
      <c r="AA446" s="2"/>
      <c r="AB446" s="2"/>
      <c r="AC446" s="2"/>
      <c r="AD446" s="2"/>
    </row>
    <row r="447" spans="1:30" ht="12" customHeight="1">
      <c r="A447" s="828" t="s">
        <v>17141</v>
      </c>
      <c r="B447" s="3" t="s">
        <v>1593</v>
      </c>
      <c r="C447" s="1" t="s">
        <v>1599</v>
      </c>
      <c r="D447" s="5">
        <f t="shared" si="6"/>
        <v>47</v>
      </c>
      <c r="E447" s="2" t="s">
        <v>5</v>
      </c>
      <c r="F447" s="2" t="s">
        <v>15273</v>
      </c>
      <c r="G447" s="3" t="s">
        <v>1600</v>
      </c>
      <c r="H447" s="1"/>
      <c r="I447" s="1"/>
      <c r="J447" s="4" t="s">
        <v>16125</v>
      </c>
      <c r="K447" s="1"/>
      <c r="L447" s="1" t="s">
        <v>25</v>
      </c>
      <c r="M447" s="825">
        <v>3</v>
      </c>
      <c r="N447" s="17">
        <v>3</v>
      </c>
      <c r="O447" s="3" t="s">
        <v>188</v>
      </c>
      <c r="P447" s="20">
        <v>24070</v>
      </c>
      <c r="Q447" s="3" t="s">
        <v>1601</v>
      </c>
      <c r="R447" s="3" t="s">
        <v>16682</v>
      </c>
      <c r="S447" s="3" t="s">
        <v>16114</v>
      </c>
      <c r="T447" s="3" t="s">
        <v>104</v>
      </c>
      <c r="U447" s="2"/>
      <c r="V447" s="2"/>
      <c r="W447" s="2"/>
      <c r="X447" s="2"/>
      <c r="Y447" s="2"/>
      <c r="Z447" s="2"/>
      <c r="AA447" s="2" t="s">
        <v>104</v>
      </c>
      <c r="AB447" s="2"/>
      <c r="AC447" s="2"/>
      <c r="AD447" s="2"/>
    </row>
    <row r="448" spans="1:30" ht="12" customHeight="1">
      <c r="A448" s="828" t="s">
        <v>17142</v>
      </c>
      <c r="B448" s="3" t="s">
        <v>1594</v>
      </c>
      <c r="C448" s="1" t="s">
        <v>1605</v>
      </c>
      <c r="D448" s="5">
        <f t="shared" si="6"/>
        <v>45</v>
      </c>
      <c r="E448" s="2" t="s">
        <v>5</v>
      </c>
      <c r="F448" s="2" t="s">
        <v>15273</v>
      </c>
      <c r="G448" s="3"/>
      <c r="H448" s="1"/>
      <c r="I448" s="1"/>
      <c r="J448" s="4" t="s">
        <v>16128</v>
      </c>
      <c r="K448" s="1"/>
      <c r="L448" s="1" t="s">
        <v>6</v>
      </c>
      <c r="M448" s="825"/>
      <c r="N448" s="17"/>
      <c r="O448" s="3" t="s">
        <v>188</v>
      </c>
      <c r="P448" s="20">
        <v>24657</v>
      </c>
      <c r="Q448" s="3" t="s">
        <v>1606</v>
      </c>
      <c r="R448" s="3"/>
      <c r="S448" s="3" t="s">
        <v>6031</v>
      </c>
      <c r="T448" s="3"/>
      <c r="U448" s="2"/>
      <c r="V448" s="2"/>
      <c r="W448" s="2"/>
      <c r="X448" s="2"/>
      <c r="Y448" s="2"/>
      <c r="Z448" s="2"/>
      <c r="AA448" s="2"/>
      <c r="AB448" s="2"/>
      <c r="AC448" s="2"/>
      <c r="AD448" s="3"/>
    </row>
    <row r="449" spans="1:30" ht="12" customHeight="1">
      <c r="A449" s="828" t="s">
        <v>17143</v>
      </c>
      <c r="B449" s="3" t="s">
        <v>1595</v>
      </c>
      <c r="C449" s="1" t="s">
        <v>1602</v>
      </c>
      <c r="D449" s="5">
        <f t="shared" ref="D449:D512" si="7">DATEDIF(P449,$P$1505,"Y")</f>
        <v>59</v>
      </c>
      <c r="E449" s="2" t="s">
        <v>19</v>
      </c>
      <c r="F449" s="2"/>
      <c r="G449" s="3"/>
      <c r="H449" s="1"/>
      <c r="I449" s="1"/>
      <c r="J449" s="4" t="s">
        <v>16117</v>
      </c>
      <c r="K449" s="1"/>
      <c r="L449" s="1" t="s">
        <v>6</v>
      </c>
      <c r="M449" s="825"/>
      <c r="N449" s="17"/>
      <c r="O449" s="3" t="s">
        <v>1603</v>
      </c>
      <c r="P449" s="21">
        <v>19508</v>
      </c>
      <c r="Q449" s="3" t="s">
        <v>1604</v>
      </c>
      <c r="R449" s="3"/>
      <c r="S449" s="3"/>
      <c r="T449" s="3" t="s">
        <v>69</v>
      </c>
      <c r="U449" s="2"/>
      <c r="V449" s="2"/>
      <c r="W449" s="2"/>
      <c r="X449" s="2"/>
      <c r="Y449" s="2"/>
      <c r="Z449" s="2"/>
      <c r="AA449" s="2"/>
      <c r="AB449" s="2"/>
      <c r="AC449" s="2"/>
      <c r="AD449" s="2" t="s">
        <v>69</v>
      </c>
    </row>
    <row r="450" spans="1:30" ht="12" customHeight="1">
      <c r="A450" s="828" t="s">
        <v>17144</v>
      </c>
      <c r="B450" s="3" t="s">
        <v>1607</v>
      </c>
      <c r="C450" s="1" t="s">
        <v>2136</v>
      </c>
      <c r="D450" s="5">
        <f t="shared" si="7"/>
        <v>67</v>
      </c>
      <c r="E450" s="2" t="s">
        <v>5</v>
      </c>
      <c r="F450" s="6" t="s">
        <v>15273</v>
      </c>
      <c r="G450" s="3" t="s">
        <v>5570</v>
      </c>
      <c r="H450" s="1"/>
      <c r="I450" s="1"/>
      <c r="J450" s="8" t="s">
        <v>16127</v>
      </c>
      <c r="K450" s="1" t="s">
        <v>45</v>
      </c>
      <c r="L450" s="1" t="s">
        <v>25</v>
      </c>
      <c r="M450" s="825">
        <v>1</v>
      </c>
      <c r="N450" s="17">
        <v>5</v>
      </c>
      <c r="O450" s="3" t="s">
        <v>2137</v>
      </c>
      <c r="P450" s="20">
        <v>16628</v>
      </c>
      <c r="Q450" s="3" t="s">
        <v>2138</v>
      </c>
      <c r="R450" s="3" t="s">
        <v>5571</v>
      </c>
      <c r="S450" s="3" t="s">
        <v>736</v>
      </c>
      <c r="T450" s="3" t="s">
        <v>5572</v>
      </c>
      <c r="U450" s="2"/>
      <c r="V450" s="2" t="s">
        <v>145</v>
      </c>
      <c r="W450" s="2"/>
      <c r="X450" s="2" t="s">
        <v>229</v>
      </c>
      <c r="Y450" s="2"/>
      <c r="Z450" s="2"/>
      <c r="AA450" s="2"/>
      <c r="AB450" s="2"/>
      <c r="AC450" s="2"/>
      <c r="AD450" s="3" t="s">
        <v>69</v>
      </c>
    </row>
    <row r="451" spans="1:30" ht="12" customHeight="1">
      <c r="A451" s="828" t="s">
        <v>17145</v>
      </c>
      <c r="B451" s="3" t="s">
        <v>1608</v>
      </c>
      <c r="C451" s="1" t="s">
        <v>1615</v>
      </c>
      <c r="D451" s="5">
        <f t="shared" si="7"/>
        <v>33</v>
      </c>
      <c r="E451" s="2" t="s">
        <v>19</v>
      </c>
      <c r="F451" s="2" t="s">
        <v>15273</v>
      </c>
      <c r="G451" s="3"/>
      <c r="H451" s="1"/>
      <c r="I451" s="1"/>
      <c r="J451" s="4" t="s">
        <v>16120</v>
      </c>
      <c r="K451" s="1" t="s">
        <v>30</v>
      </c>
      <c r="L451" s="1" t="s">
        <v>6</v>
      </c>
      <c r="M451" s="825"/>
      <c r="N451" s="17"/>
      <c r="O451" s="3" t="s">
        <v>31</v>
      </c>
      <c r="P451" s="20">
        <v>28950</v>
      </c>
      <c r="Q451" s="3" t="s">
        <v>16660</v>
      </c>
      <c r="R451" s="3"/>
      <c r="S451" s="3"/>
      <c r="T451" s="3" t="s">
        <v>146</v>
      </c>
      <c r="U451" s="2"/>
      <c r="V451" s="2"/>
      <c r="W451" s="2"/>
      <c r="X451" s="2"/>
      <c r="Y451" s="2"/>
      <c r="Z451" s="2"/>
      <c r="AA451" s="2"/>
      <c r="AB451" s="2"/>
      <c r="AC451" s="2" t="s">
        <v>146</v>
      </c>
      <c r="AD451" s="3"/>
    </row>
    <row r="452" spans="1:30" ht="12" customHeight="1">
      <c r="A452" s="828" t="s">
        <v>17146</v>
      </c>
      <c r="B452" s="3" t="s">
        <v>1609</v>
      </c>
      <c r="C452" s="1" t="s">
        <v>1610</v>
      </c>
      <c r="D452" s="5">
        <f t="shared" si="7"/>
        <v>58</v>
      </c>
      <c r="E452" s="2" t="s">
        <v>5</v>
      </c>
      <c r="F452" s="2" t="s">
        <v>15273</v>
      </c>
      <c r="G452" s="3" t="s">
        <v>1611</v>
      </c>
      <c r="H452" s="1"/>
      <c r="I452" s="1"/>
      <c r="J452" s="4" t="s">
        <v>16116</v>
      </c>
      <c r="K452" s="1" t="s">
        <v>4422</v>
      </c>
      <c r="L452" s="1" t="s">
        <v>25</v>
      </c>
      <c r="M452" s="825">
        <v>6</v>
      </c>
      <c r="N452" s="17">
        <v>6</v>
      </c>
      <c r="O452" s="3" t="s">
        <v>1612</v>
      </c>
      <c r="P452" s="20">
        <v>19875</v>
      </c>
      <c r="Q452" s="3" t="s">
        <v>1613</v>
      </c>
      <c r="R452" s="3" t="s">
        <v>1614</v>
      </c>
      <c r="S452" s="3" t="s">
        <v>16465</v>
      </c>
      <c r="T452" s="3"/>
      <c r="U452" s="2"/>
      <c r="V452" s="2"/>
      <c r="W452" s="2"/>
      <c r="X452" s="2"/>
      <c r="Y452" s="2"/>
      <c r="Z452" s="2"/>
      <c r="AA452" s="2"/>
      <c r="AB452" s="2"/>
      <c r="AC452" s="2"/>
      <c r="AD452" s="3"/>
    </row>
    <row r="453" spans="1:30" ht="12" customHeight="1">
      <c r="A453" s="828" t="s">
        <v>17147</v>
      </c>
      <c r="B453" s="3" t="s">
        <v>4434</v>
      </c>
      <c r="C453" s="1" t="s">
        <v>1616</v>
      </c>
      <c r="D453" s="5">
        <f t="shared" si="7"/>
        <v>39</v>
      </c>
      <c r="E453" s="2" t="s">
        <v>5</v>
      </c>
      <c r="F453" s="2"/>
      <c r="G453" s="3"/>
      <c r="H453" s="1"/>
      <c r="I453" s="1"/>
      <c r="J453" s="4" t="s">
        <v>16117</v>
      </c>
      <c r="K453" s="1"/>
      <c r="L453" s="1" t="s">
        <v>6</v>
      </c>
      <c r="M453" s="825"/>
      <c r="N453" s="17"/>
      <c r="O453" s="3" t="s">
        <v>1617</v>
      </c>
      <c r="P453" s="21">
        <v>26936</v>
      </c>
      <c r="Q453" s="3" t="s">
        <v>1618</v>
      </c>
      <c r="R453" s="3"/>
      <c r="S453" s="3"/>
      <c r="T453" s="3"/>
      <c r="U453" s="2"/>
      <c r="V453" s="2"/>
      <c r="W453" s="2"/>
      <c r="X453" s="2"/>
      <c r="Y453" s="2"/>
      <c r="Z453" s="2"/>
      <c r="AA453" s="2"/>
      <c r="AB453" s="2"/>
      <c r="AC453" s="2"/>
      <c r="AD453" s="3"/>
    </row>
    <row r="454" spans="1:30" ht="12" customHeight="1">
      <c r="A454" s="828" t="s">
        <v>17148</v>
      </c>
      <c r="B454" s="3" t="s">
        <v>1619</v>
      </c>
      <c r="C454" s="1" t="s">
        <v>1623</v>
      </c>
      <c r="D454" s="5">
        <f t="shared" si="7"/>
        <v>41</v>
      </c>
      <c r="E454" s="2" t="s">
        <v>5</v>
      </c>
      <c r="F454" s="6" t="s">
        <v>15273</v>
      </c>
      <c r="G454" s="3" t="s">
        <v>1625</v>
      </c>
      <c r="H454" s="1"/>
      <c r="I454" s="1"/>
      <c r="J454" s="8" t="s">
        <v>16127</v>
      </c>
      <c r="K454" s="1" t="s">
        <v>44</v>
      </c>
      <c r="L454" s="1" t="s">
        <v>25</v>
      </c>
      <c r="M454" s="825">
        <v>1</v>
      </c>
      <c r="N454" s="17">
        <v>1</v>
      </c>
      <c r="O454" s="3" t="s">
        <v>462</v>
      </c>
      <c r="P454" s="20">
        <v>25982</v>
      </c>
      <c r="Q454" s="3" t="s">
        <v>1624</v>
      </c>
      <c r="R454" s="3"/>
      <c r="S454" s="3" t="s">
        <v>736</v>
      </c>
      <c r="T454" s="3"/>
      <c r="U454" s="2"/>
      <c r="V454" s="2"/>
      <c r="W454" s="2"/>
      <c r="X454" s="2"/>
      <c r="Y454" s="2"/>
      <c r="Z454" s="2"/>
      <c r="AA454" s="2"/>
      <c r="AB454" s="2"/>
      <c r="AC454" s="2"/>
      <c r="AD454" s="3"/>
    </row>
    <row r="455" spans="1:30" ht="12" customHeight="1">
      <c r="A455" s="828" t="s">
        <v>17149</v>
      </c>
      <c r="B455" s="3" t="s">
        <v>1620</v>
      </c>
      <c r="C455" s="1" t="s">
        <v>2062</v>
      </c>
      <c r="D455" s="5">
        <f t="shared" si="7"/>
        <v>47</v>
      </c>
      <c r="E455" s="2" t="s">
        <v>19</v>
      </c>
      <c r="F455" s="2" t="s">
        <v>15273</v>
      </c>
      <c r="G455" s="3"/>
      <c r="H455" s="1"/>
      <c r="I455" s="1"/>
      <c r="J455" s="8" t="s">
        <v>16120</v>
      </c>
      <c r="K455" s="1" t="s">
        <v>476</v>
      </c>
      <c r="L455" s="1" t="s">
        <v>6</v>
      </c>
      <c r="M455" s="825"/>
      <c r="N455" s="17"/>
      <c r="O455" s="3" t="s">
        <v>3416</v>
      </c>
      <c r="P455" s="20">
        <v>24043</v>
      </c>
      <c r="Q455" s="3" t="s">
        <v>6144</v>
      </c>
      <c r="R455" s="3"/>
      <c r="S455" s="3"/>
      <c r="T455" s="3" t="s">
        <v>104</v>
      </c>
      <c r="U455" s="2"/>
      <c r="V455" s="2"/>
      <c r="W455" s="2"/>
      <c r="X455" s="2"/>
      <c r="Y455" s="2"/>
      <c r="Z455" s="2"/>
      <c r="AA455" s="2" t="s">
        <v>104</v>
      </c>
      <c r="AB455" s="2"/>
      <c r="AC455" s="2"/>
      <c r="AD455" s="3"/>
    </row>
    <row r="456" spans="1:30" ht="12" customHeight="1">
      <c r="A456" s="828" t="s">
        <v>17150</v>
      </c>
      <c r="B456" s="3" t="s">
        <v>1621</v>
      </c>
      <c r="C456" s="1" t="s">
        <v>1626</v>
      </c>
      <c r="D456" s="5">
        <f t="shared" si="7"/>
        <v>54</v>
      </c>
      <c r="E456" s="2" t="s">
        <v>5</v>
      </c>
      <c r="F456" s="2"/>
      <c r="G456" s="3"/>
      <c r="H456" s="1"/>
      <c r="I456" s="1"/>
      <c r="J456" s="4" t="s">
        <v>16117</v>
      </c>
      <c r="K456" s="1"/>
      <c r="L456" s="1" t="s">
        <v>6</v>
      </c>
      <c r="M456" s="825"/>
      <c r="N456" s="17"/>
      <c r="O456" s="3" t="s">
        <v>60</v>
      </c>
      <c r="P456" s="20">
        <v>21479</v>
      </c>
      <c r="Q456" s="3" t="s">
        <v>1627</v>
      </c>
      <c r="R456" s="3"/>
      <c r="S456" s="3"/>
      <c r="T456" s="3"/>
      <c r="U456" s="2"/>
      <c r="V456" s="2"/>
      <c r="W456" s="2"/>
      <c r="X456" s="2"/>
      <c r="Y456" s="2"/>
      <c r="Z456" s="2"/>
      <c r="AA456" s="2"/>
      <c r="AB456" s="2"/>
      <c r="AC456" s="2"/>
      <c r="AD456" s="3"/>
    </row>
    <row r="457" spans="1:30" ht="12" customHeight="1">
      <c r="A457" s="828" t="s">
        <v>17151</v>
      </c>
      <c r="B457" s="3" t="s">
        <v>1622</v>
      </c>
      <c r="C457" s="1" t="s">
        <v>1628</v>
      </c>
      <c r="D457" s="5">
        <f t="shared" si="7"/>
        <v>44</v>
      </c>
      <c r="E457" s="2" t="s">
        <v>5</v>
      </c>
      <c r="F457" s="2"/>
      <c r="G457" s="3"/>
      <c r="H457" s="1"/>
      <c r="I457" s="1"/>
      <c r="J457" s="4" t="s">
        <v>16129</v>
      </c>
      <c r="K457" s="1"/>
      <c r="L457" s="1" t="s">
        <v>14</v>
      </c>
      <c r="M457" s="825">
        <v>1</v>
      </c>
      <c r="N457" s="17">
        <v>1</v>
      </c>
      <c r="O457" s="3" t="s">
        <v>317</v>
      </c>
      <c r="P457" s="20">
        <v>25068</v>
      </c>
      <c r="Q457" s="3" t="s">
        <v>1629</v>
      </c>
      <c r="R457" s="3"/>
      <c r="S457" s="3"/>
      <c r="T457" s="3" t="s">
        <v>47</v>
      </c>
      <c r="U457" s="2" t="s">
        <v>47</v>
      </c>
      <c r="V457" s="2"/>
      <c r="W457" s="2"/>
      <c r="X457" s="2"/>
      <c r="Y457" s="2"/>
      <c r="Z457" s="2"/>
      <c r="AA457" s="2"/>
      <c r="AB457" s="2"/>
      <c r="AC457" s="2"/>
      <c r="AD457" s="3"/>
    </row>
    <row r="458" spans="1:30" ht="12" customHeight="1">
      <c r="A458" s="828" t="s">
        <v>17152</v>
      </c>
      <c r="B458" s="3" t="s">
        <v>1631</v>
      </c>
      <c r="C458" s="1" t="s">
        <v>1632</v>
      </c>
      <c r="D458" s="5">
        <f t="shared" si="7"/>
        <v>55</v>
      </c>
      <c r="E458" s="2" t="s">
        <v>5</v>
      </c>
      <c r="F458" s="6" t="s">
        <v>15273</v>
      </c>
      <c r="G458" s="3" t="s">
        <v>1636</v>
      </c>
      <c r="H458" s="1"/>
      <c r="I458" s="1"/>
      <c r="J458" s="8" t="s">
        <v>16126</v>
      </c>
      <c r="K458" s="1" t="s">
        <v>604</v>
      </c>
      <c r="L458" s="1" t="s">
        <v>25</v>
      </c>
      <c r="M458" s="825">
        <v>3</v>
      </c>
      <c r="N458" s="17">
        <v>3</v>
      </c>
      <c r="O458" s="3" t="s">
        <v>77</v>
      </c>
      <c r="P458" s="20">
        <v>21023</v>
      </c>
      <c r="Q458" s="3" t="s">
        <v>1639</v>
      </c>
      <c r="R458" s="3" t="s">
        <v>1640</v>
      </c>
      <c r="S458" s="3" t="s">
        <v>736</v>
      </c>
      <c r="T458" s="3" t="s">
        <v>47</v>
      </c>
      <c r="U458" s="2" t="s">
        <v>47</v>
      </c>
      <c r="V458" s="2"/>
      <c r="W458" s="2"/>
      <c r="X458" s="2"/>
      <c r="Y458" s="2"/>
      <c r="Z458" s="2"/>
      <c r="AA458" s="2"/>
      <c r="AB458" s="2"/>
      <c r="AC458" s="2"/>
      <c r="AD458" s="3"/>
    </row>
    <row r="459" spans="1:30" ht="12" customHeight="1">
      <c r="A459" s="828" t="s">
        <v>17153</v>
      </c>
      <c r="B459" s="3" t="s">
        <v>1633</v>
      </c>
      <c r="C459" s="1" t="s">
        <v>1642</v>
      </c>
      <c r="D459" s="5">
        <f t="shared" si="7"/>
        <v>36</v>
      </c>
      <c r="E459" s="2" t="s">
        <v>5</v>
      </c>
      <c r="F459" s="2" t="s">
        <v>15273</v>
      </c>
      <c r="G459" s="3"/>
      <c r="H459" s="1"/>
      <c r="I459" s="1"/>
      <c r="J459" s="4" t="s">
        <v>16120</v>
      </c>
      <c r="K459" s="1" t="s">
        <v>30</v>
      </c>
      <c r="L459" s="1" t="s">
        <v>6</v>
      </c>
      <c r="M459" s="825"/>
      <c r="N459" s="17"/>
      <c r="O459" s="3" t="s">
        <v>150</v>
      </c>
      <c r="P459" s="20">
        <v>28033</v>
      </c>
      <c r="Q459" s="3" t="s">
        <v>1643</v>
      </c>
      <c r="R459" s="3"/>
      <c r="S459" s="3"/>
      <c r="T459" s="3"/>
      <c r="U459" s="2"/>
      <c r="V459" s="2"/>
      <c r="W459" s="2"/>
      <c r="X459" s="2"/>
      <c r="Y459" s="2"/>
      <c r="Z459" s="2"/>
      <c r="AA459" s="2"/>
      <c r="AB459" s="2"/>
      <c r="AC459" s="2"/>
      <c r="AD459" s="3"/>
    </row>
    <row r="460" spans="1:30" ht="12" customHeight="1">
      <c r="A460" s="828" t="s">
        <v>17154</v>
      </c>
      <c r="B460" s="3" t="s">
        <v>1634</v>
      </c>
      <c r="C460" s="1" t="s">
        <v>1646</v>
      </c>
      <c r="D460" s="5">
        <f t="shared" si="7"/>
        <v>45</v>
      </c>
      <c r="E460" s="2" t="s">
        <v>5</v>
      </c>
      <c r="F460" s="2" t="s">
        <v>15273</v>
      </c>
      <c r="G460" s="3"/>
      <c r="H460" s="1"/>
      <c r="I460" s="1"/>
      <c r="J460" s="4" t="s">
        <v>16128</v>
      </c>
      <c r="K460" s="1"/>
      <c r="L460" s="1" t="s">
        <v>6</v>
      </c>
      <c r="M460" s="825"/>
      <c r="N460" s="17"/>
      <c r="O460" s="3" t="s">
        <v>1273</v>
      </c>
      <c r="P460" s="20">
        <v>24742</v>
      </c>
      <c r="Q460" s="3" t="s">
        <v>1647</v>
      </c>
      <c r="R460" s="3"/>
      <c r="S460" s="3" t="s">
        <v>6031</v>
      </c>
      <c r="T460" s="3"/>
      <c r="U460" s="2"/>
      <c r="V460" s="2"/>
      <c r="W460" s="2"/>
      <c r="X460" s="2"/>
      <c r="Y460" s="2"/>
      <c r="Z460" s="2"/>
      <c r="AA460" s="2"/>
      <c r="AB460" s="2"/>
      <c r="AC460" s="2"/>
      <c r="AD460" s="3"/>
    </row>
    <row r="461" spans="1:30" ht="12" customHeight="1">
      <c r="A461" s="828" t="s">
        <v>17155</v>
      </c>
      <c r="B461" s="3" t="s">
        <v>1635</v>
      </c>
      <c r="C461" s="1" t="s">
        <v>1644</v>
      </c>
      <c r="D461" s="5">
        <f t="shared" si="7"/>
        <v>51</v>
      </c>
      <c r="E461" s="2" t="s">
        <v>5</v>
      </c>
      <c r="F461" s="2"/>
      <c r="G461" s="3"/>
      <c r="H461" s="1"/>
      <c r="I461" s="1"/>
      <c r="J461" s="4" t="s">
        <v>16117</v>
      </c>
      <c r="K461" s="1"/>
      <c r="L461" s="1" t="s">
        <v>6</v>
      </c>
      <c r="M461" s="825"/>
      <c r="N461" s="17"/>
      <c r="O461" s="3" t="s">
        <v>381</v>
      </c>
      <c r="P461" s="20">
        <v>22358</v>
      </c>
      <c r="Q461" s="3" t="s">
        <v>1645</v>
      </c>
      <c r="R461" s="3"/>
      <c r="S461" s="3"/>
      <c r="T461" s="3"/>
      <c r="U461" s="2"/>
      <c r="V461" s="2"/>
      <c r="W461" s="2"/>
      <c r="X461" s="2"/>
      <c r="Y461" s="2"/>
      <c r="Z461" s="2"/>
      <c r="AA461" s="2"/>
      <c r="AB461" s="2"/>
      <c r="AC461" s="2"/>
      <c r="AD461" s="3"/>
    </row>
    <row r="462" spans="1:30" ht="12" customHeight="1">
      <c r="A462" s="828" t="s">
        <v>17156</v>
      </c>
      <c r="B462" s="3" t="s">
        <v>1648</v>
      </c>
      <c r="C462" s="1" t="s">
        <v>1654</v>
      </c>
      <c r="D462" s="5">
        <f t="shared" si="7"/>
        <v>63</v>
      </c>
      <c r="E462" s="2" t="s">
        <v>5</v>
      </c>
      <c r="F462" s="6" t="s">
        <v>15273</v>
      </c>
      <c r="G462" s="3" t="s">
        <v>1655</v>
      </c>
      <c r="H462" s="1"/>
      <c r="I462" s="1"/>
      <c r="J462" s="8" t="s">
        <v>16127</v>
      </c>
      <c r="K462" s="1" t="s">
        <v>1656</v>
      </c>
      <c r="L462" s="1" t="s">
        <v>25</v>
      </c>
      <c r="M462" s="825">
        <v>5</v>
      </c>
      <c r="N462" s="17">
        <v>5</v>
      </c>
      <c r="O462" s="3" t="s">
        <v>31</v>
      </c>
      <c r="P462" s="20">
        <v>17955</v>
      </c>
      <c r="Q462" s="3" t="s">
        <v>1657</v>
      </c>
      <c r="R462" s="3" t="s">
        <v>2521</v>
      </c>
      <c r="S462" s="3" t="s">
        <v>736</v>
      </c>
      <c r="T462" s="3" t="s">
        <v>155</v>
      </c>
      <c r="U462" s="2"/>
      <c r="V462" s="2"/>
      <c r="W462" s="2"/>
      <c r="X462" s="2"/>
      <c r="Y462" s="2" t="s">
        <v>155</v>
      </c>
      <c r="Z462" s="2"/>
      <c r="AA462" s="2"/>
      <c r="AB462" s="2"/>
      <c r="AC462" s="2"/>
      <c r="AD462" s="3"/>
    </row>
    <row r="463" spans="1:30" ht="12" customHeight="1">
      <c r="A463" s="828" t="s">
        <v>17157</v>
      </c>
      <c r="B463" s="3" t="s">
        <v>1649</v>
      </c>
      <c r="C463" s="1" t="s">
        <v>1659</v>
      </c>
      <c r="D463" s="5">
        <f t="shared" si="7"/>
        <v>38</v>
      </c>
      <c r="E463" s="2" t="s">
        <v>19</v>
      </c>
      <c r="F463" s="2" t="s">
        <v>15273</v>
      </c>
      <c r="G463" s="3"/>
      <c r="H463" s="1"/>
      <c r="I463" s="1"/>
      <c r="J463" s="4" t="s">
        <v>16120</v>
      </c>
      <c r="K463" s="1" t="s">
        <v>48</v>
      </c>
      <c r="L463" s="1" t="s">
        <v>6</v>
      </c>
      <c r="M463" s="825"/>
      <c r="N463" s="17"/>
      <c r="O463" s="3" t="s">
        <v>317</v>
      </c>
      <c r="P463" s="20">
        <v>27103</v>
      </c>
      <c r="Q463" s="3" t="s">
        <v>1661</v>
      </c>
      <c r="R463" s="3"/>
      <c r="S463" s="3" t="s">
        <v>5457</v>
      </c>
      <c r="T463" s="3" t="s">
        <v>47</v>
      </c>
      <c r="U463" s="2" t="s">
        <v>47</v>
      </c>
      <c r="V463" s="2"/>
      <c r="W463" s="2"/>
      <c r="X463" s="2"/>
      <c r="Y463" s="2"/>
      <c r="Z463" s="2"/>
      <c r="AA463" s="2"/>
      <c r="AB463" s="2"/>
      <c r="AC463" s="2"/>
      <c r="AD463" s="3"/>
    </row>
    <row r="464" spans="1:30" ht="12" customHeight="1">
      <c r="A464" s="828" t="s">
        <v>17158</v>
      </c>
      <c r="B464" s="3" t="s">
        <v>1650</v>
      </c>
      <c r="C464" s="1" t="s">
        <v>6173</v>
      </c>
      <c r="D464" s="5">
        <f t="shared" si="7"/>
        <v>46</v>
      </c>
      <c r="E464" s="2" t="s">
        <v>5</v>
      </c>
      <c r="F464" s="2" t="s">
        <v>15273</v>
      </c>
      <c r="G464" s="3"/>
      <c r="H464" s="1"/>
      <c r="I464" s="1"/>
      <c r="J464" s="4" t="s">
        <v>16125</v>
      </c>
      <c r="K464" s="1"/>
      <c r="L464" s="1" t="s">
        <v>6</v>
      </c>
      <c r="M464" s="825"/>
      <c r="N464" s="17"/>
      <c r="O464" s="3" t="s">
        <v>317</v>
      </c>
      <c r="P464" s="20">
        <v>24225</v>
      </c>
      <c r="Q464" s="3" t="s">
        <v>2373</v>
      </c>
      <c r="R464" s="3"/>
      <c r="S464" s="3" t="s">
        <v>5561</v>
      </c>
      <c r="T464" s="3"/>
      <c r="U464" s="2"/>
      <c r="V464" s="2"/>
      <c r="W464" s="2"/>
      <c r="X464" s="2"/>
      <c r="Y464" s="2"/>
      <c r="Z464" s="2"/>
      <c r="AA464" s="2"/>
      <c r="AB464" s="2"/>
      <c r="AC464" s="2"/>
      <c r="AD464" s="3"/>
    </row>
    <row r="465" spans="1:30" ht="12" customHeight="1">
      <c r="A465" s="828" t="s">
        <v>17159</v>
      </c>
      <c r="B465" s="3" t="s">
        <v>1651</v>
      </c>
      <c r="C465" s="1" t="s">
        <v>5517</v>
      </c>
      <c r="D465" s="5">
        <f t="shared" si="7"/>
        <v>38</v>
      </c>
      <c r="E465" s="2" t="s">
        <v>5</v>
      </c>
      <c r="F465" s="2" t="s">
        <v>15273</v>
      </c>
      <c r="G465" s="3"/>
      <c r="H465" s="1"/>
      <c r="I465" s="1"/>
      <c r="J465" s="4" t="s">
        <v>16116</v>
      </c>
      <c r="K465" s="1" t="s">
        <v>4997</v>
      </c>
      <c r="L465" s="1" t="s">
        <v>6</v>
      </c>
      <c r="M465" s="825"/>
      <c r="N465" s="17"/>
      <c r="O465" s="3" t="s">
        <v>5299</v>
      </c>
      <c r="P465" s="20">
        <v>27318</v>
      </c>
      <c r="Q465" s="3" t="s">
        <v>788</v>
      </c>
      <c r="R465" s="3"/>
      <c r="S465" s="3"/>
      <c r="T465" s="3"/>
      <c r="U465" s="2"/>
      <c r="V465" s="2"/>
      <c r="W465" s="2"/>
      <c r="X465" s="2"/>
      <c r="Y465" s="2"/>
      <c r="Z465" s="2"/>
      <c r="AA465" s="2"/>
      <c r="AB465" s="2"/>
      <c r="AC465" s="2"/>
      <c r="AD465" s="3"/>
    </row>
    <row r="466" spans="1:30" ht="12" customHeight="1">
      <c r="A466" s="828" t="s">
        <v>17160</v>
      </c>
      <c r="B466" s="3" t="s">
        <v>1652</v>
      </c>
      <c r="C466" s="1" t="s">
        <v>1664</v>
      </c>
      <c r="D466" s="5">
        <f t="shared" si="7"/>
        <v>42</v>
      </c>
      <c r="E466" s="2" t="s">
        <v>5</v>
      </c>
      <c r="F466" s="2" t="s">
        <v>15273</v>
      </c>
      <c r="G466" s="3"/>
      <c r="H466" s="1"/>
      <c r="I466" s="1"/>
      <c r="J466" s="4" t="s">
        <v>16128</v>
      </c>
      <c r="K466" s="1"/>
      <c r="L466" s="1" t="s">
        <v>6</v>
      </c>
      <c r="M466" s="825"/>
      <c r="N466" s="17"/>
      <c r="O466" s="3" t="s">
        <v>188</v>
      </c>
      <c r="P466" s="20">
        <v>25584</v>
      </c>
      <c r="Q466" s="3" t="s">
        <v>1666</v>
      </c>
      <c r="R466" s="3"/>
      <c r="S466" s="3"/>
      <c r="T466" s="3" t="s">
        <v>145</v>
      </c>
      <c r="U466" s="2"/>
      <c r="V466" s="2" t="s">
        <v>145</v>
      </c>
      <c r="W466" s="2"/>
      <c r="X466" s="2"/>
      <c r="Y466" s="2"/>
      <c r="Z466" s="2"/>
      <c r="AA466" s="2"/>
      <c r="AB466" s="2"/>
      <c r="AC466" s="2"/>
      <c r="AD466" s="3"/>
    </row>
    <row r="467" spans="1:30" ht="12" customHeight="1">
      <c r="A467" s="828" t="s">
        <v>17161</v>
      </c>
      <c r="B467" s="3" t="s">
        <v>1653</v>
      </c>
      <c r="C467" s="1" t="s">
        <v>1662</v>
      </c>
      <c r="D467" s="5">
        <f t="shared" si="7"/>
        <v>36</v>
      </c>
      <c r="E467" s="2" t="s">
        <v>5</v>
      </c>
      <c r="F467" s="2"/>
      <c r="G467" s="3"/>
      <c r="H467" s="1"/>
      <c r="I467" s="1"/>
      <c r="J467" s="4" t="s">
        <v>16117</v>
      </c>
      <c r="K467" s="1"/>
      <c r="L467" s="1" t="s">
        <v>6</v>
      </c>
      <c r="M467" s="825"/>
      <c r="N467" s="17"/>
      <c r="O467" s="3" t="s">
        <v>95</v>
      </c>
      <c r="P467" s="20">
        <v>27787</v>
      </c>
      <c r="Q467" s="3" t="s">
        <v>1663</v>
      </c>
      <c r="R467" s="3"/>
      <c r="S467" s="3"/>
      <c r="T467" s="3"/>
      <c r="U467" s="2"/>
      <c r="V467" s="2"/>
      <c r="W467" s="2"/>
      <c r="X467" s="2"/>
      <c r="Y467" s="2"/>
      <c r="Z467" s="2"/>
      <c r="AA467" s="2"/>
      <c r="AB467" s="2"/>
      <c r="AC467" s="2"/>
      <c r="AD467" s="3"/>
    </row>
    <row r="468" spans="1:30" ht="12" customHeight="1">
      <c r="A468" s="828" t="s">
        <v>17162</v>
      </c>
      <c r="B468" s="3" t="s">
        <v>5516</v>
      </c>
      <c r="C468" s="1" t="s">
        <v>1667</v>
      </c>
      <c r="D468" s="5">
        <f t="shared" si="7"/>
        <v>68</v>
      </c>
      <c r="E468" s="2" t="s">
        <v>5</v>
      </c>
      <c r="F468" s="2"/>
      <c r="G468" s="3"/>
      <c r="H468" s="1"/>
      <c r="I468" s="1"/>
      <c r="J468" s="4" t="s">
        <v>16122</v>
      </c>
      <c r="K468" s="1" t="s">
        <v>1668</v>
      </c>
      <c r="L468" s="1" t="s">
        <v>6</v>
      </c>
      <c r="M468" s="825"/>
      <c r="N468" s="17"/>
      <c r="O468" s="3" t="s">
        <v>381</v>
      </c>
      <c r="P468" s="20">
        <v>16107</v>
      </c>
      <c r="Q468" s="3" t="s">
        <v>1669</v>
      </c>
      <c r="R468" s="3"/>
      <c r="S468" s="3"/>
      <c r="T468" s="3"/>
      <c r="U468" s="2"/>
      <c r="V468" s="2"/>
      <c r="W468" s="2"/>
      <c r="X468" s="2"/>
      <c r="Y468" s="2"/>
      <c r="Z468" s="2"/>
      <c r="AA468" s="2"/>
      <c r="AB468" s="2"/>
      <c r="AC468" s="2"/>
      <c r="AD468" s="3"/>
    </row>
    <row r="469" spans="1:30" ht="12" customHeight="1">
      <c r="A469" s="828" t="s">
        <v>17163</v>
      </c>
      <c r="B469" s="3" t="s">
        <v>6171</v>
      </c>
      <c r="C469" s="1" t="s">
        <v>1670</v>
      </c>
      <c r="D469" s="5">
        <f t="shared" si="7"/>
        <v>28</v>
      </c>
      <c r="E469" s="2" t="s">
        <v>19</v>
      </c>
      <c r="F469" s="2"/>
      <c r="G469" s="3"/>
      <c r="H469" s="1"/>
      <c r="I469" s="1"/>
      <c r="J469" s="4" t="s">
        <v>16122</v>
      </c>
      <c r="K469" s="1" t="s">
        <v>22</v>
      </c>
      <c r="L469" s="1" t="s">
        <v>6</v>
      </c>
      <c r="M469" s="825"/>
      <c r="N469" s="17"/>
      <c r="O469" s="3" t="s">
        <v>557</v>
      </c>
      <c r="P469" s="20">
        <v>30955</v>
      </c>
      <c r="Q469" s="3" t="s">
        <v>1296</v>
      </c>
      <c r="R469" s="3"/>
      <c r="S469" s="3"/>
      <c r="T469" s="3"/>
      <c r="U469" s="2"/>
      <c r="V469" s="2"/>
      <c r="W469" s="2"/>
      <c r="X469" s="2"/>
      <c r="Y469" s="2"/>
      <c r="Z469" s="2"/>
      <c r="AA469" s="2"/>
      <c r="AB469" s="2"/>
      <c r="AC469" s="2"/>
      <c r="AD469" s="3"/>
    </row>
    <row r="470" spans="1:30" ht="12" customHeight="1">
      <c r="A470" s="828" t="s">
        <v>17164</v>
      </c>
      <c r="B470" s="3" t="s">
        <v>15989</v>
      </c>
      <c r="C470" s="1" t="s">
        <v>15990</v>
      </c>
      <c r="D470" s="5">
        <f t="shared" si="7"/>
        <v>49</v>
      </c>
      <c r="E470" s="2" t="s">
        <v>5</v>
      </c>
      <c r="F470" s="2"/>
      <c r="G470" s="3"/>
      <c r="H470" s="1"/>
      <c r="I470" s="1"/>
      <c r="J470" s="4" t="s">
        <v>16129</v>
      </c>
      <c r="K470" s="1"/>
      <c r="L470" s="1" t="s">
        <v>6</v>
      </c>
      <c r="M470" s="825"/>
      <c r="N470" s="17"/>
      <c r="O470" s="3" t="s">
        <v>15991</v>
      </c>
      <c r="P470" s="20">
        <v>23168</v>
      </c>
      <c r="Q470" s="3" t="s">
        <v>16304</v>
      </c>
      <c r="R470" s="3"/>
      <c r="S470" s="3"/>
      <c r="T470" s="3"/>
      <c r="U470" s="2"/>
      <c r="V470" s="2"/>
      <c r="W470" s="2"/>
      <c r="X470" s="2"/>
      <c r="Y470" s="2"/>
      <c r="Z470" s="2"/>
      <c r="AA470" s="2"/>
      <c r="AB470" s="2"/>
      <c r="AC470" s="2"/>
      <c r="AD470" s="3"/>
    </row>
    <row r="471" spans="1:30" ht="12" customHeight="1">
      <c r="A471" s="828" t="s">
        <v>17165</v>
      </c>
      <c r="B471" s="3" t="s">
        <v>1672</v>
      </c>
      <c r="C471" s="1" t="s">
        <v>1676</v>
      </c>
      <c r="D471" s="5">
        <f t="shared" si="7"/>
        <v>67</v>
      </c>
      <c r="E471" s="2" t="s">
        <v>5</v>
      </c>
      <c r="F471" s="6" t="s">
        <v>15273</v>
      </c>
      <c r="G471" s="3" t="s">
        <v>1677</v>
      </c>
      <c r="H471" s="1"/>
      <c r="I471" s="1"/>
      <c r="J471" s="8" t="s">
        <v>16127</v>
      </c>
      <c r="K471" s="1" t="s">
        <v>604</v>
      </c>
      <c r="L471" s="1" t="s">
        <v>25</v>
      </c>
      <c r="M471" s="825">
        <v>4</v>
      </c>
      <c r="N471" s="17">
        <v>4</v>
      </c>
      <c r="O471" s="3" t="s">
        <v>1678</v>
      </c>
      <c r="P471" s="20">
        <v>16481</v>
      </c>
      <c r="Q471" s="3" t="s">
        <v>1679</v>
      </c>
      <c r="R471" s="3" t="s">
        <v>2517</v>
      </c>
      <c r="S471" s="3" t="s">
        <v>736</v>
      </c>
      <c r="T471" s="3" t="s">
        <v>145</v>
      </c>
      <c r="U471" s="2"/>
      <c r="V471" s="2" t="s">
        <v>145</v>
      </c>
      <c r="W471" s="2"/>
      <c r="X471" s="2"/>
      <c r="Y471" s="2"/>
      <c r="Z471" s="2"/>
      <c r="AA471" s="2"/>
      <c r="AB471" s="2"/>
      <c r="AC471" s="2"/>
      <c r="AD471" s="3"/>
    </row>
    <row r="472" spans="1:30" ht="12" customHeight="1">
      <c r="A472" s="828" t="s">
        <v>17166</v>
      </c>
      <c r="B472" s="3" t="s">
        <v>1673</v>
      </c>
      <c r="C472" s="1" t="s">
        <v>1680</v>
      </c>
      <c r="D472" s="5">
        <f t="shared" si="7"/>
        <v>33</v>
      </c>
      <c r="E472" s="2" t="s">
        <v>5</v>
      </c>
      <c r="F472" s="2" t="s">
        <v>15273</v>
      </c>
      <c r="G472" s="3"/>
      <c r="H472" s="1"/>
      <c r="I472" s="1"/>
      <c r="J472" s="8" t="s">
        <v>16120</v>
      </c>
      <c r="K472" s="1" t="s">
        <v>30</v>
      </c>
      <c r="L472" s="1" t="s">
        <v>6</v>
      </c>
      <c r="M472" s="825"/>
      <c r="N472" s="17"/>
      <c r="O472" s="3" t="s">
        <v>302</v>
      </c>
      <c r="P472" s="20">
        <v>29105</v>
      </c>
      <c r="Q472" s="3" t="s">
        <v>1681</v>
      </c>
      <c r="R472" s="3"/>
      <c r="S472" s="3"/>
      <c r="T472" s="3"/>
      <c r="U472" s="2"/>
      <c r="V472" s="2"/>
      <c r="W472" s="2"/>
      <c r="X472" s="2"/>
      <c r="Y472" s="2"/>
      <c r="Z472" s="2"/>
      <c r="AA472" s="2"/>
      <c r="AB472" s="2"/>
      <c r="AC472" s="2"/>
      <c r="AD472" s="3"/>
    </row>
    <row r="473" spans="1:30" ht="12" customHeight="1">
      <c r="A473" s="828" t="s">
        <v>17167</v>
      </c>
      <c r="B473" s="3" t="s">
        <v>1674</v>
      </c>
      <c r="C473" s="1" t="s">
        <v>5768</v>
      </c>
      <c r="D473" s="5">
        <f t="shared" si="7"/>
        <v>47</v>
      </c>
      <c r="E473" s="2" t="s">
        <v>5</v>
      </c>
      <c r="F473" s="2" t="s">
        <v>15273</v>
      </c>
      <c r="G473" s="3"/>
      <c r="H473" s="1"/>
      <c r="I473" s="1"/>
      <c r="J473" s="4" t="s">
        <v>16116</v>
      </c>
      <c r="K473" s="1" t="s">
        <v>276</v>
      </c>
      <c r="L473" s="1" t="s">
        <v>14</v>
      </c>
      <c r="M473" s="825">
        <v>1</v>
      </c>
      <c r="N473" s="17">
        <v>1</v>
      </c>
      <c r="O473" s="3" t="s">
        <v>172</v>
      </c>
      <c r="P473" s="20">
        <v>23800</v>
      </c>
      <c r="Q473" s="3" t="s">
        <v>5770</v>
      </c>
      <c r="R473" s="3"/>
      <c r="S473" s="3"/>
      <c r="T473" s="3" t="s">
        <v>104</v>
      </c>
      <c r="U473" s="2"/>
      <c r="V473" s="2"/>
      <c r="W473" s="2"/>
      <c r="X473" s="2"/>
      <c r="Y473" s="2"/>
      <c r="Z473" s="2"/>
      <c r="AA473" s="2" t="s">
        <v>104</v>
      </c>
      <c r="AB473" s="2"/>
      <c r="AC473" s="2"/>
      <c r="AD473" s="3"/>
    </row>
    <row r="474" spans="1:30" ht="12" customHeight="1">
      <c r="A474" s="828" t="s">
        <v>17168</v>
      </c>
      <c r="B474" s="3" t="s">
        <v>1675</v>
      </c>
      <c r="C474" s="1" t="s">
        <v>1684</v>
      </c>
      <c r="D474" s="5">
        <f t="shared" si="7"/>
        <v>49</v>
      </c>
      <c r="E474" s="2" t="s">
        <v>5</v>
      </c>
      <c r="F474" s="2" t="s">
        <v>15273</v>
      </c>
      <c r="G474" s="3"/>
      <c r="H474" s="1"/>
      <c r="I474" s="1"/>
      <c r="J474" s="8" t="s">
        <v>16128</v>
      </c>
      <c r="K474" s="1"/>
      <c r="L474" s="1" t="s">
        <v>6</v>
      </c>
      <c r="M474" s="825"/>
      <c r="N474" s="17"/>
      <c r="O474" s="3" t="s">
        <v>317</v>
      </c>
      <c r="P474" s="20">
        <v>23167</v>
      </c>
      <c r="Q474" s="3" t="s">
        <v>1685</v>
      </c>
      <c r="R474" s="3"/>
      <c r="S474" s="3"/>
      <c r="T474" s="3"/>
      <c r="U474" s="2"/>
      <c r="V474" s="2"/>
      <c r="W474" s="2"/>
      <c r="X474" s="2"/>
      <c r="Y474" s="2"/>
      <c r="Z474" s="2"/>
      <c r="AA474" s="2"/>
      <c r="AB474" s="2"/>
      <c r="AC474" s="2"/>
      <c r="AD474" s="3"/>
    </row>
    <row r="475" spans="1:30" ht="12" customHeight="1">
      <c r="A475" s="828" t="s">
        <v>17169</v>
      </c>
      <c r="B475" s="3" t="s">
        <v>5767</v>
      </c>
      <c r="C475" s="1" t="s">
        <v>1682</v>
      </c>
      <c r="D475" s="5">
        <f t="shared" si="7"/>
        <v>42</v>
      </c>
      <c r="E475" s="2" t="s">
        <v>5</v>
      </c>
      <c r="F475" s="2"/>
      <c r="G475" s="3"/>
      <c r="H475" s="1"/>
      <c r="I475" s="1"/>
      <c r="J475" s="4" t="s">
        <v>16117</v>
      </c>
      <c r="K475" s="1"/>
      <c r="L475" s="1" t="s">
        <v>6</v>
      </c>
      <c r="M475" s="825"/>
      <c r="N475" s="17"/>
      <c r="O475" s="3" t="s">
        <v>1683</v>
      </c>
      <c r="P475" s="21">
        <v>25879</v>
      </c>
      <c r="Q475" s="3" t="s">
        <v>1663</v>
      </c>
      <c r="R475" s="3"/>
      <c r="S475" s="3"/>
      <c r="T475" s="3"/>
      <c r="U475" s="2"/>
      <c r="V475" s="2"/>
      <c r="W475" s="2"/>
      <c r="X475" s="2"/>
      <c r="Y475" s="2"/>
      <c r="Z475" s="2"/>
      <c r="AA475" s="2"/>
      <c r="AB475" s="2"/>
      <c r="AC475" s="2"/>
      <c r="AD475" s="3"/>
    </row>
    <row r="476" spans="1:30" ht="12" customHeight="1">
      <c r="A476" s="828" t="s">
        <v>17170</v>
      </c>
      <c r="B476" s="3" t="s">
        <v>15992</v>
      </c>
      <c r="C476" s="1" t="s">
        <v>15993</v>
      </c>
      <c r="D476" s="5">
        <f t="shared" si="7"/>
        <v>57</v>
      </c>
      <c r="E476" s="2" t="s">
        <v>5</v>
      </c>
      <c r="F476" s="2"/>
      <c r="G476" s="3"/>
      <c r="H476" s="1"/>
      <c r="I476" s="1"/>
      <c r="J476" s="4" t="s">
        <v>16129</v>
      </c>
      <c r="K476" s="1"/>
      <c r="L476" s="1" t="s">
        <v>6</v>
      </c>
      <c r="M476" s="825"/>
      <c r="N476" s="17"/>
      <c r="O476" s="3" t="s">
        <v>15994</v>
      </c>
      <c r="P476" s="21">
        <v>20150</v>
      </c>
      <c r="Q476" s="3" t="s">
        <v>16304</v>
      </c>
      <c r="R476" s="3"/>
      <c r="S476" s="3"/>
      <c r="T476" s="3"/>
      <c r="U476" s="2"/>
      <c r="V476" s="2"/>
      <c r="W476" s="2"/>
      <c r="X476" s="2"/>
      <c r="Y476" s="2"/>
      <c r="Z476" s="2"/>
      <c r="AA476" s="2"/>
      <c r="AB476" s="2"/>
      <c r="AC476" s="2"/>
      <c r="AD476" s="3"/>
    </row>
    <row r="477" spans="1:30" ht="12" customHeight="1">
      <c r="A477" s="828" t="s">
        <v>17171</v>
      </c>
      <c r="B477" s="3" t="s">
        <v>1686</v>
      </c>
      <c r="C477" s="1" t="s">
        <v>1689</v>
      </c>
      <c r="D477" s="5">
        <f t="shared" si="7"/>
        <v>56</v>
      </c>
      <c r="E477" s="2" t="s">
        <v>5</v>
      </c>
      <c r="F477" s="6" t="s">
        <v>15273</v>
      </c>
      <c r="G477" s="3" t="s">
        <v>1690</v>
      </c>
      <c r="H477" s="1"/>
      <c r="I477" s="1"/>
      <c r="J477" s="8" t="s">
        <v>16126</v>
      </c>
      <c r="K477" s="1" t="s">
        <v>604</v>
      </c>
      <c r="L477" s="1" t="s">
        <v>25</v>
      </c>
      <c r="M477" s="825">
        <v>4</v>
      </c>
      <c r="N477" s="17">
        <v>4</v>
      </c>
      <c r="O477" s="3" t="s">
        <v>188</v>
      </c>
      <c r="P477" s="20">
        <v>20667</v>
      </c>
      <c r="Q477" s="3" t="s">
        <v>16661</v>
      </c>
      <c r="R477" s="3" t="s">
        <v>2531</v>
      </c>
      <c r="S477" s="3" t="s">
        <v>736</v>
      </c>
      <c r="T477" s="3" t="s">
        <v>635</v>
      </c>
      <c r="U477" s="2"/>
      <c r="V477" s="2" t="s">
        <v>145</v>
      </c>
      <c r="W477" s="2"/>
      <c r="X477" s="2"/>
      <c r="Y477" s="2"/>
      <c r="Z477" s="2"/>
      <c r="AA477" s="2"/>
      <c r="AB477" s="2"/>
      <c r="AC477" s="2" t="s">
        <v>146</v>
      </c>
      <c r="AD477" s="3"/>
    </row>
    <row r="478" spans="1:30" ht="12" customHeight="1">
      <c r="A478" s="828" t="s">
        <v>17172</v>
      </c>
      <c r="B478" s="3" t="s">
        <v>1687</v>
      </c>
      <c r="C478" s="1" t="s">
        <v>1694</v>
      </c>
      <c r="D478" s="5">
        <f t="shared" si="7"/>
        <v>48</v>
      </c>
      <c r="E478" s="2" t="s">
        <v>5</v>
      </c>
      <c r="F478" s="2" t="s">
        <v>15273</v>
      </c>
      <c r="G478" s="3"/>
      <c r="H478" s="1"/>
      <c r="I478" s="1"/>
      <c r="J478" s="4" t="s">
        <v>16120</v>
      </c>
      <c r="K478" s="1" t="s">
        <v>30</v>
      </c>
      <c r="L478" s="1" t="s">
        <v>14</v>
      </c>
      <c r="M478" s="825">
        <v>1</v>
      </c>
      <c r="N478" s="17">
        <v>1</v>
      </c>
      <c r="O478" s="3" t="s">
        <v>31</v>
      </c>
      <c r="P478" s="20">
        <v>23547</v>
      </c>
      <c r="Q478" s="3" t="s">
        <v>759</v>
      </c>
      <c r="R478" s="3"/>
      <c r="S478" s="3" t="s">
        <v>5457</v>
      </c>
      <c r="T478" s="3" t="s">
        <v>104</v>
      </c>
      <c r="U478" s="2"/>
      <c r="V478" s="2"/>
      <c r="W478" s="2"/>
      <c r="X478" s="2"/>
      <c r="Y478" s="2"/>
      <c r="Z478" s="2"/>
      <c r="AA478" s="2" t="s">
        <v>104</v>
      </c>
      <c r="AB478" s="2"/>
      <c r="AC478" s="2"/>
      <c r="AD478" s="3"/>
    </row>
    <row r="479" spans="1:30" ht="12" customHeight="1">
      <c r="A479" s="828" t="s">
        <v>17173</v>
      </c>
      <c r="B479" s="3" t="s">
        <v>1688</v>
      </c>
      <c r="C479" s="1" t="s">
        <v>5736</v>
      </c>
      <c r="D479" s="5">
        <f t="shared" si="7"/>
        <v>47</v>
      </c>
      <c r="E479" s="2" t="s">
        <v>5</v>
      </c>
      <c r="F479" s="2" t="s">
        <v>15273</v>
      </c>
      <c r="G479" s="3"/>
      <c r="H479" s="1"/>
      <c r="I479" s="1"/>
      <c r="J479" s="4" t="s">
        <v>16125</v>
      </c>
      <c r="K479" s="1"/>
      <c r="L479" s="1" t="s">
        <v>6</v>
      </c>
      <c r="M479" s="825"/>
      <c r="N479" s="17"/>
      <c r="O479" s="3" t="s">
        <v>467</v>
      </c>
      <c r="P479" s="20">
        <v>24057</v>
      </c>
      <c r="Q479" s="3" t="s">
        <v>5737</v>
      </c>
      <c r="R479" s="3"/>
      <c r="S479" s="3" t="s">
        <v>5561</v>
      </c>
      <c r="T479" s="3"/>
      <c r="U479" s="2"/>
      <c r="V479" s="2"/>
      <c r="W479" s="2"/>
      <c r="X479" s="2"/>
      <c r="Y479" s="2"/>
      <c r="Z479" s="2"/>
      <c r="AA479" s="2"/>
      <c r="AB479" s="2"/>
      <c r="AC479" s="2"/>
      <c r="AD479" s="3"/>
    </row>
    <row r="480" spans="1:30" ht="12" customHeight="1">
      <c r="A480" s="828" t="s">
        <v>17174</v>
      </c>
      <c r="B480" s="3" t="s">
        <v>5735</v>
      </c>
      <c r="C480" s="1" t="s">
        <v>1697</v>
      </c>
      <c r="D480" s="5">
        <f t="shared" si="7"/>
        <v>36</v>
      </c>
      <c r="E480" s="2" t="s">
        <v>5</v>
      </c>
      <c r="F480" s="2"/>
      <c r="G480" s="3"/>
      <c r="H480" s="1"/>
      <c r="I480" s="1"/>
      <c r="J480" s="4" t="s">
        <v>16117</v>
      </c>
      <c r="K480" s="1"/>
      <c r="L480" s="1" t="s">
        <v>6</v>
      </c>
      <c r="M480" s="825"/>
      <c r="N480" s="17"/>
      <c r="O480" s="3" t="s">
        <v>1698</v>
      </c>
      <c r="P480" s="21">
        <v>27844</v>
      </c>
      <c r="Q480" s="3" t="s">
        <v>1699</v>
      </c>
      <c r="R480" s="3"/>
      <c r="S480" s="3"/>
      <c r="T480" s="3"/>
      <c r="U480" s="2"/>
      <c r="V480" s="2"/>
      <c r="W480" s="2"/>
      <c r="X480" s="2"/>
      <c r="Y480" s="2"/>
      <c r="Z480" s="2"/>
      <c r="AA480" s="2"/>
      <c r="AB480" s="2"/>
      <c r="AC480" s="2"/>
      <c r="AD480" s="3"/>
    </row>
    <row r="481" spans="1:30" ht="12" customHeight="1">
      <c r="A481" s="828" t="s">
        <v>17175</v>
      </c>
      <c r="B481" s="3" t="s">
        <v>1700</v>
      </c>
      <c r="C481" s="1" t="s">
        <v>1705</v>
      </c>
      <c r="D481" s="5">
        <f t="shared" si="7"/>
        <v>39</v>
      </c>
      <c r="E481" s="2" t="s">
        <v>5</v>
      </c>
      <c r="F481" s="6" t="s">
        <v>15273</v>
      </c>
      <c r="G481" s="3" t="s">
        <v>1706</v>
      </c>
      <c r="H481" s="1"/>
      <c r="I481" s="1"/>
      <c r="J481" s="8" t="s">
        <v>16127</v>
      </c>
      <c r="K481" s="1" t="s">
        <v>44</v>
      </c>
      <c r="L481" s="1" t="s">
        <v>25</v>
      </c>
      <c r="M481" s="825">
        <v>1</v>
      </c>
      <c r="N481" s="17">
        <v>1</v>
      </c>
      <c r="O481" s="3" t="s">
        <v>317</v>
      </c>
      <c r="P481" s="20">
        <v>26820</v>
      </c>
      <c r="Q481" s="3" t="s">
        <v>1707</v>
      </c>
      <c r="R481" s="3"/>
      <c r="S481" s="3" t="s">
        <v>736</v>
      </c>
      <c r="T481" s="3"/>
      <c r="U481" s="2"/>
      <c r="V481" s="2"/>
      <c r="W481" s="2"/>
      <c r="X481" s="2"/>
      <c r="Y481" s="2"/>
      <c r="Z481" s="2"/>
      <c r="AA481" s="2"/>
      <c r="AB481" s="2"/>
      <c r="AC481" s="2"/>
      <c r="AD481" s="3"/>
    </row>
    <row r="482" spans="1:30" ht="12" customHeight="1">
      <c r="A482" s="828" t="s">
        <v>17176</v>
      </c>
      <c r="B482" s="3" t="s">
        <v>1701</v>
      </c>
      <c r="C482" s="1" t="s">
        <v>1708</v>
      </c>
      <c r="D482" s="5">
        <f t="shared" si="7"/>
        <v>45</v>
      </c>
      <c r="E482" s="2" t="s">
        <v>5</v>
      </c>
      <c r="F482" s="2" t="s">
        <v>15273</v>
      </c>
      <c r="G482" s="3" t="s">
        <v>1709</v>
      </c>
      <c r="H482" s="1"/>
      <c r="I482" s="1"/>
      <c r="J482" s="4" t="s">
        <v>16120</v>
      </c>
      <c r="K482" s="1" t="s">
        <v>30</v>
      </c>
      <c r="L482" s="1" t="s">
        <v>25</v>
      </c>
      <c r="M482" s="825">
        <v>2</v>
      </c>
      <c r="N482" s="17">
        <v>2</v>
      </c>
      <c r="O482" s="3" t="s">
        <v>188</v>
      </c>
      <c r="P482" s="20">
        <v>24524</v>
      </c>
      <c r="Q482" s="3" t="s">
        <v>1710</v>
      </c>
      <c r="R482" s="3"/>
      <c r="S482" s="3" t="s">
        <v>5457</v>
      </c>
      <c r="T482" s="3"/>
      <c r="U482" s="2"/>
      <c r="V482" s="2"/>
      <c r="W482" s="2"/>
      <c r="X482" s="2"/>
      <c r="Y482" s="2"/>
      <c r="Z482" s="2"/>
      <c r="AA482" s="2"/>
      <c r="AB482" s="2"/>
      <c r="AC482" s="2"/>
      <c r="AD482" s="3"/>
    </row>
    <row r="483" spans="1:30" ht="12" customHeight="1">
      <c r="A483" s="828" t="s">
        <v>17177</v>
      </c>
      <c r="B483" s="3" t="s">
        <v>1702</v>
      </c>
      <c r="C483" s="1" t="s">
        <v>5379</v>
      </c>
      <c r="D483" s="5">
        <f t="shared" si="7"/>
        <v>56</v>
      </c>
      <c r="E483" s="2" t="s">
        <v>5</v>
      </c>
      <c r="F483" s="2" t="s">
        <v>15273</v>
      </c>
      <c r="G483" s="3"/>
      <c r="H483" s="1"/>
      <c r="I483" s="1"/>
      <c r="J483" s="4" t="s">
        <v>16116</v>
      </c>
      <c r="K483" s="1" t="s">
        <v>4993</v>
      </c>
      <c r="L483" s="1" t="s">
        <v>6</v>
      </c>
      <c r="M483" s="825"/>
      <c r="N483" s="17"/>
      <c r="O483" s="3" t="s">
        <v>5380</v>
      </c>
      <c r="P483" s="21">
        <v>20791</v>
      </c>
      <c r="Q483" s="3" t="s">
        <v>5381</v>
      </c>
      <c r="R483" s="3"/>
      <c r="S483" s="3"/>
      <c r="T483" s="3" t="s">
        <v>145</v>
      </c>
      <c r="U483" s="2"/>
      <c r="V483" s="2" t="s">
        <v>145</v>
      </c>
      <c r="W483" s="2"/>
      <c r="X483" s="2"/>
      <c r="Y483" s="2"/>
      <c r="Z483" s="2"/>
      <c r="AA483" s="2"/>
      <c r="AB483" s="2"/>
      <c r="AC483" s="2"/>
      <c r="AD483" s="3"/>
    </row>
    <row r="484" spans="1:30" ht="12" customHeight="1">
      <c r="A484" s="828" t="s">
        <v>17178</v>
      </c>
      <c r="B484" s="3" t="s">
        <v>1703</v>
      </c>
      <c r="C484" s="1" t="s">
        <v>1713</v>
      </c>
      <c r="D484" s="5">
        <f t="shared" si="7"/>
        <v>55</v>
      </c>
      <c r="E484" s="2" t="s">
        <v>5</v>
      </c>
      <c r="F484" s="2" t="s">
        <v>15273</v>
      </c>
      <c r="G484" s="3"/>
      <c r="H484" s="1"/>
      <c r="I484" s="1"/>
      <c r="J484" s="4" t="s">
        <v>16128</v>
      </c>
      <c r="K484" s="1"/>
      <c r="L484" s="1" t="s">
        <v>6</v>
      </c>
      <c r="M484" s="825"/>
      <c r="N484" s="17"/>
      <c r="O484" s="3" t="s">
        <v>188</v>
      </c>
      <c r="P484" s="20">
        <v>21028</v>
      </c>
      <c r="Q484" s="3" t="s">
        <v>1714</v>
      </c>
      <c r="R484" s="3"/>
      <c r="S484" s="3"/>
      <c r="T484" s="3"/>
      <c r="U484" s="2"/>
      <c r="V484" s="2"/>
      <c r="W484" s="2"/>
      <c r="X484" s="2"/>
      <c r="Y484" s="2"/>
      <c r="Z484" s="2"/>
      <c r="AA484" s="2"/>
      <c r="AB484" s="2"/>
      <c r="AC484" s="2"/>
      <c r="AD484" s="3"/>
    </row>
    <row r="485" spans="1:30" ht="12" customHeight="1">
      <c r="A485" s="828" t="s">
        <v>17179</v>
      </c>
      <c r="B485" s="3" t="s">
        <v>1704</v>
      </c>
      <c r="C485" s="1" t="s">
        <v>1711</v>
      </c>
      <c r="D485" s="5">
        <f t="shared" si="7"/>
        <v>38</v>
      </c>
      <c r="E485" s="2" t="s">
        <v>5</v>
      </c>
      <c r="F485" s="2"/>
      <c r="G485" s="3"/>
      <c r="H485" s="1"/>
      <c r="I485" s="1"/>
      <c r="J485" s="4" t="s">
        <v>16117</v>
      </c>
      <c r="K485" s="1"/>
      <c r="L485" s="1" t="s">
        <v>6</v>
      </c>
      <c r="M485" s="825"/>
      <c r="N485" s="17"/>
      <c r="O485" s="3" t="s">
        <v>95</v>
      </c>
      <c r="P485" s="21">
        <v>27054</v>
      </c>
      <c r="Q485" s="3" t="s">
        <v>1712</v>
      </c>
      <c r="R485" s="3"/>
      <c r="S485" s="3"/>
      <c r="T485" s="3"/>
      <c r="U485" s="2"/>
      <c r="V485" s="2"/>
      <c r="W485" s="2"/>
      <c r="X485" s="2"/>
      <c r="Y485" s="2"/>
      <c r="Z485" s="2"/>
      <c r="AA485" s="2"/>
      <c r="AB485" s="2"/>
      <c r="AC485" s="2"/>
      <c r="AD485" s="3"/>
    </row>
    <row r="486" spans="1:30" ht="12" customHeight="1">
      <c r="A486" s="828" t="s">
        <v>17180</v>
      </c>
      <c r="B486" s="3" t="s">
        <v>5378</v>
      </c>
      <c r="C486" s="1" t="s">
        <v>1715</v>
      </c>
      <c r="D486" s="5">
        <f t="shared" si="7"/>
        <v>42</v>
      </c>
      <c r="E486" s="2" t="s">
        <v>5</v>
      </c>
      <c r="F486" s="2"/>
      <c r="G486" s="3"/>
      <c r="H486" s="1"/>
      <c r="I486" s="1"/>
      <c r="J486" s="4" t="s">
        <v>16122</v>
      </c>
      <c r="K486" s="1" t="s">
        <v>5723</v>
      </c>
      <c r="L486" s="1" t="s">
        <v>6</v>
      </c>
      <c r="M486" s="825"/>
      <c r="N486" s="17"/>
      <c r="O486" s="3" t="s">
        <v>172</v>
      </c>
      <c r="P486" s="20">
        <v>25841</v>
      </c>
      <c r="Q486" s="3" t="s">
        <v>5724</v>
      </c>
      <c r="R486" s="3"/>
      <c r="S486" s="3"/>
      <c r="T486" s="3"/>
      <c r="U486" s="2"/>
      <c r="V486" s="2"/>
      <c r="W486" s="2"/>
      <c r="X486" s="2"/>
      <c r="Y486" s="2"/>
      <c r="Z486" s="2"/>
      <c r="AA486" s="2"/>
      <c r="AB486" s="2"/>
      <c r="AC486" s="2"/>
      <c r="AD486" s="3"/>
    </row>
    <row r="487" spans="1:30" ht="12" customHeight="1">
      <c r="A487" s="828" t="s">
        <v>17181</v>
      </c>
      <c r="B487" s="3" t="s">
        <v>1717</v>
      </c>
      <c r="C487" s="1" t="s">
        <v>1722</v>
      </c>
      <c r="D487" s="5">
        <f t="shared" si="7"/>
        <v>46</v>
      </c>
      <c r="E487" s="2" t="s">
        <v>5</v>
      </c>
      <c r="F487" s="6" t="s">
        <v>15273</v>
      </c>
      <c r="G487" s="3" t="s">
        <v>1723</v>
      </c>
      <c r="H487" s="1"/>
      <c r="I487" s="1"/>
      <c r="J487" s="8" t="s">
        <v>16127</v>
      </c>
      <c r="K487" s="1" t="s">
        <v>44</v>
      </c>
      <c r="L487" s="1" t="s">
        <v>25</v>
      </c>
      <c r="M487" s="825">
        <v>3</v>
      </c>
      <c r="N487" s="17">
        <v>3</v>
      </c>
      <c r="O487" s="3" t="s">
        <v>188</v>
      </c>
      <c r="P487" s="20">
        <v>24364</v>
      </c>
      <c r="Q487" s="3" t="s">
        <v>1724</v>
      </c>
      <c r="R487" s="3" t="s">
        <v>1725</v>
      </c>
      <c r="S487" s="3" t="s">
        <v>736</v>
      </c>
      <c r="T487" s="3" t="s">
        <v>145</v>
      </c>
      <c r="U487" s="2"/>
      <c r="V487" s="2" t="s">
        <v>145</v>
      </c>
      <c r="W487" s="2"/>
      <c r="X487" s="2"/>
      <c r="Y487" s="2"/>
      <c r="Z487" s="2"/>
      <c r="AA487" s="2"/>
      <c r="AB487" s="2"/>
      <c r="AC487" s="2"/>
      <c r="AD487" s="3"/>
    </row>
    <row r="488" spans="1:30" ht="12" customHeight="1">
      <c r="A488" s="828" t="s">
        <v>17182</v>
      </c>
      <c r="B488" s="3" t="s">
        <v>1718</v>
      </c>
      <c r="C488" s="1" t="s">
        <v>1726</v>
      </c>
      <c r="D488" s="5">
        <f t="shared" si="7"/>
        <v>51</v>
      </c>
      <c r="E488" s="2" t="s">
        <v>5</v>
      </c>
      <c r="F488" s="2" t="s">
        <v>15273</v>
      </c>
      <c r="G488" s="3"/>
      <c r="H488" s="1"/>
      <c r="I488" s="1"/>
      <c r="J488" s="8" t="s">
        <v>16120</v>
      </c>
      <c r="K488" s="1" t="s">
        <v>13</v>
      </c>
      <c r="L488" s="1" t="s">
        <v>14</v>
      </c>
      <c r="M488" s="825">
        <v>1</v>
      </c>
      <c r="N488" s="17">
        <v>1</v>
      </c>
      <c r="O488" s="3" t="s">
        <v>31</v>
      </c>
      <c r="P488" s="20">
        <v>22526</v>
      </c>
      <c r="Q488" s="3" t="s">
        <v>1727</v>
      </c>
      <c r="R488" s="3"/>
      <c r="S488" s="3"/>
      <c r="T488" s="3"/>
      <c r="U488" s="2"/>
      <c r="V488" s="2"/>
      <c r="W488" s="2"/>
      <c r="X488" s="2"/>
      <c r="Y488" s="2"/>
      <c r="Z488" s="2"/>
      <c r="AA488" s="2"/>
      <c r="AB488" s="2"/>
      <c r="AC488" s="2"/>
      <c r="AD488" s="3"/>
    </row>
    <row r="489" spans="1:30" ht="12" customHeight="1">
      <c r="A489" s="828" t="s">
        <v>17183</v>
      </c>
      <c r="B489" s="3" t="s">
        <v>1719</v>
      </c>
      <c r="C489" s="1" t="s">
        <v>6175</v>
      </c>
      <c r="D489" s="5">
        <f t="shared" si="7"/>
        <v>44</v>
      </c>
      <c r="E489" s="2" t="s">
        <v>19</v>
      </c>
      <c r="F489" s="2" t="s">
        <v>15273</v>
      </c>
      <c r="G489" s="3"/>
      <c r="H489" s="1"/>
      <c r="I489" s="1"/>
      <c r="J489" s="4" t="s">
        <v>16125</v>
      </c>
      <c r="K489" s="1"/>
      <c r="L489" s="1" t="s">
        <v>6</v>
      </c>
      <c r="M489" s="825"/>
      <c r="N489" s="17"/>
      <c r="O489" s="3" t="s">
        <v>6176</v>
      </c>
      <c r="P489" s="20">
        <v>24895</v>
      </c>
      <c r="Q489" s="3" t="s">
        <v>6177</v>
      </c>
      <c r="R489" s="3"/>
      <c r="S489" s="3" t="s">
        <v>5561</v>
      </c>
      <c r="T489" s="3"/>
      <c r="U489" s="2"/>
      <c r="V489" s="2"/>
      <c r="W489" s="2"/>
      <c r="X489" s="2"/>
      <c r="Y489" s="2"/>
      <c r="Z489" s="2"/>
      <c r="AA489" s="2"/>
      <c r="AB489" s="2"/>
      <c r="AC489" s="2"/>
      <c r="AD489" s="3"/>
    </row>
    <row r="490" spans="1:30" ht="12" customHeight="1">
      <c r="A490" s="828" t="s">
        <v>17184</v>
      </c>
      <c r="B490" s="3" t="s">
        <v>1720</v>
      </c>
      <c r="C490" s="1" t="s">
        <v>5383</v>
      </c>
      <c r="D490" s="5">
        <f t="shared" si="7"/>
        <v>34</v>
      </c>
      <c r="E490" s="2" t="s">
        <v>5</v>
      </c>
      <c r="F490" s="2" t="s">
        <v>15273</v>
      </c>
      <c r="G490" s="3"/>
      <c r="H490" s="1"/>
      <c r="I490" s="1"/>
      <c r="J490" s="4" t="s">
        <v>16116</v>
      </c>
      <c r="K490" s="1" t="s">
        <v>4997</v>
      </c>
      <c r="L490" s="1" t="s">
        <v>6</v>
      </c>
      <c r="M490" s="825"/>
      <c r="N490" s="17"/>
      <c r="O490" s="3" t="s">
        <v>6148</v>
      </c>
      <c r="P490" s="20">
        <v>28673</v>
      </c>
      <c r="Q490" s="3" t="s">
        <v>6149</v>
      </c>
      <c r="R490" s="3"/>
      <c r="S490" s="3"/>
      <c r="T490" s="3"/>
      <c r="U490" s="2"/>
      <c r="V490" s="2"/>
      <c r="W490" s="2"/>
      <c r="X490" s="2"/>
      <c r="Y490" s="2"/>
      <c r="Z490" s="2"/>
      <c r="AA490" s="2"/>
      <c r="AB490" s="2"/>
      <c r="AC490" s="3"/>
      <c r="AD490" s="3"/>
    </row>
    <row r="491" spans="1:30" ht="12" customHeight="1">
      <c r="A491" s="828" t="s">
        <v>17185</v>
      </c>
      <c r="B491" s="3" t="s">
        <v>1721</v>
      </c>
      <c r="C491" s="1" t="s">
        <v>1730</v>
      </c>
      <c r="D491" s="5">
        <f t="shared" si="7"/>
        <v>36</v>
      </c>
      <c r="E491" s="2" t="s">
        <v>5</v>
      </c>
      <c r="F491" s="2" t="s">
        <v>15273</v>
      </c>
      <c r="G491" s="3"/>
      <c r="H491" s="1"/>
      <c r="I491" s="1"/>
      <c r="J491" s="4" t="s">
        <v>16128</v>
      </c>
      <c r="K491" s="1"/>
      <c r="L491" s="1" t="s">
        <v>6</v>
      </c>
      <c r="M491" s="825"/>
      <c r="N491" s="17"/>
      <c r="O491" s="3" t="s">
        <v>317</v>
      </c>
      <c r="P491" s="20">
        <v>27939</v>
      </c>
      <c r="Q491" s="3" t="s">
        <v>727</v>
      </c>
      <c r="R491" s="3"/>
      <c r="S491" s="3"/>
      <c r="T491" s="3" t="s">
        <v>147</v>
      </c>
      <c r="U491" s="2"/>
      <c r="V491" s="2"/>
      <c r="W491" s="2"/>
      <c r="X491" s="2"/>
      <c r="Y491" s="2"/>
      <c r="Z491" s="2"/>
      <c r="AA491" s="2"/>
      <c r="AB491" s="2" t="s">
        <v>147</v>
      </c>
      <c r="AC491" s="3"/>
      <c r="AD491" s="3"/>
    </row>
    <row r="492" spans="1:30" ht="12" customHeight="1">
      <c r="A492" s="828" t="s">
        <v>17186</v>
      </c>
      <c r="B492" s="3" t="s">
        <v>5382</v>
      </c>
      <c r="C492" s="1" t="s">
        <v>1728</v>
      </c>
      <c r="D492" s="5">
        <f t="shared" si="7"/>
        <v>63</v>
      </c>
      <c r="E492" s="2" t="s">
        <v>5</v>
      </c>
      <c r="F492" s="2"/>
      <c r="G492" s="3"/>
      <c r="H492" s="1"/>
      <c r="I492" s="1"/>
      <c r="J492" s="4" t="s">
        <v>16117</v>
      </c>
      <c r="K492" s="1"/>
      <c r="L492" s="1" t="s">
        <v>6</v>
      </c>
      <c r="M492" s="825"/>
      <c r="N492" s="17"/>
      <c r="O492" s="3" t="s">
        <v>182</v>
      </c>
      <c r="P492" s="21">
        <v>18159</v>
      </c>
      <c r="Q492" s="3" t="s">
        <v>1729</v>
      </c>
      <c r="R492" s="3"/>
      <c r="S492" s="3"/>
      <c r="T492" s="3"/>
      <c r="U492" s="2"/>
      <c r="V492" s="2"/>
      <c r="W492" s="2"/>
      <c r="X492" s="2"/>
      <c r="Y492" s="2"/>
      <c r="Z492" s="2"/>
      <c r="AA492" s="2"/>
      <c r="AB492" s="2"/>
      <c r="AC492" s="3"/>
      <c r="AD492" s="3"/>
    </row>
    <row r="493" spans="1:30" ht="12" customHeight="1">
      <c r="A493" s="828" t="s">
        <v>17187</v>
      </c>
      <c r="B493" s="3" t="s">
        <v>6174</v>
      </c>
      <c r="C493" s="1" t="s">
        <v>1733</v>
      </c>
      <c r="D493" s="5">
        <f t="shared" si="7"/>
        <v>33</v>
      </c>
      <c r="E493" s="2" t="s">
        <v>5</v>
      </c>
      <c r="F493" s="2"/>
      <c r="G493" s="3"/>
      <c r="H493" s="1"/>
      <c r="I493" s="1"/>
      <c r="J493" s="4" t="s">
        <v>16122</v>
      </c>
      <c r="K493" s="1" t="s">
        <v>22</v>
      </c>
      <c r="L493" s="1" t="s">
        <v>6</v>
      </c>
      <c r="M493" s="825"/>
      <c r="N493" s="17"/>
      <c r="O493" s="3" t="s">
        <v>1734</v>
      </c>
      <c r="P493" s="20">
        <v>28961</v>
      </c>
      <c r="Q493" s="3" t="s">
        <v>1735</v>
      </c>
      <c r="R493" s="3"/>
      <c r="S493" s="3"/>
      <c r="T493" s="3"/>
      <c r="U493" s="2"/>
      <c r="V493" s="2"/>
      <c r="W493" s="2"/>
      <c r="X493" s="2"/>
      <c r="Y493" s="2"/>
      <c r="Z493" s="2"/>
      <c r="AA493" s="2"/>
      <c r="AB493" s="2"/>
      <c r="AC493" s="3"/>
      <c r="AD493" s="3"/>
    </row>
    <row r="494" spans="1:30" ht="12" customHeight="1">
      <c r="A494" s="828" t="s">
        <v>17188</v>
      </c>
      <c r="B494" s="3" t="s">
        <v>1736</v>
      </c>
      <c r="C494" s="1" t="s">
        <v>1740</v>
      </c>
      <c r="D494" s="5">
        <f t="shared" si="7"/>
        <v>64</v>
      </c>
      <c r="E494" s="2" t="s">
        <v>19</v>
      </c>
      <c r="F494" s="6" t="s">
        <v>15273</v>
      </c>
      <c r="G494" s="3" t="s">
        <v>1741</v>
      </c>
      <c r="H494" s="1"/>
      <c r="I494" s="1"/>
      <c r="J494" s="8" t="s">
        <v>16126</v>
      </c>
      <c r="K494" s="1" t="s">
        <v>44</v>
      </c>
      <c r="L494" s="1" t="s">
        <v>25</v>
      </c>
      <c r="M494" s="825">
        <v>4</v>
      </c>
      <c r="N494" s="17">
        <v>5</v>
      </c>
      <c r="O494" s="3" t="s">
        <v>1742</v>
      </c>
      <c r="P494" s="20">
        <v>17793</v>
      </c>
      <c r="Q494" s="3" t="s">
        <v>1743</v>
      </c>
      <c r="R494" s="3" t="s">
        <v>2516</v>
      </c>
      <c r="S494" s="3" t="s">
        <v>736</v>
      </c>
      <c r="T494" s="3" t="s">
        <v>1744</v>
      </c>
      <c r="U494" s="2"/>
      <c r="V494" s="2"/>
      <c r="W494" s="2"/>
      <c r="X494" s="2" t="s">
        <v>229</v>
      </c>
      <c r="Y494" s="2" t="s">
        <v>155</v>
      </c>
      <c r="Z494" s="2"/>
      <c r="AA494" s="2" t="s">
        <v>1746</v>
      </c>
      <c r="AB494" s="2"/>
      <c r="AC494" s="3"/>
      <c r="AD494" s="3"/>
    </row>
    <row r="495" spans="1:30" ht="12" customHeight="1">
      <c r="A495" s="828" t="s">
        <v>17189</v>
      </c>
      <c r="B495" s="3" t="s">
        <v>1737</v>
      </c>
      <c r="C495" s="1" t="s">
        <v>1747</v>
      </c>
      <c r="D495" s="5">
        <f t="shared" si="7"/>
        <v>48</v>
      </c>
      <c r="E495" s="2" t="s">
        <v>5</v>
      </c>
      <c r="F495" s="2" t="s">
        <v>15273</v>
      </c>
      <c r="G495" s="3"/>
      <c r="H495" s="1"/>
      <c r="I495" s="1"/>
      <c r="J495" s="4" t="s">
        <v>16120</v>
      </c>
      <c r="K495" s="1" t="s">
        <v>48</v>
      </c>
      <c r="L495" s="1" t="s">
        <v>14</v>
      </c>
      <c r="M495" s="825">
        <v>1</v>
      </c>
      <c r="N495" s="17">
        <v>1</v>
      </c>
      <c r="O495" s="3" t="s">
        <v>462</v>
      </c>
      <c r="P495" s="20">
        <v>23434</v>
      </c>
      <c r="Q495" s="3" t="s">
        <v>1749</v>
      </c>
      <c r="R495" s="3"/>
      <c r="S495" s="3" t="s">
        <v>5457</v>
      </c>
      <c r="T495" s="3" t="s">
        <v>104</v>
      </c>
      <c r="U495" s="2"/>
      <c r="V495" s="2"/>
      <c r="W495" s="2"/>
      <c r="X495" s="2"/>
      <c r="Y495" s="2"/>
      <c r="Z495" s="2"/>
      <c r="AA495" s="2" t="s">
        <v>1746</v>
      </c>
      <c r="AB495" s="2"/>
      <c r="AC495" s="3"/>
      <c r="AD495" s="3"/>
    </row>
    <row r="496" spans="1:30" ht="12" customHeight="1">
      <c r="A496" s="828" t="s">
        <v>17190</v>
      </c>
      <c r="B496" s="3" t="s">
        <v>1738</v>
      </c>
      <c r="C496" s="1" t="s">
        <v>5385</v>
      </c>
      <c r="D496" s="5">
        <f t="shared" si="7"/>
        <v>46</v>
      </c>
      <c r="E496" s="2" t="s">
        <v>5</v>
      </c>
      <c r="F496" s="2" t="s">
        <v>15273</v>
      </c>
      <c r="G496" s="3"/>
      <c r="H496" s="1"/>
      <c r="I496" s="1"/>
      <c r="J496" s="4" t="s">
        <v>16116</v>
      </c>
      <c r="K496" s="1" t="s">
        <v>4422</v>
      </c>
      <c r="L496" s="1" t="s">
        <v>6</v>
      </c>
      <c r="M496" s="825"/>
      <c r="N496" s="17"/>
      <c r="O496" s="3" t="s">
        <v>182</v>
      </c>
      <c r="P496" s="20">
        <v>24312</v>
      </c>
      <c r="Q496" s="3" t="s">
        <v>5386</v>
      </c>
      <c r="R496" s="3"/>
      <c r="S496" s="3"/>
      <c r="T496" s="3" t="s">
        <v>145</v>
      </c>
      <c r="U496" s="2"/>
      <c r="V496" s="2" t="s">
        <v>145</v>
      </c>
      <c r="W496" s="2"/>
      <c r="X496" s="2"/>
      <c r="Y496" s="2"/>
      <c r="Z496" s="2"/>
      <c r="AA496" s="2"/>
      <c r="AB496" s="2"/>
      <c r="AC496" s="3"/>
      <c r="AD496" s="3"/>
    </row>
    <row r="497" spans="1:30" ht="12" customHeight="1">
      <c r="A497" s="828" t="s">
        <v>17191</v>
      </c>
      <c r="B497" s="3" t="s">
        <v>1739</v>
      </c>
      <c r="C497" s="1" t="s">
        <v>1753</v>
      </c>
      <c r="D497" s="5">
        <f t="shared" si="7"/>
        <v>33</v>
      </c>
      <c r="E497" s="2" t="s">
        <v>5</v>
      </c>
      <c r="F497" s="2" t="s">
        <v>15273</v>
      </c>
      <c r="G497" s="3"/>
      <c r="H497" s="1"/>
      <c r="I497" s="1"/>
      <c r="J497" s="4" t="s">
        <v>16128</v>
      </c>
      <c r="K497" s="1"/>
      <c r="L497" s="1" t="s">
        <v>6</v>
      </c>
      <c r="M497" s="825"/>
      <c r="N497" s="17"/>
      <c r="O497" s="3" t="s">
        <v>31</v>
      </c>
      <c r="P497" s="20">
        <v>29084</v>
      </c>
      <c r="Q497" s="3" t="s">
        <v>1754</v>
      </c>
      <c r="R497" s="3"/>
      <c r="S497" s="3"/>
      <c r="T497" s="3"/>
      <c r="U497" s="2"/>
      <c r="V497" s="2"/>
      <c r="W497" s="2"/>
      <c r="X497" s="2"/>
      <c r="Y497" s="2"/>
      <c r="Z497" s="2"/>
      <c r="AA497" s="2"/>
      <c r="AB497" s="2"/>
      <c r="AC497" s="3"/>
      <c r="AD497" s="3"/>
    </row>
    <row r="498" spans="1:30" ht="12" customHeight="1">
      <c r="A498" s="828" t="s">
        <v>17192</v>
      </c>
      <c r="B498" s="3" t="s">
        <v>5384</v>
      </c>
      <c r="C498" s="1" t="s">
        <v>1750</v>
      </c>
      <c r="D498" s="5">
        <f t="shared" si="7"/>
        <v>33</v>
      </c>
      <c r="E498" s="2" t="s">
        <v>5</v>
      </c>
      <c r="F498" s="2"/>
      <c r="G498" s="3"/>
      <c r="H498" s="1"/>
      <c r="I498" s="1"/>
      <c r="J498" s="4" t="s">
        <v>16117</v>
      </c>
      <c r="K498" s="1"/>
      <c r="L498" s="1" t="s">
        <v>6</v>
      </c>
      <c r="M498" s="825"/>
      <c r="N498" s="17"/>
      <c r="O498" s="3" t="s">
        <v>1751</v>
      </c>
      <c r="P498" s="20">
        <v>28985</v>
      </c>
      <c r="Q498" s="3" t="s">
        <v>1752</v>
      </c>
      <c r="R498" s="3"/>
      <c r="S498" s="3"/>
      <c r="T498" s="3"/>
      <c r="U498" s="2"/>
      <c r="V498" s="2"/>
      <c r="W498" s="2"/>
      <c r="X498" s="2"/>
      <c r="Y498" s="2"/>
      <c r="Z498" s="2"/>
      <c r="AA498" s="2"/>
      <c r="AB498" s="2"/>
      <c r="AC498" s="3"/>
      <c r="AD498" s="3"/>
    </row>
    <row r="499" spans="1:30" ht="12" customHeight="1">
      <c r="A499" s="828" t="s">
        <v>17193</v>
      </c>
      <c r="B499" s="3" t="s">
        <v>1755</v>
      </c>
      <c r="C499" s="1" t="s">
        <v>1758</v>
      </c>
      <c r="D499" s="5">
        <f t="shared" si="7"/>
        <v>52</v>
      </c>
      <c r="E499" s="2" t="s">
        <v>5</v>
      </c>
      <c r="F499" s="6" t="s">
        <v>15273</v>
      </c>
      <c r="G499" s="3" t="s">
        <v>1759</v>
      </c>
      <c r="H499" s="1"/>
      <c r="I499" s="1"/>
      <c r="J499" s="8" t="s">
        <v>16127</v>
      </c>
      <c r="K499" s="1" t="s">
        <v>655</v>
      </c>
      <c r="L499" s="1" t="s">
        <v>25</v>
      </c>
      <c r="M499" s="825">
        <v>4</v>
      </c>
      <c r="N499" s="17">
        <v>4</v>
      </c>
      <c r="O499" s="3" t="s">
        <v>31</v>
      </c>
      <c r="P499" s="20">
        <v>22081</v>
      </c>
      <c r="Q499" s="3" t="s">
        <v>1761</v>
      </c>
      <c r="R499" s="3" t="s">
        <v>2519</v>
      </c>
      <c r="S499" s="3" t="s">
        <v>736</v>
      </c>
      <c r="T499" s="3" t="s">
        <v>155</v>
      </c>
      <c r="U499" s="2"/>
      <c r="V499" s="2"/>
      <c r="W499" s="2"/>
      <c r="X499" s="2"/>
      <c r="Y499" s="2" t="s">
        <v>155</v>
      </c>
      <c r="Z499" s="2"/>
      <c r="AA499" s="2"/>
      <c r="AB499" s="2"/>
      <c r="AC499" s="3"/>
      <c r="AD499" s="3"/>
    </row>
    <row r="500" spans="1:30" ht="12" customHeight="1">
      <c r="A500" s="828" t="s">
        <v>17194</v>
      </c>
      <c r="B500" s="3" t="s">
        <v>1756</v>
      </c>
      <c r="C500" s="1" t="s">
        <v>1762</v>
      </c>
      <c r="D500" s="5">
        <f t="shared" si="7"/>
        <v>63</v>
      </c>
      <c r="E500" s="2" t="s">
        <v>5</v>
      </c>
      <c r="F500" s="2" t="s">
        <v>15273</v>
      </c>
      <c r="G500" s="3"/>
      <c r="H500" s="1"/>
      <c r="I500" s="1"/>
      <c r="J500" s="4" t="s">
        <v>16120</v>
      </c>
      <c r="K500" s="1" t="s">
        <v>48</v>
      </c>
      <c r="L500" s="1" t="s">
        <v>14</v>
      </c>
      <c r="M500" s="825">
        <v>1</v>
      </c>
      <c r="N500" s="17">
        <v>1</v>
      </c>
      <c r="O500" s="3" t="s">
        <v>557</v>
      </c>
      <c r="P500" s="20">
        <v>17982</v>
      </c>
      <c r="Q500" s="3" t="s">
        <v>1763</v>
      </c>
      <c r="R500" s="3"/>
      <c r="S500" s="3"/>
      <c r="T500" s="3" t="s">
        <v>145</v>
      </c>
      <c r="U500" s="2"/>
      <c r="V500" s="2" t="s">
        <v>145</v>
      </c>
      <c r="W500" s="2"/>
      <c r="X500" s="2"/>
      <c r="Y500" s="2"/>
      <c r="Z500" s="2"/>
      <c r="AA500" s="2"/>
      <c r="AB500" s="2"/>
      <c r="AC500" s="3"/>
      <c r="AD500" s="3"/>
    </row>
    <row r="501" spans="1:30" ht="12" customHeight="1">
      <c r="A501" s="828" t="s">
        <v>17195</v>
      </c>
      <c r="B501" s="3" t="s">
        <v>1757</v>
      </c>
      <c r="C501" s="1" t="s">
        <v>5739</v>
      </c>
      <c r="D501" s="5">
        <f t="shared" si="7"/>
        <v>52</v>
      </c>
      <c r="E501" s="2" t="s">
        <v>5</v>
      </c>
      <c r="F501" s="2" t="s">
        <v>15273</v>
      </c>
      <c r="G501" s="3"/>
      <c r="H501" s="1"/>
      <c r="I501" s="1"/>
      <c r="J501" s="4" t="s">
        <v>16125</v>
      </c>
      <c r="K501" s="1"/>
      <c r="L501" s="1" t="s">
        <v>6</v>
      </c>
      <c r="M501" s="825"/>
      <c r="N501" s="17"/>
      <c r="O501" s="3" t="s">
        <v>188</v>
      </c>
      <c r="P501" s="20">
        <v>22063</v>
      </c>
      <c r="Q501" s="3" t="s">
        <v>15995</v>
      </c>
      <c r="R501" s="3"/>
      <c r="S501" s="3" t="s">
        <v>5561</v>
      </c>
      <c r="T501" s="3"/>
      <c r="U501" s="2"/>
      <c r="V501" s="2"/>
      <c r="W501" s="2"/>
      <c r="X501" s="2"/>
      <c r="Y501" s="2"/>
      <c r="Z501" s="2"/>
      <c r="AA501" s="2"/>
      <c r="AB501" s="2"/>
      <c r="AC501" s="3"/>
      <c r="AD501" s="3"/>
    </row>
    <row r="502" spans="1:30" ht="12" customHeight="1">
      <c r="A502" s="828" t="s">
        <v>17196</v>
      </c>
      <c r="B502" s="3" t="s">
        <v>5093</v>
      </c>
      <c r="C502" s="1" t="s">
        <v>5094</v>
      </c>
      <c r="D502" s="5">
        <f t="shared" si="7"/>
        <v>45</v>
      </c>
      <c r="E502" s="2" t="s">
        <v>5</v>
      </c>
      <c r="F502" s="2" t="s">
        <v>15273</v>
      </c>
      <c r="G502" s="3"/>
      <c r="H502" s="1"/>
      <c r="I502" s="1"/>
      <c r="J502" s="4" t="s">
        <v>16116</v>
      </c>
      <c r="K502" s="1" t="s">
        <v>4422</v>
      </c>
      <c r="L502" s="1" t="s">
        <v>6</v>
      </c>
      <c r="M502" s="825"/>
      <c r="N502" s="17"/>
      <c r="O502" s="3" t="s">
        <v>31</v>
      </c>
      <c r="P502" s="20">
        <v>24620</v>
      </c>
      <c r="Q502" s="3" t="s">
        <v>5095</v>
      </c>
      <c r="R502" s="3"/>
      <c r="S502" s="3"/>
      <c r="T502" s="3" t="s">
        <v>145</v>
      </c>
      <c r="U502" s="2"/>
      <c r="V502" s="2" t="s">
        <v>145</v>
      </c>
      <c r="W502" s="2"/>
      <c r="X502" s="2"/>
      <c r="Y502" s="2"/>
      <c r="Z502" s="2"/>
      <c r="AA502" s="2"/>
      <c r="AB502" s="2"/>
      <c r="AC502" s="3"/>
      <c r="AD502" s="3"/>
    </row>
    <row r="503" spans="1:30" ht="12" customHeight="1">
      <c r="A503" s="828" t="s">
        <v>17197</v>
      </c>
      <c r="B503" s="3" t="s">
        <v>5738</v>
      </c>
      <c r="C503" s="1" t="s">
        <v>1764</v>
      </c>
      <c r="D503" s="5">
        <f t="shared" si="7"/>
        <v>36</v>
      </c>
      <c r="E503" s="2" t="s">
        <v>5</v>
      </c>
      <c r="F503" s="2"/>
      <c r="G503" s="3"/>
      <c r="H503" s="1"/>
      <c r="I503" s="1"/>
      <c r="J503" s="4" t="s">
        <v>16117</v>
      </c>
      <c r="K503" s="1"/>
      <c r="L503" s="1" t="s">
        <v>6</v>
      </c>
      <c r="M503" s="825"/>
      <c r="N503" s="17"/>
      <c r="O503" s="3" t="s">
        <v>1765</v>
      </c>
      <c r="P503" s="20">
        <v>27807</v>
      </c>
      <c r="Q503" s="3" t="s">
        <v>1766</v>
      </c>
      <c r="R503" s="3"/>
      <c r="S503" s="3"/>
      <c r="T503" s="3"/>
      <c r="U503" s="2"/>
      <c r="V503" s="2"/>
      <c r="W503" s="2"/>
      <c r="X503" s="2"/>
      <c r="Y503" s="2"/>
      <c r="Z503" s="2"/>
      <c r="AA503" s="2"/>
      <c r="AB503" s="2"/>
      <c r="AC503" s="3"/>
      <c r="AD503" s="3"/>
    </row>
    <row r="504" spans="1:30" ht="12" customHeight="1">
      <c r="A504" s="828" t="s">
        <v>17198</v>
      </c>
      <c r="B504" s="3" t="s">
        <v>15996</v>
      </c>
      <c r="C504" s="1" t="s">
        <v>15997</v>
      </c>
      <c r="D504" s="5">
        <f t="shared" si="7"/>
        <v>76</v>
      </c>
      <c r="E504" s="2" t="s">
        <v>5</v>
      </c>
      <c r="F504" s="2"/>
      <c r="G504" s="3"/>
      <c r="H504" s="1"/>
      <c r="I504" s="1"/>
      <c r="J504" s="4" t="s">
        <v>16129</v>
      </c>
      <c r="K504" s="1"/>
      <c r="L504" s="1" t="s">
        <v>6</v>
      </c>
      <c r="M504" s="825"/>
      <c r="N504" s="17"/>
      <c r="O504" s="3" t="s">
        <v>16109</v>
      </c>
      <c r="P504" s="20">
        <v>13271</v>
      </c>
      <c r="Q504" s="3" t="s">
        <v>15998</v>
      </c>
      <c r="R504" s="3"/>
      <c r="S504" s="3"/>
      <c r="T504" s="3"/>
      <c r="U504" s="2"/>
      <c r="V504" s="2"/>
      <c r="W504" s="2"/>
      <c r="X504" s="2"/>
      <c r="Y504" s="2"/>
      <c r="Z504" s="2"/>
      <c r="AA504" s="2"/>
      <c r="AB504" s="2"/>
      <c r="AC504" s="3"/>
      <c r="AD504" s="3"/>
    </row>
    <row r="505" spans="1:30" ht="12" customHeight="1">
      <c r="A505" s="828" t="s">
        <v>17199</v>
      </c>
      <c r="B505" s="3" t="s">
        <v>1767</v>
      </c>
      <c r="C505" s="1" t="s">
        <v>5827</v>
      </c>
      <c r="D505" s="5">
        <f t="shared" si="7"/>
        <v>65</v>
      </c>
      <c r="E505" s="2" t="s">
        <v>19</v>
      </c>
      <c r="F505" s="6" t="s">
        <v>15273</v>
      </c>
      <c r="G505" s="3"/>
      <c r="H505" s="1"/>
      <c r="I505" s="1"/>
      <c r="J505" s="8" t="s">
        <v>16127</v>
      </c>
      <c r="K505" s="1" t="s">
        <v>604</v>
      </c>
      <c r="L505" s="1" t="s">
        <v>6</v>
      </c>
      <c r="M505" s="825"/>
      <c r="N505" s="17">
        <v>6</v>
      </c>
      <c r="O505" s="3" t="s">
        <v>5828</v>
      </c>
      <c r="P505" s="20">
        <v>17208</v>
      </c>
      <c r="Q505" s="3" t="s">
        <v>5829</v>
      </c>
      <c r="R505" s="3" t="s">
        <v>5831</v>
      </c>
      <c r="S505" s="3"/>
      <c r="T505" s="3" t="s">
        <v>631</v>
      </c>
      <c r="U505" s="2"/>
      <c r="V505" s="2"/>
      <c r="W505" s="2"/>
      <c r="X505" s="2"/>
      <c r="Y505" s="2"/>
      <c r="Z505" s="2"/>
      <c r="AA505" s="2"/>
      <c r="AB505" s="2"/>
      <c r="AC505" s="3"/>
      <c r="AD505" s="3"/>
    </row>
    <row r="506" spans="1:30" ht="12" customHeight="1">
      <c r="A506" s="828" t="s">
        <v>17200</v>
      </c>
      <c r="B506" s="3" t="s">
        <v>1768</v>
      </c>
      <c r="C506" s="1" t="s">
        <v>1770</v>
      </c>
      <c r="D506" s="5">
        <f t="shared" si="7"/>
        <v>55</v>
      </c>
      <c r="E506" s="2" t="s">
        <v>5</v>
      </c>
      <c r="F506" s="2" t="s">
        <v>15273</v>
      </c>
      <c r="G506" s="3" t="s">
        <v>1771</v>
      </c>
      <c r="H506" s="1"/>
      <c r="I506" s="1"/>
      <c r="J506" s="8" t="s">
        <v>16120</v>
      </c>
      <c r="K506" s="1" t="s">
        <v>934</v>
      </c>
      <c r="L506" s="1" t="s">
        <v>25</v>
      </c>
      <c r="M506" s="825">
        <v>7</v>
      </c>
      <c r="N506" s="17">
        <v>7</v>
      </c>
      <c r="O506" s="3" t="s">
        <v>31</v>
      </c>
      <c r="P506" s="20">
        <v>20929</v>
      </c>
      <c r="Q506" s="3" t="s">
        <v>1772</v>
      </c>
      <c r="R506" s="3" t="s">
        <v>1774</v>
      </c>
      <c r="S506" s="3" t="s">
        <v>5457</v>
      </c>
      <c r="T506" s="3" t="s">
        <v>258</v>
      </c>
      <c r="U506" s="2"/>
      <c r="V506" s="2"/>
      <c r="W506" s="2"/>
      <c r="X506" s="2"/>
      <c r="Y506" s="2" t="s">
        <v>155</v>
      </c>
      <c r="Z506" s="2"/>
      <c r="AA506" s="2" t="s">
        <v>104</v>
      </c>
      <c r="AB506" s="2"/>
      <c r="AC506" s="3"/>
      <c r="AD506" s="3"/>
    </row>
    <row r="507" spans="1:30" ht="12" customHeight="1">
      <c r="A507" s="828" t="s">
        <v>17201</v>
      </c>
      <c r="B507" s="3" t="s">
        <v>1769</v>
      </c>
      <c r="C507" s="1" t="s">
        <v>1775</v>
      </c>
      <c r="D507" s="5">
        <f t="shared" si="7"/>
        <v>28</v>
      </c>
      <c r="E507" s="2" t="s">
        <v>5</v>
      </c>
      <c r="F507" s="2"/>
      <c r="G507" s="3"/>
      <c r="H507" s="1"/>
      <c r="I507" s="1"/>
      <c r="J507" s="4" t="s">
        <v>16117</v>
      </c>
      <c r="K507" s="1"/>
      <c r="L507" s="1" t="s">
        <v>6</v>
      </c>
      <c r="M507" s="825"/>
      <c r="N507" s="17"/>
      <c r="O507" s="3" t="s">
        <v>983</v>
      </c>
      <c r="P507" s="21">
        <v>30988</v>
      </c>
      <c r="Q507" s="3" t="s">
        <v>1776</v>
      </c>
      <c r="R507" s="3"/>
      <c r="S507" s="3"/>
      <c r="T507" s="3"/>
      <c r="U507" s="2"/>
      <c r="V507" s="2"/>
      <c r="W507" s="2"/>
      <c r="X507" s="2"/>
      <c r="Y507" s="2"/>
      <c r="Z507" s="2"/>
      <c r="AA507" s="2"/>
      <c r="AB507" s="2"/>
      <c r="AC507" s="3"/>
      <c r="AD507" s="3"/>
    </row>
    <row r="508" spans="1:30" ht="12" customHeight="1">
      <c r="A508" s="828" t="s">
        <v>17202</v>
      </c>
      <c r="B508" s="3" t="s">
        <v>15623</v>
      </c>
      <c r="C508" s="1" t="s">
        <v>15624</v>
      </c>
      <c r="D508" s="5">
        <f t="shared" si="7"/>
        <v>38</v>
      </c>
      <c r="E508" s="2" t="s">
        <v>5</v>
      </c>
      <c r="F508" s="2"/>
      <c r="G508" s="3"/>
      <c r="H508" s="1"/>
      <c r="I508" s="1"/>
      <c r="J508" s="8" t="s">
        <v>16129</v>
      </c>
      <c r="K508" s="1"/>
      <c r="L508" s="1" t="s">
        <v>6</v>
      </c>
      <c r="M508" s="825"/>
      <c r="N508" s="17"/>
      <c r="O508" s="3" t="s">
        <v>15625</v>
      </c>
      <c r="P508" s="21">
        <v>27357</v>
      </c>
      <c r="Q508" s="3" t="s">
        <v>15626</v>
      </c>
      <c r="R508" s="3"/>
      <c r="S508" s="3" t="s">
        <v>45</v>
      </c>
      <c r="T508" s="3" t="s">
        <v>85</v>
      </c>
      <c r="U508" s="2"/>
      <c r="V508" s="2"/>
      <c r="W508" s="2"/>
      <c r="X508" s="2"/>
      <c r="Y508" s="2"/>
      <c r="Z508" s="2" t="s">
        <v>85</v>
      </c>
      <c r="AA508" s="2"/>
      <c r="AB508" s="2"/>
      <c r="AC508" s="3"/>
      <c r="AD508" s="3"/>
    </row>
    <row r="509" spans="1:30" ht="12" customHeight="1">
      <c r="A509" s="828" t="s">
        <v>17203</v>
      </c>
      <c r="B509" s="3" t="s">
        <v>1777</v>
      </c>
      <c r="C509" s="1" t="s">
        <v>4412</v>
      </c>
      <c r="D509" s="5">
        <f t="shared" si="7"/>
        <v>49</v>
      </c>
      <c r="E509" s="2" t="s">
        <v>5</v>
      </c>
      <c r="F509" s="6" t="s">
        <v>15273</v>
      </c>
      <c r="G509" s="3"/>
      <c r="H509" s="1"/>
      <c r="I509" s="1"/>
      <c r="J509" s="8" t="s">
        <v>16126</v>
      </c>
      <c r="K509" s="1" t="s">
        <v>44</v>
      </c>
      <c r="L509" s="1" t="s">
        <v>6</v>
      </c>
      <c r="M509" s="825"/>
      <c r="N509" s="17"/>
      <c r="O509" s="3" t="s">
        <v>1038</v>
      </c>
      <c r="P509" s="20">
        <v>23265</v>
      </c>
      <c r="Q509" s="3" t="s">
        <v>4433</v>
      </c>
      <c r="R509" s="3"/>
      <c r="S509" s="3" t="s">
        <v>736</v>
      </c>
      <c r="T509" s="3"/>
      <c r="U509" s="2"/>
      <c r="V509" s="2"/>
      <c r="W509" s="2"/>
      <c r="X509" s="2"/>
      <c r="Y509" s="2"/>
      <c r="Z509" s="2"/>
      <c r="AA509" s="2"/>
      <c r="AB509" s="2"/>
      <c r="AC509" s="3"/>
      <c r="AD509" s="3"/>
    </row>
    <row r="510" spans="1:30" ht="12" customHeight="1">
      <c r="A510" s="828" t="s">
        <v>17204</v>
      </c>
      <c r="B510" s="3" t="s">
        <v>1778</v>
      </c>
      <c r="C510" s="1" t="s">
        <v>1781</v>
      </c>
      <c r="D510" s="5">
        <f t="shared" si="7"/>
        <v>50</v>
      </c>
      <c r="E510" s="2" t="s">
        <v>5</v>
      </c>
      <c r="F510" s="2" t="s">
        <v>15273</v>
      </c>
      <c r="G510" s="3" t="s">
        <v>1782</v>
      </c>
      <c r="H510" s="1"/>
      <c r="I510" s="1"/>
      <c r="J510" s="4" t="s">
        <v>16120</v>
      </c>
      <c r="K510" s="1" t="s">
        <v>30</v>
      </c>
      <c r="L510" s="1" t="s">
        <v>25</v>
      </c>
      <c r="M510" s="825">
        <v>3</v>
      </c>
      <c r="N510" s="17">
        <v>3</v>
      </c>
      <c r="O510" s="3" t="s">
        <v>188</v>
      </c>
      <c r="P510" s="20">
        <v>22653</v>
      </c>
      <c r="Q510" s="3" t="s">
        <v>1783</v>
      </c>
      <c r="R510" s="3" t="s">
        <v>1784</v>
      </c>
      <c r="S510" s="3" t="s">
        <v>5457</v>
      </c>
      <c r="T510" s="3" t="s">
        <v>145</v>
      </c>
      <c r="U510" s="2"/>
      <c r="V510" s="2" t="s">
        <v>145</v>
      </c>
      <c r="W510" s="2"/>
      <c r="X510" s="2"/>
      <c r="Y510" s="2"/>
      <c r="Z510" s="2"/>
      <c r="AA510" s="2"/>
      <c r="AB510" s="2"/>
      <c r="AC510" s="3"/>
      <c r="AD510" s="3"/>
    </row>
    <row r="511" spans="1:30" ht="12" customHeight="1">
      <c r="A511" s="828" t="s">
        <v>17205</v>
      </c>
      <c r="B511" s="3" t="s">
        <v>1779</v>
      </c>
      <c r="C511" s="1" t="s">
        <v>1788</v>
      </c>
      <c r="D511" s="5">
        <f t="shared" si="7"/>
        <v>46</v>
      </c>
      <c r="E511" s="2" t="s">
        <v>5</v>
      </c>
      <c r="F511" s="2" t="s">
        <v>15273</v>
      </c>
      <c r="G511" s="3" t="s">
        <v>1789</v>
      </c>
      <c r="H511" s="1"/>
      <c r="I511" s="1"/>
      <c r="J511" s="4" t="s">
        <v>16125</v>
      </c>
      <c r="K511" s="1"/>
      <c r="L511" s="1" t="s">
        <v>25</v>
      </c>
      <c r="M511" s="825">
        <v>1</v>
      </c>
      <c r="N511" s="17">
        <v>1</v>
      </c>
      <c r="O511" s="3" t="s">
        <v>31</v>
      </c>
      <c r="P511" s="20">
        <v>24349</v>
      </c>
      <c r="Q511" s="3" t="s">
        <v>1790</v>
      </c>
      <c r="R511" s="3"/>
      <c r="S511" s="3" t="s">
        <v>5561</v>
      </c>
      <c r="T511" s="3"/>
      <c r="U511" s="2"/>
      <c r="V511" s="2"/>
      <c r="W511" s="2"/>
      <c r="X511" s="2"/>
      <c r="Y511" s="2"/>
      <c r="Z511" s="2"/>
      <c r="AA511" s="3"/>
      <c r="AB511" s="3"/>
      <c r="AC511" s="3"/>
      <c r="AD511" s="3"/>
    </row>
    <row r="512" spans="1:30" ht="12" customHeight="1">
      <c r="A512" s="828" t="s">
        <v>17206</v>
      </c>
      <c r="B512" s="3" t="s">
        <v>1780</v>
      </c>
      <c r="C512" s="1" t="s">
        <v>1785</v>
      </c>
      <c r="D512" s="5">
        <f t="shared" si="7"/>
        <v>41</v>
      </c>
      <c r="E512" s="2" t="s">
        <v>5</v>
      </c>
      <c r="F512" s="2"/>
      <c r="G512" s="3"/>
      <c r="H512" s="1"/>
      <c r="I512" s="1"/>
      <c r="J512" s="4" t="s">
        <v>16117</v>
      </c>
      <c r="K512" s="1"/>
      <c r="L512" s="1" t="s">
        <v>6</v>
      </c>
      <c r="M512" s="825"/>
      <c r="N512" s="17"/>
      <c r="O512" s="3" t="s">
        <v>1786</v>
      </c>
      <c r="P512" s="21">
        <v>25986</v>
      </c>
      <c r="Q512" s="3" t="s">
        <v>1712</v>
      </c>
      <c r="R512" s="3"/>
      <c r="S512" s="3"/>
      <c r="T512" s="3"/>
      <c r="U512" s="2"/>
      <c r="V512" s="2"/>
      <c r="W512" s="2"/>
      <c r="X512" s="2"/>
      <c r="Y512" s="2"/>
      <c r="Z512" s="2"/>
      <c r="AA512" s="2"/>
      <c r="AB512" s="2"/>
      <c r="AC512" s="3"/>
      <c r="AD512" s="3"/>
    </row>
    <row r="513" spans="1:30" ht="12" customHeight="1">
      <c r="A513" s="828" t="s">
        <v>17207</v>
      </c>
      <c r="B513" s="3" t="s">
        <v>1791</v>
      </c>
      <c r="C513" s="1" t="s">
        <v>1795</v>
      </c>
      <c r="D513" s="5">
        <f t="shared" ref="D513:D576" si="8">DATEDIF(P513,$P$1505,"Y")</f>
        <v>52</v>
      </c>
      <c r="E513" s="2" t="s">
        <v>19</v>
      </c>
      <c r="F513" s="6" t="s">
        <v>15273</v>
      </c>
      <c r="G513" s="3" t="s">
        <v>1796</v>
      </c>
      <c r="H513" s="1"/>
      <c r="I513" s="1"/>
      <c r="J513" s="8" t="s">
        <v>16127</v>
      </c>
      <c r="K513" s="1" t="s">
        <v>44</v>
      </c>
      <c r="L513" s="1" t="s">
        <v>25</v>
      </c>
      <c r="M513" s="825">
        <v>1</v>
      </c>
      <c r="N513" s="17">
        <v>1</v>
      </c>
      <c r="O513" s="3" t="s">
        <v>1038</v>
      </c>
      <c r="P513" s="20">
        <v>21906</v>
      </c>
      <c r="Q513" s="3" t="s">
        <v>1797</v>
      </c>
      <c r="R513" s="3"/>
      <c r="S513" s="3" t="s">
        <v>736</v>
      </c>
      <c r="T513" s="3"/>
      <c r="U513" s="2"/>
      <c r="V513" s="2"/>
      <c r="W513" s="2"/>
      <c r="X513" s="2"/>
      <c r="Y513" s="2"/>
      <c r="Z513" s="2"/>
      <c r="AA513" s="3"/>
      <c r="AB513" s="3"/>
      <c r="AC513" s="3"/>
      <c r="AD513" s="3"/>
    </row>
    <row r="514" spans="1:30" ht="12" customHeight="1">
      <c r="A514" s="828" t="s">
        <v>17208</v>
      </c>
      <c r="B514" s="3" t="s">
        <v>1792</v>
      </c>
      <c r="C514" s="1" t="s">
        <v>1798</v>
      </c>
      <c r="D514" s="5">
        <f t="shared" si="8"/>
        <v>60</v>
      </c>
      <c r="E514" s="2" t="s">
        <v>19</v>
      </c>
      <c r="F514" s="2" t="s">
        <v>15273</v>
      </c>
      <c r="G514" s="3" t="s">
        <v>1799</v>
      </c>
      <c r="H514" s="1"/>
      <c r="I514" s="1"/>
      <c r="J514" s="4" t="s">
        <v>16120</v>
      </c>
      <c r="K514" s="1" t="s">
        <v>30</v>
      </c>
      <c r="L514" s="1" t="s">
        <v>25</v>
      </c>
      <c r="M514" s="825">
        <v>6</v>
      </c>
      <c r="N514" s="17">
        <v>7</v>
      </c>
      <c r="O514" s="3" t="s">
        <v>1800</v>
      </c>
      <c r="P514" s="20">
        <v>19190</v>
      </c>
      <c r="Q514" s="3" t="s">
        <v>1802</v>
      </c>
      <c r="R514" s="3" t="s">
        <v>1803</v>
      </c>
      <c r="S514" s="3" t="s">
        <v>5457</v>
      </c>
      <c r="T514" s="3" t="s">
        <v>631</v>
      </c>
      <c r="U514" s="2"/>
      <c r="V514" s="2"/>
      <c r="W514" s="2"/>
      <c r="X514" s="2" t="s">
        <v>229</v>
      </c>
      <c r="Y514" s="2" t="s">
        <v>155</v>
      </c>
      <c r="Z514" s="2"/>
      <c r="AA514" s="3"/>
      <c r="AB514" s="3"/>
      <c r="AC514" s="3"/>
      <c r="AD514" s="3"/>
    </row>
    <row r="515" spans="1:30" ht="12" customHeight="1">
      <c r="A515" s="828" t="s">
        <v>17209</v>
      </c>
      <c r="B515" s="3" t="s">
        <v>1793</v>
      </c>
      <c r="C515" s="1" t="s">
        <v>5740</v>
      </c>
      <c r="D515" s="5">
        <f t="shared" si="8"/>
        <v>44</v>
      </c>
      <c r="E515" s="2" t="s">
        <v>5</v>
      </c>
      <c r="F515" s="2" t="s">
        <v>15273</v>
      </c>
      <c r="G515" s="3"/>
      <c r="H515" s="1"/>
      <c r="I515" s="1"/>
      <c r="J515" s="4" t="s">
        <v>16125</v>
      </c>
      <c r="K515" s="1"/>
      <c r="L515" s="1" t="s">
        <v>6</v>
      </c>
      <c r="M515" s="825"/>
      <c r="N515" s="17"/>
      <c r="O515" s="3" t="s">
        <v>1903</v>
      </c>
      <c r="P515" s="20">
        <v>25167</v>
      </c>
      <c r="Q515" s="3" t="s">
        <v>5741</v>
      </c>
      <c r="R515" s="3"/>
      <c r="S515" s="3" t="s">
        <v>5561</v>
      </c>
      <c r="T515" s="3"/>
      <c r="U515" s="2"/>
      <c r="V515" s="2"/>
      <c r="W515" s="2"/>
      <c r="X515" s="2"/>
      <c r="Y515" s="2"/>
      <c r="Z515" s="2"/>
      <c r="AA515" s="3"/>
      <c r="AB515" s="3"/>
      <c r="AC515" s="3"/>
      <c r="AD515" s="3"/>
    </row>
    <row r="516" spans="1:30" ht="12" customHeight="1">
      <c r="A516" s="828" t="s">
        <v>17210</v>
      </c>
      <c r="B516" s="3" t="s">
        <v>1794</v>
      </c>
      <c r="C516" s="1" t="s">
        <v>1804</v>
      </c>
      <c r="D516" s="5">
        <f t="shared" si="8"/>
        <v>64</v>
      </c>
      <c r="E516" s="2" t="s">
        <v>19</v>
      </c>
      <c r="F516" s="2"/>
      <c r="G516" s="3"/>
      <c r="H516" s="1"/>
      <c r="I516" s="1"/>
      <c r="J516" s="4" t="s">
        <v>16117</v>
      </c>
      <c r="K516" s="1"/>
      <c r="L516" s="1" t="s">
        <v>6</v>
      </c>
      <c r="M516" s="825"/>
      <c r="N516" s="17"/>
      <c r="O516" s="3" t="s">
        <v>1805</v>
      </c>
      <c r="P516" s="21">
        <v>17718</v>
      </c>
      <c r="Q516" s="3" t="s">
        <v>1806</v>
      </c>
      <c r="R516" s="3"/>
      <c r="S516" s="3"/>
      <c r="T516" s="3"/>
      <c r="U516" s="2"/>
      <c r="V516" s="2"/>
      <c r="W516" s="2"/>
      <c r="X516" s="2"/>
      <c r="Y516" s="2"/>
      <c r="Z516" s="2"/>
      <c r="AA516" s="3"/>
      <c r="AB516" s="3"/>
      <c r="AC516" s="3"/>
      <c r="AD516" s="3"/>
    </row>
    <row r="517" spans="1:30" ht="12" customHeight="1">
      <c r="A517" s="828" t="s">
        <v>17211</v>
      </c>
      <c r="B517" s="3" t="s">
        <v>1813</v>
      </c>
      <c r="C517" s="1" t="s">
        <v>5449</v>
      </c>
      <c r="D517" s="5">
        <f t="shared" si="8"/>
        <v>45</v>
      </c>
      <c r="E517" s="2" t="s">
        <v>19</v>
      </c>
      <c r="F517" s="6" t="s">
        <v>15273</v>
      </c>
      <c r="G517" s="3"/>
      <c r="H517" s="1"/>
      <c r="I517" s="1"/>
      <c r="J517" s="8" t="s">
        <v>16127</v>
      </c>
      <c r="K517" s="1" t="s">
        <v>44</v>
      </c>
      <c r="L517" s="1" t="s">
        <v>6</v>
      </c>
      <c r="M517" s="825"/>
      <c r="N517" s="17"/>
      <c r="O517" s="3" t="s">
        <v>682</v>
      </c>
      <c r="P517" s="20">
        <v>24763</v>
      </c>
      <c r="Q517" s="3" t="s">
        <v>5637</v>
      </c>
      <c r="R517" s="3"/>
      <c r="S517" s="3" t="s">
        <v>736</v>
      </c>
      <c r="T517" s="3"/>
      <c r="U517" s="2"/>
      <c r="V517" s="2"/>
      <c r="W517" s="2"/>
      <c r="X517" s="2"/>
      <c r="Y517" s="2"/>
      <c r="Z517" s="2"/>
      <c r="AA517" s="3"/>
      <c r="AB517" s="3"/>
      <c r="AC517" s="3"/>
      <c r="AD517" s="3"/>
    </row>
    <row r="518" spans="1:30" ht="12" customHeight="1">
      <c r="A518" s="828" t="s">
        <v>17212</v>
      </c>
      <c r="B518" s="3" t="s">
        <v>1814</v>
      </c>
      <c r="C518" s="1" t="s">
        <v>1817</v>
      </c>
      <c r="D518" s="5">
        <f t="shared" si="8"/>
        <v>58</v>
      </c>
      <c r="E518" s="2" t="s">
        <v>5</v>
      </c>
      <c r="F518" s="2" t="s">
        <v>15273</v>
      </c>
      <c r="G518" s="3" t="s">
        <v>1818</v>
      </c>
      <c r="H518" s="1"/>
      <c r="I518" s="1"/>
      <c r="J518" s="8" t="s">
        <v>16120</v>
      </c>
      <c r="K518" s="1" t="s">
        <v>48</v>
      </c>
      <c r="L518" s="1" t="s">
        <v>25</v>
      </c>
      <c r="M518" s="825">
        <v>5</v>
      </c>
      <c r="N518" s="17">
        <v>5</v>
      </c>
      <c r="O518" s="3" t="s">
        <v>188</v>
      </c>
      <c r="P518" s="20">
        <v>19867</v>
      </c>
      <c r="Q518" s="3" t="s">
        <v>1819</v>
      </c>
      <c r="R518" s="3" t="s">
        <v>1821</v>
      </c>
      <c r="S518" s="3" t="s">
        <v>5457</v>
      </c>
      <c r="T518" s="3" t="s">
        <v>145</v>
      </c>
      <c r="U518" s="2"/>
      <c r="V518" s="2" t="s">
        <v>145</v>
      </c>
      <c r="W518" s="2"/>
      <c r="X518" s="2"/>
      <c r="Y518" s="2"/>
      <c r="Z518" s="2"/>
      <c r="AA518" s="3"/>
      <c r="AB518" s="3"/>
      <c r="AC518" s="3"/>
      <c r="AD518" s="3"/>
    </row>
    <row r="519" spans="1:30" ht="12" customHeight="1">
      <c r="A519" s="828" t="s">
        <v>17213</v>
      </c>
      <c r="B519" s="3" t="s">
        <v>1815</v>
      </c>
      <c r="C519" s="1" t="s">
        <v>5742</v>
      </c>
      <c r="D519" s="5">
        <f t="shared" si="8"/>
        <v>43</v>
      </c>
      <c r="E519" s="2" t="s">
        <v>19</v>
      </c>
      <c r="F519" s="2" t="s">
        <v>15273</v>
      </c>
      <c r="G519" s="3"/>
      <c r="H519" s="1"/>
      <c r="I519" s="1"/>
      <c r="J519" s="4" t="s">
        <v>16125</v>
      </c>
      <c r="K519" s="1"/>
      <c r="L519" s="1" t="s">
        <v>6</v>
      </c>
      <c r="M519" s="825"/>
      <c r="N519" s="17"/>
      <c r="O519" s="3" t="s">
        <v>5743</v>
      </c>
      <c r="P519" s="20">
        <v>25395</v>
      </c>
      <c r="Q519" s="3" t="s">
        <v>5744</v>
      </c>
      <c r="R519" s="3"/>
      <c r="S519" s="3" t="s">
        <v>5561</v>
      </c>
      <c r="T519" s="3" t="s">
        <v>145</v>
      </c>
      <c r="U519" s="2"/>
      <c r="V519" s="2" t="s">
        <v>145</v>
      </c>
      <c r="W519" s="2"/>
      <c r="X519" s="2"/>
      <c r="Y519" s="2"/>
      <c r="Z519" s="2"/>
      <c r="AA519" s="3"/>
      <c r="AB519" s="3"/>
      <c r="AC519" s="3"/>
      <c r="AD519" s="3"/>
    </row>
    <row r="520" spans="1:30" ht="12" customHeight="1">
      <c r="A520" s="828" t="s">
        <v>17214</v>
      </c>
      <c r="B520" s="3" t="s">
        <v>1816</v>
      </c>
      <c r="C520" s="1" t="s">
        <v>5979</v>
      </c>
      <c r="D520" s="5">
        <f t="shared" si="8"/>
        <v>47</v>
      </c>
      <c r="E520" s="2" t="s">
        <v>5</v>
      </c>
      <c r="F520" s="2" t="s">
        <v>15273</v>
      </c>
      <c r="G520" s="3"/>
      <c r="H520" s="1"/>
      <c r="I520" s="1"/>
      <c r="J520" s="4" t="s">
        <v>16116</v>
      </c>
      <c r="K520" s="1" t="s">
        <v>4997</v>
      </c>
      <c r="L520" s="1" t="s">
        <v>6</v>
      </c>
      <c r="M520" s="825"/>
      <c r="N520" s="17"/>
      <c r="O520" s="3" t="s">
        <v>450</v>
      </c>
      <c r="P520" s="20">
        <v>23756</v>
      </c>
      <c r="Q520" s="3" t="s">
        <v>15999</v>
      </c>
      <c r="R520" s="3"/>
      <c r="S520" s="3" t="s">
        <v>469</v>
      </c>
      <c r="T520" s="3" t="s">
        <v>47</v>
      </c>
      <c r="U520" s="2" t="s">
        <v>47</v>
      </c>
      <c r="V520" s="2"/>
      <c r="W520" s="2"/>
      <c r="X520" s="2"/>
      <c r="Y520" s="2"/>
      <c r="Z520" s="2"/>
      <c r="AA520" s="3"/>
      <c r="AB520" s="3"/>
      <c r="AC520" s="3"/>
      <c r="AD520" s="3"/>
    </row>
    <row r="521" spans="1:30" ht="12" customHeight="1">
      <c r="A521" s="828" t="s">
        <v>17215</v>
      </c>
      <c r="B521" s="3" t="s">
        <v>5978</v>
      </c>
      <c r="C521" s="1" t="s">
        <v>1822</v>
      </c>
      <c r="D521" s="5">
        <f t="shared" si="8"/>
        <v>58</v>
      </c>
      <c r="E521" s="2" t="s">
        <v>5</v>
      </c>
      <c r="F521" s="2"/>
      <c r="G521" s="3"/>
      <c r="H521" s="1"/>
      <c r="I521" s="1"/>
      <c r="J521" s="4" t="s">
        <v>16117</v>
      </c>
      <c r="K521" s="1"/>
      <c r="L521" s="1" t="s">
        <v>6</v>
      </c>
      <c r="M521" s="825"/>
      <c r="N521" s="17"/>
      <c r="O521" s="3" t="s">
        <v>447</v>
      </c>
      <c r="P521" s="21">
        <v>19820</v>
      </c>
      <c r="Q521" s="3" t="s">
        <v>1823</v>
      </c>
      <c r="R521" s="3"/>
      <c r="S521" s="3"/>
      <c r="T521" s="3"/>
      <c r="U521" s="2"/>
      <c r="V521" s="2"/>
      <c r="W521" s="2"/>
      <c r="X521" s="2"/>
      <c r="Y521" s="2"/>
      <c r="Z521" s="2"/>
      <c r="AA521" s="3"/>
      <c r="AB521" s="3"/>
      <c r="AC521" s="3"/>
      <c r="AD521" s="3"/>
    </row>
    <row r="522" spans="1:30" ht="12" customHeight="1">
      <c r="A522" s="828" t="s">
        <v>17216</v>
      </c>
      <c r="B522" s="3" t="s">
        <v>1827</v>
      </c>
      <c r="C522" s="1" t="s">
        <v>1831</v>
      </c>
      <c r="D522" s="5">
        <f t="shared" si="8"/>
        <v>47</v>
      </c>
      <c r="E522" s="2" t="s">
        <v>19</v>
      </c>
      <c r="F522" s="2" t="s">
        <v>15273</v>
      </c>
      <c r="G522" s="3" t="s">
        <v>1832</v>
      </c>
      <c r="H522" s="1"/>
      <c r="I522" s="1"/>
      <c r="J522" s="4" t="s">
        <v>16125</v>
      </c>
      <c r="K522" s="1"/>
      <c r="L522" s="1" t="s">
        <v>25</v>
      </c>
      <c r="M522" s="825">
        <v>2</v>
      </c>
      <c r="N522" s="17">
        <v>3</v>
      </c>
      <c r="O522" s="3" t="s">
        <v>1833</v>
      </c>
      <c r="P522" s="20">
        <v>23972</v>
      </c>
      <c r="Q522" s="3" t="s">
        <v>1834</v>
      </c>
      <c r="R522" s="3" t="s">
        <v>1835</v>
      </c>
      <c r="S522" s="3" t="s">
        <v>5561</v>
      </c>
      <c r="T522" s="3" t="s">
        <v>1569</v>
      </c>
      <c r="U522" s="2"/>
      <c r="V522" s="2"/>
      <c r="W522" s="2"/>
      <c r="X522" s="2" t="s">
        <v>229</v>
      </c>
      <c r="Y522" s="2"/>
      <c r="Z522" s="2" t="s">
        <v>85</v>
      </c>
      <c r="AA522" s="3"/>
      <c r="AB522" s="3"/>
      <c r="AC522" s="3"/>
      <c r="AD522" s="3"/>
    </row>
    <row r="523" spans="1:30" ht="12" customHeight="1">
      <c r="A523" s="828" t="s">
        <v>17217</v>
      </c>
      <c r="B523" s="3" t="s">
        <v>1828</v>
      </c>
      <c r="C523" s="1" t="s">
        <v>1839</v>
      </c>
      <c r="D523" s="5">
        <f t="shared" si="8"/>
        <v>67</v>
      </c>
      <c r="E523" s="2" t="s">
        <v>5</v>
      </c>
      <c r="F523" s="2"/>
      <c r="G523" s="3"/>
      <c r="H523" s="1"/>
      <c r="I523" s="1"/>
      <c r="J523" s="4" t="s">
        <v>16118</v>
      </c>
      <c r="K523" s="1"/>
      <c r="L523" s="1" t="s">
        <v>14</v>
      </c>
      <c r="M523" s="825">
        <v>5</v>
      </c>
      <c r="N523" s="17">
        <v>5</v>
      </c>
      <c r="O523" s="3" t="s">
        <v>1282</v>
      </c>
      <c r="P523" s="20">
        <v>16716</v>
      </c>
      <c r="Q523" s="3" t="s">
        <v>1840</v>
      </c>
      <c r="R523" s="3" t="s">
        <v>1841</v>
      </c>
      <c r="S523" s="3" t="s">
        <v>276</v>
      </c>
      <c r="T523" s="3"/>
      <c r="U523" s="2"/>
      <c r="V523" s="2"/>
      <c r="W523" s="2"/>
      <c r="X523" s="2"/>
      <c r="Y523" s="2"/>
      <c r="Z523" s="2"/>
      <c r="AA523" s="3"/>
      <c r="AB523" s="3"/>
      <c r="AC523" s="3"/>
      <c r="AD523" s="3"/>
    </row>
    <row r="524" spans="1:30" ht="12" customHeight="1">
      <c r="A524" s="828" t="s">
        <v>17218</v>
      </c>
      <c r="B524" s="3" t="s">
        <v>1829</v>
      </c>
      <c r="C524" s="1" t="s">
        <v>1842</v>
      </c>
      <c r="D524" s="5">
        <f t="shared" si="8"/>
        <v>30</v>
      </c>
      <c r="E524" s="2" t="s">
        <v>19</v>
      </c>
      <c r="F524" s="2" t="s">
        <v>15273</v>
      </c>
      <c r="G524" s="3"/>
      <c r="H524" s="1"/>
      <c r="I524" s="1"/>
      <c r="J524" s="4" t="s">
        <v>16117</v>
      </c>
      <c r="K524" s="1"/>
      <c r="L524" s="1" t="s">
        <v>6</v>
      </c>
      <c r="M524" s="825"/>
      <c r="N524" s="17"/>
      <c r="O524" s="3" t="s">
        <v>381</v>
      </c>
      <c r="P524" s="20">
        <v>30209</v>
      </c>
      <c r="Q524" s="3" t="s">
        <v>1843</v>
      </c>
      <c r="R524" s="3"/>
      <c r="S524" s="3"/>
      <c r="T524" s="3"/>
      <c r="U524" s="2"/>
      <c r="V524" s="2"/>
      <c r="W524" s="2"/>
      <c r="X524" s="2"/>
      <c r="Y524" s="2"/>
      <c r="Z524" s="2"/>
      <c r="AA524" s="3"/>
      <c r="AB524" s="3"/>
      <c r="AC524" s="3"/>
      <c r="AD524" s="3"/>
    </row>
    <row r="525" spans="1:30" ht="12" customHeight="1">
      <c r="A525" s="828" t="s">
        <v>17219</v>
      </c>
      <c r="B525" s="3" t="s">
        <v>1830</v>
      </c>
      <c r="C525" s="1" t="s">
        <v>1844</v>
      </c>
      <c r="D525" s="5">
        <f t="shared" si="8"/>
        <v>34</v>
      </c>
      <c r="E525" s="2" t="s">
        <v>19</v>
      </c>
      <c r="F525" s="2"/>
      <c r="G525" s="3"/>
      <c r="H525" s="1"/>
      <c r="I525" s="1"/>
      <c r="J525" s="4" t="s">
        <v>16122</v>
      </c>
      <c r="K525" s="1" t="s">
        <v>22</v>
      </c>
      <c r="L525" s="1" t="s">
        <v>6</v>
      </c>
      <c r="M525" s="825"/>
      <c r="N525" s="17"/>
      <c r="O525" s="3" t="s">
        <v>1845</v>
      </c>
      <c r="P525" s="20">
        <v>28758</v>
      </c>
      <c r="Q525" s="3" t="s">
        <v>1846</v>
      </c>
      <c r="R525" s="3"/>
      <c r="S525" s="3"/>
      <c r="T525" s="3"/>
      <c r="U525" s="2"/>
      <c r="V525" s="2"/>
      <c r="W525" s="2"/>
      <c r="X525" s="2"/>
      <c r="Y525" s="2"/>
      <c r="Z525" s="2"/>
      <c r="AA525" s="3"/>
      <c r="AB525" s="3"/>
      <c r="AC525" s="3"/>
      <c r="AD525" s="3"/>
    </row>
    <row r="526" spans="1:30" ht="12" customHeight="1">
      <c r="A526" s="828" t="s">
        <v>17220</v>
      </c>
      <c r="B526" s="3" t="s">
        <v>1847</v>
      </c>
      <c r="C526" s="1" t="s">
        <v>5450</v>
      </c>
      <c r="D526" s="5">
        <f t="shared" si="8"/>
        <v>33</v>
      </c>
      <c r="E526" s="2" t="s">
        <v>5</v>
      </c>
      <c r="F526" s="6" t="s">
        <v>15273</v>
      </c>
      <c r="G526" s="3"/>
      <c r="H526" s="1"/>
      <c r="I526" s="1"/>
      <c r="J526" s="8" t="s">
        <v>16126</v>
      </c>
      <c r="K526" s="1" t="s">
        <v>44</v>
      </c>
      <c r="L526" s="1" t="s">
        <v>6</v>
      </c>
      <c r="M526" s="825"/>
      <c r="N526" s="17"/>
      <c r="O526" s="3" t="s">
        <v>3009</v>
      </c>
      <c r="P526" s="20">
        <v>28884</v>
      </c>
      <c r="Q526" s="3" t="s">
        <v>727</v>
      </c>
      <c r="R526" s="3"/>
      <c r="S526" s="3"/>
      <c r="T526" s="3" t="s">
        <v>147</v>
      </c>
      <c r="U526" s="2"/>
      <c r="V526" s="2"/>
      <c r="W526" s="2"/>
      <c r="X526" s="2"/>
      <c r="Y526" s="2"/>
      <c r="Z526" s="2"/>
      <c r="AA526" s="3"/>
      <c r="AB526" s="3" t="s">
        <v>147</v>
      </c>
      <c r="AC526" s="3"/>
      <c r="AD526" s="3"/>
    </row>
    <row r="527" spans="1:30" ht="12" customHeight="1">
      <c r="A527" s="828" t="s">
        <v>17221</v>
      </c>
      <c r="B527" s="3" t="s">
        <v>1848</v>
      </c>
      <c r="C527" s="1" t="s">
        <v>1851</v>
      </c>
      <c r="D527" s="5">
        <f t="shared" si="8"/>
        <v>63</v>
      </c>
      <c r="E527" s="2" t="s">
        <v>5</v>
      </c>
      <c r="F527" s="2" t="s">
        <v>15273</v>
      </c>
      <c r="G527" s="3" t="s">
        <v>1852</v>
      </c>
      <c r="H527" s="1"/>
      <c r="I527" s="1"/>
      <c r="J527" s="4" t="s">
        <v>16120</v>
      </c>
      <c r="K527" s="1" t="s">
        <v>30</v>
      </c>
      <c r="L527" s="1" t="s">
        <v>25</v>
      </c>
      <c r="M527" s="825">
        <v>6</v>
      </c>
      <c r="N527" s="17">
        <v>6</v>
      </c>
      <c r="O527" s="3" t="s">
        <v>159</v>
      </c>
      <c r="P527" s="20">
        <v>17914</v>
      </c>
      <c r="Q527" s="3" t="s">
        <v>1854</v>
      </c>
      <c r="R527" s="3" t="s">
        <v>1855</v>
      </c>
      <c r="S527" s="3" t="s">
        <v>5457</v>
      </c>
      <c r="T527" s="3"/>
      <c r="U527" s="2"/>
      <c r="V527" s="2"/>
      <c r="W527" s="2"/>
      <c r="X527" s="2"/>
      <c r="Y527" s="2"/>
      <c r="Z527" s="2"/>
      <c r="AA527" s="2"/>
      <c r="AB527" s="3"/>
      <c r="AC527" s="3"/>
      <c r="AD527" s="3"/>
    </row>
    <row r="528" spans="1:30" ht="12" customHeight="1">
      <c r="A528" s="828" t="s">
        <v>17222</v>
      </c>
      <c r="B528" s="3" t="s">
        <v>1849</v>
      </c>
      <c r="C528" s="1" t="s">
        <v>6179</v>
      </c>
      <c r="D528" s="5">
        <f t="shared" si="8"/>
        <v>40</v>
      </c>
      <c r="E528" s="2" t="s">
        <v>5</v>
      </c>
      <c r="F528" s="2" t="s">
        <v>15273</v>
      </c>
      <c r="G528" s="3"/>
      <c r="H528" s="1"/>
      <c r="I528" s="1"/>
      <c r="J528" s="4" t="s">
        <v>16125</v>
      </c>
      <c r="K528" s="1"/>
      <c r="L528" s="1" t="s">
        <v>6</v>
      </c>
      <c r="M528" s="825"/>
      <c r="N528" s="17"/>
      <c r="O528" s="3" t="s">
        <v>16002</v>
      </c>
      <c r="P528" s="20">
        <v>26489</v>
      </c>
      <c r="Q528" s="3" t="s">
        <v>16000</v>
      </c>
      <c r="R528" s="3"/>
      <c r="S528" s="3" t="s">
        <v>5561</v>
      </c>
      <c r="T528" s="3" t="s">
        <v>145</v>
      </c>
      <c r="U528" s="2"/>
      <c r="V528" s="2" t="s">
        <v>145</v>
      </c>
      <c r="W528" s="2"/>
      <c r="X528" s="2"/>
      <c r="Y528" s="2"/>
      <c r="Z528" s="2"/>
      <c r="AA528" s="2"/>
      <c r="AB528" s="3"/>
      <c r="AC528" s="3"/>
      <c r="AD528" s="3"/>
    </row>
    <row r="529" spans="1:30" ht="12" customHeight="1">
      <c r="A529" s="828" t="s">
        <v>17223</v>
      </c>
      <c r="B529" s="3" t="s">
        <v>1850</v>
      </c>
      <c r="C529" s="1" t="s">
        <v>5387</v>
      </c>
      <c r="D529" s="5">
        <f t="shared" si="8"/>
        <v>57</v>
      </c>
      <c r="E529" s="2" t="s">
        <v>5</v>
      </c>
      <c r="F529" s="2" t="s">
        <v>15273</v>
      </c>
      <c r="G529" s="3"/>
      <c r="H529" s="1"/>
      <c r="I529" s="1"/>
      <c r="J529" s="4" t="s">
        <v>16116</v>
      </c>
      <c r="K529" s="1" t="s">
        <v>4422</v>
      </c>
      <c r="L529" s="1" t="s">
        <v>25</v>
      </c>
      <c r="M529" s="825">
        <v>1</v>
      </c>
      <c r="N529" s="17">
        <v>1</v>
      </c>
      <c r="O529" s="3" t="s">
        <v>1223</v>
      </c>
      <c r="P529" s="21">
        <v>20133</v>
      </c>
      <c r="Q529" s="3" t="s">
        <v>5388</v>
      </c>
      <c r="R529" s="3"/>
      <c r="S529" s="3"/>
      <c r="T529" s="3" t="s">
        <v>145</v>
      </c>
      <c r="U529" s="2"/>
      <c r="V529" s="2" t="s">
        <v>145</v>
      </c>
      <c r="W529" s="2"/>
      <c r="X529" s="2"/>
      <c r="Y529" s="2"/>
      <c r="Z529" s="2"/>
      <c r="AA529" s="2"/>
      <c r="AB529" s="3"/>
      <c r="AC529" s="3"/>
      <c r="AD529" s="3"/>
    </row>
    <row r="530" spans="1:30" ht="12" customHeight="1">
      <c r="A530" s="828" t="s">
        <v>17224</v>
      </c>
      <c r="B530" s="3" t="s">
        <v>6178</v>
      </c>
      <c r="C530" s="1" t="s">
        <v>1856</v>
      </c>
      <c r="D530" s="5">
        <f t="shared" si="8"/>
        <v>37</v>
      </c>
      <c r="E530" s="2" t="s">
        <v>5</v>
      </c>
      <c r="F530" s="2"/>
      <c r="G530" s="3"/>
      <c r="H530" s="1"/>
      <c r="I530" s="1"/>
      <c r="J530" s="4" t="s">
        <v>16117</v>
      </c>
      <c r="K530" s="1"/>
      <c r="L530" s="1" t="s">
        <v>6</v>
      </c>
      <c r="M530" s="825"/>
      <c r="N530" s="17"/>
      <c r="O530" s="3" t="s">
        <v>493</v>
      </c>
      <c r="P530" s="21">
        <v>27468</v>
      </c>
      <c r="Q530" s="3" t="s">
        <v>1858</v>
      </c>
      <c r="R530" s="3"/>
      <c r="S530" s="3"/>
      <c r="T530" s="3"/>
      <c r="U530" s="2"/>
      <c r="V530" s="2"/>
      <c r="W530" s="2"/>
      <c r="X530" s="2"/>
      <c r="Y530" s="2"/>
      <c r="Z530" s="2"/>
      <c r="AA530" s="2"/>
      <c r="AB530" s="3"/>
      <c r="AC530" s="3"/>
      <c r="AD530" s="3"/>
    </row>
    <row r="531" spans="1:30" ht="12" customHeight="1">
      <c r="A531" s="828" t="s">
        <v>17225</v>
      </c>
      <c r="B531" s="3" t="s">
        <v>1859</v>
      </c>
      <c r="C531" s="1" t="s">
        <v>5284</v>
      </c>
      <c r="D531" s="5">
        <f t="shared" si="8"/>
        <v>58</v>
      </c>
      <c r="E531" s="2" t="s">
        <v>5</v>
      </c>
      <c r="F531" s="6" t="s">
        <v>15273</v>
      </c>
      <c r="G531" s="3"/>
      <c r="H531" s="1"/>
      <c r="I531" s="1"/>
      <c r="J531" s="8" t="s">
        <v>16127</v>
      </c>
      <c r="K531" s="1" t="s">
        <v>44</v>
      </c>
      <c r="L531" s="1" t="s">
        <v>6</v>
      </c>
      <c r="M531" s="825"/>
      <c r="N531" s="17">
        <v>2</v>
      </c>
      <c r="O531" s="3" t="s">
        <v>5285</v>
      </c>
      <c r="P531" s="20">
        <v>19995</v>
      </c>
      <c r="Q531" s="3" t="s">
        <v>5287</v>
      </c>
      <c r="R531" s="3" t="s">
        <v>374</v>
      </c>
      <c r="S531" s="3" t="s">
        <v>736</v>
      </c>
      <c r="T531" s="3" t="s">
        <v>229</v>
      </c>
      <c r="U531" s="2"/>
      <c r="V531" s="2"/>
      <c r="W531" s="2"/>
      <c r="X531" s="2" t="s">
        <v>229</v>
      </c>
      <c r="Y531" s="2"/>
      <c r="Z531" s="2"/>
      <c r="AA531" s="2"/>
      <c r="AB531" s="3"/>
      <c r="AC531" s="3"/>
      <c r="AD531" s="3"/>
    </row>
    <row r="532" spans="1:30" ht="12" customHeight="1">
      <c r="A532" s="828" t="s">
        <v>17226</v>
      </c>
      <c r="B532" s="3" t="s">
        <v>1860</v>
      </c>
      <c r="C532" s="1" t="s">
        <v>1864</v>
      </c>
      <c r="D532" s="5">
        <f t="shared" si="8"/>
        <v>56</v>
      </c>
      <c r="E532" s="2" t="s">
        <v>19</v>
      </c>
      <c r="F532" s="2" t="s">
        <v>15273</v>
      </c>
      <c r="G532" s="3"/>
      <c r="H532" s="1"/>
      <c r="I532" s="1"/>
      <c r="J532" s="4" t="s">
        <v>16120</v>
      </c>
      <c r="K532" s="1" t="s">
        <v>48</v>
      </c>
      <c r="L532" s="1" t="s">
        <v>14</v>
      </c>
      <c r="M532" s="825">
        <v>3</v>
      </c>
      <c r="N532" s="17">
        <v>3</v>
      </c>
      <c r="O532" s="3" t="s">
        <v>317</v>
      </c>
      <c r="P532" s="20">
        <v>20651</v>
      </c>
      <c r="Q532" s="3" t="s">
        <v>1866</v>
      </c>
      <c r="R532" s="3" t="s">
        <v>1867</v>
      </c>
      <c r="S532" s="3" t="s">
        <v>5457</v>
      </c>
      <c r="T532" s="3" t="s">
        <v>155</v>
      </c>
      <c r="U532" s="2"/>
      <c r="V532" s="2"/>
      <c r="W532" s="2"/>
      <c r="X532" s="2"/>
      <c r="Y532" s="2" t="s">
        <v>155</v>
      </c>
      <c r="Z532" s="2"/>
      <c r="AA532" s="2"/>
      <c r="AB532" s="3"/>
      <c r="AC532" s="3"/>
      <c r="AD532" s="3"/>
    </row>
    <row r="533" spans="1:30" ht="12" customHeight="1">
      <c r="A533" s="828" t="s">
        <v>17227</v>
      </c>
      <c r="B533" s="3" t="s">
        <v>1861</v>
      </c>
      <c r="C533" s="1" t="s">
        <v>1869</v>
      </c>
      <c r="D533" s="5">
        <f t="shared" si="8"/>
        <v>41</v>
      </c>
      <c r="E533" s="2" t="s">
        <v>5</v>
      </c>
      <c r="F533" s="2" t="s">
        <v>15273</v>
      </c>
      <c r="G533" s="3" t="s">
        <v>1870</v>
      </c>
      <c r="H533" s="1"/>
      <c r="I533" s="1"/>
      <c r="J533" s="4" t="s">
        <v>16125</v>
      </c>
      <c r="K533" s="1"/>
      <c r="L533" s="1" t="s">
        <v>25</v>
      </c>
      <c r="M533" s="825">
        <v>1</v>
      </c>
      <c r="N533" s="17">
        <v>1</v>
      </c>
      <c r="O533" s="3" t="s">
        <v>172</v>
      </c>
      <c r="P533" s="20">
        <v>26123</v>
      </c>
      <c r="Q533" s="3" t="s">
        <v>1871</v>
      </c>
      <c r="R533" s="3"/>
      <c r="S533" s="3" t="s">
        <v>5561</v>
      </c>
      <c r="T533" s="3" t="s">
        <v>145</v>
      </c>
      <c r="U533" s="2"/>
      <c r="V533" s="2" t="s">
        <v>145</v>
      </c>
      <c r="W533" s="2"/>
      <c r="X533" s="2"/>
      <c r="Y533" s="2"/>
      <c r="Z533" s="2"/>
      <c r="AA533" s="2"/>
      <c r="AB533" s="3"/>
      <c r="AC533" s="3"/>
      <c r="AD533" s="3"/>
    </row>
    <row r="534" spans="1:30" ht="12" customHeight="1">
      <c r="A534" s="828" t="s">
        <v>17228</v>
      </c>
      <c r="B534" s="3" t="s">
        <v>1862</v>
      </c>
      <c r="C534" s="1" t="s">
        <v>5941</v>
      </c>
      <c r="D534" s="5">
        <f t="shared" si="8"/>
        <v>50</v>
      </c>
      <c r="E534" s="2" t="s">
        <v>5</v>
      </c>
      <c r="F534" s="2" t="s">
        <v>15273</v>
      </c>
      <c r="G534" s="3"/>
      <c r="H534" s="1"/>
      <c r="I534" s="1"/>
      <c r="J534" s="4" t="s">
        <v>16116</v>
      </c>
      <c r="K534" s="1" t="s">
        <v>4997</v>
      </c>
      <c r="L534" s="1" t="s">
        <v>6</v>
      </c>
      <c r="M534" s="825"/>
      <c r="N534" s="17"/>
      <c r="O534" s="3" t="s">
        <v>5944</v>
      </c>
      <c r="P534" s="21">
        <v>22981</v>
      </c>
      <c r="Q534" s="3" t="s">
        <v>3358</v>
      </c>
      <c r="R534" s="3"/>
      <c r="S534" s="3" t="s">
        <v>469</v>
      </c>
      <c r="T534" s="3" t="s">
        <v>155</v>
      </c>
      <c r="U534" s="2"/>
      <c r="V534" s="2"/>
      <c r="W534" s="2"/>
      <c r="X534" s="2"/>
      <c r="Y534" s="2" t="s">
        <v>155</v>
      </c>
      <c r="Z534" s="2"/>
      <c r="AA534" s="2"/>
      <c r="AB534" s="3"/>
      <c r="AC534" s="3"/>
      <c r="AD534" s="3"/>
    </row>
    <row r="535" spans="1:30" ht="12" customHeight="1">
      <c r="A535" s="828" t="s">
        <v>17229</v>
      </c>
      <c r="B535" s="3" t="s">
        <v>1863</v>
      </c>
      <c r="C535" s="1" t="s">
        <v>1872</v>
      </c>
      <c r="D535" s="5">
        <f t="shared" si="8"/>
        <v>41</v>
      </c>
      <c r="E535" s="2" t="s">
        <v>5</v>
      </c>
      <c r="F535" s="2"/>
      <c r="G535" s="3"/>
      <c r="H535" s="1"/>
      <c r="I535" s="1"/>
      <c r="J535" s="4" t="s">
        <v>16117</v>
      </c>
      <c r="K535" s="1"/>
      <c r="L535" s="1" t="s">
        <v>6</v>
      </c>
      <c r="M535" s="825"/>
      <c r="N535" s="17"/>
      <c r="O535" s="3" t="s">
        <v>317</v>
      </c>
      <c r="P535" s="21">
        <v>25938</v>
      </c>
      <c r="Q535" s="3" t="s">
        <v>1857</v>
      </c>
      <c r="R535" s="3"/>
      <c r="S535" s="3"/>
      <c r="T535" s="3"/>
      <c r="U535" s="2"/>
      <c r="V535" s="2"/>
      <c r="W535" s="2"/>
      <c r="X535" s="2"/>
      <c r="Y535" s="2"/>
      <c r="Z535" s="2"/>
      <c r="AA535" s="2"/>
      <c r="AB535" s="3"/>
      <c r="AC535" s="3"/>
      <c r="AD535" s="3"/>
    </row>
    <row r="536" spans="1:30" ht="12" customHeight="1">
      <c r="A536" s="828" t="s">
        <v>17230</v>
      </c>
      <c r="B536" s="3" t="s">
        <v>16003</v>
      </c>
      <c r="C536" s="1" t="s">
        <v>16005</v>
      </c>
      <c r="D536" s="5">
        <f t="shared" si="8"/>
        <v>65</v>
      </c>
      <c r="E536" s="2" t="s">
        <v>5</v>
      </c>
      <c r="F536" s="2"/>
      <c r="G536" s="3"/>
      <c r="H536" s="1"/>
      <c r="I536" s="1"/>
      <c r="J536" s="4" t="s">
        <v>16129</v>
      </c>
      <c r="K536" s="1"/>
      <c r="L536" s="1" t="s">
        <v>6</v>
      </c>
      <c r="M536" s="825"/>
      <c r="N536" s="17"/>
      <c r="O536" s="3" t="s">
        <v>31</v>
      </c>
      <c r="P536" s="21">
        <v>17393</v>
      </c>
      <c r="Q536" s="3" t="s">
        <v>16304</v>
      </c>
      <c r="R536" s="3"/>
      <c r="S536" s="3"/>
      <c r="T536" s="3"/>
      <c r="U536" s="2"/>
      <c r="V536" s="2"/>
      <c r="W536" s="2"/>
      <c r="X536" s="2"/>
      <c r="Y536" s="2"/>
      <c r="Z536" s="2"/>
      <c r="AA536" s="2"/>
      <c r="AB536" s="3"/>
      <c r="AC536" s="3"/>
      <c r="AD536" s="3"/>
    </row>
    <row r="537" spans="1:30" ht="12" customHeight="1">
      <c r="A537" s="828" t="s">
        <v>17231</v>
      </c>
      <c r="B537" s="3" t="s">
        <v>16004</v>
      </c>
      <c r="C537" s="1" t="s">
        <v>16006</v>
      </c>
      <c r="D537" s="5">
        <f t="shared" si="8"/>
        <v>50</v>
      </c>
      <c r="E537" s="2" t="s">
        <v>5</v>
      </c>
      <c r="F537" s="2"/>
      <c r="G537" s="3"/>
      <c r="H537" s="1"/>
      <c r="I537" s="1"/>
      <c r="J537" s="4" t="s">
        <v>16129</v>
      </c>
      <c r="K537" s="1"/>
      <c r="L537" s="1" t="s">
        <v>6</v>
      </c>
      <c r="M537" s="825"/>
      <c r="N537" s="17"/>
      <c r="O537" s="3" t="s">
        <v>1485</v>
      </c>
      <c r="P537" s="21">
        <v>22679</v>
      </c>
      <c r="Q537" s="3" t="s">
        <v>16304</v>
      </c>
      <c r="R537" s="3"/>
      <c r="S537" s="3"/>
      <c r="T537" s="3"/>
      <c r="U537" s="2"/>
      <c r="V537" s="2"/>
      <c r="W537" s="2"/>
      <c r="X537" s="2"/>
      <c r="Y537" s="2"/>
      <c r="Z537" s="2"/>
      <c r="AA537" s="2"/>
      <c r="AB537" s="3"/>
      <c r="AC537" s="3"/>
      <c r="AD537" s="3"/>
    </row>
    <row r="538" spans="1:30" ht="12" customHeight="1">
      <c r="A538" s="828" t="s">
        <v>17232</v>
      </c>
      <c r="B538" s="3" t="s">
        <v>1873</v>
      </c>
      <c r="C538" s="1" t="s">
        <v>2356</v>
      </c>
      <c r="D538" s="5">
        <f t="shared" si="8"/>
        <v>37</v>
      </c>
      <c r="E538" s="2" t="s">
        <v>19</v>
      </c>
      <c r="F538" s="6" t="s">
        <v>15273</v>
      </c>
      <c r="G538" s="3" t="s">
        <v>4406</v>
      </c>
      <c r="H538" s="1"/>
      <c r="I538" s="1"/>
      <c r="J538" s="8" t="s">
        <v>16127</v>
      </c>
      <c r="K538" s="1" t="s">
        <v>44</v>
      </c>
      <c r="L538" s="1" t="s">
        <v>25</v>
      </c>
      <c r="M538" s="825">
        <v>1</v>
      </c>
      <c r="N538" s="17">
        <v>1</v>
      </c>
      <c r="O538" s="3" t="s">
        <v>1002</v>
      </c>
      <c r="P538" s="20">
        <v>27744</v>
      </c>
      <c r="Q538" s="3" t="s">
        <v>2357</v>
      </c>
      <c r="R538" s="3"/>
      <c r="S538" s="3"/>
      <c r="T538" s="3"/>
      <c r="U538" s="2"/>
      <c r="V538" s="2"/>
      <c r="W538" s="2"/>
      <c r="X538" s="2"/>
      <c r="Y538" s="2"/>
      <c r="Z538" s="2"/>
      <c r="AA538" s="2"/>
      <c r="AB538" s="3"/>
      <c r="AC538" s="3"/>
      <c r="AD538" s="3"/>
    </row>
    <row r="539" spans="1:30" ht="12" customHeight="1">
      <c r="A539" s="828" t="s">
        <v>17233</v>
      </c>
      <c r="B539" s="3" t="s">
        <v>1874</v>
      </c>
      <c r="C539" s="1" t="s">
        <v>1878</v>
      </c>
      <c r="D539" s="5">
        <f t="shared" si="8"/>
        <v>41</v>
      </c>
      <c r="E539" s="2" t="s">
        <v>5</v>
      </c>
      <c r="F539" s="2" t="s">
        <v>15273</v>
      </c>
      <c r="G539" s="3"/>
      <c r="H539" s="1"/>
      <c r="I539" s="1"/>
      <c r="J539" s="8" t="s">
        <v>16120</v>
      </c>
      <c r="K539" s="1" t="s">
        <v>65</v>
      </c>
      <c r="L539" s="1" t="s">
        <v>6</v>
      </c>
      <c r="M539" s="825"/>
      <c r="N539" s="17">
        <v>2</v>
      </c>
      <c r="O539" s="3" t="s">
        <v>1879</v>
      </c>
      <c r="P539" s="20">
        <v>26229</v>
      </c>
      <c r="Q539" s="3" t="s">
        <v>1880</v>
      </c>
      <c r="R539" s="3" t="s">
        <v>1881</v>
      </c>
      <c r="S539" s="3" t="s">
        <v>5457</v>
      </c>
      <c r="T539" s="3" t="s">
        <v>229</v>
      </c>
      <c r="U539" s="2"/>
      <c r="V539" s="2"/>
      <c r="W539" s="2"/>
      <c r="X539" s="2" t="s">
        <v>229</v>
      </c>
      <c r="Y539" s="2"/>
      <c r="Z539" s="2"/>
      <c r="AA539" s="2"/>
      <c r="AB539" s="3"/>
      <c r="AC539" s="3"/>
      <c r="AD539" s="3"/>
    </row>
    <row r="540" spans="1:30" ht="12" customHeight="1">
      <c r="A540" s="828" t="s">
        <v>17234</v>
      </c>
      <c r="B540" s="3" t="s">
        <v>1875</v>
      </c>
      <c r="C540" s="1" t="s">
        <v>1882</v>
      </c>
      <c r="D540" s="5">
        <f t="shared" si="8"/>
        <v>61</v>
      </c>
      <c r="E540" s="2" t="s">
        <v>5</v>
      </c>
      <c r="F540" s="2" t="s">
        <v>15273</v>
      </c>
      <c r="G540" s="3" t="s">
        <v>1883</v>
      </c>
      <c r="H540" s="1"/>
      <c r="I540" s="1"/>
      <c r="J540" s="4" t="s">
        <v>16125</v>
      </c>
      <c r="K540" s="1"/>
      <c r="L540" s="1" t="s">
        <v>25</v>
      </c>
      <c r="M540" s="825">
        <v>5</v>
      </c>
      <c r="N540" s="17">
        <v>5</v>
      </c>
      <c r="O540" s="3" t="s">
        <v>1884</v>
      </c>
      <c r="P540" s="20">
        <v>18749</v>
      </c>
      <c r="Q540" s="3" t="s">
        <v>1885</v>
      </c>
      <c r="R540" s="3" t="s">
        <v>16680</v>
      </c>
      <c r="S540" s="3" t="s">
        <v>5561</v>
      </c>
      <c r="T540" s="3"/>
      <c r="U540" s="2"/>
      <c r="V540" s="2"/>
      <c r="W540" s="2"/>
      <c r="X540" s="2"/>
      <c r="Y540" s="2"/>
      <c r="Z540" s="2"/>
      <c r="AA540" s="2"/>
      <c r="AB540" s="3"/>
      <c r="AC540" s="3"/>
      <c r="AD540" s="3"/>
    </row>
    <row r="541" spans="1:30" ht="12" customHeight="1">
      <c r="A541" s="828" t="s">
        <v>17235</v>
      </c>
      <c r="B541" s="3" t="s">
        <v>1876</v>
      </c>
      <c r="C541" s="1" t="s">
        <v>1889</v>
      </c>
      <c r="D541" s="5">
        <f t="shared" si="8"/>
        <v>41</v>
      </c>
      <c r="E541" s="2" t="s">
        <v>5</v>
      </c>
      <c r="F541" s="2" t="s">
        <v>15273</v>
      </c>
      <c r="G541" s="3" t="s">
        <v>1890</v>
      </c>
      <c r="H541" s="1"/>
      <c r="I541" s="1"/>
      <c r="J541" s="4" t="s">
        <v>16128</v>
      </c>
      <c r="K541" s="1"/>
      <c r="L541" s="1" t="s">
        <v>25</v>
      </c>
      <c r="M541" s="825">
        <v>1</v>
      </c>
      <c r="N541" s="17">
        <v>1</v>
      </c>
      <c r="O541" s="3" t="s">
        <v>317</v>
      </c>
      <c r="P541" s="20">
        <v>25954</v>
      </c>
      <c r="Q541" s="3" t="s">
        <v>1891</v>
      </c>
      <c r="R541" s="3"/>
      <c r="S541" s="3" t="s">
        <v>6031</v>
      </c>
      <c r="T541" s="3" t="s">
        <v>1892</v>
      </c>
      <c r="U541" s="2"/>
      <c r="V541" s="2" t="s">
        <v>145</v>
      </c>
      <c r="W541" s="2"/>
      <c r="X541" s="2"/>
      <c r="Y541" s="2" t="s">
        <v>155</v>
      </c>
      <c r="Z541" s="2"/>
      <c r="AA541" s="2" t="s">
        <v>104</v>
      </c>
      <c r="AB541" s="3"/>
      <c r="AC541" s="3"/>
      <c r="AD541" s="3"/>
    </row>
    <row r="542" spans="1:30" ht="12" customHeight="1">
      <c r="A542" s="828" t="s">
        <v>17236</v>
      </c>
      <c r="B542" s="3" t="s">
        <v>1877</v>
      </c>
      <c r="C542" s="1" t="s">
        <v>1886</v>
      </c>
      <c r="D542" s="5">
        <f t="shared" si="8"/>
        <v>64</v>
      </c>
      <c r="E542" s="2" t="s">
        <v>5</v>
      </c>
      <c r="F542" s="2"/>
      <c r="G542" s="3"/>
      <c r="H542" s="1"/>
      <c r="I542" s="1"/>
      <c r="J542" s="4" t="s">
        <v>16117</v>
      </c>
      <c r="K542" s="1"/>
      <c r="L542" s="1" t="s">
        <v>6</v>
      </c>
      <c r="M542" s="825"/>
      <c r="N542" s="17"/>
      <c r="O542" s="3" t="s">
        <v>1887</v>
      </c>
      <c r="P542" s="21">
        <v>17578</v>
      </c>
      <c r="Q542" s="3" t="s">
        <v>53</v>
      </c>
      <c r="R542" s="3"/>
      <c r="S542" s="3"/>
      <c r="T542" s="3"/>
      <c r="U542" s="2"/>
      <c r="V542" s="2"/>
      <c r="W542" s="2"/>
      <c r="X542" s="2"/>
      <c r="Y542" s="2"/>
      <c r="Z542" s="2"/>
      <c r="AA542" s="2"/>
      <c r="AB542" s="3"/>
      <c r="AC542" s="3"/>
      <c r="AD542" s="3"/>
    </row>
    <row r="543" spans="1:30" ht="12" customHeight="1">
      <c r="A543" s="828" t="s">
        <v>17237</v>
      </c>
      <c r="B543" s="3" t="s">
        <v>1894</v>
      </c>
      <c r="C543" s="1" t="s">
        <v>5872</v>
      </c>
      <c r="D543" s="5">
        <f t="shared" si="8"/>
        <v>40</v>
      </c>
      <c r="E543" s="2" t="s">
        <v>5</v>
      </c>
      <c r="F543" s="6" t="s">
        <v>15273</v>
      </c>
      <c r="G543" s="3"/>
      <c r="H543" s="1"/>
      <c r="I543" s="1"/>
      <c r="J543" s="8" t="s">
        <v>16126</v>
      </c>
      <c r="K543" s="1" t="s">
        <v>44</v>
      </c>
      <c r="L543" s="1" t="s">
        <v>6</v>
      </c>
      <c r="M543" s="825"/>
      <c r="N543" s="17"/>
      <c r="O543" s="3" t="s">
        <v>5940</v>
      </c>
      <c r="P543" s="20">
        <v>26492</v>
      </c>
      <c r="Q543" s="3" t="s">
        <v>16320</v>
      </c>
      <c r="R543" s="3"/>
      <c r="S543" s="3" t="s">
        <v>736</v>
      </c>
      <c r="T543" s="3"/>
      <c r="U543" s="2"/>
      <c r="V543" s="2"/>
      <c r="W543" s="2"/>
      <c r="X543" s="2"/>
      <c r="Y543" s="2"/>
      <c r="Z543" s="2"/>
      <c r="AA543" s="2"/>
      <c r="AB543" s="3"/>
      <c r="AC543" s="3"/>
      <c r="AD543" s="3"/>
    </row>
    <row r="544" spans="1:30" ht="12" customHeight="1">
      <c r="A544" s="828" t="s">
        <v>17238</v>
      </c>
      <c r="B544" s="3" t="s">
        <v>1895</v>
      </c>
      <c r="C544" s="1" t="s">
        <v>1902</v>
      </c>
      <c r="D544" s="5">
        <f t="shared" si="8"/>
        <v>66</v>
      </c>
      <c r="E544" s="2" t="s">
        <v>5</v>
      </c>
      <c r="F544" s="2" t="s">
        <v>15273</v>
      </c>
      <c r="G544" s="3"/>
      <c r="H544" s="1"/>
      <c r="I544" s="1"/>
      <c r="J544" s="4" t="s">
        <v>16120</v>
      </c>
      <c r="K544" s="1" t="s">
        <v>48</v>
      </c>
      <c r="L544" s="1" t="s">
        <v>6</v>
      </c>
      <c r="M544" s="825"/>
      <c r="N544" s="17"/>
      <c r="O544" s="3" t="s">
        <v>1903</v>
      </c>
      <c r="P544" s="20">
        <v>17042</v>
      </c>
      <c r="Q544" s="3" t="s">
        <v>1904</v>
      </c>
      <c r="R544" s="3"/>
      <c r="S544" s="3" t="s">
        <v>5457</v>
      </c>
      <c r="T544" s="3" t="s">
        <v>145</v>
      </c>
      <c r="U544" s="2"/>
      <c r="V544" s="2" t="s">
        <v>145</v>
      </c>
      <c r="W544" s="2"/>
      <c r="X544" s="2"/>
      <c r="Y544" s="2"/>
      <c r="Z544" s="2"/>
      <c r="AA544" s="2"/>
      <c r="AB544" s="3"/>
      <c r="AC544" s="3"/>
      <c r="AD544" s="3"/>
    </row>
    <row r="545" spans="1:30" ht="12" customHeight="1">
      <c r="A545" s="828" t="s">
        <v>17239</v>
      </c>
      <c r="B545" s="3" t="s">
        <v>1896</v>
      </c>
      <c r="C545" s="1" t="s">
        <v>1899</v>
      </c>
      <c r="D545" s="5">
        <f t="shared" si="8"/>
        <v>43</v>
      </c>
      <c r="E545" s="2" t="s">
        <v>5</v>
      </c>
      <c r="F545" s="2" t="s">
        <v>15273</v>
      </c>
      <c r="G545" s="3" t="s">
        <v>1900</v>
      </c>
      <c r="H545" s="1"/>
      <c r="I545" s="1"/>
      <c r="J545" s="4" t="s">
        <v>16125</v>
      </c>
      <c r="K545" s="1"/>
      <c r="L545" s="1" t="s">
        <v>25</v>
      </c>
      <c r="M545" s="825">
        <v>1</v>
      </c>
      <c r="N545" s="17">
        <v>1</v>
      </c>
      <c r="O545" s="3" t="s">
        <v>317</v>
      </c>
      <c r="P545" s="20">
        <v>25308</v>
      </c>
      <c r="Q545" s="3" t="s">
        <v>1901</v>
      </c>
      <c r="R545" s="3"/>
      <c r="S545" s="3" t="s">
        <v>5561</v>
      </c>
      <c r="T545" s="3" t="s">
        <v>145</v>
      </c>
      <c r="U545" s="2"/>
      <c r="V545" s="2" t="s">
        <v>145</v>
      </c>
      <c r="W545" s="2"/>
      <c r="X545" s="2"/>
      <c r="Y545" s="2"/>
      <c r="Z545" s="2"/>
      <c r="AA545" s="2"/>
      <c r="AB545" s="3"/>
      <c r="AC545" s="3"/>
      <c r="AD545" s="3"/>
    </row>
    <row r="546" spans="1:30" ht="12" customHeight="1">
      <c r="A546" s="828" t="s">
        <v>17240</v>
      </c>
      <c r="B546" s="3" t="s">
        <v>1897</v>
      </c>
      <c r="C546" s="1" t="s">
        <v>1909</v>
      </c>
      <c r="D546" s="5">
        <f t="shared" si="8"/>
        <v>63</v>
      </c>
      <c r="E546" s="2" t="s">
        <v>5</v>
      </c>
      <c r="F546" s="2" t="s">
        <v>15273</v>
      </c>
      <c r="G546" s="3" t="s">
        <v>1910</v>
      </c>
      <c r="H546" s="1"/>
      <c r="I546" s="1"/>
      <c r="J546" s="4" t="s">
        <v>16116</v>
      </c>
      <c r="K546" s="1" t="s">
        <v>4993</v>
      </c>
      <c r="L546" s="1" t="s">
        <v>25</v>
      </c>
      <c r="M546" s="825">
        <v>3</v>
      </c>
      <c r="N546" s="17">
        <v>3</v>
      </c>
      <c r="O546" s="3" t="s">
        <v>188</v>
      </c>
      <c r="P546" s="20">
        <v>18000</v>
      </c>
      <c r="Q546" s="3" t="s">
        <v>1911</v>
      </c>
      <c r="R546" s="3" t="s">
        <v>1912</v>
      </c>
      <c r="S546" s="3"/>
      <c r="T546" s="3" t="s">
        <v>145</v>
      </c>
      <c r="U546" s="2"/>
      <c r="V546" s="2" t="s">
        <v>145</v>
      </c>
      <c r="W546" s="2"/>
      <c r="X546" s="2"/>
      <c r="Y546" s="2"/>
      <c r="Z546" s="2"/>
      <c r="AA546" s="2"/>
      <c r="AB546" s="2"/>
      <c r="AC546" s="2"/>
      <c r="AD546" s="2"/>
    </row>
    <row r="547" spans="1:30" ht="12" customHeight="1">
      <c r="A547" s="828" t="s">
        <v>17241</v>
      </c>
      <c r="B547" s="3" t="s">
        <v>1898</v>
      </c>
      <c r="C547" s="1" t="s">
        <v>1906</v>
      </c>
      <c r="D547" s="5">
        <f t="shared" si="8"/>
        <v>47</v>
      </c>
      <c r="E547" s="2" t="s">
        <v>19</v>
      </c>
      <c r="F547" s="2" t="s">
        <v>15273</v>
      </c>
      <c r="G547" s="3"/>
      <c r="H547" s="1"/>
      <c r="I547" s="1"/>
      <c r="J547" s="4" t="s">
        <v>16128</v>
      </c>
      <c r="K547" s="1"/>
      <c r="L547" s="1" t="s">
        <v>6</v>
      </c>
      <c r="M547" s="825"/>
      <c r="N547" s="17"/>
      <c r="O547" s="3" t="s">
        <v>1907</v>
      </c>
      <c r="P547" s="20">
        <v>23883</v>
      </c>
      <c r="Q547" s="3" t="s">
        <v>1908</v>
      </c>
      <c r="R547" s="3"/>
      <c r="S547" s="3"/>
      <c r="T547" s="3" t="s">
        <v>145</v>
      </c>
      <c r="U547" s="2"/>
      <c r="V547" s="2" t="s">
        <v>145</v>
      </c>
      <c r="W547" s="2"/>
      <c r="X547" s="2"/>
      <c r="Y547" s="2"/>
      <c r="Z547" s="2"/>
      <c r="AA547" s="2"/>
      <c r="AB547" s="2"/>
      <c r="AC547" s="2"/>
      <c r="AD547" s="2"/>
    </row>
    <row r="548" spans="1:30" ht="12" customHeight="1">
      <c r="A548" s="828" t="s">
        <v>17242</v>
      </c>
      <c r="B548" s="3" t="s">
        <v>4566</v>
      </c>
      <c r="C548" s="1" t="s">
        <v>1905</v>
      </c>
      <c r="D548" s="5">
        <f t="shared" si="8"/>
        <v>63</v>
      </c>
      <c r="E548" s="2" t="s">
        <v>19</v>
      </c>
      <c r="F548" s="2"/>
      <c r="G548" s="3"/>
      <c r="H548" s="1"/>
      <c r="I548" s="1"/>
      <c r="J548" s="4" t="s">
        <v>16117</v>
      </c>
      <c r="K548" s="1"/>
      <c r="L548" s="1" t="s">
        <v>6</v>
      </c>
      <c r="M548" s="825"/>
      <c r="N548" s="17"/>
      <c r="O548" s="3" t="s">
        <v>459</v>
      </c>
      <c r="P548" s="21">
        <v>18142</v>
      </c>
      <c r="Q548" s="3" t="s">
        <v>1663</v>
      </c>
      <c r="R548" s="3"/>
      <c r="S548" s="3"/>
      <c r="T548" s="3"/>
      <c r="U548" s="2"/>
      <c r="V548" s="2"/>
      <c r="W548" s="2"/>
      <c r="X548" s="2"/>
      <c r="Y548" s="2"/>
      <c r="Z548" s="2"/>
      <c r="AA548" s="2"/>
      <c r="AB548" s="3"/>
      <c r="AC548" s="3"/>
      <c r="AD548" s="3"/>
    </row>
    <row r="549" spans="1:30" ht="12" customHeight="1">
      <c r="A549" s="828" t="s">
        <v>17243</v>
      </c>
      <c r="B549" s="3" t="s">
        <v>1913</v>
      </c>
      <c r="C549" s="1" t="s">
        <v>1916</v>
      </c>
      <c r="D549" s="5">
        <f t="shared" si="8"/>
        <v>41</v>
      </c>
      <c r="E549" s="2" t="s">
        <v>19</v>
      </c>
      <c r="F549" s="6" t="s">
        <v>15273</v>
      </c>
      <c r="G549" s="3" t="s">
        <v>1917</v>
      </c>
      <c r="H549" s="1"/>
      <c r="I549" s="1"/>
      <c r="J549" s="8" t="s">
        <v>16127</v>
      </c>
      <c r="K549" s="1" t="s">
        <v>44</v>
      </c>
      <c r="L549" s="1" t="s">
        <v>25</v>
      </c>
      <c r="M549" s="825">
        <v>1</v>
      </c>
      <c r="N549" s="17">
        <v>1</v>
      </c>
      <c r="O549" s="3" t="s">
        <v>1918</v>
      </c>
      <c r="P549" s="20">
        <v>25951</v>
      </c>
      <c r="Q549" s="3" t="s">
        <v>1919</v>
      </c>
      <c r="R549" s="3"/>
      <c r="S549" s="3" t="s">
        <v>736</v>
      </c>
      <c r="T549" s="3" t="s">
        <v>145</v>
      </c>
      <c r="U549" s="2"/>
      <c r="V549" s="2" t="s">
        <v>145</v>
      </c>
      <c r="W549" s="2"/>
      <c r="X549" s="2"/>
      <c r="Y549" s="2"/>
      <c r="Z549" s="2"/>
      <c r="AA549" s="2"/>
      <c r="AB549" s="2"/>
      <c r="AC549" s="2"/>
      <c r="AD549" s="2"/>
    </row>
    <row r="550" spans="1:30" ht="12" customHeight="1">
      <c r="A550" s="828" t="s">
        <v>17244</v>
      </c>
      <c r="B550" s="3" t="s">
        <v>1914</v>
      </c>
      <c r="C550" s="1" t="s">
        <v>1920</v>
      </c>
      <c r="D550" s="5">
        <f t="shared" si="8"/>
        <v>67</v>
      </c>
      <c r="E550" s="2" t="s">
        <v>5</v>
      </c>
      <c r="F550" s="2" t="s">
        <v>15273</v>
      </c>
      <c r="G550" s="3" t="s">
        <v>1921</v>
      </c>
      <c r="H550" s="1"/>
      <c r="I550" s="1"/>
      <c r="J550" s="4" t="s">
        <v>16120</v>
      </c>
      <c r="K550" s="1" t="s">
        <v>934</v>
      </c>
      <c r="L550" s="1" t="s">
        <v>25</v>
      </c>
      <c r="M550" s="825">
        <v>5</v>
      </c>
      <c r="N550" s="17">
        <v>5</v>
      </c>
      <c r="O550" s="3" t="s">
        <v>1922</v>
      </c>
      <c r="P550" s="20">
        <v>16684</v>
      </c>
      <c r="Q550" s="3" t="s">
        <v>1923</v>
      </c>
      <c r="R550" s="3" t="s">
        <v>1925</v>
      </c>
      <c r="S550" s="3"/>
      <c r="T550" s="3" t="s">
        <v>47</v>
      </c>
      <c r="U550" s="2" t="s">
        <v>47</v>
      </c>
      <c r="V550" s="2"/>
      <c r="W550" s="2"/>
      <c r="X550" s="2"/>
      <c r="Y550" s="2"/>
      <c r="Z550" s="2"/>
      <c r="AA550" s="2"/>
      <c r="AB550" s="2"/>
      <c r="AC550" s="2"/>
      <c r="AD550" s="2"/>
    </row>
    <row r="551" spans="1:30" ht="12" customHeight="1">
      <c r="A551" s="828" t="s">
        <v>17245</v>
      </c>
      <c r="B551" s="3" t="s">
        <v>1915</v>
      </c>
      <c r="C551" s="1" t="s">
        <v>5010</v>
      </c>
      <c r="D551" s="5">
        <f t="shared" si="8"/>
        <v>39</v>
      </c>
      <c r="E551" s="2" t="s">
        <v>5</v>
      </c>
      <c r="F551" s="2" t="s">
        <v>15273</v>
      </c>
      <c r="G551" s="3"/>
      <c r="H551" s="1"/>
      <c r="I551" s="1"/>
      <c r="J551" s="4" t="s">
        <v>16116</v>
      </c>
      <c r="K551" s="1" t="s">
        <v>4422</v>
      </c>
      <c r="L551" s="1" t="s">
        <v>6</v>
      </c>
      <c r="M551" s="825"/>
      <c r="N551" s="17"/>
      <c r="O551" s="3" t="s">
        <v>188</v>
      </c>
      <c r="P551" s="21">
        <v>26688</v>
      </c>
      <c r="Q551" s="3" t="s">
        <v>5011</v>
      </c>
      <c r="R551" s="3"/>
      <c r="S551" s="3" t="s">
        <v>469</v>
      </c>
      <c r="T551" s="3"/>
      <c r="U551" s="2"/>
      <c r="V551" s="2"/>
      <c r="W551" s="2"/>
      <c r="X551" s="2"/>
      <c r="Y551" s="2"/>
      <c r="Z551" s="2"/>
      <c r="AA551" s="2"/>
      <c r="AB551" s="2"/>
      <c r="AC551" s="2"/>
      <c r="AD551" s="2"/>
    </row>
    <row r="552" spans="1:30" ht="12" customHeight="1">
      <c r="A552" s="828" t="s">
        <v>17246</v>
      </c>
      <c r="B552" s="3" t="s">
        <v>5009</v>
      </c>
      <c r="C552" s="1" t="s">
        <v>1926</v>
      </c>
      <c r="D552" s="5">
        <f t="shared" si="8"/>
        <v>53</v>
      </c>
      <c r="E552" s="2" t="s">
        <v>5</v>
      </c>
      <c r="F552" s="2"/>
      <c r="G552" s="3"/>
      <c r="H552" s="1"/>
      <c r="I552" s="1"/>
      <c r="J552" s="4" t="s">
        <v>16117</v>
      </c>
      <c r="K552" s="1"/>
      <c r="L552" s="1" t="s">
        <v>6</v>
      </c>
      <c r="M552" s="825"/>
      <c r="N552" s="17"/>
      <c r="O552" s="3" t="s">
        <v>1927</v>
      </c>
      <c r="P552" s="20">
        <v>21591</v>
      </c>
      <c r="Q552" s="3" t="s">
        <v>1929</v>
      </c>
      <c r="R552" s="3"/>
      <c r="S552" s="3"/>
      <c r="T552" s="3"/>
      <c r="U552" s="2"/>
      <c r="V552" s="2"/>
      <c r="W552" s="2"/>
      <c r="X552" s="2"/>
      <c r="Y552" s="2"/>
      <c r="Z552" s="2"/>
      <c r="AA552" s="2"/>
      <c r="AB552" s="2"/>
      <c r="AC552" s="2"/>
      <c r="AD552" s="2"/>
    </row>
    <row r="553" spans="1:30" ht="12" customHeight="1">
      <c r="A553" s="828" t="s">
        <v>17247</v>
      </c>
      <c r="B553" s="3" t="s">
        <v>1930</v>
      </c>
      <c r="C553" s="1" t="s">
        <v>1934</v>
      </c>
      <c r="D553" s="5">
        <f t="shared" si="8"/>
        <v>66</v>
      </c>
      <c r="E553" s="2" t="s">
        <v>5</v>
      </c>
      <c r="F553" s="6" t="s">
        <v>15273</v>
      </c>
      <c r="G553" s="3" t="s">
        <v>1935</v>
      </c>
      <c r="H553" s="1"/>
      <c r="I553" s="1"/>
      <c r="J553" s="8" t="s">
        <v>16127</v>
      </c>
      <c r="K553" s="1" t="s">
        <v>655</v>
      </c>
      <c r="L553" s="1" t="s">
        <v>25</v>
      </c>
      <c r="M553" s="825">
        <v>10</v>
      </c>
      <c r="N553" s="17">
        <v>10</v>
      </c>
      <c r="O553" s="3" t="s">
        <v>1937</v>
      </c>
      <c r="P553" s="20">
        <v>17085</v>
      </c>
      <c r="Q553" s="3" t="s">
        <v>1959</v>
      </c>
      <c r="R553" s="3" t="s">
        <v>1938</v>
      </c>
      <c r="S553" s="3" t="s">
        <v>736</v>
      </c>
      <c r="T553" s="3"/>
      <c r="U553" s="2"/>
      <c r="V553" s="2"/>
      <c r="W553" s="2"/>
      <c r="X553" s="2"/>
      <c r="Y553" s="2"/>
      <c r="Z553" s="2"/>
      <c r="AA553" s="2"/>
      <c r="AB553" s="2"/>
      <c r="AC553" s="2"/>
      <c r="AD553" s="2"/>
    </row>
    <row r="554" spans="1:30" ht="12" customHeight="1">
      <c r="A554" s="828" t="s">
        <v>17248</v>
      </c>
      <c r="B554" s="3" t="s">
        <v>1931</v>
      </c>
      <c r="C554" s="1" t="s">
        <v>1939</v>
      </c>
      <c r="D554" s="5">
        <f t="shared" si="8"/>
        <v>70</v>
      </c>
      <c r="E554" s="2" t="s">
        <v>5</v>
      </c>
      <c r="F554" s="2" t="s">
        <v>15273</v>
      </c>
      <c r="G554" s="3"/>
      <c r="H554" s="1"/>
      <c r="I554" s="1"/>
      <c r="J554" s="8" t="s">
        <v>16120</v>
      </c>
      <c r="K554" s="1" t="s">
        <v>30</v>
      </c>
      <c r="L554" s="1" t="s">
        <v>14</v>
      </c>
      <c r="M554" s="825">
        <v>1</v>
      </c>
      <c r="N554" s="17">
        <v>1</v>
      </c>
      <c r="O554" s="3" t="s">
        <v>188</v>
      </c>
      <c r="P554" s="20">
        <v>15354</v>
      </c>
      <c r="Q554" s="3" t="s">
        <v>1943</v>
      </c>
      <c r="R554" s="3" t="s">
        <v>810</v>
      </c>
      <c r="S554" s="3" t="s">
        <v>5457</v>
      </c>
      <c r="T554" s="3" t="s">
        <v>1942</v>
      </c>
      <c r="U554" s="2"/>
      <c r="V554" s="2" t="s">
        <v>145</v>
      </c>
      <c r="W554" s="2" t="s">
        <v>75</v>
      </c>
      <c r="X554" s="2"/>
      <c r="Y554" s="2"/>
      <c r="Z554" s="2"/>
      <c r="AA554" s="2"/>
      <c r="AB554" s="2"/>
      <c r="AC554" s="2"/>
      <c r="AD554" s="2" t="s">
        <v>69</v>
      </c>
    </row>
    <row r="555" spans="1:30" ht="12" customHeight="1">
      <c r="A555" s="828" t="s">
        <v>17249</v>
      </c>
      <c r="B555" s="3" t="s">
        <v>1932</v>
      </c>
      <c r="C555" s="1" t="s">
        <v>5746</v>
      </c>
      <c r="D555" s="5">
        <f t="shared" si="8"/>
        <v>43</v>
      </c>
      <c r="E555" s="2" t="s">
        <v>5</v>
      </c>
      <c r="F555" s="2" t="s">
        <v>15273</v>
      </c>
      <c r="G555" s="3"/>
      <c r="H555" s="1"/>
      <c r="I555" s="1"/>
      <c r="J555" s="4" t="s">
        <v>16125</v>
      </c>
      <c r="K555" s="1"/>
      <c r="L555" s="1" t="s">
        <v>6</v>
      </c>
      <c r="M555" s="825"/>
      <c r="N555" s="17"/>
      <c r="O555" s="3" t="s">
        <v>452</v>
      </c>
      <c r="P555" s="20">
        <v>25253</v>
      </c>
      <c r="Q555" s="3" t="s">
        <v>5747</v>
      </c>
      <c r="R555" s="3"/>
      <c r="S555" s="3" t="s">
        <v>5561</v>
      </c>
      <c r="T555" s="3" t="s">
        <v>145</v>
      </c>
      <c r="U555" s="2"/>
      <c r="V555" s="2" t="s">
        <v>145</v>
      </c>
      <c r="W555" s="2"/>
      <c r="X555" s="2"/>
      <c r="Y555" s="2"/>
      <c r="Z555" s="2"/>
      <c r="AA555" s="2"/>
      <c r="AB555" s="2"/>
      <c r="AC555" s="2"/>
      <c r="AD555" s="2"/>
    </row>
    <row r="556" spans="1:30" ht="12" customHeight="1">
      <c r="A556" s="828" t="s">
        <v>17250</v>
      </c>
      <c r="B556" s="3" t="s">
        <v>1933</v>
      </c>
      <c r="C556" s="1" t="s">
        <v>5391</v>
      </c>
      <c r="D556" s="5">
        <f t="shared" si="8"/>
        <v>45</v>
      </c>
      <c r="E556" s="2" t="s">
        <v>5</v>
      </c>
      <c r="F556" s="2" t="s">
        <v>15273</v>
      </c>
      <c r="G556" s="3"/>
      <c r="H556" s="1"/>
      <c r="I556" s="1"/>
      <c r="J556" s="4" t="s">
        <v>16116</v>
      </c>
      <c r="K556" s="1" t="s">
        <v>4993</v>
      </c>
      <c r="L556" s="1" t="s">
        <v>6</v>
      </c>
      <c r="M556" s="825"/>
      <c r="N556" s="17"/>
      <c r="O556" s="3" t="s">
        <v>16007</v>
      </c>
      <c r="P556" s="21">
        <v>24478</v>
      </c>
      <c r="Q556" s="3" t="s">
        <v>16363</v>
      </c>
      <c r="R556" s="3"/>
      <c r="S556" s="3"/>
      <c r="T556" s="3"/>
      <c r="U556" s="2"/>
      <c r="V556" s="2"/>
      <c r="W556" s="2"/>
      <c r="X556" s="2"/>
      <c r="Y556" s="2"/>
      <c r="Z556" s="2"/>
      <c r="AA556" s="2"/>
      <c r="AB556" s="2"/>
      <c r="AC556" s="2"/>
      <c r="AD556" s="2"/>
    </row>
    <row r="557" spans="1:30" ht="12" customHeight="1">
      <c r="A557" s="828" t="s">
        <v>17251</v>
      </c>
      <c r="B557" s="3" t="s">
        <v>5390</v>
      </c>
      <c r="C557" s="1" t="s">
        <v>1944</v>
      </c>
      <c r="D557" s="5">
        <f t="shared" si="8"/>
        <v>51</v>
      </c>
      <c r="E557" s="2" t="s">
        <v>5</v>
      </c>
      <c r="F557" s="2"/>
      <c r="G557" s="3"/>
      <c r="H557" s="1"/>
      <c r="I557" s="1"/>
      <c r="J557" s="4" t="s">
        <v>16117</v>
      </c>
      <c r="K557" s="1"/>
      <c r="L557" s="1" t="s">
        <v>6</v>
      </c>
      <c r="M557" s="825"/>
      <c r="N557" s="17"/>
      <c r="O557" s="3" t="s">
        <v>95</v>
      </c>
      <c r="P557" s="21">
        <v>22436</v>
      </c>
      <c r="Q557" s="3" t="s">
        <v>1947</v>
      </c>
      <c r="R557" s="3"/>
      <c r="S557" s="3"/>
      <c r="T557" s="3" t="s">
        <v>145</v>
      </c>
      <c r="U557" s="2"/>
      <c r="V557" s="2" t="s">
        <v>145</v>
      </c>
      <c r="W557" s="2"/>
      <c r="X557" s="2"/>
      <c r="Y557" s="2"/>
      <c r="Z557" s="2"/>
      <c r="AA557" s="2"/>
      <c r="AB557" s="2"/>
      <c r="AC557" s="2"/>
      <c r="AD557" s="2"/>
    </row>
    <row r="558" spans="1:30" ht="12" customHeight="1">
      <c r="A558" s="828" t="s">
        <v>17252</v>
      </c>
      <c r="B558" s="3" t="s">
        <v>5745</v>
      </c>
      <c r="C558" s="1" t="s">
        <v>1948</v>
      </c>
      <c r="D558" s="5">
        <f t="shared" si="8"/>
        <v>31</v>
      </c>
      <c r="E558" s="2" t="s">
        <v>5</v>
      </c>
      <c r="F558" s="2"/>
      <c r="G558" s="3" t="s">
        <v>1949</v>
      </c>
      <c r="H558" s="1"/>
      <c r="I558" s="1"/>
      <c r="J558" s="4" t="s">
        <v>16129</v>
      </c>
      <c r="K558" s="1"/>
      <c r="L558" s="1" t="s">
        <v>25</v>
      </c>
      <c r="M558" s="825">
        <v>1</v>
      </c>
      <c r="N558" s="17">
        <v>1</v>
      </c>
      <c r="O558" s="3" t="s">
        <v>317</v>
      </c>
      <c r="P558" s="20">
        <v>29839</v>
      </c>
      <c r="Q558" s="3" t="s">
        <v>727</v>
      </c>
      <c r="R558" s="3" t="s">
        <v>1951</v>
      </c>
      <c r="S558" s="3"/>
      <c r="T558" s="3" t="s">
        <v>147</v>
      </c>
      <c r="U558" s="2"/>
      <c r="V558" s="2"/>
      <c r="W558" s="2"/>
      <c r="X558" s="2"/>
      <c r="Y558" s="2"/>
      <c r="Z558" s="2"/>
      <c r="AA558" s="2"/>
      <c r="AB558" s="2" t="s">
        <v>147</v>
      </c>
      <c r="AC558" s="2"/>
      <c r="AD558" s="2"/>
    </row>
    <row r="559" spans="1:30" ht="12" customHeight="1">
      <c r="A559" s="828" t="s">
        <v>17253</v>
      </c>
      <c r="B559" s="3" t="s">
        <v>1953</v>
      </c>
      <c r="C559" s="1" t="s">
        <v>1956</v>
      </c>
      <c r="D559" s="5">
        <f t="shared" si="8"/>
        <v>56</v>
      </c>
      <c r="E559" s="2" t="s">
        <v>5</v>
      </c>
      <c r="F559" s="6" t="s">
        <v>15273</v>
      </c>
      <c r="G559" s="3" t="s">
        <v>1957</v>
      </c>
      <c r="H559" s="1"/>
      <c r="I559" s="1"/>
      <c r="J559" s="8" t="s">
        <v>16126</v>
      </c>
      <c r="K559" s="1" t="s">
        <v>655</v>
      </c>
      <c r="L559" s="1" t="s">
        <v>25</v>
      </c>
      <c r="M559" s="825">
        <v>5</v>
      </c>
      <c r="N559" s="17">
        <v>5</v>
      </c>
      <c r="O559" s="3" t="s">
        <v>1958</v>
      </c>
      <c r="P559" s="20">
        <v>20795</v>
      </c>
      <c r="Q559" s="3" t="s">
        <v>1960</v>
      </c>
      <c r="R559" s="3" t="s">
        <v>2533</v>
      </c>
      <c r="S559" s="3" t="s">
        <v>736</v>
      </c>
      <c r="T559" s="3" t="s">
        <v>47</v>
      </c>
      <c r="U559" s="2" t="s">
        <v>47</v>
      </c>
      <c r="V559" s="2"/>
      <c r="W559" s="2"/>
      <c r="X559" s="2"/>
      <c r="Y559" s="2"/>
      <c r="Z559" s="2"/>
      <c r="AA559" s="2"/>
      <c r="AB559" s="2"/>
      <c r="AC559" s="2"/>
      <c r="AD559" s="2"/>
    </row>
    <row r="560" spans="1:30" ht="12" customHeight="1">
      <c r="A560" s="828" t="s">
        <v>17254</v>
      </c>
      <c r="B560" s="3" t="s">
        <v>1954</v>
      </c>
      <c r="C560" s="1" t="s">
        <v>1961</v>
      </c>
      <c r="D560" s="5">
        <f t="shared" si="8"/>
        <v>39</v>
      </c>
      <c r="E560" s="2" t="s">
        <v>5</v>
      </c>
      <c r="F560" s="2" t="s">
        <v>15273</v>
      </c>
      <c r="G560" s="3"/>
      <c r="H560" s="1"/>
      <c r="I560" s="1"/>
      <c r="J560" s="4" t="s">
        <v>16120</v>
      </c>
      <c r="K560" s="1" t="s">
        <v>65</v>
      </c>
      <c r="L560" s="1" t="s">
        <v>14</v>
      </c>
      <c r="M560" s="825">
        <v>1</v>
      </c>
      <c r="N560" s="17">
        <v>1</v>
      </c>
      <c r="O560" s="3" t="s">
        <v>31</v>
      </c>
      <c r="P560" s="20">
        <v>26907</v>
      </c>
      <c r="Q560" s="3" t="s">
        <v>1962</v>
      </c>
      <c r="R560" s="3"/>
      <c r="S560" s="3"/>
      <c r="T560" s="3"/>
      <c r="U560" s="2"/>
      <c r="V560" s="2"/>
      <c r="W560" s="2"/>
      <c r="X560" s="2"/>
      <c r="Y560" s="2"/>
      <c r="Z560" s="2"/>
      <c r="AA560" s="2"/>
      <c r="AB560" s="2"/>
      <c r="AC560" s="2"/>
      <c r="AD560" s="2"/>
    </row>
    <row r="561" spans="1:30" ht="12" customHeight="1">
      <c r="A561" s="828" t="s">
        <v>17255</v>
      </c>
      <c r="B561" s="3" t="s">
        <v>1955</v>
      </c>
      <c r="C561" s="1" t="s">
        <v>1824</v>
      </c>
      <c r="D561" s="5">
        <f t="shared" si="8"/>
        <v>68</v>
      </c>
      <c r="E561" s="2" t="s">
        <v>5</v>
      </c>
      <c r="F561" s="2" t="s">
        <v>15273</v>
      </c>
      <c r="G561" s="3" t="s">
        <v>1825</v>
      </c>
      <c r="H561" s="1"/>
      <c r="I561" s="1"/>
      <c r="J561" s="4" t="s">
        <v>16125</v>
      </c>
      <c r="K561" s="1"/>
      <c r="L561" s="1" t="s">
        <v>25</v>
      </c>
      <c r="M561" s="825">
        <v>2</v>
      </c>
      <c r="N561" s="17">
        <v>2</v>
      </c>
      <c r="O561" s="3" t="s">
        <v>159</v>
      </c>
      <c r="P561" s="20">
        <v>16223</v>
      </c>
      <c r="Q561" s="3" t="s">
        <v>1826</v>
      </c>
      <c r="R561" s="3" t="s">
        <v>4568</v>
      </c>
      <c r="S561" s="3" t="s">
        <v>5561</v>
      </c>
      <c r="T561" s="3"/>
      <c r="U561" s="2"/>
      <c r="V561" s="2"/>
      <c r="W561" s="2"/>
      <c r="X561" s="2"/>
      <c r="Y561" s="2"/>
      <c r="Z561" s="2"/>
      <c r="AA561" s="3"/>
      <c r="AB561" s="3"/>
      <c r="AC561" s="3"/>
      <c r="AD561" s="3"/>
    </row>
    <row r="562" spans="1:30" ht="12" customHeight="1">
      <c r="A562" s="828" t="s">
        <v>17256</v>
      </c>
      <c r="B562" s="3" t="s">
        <v>4980</v>
      </c>
      <c r="C562" s="1" t="s">
        <v>4981</v>
      </c>
      <c r="D562" s="5">
        <f t="shared" si="8"/>
        <v>54</v>
      </c>
      <c r="E562" s="2" t="s">
        <v>5</v>
      </c>
      <c r="F562" s="2" t="s">
        <v>15273</v>
      </c>
      <c r="G562" s="3"/>
      <c r="H562" s="1"/>
      <c r="I562" s="1"/>
      <c r="J562" s="4" t="s">
        <v>16116</v>
      </c>
      <c r="K562" s="1" t="s">
        <v>4982</v>
      </c>
      <c r="L562" s="1" t="s">
        <v>14</v>
      </c>
      <c r="M562" s="825">
        <v>1</v>
      </c>
      <c r="N562" s="17">
        <v>1</v>
      </c>
      <c r="O562" s="3" t="s">
        <v>1493</v>
      </c>
      <c r="P562" s="21">
        <v>21193</v>
      </c>
      <c r="Q562" s="3" t="s">
        <v>16662</v>
      </c>
      <c r="R562" s="3" t="s">
        <v>4986</v>
      </c>
      <c r="S562" s="3" t="s">
        <v>18566</v>
      </c>
      <c r="T562" s="3" t="s">
        <v>4984</v>
      </c>
      <c r="U562" s="2"/>
      <c r="V562" s="2" t="s">
        <v>145</v>
      </c>
      <c r="W562" s="2" t="s">
        <v>75</v>
      </c>
      <c r="X562" s="2"/>
      <c r="Y562" s="2"/>
      <c r="Z562" s="2"/>
      <c r="AA562" s="2"/>
      <c r="AB562" s="2"/>
      <c r="AC562" s="2" t="s">
        <v>146</v>
      </c>
      <c r="AD562" s="2"/>
    </row>
    <row r="563" spans="1:30" ht="12" customHeight="1">
      <c r="A563" s="828" t="s">
        <v>17257</v>
      </c>
      <c r="B563" s="3" t="s">
        <v>5078</v>
      </c>
      <c r="C563" s="1" t="s">
        <v>1963</v>
      </c>
      <c r="D563" s="5">
        <f t="shared" si="8"/>
        <v>48</v>
      </c>
      <c r="E563" s="2" t="s">
        <v>19</v>
      </c>
      <c r="F563" s="2"/>
      <c r="G563" s="3"/>
      <c r="H563" s="1"/>
      <c r="I563" s="1"/>
      <c r="J563" s="4" t="s">
        <v>16117</v>
      </c>
      <c r="K563" s="1"/>
      <c r="L563" s="1" t="s">
        <v>6</v>
      </c>
      <c r="M563" s="825"/>
      <c r="N563" s="17"/>
      <c r="O563" s="3" t="s">
        <v>1964</v>
      </c>
      <c r="P563" s="21">
        <v>23396</v>
      </c>
      <c r="Q563" s="3" t="s">
        <v>531</v>
      </c>
      <c r="R563" s="3"/>
      <c r="S563" s="3"/>
      <c r="T563" s="3"/>
      <c r="U563" s="2"/>
      <c r="V563" s="2"/>
      <c r="W563" s="2"/>
      <c r="X563" s="2"/>
      <c r="Y563" s="2"/>
      <c r="Z563" s="2"/>
      <c r="AA563" s="2"/>
      <c r="AB563" s="2"/>
      <c r="AC563" s="2"/>
      <c r="AD563" s="2"/>
    </row>
    <row r="564" spans="1:30" ht="12" customHeight="1">
      <c r="A564" s="828" t="s">
        <v>17258</v>
      </c>
      <c r="B564" s="3" t="s">
        <v>1965</v>
      </c>
      <c r="C564" s="1" t="s">
        <v>1968</v>
      </c>
      <c r="D564" s="5">
        <f t="shared" si="8"/>
        <v>48</v>
      </c>
      <c r="E564" s="2" t="s">
        <v>5</v>
      </c>
      <c r="F564" s="6" t="s">
        <v>15273</v>
      </c>
      <c r="G564" s="3" t="s">
        <v>1969</v>
      </c>
      <c r="H564" s="1"/>
      <c r="I564" s="1"/>
      <c r="J564" s="8" t="s">
        <v>16127</v>
      </c>
      <c r="K564" s="1" t="s">
        <v>44</v>
      </c>
      <c r="L564" s="1" t="s">
        <v>25</v>
      </c>
      <c r="M564" s="825">
        <v>4</v>
      </c>
      <c r="N564" s="17">
        <v>4</v>
      </c>
      <c r="O564" s="3" t="s">
        <v>450</v>
      </c>
      <c r="P564" s="20">
        <v>23473</v>
      </c>
      <c r="Q564" s="3" t="s">
        <v>1971</v>
      </c>
      <c r="R564" s="3" t="s">
        <v>2528</v>
      </c>
      <c r="S564" s="3" t="s">
        <v>736</v>
      </c>
      <c r="T564" s="3"/>
      <c r="U564" s="2"/>
      <c r="V564" s="2"/>
      <c r="W564" s="2"/>
      <c r="X564" s="2"/>
      <c r="Y564" s="2"/>
      <c r="Z564" s="2"/>
      <c r="AA564" s="2"/>
      <c r="AB564" s="2"/>
      <c r="AC564" s="2"/>
      <c r="AD564" s="2"/>
    </row>
    <row r="565" spans="1:30" ht="12" customHeight="1">
      <c r="A565" s="828" t="s">
        <v>17259</v>
      </c>
      <c r="B565" s="3" t="s">
        <v>1966</v>
      </c>
      <c r="C565" s="1" t="s">
        <v>1972</v>
      </c>
      <c r="D565" s="5">
        <f t="shared" si="8"/>
        <v>42</v>
      </c>
      <c r="E565" s="2" t="s">
        <v>5</v>
      </c>
      <c r="F565" s="2" t="s">
        <v>15273</v>
      </c>
      <c r="G565" s="3"/>
      <c r="H565" s="1"/>
      <c r="I565" s="1"/>
      <c r="J565" s="4" t="s">
        <v>16120</v>
      </c>
      <c r="K565" s="1" t="s">
        <v>476</v>
      </c>
      <c r="L565" s="1" t="s">
        <v>14</v>
      </c>
      <c r="M565" s="825">
        <v>1</v>
      </c>
      <c r="N565" s="17">
        <v>1</v>
      </c>
      <c r="O565" s="3" t="s">
        <v>317</v>
      </c>
      <c r="P565" s="20">
        <v>25727</v>
      </c>
      <c r="Q565" s="3" t="s">
        <v>1974</v>
      </c>
      <c r="R565" s="3"/>
      <c r="S565" s="3" t="s">
        <v>5457</v>
      </c>
      <c r="T565" s="3" t="s">
        <v>47</v>
      </c>
      <c r="U565" s="2" t="s">
        <v>47</v>
      </c>
      <c r="V565" s="2"/>
      <c r="W565" s="2"/>
      <c r="X565" s="2"/>
      <c r="Y565" s="2"/>
      <c r="Z565" s="2"/>
      <c r="AA565" s="2"/>
      <c r="AB565" s="2"/>
      <c r="AC565" s="2"/>
      <c r="AD565" s="2"/>
    </row>
    <row r="566" spans="1:30" ht="12" customHeight="1">
      <c r="A566" s="828" t="s">
        <v>17260</v>
      </c>
      <c r="B566" s="3" t="s">
        <v>1967</v>
      </c>
      <c r="C566" s="1" t="s">
        <v>5393</v>
      </c>
      <c r="D566" s="5">
        <f t="shared" si="8"/>
        <v>39</v>
      </c>
      <c r="E566" s="2" t="s">
        <v>5</v>
      </c>
      <c r="F566" s="2" t="s">
        <v>15273</v>
      </c>
      <c r="G566" s="3"/>
      <c r="H566" s="1"/>
      <c r="I566" s="1"/>
      <c r="J566" s="4" t="s">
        <v>16116</v>
      </c>
      <c r="K566" s="1" t="s">
        <v>276</v>
      </c>
      <c r="L566" s="1" t="s">
        <v>6</v>
      </c>
      <c r="M566" s="825"/>
      <c r="N566" s="17"/>
      <c r="O566" s="3" t="s">
        <v>188</v>
      </c>
      <c r="P566" s="20">
        <v>26903</v>
      </c>
      <c r="Q566" s="3" t="s">
        <v>5394</v>
      </c>
      <c r="R566" s="3"/>
      <c r="S566" s="3"/>
      <c r="T566" s="3" t="s">
        <v>145</v>
      </c>
      <c r="U566" s="2"/>
      <c r="V566" s="2" t="s">
        <v>145</v>
      </c>
      <c r="W566" s="2"/>
      <c r="X566" s="2"/>
      <c r="Y566" s="2"/>
      <c r="Z566" s="2"/>
      <c r="AA566" s="2"/>
      <c r="AB566" s="2"/>
      <c r="AC566" s="2"/>
      <c r="AD566" s="2"/>
    </row>
    <row r="567" spans="1:30" ht="12" customHeight="1">
      <c r="A567" s="828" t="s">
        <v>17261</v>
      </c>
      <c r="B567" s="3" t="s">
        <v>5392</v>
      </c>
      <c r="C567" s="1" t="s">
        <v>1976</v>
      </c>
      <c r="D567" s="5">
        <f t="shared" si="8"/>
        <v>58</v>
      </c>
      <c r="E567" s="2" t="s">
        <v>19</v>
      </c>
      <c r="F567" s="2"/>
      <c r="G567" s="3"/>
      <c r="H567" s="1"/>
      <c r="I567" s="1"/>
      <c r="J567" s="4" t="s">
        <v>16117</v>
      </c>
      <c r="K567" s="1"/>
      <c r="L567" s="1" t="s">
        <v>6</v>
      </c>
      <c r="M567" s="825"/>
      <c r="N567" s="17"/>
      <c r="O567" s="3" t="s">
        <v>1583</v>
      </c>
      <c r="P567" s="20">
        <v>20025</v>
      </c>
      <c r="Q567" s="3" t="s">
        <v>1977</v>
      </c>
      <c r="R567" s="3"/>
      <c r="S567" s="3"/>
      <c r="T567" s="3"/>
      <c r="U567" s="2"/>
      <c r="V567" s="2"/>
      <c r="W567" s="2"/>
      <c r="X567" s="2"/>
      <c r="Y567" s="2"/>
      <c r="Z567" s="2"/>
      <c r="AA567" s="2"/>
      <c r="AB567" s="2"/>
      <c r="AC567" s="2"/>
      <c r="AD567" s="2"/>
    </row>
    <row r="568" spans="1:30" ht="12" customHeight="1">
      <c r="A568" s="828" t="s">
        <v>17262</v>
      </c>
      <c r="B568" s="3" t="s">
        <v>1978</v>
      </c>
      <c r="C568" s="1" t="s">
        <v>1981</v>
      </c>
      <c r="D568" s="5">
        <f t="shared" si="8"/>
        <v>50</v>
      </c>
      <c r="E568" s="2" t="s">
        <v>5</v>
      </c>
      <c r="F568" s="6" t="s">
        <v>15273</v>
      </c>
      <c r="G568" s="3" t="s">
        <v>1982</v>
      </c>
      <c r="H568" s="1"/>
      <c r="I568" s="1"/>
      <c r="J568" s="8" t="s">
        <v>16127</v>
      </c>
      <c r="K568" s="1" t="s">
        <v>44</v>
      </c>
      <c r="L568" s="1" t="s">
        <v>25</v>
      </c>
      <c r="M568" s="825">
        <v>3</v>
      </c>
      <c r="N568" s="17">
        <v>3</v>
      </c>
      <c r="O568" s="3" t="s">
        <v>1983</v>
      </c>
      <c r="P568" s="20">
        <v>22694</v>
      </c>
      <c r="Q568" s="3" t="s">
        <v>1984</v>
      </c>
      <c r="R568" s="3" t="s">
        <v>1985</v>
      </c>
      <c r="S568" s="3" t="s">
        <v>736</v>
      </c>
      <c r="T568" s="3"/>
      <c r="U568" s="2"/>
      <c r="V568" s="2"/>
      <c r="W568" s="2"/>
      <c r="X568" s="2"/>
      <c r="Y568" s="2"/>
      <c r="Z568" s="2"/>
      <c r="AA568" s="2"/>
      <c r="AB568" s="2"/>
      <c r="AC568" s="2"/>
      <c r="AD568" s="2"/>
    </row>
    <row r="569" spans="1:30" ht="12" customHeight="1">
      <c r="A569" s="828" t="s">
        <v>17263</v>
      </c>
      <c r="B569" s="3" t="s">
        <v>1979</v>
      </c>
      <c r="C569" s="1" t="s">
        <v>1986</v>
      </c>
      <c r="D569" s="5">
        <f t="shared" si="8"/>
        <v>48</v>
      </c>
      <c r="E569" s="2" t="s">
        <v>5</v>
      </c>
      <c r="F569" s="2" t="s">
        <v>15273</v>
      </c>
      <c r="G569" s="3"/>
      <c r="H569" s="1"/>
      <c r="I569" s="1"/>
      <c r="J569" s="8" t="s">
        <v>16120</v>
      </c>
      <c r="K569" s="1" t="s">
        <v>30</v>
      </c>
      <c r="L569" s="1" t="s">
        <v>6</v>
      </c>
      <c r="M569" s="825"/>
      <c r="N569" s="17"/>
      <c r="O569" s="3" t="s">
        <v>317</v>
      </c>
      <c r="P569" s="20">
        <v>23520</v>
      </c>
      <c r="Q569" s="3" t="s">
        <v>613</v>
      </c>
      <c r="R569" s="3"/>
      <c r="S569" s="3" t="s">
        <v>5457</v>
      </c>
      <c r="T569" s="3"/>
      <c r="U569" s="2"/>
      <c r="V569" s="2"/>
      <c r="W569" s="2"/>
      <c r="X569" s="2"/>
      <c r="Y569" s="2"/>
      <c r="Z569" s="2"/>
      <c r="AA569" s="2"/>
      <c r="AB569" s="2"/>
      <c r="AC569" s="2"/>
      <c r="AD569" s="2"/>
    </row>
    <row r="570" spans="1:30" ht="12" customHeight="1">
      <c r="A570" s="828" t="s">
        <v>17264</v>
      </c>
      <c r="B570" s="3" t="s">
        <v>1980</v>
      </c>
      <c r="C570" s="1" t="s">
        <v>6181</v>
      </c>
      <c r="D570" s="5">
        <f t="shared" si="8"/>
        <v>60</v>
      </c>
      <c r="E570" s="2" t="s">
        <v>5</v>
      </c>
      <c r="F570" s="2" t="s">
        <v>15273</v>
      </c>
      <c r="G570" s="3"/>
      <c r="H570" s="1"/>
      <c r="I570" s="1"/>
      <c r="J570" s="4" t="s">
        <v>16125</v>
      </c>
      <c r="K570" s="1"/>
      <c r="L570" s="1" t="s">
        <v>6</v>
      </c>
      <c r="M570" s="825"/>
      <c r="N570" s="17"/>
      <c r="O570" s="3" t="s">
        <v>557</v>
      </c>
      <c r="P570" s="20">
        <v>19334</v>
      </c>
      <c r="Q570" s="3" t="s">
        <v>16010</v>
      </c>
      <c r="R570" s="3"/>
      <c r="S570" s="3" t="s">
        <v>5561</v>
      </c>
      <c r="T570" s="3"/>
      <c r="U570" s="2"/>
      <c r="V570" s="2"/>
      <c r="W570" s="2"/>
      <c r="X570" s="2"/>
      <c r="Y570" s="2"/>
      <c r="Z570" s="2"/>
      <c r="AA570" s="2"/>
      <c r="AB570" s="2"/>
      <c r="AC570" s="2"/>
      <c r="AD570" s="2"/>
    </row>
    <row r="571" spans="1:30" ht="12" customHeight="1">
      <c r="A571" s="828" t="s">
        <v>17265</v>
      </c>
      <c r="B571" s="3" t="s">
        <v>5395</v>
      </c>
      <c r="C571" s="1" t="s">
        <v>5396</v>
      </c>
      <c r="D571" s="5">
        <f t="shared" si="8"/>
        <v>30</v>
      </c>
      <c r="E571" s="2" t="s">
        <v>19</v>
      </c>
      <c r="F571" s="2" t="s">
        <v>15273</v>
      </c>
      <c r="G571" s="3"/>
      <c r="H571" s="1"/>
      <c r="I571" s="1"/>
      <c r="J571" s="4" t="s">
        <v>16116</v>
      </c>
      <c r="K571" s="1" t="s">
        <v>4997</v>
      </c>
      <c r="L571" s="1" t="s">
        <v>6</v>
      </c>
      <c r="M571" s="825"/>
      <c r="N571" s="17"/>
      <c r="O571" s="3" t="s">
        <v>5397</v>
      </c>
      <c r="P571" s="20">
        <v>30187</v>
      </c>
      <c r="Q571" s="3" t="s">
        <v>5398</v>
      </c>
      <c r="R571" s="3"/>
      <c r="S571" s="3"/>
      <c r="T571" s="3" t="s">
        <v>85</v>
      </c>
      <c r="U571" s="2"/>
      <c r="V571" s="2"/>
      <c r="W571" s="2"/>
      <c r="X571" s="2"/>
      <c r="Y571" s="2"/>
      <c r="Z571" s="2" t="s">
        <v>85</v>
      </c>
      <c r="AA571" s="2"/>
      <c r="AB571" s="2"/>
      <c r="AC571" s="2"/>
      <c r="AD571" s="2"/>
    </row>
    <row r="572" spans="1:30" ht="12" customHeight="1">
      <c r="A572" s="828" t="s">
        <v>17266</v>
      </c>
      <c r="B572" s="3" t="s">
        <v>6180</v>
      </c>
      <c r="C572" s="1" t="s">
        <v>1987</v>
      </c>
      <c r="D572" s="5">
        <f t="shared" si="8"/>
        <v>38</v>
      </c>
      <c r="E572" s="2" t="s">
        <v>5</v>
      </c>
      <c r="F572" s="2"/>
      <c r="G572" s="3"/>
      <c r="H572" s="1"/>
      <c r="I572" s="1"/>
      <c r="J572" s="4" t="s">
        <v>16117</v>
      </c>
      <c r="K572" s="1"/>
      <c r="L572" s="1" t="s">
        <v>6</v>
      </c>
      <c r="M572" s="825"/>
      <c r="N572" s="17"/>
      <c r="O572" s="3" t="s">
        <v>465</v>
      </c>
      <c r="P572" s="20">
        <v>27065</v>
      </c>
      <c r="Q572" s="3" t="s">
        <v>1988</v>
      </c>
      <c r="R572" s="3"/>
      <c r="S572" s="3"/>
      <c r="T572" s="3"/>
      <c r="U572" s="2"/>
      <c r="V572" s="2"/>
      <c r="W572" s="2"/>
      <c r="X572" s="2"/>
      <c r="Y572" s="2"/>
      <c r="Z572" s="2"/>
      <c r="AA572" s="2"/>
      <c r="AB572" s="2"/>
      <c r="AC572" s="2"/>
      <c r="AD572" s="2"/>
    </row>
    <row r="573" spans="1:30" ht="12" customHeight="1">
      <c r="A573" s="828" t="s">
        <v>17267</v>
      </c>
      <c r="B573" s="3" t="s">
        <v>16008</v>
      </c>
      <c r="C573" s="1" t="s">
        <v>16009</v>
      </c>
      <c r="D573" s="5">
        <f t="shared" si="8"/>
        <v>42</v>
      </c>
      <c r="E573" s="2" t="s">
        <v>5</v>
      </c>
      <c r="F573" s="2"/>
      <c r="G573" s="3"/>
      <c r="H573" s="1"/>
      <c r="I573" s="1"/>
      <c r="J573" s="4" t="s">
        <v>16129</v>
      </c>
      <c r="K573" s="1"/>
      <c r="L573" s="1" t="s">
        <v>6</v>
      </c>
      <c r="M573" s="825"/>
      <c r="N573" s="17"/>
      <c r="O573" s="3" t="s">
        <v>267</v>
      </c>
      <c r="P573" s="20">
        <v>25581</v>
      </c>
      <c r="Q573" s="3" t="s">
        <v>16304</v>
      </c>
      <c r="R573" s="3"/>
      <c r="S573" s="3"/>
      <c r="T573" s="3"/>
      <c r="U573" s="2"/>
      <c r="V573" s="2"/>
      <c r="W573" s="2"/>
      <c r="X573" s="2"/>
      <c r="Y573" s="2"/>
      <c r="Z573" s="2"/>
      <c r="AA573" s="2"/>
      <c r="AB573" s="2"/>
      <c r="AC573" s="2"/>
      <c r="AD573" s="2"/>
    </row>
    <row r="574" spans="1:30" ht="12" customHeight="1">
      <c r="A574" s="828" t="s">
        <v>17268</v>
      </c>
      <c r="B574" s="3" t="s">
        <v>1989</v>
      </c>
      <c r="C574" s="1" t="s">
        <v>1994</v>
      </c>
      <c r="D574" s="5">
        <f t="shared" si="8"/>
        <v>45</v>
      </c>
      <c r="E574" s="2" t="s">
        <v>5</v>
      </c>
      <c r="F574" s="6" t="s">
        <v>15273</v>
      </c>
      <c r="G574" s="3" t="s">
        <v>1995</v>
      </c>
      <c r="H574" s="1"/>
      <c r="I574" s="1"/>
      <c r="J574" s="8" t="s">
        <v>16126</v>
      </c>
      <c r="K574" s="1" t="s">
        <v>1656</v>
      </c>
      <c r="L574" s="1" t="s">
        <v>25</v>
      </c>
      <c r="M574" s="825">
        <v>3</v>
      </c>
      <c r="N574" s="17">
        <v>3</v>
      </c>
      <c r="O574" s="3" t="s">
        <v>7</v>
      </c>
      <c r="P574" s="20">
        <v>24490</v>
      </c>
      <c r="Q574" s="3" t="s">
        <v>1997</v>
      </c>
      <c r="R574" s="3" t="s">
        <v>1998</v>
      </c>
      <c r="S574" s="3" t="s">
        <v>736</v>
      </c>
      <c r="T574" s="3" t="s">
        <v>104</v>
      </c>
      <c r="U574" s="2"/>
      <c r="V574" s="2"/>
      <c r="W574" s="2"/>
      <c r="X574" s="2"/>
      <c r="Y574" s="2"/>
      <c r="Z574" s="2"/>
      <c r="AA574" s="2" t="s">
        <v>104</v>
      </c>
      <c r="AB574" s="2"/>
      <c r="AC574" s="2"/>
      <c r="AD574" s="2"/>
    </row>
    <row r="575" spans="1:30" ht="12" customHeight="1">
      <c r="A575" s="828" t="s">
        <v>17269</v>
      </c>
      <c r="B575" s="3" t="s">
        <v>1990</v>
      </c>
      <c r="C575" s="1" t="s">
        <v>2000</v>
      </c>
      <c r="D575" s="5">
        <f t="shared" si="8"/>
        <v>51</v>
      </c>
      <c r="E575" s="2" t="s">
        <v>5</v>
      </c>
      <c r="F575" s="2" t="s">
        <v>15273</v>
      </c>
      <c r="G575" s="3"/>
      <c r="H575" s="1"/>
      <c r="I575" s="1"/>
      <c r="J575" s="4" t="s">
        <v>16120</v>
      </c>
      <c r="K575" s="1" t="s">
        <v>30</v>
      </c>
      <c r="L575" s="1" t="s">
        <v>14</v>
      </c>
      <c r="M575" s="825">
        <v>5</v>
      </c>
      <c r="N575" s="17">
        <v>5</v>
      </c>
      <c r="O575" s="3" t="s">
        <v>317</v>
      </c>
      <c r="P575" s="20">
        <v>22468</v>
      </c>
      <c r="Q575" s="3" t="s">
        <v>2003</v>
      </c>
      <c r="R575" s="3" t="s">
        <v>2002</v>
      </c>
      <c r="S575" s="3"/>
      <c r="T575" s="3" t="s">
        <v>146</v>
      </c>
      <c r="U575" s="2"/>
      <c r="V575" s="2"/>
      <c r="W575" s="2"/>
      <c r="X575" s="2"/>
      <c r="Y575" s="2"/>
      <c r="Z575" s="2"/>
      <c r="AA575" s="2"/>
      <c r="AB575" s="2"/>
      <c r="AC575" s="2" t="s">
        <v>146</v>
      </c>
      <c r="AD575" s="2"/>
    </row>
    <row r="576" spans="1:30" ht="12" customHeight="1">
      <c r="A576" s="828" t="s">
        <v>17270</v>
      </c>
      <c r="B576" s="3" t="s">
        <v>1991</v>
      </c>
      <c r="C576" s="1" t="s">
        <v>5400</v>
      </c>
      <c r="D576" s="5">
        <f t="shared" si="8"/>
        <v>39</v>
      </c>
      <c r="E576" s="2" t="s">
        <v>5</v>
      </c>
      <c r="F576" s="2" t="s">
        <v>15273</v>
      </c>
      <c r="G576" s="3"/>
      <c r="H576" s="1"/>
      <c r="I576" s="1"/>
      <c r="J576" s="4" t="s">
        <v>16116</v>
      </c>
      <c r="K576" s="1" t="s">
        <v>4993</v>
      </c>
      <c r="L576" s="1" t="s">
        <v>6</v>
      </c>
      <c r="M576" s="825"/>
      <c r="N576" s="17"/>
      <c r="O576" s="3" t="s">
        <v>5401</v>
      </c>
      <c r="P576" s="21">
        <v>26710</v>
      </c>
      <c r="Q576" s="3" t="s">
        <v>18244</v>
      </c>
      <c r="R576" s="3"/>
      <c r="S576" s="3"/>
      <c r="T576" s="3"/>
      <c r="U576" s="2"/>
      <c r="V576" s="2"/>
      <c r="W576" s="2"/>
      <c r="X576" s="2"/>
      <c r="Y576" s="2"/>
      <c r="Z576" s="2"/>
      <c r="AA576" s="2"/>
      <c r="AB576" s="2"/>
      <c r="AC576" s="2"/>
      <c r="AD576" s="2"/>
    </row>
    <row r="577" spans="1:30" ht="12" customHeight="1">
      <c r="A577" s="828" t="s">
        <v>17271</v>
      </c>
      <c r="B577" s="3" t="s">
        <v>1992</v>
      </c>
      <c r="C577" s="1" t="s">
        <v>2007</v>
      </c>
      <c r="D577" s="5">
        <f t="shared" ref="D577:D640" si="9">DATEDIF(P577,$P$1505,"Y")</f>
        <v>39</v>
      </c>
      <c r="E577" s="2" t="s">
        <v>5</v>
      </c>
      <c r="F577" s="2" t="s">
        <v>15273</v>
      </c>
      <c r="G577" s="3"/>
      <c r="H577" s="1"/>
      <c r="I577" s="1"/>
      <c r="J577" s="8" t="s">
        <v>16128</v>
      </c>
      <c r="K577" s="1"/>
      <c r="L577" s="1" t="s">
        <v>6</v>
      </c>
      <c r="M577" s="825"/>
      <c r="N577" s="17"/>
      <c r="O577" s="3" t="s">
        <v>255</v>
      </c>
      <c r="P577" s="20">
        <v>26687</v>
      </c>
      <c r="Q577" s="3" t="s">
        <v>2009</v>
      </c>
      <c r="R577" s="3"/>
      <c r="S577" s="3"/>
      <c r="T577" s="3"/>
      <c r="U577" s="2"/>
      <c r="V577" s="2"/>
      <c r="W577" s="2"/>
      <c r="X577" s="2"/>
      <c r="Y577" s="2"/>
      <c r="Z577" s="2"/>
      <c r="AA577" s="2"/>
      <c r="AB577" s="2"/>
      <c r="AC577" s="2"/>
      <c r="AD577" s="2"/>
    </row>
    <row r="578" spans="1:30" ht="12" customHeight="1">
      <c r="A578" s="828" t="s">
        <v>17272</v>
      </c>
      <c r="B578" s="3" t="s">
        <v>1993</v>
      </c>
      <c r="C578" s="1" t="s">
        <v>2004</v>
      </c>
      <c r="D578" s="5">
        <f t="shared" si="9"/>
        <v>51</v>
      </c>
      <c r="E578" s="2" t="s">
        <v>5</v>
      </c>
      <c r="F578" s="2"/>
      <c r="G578" s="3"/>
      <c r="H578" s="1"/>
      <c r="I578" s="1"/>
      <c r="J578" s="4" t="s">
        <v>16117</v>
      </c>
      <c r="K578" s="1"/>
      <c r="L578" s="1" t="s">
        <v>6</v>
      </c>
      <c r="M578" s="825"/>
      <c r="N578" s="17"/>
      <c r="O578" s="3" t="s">
        <v>2005</v>
      </c>
      <c r="P578" s="21">
        <v>22543</v>
      </c>
      <c r="Q578" s="3" t="s">
        <v>2006</v>
      </c>
      <c r="R578" s="3"/>
      <c r="S578" s="3"/>
      <c r="T578" s="3"/>
      <c r="U578" s="2"/>
      <c r="V578" s="2"/>
      <c r="W578" s="2"/>
      <c r="X578" s="2"/>
      <c r="Y578" s="2"/>
      <c r="Z578" s="2"/>
      <c r="AA578" s="2"/>
      <c r="AB578" s="2"/>
      <c r="AC578" s="2"/>
      <c r="AD578" s="2"/>
    </row>
    <row r="579" spans="1:30" ht="12" customHeight="1">
      <c r="A579" s="828" t="s">
        <v>17273</v>
      </c>
      <c r="B579" s="3" t="s">
        <v>5399</v>
      </c>
      <c r="C579" s="1" t="s">
        <v>2010</v>
      </c>
      <c r="D579" s="5">
        <f t="shared" si="9"/>
        <v>57</v>
      </c>
      <c r="E579" s="2" t="s">
        <v>5</v>
      </c>
      <c r="F579" s="2"/>
      <c r="G579" s="3"/>
      <c r="H579" s="1"/>
      <c r="I579" s="1"/>
      <c r="J579" s="4" t="s">
        <v>16122</v>
      </c>
      <c r="K579" s="1" t="s">
        <v>22</v>
      </c>
      <c r="L579" s="1" t="s">
        <v>6</v>
      </c>
      <c r="M579" s="825"/>
      <c r="N579" s="17"/>
      <c r="O579" s="3" t="s">
        <v>188</v>
      </c>
      <c r="P579" s="20">
        <v>20151</v>
      </c>
      <c r="Q579" s="3" t="s">
        <v>2011</v>
      </c>
      <c r="R579" s="3"/>
      <c r="S579" s="3"/>
      <c r="T579" s="3"/>
      <c r="U579" s="2"/>
      <c r="V579" s="2"/>
      <c r="W579" s="2"/>
      <c r="X579" s="2"/>
      <c r="Y579" s="2"/>
      <c r="Z579" s="2"/>
      <c r="AA579" s="2"/>
      <c r="AB579" s="2"/>
      <c r="AC579" s="2"/>
      <c r="AD579" s="2"/>
    </row>
    <row r="580" spans="1:30" ht="12" customHeight="1">
      <c r="A580" s="828" t="s">
        <v>17274</v>
      </c>
      <c r="B580" s="3" t="s">
        <v>2012</v>
      </c>
      <c r="C580" s="1" t="s">
        <v>2018</v>
      </c>
      <c r="D580" s="5">
        <f t="shared" si="9"/>
        <v>45</v>
      </c>
      <c r="E580" s="2" t="s">
        <v>19</v>
      </c>
      <c r="F580" s="6" t="s">
        <v>15273</v>
      </c>
      <c r="G580" s="3" t="s">
        <v>2019</v>
      </c>
      <c r="H580" s="1"/>
      <c r="I580" s="1"/>
      <c r="J580" s="8" t="s">
        <v>16127</v>
      </c>
      <c r="K580" s="1" t="s">
        <v>44</v>
      </c>
      <c r="L580" s="1" t="s">
        <v>25</v>
      </c>
      <c r="M580" s="825">
        <v>1</v>
      </c>
      <c r="N580" s="17">
        <v>1</v>
      </c>
      <c r="O580" s="3" t="s">
        <v>695</v>
      </c>
      <c r="P580" s="20">
        <v>24760</v>
      </c>
      <c r="Q580" s="3" t="s">
        <v>2020</v>
      </c>
      <c r="R580" s="3"/>
      <c r="S580" s="3" t="s">
        <v>736</v>
      </c>
      <c r="T580" s="3"/>
      <c r="U580" s="2"/>
      <c r="V580" s="2"/>
      <c r="W580" s="2"/>
      <c r="X580" s="2"/>
      <c r="Y580" s="2"/>
      <c r="Z580" s="2"/>
      <c r="AA580" s="2"/>
      <c r="AB580" s="2"/>
      <c r="AC580" s="2"/>
      <c r="AD580" s="2"/>
    </row>
    <row r="581" spans="1:30" ht="12" customHeight="1">
      <c r="A581" s="828" t="s">
        <v>17275</v>
      </c>
      <c r="B581" s="3" t="s">
        <v>2013</v>
      </c>
      <c r="C581" s="1" t="s">
        <v>2021</v>
      </c>
      <c r="D581" s="5">
        <f t="shared" si="9"/>
        <v>31</v>
      </c>
      <c r="E581" s="2" t="s">
        <v>5</v>
      </c>
      <c r="F581" s="2" t="s">
        <v>15273</v>
      </c>
      <c r="G581" s="3"/>
      <c r="H581" s="1"/>
      <c r="I581" s="1"/>
      <c r="J581" s="4" t="s">
        <v>16120</v>
      </c>
      <c r="K581" s="1" t="s">
        <v>30</v>
      </c>
      <c r="L581" s="1" t="s">
        <v>6</v>
      </c>
      <c r="M581" s="825"/>
      <c r="N581" s="17"/>
      <c r="O581" s="3" t="s">
        <v>2022</v>
      </c>
      <c r="P581" s="20">
        <v>29736</v>
      </c>
      <c r="Q581" s="3" t="s">
        <v>2023</v>
      </c>
      <c r="R581" s="3"/>
      <c r="S581" s="3" t="s">
        <v>5457</v>
      </c>
      <c r="T581" s="3"/>
      <c r="U581" s="2"/>
      <c r="V581" s="2"/>
      <c r="W581" s="2"/>
      <c r="X581" s="2"/>
      <c r="Y581" s="2"/>
      <c r="Z581" s="2"/>
      <c r="AA581" s="2"/>
      <c r="AB581" s="2"/>
      <c r="AC581" s="2"/>
      <c r="AD581" s="2"/>
    </row>
    <row r="582" spans="1:30" ht="12" customHeight="1">
      <c r="A582" s="828" t="s">
        <v>17276</v>
      </c>
      <c r="B582" s="3" t="s">
        <v>2014</v>
      </c>
      <c r="C582" s="1" t="s">
        <v>6182</v>
      </c>
      <c r="D582" s="5">
        <f t="shared" si="9"/>
        <v>39</v>
      </c>
      <c r="E582" s="2" t="s">
        <v>5</v>
      </c>
      <c r="F582" s="2" t="s">
        <v>15273</v>
      </c>
      <c r="G582" s="3"/>
      <c r="H582" s="1"/>
      <c r="I582" s="1"/>
      <c r="J582" s="4" t="s">
        <v>16125</v>
      </c>
      <c r="K582" s="1"/>
      <c r="L582" s="1" t="s">
        <v>6</v>
      </c>
      <c r="M582" s="825"/>
      <c r="N582" s="17"/>
      <c r="O582" s="3" t="s">
        <v>31</v>
      </c>
      <c r="P582" s="20">
        <v>26932</v>
      </c>
      <c r="Q582" s="3" t="s">
        <v>6183</v>
      </c>
      <c r="R582" s="3"/>
      <c r="S582" s="3" t="s">
        <v>5561</v>
      </c>
      <c r="T582" s="3" t="s">
        <v>155</v>
      </c>
      <c r="U582" s="2"/>
      <c r="V582" s="2"/>
      <c r="W582" s="2"/>
      <c r="X582" s="2"/>
      <c r="Y582" s="2" t="s">
        <v>155</v>
      </c>
      <c r="Z582" s="2"/>
      <c r="AA582" s="2"/>
      <c r="AB582" s="2"/>
      <c r="AC582" s="2"/>
      <c r="AD582" s="2"/>
    </row>
    <row r="583" spans="1:30" ht="12" customHeight="1">
      <c r="A583" s="828" t="s">
        <v>17277</v>
      </c>
      <c r="B583" s="3" t="s">
        <v>2015</v>
      </c>
      <c r="C583" s="1" t="s">
        <v>5012</v>
      </c>
      <c r="D583" s="5">
        <f t="shared" si="9"/>
        <v>33</v>
      </c>
      <c r="E583" s="2" t="s">
        <v>5</v>
      </c>
      <c r="F583" s="2" t="s">
        <v>15273</v>
      </c>
      <c r="G583" s="3"/>
      <c r="H583" s="1"/>
      <c r="I583" s="1"/>
      <c r="J583" s="4" t="s">
        <v>16116</v>
      </c>
      <c r="K583" s="1" t="s">
        <v>4997</v>
      </c>
      <c r="L583" s="1" t="s">
        <v>6</v>
      </c>
      <c r="M583" s="825"/>
      <c r="N583" s="17"/>
      <c r="O583" s="3" t="s">
        <v>381</v>
      </c>
      <c r="P583" s="20">
        <v>29072</v>
      </c>
      <c r="Q583" s="3" t="s">
        <v>5014</v>
      </c>
      <c r="R583" s="3"/>
      <c r="S583" s="3"/>
      <c r="T583" s="3" t="s">
        <v>104</v>
      </c>
      <c r="U583" s="2"/>
      <c r="V583" s="2"/>
      <c r="W583" s="2"/>
      <c r="X583" s="2"/>
      <c r="Y583" s="2"/>
      <c r="Z583" s="2"/>
      <c r="AA583" s="2" t="s">
        <v>104</v>
      </c>
      <c r="AB583" s="2"/>
      <c r="AC583" s="2"/>
      <c r="AD583" s="2"/>
    </row>
    <row r="584" spans="1:30" ht="12" customHeight="1">
      <c r="A584" s="828" t="s">
        <v>17278</v>
      </c>
      <c r="B584" s="3" t="s">
        <v>2016</v>
      </c>
      <c r="C584" s="1" t="s">
        <v>2027</v>
      </c>
      <c r="D584" s="5">
        <f t="shared" si="9"/>
        <v>31</v>
      </c>
      <c r="E584" s="2" t="s">
        <v>5</v>
      </c>
      <c r="F584" s="2" t="s">
        <v>15273</v>
      </c>
      <c r="G584" s="3"/>
      <c r="H584" s="1"/>
      <c r="I584" s="1"/>
      <c r="J584" s="4" t="s">
        <v>16128</v>
      </c>
      <c r="K584" s="1"/>
      <c r="L584" s="1" t="s">
        <v>6</v>
      </c>
      <c r="M584" s="825"/>
      <c r="N584" s="17"/>
      <c r="O584" s="3" t="s">
        <v>123</v>
      </c>
      <c r="P584" s="20">
        <v>29858</v>
      </c>
      <c r="Q584" s="3" t="s">
        <v>2028</v>
      </c>
      <c r="R584" s="3"/>
      <c r="S584" s="3"/>
      <c r="T584" s="3" t="s">
        <v>145</v>
      </c>
      <c r="U584" s="2"/>
      <c r="V584" s="2" t="s">
        <v>145</v>
      </c>
      <c r="W584" s="2"/>
      <c r="X584" s="2"/>
      <c r="Y584" s="2"/>
      <c r="Z584" s="2"/>
      <c r="AA584" s="2"/>
      <c r="AB584" s="2"/>
      <c r="AC584" s="2"/>
      <c r="AD584" s="2"/>
    </row>
    <row r="585" spans="1:30" ht="12" customHeight="1">
      <c r="A585" s="828" t="s">
        <v>17279</v>
      </c>
      <c r="B585" s="3" t="s">
        <v>2017</v>
      </c>
      <c r="C585" s="1" t="s">
        <v>2024</v>
      </c>
      <c r="D585" s="5">
        <f t="shared" si="9"/>
        <v>32</v>
      </c>
      <c r="E585" s="2" t="s">
        <v>5</v>
      </c>
      <c r="F585" s="2"/>
      <c r="G585" s="3"/>
      <c r="H585" s="1"/>
      <c r="I585" s="1"/>
      <c r="J585" s="4" t="s">
        <v>16117</v>
      </c>
      <c r="K585" s="1"/>
      <c r="L585" s="1" t="s">
        <v>6</v>
      </c>
      <c r="M585" s="825"/>
      <c r="N585" s="17"/>
      <c r="O585" s="3" t="s">
        <v>2025</v>
      </c>
      <c r="P585" s="21">
        <v>29397</v>
      </c>
      <c r="Q585" s="3" t="s">
        <v>2026</v>
      </c>
      <c r="R585" s="3"/>
      <c r="S585" s="3"/>
      <c r="T585" s="3"/>
      <c r="U585" s="2"/>
      <c r="V585" s="2"/>
      <c r="W585" s="2"/>
      <c r="X585" s="2"/>
      <c r="Y585" s="2"/>
      <c r="Z585" s="2"/>
      <c r="AA585" s="2"/>
      <c r="AB585" s="2"/>
      <c r="AC585" s="2"/>
      <c r="AD585" s="2"/>
    </row>
    <row r="586" spans="1:30" ht="12" customHeight="1">
      <c r="A586" s="828" t="s">
        <v>17280</v>
      </c>
      <c r="B586" s="3" t="s">
        <v>2030</v>
      </c>
      <c r="C586" s="1" t="s">
        <v>2034</v>
      </c>
      <c r="D586" s="5">
        <f t="shared" si="9"/>
        <v>56</v>
      </c>
      <c r="E586" s="2" t="s">
        <v>5</v>
      </c>
      <c r="F586" s="6" t="s">
        <v>15273</v>
      </c>
      <c r="G586" s="3" t="s">
        <v>2035</v>
      </c>
      <c r="H586" s="1"/>
      <c r="I586" s="1"/>
      <c r="J586" s="8" t="s">
        <v>16127</v>
      </c>
      <c r="K586" s="1" t="s">
        <v>655</v>
      </c>
      <c r="L586" s="1" t="s">
        <v>25</v>
      </c>
      <c r="M586" s="825">
        <v>3</v>
      </c>
      <c r="N586" s="17">
        <v>3</v>
      </c>
      <c r="O586" s="3" t="s">
        <v>2037</v>
      </c>
      <c r="P586" s="20">
        <v>20632</v>
      </c>
      <c r="Q586" s="3" t="s">
        <v>2038</v>
      </c>
      <c r="R586" s="3" t="s">
        <v>2039</v>
      </c>
      <c r="S586" s="3" t="s">
        <v>736</v>
      </c>
      <c r="T586" s="3"/>
      <c r="U586" s="2"/>
      <c r="V586" s="2"/>
      <c r="W586" s="2"/>
      <c r="X586" s="2"/>
      <c r="Y586" s="2"/>
      <c r="Z586" s="2"/>
      <c r="AA586" s="2"/>
      <c r="AB586" s="2"/>
      <c r="AC586" s="2"/>
      <c r="AD586" s="2"/>
    </row>
    <row r="587" spans="1:30" ht="12" customHeight="1">
      <c r="A587" s="828" t="s">
        <v>17281</v>
      </c>
      <c r="B587" s="3" t="s">
        <v>2031</v>
      </c>
      <c r="C587" s="1" t="s">
        <v>2040</v>
      </c>
      <c r="D587" s="5">
        <f t="shared" si="9"/>
        <v>49</v>
      </c>
      <c r="E587" s="2" t="s">
        <v>5</v>
      </c>
      <c r="F587" s="2" t="s">
        <v>15273</v>
      </c>
      <c r="G587" s="3"/>
      <c r="H587" s="1"/>
      <c r="I587" s="1"/>
      <c r="J587" s="8" t="s">
        <v>16120</v>
      </c>
      <c r="K587" s="1" t="s">
        <v>48</v>
      </c>
      <c r="L587" s="1" t="s">
        <v>14</v>
      </c>
      <c r="M587" s="825">
        <v>2</v>
      </c>
      <c r="N587" s="17">
        <v>2</v>
      </c>
      <c r="O587" s="3" t="s">
        <v>557</v>
      </c>
      <c r="P587" s="20">
        <v>23254</v>
      </c>
      <c r="Q587" s="3" t="s">
        <v>2042</v>
      </c>
      <c r="R587" s="3" t="s">
        <v>2043</v>
      </c>
      <c r="S587" s="3" t="s">
        <v>5457</v>
      </c>
      <c r="T587" s="3" t="s">
        <v>145</v>
      </c>
      <c r="U587" s="2"/>
      <c r="V587" s="2" t="s">
        <v>145</v>
      </c>
      <c r="W587" s="2"/>
      <c r="X587" s="2"/>
      <c r="Y587" s="2"/>
      <c r="Z587" s="2"/>
      <c r="AA587" s="2"/>
      <c r="AB587" s="2"/>
      <c r="AC587" s="2"/>
      <c r="AD587" s="2"/>
    </row>
    <row r="588" spans="1:30" ht="12" customHeight="1">
      <c r="A588" s="828" t="s">
        <v>17282</v>
      </c>
      <c r="B588" s="3" t="s">
        <v>2032</v>
      </c>
      <c r="C588" s="1" t="s">
        <v>5775</v>
      </c>
      <c r="D588" s="5">
        <f t="shared" si="9"/>
        <v>37</v>
      </c>
      <c r="E588" s="2" t="s">
        <v>5</v>
      </c>
      <c r="F588" s="2" t="s">
        <v>15273</v>
      </c>
      <c r="G588" s="3"/>
      <c r="H588" s="1"/>
      <c r="I588" s="1"/>
      <c r="J588" s="4" t="s">
        <v>16116</v>
      </c>
      <c r="K588" s="1" t="s">
        <v>4993</v>
      </c>
      <c r="L588" s="1" t="s">
        <v>6</v>
      </c>
      <c r="M588" s="825"/>
      <c r="N588" s="17"/>
      <c r="O588" s="3" t="s">
        <v>5776</v>
      </c>
      <c r="P588" s="20">
        <v>27555</v>
      </c>
      <c r="Q588" s="3" t="s">
        <v>16284</v>
      </c>
      <c r="R588" s="3"/>
      <c r="S588" s="3"/>
      <c r="T588" s="3"/>
      <c r="U588" s="2"/>
      <c r="V588" s="2"/>
      <c r="W588" s="2"/>
      <c r="X588" s="2"/>
      <c r="Y588" s="2"/>
      <c r="Z588" s="2"/>
      <c r="AA588" s="2"/>
      <c r="AB588" s="2"/>
      <c r="AC588" s="2"/>
      <c r="AD588" s="2"/>
    </row>
    <row r="589" spans="1:30" ht="12" customHeight="1">
      <c r="A589" s="828" t="s">
        <v>17283</v>
      </c>
      <c r="B589" s="3" t="s">
        <v>2033</v>
      </c>
      <c r="C589" s="1" t="s">
        <v>2048</v>
      </c>
      <c r="D589" s="5">
        <f t="shared" si="9"/>
        <v>40</v>
      </c>
      <c r="E589" s="2" t="s">
        <v>5</v>
      </c>
      <c r="F589" s="2" t="s">
        <v>15273</v>
      </c>
      <c r="G589" s="3"/>
      <c r="H589" s="1"/>
      <c r="I589" s="1"/>
      <c r="J589" s="4" t="s">
        <v>16128</v>
      </c>
      <c r="K589" s="1"/>
      <c r="L589" s="1" t="s">
        <v>6</v>
      </c>
      <c r="M589" s="825"/>
      <c r="N589" s="17"/>
      <c r="O589" s="3" t="s">
        <v>557</v>
      </c>
      <c r="P589" s="20">
        <v>26446</v>
      </c>
      <c r="Q589" s="3" t="s">
        <v>2049</v>
      </c>
      <c r="R589" s="3"/>
      <c r="S589" s="3"/>
      <c r="T589" s="3" t="s">
        <v>145</v>
      </c>
      <c r="U589" s="2"/>
      <c r="V589" s="2" t="s">
        <v>145</v>
      </c>
      <c r="W589" s="3"/>
      <c r="X589" s="3"/>
      <c r="Y589" s="3"/>
      <c r="Z589" s="3"/>
      <c r="AA589" s="3"/>
      <c r="AB589" s="3"/>
      <c r="AC589" s="3"/>
      <c r="AD589" s="3"/>
    </row>
    <row r="590" spans="1:30" ht="12" customHeight="1">
      <c r="A590" s="828" t="s">
        <v>17284</v>
      </c>
      <c r="B590" s="3" t="s">
        <v>5774</v>
      </c>
      <c r="C590" s="1" t="s">
        <v>2044</v>
      </c>
      <c r="D590" s="5">
        <f t="shared" si="9"/>
        <v>64</v>
      </c>
      <c r="E590" s="2" t="s">
        <v>5</v>
      </c>
      <c r="F590" s="2"/>
      <c r="G590" s="3"/>
      <c r="H590" s="1"/>
      <c r="I590" s="1"/>
      <c r="J590" s="4" t="s">
        <v>16117</v>
      </c>
      <c r="K590" s="1"/>
      <c r="L590" s="1" t="s">
        <v>6</v>
      </c>
      <c r="M590" s="825"/>
      <c r="N590" s="17"/>
      <c r="O590" s="3" t="s">
        <v>2045</v>
      </c>
      <c r="P590" s="21">
        <v>17759</v>
      </c>
      <c r="Q590" s="3" t="s">
        <v>2046</v>
      </c>
      <c r="R590" s="3"/>
      <c r="S590" s="3"/>
      <c r="T590" s="3" t="s">
        <v>69</v>
      </c>
      <c r="U590" s="2"/>
      <c r="V590" s="2"/>
      <c r="W590" s="2"/>
      <c r="X590" s="2"/>
      <c r="Y590" s="2"/>
      <c r="Z590" s="2"/>
      <c r="AA590" s="2"/>
      <c r="AB590" s="2"/>
      <c r="AC590" s="2"/>
      <c r="AD590" s="2" t="s">
        <v>69</v>
      </c>
    </row>
    <row r="591" spans="1:30" ht="12" customHeight="1">
      <c r="A591" s="828" t="s">
        <v>17285</v>
      </c>
      <c r="B591" s="3" t="s">
        <v>2050</v>
      </c>
      <c r="C591" s="1" t="s">
        <v>2053</v>
      </c>
      <c r="D591" s="5">
        <f t="shared" si="9"/>
        <v>57</v>
      </c>
      <c r="E591" s="2" t="s">
        <v>5</v>
      </c>
      <c r="F591" s="6" t="s">
        <v>15273</v>
      </c>
      <c r="G591" s="3" t="s">
        <v>2054</v>
      </c>
      <c r="H591" s="1"/>
      <c r="I591" s="1"/>
      <c r="J591" s="8" t="s">
        <v>16126</v>
      </c>
      <c r="K591" s="1" t="s">
        <v>44</v>
      </c>
      <c r="L591" s="1" t="s">
        <v>25</v>
      </c>
      <c r="M591" s="825">
        <v>1</v>
      </c>
      <c r="N591" s="17">
        <v>1</v>
      </c>
      <c r="O591" s="3" t="s">
        <v>609</v>
      </c>
      <c r="P591" s="20">
        <v>20314</v>
      </c>
      <c r="Q591" s="3" t="s">
        <v>2055</v>
      </c>
      <c r="R591" s="3"/>
      <c r="S591" s="3" t="s">
        <v>736</v>
      </c>
      <c r="T591" s="3"/>
      <c r="U591" s="2"/>
      <c r="V591" s="2"/>
      <c r="W591" s="3"/>
      <c r="X591" s="3"/>
      <c r="Y591" s="3"/>
      <c r="Z591" s="3"/>
      <c r="AA591" s="3"/>
      <c r="AB591" s="3"/>
      <c r="AC591" s="3"/>
      <c r="AD591" s="3"/>
    </row>
    <row r="592" spans="1:30" ht="12" customHeight="1">
      <c r="A592" s="828" t="s">
        <v>17286</v>
      </c>
      <c r="B592" s="3" t="s">
        <v>2051</v>
      </c>
      <c r="C592" s="1" t="s">
        <v>2056</v>
      </c>
      <c r="D592" s="5">
        <f t="shared" si="9"/>
        <v>43</v>
      </c>
      <c r="E592" s="2" t="s">
        <v>5</v>
      </c>
      <c r="F592" s="2" t="s">
        <v>15273</v>
      </c>
      <c r="G592" s="3" t="s">
        <v>2057</v>
      </c>
      <c r="H592" s="1"/>
      <c r="I592" s="1"/>
      <c r="J592" s="4" t="s">
        <v>16120</v>
      </c>
      <c r="K592" s="1" t="s">
        <v>445</v>
      </c>
      <c r="L592" s="1" t="s">
        <v>25</v>
      </c>
      <c r="M592" s="825">
        <v>3</v>
      </c>
      <c r="N592" s="17">
        <v>3</v>
      </c>
      <c r="O592" s="3" t="s">
        <v>2058</v>
      </c>
      <c r="P592" s="20">
        <v>25483</v>
      </c>
      <c r="Q592" s="3" t="s">
        <v>2059</v>
      </c>
      <c r="R592" s="3"/>
      <c r="S592" s="3" t="s">
        <v>6051</v>
      </c>
      <c r="T592" s="3" t="s">
        <v>47</v>
      </c>
      <c r="U592" s="2" t="s">
        <v>47</v>
      </c>
      <c r="V592" s="2"/>
      <c r="W592" s="3"/>
      <c r="X592" s="3"/>
      <c r="Y592" s="3"/>
      <c r="Z592" s="3"/>
      <c r="AA592" s="3"/>
      <c r="AB592" s="3"/>
      <c r="AC592" s="3"/>
      <c r="AD592" s="3"/>
    </row>
    <row r="593" spans="1:30" ht="12" customHeight="1">
      <c r="A593" s="828" t="s">
        <v>17287</v>
      </c>
      <c r="B593" s="3" t="s">
        <v>2052</v>
      </c>
      <c r="C593" s="1" t="s">
        <v>6186</v>
      </c>
      <c r="D593" s="5">
        <f t="shared" si="9"/>
        <v>56</v>
      </c>
      <c r="E593" s="2" t="s">
        <v>5</v>
      </c>
      <c r="F593" s="2" t="s">
        <v>15273</v>
      </c>
      <c r="G593" s="3"/>
      <c r="H593" s="1"/>
      <c r="I593" s="1"/>
      <c r="J593" s="4" t="s">
        <v>16125</v>
      </c>
      <c r="K593" s="1"/>
      <c r="L593" s="1" t="s">
        <v>6</v>
      </c>
      <c r="M593" s="825"/>
      <c r="N593" s="17"/>
      <c r="O593" s="3" t="s">
        <v>188</v>
      </c>
      <c r="P593" s="20">
        <v>20592</v>
      </c>
      <c r="Q593" s="3" t="s">
        <v>6187</v>
      </c>
      <c r="R593" s="3"/>
      <c r="S593" s="3" t="s">
        <v>5561</v>
      </c>
      <c r="T593" s="3"/>
      <c r="U593" s="2"/>
      <c r="V593" s="2"/>
      <c r="W593" s="3"/>
      <c r="X593" s="3"/>
      <c r="Y593" s="3"/>
      <c r="Z593" s="3"/>
      <c r="AA593" s="3"/>
      <c r="AB593" s="3"/>
      <c r="AC593" s="3"/>
      <c r="AD593" s="3"/>
    </row>
    <row r="594" spans="1:30" ht="12" customHeight="1">
      <c r="A594" s="828" t="s">
        <v>17288</v>
      </c>
      <c r="B594" s="3" t="s">
        <v>5777</v>
      </c>
      <c r="C594" s="1" t="s">
        <v>5778</v>
      </c>
      <c r="D594" s="5">
        <f t="shared" si="9"/>
        <v>34</v>
      </c>
      <c r="E594" s="2" t="s">
        <v>5</v>
      </c>
      <c r="F594" s="2" t="s">
        <v>15273</v>
      </c>
      <c r="G594" s="3"/>
      <c r="H594" s="1"/>
      <c r="I594" s="1"/>
      <c r="J594" s="4" t="s">
        <v>16116</v>
      </c>
      <c r="K594" s="1" t="s">
        <v>4997</v>
      </c>
      <c r="L594" s="1" t="s">
        <v>6</v>
      </c>
      <c r="M594" s="825"/>
      <c r="N594" s="17"/>
      <c r="O594" s="3" t="s">
        <v>5048</v>
      </c>
      <c r="P594" s="20">
        <v>28485</v>
      </c>
      <c r="Q594" s="3" t="s">
        <v>16304</v>
      </c>
      <c r="R594" s="3"/>
      <c r="S594" s="3"/>
      <c r="T594" s="3"/>
      <c r="U594" s="2"/>
      <c r="V594" s="2"/>
      <c r="W594" s="3"/>
      <c r="X594" s="3"/>
      <c r="Y594" s="3"/>
      <c r="Z594" s="3"/>
      <c r="AA594" s="3"/>
      <c r="AB594" s="3"/>
      <c r="AC594" s="3"/>
      <c r="AD594" s="3"/>
    </row>
    <row r="595" spans="1:30" ht="12" customHeight="1">
      <c r="A595" s="828" t="s">
        <v>17289</v>
      </c>
      <c r="B595" s="3" t="s">
        <v>6184</v>
      </c>
      <c r="C595" s="1" t="s">
        <v>2060</v>
      </c>
      <c r="D595" s="5">
        <f t="shared" si="9"/>
        <v>38</v>
      </c>
      <c r="E595" s="2" t="s">
        <v>5</v>
      </c>
      <c r="F595" s="2"/>
      <c r="G595" s="3"/>
      <c r="H595" s="1"/>
      <c r="I595" s="1"/>
      <c r="J595" s="4" t="s">
        <v>16117</v>
      </c>
      <c r="K595" s="1"/>
      <c r="L595" s="1" t="s">
        <v>6</v>
      </c>
      <c r="M595" s="825"/>
      <c r="N595" s="17"/>
      <c r="O595" s="3" t="s">
        <v>1879</v>
      </c>
      <c r="P595" s="21">
        <v>27020</v>
      </c>
      <c r="Q595" s="3" t="s">
        <v>531</v>
      </c>
      <c r="R595" s="3"/>
      <c r="S595" s="3"/>
      <c r="T595" s="3"/>
      <c r="U595" s="2"/>
      <c r="V595" s="2"/>
      <c r="W595" s="3"/>
      <c r="X595" s="3"/>
      <c r="Y595" s="3"/>
      <c r="Z595" s="3"/>
      <c r="AA595" s="3"/>
      <c r="AB595" s="3"/>
      <c r="AC595" s="3"/>
      <c r="AD595" s="3"/>
    </row>
    <row r="596" spans="1:30" ht="12" customHeight="1">
      <c r="A596" s="828" t="s">
        <v>17290</v>
      </c>
      <c r="B596" s="3" t="s">
        <v>2186</v>
      </c>
      <c r="C596" s="1" t="s">
        <v>2189</v>
      </c>
      <c r="D596" s="5">
        <f t="shared" si="9"/>
        <v>45</v>
      </c>
      <c r="E596" s="2" t="s">
        <v>19</v>
      </c>
      <c r="F596" s="6" t="s">
        <v>15273</v>
      </c>
      <c r="G596" s="3" t="s">
        <v>2190</v>
      </c>
      <c r="H596" s="1"/>
      <c r="I596" s="1"/>
      <c r="J596" s="8" t="s">
        <v>16127</v>
      </c>
      <c r="K596" s="1" t="s">
        <v>44</v>
      </c>
      <c r="L596" s="1" t="s">
        <v>25</v>
      </c>
      <c r="M596" s="825">
        <v>3</v>
      </c>
      <c r="N596" s="17">
        <v>3</v>
      </c>
      <c r="O596" s="3" t="s">
        <v>2191</v>
      </c>
      <c r="P596" s="20">
        <v>24485</v>
      </c>
      <c r="Q596" s="3" t="s">
        <v>2192</v>
      </c>
      <c r="R596" s="3" t="s">
        <v>2193</v>
      </c>
      <c r="S596" s="3" t="s">
        <v>736</v>
      </c>
      <c r="T596" s="3" t="s">
        <v>145</v>
      </c>
      <c r="U596" s="2"/>
      <c r="V596" s="2" t="s">
        <v>145</v>
      </c>
      <c r="W596" s="2"/>
      <c r="X596" s="2"/>
      <c r="Y596" s="2"/>
      <c r="Z596" s="2"/>
      <c r="AA596" s="2"/>
      <c r="AB596" s="2"/>
      <c r="AC596" s="2"/>
      <c r="AD596" s="2"/>
    </row>
    <row r="597" spans="1:30" ht="12" customHeight="1">
      <c r="A597" s="828" t="s">
        <v>17291</v>
      </c>
      <c r="B597" s="3" t="s">
        <v>2187</v>
      </c>
      <c r="C597" s="1" t="s">
        <v>2195</v>
      </c>
      <c r="D597" s="5">
        <f t="shared" si="9"/>
        <v>28</v>
      </c>
      <c r="E597" s="2" t="s">
        <v>5</v>
      </c>
      <c r="F597" s="2" t="s">
        <v>15273</v>
      </c>
      <c r="G597" s="3"/>
      <c r="H597" s="1"/>
      <c r="I597" s="1"/>
      <c r="J597" s="4" t="s">
        <v>16120</v>
      </c>
      <c r="K597" s="1" t="s">
        <v>30</v>
      </c>
      <c r="L597" s="1" t="s">
        <v>6</v>
      </c>
      <c r="M597" s="825"/>
      <c r="N597" s="17"/>
      <c r="O597" s="3" t="s">
        <v>31</v>
      </c>
      <c r="P597" s="20">
        <v>30706</v>
      </c>
      <c r="Q597" s="3" t="s">
        <v>2196</v>
      </c>
      <c r="R597" s="3"/>
      <c r="S597" s="3" t="s">
        <v>5457</v>
      </c>
      <c r="T597" s="3" t="s">
        <v>47</v>
      </c>
      <c r="U597" s="2" t="s">
        <v>47</v>
      </c>
      <c r="V597" s="2"/>
      <c r="W597" s="2"/>
      <c r="X597" s="2"/>
      <c r="Y597" s="2"/>
      <c r="Z597" s="2"/>
      <c r="AA597" s="2"/>
      <c r="AB597" s="2"/>
      <c r="AC597" s="2"/>
      <c r="AD597" s="2"/>
    </row>
    <row r="598" spans="1:30" ht="12" customHeight="1">
      <c r="A598" s="828" t="s">
        <v>17292</v>
      </c>
      <c r="B598" s="3" t="s">
        <v>2188</v>
      </c>
      <c r="C598" s="1" t="s">
        <v>2538</v>
      </c>
      <c r="D598" s="5">
        <f t="shared" si="9"/>
        <v>31</v>
      </c>
      <c r="E598" s="2" t="s">
        <v>5</v>
      </c>
      <c r="F598" s="2" t="s">
        <v>15273</v>
      </c>
      <c r="G598" s="3"/>
      <c r="H598" s="1"/>
      <c r="I598" s="1"/>
      <c r="J598" s="4" t="s">
        <v>16125</v>
      </c>
      <c r="K598" s="1"/>
      <c r="L598" s="1" t="s">
        <v>6</v>
      </c>
      <c r="M598" s="825"/>
      <c r="N598" s="17"/>
      <c r="O598" s="3" t="s">
        <v>2253</v>
      </c>
      <c r="P598" s="20">
        <v>29748</v>
      </c>
      <c r="Q598" s="3" t="s">
        <v>5641</v>
      </c>
      <c r="R598" s="3"/>
      <c r="S598" s="3" t="s">
        <v>5561</v>
      </c>
      <c r="T598" s="3"/>
      <c r="U598" s="2"/>
      <c r="V598" s="2"/>
      <c r="W598" s="2"/>
      <c r="X598" s="2"/>
      <c r="Y598" s="2"/>
      <c r="Z598" s="2"/>
      <c r="AA598" s="2"/>
      <c r="AB598" s="2"/>
      <c r="AC598" s="2"/>
      <c r="AD598" s="2"/>
    </row>
    <row r="599" spans="1:30" ht="12" customHeight="1">
      <c r="A599" s="828" t="s">
        <v>17293</v>
      </c>
      <c r="B599" s="3" t="s">
        <v>2537</v>
      </c>
      <c r="C599" s="1" t="s">
        <v>2198</v>
      </c>
      <c r="D599" s="5">
        <f t="shared" si="9"/>
        <v>48</v>
      </c>
      <c r="E599" s="2" t="s">
        <v>5</v>
      </c>
      <c r="F599" s="2"/>
      <c r="G599" s="3"/>
      <c r="H599" s="1"/>
      <c r="I599" s="1"/>
      <c r="J599" s="4" t="s">
        <v>16117</v>
      </c>
      <c r="K599" s="1"/>
      <c r="L599" s="1" t="s">
        <v>6</v>
      </c>
      <c r="M599" s="825"/>
      <c r="N599" s="17"/>
      <c r="O599" s="3" t="s">
        <v>2191</v>
      </c>
      <c r="P599" s="20">
        <v>23378</v>
      </c>
      <c r="Q599" s="3" t="s">
        <v>2199</v>
      </c>
      <c r="R599" s="3"/>
      <c r="S599" s="3"/>
      <c r="T599" s="3"/>
      <c r="U599" s="2"/>
      <c r="V599" s="2"/>
      <c r="W599" s="2"/>
      <c r="X599" s="2"/>
      <c r="Y599" s="2"/>
      <c r="Z599" s="2"/>
      <c r="AA599" s="2"/>
      <c r="AB599" s="2"/>
      <c r="AC599" s="2"/>
      <c r="AD599" s="2"/>
    </row>
    <row r="600" spans="1:30" ht="12" customHeight="1">
      <c r="A600" s="828" t="s">
        <v>17294</v>
      </c>
      <c r="B600" s="3" t="s">
        <v>2200</v>
      </c>
      <c r="C600" s="1" t="s">
        <v>2204</v>
      </c>
      <c r="D600" s="5">
        <f t="shared" si="9"/>
        <v>35</v>
      </c>
      <c r="E600" s="2" t="s">
        <v>5</v>
      </c>
      <c r="F600" s="6" t="s">
        <v>15273</v>
      </c>
      <c r="G600" s="3" t="s">
        <v>2205</v>
      </c>
      <c r="H600" s="1"/>
      <c r="I600" s="1"/>
      <c r="J600" s="8" t="s">
        <v>16127</v>
      </c>
      <c r="K600" s="1" t="s">
        <v>44</v>
      </c>
      <c r="L600" s="1" t="s">
        <v>25</v>
      </c>
      <c r="M600" s="825">
        <v>2</v>
      </c>
      <c r="N600" s="17">
        <v>2</v>
      </c>
      <c r="O600" s="3" t="s">
        <v>317</v>
      </c>
      <c r="P600" s="20">
        <v>28128</v>
      </c>
      <c r="Q600" s="3" t="s">
        <v>2207</v>
      </c>
      <c r="R600" s="3" t="s">
        <v>2208</v>
      </c>
      <c r="S600" s="3" t="s">
        <v>736</v>
      </c>
      <c r="T600" s="3"/>
      <c r="U600" s="2"/>
      <c r="V600" s="2"/>
      <c r="W600" s="2"/>
      <c r="X600" s="2"/>
      <c r="Y600" s="2"/>
      <c r="Z600" s="2"/>
      <c r="AA600" s="2"/>
      <c r="AB600" s="2"/>
      <c r="AC600" s="2"/>
      <c r="AD600" s="2"/>
    </row>
    <row r="601" spans="1:30" ht="12" customHeight="1">
      <c r="A601" s="828" t="s">
        <v>17295</v>
      </c>
      <c r="B601" s="3" t="s">
        <v>2201</v>
      </c>
      <c r="C601" s="1" t="s">
        <v>2209</v>
      </c>
      <c r="D601" s="5">
        <f t="shared" si="9"/>
        <v>48</v>
      </c>
      <c r="E601" s="2" t="s">
        <v>5</v>
      </c>
      <c r="F601" s="2" t="s">
        <v>15273</v>
      </c>
      <c r="G601" s="3"/>
      <c r="H601" s="1"/>
      <c r="I601" s="1"/>
      <c r="J601" s="8" t="s">
        <v>16120</v>
      </c>
      <c r="K601" s="1" t="s">
        <v>30</v>
      </c>
      <c r="L601" s="1" t="s">
        <v>6</v>
      </c>
      <c r="M601" s="825"/>
      <c r="N601" s="17"/>
      <c r="O601" s="3" t="s">
        <v>255</v>
      </c>
      <c r="P601" s="20">
        <v>23569</v>
      </c>
      <c r="Q601" s="3" t="s">
        <v>2210</v>
      </c>
      <c r="R601" s="3"/>
      <c r="S601" s="3"/>
      <c r="T601" s="3" t="s">
        <v>47</v>
      </c>
      <c r="U601" s="2" t="s">
        <v>47</v>
      </c>
      <c r="V601" s="2"/>
      <c r="W601" s="2"/>
      <c r="X601" s="2"/>
      <c r="Y601" s="2"/>
      <c r="Z601" s="2"/>
      <c r="AA601" s="2"/>
      <c r="AB601" s="2"/>
      <c r="AC601" s="2"/>
      <c r="AD601" s="2"/>
    </row>
    <row r="602" spans="1:30" ht="12" customHeight="1">
      <c r="A602" s="828" t="s">
        <v>17296</v>
      </c>
      <c r="B602" s="3" t="s">
        <v>2202</v>
      </c>
      <c r="C602" s="1" t="s">
        <v>2211</v>
      </c>
      <c r="D602" s="5">
        <f t="shared" si="9"/>
        <v>54</v>
      </c>
      <c r="E602" s="2" t="s">
        <v>5</v>
      </c>
      <c r="F602" s="2"/>
      <c r="G602" s="3"/>
      <c r="H602" s="1"/>
      <c r="I602" s="1"/>
      <c r="J602" s="4" t="s">
        <v>16117</v>
      </c>
      <c r="K602" s="1"/>
      <c r="L602" s="1" t="s">
        <v>6</v>
      </c>
      <c r="M602" s="825"/>
      <c r="N602" s="17"/>
      <c r="O602" s="3" t="s">
        <v>2212</v>
      </c>
      <c r="P602" s="21">
        <v>21193</v>
      </c>
      <c r="Q602" s="3" t="s">
        <v>2213</v>
      </c>
      <c r="R602" s="3"/>
      <c r="S602" s="3"/>
      <c r="T602" s="3"/>
      <c r="U602" s="2"/>
      <c r="V602" s="2"/>
      <c r="W602" s="2"/>
      <c r="X602" s="2"/>
      <c r="Y602" s="2"/>
      <c r="Z602" s="2"/>
      <c r="AA602" s="2"/>
      <c r="AB602" s="2"/>
      <c r="AC602" s="2"/>
      <c r="AD602" s="2"/>
    </row>
    <row r="603" spans="1:30" ht="12" customHeight="1">
      <c r="A603" s="828" t="s">
        <v>17297</v>
      </c>
      <c r="B603" s="3" t="s">
        <v>2203</v>
      </c>
      <c r="C603" s="1" t="s">
        <v>2217</v>
      </c>
      <c r="D603" s="5">
        <f t="shared" si="9"/>
        <v>62</v>
      </c>
      <c r="E603" s="2" t="s">
        <v>5</v>
      </c>
      <c r="F603" s="2" t="s">
        <v>15273</v>
      </c>
      <c r="G603" s="3"/>
      <c r="H603" s="1"/>
      <c r="I603" s="1"/>
      <c r="J603" s="4" t="s">
        <v>16121</v>
      </c>
      <c r="K603" s="1"/>
      <c r="L603" s="1" t="s">
        <v>6</v>
      </c>
      <c r="M603" s="825"/>
      <c r="N603" s="17"/>
      <c r="O603" s="3" t="s">
        <v>2214</v>
      </c>
      <c r="P603" s="21">
        <v>18378</v>
      </c>
      <c r="Q603" s="3" t="s">
        <v>2215</v>
      </c>
      <c r="R603" s="3"/>
      <c r="S603" s="3"/>
      <c r="T603" s="3" t="s">
        <v>69</v>
      </c>
      <c r="U603" s="2"/>
      <c r="V603" s="2"/>
      <c r="W603" s="2"/>
      <c r="X603" s="2"/>
      <c r="Y603" s="2"/>
      <c r="Z603" s="2"/>
      <c r="AA603" s="2"/>
      <c r="AB603" s="2"/>
      <c r="AC603" s="2"/>
      <c r="AD603" s="2" t="s">
        <v>69</v>
      </c>
    </row>
    <row r="604" spans="1:30" ht="12" customHeight="1">
      <c r="A604" s="828" t="s">
        <v>17298</v>
      </c>
      <c r="B604" s="3" t="s">
        <v>2218</v>
      </c>
      <c r="C604" s="1" t="s">
        <v>2221</v>
      </c>
      <c r="D604" s="5">
        <f t="shared" si="9"/>
        <v>46</v>
      </c>
      <c r="E604" s="2" t="s">
        <v>5</v>
      </c>
      <c r="F604" s="6" t="s">
        <v>15273</v>
      </c>
      <c r="G604" s="3" t="s">
        <v>2222</v>
      </c>
      <c r="H604" s="1"/>
      <c r="I604" s="1"/>
      <c r="J604" s="8" t="s">
        <v>16126</v>
      </c>
      <c r="K604" s="1" t="s">
        <v>44</v>
      </c>
      <c r="L604" s="1" t="s">
        <v>25</v>
      </c>
      <c r="M604" s="825">
        <v>1</v>
      </c>
      <c r="N604" s="17">
        <v>3</v>
      </c>
      <c r="O604" s="3" t="s">
        <v>2223</v>
      </c>
      <c r="P604" s="20">
        <v>24393</v>
      </c>
      <c r="Q604" s="3" t="s">
        <v>2224</v>
      </c>
      <c r="R604" s="3" t="s">
        <v>2225</v>
      </c>
      <c r="S604" s="3" t="s">
        <v>736</v>
      </c>
      <c r="T604" s="3" t="s">
        <v>1291</v>
      </c>
      <c r="U604" s="2"/>
      <c r="V604" s="2"/>
      <c r="W604" s="2"/>
      <c r="X604" s="2" t="s">
        <v>229</v>
      </c>
      <c r="Y604" s="2"/>
      <c r="Z604" s="2"/>
      <c r="AA604" s="2" t="s">
        <v>104</v>
      </c>
      <c r="AB604" s="2"/>
      <c r="AC604" s="2"/>
      <c r="AD604" s="2"/>
    </row>
    <row r="605" spans="1:30" ht="12" customHeight="1">
      <c r="A605" s="828" t="s">
        <v>17299</v>
      </c>
      <c r="B605" s="3" t="s">
        <v>2219</v>
      </c>
      <c r="C605" s="1" t="s">
        <v>2229</v>
      </c>
      <c r="D605" s="5">
        <f t="shared" si="9"/>
        <v>36</v>
      </c>
      <c r="E605" s="2" t="s">
        <v>5</v>
      </c>
      <c r="F605" s="2" t="s">
        <v>15273</v>
      </c>
      <c r="G605" s="3"/>
      <c r="H605" s="1"/>
      <c r="I605" s="1"/>
      <c r="J605" s="4" t="s">
        <v>16120</v>
      </c>
      <c r="K605" s="1" t="s">
        <v>445</v>
      </c>
      <c r="L605" s="1" t="s">
        <v>6</v>
      </c>
      <c r="M605" s="825"/>
      <c r="N605" s="17"/>
      <c r="O605" s="3" t="s">
        <v>2085</v>
      </c>
      <c r="P605" s="20">
        <v>28102</v>
      </c>
      <c r="Q605" s="3" t="s">
        <v>2231</v>
      </c>
      <c r="R605" s="3"/>
      <c r="S605" s="3" t="s">
        <v>5457</v>
      </c>
      <c r="T605" s="3" t="s">
        <v>47</v>
      </c>
      <c r="U605" s="2" t="s">
        <v>47</v>
      </c>
      <c r="V605" s="2"/>
      <c r="W605" s="2"/>
      <c r="X605" s="2"/>
      <c r="Y605" s="2"/>
      <c r="Z605" s="2"/>
      <c r="AA605" s="2"/>
      <c r="AB605" s="2"/>
      <c r="AC605" s="2"/>
      <c r="AD605" s="2"/>
    </row>
    <row r="606" spans="1:30" ht="12" customHeight="1">
      <c r="A606" s="828" t="s">
        <v>17300</v>
      </c>
      <c r="B606" s="3" t="s">
        <v>2220</v>
      </c>
      <c r="C606" s="1" t="s">
        <v>2232</v>
      </c>
      <c r="D606" s="5">
        <f t="shared" si="9"/>
        <v>50</v>
      </c>
      <c r="E606" s="2" t="s">
        <v>5</v>
      </c>
      <c r="F606" s="2"/>
      <c r="G606" s="3"/>
      <c r="H606" s="1"/>
      <c r="I606" s="1"/>
      <c r="J606" s="4" t="s">
        <v>16117</v>
      </c>
      <c r="K606" s="1"/>
      <c r="L606" s="1" t="s">
        <v>6</v>
      </c>
      <c r="M606" s="825"/>
      <c r="N606" s="17"/>
      <c r="O606" s="3" t="s">
        <v>2233</v>
      </c>
      <c r="P606" s="20">
        <v>22709</v>
      </c>
      <c r="Q606" s="3" t="s">
        <v>53</v>
      </c>
      <c r="R606" s="3"/>
      <c r="S606" s="3"/>
      <c r="T606" s="3"/>
      <c r="U606" s="2"/>
      <c r="V606" s="2"/>
      <c r="W606" s="2"/>
      <c r="X606" s="2"/>
      <c r="Y606" s="2"/>
      <c r="Z606" s="2"/>
      <c r="AA606" s="2"/>
      <c r="AB606" s="2"/>
      <c r="AC606" s="2"/>
      <c r="AD606" s="2"/>
    </row>
    <row r="607" spans="1:30" ht="12" customHeight="1">
      <c r="A607" s="828" t="s">
        <v>17301</v>
      </c>
      <c r="B607" s="3" t="s">
        <v>5652</v>
      </c>
      <c r="C607" s="1" t="s">
        <v>5653</v>
      </c>
      <c r="D607" s="5">
        <f t="shared" si="9"/>
        <v>66</v>
      </c>
      <c r="E607" s="2" t="s">
        <v>5</v>
      </c>
      <c r="F607" s="2"/>
      <c r="G607" s="3"/>
      <c r="H607" s="1"/>
      <c r="I607" s="1"/>
      <c r="J607" s="8" t="s">
        <v>16129</v>
      </c>
      <c r="K607" s="1"/>
      <c r="L607" s="1" t="s">
        <v>6</v>
      </c>
      <c r="M607" s="825"/>
      <c r="N607" s="17"/>
      <c r="O607" s="3" t="s">
        <v>557</v>
      </c>
      <c r="P607" s="20">
        <v>17063</v>
      </c>
      <c r="Q607" s="3" t="s">
        <v>16011</v>
      </c>
      <c r="R607" s="3"/>
      <c r="S607" s="3"/>
      <c r="T607" s="3"/>
      <c r="U607" s="2"/>
      <c r="V607" s="2"/>
      <c r="W607" s="2"/>
      <c r="X607" s="2"/>
      <c r="Y607" s="2"/>
      <c r="Z607" s="2"/>
      <c r="AA607" s="2"/>
      <c r="AB607" s="2"/>
      <c r="AC607" s="2"/>
      <c r="AD607" s="2"/>
    </row>
    <row r="608" spans="1:30" ht="12" customHeight="1">
      <c r="A608" s="828" t="s">
        <v>17302</v>
      </c>
      <c r="B608" s="3" t="s">
        <v>2235</v>
      </c>
      <c r="C608" s="1" t="s">
        <v>2239</v>
      </c>
      <c r="D608" s="5">
        <f t="shared" si="9"/>
        <v>43</v>
      </c>
      <c r="E608" s="2" t="s">
        <v>19</v>
      </c>
      <c r="F608" s="6" t="s">
        <v>15273</v>
      </c>
      <c r="G608" s="3" t="s">
        <v>2240</v>
      </c>
      <c r="H608" s="1"/>
      <c r="I608" s="1"/>
      <c r="J608" s="8" t="s">
        <v>16127</v>
      </c>
      <c r="K608" s="1" t="s">
        <v>737</v>
      </c>
      <c r="L608" s="1" t="s">
        <v>25</v>
      </c>
      <c r="M608" s="825">
        <v>3</v>
      </c>
      <c r="N608" s="17">
        <v>3</v>
      </c>
      <c r="O608" s="3" t="s">
        <v>2242</v>
      </c>
      <c r="P608" s="20">
        <v>25500</v>
      </c>
      <c r="Q608" s="3" t="s">
        <v>2243</v>
      </c>
      <c r="R608" s="3" t="s">
        <v>304</v>
      </c>
      <c r="S608" s="3" t="s">
        <v>736</v>
      </c>
      <c r="T608" s="3" t="s">
        <v>145</v>
      </c>
      <c r="U608" s="2"/>
      <c r="V608" s="2" t="s">
        <v>145</v>
      </c>
      <c r="W608" s="2"/>
      <c r="X608" s="2"/>
      <c r="Y608" s="2"/>
      <c r="Z608" s="2"/>
      <c r="AA608" s="2"/>
      <c r="AB608" s="2"/>
      <c r="AC608" s="2"/>
      <c r="AD608" s="2"/>
    </row>
    <row r="609" spans="1:30" ht="12" customHeight="1">
      <c r="A609" s="828" t="s">
        <v>17303</v>
      </c>
      <c r="B609" s="3" t="s">
        <v>2236</v>
      </c>
      <c r="C609" s="1" t="s">
        <v>2245</v>
      </c>
      <c r="D609" s="5">
        <f t="shared" si="9"/>
        <v>34</v>
      </c>
      <c r="E609" s="2" t="s">
        <v>19</v>
      </c>
      <c r="F609" s="2" t="s">
        <v>15273</v>
      </c>
      <c r="G609" s="3"/>
      <c r="H609" s="1"/>
      <c r="I609" s="1"/>
      <c r="J609" s="4" t="s">
        <v>16120</v>
      </c>
      <c r="K609" s="1" t="s">
        <v>30</v>
      </c>
      <c r="L609" s="1" t="s">
        <v>6</v>
      </c>
      <c r="M609" s="825"/>
      <c r="N609" s="17"/>
      <c r="O609" s="3" t="s">
        <v>188</v>
      </c>
      <c r="P609" s="20">
        <v>28548</v>
      </c>
      <c r="Q609" s="3" t="s">
        <v>2248</v>
      </c>
      <c r="R609" s="3"/>
      <c r="S609" s="3"/>
      <c r="T609" s="3" t="s">
        <v>173</v>
      </c>
      <c r="U609" s="2"/>
      <c r="V609" s="2" t="s">
        <v>145</v>
      </c>
      <c r="W609" s="2"/>
      <c r="X609" s="2"/>
      <c r="Y609" s="2" t="s">
        <v>155</v>
      </c>
      <c r="Z609" s="2"/>
      <c r="AA609" s="2"/>
      <c r="AB609" s="2"/>
      <c r="AC609" s="2"/>
      <c r="AD609" s="2"/>
    </row>
    <row r="610" spans="1:30" ht="12" customHeight="1">
      <c r="A610" s="828" t="s">
        <v>17304</v>
      </c>
      <c r="B610" s="3" t="s">
        <v>2237</v>
      </c>
      <c r="C610" s="1" t="s">
        <v>2252</v>
      </c>
      <c r="D610" s="5">
        <f t="shared" si="9"/>
        <v>64</v>
      </c>
      <c r="E610" s="2" t="s">
        <v>5</v>
      </c>
      <c r="F610" s="2" t="s">
        <v>15273</v>
      </c>
      <c r="G610" s="3"/>
      <c r="H610" s="1"/>
      <c r="I610" s="1"/>
      <c r="J610" s="4" t="s">
        <v>16116</v>
      </c>
      <c r="K610" s="1" t="s">
        <v>276</v>
      </c>
      <c r="L610" s="1" t="s">
        <v>14</v>
      </c>
      <c r="M610" s="825">
        <v>3</v>
      </c>
      <c r="N610" s="17">
        <v>3</v>
      </c>
      <c r="O610" s="3" t="s">
        <v>2253</v>
      </c>
      <c r="P610" s="20">
        <v>17615</v>
      </c>
      <c r="Q610" s="3" t="s">
        <v>2254</v>
      </c>
      <c r="R610" s="3" t="s">
        <v>2255</v>
      </c>
      <c r="S610" s="3"/>
      <c r="T610" s="3"/>
      <c r="U610" s="2"/>
      <c r="V610" s="2"/>
      <c r="W610" s="2"/>
      <c r="X610" s="2"/>
      <c r="Y610" s="2"/>
      <c r="Z610" s="2"/>
      <c r="AA610" s="2"/>
      <c r="AB610" s="2"/>
      <c r="AC610" s="2"/>
      <c r="AD610" s="2"/>
    </row>
    <row r="611" spans="1:30" ht="12" customHeight="1">
      <c r="A611" s="828" t="s">
        <v>17305</v>
      </c>
      <c r="B611" s="3" t="s">
        <v>2238</v>
      </c>
      <c r="C611" s="1" t="s">
        <v>2249</v>
      </c>
      <c r="D611" s="5">
        <f t="shared" si="9"/>
        <v>32</v>
      </c>
      <c r="E611" s="2" t="s">
        <v>5</v>
      </c>
      <c r="F611" s="2"/>
      <c r="G611" s="3"/>
      <c r="H611" s="1"/>
      <c r="I611" s="1"/>
      <c r="J611" s="4" t="s">
        <v>16117</v>
      </c>
      <c r="K611" s="1"/>
      <c r="L611" s="1" t="s">
        <v>6</v>
      </c>
      <c r="M611" s="825"/>
      <c r="N611" s="17"/>
      <c r="O611" s="3" t="s">
        <v>2250</v>
      </c>
      <c r="P611" s="21">
        <v>29376</v>
      </c>
      <c r="Q611" s="3" t="s">
        <v>2251</v>
      </c>
      <c r="R611" s="3"/>
      <c r="S611" s="3"/>
      <c r="T611" s="3"/>
      <c r="U611" s="2"/>
      <c r="V611" s="2"/>
      <c r="W611" s="2"/>
      <c r="X611" s="2"/>
      <c r="Y611" s="2"/>
      <c r="Z611" s="2"/>
      <c r="AA611" s="2"/>
      <c r="AB611" s="2"/>
      <c r="AC611" s="2"/>
      <c r="AD611" s="2"/>
    </row>
    <row r="612" spans="1:30" ht="12" customHeight="1">
      <c r="A612" s="828" t="s">
        <v>17306</v>
      </c>
      <c r="B612" s="3" t="s">
        <v>2256</v>
      </c>
      <c r="C612" s="1" t="s">
        <v>2259</v>
      </c>
      <c r="D612" s="5">
        <f t="shared" si="9"/>
        <v>68</v>
      </c>
      <c r="E612" s="2" t="s">
        <v>19</v>
      </c>
      <c r="F612" s="6" t="s">
        <v>15273</v>
      </c>
      <c r="G612" s="3" t="s">
        <v>2260</v>
      </c>
      <c r="H612" s="1"/>
      <c r="I612" s="1"/>
      <c r="J612" s="8" t="s">
        <v>16127</v>
      </c>
      <c r="K612" s="1" t="s">
        <v>44</v>
      </c>
      <c r="L612" s="1" t="s">
        <v>25</v>
      </c>
      <c r="M612" s="825">
        <v>6</v>
      </c>
      <c r="N612" s="17">
        <v>6</v>
      </c>
      <c r="O612" s="3" t="s">
        <v>188</v>
      </c>
      <c r="P612" s="20">
        <v>16085</v>
      </c>
      <c r="Q612" s="3" t="s">
        <v>2261</v>
      </c>
      <c r="R612" s="3" t="s">
        <v>2262</v>
      </c>
      <c r="S612" s="3" t="s">
        <v>736</v>
      </c>
      <c r="T612" s="3" t="s">
        <v>104</v>
      </c>
      <c r="U612" s="2"/>
      <c r="V612" s="2"/>
      <c r="W612" s="2"/>
      <c r="X612" s="2"/>
      <c r="Y612" s="2"/>
      <c r="Z612" s="2"/>
      <c r="AA612" s="2" t="s">
        <v>104</v>
      </c>
      <c r="AB612" s="2"/>
      <c r="AC612" s="2"/>
      <c r="AD612" s="2"/>
    </row>
    <row r="613" spans="1:30" ht="12" customHeight="1">
      <c r="A613" s="828" t="s">
        <v>17307</v>
      </c>
      <c r="B613" s="3" t="s">
        <v>2257</v>
      </c>
      <c r="C613" s="1" t="s">
        <v>2264</v>
      </c>
      <c r="D613" s="5">
        <f t="shared" si="9"/>
        <v>61</v>
      </c>
      <c r="E613" s="2" t="s">
        <v>5</v>
      </c>
      <c r="F613" s="2" t="s">
        <v>15273</v>
      </c>
      <c r="G613" s="3" t="s">
        <v>2265</v>
      </c>
      <c r="H613" s="1"/>
      <c r="I613" s="1"/>
      <c r="J613" s="8" t="s">
        <v>16120</v>
      </c>
      <c r="K613" s="1" t="s">
        <v>65</v>
      </c>
      <c r="L613" s="1" t="s">
        <v>25</v>
      </c>
      <c r="M613" s="825">
        <v>2</v>
      </c>
      <c r="N613" s="17">
        <v>2</v>
      </c>
      <c r="O613" s="3" t="s">
        <v>455</v>
      </c>
      <c r="P613" s="20">
        <v>18637</v>
      </c>
      <c r="Q613" s="3" t="s">
        <v>2266</v>
      </c>
      <c r="R613" s="3"/>
      <c r="S613" s="3" t="s">
        <v>5457</v>
      </c>
      <c r="T613" s="3" t="s">
        <v>371</v>
      </c>
      <c r="U613" s="2"/>
      <c r="V613" s="2" t="s">
        <v>145</v>
      </c>
      <c r="W613" s="2" t="s">
        <v>75</v>
      </c>
      <c r="X613" s="2"/>
      <c r="Y613" s="2"/>
      <c r="Z613" s="2"/>
      <c r="AA613" s="2"/>
      <c r="AB613" s="2"/>
      <c r="AC613" s="2"/>
      <c r="AD613" s="2"/>
    </row>
    <row r="614" spans="1:30" ht="12" customHeight="1">
      <c r="A614" s="828" t="s">
        <v>17308</v>
      </c>
      <c r="B614" s="3" t="s">
        <v>2258</v>
      </c>
      <c r="C614" s="1" t="s">
        <v>5404</v>
      </c>
      <c r="D614" s="5">
        <f t="shared" si="9"/>
        <v>45</v>
      </c>
      <c r="E614" s="2" t="s">
        <v>5</v>
      </c>
      <c r="F614" s="2" t="s">
        <v>15273</v>
      </c>
      <c r="G614" s="3"/>
      <c r="H614" s="1"/>
      <c r="I614" s="1"/>
      <c r="J614" s="4" t="s">
        <v>16116</v>
      </c>
      <c r="K614" s="1" t="s">
        <v>276</v>
      </c>
      <c r="L614" s="1" t="s">
        <v>6</v>
      </c>
      <c r="M614" s="825"/>
      <c r="N614" s="17"/>
      <c r="O614" s="3" t="s">
        <v>462</v>
      </c>
      <c r="P614" s="21">
        <v>24723</v>
      </c>
      <c r="Q614" s="3" t="s">
        <v>5406</v>
      </c>
      <c r="R614" s="3"/>
      <c r="S614" s="3" t="s">
        <v>469</v>
      </c>
      <c r="T614" s="3" t="s">
        <v>147</v>
      </c>
      <c r="U614" s="2"/>
      <c r="V614" s="2"/>
      <c r="W614" s="2"/>
      <c r="X614" s="2"/>
      <c r="Y614" s="2"/>
      <c r="Z614" s="2"/>
      <c r="AA614" s="2"/>
      <c r="AB614" s="2" t="s">
        <v>147</v>
      </c>
      <c r="AC614" s="2"/>
      <c r="AD614" s="2"/>
    </row>
    <row r="615" spans="1:30" ht="12" customHeight="1">
      <c r="A615" s="828" t="s">
        <v>17309</v>
      </c>
      <c r="B615" s="3" t="s">
        <v>5402</v>
      </c>
      <c r="C615" s="1" t="s">
        <v>2269</v>
      </c>
      <c r="D615" s="5">
        <f t="shared" si="9"/>
        <v>43</v>
      </c>
      <c r="E615" s="2" t="s">
        <v>5</v>
      </c>
      <c r="F615" s="2"/>
      <c r="G615" s="3"/>
      <c r="H615" s="1"/>
      <c r="I615" s="1"/>
      <c r="J615" s="4" t="s">
        <v>16117</v>
      </c>
      <c r="K615" s="1"/>
      <c r="L615" s="1" t="s">
        <v>6</v>
      </c>
      <c r="M615" s="825"/>
      <c r="N615" s="17"/>
      <c r="O615" s="3" t="s">
        <v>311</v>
      </c>
      <c r="P615" s="21">
        <v>25469</v>
      </c>
      <c r="Q615" s="3" t="s">
        <v>2270</v>
      </c>
      <c r="R615" s="3"/>
      <c r="S615" s="3"/>
      <c r="T615" s="3" t="s">
        <v>69</v>
      </c>
      <c r="U615" s="2"/>
      <c r="V615" s="2"/>
      <c r="W615" s="2"/>
      <c r="X615" s="2"/>
      <c r="Y615" s="2"/>
      <c r="Z615" s="2"/>
      <c r="AA615" s="2"/>
      <c r="AB615" s="2"/>
      <c r="AC615" s="2"/>
      <c r="AD615" s="2" t="s">
        <v>69</v>
      </c>
    </row>
    <row r="616" spans="1:30" ht="12" customHeight="1">
      <c r="A616" s="828" t="s">
        <v>17310</v>
      </c>
      <c r="B616" s="3" t="s">
        <v>2272</v>
      </c>
      <c r="C616" s="1" t="s">
        <v>2275</v>
      </c>
      <c r="D616" s="5">
        <f t="shared" si="9"/>
        <v>68</v>
      </c>
      <c r="E616" s="2" t="s">
        <v>5</v>
      </c>
      <c r="F616" s="6" t="s">
        <v>15273</v>
      </c>
      <c r="G616" s="3" t="s">
        <v>2276</v>
      </c>
      <c r="H616" s="1"/>
      <c r="I616" s="1"/>
      <c r="J616" s="8" t="s">
        <v>16126</v>
      </c>
      <c r="K616" s="1" t="s">
        <v>45</v>
      </c>
      <c r="L616" s="1" t="s">
        <v>25</v>
      </c>
      <c r="M616" s="825">
        <v>5</v>
      </c>
      <c r="N616" s="17">
        <v>5</v>
      </c>
      <c r="O616" s="3" t="s">
        <v>188</v>
      </c>
      <c r="P616" s="20">
        <v>16386</v>
      </c>
      <c r="Q616" s="3" t="s">
        <v>727</v>
      </c>
      <c r="R616" s="3" t="s">
        <v>2279</v>
      </c>
      <c r="S616" s="3" t="s">
        <v>736</v>
      </c>
      <c r="T616" s="3" t="s">
        <v>147</v>
      </c>
      <c r="U616" s="2"/>
      <c r="V616" s="2"/>
      <c r="W616" s="2"/>
      <c r="X616" s="2"/>
      <c r="Y616" s="2"/>
      <c r="Z616" s="2"/>
      <c r="AA616" s="2"/>
      <c r="AB616" s="2" t="s">
        <v>147</v>
      </c>
      <c r="AC616" s="2"/>
      <c r="AD616" s="2"/>
    </row>
    <row r="617" spans="1:30" ht="12" customHeight="1">
      <c r="A617" s="828" t="s">
        <v>17311</v>
      </c>
      <c r="B617" s="3" t="s">
        <v>2273</v>
      </c>
      <c r="C617" s="1" t="s">
        <v>2280</v>
      </c>
      <c r="D617" s="5">
        <f t="shared" si="9"/>
        <v>52</v>
      </c>
      <c r="E617" s="2" t="s">
        <v>5</v>
      </c>
      <c r="F617" s="2" t="s">
        <v>15273</v>
      </c>
      <c r="G617" s="3"/>
      <c r="H617" s="1"/>
      <c r="I617" s="1"/>
      <c r="J617" s="4" t="s">
        <v>16120</v>
      </c>
      <c r="K617" s="1" t="s">
        <v>48</v>
      </c>
      <c r="L617" s="1" t="s">
        <v>14</v>
      </c>
      <c r="M617" s="825">
        <v>1</v>
      </c>
      <c r="N617" s="17">
        <v>1</v>
      </c>
      <c r="O617" s="3" t="s">
        <v>188</v>
      </c>
      <c r="P617" s="20">
        <v>22188</v>
      </c>
      <c r="Q617" s="3" t="s">
        <v>2281</v>
      </c>
      <c r="R617" s="3"/>
      <c r="S617" s="3" t="s">
        <v>5457</v>
      </c>
      <c r="T617" s="3" t="s">
        <v>104</v>
      </c>
      <c r="U617" s="2"/>
      <c r="V617" s="2"/>
      <c r="W617" s="2"/>
      <c r="X617" s="2"/>
      <c r="Y617" s="2"/>
      <c r="Z617" s="2"/>
      <c r="AA617" s="2" t="s">
        <v>104</v>
      </c>
      <c r="AB617" s="2"/>
      <c r="AC617" s="2"/>
      <c r="AD617" s="2"/>
    </row>
    <row r="618" spans="1:30" ht="12" customHeight="1">
      <c r="A618" s="828" t="s">
        <v>17312</v>
      </c>
      <c r="B618" s="3" t="s">
        <v>2274</v>
      </c>
      <c r="C618" s="1" t="s">
        <v>2282</v>
      </c>
      <c r="D618" s="5">
        <f t="shared" si="9"/>
        <v>53</v>
      </c>
      <c r="E618" s="2" t="s">
        <v>19</v>
      </c>
      <c r="F618" s="2"/>
      <c r="G618" s="3"/>
      <c r="H618" s="1"/>
      <c r="I618" s="1"/>
      <c r="J618" s="4" t="s">
        <v>16117</v>
      </c>
      <c r="K618" s="1"/>
      <c r="L618" s="1" t="s">
        <v>6</v>
      </c>
      <c r="M618" s="825"/>
      <c r="N618" s="17"/>
      <c r="O618" s="3" t="s">
        <v>2283</v>
      </c>
      <c r="P618" s="21">
        <v>21812</v>
      </c>
      <c r="Q618" s="3" t="s">
        <v>2284</v>
      </c>
      <c r="R618" s="3"/>
      <c r="S618" s="3"/>
      <c r="T618" s="3" t="s">
        <v>69</v>
      </c>
      <c r="U618" s="2"/>
      <c r="V618" s="2"/>
      <c r="W618" s="2"/>
      <c r="X618" s="2"/>
      <c r="Y618" s="2"/>
      <c r="Z618" s="2"/>
      <c r="AA618" s="2"/>
      <c r="AB618" s="2"/>
      <c r="AC618" s="2"/>
      <c r="AD618" s="2" t="s">
        <v>69</v>
      </c>
    </row>
    <row r="619" spans="1:30" ht="12" customHeight="1">
      <c r="A619" s="828" t="s">
        <v>17313</v>
      </c>
      <c r="B619" s="3" t="s">
        <v>2285</v>
      </c>
      <c r="C619" s="1" t="s">
        <v>2289</v>
      </c>
      <c r="D619" s="5">
        <f t="shared" si="9"/>
        <v>39</v>
      </c>
      <c r="E619" s="2" t="s">
        <v>5</v>
      </c>
      <c r="F619" s="6" t="s">
        <v>15273</v>
      </c>
      <c r="G619" s="3" t="s">
        <v>2290</v>
      </c>
      <c r="H619" s="1"/>
      <c r="I619" s="1"/>
      <c r="J619" s="8" t="s">
        <v>16127</v>
      </c>
      <c r="K619" s="1" t="s">
        <v>44</v>
      </c>
      <c r="L619" s="1" t="s">
        <v>25</v>
      </c>
      <c r="M619" s="825">
        <v>3</v>
      </c>
      <c r="N619" s="17">
        <v>3</v>
      </c>
      <c r="O619" s="3" t="s">
        <v>2291</v>
      </c>
      <c r="P619" s="20">
        <v>26814</v>
      </c>
      <c r="Q619" s="3" t="s">
        <v>2292</v>
      </c>
      <c r="R619" s="3" t="s">
        <v>2293</v>
      </c>
      <c r="S619" s="3"/>
      <c r="T619" s="3"/>
      <c r="U619" s="2"/>
      <c r="V619" s="2"/>
      <c r="W619" s="2"/>
      <c r="X619" s="2"/>
      <c r="Y619" s="2"/>
      <c r="Z619" s="2"/>
      <c r="AA619" s="2"/>
      <c r="AB619" s="2"/>
      <c r="AC619" s="2"/>
      <c r="AD619" s="2"/>
    </row>
    <row r="620" spans="1:30" ht="12" customHeight="1">
      <c r="A620" s="828" t="s">
        <v>17314</v>
      </c>
      <c r="B620" s="3" t="s">
        <v>2286</v>
      </c>
      <c r="C620" s="1" t="s">
        <v>2294</v>
      </c>
      <c r="D620" s="5">
        <f t="shared" si="9"/>
        <v>39</v>
      </c>
      <c r="E620" s="2" t="s">
        <v>5</v>
      </c>
      <c r="F620" s="2" t="s">
        <v>15273</v>
      </c>
      <c r="G620" s="3"/>
      <c r="H620" s="1"/>
      <c r="I620" s="1"/>
      <c r="J620" s="4" t="s">
        <v>16120</v>
      </c>
      <c r="K620" s="1" t="s">
        <v>30</v>
      </c>
      <c r="L620" s="1" t="s">
        <v>6</v>
      </c>
      <c r="M620" s="825"/>
      <c r="N620" s="17"/>
      <c r="O620" s="3" t="s">
        <v>321</v>
      </c>
      <c r="P620" s="20">
        <v>26666</v>
      </c>
      <c r="Q620" s="3" t="s">
        <v>2295</v>
      </c>
      <c r="R620" s="3"/>
      <c r="S620" s="3" t="s">
        <v>5457</v>
      </c>
      <c r="T620" s="3" t="s">
        <v>145</v>
      </c>
      <c r="U620" s="2"/>
      <c r="V620" s="2" t="s">
        <v>145</v>
      </c>
      <c r="W620" s="2"/>
      <c r="X620" s="2"/>
      <c r="Y620" s="2"/>
      <c r="Z620" s="2"/>
      <c r="AA620" s="2"/>
      <c r="AB620" s="2"/>
      <c r="AC620" s="2"/>
      <c r="AD620" s="2"/>
    </row>
    <row r="621" spans="1:30" ht="12" customHeight="1">
      <c r="A621" s="828" t="s">
        <v>17315</v>
      </c>
      <c r="B621" s="3" t="s">
        <v>2287</v>
      </c>
      <c r="C621" s="1" t="s">
        <v>2296</v>
      </c>
      <c r="D621" s="5">
        <f t="shared" si="9"/>
        <v>65</v>
      </c>
      <c r="E621" s="2" t="s">
        <v>5</v>
      </c>
      <c r="F621" s="2"/>
      <c r="G621" s="3"/>
      <c r="H621" s="1"/>
      <c r="I621" s="1"/>
      <c r="J621" s="4" t="s">
        <v>16117</v>
      </c>
      <c r="K621" s="1"/>
      <c r="L621" s="1" t="s">
        <v>6</v>
      </c>
      <c r="M621" s="825"/>
      <c r="N621" s="17"/>
      <c r="O621" s="3" t="s">
        <v>2297</v>
      </c>
      <c r="P621" s="21">
        <v>17460</v>
      </c>
      <c r="Q621" s="3" t="s">
        <v>531</v>
      </c>
      <c r="R621" s="3"/>
      <c r="S621" s="3"/>
      <c r="T621" s="3"/>
      <c r="U621" s="2"/>
      <c r="V621" s="2"/>
      <c r="W621" s="2"/>
      <c r="X621" s="2"/>
      <c r="Y621" s="2"/>
      <c r="Z621" s="2"/>
      <c r="AA621" s="2"/>
      <c r="AB621" s="2"/>
      <c r="AC621" s="2"/>
      <c r="AD621" s="2"/>
    </row>
    <row r="622" spans="1:30" ht="12" customHeight="1">
      <c r="A622" s="828" t="s">
        <v>17316</v>
      </c>
      <c r="B622" s="3" t="s">
        <v>2288</v>
      </c>
      <c r="C622" s="1" t="s">
        <v>2299</v>
      </c>
      <c r="D622" s="5">
        <f t="shared" si="9"/>
        <v>42</v>
      </c>
      <c r="E622" s="2" t="s">
        <v>5</v>
      </c>
      <c r="F622" s="2"/>
      <c r="G622" s="3"/>
      <c r="H622" s="1"/>
      <c r="I622" s="1"/>
      <c r="J622" s="4" t="s">
        <v>16129</v>
      </c>
      <c r="K622" s="1" t="s">
        <v>97</v>
      </c>
      <c r="L622" s="1" t="s">
        <v>6</v>
      </c>
      <c r="M622" s="825"/>
      <c r="N622" s="17"/>
      <c r="O622" s="3" t="s">
        <v>188</v>
      </c>
      <c r="P622" s="20">
        <v>25668</v>
      </c>
      <c r="Q622" s="3" t="s">
        <v>2300</v>
      </c>
      <c r="R622" s="3"/>
      <c r="S622" s="3" t="s">
        <v>5997</v>
      </c>
      <c r="T622" s="3" t="s">
        <v>145</v>
      </c>
      <c r="U622" s="2"/>
      <c r="V622" s="2" t="s">
        <v>145</v>
      </c>
      <c r="W622" s="2"/>
      <c r="X622" s="2"/>
      <c r="Y622" s="2"/>
      <c r="Z622" s="2"/>
      <c r="AA622" s="2"/>
      <c r="AB622" s="2"/>
      <c r="AC622" s="2"/>
      <c r="AD622" s="2"/>
    </row>
    <row r="623" spans="1:30" ht="12" customHeight="1">
      <c r="A623" s="828" t="s">
        <v>17317</v>
      </c>
      <c r="B623" s="3" t="s">
        <v>2301</v>
      </c>
      <c r="C623" s="1" t="s">
        <v>2304</v>
      </c>
      <c r="D623" s="5">
        <f t="shared" si="9"/>
        <v>61</v>
      </c>
      <c r="E623" s="2" t="s">
        <v>5</v>
      </c>
      <c r="F623" s="2" t="s">
        <v>15273</v>
      </c>
      <c r="G623" s="3" t="s">
        <v>2305</v>
      </c>
      <c r="H623" s="1"/>
      <c r="I623" s="1"/>
      <c r="J623" s="8" t="s">
        <v>16120</v>
      </c>
      <c r="K623" s="1" t="s">
        <v>476</v>
      </c>
      <c r="L623" s="1" t="s">
        <v>25</v>
      </c>
      <c r="M623" s="825">
        <v>5</v>
      </c>
      <c r="N623" s="17">
        <v>5</v>
      </c>
      <c r="O623" s="3" t="s">
        <v>2306</v>
      </c>
      <c r="P623" s="20">
        <v>18618</v>
      </c>
      <c r="Q623" s="3" t="s">
        <v>2307</v>
      </c>
      <c r="R623" s="3" t="s">
        <v>2308</v>
      </c>
      <c r="S623" s="3" t="s">
        <v>5457</v>
      </c>
      <c r="T623" s="3" t="s">
        <v>145</v>
      </c>
      <c r="U623" s="2"/>
      <c r="V623" s="2" t="s">
        <v>145</v>
      </c>
      <c r="W623" s="2"/>
      <c r="X623" s="2"/>
      <c r="Y623" s="2"/>
      <c r="Z623" s="2"/>
      <c r="AA623" s="2"/>
      <c r="AB623" s="2"/>
      <c r="AC623" s="2"/>
      <c r="AD623" s="2"/>
    </row>
    <row r="624" spans="1:30" ht="12" customHeight="1">
      <c r="A624" s="828" t="s">
        <v>17318</v>
      </c>
      <c r="B624" s="3" t="s">
        <v>2302</v>
      </c>
      <c r="C624" s="1" t="s">
        <v>5702</v>
      </c>
      <c r="D624" s="5">
        <f t="shared" si="9"/>
        <v>49</v>
      </c>
      <c r="E624" s="2" t="s">
        <v>5</v>
      </c>
      <c r="F624" s="2"/>
      <c r="G624" s="3"/>
      <c r="H624" s="1"/>
      <c r="I624" s="1"/>
      <c r="J624" s="4" t="s">
        <v>16117</v>
      </c>
      <c r="K624" s="1"/>
      <c r="L624" s="1" t="s">
        <v>6</v>
      </c>
      <c r="M624" s="825"/>
      <c r="N624" s="17"/>
      <c r="O624" s="3" t="s">
        <v>5703</v>
      </c>
      <c r="P624" s="20">
        <v>23045</v>
      </c>
      <c r="Q624" s="3" t="s">
        <v>5704</v>
      </c>
      <c r="R624" s="3"/>
      <c r="S624" s="3"/>
      <c r="T624" s="3"/>
      <c r="U624" s="2"/>
      <c r="V624" s="2"/>
      <c r="W624" s="2"/>
      <c r="X624" s="2"/>
      <c r="Y624" s="2"/>
      <c r="Z624" s="2"/>
      <c r="AA624" s="2"/>
      <c r="AB624" s="2"/>
      <c r="AC624" s="2"/>
      <c r="AD624" s="2"/>
    </row>
    <row r="625" spans="1:30" ht="12" customHeight="1">
      <c r="A625" s="828" t="s">
        <v>17319</v>
      </c>
      <c r="B625" s="3" t="s">
        <v>2303</v>
      </c>
      <c r="C625" s="1" t="s">
        <v>2310</v>
      </c>
      <c r="D625" s="5">
        <f t="shared" si="9"/>
        <v>52</v>
      </c>
      <c r="E625" s="2" t="s">
        <v>5</v>
      </c>
      <c r="F625" s="2" t="s">
        <v>15273</v>
      </c>
      <c r="G625" s="3"/>
      <c r="H625" s="1"/>
      <c r="I625" s="1"/>
      <c r="J625" s="4" t="s">
        <v>16121</v>
      </c>
      <c r="K625" s="1"/>
      <c r="L625" s="1" t="s">
        <v>6</v>
      </c>
      <c r="M625" s="825"/>
      <c r="N625" s="17"/>
      <c r="O625" s="3" t="s">
        <v>2311</v>
      </c>
      <c r="P625" s="20">
        <v>22057</v>
      </c>
      <c r="Q625" s="3" t="s">
        <v>2317</v>
      </c>
      <c r="R625" s="3"/>
      <c r="S625" s="3"/>
      <c r="T625" s="3" t="s">
        <v>69</v>
      </c>
      <c r="U625" s="2"/>
      <c r="V625" s="2"/>
      <c r="W625" s="2"/>
      <c r="X625" s="2"/>
      <c r="Y625" s="2"/>
      <c r="Z625" s="2"/>
      <c r="AA625" s="2"/>
      <c r="AB625" s="2"/>
      <c r="AC625" s="2"/>
      <c r="AD625" s="2" t="s">
        <v>69</v>
      </c>
    </row>
    <row r="626" spans="1:30" ht="12" customHeight="1">
      <c r="A626" s="828" t="s">
        <v>17320</v>
      </c>
      <c r="B626" s="3" t="s">
        <v>2318</v>
      </c>
      <c r="C626" s="1" t="s">
        <v>5446</v>
      </c>
      <c r="D626" s="5">
        <f t="shared" si="9"/>
        <v>37</v>
      </c>
      <c r="E626" s="2" t="s">
        <v>5</v>
      </c>
      <c r="F626" s="6" t="s">
        <v>15273</v>
      </c>
      <c r="G626" s="3"/>
      <c r="H626" s="1"/>
      <c r="I626" s="1"/>
      <c r="J626" s="8" t="s">
        <v>16127</v>
      </c>
      <c r="K626" s="1" t="s">
        <v>44</v>
      </c>
      <c r="L626" s="1" t="s">
        <v>6</v>
      </c>
      <c r="M626" s="825"/>
      <c r="N626" s="17"/>
      <c r="O626" s="3" t="s">
        <v>245</v>
      </c>
      <c r="P626" s="20">
        <v>27507</v>
      </c>
      <c r="Q626" s="3" t="s">
        <v>5832</v>
      </c>
      <c r="R626" s="3"/>
      <c r="S626" s="3"/>
      <c r="T626" s="3"/>
      <c r="U626" s="2"/>
      <c r="V626" s="2"/>
      <c r="W626" s="2"/>
      <c r="X626" s="2"/>
      <c r="Y626" s="2"/>
      <c r="Z626" s="2"/>
      <c r="AA626" s="2"/>
      <c r="AB626" s="2"/>
      <c r="AC626" s="2"/>
      <c r="AD626" s="2"/>
    </row>
    <row r="627" spans="1:30" ht="12" customHeight="1">
      <c r="A627" s="828" t="s">
        <v>17321</v>
      </c>
      <c r="B627" s="3" t="s">
        <v>2319</v>
      </c>
      <c r="C627" s="1" t="s">
        <v>2321</v>
      </c>
      <c r="D627" s="5">
        <f t="shared" si="9"/>
        <v>51</v>
      </c>
      <c r="E627" s="2" t="s">
        <v>5</v>
      </c>
      <c r="F627" s="2" t="s">
        <v>15273</v>
      </c>
      <c r="G627" s="3" t="s">
        <v>2322</v>
      </c>
      <c r="H627" s="1"/>
      <c r="I627" s="1"/>
      <c r="J627" s="4" t="s">
        <v>16120</v>
      </c>
      <c r="K627" s="1" t="s">
        <v>30</v>
      </c>
      <c r="L627" s="1" t="s">
        <v>25</v>
      </c>
      <c r="M627" s="825">
        <v>1</v>
      </c>
      <c r="N627" s="17">
        <v>1</v>
      </c>
      <c r="O627" s="3" t="s">
        <v>2058</v>
      </c>
      <c r="P627" s="20">
        <v>22304</v>
      </c>
      <c r="Q627" s="3" t="s">
        <v>2324</v>
      </c>
      <c r="R627" s="3"/>
      <c r="S627" s="3" t="s">
        <v>6051</v>
      </c>
      <c r="T627" s="3" t="s">
        <v>2325</v>
      </c>
      <c r="U627" s="2" t="s">
        <v>47</v>
      </c>
      <c r="V627" s="2"/>
      <c r="W627" s="2" t="s">
        <v>75</v>
      </c>
      <c r="X627" s="2"/>
      <c r="Y627" s="2"/>
      <c r="Z627" s="2"/>
      <c r="AA627" s="2" t="s">
        <v>104</v>
      </c>
      <c r="AB627" s="2"/>
      <c r="AC627" s="2"/>
      <c r="AD627" s="2"/>
    </row>
    <row r="628" spans="1:30" ht="12" customHeight="1">
      <c r="A628" s="828" t="s">
        <v>17322</v>
      </c>
      <c r="B628" s="3" t="s">
        <v>2320</v>
      </c>
      <c r="C628" s="1" t="s">
        <v>2329</v>
      </c>
      <c r="D628" s="5">
        <f t="shared" si="9"/>
        <v>55</v>
      </c>
      <c r="E628" s="2" t="s">
        <v>5</v>
      </c>
      <c r="F628" s="2"/>
      <c r="G628" s="3"/>
      <c r="H628" s="1"/>
      <c r="I628" s="1"/>
      <c r="J628" s="4" t="s">
        <v>16117</v>
      </c>
      <c r="K628" s="1"/>
      <c r="L628" s="1" t="s">
        <v>6</v>
      </c>
      <c r="M628" s="825"/>
      <c r="N628" s="17"/>
      <c r="O628" s="3" t="s">
        <v>77</v>
      </c>
      <c r="P628" s="20">
        <v>20944</v>
      </c>
      <c r="Q628" s="3" t="s">
        <v>2331</v>
      </c>
      <c r="R628" s="3"/>
      <c r="S628" s="3"/>
      <c r="T628" s="3"/>
      <c r="U628" s="2"/>
      <c r="V628" s="2"/>
      <c r="W628" s="2"/>
      <c r="X628" s="2"/>
      <c r="Y628" s="2"/>
      <c r="Z628" s="2"/>
      <c r="AA628" s="2"/>
      <c r="AB628" s="2"/>
      <c r="AC628" s="2"/>
      <c r="AD628" s="2"/>
    </row>
    <row r="629" spans="1:30" ht="12" customHeight="1">
      <c r="A629" s="828" t="s">
        <v>17323</v>
      </c>
      <c r="B629" s="3" t="s">
        <v>2332</v>
      </c>
      <c r="C629" s="1" t="s">
        <v>2335</v>
      </c>
      <c r="D629" s="5">
        <f t="shared" si="9"/>
        <v>53</v>
      </c>
      <c r="E629" s="2" t="s">
        <v>5</v>
      </c>
      <c r="F629" s="6" t="s">
        <v>15273</v>
      </c>
      <c r="G629" s="3" t="s">
        <v>2336</v>
      </c>
      <c r="H629" s="1"/>
      <c r="I629" s="1"/>
      <c r="J629" s="8" t="s">
        <v>16126</v>
      </c>
      <c r="K629" s="1" t="s">
        <v>44</v>
      </c>
      <c r="L629" s="1" t="s">
        <v>25</v>
      </c>
      <c r="M629" s="825">
        <v>4</v>
      </c>
      <c r="N629" s="17">
        <v>4</v>
      </c>
      <c r="O629" s="3" t="s">
        <v>172</v>
      </c>
      <c r="P629" s="20">
        <v>21566</v>
      </c>
      <c r="Q629" s="3" t="s">
        <v>2339</v>
      </c>
      <c r="R629" s="3" t="s">
        <v>2340</v>
      </c>
      <c r="S629" s="3" t="s">
        <v>736</v>
      </c>
      <c r="T629" s="3" t="s">
        <v>104</v>
      </c>
      <c r="U629" s="2"/>
      <c r="V629" s="2"/>
      <c r="W629" s="2"/>
      <c r="X629" s="2"/>
      <c r="Y629" s="2"/>
      <c r="Z629" s="2"/>
      <c r="AA629" s="2" t="s">
        <v>104</v>
      </c>
      <c r="AB629" s="2"/>
      <c r="AC629" s="2"/>
      <c r="AD629" s="2"/>
    </row>
    <row r="630" spans="1:30" ht="12" customHeight="1">
      <c r="A630" s="828" t="s">
        <v>17324</v>
      </c>
      <c r="B630" s="3" t="s">
        <v>2333</v>
      </c>
      <c r="C630" s="1" t="s">
        <v>2341</v>
      </c>
      <c r="D630" s="5">
        <f t="shared" si="9"/>
        <v>51</v>
      </c>
      <c r="E630" s="2" t="s">
        <v>5</v>
      </c>
      <c r="F630" s="2" t="s">
        <v>15273</v>
      </c>
      <c r="G630" s="3" t="s">
        <v>2342</v>
      </c>
      <c r="H630" s="1"/>
      <c r="I630" s="1"/>
      <c r="J630" s="4" t="s">
        <v>16120</v>
      </c>
      <c r="K630" s="1" t="s">
        <v>48</v>
      </c>
      <c r="L630" s="1" t="s">
        <v>25</v>
      </c>
      <c r="M630" s="825">
        <v>4</v>
      </c>
      <c r="N630" s="17">
        <v>5</v>
      </c>
      <c r="O630" s="3" t="s">
        <v>83</v>
      </c>
      <c r="P630" s="20">
        <v>22406</v>
      </c>
      <c r="Q630" s="3" t="s">
        <v>2344</v>
      </c>
      <c r="R630" s="3" t="s">
        <v>2348</v>
      </c>
      <c r="S630" s="3" t="s">
        <v>6051</v>
      </c>
      <c r="T630" s="3" t="s">
        <v>1569</v>
      </c>
      <c r="U630" s="2"/>
      <c r="V630" s="2"/>
      <c r="W630" s="2"/>
      <c r="X630" s="2" t="s">
        <v>229</v>
      </c>
      <c r="Y630" s="2"/>
      <c r="Z630" s="2" t="s">
        <v>85</v>
      </c>
      <c r="AA630" s="2"/>
      <c r="AB630" s="2"/>
      <c r="AC630" s="2"/>
      <c r="AD630" s="2"/>
    </row>
    <row r="631" spans="1:30" ht="12" customHeight="1">
      <c r="A631" s="828" t="s">
        <v>17325</v>
      </c>
      <c r="B631" s="3" t="s">
        <v>2334</v>
      </c>
      <c r="C631" s="1" t="s">
        <v>6189</v>
      </c>
      <c r="D631" s="5">
        <f t="shared" si="9"/>
        <v>42</v>
      </c>
      <c r="E631" s="2" t="s">
        <v>5</v>
      </c>
      <c r="F631" s="2"/>
      <c r="G631" s="3"/>
      <c r="H631" s="1"/>
      <c r="I631" s="1"/>
      <c r="J631" s="4" t="s">
        <v>16125</v>
      </c>
      <c r="K631" s="1"/>
      <c r="L631" s="1" t="s">
        <v>6</v>
      </c>
      <c r="M631" s="825"/>
      <c r="N631" s="17"/>
      <c r="O631" s="3" t="s">
        <v>2440</v>
      </c>
      <c r="P631" s="20">
        <v>25578</v>
      </c>
      <c r="Q631" s="3" t="s">
        <v>6190</v>
      </c>
      <c r="R631" s="3"/>
      <c r="S631" s="3" t="s">
        <v>5561</v>
      </c>
      <c r="T631" s="3"/>
      <c r="U631" s="2"/>
      <c r="V631" s="2"/>
      <c r="W631" s="2"/>
      <c r="X631" s="2"/>
      <c r="Y631" s="2"/>
      <c r="Z631" s="2"/>
      <c r="AA631" s="2"/>
      <c r="AB631" s="2"/>
      <c r="AC631" s="2"/>
      <c r="AD631" s="2"/>
    </row>
    <row r="632" spans="1:30" ht="12" customHeight="1">
      <c r="A632" s="828" t="s">
        <v>17326</v>
      </c>
      <c r="B632" s="3" t="s">
        <v>5210</v>
      </c>
      <c r="C632" s="1" t="s">
        <v>5211</v>
      </c>
      <c r="D632" s="5">
        <f t="shared" si="9"/>
        <v>31</v>
      </c>
      <c r="E632" s="2" t="s">
        <v>5</v>
      </c>
      <c r="F632" s="2" t="s">
        <v>15273</v>
      </c>
      <c r="G632" s="3"/>
      <c r="H632" s="1"/>
      <c r="I632" s="1"/>
      <c r="J632" s="4" t="s">
        <v>16116</v>
      </c>
      <c r="K632" s="1" t="s">
        <v>4997</v>
      </c>
      <c r="L632" s="1" t="s">
        <v>6</v>
      </c>
      <c r="M632" s="825"/>
      <c r="N632" s="17"/>
      <c r="O632" s="3" t="s">
        <v>317</v>
      </c>
      <c r="P632" s="21">
        <v>29792</v>
      </c>
      <c r="Q632" s="3" t="s">
        <v>5213</v>
      </c>
      <c r="R632" s="3"/>
      <c r="S632" s="3" t="s">
        <v>469</v>
      </c>
      <c r="T632" s="3"/>
      <c r="U632" s="2"/>
      <c r="V632" s="2"/>
      <c r="W632" s="2"/>
      <c r="X632" s="2"/>
      <c r="Y632" s="2"/>
      <c r="Z632" s="2"/>
      <c r="AA632" s="2"/>
      <c r="AB632" s="2"/>
      <c r="AC632" s="2"/>
      <c r="AD632" s="2"/>
    </row>
    <row r="633" spans="1:30" ht="12" customHeight="1">
      <c r="A633" s="828" t="s">
        <v>17327</v>
      </c>
      <c r="B633" s="3" t="s">
        <v>6188</v>
      </c>
      <c r="C633" s="1" t="s">
        <v>2349</v>
      </c>
      <c r="D633" s="5">
        <f t="shared" si="9"/>
        <v>64</v>
      </c>
      <c r="E633" s="2" t="s">
        <v>5</v>
      </c>
      <c r="F633" s="2"/>
      <c r="G633" s="3"/>
      <c r="H633" s="1"/>
      <c r="I633" s="1"/>
      <c r="J633" s="4" t="s">
        <v>16117</v>
      </c>
      <c r="K633" s="1"/>
      <c r="L633" s="1" t="s">
        <v>6</v>
      </c>
      <c r="M633" s="825"/>
      <c r="N633" s="17"/>
      <c r="O633" s="3" t="s">
        <v>2350</v>
      </c>
      <c r="P633" s="21">
        <v>17568</v>
      </c>
      <c r="Q633" s="3" t="s">
        <v>2351</v>
      </c>
      <c r="R633" s="3"/>
      <c r="S633" s="3"/>
      <c r="T633" s="3"/>
      <c r="U633" s="2"/>
      <c r="V633" s="2"/>
      <c r="W633" s="2"/>
      <c r="X633" s="2"/>
      <c r="Y633" s="2"/>
      <c r="Z633" s="2"/>
      <c r="AA633" s="2"/>
      <c r="AB633" s="2"/>
      <c r="AC633" s="2"/>
      <c r="AD633" s="2"/>
    </row>
    <row r="634" spans="1:30" ht="12" customHeight="1">
      <c r="A634" s="828" t="s">
        <v>17328</v>
      </c>
      <c r="B634" s="3" t="s">
        <v>2352</v>
      </c>
      <c r="C634" s="1" t="s">
        <v>5309</v>
      </c>
      <c r="D634" s="5">
        <f t="shared" si="9"/>
        <v>65</v>
      </c>
      <c r="E634" s="2" t="s">
        <v>19</v>
      </c>
      <c r="F634" s="6" t="s">
        <v>15273</v>
      </c>
      <c r="G634" s="3"/>
      <c r="H634" s="1"/>
      <c r="I634" s="1"/>
      <c r="J634" s="8" t="s">
        <v>16127</v>
      </c>
      <c r="K634" s="1" t="s">
        <v>44</v>
      </c>
      <c r="L634" s="1" t="s">
        <v>6</v>
      </c>
      <c r="M634" s="825"/>
      <c r="N634" s="17"/>
      <c r="O634" s="3" t="s">
        <v>5310</v>
      </c>
      <c r="P634" s="20">
        <v>17478</v>
      </c>
      <c r="Q634" s="3" t="s">
        <v>5311</v>
      </c>
      <c r="R634" s="3"/>
      <c r="S634" s="3" t="s">
        <v>736</v>
      </c>
      <c r="T634" s="3" t="s">
        <v>145</v>
      </c>
      <c r="U634" s="2"/>
      <c r="V634" s="2" t="s">
        <v>145</v>
      </c>
      <c r="W634" s="2"/>
      <c r="X634" s="2"/>
      <c r="Y634" s="2"/>
      <c r="Z634" s="2"/>
      <c r="AA634" s="2"/>
      <c r="AB634" s="2"/>
      <c r="AC634" s="2"/>
      <c r="AD634" s="2"/>
    </row>
    <row r="635" spans="1:30" ht="12" customHeight="1">
      <c r="A635" s="828" t="s">
        <v>17329</v>
      </c>
      <c r="B635" s="3" t="s">
        <v>2353</v>
      </c>
      <c r="C635" s="1" t="s">
        <v>2358</v>
      </c>
      <c r="D635" s="5">
        <f t="shared" si="9"/>
        <v>38</v>
      </c>
      <c r="E635" s="2" t="s">
        <v>5</v>
      </c>
      <c r="F635" s="2" t="s">
        <v>15273</v>
      </c>
      <c r="G635" s="3"/>
      <c r="H635" s="1"/>
      <c r="I635" s="1"/>
      <c r="J635" s="8" t="s">
        <v>16120</v>
      </c>
      <c r="K635" s="1" t="s">
        <v>48</v>
      </c>
      <c r="L635" s="1" t="s">
        <v>6</v>
      </c>
      <c r="M635" s="825"/>
      <c r="N635" s="17"/>
      <c r="O635" s="3" t="s">
        <v>77</v>
      </c>
      <c r="P635" s="20">
        <v>27320</v>
      </c>
      <c r="Q635" s="3" t="s">
        <v>2359</v>
      </c>
      <c r="R635" s="3"/>
      <c r="S635" s="3" t="s">
        <v>6051</v>
      </c>
      <c r="T635" s="3"/>
      <c r="U635" s="2"/>
      <c r="V635" s="2"/>
      <c r="W635" s="2"/>
      <c r="X635" s="2"/>
      <c r="Y635" s="2"/>
      <c r="Z635" s="2"/>
      <c r="AA635" s="2"/>
      <c r="AB635" s="2"/>
      <c r="AC635" s="2"/>
      <c r="AD635" s="2"/>
    </row>
    <row r="636" spans="1:30" ht="12" customHeight="1">
      <c r="A636" s="828" t="s">
        <v>17330</v>
      </c>
      <c r="B636" s="3" t="s">
        <v>2354</v>
      </c>
      <c r="C636" s="1" t="s">
        <v>2360</v>
      </c>
      <c r="D636" s="5">
        <f t="shared" si="9"/>
        <v>58</v>
      </c>
      <c r="E636" s="2" t="s">
        <v>5</v>
      </c>
      <c r="F636" s="2"/>
      <c r="G636" s="3"/>
      <c r="H636" s="1"/>
      <c r="I636" s="1"/>
      <c r="J636" s="4" t="s">
        <v>16117</v>
      </c>
      <c r="K636" s="1"/>
      <c r="L636" s="1" t="s">
        <v>6</v>
      </c>
      <c r="M636" s="825"/>
      <c r="N636" s="17"/>
      <c r="O636" s="3" t="s">
        <v>2362</v>
      </c>
      <c r="P636" s="20">
        <v>19998</v>
      </c>
      <c r="Q636" s="3" t="s">
        <v>53</v>
      </c>
      <c r="R636" s="3"/>
      <c r="S636" s="3"/>
      <c r="T636" s="3"/>
      <c r="U636" s="2"/>
      <c r="V636" s="2"/>
      <c r="W636" s="2"/>
      <c r="X636" s="2"/>
      <c r="Y636" s="2"/>
      <c r="Z636" s="2"/>
      <c r="AA636" s="2"/>
      <c r="AB636" s="2"/>
      <c r="AC636" s="2"/>
      <c r="AD636" s="2"/>
    </row>
    <row r="637" spans="1:30" ht="12" customHeight="1">
      <c r="A637" s="828" t="s">
        <v>17331</v>
      </c>
      <c r="B637" s="3" t="s">
        <v>2355</v>
      </c>
      <c r="C637" s="1" t="s">
        <v>2363</v>
      </c>
      <c r="D637" s="5">
        <f t="shared" si="9"/>
        <v>59</v>
      </c>
      <c r="E637" s="2" t="s">
        <v>5</v>
      </c>
      <c r="F637" s="2" t="s">
        <v>15273</v>
      </c>
      <c r="G637" s="3"/>
      <c r="H637" s="1"/>
      <c r="I637" s="1"/>
      <c r="J637" s="8" t="s">
        <v>16121</v>
      </c>
      <c r="K637" s="1"/>
      <c r="L637" s="1" t="s">
        <v>6</v>
      </c>
      <c r="M637" s="825"/>
      <c r="N637" s="17"/>
      <c r="O637" s="3" t="s">
        <v>2362</v>
      </c>
      <c r="P637" s="21">
        <v>19391</v>
      </c>
      <c r="Q637" s="3" t="s">
        <v>2364</v>
      </c>
      <c r="R637" s="3"/>
      <c r="S637" s="3"/>
      <c r="T637" s="3" t="s">
        <v>148</v>
      </c>
      <c r="U637" s="2"/>
      <c r="V637" s="2" t="s">
        <v>145</v>
      </c>
      <c r="W637" s="2"/>
      <c r="X637" s="2"/>
      <c r="Y637" s="2"/>
      <c r="Z637" s="2"/>
      <c r="AA637" s="2"/>
      <c r="AB637" s="2"/>
      <c r="AC637" s="2"/>
      <c r="AD637" s="2" t="s">
        <v>69</v>
      </c>
    </row>
    <row r="638" spans="1:30" ht="12" customHeight="1">
      <c r="A638" s="828" t="s">
        <v>17332</v>
      </c>
      <c r="B638" s="3" t="s">
        <v>2366</v>
      </c>
      <c r="C638" s="1" t="s">
        <v>2369</v>
      </c>
      <c r="D638" s="5">
        <f t="shared" si="9"/>
        <v>39</v>
      </c>
      <c r="E638" s="2" t="s">
        <v>5</v>
      </c>
      <c r="F638" s="6" t="s">
        <v>15273</v>
      </c>
      <c r="G638" s="3" t="s">
        <v>2370</v>
      </c>
      <c r="H638" s="1"/>
      <c r="I638" s="1"/>
      <c r="J638" s="8" t="s">
        <v>16127</v>
      </c>
      <c r="K638" s="1" t="s">
        <v>44</v>
      </c>
      <c r="L638" s="1" t="s">
        <v>25</v>
      </c>
      <c r="M638" s="825">
        <v>1</v>
      </c>
      <c r="N638" s="17">
        <v>1</v>
      </c>
      <c r="O638" s="3" t="s">
        <v>1493</v>
      </c>
      <c r="P638" s="20">
        <v>27010</v>
      </c>
      <c r="Q638" s="3" t="s">
        <v>2373</v>
      </c>
      <c r="R638" s="3"/>
      <c r="S638" s="3" t="s">
        <v>736</v>
      </c>
      <c r="T638" s="3"/>
      <c r="U638" s="2"/>
      <c r="V638" s="2"/>
      <c r="W638" s="2"/>
      <c r="X638" s="2"/>
      <c r="Y638" s="2"/>
      <c r="Z638" s="2"/>
      <c r="AA638" s="2"/>
      <c r="AB638" s="2"/>
      <c r="AC638" s="2"/>
      <c r="AD638" s="2"/>
    </row>
    <row r="639" spans="1:30" ht="12" customHeight="1">
      <c r="A639" s="828" t="s">
        <v>17333</v>
      </c>
      <c r="B639" s="3" t="s">
        <v>2367</v>
      </c>
      <c r="C639" s="1" t="s">
        <v>2374</v>
      </c>
      <c r="D639" s="5">
        <f t="shared" si="9"/>
        <v>67</v>
      </c>
      <c r="E639" s="2" t="s">
        <v>5</v>
      </c>
      <c r="F639" s="2" t="s">
        <v>15273</v>
      </c>
      <c r="G639" s="3" t="s">
        <v>2375</v>
      </c>
      <c r="H639" s="1"/>
      <c r="I639" s="1"/>
      <c r="J639" s="4" t="s">
        <v>16120</v>
      </c>
      <c r="K639" s="1" t="s">
        <v>48</v>
      </c>
      <c r="L639" s="1" t="s">
        <v>25</v>
      </c>
      <c r="M639" s="825">
        <v>2</v>
      </c>
      <c r="N639" s="17">
        <v>2</v>
      </c>
      <c r="O639" s="3" t="s">
        <v>557</v>
      </c>
      <c r="P639" s="20">
        <v>16749</v>
      </c>
      <c r="Q639" s="3" t="s">
        <v>2377</v>
      </c>
      <c r="R639" s="3"/>
      <c r="S639" s="3" t="s">
        <v>5457</v>
      </c>
      <c r="T639" s="3" t="s">
        <v>145</v>
      </c>
      <c r="U639" s="2"/>
      <c r="V639" s="2" t="s">
        <v>145</v>
      </c>
      <c r="W639" s="2"/>
      <c r="X639" s="2"/>
      <c r="Y639" s="2"/>
      <c r="Z639" s="2"/>
      <c r="AA639" s="2"/>
      <c r="AB639" s="2"/>
      <c r="AC639" s="2"/>
      <c r="AD639" s="2"/>
    </row>
    <row r="640" spans="1:30" ht="12" customHeight="1">
      <c r="A640" s="828" t="s">
        <v>17334</v>
      </c>
      <c r="B640" s="3" t="s">
        <v>2368</v>
      </c>
      <c r="C640" s="1" t="s">
        <v>2378</v>
      </c>
      <c r="D640" s="5">
        <f t="shared" si="9"/>
        <v>27</v>
      </c>
      <c r="E640" s="2" t="s">
        <v>19</v>
      </c>
      <c r="F640" s="2"/>
      <c r="G640" s="3"/>
      <c r="H640" s="1"/>
      <c r="I640" s="1"/>
      <c r="J640" s="4" t="s">
        <v>16117</v>
      </c>
      <c r="K640" s="1"/>
      <c r="L640" s="1" t="s">
        <v>6</v>
      </c>
      <c r="M640" s="825"/>
      <c r="N640" s="17"/>
      <c r="O640" s="3" t="s">
        <v>2379</v>
      </c>
      <c r="P640" s="21">
        <v>31177</v>
      </c>
      <c r="Q640" s="3" t="s">
        <v>2380</v>
      </c>
      <c r="R640" s="3"/>
      <c r="S640" s="3"/>
      <c r="T640" s="3"/>
      <c r="U640" s="2"/>
      <c r="V640" s="2"/>
      <c r="W640" s="2"/>
      <c r="X640" s="2"/>
      <c r="Y640" s="2"/>
      <c r="Z640" s="2"/>
      <c r="AA640" s="2"/>
      <c r="AB640" s="2"/>
      <c r="AC640" s="2"/>
      <c r="AD640" s="2"/>
    </row>
    <row r="641" spans="1:30" ht="12" customHeight="1">
      <c r="A641" s="828" t="s">
        <v>17335</v>
      </c>
      <c r="B641" s="3" t="s">
        <v>2381</v>
      </c>
      <c r="C641" s="1" t="s">
        <v>2385</v>
      </c>
      <c r="D641" s="5">
        <f t="shared" ref="D641:D704" si="10">DATEDIF(P641,$P$1505,"Y")</f>
        <v>56</v>
      </c>
      <c r="E641" s="2" t="s">
        <v>5</v>
      </c>
      <c r="F641" s="6" t="s">
        <v>15273</v>
      </c>
      <c r="G641" s="3" t="s">
        <v>2386</v>
      </c>
      <c r="H641" s="1"/>
      <c r="I641" s="1"/>
      <c r="J641" s="8" t="s">
        <v>16126</v>
      </c>
      <c r="K641" s="1" t="s">
        <v>604</v>
      </c>
      <c r="L641" s="1" t="s">
        <v>25</v>
      </c>
      <c r="M641" s="825">
        <v>4</v>
      </c>
      <c r="N641" s="17">
        <v>4</v>
      </c>
      <c r="O641" s="3" t="s">
        <v>188</v>
      </c>
      <c r="P641" s="20">
        <v>20786</v>
      </c>
      <c r="Q641" s="3" t="s">
        <v>2388</v>
      </c>
      <c r="R641" s="3" t="s">
        <v>2522</v>
      </c>
      <c r="S641" s="3"/>
      <c r="T641" s="3" t="s">
        <v>146</v>
      </c>
      <c r="U641" s="2"/>
      <c r="V641" s="2"/>
      <c r="W641" s="2"/>
      <c r="X641" s="2"/>
      <c r="Y641" s="2"/>
      <c r="Z641" s="2"/>
      <c r="AA641" s="2"/>
      <c r="AB641" s="2"/>
      <c r="AC641" s="2" t="s">
        <v>146</v>
      </c>
      <c r="AD641" s="2"/>
    </row>
    <row r="642" spans="1:30" ht="12" customHeight="1">
      <c r="A642" s="828" t="s">
        <v>17336</v>
      </c>
      <c r="B642" s="3" t="s">
        <v>2382</v>
      </c>
      <c r="C642" s="1" t="s">
        <v>2389</v>
      </c>
      <c r="D642" s="5">
        <f t="shared" si="10"/>
        <v>53</v>
      </c>
      <c r="E642" s="2" t="s">
        <v>19</v>
      </c>
      <c r="F642" s="2" t="s">
        <v>15273</v>
      </c>
      <c r="G642" s="3" t="s">
        <v>2390</v>
      </c>
      <c r="H642" s="1"/>
      <c r="I642" s="1"/>
      <c r="J642" s="4" t="s">
        <v>16120</v>
      </c>
      <c r="K642" s="1" t="s">
        <v>48</v>
      </c>
      <c r="L642" s="1" t="s">
        <v>25</v>
      </c>
      <c r="M642" s="825">
        <v>2</v>
      </c>
      <c r="N642" s="17">
        <v>2</v>
      </c>
      <c r="O642" s="3" t="s">
        <v>188</v>
      </c>
      <c r="P642" s="20">
        <v>21601</v>
      </c>
      <c r="Q642" s="3" t="s">
        <v>727</v>
      </c>
      <c r="R642" s="3"/>
      <c r="S642" s="3" t="s">
        <v>5457</v>
      </c>
      <c r="T642" s="3" t="s">
        <v>147</v>
      </c>
      <c r="U642" s="2"/>
      <c r="V642" s="2"/>
      <c r="W642" s="2"/>
      <c r="X642" s="2"/>
      <c r="Y642" s="2"/>
      <c r="Z642" s="2"/>
      <c r="AA642" s="2"/>
      <c r="AB642" s="2" t="s">
        <v>147</v>
      </c>
      <c r="AC642" s="2"/>
      <c r="AD642" s="2"/>
    </row>
    <row r="643" spans="1:30" ht="12" customHeight="1">
      <c r="A643" s="828" t="s">
        <v>17337</v>
      </c>
      <c r="B643" s="3" t="s">
        <v>2383</v>
      </c>
      <c r="C643" s="1" t="s">
        <v>5328</v>
      </c>
      <c r="D643" s="5">
        <f t="shared" si="10"/>
        <v>39</v>
      </c>
      <c r="E643" s="2" t="s">
        <v>5</v>
      </c>
      <c r="F643" s="2" t="s">
        <v>15273</v>
      </c>
      <c r="G643" s="3"/>
      <c r="H643" s="1"/>
      <c r="I643" s="1"/>
      <c r="J643" s="4" t="s">
        <v>16116</v>
      </c>
      <c r="K643" s="1" t="s">
        <v>4422</v>
      </c>
      <c r="L643" s="1" t="s">
        <v>6</v>
      </c>
      <c r="M643" s="825"/>
      <c r="N643" s="17"/>
      <c r="O643" s="3" t="s">
        <v>2551</v>
      </c>
      <c r="P643" s="21">
        <v>26993</v>
      </c>
      <c r="Q643" s="3" t="s">
        <v>5330</v>
      </c>
      <c r="R643" s="3"/>
      <c r="S643" s="3" t="s">
        <v>469</v>
      </c>
      <c r="T643" s="3" t="s">
        <v>145</v>
      </c>
      <c r="U643" s="2"/>
      <c r="V643" s="2" t="s">
        <v>145</v>
      </c>
      <c r="W643" s="2"/>
      <c r="X643" s="2"/>
      <c r="Y643" s="2"/>
      <c r="Z643" s="2"/>
      <c r="AA643" s="2"/>
      <c r="AB643" s="2"/>
      <c r="AC643" s="2"/>
      <c r="AD643" s="2"/>
    </row>
    <row r="644" spans="1:30" ht="12" customHeight="1">
      <c r="A644" s="828" t="s">
        <v>17338</v>
      </c>
      <c r="B644" s="3" t="s">
        <v>2384</v>
      </c>
      <c r="C644" s="1" t="s">
        <v>2393</v>
      </c>
      <c r="D644" s="5">
        <f t="shared" si="10"/>
        <v>54</v>
      </c>
      <c r="E644" s="2" t="s">
        <v>19</v>
      </c>
      <c r="F644" s="2"/>
      <c r="G644" s="3"/>
      <c r="H644" s="1"/>
      <c r="I644" s="1"/>
      <c r="J644" s="4" t="s">
        <v>16117</v>
      </c>
      <c r="K644" s="1"/>
      <c r="L644" s="1" t="s">
        <v>6</v>
      </c>
      <c r="M644" s="825"/>
      <c r="N644" s="17"/>
      <c r="O644" s="3" t="s">
        <v>2394</v>
      </c>
      <c r="P644" s="20">
        <v>21264</v>
      </c>
      <c r="Q644" s="3" t="s">
        <v>2395</v>
      </c>
      <c r="R644" s="3"/>
      <c r="S644" s="3"/>
      <c r="T644" s="3"/>
      <c r="U644" s="2"/>
      <c r="V644" s="2"/>
      <c r="W644" s="2"/>
      <c r="X644" s="2"/>
      <c r="Y644" s="2"/>
      <c r="Z644" s="2"/>
      <c r="AA644" s="2"/>
      <c r="AB644" s="2"/>
      <c r="AC644" s="2"/>
      <c r="AD644" s="2"/>
    </row>
    <row r="645" spans="1:30" ht="12" customHeight="1">
      <c r="A645" s="828" t="s">
        <v>17339</v>
      </c>
      <c r="B645" s="3" t="s">
        <v>5327</v>
      </c>
      <c r="C645" s="1" t="s">
        <v>2396</v>
      </c>
      <c r="D645" s="5">
        <f t="shared" si="10"/>
        <v>63</v>
      </c>
      <c r="E645" s="2" t="s">
        <v>5</v>
      </c>
      <c r="F645" s="2" t="s">
        <v>15273</v>
      </c>
      <c r="G645" s="3"/>
      <c r="H645" s="1"/>
      <c r="I645" s="1"/>
      <c r="J645" s="4" t="s">
        <v>16121</v>
      </c>
      <c r="K645" s="1"/>
      <c r="L645" s="1" t="s">
        <v>6</v>
      </c>
      <c r="M645" s="825"/>
      <c r="N645" s="17"/>
      <c r="O645" s="3" t="s">
        <v>2397</v>
      </c>
      <c r="P645" s="20">
        <v>17954</v>
      </c>
      <c r="Q645" s="3" t="s">
        <v>2398</v>
      </c>
      <c r="R645" s="3"/>
      <c r="S645" s="3"/>
      <c r="T645" s="3" t="s">
        <v>145</v>
      </c>
      <c r="U645" s="2"/>
      <c r="V645" s="2" t="s">
        <v>145</v>
      </c>
      <c r="W645" s="2"/>
      <c r="X645" s="2"/>
      <c r="Y645" s="2"/>
      <c r="Z645" s="2"/>
      <c r="AA645" s="2"/>
      <c r="AB645" s="2"/>
      <c r="AC645" s="2"/>
      <c r="AD645" s="2"/>
    </row>
    <row r="646" spans="1:30" ht="12" customHeight="1">
      <c r="A646" s="828" t="s">
        <v>17340</v>
      </c>
      <c r="B646" s="3" t="s">
        <v>2399</v>
      </c>
      <c r="C646" s="1" t="s">
        <v>2402</v>
      </c>
      <c r="D646" s="5">
        <f t="shared" si="10"/>
        <v>37</v>
      </c>
      <c r="E646" s="2" t="s">
        <v>5</v>
      </c>
      <c r="F646" s="6" t="s">
        <v>15273</v>
      </c>
      <c r="G646" s="3" t="s">
        <v>2403</v>
      </c>
      <c r="H646" s="1"/>
      <c r="I646" s="1"/>
      <c r="J646" s="8" t="s">
        <v>16127</v>
      </c>
      <c r="K646" s="1" t="s">
        <v>736</v>
      </c>
      <c r="L646" s="1" t="s">
        <v>25</v>
      </c>
      <c r="M646" s="825">
        <v>2</v>
      </c>
      <c r="N646" s="17">
        <v>2</v>
      </c>
      <c r="O646" s="3" t="s">
        <v>31</v>
      </c>
      <c r="P646" s="20">
        <v>27384</v>
      </c>
      <c r="Q646" s="3" t="s">
        <v>2406</v>
      </c>
      <c r="R646" s="3" t="s">
        <v>2405</v>
      </c>
      <c r="S646" s="3" t="s">
        <v>736</v>
      </c>
      <c r="T646" s="3"/>
      <c r="U646" s="2"/>
      <c r="V646" s="2"/>
      <c r="W646" s="2"/>
      <c r="X646" s="2"/>
      <c r="Y646" s="2"/>
      <c r="Z646" s="2"/>
      <c r="AA646" s="2"/>
      <c r="AB646" s="2"/>
      <c r="AC646" s="2"/>
      <c r="AD646" s="2"/>
    </row>
    <row r="647" spans="1:30" ht="12" customHeight="1">
      <c r="A647" s="828" t="s">
        <v>17341</v>
      </c>
      <c r="B647" s="3" t="s">
        <v>2400</v>
      </c>
      <c r="C647" s="1" t="s">
        <v>2407</v>
      </c>
      <c r="D647" s="5">
        <f t="shared" si="10"/>
        <v>60</v>
      </c>
      <c r="E647" s="2" t="s">
        <v>5</v>
      </c>
      <c r="F647" s="2" t="s">
        <v>15273</v>
      </c>
      <c r="G647" s="3" t="s">
        <v>2408</v>
      </c>
      <c r="H647" s="1"/>
      <c r="I647" s="1"/>
      <c r="J647" s="8" t="s">
        <v>16120</v>
      </c>
      <c r="K647" s="1" t="s">
        <v>30</v>
      </c>
      <c r="L647" s="1" t="s">
        <v>25</v>
      </c>
      <c r="M647" s="825">
        <v>5</v>
      </c>
      <c r="N647" s="17">
        <v>5</v>
      </c>
      <c r="O647" s="3" t="s">
        <v>95</v>
      </c>
      <c r="P647" s="20">
        <v>19182</v>
      </c>
      <c r="Q647" s="3" t="s">
        <v>2409</v>
      </c>
      <c r="R647" s="3" t="s">
        <v>2526</v>
      </c>
      <c r="S647" s="3" t="s">
        <v>5457</v>
      </c>
      <c r="T647" s="3" t="s">
        <v>145</v>
      </c>
      <c r="U647" s="2"/>
      <c r="V647" s="2" t="s">
        <v>145</v>
      </c>
      <c r="W647" s="2"/>
      <c r="X647" s="2"/>
      <c r="Y647" s="2"/>
      <c r="Z647" s="2"/>
      <c r="AA647" s="2"/>
      <c r="AB647" s="2"/>
      <c r="AC647" s="2"/>
      <c r="AD647" s="2"/>
    </row>
    <row r="648" spans="1:30" ht="12" customHeight="1">
      <c r="A648" s="828" t="s">
        <v>17342</v>
      </c>
      <c r="B648" s="3" t="s">
        <v>2401</v>
      </c>
      <c r="C648" s="1" t="s">
        <v>2414</v>
      </c>
      <c r="D648" s="5">
        <f t="shared" si="10"/>
        <v>42</v>
      </c>
      <c r="E648" s="2" t="s">
        <v>5</v>
      </c>
      <c r="F648" s="2" t="s">
        <v>15273</v>
      </c>
      <c r="G648" s="3"/>
      <c r="H648" s="1"/>
      <c r="I648" s="1"/>
      <c r="J648" s="4" t="s">
        <v>16128</v>
      </c>
      <c r="K648" s="1"/>
      <c r="L648" s="1" t="s">
        <v>6</v>
      </c>
      <c r="M648" s="825"/>
      <c r="N648" s="17"/>
      <c r="O648" s="3" t="s">
        <v>7</v>
      </c>
      <c r="P648" s="20">
        <v>25752</v>
      </c>
      <c r="Q648" s="3" t="s">
        <v>2415</v>
      </c>
      <c r="R648" s="3"/>
      <c r="S648" s="3" t="s">
        <v>6031</v>
      </c>
      <c r="T648" s="3"/>
      <c r="U648" s="2"/>
      <c r="V648" s="2"/>
      <c r="W648" s="2"/>
      <c r="X648" s="2"/>
      <c r="Y648" s="2"/>
      <c r="Z648" s="2"/>
      <c r="AA648" s="2"/>
      <c r="AB648" s="2"/>
      <c r="AC648" s="2"/>
      <c r="AD648" s="2"/>
    </row>
    <row r="649" spans="1:30" ht="12" customHeight="1">
      <c r="A649" s="828" t="s">
        <v>17343</v>
      </c>
      <c r="B649" s="3" t="s">
        <v>2413</v>
      </c>
      <c r="C649" s="1" t="s">
        <v>2410</v>
      </c>
      <c r="D649" s="5">
        <f t="shared" si="10"/>
        <v>61</v>
      </c>
      <c r="E649" s="2" t="s">
        <v>5</v>
      </c>
      <c r="F649" s="2"/>
      <c r="G649" s="3"/>
      <c r="H649" s="1"/>
      <c r="I649" s="1"/>
      <c r="J649" s="4" t="s">
        <v>16117</v>
      </c>
      <c r="K649" s="1"/>
      <c r="L649" s="1" t="s">
        <v>6</v>
      </c>
      <c r="M649" s="825"/>
      <c r="N649" s="17"/>
      <c r="O649" s="3" t="s">
        <v>2411</v>
      </c>
      <c r="P649" s="20">
        <v>18669</v>
      </c>
      <c r="Q649" s="3" t="s">
        <v>2412</v>
      </c>
      <c r="R649" s="3"/>
      <c r="S649" s="3"/>
      <c r="T649" s="3" t="s">
        <v>148</v>
      </c>
      <c r="U649" s="2"/>
      <c r="V649" s="2" t="s">
        <v>145</v>
      </c>
      <c r="W649" s="2"/>
      <c r="X649" s="2"/>
      <c r="Y649" s="2"/>
      <c r="Z649" s="2"/>
      <c r="AA649" s="2"/>
      <c r="AB649" s="2"/>
      <c r="AC649" s="2"/>
      <c r="AD649" s="2" t="s">
        <v>69</v>
      </c>
    </row>
    <row r="650" spans="1:30" ht="12" customHeight="1">
      <c r="A650" s="828" t="s">
        <v>17344</v>
      </c>
      <c r="B650" s="3" t="s">
        <v>2416</v>
      </c>
      <c r="C650" s="1" t="s">
        <v>2419</v>
      </c>
      <c r="D650" s="5">
        <f t="shared" si="10"/>
        <v>68</v>
      </c>
      <c r="E650" s="2" t="s">
        <v>5</v>
      </c>
      <c r="F650" s="6" t="s">
        <v>15273</v>
      </c>
      <c r="G650" s="3" t="s">
        <v>2420</v>
      </c>
      <c r="H650" s="1"/>
      <c r="I650" s="1"/>
      <c r="J650" s="8" t="s">
        <v>16127</v>
      </c>
      <c r="K650" s="1" t="s">
        <v>276</v>
      </c>
      <c r="L650" s="1" t="s">
        <v>25</v>
      </c>
      <c r="M650" s="825">
        <v>3</v>
      </c>
      <c r="N650" s="17">
        <v>3</v>
      </c>
      <c r="O650" s="3" t="s">
        <v>317</v>
      </c>
      <c r="P650" s="20">
        <v>16220</v>
      </c>
      <c r="Q650" s="3" t="s">
        <v>2423</v>
      </c>
      <c r="R650" s="3" t="s">
        <v>2424</v>
      </c>
      <c r="S650" s="3" t="s">
        <v>736</v>
      </c>
      <c r="T650" s="3" t="s">
        <v>47</v>
      </c>
      <c r="U650" s="2" t="s">
        <v>47</v>
      </c>
      <c r="V650" s="2"/>
      <c r="W650" s="2"/>
      <c r="X650" s="2"/>
      <c r="Y650" s="2"/>
      <c r="Z650" s="2"/>
      <c r="AA650" s="2"/>
      <c r="AB650" s="2"/>
      <c r="AC650" s="2"/>
      <c r="AD650" s="2"/>
    </row>
    <row r="651" spans="1:30" ht="12" customHeight="1">
      <c r="A651" s="828" t="s">
        <v>17345</v>
      </c>
      <c r="B651" s="3" t="s">
        <v>2417</v>
      </c>
      <c r="C651" s="1" t="s">
        <v>2425</v>
      </c>
      <c r="D651" s="5">
        <f t="shared" si="10"/>
        <v>56</v>
      </c>
      <c r="E651" s="2" t="s">
        <v>5</v>
      </c>
      <c r="F651" s="2" t="s">
        <v>15273</v>
      </c>
      <c r="G651" s="3" t="s">
        <v>2426</v>
      </c>
      <c r="H651" s="1"/>
      <c r="I651" s="1"/>
      <c r="J651" s="4" t="s">
        <v>16120</v>
      </c>
      <c r="K651" s="1" t="s">
        <v>48</v>
      </c>
      <c r="L651" s="1" t="s">
        <v>25</v>
      </c>
      <c r="M651" s="825">
        <v>4</v>
      </c>
      <c r="N651" s="17">
        <v>4</v>
      </c>
      <c r="O651" s="3" t="s">
        <v>452</v>
      </c>
      <c r="P651" s="20">
        <v>20470</v>
      </c>
      <c r="Q651" s="3" t="s">
        <v>2427</v>
      </c>
      <c r="R651" s="3" t="s">
        <v>2428</v>
      </c>
      <c r="S651" s="3" t="s">
        <v>5457</v>
      </c>
      <c r="T651" s="3"/>
      <c r="U651" s="2"/>
      <c r="V651" s="2"/>
      <c r="W651" s="2"/>
      <c r="X651" s="2"/>
      <c r="Y651" s="2"/>
      <c r="Z651" s="2"/>
      <c r="AA651" s="2"/>
      <c r="AB651" s="2"/>
      <c r="AC651" s="2"/>
      <c r="AD651" s="2"/>
    </row>
    <row r="652" spans="1:30" ht="12" customHeight="1">
      <c r="A652" s="828" t="s">
        <v>17346</v>
      </c>
      <c r="B652" s="3" t="s">
        <v>2418</v>
      </c>
      <c r="C652" s="1" t="s">
        <v>5408</v>
      </c>
      <c r="D652" s="5">
        <f t="shared" si="10"/>
        <v>38</v>
      </c>
      <c r="E652" s="2" t="s">
        <v>5</v>
      </c>
      <c r="F652" s="2" t="s">
        <v>15273</v>
      </c>
      <c r="G652" s="3"/>
      <c r="H652" s="1"/>
      <c r="I652" s="1"/>
      <c r="J652" s="4" t="s">
        <v>16116</v>
      </c>
      <c r="K652" s="1" t="s">
        <v>4997</v>
      </c>
      <c r="L652" s="1" t="s">
        <v>6</v>
      </c>
      <c r="M652" s="825"/>
      <c r="N652" s="17"/>
      <c r="O652" s="3" t="s">
        <v>3009</v>
      </c>
      <c r="P652" s="20">
        <v>27186</v>
      </c>
      <c r="Q652" s="3" t="s">
        <v>16304</v>
      </c>
      <c r="R652" s="3"/>
      <c r="S652" s="3" t="s">
        <v>469</v>
      </c>
      <c r="T652" s="3"/>
      <c r="U652" s="2"/>
      <c r="V652" s="2"/>
      <c r="W652" s="2"/>
      <c r="X652" s="2"/>
      <c r="Y652" s="2"/>
      <c r="Z652" s="2"/>
      <c r="AA652" s="2"/>
      <c r="AB652" s="2"/>
      <c r="AC652" s="2"/>
      <c r="AD652" s="2"/>
    </row>
    <row r="653" spans="1:30" ht="12" customHeight="1">
      <c r="A653" s="828" t="s">
        <v>17347</v>
      </c>
      <c r="B653" s="3" t="s">
        <v>5407</v>
      </c>
      <c r="C653" s="1" t="s">
        <v>2429</v>
      </c>
      <c r="D653" s="5">
        <f t="shared" si="10"/>
        <v>55</v>
      </c>
      <c r="E653" s="2" t="s">
        <v>5</v>
      </c>
      <c r="F653" s="2"/>
      <c r="G653" s="3"/>
      <c r="H653" s="1"/>
      <c r="I653" s="1"/>
      <c r="J653" s="4" t="s">
        <v>16117</v>
      </c>
      <c r="K653" s="1"/>
      <c r="L653" s="1" t="s">
        <v>6</v>
      </c>
      <c r="M653" s="825"/>
      <c r="N653" s="17"/>
      <c r="O653" s="3" t="s">
        <v>2430</v>
      </c>
      <c r="P653" s="20">
        <v>20901</v>
      </c>
      <c r="Q653" s="3" t="s">
        <v>2431</v>
      </c>
      <c r="R653" s="3"/>
      <c r="S653" s="3"/>
      <c r="T653" s="3"/>
      <c r="U653" s="2"/>
      <c r="V653" s="2"/>
      <c r="W653" s="2"/>
      <c r="X653" s="2"/>
      <c r="Y653" s="2"/>
      <c r="Z653" s="2"/>
      <c r="AA653" s="2"/>
      <c r="AB653" s="2"/>
      <c r="AC653" s="2"/>
      <c r="AD653" s="2"/>
    </row>
    <row r="654" spans="1:30" ht="12" customHeight="1">
      <c r="A654" s="828" t="s">
        <v>17348</v>
      </c>
      <c r="B654" s="3" t="s">
        <v>2432</v>
      </c>
      <c r="C654" s="1" t="s">
        <v>2435</v>
      </c>
      <c r="D654" s="5">
        <f t="shared" si="10"/>
        <v>64</v>
      </c>
      <c r="E654" s="2" t="s">
        <v>5</v>
      </c>
      <c r="F654" s="6" t="s">
        <v>15273</v>
      </c>
      <c r="G654" s="3" t="s">
        <v>2436</v>
      </c>
      <c r="H654" s="1"/>
      <c r="I654" s="1"/>
      <c r="J654" s="8" t="s">
        <v>16126</v>
      </c>
      <c r="K654" s="1" t="s">
        <v>44</v>
      </c>
      <c r="L654" s="1" t="s">
        <v>25</v>
      </c>
      <c r="M654" s="825">
        <v>3</v>
      </c>
      <c r="N654" s="17">
        <v>3</v>
      </c>
      <c r="O654" s="3" t="s">
        <v>1493</v>
      </c>
      <c r="P654" s="20">
        <v>17731</v>
      </c>
      <c r="Q654" s="3" t="s">
        <v>2437</v>
      </c>
      <c r="R654" s="3" t="s">
        <v>2438</v>
      </c>
      <c r="S654" s="3" t="s">
        <v>736</v>
      </c>
      <c r="T654" s="3" t="s">
        <v>47</v>
      </c>
      <c r="U654" s="2" t="s">
        <v>47</v>
      </c>
      <c r="V654" s="2"/>
      <c r="W654" s="2"/>
      <c r="X654" s="2"/>
      <c r="Y654" s="2"/>
      <c r="Z654" s="2"/>
      <c r="AA654" s="2"/>
      <c r="AB654" s="2"/>
      <c r="AC654" s="2"/>
      <c r="AD654" s="2"/>
    </row>
    <row r="655" spans="1:30" ht="12" customHeight="1">
      <c r="A655" s="828" t="s">
        <v>17349</v>
      </c>
      <c r="B655" s="3" t="s">
        <v>2433</v>
      </c>
      <c r="C655" s="1" t="s">
        <v>2439</v>
      </c>
      <c r="D655" s="5">
        <f t="shared" si="10"/>
        <v>51</v>
      </c>
      <c r="E655" s="2" t="s">
        <v>5</v>
      </c>
      <c r="F655" s="2" t="s">
        <v>15273</v>
      </c>
      <c r="G655" s="3"/>
      <c r="H655" s="1"/>
      <c r="I655" s="1"/>
      <c r="J655" s="4" t="s">
        <v>16120</v>
      </c>
      <c r="K655" s="1" t="s">
        <v>30</v>
      </c>
      <c r="L655" s="1" t="s">
        <v>6</v>
      </c>
      <c r="M655" s="825"/>
      <c r="N655" s="17"/>
      <c r="O655" s="3" t="s">
        <v>2440</v>
      </c>
      <c r="P655" s="21">
        <v>22618</v>
      </c>
      <c r="Q655" s="3" t="s">
        <v>2497</v>
      </c>
      <c r="R655" s="3"/>
      <c r="S655" s="3" t="s">
        <v>16466</v>
      </c>
      <c r="T655" s="3"/>
      <c r="U655" s="2"/>
      <c r="V655" s="2"/>
      <c r="W655" s="2"/>
      <c r="X655" s="2"/>
      <c r="Y655" s="2"/>
      <c r="Z655" s="2"/>
      <c r="AA655" s="2"/>
      <c r="AB655" s="2"/>
      <c r="AC655" s="2"/>
      <c r="AD655" s="2"/>
    </row>
    <row r="656" spans="1:30" ht="12" customHeight="1">
      <c r="A656" s="828" t="s">
        <v>17350</v>
      </c>
      <c r="B656" s="3" t="s">
        <v>2434</v>
      </c>
      <c r="C656" s="1" t="s">
        <v>5611</v>
      </c>
      <c r="D656" s="5">
        <f t="shared" si="10"/>
        <v>57</v>
      </c>
      <c r="E656" s="2" t="s">
        <v>5</v>
      </c>
      <c r="F656" s="2" t="s">
        <v>15273</v>
      </c>
      <c r="G656" s="3"/>
      <c r="H656" s="1"/>
      <c r="I656" s="1"/>
      <c r="J656" s="4" t="s">
        <v>16116</v>
      </c>
      <c r="K656" s="1" t="s">
        <v>4997</v>
      </c>
      <c r="L656" s="1" t="s">
        <v>6</v>
      </c>
      <c r="M656" s="825"/>
      <c r="N656" s="17"/>
      <c r="O656" s="3" t="s">
        <v>5612</v>
      </c>
      <c r="P656" s="21">
        <v>20130</v>
      </c>
      <c r="Q656" s="3" t="s">
        <v>5695</v>
      </c>
      <c r="R656" s="3"/>
      <c r="S656" s="3" t="s">
        <v>469</v>
      </c>
      <c r="T656" s="3"/>
      <c r="U656" s="2"/>
      <c r="V656" s="2"/>
      <c r="W656" s="2"/>
      <c r="X656" s="2"/>
      <c r="Y656" s="2"/>
      <c r="Z656" s="2"/>
      <c r="AA656" s="2"/>
      <c r="AB656" s="2"/>
      <c r="AC656" s="2"/>
      <c r="AD656" s="2"/>
    </row>
    <row r="657" spans="1:30" ht="12" customHeight="1">
      <c r="A657" s="828" t="s">
        <v>17351</v>
      </c>
      <c r="B657" s="3" t="s">
        <v>5610</v>
      </c>
      <c r="C657" s="1" t="s">
        <v>2441</v>
      </c>
      <c r="D657" s="5">
        <f t="shared" si="10"/>
        <v>33</v>
      </c>
      <c r="E657" s="2" t="s">
        <v>5</v>
      </c>
      <c r="F657" s="2"/>
      <c r="G657" s="3"/>
      <c r="H657" s="1"/>
      <c r="I657" s="1"/>
      <c r="J657" s="4" t="s">
        <v>16117</v>
      </c>
      <c r="K657" s="1"/>
      <c r="L657" s="1" t="s">
        <v>6</v>
      </c>
      <c r="M657" s="825"/>
      <c r="N657" s="17"/>
      <c r="O657" s="3" t="s">
        <v>2440</v>
      </c>
      <c r="P657" s="21">
        <v>29080</v>
      </c>
      <c r="Q657" s="3" t="s">
        <v>2442</v>
      </c>
      <c r="R657" s="3"/>
      <c r="S657" s="3"/>
      <c r="T657" s="3"/>
      <c r="U657" s="2"/>
      <c r="V657" s="2"/>
      <c r="W657" s="2"/>
      <c r="X657" s="2"/>
      <c r="Y657" s="2"/>
      <c r="Z657" s="2"/>
      <c r="AA657" s="2"/>
      <c r="AB657" s="2"/>
      <c r="AC657" s="2"/>
      <c r="AD657" s="2"/>
    </row>
    <row r="658" spans="1:30" ht="12" customHeight="1">
      <c r="A658" s="828" t="s">
        <v>17352</v>
      </c>
      <c r="B658" s="3" t="s">
        <v>2443</v>
      </c>
      <c r="C658" s="1" t="s">
        <v>2447</v>
      </c>
      <c r="D658" s="5">
        <f t="shared" si="10"/>
        <v>56</v>
      </c>
      <c r="E658" s="2" t="s">
        <v>5</v>
      </c>
      <c r="F658" s="6" t="s">
        <v>15273</v>
      </c>
      <c r="G658" s="3" t="s">
        <v>2448</v>
      </c>
      <c r="H658" s="1"/>
      <c r="I658" s="1"/>
      <c r="J658" s="8" t="s">
        <v>16127</v>
      </c>
      <c r="K658" s="1" t="s">
        <v>604</v>
      </c>
      <c r="L658" s="1" t="s">
        <v>25</v>
      </c>
      <c r="M658" s="825">
        <v>3</v>
      </c>
      <c r="N658" s="17">
        <v>3</v>
      </c>
      <c r="O658" s="3" t="s">
        <v>2440</v>
      </c>
      <c r="P658" s="20">
        <v>20452</v>
      </c>
      <c r="Q658" s="3" t="s">
        <v>2449</v>
      </c>
      <c r="R658" s="3" t="s">
        <v>2428</v>
      </c>
      <c r="S658" s="3" t="s">
        <v>736</v>
      </c>
      <c r="T658" s="3" t="s">
        <v>104</v>
      </c>
      <c r="U658" s="2"/>
      <c r="V658" s="2"/>
      <c r="W658" s="2"/>
      <c r="X658" s="2"/>
      <c r="Y658" s="2"/>
      <c r="Z658" s="2"/>
      <c r="AA658" s="2" t="s">
        <v>104</v>
      </c>
      <c r="AB658" s="2"/>
      <c r="AC658" s="2"/>
      <c r="AD658" s="2"/>
    </row>
    <row r="659" spans="1:30" ht="12" customHeight="1">
      <c r="A659" s="828" t="s">
        <v>17353</v>
      </c>
      <c r="B659" s="3" t="s">
        <v>2444</v>
      </c>
      <c r="C659" s="1" t="s">
        <v>2450</v>
      </c>
      <c r="D659" s="5">
        <f t="shared" si="10"/>
        <v>56</v>
      </c>
      <c r="E659" s="2" t="s">
        <v>5</v>
      </c>
      <c r="F659" s="2" t="s">
        <v>15273</v>
      </c>
      <c r="G659" s="3"/>
      <c r="H659" s="1"/>
      <c r="I659" s="1"/>
      <c r="J659" s="8" t="s">
        <v>16120</v>
      </c>
      <c r="K659" s="1" t="s">
        <v>30</v>
      </c>
      <c r="L659" s="1" t="s">
        <v>6</v>
      </c>
      <c r="M659" s="825"/>
      <c r="N659" s="17"/>
      <c r="O659" s="3" t="s">
        <v>317</v>
      </c>
      <c r="P659" s="20">
        <v>20639</v>
      </c>
      <c r="Q659" s="3" t="s">
        <v>2451</v>
      </c>
      <c r="R659" s="3"/>
      <c r="S659" s="3" t="s">
        <v>5457</v>
      </c>
      <c r="T659" s="3" t="s">
        <v>47</v>
      </c>
      <c r="U659" s="2" t="s">
        <v>47</v>
      </c>
      <c r="V659" s="2"/>
      <c r="W659" s="2"/>
      <c r="X659" s="2"/>
      <c r="Y659" s="2"/>
      <c r="Z659" s="2"/>
      <c r="AA659" s="2"/>
      <c r="AB659" s="2"/>
      <c r="AC659" s="2"/>
      <c r="AD659" s="2"/>
    </row>
    <row r="660" spans="1:30" ht="12" customHeight="1">
      <c r="A660" s="828" t="s">
        <v>17354</v>
      </c>
      <c r="B660" s="3" t="s">
        <v>2445</v>
      </c>
      <c r="C660" s="1" t="s">
        <v>5297</v>
      </c>
      <c r="D660" s="5">
        <f t="shared" si="10"/>
        <v>29</v>
      </c>
      <c r="E660" s="2" t="s">
        <v>5</v>
      </c>
      <c r="F660" s="2" t="s">
        <v>15273</v>
      </c>
      <c r="G660" s="3"/>
      <c r="H660" s="1"/>
      <c r="I660" s="1"/>
      <c r="J660" s="4" t="s">
        <v>16116</v>
      </c>
      <c r="K660" s="1" t="s">
        <v>4997</v>
      </c>
      <c r="L660" s="1" t="s">
        <v>6</v>
      </c>
      <c r="M660" s="825"/>
      <c r="N660" s="17"/>
      <c r="O660" s="3" t="s">
        <v>5299</v>
      </c>
      <c r="P660" s="21">
        <v>30351</v>
      </c>
      <c r="Q660" s="3" t="s">
        <v>5851</v>
      </c>
      <c r="R660" s="3"/>
      <c r="S660" s="3" t="s">
        <v>469</v>
      </c>
      <c r="T660" s="3"/>
      <c r="U660" s="2"/>
      <c r="V660" s="2"/>
      <c r="W660" s="2"/>
      <c r="X660" s="2"/>
      <c r="Y660" s="2"/>
      <c r="Z660" s="2"/>
      <c r="AA660" s="2"/>
      <c r="AB660" s="2"/>
      <c r="AC660" s="2"/>
      <c r="AD660" s="2"/>
    </row>
    <row r="661" spans="1:30" ht="12" customHeight="1">
      <c r="A661" s="828" t="s">
        <v>17355</v>
      </c>
      <c r="B661" s="3" t="s">
        <v>2446</v>
      </c>
      <c r="C661" s="1" t="s">
        <v>2452</v>
      </c>
      <c r="D661" s="5">
        <f t="shared" si="10"/>
        <v>50</v>
      </c>
      <c r="E661" s="2" t="s">
        <v>5</v>
      </c>
      <c r="F661" s="2"/>
      <c r="G661" s="3"/>
      <c r="H661" s="1"/>
      <c r="I661" s="1"/>
      <c r="J661" s="4" t="s">
        <v>16117</v>
      </c>
      <c r="K661" s="1"/>
      <c r="L661" s="1" t="s">
        <v>6</v>
      </c>
      <c r="M661" s="825"/>
      <c r="N661" s="17"/>
      <c r="O661" s="3" t="s">
        <v>2440</v>
      </c>
      <c r="P661" s="21">
        <v>22946</v>
      </c>
      <c r="Q661" s="3" t="s">
        <v>53</v>
      </c>
      <c r="R661" s="3"/>
      <c r="S661" s="3"/>
      <c r="T661" s="3"/>
      <c r="U661" s="2"/>
      <c r="V661" s="2"/>
      <c r="W661" s="2"/>
      <c r="X661" s="2"/>
      <c r="Y661" s="2"/>
      <c r="Z661" s="2"/>
      <c r="AA661" s="2"/>
      <c r="AB661" s="2"/>
      <c r="AC661" s="2"/>
      <c r="AD661" s="2"/>
    </row>
    <row r="662" spans="1:30" ht="12" customHeight="1">
      <c r="A662" s="828" t="s">
        <v>17356</v>
      </c>
      <c r="B662" s="3" t="s">
        <v>5296</v>
      </c>
      <c r="C662" s="1" t="s">
        <v>2453</v>
      </c>
      <c r="D662" s="5">
        <f t="shared" si="10"/>
        <v>53</v>
      </c>
      <c r="E662" s="2" t="s">
        <v>5</v>
      </c>
      <c r="F662" s="2"/>
      <c r="G662" s="3"/>
      <c r="H662" s="1"/>
      <c r="I662" s="1"/>
      <c r="J662" s="4" t="s">
        <v>16122</v>
      </c>
      <c r="K662" s="1" t="s">
        <v>22</v>
      </c>
      <c r="L662" s="1" t="s">
        <v>6</v>
      </c>
      <c r="M662" s="825"/>
      <c r="N662" s="17"/>
      <c r="O662" s="3" t="s">
        <v>172</v>
      </c>
      <c r="P662" s="20">
        <v>21572</v>
      </c>
      <c r="Q662" s="3" t="s">
        <v>2454</v>
      </c>
      <c r="R662" s="3"/>
      <c r="S662" s="3"/>
      <c r="T662" s="3"/>
      <c r="U662" s="2"/>
      <c r="V662" s="2"/>
      <c r="W662" s="2"/>
      <c r="X662" s="2"/>
      <c r="Y662" s="2"/>
      <c r="Z662" s="2"/>
      <c r="AA662" s="2"/>
      <c r="AB662" s="2"/>
      <c r="AC662" s="2"/>
      <c r="AD662" s="2"/>
    </row>
    <row r="663" spans="1:30" ht="12" customHeight="1">
      <c r="A663" s="828" t="s">
        <v>17357</v>
      </c>
      <c r="B663" s="3" t="s">
        <v>2455</v>
      </c>
      <c r="C663" s="1" t="s">
        <v>5338</v>
      </c>
      <c r="D663" s="5">
        <f t="shared" si="10"/>
        <v>59</v>
      </c>
      <c r="E663" s="2" t="s">
        <v>5</v>
      </c>
      <c r="F663" s="6" t="s">
        <v>15273</v>
      </c>
      <c r="G663" s="3"/>
      <c r="H663" s="1"/>
      <c r="I663" s="1"/>
      <c r="J663" s="8" t="s">
        <v>16127</v>
      </c>
      <c r="K663" s="1" t="s">
        <v>44</v>
      </c>
      <c r="L663" s="1" t="s">
        <v>6</v>
      </c>
      <c r="M663" s="825"/>
      <c r="N663" s="17"/>
      <c r="O663" s="3" t="s">
        <v>1742</v>
      </c>
      <c r="P663" s="20">
        <v>19599</v>
      </c>
      <c r="Q663" s="3" t="s">
        <v>5339</v>
      </c>
      <c r="R663" s="3"/>
      <c r="S663" s="3" t="s">
        <v>736</v>
      </c>
      <c r="T663" s="3" t="s">
        <v>145</v>
      </c>
      <c r="U663" s="2"/>
      <c r="V663" s="2" t="s">
        <v>145</v>
      </c>
      <c r="W663" s="2"/>
      <c r="X663" s="2"/>
      <c r="Y663" s="2"/>
      <c r="Z663" s="2"/>
      <c r="AA663" s="2"/>
      <c r="AB663" s="2"/>
      <c r="AC663" s="2"/>
      <c r="AD663" s="2"/>
    </row>
    <row r="664" spans="1:30" ht="12" customHeight="1">
      <c r="A664" s="828" t="s">
        <v>17358</v>
      </c>
      <c r="B664" s="3" t="s">
        <v>2456</v>
      </c>
      <c r="C664" s="1" t="s">
        <v>2459</v>
      </c>
      <c r="D664" s="5">
        <f t="shared" si="10"/>
        <v>48</v>
      </c>
      <c r="E664" s="2" t="s">
        <v>5</v>
      </c>
      <c r="F664" s="2" t="s">
        <v>15273</v>
      </c>
      <c r="G664" s="3"/>
      <c r="H664" s="1"/>
      <c r="I664" s="1"/>
      <c r="J664" s="4" t="s">
        <v>16120</v>
      </c>
      <c r="K664" s="1" t="s">
        <v>30</v>
      </c>
      <c r="L664" s="1" t="s">
        <v>6</v>
      </c>
      <c r="M664" s="825"/>
      <c r="N664" s="17"/>
      <c r="O664" s="3" t="s">
        <v>95</v>
      </c>
      <c r="P664" s="20">
        <v>23592</v>
      </c>
      <c r="Q664" s="3" t="s">
        <v>2460</v>
      </c>
      <c r="R664" s="3"/>
      <c r="S664" s="3"/>
      <c r="T664" s="3" t="s">
        <v>635</v>
      </c>
      <c r="U664" s="2"/>
      <c r="V664" s="2" t="s">
        <v>145</v>
      </c>
      <c r="W664" s="2"/>
      <c r="X664" s="2"/>
      <c r="Y664" s="2"/>
      <c r="Z664" s="2"/>
      <c r="AA664" s="2"/>
      <c r="AB664" s="2"/>
      <c r="AC664" s="2" t="s">
        <v>146</v>
      </c>
      <c r="AD664" s="2"/>
    </row>
    <row r="665" spans="1:30" ht="12" customHeight="1">
      <c r="A665" s="828" t="s">
        <v>17359</v>
      </c>
      <c r="B665" s="3" t="s">
        <v>2457</v>
      </c>
      <c r="C665" s="1" t="s">
        <v>5301</v>
      </c>
      <c r="D665" s="5">
        <f t="shared" si="10"/>
        <v>44</v>
      </c>
      <c r="E665" s="2" t="s">
        <v>5</v>
      </c>
      <c r="F665" s="2" t="s">
        <v>15273</v>
      </c>
      <c r="G665" s="3"/>
      <c r="H665" s="1"/>
      <c r="I665" s="1"/>
      <c r="J665" s="4" t="s">
        <v>16116</v>
      </c>
      <c r="K665" s="1" t="s">
        <v>4997</v>
      </c>
      <c r="L665" s="1" t="s">
        <v>6</v>
      </c>
      <c r="M665" s="825"/>
      <c r="N665" s="17"/>
      <c r="O665" s="3" t="s">
        <v>188</v>
      </c>
      <c r="P665" s="20">
        <v>24938</v>
      </c>
      <c r="Q665" s="3" t="s">
        <v>2207</v>
      </c>
      <c r="R665" s="3"/>
      <c r="S665" s="3"/>
      <c r="T665" s="3"/>
      <c r="U665" s="2"/>
      <c r="V665" s="2"/>
      <c r="W665" s="2"/>
      <c r="X665" s="2"/>
      <c r="Y665" s="2"/>
      <c r="Z665" s="2"/>
      <c r="AA665" s="2"/>
      <c r="AB665" s="2"/>
      <c r="AC665" s="2"/>
      <c r="AD665" s="2"/>
    </row>
    <row r="666" spans="1:30" ht="12" customHeight="1">
      <c r="A666" s="828" t="s">
        <v>17360</v>
      </c>
      <c r="B666" s="3" t="s">
        <v>2458</v>
      </c>
      <c r="C666" s="1" t="s">
        <v>2464</v>
      </c>
      <c r="D666" s="5">
        <f t="shared" si="10"/>
        <v>35</v>
      </c>
      <c r="E666" s="2" t="s">
        <v>5</v>
      </c>
      <c r="F666" s="2" t="s">
        <v>15273</v>
      </c>
      <c r="G666" s="3"/>
      <c r="H666" s="1"/>
      <c r="I666" s="1"/>
      <c r="J666" s="4" t="s">
        <v>16128</v>
      </c>
      <c r="K666" s="1"/>
      <c r="L666" s="1" t="s">
        <v>6</v>
      </c>
      <c r="M666" s="825"/>
      <c r="N666" s="17"/>
      <c r="O666" s="3" t="s">
        <v>317</v>
      </c>
      <c r="P666" s="20">
        <v>28450</v>
      </c>
      <c r="Q666" s="3" t="s">
        <v>1050</v>
      </c>
      <c r="R666" s="3"/>
      <c r="S666" s="3"/>
      <c r="T666" s="3" t="s">
        <v>258</v>
      </c>
      <c r="U666" s="2"/>
      <c r="V666" s="2"/>
      <c r="W666" s="2"/>
      <c r="X666" s="2"/>
      <c r="Y666" s="2" t="s">
        <v>155</v>
      </c>
      <c r="Z666" s="2"/>
      <c r="AA666" s="2" t="s">
        <v>104</v>
      </c>
      <c r="AB666" s="2"/>
      <c r="AC666" s="2"/>
      <c r="AD666" s="2"/>
    </row>
    <row r="667" spans="1:30" ht="12" customHeight="1">
      <c r="A667" s="828" t="s">
        <v>17361</v>
      </c>
      <c r="B667" s="3" t="s">
        <v>5300</v>
      </c>
      <c r="C667" s="1" t="s">
        <v>2462</v>
      </c>
      <c r="D667" s="5">
        <f t="shared" si="10"/>
        <v>59</v>
      </c>
      <c r="E667" s="2" t="s">
        <v>5</v>
      </c>
      <c r="F667" s="2"/>
      <c r="G667" s="3"/>
      <c r="H667" s="1"/>
      <c r="I667" s="1"/>
      <c r="J667" s="4" t="s">
        <v>16117</v>
      </c>
      <c r="K667" s="1"/>
      <c r="L667" s="1" t="s">
        <v>6</v>
      </c>
      <c r="M667" s="825"/>
      <c r="N667" s="17"/>
      <c r="O667" s="3" t="s">
        <v>2463</v>
      </c>
      <c r="P667" s="20">
        <v>19649</v>
      </c>
      <c r="Q667" s="3" t="s">
        <v>53</v>
      </c>
      <c r="R667" s="3"/>
      <c r="S667" s="3"/>
      <c r="T667" s="3"/>
      <c r="U667" s="2"/>
      <c r="V667" s="2"/>
      <c r="W667" s="2"/>
      <c r="X667" s="2"/>
      <c r="Y667" s="2"/>
      <c r="Z667" s="2"/>
      <c r="AA667" s="2"/>
      <c r="AB667" s="2"/>
      <c r="AC667" s="2"/>
      <c r="AD667" s="2"/>
    </row>
    <row r="668" spans="1:30" ht="12" customHeight="1">
      <c r="A668" s="828" t="s">
        <v>17362</v>
      </c>
      <c r="B668" s="3" t="s">
        <v>2468</v>
      </c>
      <c r="C668" s="1" t="s">
        <v>2472</v>
      </c>
      <c r="D668" s="5">
        <f t="shared" si="10"/>
        <v>53</v>
      </c>
      <c r="E668" s="2" t="s">
        <v>5</v>
      </c>
      <c r="F668" s="6" t="s">
        <v>15273</v>
      </c>
      <c r="G668" s="3" t="s">
        <v>2473</v>
      </c>
      <c r="H668" s="1"/>
      <c r="I668" s="1"/>
      <c r="J668" s="8" t="s">
        <v>16126</v>
      </c>
      <c r="K668" s="1" t="s">
        <v>44</v>
      </c>
      <c r="L668" s="1" t="s">
        <v>25</v>
      </c>
      <c r="M668" s="825">
        <v>1</v>
      </c>
      <c r="N668" s="17">
        <v>1</v>
      </c>
      <c r="O668" s="3" t="s">
        <v>31</v>
      </c>
      <c r="P668" s="20">
        <v>21819</v>
      </c>
      <c r="Q668" s="3" t="s">
        <v>1295</v>
      </c>
      <c r="R668" s="3"/>
      <c r="S668" s="3" t="s">
        <v>736</v>
      </c>
      <c r="T668" s="3" t="s">
        <v>155</v>
      </c>
      <c r="U668" s="2"/>
      <c r="V668" s="2"/>
      <c r="W668" s="2"/>
      <c r="X668" s="2"/>
      <c r="Y668" s="2" t="s">
        <v>155</v>
      </c>
      <c r="Z668" s="2"/>
      <c r="AA668" s="2"/>
      <c r="AB668" s="2"/>
      <c r="AC668" s="2"/>
      <c r="AD668" s="2"/>
    </row>
    <row r="669" spans="1:30" ht="12" customHeight="1">
      <c r="A669" s="828" t="s">
        <v>17363</v>
      </c>
      <c r="B669" s="3" t="s">
        <v>2469</v>
      </c>
      <c r="C669" s="1" t="s">
        <v>2475</v>
      </c>
      <c r="D669" s="5">
        <f t="shared" si="10"/>
        <v>57</v>
      </c>
      <c r="E669" s="2" t="s">
        <v>5</v>
      </c>
      <c r="F669" s="2" t="s">
        <v>15273</v>
      </c>
      <c r="G669" s="3"/>
      <c r="H669" s="1"/>
      <c r="I669" s="1"/>
      <c r="J669" s="4" t="s">
        <v>16120</v>
      </c>
      <c r="K669" s="1" t="s">
        <v>30</v>
      </c>
      <c r="L669" s="1" t="s">
        <v>14</v>
      </c>
      <c r="M669" s="825">
        <v>3</v>
      </c>
      <c r="N669" s="17">
        <v>3</v>
      </c>
      <c r="O669" s="3" t="s">
        <v>2476</v>
      </c>
      <c r="P669" s="20">
        <v>20432</v>
      </c>
      <c r="Q669" s="3" t="s">
        <v>2477</v>
      </c>
      <c r="R669" s="3" t="s">
        <v>809</v>
      </c>
      <c r="S669" s="3" t="s">
        <v>5457</v>
      </c>
      <c r="T669" s="3" t="s">
        <v>47</v>
      </c>
      <c r="U669" s="2" t="s">
        <v>47</v>
      </c>
      <c r="V669" s="2"/>
      <c r="W669" s="2"/>
      <c r="X669" s="2"/>
      <c r="Y669" s="2"/>
      <c r="Z669" s="2"/>
      <c r="AA669" s="2"/>
      <c r="AB669" s="2"/>
      <c r="AC669" s="2"/>
      <c r="AD669" s="2"/>
    </row>
    <row r="670" spans="1:30" ht="12" customHeight="1">
      <c r="A670" s="828" t="s">
        <v>17364</v>
      </c>
      <c r="B670" s="3" t="s">
        <v>2470</v>
      </c>
      <c r="C670" s="1" t="s">
        <v>2478</v>
      </c>
      <c r="D670" s="5">
        <f t="shared" si="10"/>
        <v>43</v>
      </c>
      <c r="E670" s="2" t="s">
        <v>5</v>
      </c>
      <c r="F670" s="2" t="s">
        <v>15273</v>
      </c>
      <c r="G670" s="3"/>
      <c r="H670" s="1"/>
      <c r="I670" s="1"/>
      <c r="J670" s="4" t="s">
        <v>16125</v>
      </c>
      <c r="K670" s="1"/>
      <c r="L670" s="1" t="s">
        <v>6</v>
      </c>
      <c r="M670" s="825"/>
      <c r="N670" s="17"/>
      <c r="O670" s="3" t="s">
        <v>2479</v>
      </c>
      <c r="P670" s="20">
        <v>25261</v>
      </c>
      <c r="Q670" s="3" t="s">
        <v>2480</v>
      </c>
      <c r="R670" s="3"/>
      <c r="S670" s="3" t="s">
        <v>5561</v>
      </c>
      <c r="T670" s="3"/>
      <c r="U670" s="2"/>
      <c r="V670" s="2"/>
      <c r="W670" s="2"/>
      <c r="X670" s="2"/>
      <c r="Y670" s="2"/>
      <c r="Z670" s="2"/>
      <c r="AA670" s="2"/>
      <c r="AB670" s="2"/>
      <c r="AC670" s="2"/>
      <c r="AD670" s="2"/>
    </row>
    <row r="671" spans="1:30" ht="12" customHeight="1">
      <c r="A671" s="828" t="s">
        <v>17365</v>
      </c>
      <c r="B671" s="3" t="s">
        <v>2471</v>
      </c>
      <c r="C671" s="1" t="s">
        <v>2481</v>
      </c>
      <c r="D671" s="5">
        <f t="shared" si="10"/>
        <v>58</v>
      </c>
      <c r="E671" s="2" t="s">
        <v>5</v>
      </c>
      <c r="F671" s="2"/>
      <c r="G671" s="3"/>
      <c r="H671" s="1"/>
      <c r="I671" s="1"/>
      <c r="J671" s="4" t="s">
        <v>16117</v>
      </c>
      <c r="K671" s="1"/>
      <c r="L671" s="1" t="s">
        <v>6</v>
      </c>
      <c r="M671" s="825"/>
      <c r="N671" s="17"/>
      <c r="O671" s="3" t="s">
        <v>2482</v>
      </c>
      <c r="P671" s="20">
        <v>19908</v>
      </c>
      <c r="Q671" s="3" t="s">
        <v>2483</v>
      </c>
      <c r="R671" s="3"/>
      <c r="S671" s="3"/>
      <c r="T671" s="3" t="s">
        <v>69</v>
      </c>
      <c r="U671" s="2"/>
      <c r="V671" s="2"/>
      <c r="W671" s="2"/>
      <c r="X671" s="2"/>
      <c r="Y671" s="2"/>
      <c r="Z671" s="2"/>
      <c r="AA671" s="2"/>
      <c r="AB671" s="2"/>
      <c r="AC671" s="2"/>
      <c r="AD671" s="2" t="s">
        <v>69</v>
      </c>
    </row>
    <row r="672" spans="1:30" ht="12" customHeight="1">
      <c r="A672" s="828" t="s">
        <v>17366</v>
      </c>
      <c r="B672" s="3" t="s">
        <v>2484</v>
      </c>
      <c r="C672" s="1" t="s">
        <v>5696</v>
      </c>
      <c r="D672" s="5">
        <f t="shared" si="10"/>
        <v>33</v>
      </c>
      <c r="E672" s="2" t="s">
        <v>5</v>
      </c>
      <c r="F672" s="6" t="s">
        <v>15273</v>
      </c>
      <c r="G672" s="3"/>
      <c r="H672" s="1"/>
      <c r="I672" s="1"/>
      <c r="J672" s="8" t="s">
        <v>16127</v>
      </c>
      <c r="K672" s="1" t="s">
        <v>44</v>
      </c>
      <c r="L672" s="1" t="s">
        <v>6</v>
      </c>
      <c r="M672" s="825"/>
      <c r="N672" s="17"/>
      <c r="O672" s="3" t="s">
        <v>1002</v>
      </c>
      <c r="P672" s="20">
        <v>29163</v>
      </c>
      <c r="Q672" s="3" t="s">
        <v>5833</v>
      </c>
      <c r="R672" s="3"/>
      <c r="S672" s="3"/>
      <c r="T672" s="3"/>
      <c r="U672" s="2"/>
      <c r="V672" s="2"/>
      <c r="W672" s="2"/>
      <c r="X672" s="2"/>
      <c r="Y672" s="2"/>
      <c r="Z672" s="2"/>
      <c r="AA672" s="2"/>
      <c r="AB672" s="2"/>
      <c r="AC672" s="2"/>
      <c r="AD672" s="2"/>
    </row>
    <row r="673" spans="1:30" ht="12" customHeight="1">
      <c r="A673" s="828" t="s">
        <v>17367</v>
      </c>
      <c r="B673" s="3" t="s">
        <v>2485</v>
      </c>
      <c r="C673" s="1" t="s">
        <v>2488</v>
      </c>
      <c r="D673" s="5">
        <f t="shared" si="10"/>
        <v>54</v>
      </c>
      <c r="E673" s="2" t="s">
        <v>5</v>
      </c>
      <c r="F673" s="2" t="s">
        <v>15273</v>
      </c>
      <c r="G673" s="3"/>
      <c r="H673" s="1"/>
      <c r="I673" s="1"/>
      <c r="J673" s="8" t="s">
        <v>16120</v>
      </c>
      <c r="K673" s="1" t="s">
        <v>48</v>
      </c>
      <c r="L673" s="1" t="s">
        <v>14</v>
      </c>
      <c r="M673" s="825">
        <v>2</v>
      </c>
      <c r="N673" s="17">
        <v>2</v>
      </c>
      <c r="O673" s="3" t="s">
        <v>317</v>
      </c>
      <c r="P673" s="20">
        <v>21398</v>
      </c>
      <c r="Q673" s="3" t="s">
        <v>2490</v>
      </c>
      <c r="R673" s="3" t="s">
        <v>2489</v>
      </c>
      <c r="S673" s="3"/>
      <c r="T673" s="3" t="s">
        <v>104</v>
      </c>
      <c r="U673" s="2"/>
      <c r="V673" s="2"/>
      <c r="W673" s="2"/>
      <c r="X673" s="2"/>
      <c r="Y673" s="2"/>
      <c r="Z673" s="2"/>
      <c r="AA673" s="2" t="s">
        <v>104</v>
      </c>
      <c r="AB673" s="2"/>
      <c r="AC673" s="2"/>
      <c r="AD673" s="2"/>
    </row>
    <row r="674" spans="1:30" ht="12" customHeight="1">
      <c r="A674" s="828" t="s">
        <v>17368</v>
      </c>
      <c r="B674" s="3" t="s">
        <v>2486</v>
      </c>
      <c r="C674" s="1" t="s">
        <v>2491</v>
      </c>
      <c r="D674" s="5">
        <f t="shared" si="10"/>
        <v>43</v>
      </c>
      <c r="E674" s="2" t="s">
        <v>5</v>
      </c>
      <c r="F674" s="2" t="s">
        <v>15273</v>
      </c>
      <c r="G674" s="3" t="s">
        <v>2492</v>
      </c>
      <c r="H674" s="1"/>
      <c r="I674" s="1"/>
      <c r="J674" s="4" t="s">
        <v>16125</v>
      </c>
      <c r="K674" s="1"/>
      <c r="L674" s="1" t="s">
        <v>25</v>
      </c>
      <c r="M674" s="825">
        <v>1</v>
      </c>
      <c r="N674" s="17">
        <v>1</v>
      </c>
      <c r="O674" s="3" t="s">
        <v>188</v>
      </c>
      <c r="P674" s="20">
        <v>25189</v>
      </c>
      <c r="Q674" s="3" t="s">
        <v>2493</v>
      </c>
      <c r="R674" s="3"/>
      <c r="S674" s="3" t="s">
        <v>5561</v>
      </c>
      <c r="T674" s="3" t="s">
        <v>155</v>
      </c>
      <c r="U674" s="2"/>
      <c r="V674" s="2"/>
      <c r="W674" s="2"/>
      <c r="X674" s="2"/>
      <c r="Y674" s="2" t="s">
        <v>155</v>
      </c>
      <c r="Z674" s="2"/>
      <c r="AA674" s="2"/>
      <c r="AB674" s="2"/>
      <c r="AC674" s="2"/>
      <c r="AD674" s="2"/>
    </row>
    <row r="675" spans="1:30" ht="12" customHeight="1">
      <c r="A675" s="828" t="s">
        <v>17369</v>
      </c>
      <c r="B675" s="3" t="s">
        <v>2487</v>
      </c>
      <c r="C675" s="1" t="s">
        <v>2494</v>
      </c>
      <c r="D675" s="5">
        <f t="shared" si="10"/>
        <v>68</v>
      </c>
      <c r="E675" s="2" t="s">
        <v>5</v>
      </c>
      <c r="F675" s="2"/>
      <c r="G675" s="3"/>
      <c r="H675" s="1"/>
      <c r="I675" s="1"/>
      <c r="J675" s="4" t="s">
        <v>16117</v>
      </c>
      <c r="K675" s="1"/>
      <c r="L675" s="1" t="s">
        <v>6</v>
      </c>
      <c r="M675" s="825"/>
      <c r="N675" s="17"/>
      <c r="O675" s="3" t="s">
        <v>2495</v>
      </c>
      <c r="P675" s="20">
        <v>16131</v>
      </c>
      <c r="Q675" s="3" t="s">
        <v>2496</v>
      </c>
      <c r="R675" s="3"/>
      <c r="S675" s="3"/>
      <c r="T675" s="3" t="s">
        <v>69</v>
      </c>
      <c r="U675" s="2"/>
      <c r="V675" s="2"/>
      <c r="W675" s="2"/>
      <c r="X675" s="2"/>
      <c r="Y675" s="2"/>
      <c r="Z675" s="2"/>
      <c r="AA675" s="2"/>
      <c r="AB675" s="2"/>
      <c r="AC675" s="2"/>
      <c r="AD675" s="2" t="s">
        <v>69</v>
      </c>
    </row>
    <row r="676" spans="1:30" ht="12" customHeight="1">
      <c r="A676" s="828" t="s">
        <v>17370</v>
      </c>
      <c r="B676" s="3" t="s">
        <v>4340</v>
      </c>
      <c r="C676" s="1" t="s">
        <v>4341</v>
      </c>
      <c r="D676" s="5">
        <f t="shared" si="10"/>
        <v>40</v>
      </c>
      <c r="E676" s="2" t="s">
        <v>19</v>
      </c>
      <c r="F676" s="2" t="s">
        <v>15273</v>
      </c>
      <c r="G676" s="3"/>
      <c r="H676" s="1"/>
      <c r="I676" s="1"/>
      <c r="J676" s="4" t="s">
        <v>16121</v>
      </c>
      <c r="K676" s="1"/>
      <c r="L676" s="1" t="s">
        <v>6</v>
      </c>
      <c r="M676" s="825"/>
      <c r="N676" s="17"/>
      <c r="O676" s="3" t="s">
        <v>3899</v>
      </c>
      <c r="P676" s="20">
        <v>26311</v>
      </c>
      <c r="Q676" s="3" t="s">
        <v>4342</v>
      </c>
      <c r="R676" s="3"/>
      <c r="S676" s="3"/>
      <c r="T676" s="3"/>
      <c r="U676" s="2"/>
      <c r="V676" s="2"/>
      <c r="W676" s="2"/>
      <c r="X676" s="2"/>
      <c r="Y676" s="2"/>
      <c r="Z676" s="2"/>
      <c r="AA676" s="2"/>
      <c r="AB676" s="2"/>
      <c r="AC676" s="2"/>
      <c r="AD676" s="2"/>
    </row>
    <row r="677" spans="1:30" ht="12" customHeight="1">
      <c r="A677" s="828" t="s">
        <v>17371</v>
      </c>
      <c r="B677" s="3" t="s">
        <v>2544</v>
      </c>
      <c r="C677" s="1" t="s">
        <v>2549</v>
      </c>
      <c r="D677" s="5">
        <f t="shared" si="10"/>
        <v>33</v>
      </c>
      <c r="E677" s="2" t="s">
        <v>5</v>
      </c>
      <c r="F677" s="6" t="s">
        <v>15273</v>
      </c>
      <c r="G677" s="3" t="s">
        <v>2550</v>
      </c>
      <c r="H677" s="1"/>
      <c r="I677" s="1"/>
      <c r="J677" s="8" t="s">
        <v>16127</v>
      </c>
      <c r="K677" s="1" t="s">
        <v>44</v>
      </c>
      <c r="L677" s="1" t="s">
        <v>25</v>
      </c>
      <c r="M677" s="825">
        <v>1</v>
      </c>
      <c r="N677" s="17">
        <v>1</v>
      </c>
      <c r="O677" s="3" t="s">
        <v>2551</v>
      </c>
      <c r="P677" s="20">
        <v>29039</v>
      </c>
      <c r="Q677" s="3" t="s">
        <v>1962</v>
      </c>
      <c r="R677" s="3"/>
      <c r="S677" s="3"/>
      <c r="T677" s="3"/>
      <c r="U677" s="2"/>
      <c r="V677" s="2"/>
      <c r="W677" s="2"/>
      <c r="X677" s="2"/>
      <c r="Y677" s="2"/>
      <c r="Z677" s="2"/>
      <c r="AA677" s="2"/>
      <c r="AB677" s="2"/>
      <c r="AC677" s="2"/>
      <c r="AD677" s="2"/>
    </row>
    <row r="678" spans="1:30" ht="12" customHeight="1">
      <c r="A678" s="828" t="s">
        <v>17372</v>
      </c>
      <c r="B678" s="3" t="s">
        <v>2545</v>
      </c>
      <c r="C678" s="1" t="s">
        <v>2552</v>
      </c>
      <c r="D678" s="5">
        <f t="shared" si="10"/>
        <v>52</v>
      </c>
      <c r="E678" s="2" t="s">
        <v>19</v>
      </c>
      <c r="F678" s="2" t="s">
        <v>15273</v>
      </c>
      <c r="G678" s="3" t="s">
        <v>2553</v>
      </c>
      <c r="H678" s="1"/>
      <c r="I678" s="1"/>
      <c r="J678" s="4" t="s">
        <v>16120</v>
      </c>
      <c r="K678" s="1" t="s">
        <v>30</v>
      </c>
      <c r="L678" s="1" t="s">
        <v>25</v>
      </c>
      <c r="M678" s="825">
        <v>6</v>
      </c>
      <c r="N678" s="17">
        <v>6</v>
      </c>
      <c r="O678" s="3" t="s">
        <v>450</v>
      </c>
      <c r="P678" s="20">
        <v>22162</v>
      </c>
      <c r="Q678" s="3" t="s">
        <v>2554</v>
      </c>
      <c r="R678" s="3" t="s">
        <v>2556</v>
      </c>
      <c r="S678" s="3" t="s">
        <v>5457</v>
      </c>
      <c r="T678" s="3" t="s">
        <v>572</v>
      </c>
      <c r="U678" s="2"/>
      <c r="V678" s="2" t="s">
        <v>145</v>
      </c>
      <c r="W678" s="2"/>
      <c r="X678" s="2"/>
      <c r="Y678" s="2"/>
      <c r="Z678" s="2"/>
      <c r="AA678" s="2" t="s">
        <v>104</v>
      </c>
      <c r="AB678" s="2"/>
      <c r="AC678" s="2"/>
      <c r="AD678" s="2"/>
    </row>
    <row r="679" spans="1:30" ht="12" customHeight="1">
      <c r="A679" s="828" t="s">
        <v>17373</v>
      </c>
      <c r="B679" s="3" t="s">
        <v>2546</v>
      </c>
      <c r="C679" s="1" t="s">
        <v>2557</v>
      </c>
      <c r="D679" s="5">
        <f t="shared" si="10"/>
        <v>47</v>
      </c>
      <c r="E679" s="2" t="s">
        <v>19</v>
      </c>
      <c r="F679" s="2" t="s">
        <v>15273</v>
      </c>
      <c r="G679" s="3" t="s">
        <v>2558</v>
      </c>
      <c r="H679" s="1"/>
      <c r="I679" s="1"/>
      <c r="J679" s="4" t="s">
        <v>16125</v>
      </c>
      <c r="K679" s="1"/>
      <c r="L679" s="1" t="s">
        <v>25</v>
      </c>
      <c r="M679" s="825">
        <v>1</v>
      </c>
      <c r="N679" s="17">
        <v>1</v>
      </c>
      <c r="O679" s="3" t="s">
        <v>2559</v>
      </c>
      <c r="P679" s="20">
        <v>23862</v>
      </c>
      <c r="Q679" s="3" t="s">
        <v>2560</v>
      </c>
      <c r="R679" s="3"/>
      <c r="S679" s="3" t="s">
        <v>5561</v>
      </c>
      <c r="T679" s="3" t="s">
        <v>572</v>
      </c>
      <c r="U679" s="2"/>
      <c r="V679" s="2" t="s">
        <v>145</v>
      </c>
      <c r="W679" s="2"/>
      <c r="X679" s="2"/>
      <c r="Y679" s="2"/>
      <c r="Z679" s="2"/>
      <c r="AA679" s="2" t="s">
        <v>104</v>
      </c>
      <c r="AB679" s="2"/>
      <c r="AC679" s="2"/>
      <c r="AD679" s="2"/>
    </row>
    <row r="680" spans="1:30" ht="12" customHeight="1">
      <c r="A680" s="828" t="s">
        <v>17374</v>
      </c>
      <c r="B680" s="3" t="s">
        <v>2547</v>
      </c>
      <c r="C680" s="1" t="s">
        <v>2562</v>
      </c>
      <c r="D680" s="5">
        <f t="shared" si="10"/>
        <v>49</v>
      </c>
      <c r="E680" s="2" t="s">
        <v>5</v>
      </c>
      <c r="F680" s="2"/>
      <c r="G680" s="3"/>
      <c r="H680" s="1"/>
      <c r="I680" s="1"/>
      <c r="J680" s="4" t="s">
        <v>16117</v>
      </c>
      <c r="K680" s="1"/>
      <c r="L680" s="1" t="s">
        <v>6</v>
      </c>
      <c r="M680" s="825"/>
      <c r="N680" s="17"/>
      <c r="O680" s="3" t="s">
        <v>2563</v>
      </c>
      <c r="P680" s="20">
        <v>23255</v>
      </c>
      <c r="Q680" s="3" t="s">
        <v>2564</v>
      </c>
      <c r="R680" s="3"/>
      <c r="S680" s="3"/>
      <c r="T680" s="3" t="s">
        <v>69</v>
      </c>
      <c r="U680" s="2"/>
      <c r="V680" s="2"/>
      <c r="W680" s="2"/>
      <c r="X680" s="2"/>
      <c r="Y680" s="2"/>
      <c r="Z680" s="2"/>
      <c r="AA680" s="2"/>
      <c r="AB680" s="2"/>
      <c r="AC680" s="2"/>
      <c r="AD680" s="2" t="s">
        <v>69</v>
      </c>
    </row>
    <row r="681" spans="1:30" ht="12" customHeight="1">
      <c r="A681" s="828" t="s">
        <v>17375</v>
      </c>
      <c r="B681" s="3" t="s">
        <v>2548</v>
      </c>
      <c r="C681" s="1" t="s">
        <v>2566</v>
      </c>
      <c r="D681" s="5">
        <f t="shared" si="10"/>
        <v>56</v>
      </c>
      <c r="E681" s="2" t="s">
        <v>19</v>
      </c>
      <c r="F681" s="2"/>
      <c r="G681" s="3"/>
      <c r="H681" s="1"/>
      <c r="I681" s="1"/>
      <c r="J681" s="4" t="s">
        <v>16122</v>
      </c>
      <c r="K681" s="1" t="s">
        <v>22</v>
      </c>
      <c r="L681" s="1" t="s">
        <v>6</v>
      </c>
      <c r="M681" s="825"/>
      <c r="N681" s="17"/>
      <c r="O681" s="3" t="s">
        <v>2567</v>
      </c>
      <c r="P681" s="20">
        <v>20758</v>
      </c>
      <c r="Q681" s="3" t="s">
        <v>2569</v>
      </c>
      <c r="R681" s="3"/>
      <c r="S681" s="3"/>
      <c r="T681" s="3" t="s">
        <v>155</v>
      </c>
      <c r="U681" s="2"/>
      <c r="V681" s="2"/>
      <c r="W681" s="2"/>
      <c r="X681" s="2"/>
      <c r="Y681" s="2" t="s">
        <v>155</v>
      </c>
      <c r="Z681" s="2"/>
      <c r="AA681" s="2"/>
      <c r="AB681" s="2"/>
      <c r="AC681" s="2"/>
      <c r="AD681" s="2"/>
    </row>
    <row r="682" spans="1:30" ht="12" customHeight="1">
      <c r="A682" s="828" t="s">
        <v>17376</v>
      </c>
      <c r="B682" s="3" t="s">
        <v>2570</v>
      </c>
      <c r="C682" s="1" t="s">
        <v>5451</v>
      </c>
      <c r="D682" s="5">
        <f t="shared" si="10"/>
        <v>39</v>
      </c>
      <c r="E682" s="2" t="s">
        <v>5</v>
      </c>
      <c r="F682" s="6" t="s">
        <v>15273</v>
      </c>
      <c r="G682" s="3"/>
      <c r="H682" s="1"/>
      <c r="I682" s="1"/>
      <c r="J682" s="8" t="s">
        <v>16126</v>
      </c>
      <c r="K682" s="1" t="s">
        <v>44</v>
      </c>
      <c r="L682" s="1" t="s">
        <v>6</v>
      </c>
      <c r="M682" s="825"/>
      <c r="N682" s="17"/>
      <c r="O682" s="3" t="s">
        <v>5636</v>
      </c>
      <c r="P682" s="20">
        <v>26977</v>
      </c>
      <c r="Q682" s="3" t="s">
        <v>5452</v>
      </c>
      <c r="R682" s="3"/>
      <c r="S682" s="3" t="s">
        <v>736</v>
      </c>
      <c r="T682" s="3"/>
      <c r="U682" s="2"/>
      <c r="V682" s="2"/>
      <c r="W682" s="2"/>
      <c r="X682" s="2"/>
      <c r="Y682" s="2"/>
      <c r="Z682" s="2"/>
      <c r="AA682" s="2"/>
      <c r="AB682" s="2"/>
      <c r="AC682" s="2"/>
      <c r="AD682" s="2"/>
    </row>
    <row r="683" spans="1:30" ht="12" customHeight="1">
      <c r="A683" s="828" t="s">
        <v>17377</v>
      </c>
      <c r="B683" s="3" t="s">
        <v>2571</v>
      </c>
      <c r="C683" s="1" t="s">
        <v>2576</v>
      </c>
      <c r="D683" s="5">
        <f t="shared" si="10"/>
        <v>49</v>
      </c>
      <c r="E683" s="2" t="s">
        <v>5</v>
      </c>
      <c r="F683" s="2" t="s">
        <v>15273</v>
      </c>
      <c r="G683" s="3" t="s">
        <v>2577</v>
      </c>
      <c r="H683" s="1"/>
      <c r="I683" s="1"/>
      <c r="J683" s="4" t="s">
        <v>16120</v>
      </c>
      <c r="K683" s="1" t="s">
        <v>30</v>
      </c>
      <c r="L683" s="1" t="s">
        <v>25</v>
      </c>
      <c r="M683" s="825">
        <v>5</v>
      </c>
      <c r="N683" s="17">
        <v>5</v>
      </c>
      <c r="O683" s="3" t="s">
        <v>317</v>
      </c>
      <c r="P683" s="20">
        <v>23053</v>
      </c>
      <c r="Q683" s="3" t="s">
        <v>2579</v>
      </c>
      <c r="R683" s="3" t="s">
        <v>2582</v>
      </c>
      <c r="S683" s="3" t="s">
        <v>5457</v>
      </c>
      <c r="T683" s="3" t="s">
        <v>2580</v>
      </c>
      <c r="U683" s="2" t="s">
        <v>47</v>
      </c>
      <c r="V683" s="2"/>
      <c r="W683" s="2"/>
      <c r="X683" s="2"/>
      <c r="Y683" s="2"/>
      <c r="Z683" s="2"/>
      <c r="AA683" s="2" t="s">
        <v>104</v>
      </c>
      <c r="AB683" s="2" t="s">
        <v>147</v>
      </c>
      <c r="AC683" s="2"/>
      <c r="AD683" s="2"/>
    </row>
    <row r="684" spans="1:30" ht="12" customHeight="1">
      <c r="A684" s="828" t="s">
        <v>17378</v>
      </c>
      <c r="B684" s="3" t="s">
        <v>2572</v>
      </c>
      <c r="C684" s="1" t="s">
        <v>2573</v>
      </c>
      <c r="D684" s="5">
        <f t="shared" si="10"/>
        <v>59</v>
      </c>
      <c r="E684" s="2" t="s">
        <v>5</v>
      </c>
      <c r="F684" s="2" t="s">
        <v>15273</v>
      </c>
      <c r="G684" s="3" t="s">
        <v>2574</v>
      </c>
      <c r="H684" s="1"/>
      <c r="I684" s="1"/>
      <c r="J684" s="4" t="s">
        <v>16125</v>
      </c>
      <c r="K684" s="1"/>
      <c r="L684" s="1" t="s">
        <v>25</v>
      </c>
      <c r="M684" s="825">
        <v>1</v>
      </c>
      <c r="N684" s="17">
        <v>1</v>
      </c>
      <c r="O684" s="3" t="s">
        <v>1089</v>
      </c>
      <c r="P684" s="20">
        <v>19592</v>
      </c>
      <c r="Q684" s="3" t="s">
        <v>2575</v>
      </c>
      <c r="R684" s="3"/>
      <c r="S684" s="3" t="s">
        <v>5561</v>
      </c>
      <c r="T684" s="3"/>
      <c r="U684" s="2"/>
      <c r="V684" s="2"/>
      <c r="W684" s="2"/>
      <c r="X684" s="2"/>
      <c r="Y684" s="2"/>
      <c r="Z684" s="2"/>
      <c r="AA684" s="2"/>
      <c r="AB684" s="2"/>
      <c r="AC684" s="2"/>
      <c r="AD684" s="2"/>
    </row>
    <row r="685" spans="1:30" ht="12" customHeight="1">
      <c r="A685" s="828" t="s">
        <v>17379</v>
      </c>
      <c r="B685" s="3" t="s">
        <v>4575</v>
      </c>
      <c r="C685" s="1" t="s">
        <v>2583</v>
      </c>
      <c r="D685" s="5">
        <f t="shared" si="10"/>
        <v>53</v>
      </c>
      <c r="E685" s="2" t="s">
        <v>5</v>
      </c>
      <c r="F685" s="2"/>
      <c r="G685" s="3"/>
      <c r="H685" s="1"/>
      <c r="I685" s="1"/>
      <c r="J685" s="4" t="s">
        <v>16117</v>
      </c>
      <c r="K685" s="1"/>
      <c r="L685" s="1" t="s">
        <v>6</v>
      </c>
      <c r="M685" s="825"/>
      <c r="N685" s="17"/>
      <c r="O685" s="3" t="s">
        <v>2584</v>
      </c>
      <c r="P685" s="20">
        <v>21778</v>
      </c>
      <c r="Q685" s="3" t="s">
        <v>2585</v>
      </c>
      <c r="R685" s="3"/>
      <c r="S685" s="3"/>
      <c r="T685" s="3"/>
      <c r="U685" s="2"/>
      <c r="V685" s="2"/>
      <c r="W685" s="2"/>
      <c r="X685" s="2"/>
      <c r="Y685" s="2"/>
      <c r="Z685" s="2"/>
      <c r="AA685" s="2"/>
      <c r="AB685" s="2"/>
      <c r="AC685" s="2"/>
      <c r="AD685" s="2"/>
    </row>
    <row r="686" spans="1:30" ht="12" customHeight="1">
      <c r="A686" s="828" t="s">
        <v>17380</v>
      </c>
      <c r="B686" s="3" t="s">
        <v>2586</v>
      </c>
      <c r="C686" s="1" t="s">
        <v>2589</v>
      </c>
      <c r="D686" s="5">
        <f t="shared" si="10"/>
        <v>45</v>
      </c>
      <c r="E686" s="2" t="s">
        <v>5</v>
      </c>
      <c r="F686" s="6" t="s">
        <v>15273</v>
      </c>
      <c r="G686" s="3" t="s">
        <v>2590</v>
      </c>
      <c r="H686" s="1"/>
      <c r="I686" s="1"/>
      <c r="J686" s="8" t="s">
        <v>16127</v>
      </c>
      <c r="K686" s="1" t="s">
        <v>44</v>
      </c>
      <c r="L686" s="1" t="s">
        <v>25</v>
      </c>
      <c r="M686" s="825">
        <v>3</v>
      </c>
      <c r="N686" s="17">
        <v>3</v>
      </c>
      <c r="O686" s="3" t="s">
        <v>159</v>
      </c>
      <c r="P686" s="20">
        <v>24632</v>
      </c>
      <c r="Q686" s="3" t="s">
        <v>2591</v>
      </c>
      <c r="R686" s="3" t="s">
        <v>2592</v>
      </c>
      <c r="S686" s="3" t="s">
        <v>736</v>
      </c>
      <c r="T686" s="3"/>
      <c r="U686" s="2"/>
      <c r="V686" s="2"/>
      <c r="W686" s="2"/>
      <c r="X686" s="2"/>
      <c r="Y686" s="2"/>
      <c r="Z686" s="2"/>
      <c r="AA686" s="2"/>
      <c r="AB686" s="2"/>
      <c r="AC686" s="2"/>
      <c r="AD686" s="2"/>
    </row>
    <row r="687" spans="1:30" ht="12" customHeight="1">
      <c r="A687" s="828" t="s">
        <v>17381</v>
      </c>
      <c r="B687" s="3" t="s">
        <v>2587</v>
      </c>
      <c r="C687" s="1" t="s">
        <v>2593</v>
      </c>
      <c r="D687" s="5">
        <f t="shared" si="10"/>
        <v>57</v>
      </c>
      <c r="E687" s="2" t="s">
        <v>5</v>
      </c>
      <c r="F687" s="2" t="s">
        <v>15273</v>
      </c>
      <c r="G687" s="3"/>
      <c r="H687" s="1"/>
      <c r="I687" s="1"/>
      <c r="J687" s="8" t="s">
        <v>16120</v>
      </c>
      <c r="K687" s="1" t="s">
        <v>445</v>
      </c>
      <c r="L687" s="1" t="s">
        <v>14</v>
      </c>
      <c r="M687" s="825">
        <v>1</v>
      </c>
      <c r="N687" s="17">
        <v>1</v>
      </c>
      <c r="O687" s="3" t="s">
        <v>31</v>
      </c>
      <c r="P687" s="20">
        <v>20380</v>
      </c>
      <c r="Q687" s="3" t="s">
        <v>2594</v>
      </c>
      <c r="R687" s="3"/>
      <c r="S687" s="3" t="s">
        <v>5457</v>
      </c>
      <c r="T687" s="3" t="s">
        <v>104</v>
      </c>
      <c r="U687" s="2"/>
      <c r="V687" s="2"/>
      <c r="W687" s="2"/>
      <c r="X687" s="2"/>
      <c r="Y687" s="2"/>
      <c r="Z687" s="2"/>
      <c r="AA687" s="2" t="s">
        <v>104</v>
      </c>
      <c r="AB687" s="2"/>
      <c r="AC687" s="2"/>
      <c r="AD687" s="2"/>
    </row>
    <row r="688" spans="1:30" ht="12" customHeight="1">
      <c r="A688" s="828" t="s">
        <v>17382</v>
      </c>
      <c r="B688" s="3" t="s">
        <v>2588</v>
      </c>
      <c r="C688" s="1" t="s">
        <v>15633</v>
      </c>
      <c r="D688" s="5">
        <f t="shared" si="10"/>
        <v>55</v>
      </c>
      <c r="E688" s="2" t="s">
        <v>5</v>
      </c>
      <c r="F688" s="2" t="s">
        <v>15273</v>
      </c>
      <c r="G688" s="3"/>
      <c r="H688" s="1"/>
      <c r="I688" s="1"/>
      <c r="J688" s="4" t="s">
        <v>16125</v>
      </c>
      <c r="K688" s="1"/>
      <c r="L688" s="1" t="s">
        <v>6</v>
      </c>
      <c r="M688" s="825"/>
      <c r="N688" s="17"/>
      <c r="O688" s="3" t="s">
        <v>245</v>
      </c>
      <c r="P688" s="20">
        <v>20891</v>
      </c>
      <c r="Q688" s="3" t="s">
        <v>16012</v>
      </c>
      <c r="R688" s="3"/>
      <c r="S688" s="3" t="s">
        <v>5561</v>
      </c>
      <c r="T688" s="3"/>
      <c r="U688" s="2"/>
      <c r="V688" s="2"/>
      <c r="W688" s="2"/>
      <c r="X688" s="2"/>
      <c r="Y688" s="2"/>
      <c r="Z688" s="2"/>
      <c r="AA688" s="2"/>
      <c r="AB688" s="2"/>
      <c r="AC688" s="2"/>
      <c r="AD688" s="2"/>
    </row>
    <row r="689" spans="1:30" ht="12" customHeight="1">
      <c r="A689" s="828" t="s">
        <v>17383</v>
      </c>
      <c r="B689" s="3" t="s">
        <v>15632</v>
      </c>
      <c r="C689" s="1" t="s">
        <v>4026</v>
      </c>
      <c r="D689" s="5">
        <f t="shared" si="10"/>
        <v>54</v>
      </c>
      <c r="E689" s="2" t="s">
        <v>5</v>
      </c>
      <c r="F689" s="2"/>
      <c r="G689" s="3"/>
      <c r="H689" s="1"/>
      <c r="I689" s="1"/>
      <c r="J689" s="4" t="s">
        <v>16117</v>
      </c>
      <c r="K689" s="1"/>
      <c r="L689" s="1" t="s">
        <v>6</v>
      </c>
      <c r="M689" s="825"/>
      <c r="N689" s="17"/>
      <c r="O689" s="3" t="s">
        <v>2820</v>
      </c>
      <c r="P689" s="20">
        <v>21247</v>
      </c>
      <c r="Q689" s="3" t="s">
        <v>4197</v>
      </c>
      <c r="R689" s="3"/>
      <c r="S689" s="3"/>
      <c r="T689" s="3"/>
      <c r="U689" s="2"/>
      <c r="V689" s="2"/>
      <c r="W689" s="2"/>
      <c r="X689" s="2"/>
      <c r="Y689" s="2"/>
      <c r="Z689" s="2"/>
      <c r="AA689" s="2"/>
      <c r="AB689" s="2"/>
      <c r="AC689" s="2"/>
      <c r="AD689" s="2"/>
    </row>
    <row r="690" spans="1:30" ht="12" customHeight="1">
      <c r="A690" s="828" t="s">
        <v>17384</v>
      </c>
      <c r="B690" s="3" t="s">
        <v>2595</v>
      </c>
      <c r="C690" s="1" t="s">
        <v>4027</v>
      </c>
      <c r="D690" s="5">
        <f t="shared" si="10"/>
        <v>25</v>
      </c>
      <c r="E690" s="2" t="s">
        <v>5</v>
      </c>
      <c r="F690" s="6" t="s">
        <v>15273</v>
      </c>
      <c r="G690" s="3"/>
      <c r="H690" s="1"/>
      <c r="I690" s="1"/>
      <c r="J690" s="8" t="s">
        <v>16127</v>
      </c>
      <c r="K690" s="1" t="s">
        <v>44</v>
      </c>
      <c r="L690" s="1" t="s">
        <v>6</v>
      </c>
      <c r="M690" s="825"/>
      <c r="N690" s="17"/>
      <c r="O690" s="3" t="s">
        <v>1089</v>
      </c>
      <c r="P690" s="20">
        <v>32038</v>
      </c>
      <c r="Q690" s="3" t="s">
        <v>4028</v>
      </c>
      <c r="R690" s="3"/>
      <c r="S690" s="3" t="s">
        <v>736</v>
      </c>
      <c r="T690" s="3"/>
      <c r="U690" s="2"/>
      <c r="V690" s="2"/>
      <c r="W690" s="2"/>
      <c r="X690" s="2"/>
      <c r="Y690" s="2"/>
      <c r="Z690" s="2"/>
      <c r="AA690" s="2"/>
      <c r="AB690" s="2"/>
      <c r="AC690" s="2"/>
      <c r="AD690" s="2"/>
    </row>
    <row r="691" spans="1:30" ht="12" customHeight="1">
      <c r="A691" s="828" t="s">
        <v>17385</v>
      </c>
      <c r="B691" s="3" t="s">
        <v>2596</v>
      </c>
      <c r="C691" s="1" t="s">
        <v>2598</v>
      </c>
      <c r="D691" s="5">
        <f t="shared" si="10"/>
        <v>69</v>
      </c>
      <c r="E691" s="2" t="s">
        <v>5</v>
      </c>
      <c r="F691" s="2" t="s">
        <v>15273</v>
      </c>
      <c r="G691" s="3" t="s">
        <v>2599</v>
      </c>
      <c r="H691" s="1"/>
      <c r="I691" s="1"/>
      <c r="J691" s="4" t="s">
        <v>16120</v>
      </c>
      <c r="K691" s="1" t="s">
        <v>476</v>
      </c>
      <c r="L691" s="1" t="s">
        <v>25</v>
      </c>
      <c r="M691" s="825">
        <v>8</v>
      </c>
      <c r="N691" s="17">
        <v>8</v>
      </c>
      <c r="O691" s="3" t="s">
        <v>31</v>
      </c>
      <c r="P691" s="20">
        <v>15695</v>
      </c>
      <c r="Q691" s="3" t="s">
        <v>2600</v>
      </c>
      <c r="R691" s="3" t="s">
        <v>2601</v>
      </c>
      <c r="S691" s="3" t="s">
        <v>5457</v>
      </c>
      <c r="T691" s="3" t="s">
        <v>104</v>
      </c>
      <c r="U691" s="2"/>
      <c r="V691" s="2"/>
      <c r="W691" s="2"/>
      <c r="X691" s="2"/>
      <c r="Y691" s="2"/>
      <c r="Z691" s="2"/>
      <c r="AA691" s="2" t="s">
        <v>104</v>
      </c>
      <c r="AB691" s="2"/>
      <c r="AC691" s="2"/>
      <c r="AD691" s="2"/>
    </row>
    <row r="692" spans="1:30" ht="12" customHeight="1">
      <c r="A692" s="828" t="s">
        <v>17386</v>
      </c>
      <c r="B692" s="3" t="s">
        <v>2597</v>
      </c>
      <c r="C692" s="1" t="s">
        <v>4420</v>
      </c>
      <c r="D692" s="5">
        <f t="shared" si="10"/>
        <v>50</v>
      </c>
      <c r="E692" s="2" t="s">
        <v>5</v>
      </c>
      <c r="F692" s="2" t="s">
        <v>15273</v>
      </c>
      <c r="G692" s="3" t="s">
        <v>4421</v>
      </c>
      <c r="H692" s="1"/>
      <c r="I692" s="1"/>
      <c r="J692" s="4" t="s">
        <v>16116</v>
      </c>
      <c r="K692" s="1" t="s">
        <v>4422</v>
      </c>
      <c r="L692" s="1" t="s">
        <v>25</v>
      </c>
      <c r="M692" s="825">
        <v>1</v>
      </c>
      <c r="N692" s="17">
        <v>1</v>
      </c>
      <c r="O692" s="3" t="s">
        <v>450</v>
      </c>
      <c r="P692" s="21">
        <v>22698</v>
      </c>
      <c r="Q692" s="3" t="s">
        <v>2605</v>
      </c>
      <c r="R692" s="3"/>
      <c r="S692" s="3" t="s">
        <v>18564</v>
      </c>
      <c r="T692" s="3"/>
      <c r="U692" s="2"/>
      <c r="V692" s="2"/>
      <c r="W692" s="2"/>
      <c r="X692" s="2"/>
      <c r="Y692" s="2"/>
      <c r="Z692" s="2"/>
      <c r="AA692" s="2"/>
      <c r="AB692" s="2"/>
      <c r="AC692" s="2"/>
      <c r="AD692" s="2"/>
    </row>
    <row r="693" spans="1:30" ht="12" customHeight="1">
      <c r="A693" s="828" t="s">
        <v>17387</v>
      </c>
      <c r="B693" s="3" t="s">
        <v>4698</v>
      </c>
      <c r="C693" s="1" t="s">
        <v>2602</v>
      </c>
      <c r="D693" s="5">
        <f t="shared" si="10"/>
        <v>64</v>
      </c>
      <c r="E693" s="2" t="s">
        <v>5</v>
      </c>
      <c r="F693" s="2"/>
      <c r="G693" s="3"/>
      <c r="H693" s="1"/>
      <c r="I693" s="1"/>
      <c r="J693" s="4" t="s">
        <v>16117</v>
      </c>
      <c r="K693" s="1"/>
      <c r="L693" s="1" t="s">
        <v>6</v>
      </c>
      <c r="M693" s="825"/>
      <c r="N693" s="17"/>
      <c r="O693" s="3" t="s">
        <v>2603</v>
      </c>
      <c r="P693" s="21">
        <v>17567</v>
      </c>
      <c r="Q693" s="3" t="s">
        <v>2604</v>
      </c>
      <c r="R693" s="3"/>
      <c r="S693" s="3"/>
      <c r="T693" s="3" t="s">
        <v>145</v>
      </c>
      <c r="U693" s="2"/>
      <c r="V693" s="2" t="s">
        <v>145</v>
      </c>
      <c r="W693" s="2"/>
      <c r="X693" s="2"/>
      <c r="Y693" s="2"/>
      <c r="Z693" s="2"/>
      <c r="AA693" s="2"/>
      <c r="AB693" s="2"/>
      <c r="AC693" s="2"/>
      <c r="AD693" s="2"/>
    </row>
    <row r="694" spans="1:30" ht="12" customHeight="1">
      <c r="A694" s="828" t="s">
        <v>17388</v>
      </c>
      <c r="B694" s="3" t="s">
        <v>2606</v>
      </c>
      <c r="C694" s="1" t="s">
        <v>2610</v>
      </c>
      <c r="D694" s="5">
        <f t="shared" si="10"/>
        <v>49</v>
      </c>
      <c r="E694" s="2" t="s">
        <v>5</v>
      </c>
      <c r="F694" s="6" t="s">
        <v>15273</v>
      </c>
      <c r="G694" s="3" t="s">
        <v>2611</v>
      </c>
      <c r="H694" s="1"/>
      <c r="I694" s="1"/>
      <c r="J694" s="8" t="s">
        <v>16126</v>
      </c>
      <c r="K694" s="1" t="s">
        <v>44</v>
      </c>
      <c r="L694" s="1" t="s">
        <v>25</v>
      </c>
      <c r="M694" s="825">
        <v>1</v>
      </c>
      <c r="N694" s="17">
        <v>1</v>
      </c>
      <c r="O694" s="3" t="s">
        <v>188</v>
      </c>
      <c r="P694" s="20">
        <v>23183</v>
      </c>
      <c r="Q694" s="3" t="s">
        <v>2612</v>
      </c>
      <c r="R694" s="3"/>
      <c r="S694" s="3"/>
      <c r="T694" s="3" t="s">
        <v>47</v>
      </c>
      <c r="U694" s="2" t="s">
        <v>47</v>
      </c>
      <c r="V694" s="2"/>
      <c r="W694" s="2"/>
      <c r="X694" s="2"/>
      <c r="Y694" s="2"/>
      <c r="Z694" s="2"/>
      <c r="AA694" s="2"/>
      <c r="AB694" s="2"/>
      <c r="AC694" s="2"/>
      <c r="AD694" s="2"/>
    </row>
    <row r="695" spans="1:30" ht="12" customHeight="1">
      <c r="A695" s="828" t="s">
        <v>17389</v>
      </c>
      <c r="B695" s="3" t="s">
        <v>2607</v>
      </c>
      <c r="C695" s="1" t="s">
        <v>2614</v>
      </c>
      <c r="D695" s="5">
        <f t="shared" si="10"/>
        <v>60</v>
      </c>
      <c r="E695" s="2" t="s">
        <v>5</v>
      </c>
      <c r="F695" s="2" t="s">
        <v>15273</v>
      </c>
      <c r="G695" s="3" t="s">
        <v>2615</v>
      </c>
      <c r="H695" s="1"/>
      <c r="I695" s="1"/>
      <c r="J695" s="4" t="s">
        <v>16120</v>
      </c>
      <c r="K695" s="1" t="s">
        <v>30</v>
      </c>
      <c r="L695" s="1" t="s">
        <v>25</v>
      </c>
      <c r="M695" s="825">
        <v>7</v>
      </c>
      <c r="N695" s="17">
        <v>7</v>
      </c>
      <c r="O695" s="3" t="s">
        <v>451</v>
      </c>
      <c r="P695" s="20">
        <v>19299</v>
      </c>
      <c r="Q695" s="3" t="s">
        <v>2616</v>
      </c>
      <c r="R695" s="3" t="s">
        <v>2617</v>
      </c>
      <c r="S695" s="3" t="s">
        <v>5457</v>
      </c>
      <c r="T695" s="3" t="s">
        <v>104</v>
      </c>
      <c r="U695" s="2"/>
      <c r="V695" s="2"/>
      <c r="W695" s="2"/>
      <c r="X695" s="2"/>
      <c r="Y695" s="2"/>
      <c r="Z695" s="2"/>
      <c r="AA695" s="2" t="s">
        <v>104</v>
      </c>
      <c r="AB695" s="2"/>
      <c r="AC695" s="2"/>
      <c r="AD695" s="2"/>
    </row>
    <row r="696" spans="1:30" ht="12" customHeight="1">
      <c r="A696" s="828" t="s">
        <v>17390</v>
      </c>
      <c r="B696" s="3" t="s">
        <v>2608</v>
      </c>
      <c r="C696" s="1" t="s">
        <v>2618</v>
      </c>
      <c r="D696" s="5">
        <f t="shared" si="10"/>
        <v>45</v>
      </c>
      <c r="E696" s="2" t="s">
        <v>5</v>
      </c>
      <c r="F696" s="2"/>
      <c r="G696" s="3"/>
      <c r="H696" s="1"/>
      <c r="I696" s="1"/>
      <c r="J696" s="4" t="s">
        <v>16117</v>
      </c>
      <c r="K696" s="1"/>
      <c r="L696" s="1" t="s">
        <v>6</v>
      </c>
      <c r="M696" s="825"/>
      <c r="N696" s="17"/>
      <c r="O696" s="3" t="s">
        <v>2619</v>
      </c>
      <c r="P696" s="20">
        <v>24757</v>
      </c>
      <c r="Q696" s="3" t="s">
        <v>2620</v>
      </c>
      <c r="R696" s="3"/>
      <c r="S696" s="3"/>
      <c r="T696" s="3"/>
      <c r="U696" s="2"/>
      <c r="V696" s="2"/>
      <c r="W696" s="2"/>
      <c r="X696" s="2"/>
      <c r="Y696" s="2"/>
      <c r="Z696" s="2"/>
      <c r="AA696" s="2"/>
      <c r="AB696" s="2"/>
      <c r="AC696" s="2"/>
      <c r="AD696" s="2"/>
    </row>
    <row r="697" spans="1:30" ht="12" customHeight="1">
      <c r="A697" s="828" t="s">
        <v>17391</v>
      </c>
      <c r="B697" s="3" t="s">
        <v>2609</v>
      </c>
      <c r="C697" s="1" t="s">
        <v>2621</v>
      </c>
      <c r="D697" s="5">
        <f t="shared" si="10"/>
        <v>52</v>
      </c>
      <c r="E697" s="2" t="s">
        <v>5</v>
      </c>
      <c r="F697" s="2"/>
      <c r="G697" s="3"/>
      <c r="H697" s="1"/>
      <c r="I697" s="1"/>
      <c r="J697" s="4" t="s">
        <v>16122</v>
      </c>
      <c r="K697" s="1" t="s">
        <v>22</v>
      </c>
      <c r="L697" s="1" t="s">
        <v>6</v>
      </c>
      <c r="M697" s="825"/>
      <c r="N697" s="17"/>
      <c r="O697" s="3" t="s">
        <v>2622</v>
      </c>
      <c r="P697" s="20">
        <v>22171</v>
      </c>
      <c r="Q697" s="3" t="s">
        <v>2623</v>
      </c>
      <c r="R697" s="3"/>
      <c r="S697" s="3"/>
      <c r="T697" s="3"/>
      <c r="U697" s="2"/>
      <c r="V697" s="2"/>
      <c r="W697" s="2"/>
      <c r="X697" s="2"/>
      <c r="Y697" s="2"/>
      <c r="Z697" s="2"/>
      <c r="AA697" s="2"/>
      <c r="AB697" s="2"/>
      <c r="AC697" s="2"/>
      <c r="AD697" s="2"/>
    </row>
    <row r="698" spans="1:30" ht="12" customHeight="1">
      <c r="A698" s="828" t="s">
        <v>17392</v>
      </c>
      <c r="B698" s="3" t="s">
        <v>2624</v>
      </c>
      <c r="C698" s="1" t="s">
        <v>2628</v>
      </c>
      <c r="D698" s="5">
        <f t="shared" si="10"/>
        <v>67</v>
      </c>
      <c r="E698" s="2" t="s">
        <v>5</v>
      </c>
      <c r="F698" s="6" t="s">
        <v>15273</v>
      </c>
      <c r="G698" s="3" t="s">
        <v>2629</v>
      </c>
      <c r="H698" s="1"/>
      <c r="I698" s="1"/>
      <c r="J698" s="8" t="s">
        <v>16127</v>
      </c>
      <c r="K698" s="1" t="s">
        <v>1656</v>
      </c>
      <c r="L698" s="1" t="s">
        <v>25</v>
      </c>
      <c r="M698" s="825">
        <v>4</v>
      </c>
      <c r="N698" s="17">
        <v>4</v>
      </c>
      <c r="O698" s="3" t="s">
        <v>381</v>
      </c>
      <c r="P698" s="20">
        <v>16561</v>
      </c>
      <c r="Q698" s="3" t="s">
        <v>2630</v>
      </c>
      <c r="R698" s="3" t="s">
        <v>2631</v>
      </c>
      <c r="S698" s="3" t="s">
        <v>736</v>
      </c>
      <c r="T698" s="3" t="s">
        <v>145</v>
      </c>
      <c r="U698" s="2"/>
      <c r="V698" s="2" t="s">
        <v>145</v>
      </c>
      <c r="W698" s="2"/>
      <c r="X698" s="2"/>
      <c r="Y698" s="2"/>
      <c r="Z698" s="2"/>
      <c r="AA698" s="2"/>
      <c r="AB698" s="2"/>
      <c r="AC698" s="2"/>
      <c r="AD698" s="2"/>
    </row>
    <row r="699" spans="1:30" ht="12" customHeight="1">
      <c r="A699" s="828" t="s">
        <v>17393</v>
      </c>
      <c r="B699" s="3" t="s">
        <v>2625</v>
      </c>
      <c r="C699" s="1" t="s">
        <v>2632</v>
      </c>
      <c r="D699" s="5">
        <f t="shared" si="10"/>
        <v>59</v>
      </c>
      <c r="E699" s="2" t="s">
        <v>19</v>
      </c>
      <c r="F699" s="2" t="s">
        <v>15273</v>
      </c>
      <c r="G699" s="3"/>
      <c r="H699" s="1"/>
      <c r="I699" s="1"/>
      <c r="J699" s="8" t="s">
        <v>16120</v>
      </c>
      <c r="K699" s="1" t="s">
        <v>476</v>
      </c>
      <c r="L699" s="1" t="s">
        <v>14</v>
      </c>
      <c r="M699" s="825">
        <v>3</v>
      </c>
      <c r="N699" s="17">
        <v>3</v>
      </c>
      <c r="O699" s="3" t="s">
        <v>255</v>
      </c>
      <c r="P699" s="20">
        <v>19419</v>
      </c>
      <c r="Q699" s="3" t="s">
        <v>2633</v>
      </c>
      <c r="R699" s="3" t="s">
        <v>2634</v>
      </c>
      <c r="S699" s="3" t="s">
        <v>5457</v>
      </c>
      <c r="T699" s="3"/>
      <c r="U699" s="2"/>
      <c r="V699" s="2"/>
      <c r="W699" s="2"/>
      <c r="X699" s="2"/>
      <c r="Y699" s="2"/>
      <c r="Z699" s="2"/>
      <c r="AA699" s="2"/>
      <c r="AB699" s="2"/>
      <c r="AC699" s="2"/>
      <c r="AD699" s="2"/>
    </row>
    <row r="700" spans="1:30" ht="12" customHeight="1">
      <c r="A700" s="828" t="s">
        <v>17394</v>
      </c>
      <c r="B700" s="3" t="s">
        <v>2626</v>
      </c>
      <c r="C700" s="1" t="s">
        <v>5781</v>
      </c>
      <c r="D700" s="5">
        <f t="shared" si="10"/>
        <v>36</v>
      </c>
      <c r="E700" s="2" t="s">
        <v>5</v>
      </c>
      <c r="F700" s="2" t="s">
        <v>15273</v>
      </c>
      <c r="G700" s="3"/>
      <c r="H700" s="1"/>
      <c r="I700" s="1"/>
      <c r="J700" s="4" t="s">
        <v>16116</v>
      </c>
      <c r="K700" s="1" t="s">
        <v>4997</v>
      </c>
      <c r="L700" s="1" t="s">
        <v>6</v>
      </c>
      <c r="M700" s="825"/>
      <c r="N700" s="17"/>
      <c r="O700" s="3" t="s">
        <v>188</v>
      </c>
      <c r="P700" s="20">
        <v>27952</v>
      </c>
      <c r="Q700" s="3" t="s">
        <v>2636</v>
      </c>
      <c r="R700" s="3"/>
      <c r="S700" s="3"/>
      <c r="T700" s="3" t="s">
        <v>145</v>
      </c>
      <c r="U700" s="2"/>
      <c r="V700" s="2" t="s">
        <v>145</v>
      </c>
      <c r="W700" s="2"/>
      <c r="X700" s="2"/>
      <c r="Y700" s="2"/>
      <c r="Z700" s="2"/>
      <c r="AA700" s="2"/>
      <c r="AB700" s="2"/>
      <c r="AC700" s="2"/>
      <c r="AD700" s="2"/>
    </row>
    <row r="701" spans="1:30" ht="12" customHeight="1">
      <c r="A701" s="828" t="s">
        <v>17395</v>
      </c>
      <c r="B701" s="3" t="s">
        <v>2627</v>
      </c>
      <c r="C701" s="1" t="s">
        <v>2637</v>
      </c>
      <c r="D701" s="5">
        <f t="shared" si="10"/>
        <v>38</v>
      </c>
      <c r="E701" s="2" t="s">
        <v>5</v>
      </c>
      <c r="F701" s="2" t="s">
        <v>15273</v>
      </c>
      <c r="G701" s="3"/>
      <c r="H701" s="1"/>
      <c r="I701" s="1"/>
      <c r="J701" s="4" t="s">
        <v>16128</v>
      </c>
      <c r="K701" s="1"/>
      <c r="L701" s="1" t="s">
        <v>6</v>
      </c>
      <c r="M701" s="825"/>
      <c r="N701" s="17"/>
      <c r="O701" s="3" t="s">
        <v>462</v>
      </c>
      <c r="P701" s="20">
        <v>27203</v>
      </c>
      <c r="Q701" s="3" t="s">
        <v>2639</v>
      </c>
      <c r="R701" s="3"/>
      <c r="S701" s="3"/>
      <c r="T701" s="3"/>
      <c r="U701" s="2"/>
      <c r="V701" s="2"/>
      <c r="W701" s="2"/>
      <c r="X701" s="2"/>
      <c r="Y701" s="2"/>
      <c r="Z701" s="2"/>
      <c r="AA701" s="2"/>
      <c r="AB701" s="2"/>
      <c r="AC701" s="2"/>
      <c r="AD701" s="2"/>
    </row>
    <row r="702" spans="1:30" ht="12" customHeight="1">
      <c r="A702" s="828" t="s">
        <v>17396</v>
      </c>
      <c r="B702" s="3" t="s">
        <v>5780</v>
      </c>
      <c r="C702" s="1" t="s">
        <v>2635</v>
      </c>
      <c r="D702" s="5">
        <f t="shared" si="10"/>
        <v>61</v>
      </c>
      <c r="E702" s="2" t="s">
        <v>19</v>
      </c>
      <c r="F702" s="2"/>
      <c r="G702" s="3"/>
      <c r="H702" s="1"/>
      <c r="I702" s="1"/>
      <c r="J702" s="4" t="s">
        <v>16117</v>
      </c>
      <c r="K702" s="1"/>
      <c r="L702" s="1" t="s">
        <v>6</v>
      </c>
      <c r="M702" s="825"/>
      <c r="N702" s="17"/>
      <c r="O702" s="3" t="s">
        <v>1583</v>
      </c>
      <c r="P702" s="20">
        <v>18701</v>
      </c>
      <c r="Q702" s="3" t="s">
        <v>2636</v>
      </c>
      <c r="R702" s="3"/>
      <c r="S702" s="3"/>
      <c r="T702" s="3" t="s">
        <v>145</v>
      </c>
      <c r="U702" s="2"/>
      <c r="V702" s="2" t="s">
        <v>145</v>
      </c>
      <c r="W702" s="2"/>
      <c r="X702" s="2"/>
      <c r="Y702" s="2"/>
      <c r="Z702" s="2"/>
      <c r="AA702" s="2"/>
      <c r="AB702" s="2"/>
      <c r="AC702" s="2"/>
      <c r="AD702" s="2"/>
    </row>
    <row r="703" spans="1:30" ht="12" customHeight="1">
      <c r="A703" s="828" t="s">
        <v>17397</v>
      </c>
      <c r="B703" s="3" t="s">
        <v>2641</v>
      </c>
      <c r="C703" s="1" t="s">
        <v>2644</v>
      </c>
      <c r="D703" s="5">
        <f t="shared" si="10"/>
        <v>40</v>
      </c>
      <c r="E703" s="2" t="s">
        <v>5</v>
      </c>
      <c r="F703" s="6" t="s">
        <v>15273</v>
      </c>
      <c r="G703" s="3" t="s">
        <v>2645</v>
      </c>
      <c r="H703" s="1"/>
      <c r="I703" s="1"/>
      <c r="J703" s="8" t="s">
        <v>16127</v>
      </c>
      <c r="K703" s="1" t="s">
        <v>44</v>
      </c>
      <c r="L703" s="1" t="s">
        <v>25</v>
      </c>
      <c r="M703" s="825">
        <v>3</v>
      </c>
      <c r="N703" s="17">
        <v>3</v>
      </c>
      <c r="O703" s="3" t="s">
        <v>23</v>
      </c>
      <c r="P703" s="20">
        <v>26323</v>
      </c>
      <c r="Q703" s="3" t="s">
        <v>2647</v>
      </c>
      <c r="R703" s="3" t="s">
        <v>2648</v>
      </c>
      <c r="S703" s="3" t="s">
        <v>736</v>
      </c>
      <c r="T703" s="3"/>
      <c r="U703" s="2"/>
      <c r="V703" s="2"/>
      <c r="W703" s="2"/>
      <c r="X703" s="2"/>
      <c r="Y703" s="2"/>
      <c r="Z703" s="2"/>
      <c r="AA703" s="2"/>
      <c r="AB703" s="2"/>
      <c r="AC703" s="2"/>
      <c r="AD703" s="2"/>
    </row>
    <row r="704" spans="1:30" ht="12" customHeight="1">
      <c r="A704" s="828" t="s">
        <v>17398</v>
      </c>
      <c r="B704" s="3" t="s">
        <v>2642</v>
      </c>
      <c r="C704" s="1" t="s">
        <v>2649</v>
      </c>
      <c r="D704" s="5">
        <f t="shared" si="10"/>
        <v>36</v>
      </c>
      <c r="E704" s="2" t="s">
        <v>5</v>
      </c>
      <c r="F704" s="2" t="s">
        <v>15273</v>
      </c>
      <c r="G704" s="3"/>
      <c r="H704" s="1"/>
      <c r="I704" s="1"/>
      <c r="J704" s="4" t="s">
        <v>16120</v>
      </c>
      <c r="K704" s="1" t="s">
        <v>30</v>
      </c>
      <c r="L704" s="1" t="s">
        <v>6</v>
      </c>
      <c r="M704" s="825"/>
      <c r="N704" s="17"/>
      <c r="O704" s="3" t="s">
        <v>1282</v>
      </c>
      <c r="P704" s="20">
        <v>27959</v>
      </c>
      <c r="Q704" s="3" t="s">
        <v>2651</v>
      </c>
      <c r="R704" s="3"/>
      <c r="S704" s="3"/>
      <c r="T704" s="3" t="s">
        <v>47</v>
      </c>
      <c r="U704" s="2" t="s">
        <v>47</v>
      </c>
      <c r="V704" s="2"/>
      <c r="W704" s="2"/>
      <c r="X704" s="2"/>
      <c r="Y704" s="2"/>
      <c r="Z704" s="2"/>
      <c r="AA704" s="2"/>
      <c r="AB704" s="2"/>
      <c r="AC704" s="2"/>
      <c r="AD704" s="2"/>
    </row>
    <row r="705" spans="1:30" ht="12" customHeight="1">
      <c r="A705" s="828" t="s">
        <v>17399</v>
      </c>
      <c r="B705" s="3" t="s">
        <v>2643</v>
      </c>
      <c r="C705" s="1" t="s">
        <v>5221</v>
      </c>
      <c r="D705" s="5">
        <f t="shared" ref="D705:D768" si="11">DATEDIF(P705,$P$1505,"Y")</f>
        <v>46</v>
      </c>
      <c r="E705" s="2" t="s">
        <v>5</v>
      </c>
      <c r="F705" s="2" t="s">
        <v>15273</v>
      </c>
      <c r="G705" s="3"/>
      <c r="H705" s="1"/>
      <c r="I705" s="1"/>
      <c r="J705" s="4" t="s">
        <v>16116</v>
      </c>
      <c r="K705" s="1" t="s">
        <v>4997</v>
      </c>
      <c r="L705" s="1" t="s">
        <v>6</v>
      </c>
      <c r="M705" s="825"/>
      <c r="N705" s="17"/>
      <c r="O705" s="3" t="s">
        <v>1162</v>
      </c>
      <c r="P705" s="21">
        <v>24355</v>
      </c>
      <c r="Q705" s="3" t="s">
        <v>5222</v>
      </c>
      <c r="R705" s="3"/>
      <c r="S705" s="3" t="s">
        <v>469</v>
      </c>
      <c r="T705" s="3"/>
      <c r="U705" s="2"/>
      <c r="V705" s="2"/>
      <c r="W705" s="2"/>
      <c r="X705" s="2"/>
      <c r="Y705" s="2"/>
      <c r="Z705" s="2"/>
      <c r="AA705" s="2"/>
      <c r="AB705" s="2"/>
      <c r="AC705" s="2"/>
      <c r="AD705" s="2"/>
    </row>
    <row r="706" spans="1:30" ht="12" customHeight="1">
      <c r="A706" s="828" t="s">
        <v>17400</v>
      </c>
      <c r="B706" s="3" t="s">
        <v>5220</v>
      </c>
      <c r="C706" s="1" t="s">
        <v>2652</v>
      </c>
      <c r="D706" s="5">
        <f t="shared" si="11"/>
        <v>60</v>
      </c>
      <c r="E706" s="2" t="s">
        <v>19</v>
      </c>
      <c r="F706" s="2"/>
      <c r="G706" s="3"/>
      <c r="H706" s="1"/>
      <c r="I706" s="1"/>
      <c r="J706" s="4" t="s">
        <v>16117</v>
      </c>
      <c r="K706" s="1"/>
      <c r="L706" s="1" t="s">
        <v>6</v>
      </c>
      <c r="M706" s="825"/>
      <c r="N706" s="17"/>
      <c r="O706" s="3" t="s">
        <v>2653</v>
      </c>
      <c r="P706" s="21">
        <v>19278</v>
      </c>
      <c r="Q706" s="3" t="s">
        <v>260</v>
      </c>
      <c r="R706" s="3"/>
      <c r="S706" s="3"/>
      <c r="T706" s="3"/>
      <c r="U706" s="2"/>
      <c r="V706" s="2"/>
      <c r="W706" s="2"/>
      <c r="X706" s="2"/>
      <c r="Y706" s="2"/>
      <c r="Z706" s="2"/>
      <c r="AA706" s="2"/>
      <c r="AB706" s="2"/>
      <c r="AC706" s="2"/>
      <c r="AD706" s="2"/>
    </row>
    <row r="707" spans="1:30" ht="12" customHeight="1">
      <c r="A707" s="828" t="s">
        <v>17401</v>
      </c>
      <c r="B707" s="3" t="s">
        <v>2655</v>
      </c>
      <c r="C707" s="1" t="s">
        <v>2658</v>
      </c>
      <c r="D707" s="5">
        <f t="shared" si="11"/>
        <v>36</v>
      </c>
      <c r="E707" s="2" t="s">
        <v>5</v>
      </c>
      <c r="F707" s="6" t="s">
        <v>15273</v>
      </c>
      <c r="G707" s="3" t="s">
        <v>2659</v>
      </c>
      <c r="H707" s="1"/>
      <c r="I707" s="1"/>
      <c r="J707" s="8" t="s">
        <v>16126</v>
      </c>
      <c r="K707" s="1" t="s">
        <v>44</v>
      </c>
      <c r="L707" s="1" t="s">
        <v>25</v>
      </c>
      <c r="M707" s="825">
        <v>1</v>
      </c>
      <c r="N707" s="17">
        <v>1</v>
      </c>
      <c r="O707" s="3" t="s">
        <v>245</v>
      </c>
      <c r="P707" s="20">
        <v>27754</v>
      </c>
      <c r="Q707" s="3" t="s">
        <v>2660</v>
      </c>
      <c r="R707" s="3"/>
      <c r="S707" s="3" t="s">
        <v>736</v>
      </c>
      <c r="T707" s="3" t="s">
        <v>146</v>
      </c>
      <c r="U707" s="2"/>
      <c r="V707" s="2"/>
      <c r="W707" s="2"/>
      <c r="X707" s="2"/>
      <c r="Y707" s="2"/>
      <c r="Z707" s="2"/>
      <c r="AA707" s="2"/>
      <c r="AB707" s="2"/>
      <c r="AC707" s="2" t="s">
        <v>146</v>
      </c>
      <c r="AD707" s="2"/>
    </row>
    <row r="708" spans="1:30" ht="12" customHeight="1">
      <c r="A708" s="828" t="s">
        <v>17402</v>
      </c>
      <c r="B708" s="3" t="s">
        <v>2656</v>
      </c>
      <c r="C708" s="1" t="s">
        <v>2662</v>
      </c>
      <c r="D708" s="5">
        <f t="shared" si="11"/>
        <v>37</v>
      </c>
      <c r="E708" s="2" t="s">
        <v>5</v>
      </c>
      <c r="F708" s="2" t="s">
        <v>15273</v>
      </c>
      <c r="G708" s="3"/>
      <c r="H708" s="1"/>
      <c r="I708" s="1"/>
      <c r="J708" s="4" t="s">
        <v>16120</v>
      </c>
      <c r="K708" s="1" t="s">
        <v>30</v>
      </c>
      <c r="L708" s="1" t="s">
        <v>6</v>
      </c>
      <c r="M708" s="825"/>
      <c r="N708" s="17"/>
      <c r="O708" s="3" t="s">
        <v>317</v>
      </c>
      <c r="P708" s="20">
        <v>27404</v>
      </c>
      <c r="Q708" s="3" t="s">
        <v>2664</v>
      </c>
      <c r="R708" s="3"/>
      <c r="S708" s="3" t="s">
        <v>5457</v>
      </c>
      <c r="T708" s="3" t="s">
        <v>145</v>
      </c>
      <c r="U708" s="2"/>
      <c r="V708" s="2" t="s">
        <v>145</v>
      </c>
      <c r="W708" s="2"/>
      <c r="X708" s="2"/>
      <c r="Y708" s="2"/>
      <c r="Z708" s="2"/>
      <c r="AA708" s="2"/>
      <c r="AB708" s="2"/>
      <c r="AC708" s="2"/>
      <c r="AD708" s="2"/>
    </row>
    <row r="709" spans="1:30" ht="12" customHeight="1">
      <c r="A709" s="828" t="s">
        <v>17403</v>
      </c>
      <c r="B709" s="3" t="s">
        <v>2657</v>
      </c>
      <c r="C709" s="1" t="s">
        <v>5193</v>
      </c>
      <c r="D709" s="5">
        <f t="shared" si="11"/>
        <v>63</v>
      </c>
      <c r="E709" s="2" t="s">
        <v>5</v>
      </c>
      <c r="F709" s="2" t="s">
        <v>15273</v>
      </c>
      <c r="G709" s="3"/>
      <c r="H709" s="1"/>
      <c r="I709" s="1"/>
      <c r="J709" s="4" t="s">
        <v>16116</v>
      </c>
      <c r="K709" s="1" t="s">
        <v>4997</v>
      </c>
      <c r="L709" s="1" t="s">
        <v>6</v>
      </c>
      <c r="M709" s="825"/>
      <c r="N709" s="17"/>
      <c r="O709" s="3" t="s">
        <v>447</v>
      </c>
      <c r="P709" s="21">
        <v>18008</v>
      </c>
      <c r="Q709" s="3" t="s">
        <v>5194</v>
      </c>
      <c r="R709" s="3"/>
      <c r="S709" s="3" t="s">
        <v>469</v>
      </c>
      <c r="T709" s="3" t="s">
        <v>333</v>
      </c>
      <c r="U709" s="2" t="s">
        <v>47</v>
      </c>
      <c r="V709" s="2"/>
      <c r="W709" s="2" t="s">
        <v>75</v>
      </c>
      <c r="X709" s="2"/>
      <c r="Y709" s="2"/>
      <c r="Z709" s="2"/>
      <c r="AA709" s="2"/>
      <c r="AB709" s="2"/>
      <c r="AC709" s="2"/>
      <c r="AD709" s="2"/>
    </row>
    <row r="710" spans="1:30" ht="12" customHeight="1">
      <c r="A710" s="828" t="s">
        <v>17404</v>
      </c>
      <c r="B710" s="3" t="s">
        <v>4576</v>
      </c>
      <c r="C710" s="1" t="s">
        <v>2666</v>
      </c>
      <c r="D710" s="5">
        <f t="shared" si="11"/>
        <v>62</v>
      </c>
      <c r="E710" s="2" t="s">
        <v>5</v>
      </c>
      <c r="F710" s="2"/>
      <c r="G710" s="3"/>
      <c r="H710" s="1"/>
      <c r="I710" s="1"/>
      <c r="J710" s="4" t="s">
        <v>16117</v>
      </c>
      <c r="K710" s="1"/>
      <c r="L710" s="1" t="s">
        <v>6</v>
      </c>
      <c r="M710" s="825"/>
      <c r="N710" s="17"/>
      <c r="O710" s="3" t="s">
        <v>381</v>
      </c>
      <c r="P710" s="21">
        <v>18589</v>
      </c>
      <c r="Q710" s="3" t="s">
        <v>2667</v>
      </c>
      <c r="R710" s="3"/>
      <c r="S710" s="3"/>
      <c r="T710" s="3"/>
      <c r="U710" s="2"/>
      <c r="V710" s="2"/>
      <c r="W710" s="2"/>
      <c r="X710" s="2"/>
      <c r="Y710" s="2"/>
      <c r="Z710" s="2"/>
      <c r="AA710" s="2"/>
      <c r="AB710" s="2"/>
      <c r="AC710" s="2"/>
      <c r="AD710" s="2"/>
    </row>
    <row r="711" spans="1:30" ht="12" customHeight="1">
      <c r="A711" s="828" t="s">
        <v>17405</v>
      </c>
      <c r="B711" s="3" t="s">
        <v>2668</v>
      </c>
      <c r="C711" s="1" t="s">
        <v>2672</v>
      </c>
      <c r="D711" s="5">
        <f t="shared" si="11"/>
        <v>44</v>
      </c>
      <c r="E711" s="2" t="s">
        <v>5</v>
      </c>
      <c r="F711" s="6" t="s">
        <v>15273</v>
      </c>
      <c r="G711" s="3" t="s">
        <v>2673</v>
      </c>
      <c r="H711" s="1"/>
      <c r="I711" s="1"/>
      <c r="J711" s="8" t="s">
        <v>16127</v>
      </c>
      <c r="K711" s="1" t="s">
        <v>44</v>
      </c>
      <c r="L711" s="1" t="s">
        <v>25</v>
      </c>
      <c r="M711" s="825">
        <v>3</v>
      </c>
      <c r="N711" s="17">
        <v>3</v>
      </c>
      <c r="O711" s="3" t="s">
        <v>317</v>
      </c>
      <c r="P711" s="20">
        <v>24916</v>
      </c>
      <c r="Q711" s="3" t="s">
        <v>2674</v>
      </c>
      <c r="R711" s="3" t="s">
        <v>247</v>
      </c>
      <c r="S711" s="3" t="s">
        <v>736</v>
      </c>
      <c r="T711" s="3" t="s">
        <v>47</v>
      </c>
      <c r="U711" s="2" t="s">
        <v>47</v>
      </c>
      <c r="V711" s="2"/>
      <c r="W711" s="2"/>
      <c r="X711" s="2"/>
      <c r="Y711" s="2"/>
      <c r="Z711" s="2"/>
      <c r="AA711" s="2"/>
      <c r="AB711" s="2"/>
      <c r="AC711" s="2"/>
      <c r="AD711" s="2"/>
    </row>
    <row r="712" spans="1:30" ht="12" customHeight="1">
      <c r="A712" s="828" t="s">
        <v>17406</v>
      </c>
      <c r="B712" s="3" t="s">
        <v>2669</v>
      </c>
      <c r="C712" s="1" t="s">
        <v>2676</v>
      </c>
      <c r="D712" s="5">
        <f t="shared" si="11"/>
        <v>65</v>
      </c>
      <c r="E712" s="2" t="s">
        <v>5</v>
      </c>
      <c r="F712" s="2" t="s">
        <v>15273</v>
      </c>
      <c r="G712" s="3" t="s">
        <v>2677</v>
      </c>
      <c r="H712" s="1"/>
      <c r="I712" s="1"/>
      <c r="J712" s="8" t="s">
        <v>16120</v>
      </c>
      <c r="K712" s="1" t="s">
        <v>476</v>
      </c>
      <c r="L712" s="1" t="s">
        <v>25</v>
      </c>
      <c r="M712" s="825">
        <v>5</v>
      </c>
      <c r="N712" s="17">
        <v>5</v>
      </c>
      <c r="O712" s="3" t="s">
        <v>381</v>
      </c>
      <c r="P712" s="20">
        <v>17289</v>
      </c>
      <c r="Q712" s="3" t="s">
        <v>2678</v>
      </c>
      <c r="R712" s="3" t="s">
        <v>2679</v>
      </c>
      <c r="S712" s="3" t="s">
        <v>5457</v>
      </c>
      <c r="T712" s="3" t="s">
        <v>145</v>
      </c>
      <c r="U712" s="2"/>
      <c r="V712" s="2" t="s">
        <v>145</v>
      </c>
      <c r="W712" s="2"/>
      <c r="X712" s="2"/>
      <c r="Y712" s="2"/>
      <c r="Z712" s="2"/>
      <c r="AA712" s="2"/>
      <c r="AB712" s="2"/>
      <c r="AC712" s="2"/>
      <c r="AD712" s="2"/>
    </row>
    <row r="713" spans="1:30" ht="12" customHeight="1">
      <c r="A713" s="828" t="s">
        <v>17407</v>
      </c>
      <c r="B713" s="3" t="s">
        <v>2670</v>
      </c>
      <c r="C713" s="1" t="s">
        <v>2683</v>
      </c>
      <c r="D713" s="5">
        <f t="shared" si="11"/>
        <v>41</v>
      </c>
      <c r="E713" s="2" t="s">
        <v>19</v>
      </c>
      <c r="F713" s="2" t="s">
        <v>15273</v>
      </c>
      <c r="G713" s="3" t="s">
        <v>2684</v>
      </c>
      <c r="H713" s="1"/>
      <c r="I713" s="1"/>
      <c r="J713" s="4" t="s">
        <v>16125</v>
      </c>
      <c r="K713" s="1"/>
      <c r="L713" s="1" t="s">
        <v>25</v>
      </c>
      <c r="M713" s="825">
        <v>1</v>
      </c>
      <c r="N713" s="17">
        <v>1</v>
      </c>
      <c r="O713" s="3" t="s">
        <v>983</v>
      </c>
      <c r="P713" s="20">
        <v>26245</v>
      </c>
      <c r="Q713" s="3" t="s">
        <v>2685</v>
      </c>
      <c r="R713" s="3"/>
      <c r="S713" s="3" t="s">
        <v>5561</v>
      </c>
      <c r="T713" s="3"/>
      <c r="U713" s="2"/>
      <c r="V713" s="2"/>
      <c r="W713" s="2"/>
      <c r="X713" s="2"/>
      <c r="Y713" s="2"/>
      <c r="Z713" s="2"/>
      <c r="AA713" s="2"/>
      <c r="AB713" s="2"/>
      <c r="AC713" s="2"/>
      <c r="AD713" s="2"/>
    </row>
    <row r="714" spans="1:30" ht="12" customHeight="1">
      <c r="A714" s="828" t="s">
        <v>17408</v>
      </c>
      <c r="B714" s="3" t="s">
        <v>2671</v>
      </c>
      <c r="C714" s="1" t="s">
        <v>2680</v>
      </c>
      <c r="D714" s="5">
        <f t="shared" si="11"/>
        <v>65</v>
      </c>
      <c r="E714" s="2" t="s">
        <v>5</v>
      </c>
      <c r="F714" s="2"/>
      <c r="G714" s="3"/>
      <c r="H714" s="1"/>
      <c r="I714" s="1"/>
      <c r="J714" s="4" t="s">
        <v>16117</v>
      </c>
      <c r="K714" s="1"/>
      <c r="L714" s="1" t="s">
        <v>6</v>
      </c>
      <c r="M714" s="825"/>
      <c r="N714" s="17"/>
      <c r="O714" s="3" t="s">
        <v>2682</v>
      </c>
      <c r="P714" s="21">
        <v>17385</v>
      </c>
      <c r="Q714" s="3" t="s">
        <v>53</v>
      </c>
      <c r="R714" s="3"/>
      <c r="S714" s="3"/>
      <c r="T714" s="3"/>
      <c r="U714" s="2"/>
      <c r="V714" s="2"/>
      <c r="W714" s="2"/>
      <c r="X714" s="2"/>
      <c r="Y714" s="2"/>
      <c r="Z714" s="2"/>
      <c r="AA714" s="2"/>
      <c r="AB714" s="2"/>
      <c r="AC714" s="2"/>
      <c r="AD714" s="2"/>
    </row>
    <row r="715" spans="1:30" ht="12" customHeight="1">
      <c r="A715" s="828" t="s">
        <v>17409</v>
      </c>
      <c r="B715" s="3" t="s">
        <v>2686</v>
      </c>
      <c r="C715" s="1" t="s">
        <v>2689</v>
      </c>
      <c r="D715" s="5">
        <f t="shared" si="11"/>
        <v>41</v>
      </c>
      <c r="E715" s="2" t="s">
        <v>5</v>
      </c>
      <c r="F715" s="6" t="s">
        <v>15273</v>
      </c>
      <c r="G715" s="3" t="s">
        <v>2690</v>
      </c>
      <c r="H715" s="1"/>
      <c r="I715" s="1"/>
      <c r="J715" s="8" t="s">
        <v>16127</v>
      </c>
      <c r="K715" s="1" t="s">
        <v>44</v>
      </c>
      <c r="L715" s="1" t="s">
        <v>25</v>
      </c>
      <c r="M715" s="825">
        <v>4</v>
      </c>
      <c r="N715" s="17">
        <v>4</v>
      </c>
      <c r="O715" s="3" t="s">
        <v>1493</v>
      </c>
      <c r="P715" s="20">
        <v>26166</v>
      </c>
      <c r="Q715" s="3" t="s">
        <v>2692</v>
      </c>
      <c r="R715" s="3" t="s">
        <v>2693</v>
      </c>
      <c r="S715" s="3" t="s">
        <v>736</v>
      </c>
      <c r="T715" s="3"/>
      <c r="U715" s="2"/>
      <c r="V715" s="2"/>
      <c r="W715" s="2"/>
      <c r="X715" s="2"/>
      <c r="Y715" s="2"/>
      <c r="Z715" s="2"/>
      <c r="AA715" s="2"/>
      <c r="AB715" s="2"/>
      <c r="AC715" s="2"/>
      <c r="AD715" s="2"/>
    </row>
    <row r="716" spans="1:30" ht="12" customHeight="1">
      <c r="A716" s="828" t="s">
        <v>17410</v>
      </c>
      <c r="B716" s="3" t="s">
        <v>2687</v>
      </c>
      <c r="C716" s="1" t="s">
        <v>2694</v>
      </c>
      <c r="D716" s="5">
        <f t="shared" si="11"/>
        <v>30</v>
      </c>
      <c r="E716" s="2" t="s">
        <v>5</v>
      </c>
      <c r="F716" s="2" t="s">
        <v>15273</v>
      </c>
      <c r="G716" s="3"/>
      <c r="H716" s="1"/>
      <c r="I716" s="1"/>
      <c r="J716" s="4" t="s">
        <v>16120</v>
      </c>
      <c r="K716" s="1" t="s">
        <v>30</v>
      </c>
      <c r="L716" s="1" t="s">
        <v>6</v>
      </c>
      <c r="M716" s="825"/>
      <c r="N716" s="17"/>
      <c r="O716" s="3" t="s">
        <v>1879</v>
      </c>
      <c r="P716" s="20">
        <v>30048</v>
      </c>
      <c r="Q716" s="3" t="s">
        <v>2695</v>
      </c>
      <c r="R716" s="3"/>
      <c r="S716" s="3"/>
      <c r="T716" s="3"/>
      <c r="U716" s="2"/>
      <c r="V716" s="2"/>
      <c r="W716" s="2"/>
      <c r="X716" s="2"/>
      <c r="Y716" s="2"/>
      <c r="Z716" s="2"/>
      <c r="AA716" s="2"/>
      <c r="AB716" s="2"/>
      <c r="AC716" s="2"/>
      <c r="AD716" s="2"/>
    </row>
    <row r="717" spans="1:30" ht="12" customHeight="1">
      <c r="A717" s="828" t="s">
        <v>17411</v>
      </c>
      <c r="B717" s="3" t="s">
        <v>2688</v>
      </c>
      <c r="C717" s="1" t="s">
        <v>2696</v>
      </c>
      <c r="D717" s="5">
        <f t="shared" si="11"/>
        <v>56</v>
      </c>
      <c r="E717" s="2" t="s">
        <v>19</v>
      </c>
      <c r="F717" s="2"/>
      <c r="G717" s="3"/>
      <c r="H717" s="1"/>
      <c r="I717" s="1"/>
      <c r="J717" s="4" t="s">
        <v>16117</v>
      </c>
      <c r="K717" s="1"/>
      <c r="L717" s="1" t="s">
        <v>6</v>
      </c>
      <c r="M717" s="825"/>
      <c r="N717" s="17"/>
      <c r="O717" s="3" t="s">
        <v>188</v>
      </c>
      <c r="P717" s="21">
        <v>20543</v>
      </c>
      <c r="Q717" s="3" t="s">
        <v>2697</v>
      </c>
      <c r="R717" s="3"/>
      <c r="S717" s="3"/>
      <c r="T717" s="3" t="s">
        <v>145</v>
      </c>
      <c r="U717" s="2"/>
      <c r="V717" s="2" t="s">
        <v>145</v>
      </c>
      <c r="W717" s="2"/>
      <c r="X717" s="2"/>
      <c r="Y717" s="2"/>
      <c r="Z717" s="2"/>
      <c r="AA717" s="2"/>
      <c r="AB717" s="2"/>
      <c r="AC717" s="2"/>
      <c r="AD717" s="2"/>
    </row>
    <row r="718" spans="1:30" ht="12" customHeight="1">
      <c r="A718" s="828" t="s">
        <v>17412</v>
      </c>
      <c r="B718" s="3" t="s">
        <v>5803</v>
      </c>
      <c r="C718" s="1" t="s">
        <v>5804</v>
      </c>
      <c r="D718" s="5">
        <f t="shared" si="11"/>
        <v>58</v>
      </c>
      <c r="E718" s="2" t="s">
        <v>5</v>
      </c>
      <c r="F718" s="2"/>
      <c r="G718" s="3"/>
      <c r="H718" s="1"/>
      <c r="I718" s="1"/>
      <c r="J718" s="4" t="s">
        <v>16129</v>
      </c>
      <c r="K718" s="1"/>
      <c r="L718" s="1" t="s">
        <v>6</v>
      </c>
      <c r="M718" s="825"/>
      <c r="N718" s="17"/>
      <c r="O718" s="3" t="s">
        <v>150</v>
      </c>
      <c r="P718" s="21">
        <v>19895</v>
      </c>
      <c r="Q718" s="3" t="s">
        <v>16649</v>
      </c>
      <c r="R718" s="3"/>
      <c r="S718" s="3"/>
      <c r="T718" s="3"/>
      <c r="U718" s="2"/>
      <c r="V718" s="2"/>
      <c r="W718" s="2"/>
      <c r="X718" s="2"/>
      <c r="Y718" s="2"/>
      <c r="Z718" s="2"/>
      <c r="AA718" s="2"/>
      <c r="AB718" s="2"/>
      <c r="AC718" s="2"/>
      <c r="AD718" s="2"/>
    </row>
    <row r="719" spans="1:30" ht="12" customHeight="1">
      <c r="A719" s="828" t="s">
        <v>17413</v>
      </c>
      <c r="B719" s="3" t="s">
        <v>2698</v>
      </c>
      <c r="C719" s="1" t="s">
        <v>2701</v>
      </c>
      <c r="D719" s="5">
        <f t="shared" si="11"/>
        <v>51</v>
      </c>
      <c r="E719" s="2" t="s">
        <v>5</v>
      </c>
      <c r="F719" s="6" t="s">
        <v>15273</v>
      </c>
      <c r="G719" s="3" t="s">
        <v>2702</v>
      </c>
      <c r="H719" s="1"/>
      <c r="I719" s="1"/>
      <c r="J719" s="8" t="s">
        <v>16126</v>
      </c>
      <c r="K719" s="1" t="s">
        <v>681</v>
      </c>
      <c r="L719" s="1" t="s">
        <v>25</v>
      </c>
      <c r="M719" s="825">
        <v>5</v>
      </c>
      <c r="N719" s="17">
        <v>5</v>
      </c>
      <c r="O719" s="3" t="s">
        <v>188</v>
      </c>
      <c r="P719" s="20">
        <v>22626</v>
      </c>
      <c r="Q719" s="3" t="s">
        <v>2704</v>
      </c>
      <c r="R719" s="3" t="s">
        <v>2707</v>
      </c>
      <c r="S719" s="3" t="s">
        <v>736</v>
      </c>
      <c r="T719" s="3" t="s">
        <v>1892</v>
      </c>
      <c r="U719" s="2"/>
      <c r="V719" s="2" t="s">
        <v>145</v>
      </c>
      <c r="W719" s="2"/>
      <c r="X719" s="2"/>
      <c r="Y719" s="2" t="s">
        <v>155</v>
      </c>
      <c r="Z719" s="2"/>
      <c r="AA719" s="2" t="s">
        <v>104</v>
      </c>
      <c r="AB719" s="2"/>
      <c r="AC719" s="2"/>
      <c r="AD719" s="2"/>
    </row>
    <row r="720" spans="1:30" ht="12" customHeight="1">
      <c r="A720" s="828" t="s">
        <v>17414</v>
      </c>
      <c r="B720" s="3" t="s">
        <v>2699</v>
      </c>
      <c r="C720" s="1" t="s">
        <v>2708</v>
      </c>
      <c r="D720" s="5">
        <f t="shared" si="11"/>
        <v>36</v>
      </c>
      <c r="E720" s="2" t="s">
        <v>5</v>
      </c>
      <c r="F720" s="2" t="s">
        <v>15273</v>
      </c>
      <c r="G720" s="3"/>
      <c r="H720" s="1"/>
      <c r="I720" s="1"/>
      <c r="J720" s="4" t="s">
        <v>16120</v>
      </c>
      <c r="K720" s="1" t="s">
        <v>30</v>
      </c>
      <c r="L720" s="1" t="s">
        <v>6</v>
      </c>
      <c r="M720" s="825"/>
      <c r="N720" s="17"/>
      <c r="O720" s="3" t="s">
        <v>267</v>
      </c>
      <c r="P720" s="20">
        <v>27857</v>
      </c>
      <c r="Q720" s="3" t="s">
        <v>2709</v>
      </c>
      <c r="R720" s="3"/>
      <c r="S720" s="3"/>
      <c r="T720" s="3"/>
      <c r="U720" s="2"/>
      <c r="V720" s="2"/>
      <c r="W720" s="2"/>
      <c r="X720" s="2"/>
      <c r="Y720" s="2"/>
      <c r="Z720" s="2"/>
      <c r="AA720" s="2"/>
      <c r="AB720" s="2"/>
      <c r="AC720" s="2"/>
      <c r="AD720" s="2"/>
    </row>
    <row r="721" spans="1:30" ht="12" customHeight="1">
      <c r="A721" s="828" t="s">
        <v>17415</v>
      </c>
      <c r="B721" s="3" t="s">
        <v>2700</v>
      </c>
      <c r="C721" s="1" t="s">
        <v>5080</v>
      </c>
      <c r="D721" s="5">
        <f t="shared" si="11"/>
        <v>44</v>
      </c>
      <c r="E721" s="2" t="s">
        <v>5</v>
      </c>
      <c r="F721" s="2" t="s">
        <v>15273</v>
      </c>
      <c r="G721" s="3"/>
      <c r="H721" s="1"/>
      <c r="I721" s="1"/>
      <c r="J721" s="4" t="s">
        <v>16125</v>
      </c>
      <c r="K721" s="1"/>
      <c r="L721" s="1" t="s">
        <v>6</v>
      </c>
      <c r="M721" s="825"/>
      <c r="N721" s="17"/>
      <c r="O721" s="3" t="s">
        <v>447</v>
      </c>
      <c r="P721" s="20">
        <v>25057</v>
      </c>
      <c r="Q721" s="3" t="s">
        <v>2207</v>
      </c>
      <c r="R721" s="3"/>
      <c r="S721" s="3" t="s">
        <v>5561</v>
      </c>
      <c r="T721" s="3"/>
      <c r="U721" s="2"/>
      <c r="V721" s="2"/>
      <c r="W721" s="2"/>
      <c r="X721" s="2"/>
      <c r="Y721" s="2"/>
      <c r="Z721" s="2"/>
      <c r="AA721" s="2"/>
      <c r="AB721" s="2"/>
      <c r="AC721" s="2"/>
      <c r="AD721" s="2"/>
    </row>
    <row r="722" spans="1:30" ht="12" customHeight="1">
      <c r="A722" s="828" t="s">
        <v>17416</v>
      </c>
      <c r="B722" s="3" t="s">
        <v>5079</v>
      </c>
      <c r="C722" s="1" t="s">
        <v>2710</v>
      </c>
      <c r="D722" s="5">
        <f t="shared" si="11"/>
        <v>58</v>
      </c>
      <c r="E722" s="2" t="s">
        <v>5</v>
      </c>
      <c r="F722" s="2"/>
      <c r="G722" s="3"/>
      <c r="H722" s="1"/>
      <c r="I722" s="1"/>
      <c r="J722" s="4" t="s">
        <v>16117</v>
      </c>
      <c r="K722" s="1"/>
      <c r="L722" s="1" t="s">
        <v>6</v>
      </c>
      <c r="M722" s="825"/>
      <c r="N722" s="17"/>
      <c r="O722" s="3" t="s">
        <v>455</v>
      </c>
      <c r="P722" s="20">
        <v>19928</v>
      </c>
      <c r="Q722" s="3" t="s">
        <v>531</v>
      </c>
      <c r="R722" s="3"/>
      <c r="S722" s="3"/>
      <c r="T722" s="3"/>
      <c r="U722" s="2"/>
      <c r="V722" s="2"/>
      <c r="W722" s="2"/>
      <c r="X722" s="2"/>
      <c r="Y722" s="2"/>
      <c r="Z722" s="2"/>
      <c r="AA722" s="2"/>
      <c r="AB722" s="2"/>
      <c r="AC722" s="2"/>
      <c r="AD722" s="2"/>
    </row>
    <row r="723" spans="1:30" ht="12" customHeight="1">
      <c r="A723" s="828" t="s">
        <v>17417</v>
      </c>
      <c r="B723" s="3" t="s">
        <v>2713</v>
      </c>
      <c r="C723" s="1" t="s">
        <v>2716</v>
      </c>
      <c r="D723" s="5">
        <f t="shared" si="11"/>
        <v>38</v>
      </c>
      <c r="E723" s="2" t="s">
        <v>5</v>
      </c>
      <c r="F723" s="6" t="s">
        <v>15273</v>
      </c>
      <c r="G723" s="3" t="s">
        <v>2717</v>
      </c>
      <c r="H723" s="1"/>
      <c r="I723" s="1"/>
      <c r="J723" s="8" t="s">
        <v>16127</v>
      </c>
      <c r="K723" s="1" t="s">
        <v>44</v>
      </c>
      <c r="L723" s="1" t="s">
        <v>25</v>
      </c>
      <c r="M723" s="825">
        <v>1</v>
      </c>
      <c r="N723" s="17">
        <v>1</v>
      </c>
      <c r="O723" s="3" t="s">
        <v>317</v>
      </c>
      <c r="P723" s="20">
        <v>27162</v>
      </c>
      <c r="Q723" s="3" t="s">
        <v>2718</v>
      </c>
      <c r="R723" s="3"/>
      <c r="S723" s="3"/>
      <c r="T723" s="3" t="s">
        <v>155</v>
      </c>
      <c r="U723" s="2"/>
      <c r="V723" s="2"/>
      <c r="W723" s="2"/>
      <c r="X723" s="2"/>
      <c r="Y723" s="2" t="s">
        <v>155</v>
      </c>
      <c r="Z723" s="2"/>
      <c r="AA723" s="2"/>
      <c r="AB723" s="2"/>
      <c r="AC723" s="2"/>
      <c r="AD723" s="2"/>
    </row>
    <row r="724" spans="1:30" ht="12" customHeight="1">
      <c r="A724" s="828" t="s">
        <v>17418</v>
      </c>
      <c r="B724" s="3" t="s">
        <v>2714</v>
      </c>
      <c r="C724" s="1" t="s">
        <v>2719</v>
      </c>
      <c r="D724" s="5">
        <f t="shared" si="11"/>
        <v>47</v>
      </c>
      <c r="E724" s="2" t="s">
        <v>5</v>
      </c>
      <c r="F724" s="2" t="s">
        <v>15273</v>
      </c>
      <c r="G724" s="3" t="s">
        <v>2720</v>
      </c>
      <c r="H724" s="1"/>
      <c r="I724" s="1"/>
      <c r="J724" s="8" t="s">
        <v>16120</v>
      </c>
      <c r="K724" s="1" t="s">
        <v>30</v>
      </c>
      <c r="L724" s="1" t="s">
        <v>25</v>
      </c>
      <c r="M724" s="825">
        <v>2</v>
      </c>
      <c r="N724" s="17">
        <v>2</v>
      </c>
      <c r="O724" s="3" t="s">
        <v>317</v>
      </c>
      <c r="P724" s="20">
        <v>23851</v>
      </c>
      <c r="Q724" s="3" t="s">
        <v>2721</v>
      </c>
      <c r="R724" s="3"/>
      <c r="S724" s="3" t="s">
        <v>5457</v>
      </c>
      <c r="T724" s="3" t="s">
        <v>47</v>
      </c>
      <c r="U724" s="2" t="s">
        <v>47</v>
      </c>
      <c r="V724" s="2"/>
      <c r="W724" s="2"/>
      <c r="X724" s="2"/>
      <c r="Y724" s="2"/>
      <c r="Z724" s="2"/>
      <c r="AA724" s="2"/>
      <c r="AB724" s="2"/>
      <c r="AC724" s="2"/>
      <c r="AD724" s="2"/>
    </row>
    <row r="725" spans="1:30" ht="12" customHeight="1">
      <c r="A725" s="828" t="s">
        <v>17419</v>
      </c>
      <c r="B725" s="3" t="s">
        <v>2715</v>
      </c>
      <c r="C725" s="1" t="s">
        <v>6192</v>
      </c>
      <c r="D725" s="5">
        <f t="shared" si="11"/>
        <v>57</v>
      </c>
      <c r="E725" s="2" t="s">
        <v>5</v>
      </c>
      <c r="F725" s="2" t="s">
        <v>15273</v>
      </c>
      <c r="G725" s="3"/>
      <c r="H725" s="1"/>
      <c r="I725" s="1"/>
      <c r="J725" s="4" t="s">
        <v>16125</v>
      </c>
      <c r="K725" s="1"/>
      <c r="L725" s="1" t="s">
        <v>6</v>
      </c>
      <c r="M725" s="825"/>
      <c r="N725" s="17"/>
      <c r="O725" s="3" t="s">
        <v>1200</v>
      </c>
      <c r="P725" s="21">
        <v>20141</v>
      </c>
      <c r="Q725" s="3" t="s">
        <v>16013</v>
      </c>
      <c r="R725" s="3"/>
      <c r="S725" s="3" t="s">
        <v>5561</v>
      </c>
      <c r="T725" s="3"/>
      <c r="U725" s="2"/>
      <c r="V725" s="2"/>
      <c r="W725" s="2"/>
      <c r="X725" s="2"/>
      <c r="Y725" s="2"/>
      <c r="Z725" s="2"/>
      <c r="AA725" s="2"/>
      <c r="AB725" s="2"/>
      <c r="AC725" s="2"/>
      <c r="AD725" s="2"/>
    </row>
    <row r="726" spans="1:30" ht="12" customHeight="1">
      <c r="A726" s="828" t="s">
        <v>17420</v>
      </c>
      <c r="B726" s="3" t="s">
        <v>5607</v>
      </c>
      <c r="C726" s="1" t="s">
        <v>5608</v>
      </c>
      <c r="D726" s="5">
        <f t="shared" si="11"/>
        <v>37</v>
      </c>
      <c r="E726" s="2" t="s">
        <v>5</v>
      </c>
      <c r="F726" s="2" t="s">
        <v>15273</v>
      </c>
      <c r="G726" s="3"/>
      <c r="H726" s="1"/>
      <c r="I726" s="1"/>
      <c r="J726" s="8" t="s">
        <v>16128</v>
      </c>
      <c r="K726" s="1"/>
      <c r="L726" s="1" t="s">
        <v>6</v>
      </c>
      <c r="M726" s="825"/>
      <c r="N726" s="17"/>
      <c r="O726" s="3" t="s">
        <v>245</v>
      </c>
      <c r="P726" s="20">
        <v>27503</v>
      </c>
      <c r="Q726" s="3" t="s">
        <v>5609</v>
      </c>
      <c r="R726" s="3"/>
      <c r="S726" s="3" t="s">
        <v>6031</v>
      </c>
      <c r="T726" s="3" t="s">
        <v>85</v>
      </c>
      <c r="U726" s="2"/>
      <c r="V726" s="2"/>
      <c r="W726" s="2"/>
      <c r="X726" s="2"/>
      <c r="Y726" s="2"/>
      <c r="Z726" s="2" t="s">
        <v>85</v>
      </c>
      <c r="AA726" s="2"/>
      <c r="AB726" s="2"/>
      <c r="AC726" s="2"/>
      <c r="AD726" s="2"/>
    </row>
    <row r="727" spans="1:30" ht="12" customHeight="1">
      <c r="A727" s="828" t="s">
        <v>17421</v>
      </c>
      <c r="B727" s="3" t="s">
        <v>6191</v>
      </c>
      <c r="C727" s="1" t="s">
        <v>5755</v>
      </c>
      <c r="D727" s="5">
        <f t="shared" si="11"/>
        <v>68</v>
      </c>
      <c r="E727" s="2" t="s">
        <v>5</v>
      </c>
      <c r="F727" s="2"/>
      <c r="G727" s="3"/>
      <c r="H727" s="1"/>
      <c r="I727" s="1"/>
      <c r="J727" s="4" t="s">
        <v>16117</v>
      </c>
      <c r="K727" s="1"/>
      <c r="L727" s="1" t="s">
        <v>6</v>
      </c>
      <c r="M727" s="825"/>
      <c r="N727" s="17"/>
      <c r="O727" s="3" t="s">
        <v>172</v>
      </c>
      <c r="P727" s="20">
        <v>16287</v>
      </c>
      <c r="Q727" s="3" t="s">
        <v>5756</v>
      </c>
      <c r="R727" s="3"/>
      <c r="S727" s="3"/>
      <c r="T727" s="3" t="s">
        <v>148</v>
      </c>
      <c r="U727" s="2"/>
      <c r="V727" s="2" t="s">
        <v>145</v>
      </c>
      <c r="W727" s="2"/>
      <c r="X727" s="2"/>
      <c r="Y727" s="2"/>
      <c r="Z727" s="2"/>
      <c r="AA727" s="2"/>
      <c r="AB727" s="2"/>
      <c r="AC727" s="2"/>
      <c r="AD727" s="2" t="s">
        <v>69</v>
      </c>
    </row>
    <row r="728" spans="1:30" ht="12" customHeight="1">
      <c r="A728" s="828" t="s">
        <v>17422</v>
      </c>
      <c r="B728" s="3" t="s">
        <v>2722</v>
      </c>
      <c r="C728" s="1" t="s">
        <v>2725</v>
      </c>
      <c r="D728" s="5">
        <f t="shared" si="11"/>
        <v>42</v>
      </c>
      <c r="E728" s="2" t="s">
        <v>5</v>
      </c>
      <c r="F728" s="6" t="s">
        <v>15273</v>
      </c>
      <c r="G728" s="3" t="s">
        <v>2726</v>
      </c>
      <c r="H728" s="1"/>
      <c r="I728" s="1"/>
      <c r="J728" s="8" t="s">
        <v>16127</v>
      </c>
      <c r="K728" s="1" t="s">
        <v>44</v>
      </c>
      <c r="L728" s="1" t="s">
        <v>25</v>
      </c>
      <c r="M728" s="825">
        <v>1</v>
      </c>
      <c r="N728" s="17">
        <v>1</v>
      </c>
      <c r="O728" s="3" t="s">
        <v>381</v>
      </c>
      <c r="P728" s="20">
        <v>25880</v>
      </c>
      <c r="Q728" s="3" t="s">
        <v>2727</v>
      </c>
      <c r="R728" s="3"/>
      <c r="S728" s="3" t="s">
        <v>736</v>
      </c>
      <c r="T728" s="3" t="s">
        <v>145</v>
      </c>
      <c r="U728" s="2"/>
      <c r="V728" s="2" t="s">
        <v>145</v>
      </c>
      <c r="W728" s="2"/>
      <c r="X728" s="2"/>
      <c r="Y728" s="2"/>
      <c r="Z728" s="2"/>
      <c r="AA728" s="2"/>
      <c r="AB728" s="2"/>
      <c r="AC728" s="2"/>
      <c r="AD728" s="2"/>
    </row>
    <row r="729" spans="1:30" ht="12" customHeight="1">
      <c r="A729" s="828" t="s">
        <v>17423</v>
      </c>
      <c r="B729" s="3" t="s">
        <v>2723</v>
      </c>
      <c r="C729" s="1" t="s">
        <v>2728</v>
      </c>
      <c r="D729" s="5">
        <f t="shared" si="11"/>
        <v>62</v>
      </c>
      <c r="E729" s="2" t="s">
        <v>5</v>
      </c>
      <c r="F729" s="2" t="s">
        <v>15273</v>
      </c>
      <c r="G729" s="3" t="s">
        <v>2729</v>
      </c>
      <c r="H729" s="1"/>
      <c r="I729" s="1"/>
      <c r="J729" s="4" t="s">
        <v>16120</v>
      </c>
      <c r="K729" s="1" t="s">
        <v>48</v>
      </c>
      <c r="L729" s="1" t="s">
        <v>25</v>
      </c>
      <c r="M729" s="825">
        <v>6</v>
      </c>
      <c r="N729" s="17">
        <v>6</v>
      </c>
      <c r="O729" s="3" t="s">
        <v>31</v>
      </c>
      <c r="P729" s="20">
        <v>18312</v>
      </c>
      <c r="Q729" s="3" t="s">
        <v>2731</v>
      </c>
      <c r="R729" s="3" t="s">
        <v>2730</v>
      </c>
      <c r="S729" s="3" t="s">
        <v>5457</v>
      </c>
      <c r="T729" s="3" t="s">
        <v>104</v>
      </c>
      <c r="U729" s="2"/>
      <c r="V729" s="2"/>
      <c r="W729" s="2"/>
      <c r="X729" s="2"/>
      <c r="Y729" s="2"/>
      <c r="Z729" s="2"/>
      <c r="AA729" s="2" t="s">
        <v>104</v>
      </c>
      <c r="AB729" s="2"/>
      <c r="AC729" s="2"/>
      <c r="AD729" s="2"/>
    </row>
    <row r="730" spans="1:30" ht="12" customHeight="1">
      <c r="A730" s="828" t="s">
        <v>17424</v>
      </c>
      <c r="B730" s="3" t="s">
        <v>2724</v>
      </c>
      <c r="C730" s="1" t="s">
        <v>5083</v>
      </c>
      <c r="D730" s="5">
        <f t="shared" si="11"/>
        <v>26</v>
      </c>
      <c r="E730" s="2" t="s">
        <v>5</v>
      </c>
      <c r="F730" s="2" t="s">
        <v>15273</v>
      </c>
      <c r="G730" s="3"/>
      <c r="H730" s="1"/>
      <c r="I730" s="1"/>
      <c r="J730" s="4" t="s">
        <v>16125</v>
      </c>
      <c r="K730" s="1"/>
      <c r="L730" s="1" t="s">
        <v>6</v>
      </c>
      <c r="M730" s="825"/>
      <c r="N730" s="17"/>
      <c r="O730" s="3" t="s">
        <v>31</v>
      </c>
      <c r="P730" s="20">
        <v>31697</v>
      </c>
      <c r="Q730" s="3" t="s">
        <v>750</v>
      </c>
      <c r="R730" s="3"/>
      <c r="S730" s="3" t="s">
        <v>5561</v>
      </c>
      <c r="T730" s="3"/>
      <c r="U730" s="2"/>
      <c r="V730" s="2"/>
      <c r="W730" s="2"/>
      <c r="X730" s="2"/>
      <c r="Y730" s="2"/>
      <c r="Z730" s="2"/>
      <c r="AA730" s="2"/>
      <c r="AB730" s="2"/>
      <c r="AC730" s="2"/>
      <c r="AD730" s="2"/>
    </row>
    <row r="731" spans="1:30" ht="12" customHeight="1">
      <c r="A731" s="828" t="s">
        <v>17425</v>
      </c>
      <c r="B731" s="3" t="s">
        <v>5015</v>
      </c>
      <c r="C731" s="1" t="s">
        <v>5016</v>
      </c>
      <c r="D731" s="5">
        <f t="shared" si="11"/>
        <v>39</v>
      </c>
      <c r="E731" s="2" t="s">
        <v>5</v>
      </c>
      <c r="F731" s="2" t="s">
        <v>15273</v>
      </c>
      <c r="G731" s="3"/>
      <c r="H731" s="1"/>
      <c r="I731" s="1"/>
      <c r="J731" s="4" t="s">
        <v>16116</v>
      </c>
      <c r="K731" s="1" t="s">
        <v>4422</v>
      </c>
      <c r="L731" s="1" t="s">
        <v>6</v>
      </c>
      <c r="M731" s="825"/>
      <c r="N731" s="17"/>
      <c r="O731" s="3" t="s">
        <v>5018</v>
      </c>
      <c r="P731" s="20">
        <v>26654</v>
      </c>
      <c r="Q731" s="3" t="s">
        <v>5019</v>
      </c>
      <c r="R731" s="3"/>
      <c r="S731" s="3" t="s">
        <v>469</v>
      </c>
      <c r="T731" s="3" t="s">
        <v>635</v>
      </c>
      <c r="U731" s="2"/>
      <c r="V731" s="2" t="s">
        <v>145</v>
      </c>
      <c r="W731" s="2"/>
      <c r="X731" s="2"/>
      <c r="Y731" s="2"/>
      <c r="Z731" s="2"/>
      <c r="AA731" s="2"/>
      <c r="AB731" s="2"/>
      <c r="AC731" s="2" t="s">
        <v>146</v>
      </c>
      <c r="AD731" s="2"/>
    </row>
    <row r="732" spans="1:30" ht="12" customHeight="1">
      <c r="A732" s="828" t="s">
        <v>17426</v>
      </c>
      <c r="B732" s="3" t="s">
        <v>5082</v>
      </c>
      <c r="C732" s="1" t="s">
        <v>2733</v>
      </c>
      <c r="D732" s="5">
        <f t="shared" si="11"/>
        <v>58</v>
      </c>
      <c r="E732" s="2" t="s">
        <v>5</v>
      </c>
      <c r="F732" s="2"/>
      <c r="G732" s="3"/>
      <c r="H732" s="1"/>
      <c r="I732" s="1"/>
      <c r="J732" s="4" t="s">
        <v>16117</v>
      </c>
      <c r="K732" s="1"/>
      <c r="L732" s="1" t="s">
        <v>14</v>
      </c>
      <c r="M732" s="825">
        <v>1</v>
      </c>
      <c r="N732" s="17">
        <v>1</v>
      </c>
      <c r="O732" s="3" t="s">
        <v>2734</v>
      </c>
      <c r="P732" s="20">
        <v>19851</v>
      </c>
      <c r="Q732" s="3" t="s">
        <v>2736</v>
      </c>
      <c r="R732" s="3"/>
      <c r="S732" s="3"/>
      <c r="T732" s="3" t="s">
        <v>69</v>
      </c>
      <c r="U732" s="2"/>
      <c r="V732" s="2"/>
      <c r="W732" s="2"/>
      <c r="X732" s="2"/>
      <c r="Y732" s="2"/>
      <c r="Z732" s="2"/>
      <c r="AA732" s="2"/>
      <c r="AB732" s="2"/>
      <c r="AC732" s="2"/>
      <c r="AD732" s="2" t="s">
        <v>69</v>
      </c>
    </row>
    <row r="733" spans="1:30" ht="12" customHeight="1">
      <c r="A733" s="828" t="s">
        <v>17427</v>
      </c>
      <c r="B733" s="3" t="s">
        <v>2737</v>
      </c>
      <c r="C733" s="1" t="s">
        <v>2743</v>
      </c>
      <c r="D733" s="5">
        <f t="shared" si="11"/>
        <v>38</v>
      </c>
      <c r="E733" s="2" t="s">
        <v>5</v>
      </c>
      <c r="F733" s="6" t="s">
        <v>15273</v>
      </c>
      <c r="G733" s="3" t="s">
        <v>2744</v>
      </c>
      <c r="H733" s="1"/>
      <c r="I733" s="1"/>
      <c r="J733" s="8" t="s">
        <v>16126</v>
      </c>
      <c r="K733" s="1" t="s">
        <v>44</v>
      </c>
      <c r="L733" s="1" t="s">
        <v>25</v>
      </c>
      <c r="M733" s="825">
        <v>1</v>
      </c>
      <c r="N733" s="17">
        <v>1</v>
      </c>
      <c r="O733" s="3" t="s">
        <v>2745</v>
      </c>
      <c r="P733" s="20">
        <v>27347</v>
      </c>
      <c r="Q733" s="3" t="s">
        <v>2746</v>
      </c>
      <c r="R733" s="3"/>
      <c r="S733" s="3" t="s">
        <v>736</v>
      </c>
      <c r="T733" s="3"/>
      <c r="U733" s="2"/>
      <c r="V733" s="2"/>
      <c r="W733" s="2"/>
      <c r="X733" s="2"/>
      <c r="Y733" s="2"/>
      <c r="Z733" s="2"/>
      <c r="AA733" s="2"/>
      <c r="AB733" s="2"/>
      <c r="AC733" s="2"/>
      <c r="AD733" s="2"/>
    </row>
    <row r="734" spans="1:30" ht="12" customHeight="1">
      <c r="A734" s="828" t="s">
        <v>17428</v>
      </c>
      <c r="B734" s="3" t="s">
        <v>2738</v>
      </c>
      <c r="C734" s="1" t="s">
        <v>2747</v>
      </c>
      <c r="D734" s="5">
        <f t="shared" si="11"/>
        <v>48</v>
      </c>
      <c r="E734" s="2" t="s">
        <v>5</v>
      </c>
      <c r="F734" s="2" t="s">
        <v>15273</v>
      </c>
      <c r="G734" s="3"/>
      <c r="H734" s="1"/>
      <c r="I734" s="1"/>
      <c r="J734" s="4" t="s">
        <v>16120</v>
      </c>
      <c r="K734" s="1" t="s">
        <v>30</v>
      </c>
      <c r="L734" s="1" t="s">
        <v>6</v>
      </c>
      <c r="M734" s="825"/>
      <c r="N734" s="17"/>
      <c r="O734" s="3" t="s">
        <v>2137</v>
      </c>
      <c r="P734" s="20">
        <v>23617</v>
      </c>
      <c r="Q734" s="3" t="s">
        <v>2749</v>
      </c>
      <c r="R734" s="3"/>
      <c r="S734" s="3" t="s">
        <v>5457</v>
      </c>
      <c r="T734" s="3" t="s">
        <v>145</v>
      </c>
      <c r="U734" s="2"/>
      <c r="V734" s="2" t="s">
        <v>145</v>
      </c>
      <c r="W734" s="2"/>
      <c r="X734" s="2"/>
      <c r="Y734" s="2"/>
      <c r="Z734" s="2"/>
      <c r="AA734" s="2"/>
      <c r="AB734" s="2"/>
      <c r="AC734" s="2"/>
      <c r="AD734" s="2"/>
    </row>
    <row r="735" spans="1:30" ht="12" customHeight="1">
      <c r="A735" s="828" t="s">
        <v>17429</v>
      </c>
      <c r="B735" s="3" t="s">
        <v>2739</v>
      </c>
      <c r="C735" s="1" t="s">
        <v>2753</v>
      </c>
      <c r="D735" s="5">
        <f t="shared" si="11"/>
        <v>49</v>
      </c>
      <c r="E735" s="2" t="s">
        <v>19</v>
      </c>
      <c r="F735" s="2" t="s">
        <v>15273</v>
      </c>
      <c r="G735" s="3" t="s">
        <v>2754</v>
      </c>
      <c r="H735" s="1"/>
      <c r="I735" s="1"/>
      <c r="J735" s="4" t="s">
        <v>16125</v>
      </c>
      <c r="K735" s="1"/>
      <c r="L735" s="1" t="s">
        <v>25</v>
      </c>
      <c r="M735" s="825">
        <v>1</v>
      </c>
      <c r="N735" s="17">
        <v>1</v>
      </c>
      <c r="O735" s="3" t="s">
        <v>2755</v>
      </c>
      <c r="P735" s="20">
        <v>23017</v>
      </c>
      <c r="Q735" s="3" t="s">
        <v>2756</v>
      </c>
      <c r="R735" s="3" t="s">
        <v>5544</v>
      </c>
      <c r="S735" s="3" t="s">
        <v>5561</v>
      </c>
      <c r="T735" s="3" t="s">
        <v>145</v>
      </c>
      <c r="U735" s="2"/>
      <c r="V735" s="2" t="s">
        <v>145</v>
      </c>
      <c r="W735" s="2"/>
      <c r="X735" s="2"/>
      <c r="Y735" s="2"/>
      <c r="Z735" s="2"/>
      <c r="AA735" s="2"/>
      <c r="AB735" s="2"/>
      <c r="AC735" s="2"/>
      <c r="AD735" s="2"/>
    </row>
    <row r="736" spans="1:30" ht="12" customHeight="1">
      <c r="A736" s="828" t="s">
        <v>17430</v>
      </c>
      <c r="B736" s="3" t="s">
        <v>2740</v>
      </c>
      <c r="C736" s="1" t="s">
        <v>2750</v>
      </c>
      <c r="D736" s="5">
        <f t="shared" si="11"/>
        <v>49</v>
      </c>
      <c r="E736" s="2" t="s">
        <v>5</v>
      </c>
      <c r="F736" s="2"/>
      <c r="G736" s="3"/>
      <c r="H736" s="1"/>
      <c r="I736" s="1"/>
      <c r="J736" s="4" t="s">
        <v>16117</v>
      </c>
      <c r="K736" s="1"/>
      <c r="L736" s="1" t="s">
        <v>6</v>
      </c>
      <c r="M736" s="825"/>
      <c r="N736" s="17"/>
      <c r="O736" s="3" t="s">
        <v>2751</v>
      </c>
      <c r="P736" s="20">
        <v>23260</v>
      </c>
      <c r="Q736" s="3" t="s">
        <v>2752</v>
      </c>
      <c r="R736" s="3"/>
      <c r="S736" s="3"/>
      <c r="T736" s="3"/>
      <c r="U736" s="2"/>
      <c r="V736" s="2"/>
      <c r="W736" s="2"/>
      <c r="X736" s="2"/>
      <c r="Y736" s="2"/>
      <c r="Z736" s="2"/>
      <c r="AA736" s="2"/>
      <c r="AB736" s="2"/>
      <c r="AC736" s="2"/>
      <c r="AD736" s="2"/>
    </row>
    <row r="737" spans="1:30" ht="12" customHeight="1">
      <c r="A737" s="828" t="s">
        <v>17431</v>
      </c>
      <c r="B737" s="3" t="s">
        <v>2757</v>
      </c>
      <c r="C737" s="1" t="s">
        <v>2761</v>
      </c>
      <c r="D737" s="5">
        <f t="shared" si="11"/>
        <v>47</v>
      </c>
      <c r="E737" s="2" t="s">
        <v>5</v>
      </c>
      <c r="F737" s="6" t="s">
        <v>15273</v>
      </c>
      <c r="G737" s="3" t="s">
        <v>2762</v>
      </c>
      <c r="H737" s="1"/>
      <c r="I737" s="1"/>
      <c r="J737" s="8" t="s">
        <v>16127</v>
      </c>
      <c r="K737" s="1" t="s">
        <v>44</v>
      </c>
      <c r="L737" s="1" t="s">
        <v>25</v>
      </c>
      <c r="M737" s="825">
        <v>5</v>
      </c>
      <c r="N737" s="17">
        <v>5</v>
      </c>
      <c r="O737" s="3" t="s">
        <v>317</v>
      </c>
      <c r="P737" s="20">
        <v>24082</v>
      </c>
      <c r="Q737" s="3" t="s">
        <v>2764</v>
      </c>
      <c r="R737" s="3" t="s">
        <v>2763</v>
      </c>
      <c r="S737" s="3" t="s">
        <v>736</v>
      </c>
      <c r="T737" s="3" t="s">
        <v>47</v>
      </c>
      <c r="U737" s="2" t="s">
        <v>47</v>
      </c>
      <c r="V737" s="2"/>
      <c r="W737" s="2"/>
      <c r="X737" s="2"/>
      <c r="Y737" s="2"/>
      <c r="Z737" s="2"/>
      <c r="AA737" s="2"/>
      <c r="AB737" s="2"/>
      <c r="AC737" s="2"/>
      <c r="AD737" s="2"/>
    </row>
    <row r="738" spans="1:30" ht="12" customHeight="1">
      <c r="A738" s="828" t="s">
        <v>17432</v>
      </c>
      <c r="B738" s="3" t="s">
        <v>2758</v>
      </c>
      <c r="C738" s="1" t="s">
        <v>5691</v>
      </c>
      <c r="D738" s="5">
        <f t="shared" si="11"/>
        <v>41</v>
      </c>
      <c r="E738" s="2" t="s">
        <v>5</v>
      </c>
      <c r="F738" s="2" t="s">
        <v>15273</v>
      </c>
      <c r="G738" s="3"/>
      <c r="H738" s="1"/>
      <c r="I738" s="1"/>
      <c r="J738" s="8" t="s">
        <v>16120</v>
      </c>
      <c r="K738" s="1" t="s">
        <v>30</v>
      </c>
      <c r="L738" s="1" t="s">
        <v>6</v>
      </c>
      <c r="M738" s="825"/>
      <c r="N738" s="17"/>
      <c r="O738" s="3" t="s">
        <v>245</v>
      </c>
      <c r="P738" s="20">
        <v>26040</v>
      </c>
      <c r="Q738" s="3" t="s">
        <v>5692</v>
      </c>
      <c r="R738" s="3"/>
      <c r="S738" s="3"/>
      <c r="T738" s="3" t="s">
        <v>145</v>
      </c>
      <c r="U738" s="2"/>
      <c r="V738" s="2" t="s">
        <v>145</v>
      </c>
      <c r="W738" s="2"/>
      <c r="X738" s="2"/>
      <c r="Y738" s="2"/>
      <c r="Z738" s="2"/>
      <c r="AA738" s="2"/>
      <c r="AB738" s="2"/>
      <c r="AC738" s="2"/>
      <c r="AD738" s="2"/>
    </row>
    <row r="739" spans="1:30" ht="12" customHeight="1">
      <c r="A739" s="828" t="s">
        <v>17433</v>
      </c>
      <c r="B739" s="3" t="s">
        <v>2759</v>
      </c>
      <c r="C739" s="1" t="s">
        <v>6033</v>
      </c>
      <c r="D739" s="5">
        <f t="shared" si="11"/>
        <v>51</v>
      </c>
      <c r="E739" s="2" t="s">
        <v>5</v>
      </c>
      <c r="F739" s="2" t="s">
        <v>15273</v>
      </c>
      <c r="G739" s="3"/>
      <c r="H739" s="1"/>
      <c r="I739" s="1"/>
      <c r="J739" s="4" t="s">
        <v>16125</v>
      </c>
      <c r="K739" s="1"/>
      <c r="L739" s="1" t="s">
        <v>6</v>
      </c>
      <c r="M739" s="825"/>
      <c r="N739" s="17"/>
      <c r="O739" s="3" t="s">
        <v>16014</v>
      </c>
      <c r="P739" s="20">
        <v>22446</v>
      </c>
      <c r="Q739" s="3" t="s">
        <v>16015</v>
      </c>
      <c r="R739" s="3"/>
      <c r="S739" s="3" t="s">
        <v>5561</v>
      </c>
      <c r="T739" s="3"/>
      <c r="U739" s="2"/>
      <c r="V739" s="2"/>
      <c r="W739" s="2"/>
      <c r="X739" s="2"/>
      <c r="Y739" s="2"/>
      <c r="Z739" s="2"/>
      <c r="AA739" s="2"/>
      <c r="AB739" s="2"/>
      <c r="AC739" s="2"/>
      <c r="AD739" s="2"/>
    </row>
    <row r="740" spans="1:30" ht="12" customHeight="1">
      <c r="A740" s="828" t="s">
        <v>17434</v>
      </c>
      <c r="B740" s="3" t="s">
        <v>2760</v>
      </c>
      <c r="C740" s="1" t="s">
        <v>2765</v>
      </c>
      <c r="D740" s="5">
        <f t="shared" si="11"/>
        <v>64</v>
      </c>
      <c r="E740" s="2" t="s">
        <v>5</v>
      </c>
      <c r="F740" s="2"/>
      <c r="G740" s="3"/>
      <c r="H740" s="1"/>
      <c r="I740" s="1"/>
      <c r="J740" s="4" t="s">
        <v>16117</v>
      </c>
      <c r="K740" s="1"/>
      <c r="L740" s="1" t="s">
        <v>6</v>
      </c>
      <c r="M740" s="825"/>
      <c r="N740" s="17"/>
      <c r="O740" s="3" t="s">
        <v>16110</v>
      </c>
      <c r="P740" s="21">
        <v>17608</v>
      </c>
      <c r="Q740" s="3" t="s">
        <v>2766</v>
      </c>
      <c r="R740" s="3"/>
      <c r="S740" s="3"/>
      <c r="T740" s="3" t="s">
        <v>148</v>
      </c>
      <c r="U740" s="2"/>
      <c r="V740" s="2" t="s">
        <v>145</v>
      </c>
      <c r="W740" s="2"/>
      <c r="X740" s="2"/>
      <c r="Y740" s="2"/>
      <c r="Z740" s="2"/>
      <c r="AA740" s="2"/>
      <c r="AB740" s="2"/>
      <c r="AC740" s="2"/>
      <c r="AD740" s="2" t="s">
        <v>69</v>
      </c>
    </row>
    <row r="741" spans="1:30" ht="12" customHeight="1">
      <c r="A741" s="828" t="s">
        <v>17435</v>
      </c>
      <c r="B741" s="3" t="s">
        <v>2769</v>
      </c>
      <c r="C741" s="1" t="s">
        <v>2773</v>
      </c>
      <c r="D741" s="5">
        <f t="shared" si="11"/>
        <v>54</v>
      </c>
      <c r="E741" s="2" t="s">
        <v>5</v>
      </c>
      <c r="F741" s="6" t="s">
        <v>15273</v>
      </c>
      <c r="G741" s="3" t="s">
        <v>2774</v>
      </c>
      <c r="H741" s="1"/>
      <c r="I741" s="1"/>
      <c r="J741" s="8" t="s">
        <v>16127</v>
      </c>
      <c r="K741" s="1" t="s">
        <v>655</v>
      </c>
      <c r="L741" s="1" t="s">
        <v>25</v>
      </c>
      <c r="M741" s="825">
        <v>5</v>
      </c>
      <c r="N741" s="17">
        <v>5</v>
      </c>
      <c r="O741" s="3" t="s">
        <v>450</v>
      </c>
      <c r="P741" s="20">
        <v>21331</v>
      </c>
      <c r="Q741" s="3" t="s">
        <v>2776</v>
      </c>
      <c r="R741" s="3" t="s">
        <v>2777</v>
      </c>
      <c r="S741" s="3" t="s">
        <v>736</v>
      </c>
      <c r="T741" s="3" t="s">
        <v>155</v>
      </c>
      <c r="U741" s="2"/>
      <c r="V741" s="2"/>
      <c r="W741" s="2"/>
      <c r="X741" s="2"/>
      <c r="Y741" s="2" t="s">
        <v>155</v>
      </c>
      <c r="Z741" s="2"/>
      <c r="AA741" s="2"/>
      <c r="AB741" s="2"/>
      <c r="AC741" s="2"/>
      <c r="AD741" s="2"/>
    </row>
    <row r="742" spans="1:30" ht="12" customHeight="1">
      <c r="A742" s="828" t="s">
        <v>17436</v>
      </c>
      <c r="B742" s="3" t="s">
        <v>2770</v>
      </c>
      <c r="C742" s="1" t="s">
        <v>2778</v>
      </c>
      <c r="D742" s="5">
        <f t="shared" si="11"/>
        <v>46</v>
      </c>
      <c r="E742" s="2" t="s">
        <v>5</v>
      </c>
      <c r="F742" s="2" t="s">
        <v>15273</v>
      </c>
      <c r="G742" s="3"/>
      <c r="H742" s="1"/>
      <c r="I742" s="1"/>
      <c r="J742" s="4" t="s">
        <v>16120</v>
      </c>
      <c r="K742" s="1" t="s">
        <v>48</v>
      </c>
      <c r="L742" s="1" t="s">
        <v>6</v>
      </c>
      <c r="M742" s="825"/>
      <c r="N742" s="17"/>
      <c r="O742" s="3" t="s">
        <v>267</v>
      </c>
      <c r="P742" s="20">
        <v>24278</v>
      </c>
      <c r="Q742" s="3" t="s">
        <v>2779</v>
      </c>
      <c r="R742" s="3"/>
      <c r="S742" s="3"/>
      <c r="T742" s="3"/>
      <c r="U742" s="2"/>
      <c r="V742" s="2"/>
      <c r="W742" s="2"/>
      <c r="X742" s="2"/>
      <c r="Y742" s="2"/>
      <c r="Z742" s="2"/>
      <c r="AA742" s="2"/>
      <c r="AB742" s="2"/>
      <c r="AC742" s="2"/>
      <c r="AD742" s="2"/>
    </row>
    <row r="743" spans="1:30" ht="12" customHeight="1">
      <c r="A743" s="828" t="s">
        <v>17437</v>
      </c>
      <c r="B743" s="3" t="s">
        <v>2771</v>
      </c>
      <c r="C743" s="1" t="s">
        <v>5793</v>
      </c>
      <c r="D743" s="5">
        <f t="shared" si="11"/>
        <v>38</v>
      </c>
      <c r="E743" s="2" t="s">
        <v>5</v>
      </c>
      <c r="F743" s="2" t="s">
        <v>15273</v>
      </c>
      <c r="G743" s="3"/>
      <c r="H743" s="1"/>
      <c r="I743" s="1"/>
      <c r="J743" s="4" t="s">
        <v>16125</v>
      </c>
      <c r="K743" s="1"/>
      <c r="L743" s="1" t="s">
        <v>6</v>
      </c>
      <c r="M743" s="825"/>
      <c r="N743" s="17"/>
      <c r="O743" s="3" t="s">
        <v>16016</v>
      </c>
      <c r="P743" s="20">
        <v>27259</v>
      </c>
      <c r="Q743" s="3" t="s">
        <v>16017</v>
      </c>
      <c r="R743" s="3"/>
      <c r="S743" s="3" t="s">
        <v>5561</v>
      </c>
      <c r="T743" s="3"/>
      <c r="U743" s="2"/>
      <c r="V743" s="2"/>
      <c r="W743" s="2"/>
      <c r="X743" s="2"/>
      <c r="Y743" s="2"/>
      <c r="Z743" s="2"/>
      <c r="AA743" s="2"/>
      <c r="AB743" s="2"/>
      <c r="AC743" s="2"/>
      <c r="AD743" s="2"/>
    </row>
    <row r="744" spans="1:30" ht="12" customHeight="1">
      <c r="A744" s="828" t="s">
        <v>17438</v>
      </c>
      <c r="B744" s="3" t="s">
        <v>2772</v>
      </c>
      <c r="C744" s="1" t="s">
        <v>2780</v>
      </c>
      <c r="D744" s="5">
        <f t="shared" si="11"/>
        <v>47</v>
      </c>
      <c r="E744" s="2" t="s">
        <v>5</v>
      </c>
      <c r="F744" s="2"/>
      <c r="G744" s="3"/>
      <c r="H744" s="1"/>
      <c r="I744" s="1"/>
      <c r="J744" s="4" t="s">
        <v>16117</v>
      </c>
      <c r="K744" s="1"/>
      <c r="L744" s="1" t="s">
        <v>6</v>
      </c>
      <c r="M744" s="825"/>
      <c r="N744" s="17"/>
      <c r="O744" s="3" t="s">
        <v>2781</v>
      </c>
      <c r="P744" s="20">
        <v>23904</v>
      </c>
      <c r="Q744" s="3" t="s">
        <v>2782</v>
      </c>
      <c r="R744" s="3"/>
      <c r="S744" s="3"/>
      <c r="T744" s="3"/>
      <c r="U744" s="2"/>
      <c r="V744" s="2"/>
      <c r="W744" s="2"/>
      <c r="X744" s="2"/>
      <c r="Y744" s="2"/>
      <c r="Z744" s="2"/>
      <c r="AA744" s="2"/>
      <c r="AB744" s="2"/>
      <c r="AC744" s="2"/>
      <c r="AD744" s="2"/>
    </row>
    <row r="745" spans="1:30" ht="12" customHeight="1">
      <c r="A745" s="828" t="s">
        <v>17439</v>
      </c>
      <c r="B745" s="3" t="s">
        <v>2783</v>
      </c>
      <c r="C745" s="1" t="s">
        <v>4746</v>
      </c>
      <c r="D745" s="5">
        <f t="shared" si="11"/>
        <v>42</v>
      </c>
      <c r="E745" s="2" t="s">
        <v>5</v>
      </c>
      <c r="F745" s="6" t="s">
        <v>15273</v>
      </c>
      <c r="G745" s="3"/>
      <c r="H745" s="1"/>
      <c r="I745" s="1"/>
      <c r="J745" s="8" t="s">
        <v>16126</v>
      </c>
      <c r="K745" s="1" t="s">
        <v>44</v>
      </c>
      <c r="L745" s="1" t="s">
        <v>6</v>
      </c>
      <c r="M745" s="825"/>
      <c r="N745" s="17"/>
      <c r="O745" s="3" t="s">
        <v>188</v>
      </c>
      <c r="P745" s="20">
        <v>25807</v>
      </c>
      <c r="Q745" s="3" t="s">
        <v>4747</v>
      </c>
      <c r="R745" s="3"/>
      <c r="S745" s="3"/>
      <c r="T745" s="3" t="s">
        <v>145</v>
      </c>
      <c r="U745" s="2"/>
      <c r="V745" s="2" t="s">
        <v>145</v>
      </c>
      <c r="W745" s="2"/>
      <c r="X745" s="2"/>
      <c r="Y745" s="2"/>
      <c r="Z745" s="2"/>
      <c r="AA745" s="2"/>
      <c r="AB745" s="2"/>
      <c r="AC745" s="2"/>
      <c r="AD745" s="2"/>
    </row>
    <row r="746" spans="1:30" ht="12" customHeight="1">
      <c r="A746" s="828" t="s">
        <v>17440</v>
      </c>
      <c r="B746" s="3" t="s">
        <v>2784</v>
      </c>
      <c r="C746" s="1" t="s">
        <v>2788</v>
      </c>
      <c r="D746" s="5">
        <f t="shared" si="11"/>
        <v>48</v>
      </c>
      <c r="E746" s="2" t="s">
        <v>5</v>
      </c>
      <c r="F746" s="2" t="s">
        <v>15273</v>
      </c>
      <c r="G746" s="3"/>
      <c r="H746" s="1"/>
      <c r="I746" s="1"/>
      <c r="J746" s="4" t="s">
        <v>16120</v>
      </c>
      <c r="K746" s="1" t="s">
        <v>65</v>
      </c>
      <c r="L746" s="1" t="s">
        <v>6</v>
      </c>
      <c r="M746" s="825"/>
      <c r="N746" s="17"/>
      <c r="O746" s="3" t="s">
        <v>381</v>
      </c>
      <c r="P746" s="20">
        <v>23719</v>
      </c>
      <c r="Q746" s="3" t="s">
        <v>2789</v>
      </c>
      <c r="R746" s="3"/>
      <c r="S746" s="3"/>
      <c r="T746" s="3" t="s">
        <v>145</v>
      </c>
      <c r="U746" s="2"/>
      <c r="V746" s="2" t="s">
        <v>145</v>
      </c>
      <c r="W746" s="2"/>
      <c r="X746" s="2"/>
      <c r="Y746" s="2"/>
      <c r="Z746" s="2"/>
      <c r="AA746" s="2"/>
      <c r="AB746" s="2"/>
      <c r="AC746" s="2"/>
      <c r="AD746" s="2"/>
    </row>
    <row r="747" spans="1:30" ht="12" customHeight="1">
      <c r="A747" s="828" t="s">
        <v>17441</v>
      </c>
      <c r="B747" s="3" t="s">
        <v>2785</v>
      </c>
      <c r="C747" s="1" t="s">
        <v>2790</v>
      </c>
      <c r="D747" s="5">
        <f t="shared" si="11"/>
        <v>54</v>
      </c>
      <c r="E747" s="2" t="s">
        <v>5</v>
      </c>
      <c r="F747" s="2" t="s">
        <v>15273</v>
      </c>
      <c r="G747" s="3" t="s">
        <v>2791</v>
      </c>
      <c r="H747" s="1"/>
      <c r="I747" s="1"/>
      <c r="J747" s="4" t="s">
        <v>16125</v>
      </c>
      <c r="K747" s="1"/>
      <c r="L747" s="1" t="s">
        <v>25</v>
      </c>
      <c r="M747" s="825">
        <v>4</v>
      </c>
      <c r="N747" s="17">
        <v>4</v>
      </c>
      <c r="O747" s="3" t="s">
        <v>2792</v>
      </c>
      <c r="P747" s="20">
        <v>21199</v>
      </c>
      <c r="Q747" s="3" t="s">
        <v>2793</v>
      </c>
      <c r="R747" s="3" t="s">
        <v>16681</v>
      </c>
      <c r="S747" s="3" t="s">
        <v>5561</v>
      </c>
      <c r="T747" s="3"/>
      <c r="U747" s="2"/>
      <c r="V747" s="2"/>
      <c r="W747" s="2"/>
      <c r="X747" s="2"/>
      <c r="Y747" s="2"/>
      <c r="Z747" s="2"/>
      <c r="AA747" s="2"/>
      <c r="AB747" s="2"/>
      <c r="AC747" s="2"/>
      <c r="AD747" s="2"/>
    </row>
    <row r="748" spans="1:30" ht="12" customHeight="1">
      <c r="A748" s="828" t="s">
        <v>17442</v>
      </c>
      <c r="B748" s="3" t="s">
        <v>2786</v>
      </c>
      <c r="C748" s="1" t="s">
        <v>5021</v>
      </c>
      <c r="D748" s="5">
        <f t="shared" si="11"/>
        <v>34</v>
      </c>
      <c r="E748" s="2" t="s">
        <v>5</v>
      </c>
      <c r="F748" s="2" t="s">
        <v>15273</v>
      </c>
      <c r="G748" s="3"/>
      <c r="H748" s="1"/>
      <c r="I748" s="1"/>
      <c r="J748" s="4" t="s">
        <v>16116</v>
      </c>
      <c r="K748" s="1" t="s">
        <v>4997</v>
      </c>
      <c r="L748" s="1" t="s">
        <v>6</v>
      </c>
      <c r="M748" s="825"/>
      <c r="N748" s="17"/>
      <c r="O748" s="3" t="s">
        <v>31</v>
      </c>
      <c r="P748" s="20">
        <v>28691</v>
      </c>
      <c r="Q748" s="3" t="s">
        <v>773</v>
      </c>
      <c r="R748" s="3"/>
      <c r="S748" s="3" t="s">
        <v>469</v>
      </c>
      <c r="T748" s="3" t="s">
        <v>155</v>
      </c>
      <c r="U748" s="2"/>
      <c r="V748" s="2"/>
      <c r="W748" s="2"/>
      <c r="X748" s="2"/>
      <c r="Y748" s="2" t="s">
        <v>155</v>
      </c>
      <c r="Z748" s="2"/>
      <c r="AA748" s="2"/>
      <c r="AB748" s="2"/>
      <c r="AC748" s="2"/>
      <c r="AD748" s="2"/>
    </row>
    <row r="749" spans="1:30" ht="12" customHeight="1">
      <c r="A749" s="828" t="s">
        <v>17443</v>
      </c>
      <c r="B749" s="3" t="s">
        <v>2787</v>
      </c>
      <c r="C749" s="1" t="s">
        <v>2794</v>
      </c>
      <c r="D749" s="5">
        <f t="shared" si="11"/>
        <v>58</v>
      </c>
      <c r="E749" s="2" t="s">
        <v>19</v>
      </c>
      <c r="F749" s="2"/>
      <c r="G749" s="3"/>
      <c r="H749" s="1"/>
      <c r="I749" s="1"/>
      <c r="J749" s="4" t="s">
        <v>16117</v>
      </c>
      <c r="K749" s="1"/>
      <c r="L749" s="1" t="s">
        <v>6</v>
      </c>
      <c r="M749" s="825"/>
      <c r="N749" s="17"/>
      <c r="O749" s="3" t="s">
        <v>2795</v>
      </c>
      <c r="P749" s="21">
        <v>19925</v>
      </c>
      <c r="Q749" s="3" t="s">
        <v>2796</v>
      </c>
      <c r="R749" s="3"/>
      <c r="S749" s="3"/>
      <c r="T749" s="3"/>
      <c r="U749" s="2"/>
      <c r="V749" s="2"/>
      <c r="W749" s="2"/>
      <c r="X749" s="2"/>
      <c r="Y749" s="2"/>
      <c r="Z749" s="2"/>
      <c r="AA749" s="2"/>
      <c r="AB749" s="2"/>
      <c r="AC749" s="2"/>
      <c r="AD749" s="2"/>
    </row>
    <row r="750" spans="1:30" ht="12" customHeight="1">
      <c r="A750" s="828" t="s">
        <v>17444</v>
      </c>
      <c r="B750" s="3" t="s">
        <v>2797</v>
      </c>
      <c r="C750" s="1" t="s">
        <v>2801</v>
      </c>
      <c r="D750" s="5">
        <f t="shared" si="11"/>
        <v>64</v>
      </c>
      <c r="E750" s="2" t="s">
        <v>5</v>
      </c>
      <c r="F750" s="6" t="s">
        <v>15273</v>
      </c>
      <c r="G750" s="3" t="s">
        <v>2802</v>
      </c>
      <c r="H750" s="1"/>
      <c r="I750" s="1"/>
      <c r="J750" s="8" t="s">
        <v>16127</v>
      </c>
      <c r="K750" s="1" t="s">
        <v>45</v>
      </c>
      <c r="L750" s="1" t="s">
        <v>25</v>
      </c>
      <c r="M750" s="825">
        <v>7</v>
      </c>
      <c r="N750" s="17">
        <v>7</v>
      </c>
      <c r="O750" s="3" t="s">
        <v>188</v>
      </c>
      <c r="P750" s="20">
        <v>17656</v>
      </c>
      <c r="Q750" s="3" t="s">
        <v>2803</v>
      </c>
      <c r="R750" s="3" t="s">
        <v>2805</v>
      </c>
      <c r="S750" s="3" t="s">
        <v>736</v>
      </c>
      <c r="T750" s="3" t="s">
        <v>2804</v>
      </c>
      <c r="U750" s="2"/>
      <c r="V750" s="2" t="s">
        <v>145</v>
      </c>
      <c r="W750" s="2"/>
      <c r="X750" s="2"/>
      <c r="Y750" s="2"/>
      <c r="Z750" s="2"/>
      <c r="AA750" s="2" t="s">
        <v>104</v>
      </c>
      <c r="AB750" s="2"/>
      <c r="AC750" s="2"/>
      <c r="AD750" s="2" t="s">
        <v>69</v>
      </c>
    </row>
    <row r="751" spans="1:30" ht="12" customHeight="1">
      <c r="A751" s="828" t="s">
        <v>17445</v>
      </c>
      <c r="B751" s="3" t="s">
        <v>2798</v>
      </c>
      <c r="C751" s="1" t="s">
        <v>5751</v>
      </c>
      <c r="D751" s="5">
        <f t="shared" si="11"/>
        <v>49</v>
      </c>
      <c r="E751" s="2" t="s">
        <v>5</v>
      </c>
      <c r="F751" s="2" t="s">
        <v>15273</v>
      </c>
      <c r="G751" s="3"/>
      <c r="H751" s="1"/>
      <c r="I751" s="1"/>
      <c r="J751" s="8" t="s">
        <v>16120</v>
      </c>
      <c r="K751" s="1" t="s">
        <v>30</v>
      </c>
      <c r="L751" s="1" t="s">
        <v>6</v>
      </c>
      <c r="M751" s="825"/>
      <c r="N751" s="17"/>
      <c r="O751" s="3" t="s">
        <v>5411</v>
      </c>
      <c r="P751" s="20">
        <v>23061</v>
      </c>
      <c r="Q751" s="3" t="s">
        <v>3949</v>
      </c>
      <c r="R751" s="3"/>
      <c r="S751" s="3"/>
      <c r="T751" s="3"/>
      <c r="U751" s="2"/>
      <c r="V751" s="2"/>
      <c r="W751" s="2"/>
      <c r="X751" s="2"/>
      <c r="Y751" s="2"/>
      <c r="Z751" s="2"/>
      <c r="AA751" s="2"/>
      <c r="AB751" s="2"/>
      <c r="AC751" s="2"/>
      <c r="AD751" s="2"/>
    </row>
    <row r="752" spans="1:30" ht="12" customHeight="1">
      <c r="A752" s="828" t="s">
        <v>17446</v>
      </c>
      <c r="B752" s="3" t="s">
        <v>2799</v>
      </c>
      <c r="C752" s="1" t="s">
        <v>5239</v>
      </c>
      <c r="D752" s="5">
        <f t="shared" si="11"/>
        <v>52</v>
      </c>
      <c r="E752" s="2" t="s">
        <v>5</v>
      </c>
      <c r="F752" s="2" t="s">
        <v>15273</v>
      </c>
      <c r="G752" s="3"/>
      <c r="H752" s="1"/>
      <c r="I752" s="1"/>
      <c r="J752" s="4" t="s">
        <v>16125</v>
      </c>
      <c r="K752" s="1"/>
      <c r="L752" s="1" t="s">
        <v>14</v>
      </c>
      <c r="M752" s="825">
        <v>3</v>
      </c>
      <c r="N752" s="17">
        <v>3</v>
      </c>
      <c r="O752" s="3" t="s">
        <v>31</v>
      </c>
      <c r="P752" s="20">
        <v>21923</v>
      </c>
      <c r="Q752" s="3" t="s">
        <v>5240</v>
      </c>
      <c r="R752" s="3"/>
      <c r="S752" s="3" t="s">
        <v>5561</v>
      </c>
      <c r="T752" s="3" t="s">
        <v>146</v>
      </c>
      <c r="U752" s="2"/>
      <c r="V752" s="2"/>
      <c r="W752" s="2"/>
      <c r="X752" s="2"/>
      <c r="Y752" s="2"/>
      <c r="Z752" s="2"/>
      <c r="AA752" s="2"/>
      <c r="AB752" s="2"/>
      <c r="AC752" s="2" t="s">
        <v>146</v>
      </c>
      <c r="AD752" s="2"/>
    </row>
    <row r="753" spans="1:30" ht="12" customHeight="1">
      <c r="A753" s="828" t="s">
        <v>17447</v>
      </c>
      <c r="B753" s="3" t="s">
        <v>2800</v>
      </c>
      <c r="C753" s="1" t="s">
        <v>5410</v>
      </c>
      <c r="D753" s="5">
        <f t="shared" si="11"/>
        <v>52</v>
      </c>
      <c r="E753" s="2" t="s">
        <v>5</v>
      </c>
      <c r="F753" s="2" t="s">
        <v>15273</v>
      </c>
      <c r="G753" s="3"/>
      <c r="H753" s="1"/>
      <c r="I753" s="1"/>
      <c r="J753" s="4" t="s">
        <v>16116</v>
      </c>
      <c r="K753" s="1" t="s">
        <v>4997</v>
      </c>
      <c r="L753" s="1" t="s">
        <v>6</v>
      </c>
      <c r="M753" s="825"/>
      <c r="N753" s="17"/>
      <c r="O753" s="3" t="s">
        <v>5411</v>
      </c>
      <c r="P753" s="21">
        <v>22135</v>
      </c>
      <c r="Q753" s="3" t="s">
        <v>5412</v>
      </c>
      <c r="R753" s="3"/>
      <c r="S753" s="3" t="s">
        <v>469</v>
      </c>
      <c r="T753" s="3"/>
      <c r="U753" s="2"/>
      <c r="V753" s="2"/>
      <c r="W753" s="2"/>
      <c r="X753" s="2"/>
      <c r="Y753" s="2"/>
      <c r="Z753" s="2"/>
      <c r="AA753" s="2"/>
      <c r="AB753" s="2"/>
      <c r="AC753" s="2"/>
      <c r="AD753" s="2"/>
    </row>
    <row r="754" spans="1:30" ht="12" customHeight="1">
      <c r="A754" s="828" t="s">
        <v>17448</v>
      </c>
      <c r="B754" s="3" t="s">
        <v>5409</v>
      </c>
      <c r="C754" s="1" t="s">
        <v>2806</v>
      </c>
      <c r="D754" s="5">
        <f t="shared" si="11"/>
        <v>35</v>
      </c>
      <c r="E754" s="2" t="s">
        <v>5</v>
      </c>
      <c r="F754" s="2"/>
      <c r="G754" s="3"/>
      <c r="H754" s="1"/>
      <c r="I754" s="1"/>
      <c r="J754" s="4" t="s">
        <v>16117</v>
      </c>
      <c r="K754" s="1"/>
      <c r="L754" s="1" t="s">
        <v>6</v>
      </c>
      <c r="M754" s="825"/>
      <c r="N754" s="17"/>
      <c r="O754" s="3" t="s">
        <v>983</v>
      </c>
      <c r="P754" s="21">
        <v>28343</v>
      </c>
      <c r="Q754" s="3" t="s">
        <v>2807</v>
      </c>
      <c r="R754" s="3"/>
      <c r="S754" s="3"/>
      <c r="T754" s="3"/>
      <c r="U754" s="2"/>
      <c r="V754" s="2"/>
      <c r="W754" s="2"/>
      <c r="X754" s="2"/>
      <c r="Y754" s="2"/>
      <c r="Z754" s="2"/>
      <c r="AA754" s="2"/>
      <c r="AB754" s="2"/>
      <c r="AC754" s="2"/>
      <c r="AD754" s="2"/>
    </row>
    <row r="755" spans="1:30" ht="12" customHeight="1">
      <c r="A755" s="828" t="s">
        <v>17449</v>
      </c>
      <c r="B755" s="3" t="s">
        <v>2808</v>
      </c>
      <c r="C755" s="1" t="s">
        <v>2812</v>
      </c>
      <c r="D755" s="5">
        <f t="shared" si="11"/>
        <v>42</v>
      </c>
      <c r="E755" s="2" t="s">
        <v>5</v>
      </c>
      <c r="F755" s="6" t="s">
        <v>15273</v>
      </c>
      <c r="G755" s="3"/>
      <c r="H755" s="1"/>
      <c r="I755" s="1"/>
      <c r="J755" s="8" t="s">
        <v>16127</v>
      </c>
      <c r="K755" s="1" t="s">
        <v>737</v>
      </c>
      <c r="L755" s="1" t="s">
        <v>6</v>
      </c>
      <c r="M755" s="825"/>
      <c r="N755" s="17"/>
      <c r="O755" s="3" t="s">
        <v>675</v>
      </c>
      <c r="P755" s="20">
        <v>25646</v>
      </c>
      <c r="Q755" s="3" t="s">
        <v>2814</v>
      </c>
      <c r="R755" s="3"/>
      <c r="S755" s="3" t="s">
        <v>736</v>
      </c>
      <c r="T755" s="3" t="s">
        <v>145</v>
      </c>
      <c r="U755" s="2"/>
      <c r="V755" s="2" t="s">
        <v>145</v>
      </c>
      <c r="W755" s="2"/>
      <c r="X755" s="2"/>
      <c r="Y755" s="2"/>
      <c r="Z755" s="2"/>
      <c r="AA755" s="2"/>
      <c r="AB755" s="2"/>
      <c r="AC755" s="2"/>
      <c r="AD755" s="2"/>
    </row>
    <row r="756" spans="1:30" ht="12" customHeight="1">
      <c r="A756" s="828" t="s">
        <v>17450</v>
      </c>
      <c r="B756" s="3" t="s">
        <v>2809</v>
      </c>
      <c r="C756" s="1" t="s">
        <v>2815</v>
      </c>
      <c r="D756" s="5">
        <f t="shared" si="11"/>
        <v>39</v>
      </c>
      <c r="E756" s="2" t="s">
        <v>5</v>
      </c>
      <c r="F756" s="2" t="s">
        <v>15273</v>
      </c>
      <c r="G756" s="3" t="s">
        <v>2816</v>
      </c>
      <c r="H756" s="1"/>
      <c r="I756" s="1"/>
      <c r="J756" s="4" t="s">
        <v>16120</v>
      </c>
      <c r="K756" s="1" t="s">
        <v>475</v>
      </c>
      <c r="L756" s="1" t="s">
        <v>25</v>
      </c>
      <c r="M756" s="825">
        <v>2</v>
      </c>
      <c r="N756" s="17">
        <v>2</v>
      </c>
      <c r="O756" s="3" t="s">
        <v>1265</v>
      </c>
      <c r="P756" s="20">
        <v>26653</v>
      </c>
      <c r="Q756" s="3" t="s">
        <v>2818</v>
      </c>
      <c r="R756" s="3"/>
      <c r="S756" s="3" t="s">
        <v>5457</v>
      </c>
      <c r="T756" s="3" t="s">
        <v>104</v>
      </c>
      <c r="U756" s="2"/>
      <c r="V756" s="2"/>
      <c r="W756" s="2"/>
      <c r="X756" s="2"/>
      <c r="Y756" s="2"/>
      <c r="Z756" s="2"/>
      <c r="AA756" s="2" t="s">
        <v>104</v>
      </c>
      <c r="AB756" s="2"/>
      <c r="AC756" s="2"/>
      <c r="AD756" s="2"/>
    </row>
    <row r="757" spans="1:30" ht="12" customHeight="1">
      <c r="A757" s="828" t="s">
        <v>17451</v>
      </c>
      <c r="B757" s="3" t="s">
        <v>2810</v>
      </c>
      <c r="C757" s="1" t="s">
        <v>6022</v>
      </c>
      <c r="D757" s="5">
        <f t="shared" si="11"/>
        <v>56</v>
      </c>
      <c r="E757" s="2" t="s">
        <v>5</v>
      </c>
      <c r="F757" s="2" t="s">
        <v>15273</v>
      </c>
      <c r="G757" s="3" t="s">
        <v>6024</v>
      </c>
      <c r="H757" s="1"/>
      <c r="I757" s="1"/>
      <c r="J757" s="4" t="s">
        <v>16125</v>
      </c>
      <c r="K757" s="1"/>
      <c r="L757" s="1" t="s">
        <v>25</v>
      </c>
      <c r="M757" s="825">
        <v>1</v>
      </c>
      <c r="N757" s="17">
        <v>1</v>
      </c>
      <c r="O757" s="3" t="s">
        <v>6023</v>
      </c>
      <c r="P757" s="20">
        <v>20479</v>
      </c>
      <c r="Q757" s="3" t="s">
        <v>6025</v>
      </c>
      <c r="R757" s="3"/>
      <c r="S757" s="3" t="s">
        <v>5561</v>
      </c>
      <c r="T757" s="3"/>
      <c r="U757" s="2"/>
      <c r="V757" s="2"/>
      <c r="W757" s="2"/>
      <c r="X757" s="2"/>
      <c r="Y757" s="2"/>
      <c r="Z757" s="2"/>
      <c r="AA757" s="2"/>
      <c r="AB757" s="2"/>
      <c r="AC757" s="2"/>
      <c r="AD757" s="2"/>
    </row>
    <row r="758" spans="1:30" ht="12" customHeight="1">
      <c r="A758" s="828" t="s">
        <v>17452</v>
      </c>
      <c r="B758" s="3" t="s">
        <v>2811</v>
      </c>
      <c r="C758" s="1" t="s">
        <v>2819</v>
      </c>
      <c r="D758" s="5">
        <f t="shared" si="11"/>
        <v>62</v>
      </c>
      <c r="E758" s="2" t="s">
        <v>19</v>
      </c>
      <c r="F758" s="2"/>
      <c r="G758" s="3"/>
      <c r="H758" s="1"/>
      <c r="I758" s="1"/>
      <c r="J758" s="4" t="s">
        <v>16117</v>
      </c>
      <c r="K758" s="1"/>
      <c r="L758" s="1" t="s">
        <v>6</v>
      </c>
      <c r="M758" s="825"/>
      <c r="N758" s="17"/>
      <c r="O758" s="3" t="s">
        <v>2820</v>
      </c>
      <c r="P758" s="20">
        <v>18341</v>
      </c>
      <c r="Q758" s="3" t="s">
        <v>2821</v>
      </c>
      <c r="R758" s="3"/>
      <c r="S758" s="3"/>
      <c r="T758" s="3" t="s">
        <v>69</v>
      </c>
      <c r="U758" s="2"/>
      <c r="V758" s="2"/>
      <c r="W758" s="2"/>
      <c r="X758" s="2"/>
      <c r="Y758" s="2"/>
      <c r="Z758" s="2"/>
      <c r="AA758" s="2"/>
      <c r="AB758" s="2"/>
      <c r="AC758" s="2"/>
      <c r="AD758" s="2" t="s">
        <v>69</v>
      </c>
    </row>
    <row r="759" spans="1:30" ht="12" customHeight="1">
      <c r="A759" s="828" t="s">
        <v>17453</v>
      </c>
      <c r="B759" s="3" t="s">
        <v>2822</v>
      </c>
      <c r="C759" s="1" t="s">
        <v>2825</v>
      </c>
      <c r="D759" s="5">
        <f t="shared" si="11"/>
        <v>38</v>
      </c>
      <c r="E759" s="2" t="s">
        <v>19</v>
      </c>
      <c r="F759" s="6" t="s">
        <v>15273</v>
      </c>
      <c r="G759" s="3" t="s">
        <v>2826</v>
      </c>
      <c r="H759" s="1"/>
      <c r="I759" s="1"/>
      <c r="J759" s="8" t="s">
        <v>16126</v>
      </c>
      <c r="K759" s="1" t="s">
        <v>44</v>
      </c>
      <c r="L759" s="1" t="s">
        <v>25</v>
      </c>
      <c r="M759" s="825">
        <v>1</v>
      </c>
      <c r="N759" s="17">
        <v>1</v>
      </c>
      <c r="O759" s="3" t="s">
        <v>317</v>
      </c>
      <c r="P759" s="20">
        <v>27234</v>
      </c>
      <c r="Q759" s="3" t="s">
        <v>2827</v>
      </c>
      <c r="R759" s="3"/>
      <c r="S759" s="3" t="s">
        <v>736</v>
      </c>
      <c r="T759" s="3" t="s">
        <v>147</v>
      </c>
      <c r="U759" s="2"/>
      <c r="V759" s="2"/>
      <c r="W759" s="2"/>
      <c r="X759" s="2"/>
      <c r="Y759" s="2"/>
      <c r="Z759" s="2"/>
      <c r="AA759" s="2"/>
      <c r="AB759" s="2" t="s">
        <v>147</v>
      </c>
      <c r="AC759" s="2"/>
      <c r="AD759" s="2"/>
    </row>
    <row r="760" spans="1:30" ht="12" customHeight="1">
      <c r="A760" s="828" t="s">
        <v>17454</v>
      </c>
      <c r="B760" s="3" t="s">
        <v>2823</v>
      </c>
      <c r="C760" s="1" t="s">
        <v>2828</v>
      </c>
      <c r="D760" s="5">
        <f t="shared" si="11"/>
        <v>54</v>
      </c>
      <c r="E760" s="2" t="s">
        <v>5</v>
      </c>
      <c r="F760" s="2" t="s">
        <v>15273</v>
      </c>
      <c r="G760" s="3"/>
      <c r="H760" s="1"/>
      <c r="I760" s="1"/>
      <c r="J760" s="4" t="s">
        <v>16120</v>
      </c>
      <c r="K760" s="1" t="s">
        <v>48</v>
      </c>
      <c r="L760" s="1" t="s">
        <v>14</v>
      </c>
      <c r="M760" s="825">
        <v>2</v>
      </c>
      <c r="N760" s="17">
        <v>2</v>
      </c>
      <c r="O760" s="3" t="s">
        <v>188</v>
      </c>
      <c r="P760" s="20">
        <v>21282</v>
      </c>
      <c r="Q760" s="3" t="s">
        <v>16663</v>
      </c>
      <c r="R760" s="3" t="s">
        <v>810</v>
      </c>
      <c r="S760" s="3" t="s">
        <v>5457</v>
      </c>
      <c r="T760" s="3" t="s">
        <v>635</v>
      </c>
      <c r="U760" s="2"/>
      <c r="V760" s="2" t="s">
        <v>145</v>
      </c>
      <c r="W760" s="2"/>
      <c r="X760" s="2"/>
      <c r="Y760" s="2"/>
      <c r="Z760" s="2"/>
      <c r="AA760" s="2"/>
      <c r="AB760" s="2"/>
      <c r="AC760" s="2" t="s">
        <v>146</v>
      </c>
      <c r="AD760" s="2"/>
    </row>
    <row r="761" spans="1:30" ht="12" customHeight="1">
      <c r="A761" s="828" t="s">
        <v>17455</v>
      </c>
      <c r="B761" s="3" t="s">
        <v>2824</v>
      </c>
      <c r="C761" s="1" t="s">
        <v>6194</v>
      </c>
      <c r="D761" s="5">
        <f t="shared" si="11"/>
        <v>31</v>
      </c>
      <c r="E761" s="2" t="s">
        <v>19</v>
      </c>
      <c r="F761" s="2" t="s">
        <v>15273</v>
      </c>
      <c r="G761" s="3"/>
      <c r="H761" s="1"/>
      <c r="I761" s="1"/>
      <c r="J761" s="4" t="s">
        <v>16125</v>
      </c>
      <c r="K761" s="1"/>
      <c r="L761" s="1" t="s">
        <v>6</v>
      </c>
      <c r="M761" s="825"/>
      <c r="N761" s="17"/>
      <c r="O761" s="3" t="s">
        <v>6195</v>
      </c>
      <c r="P761" s="21">
        <v>29879</v>
      </c>
      <c r="Q761" s="3" t="s">
        <v>727</v>
      </c>
      <c r="R761" s="3"/>
      <c r="S761" s="3" t="s">
        <v>5561</v>
      </c>
      <c r="T761" s="3" t="s">
        <v>147</v>
      </c>
      <c r="U761" s="2"/>
      <c r="V761" s="2"/>
      <c r="W761" s="2"/>
      <c r="X761" s="2"/>
      <c r="Y761" s="2"/>
      <c r="Z761" s="2"/>
      <c r="AA761" s="2"/>
      <c r="AB761" s="2" t="s">
        <v>147</v>
      </c>
      <c r="AC761" s="2"/>
      <c r="AD761" s="2"/>
    </row>
    <row r="762" spans="1:30" ht="12" customHeight="1">
      <c r="A762" s="828" t="s">
        <v>17456</v>
      </c>
      <c r="B762" s="3" t="s">
        <v>6193</v>
      </c>
      <c r="C762" s="1" t="s">
        <v>2831</v>
      </c>
      <c r="D762" s="5">
        <f t="shared" si="11"/>
        <v>34</v>
      </c>
      <c r="E762" s="2" t="s">
        <v>5</v>
      </c>
      <c r="F762" s="2"/>
      <c r="G762" s="3"/>
      <c r="H762" s="1"/>
      <c r="I762" s="1"/>
      <c r="J762" s="4" t="s">
        <v>16117</v>
      </c>
      <c r="K762" s="1"/>
      <c r="L762" s="1" t="s">
        <v>6</v>
      </c>
      <c r="M762" s="825"/>
      <c r="N762" s="17"/>
      <c r="O762" s="3" t="s">
        <v>214</v>
      </c>
      <c r="P762" s="21">
        <v>28567</v>
      </c>
      <c r="Q762" s="3" t="s">
        <v>2832</v>
      </c>
      <c r="R762" s="3"/>
      <c r="S762" s="3"/>
      <c r="T762" s="3"/>
      <c r="U762" s="2"/>
      <c r="V762" s="2"/>
      <c r="W762" s="2"/>
      <c r="X762" s="2"/>
      <c r="Y762" s="2"/>
      <c r="Z762" s="2"/>
      <c r="AA762" s="2"/>
      <c r="AB762" s="2"/>
      <c r="AC762" s="2"/>
      <c r="AD762" s="2"/>
    </row>
    <row r="763" spans="1:30" ht="12" customHeight="1">
      <c r="A763" s="828" t="s">
        <v>17457</v>
      </c>
      <c r="B763" s="3" t="s">
        <v>2833</v>
      </c>
      <c r="C763" s="1" t="s">
        <v>2836</v>
      </c>
      <c r="D763" s="5">
        <f t="shared" si="11"/>
        <v>51</v>
      </c>
      <c r="E763" s="2" t="s">
        <v>5</v>
      </c>
      <c r="F763" s="6" t="s">
        <v>15273</v>
      </c>
      <c r="G763" s="3" t="s">
        <v>2837</v>
      </c>
      <c r="H763" s="1"/>
      <c r="I763" s="1"/>
      <c r="J763" s="8" t="s">
        <v>16127</v>
      </c>
      <c r="K763" s="1" t="s">
        <v>604</v>
      </c>
      <c r="L763" s="1" t="s">
        <v>25</v>
      </c>
      <c r="M763" s="825">
        <v>4</v>
      </c>
      <c r="N763" s="17">
        <v>4</v>
      </c>
      <c r="O763" s="3" t="s">
        <v>2768</v>
      </c>
      <c r="P763" s="20">
        <v>22282</v>
      </c>
      <c r="Q763" s="3" t="s">
        <v>2840</v>
      </c>
      <c r="R763" s="3" t="s">
        <v>2839</v>
      </c>
      <c r="S763" s="3" t="s">
        <v>736</v>
      </c>
      <c r="T763" s="3"/>
      <c r="U763" s="2"/>
      <c r="V763" s="2"/>
      <c r="W763" s="2"/>
      <c r="X763" s="2"/>
      <c r="Y763" s="2"/>
      <c r="Z763" s="2"/>
      <c r="AA763" s="2"/>
      <c r="AB763" s="2"/>
      <c r="AC763" s="2"/>
      <c r="AD763" s="2"/>
    </row>
    <row r="764" spans="1:30" ht="12" customHeight="1">
      <c r="A764" s="828" t="s">
        <v>17458</v>
      </c>
      <c r="B764" s="3" t="s">
        <v>2834</v>
      </c>
      <c r="C764" s="1" t="s">
        <v>2841</v>
      </c>
      <c r="D764" s="5">
        <f t="shared" si="11"/>
        <v>48</v>
      </c>
      <c r="E764" s="2" t="s">
        <v>5</v>
      </c>
      <c r="F764" s="2" t="s">
        <v>15273</v>
      </c>
      <c r="G764" s="3"/>
      <c r="H764" s="1"/>
      <c r="I764" s="1"/>
      <c r="J764" s="8" t="s">
        <v>16120</v>
      </c>
      <c r="K764" s="1" t="s">
        <v>65</v>
      </c>
      <c r="L764" s="1" t="s">
        <v>14</v>
      </c>
      <c r="M764" s="825">
        <v>1</v>
      </c>
      <c r="N764" s="17">
        <v>1</v>
      </c>
      <c r="O764" s="3" t="s">
        <v>188</v>
      </c>
      <c r="P764" s="20">
        <v>23569</v>
      </c>
      <c r="Q764" s="3" t="s">
        <v>2842</v>
      </c>
      <c r="R764" s="3"/>
      <c r="S764" s="3" t="s">
        <v>5457</v>
      </c>
      <c r="T764" s="3" t="s">
        <v>145</v>
      </c>
      <c r="U764" s="2"/>
      <c r="V764" s="2" t="s">
        <v>145</v>
      </c>
      <c r="W764" s="2"/>
      <c r="X764" s="2"/>
      <c r="Y764" s="2"/>
      <c r="Z764" s="2"/>
      <c r="AA764" s="2"/>
      <c r="AB764" s="2"/>
      <c r="AC764" s="2"/>
      <c r="AD764" s="2"/>
    </row>
    <row r="765" spans="1:30" ht="12" customHeight="1">
      <c r="A765" s="828" t="s">
        <v>17459</v>
      </c>
      <c r="B765" s="3" t="s">
        <v>2835</v>
      </c>
      <c r="C765" s="1" t="s">
        <v>16018</v>
      </c>
      <c r="D765" s="5">
        <f t="shared" si="11"/>
        <v>39</v>
      </c>
      <c r="E765" s="2" t="s">
        <v>19</v>
      </c>
      <c r="F765" s="2" t="s">
        <v>15273</v>
      </c>
      <c r="G765" s="3"/>
      <c r="H765" s="1"/>
      <c r="I765" s="1"/>
      <c r="J765" s="4" t="s">
        <v>16125</v>
      </c>
      <c r="K765" s="1"/>
      <c r="L765" s="1" t="s">
        <v>6</v>
      </c>
      <c r="M765" s="825"/>
      <c r="N765" s="17"/>
      <c r="O765" s="3" t="s">
        <v>381</v>
      </c>
      <c r="P765" s="20">
        <v>26897</v>
      </c>
      <c r="Q765" s="3" t="s">
        <v>16019</v>
      </c>
      <c r="R765" s="3"/>
      <c r="S765" s="3" t="s">
        <v>5561</v>
      </c>
      <c r="T765" s="3"/>
      <c r="U765" s="2"/>
      <c r="V765" s="2"/>
      <c r="W765" s="2"/>
      <c r="X765" s="2"/>
      <c r="Y765" s="2"/>
      <c r="Z765" s="2"/>
      <c r="AA765" s="2"/>
      <c r="AB765" s="2"/>
      <c r="AC765" s="2"/>
      <c r="AD765" s="2"/>
    </row>
    <row r="766" spans="1:30" ht="12" customHeight="1">
      <c r="A766" s="828" t="s">
        <v>17460</v>
      </c>
      <c r="B766" s="3" t="s">
        <v>5794</v>
      </c>
      <c r="C766" s="1" t="s">
        <v>2843</v>
      </c>
      <c r="D766" s="5">
        <f t="shared" si="11"/>
        <v>53</v>
      </c>
      <c r="E766" s="2" t="s">
        <v>5</v>
      </c>
      <c r="F766" s="2"/>
      <c r="G766" s="3"/>
      <c r="H766" s="1"/>
      <c r="I766" s="1"/>
      <c r="J766" s="4" t="s">
        <v>16117</v>
      </c>
      <c r="K766" s="1"/>
      <c r="L766" s="1" t="s">
        <v>6</v>
      </c>
      <c r="M766" s="825"/>
      <c r="N766" s="17"/>
      <c r="O766" s="3" t="s">
        <v>2844</v>
      </c>
      <c r="P766" s="20">
        <v>21566</v>
      </c>
      <c r="Q766" s="3" t="s">
        <v>531</v>
      </c>
      <c r="R766" s="3"/>
      <c r="S766" s="3"/>
      <c r="T766" s="3"/>
      <c r="U766" s="2"/>
      <c r="V766" s="2"/>
      <c r="W766" s="2"/>
      <c r="X766" s="2"/>
      <c r="Y766" s="2"/>
      <c r="Z766" s="2"/>
      <c r="AA766" s="2"/>
      <c r="AB766" s="2"/>
      <c r="AC766" s="2"/>
      <c r="AD766" s="2"/>
    </row>
    <row r="767" spans="1:30" ht="12" customHeight="1">
      <c r="A767" s="828" t="s">
        <v>17461</v>
      </c>
      <c r="B767" s="3" t="s">
        <v>2845</v>
      </c>
      <c r="C767" s="1" t="s">
        <v>2848</v>
      </c>
      <c r="D767" s="5">
        <f t="shared" si="11"/>
        <v>41</v>
      </c>
      <c r="E767" s="2" t="s">
        <v>5</v>
      </c>
      <c r="F767" s="6" t="s">
        <v>15273</v>
      </c>
      <c r="G767" s="3" t="s">
        <v>2849</v>
      </c>
      <c r="H767" s="1"/>
      <c r="I767" s="1"/>
      <c r="J767" s="8" t="s">
        <v>16127</v>
      </c>
      <c r="K767" s="1" t="s">
        <v>44</v>
      </c>
      <c r="L767" s="1" t="s">
        <v>25</v>
      </c>
      <c r="M767" s="825">
        <v>3</v>
      </c>
      <c r="N767" s="17">
        <v>3</v>
      </c>
      <c r="O767" s="3" t="s">
        <v>2745</v>
      </c>
      <c r="P767" s="20">
        <v>26102</v>
      </c>
      <c r="Q767" s="3" t="s">
        <v>2850</v>
      </c>
      <c r="R767" s="3" t="s">
        <v>1784</v>
      </c>
      <c r="S767" s="3" t="s">
        <v>736</v>
      </c>
      <c r="T767" s="3"/>
      <c r="U767" s="2"/>
      <c r="V767" s="2"/>
      <c r="W767" s="2"/>
      <c r="X767" s="2"/>
      <c r="Y767" s="2"/>
      <c r="Z767" s="2"/>
      <c r="AA767" s="2"/>
      <c r="AB767" s="2"/>
      <c r="AC767" s="2"/>
      <c r="AD767" s="2"/>
    </row>
    <row r="768" spans="1:30" ht="12" customHeight="1">
      <c r="A768" s="828" t="s">
        <v>17462</v>
      </c>
      <c r="B768" s="3" t="s">
        <v>2846</v>
      </c>
      <c r="C768" s="1" t="s">
        <v>2851</v>
      </c>
      <c r="D768" s="5">
        <f t="shared" si="11"/>
        <v>55</v>
      </c>
      <c r="E768" s="2" t="s">
        <v>5</v>
      </c>
      <c r="F768" s="2" t="s">
        <v>15273</v>
      </c>
      <c r="G768" s="3"/>
      <c r="H768" s="1"/>
      <c r="I768" s="1"/>
      <c r="J768" s="4" t="s">
        <v>16120</v>
      </c>
      <c r="K768" s="1" t="s">
        <v>30</v>
      </c>
      <c r="L768" s="1" t="s">
        <v>6</v>
      </c>
      <c r="M768" s="825"/>
      <c r="N768" s="17"/>
      <c r="O768" s="3" t="s">
        <v>452</v>
      </c>
      <c r="P768" s="20">
        <v>20920</v>
      </c>
      <c r="Q768" s="3" t="s">
        <v>2852</v>
      </c>
      <c r="R768" s="3"/>
      <c r="S768" s="3" t="s">
        <v>5457</v>
      </c>
      <c r="T768" s="3" t="s">
        <v>145</v>
      </c>
      <c r="U768" s="2"/>
      <c r="V768" s="2" t="s">
        <v>145</v>
      </c>
      <c r="W768" s="2"/>
      <c r="X768" s="2"/>
      <c r="Y768" s="2"/>
      <c r="Z768" s="2"/>
      <c r="AA768" s="2"/>
      <c r="AB768" s="2"/>
      <c r="AC768" s="2"/>
      <c r="AD768" s="2"/>
    </row>
    <row r="769" spans="1:30" ht="12" customHeight="1">
      <c r="A769" s="828" t="s">
        <v>17463</v>
      </c>
      <c r="B769" s="3" t="s">
        <v>2847</v>
      </c>
      <c r="C769" s="1" t="s">
        <v>4428</v>
      </c>
      <c r="D769" s="5">
        <f t="shared" ref="D769:D832" si="12">DATEDIF(P769,$P$1505,"Y")</f>
        <v>43</v>
      </c>
      <c r="E769" s="2" t="s">
        <v>5</v>
      </c>
      <c r="F769" s="2" t="s">
        <v>15273</v>
      </c>
      <c r="G769" s="3"/>
      <c r="H769" s="1"/>
      <c r="I769" s="1"/>
      <c r="J769" s="4" t="s">
        <v>16125</v>
      </c>
      <c r="K769" s="1"/>
      <c r="L769" s="1" t="s">
        <v>6</v>
      </c>
      <c r="M769" s="825"/>
      <c r="N769" s="17"/>
      <c r="O769" s="3" t="s">
        <v>450</v>
      </c>
      <c r="P769" s="20">
        <v>25447</v>
      </c>
      <c r="Q769" s="3" t="s">
        <v>4430</v>
      </c>
      <c r="R769" s="3"/>
      <c r="S769" s="3" t="s">
        <v>5561</v>
      </c>
      <c r="T769" s="3" t="s">
        <v>145</v>
      </c>
      <c r="U769" s="2"/>
      <c r="V769" s="2" t="s">
        <v>145</v>
      </c>
      <c r="W769" s="2"/>
      <c r="X769" s="2"/>
      <c r="Y769" s="2"/>
      <c r="Z769" s="2"/>
      <c r="AA769" s="2"/>
      <c r="AB769" s="2"/>
      <c r="AC769" s="2"/>
      <c r="AD769" s="2"/>
    </row>
    <row r="770" spans="1:30" ht="12" customHeight="1">
      <c r="A770" s="828" t="s">
        <v>17464</v>
      </c>
      <c r="B770" s="3" t="s">
        <v>4427</v>
      </c>
      <c r="C770" s="1" t="s">
        <v>5024</v>
      </c>
      <c r="D770" s="5">
        <f t="shared" si="12"/>
        <v>45</v>
      </c>
      <c r="E770" s="2" t="s">
        <v>5</v>
      </c>
      <c r="F770" s="2" t="s">
        <v>15273</v>
      </c>
      <c r="G770" s="3"/>
      <c r="H770" s="1"/>
      <c r="I770" s="1"/>
      <c r="J770" s="4" t="s">
        <v>16116</v>
      </c>
      <c r="K770" s="1" t="s">
        <v>4997</v>
      </c>
      <c r="L770" s="1" t="s">
        <v>6</v>
      </c>
      <c r="M770" s="825"/>
      <c r="N770" s="17"/>
      <c r="O770" s="3" t="s">
        <v>317</v>
      </c>
      <c r="P770" s="21">
        <v>24499</v>
      </c>
      <c r="Q770" s="3" t="s">
        <v>16446</v>
      </c>
      <c r="R770" s="3"/>
      <c r="S770" s="3" t="s">
        <v>469</v>
      </c>
      <c r="T770" s="3" t="s">
        <v>47</v>
      </c>
      <c r="U770" s="2" t="s">
        <v>47</v>
      </c>
      <c r="V770" s="2"/>
      <c r="W770" s="2"/>
      <c r="X770" s="2"/>
      <c r="Y770" s="2"/>
      <c r="Z770" s="2"/>
      <c r="AA770" s="2"/>
      <c r="AB770" s="2"/>
      <c r="AC770" s="2"/>
      <c r="AD770" s="2"/>
    </row>
    <row r="771" spans="1:30" ht="12" customHeight="1">
      <c r="A771" s="828" t="s">
        <v>17465</v>
      </c>
      <c r="B771" s="3" t="s">
        <v>5023</v>
      </c>
      <c r="C771" s="1" t="s">
        <v>2853</v>
      </c>
      <c r="D771" s="5">
        <f t="shared" si="12"/>
        <v>66</v>
      </c>
      <c r="E771" s="2" t="s">
        <v>5</v>
      </c>
      <c r="F771" s="2"/>
      <c r="G771" s="3"/>
      <c r="H771" s="1"/>
      <c r="I771" s="1"/>
      <c r="J771" s="4" t="s">
        <v>16117</v>
      </c>
      <c r="K771" s="1"/>
      <c r="L771" s="1" t="s">
        <v>6</v>
      </c>
      <c r="M771" s="825"/>
      <c r="N771" s="17"/>
      <c r="O771" s="3" t="s">
        <v>2854</v>
      </c>
      <c r="P771" s="20">
        <v>17017</v>
      </c>
      <c r="Q771" s="3" t="s">
        <v>2855</v>
      </c>
      <c r="R771" s="3"/>
      <c r="S771" s="3"/>
      <c r="T771" s="3"/>
      <c r="U771" s="2"/>
      <c r="V771" s="2"/>
      <c r="W771" s="2"/>
      <c r="X771" s="2"/>
      <c r="Y771" s="2"/>
      <c r="Z771" s="2"/>
      <c r="AA771" s="2"/>
      <c r="AB771" s="2"/>
      <c r="AC771" s="2"/>
      <c r="AD771" s="2"/>
    </row>
    <row r="772" spans="1:30" ht="12" customHeight="1">
      <c r="A772" s="828" t="s">
        <v>17466</v>
      </c>
      <c r="B772" s="3" t="s">
        <v>2856</v>
      </c>
      <c r="C772" s="1" t="s">
        <v>5060</v>
      </c>
      <c r="D772" s="5">
        <f t="shared" si="12"/>
        <v>39</v>
      </c>
      <c r="E772" s="2" t="s">
        <v>5</v>
      </c>
      <c r="F772" s="6" t="s">
        <v>15273</v>
      </c>
      <c r="G772" s="3"/>
      <c r="H772" s="1"/>
      <c r="I772" s="1"/>
      <c r="J772" s="8" t="s">
        <v>16126</v>
      </c>
      <c r="K772" s="1" t="s">
        <v>44</v>
      </c>
      <c r="L772" s="1" t="s">
        <v>6</v>
      </c>
      <c r="M772" s="825"/>
      <c r="N772" s="17"/>
      <c r="O772" s="3" t="s">
        <v>1282</v>
      </c>
      <c r="P772" s="20">
        <v>26918</v>
      </c>
      <c r="Q772" s="3" t="s">
        <v>5061</v>
      </c>
      <c r="R772" s="3"/>
      <c r="S772" s="3" t="s">
        <v>736</v>
      </c>
      <c r="T772" s="3"/>
      <c r="U772" s="2"/>
      <c r="V772" s="2"/>
      <c r="W772" s="2"/>
      <c r="X772" s="2"/>
      <c r="Y772" s="2"/>
      <c r="Z772" s="2"/>
      <c r="AA772" s="2"/>
      <c r="AB772" s="2"/>
      <c r="AC772" s="2"/>
      <c r="AD772" s="2"/>
    </row>
    <row r="773" spans="1:30" ht="12" customHeight="1">
      <c r="A773" s="828" t="s">
        <v>17467</v>
      </c>
      <c r="B773" s="3" t="s">
        <v>2857</v>
      </c>
      <c r="C773" s="1" t="s">
        <v>2860</v>
      </c>
      <c r="D773" s="5">
        <f t="shared" si="12"/>
        <v>69</v>
      </c>
      <c r="E773" s="2" t="s">
        <v>5</v>
      </c>
      <c r="F773" s="2" t="s">
        <v>15273</v>
      </c>
      <c r="G773" s="3"/>
      <c r="H773" s="1"/>
      <c r="I773" s="1"/>
      <c r="J773" s="4" t="s">
        <v>16120</v>
      </c>
      <c r="K773" s="1" t="s">
        <v>65</v>
      </c>
      <c r="L773" s="1" t="s">
        <v>14</v>
      </c>
      <c r="M773" s="825">
        <v>4</v>
      </c>
      <c r="N773" s="17">
        <v>4</v>
      </c>
      <c r="O773" s="3" t="s">
        <v>695</v>
      </c>
      <c r="P773" s="20">
        <v>15966</v>
      </c>
      <c r="Q773" s="3" t="s">
        <v>2861</v>
      </c>
      <c r="R773" s="3" t="s">
        <v>2862</v>
      </c>
      <c r="S773" s="3" t="s">
        <v>5457</v>
      </c>
      <c r="T773" s="3" t="s">
        <v>104</v>
      </c>
      <c r="U773" s="2"/>
      <c r="V773" s="2"/>
      <c r="W773" s="2"/>
      <c r="X773" s="2"/>
      <c r="Y773" s="2"/>
      <c r="Z773" s="2"/>
      <c r="AA773" s="2" t="s">
        <v>104</v>
      </c>
      <c r="AB773" s="2"/>
      <c r="AC773" s="2"/>
      <c r="AD773" s="2"/>
    </row>
    <row r="774" spans="1:30" ht="12" customHeight="1">
      <c r="A774" s="828" t="s">
        <v>17468</v>
      </c>
      <c r="B774" s="3" t="s">
        <v>2858</v>
      </c>
      <c r="C774" s="1" t="s">
        <v>5995</v>
      </c>
      <c r="D774" s="5">
        <f t="shared" si="12"/>
        <v>52</v>
      </c>
      <c r="E774" s="2" t="s">
        <v>5</v>
      </c>
      <c r="F774" s="2" t="s">
        <v>15273</v>
      </c>
      <c r="G774" s="3"/>
      <c r="H774" s="1"/>
      <c r="I774" s="1"/>
      <c r="J774" s="4" t="s">
        <v>16125</v>
      </c>
      <c r="K774" s="1"/>
      <c r="L774" s="1" t="s">
        <v>6</v>
      </c>
      <c r="M774" s="825"/>
      <c r="N774" s="17"/>
      <c r="O774" s="3" t="s">
        <v>5411</v>
      </c>
      <c r="P774" s="21">
        <v>22231</v>
      </c>
      <c r="Q774" s="3" t="s">
        <v>5996</v>
      </c>
      <c r="R774" s="3"/>
      <c r="S774" s="3" t="s">
        <v>5561</v>
      </c>
      <c r="T774" s="3"/>
      <c r="U774" s="2"/>
      <c r="V774" s="2"/>
      <c r="W774" s="2"/>
      <c r="X774" s="2"/>
      <c r="Y774" s="2"/>
      <c r="Z774" s="2"/>
      <c r="AA774" s="2"/>
      <c r="AB774" s="2"/>
      <c r="AC774" s="2"/>
      <c r="AD774" s="2"/>
    </row>
    <row r="775" spans="1:30" ht="12" customHeight="1">
      <c r="A775" s="828" t="s">
        <v>17469</v>
      </c>
      <c r="B775" s="3" t="s">
        <v>2859</v>
      </c>
      <c r="C775" s="1" t="s">
        <v>2865</v>
      </c>
      <c r="D775" s="5">
        <f t="shared" si="12"/>
        <v>52</v>
      </c>
      <c r="E775" s="2" t="s">
        <v>5</v>
      </c>
      <c r="F775" s="2" t="s">
        <v>15273</v>
      </c>
      <c r="G775" s="3" t="s">
        <v>2866</v>
      </c>
      <c r="H775" s="1"/>
      <c r="I775" s="1"/>
      <c r="J775" s="4" t="s">
        <v>16128</v>
      </c>
      <c r="K775" s="1"/>
      <c r="L775" s="1" t="s">
        <v>25</v>
      </c>
      <c r="M775" s="825">
        <v>1</v>
      </c>
      <c r="N775" s="17">
        <v>1</v>
      </c>
      <c r="O775" s="3" t="s">
        <v>255</v>
      </c>
      <c r="P775" s="20">
        <v>22176</v>
      </c>
      <c r="Q775" s="3" t="s">
        <v>2868</v>
      </c>
      <c r="R775" s="3"/>
      <c r="S775" s="3" t="s">
        <v>16096</v>
      </c>
      <c r="T775" s="3"/>
      <c r="U775" s="2"/>
      <c r="V775" s="2"/>
      <c r="W775" s="2"/>
      <c r="X775" s="2"/>
      <c r="Y775" s="2"/>
      <c r="Z775" s="2"/>
      <c r="AA775" s="2"/>
      <c r="AB775" s="2"/>
      <c r="AC775" s="2"/>
      <c r="AD775" s="2"/>
    </row>
    <row r="776" spans="1:30" ht="12" customHeight="1">
      <c r="A776" s="828" t="s">
        <v>17470</v>
      </c>
      <c r="B776" s="3" t="s">
        <v>5994</v>
      </c>
      <c r="C776" s="1" t="s">
        <v>2863</v>
      </c>
      <c r="D776" s="5">
        <f t="shared" si="12"/>
        <v>54</v>
      </c>
      <c r="E776" s="2" t="s">
        <v>5</v>
      </c>
      <c r="F776" s="2"/>
      <c r="G776" s="3"/>
      <c r="H776" s="1"/>
      <c r="I776" s="1"/>
      <c r="J776" s="4" t="s">
        <v>16117</v>
      </c>
      <c r="K776" s="1"/>
      <c r="L776" s="1" t="s">
        <v>6</v>
      </c>
      <c r="M776" s="825"/>
      <c r="N776" s="17"/>
      <c r="O776" s="3" t="s">
        <v>597</v>
      </c>
      <c r="P776" s="20">
        <v>21285</v>
      </c>
      <c r="Q776" s="3" t="s">
        <v>2864</v>
      </c>
      <c r="R776" s="3"/>
      <c r="S776" s="3"/>
      <c r="T776" s="3" t="s">
        <v>148</v>
      </c>
      <c r="U776" s="2"/>
      <c r="V776" s="2" t="s">
        <v>145</v>
      </c>
      <c r="W776" s="2"/>
      <c r="X776" s="2"/>
      <c r="Y776" s="2"/>
      <c r="Z776" s="2"/>
      <c r="AA776" s="2"/>
      <c r="AB776" s="2"/>
      <c r="AC776" s="2"/>
      <c r="AD776" s="2" t="s">
        <v>69</v>
      </c>
    </row>
    <row r="777" spans="1:30" ht="12" customHeight="1">
      <c r="A777" s="828" t="s">
        <v>17471</v>
      </c>
      <c r="B777" s="3" t="s">
        <v>2869</v>
      </c>
      <c r="C777" s="1" t="s">
        <v>2872</v>
      </c>
      <c r="D777" s="5">
        <f t="shared" si="12"/>
        <v>47</v>
      </c>
      <c r="E777" s="2" t="s">
        <v>5</v>
      </c>
      <c r="F777" s="6" t="s">
        <v>15273</v>
      </c>
      <c r="G777" s="3" t="s">
        <v>2873</v>
      </c>
      <c r="H777" s="1"/>
      <c r="I777" s="1"/>
      <c r="J777" s="8" t="s">
        <v>16127</v>
      </c>
      <c r="K777" s="1" t="s">
        <v>681</v>
      </c>
      <c r="L777" s="1" t="s">
        <v>25</v>
      </c>
      <c r="M777" s="825">
        <v>3</v>
      </c>
      <c r="N777" s="17">
        <v>3</v>
      </c>
      <c r="O777" s="3" t="s">
        <v>7</v>
      </c>
      <c r="P777" s="20">
        <v>23812</v>
      </c>
      <c r="Q777" s="3" t="s">
        <v>2874</v>
      </c>
      <c r="R777" s="3" t="s">
        <v>2489</v>
      </c>
      <c r="S777" s="3" t="s">
        <v>736</v>
      </c>
      <c r="T777" s="3" t="s">
        <v>69</v>
      </c>
      <c r="U777" s="2"/>
      <c r="V777" s="2"/>
      <c r="W777" s="2"/>
      <c r="X777" s="2"/>
      <c r="Y777" s="2"/>
      <c r="Z777" s="2"/>
      <c r="AA777" s="2"/>
      <c r="AB777" s="2"/>
      <c r="AC777" s="2"/>
      <c r="AD777" s="2" t="s">
        <v>69</v>
      </c>
    </row>
    <row r="778" spans="1:30" ht="12" customHeight="1">
      <c r="A778" s="828" t="s">
        <v>17472</v>
      </c>
      <c r="B778" s="3" t="s">
        <v>2870</v>
      </c>
      <c r="C778" s="1" t="s">
        <v>5843</v>
      </c>
      <c r="D778" s="5">
        <f t="shared" si="12"/>
        <v>65</v>
      </c>
      <c r="E778" s="2" t="s">
        <v>5</v>
      </c>
      <c r="F778" s="2" t="s">
        <v>15273</v>
      </c>
      <c r="G778" s="3"/>
      <c r="H778" s="1"/>
      <c r="I778" s="1"/>
      <c r="J778" s="8" t="s">
        <v>16120</v>
      </c>
      <c r="K778" s="1" t="s">
        <v>44</v>
      </c>
      <c r="L778" s="1" t="s">
        <v>6</v>
      </c>
      <c r="M778" s="825"/>
      <c r="N778" s="17"/>
      <c r="O778" s="3" t="s">
        <v>381</v>
      </c>
      <c r="P778" s="20">
        <v>17389</v>
      </c>
      <c r="Q778" s="3" t="s">
        <v>5844</v>
      </c>
      <c r="R778" s="3"/>
      <c r="S778" s="3"/>
      <c r="T778" s="3" t="s">
        <v>145</v>
      </c>
      <c r="U778" s="2"/>
      <c r="V778" s="2" t="s">
        <v>145</v>
      </c>
      <c r="W778" s="2"/>
      <c r="X778" s="2"/>
      <c r="Y778" s="2"/>
      <c r="Z778" s="2"/>
      <c r="AA778" s="2"/>
      <c r="AB778" s="2"/>
      <c r="AC778" s="2"/>
      <c r="AD778" s="2"/>
    </row>
    <row r="779" spans="1:30" ht="12" customHeight="1">
      <c r="A779" s="828" t="s">
        <v>17473</v>
      </c>
      <c r="B779" s="3" t="s">
        <v>2871</v>
      </c>
      <c r="C779" s="1" t="s">
        <v>5883</v>
      </c>
      <c r="D779" s="5">
        <f t="shared" si="12"/>
        <v>32</v>
      </c>
      <c r="E779" s="2" t="s">
        <v>5</v>
      </c>
      <c r="F779" s="2"/>
      <c r="G779" s="3"/>
      <c r="H779" s="1"/>
      <c r="I779" s="1"/>
      <c r="J779" s="4" t="s">
        <v>16117</v>
      </c>
      <c r="K779" s="1"/>
      <c r="L779" s="1" t="s">
        <v>6</v>
      </c>
      <c r="M779" s="825"/>
      <c r="N779" s="17"/>
      <c r="O779" s="3" t="s">
        <v>16020</v>
      </c>
      <c r="P779" s="20">
        <v>29444</v>
      </c>
      <c r="Q779" s="3" t="s">
        <v>5884</v>
      </c>
      <c r="R779" s="3"/>
      <c r="S779" s="3"/>
      <c r="T779" s="3"/>
      <c r="U779" s="2"/>
      <c r="V779" s="2"/>
      <c r="W779" s="2"/>
      <c r="X779" s="2"/>
      <c r="Y779" s="2"/>
      <c r="Z779" s="2"/>
      <c r="AA779" s="2"/>
      <c r="AB779" s="2"/>
      <c r="AC779" s="2"/>
      <c r="AD779" s="2"/>
    </row>
    <row r="780" spans="1:30" ht="12" customHeight="1">
      <c r="A780" s="828" t="s">
        <v>17474</v>
      </c>
      <c r="B780" s="3" t="s">
        <v>5164</v>
      </c>
      <c r="C780" s="1" t="s">
        <v>5165</v>
      </c>
      <c r="D780" s="5">
        <f t="shared" si="12"/>
        <v>38</v>
      </c>
      <c r="E780" s="2" t="s">
        <v>19</v>
      </c>
      <c r="F780" s="2"/>
      <c r="G780" s="3"/>
      <c r="H780" s="1"/>
      <c r="I780" s="1"/>
      <c r="J780" s="4" t="s">
        <v>16122</v>
      </c>
      <c r="K780" s="1" t="s">
        <v>22</v>
      </c>
      <c r="L780" s="1" t="s">
        <v>6</v>
      </c>
      <c r="M780" s="825"/>
      <c r="N780" s="17"/>
      <c r="O780" s="3" t="s">
        <v>5166</v>
      </c>
      <c r="P780" s="20">
        <v>27214</v>
      </c>
      <c r="Q780" s="3" t="s">
        <v>4614</v>
      </c>
      <c r="R780" s="3"/>
      <c r="S780" s="3"/>
      <c r="T780" s="3"/>
      <c r="U780" s="2"/>
      <c r="V780" s="2"/>
      <c r="W780" s="2"/>
      <c r="X780" s="2"/>
      <c r="Y780" s="2"/>
      <c r="Z780" s="2"/>
      <c r="AA780" s="2"/>
      <c r="AB780" s="2"/>
      <c r="AC780" s="2"/>
      <c r="AD780" s="2"/>
    </row>
    <row r="781" spans="1:30" ht="12" customHeight="1">
      <c r="A781" s="828" t="s">
        <v>17475</v>
      </c>
      <c r="B781" s="3" t="s">
        <v>2875</v>
      </c>
      <c r="C781" s="1" t="s">
        <v>2879</v>
      </c>
      <c r="D781" s="5">
        <f t="shared" si="12"/>
        <v>50</v>
      </c>
      <c r="E781" s="2" t="s">
        <v>5</v>
      </c>
      <c r="F781" s="6" t="s">
        <v>15273</v>
      </c>
      <c r="G781" s="3" t="s">
        <v>2880</v>
      </c>
      <c r="H781" s="1"/>
      <c r="I781" s="1"/>
      <c r="J781" s="8" t="s">
        <v>16127</v>
      </c>
      <c r="K781" s="1" t="s">
        <v>44</v>
      </c>
      <c r="L781" s="1" t="s">
        <v>25</v>
      </c>
      <c r="M781" s="825">
        <v>2</v>
      </c>
      <c r="N781" s="17">
        <v>2</v>
      </c>
      <c r="O781" s="3" t="s">
        <v>188</v>
      </c>
      <c r="P781" s="20">
        <v>22875</v>
      </c>
      <c r="Q781" s="3" t="s">
        <v>2881</v>
      </c>
      <c r="R781" s="3" t="s">
        <v>1017</v>
      </c>
      <c r="S781" s="3" t="s">
        <v>736</v>
      </c>
      <c r="T781" s="3" t="s">
        <v>145</v>
      </c>
      <c r="U781" s="2"/>
      <c r="V781" s="2" t="s">
        <v>145</v>
      </c>
      <c r="W781" s="2"/>
      <c r="X781" s="2"/>
      <c r="Y781" s="2"/>
      <c r="Z781" s="2"/>
      <c r="AA781" s="2"/>
      <c r="AB781" s="2"/>
      <c r="AC781" s="2"/>
      <c r="AD781" s="2"/>
    </row>
    <row r="782" spans="1:30" ht="12" customHeight="1">
      <c r="A782" s="828" t="s">
        <v>17476</v>
      </c>
      <c r="B782" s="3" t="s">
        <v>2876</v>
      </c>
      <c r="C782" s="1" t="s">
        <v>2883</v>
      </c>
      <c r="D782" s="5">
        <f t="shared" si="12"/>
        <v>35</v>
      </c>
      <c r="E782" s="2" t="s">
        <v>5</v>
      </c>
      <c r="F782" s="2" t="s">
        <v>15273</v>
      </c>
      <c r="G782" s="3"/>
      <c r="H782" s="1"/>
      <c r="I782" s="1"/>
      <c r="J782" s="4" t="s">
        <v>16120</v>
      </c>
      <c r="K782" s="1" t="s">
        <v>48</v>
      </c>
      <c r="L782" s="1" t="s">
        <v>6</v>
      </c>
      <c r="M782" s="825"/>
      <c r="N782" s="17"/>
      <c r="O782" s="3" t="s">
        <v>95</v>
      </c>
      <c r="P782" s="20">
        <v>28243</v>
      </c>
      <c r="Q782" s="3" t="s">
        <v>2884</v>
      </c>
      <c r="R782" s="3"/>
      <c r="S782" s="3"/>
      <c r="T782" s="3"/>
      <c r="U782" s="2"/>
      <c r="V782" s="2"/>
      <c r="W782" s="2"/>
      <c r="X782" s="2"/>
      <c r="Y782" s="2"/>
      <c r="Z782" s="2"/>
      <c r="AA782" s="2"/>
      <c r="AB782" s="2"/>
      <c r="AC782" s="2"/>
      <c r="AD782" s="2"/>
    </row>
    <row r="783" spans="1:30" ht="12" customHeight="1">
      <c r="A783" s="828" t="s">
        <v>17477</v>
      </c>
      <c r="B783" s="3" t="s">
        <v>2877</v>
      </c>
      <c r="C783" s="1" t="s">
        <v>2885</v>
      </c>
      <c r="D783" s="5">
        <f t="shared" si="12"/>
        <v>62</v>
      </c>
      <c r="E783" s="2" t="s">
        <v>5</v>
      </c>
      <c r="F783" s="2" t="s">
        <v>15273</v>
      </c>
      <c r="G783" s="3"/>
      <c r="H783" s="1"/>
      <c r="I783" s="1"/>
      <c r="J783" s="4" t="s">
        <v>16125</v>
      </c>
      <c r="K783" s="1"/>
      <c r="L783" s="1" t="s">
        <v>14</v>
      </c>
      <c r="M783" s="825">
        <v>2</v>
      </c>
      <c r="N783" s="17">
        <v>3</v>
      </c>
      <c r="O783" s="3" t="s">
        <v>317</v>
      </c>
      <c r="P783" s="20">
        <v>18529</v>
      </c>
      <c r="Q783" s="3" t="s">
        <v>2886</v>
      </c>
      <c r="R783" s="3" t="s">
        <v>5064</v>
      </c>
      <c r="S783" s="3" t="s">
        <v>5561</v>
      </c>
      <c r="T783" s="3" t="s">
        <v>2887</v>
      </c>
      <c r="U783" s="2" t="s">
        <v>47</v>
      </c>
      <c r="V783" s="2"/>
      <c r="W783" s="2" t="s">
        <v>75</v>
      </c>
      <c r="X783" s="2" t="s">
        <v>229</v>
      </c>
      <c r="Y783" s="2"/>
      <c r="Z783" s="2"/>
      <c r="AA783" s="2"/>
      <c r="AB783" s="2"/>
      <c r="AC783" s="2"/>
      <c r="AD783" s="2"/>
    </row>
    <row r="784" spans="1:30" ht="12" customHeight="1">
      <c r="A784" s="828" t="s">
        <v>17478</v>
      </c>
      <c r="B784" s="3" t="s">
        <v>2878</v>
      </c>
      <c r="C784" s="1" t="s">
        <v>2890</v>
      </c>
      <c r="D784" s="5">
        <f t="shared" si="12"/>
        <v>41</v>
      </c>
      <c r="E784" s="2" t="s">
        <v>5</v>
      </c>
      <c r="F784" s="2" t="s">
        <v>15273</v>
      </c>
      <c r="G784" s="3"/>
      <c r="H784" s="1"/>
      <c r="I784" s="1"/>
      <c r="J784" s="4" t="s">
        <v>16116</v>
      </c>
      <c r="K784" s="1" t="s">
        <v>4997</v>
      </c>
      <c r="L784" s="1" t="s">
        <v>6</v>
      </c>
      <c r="M784" s="825"/>
      <c r="N784" s="17"/>
      <c r="O784" s="3" t="s">
        <v>317</v>
      </c>
      <c r="P784" s="20">
        <v>25923</v>
      </c>
      <c r="Q784" s="3" t="s">
        <v>2891</v>
      </c>
      <c r="R784" s="3"/>
      <c r="S784" s="3" t="s">
        <v>469</v>
      </c>
      <c r="T784" s="3" t="s">
        <v>47</v>
      </c>
      <c r="U784" s="2" t="s">
        <v>47</v>
      </c>
      <c r="V784" s="2"/>
      <c r="W784" s="2"/>
      <c r="X784" s="2"/>
      <c r="Y784" s="2"/>
      <c r="Z784" s="2"/>
      <c r="AA784" s="2"/>
      <c r="AB784" s="2"/>
      <c r="AC784" s="2"/>
      <c r="AD784" s="2"/>
    </row>
    <row r="785" spans="1:30" ht="12" customHeight="1">
      <c r="A785" s="828" t="s">
        <v>17479</v>
      </c>
      <c r="B785" s="3" t="s">
        <v>2882</v>
      </c>
      <c r="C785" s="1" t="s">
        <v>5885</v>
      </c>
      <c r="D785" s="5">
        <f t="shared" si="12"/>
        <v>64</v>
      </c>
      <c r="E785" s="2" t="s">
        <v>5</v>
      </c>
      <c r="F785" s="2"/>
      <c r="G785" s="3"/>
      <c r="H785" s="1"/>
      <c r="I785" s="1"/>
      <c r="J785" s="4" t="s">
        <v>16117</v>
      </c>
      <c r="K785" s="1"/>
      <c r="L785" s="1" t="s">
        <v>6</v>
      </c>
      <c r="M785" s="825"/>
      <c r="N785" s="17"/>
      <c r="O785" s="3" t="s">
        <v>2751</v>
      </c>
      <c r="P785" s="20">
        <v>17699</v>
      </c>
      <c r="Q785" s="3" t="s">
        <v>16021</v>
      </c>
      <c r="R785" s="3"/>
      <c r="S785" s="3"/>
      <c r="T785" s="3"/>
      <c r="U785" s="2"/>
      <c r="V785" s="2"/>
      <c r="W785" s="2"/>
      <c r="X785" s="2"/>
      <c r="Y785" s="2"/>
      <c r="Z785" s="2"/>
      <c r="AA785" s="2"/>
      <c r="AB785" s="2"/>
      <c r="AC785" s="2"/>
      <c r="AD785" s="2"/>
    </row>
    <row r="786" spans="1:30" ht="12" customHeight="1">
      <c r="A786" s="828" t="s">
        <v>17480</v>
      </c>
      <c r="B786" s="3" t="s">
        <v>2892</v>
      </c>
      <c r="C786" s="1" t="s">
        <v>2895</v>
      </c>
      <c r="D786" s="5">
        <f t="shared" si="12"/>
        <v>41</v>
      </c>
      <c r="E786" s="2" t="s">
        <v>5</v>
      </c>
      <c r="F786" s="6" t="s">
        <v>15273</v>
      </c>
      <c r="G786" s="3" t="s">
        <v>2896</v>
      </c>
      <c r="H786" s="1"/>
      <c r="I786" s="1"/>
      <c r="J786" s="8" t="s">
        <v>16126</v>
      </c>
      <c r="K786" s="1" t="s">
        <v>44</v>
      </c>
      <c r="L786" s="1" t="s">
        <v>25</v>
      </c>
      <c r="M786" s="825">
        <v>1</v>
      </c>
      <c r="N786" s="17">
        <v>1</v>
      </c>
      <c r="O786" s="3" t="s">
        <v>1493</v>
      </c>
      <c r="P786" s="20">
        <v>26036</v>
      </c>
      <c r="Q786" s="3" t="s">
        <v>2897</v>
      </c>
      <c r="R786" s="3"/>
      <c r="S786" s="3" t="s">
        <v>736</v>
      </c>
      <c r="T786" s="3"/>
      <c r="U786" s="2"/>
      <c r="V786" s="2"/>
      <c r="W786" s="2"/>
      <c r="X786" s="2"/>
      <c r="Y786" s="2"/>
      <c r="Z786" s="2"/>
      <c r="AA786" s="2"/>
      <c r="AB786" s="2"/>
      <c r="AC786" s="2"/>
      <c r="AD786" s="2"/>
    </row>
    <row r="787" spans="1:30" ht="12" customHeight="1">
      <c r="A787" s="828" t="s">
        <v>17481</v>
      </c>
      <c r="B787" s="3" t="s">
        <v>2893</v>
      </c>
      <c r="C787" s="1" t="s">
        <v>2898</v>
      </c>
      <c r="D787" s="5">
        <f t="shared" si="12"/>
        <v>54</v>
      </c>
      <c r="E787" s="2" t="s">
        <v>5</v>
      </c>
      <c r="F787" s="2" t="s">
        <v>15273</v>
      </c>
      <c r="G787" s="3"/>
      <c r="H787" s="1"/>
      <c r="I787" s="1"/>
      <c r="J787" s="4" t="s">
        <v>16120</v>
      </c>
      <c r="K787" s="1" t="s">
        <v>30</v>
      </c>
      <c r="L787" s="1" t="s">
        <v>6</v>
      </c>
      <c r="M787" s="825"/>
      <c r="N787" s="17"/>
      <c r="O787" s="3" t="s">
        <v>2899</v>
      </c>
      <c r="P787" s="21">
        <v>21356</v>
      </c>
      <c r="Q787" s="3" t="s">
        <v>2900</v>
      </c>
      <c r="R787" s="3"/>
      <c r="S787" s="3"/>
      <c r="T787" s="3" t="s">
        <v>145</v>
      </c>
      <c r="U787" s="2"/>
      <c r="V787" s="2" t="s">
        <v>145</v>
      </c>
      <c r="W787" s="2"/>
      <c r="X787" s="2"/>
      <c r="Y787" s="2"/>
      <c r="Z787" s="2"/>
      <c r="AA787" s="2"/>
      <c r="AB787" s="2"/>
      <c r="AC787" s="2"/>
      <c r="AD787" s="2"/>
    </row>
    <row r="788" spans="1:30" ht="12" customHeight="1">
      <c r="A788" s="828" t="s">
        <v>17482</v>
      </c>
      <c r="B788" s="3" t="s">
        <v>2894</v>
      </c>
      <c r="C788" s="1" t="s">
        <v>1807</v>
      </c>
      <c r="D788" s="5">
        <f t="shared" si="12"/>
        <v>68</v>
      </c>
      <c r="E788" s="2" t="s">
        <v>5</v>
      </c>
      <c r="F788" s="2" t="s">
        <v>15273</v>
      </c>
      <c r="G788" s="3" t="s">
        <v>1808</v>
      </c>
      <c r="H788" s="1"/>
      <c r="I788" s="1"/>
      <c r="J788" s="4" t="s">
        <v>16125</v>
      </c>
      <c r="K788" s="1"/>
      <c r="L788" s="1" t="s">
        <v>25</v>
      </c>
      <c r="M788" s="825">
        <v>5</v>
      </c>
      <c r="N788" s="17">
        <v>5</v>
      </c>
      <c r="O788" s="3" t="s">
        <v>1809</v>
      </c>
      <c r="P788" s="20">
        <v>16072</v>
      </c>
      <c r="Q788" s="3" t="s">
        <v>1810</v>
      </c>
      <c r="R788" s="3" t="s">
        <v>5458</v>
      </c>
      <c r="S788" s="3" t="s">
        <v>5561</v>
      </c>
      <c r="T788" s="3" t="s">
        <v>47</v>
      </c>
      <c r="U788" s="2" t="s">
        <v>47</v>
      </c>
      <c r="V788" s="2"/>
      <c r="W788" s="2"/>
      <c r="X788" s="2"/>
      <c r="Y788" s="2"/>
      <c r="Z788" s="2"/>
      <c r="AA788" s="3"/>
      <c r="AB788" s="3"/>
      <c r="AC788" s="3"/>
      <c r="AD788" s="3"/>
    </row>
    <row r="789" spans="1:30" ht="12" customHeight="1">
      <c r="A789" s="828" t="s">
        <v>17483</v>
      </c>
      <c r="B789" s="3" t="s">
        <v>5787</v>
      </c>
      <c r="C789" s="1" t="s">
        <v>5888</v>
      </c>
      <c r="D789" s="5">
        <f t="shared" si="12"/>
        <v>58</v>
      </c>
      <c r="E789" s="2" t="s">
        <v>5</v>
      </c>
      <c r="F789" s="2"/>
      <c r="G789" s="3"/>
      <c r="H789" s="1"/>
      <c r="I789" s="1"/>
      <c r="J789" s="4" t="s">
        <v>16117</v>
      </c>
      <c r="K789" s="1"/>
      <c r="L789" s="1" t="s">
        <v>6</v>
      </c>
      <c r="M789" s="825"/>
      <c r="N789" s="17"/>
      <c r="O789" s="3" t="s">
        <v>16022</v>
      </c>
      <c r="P789" s="20">
        <v>19863</v>
      </c>
      <c r="Q789" s="3" t="s">
        <v>364</v>
      </c>
      <c r="R789" s="3"/>
      <c r="S789" s="3"/>
      <c r="T789" s="3"/>
      <c r="U789" s="2"/>
      <c r="V789" s="2"/>
      <c r="W789" s="2"/>
      <c r="X789" s="2"/>
      <c r="Y789" s="2"/>
      <c r="Z789" s="2"/>
      <c r="AA789" s="2"/>
      <c r="AB789" s="2"/>
      <c r="AC789" s="2"/>
      <c r="AD789" s="2"/>
    </row>
    <row r="790" spans="1:30" ht="12" customHeight="1">
      <c r="A790" s="828" t="s">
        <v>17484</v>
      </c>
      <c r="B790" s="3" t="s">
        <v>2901</v>
      </c>
      <c r="C790" s="1" t="s">
        <v>2995</v>
      </c>
      <c r="D790" s="5">
        <f t="shared" si="12"/>
        <v>47</v>
      </c>
      <c r="E790" s="2" t="s">
        <v>19</v>
      </c>
      <c r="F790" s="6" t="s">
        <v>15273</v>
      </c>
      <c r="G790" s="3" t="s">
        <v>5062</v>
      </c>
      <c r="H790" s="1"/>
      <c r="I790" s="1"/>
      <c r="J790" s="8" t="s">
        <v>16127</v>
      </c>
      <c r="K790" s="1" t="s">
        <v>44</v>
      </c>
      <c r="L790" s="1" t="s">
        <v>25</v>
      </c>
      <c r="M790" s="825">
        <v>1</v>
      </c>
      <c r="N790" s="17">
        <v>1</v>
      </c>
      <c r="O790" s="3" t="s">
        <v>2996</v>
      </c>
      <c r="P790" s="20">
        <v>24030</v>
      </c>
      <c r="Q790" s="3" t="s">
        <v>2997</v>
      </c>
      <c r="R790" s="3"/>
      <c r="S790" s="3"/>
      <c r="T790" s="3"/>
      <c r="U790" s="2"/>
      <c r="V790" s="2"/>
      <c r="W790" s="2"/>
      <c r="X790" s="2"/>
      <c r="Y790" s="2"/>
      <c r="Z790" s="2"/>
      <c r="AA790" s="2"/>
      <c r="AB790" s="2"/>
      <c r="AC790" s="2"/>
      <c r="AD790" s="2"/>
    </row>
    <row r="791" spans="1:30" ht="12" customHeight="1">
      <c r="A791" s="828" t="s">
        <v>17485</v>
      </c>
      <c r="B791" s="3" t="s">
        <v>2902</v>
      </c>
      <c r="C791" s="1" t="s">
        <v>2905</v>
      </c>
      <c r="D791" s="5">
        <f t="shared" si="12"/>
        <v>28</v>
      </c>
      <c r="E791" s="2" t="s">
        <v>5</v>
      </c>
      <c r="F791" s="2" t="s">
        <v>15273</v>
      </c>
      <c r="G791" s="3"/>
      <c r="H791" s="1"/>
      <c r="I791" s="1"/>
      <c r="J791" s="8" t="s">
        <v>16120</v>
      </c>
      <c r="K791" s="1" t="s">
        <v>30</v>
      </c>
      <c r="L791" s="1" t="s">
        <v>6</v>
      </c>
      <c r="M791" s="825"/>
      <c r="N791" s="17"/>
      <c r="O791" s="3" t="s">
        <v>2906</v>
      </c>
      <c r="P791" s="20">
        <v>30730</v>
      </c>
      <c r="Q791" s="3" t="s">
        <v>2907</v>
      </c>
      <c r="R791" s="3"/>
      <c r="S791" s="3"/>
      <c r="T791" s="3"/>
      <c r="U791" s="2"/>
      <c r="V791" s="2"/>
      <c r="W791" s="2"/>
      <c r="X791" s="2"/>
      <c r="Y791" s="2"/>
      <c r="Z791" s="2"/>
      <c r="AA791" s="2"/>
      <c r="AB791" s="2"/>
      <c r="AC791" s="2"/>
      <c r="AD791" s="2"/>
    </row>
    <row r="792" spans="1:30" ht="12" customHeight="1">
      <c r="A792" s="828" t="s">
        <v>17486</v>
      </c>
      <c r="B792" s="3" t="s">
        <v>2903</v>
      </c>
      <c r="C792" s="1" t="s">
        <v>2908</v>
      </c>
      <c r="D792" s="5">
        <f t="shared" si="12"/>
        <v>69</v>
      </c>
      <c r="E792" s="2" t="s">
        <v>5</v>
      </c>
      <c r="F792" s="2" t="s">
        <v>15273</v>
      </c>
      <c r="G792" s="3" t="s">
        <v>2909</v>
      </c>
      <c r="H792" s="1"/>
      <c r="I792" s="1"/>
      <c r="J792" s="4" t="s">
        <v>16125</v>
      </c>
      <c r="K792" s="1"/>
      <c r="L792" s="1" t="s">
        <v>25</v>
      </c>
      <c r="M792" s="825">
        <v>3</v>
      </c>
      <c r="N792" s="17">
        <v>3</v>
      </c>
      <c r="O792" s="3" t="s">
        <v>172</v>
      </c>
      <c r="P792" s="20">
        <v>16024</v>
      </c>
      <c r="Q792" s="3" t="s">
        <v>2911</v>
      </c>
      <c r="R792" s="3" t="s">
        <v>16693</v>
      </c>
      <c r="S792" s="3" t="s">
        <v>5561</v>
      </c>
      <c r="T792" s="3" t="s">
        <v>371</v>
      </c>
      <c r="U792" s="2"/>
      <c r="V792" s="2" t="s">
        <v>145</v>
      </c>
      <c r="W792" s="2" t="s">
        <v>75</v>
      </c>
      <c r="X792" s="2"/>
      <c r="Y792" s="2"/>
      <c r="Z792" s="2"/>
      <c r="AA792" s="2"/>
      <c r="AB792" s="2"/>
      <c r="AC792" s="2"/>
      <c r="AD792" s="2"/>
    </row>
    <row r="793" spans="1:30" ht="12" customHeight="1">
      <c r="A793" s="828" t="s">
        <v>17487</v>
      </c>
      <c r="B793" s="3" t="s">
        <v>2904</v>
      </c>
      <c r="C793" s="1" t="s">
        <v>4025</v>
      </c>
      <c r="D793" s="5">
        <f t="shared" si="12"/>
        <v>54</v>
      </c>
      <c r="E793" s="2" t="s">
        <v>5</v>
      </c>
      <c r="F793" s="2"/>
      <c r="G793" s="3"/>
      <c r="H793" s="1"/>
      <c r="I793" s="1"/>
      <c r="J793" s="4" t="s">
        <v>16117</v>
      </c>
      <c r="K793" s="1"/>
      <c r="L793" s="1" t="s">
        <v>6</v>
      </c>
      <c r="M793" s="825"/>
      <c r="N793" s="17"/>
      <c r="O793" s="3" t="s">
        <v>5886</v>
      </c>
      <c r="P793" s="21">
        <v>21465</v>
      </c>
      <c r="Q793" s="3" t="s">
        <v>5887</v>
      </c>
      <c r="R793" s="3"/>
      <c r="S793" s="3"/>
      <c r="T793" s="3"/>
      <c r="U793" s="2"/>
      <c r="V793" s="2"/>
      <c r="W793" s="2"/>
      <c r="X793" s="2"/>
      <c r="Y793" s="2"/>
      <c r="Z793" s="2"/>
      <c r="AA793" s="2"/>
      <c r="AB793" s="2"/>
      <c r="AC793" s="2"/>
      <c r="AD793" s="2"/>
    </row>
    <row r="794" spans="1:30" ht="12" customHeight="1">
      <c r="A794" s="828" t="s">
        <v>17488</v>
      </c>
      <c r="B794" s="3" t="s">
        <v>2913</v>
      </c>
      <c r="C794" s="1" t="s">
        <v>2917</v>
      </c>
      <c r="D794" s="5">
        <f t="shared" si="12"/>
        <v>46</v>
      </c>
      <c r="E794" s="2" t="s">
        <v>5</v>
      </c>
      <c r="F794" s="6" t="s">
        <v>15273</v>
      </c>
      <c r="G794" s="3" t="s">
        <v>2918</v>
      </c>
      <c r="H794" s="1"/>
      <c r="I794" s="1"/>
      <c r="J794" s="8" t="s">
        <v>16127</v>
      </c>
      <c r="K794" s="1" t="s">
        <v>44</v>
      </c>
      <c r="L794" s="1" t="s">
        <v>25</v>
      </c>
      <c r="M794" s="825">
        <v>1</v>
      </c>
      <c r="N794" s="17">
        <v>1</v>
      </c>
      <c r="O794" s="3" t="s">
        <v>317</v>
      </c>
      <c r="P794" s="20">
        <v>24274</v>
      </c>
      <c r="Q794" s="3" t="s">
        <v>2919</v>
      </c>
      <c r="R794" s="3"/>
      <c r="S794" s="3" t="s">
        <v>736</v>
      </c>
      <c r="T794" s="3"/>
      <c r="U794" s="2"/>
      <c r="V794" s="2"/>
      <c r="W794" s="2"/>
      <c r="X794" s="2"/>
      <c r="Y794" s="2"/>
      <c r="Z794" s="2"/>
      <c r="AA794" s="2"/>
      <c r="AB794" s="2"/>
      <c r="AC794" s="2"/>
      <c r="AD794" s="2"/>
    </row>
    <row r="795" spans="1:30" ht="12" customHeight="1">
      <c r="A795" s="828" t="s">
        <v>17489</v>
      </c>
      <c r="B795" s="3" t="s">
        <v>2914</v>
      </c>
      <c r="C795" s="1" t="s">
        <v>2920</v>
      </c>
      <c r="D795" s="5">
        <f t="shared" si="12"/>
        <v>47</v>
      </c>
      <c r="E795" s="2" t="s">
        <v>5</v>
      </c>
      <c r="F795" s="2" t="s">
        <v>15273</v>
      </c>
      <c r="G795" s="3"/>
      <c r="H795" s="1"/>
      <c r="I795" s="1"/>
      <c r="J795" s="4" t="s">
        <v>16120</v>
      </c>
      <c r="K795" s="1" t="s">
        <v>48</v>
      </c>
      <c r="L795" s="1" t="s">
        <v>6</v>
      </c>
      <c r="M795" s="825"/>
      <c r="N795" s="17"/>
      <c r="O795" s="3" t="s">
        <v>447</v>
      </c>
      <c r="P795" s="20">
        <v>23794</v>
      </c>
      <c r="Q795" s="3" t="s">
        <v>2922</v>
      </c>
      <c r="R795" s="3"/>
      <c r="S795" s="3"/>
      <c r="T795" s="3" t="s">
        <v>145</v>
      </c>
      <c r="U795" s="2"/>
      <c r="V795" s="2" t="s">
        <v>145</v>
      </c>
      <c r="W795" s="2"/>
      <c r="X795" s="2"/>
      <c r="Y795" s="2"/>
      <c r="Z795" s="2"/>
      <c r="AA795" s="2"/>
      <c r="AB795" s="2"/>
      <c r="AC795" s="2"/>
      <c r="AD795" s="2"/>
    </row>
    <row r="796" spans="1:30" ht="12" customHeight="1">
      <c r="A796" s="828" t="s">
        <v>17490</v>
      </c>
      <c r="B796" s="3" t="s">
        <v>2915</v>
      </c>
      <c r="C796" s="1" t="s">
        <v>5414</v>
      </c>
      <c r="D796" s="5">
        <f t="shared" si="12"/>
        <v>47</v>
      </c>
      <c r="E796" s="2" t="s">
        <v>5</v>
      </c>
      <c r="F796" s="2" t="s">
        <v>15273</v>
      </c>
      <c r="G796" s="3"/>
      <c r="H796" s="1"/>
      <c r="I796" s="1"/>
      <c r="J796" s="4" t="s">
        <v>16116</v>
      </c>
      <c r="K796" s="1" t="s">
        <v>4422</v>
      </c>
      <c r="L796" s="1" t="s">
        <v>6</v>
      </c>
      <c r="M796" s="825"/>
      <c r="N796" s="17"/>
      <c r="O796" s="3" t="s">
        <v>317</v>
      </c>
      <c r="P796" s="20">
        <v>23743</v>
      </c>
      <c r="Q796" s="3" t="s">
        <v>727</v>
      </c>
      <c r="R796" s="3"/>
      <c r="S796" s="3" t="s">
        <v>469</v>
      </c>
      <c r="T796" s="3" t="s">
        <v>3181</v>
      </c>
      <c r="U796" s="2"/>
      <c r="V796" s="2"/>
      <c r="W796" s="2"/>
      <c r="X796" s="2"/>
      <c r="Y796" s="2"/>
      <c r="Z796" s="2"/>
      <c r="AA796" s="2" t="s">
        <v>104</v>
      </c>
      <c r="AB796" s="2" t="s">
        <v>147</v>
      </c>
      <c r="AC796" s="2"/>
      <c r="AD796" s="2"/>
    </row>
    <row r="797" spans="1:30" ht="12" customHeight="1">
      <c r="A797" s="828" t="s">
        <v>17491</v>
      </c>
      <c r="B797" s="3" t="s">
        <v>2916</v>
      </c>
      <c r="C797" s="1" t="s">
        <v>2923</v>
      </c>
      <c r="D797" s="5">
        <f t="shared" si="12"/>
        <v>36</v>
      </c>
      <c r="E797" s="2" t="s">
        <v>5</v>
      </c>
      <c r="F797" s="2"/>
      <c r="G797" s="3"/>
      <c r="H797" s="1"/>
      <c r="I797" s="1"/>
      <c r="J797" s="4" t="s">
        <v>16117</v>
      </c>
      <c r="K797" s="1"/>
      <c r="L797" s="1" t="s">
        <v>6</v>
      </c>
      <c r="M797" s="825"/>
      <c r="N797" s="17"/>
      <c r="O797" s="3" t="s">
        <v>2924</v>
      </c>
      <c r="P797" s="20">
        <v>27774</v>
      </c>
      <c r="Q797" s="3" t="s">
        <v>2925</v>
      </c>
      <c r="R797" s="3"/>
      <c r="S797" s="3"/>
      <c r="T797" s="3"/>
      <c r="U797" s="2"/>
      <c r="V797" s="2"/>
      <c r="W797" s="2"/>
      <c r="X797" s="2"/>
      <c r="Y797" s="2"/>
      <c r="Z797" s="2"/>
      <c r="AA797" s="2"/>
      <c r="AB797" s="2"/>
      <c r="AC797" s="2"/>
      <c r="AD797" s="2"/>
    </row>
    <row r="798" spans="1:30" ht="12" customHeight="1">
      <c r="A798" s="828" t="s">
        <v>17492</v>
      </c>
      <c r="B798" s="3" t="s">
        <v>5413</v>
      </c>
      <c r="C798" s="1" t="s">
        <v>2927</v>
      </c>
      <c r="D798" s="5">
        <f t="shared" si="12"/>
        <v>63</v>
      </c>
      <c r="E798" s="2" t="s">
        <v>19</v>
      </c>
      <c r="F798" s="2" t="s">
        <v>15273</v>
      </c>
      <c r="G798" s="3"/>
      <c r="H798" s="1"/>
      <c r="I798" s="1"/>
      <c r="J798" s="4" t="s">
        <v>16121</v>
      </c>
      <c r="K798" s="1"/>
      <c r="L798" s="1" t="s">
        <v>6</v>
      </c>
      <c r="M798" s="825"/>
      <c r="N798" s="17"/>
      <c r="O798" s="3" t="s">
        <v>2926</v>
      </c>
      <c r="P798" s="21">
        <v>17914</v>
      </c>
      <c r="Q798" s="3" t="s">
        <v>2921</v>
      </c>
      <c r="R798" s="3"/>
      <c r="S798" s="3"/>
      <c r="T798" s="3" t="s">
        <v>145</v>
      </c>
      <c r="U798" s="2"/>
      <c r="V798" s="2" t="s">
        <v>145</v>
      </c>
      <c r="W798" s="2"/>
      <c r="X798" s="2"/>
      <c r="Y798" s="2"/>
      <c r="Z798" s="2"/>
      <c r="AA798" s="2"/>
      <c r="AB798" s="2"/>
      <c r="AC798" s="2"/>
      <c r="AD798" s="2"/>
    </row>
    <row r="799" spans="1:30" ht="12" customHeight="1">
      <c r="A799" s="828" t="s">
        <v>17493</v>
      </c>
      <c r="B799" s="3" t="s">
        <v>5812</v>
      </c>
      <c r="C799" s="1" t="s">
        <v>5813</v>
      </c>
      <c r="D799" s="5">
        <f t="shared" si="12"/>
        <v>61</v>
      </c>
      <c r="E799" s="2" t="s">
        <v>5</v>
      </c>
      <c r="F799" s="2"/>
      <c r="G799" s="3"/>
      <c r="H799" s="1"/>
      <c r="I799" s="1"/>
      <c r="J799" s="4" t="s">
        <v>16129</v>
      </c>
      <c r="K799" s="1"/>
      <c r="L799" s="1" t="s">
        <v>14</v>
      </c>
      <c r="M799" s="825">
        <v>1</v>
      </c>
      <c r="N799" s="17">
        <v>1</v>
      </c>
      <c r="O799" s="3" t="s">
        <v>381</v>
      </c>
      <c r="P799" s="21">
        <v>18837</v>
      </c>
      <c r="Q799" s="3" t="s">
        <v>5815</v>
      </c>
      <c r="R799" s="3"/>
      <c r="S799" s="3"/>
      <c r="T799" s="3" t="s">
        <v>145</v>
      </c>
      <c r="U799" s="2"/>
      <c r="V799" s="2" t="s">
        <v>145</v>
      </c>
      <c r="W799" s="2"/>
      <c r="X799" s="2"/>
      <c r="Y799" s="2"/>
      <c r="Z799" s="2"/>
      <c r="AA799" s="2"/>
      <c r="AB799" s="2"/>
      <c r="AC799" s="2"/>
      <c r="AD799" s="2"/>
    </row>
    <row r="800" spans="1:30" ht="12" customHeight="1">
      <c r="A800" s="828" t="s">
        <v>17494</v>
      </c>
      <c r="B800" s="3" t="s">
        <v>2929</v>
      </c>
      <c r="C800" s="1" t="s">
        <v>5752</v>
      </c>
      <c r="D800" s="5">
        <f t="shared" si="12"/>
        <v>44</v>
      </c>
      <c r="E800" s="2" t="s">
        <v>19</v>
      </c>
      <c r="F800" s="6" t="s">
        <v>15273</v>
      </c>
      <c r="G800" s="3"/>
      <c r="H800" s="1"/>
      <c r="I800" s="1"/>
      <c r="J800" s="8" t="s">
        <v>16126</v>
      </c>
      <c r="K800" s="1" t="s">
        <v>44</v>
      </c>
      <c r="L800" s="1" t="s">
        <v>6</v>
      </c>
      <c r="M800" s="825"/>
      <c r="N800" s="17"/>
      <c r="O800" s="3" t="s">
        <v>5834</v>
      </c>
      <c r="P800" s="20">
        <v>24916</v>
      </c>
      <c r="Q800" s="3" t="s">
        <v>5835</v>
      </c>
      <c r="R800" s="3"/>
      <c r="S800" s="3"/>
      <c r="T800" s="3"/>
      <c r="U800" s="2"/>
      <c r="V800" s="2"/>
      <c r="W800" s="2"/>
      <c r="X800" s="2"/>
      <c r="Y800" s="2"/>
      <c r="Z800" s="2"/>
      <c r="AA800" s="2"/>
      <c r="AB800" s="2"/>
      <c r="AC800" s="2"/>
      <c r="AD800" s="2"/>
    </row>
    <row r="801" spans="1:30" ht="12" customHeight="1">
      <c r="A801" s="828" t="s">
        <v>17495</v>
      </c>
      <c r="B801" s="3" t="s">
        <v>2930</v>
      </c>
      <c r="C801" s="1" t="s">
        <v>2934</v>
      </c>
      <c r="D801" s="5">
        <f t="shared" si="12"/>
        <v>65</v>
      </c>
      <c r="E801" s="2" t="s">
        <v>5</v>
      </c>
      <c r="F801" s="2" t="s">
        <v>15273</v>
      </c>
      <c r="G801" s="3" t="s">
        <v>2935</v>
      </c>
      <c r="H801" s="1"/>
      <c r="I801" s="1"/>
      <c r="J801" s="4" t="s">
        <v>16120</v>
      </c>
      <c r="K801" s="1" t="s">
        <v>30</v>
      </c>
      <c r="L801" s="1" t="s">
        <v>25</v>
      </c>
      <c r="M801" s="825">
        <v>9</v>
      </c>
      <c r="N801" s="17">
        <v>9</v>
      </c>
      <c r="O801" s="3" t="s">
        <v>31</v>
      </c>
      <c r="P801" s="20">
        <v>17486</v>
      </c>
      <c r="Q801" s="3" t="s">
        <v>2936</v>
      </c>
      <c r="R801" s="3" t="s">
        <v>2938</v>
      </c>
      <c r="S801" s="3" t="s">
        <v>5457</v>
      </c>
      <c r="T801" s="3" t="s">
        <v>104</v>
      </c>
      <c r="U801" s="2"/>
      <c r="V801" s="2"/>
      <c r="W801" s="2"/>
      <c r="X801" s="2"/>
      <c r="Y801" s="2"/>
      <c r="Z801" s="2"/>
      <c r="AA801" s="2" t="s">
        <v>104</v>
      </c>
      <c r="AB801" s="2"/>
      <c r="AC801" s="2"/>
      <c r="AD801" s="2"/>
    </row>
    <row r="802" spans="1:30" ht="12" customHeight="1">
      <c r="A802" s="828" t="s">
        <v>17496</v>
      </c>
      <c r="B802" s="3" t="s">
        <v>2931</v>
      </c>
      <c r="C802" s="1" t="s">
        <v>5214</v>
      </c>
      <c r="D802" s="5">
        <f t="shared" si="12"/>
        <v>58</v>
      </c>
      <c r="E802" s="2" t="s">
        <v>5</v>
      </c>
      <c r="F802" s="2" t="s">
        <v>15273</v>
      </c>
      <c r="G802" s="3"/>
      <c r="H802" s="1"/>
      <c r="I802" s="1"/>
      <c r="J802" s="4" t="s">
        <v>16116</v>
      </c>
      <c r="K802" s="1" t="s">
        <v>4422</v>
      </c>
      <c r="L802" s="1" t="s">
        <v>6</v>
      </c>
      <c r="M802" s="825"/>
      <c r="N802" s="17"/>
      <c r="O802" s="3" t="s">
        <v>5215</v>
      </c>
      <c r="P802" s="20">
        <v>19852</v>
      </c>
      <c r="Q802" s="3" t="s">
        <v>5216</v>
      </c>
      <c r="R802" s="3"/>
      <c r="S802" s="3"/>
      <c r="T802" s="3" t="s">
        <v>371</v>
      </c>
      <c r="U802" s="2"/>
      <c r="V802" s="2" t="s">
        <v>145</v>
      </c>
      <c r="W802" s="2" t="s">
        <v>75</v>
      </c>
      <c r="X802" s="2"/>
      <c r="Y802" s="2"/>
      <c r="Z802" s="2"/>
      <c r="AA802" s="2"/>
      <c r="AB802" s="2"/>
      <c r="AC802" s="2"/>
      <c r="AD802" s="2"/>
    </row>
    <row r="803" spans="1:30" ht="12" customHeight="1">
      <c r="A803" s="828" t="s">
        <v>17497</v>
      </c>
      <c r="B803" s="3" t="s">
        <v>2932</v>
      </c>
      <c r="C803" s="1" t="s">
        <v>2939</v>
      </c>
      <c r="D803" s="5">
        <f t="shared" si="12"/>
        <v>60</v>
      </c>
      <c r="E803" s="2" t="s">
        <v>19</v>
      </c>
      <c r="F803" s="2"/>
      <c r="G803" s="3"/>
      <c r="H803" s="1"/>
      <c r="I803" s="1"/>
      <c r="J803" s="4" t="s">
        <v>16117</v>
      </c>
      <c r="K803" s="1"/>
      <c r="L803" s="1" t="s">
        <v>6</v>
      </c>
      <c r="M803" s="825"/>
      <c r="N803" s="17"/>
      <c r="O803" s="3" t="s">
        <v>2940</v>
      </c>
      <c r="P803" s="20">
        <v>19120</v>
      </c>
      <c r="Q803" s="3" t="s">
        <v>2941</v>
      </c>
      <c r="R803" s="3"/>
      <c r="S803" s="3"/>
      <c r="T803" s="3" t="s">
        <v>145</v>
      </c>
      <c r="U803" s="2"/>
      <c r="V803" s="2" t="s">
        <v>145</v>
      </c>
      <c r="W803" s="2"/>
      <c r="X803" s="2"/>
      <c r="Y803" s="2"/>
      <c r="Z803" s="2"/>
      <c r="AA803" s="2"/>
      <c r="AB803" s="2"/>
      <c r="AC803" s="2"/>
      <c r="AD803" s="2"/>
    </row>
    <row r="804" spans="1:30" ht="12" customHeight="1">
      <c r="A804" s="828" t="s">
        <v>17498</v>
      </c>
      <c r="B804" s="3" t="s">
        <v>2943</v>
      </c>
      <c r="C804" s="1" t="s">
        <v>2946</v>
      </c>
      <c r="D804" s="5">
        <f t="shared" si="12"/>
        <v>62</v>
      </c>
      <c r="E804" s="2" t="s">
        <v>5</v>
      </c>
      <c r="F804" s="6" t="s">
        <v>15273</v>
      </c>
      <c r="G804" s="3" t="s">
        <v>2947</v>
      </c>
      <c r="H804" s="1"/>
      <c r="I804" s="1"/>
      <c r="J804" s="8" t="s">
        <v>16127</v>
      </c>
      <c r="K804" s="1" t="s">
        <v>604</v>
      </c>
      <c r="L804" s="1" t="s">
        <v>25</v>
      </c>
      <c r="M804" s="825">
        <v>5</v>
      </c>
      <c r="N804" s="17">
        <v>5</v>
      </c>
      <c r="O804" s="3" t="s">
        <v>1551</v>
      </c>
      <c r="P804" s="20">
        <v>18424</v>
      </c>
      <c r="Q804" s="3" t="s">
        <v>2948</v>
      </c>
      <c r="R804" s="3" t="s">
        <v>2949</v>
      </c>
      <c r="S804" s="3" t="s">
        <v>736</v>
      </c>
      <c r="T804" s="3" t="s">
        <v>145</v>
      </c>
      <c r="U804" s="2"/>
      <c r="V804" s="2" t="s">
        <v>145</v>
      </c>
      <c r="W804" s="2"/>
      <c r="X804" s="2"/>
      <c r="Y804" s="2"/>
      <c r="Z804" s="2"/>
      <c r="AA804" s="2"/>
      <c r="AB804" s="2"/>
      <c r="AC804" s="2"/>
      <c r="AD804" s="2"/>
    </row>
    <row r="805" spans="1:30" ht="12" customHeight="1">
      <c r="A805" s="828" t="s">
        <v>17499</v>
      </c>
      <c r="B805" s="3" t="s">
        <v>2944</v>
      </c>
      <c r="C805" s="1" t="s">
        <v>2950</v>
      </c>
      <c r="D805" s="5">
        <f t="shared" si="12"/>
        <v>42</v>
      </c>
      <c r="E805" s="2" t="s">
        <v>5</v>
      </c>
      <c r="F805" s="2" t="s">
        <v>15273</v>
      </c>
      <c r="G805" s="3"/>
      <c r="H805" s="1"/>
      <c r="I805" s="1"/>
      <c r="J805" s="8" t="s">
        <v>16120</v>
      </c>
      <c r="K805" s="1" t="s">
        <v>30</v>
      </c>
      <c r="L805" s="1" t="s">
        <v>6</v>
      </c>
      <c r="M805" s="825"/>
      <c r="N805" s="17"/>
      <c r="O805" s="3" t="s">
        <v>2951</v>
      </c>
      <c r="P805" s="20">
        <v>25696</v>
      </c>
      <c r="Q805" s="3" t="s">
        <v>2954</v>
      </c>
      <c r="R805" s="3"/>
      <c r="S805" s="3"/>
      <c r="T805" s="3"/>
      <c r="U805" s="2"/>
      <c r="V805" s="2"/>
      <c r="W805" s="2"/>
      <c r="X805" s="2"/>
      <c r="Y805" s="2"/>
      <c r="Z805" s="2"/>
      <c r="AA805" s="2"/>
      <c r="AB805" s="2"/>
      <c r="AC805" s="2"/>
      <c r="AD805" s="2"/>
    </row>
    <row r="806" spans="1:30" ht="12" customHeight="1">
      <c r="A806" s="828" t="s">
        <v>17500</v>
      </c>
      <c r="B806" s="3" t="s">
        <v>2945</v>
      </c>
      <c r="C806" s="1" t="s">
        <v>5416</v>
      </c>
      <c r="D806" s="5">
        <f t="shared" si="12"/>
        <v>45</v>
      </c>
      <c r="E806" s="2" t="s">
        <v>5</v>
      </c>
      <c r="F806" s="2" t="s">
        <v>15273</v>
      </c>
      <c r="G806" s="3"/>
      <c r="H806" s="1"/>
      <c r="I806" s="1"/>
      <c r="J806" s="4" t="s">
        <v>16116</v>
      </c>
      <c r="K806" s="1" t="s">
        <v>4997</v>
      </c>
      <c r="L806" s="1" t="s">
        <v>6</v>
      </c>
      <c r="M806" s="825"/>
      <c r="N806" s="17"/>
      <c r="O806" s="3" t="s">
        <v>31</v>
      </c>
      <c r="P806" s="20">
        <v>24667</v>
      </c>
      <c r="Q806" s="3" t="s">
        <v>3010</v>
      </c>
      <c r="R806" s="3"/>
      <c r="S806" s="3" t="s">
        <v>469</v>
      </c>
      <c r="T806" s="3"/>
      <c r="U806" s="2"/>
      <c r="V806" s="2"/>
      <c r="W806" s="2"/>
      <c r="X806" s="2"/>
      <c r="Y806" s="2"/>
      <c r="Z806" s="2"/>
      <c r="AA806" s="2"/>
      <c r="AB806" s="2"/>
      <c r="AC806" s="2"/>
      <c r="AD806" s="2"/>
    </row>
    <row r="807" spans="1:30" ht="12" customHeight="1">
      <c r="A807" s="828" t="s">
        <v>17501</v>
      </c>
      <c r="B807" s="3" t="s">
        <v>5415</v>
      </c>
      <c r="C807" s="1" t="s">
        <v>2952</v>
      </c>
      <c r="D807" s="5">
        <f t="shared" si="12"/>
        <v>38</v>
      </c>
      <c r="E807" s="2" t="s">
        <v>5</v>
      </c>
      <c r="F807" s="2"/>
      <c r="G807" s="3"/>
      <c r="H807" s="1"/>
      <c r="I807" s="1"/>
      <c r="J807" s="4" t="s">
        <v>16117</v>
      </c>
      <c r="K807" s="1"/>
      <c r="L807" s="1" t="s">
        <v>6</v>
      </c>
      <c r="M807" s="825"/>
      <c r="N807" s="17"/>
      <c r="O807" s="3" t="s">
        <v>2953</v>
      </c>
      <c r="P807" s="20">
        <v>27194</v>
      </c>
      <c r="Q807" s="3" t="s">
        <v>2955</v>
      </c>
      <c r="R807" s="3"/>
      <c r="S807" s="3"/>
      <c r="T807" s="3"/>
      <c r="U807" s="2"/>
      <c r="V807" s="2"/>
      <c r="W807" s="2"/>
      <c r="X807" s="2"/>
      <c r="Y807" s="2"/>
      <c r="Z807" s="2"/>
      <c r="AA807" s="2"/>
      <c r="AB807" s="2"/>
      <c r="AC807" s="2"/>
      <c r="AD807" s="2"/>
    </row>
    <row r="808" spans="1:30" ht="12" customHeight="1">
      <c r="A808" s="828" t="s">
        <v>17502</v>
      </c>
      <c r="B808" s="3" t="s">
        <v>16023</v>
      </c>
      <c r="C808" s="1" t="s">
        <v>16024</v>
      </c>
      <c r="D808" s="5">
        <f t="shared" si="12"/>
        <v>65</v>
      </c>
      <c r="E808" s="2" t="s">
        <v>5</v>
      </c>
      <c r="F808" s="2"/>
      <c r="G808" s="3"/>
      <c r="H808" s="1"/>
      <c r="I808" s="1"/>
      <c r="J808" s="4" t="s">
        <v>16129</v>
      </c>
      <c r="K808" s="1"/>
      <c r="L808" s="1" t="s">
        <v>6</v>
      </c>
      <c r="M808" s="825"/>
      <c r="N808" s="17"/>
      <c r="O808" s="3" t="s">
        <v>16025</v>
      </c>
      <c r="P808" s="20">
        <v>17244</v>
      </c>
      <c r="Q808" s="3" t="s">
        <v>16026</v>
      </c>
      <c r="R808" s="3"/>
      <c r="S808" s="3"/>
      <c r="T808" s="3"/>
      <c r="U808" s="2"/>
      <c r="V808" s="2"/>
      <c r="W808" s="2"/>
      <c r="X808" s="2"/>
      <c r="Y808" s="2"/>
      <c r="Z808" s="2"/>
      <c r="AA808" s="2"/>
      <c r="AB808" s="2"/>
      <c r="AC808" s="2"/>
      <c r="AD808" s="2"/>
    </row>
    <row r="809" spans="1:30" ht="12" customHeight="1">
      <c r="A809" s="828" t="s">
        <v>17503</v>
      </c>
      <c r="B809" s="3" t="s">
        <v>2956</v>
      </c>
      <c r="C809" s="1" t="s">
        <v>2959</v>
      </c>
      <c r="D809" s="5">
        <f t="shared" si="12"/>
        <v>59</v>
      </c>
      <c r="E809" s="2" t="s">
        <v>5</v>
      </c>
      <c r="F809" s="6" t="s">
        <v>15273</v>
      </c>
      <c r="G809" s="3" t="s">
        <v>2960</v>
      </c>
      <c r="H809" s="1"/>
      <c r="I809" s="1"/>
      <c r="J809" s="8" t="s">
        <v>16127</v>
      </c>
      <c r="K809" s="1" t="s">
        <v>604</v>
      </c>
      <c r="L809" s="1" t="s">
        <v>25</v>
      </c>
      <c r="M809" s="825">
        <v>7</v>
      </c>
      <c r="N809" s="17">
        <v>7</v>
      </c>
      <c r="O809" s="3" t="s">
        <v>317</v>
      </c>
      <c r="P809" s="20">
        <v>19554</v>
      </c>
      <c r="Q809" s="3" t="s">
        <v>2962</v>
      </c>
      <c r="R809" s="3" t="s">
        <v>2963</v>
      </c>
      <c r="S809" s="3"/>
      <c r="T809" s="3" t="s">
        <v>355</v>
      </c>
      <c r="U809" s="2" t="s">
        <v>47</v>
      </c>
      <c r="V809" s="2"/>
      <c r="W809" s="2"/>
      <c r="X809" s="2"/>
      <c r="Y809" s="2"/>
      <c r="Z809" s="2"/>
      <c r="AA809" s="2" t="s">
        <v>104</v>
      </c>
      <c r="AB809" s="2"/>
      <c r="AC809" s="2"/>
      <c r="AD809" s="2"/>
    </row>
    <row r="810" spans="1:30" ht="12" customHeight="1">
      <c r="A810" s="828" t="s">
        <v>17504</v>
      </c>
      <c r="B810" s="3" t="s">
        <v>2957</v>
      </c>
      <c r="C810" s="1" t="s">
        <v>2965</v>
      </c>
      <c r="D810" s="5">
        <f t="shared" si="12"/>
        <v>56</v>
      </c>
      <c r="E810" s="2" t="s">
        <v>5</v>
      </c>
      <c r="F810" s="2" t="s">
        <v>15273</v>
      </c>
      <c r="G810" s="3"/>
      <c r="H810" s="1"/>
      <c r="I810" s="1"/>
      <c r="J810" s="4" t="s">
        <v>16120</v>
      </c>
      <c r="K810" s="1" t="s">
        <v>30</v>
      </c>
      <c r="L810" s="1" t="s">
        <v>6</v>
      </c>
      <c r="M810" s="825"/>
      <c r="N810" s="17"/>
      <c r="O810" s="3" t="s">
        <v>15</v>
      </c>
      <c r="P810" s="20">
        <v>20560</v>
      </c>
      <c r="Q810" s="3" t="s">
        <v>2966</v>
      </c>
      <c r="R810" s="3"/>
      <c r="S810" s="3"/>
      <c r="T810" s="3"/>
      <c r="U810" s="2"/>
      <c r="V810" s="2"/>
      <c r="W810" s="2"/>
      <c r="X810" s="2"/>
      <c r="Y810" s="2"/>
      <c r="Z810" s="2"/>
      <c r="AA810" s="2"/>
      <c r="AB810" s="2"/>
      <c r="AC810" s="2"/>
      <c r="AD810" s="2"/>
    </row>
    <row r="811" spans="1:30" ht="12" customHeight="1">
      <c r="A811" s="828" t="s">
        <v>17505</v>
      </c>
      <c r="B811" s="3" t="s">
        <v>2958</v>
      </c>
      <c r="C811" s="1" t="s">
        <v>5068</v>
      </c>
      <c r="D811" s="5">
        <f t="shared" si="12"/>
        <v>30</v>
      </c>
      <c r="E811" s="2" t="s">
        <v>5</v>
      </c>
      <c r="F811" s="2"/>
      <c r="G811" s="3"/>
      <c r="H811" s="1"/>
      <c r="I811" s="1"/>
      <c r="J811" s="4" t="s">
        <v>16117</v>
      </c>
      <c r="K811" s="1"/>
      <c r="L811" s="1" t="s">
        <v>6</v>
      </c>
      <c r="M811" s="825"/>
      <c r="N811" s="17"/>
      <c r="O811" s="3" t="s">
        <v>5280</v>
      </c>
      <c r="P811" s="20">
        <v>29974</v>
      </c>
      <c r="Q811" s="3" t="s">
        <v>5069</v>
      </c>
      <c r="R811" s="3"/>
      <c r="S811" s="3"/>
      <c r="T811" s="3"/>
      <c r="U811" s="2"/>
      <c r="V811" s="2"/>
      <c r="W811" s="2"/>
      <c r="X811" s="2"/>
      <c r="Y811" s="2"/>
      <c r="Z811" s="2"/>
      <c r="AA811" s="2"/>
      <c r="AB811" s="2"/>
      <c r="AC811" s="2"/>
      <c r="AD811" s="2"/>
    </row>
    <row r="812" spans="1:30" ht="12" customHeight="1">
      <c r="A812" s="828" t="s">
        <v>17506</v>
      </c>
      <c r="B812" s="3" t="s">
        <v>2967</v>
      </c>
      <c r="C812" s="1" t="s">
        <v>2970</v>
      </c>
      <c r="D812" s="5">
        <f t="shared" si="12"/>
        <v>63</v>
      </c>
      <c r="E812" s="2" t="s">
        <v>5</v>
      </c>
      <c r="F812" s="6" t="s">
        <v>15273</v>
      </c>
      <c r="G812" s="3" t="s">
        <v>2971</v>
      </c>
      <c r="H812" s="1"/>
      <c r="I812" s="1"/>
      <c r="J812" s="8" t="s">
        <v>16126</v>
      </c>
      <c r="K812" s="1" t="s">
        <v>44</v>
      </c>
      <c r="L812" s="1" t="s">
        <v>25</v>
      </c>
      <c r="M812" s="825">
        <v>2</v>
      </c>
      <c r="N812" s="17">
        <v>2</v>
      </c>
      <c r="O812" s="3" t="s">
        <v>2972</v>
      </c>
      <c r="P812" s="20">
        <v>18170</v>
      </c>
      <c r="Q812" s="3" t="s">
        <v>2973</v>
      </c>
      <c r="R812" s="3" t="s">
        <v>347</v>
      </c>
      <c r="S812" s="3" t="s">
        <v>736</v>
      </c>
      <c r="T812" s="3" t="s">
        <v>145</v>
      </c>
      <c r="U812" s="2"/>
      <c r="V812" s="2" t="s">
        <v>145</v>
      </c>
      <c r="W812" s="2"/>
      <c r="X812" s="2"/>
      <c r="Y812" s="2"/>
      <c r="Z812" s="2"/>
      <c r="AA812" s="2"/>
      <c r="AB812" s="2"/>
      <c r="AC812" s="2"/>
      <c r="AD812" s="2"/>
    </row>
    <row r="813" spans="1:30" ht="12" customHeight="1">
      <c r="A813" s="828" t="s">
        <v>17507</v>
      </c>
      <c r="B813" s="3" t="s">
        <v>2968</v>
      </c>
      <c r="C813" s="1" t="s">
        <v>2975</v>
      </c>
      <c r="D813" s="5">
        <f t="shared" si="12"/>
        <v>48</v>
      </c>
      <c r="E813" s="2" t="s">
        <v>5</v>
      </c>
      <c r="F813" s="2" t="s">
        <v>15273</v>
      </c>
      <c r="G813" s="3" t="s">
        <v>2974</v>
      </c>
      <c r="H813" s="1"/>
      <c r="I813" s="1"/>
      <c r="J813" s="4" t="s">
        <v>16120</v>
      </c>
      <c r="K813" s="1" t="s">
        <v>13</v>
      </c>
      <c r="L813" s="1" t="s">
        <v>25</v>
      </c>
      <c r="M813" s="825">
        <v>5</v>
      </c>
      <c r="N813" s="17">
        <v>5</v>
      </c>
      <c r="O813" s="3" t="s">
        <v>1200</v>
      </c>
      <c r="P813" s="20">
        <v>23726</v>
      </c>
      <c r="Q813" s="3" t="s">
        <v>2977</v>
      </c>
      <c r="R813" s="3" t="s">
        <v>2978</v>
      </c>
      <c r="S813" s="3" t="s">
        <v>5457</v>
      </c>
      <c r="T813" s="3" t="s">
        <v>104</v>
      </c>
      <c r="U813" s="2"/>
      <c r="V813" s="2"/>
      <c r="W813" s="2"/>
      <c r="X813" s="2"/>
      <c r="Y813" s="2"/>
      <c r="Z813" s="2"/>
      <c r="AA813" s="2" t="s">
        <v>104</v>
      </c>
      <c r="AB813" s="2"/>
      <c r="AC813" s="2"/>
      <c r="AD813" s="2"/>
    </row>
    <row r="814" spans="1:30" ht="12" customHeight="1">
      <c r="A814" s="828" t="s">
        <v>17508</v>
      </c>
      <c r="B814" s="3" t="s">
        <v>2969</v>
      </c>
      <c r="C814" s="1" t="s">
        <v>2979</v>
      </c>
      <c r="D814" s="5">
        <f t="shared" si="12"/>
        <v>45</v>
      </c>
      <c r="E814" s="2" t="s">
        <v>5</v>
      </c>
      <c r="F814" s="2"/>
      <c r="G814" s="3"/>
      <c r="H814" s="1"/>
      <c r="I814" s="1"/>
      <c r="J814" s="4" t="s">
        <v>16117</v>
      </c>
      <c r="K814" s="1"/>
      <c r="L814" s="1" t="s">
        <v>6</v>
      </c>
      <c r="M814" s="825"/>
      <c r="N814" s="17"/>
      <c r="O814" s="3" t="s">
        <v>2980</v>
      </c>
      <c r="P814" s="21">
        <v>24731</v>
      </c>
      <c r="Q814" s="3" t="s">
        <v>2981</v>
      </c>
      <c r="R814" s="3"/>
      <c r="S814" s="3"/>
      <c r="T814" s="3"/>
      <c r="U814" s="2"/>
      <c r="V814" s="2"/>
      <c r="W814" s="2"/>
      <c r="X814" s="2"/>
      <c r="Y814" s="2"/>
      <c r="Z814" s="2"/>
      <c r="AA814" s="2"/>
      <c r="AB814" s="2"/>
      <c r="AC814" s="2"/>
      <c r="AD814" s="2"/>
    </row>
    <row r="815" spans="1:30" ht="12" customHeight="1">
      <c r="A815" s="828" t="s">
        <v>17509</v>
      </c>
      <c r="B815" s="3" t="s">
        <v>2982</v>
      </c>
      <c r="C815" s="1" t="s">
        <v>2985</v>
      </c>
      <c r="D815" s="5">
        <f t="shared" si="12"/>
        <v>36</v>
      </c>
      <c r="E815" s="2" t="s">
        <v>5</v>
      </c>
      <c r="F815" s="6" t="s">
        <v>15273</v>
      </c>
      <c r="G815" s="3" t="s">
        <v>2986</v>
      </c>
      <c r="H815" s="1"/>
      <c r="I815" s="1"/>
      <c r="J815" s="8" t="s">
        <v>16127</v>
      </c>
      <c r="K815" s="1" t="s">
        <v>44</v>
      </c>
      <c r="L815" s="1" t="s">
        <v>25</v>
      </c>
      <c r="M815" s="825">
        <v>1</v>
      </c>
      <c r="N815" s="17">
        <v>1</v>
      </c>
      <c r="O815" s="3" t="s">
        <v>95</v>
      </c>
      <c r="P815" s="20">
        <v>28029</v>
      </c>
      <c r="Q815" s="3" t="s">
        <v>2987</v>
      </c>
      <c r="R815" s="3"/>
      <c r="S815" s="3" t="s">
        <v>736</v>
      </c>
      <c r="T815" s="3"/>
      <c r="U815" s="2"/>
      <c r="V815" s="2"/>
      <c r="W815" s="2"/>
      <c r="X815" s="2"/>
      <c r="Y815" s="2"/>
      <c r="Z815" s="2"/>
      <c r="AA815" s="2"/>
      <c r="AB815" s="2"/>
      <c r="AC815" s="2"/>
      <c r="AD815" s="2"/>
    </row>
    <row r="816" spans="1:30" ht="12" customHeight="1">
      <c r="A816" s="828" t="s">
        <v>17510</v>
      </c>
      <c r="B816" s="3" t="s">
        <v>2983</v>
      </c>
      <c r="C816" s="1" t="s">
        <v>2988</v>
      </c>
      <c r="D816" s="5">
        <f t="shared" si="12"/>
        <v>62</v>
      </c>
      <c r="E816" s="2" t="s">
        <v>5</v>
      </c>
      <c r="F816" s="2"/>
      <c r="G816" s="3" t="s">
        <v>2989</v>
      </c>
      <c r="H816" s="1"/>
      <c r="I816" s="1"/>
      <c r="J816" s="8" t="s">
        <v>16120</v>
      </c>
      <c r="K816" s="1" t="s">
        <v>476</v>
      </c>
      <c r="L816" s="1" t="s">
        <v>25</v>
      </c>
      <c r="M816" s="825">
        <v>3</v>
      </c>
      <c r="N816" s="17">
        <v>3</v>
      </c>
      <c r="O816" s="3" t="s">
        <v>302</v>
      </c>
      <c r="P816" s="20">
        <v>18610</v>
      </c>
      <c r="Q816" s="3" t="s">
        <v>2990</v>
      </c>
      <c r="R816" s="3" t="s">
        <v>2489</v>
      </c>
      <c r="S816" s="3" t="s">
        <v>5457</v>
      </c>
      <c r="T816" s="3" t="s">
        <v>47</v>
      </c>
      <c r="U816" s="2" t="s">
        <v>47</v>
      </c>
      <c r="V816" s="2"/>
      <c r="W816" s="2"/>
      <c r="X816" s="2"/>
      <c r="Y816" s="2"/>
      <c r="Z816" s="2"/>
      <c r="AA816" s="2"/>
      <c r="AB816" s="2"/>
      <c r="AC816" s="2"/>
      <c r="AD816" s="2"/>
    </row>
    <row r="817" spans="1:30" ht="12" customHeight="1">
      <c r="A817" s="828" t="s">
        <v>17511</v>
      </c>
      <c r="B817" s="3" t="s">
        <v>2984</v>
      </c>
      <c r="C817" s="1" t="s">
        <v>2992</v>
      </c>
      <c r="D817" s="5">
        <f t="shared" si="12"/>
        <v>48</v>
      </c>
      <c r="E817" s="2" t="s">
        <v>5</v>
      </c>
      <c r="F817" s="2"/>
      <c r="G817" s="3"/>
      <c r="H817" s="1"/>
      <c r="I817" s="1"/>
      <c r="J817" s="4" t="s">
        <v>16117</v>
      </c>
      <c r="K817" s="1"/>
      <c r="L817" s="1" t="s">
        <v>6</v>
      </c>
      <c r="M817" s="825"/>
      <c r="N817" s="17"/>
      <c r="O817" s="3" t="s">
        <v>2993</v>
      </c>
      <c r="P817" s="21">
        <v>23482</v>
      </c>
      <c r="Q817" s="3" t="s">
        <v>2994</v>
      </c>
      <c r="R817" s="3"/>
      <c r="S817" s="3"/>
      <c r="T817" s="3"/>
      <c r="U817" s="2"/>
      <c r="V817" s="2"/>
      <c r="W817" s="2"/>
      <c r="X817" s="2"/>
      <c r="Y817" s="2"/>
      <c r="Z817" s="2"/>
      <c r="AA817" s="2"/>
      <c r="AB817" s="2"/>
      <c r="AC817" s="2"/>
      <c r="AD817" s="2"/>
    </row>
    <row r="818" spans="1:30" ht="12" customHeight="1">
      <c r="A818" s="828" t="s">
        <v>17512</v>
      </c>
      <c r="B818" s="3" t="s">
        <v>3025</v>
      </c>
      <c r="C818" s="1" t="s">
        <v>3028</v>
      </c>
      <c r="D818" s="5">
        <f t="shared" si="12"/>
        <v>67</v>
      </c>
      <c r="E818" s="2" t="s">
        <v>5</v>
      </c>
      <c r="F818" s="6" t="s">
        <v>15273</v>
      </c>
      <c r="G818" s="3" t="s">
        <v>3029</v>
      </c>
      <c r="H818" s="1"/>
      <c r="I818" s="1"/>
      <c r="J818" s="8" t="s">
        <v>16127</v>
      </c>
      <c r="K818" s="1" t="s">
        <v>681</v>
      </c>
      <c r="L818" s="1" t="s">
        <v>25</v>
      </c>
      <c r="M818" s="825">
        <v>8</v>
      </c>
      <c r="N818" s="17">
        <v>8</v>
      </c>
      <c r="O818" s="3" t="s">
        <v>1282</v>
      </c>
      <c r="P818" s="20">
        <v>16461</v>
      </c>
      <c r="Q818" s="3" t="s">
        <v>3031</v>
      </c>
      <c r="R818" s="3" t="s">
        <v>3033</v>
      </c>
      <c r="S818" s="3" t="s">
        <v>736</v>
      </c>
      <c r="T818" s="3" t="s">
        <v>69</v>
      </c>
      <c r="U818" s="2"/>
      <c r="V818" s="2"/>
      <c r="W818" s="2"/>
      <c r="X818" s="2"/>
      <c r="Y818" s="2"/>
      <c r="Z818" s="2"/>
      <c r="AA818" s="2"/>
      <c r="AB818" s="2"/>
      <c r="AC818" s="2"/>
      <c r="AD818" s="2" t="s">
        <v>69</v>
      </c>
    </row>
    <row r="819" spans="1:30" ht="12" customHeight="1">
      <c r="A819" s="828" t="s">
        <v>17513</v>
      </c>
      <c r="B819" s="3" t="s">
        <v>3026</v>
      </c>
      <c r="C819" s="1" t="s">
        <v>3034</v>
      </c>
      <c r="D819" s="5">
        <f t="shared" si="12"/>
        <v>40</v>
      </c>
      <c r="E819" s="2" t="s">
        <v>5</v>
      </c>
      <c r="F819" s="2" t="s">
        <v>15273</v>
      </c>
      <c r="G819" s="3"/>
      <c r="H819" s="1"/>
      <c r="I819" s="1"/>
      <c r="J819" s="4" t="s">
        <v>16120</v>
      </c>
      <c r="K819" s="1" t="s">
        <v>30</v>
      </c>
      <c r="L819" s="1" t="s">
        <v>6</v>
      </c>
      <c r="M819" s="825"/>
      <c r="N819" s="17"/>
      <c r="O819" s="3" t="s">
        <v>188</v>
      </c>
      <c r="P819" s="20">
        <v>26405</v>
      </c>
      <c r="Q819" s="3" t="s">
        <v>3035</v>
      </c>
      <c r="R819" s="3"/>
      <c r="S819" s="3" t="s">
        <v>5457</v>
      </c>
      <c r="T819" s="3" t="s">
        <v>145</v>
      </c>
      <c r="U819" s="2"/>
      <c r="V819" s="2" t="s">
        <v>145</v>
      </c>
      <c r="W819" s="2"/>
      <c r="X819" s="2"/>
      <c r="Y819" s="2"/>
      <c r="Z819" s="2"/>
      <c r="AA819" s="2"/>
      <c r="AB819" s="2"/>
      <c r="AC819" s="2"/>
      <c r="AD819" s="2"/>
    </row>
    <row r="820" spans="1:30" ht="12" customHeight="1">
      <c r="A820" s="828" t="s">
        <v>17514</v>
      </c>
      <c r="B820" s="3" t="s">
        <v>3027</v>
      </c>
      <c r="C820" s="1" t="s">
        <v>5027</v>
      </c>
      <c r="D820" s="5">
        <f t="shared" si="12"/>
        <v>49</v>
      </c>
      <c r="E820" s="2" t="s">
        <v>5</v>
      </c>
      <c r="F820" s="2" t="s">
        <v>15273</v>
      </c>
      <c r="G820" s="3"/>
      <c r="H820" s="1"/>
      <c r="I820" s="1"/>
      <c r="J820" s="4" t="s">
        <v>16116</v>
      </c>
      <c r="K820" s="1" t="s">
        <v>4997</v>
      </c>
      <c r="L820" s="1" t="s">
        <v>6</v>
      </c>
      <c r="M820" s="825"/>
      <c r="N820" s="17"/>
      <c r="O820" s="3" t="s">
        <v>6158</v>
      </c>
      <c r="P820" s="20">
        <v>23263</v>
      </c>
      <c r="Q820" s="3" t="s">
        <v>5028</v>
      </c>
      <c r="R820" s="3"/>
      <c r="S820" s="3" t="s">
        <v>469</v>
      </c>
      <c r="T820" s="3"/>
      <c r="U820" s="2"/>
      <c r="V820" s="2"/>
      <c r="W820" s="2"/>
      <c r="X820" s="2"/>
      <c r="Y820" s="2"/>
      <c r="Z820" s="2"/>
      <c r="AA820" s="2"/>
      <c r="AB820" s="2"/>
      <c r="AC820" s="2"/>
      <c r="AD820" s="2"/>
    </row>
    <row r="821" spans="1:30" ht="12" customHeight="1">
      <c r="A821" s="828" t="s">
        <v>17515</v>
      </c>
      <c r="B821" s="3" t="s">
        <v>5026</v>
      </c>
      <c r="C821" s="1" t="s">
        <v>3037</v>
      </c>
      <c r="D821" s="5">
        <f t="shared" si="12"/>
        <v>54</v>
      </c>
      <c r="E821" s="2" t="s">
        <v>19</v>
      </c>
      <c r="F821" s="2" t="s">
        <v>15273</v>
      </c>
      <c r="G821" s="3"/>
      <c r="H821" s="1"/>
      <c r="I821" s="1"/>
      <c r="J821" s="4" t="s">
        <v>16117</v>
      </c>
      <c r="K821" s="1"/>
      <c r="L821" s="1" t="s">
        <v>6</v>
      </c>
      <c r="M821" s="825"/>
      <c r="N821" s="17"/>
      <c r="O821" s="3" t="s">
        <v>3038</v>
      </c>
      <c r="P821" s="20">
        <v>21287</v>
      </c>
      <c r="Q821" s="3" t="s">
        <v>3039</v>
      </c>
      <c r="R821" s="3"/>
      <c r="S821" s="3"/>
      <c r="T821" s="3" t="s">
        <v>145</v>
      </c>
      <c r="U821" s="2"/>
      <c r="V821" s="2" t="s">
        <v>145</v>
      </c>
      <c r="W821" s="2"/>
      <c r="X821" s="2"/>
      <c r="Y821" s="2"/>
      <c r="Z821" s="2"/>
      <c r="AA821" s="2"/>
      <c r="AB821" s="2"/>
      <c r="AC821" s="2"/>
      <c r="AD821" s="2"/>
    </row>
    <row r="822" spans="1:30" ht="12" customHeight="1">
      <c r="A822" s="828" t="s">
        <v>17516</v>
      </c>
      <c r="B822" s="3" t="s">
        <v>16027</v>
      </c>
      <c r="C822" s="1" t="s">
        <v>16028</v>
      </c>
      <c r="D822" s="5">
        <f t="shared" si="12"/>
        <v>55</v>
      </c>
      <c r="E822" s="2" t="s">
        <v>5</v>
      </c>
      <c r="F822" s="2"/>
      <c r="G822" s="3"/>
      <c r="H822" s="1"/>
      <c r="I822" s="1"/>
      <c r="J822" s="8" t="s">
        <v>16129</v>
      </c>
      <c r="K822" s="1"/>
      <c r="L822" s="1" t="s">
        <v>6</v>
      </c>
      <c r="M822" s="825"/>
      <c r="N822" s="17"/>
      <c r="O822" s="3" t="s">
        <v>3009</v>
      </c>
      <c r="P822" s="20">
        <v>21069</v>
      </c>
      <c r="Q822" s="3" t="s">
        <v>5054</v>
      </c>
      <c r="R822" s="3"/>
      <c r="S822" s="3"/>
      <c r="T822" s="3"/>
      <c r="U822" s="2"/>
      <c r="V822" s="2"/>
      <c r="W822" s="2"/>
      <c r="X822" s="2"/>
      <c r="Y822" s="2"/>
      <c r="Z822" s="2"/>
      <c r="AA822" s="2"/>
      <c r="AB822" s="2"/>
      <c r="AC822" s="2"/>
      <c r="AD822" s="2"/>
    </row>
    <row r="823" spans="1:30" ht="12" customHeight="1">
      <c r="A823" s="828" t="s">
        <v>17517</v>
      </c>
      <c r="B823" s="3" t="s">
        <v>3040</v>
      </c>
      <c r="C823" s="1" t="s">
        <v>3044</v>
      </c>
      <c r="D823" s="5">
        <f t="shared" si="12"/>
        <v>50</v>
      </c>
      <c r="E823" s="2" t="s">
        <v>5</v>
      </c>
      <c r="F823" s="6" t="s">
        <v>15273</v>
      </c>
      <c r="G823" s="3" t="s">
        <v>3045</v>
      </c>
      <c r="H823" s="1"/>
      <c r="I823" s="1"/>
      <c r="J823" s="8" t="s">
        <v>16126</v>
      </c>
      <c r="K823" s="1" t="s">
        <v>655</v>
      </c>
      <c r="L823" s="1" t="s">
        <v>25</v>
      </c>
      <c r="M823" s="825">
        <v>3</v>
      </c>
      <c r="N823" s="17">
        <v>3</v>
      </c>
      <c r="O823" s="3" t="s">
        <v>3047</v>
      </c>
      <c r="P823" s="20">
        <v>22812</v>
      </c>
      <c r="Q823" s="3" t="s">
        <v>3048</v>
      </c>
      <c r="R823" s="3" t="s">
        <v>3049</v>
      </c>
      <c r="S823" s="3" t="s">
        <v>736</v>
      </c>
      <c r="T823" s="3" t="s">
        <v>145</v>
      </c>
      <c r="U823" s="2"/>
      <c r="V823" s="2" t="s">
        <v>145</v>
      </c>
      <c r="W823" s="2"/>
      <c r="X823" s="2"/>
      <c r="Y823" s="2"/>
      <c r="Z823" s="2"/>
      <c r="AA823" s="2"/>
      <c r="AB823" s="2"/>
      <c r="AC823" s="2"/>
      <c r="AD823" s="2"/>
    </row>
    <row r="824" spans="1:30" ht="12" customHeight="1">
      <c r="A824" s="828" t="s">
        <v>17518</v>
      </c>
      <c r="B824" s="3" t="s">
        <v>3041</v>
      </c>
      <c r="C824" s="1" t="s">
        <v>3050</v>
      </c>
      <c r="D824" s="5">
        <f t="shared" si="12"/>
        <v>47</v>
      </c>
      <c r="E824" s="2" t="s">
        <v>5</v>
      </c>
      <c r="F824" s="2" t="s">
        <v>15273</v>
      </c>
      <c r="G824" s="3"/>
      <c r="H824" s="1"/>
      <c r="I824" s="1"/>
      <c r="J824" s="4" t="s">
        <v>16120</v>
      </c>
      <c r="K824" s="1" t="s">
        <v>934</v>
      </c>
      <c r="L824" s="1" t="s">
        <v>14</v>
      </c>
      <c r="M824" s="825">
        <v>1</v>
      </c>
      <c r="N824" s="17">
        <v>1</v>
      </c>
      <c r="O824" s="3" t="s">
        <v>1493</v>
      </c>
      <c r="P824" s="20">
        <v>23957</v>
      </c>
      <c r="Q824" s="3" t="s">
        <v>3053</v>
      </c>
      <c r="R824" s="3"/>
      <c r="S824" s="3" t="s">
        <v>5457</v>
      </c>
      <c r="T824" s="3" t="s">
        <v>47</v>
      </c>
      <c r="U824" s="2" t="s">
        <v>47</v>
      </c>
      <c r="V824" s="2"/>
      <c r="W824" s="2"/>
      <c r="X824" s="2"/>
      <c r="Y824" s="2"/>
      <c r="Z824" s="2"/>
      <c r="AA824" s="2"/>
      <c r="AB824" s="2"/>
      <c r="AC824" s="2"/>
      <c r="AD824" s="2"/>
    </row>
    <row r="825" spans="1:30" ht="12" customHeight="1">
      <c r="A825" s="828" t="s">
        <v>17519</v>
      </c>
      <c r="B825" s="3" t="s">
        <v>3042</v>
      </c>
      <c r="C825" s="1" t="s">
        <v>3057</v>
      </c>
      <c r="D825" s="5">
        <f t="shared" si="12"/>
        <v>52</v>
      </c>
      <c r="E825" s="2" t="s">
        <v>5</v>
      </c>
      <c r="F825" s="2" t="s">
        <v>15273</v>
      </c>
      <c r="G825" s="3"/>
      <c r="H825" s="1"/>
      <c r="I825" s="1"/>
      <c r="J825" s="4" t="s">
        <v>16128</v>
      </c>
      <c r="K825" s="1"/>
      <c r="L825" s="1" t="s">
        <v>6</v>
      </c>
      <c r="M825" s="825"/>
      <c r="N825" s="17"/>
      <c r="O825" s="3" t="s">
        <v>1493</v>
      </c>
      <c r="P825" s="20">
        <v>21931</v>
      </c>
      <c r="Q825" s="3" t="s">
        <v>3058</v>
      </c>
      <c r="R825" s="3"/>
      <c r="S825" s="3" t="s">
        <v>6031</v>
      </c>
      <c r="T825" s="3" t="s">
        <v>47</v>
      </c>
      <c r="U825" s="2" t="s">
        <v>47</v>
      </c>
      <c r="V825" s="2"/>
      <c r="W825" s="2"/>
      <c r="X825" s="2"/>
      <c r="Y825" s="2"/>
      <c r="Z825" s="2"/>
      <c r="AA825" s="2"/>
      <c r="AB825" s="2"/>
      <c r="AC825" s="2"/>
      <c r="AD825" s="2"/>
    </row>
    <row r="826" spans="1:30" ht="12" customHeight="1">
      <c r="A826" s="828" t="s">
        <v>17520</v>
      </c>
      <c r="B826" s="3" t="s">
        <v>3043</v>
      </c>
      <c r="C826" s="1" t="s">
        <v>3054</v>
      </c>
      <c r="D826" s="5">
        <f t="shared" si="12"/>
        <v>54</v>
      </c>
      <c r="E826" s="2" t="s">
        <v>19</v>
      </c>
      <c r="F826" s="2"/>
      <c r="G826" s="3"/>
      <c r="H826" s="1"/>
      <c r="I826" s="1"/>
      <c r="J826" s="4" t="s">
        <v>16117</v>
      </c>
      <c r="K826" s="1"/>
      <c r="L826" s="1" t="s">
        <v>6</v>
      </c>
      <c r="M826" s="825"/>
      <c r="N826" s="17"/>
      <c r="O826" s="3" t="s">
        <v>3055</v>
      </c>
      <c r="P826" s="20">
        <v>21186</v>
      </c>
      <c r="Q826" s="3" t="s">
        <v>3056</v>
      </c>
      <c r="R826" s="3"/>
      <c r="S826" s="3"/>
      <c r="T826" s="3" t="s">
        <v>69</v>
      </c>
      <c r="U826" s="2"/>
      <c r="V826" s="2"/>
      <c r="W826" s="2"/>
      <c r="X826" s="2"/>
      <c r="Y826" s="2"/>
      <c r="Z826" s="2"/>
      <c r="AA826" s="2"/>
      <c r="AB826" s="2"/>
      <c r="AC826" s="2"/>
      <c r="AD826" s="2" t="s">
        <v>69</v>
      </c>
    </row>
    <row r="827" spans="1:30" ht="12" customHeight="1">
      <c r="A827" s="828" t="s">
        <v>17521</v>
      </c>
      <c r="B827" s="3" t="s">
        <v>3059</v>
      </c>
      <c r="C827" s="1" t="s">
        <v>3062</v>
      </c>
      <c r="D827" s="5">
        <f t="shared" si="12"/>
        <v>41</v>
      </c>
      <c r="E827" s="2" t="s">
        <v>5</v>
      </c>
      <c r="F827" s="6" t="s">
        <v>15273</v>
      </c>
      <c r="G827" s="3" t="s">
        <v>3063</v>
      </c>
      <c r="H827" s="1"/>
      <c r="I827" s="1"/>
      <c r="J827" s="8" t="s">
        <v>16127</v>
      </c>
      <c r="K827" s="1" t="s">
        <v>681</v>
      </c>
      <c r="L827" s="1" t="s">
        <v>25</v>
      </c>
      <c r="M827" s="825">
        <v>3</v>
      </c>
      <c r="N827" s="17">
        <v>3</v>
      </c>
      <c r="O827" s="3" t="s">
        <v>447</v>
      </c>
      <c r="P827" s="20">
        <v>26077</v>
      </c>
      <c r="Q827" s="3" t="s">
        <v>16664</v>
      </c>
      <c r="R827" s="3" t="s">
        <v>3066</v>
      </c>
      <c r="S827" s="3" t="s">
        <v>736</v>
      </c>
      <c r="T827" s="3" t="s">
        <v>3064</v>
      </c>
      <c r="U827" s="2"/>
      <c r="V827" s="2"/>
      <c r="W827" s="2"/>
      <c r="X827" s="2"/>
      <c r="Y827" s="2"/>
      <c r="Z827" s="2"/>
      <c r="AA827" s="2"/>
      <c r="AB827" s="2"/>
      <c r="AC827" s="2" t="s">
        <v>146</v>
      </c>
      <c r="AD827" s="2" t="s">
        <v>69</v>
      </c>
    </row>
    <row r="828" spans="1:30" ht="12" customHeight="1">
      <c r="A828" s="828" t="s">
        <v>17522</v>
      </c>
      <c r="B828" s="3" t="s">
        <v>3060</v>
      </c>
      <c r="C828" s="1" t="s">
        <v>3067</v>
      </c>
      <c r="D828" s="5">
        <f t="shared" si="12"/>
        <v>40</v>
      </c>
      <c r="E828" s="2" t="s">
        <v>5</v>
      </c>
      <c r="F828" s="2" t="s">
        <v>15273</v>
      </c>
      <c r="G828" s="3"/>
      <c r="H828" s="1"/>
      <c r="I828" s="1"/>
      <c r="J828" s="8" t="s">
        <v>16120</v>
      </c>
      <c r="K828" s="1" t="s">
        <v>30</v>
      </c>
      <c r="L828" s="1" t="s">
        <v>6</v>
      </c>
      <c r="M828" s="825"/>
      <c r="N828" s="17"/>
      <c r="O828" s="3" t="s">
        <v>31</v>
      </c>
      <c r="P828" s="20">
        <v>26319</v>
      </c>
      <c r="Q828" s="3" t="s">
        <v>3068</v>
      </c>
      <c r="R828" s="3"/>
      <c r="S828" s="3" t="s">
        <v>5457</v>
      </c>
      <c r="T828" s="3"/>
      <c r="U828" s="2"/>
      <c r="V828" s="2"/>
      <c r="W828" s="2"/>
      <c r="X828" s="2"/>
      <c r="Y828" s="2"/>
      <c r="Z828" s="2"/>
      <c r="AA828" s="2"/>
      <c r="AB828" s="2"/>
      <c r="AC828" s="2"/>
      <c r="AD828" s="2"/>
    </row>
    <row r="829" spans="1:30" ht="12" customHeight="1">
      <c r="A829" s="828" t="s">
        <v>17523</v>
      </c>
      <c r="B829" s="3" t="s">
        <v>3061</v>
      </c>
      <c r="C829" s="1" t="s">
        <v>5419</v>
      </c>
      <c r="D829" s="5">
        <f t="shared" si="12"/>
        <v>44</v>
      </c>
      <c r="E829" s="2" t="s">
        <v>5</v>
      </c>
      <c r="F829" s="2" t="s">
        <v>15273</v>
      </c>
      <c r="G829" s="3"/>
      <c r="H829" s="1"/>
      <c r="I829" s="1"/>
      <c r="J829" s="4" t="s">
        <v>16116</v>
      </c>
      <c r="K829" s="1" t="s">
        <v>4997</v>
      </c>
      <c r="L829" s="1" t="s">
        <v>6</v>
      </c>
      <c r="M829" s="825"/>
      <c r="N829" s="17"/>
      <c r="O829" s="3" t="s">
        <v>245</v>
      </c>
      <c r="P829" s="20">
        <v>24936</v>
      </c>
      <c r="Q829" s="3" t="s">
        <v>5420</v>
      </c>
      <c r="R829" s="3"/>
      <c r="S829" s="3" t="s">
        <v>469</v>
      </c>
      <c r="T829" s="3" t="s">
        <v>145</v>
      </c>
      <c r="U829" s="2"/>
      <c r="V829" s="2" t="s">
        <v>145</v>
      </c>
      <c r="W829" s="2"/>
      <c r="X829" s="2"/>
      <c r="Y829" s="2"/>
      <c r="Z829" s="2"/>
      <c r="AA829" s="2"/>
      <c r="AB829" s="2"/>
      <c r="AC829" s="2"/>
      <c r="AD829" s="2"/>
    </row>
    <row r="830" spans="1:30" ht="12" customHeight="1">
      <c r="A830" s="828" t="s">
        <v>17524</v>
      </c>
      <c r="B830" s="3" t="s">
        <v>5418</v>
      </c>
      <c r="C830" s="1" t="s">
        <v>3069</v>
      </c>
      <c r="D830" s="5">
        <f t="shared" si="12"/>
        <v>65</v>
      </c>
      <c r="E830" s="2" t="s">
        <v>5</v>
      </c>
      <c r="F830" s="2"/>
      <c r="G830" s="3"/>
      <c r="H830" s="1"/>
      <c r="I830" s="1"/>
      <c r="J830" s="4" t="s">
        <v>16117</v>
      </c>
      <c r="K830" s="1"/>
      <c r="L830" s="1" t="s">
        <v>6</v>
      </c>
      <c r="M830" s="825"/>
      <c r="N830" s="17"/>
      <c r="O830" s="3" t="s">
        <v>3070</v>
      </c>
      <c r="P830" s="20">
        <v>17377</v>
      </c>
      <c r="Q830" s="3" t="s">
        <v>3071</v>
      </c>
      <c r="R830" s="3"/>
      <c r="S830" s="3"/>
      <c r="T830" s="3" t="s">
        <v>148</v>
      </c>
      <c r="U830" s="2"/>
      <c r="V830" s="2" t="s">
        <v>145</v>
      </c>
      <c r="W830" s="2"/>
      <c r="X830" s="2"/>
      <c r="Y830" s="2"/>
      <c r="Z830" s="2"/>
      <c r="AA830" s="2"/>
      <c r="AB830" s="2"/>
      <c r="AC830" s="2"/>
      <c r="AD830" s="2" t="s">
        <v>69</v>
      </c>
    </row>
    <row r="831" spans="1:30" ht="12" customHeight="1">
      <c r="A831" s="828" t="s">
        <v>17525</v>
      </c>
      <c r="B831" s="3" t="s">
        <v>3073</v>
      </c>
      <c r="C831" s="1" t="s">
        <v>3077</v>
      </c>
      <c r="D831" s="5">
        <f t="shared" si="12"/>
        <v>68</v>
      </c>
      <c r="E831" s="2" t="s">
        <v>5</v>
      </c>
      <c r="F831" s="6" t="s">
        <v>15273</v>
      </c>
      <c r="G831" s="3" t="s">
        <v>3078</v>
      </c>
      <c r="H831" s="1"/>
      <c r="I831" s="1"/>
      <c r="J831" s="8" t="s">
        <v>16127</v>
      </c>
      <c r="K831" s="1" t="s">
        <v>655</v>
      </c>
      <c r="L831" s="1" t="s">
        <v>25</v>
      </c>
      <c r="M831" s="825">
        <v>3</v>
      </c>
      <c r="N831" s="17">
        <v>5</v>
      </c>
      <c r="O831" s="3" t="s">
        <v>3079</v>
      </c>
      <c r="P831" s="20">
        <v>16294</v>
      </c>
      <c r="Q831" s="3" t="s">
        <v>3080</v>
      </c>
      <c r="R831" s="3" t="s">
        <v>3081</v>
      </c>
      <c r="S831" s="3" t="s">
        <v>736</v>
      </c>
      <c r="T831" s="3" t="s">
        <v>375</v>
      </c>
      <c r="U831" s="2"/>
      <c r="V831" s="2" t="s">
        <v>145</v>
      </c>
      <c r="W831" s="2"/>
      <c r="X831" s="2" t="s">
        <v>229</v>
      </c>
      <c r="Y831" s="2"/>
      <c r="Z831" s="2"/>
      <c r="AA831" s="2"/>
      <c r="AB831" s="2"/>
      <c r="AC831" s="2"/>
      <c r="AD831" s="2"/>
    </row>
    <row r="832" spans="1:30" ht="12" customHeight="1">
      <c r="A832" s="828" t="s">
        <v>17526</v>
      </c>
      <c r="B832" s="3" t="s">
        <v>3074</v>
      </c>
      <c r="C832" s="1" t="s">
        <v>3083</v>
      </c>
      <c r="D832" s="5">
        <f t="shared" si="12"/>
        <v>33</v>
      </c>
      <c r="E832" s="2" t="s">
        <v>5</v>
      </c>
      <c r="F832" s="2" t="s">
        <v>15273</v>
      </c>
      <c r="G832" s="3"/>
      <c r="H832" s="1"/>
      <c r="I832" s="1"/>
      <c r="J832" s="4" t="s">
        <v>16120</v>
      </c>
      <c r="K832" s="1" t="s">
        <v>30</v>
      </c>
      <c r="L832" s="1" t="s">
        <v>6</v>
      </c>
      <c r="M832" s="825"/>
      <c r="N832" s="17"/>
      <c r="O832" s="3" t="s">
        <v>1282</v>
      </c>
      <c r="P832" s="20">
        <v>29000</v>
      </c>
      <c r="Q832" s="3" t="s">
        <v>3085</v>
      </c>
      <c r="R832" s="3"/>
      <c r="S832" s="3" t="s">
        <v>5457</v>
      </c>
      <c r="T832" s="3"/>
      <c r="U832" s="2"/>
      <c r="V832" s="2"/>
      <c r="W832" s="2"/>
      <c r="X832" s="2"/>
      <c r="Y832" s="2"/>
      <c r="Z832" s="2"/>
      <c r="AA832" s="2"/>
      <c r="AB832" s="2"/>
      <c r="AC832" s="2"/>
      <c r="AD832" s="2"/>
    </row>
    <row r="833" spans="1:30" ht="12" customHeight="1">
      <c r="A833" s="828" t="s">
        <v>17527</v>
      </c>
      <c r="B833" s="3" t="s">
        <v>3075</v>
      </c>
      <c r="C833" s="1" t="s">
        <v>5030</v>
      </c>
      <c r="D833" s="5">
        <f t="shared" ref="D833:D896" si="13">DATEDIF(P833,$P$1505,"Y")</f>
        <v>39</v>
      </c>
      <c r="E833" s="2" t="s">
        <v>5</v>
      </c>
      <c r="F833" s="2" t="s">
        <v>15273</v>
      </c>
      <c r="G833" s="3"/>
      <c r="H833" s="1"/>
      <c r="I833" s="1"/>
      <c r="J833" s="4" t="s">
        <v>16116</v>
      </c>
      <c r="K833" s="1" t="s">
        <v>276</v>
      </c>
      <c r="L833" s="1" t="s">
        <v>6</v>
      </c>
      <c r="M833" s="825"/>
      <c r="N833" s="17"/>
      <c r="O833" s="3" t="s">
        <v>16031</v>
      </c>
      <c r="P833" s="20">
        <v>26910</v>
      </c>
      <c r="Q833" s="3" t="s">
        <v>5032</v>
      </c>
      <c r="R833" s="3"/>
      <c r="S833" s="3" t="s">
        <v>469</v>
      </c>
      <c r="T833" s="3" t="s">
        <v>104</v>
      </c>
      <c r="U833" s="2"/>
      <c r="V833" s="2"/>
      <c r="W833" s="2"/>
      <c r="X833" s="2"/>
      <c r="Y833" s="2"/>
      <c r="Z833" s="2"/>
      <c r="AA833" s="2" t="s">
        <v>104</v>
      </c>
      <c r="AB833" s="2"/>
      <c r="AC833" s="2"/>
      <c r="AD833" s="2"/>
    </row>
    <row r="834" spans="1:30" ht="12" customHeight="1">
      <c r="A834" s="828" t="s">
        <v>17528</v>
      </c>
      <c r="B834" s="3" t="s">
        <v>3076</v>
      </c>
      <c r="C834" s="1" t="s">
        <v>3086</v>
      </c>
      <c r="D834" s="5">
        <f t="shared" si="13"/>
        <v>34</v>
      </c>
      <c r="E834" s="2" t="s">
        <v>5</v>
      </c>
      <c r="F834" s="2"/>
      <c r="G834" s="3"/>
      <c r="H834" s="1"/>
      <c r="I834" s="1"/>
      <c r="J834" s="4" t="s">
        <v>16117</v>
      </c>
      <c r="K834" s="1"/>
      <c r="L834" s="1" t="s">
        <v>6</v>
      </c>
      <c r="M834" s="825"/>
      <c r="N834" s="17"/>
      <c r="O834" s="3" t="s">
        <v>3087</v>
      </c>
      <c r="P834" s="20">
        <v>28491</v>
      </c>
      <c r="Q834" s="3" t="s">
        <v>3088</v>
      </c>
      <c r="R834" s="3"/>
      <c r="S834" s="3"/>
      <c r="T834" s="3" t="s">
        <v>69</v>
      </c>
      <c r="U834" s="2"/>
      <c r="V834" s="2"/>
      <c r="W834" s="2"/>
      <c r="X834" s="2"/>
      <c r="Y834" s="2"/>
      <c r="Z834" s="2"/>
      <c r="AA834" s="2"/>
      <c r="AB834" s="2"/>
      <c r="AC834" s="2"/>
      <c r="AD834" s="2" t="s">
        <v>69</v>
      </c>
    </row>
    <row r="835" spans="1:30" ht="12" customHeight="1">
      <c r="A835" s="828" t="s">
        <v>17529</v>
      </c>
      <c r="B835" s="3" t="s">
        <v>5029</v>
      </c>
      <c r="C835" s="1" t="s">
        <v>3089</v>
      </c>
      <c r="D835" s="5">
        <f t="shared" si="13"/>
        <v>54</v>
      </c>
      <c r="E835" s="2" t="s">
        <v>5</v>
      </c>
      <c r="F835" s="2"/>
      <c r="G835" s="3"/>
      <c r="H835" s="1"/>
      <c r="I835" s="1"/>
      <c r="J835" s="4" t="s">
        <v>16129</v>
      </c>
      <c r="K835" s="1"/>
      <c r="L835" s="1" t="s">
        <v>14</v>
      </c>
      <c r="M835" s="825">
        <v>2</v>
      </c>
      <c r="N835" s="17">
        <v>2</v>
      </c>
      <c r="O835" s="3" t="s">
        <v>317</v>
      </c>
      <c r="P835" s="20">
        <v>21419</v>
      </c>
      <c r="Q835" s="3" t="s">
        <v>3091</v>
      </c>
      <c r="R835" s="3" t="s">
        <v>810</v>
      </c>
      <c r="S835" s="3"/>
      <c r="T835" s="3" t="s">
        <v>104</v>
      </c>
      <c r="U835" s="2"/>
      <c r="V835" s="2"/>
      <c r="W835" s="2"/>
      <c r="X835" s="2"/>
      <c r="Y835" s="2"/>
      <c r="Z835" s="2"/>
      <c r="AA835" s="2" t="s">
        <v>104</v>
      </c>
      <c r="AB835" s="2"/>
      <c r="AC835" s="2"/>
      <c r="AD835" s="2"/>
    </row>
    <row r="836" spans="1:30" ht="12" customHeight="1">
      <c r="A836" s="828" t="s">
        <v>17530</v>
      </c>
      <c r="B836" s="3" t="s">
        <v>3094</v>
      </c>
      <c r="C836" s="1" t="s">
        <v>3099</v>
      </c>
      <c r="D836" s="5">
        <f t="shared" si="13"/>
        <v>33</v>
      </c>
      <c r="E836" s="2" t="s">
        <v>19</v>
      </c>
      <c r="F836" s="6" t="s">
        <v>15273</v>
      </c>
      <c r="G836" s="3"/>
      <c r="H836" s="1"/>
      <c r="I836" s="1"/>
      <c r="J836" s="8" t="s">
        <v>16126</v>
      </c>
      <c r="K836" s="1" t="s">
        <v>44</v>
      </c>
      <c r="L836" s="1" t="s">
        <v>6</v>
      </c>
      <c r="M836" s="825"/>
      <c r="N836" s="17"/>
      <c r="O836" s="3" t="s">
        <v>3100</v>
      </c>
      <c r="P836" s="20">
        <v>28965</v>
      </c>
      <c r="Q836" s="3" t="s">
        <v>3101</v>
      </c>
      <c r="R836" s="3"/>
      <c r="S836" s="3"/>
      <c r="T836" s="3" t="s">
        <v>145</v>
      </c>
      <c r="U836" s="2"/>
      <c r="V836" s="2" t="s">
        <v>145</v>
      </c>
      <c r="W836" s="2"/>
      <c r="X836" s="2"/>
      <c r="Y836" s="2"/>
      <c r="Z836" s="2"/>
      <c r="AA836" s="2"/>
      <c r="AB836" s="2"/>
      <c r="AC836" s="2"/>
      <c r="AD836" s="2"/>
    </row>
    <row r="837" spans="1:30" ht="12" customHeight="1">
      <c r="A837" s="828" t="s">
        <v>17531</v>
      </c>
      <c r="B837" s="3" t="s">
        <v>3095</v>
      </c>
      <c r="C837" s="1" t="s">
        <v>3102</v>
      </c>
      <c r="D837" s="5">
        <f t="shared" si="13"/>
        <v>74</v>
      </c>
      <c r="E837" s="2" t="s">
        <v>5</v>
      </c>
      <c r="F837" s="2"/>
      <c r="G837" s="3" t="s">
        <v>3103</v>
      </c>
      <c r="H837" s="1"/>
      <c r="I837" s="1"/>
      <c r="J837" s="4" t="s">
        <v>16120</v>
      </c>
      <c r="K837" s="1" t="s">
        <v>65</v>
      </c>
      <c r="L837" s="1" t="s">
        <v>25</v>
      </c>
      <c r="M837" s="825">
        <v>9</v>
      </c>
      <c r="N837" s="17">
        <v>9</v>
      </c>
      <c r="O837" s="3" t="s">
        <v>1493</v>
      </c>
      <c r="P837" s="20">
        <v>13889</v>
      </c>
      <c r="Q837" s="3" t="s">
        <v>3104</v>
      </c>
      <c r="R837" s="3" t="s">
        <v>3105</v>
      </c>
      <c r="S837" s="3" t="s">
        <v>5457</v>
      </c>
      <c r="T837" s="3" t="s">
        <v>47</v>
      </c>
      <c r="U837" s="2" t="s">
        <v>47</v>
      </c>
      <c r="V837" s="2"/>
      <c r="W837" s="2"/>
      <c r="X837" s="2"/>
      <c r="Y837" s="2"/>
      <c r="Z837" s="2"/>
      <c r="AA837" s="2"/>
      <c r="AB837" s="2"/>
      <c r="AC837" s="2"/>
      <c r="AD837" s="2"/>
    </row>
    <row r="838" spans="1:30" ht="12" customHeight="1">
      <c r="A838" s="828" t="s">
        <v>17532</v>
      </c>
      <c r="B838" s="3" t="s">
        <v>3096</v>
      </c>
      <c r="C838" s="1" t="s">
        <v>5627</v>
      </c>
      <c r="D838" s="5">
        <f t="shared" si="13"/>
        <v>60</v>
      </c>
      <c r="E838" s="2" t="s">
        <v>5</v>
      </c>
      <c r="F838" s="2" t="s">
        <v>15273</v>
      </c>
      <c r="G838" s="3"/>
      <c r="H838" s="1"/>
      <c r="I838" s="1"/>
      <c r="J838" s="4" t="s">
        <v>16116</v>
      </c>
      <c r="K838" s="1" t="s">
        <v>276</v>
      </c>
      <c r="L838" s="1" t="s">
        <v>6</v>
      </c>
      <c r="M838" s="825"/>
      <c r="N838" s="17"/>
      <c r="O838" s="3" t="s">
        <v>3291</v>
      </c>
      <c r="P838" s="20">
        <v>19047</v>
      </c>
      <c r="Q838" s="3" t="s">
        <v>5628</v>
      </c>
      <c r="R838" s="3"/>
      <c r="S838" s="3"/>
      <c r="T838" s="3" t="s">
        <v>145</v>
      </c>
      <c r="U838" s="2"/>
      <c r="V838" s="2" t="s">
        <v>145</v>
      </c>
      <c r="W838" s="2"/>
      <c r="X838" s="2"/>
      <c r="Y838" s="2"/>
      <c r="Z838" s="2"/>
      <c r="AA838" s="2"/>
      <c r="AB838" s="2"/>
      <c r="AC838" s="2"/>
      <c r="AD838" s="2"/>
    </row>
    <row r="839" spans="1:30" ht="12" customHeight="1">
      <c r="A839" s="828" t="s">
        <v>17533</v>
      </c>
      <c r="B839" s="3" t="s">
        <v>3097</v>
      </c>
      <c r="C839" s="1" t="s">
        <v>3112</v>
      </c>
      <c r="D839" s="5">
        <f t="shared" si="13"/>
        <v>53</v>
      </c>
      <c r="E839" s="2" t="s">
        <v>5</v>
      </c>
      <c r="F839" s="2" t="s">
        <v>15273</v>
      </c>
      <c r="G839" s="3" t="s">
        <v>3113</v>
      </c>
      <c r="H839" s="1"/>
      <c r="I839" s="1"/>
      <c r="J839" s="4" t="s">
        <v>16128</v>
      </c>
      <c r="K839" s="1"/>
      <c r="L839" s="1" t="s">
        <v>25</v>
      </c>
      <c r="M839" s="825">
        <v>1</v>
      </c>
      <c r="N839" s="17">
        <v>1</v>
      </c>
      <c r="O839" s="3" t="s">
        <v>3114</v>
      </c>
      <c r="P839" s="20">
        <v>21741</v>
      </c>
      <c r="Q839" s="3" t="s">
        <v>3115</v>
      </c>
      <c r="R839" s="3"/>
      <c r="S839" s="3"/>
      <c r="T839" s="3" t="s">
        <v>85</v>
      </c>
      <c r="U839" s="2"/>
      <c r="V839" s="2"/>
      <c r="W839" s="2"/>
      <c r="X839" s="2"/>
      <c r="Y839" s="2"/>
      <c r="Z839" s="2" t="s">
        <v>85</v>
      </c>
      <c r="AA839" s="2"/>
      <c r="AB839" s="2"/>
      <c r="AC839" s="2"/>
      <c r="AD839" s="2"/>
    </row>
    <row r="840" spans="1:30" ht="12" customHeight="1">
      <c r="A840" s="828" t="s">
        <v>17534</v>
      </c>
      <c r="B840" s="3" t="s">
        <v>3098</v>
      </c>
      <c r="C840" s="1" t="s">
        <v>3106</v>
      </c>
      <c r="D840" s="5">
        <f t="shared" si="13"/>
        <v>65</v>
      </c>
      <c r="E840" s="2" t="s">
        <v>5</v>
      </c>
      <c r="F840" s="2" t="s">
        <v>15273</v>
      </c>
      <c r="G840" s="3" t="s">
        <v>3107</v>
      </c>
      <c r="H840" s="1"/>
      <c r="I840" s="1"/>
      <c r="J840" s="4" t="s">
        <v>16117</v>
      </c>
      <c r="K840" s="1"/>
      <c r="L840" s="1" t="s">
        <v>25</v>
      </c>
      <c r="M840" s="825">
        <v>6</v>
      </c>
      <c r="N840" s="17">
        <v>6</v>
      </c>
      <c r="O840" s="3" t="s">
        <v>7</v>
      </c>
      <c r="P840" s="20">
        <v>17178</v>
      </c>
      <c r="Q840" s="3" t="s">
        <v>3108</v>
      </c>
      <c r="R840" s="3" t="s">
        <v>3109</v>
      </c>
      <c r="S840" s="3"/>
      <c r="T840" s="3" t="s">
        <v>145</v>
      </c>
      <c r="U840" s="2"/>
      <c r="V840" s="2" t="s">
        <v>145</v>
      </c>
      <c r="W840" s="2"/>
      <c r="X840" s="2"/>
      <c r="Y840" s="2"/>
      <c r="Z840" s="2"/>
      <c r="AA840" s="2"/>
      <c r="AB840" s="2"/>
      <c r="AC840" s="2"/>
      <c r="AD840" s="2"/>
    </row>
    <row r="841" spans="1:30" ht="12" customHeight="1">
      <c r="A841" s="828" t="s">
        <v>17535</v>
      </c>
      <c r="B841" s="3" t="s">
        <v>5421</v>
      </c>
      <c r="C841" s="1" t="s">
        <v>3110</v>
      </c>
      <c r="D841" s="5">
        <f t="shared" si="13"/>
        <v>36</v>
      </c>
      <c r="E841" s="2" t="s">
        <v>5</v>
      </c>
      <c r="F841" s="2"/>
      <c r="G841" s="3"/>
      <c r="H841" s="1"/>
      <c r="I841" s="1"/>
      <c r="J841" s="4" t="s">
        <v>16122</v>
      </c>
      <c r="K841" s="1" t="s">
        <v>22</v>
      </c>
      <c r="L841" s="1" t="s">
        <v>6</v>
      </c>
      <c r="M841" s="825"/>
      <c r="N841" s="17"/>
      <c r="O841" s="3" t="s">
        <v>1493</v>
      </c>
      <c r="P841" s="20">
        <v>27870</v>
      </c>
      <c r="Q841" s="3" t="s">
        <v>3111</v>
      </c>
      <c r="R841" s="3"/>
      <c r="S841" s="3"/>
      <c r="T841" s="3"/>
      <c r="U841" s="2"/>
      <c r="V841" s="2"/>
      <c r="W841" s="2"/>
      <c r="X841" s="2"/>
      <c r="Y841" s="2"/>
      <c r="Z841" s="2"/>
      <c r="AA841" s="2"/>
      <c r="AB841" s="2"/>
      <c r="AC841" s="2"/>
      <c r="AD841" s="2"/>
    </row>
    <row r="842" spans="1:30" ht="12" customHeight="1">
      <c r="A842" s="828" t="s">
        <v>17536</v>
      </c>
      <c r="B842" s="3" t="s">
        <v>3117</v>
      </c>
      <c r="C842" s="1" t="s">
        <v>3120</v>
      </c>
      <c r="D842" s="5">
        <f t="shared" si="13"/>
        <v>50</v>
      </c>
      <c r="E842" s="2" t="s">
        <v>5</v>
      </c>
      <c r="F842" s="6" t="s">
        <v>15273</v>
      </c>
      <c r="G842" s="3" t="s">
        <v>3121</v>
      </c>
      <c r="H842" s="1"/>
      <c r="I842" s="1"/>
      <c r="J842" s="8" t="s">
        <v>16127</v>
      </c>
      <c r="K842" s="1" t="s">
        <v>655</v>
      </c>
      <c r="L842" s="1" t="s">
        <v>25</v>
      </c>
      <c r="M842" s="825">
        <v>6</v>
      </c>
      <c r="N842" s="17">
        <v>6</v>
      </c>
      <c r="O842" s="3" t="s">
        <v>1493</v>
      </c>
      <c r="P842" s="20">
        <v>22766</v>
      </c>
      <c r="Q842" s="3" t="s">
        <v>16665</v>
      </c>
      <c r="R842" s="3" t="s">
        <v>3123</v>
      </c>
      <c r="S842" s="3" t="s">
        <v>736</v>
      </c>
      <c r="T842" s="3" t="s">
        <v>635</v>
      </c>
      <c r="U842" s="2"/>
      <c r="V842" s="2" t="s">
        <v>145</v>
      </c>
      <c r="W842" s="2"/>
      <c r="X842" s="2"/>
      <c r="Y842" s="2"/>
      <c r="Z842" s="2"/>
      <c r="AA842" s="2"/>
      <c r="AB842" s="2"/>
      <c r="AC842" s="2" t="s">
        <v>146</v>
      </c>
      <c r="AD842" s="2"/>
    </row>
    <row r="843" spans="1:30" ht="12" customHeight="1">
      <c r="A843" s="828" t="s">
        <v>17537</v>
      </c>
      <c r="B843" s="3" t="s">
        <v>3118</v>
      </c>
      <c r="C843" s="1" t="s">
        <v>3124</v>
      </c>
      <c r="D843" s="5">
        <f t="shared" si="13"/>
        <v>50</v>
      </c>
      <c r="E843" s="2" t="s">
        <v>5</v>
      </c>
      <c r="F843" s="2" t="s">
        <v>15273</v>
      </c>
      <c r="G843" s="3"/>
      <c r="H843" s="1"/>
      <c r="I843" s="1"/>
      <c r="J843" s="8" t="s">
        <v>16120</v>
      </c>
      <c r="K843" s="1" t="s">
        <v>30</v>
      </c>
      <c r="L843" s="1" t="s">
        <v>6</v>
      </c>
      <c r="M843" s="825"/>
      <c r="N843" s="17"/>
      <c r="O843" s="3" t="s">
        <v>2085</v>
      </c>
      <c r="P843" s="20">
        <v>22864</v>
      </c>
      <c r="Q843" s="3" t="s">
        <v>3125</v>
      </c>
      <c r="R843" s="3"/>
      <c r="S843" s="3"/>
      <c r="T843" s="3"/>
      <c r="U843" s="2"/>
      <c r="V843" s="2"/>
      <c r="W843" s="2"/>
      <c r="X843" s="2"/>
      <c r="Y843" s="2"/>
      <c r="Z843" s="2"/>
      <c r="AA843" s="2"/>
      <c r="AB843" s="2"/>
      <c r="AC843" s="2"/>
      <c r="AD843" s="2"/>
    </row>
    <row r="844" spans="1:30" ht="12" customHeight="1">
      <c r="A844" s="828" t="s">
        <v>17538</v>
      </c>
      <c r="B844" s="3" t="s">
        <v>3119</v>
      </c>
      <c r="C844" s="1" t="s">
        <v>3126</v>
      </c>
      <c r="D844" s="5">
        <f t="shared" si="13"/>
        <v>45</v>
      </c>
      <c r="E844" s="2" t="s">
        <v>5</v>
      </c>
      <c r="F844" s="2"/>
      <c r="G844" s="3"/>
      <c r="H844" s="1"/>
      <c r="I844" s="1"/>
      <c r="J844" s="4" t="s">
        <v>16117</v>
      </c>
      <c r="K844" s="1"/>
      <c r="L844" s="1" t="s">
        <v>6</v>
      </c>
      <c r="M844" s="825"/>
      <c r="N844" s="17"/>
      <c r="O844" s="3" t="s">
        <v>1493</v>
      </c>
      <c r="P844" s="20">
        <v>24639</v>
      </c>
      <c r="Q844" s="3" t="s">
        <v>3127</v>
      </c>
      <c r="R844" s="3"/>
      <c r="S844" s="3"/>
      <c r="T844" s="3"/>
      <c r="U844" s="2"/>
      <c r="V844" s="2"/>
      <c r="W844" s="2"/>
      <c r="X844" s="2"/>
      <c r="Y844" s="2"/>
      <c r="Z844" s="2"/>
      <c r="AA844" s="2"/>
      <c r="AB844" s="2"/>
      <c r="AC844" s="2"/>
      <c r="AD844" s="2"/>
    </row>
    <row r="845" spans="1:30" ht="12" customHeight="1">
      <c r="A845" s="828" t="s">
        <v>17539</v>
      </c>
      <c r="B845" s="3" t="s">
        <v>5466</v>
      </c>
      <c r="C845" s="1" t="s">
        <v>5467</v>
      </c>
      <c r="D845" s="5">
        <f t="shared" si="13"/>
        <v>33</v>
      </c>
      <c r="E845" s="2" t="s">
        <v>5</v>
      </c>
      <c r="F845" s="2" t="s">
        <v>15273</v>
      </c>
      <c r="G845" s="3"/>
      <c r="H845" s="1"/>
      <c r="I845" s="1"/>
      <c r="J845" s="8" t="s">
        <v>16121</v>
      </c>
      <c r="K845" s="1"/>
      <c r="L845" s="1" t="s">
        <v>6</v>
      </c>
      <c r="M845" s="825"/>
      <c r="N845" s="17"/>
      <c r="O845" s="3" t="s">
        <v>1493</v>
      </c>
      <c r="P845" s="21">
        <v>28981</v>
      </c>
      <c r="Q845" s="3" t="s">
        <v>5469</v>
      </c>
      <c r="R845" s="3"/>
      <c r="S845" s="3"/>
      <c r="T845" s="3"/>
      <c r="U845" s="2"/>
      <c r="V845" s="2"/>
      <c r="W845" s="2"/>
      <c r="X845" s="2"/>
      <c r="Y845" s="2"/>
      <c r="Z845" s="2"/>
      <c r="AA845" s="2"/>
      <c r="AB845" s="2"/>
      <c r="AC845" s="2"/>
      <c r="AD845" s="2"/>
    </row>
    <row r="846" spans="1:30" ht="12" customHeight="1">
      <c r="A846" s="828" t="s">
        <v>17540</v>
      </c>
      <c r="B846" s="3" t="s">
        <v>3128</v>
      </c>
      <c r="C846" s="1" t="s">
        <v>3132</v>
      </c>
      <c r="D846" s="5">
        <f t="shared" si="13"/>
        <v>38</v>
      </c>
      <c r="E846" s="2" t="s">
        <v>5</v>
      </c>
      <c r="F846" s="6" t="s">
        <v>15273</v>
      </c>
      <c r="G846" s="3" t="s">
        <v>3133</v>
      </c>
      <c r="H846" s="1"/>
      <c r="I846" s="1"/>
      <c r="J846" s="8" t="s">
        <v>16127</v>
      </c>
      <c r="K846" s="1" t="s">
        <v>44</v>
      </c>
      <c r="L846" s="1" t="s">
        <v>25</v>
      </c>
      <c r="M846" s="825">
        <v>3</v>
      </c>
      <c r="N846" s="17">
        <v>3</v>
      </c>
      <c r="O846" s="3" t="s">
        <v>7</v>
      </c>
      <c r="P846" s="20">
        <v>27239</v>
      </c>
      <c r="Q846" s="3" t="s">
        <v>3134</v>
      </c>
      <c r="R846" s="3" t="s">
        <v>247</v>
      </c>
      <c r="S846" s="3" t="s">
        <v>736</v>
      </c>
      <c r="T846" s="3"/>
      <c r="U846" s="2"/>
      <c r="V846" s="2"/>
      <c r="W846" s="2"/>
      <c r="X846" s="2"/>
      <c r="Y846" s="2"/>
      <c r="Z846" s="2"/>
      <c r="AA846" s="2"/>
      <c r="AB846" s="2"/>
      <c r="AC846" s="2"/>
      <c r="AD846" s="2"/>
    </row>
    <row r="847" spans="1:30" ht="12" customHeight="1">
      <c r="A847" s="828" t="s">
        <v>17541</v>
      </c>
      <c r="B847" s="3" t="s">
        <v>3129</v>
      </c>
      <c r="C847" s="1" t="s">
        <v>3136</v>
      </c>
      <c r="D847" s="5">
        <f t="shared" si="13"/>
        <v>31</v>
      </c>
      <c r="E847" s="2" t="s">
        <v>5</v>
      </c>
      <c r="F847" s="2" t="s">
        <v>15273</v>
      </c>
      <c r="G847" s="3"/>
      <c r="H847" s="1"/>
      <c r="I847" s="1"/>
      <c r="J847" s="4" t="s">
        <v>16120</v>
      </c>
      <c r="K847" s="1" t="s">
        <v>30</v>
      </c>
      <c r="L847" s="1" t="s">
        <v>6</v>
      </c>
      <c r="M847" s="825"/>
      <c r="N847" s="17"/>
      <c r="O847" s="3" t="s">
        <v>188</v>
      </c>
      <c r="P847" s="20">
        <v>29603</v>
      </c>
      <c r="Q847" s="3" t="s">
        <v>3137</v>
      </c>
      <c r="R847" s="3"/>
      <c r="S847" s="3"/>
      <c r="T847" s="3"/>
      <c r="U847" s="2"/>
      <c r="V847" s="2"/>
      <c r="W847" s="2"/>
      <c r="X847" s="2"/>
      <c r="Y847" s="2"/>
      <c r="Z847" s="2"/>
      <c r="AA847" s="2"/>
      <c r="AB847" s="2"/>
      <c r="AC847" s="2"/>
      <c r="AD847" s="2"/>
    </row>
    <row r="848" spans="1:30" ht="12" customHeight="1">
      <c r="A848" s="828" t="s">
        <v>17542</v>
      </c>
      <c r="B848" s="3" t="s">
        <v>3130</v>
      </c>
      <c r="C848" s="1" t="s">
        <v>5522</v>
      </c>
      <c r="D848" s="5">
        <f t="shared" si="13"/>
        <v>47</v>
      </c>
      <c r="E848" s="2" t="s">
        <v>5</v>
      </c>
      <c r="F848" s="2" t="s">
        <v>15273</v>
      </c>
      <c r="G848" s="3"/>
      <c r="H848" s="1"/>
      <c r="I848" s="1"/>
      <c r="J848" s="4" t="s">
        <v>16116</v>
      </c>
      <c r="K848" s="1" t="s">
        <v>4997</v>
      </c>
      <c r="L848" s="1" t="s">
        <v>6</v>
      </c>
      <c r="M848" s="825"/>
      <c r="N848" s="17"/>
      <c r="O848" s="3" t="s">
        <v>1493</v>
      </c>
      <c r="P848" s="21">
        <v>24013</v>
      </c>
      <c r="Q848" s="3" t="s">
        <v>5523</v>
      </c>
      <c r="R848" s="3"/>
      <c r="S848" s="3" t="s">
        <v>469</v>
      </c>
      <c r="T848" s="3"/>
      <c r="U848" s="2"/>
      <c r="V848" s="2"/>
      <c r="W848" s="2"/>
      <c r="X848" s="2"/>
      <c r="Y848" s="2"/>
      <c r="Z848" s="2"/>
      <c r="AA848" s="2"/>
      <c r="AB848" s="2"/>
      <c r="AC848" s="2"/>
      <c r="AD848" s="2"/>
    </row>
    <row r="849" spans="1:30" ht="12" customHeight="1">
      <c r="A849" s="828" t="s">
        <v>17543</v>
      </c>
      <c r="B849" s="3" t="s">
        <v>3131</v>
      </c>
      <c r="C849" s="1" t="s">
        <v>3138</v>
      </c>
      <c r="D849" s="5">
        <f t="shared" si="13"/>
        <v>62</v>
      </c>
      <c r="E849" s="2" t="s">
        <v>19</v>
      </c>
      <c r="F849" s="2"/>
      <c r="G849" s="3"/>
      <c r="H849" s="1"/>
      <c r="I849" s="1"/>
      <c r="J849" s="4" t="s">
        <v>16117</v>
      </c>
      <c r="K849" s="1"/>
      <c r="L849" s="1" t="s">
        <v>6</v>
      </c>
      <c r="M849" s="825"/>
      <c r="N849" s="17"/>
      <c r="O849" s="3" t="s">
        <v>1583</v>
      </c>
      <c r="P849" s="20">
        <v>18253</v>
      </c>
      <c r="Q849" s="3" t="s">
        <v>3139</v>
      </c>
      <c r="R849" s="3"/>
      <c r="S849" s="3"/>
      <c r="T849" s="3"/>
      <c r="U849" s="2"/>
      <c r="V849" s="2"/>
      <c r="W849" s="2"/>
      <c r="X849" s="2"/>
      <c r="Y849" s="2"/>
      <c r="Z849" s="2"/>
      <c r="AA849" s="2"/>
      <c r="AB849" s="2"/>
      <c r="AC849" s="2"/>
      <c r="AD849" s="2"/>
    </row>
    <row r="850" spans="1:30" ht="12" customHeight="1">
      <c r="A850" s="828" t="s">
        <v>17544</v>
      </c>
      <c r="B850" s="3" t="s">
        <v>3141</v>
      </c>
      <c r="C850" s="1" t="s">
        <v>3148</v>
      </c>
      <c r="D850" s="5">
        <f t="shared" si="13"/>
        <v>45</v>
      </c>
      <c r="E850" s="2" t="s">
        <v>5</v>
      </c>
      <c r="F850" s="6" t="s">
        <v>15273</v>
      </c>
      <c r="G850" s="3" t="s">
        <v>3149</v>
      </c>
      <c r="H850" s="1"/>
      <c r="I850" s="1"/>
      <c r="J850" s="8" t="s">
        <v>16126</v>
      </c>
      <c r="K850" s="1" t="s">
        <v>44</v>
      </c>
      <c r="L850" s="1" t="s">
        <v>25</v>
      </c>
      <c r="M850" s="825">
        <v>2</v>
      </c>
      <c r="N850" s="17">
        <v>2</v>
      </c>
      <c r="O850" s="3" t="s">
        <v>1493</v>
      </c>
      <c r="P850" s="20">
        <v>24504</v>
      </c>
      <c r="Q850" s="3" t="s">
        <v>3150</v>
      </c>
      <c r="R850" s="3" t="s">
        <v>3151</v>
      </c>
      <c r="S850" s="3" t="s">
        <v>736</v>
      </c>
      <c r="T850" s="3" t="s">
        <v>47</v>
      </c>
      <c r="U850" s="2" t="s">
        <v>47</v>
      </c>
      <c r="V850" s="2"/>
      <c r="W850" s="2"/>
      <c r="X850" s="2"/>
      <c r="Y850" s="2"/>
      <c r="Z850" s="2"/>
      <c r="AA850" s="2"/>
      <c r="AB850" s="2"/>
      <c r="AC850" s="2"/>
      <c r="AD850" s="2"/>
    </row>
    <row r="851" spans="1:30" ht="12" customHeight="1">
      <c r="A851" s="828" t="s">
        <v>17545</v>
      </c>
      <c r="B851" s="3" t="s">
        <v>3142</v>
      </c>
      <c r="C851" s="1" t="s">
        <v>3152</v>
      </c>
      <c r="D851" s="5">
        <f t="shared" si="13"/>
        <v>42</v>
      </c>
      <c r="E851" s="2" t="s">
        <v>5</v>
      </c>
      <c r="F851" s="2" t="s">
        <v>15273</v>
      </c>
      <c r="G851" s="3"/>
      <c r="H851" s="1"/>
      <c r="I851" s="1"/>
      <c r="J851" s="4" t="s">
        <v>16120</v>
      </c>
      <c r="K851" s="1" t="s">
        <v>30</v>
      </c>
      <c r="L851" s="1" t="s">
        <v>6</v>
      </c>
      <c r="M851" s="825"/>
      <c r="N851" s="17"/>
      <c r="O851" s="3" t="s">
        <v>3153</v>
      </c>
      <c r="P851" s="20">
        <v>25760</v>
      </c>
      <c r="Q851" s="3" t="s">
        <v>3154</v>
      </c>
      <c r="R851" s="3"/>
      <c r="S851" s="3" t="s">
        <v>5457</v>
      </c>
      <c r="T851" s="3" t="s">
        <v>145</v>
      </c>
      <c r="U851" s="2"/>
      <c r="V851" s="2" t="s">
        <v>145</v>
      </c>
      <c r="W851" s="2"/>
      <c r="X851" s="2"/>
      <c r="Y851" s="2"/>
      <c r="Z851" s="2"/>
      <c r="AA851" s="2"/>
      <c r="AB851" s="2"/>
      <c r="AC851" s="2"/>
      <c r="AD851" s="2"/>
    </row>
    <row r="852" spans="1:30" ht="12" customHeight="1">
      <c r="A852" s="828" t="s">
        <v>17546</v>
      </c>
      <c r="B852" s="3" t="s">
        <v>3143</v>
      </c>
      <c r="C852" s="1" t="s">
        <v>3160</v>
      </c>
      <c r="D852" s="5">
        <f t="shared" si="13"/>
        <v>63</v>
      </c>
      <c r="E852" s="2" t="s">
        <v>5</v>
      </c>
      <c r="F852" s="2" t="s">
        <v>15273</v>
      </c>
      <c r="G852" s="3" t="s">
        <v>3161</v>
      </c>
      <c r="H852" s="1"/>
      <c r="I852" s="1"/>
      <c r="J852" s="4" t="s">
        <v>16125</v>
      </c>
      <c r="K852" s="1"/>
      <c r="L852" s="1" t="s">
        <v>25</v>
      </c>
      <c r="M852" s="825">
        <v>2</v>
      </c>
      <c r="N852" s="17">
        <v>2</v>
      </c>
      <c r="O852" s="3" t="s">
        <v>317</v>
      </c>
      <c r="P852" s="20">
        <v>18132</v>
      </c>
      <c r="Q852" s="3" t="s">
        <v>3162</v>
      </c>
      <c r="R852" s="3" t="s">
        <v>4569</v>
      </c>
      <c r="S852" s="3" t="s">
        <v>5561</v>
      </c>
      <c r="T852" s="3" t="s">
        <v>47</v>
      </c>
      <c r="U852" s="2" t="s">
        <v>47</v>
      </c>
      <c r="V852" s="2"/>
      <c r="W852" s="2"/>
      <c r="X852" s="2"/>
      <c r="Y852" s="2"/>
      <c r="Z852" s="2"/>
      <c r="AA852" s="2"/>
      <c r="AB852" s="2"/>
      <c r="AC852" s="2"/>
      <c r="AD852" s="2"/>
    </row>
    <row r="853" spans="1:30" ht="12" customHeight="1">
      <c r="A853" s="828" t="s">
        <v>17547</v>
      </c>
      <c r="B853" s="3" t="s">
        <v>3144</v>
      </c>
      <c r="C853" s="1" t="s">
        <v>5630</v>
      </c>
      <c r="D853" s="5">
        <f t="shared" si="13"/>
        <v>58</v>
      </c>
      <c r="E853" s="2" t="s">
        <v>19</v>
      </c>
      <c r="F853" s="2" t="s">
        <v>15273</v>
      </c>
      <c r="G853" s="3"/>
      <c r="H853" s="1"/>
      <c r="I853" s="1"/>
      <c r="J853" s="4" t="s">
        <v>16116</v>
      </c>
      <c r="K853" s="1" t="s">
        <v>4997</v>
      </c>
      <c r="L853" s="1" t="s">
        <v>6</v>
      </c>
      <c r="M853" s="825"/>
      <c r="N853" s="17"/>
      <c r="O853" s="3" t="s">
        <v>16034</v>
      </c>
      <c r="P853" s="20">
        <v>20051</v>
      </c>
      <c r="Q853" s="3" t="s">
        <v>5631</v>
      </c>
      <c r="R853" s="3"/>
      <c r="S853" s="3"/>
      <c r="T853" s="3"/>
      <c r="U853" s="2"/>
      <c r="V853" s="2"/>
      <c r="W853" s="2"/>
      <c r="X853" s="2"/>
      <c r="Y853" s="2"/>
      <c r="Z853" s="2"/>
      <c r="AA853" s="2"/>
      <c r="AB853" s="2"/>
      <c r="AC853" s="2"/>
      <c r="AD853" s="2"/>
    </row>
    <row r="854" spans="1:30" ht="12" customHeight="1">
      <c r="A854" s="828" t="s">
        <v>17548</v>
      </c>
      <c r="B854" s="3" t="s">
        <v>3145</v>
      </c>
      <c r="C854" s="1" t="s">
        <v>3157</v>
      </c>
      <c r="D854" s="5">
        <f t="shared" si="13"/>
        <v>62</v>
      </c>
      <c r="E854" s="2" t="s">
        <v>5</v>
      </c>
      <c r="F854" s="2" t="s">
        <v>15273</v>
      </c>
      <c r="G854" s="3"/>
      <c r="H854" s="1"/>
      <c r="I854" s="1"/>
      <c r="J854" s="4" t="s">
        <v>16128</v>
      </c>
      <c r="K854" s="1"/>
      <c r="L854" s="1" t="s">
        <v>6</v>
      </c>
      <c r="M854" s="825"/>
      <c r="N854" s="17"/>
      <c r="O854" s="3" t="s">
        <v>3158</v>
      </c>
      <c r="P854" s="20">
        <v>18590</v>
      </c>
      <c r="Q854" s="3" t="s">
        <v>3159</v>
      </c>
      <c r="R854" s="3"/>
      <c r="S854" s="3"/>
      <c r="T854" s="3"/>
      <c r="U854" s="2"/>
      <c r="V854" s="2"/>
      <c r="W854" s="2"/>
      <c r="X854" s="2"/>
      <c r="Y854" s="2"/>
      <c r="Z854" s="2"/>
      <c r="AA854" s="2"/>
      <c r="AB854" s="2"/>
      <c r="AC854" s="2"/>
      <c r="AD854" s="2"/>
    </row>
    <row r="855" spans="1:30" ht="12" customHeight="1">
      <c r="A855" s="828" t="s">
        <v>17549</v>
      </c>
      <c r="B855" s="3" t="s">
        <v>3146</v>
      </c>
      <c r="C855" s="1" t="s">
        <v>3155</v>
      </c>
      <c r="D855" s="5">
        <f t="shared" si="13"/>
        <v>38</v>
      </c>
      <c r="E855" s="2" t="s">
        <v>5</v>
      </c>
      <c r="F855" s="2"/>
      <c r="G855" s="3"/>
      <c r="H855" s="1"/>
      <c r="I855" s="1"/>
      <c r="J855" s="4" t="s">
        <v>16117</v>
      </c>
      <c r="K855" s="1"/>
      <c r="L855" s="1" t="s">
        <v>6</v>
      </c>
      <c r="M855" s="825"/>
      <c r="N855" s="17"/>
      <c r="O855" s="3" t="s">
        <v>7</v>
      </c>
      <c r="P855" s="20">
        <v>27120</v>
      </c>
      <c r="Q855" s="3" t="s">
        <v>3156</v>
      </c>
      <c r="R855" s="3"/>
      <c r="S855" s="3"/>
      <c r="T855" s="3"/>
      <c r="U855" s="2"/>
      <c r="V855" s="2"/>
      <c r="W855" s="2"/>
      <c r="X855" s="2"/>
      <c r="Y855" s="2"/>
      <c r="Z855" s="2"/>
      <c r="AA855" s="2"/>
      <c r="AB855" s="2"/>
      <c r="AC855" s="2"/>
      <c r="AD855" s="2"/>
    </row>
    <row r="856" spans="1:30" ht="12" customHeight="1">
      <c r="A856" s="828" t="s">
        <v>17550</v>
      </c>
      <c r="B856" s="3" t="s">
        <v>3147</v>
      </c>
      <c r="C856" s="1" t="s">
        <v>3163</v>
      </c>
      <c r="D856" s="5">
        <f t="shared" si="13"/>
        <v>30</v>
      </c>
      <c r="E856" s="2" t="s">
        <v>19</v>
      </c>
      <c r="F856" s="2"/>
      <c r="G856" s="3"/>
      <c r="H856" s="1"/>
      <c r="I856" s="1"/>
      <c r="J856" s="4" t="s">
        <v>16122</v>
      </c>
      <c r="K856" s="1" t="s">
        <v>22</v>
      </c>
      <c r="L856" s="1" t="s">
        <v>6</v>
      </c>
      <c r="M856" s="825"/>
      <c r="N856" s="17"/>
      <c r="O856" s="3" t="s">
        <v>3164</v>
      </c>
      <c r="P856" s="20">
        <v>30087</v>
      </c>
      <c r="Q856" s="3" t="s">
        <v>3165</v>
      </c>
      <c r="R856" s="3"/>
      <c r="S856" s="3"/>
      <c r="T856" s="3"/>
      <c r="U856" s="2"/>
      <c r="V856" s="2"/>
      <c r="W856" s="2"/>
      <c r="X856" s="2"/>
      <c r="Y856" s="2"/>
      <c r="Z856" s="2"/>
      <c r="AA856" s="2"/>
      <c r="AB856" s="2"/>
      <c r="AC856" s="2"/>
      <c r="AD856" s="2"/>
    </row>
    <row r="857" spans="1:30" ht="12" customHeight="1">
      <c r="A857" s="828" t="s">
        <v>17551</v>
      </c>
      <c r="B857" s="3" t="s">
        <v>5629</v>
      </c>
      <c r="C857" s="1" t="s">
        <v>3166</v>
      </c>
      <c r="D857" s="5">
        <f t="shared" si="13"/>
        <v>61</v>
      </c>
      <c r="E857" s="2" t="s">
        <v>5</v>
      </c>
      <c r="F857" s="2"/>
      <c r="G857" s="3"/>
      <c r="H857" s="1"/>
      <c r="I857" s="1"/>
      <c r="J857" s="4" t="s">
        <v>16129</v>
      </c>
      <c r="K857" s="1" t="s">
        <v>97</v>
      </c>
      <c r="L857" s="1" t="s">
        <v>14</v>
      </c>
      <c r="M857" s="825">
        <v>1</v>
      </c>
      <c r="N857" s="17">
        <v>1</v>
      </c>
      <c r="O857" s="3" t="s">
        <v>3168</v>
      </c>
      <c r="P857" s="20">
        <v>18890</v>
      </c>
      <c r="Q857" s="3" t="s">
        <v>3169</v>
      </c>
      <c r="R857" s="3"/>
      <c r="S857" s="3"/>
      <c r="T857" s="3" t="s">
        <v>371</v>
      </c>
      <c r="U857" s="2"/>
      <c r="V857" s="2" t="s">
        <v>145</v>
      </c>
      <c r="W857" s="2" t="s">
        <v>75</v>
      </c>
      <c r="X857" s="2"/>
      <c r="Y857" s="2"/>
      <c r="Z857" s="2"/>
      <c r="AA857" s="2"/>
      <c r="AB857" s="2"/>
      <c r="AC857" s="2"/>
      <c r="AD857" s="2"/>
    </row>
    <row r="858" spans="1:30" ht="12" customHeight="1">
      <c r="A858" s="828" t="s">
        <v>17552</v>
      </c>
      <c r="B858" s="3" t="s">
        <v>3172</v>
      </c>
      <c r="C858" s="1" t="s">
        <v>3175</v>
      </c>
      <c r="D858" s="5">
        <f t="shared" si="13"/>
        <v>38</v>
      </c>
      <c r="E858" s="2" t="s">
        <v>19</v>
      </c>
      <c r="F858" s="6" t="s">
        <v>15273</v>
      </c>
      <c r="G858" s="3" t="s">
        <v>3176</v>
      </c>
      <c r="H858" s="1"/>
      <c r="I858" s="1"/>
      <c r="J858" s="8" t="s">
        <v>16127</v>
      </c>
      <c r="K858" s="1" t="s">
        <v>44</v>
      </c>
      <c r="L858" s="1" t="s">
        <v>25</v>
      </c>
      <c r="M858" s="825">
        <v>1</v>
      </c>
      <c r="N858" s="17">
        <v>1</v>
      </c>
      <c r="O858" s="3" t="s">
        <v>1282</v>
      </c>
      <c r="P858" s="20">
        <v>27220</v>
      </c>
      <c r="Q858" s="3" t="s">
        <v>16666</v>
      </c>
      <c r="R858" s="3"/>
      <c r="S858" s="3"/>
      <c r="T858" s="3" t="s">
        <v>146</v>
      </c>
      <c r="U858" s="2"/>
      <c r="V858" s="2"/>
      <c r="W858" s="2"/>
      <c r="X858" s="2"/>
      <c r="Y858" s="2"/>
      <c r="Z858" s="2"/>
      <c r="AA858" s="2"/>
      <c r="AB858" s="2"/>
      <c r="AC858" s="2" t="s">
        <v>146</v>
      </c>
      <c r="AD858" s="2"/>
    </row>
    <row r="859" spans="1:30" ht="12" customHeight="1">
      <c r="A859" s="828" t="s">
        <v>17553</v>
      </c>
      <c r="B859" s="3" t="s">
        <v>3173</v>
      </c>
      <c r="C859" s="1" t="s">
        <v>3177</v>
      </c>
      <c r="D859" s="5">
        <f t="shared" si="13"/>
        <v>67</v>
      </c>
      <c r="E859" s="2" t="s">
        <v>5</v>
      </c>
      <c r="F859" s="2" t="s">
        <v>15273</v>
      </c>
      <c r="G859" s="3" t="s">
        <v>3178</v>
      </c>
      <c r="H859" s="1"/>
      <c r="I859" s="1"/>
      <c r="J859" s="8" t="s">
        <v>16120</v>
      </c>
      <c r="K859" s="1" t="s">
        <v>30</v>
      </c>
      <c r="L859" s="1" t="s">
        <v>25</v>
      </c>
      <c r="M859" s="825">
        <v>10</v>
      </c>
      <c r="N859" s="17">
        <v>10</v>
      </c>
      <c r="O859" s="3" t="s">
        <v>317</v>
      </c>
      <c r="P859" s="20">
        <v>16503</v>
      </c>
      <c r="Q859" s="3" t="s">
        <v>727</v>
      </c>
      <c r="R859" s="3" t="s">
        <v>3180</v>
      </c>
      <c r="S859" s="3" t="s">
        <v>5457</v>
      </c>
      <c r="T859" s="3" t="s">
        <v>3181</v>
      </c>
      <c r="U859" s="2"/>
      <c r="V859" s="2"/>
      <c r="W859" s="2"/>
      <c r="X859" s="2"/>
      <c r="Y859" s="2"/>
      <c r="Z859" s="2"/>
      <c r="AA859" s="2" t="s">
        <v>104</v>
      </c>
      <c r="AB859" s="2" t="s">
        <v>147</v>
      </c>
      <c r="AC859" s="2"/>
      <c r="AD859" s="2"/>
    </row>
    <row r="860" spans="1:30" ht="12" customHeight="1">
      <c r="A860" s="828" t="s">
        <v>17554</v>
      </c>
      <c r="B860" s="3" t="s">
        <v>3174</v>
      </c>
      <c r="C860" s="1" t="s">
        <v>5800</v>
      </c>
      <c r="D860" s="5">
        <f t="shared" si="13"/>
        <v>65</v>
      </c>
      <c r="E860" s="2" t="s">
        <v>5</v>
      </c>
      <c r="F860" s="2" t="s">
        <v>15273</v>
      </c>
      <c r="G860" s="3"/>
      <c r="H860" s="1"/>
      <c r="I860" s="1"/>
      <c r="J860" s="4" t="s">
        <v>16125</v>
      </c>
      <c r="K860" s="1"/>
      <c r="L860" s="1" t="s">
        <v>6</v>
      </c>
      <c r="M860" s="825"/>
      <c r="N860" s="17"/>
      <c r="O860" s="3" t="s">
        <v>188</v>
      </c>
      <c r="P860" s="20">
        <v>17458</v>
      </c>
      <c r="Q860" s="3" t="s">
        <v>5801</v>
      </c>
      <c r="R860" s="3"/>
      <c r="S860" s="3" t="s">
        <v>5561</v>
      </c>
      <c r="T860" s="3" t="s">
        <v>155</v>
      </c>
      <c r="U860" s="2"/>
      <c r="V860" s="2"/>
      <c r="W860" s="2"/>
      <c r="X860" s="2"/>
      <c r="Y860" s="2" t="s">
        <v>155</v>
      </c>
      <c r="Z860" s="2"/>
      <c r="AA860" s="2"/>
      <c r="AB860" s="2"/>
      <c r="AC860" s="2"/>
      <c r="AD860" s="2"/>
    </row>
    <row r="861" spans="1:30" ht="12" customHeight="1">
      <c r="A861" s="828" t="s">
        <v>17555</v>
      </c>
      <c r="B861" s="3" t="s">
        <v>5799</v>
      </c>
      <c r="C861" s="1" t="s">
        <v>3183</v>
      </c>
      <c r="D861" s="5">
        <f t="shared" si="13"/>
        <v>62</v>
      </c>
      <c r="E861" s="2" t="s">
        <v>19</v>
      </c>
      <c r="F861" s="2"/>
      <c r="G861" s="3"/>
      <c r="H861" s="1"/>
      <c r="I861" s="1"/>
      <c r="J861" s="4" t="s">
        <v>16117</v>
      </c>
      <c r="K861" s="1"/>
      <c r="L861" s="1" t="s">
        <v>6</v>
      </c>
      <c r="M861" s="825"/>
      <c r="N861" s="17"/>
      <c r="O861" s="3" t="s">
        <v>3184</v>
      </c>
      <c r="P861" s="20">
        <v>18588</v>
      </c>
      <c r="Q861" s="3" t="s">
        <v>3185</v>
      </c>
      <c r="R861" s="3"/>
      <c r="S861" s="3"/>
      <c r="T861" s="3" t="s">
        <v>145</v>
      </c>
      <c r="U861" s="2"/>
      <c r="V861" s="2" t="s">
        <v>145</v>
      </c>
      <c r="W861" s="2"/>
      <c r="X861" s="2"/>
      <c r="Y861" s="2"/>
      <c r="Z861" s="2"/>
      <c r="AA861" s="2"/>
      <c r="AB861" s="2"/>
      <c r="AC861" s="2"/>
      <c r="AD861" s="2"/>
    </row>
    <row r="862" spans="1:30" ht="12" customHeight="1">
      <c r="A862" s="828" t="s">
        <v>17556</v>
      </c>
      <c r="B862" s="3" t="s">
        <v>3186</v>
      </c>
      <c r="C862" s="1" t="s">
        <v>3189</v>
      </c>
      <c r="D862" s="5">
        <f t="shared" si="13"/>
        <v>50</v>
      </c>
      <c r="E862" s="2" t="s">
        <v>5</v>
      </c>
      <c r="F862" s="6" t="s">
        <v>15273</v>
      </c>
      <c r="G862" s="3" t="s">
        <v>3190</v>
      </c>
      <c r="H862" s="1"/>
      <c r="I862" s="1"/>
      <c r="J862" s="8" t="s">
        <v>16127</v>
      </c>
      <c r="K862" s="1" t="s">
        <v>655</v>
      </c>
      <c r="L862" s="1" t="s">
        <v>25</v>
      </c>
      <c r="M862" s="825">
        <v>4</v>
      </c>
      <c r="N862" s="17">
        <v>4</v>
      </c>
      <c r="O862" s="3" t="s">
        <v>1282</v>
      </c>
      <c r="P862" s="20">
        <v>22652</v>
      </c>
      <c r="Q862" s="3" t="s">
        <v>16667</v>
      </c>
      <c r="R862" s="3" t="s">
        <v>3191</v>
      </c>
      <c r="S862" s="3" t="s">
        <v>736</v>
      </c>
      <c r="T862" s="3" t="s">
        <v>146</v>
      </c>
      <c r="U862" s="2"/>
      <c r="V862" s="2"/>
      <c r="W862" s="2"/>
      <c r="X862" s="2"/>
      <c r="Y862" s="2"/>
      <c r="Z862" s="2"/>
      <c r="AA862" s="2"/>
      <c r="AB862" s="2"/>
      <c r="AC862" s="2" t="s">
        <v>146</v>
      </c>
      <c r="AD862" s="2"/>
    </row>
    <row r="863" spans="1:30" ht="12" customHeight="1">
      <c r="A863" s="828" t="s">
        <v>17557</v>
      </c>
      <c r="B863" s="3" t="s">
        <v>3187</v>
      </c>
      <c r="C863" s="1" t="s">
        <v>3192</v>
      </c>
      <c r="D863" s="5">
        <f t="shared" si="13"/>
        <v>47</v>
      </c>
      <c r="E863" s="2" t="s">
        <v>5</v>
      </c>
      <c r="F863" s="2" t="s">
        <v>15273</v>
      </c>
      <c r="G863" s="3"/>
      <c r="H863" s="1"/>
      <c r="I863" s="1"/>
      <c r="J863" s="4" t="s">
        <v>16120</v>
      </c>
      <c r="K863" s="1" t="s">
        <v>30</v>
      </c>
      <c r="L863" s="1" t="s">
        <v>6</v>
      </c>
      <c r="M863" s="825"/>
      <c r="N863" s="17"/>
      <c r="O863" s="3" t="s">
        <v>31</v>
      </c>
      <c r="P863" s="20">
        <v>23829</v>
      </c>
      <c r="Q863" s="3" t="s">
        <v>3193</v>
      </c>
      <c r="R863" s="3"/>
      <c r="S863" s="3"/>
      <c r="T863" s="3"/>
      <c r="U863" s="2"/>
      <c r="V863" s="2"/>
      <c r="W863" s="2"/>
      <c r="X863" s="2"/>
      <c r="Y863" s="2"/>
      <c r="Z863" s="2"/>
      <c r="AA863" s="2"/>
      <c r="AB863" s="2"/>
      <c r="AC863" s="2"/>
      <c r="AD863" s="2"/>
    </row>
    <row r="864" spans="1:30" ht="12" customHeight="1">
      <c r="A864" s="828" t="s">
        <v>17558</v>
      </c>
      <c r="B864" s="3" t="s">
        <v>3188</v>
      </c>
      <c r="C864" s="1" t="s">
        <v>5510</v>
      </c>
      <c r="D864" s="5">
        <f t="shared" si="13"/>
        <v>66</v>
      </c>
      <c r="E864" s="2" t="s">
        <v>5</v>
      </c>
      <c r="F864" s="2" t="s">
        <v>15273</v>
      </c>
      <c r="G864" s="3"/>
      <c r="H864" s="1"/>
      <c r="I864" s="1"/>
      <c r="J864" s="4" t="s">
        <v>16116</v>
      </c>
      <c r="K864" s="1" t="s">
        <v>276</v>
      </c>
      <c r="L864" s="1" t="s">
        <v>14</v>
      </c>
      <c r="M864" s="825">
        <v>1</v>
      </c>
      <c r="N864" s="17">
        <v>1</v>
      </c>
      <c r="O864" s="3" t="s">
        <v>3140</v>
      </c>
      <c r="P864" s="21">
        <v>16866</v>
      </c>
      <c r="Q864" s="3" t="s">
        <v>5512</v>
      </c>
      <c r="R864" s="3"/>
      <c r="S864" s="3"/>
      <c r="T864" s="3" t="s">
        <v>145</v>
      </c>
      <c r="U864" s="2"/>
      <c r="V864" s="2" t="s">
        <v>145</v>
      </c>
      <c r="W864" s="2"/>
      <c r="X864" s="2"/>
      <c r="Y864" s="2"/>
      <c r="Z864" s="2"/>
      <c r="AA864" s="2"/>
      <c r="AB864" s="2"/>
      <c r="AC864" s="2"/>
      <c r="AD864" s="2"/>
    </row>
    <row r="865" spans="1:30" ht="12" customHeight="1">
      <c r="A865" s="828" t="s">
        <v>17559</v>
      </c>
      <c r="B865" s="3" t="s">
        <v>5509</v>
      </c>
      <c r="C865" s="1" t="s">
        <v>3196</v>
      </c>
      <c r="D865" s="5">
        <f t="shared" si="13"/>
        <v>26</v>
      </c>
      <c r="E865" s="2" t="s">
        <v>5</v>
      </c>
      <c r="F865" s="2"/>
      <c r="G865" s="3"/>
      <c r="H865" s="1"/>
      <c r="I865" s="1"/>
      <c r="J865" s="4" t="s">
        <v>16117</v>
      </c>
      <c r="K865" s="1"/>
      <c r="L865" s="1" t="s">
        <v>6</v>
      </c>
      <c r="M865" s="825"/>
      <c r="N865" s="17"/>
      <c r="O865" s="3" t="s">
        <v>3009</v>
      </c>
      <c r="P865" s="21">
        <v>31465</v>
      </c>
      <c r="Q865" s="3" t="s">
        <v>3198</v>
      </c>
      <c r="R865" s="3"/>
      <c r="S865" s="3"/>
      <c r="T865" s="3"/>
      <c r="U865" s="2"/>
      <c r="V865" s="2"/>
      <c r="W865" s="2"/>
      <c r="X865" s="2"/>
      <c r="Y865" s="2"/>
      <c r="Z865" s="2"/>
      <c r="AA865" s="2"/>
      <c r="AB865" s="2"/>
      <c r="AC865" s="2"/>
      <c r="AD865" s="2"/>
    </row>
    <row r="866" spans="1:30" ht="12" customHeight="1">
      <c r="A866" s="828" t="s">
        <v>17560</v>
      </c>
      <c r="B866" s="3" t="s">
        <v>3199</v>
      </c>
      <c r="C866" s="1" t="s">
        <v>5453</v>
      </c>
      <c r="D866" s="5">
        <f t="shared" si="13"/>
        <v>32</v>
      </c>
      <c r="E866" s="2" t="s">
        <v>19</v>
      </c>
      <c r="F866" s="6" t="s">
        <v>15273</v>
      </c>
      <c r="G866" s="3"/>
      <c r="H866" s="1"/>
      <c r="I866" s="1"/>
      <c r="J866" s="8" t="s">
        <v>16126</v>
      </c>
      <c r="K866" s="1" t="s">
        <v>44</v>
      </c>
      <c r="L866" s="1" t="s">
        <v>6</v>
      </c>
      <c r="M866" s="825"/>
      <c r="N866" s="17"/>
      <c r="O866" s="3" t="s">
        <v>3539</v>
      </c>
      <c r="P866" s="20">
        <v>29428</v>
      </c>
      <c r="Q866" s="3" t="s">
        <v>5454</v>
      </c>
      <c r="R866" s="3"/>
      <c r="S866" s="3" t="s">
        <v>736</v>
      </c>
      <c r="T866" s="3" t="s">
        <v>145</v>
      </c>
      <c r="U866" s="2"/>
      <c r="V866" s="2" t="s">
        <v>145</v>
      </c>
      <c r="W866" s="2"/>
      <c r="X866" s="2"/>
      <c r="Y866" s="2"/>
      <c r="Z866" s="2"/>
      <c r="AA866" s="2"/>
      <c r="AB866" s="2"/>
      <c r="AC866" s="2"/>
      <c r="AD866" s="2"/>
    </row>
    <row r="867" spans="1:30" ht="12" customHeight="1">
      <c r="A867" s="828" t="s">
        <v>17561</v>
      </c>
      <c r="B867" s="3" t="s">
        <v>3200</v>
      </c>
      <c r="C867" s="1" t="s">
        <v>3208</v>
      </c>
      <c r="D867" s="5">
        <f t="shared" si="13"/>
        <v>45</v>
      </c>
      <c r="E867" s="2" t="s">
        <v>5</v>
      </c>
      <c r="F867" s="2" t="s">
        <v>15273</v>
      </c>
      <c r="G867" s="3"/>
      <c r="H867" s="1"/>
      <c r="I867" s="1"/>
      <c r="J867" s="4" t="s">
        <v>16120</v>
      </c>
      <c r="K867" s="1" t="s">
        <v>30</v>
      </c>
      <c r="L867" s="1" t="s">
        <v>6</v>
      </c>
      <c r="M867" s="825"/>
      <c r="N867" s="17"/>
      <c r="O867" s="3" t="s">
        <v>3209</v>
      </c>
      <c r="P867" s="20">
        <v>24668</v>
      </c>
      <c r="Q867" s="3" t="s">
        <v>3210</v>
      </c>
      <c r="R867" s="3"/>
      <c r="S867" s="3"/>
      <c r="T867" s="3" t="s">
        <v>145</v>
      </c>
      <c r="U867" s="2"/>
      <c r="V867" s="2" t="s">
        <v>145</v>
      </c>
      <c r="W867" s="2"/>
      <c r="X867" s="2"/>
      <c r="Y867" s="2"/>
      <c r="Z867" s="2"/>
      <c r="AA867" s="2"/>
      <c r="AB867" s="2"/>
      <c r="AC867" s="2"/>
      <c r="AD867" s="2"/>
    </row>
    <row r="868" spans="1:30" ht="12" customHeight="1">
      <c r="A868" s="828" t="s">
        <v>17562</v>
      </c>
      <c r="B868" s="3" t="s">
        <v>3201</v>
      </c>
      <c r="C868" s="1" t="s">
        <v>3217</v>
      </c>
      <c r="D868" s="5">
        <f t="shared" si="13"/>
        <v>41</v>
      </c>
      <c r="E868" s="2" t="s">
        <v>5</v>
      </c>
      <c r="F868" s="2" t="s">
        <v>15273</v>
      </c>
      <c r="G868" s="3" t="s">
        <v>3218</v>
      </c>
      <c r="H868" s="1"/>
      <c r="I868" s="1"/>
      <c r="J868" s="4" t="s">
        <v>16125</v>
      </c>
      <c r="K868" s="1"/>
      <c r="L868" s="1" t="s">
        <v>25</v>
      </c>
      <c r="M868" s="825">
        <v>1</v>
      </c>
      <c r="N868" s="17">
        <v>1</v>
      </c>
      <c r="O868" s="3" t="s">
        <v>1493</v>
      </c>
      <c r="P868" s="20">
        <v>25995</v>
      </c>
      <c r="Q868" s="3" t="s">
        <v>3220</v>
      </c>
      <c r="R868" s="3" t="s">
        <v>5545</v>
      </c>
      <c r="S868" s="3" t="s">
        <v>5561</v>
      </c>
      <c r="T868" s="3"/>
      <c r="U868" s="2"/>
      <c r="V868" s="2"/>
      <c r="W868" s="2"/>
      <c r="X868" s="2"/>
      <c r="Y868" s="2"/>
      <c r="Z868" s="2"/>
      <c r="AA868" s="2"/>
      <c r="AB868" s="2"/>
      <c r="AC868" s="2"/>
      <c r="AD868" s="2"/>
    </row>
    <row r="869" spans="1:30" ht="12" customHeight="1">
      <c r="A869" s="828" t="s">
        <v>17563</v>
      </c>
      <c r="B869" s="3" t="s">
        <v>3202</v>
      </c>
      <c r="C869" s="1" t="s">
        <v>4413</v>
      </c>
      <c r="D869" s="5">
        <f t="shared" si="13"/>
        <v>41</v>
      </c>
      <c r="E869" s="2" t="s">
        <v>5</v>
      </c>
      <c r="F869" s="2" t="s">
        <v>15273</v>
      </c>
      <c r="G869" s="3"/>
      <c r="H869" s="1"/>
      <c r="I869" s="1"/>
      <c r="J869" s="4" t="s">
        <v>16116</v>
      </c>
      <c r="K869" s="1" t="s">
        <v>276</v>
      </c>
      <c r="L869" s="1" t="s">
        <v>6</v>
      </c>
      <c r="M869" s="825"/>
      <c r="N869" s="17"/>
      <c r="O869" s="3" t="s">
        <v>3235</v>
      </c>
      <c r="P869" s="20">
        <v>26231</v>
      </c>
      <c r="Q869" s="3" t="s">
        <v>3210</v>
      </c>
      <c r="R869" s="3"/>
      <c r="S869" s="3"/>
      <c r="T869" s="3" t="s">
        <v>145</v>
      </c>
      <c r="U869" s="2"/>
      <c r="V869" s="2" t="s">
        <v>145</v>
      </c>
      <c r="W869" s="2"/>
      <c r="X869" s="2"/>
      <c r="Y869" s="2"/>
      <c r="Z869" s="2"/>
      <c r="AA869" s="2"/>
      <c r="AB869" s="2"/>
      <c r="AC869" s="2"/>
      <c r="AD869" s="2"/>
    </row>
    <row r="870" spans="1:30" ht="12" customHeight="1">
      <c r="A870" s="828" t="s">
        <v>17564</v>
      </c>
      <c r="B870" s="3" t="s">
        <v>3203</v>
      </c>
      <c r="C870" s="1" t="s">
        <v>3214</v>
      </c>
      <c r="D870" s="5">
        <f t="shared" si="13"/>
        <v>51</v>
      </c>
      <c r="E870" s="2" t="s">
        <v>19</v>
      </c>
      <c r="F870" s="2"/>
      <c r="G870" s="3"/>
      <c r="H870" s="1"/>
      <c r="I870" s="1"/>
      <c r="J870" s="4" t="s">
        <v>16117</v>
      </c>
      <c r="K870" s="1"/>
      <c r="L870" s="1" t="s">
        <v>6</v>
      </c>
      <c r="M870" s="825"/>
      <c r="N870" s="17"/>
      <c r="O870" s="3" t="s">
        <v>3019</v>
      </c>
      <c r="P870" s="20">
        <v>22612</v>
      </c>
      <c r="Q870" s="3" t="s">
        <v>3216</v>
      </c>
      <c r="R870" s="3"/>
      <c r="S870" s="3"/>
      <c r="T870" s="3"/>
      <c r="U870" s="2"/>
      <c r="V870" s="2"/>
      <c r="W870" s="2"/>
      <c r="X870" s="2"/>
      <c r="Y870" s="2"/>
      <c r="Z870" s="2"/>
      <c r="AA870" s="2"/>
      <c r="AB870" s="2"/>
      <c r="AC870" s="2"/>
      <c r="AD870" s="2"/>
    </row>
    <row r="871" spans="1:30" ht="12" customHeight="1">
      <c r="A871" s="828" t="s">
        <v>17565</v>
      </c>
      <c r="B871" s="3" t="s">
        <v>3204</v>
      </c>
      <c r="C871" s="1" t="s">
        <v>3221</v>
      </c>
      <c r="D871" s="5">
        <f t="shared" si="13"/>
        <v>76</v>
      </c>
      <c r="E871" s="2" t="s">
        <v>5</v>
      </c>
      <c r="F871" s="2"/>
      <c r="G871" s="3"/>
      <c r="H871" s="1"/>
      <c r="I871" s="1"/>
      <c r="J871" s="4" t="s">
        <v>16129</v>
      </c>
      <c r="K871" s="1"/>
      <c r="L871" s="1" t="s">
        <v>14</v>
      </c>
      <c r="M871" s="825">
        <v>9</v>
      </c>
      <c r="N871" s="17">
        <v>9</v>
      </c>
      <c r="O871" s="3" t="s">
        <v>317</v>
      </c>
      <c r="P871" s="20">
        <v>13431</v>
      </c>
      <c r="Q871" s="3" t="s">
        <v>3223</v>
      </c>
      <c r="R871" s="3" t="s">
        <v>3224</v>
      </c>
      <c r="S871" s="3"/>
      <c r="T871" s="3"/>
      <c r="U871" s="2"/>
      <c r="V871" s="2"/>
      <c r="W871" s="2"/>
      <c r="X871" s="2"/>
      <c r="Y871" s="2"/>
      <c r="Z871" s="2"/>
      <c r="AA871" s="2"/>
      <c r="AB871" s="2"/>
      <c r="AC871" s="2"/>
      <c r="AD871" s="2"/>
    </row>
    <row r="872" spans="1:30" ht="12" customHeight="1">
      <c r="A872" s="828" t="s">
        <v>17566</v>
      </c>
      <c r="B872" s="3" t="s">
        <v>3225</v>
      </c>
      <c r="C872" s="1" t="s">
        <v>3230</v>
      </c>
      <c r="D872" s="5">
        <f t="shared" si="13"/>
        <v>61</v>
      </c>
      <c r="E872" s="2" t="s">
        <v>5</v>
      </c>
      <c r="F872" s="2" t="s">
        <v>15273</v>
      </c>
      <c r="G872" s="3"/>
      <c r="H872" s="1"/>
      <c r="I872" s="1"/>
      <c r="J872" s="8" t="s">
        <v>16120</v>
      </c>
      <c r="K872" s="1" t="s">
        <v>476</v>
      </c>
      <c r="L872" s="1" t="s">
        <v>14</v>
      </c>
      <c r="M872" s="825">
        <v>2</v>
      </c>
      <c r="N872" s="17">
        <v>2</v>
      </c>
      <c r="O872" s="3" t="s">
        <v>2394</v>
      </c>
      <c r="P872" s="20">
        <v>18821</v>
      </c>
      <c r="Q872" s="3" t="s">
        <v>3232</v>
      </c>
      <c r="R872" s="3"/>
      <c r="S872" s="3" t="s">
        <v>5457</v>
      </c>
      <c r="T872" s="3" t="s">
        <v>104</v>
      </c>
      <c r="U872" s="2"/>
      <c r="V872" s="2"/>
      <c r="W872" s="2"/>
      <c r="X872" s="2"/>
      <c r="Y872" s="2"/>
      <c r="Z872" s="2"/>
      <c r="AA872" s="2" t="s">
        <v>104</v>
      </c>
      <c r="AB872" s="2"/>
      <c r="AC872" s="2"/>
      <c r="AD872" s="2"/>
    </row>
    <row r="873" spans="1:30" ht="12" customHeight="1">
      <c r="A873" s="828" t="s">
        <v>17567</v>
      </c>
      <c r="B873" s="3" t="s">
        <v>3226</v>
      </c>
      <c r="C873" s="1" t="s">
        <v>3233</v>
      </c>
      <c r="D873" s="5">
        <f t="shared" si="13"/>
        <v>45</v>
      </c>
      <c r="E873" s="2" t="s">
        <v>5</v>
      </c>
      <c r="F873" s="2" t="s">
        <v>15273</v>
      </c>
      <c r="G873" s="3" t="s">
        <v>3234</v>
      </c>
      <c r="H873" s="1"/>
      <c r="I873" s="1"/>
      <c r="J873" s="4" t="s">
        <v>16125</v>
      </c>
      <c r="K873" s="1"/>
      <c r="L873" s="1" t="s">
        <v>25</v>
      </c>
      <c r="M873" s="825">
        <v>1</v>
      </c>
      <c r="N873" s="17">
        <v>1</v>
      </c>
      <c r="O873" s="3" t="s">
        <v>3235</v>
      </c>
      <c r="P873" s="20">
        <v>24727</v>
      </c>
      <c r="Q873" s="3" t="s">
        <v>3236</v>
      </c>
      <c r="R873" s="3"/>
      <c r="S873" s="3" t="s">
        <v>5561</v>
      </c>
      <c r="T873" s="3"/>
      <c r="U873" s="2"/>
      <c r="V873" s="2"/>
      <c r="W873" s="2"/>
      <c r="X873" s="2"/>
      <c r="Y873" s="2"/>
      <c r="Z873" s="2"/>
      <c r="AA873" s="2"/>
      <c r="AB873" s="2"/>
      <c r="AC873" s="2"/>
      <c r="AD873" s="2"/>
    </row>
    <row r="874" spans="1:30" ht="12" customHeight="1">
      <c r="A874" s="828" t="s">
        <v>17568</v>
      </c>
      <c r="B874" s="3" t="s">
        <v>3227</v>
      </c>
      <c r="C874" s="1" t="s">
        <v>5422</v>
      </c>
      <c r="D874" s="5">
        <f t="shared" si="13"/>
        <v>37</v>
      </c>
      <c r="E874" s="2" t="s">
        <v>19</v>
      </c>
      <c r="F874" s="2" t="s">
        <v>15273</v>
      </c>
      <c r="G874" s="3"/>
      <c r="H874" s="1"/>
      <c r="I874" s="1"/>
      <c r="J874" s="4" t="s">
        <v>16116</v>
      </c>
      <c r="K874" s="1"/>
      <c r="L874" s="1" t="s">
        <v>6</v>
      </c>
      <c r="M874" s="825"/>
      <c r="N874" s="17"/>
      <c r="O874" s="3" t="s">
        <v>317</v>
      </c>
      <c r="P874" s="20">
        <v>27673</v>
      </c>
      <c r="Q874" s="3" t="s">
        <v>16032</v>
      </c>
      <c r="R874" s="3"/>
      <c r="S874" s="3" t="s">
        <v>469</v>
      </c>
      <c r="T874" s="3" t="s">
        <v>147</v>
      </c>
      <c r="U874" s="2"/>
      <c r="V874" s="2"/>
      <c r="W874" s="2"/>
      <c r="X874" s="2"/>
      <c r="Y874" s="2"/>
      <c r="Z874" s="2"/>
      <c r="AA874" s="2"/>
      <c r="AB874" s="2" t="s">
        <v>147</v>
      </c>
      <c r="AC874" s="2"/>
      <c r="AD874" s="2"/>
    </row>
    <row r="875" spans="1:30" ht="12" customHeight="1">
      <c r="A875" s="828" t="s">
        <v>17569</v>
      </c>
      <c r="B875" s="3" t="s">
        <v>3228</v>
      </c>
      <c r="C875" s="1" t="s">
        <v>3237</v>
      </c>
      <c r="D875" s="5">
        <f t="shared" si="13"/>
        <v>58</v>
      </c>
      <c r="E875" s="2" t="s">
        <v>19</v>
      </c>
      <c r="F875" s="2"/>
      <c r="G875" s="3"/>
      <c r="H875" s="1"/>
      <c r="I875" s="1"/>
      <c r="J875" s="4" t="s">
        <v>16117</v>
      </c>
      <c r="K875" s="1"/>
      <c r="L875" s="1" t="s">
        <v>6</v>
      </c>
      <c r="M875" s="825"/>
      <c r="N875" s="17"/>
      <c r="O875" s="3" t="s">
        <v>3238</v>
      </c>
      <c r="P875" s="20">
        <v>19723</v>
      </c>
      <c r="Q875" s="3" t="s">
        <v>3239</v>
      </c>
      <c r="R875" s="3"/>
      <c r="S875" s="3"/>
      <c r="T875" s="3" t="s">
        <v>148</v>
      </c>
      <c r="U875" s="2"/>
      <c r="V875" s="2" t="s">
        <v>145</v>
      </c>
      <c r="W875" s="2"/>
      <c r="X875" s="2"/>
      <c r="Y875" s="2"/>
      <c r="Z875" s="2"/>
      <c r="AA875" s="2"/>
      <c r="AB875" s="2"/>
      <c r="AC875" s="2"/>
      <c r="AD875" s="2" t="s">
        <v>69</v>
      </c>
    </row>
    <row r="876" spans="1:30" ht="12" customHeight="1">
      <c r="A876" s="828" t="s">
        <v>17570</v>
      </c>
      <c r="B876" s="3" t="s">
        <v>3229</v>
      </c>
      <c r="C876" s="1" t="s">
        <v>3245</v>
      </c>
      <c r="D876" s="5">
        <f t="shared" si="13"/>
        <v>42</v>
      </c>
      <c r="E876" s="2" t="s">
        <v>19</v>
      </c>
      <c r="F876" s="2"/>
      <c r="G876" s="3"/>
      <c r="H876" s="1"/>
      <c r="I876" s="1"/>
      <c r="J876" s="4" t="s">
        <v>16129</v>
      </c>
      <c r="K876" s="1"/>
      <c r="L876" s="1" t="s">
        <v>14</v>
      </c>
      <c r="M876" s="825">
        <v>1</v>
      </c>
      <c r="N876" s="17">
        <v>1</v>
      </c>
      <c r="O876" s="3" t="s">
        <v>317</v>
      </c>
      <c r="P876" s="20">
        <v>25593</v>
      </c>
      <c r="Q876" s="3" t="s">
        <v>16668</v>
      </c>
      <c r="R876" s="3"/>
      <c r="S876" s="3"/>
      <c r="T876" s="3" t="s">
        <v>3246</v>
      </c>
      <c r="U876" s="2"/>
      <c r="V876" s="2"/>
      <c r="W876" s="2"/>
      <c r="X876" s="2"/>
      <c r="Y876" s="2"/>
      <c r="Z876" s="2" t="s">
        <v>85</v>
      </c>
      <c r="AA876" s="2"/>
      <c r="AB876" s="2"/>
      <c r="AC876" s="2" t="s">
        <v>146</v>
      </c>
      <c r="AD876" s="2"/>
    </row>
    <row r="877" spans="1:30" ht="12" customHeight="1">
      <c r="A877" s="828" t="s">
        <v>17571</v>
      </c>
      <c r="B877" s="3" t="s">
        <v>3249</v>
      </c>
      <c r="C877" s="1" t="s">
        <v>6026</v>
      </c>
      <c r="D877" s="5">
        <f t="shared" si="13"/>
        <v>29</v>
      </c>
      <c r="E877" s="2" t="s">
        <v>5</v>
      </c>
      <c r="F877" s="6" t="s">
        <v>15273</v>
      </c>
      <c r="G877" s="3"/>
      <c r="H877" s="1"/>
      <c r="I877" s="1"/>
      <c r="J877" s="8" t="s">
        <v>16127</v>
      </c>
      <c r="K877" s="1" t="s">
        <v>44</v>
      </c>
      <c r="L877" s="1" t="s">
        <v>6</v>
      </c>
      <c r="M877" s="825"/>
      <c r="N877" s="17"/>
      <c r="O877" s="3" t="s">
        <v>6027</v>
      </c>
      <c r="P877" s="20">
        <v>30328</v>
      </c>
      <c r="Q877" s="3" t="s">
        <v>6028</v>
      </c>
      <c r="R877" s="3"/>
      <c r="S877" s="3"/>
      <c r="T877" s="3"/>
      <c r="U877" s="2"/>
      <c r="V877" s="2"/>
      <c r="W877" s="2"/>
      <c r="X877" s="2"/>
      <c r="Y877" s="2"/>
      <c r="Z877" s="2"/>
      <c r="AA877" s="2"/>
      <c r="AB877" s="2"/>
      <c r="AC877" s="2"/>
      <c r="AD877" s="2"/>
    </row>
    <row r="878" spans="1:30" ht="12" customHeight="1">
      <c r="A878" s="828" t="s">
        <v>17572</v>
      </c>
      <c r="B878" s="3" t="s">
        <v>3250</v>
      </c>
      <c r="C878" s="1" t="s">
        <v>3252</v>
      </c>
      <c r="D878" s="5">
        <f t="shared" si="13"/>
        <v>53</v>
      </c>
      <c r="E878" s="2" t="s">
        <v>5</v>
      </c>
      <c r="F878" s="2"/>
      <c r="G878" s="3" t="s">
        <v>3253</v>
      </c>
      <c r="H878" s="1"/>
      <c r="I878" s="1"/>
      <c r="J878" s="4" t="s">
        <v>16118</v>
      </c>
      <c r="K878" s="1"/>
      <c r="L878" s="1" t="s">
        <v>25</v>
      </c>
      <c r="M878" s="825">
        <v>6</v>
      </c>
      <c r="N878" s="17">
        <v>6</v>
      </c>
      <c r="O878" s="3" t="s">
        <v>1493</v>
      </c>
      <c r="P878" s="20">
        <v>21709</v>
      </c>
      <c r="Q878" s="3" t="s">
        <v>3254</v>
      </c>
      <c r="R878" s="3" t="s">
        <v>3255</v>
      </c>
      <c r="S878" s="3" t="s">
        <v>5546</v>
      </c>
      <c r="T878" s="3"/>
      <c r="U878" s="2"/>
      <c r="V878" s="2"/>
      <c r="W878" s="2"/>
      <c r="X878" s="2"/>
      <c r="Y878" s="2"/>
      <c r="Z878" s="2"/>
      <c r="AA878" s="2"/>
      <c r="AB878" s="2"/>
      <c r="AC878" s="2"/>
      <c r="AD878" s="2"/>
    </row>
    <row r="879" spans="1:30" ht="12" customHeight="1">
      <c r="A879" s="828" t="s">
        <v>17573</v>
      </c>
      <c r="B879" s="3" t="s">
        <v>3251</v>
      </c>
      <c r="C879" s="1" t="s">
        <v>3256</v>
      </c>
      <c r="D879" s="5">
        <f t="shared" si="13"/>
        <v>31</v>
      </c>
      <c r="E879" s="2" t="s">
        <v>19</v>
      </c>
      <c r="F879" s="2"/>
      <c r="G879" s="3"/>
      <c r="H879" s="1"/>
      <c r="I879" s="1"/>
      <c r="J879" s="4" t="s">
        <v>16117</v>
      </c>
      <c r="K879" s="1"/>
      <c r="L879" s="1" t="s">
        <v>6</v>
      </c>
      <c r="M879" s="825"/>
      <c r="N879" s="17"/>
      <c r="O879" s="3" t="s">
        <v>3238</v>
      </c>
      <c r="P879" s="21">
        <v>29643</v>
      </c>
      <c r="Q879" s="3" t="s">
        <v>3257</v>
      </c>
      <c r="R879" s="3"/>
      <c r="S879" s="3"/>
      <c r="T879" s="3"/>
      <c r="U879" s="2"/>
      <c r="V879" s="2"/>
      <c r="W879" s="2"/>
      <c r="X879" s="2"/>
      <c r="Y879" s="2"/>
      <c r="Z879" s="2"/>
      <c r="AA879" s="2"/>
      <c r="AB879" s="2"/>
      <c r="AC879" s="2"/>
      <c r="AD879" s="2"/>
    </row>
    <row r="880" spans="1:30" ht="12" customHeight="1">
      <c r="A880" s="828" t="s">
        <v>17574</v>
      </c>
      <c r="B880" s="3" t="s">
        <v>3258</v>
      </c>
      <c r="C880" s="1" t="s">
        <v>3263</v>
      </c>
      <c r="D880" s="5">
        <f t="shared" si="13"/>
        <v>50</v>
      </c>
      <c r="E880" s="2" t="s">
        <v>5</v>
      </c>
      <c r="F880" s="6" t="s">
        <v>15273</v>
      </c>
      <c r="G880" s="3" t="s">
        <v>3264</v>
      </c>
      <c r="H880" s="1"/>
      <c r="I880" s="1"/>
      <c r="J880" s="8" t="s">
        <v>16127</v>
      </c>
      <c r="K880" s="1" t="s">
        <v>681</v>
      </c>
      <c r="L880" s="1" t="s">
        <v>25</v>
      </c>
      <c r="M880" s="825">
        <v>4</v>
      </c>
      <c r="N880" s="17">
        <v>4</v>
      </c>
      <c r="O880" s="3" t="s">
        <v>3266</v>
      </c>
      <c r="P880" s="20">
        <v>22721</v>
      </c>
      <c r="Q880" s="3" t="s">
        <v>16669</v>
      </c>
      <c r="R880" s="3" t="s">
        <v>3267</v>
      </c>
      <c r="S880" s="3" t="s">
        <v>736</v>
      </c>
      <c r="T880" s="3" t="s">
        <v>146</v>
      </c>
      <c r="U880" s="2"/>
      <c r="V880" s="2"/>
      <c r="W880" s="2"/>
      <c r="X880" s="2"/>
      <c r="Y880" s="2"/>
      <c r="Z880" s="2"/>
      <c r="AA880" s="2"/>
      <c r="AB880" s="2"/>
      <c r="AC880" s="2" t="s">
        <v>146</v>
      </c>
      <c r="AD880" s="2"/>
    </row>
    <row r="881" spans="1:30" ht="12" customHeight="1">
      <c r="A881" s="828" t="s">
        <v>17575</v>
      </c>
      <c r="B881" s="3" t="s">
        <v>3259</v>
      </c>
      <c r="C881" s="1" t="s">
        <v>3268</v>
      </c>
      <c r="D881" s="5">
        <f t="shared" si="13"/>
        <v>42</v>
      </c>
      <c r="E881" s="2" t="s">
        <v>5</v>
      </c>
      <c r="F881" s="2" t="s">
        <v>15273</v>
      </c>
      <c r="G881" s="3"/>
      <c r="H881" s="1"/>
      <c r="I881" s="1"/>
      <c r="J881" s="4" t="s">
        <v>16120</v>
      </c>
      <c r="K881" s="1" t="s">
        <v>48</v>
      </c>
      <c r="L881" s="1" t="s">
        <v>14</v>
      </c>
      <c r="M881" s="825">
        <v>2</v>
      </c>
      <c r="N881" s="17">
        <v>2</v>
      </c>
      <c r="O881" s="3" t="s">
        <v>245</v>
      </c>
      <c r="P881" s="20">
        <v>25855</v>
      </c>
      <c r="Q881" s="3" t="s">
        <v>3269</v>
      </c>
      <c r="R881" s="3" t="s">
        <v>304</v>
      </c>
      <c r="S881" s="3" t="s">
        <v>5457</v>
      </c>
      <c r="T881" s="3" t="s">
        <v>104</v>
      </c>
      <c r="U881" s="2"/>
      <c r="V881" s="2"/>
      <c r="W881" s="2"/>
      <c r="X881" s="2"/>
      <c r="Y881" s="2"/>
      <c r="Z881" s="2"/>
      <c r="AA881" s="2" t="s">
        <v>104</v>
      </c>
      <c r="AB881" s="2"/>
      <c r="AC881" s="2"/>
      <c r="AD881" s="2"/>
    </row>
    <row r="882" spans="1:30" ht="12" customHeight="1">
      <c r="A882" s="828" t="s">
        <v>17576</v>
      </c>
      <c r="B882" s="3" t="s">
        <v>3260</v>
      </c>
      <c r="C882" s="1" t="s">
        <v>5033</v>
      </c>
      <c r="D882" s="5">
        <f t="shared" si="13"/>
        <v>29</v>
      </c>
      <c r="E882" s="2" t="s">
        <v>5</v>
      </c>
      <c r="F882" s="2" t="s">
        <v>15273</v>
      </c>
      <c r="G882" s="3"/>
      <c r="H882" s="1"/>
      <c r="I882" s="1"/>
      <c r="J882" s="4" t="s">
        <v>16116</v>
      </c>
      <c r="K882" s="1" t="s">
        <v>4997</v>
      </c>
      <c r="L882" s="1" t="s">
        <v>6</v>
      </c>
      <c r="M882" s="825"/>
      <c r="N882" s="17"/>
      <c r="O882" s="3" t="s">
        <v>317</v>
      </c>
      <c r="P882" s="20">
        <v>30504</v>
      </c>
      <c r="Q882" s="3" t="s">
        <v>6159</v>
      </c>
      <c r="R882" s="3"/>
      <c r="S882" s="3" t="s">
        <v>469</v>
      </c>
      <c r="T882" s="3" t="s">
        <v>47</v>
      </c>
      <c r="U882" s="2" t="s">
        <v>47</v>
      </c>
      <c r="V882" s="2"/>
      <c r="W882" s="2"/>
      <c r="X882" s="2"/>
      <c r="Y882" s="2"/>
      <c r="Z882" s="2"/>
      <c r="AA882" s="2"/>
      <c r="AB882" s="2"/>
      <c r="AC882" s="2"/>
      <c r="AD882" s="2"/>
    </row>
    <row r="883" spans="1:30" ht="12" customHeight="1">
      <c r="A883" s="828" t="s">
        <v>17577</v>
      </c>
      <c r="B883" s="3" t="s">
        <v>3261</v>
      </c>
      <c r="C883" s="1" t="s">
        <v>3270</v>
      </c>
      <c r="D883" s="5">
        <f t="shared" si="13"/>
        <v>44</v>
      </c>
      <c r="E883" s="2" t="s">
        <v>5</v>
      </c>
      <c r="F883" s="2" t="s">
        <v>15273</v>
      </c>
      <c r="G883" s="3"/>
      <c r="H883" s="1"/>
      <c r="I883" s="1"/>
      <c r="J883" s="4" t="s">
        <v>16117</v>
      </c>
      <c r="K883" s="1"/>
      <c r="L883" s="1" t="s">
        <v>6</v>
      </c>
      <c r="M883" s="825"/>
      <c r="N883" s="17"/>
      <c r="O883" s="3" t="s">
        <v>3271</v>
      </c>
      <c r="P883" s="20">
        <v>24963</v>
      </c>
      <c r="Q883" s="3" t="s">
        <v>3273</v>
      </c>
      <c r="R883" s="3"/>
      <c r="S883" s="3"/>
      <c r="T883" s="3" t="s">
        <v>149</v>
      </c>
      <c r="U883" s="2" t="s">
        <v>47</v>
      </c>
      <c r="V883" s="2" t="s">
        <v>145</v>
      </c>
      <c r="W883" s="2"/>
      <c r="X883" s="2"/>
      <c r="Y883" s="2"/>
      <c r="Z883" s="2" t="s">
        <v>85</v>
      </c>
      <c r="AA883" s="2"/>
      <c r="AB883" s="2"/>
      <c r="AC883" s="2"/>
      <c r="AD883" s="2"/>
    </row>
    <row r="884" spans="1:30" ht="12" customHeight="1">
      <c r="A884" s="828" t="s">
        <v>17578</v>
      </c>
      <c r="B884" s="3" t="s">
        <v>3262</v>
      </c>
      <c r="C884" s="1" t="s">
        <v>3274</v>
      </c>
      <c r="D884" s="5">
        <f t="shared" si="13"/>
        <v>63</v>
      </c>
      <c r="E884" s="2" t="s">
        <v>5</v>
      </c>
      <c r="F884" s="2" t="s">
        <v>15273</v>
      </c>
      <c r="G884" s="3"/>
      <c r="H884" s="1"/>
      <c r="I884" s="1"/>
      <c r="J884" s="4" t="s">
        <v>16121</v>
      </c>
      <c r="K884" s="1"/>
      <c r="L884" s="1" t="s">
        <v>6</v>
      </c>
      <c r="M884" s="825"/>
      <c r="N884" s="17"/>
      <c r="O884" s="3" t="s">
        <v>3275</v>
      </c>
      <c r="P884" s="21">
        <v>17899</v>
      </c>
      <c r="Q884" s="3" t="s">
        <v>3276</v>
      </c>
      <c r="R884" s="3"/>
      <c r="S884" s="3"/>
      <c r="T884" s="3" t="s">
        <v>69</v>
      </c>
      <c r="U884" s="2"/>
      <c r="V884" s="2"/>
      <c r="W884" s="2"/>
      <c r="X884" s="2"/>
      <c r="Y884" s="2"/>
      <c r="Z884" s="2"/>
      <c r="AA884" s="2"/>
      <c r="AB884" s="2"/>
      <c r="AC884" s="2"/>
      <c r="AD884" s="2" t="s">
        <v>69</v>
      </c>
    </row>
    <row r="885" spans="1:30" ht="12" customHeight="1">
      <c r="A885" s="828" t="s">
        <v>17579</v>
      </c>
      <c r="B885" s="3" t="s">
        <v>3277</v>
      </c>
      <c r="C885" s="1" t="s">
        <v>5455</v>
      </c>
      <c r="D885" s="5">
        <f t="shared" si="13"/>
        <v>38</v>
      </c>
      <c r="E885" s="2" t="s">
        <v>19</v>
      </c>
      <c r="F885" s="6" t="s">
        <v>15273</v>
      </c>
      <c r="G885" s="3"/>
      <c r="H885" s="1"/>
      <c r="I885" s="1"/>
      <c r="J885" s="8" t="s">
        <v>16126</v>
      </c>
      <c r="K885" s="1" t="s">
        <v>44</v>
      </c>
      <c r="L885" s="1" t="s">
        <v>6</v>
      </c>
      <c r="M885" s="825"/>
      <c r="N885" s="17"/>
      <c r="O885" s="3" t="s">
        <v>2291</v>
      </c>
      <c r="P885" s="20">
        <v>27379</v>
      </c>
      <c r="Q885" s="3" t="s">
        <v>5456</v>
      </c>
      <c r="R885" s="3"/>
      <c r="S885" s="3"/>
      <c r="T885" s="3" t="s">
        <v>145</v>
      </c>
      <c r="U885" s="2"/>
      <c r="V885" s="2" t="s">
        <v>145</v>
      </c>
      <c r="W885" s="2"/>
      <c r="X885" s="2"/>
      <c r="Y885" s="2"/>
      <c r="Z885" s="2"/>
      <c r="AA885" s="2"/>
      <c r="AB885" s="2"/>
      <c r="AC885" s="2"/>
      <c r="AD885" s="2"/>
    </row>
    <row r="886" spans="1:30" ht="12" customHeight="1">
      <c r="A886" s="828" t="s">
        <v>17580</v>
      </c>
      <c r="B886" s="3" t="s">
        <v>3278</v>
      </c>
      <c r="C886" s="1" t="s">
        <v>3280</v>
      </c>
      <c r="D886" s="5">
        <f t="shared" si="13"/>
        <v>38</v>
      </c>
      <c r="E886" s="2" t="s">
        <v>5</v>
      </c>
      <c r="F886" s="2"/>
      <c r="G886" s="3"/>
      <c r="H886" s="1"/>
      <c r="I886" s="1"/>
      <c r="J886" s="4" t="s">
        <v>16118</v>
      </c>
      <c r="K886" s="1"/>
      <c r="L886" s="1" t="s">
        <v>6</v>
      </c>
      <c r="M886" s="825"/>
      <c r="N886" s="17"/>
      <c r="O886" s="3" t="s">
        <v>2123</v>
      </c>
      <c r="P886" s="20">
        <v>27356</v>
      </c>
      <c r="Q886" s="3" t="s">
        <v>727</v>
      </c>
      <c r="R886" s="3"/>
      <c r="S886" s="3" t="s">
        <v>5546</v>
      </c>
      <c r="T886" s="3" t="s">
        <v>147</v>
      </c>
      <c r="U886" s="2"/>
      <c r="V886" s="2"/>
      <c r="W886" s="2"/>
      <c r="X886" s="2"/>
      <c r="Y886" s="2"/>
      <c r="Z886" s="2"/>
      <c r="AA886" s="2"/>
      <c r="AB886" s="2" t="s">
        <v>147</v>
      </c>
      <c r="AC886" s="2"/>
      <c r="AD886" s="2"/>
    </row>
    <row r="887" spans="1:30" ht="12" customHeight="1">
      <c r="A887" s="828" t="s">
        <v>17581</v>
      </c>
      <c r="B887" s="3" t="s">
        <v>3279</v>
      </c>
      <c r="C887" s="1" t="s">
        <v>3284</v>
      </c>
      <c r="D887" s="5">
        <f t="shared" si="13"/>
        <v>63</v>
      </c>
      <c r="E887" s="2" t="s">
        <v>5</v>
      </c>
      <c r="F887" s="2"/>
      <c r="G887" s="3"/>
      <c r="H887" s="1"/>
      <c r="I887" s="1"/>
      <c r="J887" s="4" t="s">
        <v>16117</v>
      </c>
      <c r="K887" s="1"/>
      <c r="L887" s="1" t="s">
        <v>6</v>
      </c>
      <c r="M887" s="825"/>
      <c r="N887" s="17"/>
      <c r="O887" s="3" t="s">
        <v>1493</v>
      </c>
      <c r="P887" s="21">
        <v>17992</v>
      </c>
      <c r="Q887" s="3" t="s">
        <v>3285</v>
      </c>
      <c r="R887" s="3"/>
      <c r="S887" s="3"/>
      <c r="T887" s="3" t="s">
        <v>145</v>
      </c>
      <c r="U887" s="2"/>
      <c r="V887" s="2" t="s">
        <v>145</v>
      </c>
      <c r="W887" s="2"/>
      <c r="X887" s="2"/>
      <c r="Y887" s="2"/>
      <c r="Z887" s="2"/>
      <c r="AA887" s="2"/>
      <c r="AB887" s="2"/>
      <c r="AC887" s="2"/>
      <c r="AD887" s="2"/>
    </row>
    <row r="888" spans="1:30" ht="12" customHeight="1">
      <c r="A888" s="828" t="s">
        <v>17582</v>
      </c>
      <c r="B888" s="3" t="s">
        <v>3286</v>
      </c>
      <c r="C888" s="1" t="s">
        <v>3289</v>
      </c>
      <c r="D888" s="5">
        <f t="shared" si="13"/>
        <v>60</v>
      </c>
      <c r="E888" s="2" t="s">
        <v>5</v>
      </c>
      <c r="F888" s="2" t="s">
        <v>15273</v>
      </c>
      <c r="G888" s="3" t="s">
        <v>3290</v>
      </c>
      <c r="H888" s="1"/>
      <c r="I888" s="1"/>
      <c r="J888" s="4" t="s">
        <v>16125</v>
      </c>
      <c r="K888" s="1"/>
      <c r="L888" s="1" t="s">
        <v>25</v>
      </c>
      <c r="M888" s="825">
        <v>1</v>
      </c>
      <c r="N888" s="17">
        <v>1</v>
      </c>
      <c r="O888" s="3" t="s">
        <v>3291</v>
      </c>
      <c r="P888" s="20">
        <v>19155</v>
      </c>
      <c r="Q888" s="3" t="s">
        <v>3292</v>
      </c>
      <c r="R888" s="3"/>
      <c r="S888" s="3" t="s">
        <v>5561</v>
      </c>
      <c r="T888" s="3" t="s">
        <v>145</v>
      </c>
      <c r="U888" s="2"/>
      <c r="V888" s="2" t="s">
        <v>145</v>
      </c>
      <c r="W888" s="2"/>
      <c r="X888" s="2"/>
      <c r="Y888" s="2"/>
      <c r="Z888" s="2"/>
      <c r="AA888" s="2"/>
      <c r="AB888" s="2"/>
      <c r="AC888" s="2"/>
      <c r="AD888" s="2"/>
    </row>
    <row r="889" spans="1:30" ht="12" customHeight="1">
      <c r="A889" s="828" t="s">
        <v>17583</v>
      </c>
      <c r="B889" s="3" t="s">
        <v>3287</v>
      </c>
      <c r="C889" s="1" t="s">
        <v>3293</v>
      </c>
      <c r="D889" s="5">
        <f t="shared" si="13"/>
        <v>38</v>
      </c>
      <c r="E889" s="2" t="s">
        <v>5</v>
      </c>
      <c r="F889" s="2"/>
      <c r="G889" s="3"/>
      <c r="H889" s="1"/>
      <c r="I889" s="1"/>
      <c r="J889" s="4" t="s">
        <v>16118</v>
      </c>
      <c r="K889" s="1"/>
      <c r="L889" s="1" t="s">
        <v>6</v>
      </c>
      <c r="M889" s="825"/>
      <c r="N889" s="17"/>
      <c r="O889" s="3" t="s">
        <v>1983</v>
      </c>
      <c r="P889" s="21">
        <v>27373</v>
      </c>
      <c r="Q889" s="3" t="s">
        <v>3294</v>
      </c>
      <c r="R889" s="3"/>
      <c r="S889" s="3" t="s">
        <v>5546</v>
      </c>
      <c r="T889" s="3" t="s">
        <v>47</v>
      </c>
      <c r="U889" s="2" t="s">
        <v>47</v>
      </c>
      <c r="V889" s="2"/>
      <c r="W889" s="2"/>
      <c r="X889" s="2"/>
      <c r="Y889" s="2"/>
      <c r="Z889" s="2"/>
      <c r="AA889" s="2"/>
      <c r="AB889" s="2"/>
      <c r="AC889" s="2"/>
      <c r="AD889" s="2"/>
    </row>
    <row r="890" spans="1:30" ht="12" customHeight="1">
      <c r="A890" s="828" t="s">
        <v>17584</v>
      </c>
      <c r="B890" s="3" t="s">
        <v>3288</v>
      </c>
      <c r="C890" s="1" t="s">
        <v>3296</v>
      </c>
      <c r="D890" s="5">
        <f t="shared" si="13"/>
        <v>54</v>
      </c>
      <c r="E890" s="2" t="s">
        <v>19</v>
      </c>
      <c r="F890" s="2"/>
      <c r="G890" s="3"/>
      <c r="H890" s="1"/>
      <c r="I890" s="1"/>
      <c r="J890" s="4" t="s">
        <v>16117</v>
      </c>
      <c r="K890" s="1"/>
      <c r="L890" s="1" t="s">
        <v>6</v>
      </c>
      <c r="M890" s="825"/>
      <c r="N890" s="17"/>
      <c r="O890" s="3" t="s">
        <v>3297</v>
      </c>
      <c r="P890" s="21">
        <v>21230</v>
      </c>
      <c r="Q890" s="3" t="s">
        <v>3298</v>
      </c>
      <c r="R890" s="3"/>
      <c r="S890" s="3"/>
      <c r="T890" s="3" t="s">
        <v>69</v>
      </c>
      <c r="U890" s="2"/>
      <c r="V890" s="2"/>
      <c r="W890" s="2"/>
      <c r="X890" s="2"/>
      <c r="Y890" s="2"/>
      <c r="Z890" s="2"/>
      <c r="AA890" s="2"/>
      <c r="AB890" s="2"/>
      <c r="AC890" s="2"/>
      <c r="AD890" s="2" t="s">
        <v>69</v>
      </c>
    </row>
    <row r="891" spans="1:30" ht="12" customHeight="1">
      <c r="A891" s="828" t="s">
        <v>17585</v>
      </c>
      <c r="B891" s="3" t="s">
        <v>3299</v>
      </c>
      <c r="C891" s="1" t="s">
        <v>3303</v>
      </c>
      <c r="D891" s="5">
        <f t="shared" si="13"/>
        <v>63</v>
      </c>
      <c r="E891" s="2" t="s">
        <v>5</v>
      </c>
      <c r="F891" s="6" t="s">
        <v>15273</v>
      </c>
      <c r="G891" s="3" t="s">
        <v>3304</v>
      </c>
      <c r="H891" s="1"/>
      <c r="I891" s="1"/>
      <c r="J891" s="8" t="s">
        <v>16127</v>
      </c>
      <c r="K891" s="1" t="s">
        <v>604</v>
      </c>
      <c r="L891" s="1" t="s">
        <v>25</v>
      </c>
      <c r="M891" s="825">
        <v>6</v>
      </c>
      <c r="N891" s="17">
        <v>6</v>
      </c>
      <c r="O891" s="3" t="s">
        <v>3306</v>
      </c>
      <c r="P891" s="20">
        <v>18205</v>
      </c>
      <c r="Q891" s="3" t="s">
        <v>3307</v>
      </c>
      <c r="R891" s="3" t="s">
        <v>3308</v>
      </c>
      <c r="S891" s="3" t="s">
        <v>736</v>
      </c>
      <c r="T891" s="3"/>
      <c r="U891" s="2"/>
      <c r="V891" s="2"/>
      <c r="W891" s="2"/>
      <c r="X891" s="2"/>
      <c r="Y891" s="2"/>
      <c r="Z891" s="2"/>
      <c r="AA891" s="2"/>
      <c r="AB891" s="2"/>
      <c r="AC891" s="2"/>
      <c r="AD891" s="2"/>
    </row>
    <row r="892" spans="1:30" ht="12" customHeight="1">
      <c r="A892" s="828" t="s">
        <v>17586</v>
      </c>
      <c r="B892" s="3" t="s">
        <v>3300</v>
      </c>
      <c r="C892" s="1" t="s">
        <v>3309</v>
      </c>
      <c r="D892" s="5">
        <f t="shared" si="13"/>
        <v>50</v>
      </c>
      <c r="E892" s="2" t="s">
        <v>19</v>
      </c>
      <c r="F892" s="2" t="s">
        <v>15273</v>
      </c>
      <c r="G892" s="3"/>
      <c r="H892" s="1"/>
      <c r="I892" s="1"/>
      <c r="J892" s="4" t="s">
        <v>16120</v>
      </c>
      <c r="K892" s="1" t="s">
        <v>13</v>
      </c>
      <c r="L892" s="1" t="s">
        <v>14</v>
      </c>
      <c r="M892" s="825">
        <v>1</v>
      </c>
      <c r="N892" s="17">
        <v>1</v>
      </c>
      <c r="O892" s="3" t="s">
        <v>3310</v>
      </c>
      <c r="P892" s="20">
        <v>22843</v>
      </c>
      <c r="Q892" s="3" t="s">
        <v>3311</v>
      </c>
      <c r="R892" s="3"/>
      <c r="S892" s="3" t="s">
        <v>5457</v>
      </c>
      <c r="T892" s="3" t="s">
        <v>145</v>
      </c>
      <c r="U892" s="2"/>
      <c r="V892" s="2" t="s">
        <v>145</v>
      </c>
      <c r="W892" s="2"/>
      <c r="X892" s="2"/>
      <c r="Y892" s="2"/>
      <c r="Z892" s="2"/>
      <c r="AA892" s="2"/>
      <c r="AB892" s="2"/>
      <c r="AC892" s="2"/>
      <c r="AD892" s="2"/>
    </row>
    <row r="893" spans="1:30" ht="12" customHeight="1">
      <c r="A893" s="828" t="s">
        <v>17587</v>
      </c>
      <c r="B893" s="3" t="s">
        <v>3301</v>
      </c>
      <c r="C893" s="1" t="s">
        <v>4645</v>
      </c>
      <c r="D893" s="5">
        <f t="shared" si="13"/>
        <v>56</v>
      </c>
      <c r="E893" s="2" t="s">
        <v>5</v>
      </c>
      <c r="F893" s="2" t="s">
        <v>15273</v>
      </c>
      <c r="G893" s="3" t="s">
        <v>4646</v>
      </c>
      <c r="H893" s="1"/>
      <c r="I893" s="1"/>
      <c r="J893" s="4" t="s">
        <v>16125</v>
      </c>
      <c r="K893" s="1"/>
      <c r="L893" s="1" t="s">
        <v>25</v>
      </c>
      <c r="M893" s="825">
        <v>1</v>
      </c>
      <c r="N893" s="17">
        <v>1</v>
      </c>
      <c r="O893" s="3" t="s">
        <v>3212</v>
      </c>
      <c r="P893" s="20">
        <v>20678</v>
      </c>
      <c r="Q893" s="3" t="s">
        <v>3213</v>
      </c>
      <c r="R893" s="3"/>
      <c r="S893" s="3" t="s">
        <v>5561</v>
      </c>
      <c r="T893" s="3"/>
      <c r="U893" s="2"/>
      <c r="V893" s="2"/>
      <c r="W893" s="2"/>
      <c r="X893" s="2"/>
      <c r="Y893" s="2"/>
      <c r="Z893" s="2"/>
      <c r="AA893" s="2"/>
      <c r="AB893" s="2"/>
      <c r="AC893" s="2"/>
      <c r="AD893" s="2"/>
    </row>
    <row r="894" spans="1:30" ht="12" customHeight="1">
      <c r="A894" s="828" t="s">
        <v>17588</v>
      </c>
      <c r="B894" s="3" t="s">
        <v>3302</v>
      </c>
      <c r="C894" s="1" t="s">
        <v>5034</v>
      </c>
      <c r="D894" s="5">
        <f t="shared" si="13"/>
        <v>29</v>
      </c>
      <c r="E894" s="2" t="s">
        <v>19</v>
      </c>
      <c r="F894" s="2" t="s">
        <v>15273</v>
      </c>
      <c r="G894" s="3"/>
      <c r="H894" s="1"/>
      <c r="I894" s="1"/>
      <c r="J894" s="4" t="s">
        <v>16116</v>
      </c>
      <c r="K894" s="1" t="s">
        <v>4997</v>
      </c>
      <c r="L894" s="1" t="s">
        <v>6</v>
      </c>
      <c r="M894" s="825"/>
      <c r="N894" s="17"/>
      <c r="O894" s="3" t="s">
        <v>5616</v>
      </c>
      <c r="P894" s="20">
        <v>30436</v>
      </c>
      <c r="Q894" s="3" t="s">
        <v>16304</v>
      </c>
      <c r="R894" s="3"/>
      <c r="S894" s="3" t="s">
        <v>469</v>
      </c>
      <c r="T894" s="3"/>
      <c r="U894" s="2"/>
      <c r="V894" s="2"/>
      <c r="W894" s="2"/>
      <c r="X894" s="2"/>
      <c r="Y894" s="2"/>
      <c r="Z894" s="2"/>
      <c r="AA894" s="2"/>
      <c r="AB894" s="2"/>
      <c r="AC894" s="2"/>
      <c r="AD894" s="2"/>
    </row>
    <row r="895" spans="1:30" ht="12" customHeight="1">
      <c r="A895" s="828" t="s">
        <v>17589</v>
      </c>
      <c r="B895" s="3" t="s">
        <v>4644</v>
      </c>
      <c r="C895" s="1" t="s">
        <v>3313</v>
      </c>
      <c r="D895" s="5">
        <f t="shared" si="13"/>
        <v>45</v>
      </c>
      <c r="E895" s="2" t="s">
        <v>19</v>
      </c>
      <c r="F895" s="2"/>
      <c r="G895" s="3"/>
      <c r="H895" s="1"/>
      <c r="I895" s="1"/>
      <c r="J895" s="4" t="s">
        <v>16117</v>
      </c>
      <c r="K895" s="1"/>
      <c r="L895" s="1" t="s">
        <v>6</v>
      </c>
      <c r="M895" s="825"/>
      <c r="N895" s="17"/>
      <c r="O895" s="3" t="s">
        <v>3314</v>
      </c>
      <c r="P895" s="21">
        <v>24766</v>
      </c>
      <c r="Q895" s="3" t="s">
        <v>3315</v>
      </c>
      <c r="R895" s="3"/>
      <c r="S895" s="3"/>
      <c r="T895" s="3"/>
      <c r="U895" s="2"/>
      <c r="V895" s="2"/>
      <c r="W895" s="2"/>
      <c r="X895" s="2"/>
      <c r="Y895" s="2"/>
      <c r="Z895" s="2"/>
      <c r="AA895" s="2"/>
      <c r="AB895" s="2"/>
      <c r="AC895" s="2"/>
      <c r="AD895" s="2"/>
    </row>
    <row r="896" spans="1:30" ht="12" customHeight="1">
      <c r="A896" s="828" t="s">
        <v>17590</v>
      </c>
      <c r="B896" s="3" t="s">
        <v>3316</v>
      </c>
      <c r="C896" s="1" t="s">
        <v>3560</v>
      </c>
      <c r="D896" s="5">
        <f t="shared" si="13"/>
        <v>30</v>
      </c>
      <c r="E896" s="2" t="s">
        <v>5</v>
      </c>
      <c r="F896" s="6" t="s">
        <v>15273</v>
      </c>
      <c r="G896" s="3" t="s">
        <v>3561</v>
      </c>
      <c r="H896" s="1"/>
      <c r="I896" s="1"/>
      <c r="J896" s="8" t="s">
        <v>16127</v>
      </c>
      <c r="K896" s="1" t="s">
        <v>681</v>
      </c>
      <c r="L896" s="1" t="s">
        <v>25</v>
      </c>
      <c r="M896" s="825">
        <v>1</v>
      </c>
      <c r="N896" s="17">
        <v>1</v>
      </c>
      <c r="O896" s="3" t="s">
        <v>7</v>
      </c>
      <c r="P896" s="20">
        <v>30007</v>
      </c>
      <c r="Q896" s="3" t="s">
        <v>3562</v>
      </c>
      <c r="R896" s="3"/>
      <c r="S896" s="3" t="s">
        <v>736</v>
      </c>
      <c r="T896" s="3"/>
      <c r="U896" s="2"/>
      <c r="V896" s="2"/>
      <c r="W896" s="2"/>
      <c r="X896" s="2"/>
      <c r="Y896" s="2"/>
      <c r="Z896" s="2"/>
      <c r="AA896" s="2"/>
      <c r="AB896" s="2"/>
      <c r="AC896" s="2"/>
      <c r="AD896" s="2"/>
    </row>
    <row r="897" spans="1:30" ht="12" customHeight="1">
      <c r="A897" s="828" t="s">
        <v>17591</v>
      </c>
      <c r="B897" s="3" t="s">
        <v>3317</v>
      </c>
      <c r="C897" s="1" t="s">
        <v>3321</v>
      </c>
      <c r="D897" s="5">
        <f t="shared" ref="D897:D960" si="14">DATEDIF(P897,$P$1505,"Y")</f>
        <v>48</v>
      </c>
      <c r="E897" s="2" t="s">
        <v>5</v>
      </c>
      <c r="F897" s="2" t="s">
        <v>15273</v>
      </c>
      <c r="G897" s="3"/>
      <c r="H897" s="1"/>
      <c r="I897" s="1"/>
      <c r="J897" s="8" t="s">
        <v>16120</v>
      </c>
      <c r="K897" s="1" t="s">
        <v>13</v>
      </c>
      <c r="L897" s="1" t="s">
        <v>14</v>
      </c>
      <c r="M897" s="825">
        <v>1</v>
      </c>
      <c r="N897" s="17">
        <v>1</v>
      </c>
      <c r="O897" s="3" t="s">
        <v>3322</v>
      </c>
      <c r="P897" s="20">
        <v>23631</v>
      </c>
      <c r="Q897" s="3" t="s">
        <v>3323</v>
      </c>
      <c r="R897" s="3"/>
      <c r="S897" s="3" t="s">
        <v>5457</v>
      </c>
      <c r="T897" s="3"/>
      <c r="U897" s="2"/>
      <c r="V897" s="2"/>
      <c r="W897" s="2"/>
      <c r="X897" s="2"/>
      <c r="Y897" s="2"/>
      <c r="Z897" s="2"/>
      <c r="AA897" s="2"/>
      <c r="AB897" s="2"/>
      <c r="AC897" s="2"/>
      <c r="AD897" s="2"/>
    </row>
    <row r="898" spans="1:30" ht="12" customHeight="1">
      <c r="A898" s="828" t="s">
        <v>17592</v>
      </c>
      <c r="B898" s="3" t="s">
        <v>3318</v>
      </c>
      <c r="C898" s="1" t="s">
        <v>5035</v>
      </c>
      <c r="D898" s="5">
        <f t="shared" si="14"/>
        <v>43</v>
      </c>
      <c r="E898" s="2" t="s">
        <v>5</v>
      </c>
      <c r="F898" s="2" t="s">
        <v>15273</v>
      </c>
      <c r="G898" s="3"/>
      <c r="H898" s="1"/>
      <c r="I898" s="1"/>
      <c r="J898" s="4" t="s">
        <v>16116</v>
      </c>
      <c r="K898" s="1" t="s">
        <v>4997</v>
      </c>
      <c r="L898" s="1" t="s">
        <v>6</v>
      </c>
      <c r="M898" s="825"/>
      <c r="N898" s="17"/>
      <c r="O898" s="3" t="s">
        <v>31</v>
      </c>
      <c r="P898" s="20">
        <v>25323</v>
      </c>
      <c r="Q898" s="3" t="s">
        <v>3490</v>
      </c>
      <c r="R898" s="3"/>
      <c r="S898" s="3" t="s">
        <v>469</v>
      </c>
      <c r="T898" s="3"/>
      <c r="U898" s="2"/>
      <c r="V898" s="2"/>
      <c r="W898" s="2"/>
      <c r="X898" s="2"/>
      <c r="Y898" s="2"/>
      <c r="Z898" s="2"/>
      <c r="AA898" s="2"/>
      <c r="AB898" s="2"/>
      <c r="AC898" s="2"/>
      <c r="AD898" s="2"/>
    </row>
    <row r="899" spans="1:30" ht="12" customHeight="1">
      <c r="A899" s="828" t="s">
        <v>17593</v>
      </c>
      <c r="B899" s="3" t="s">
        <v>3319</v>
      </c>
      <c r="C899" s="1" t="s">
        <v>3324</v>
      </c>
      <c r="D899" s="5">
        <f t="shared" si="14"/>
        <v>53</v>
      </c>
      <c r="E899" s="2" t="s">
        <v>5</v>
      </c>
      <c r="F899" s="2"/>
      <c r="G899" s="3"/>
      <c r="H899" s="1"/>
      <c r="I899" s="1"/>
      <c r="J899" s="4" t="s">
        <v>16117</v>
      </c>
      <c r="K899" s="1"/>
      <c r="L899" s="1" t="s">
        <v>6</v>
      </c>
      <c r="M899" s="825"/>
      <c r="N899" s="17"/>
      <c r="O899" s="3" t="s">
        <v>2906</v>
      </c>
      <c r="P899" s="21">
        <v>21666</v>
      </c>
      <c r="Q899" s="3" t="s">
        <v>3326</v>
      </c>
      <c r="R899" s="3"/>
      <c r="S899" s="3"/>
      <c r="T899" s="3" t="s">
        <v>145</v>
      </c>
      <c r="U899" s="2"/>
      <c r="V899" s="2" t="s">
        <v>145</v>
      </c>
      <c r="W899" s="2"/>
      <c r="X899" s="2"/>
      <c r="Y899" s="2"/>
      <c r="Z899" s="2"/>
      <c r="AA899" s="2"/>
      <c r="AB899" s="2"/>
      <c r="AC899" s="2"/>
      <c r="AD899" s="2"/>
    </row>
    <row r="900" spans="1:30" ht="12" customHeight="1">
      <c r="A900" s="828" t="s">
        <v>17594</v>
      </c>
      <c r="B900" s="3" t="s">
        <v>3327</v>
      </c>
      <c r="C900" s="1" t="s">
        <v>3331</v>
      </c>
      <c r="D900" s="5">
        <f t="shared" si="14"/>
        <v>50</v>
      </c>
      <c r="E900" s="2" t="s">
        <v>5</v>
      </c>
      <c r="F900" s="6" t="s">
        <v>15273</v>
      </c>
      <c r="G900" s="3" t="s">
        <v>3332</v>
      </c>
      <c r="H900" s="1"/>
      <c r="I900" s="1"/>
      <c r="J900" s="8" t="s">
        <v>16126</v>
      </c>
      <c r="K900" s="1" t="s">
        <v>655</v>
      </c>
      <c r="L900" s="1" t="s">
        <v>25</v>
      </c>
      <c r="M900" s="825">
        <v>3</v>
      </c>
      <c r="N900" s="17">
        <v>3</v>
      </c>
      <c r="O900" s="3" t="s">
        <v>2037</v>
      </c>
      <c r="P900" s="20">
        <v>22984</v>
      </c>
      <c r="Q900" s="3" t="s">
        <v>3334</v>
      </c>
      <c r="R900" s="3" t="s">
        <v>3335</v>
      </c>
      <c r="S900" s="3" t="s">
        <v>736</v>
      </c>
      <c r="T900" s="3"/>
      <c r="U900" s="2"/>
      <c r="V900" s="2"/>
      <c r="W900" s="2"/>
      <c r="X900" s="2"/>
      <c r="Y900" s="2"/>
      <c r="Z900" s="2"/>
      <c r="AA900" s="2"/>
      <c r="AB900" s="2"/>
      <c r="AC900" s="2"/>
      <c r="AD900" s="2"/>
    </row>
    <row r="901" spans="1:30" ht="12" customHeight="1">
      <c r="A901" s="828" t="s">
        <v>17595</v>
      </c>
      <c r="B901" s="3" t="s">
        <v>3328</v>
      </c>
      <c r="C901" s="1" t="s">
        <v>3336</v>
      </c>
      <c r="D901" s="5">
        <f t="shared" si="14"/>
        <v>64</v>
      </c>
      <c r="E901" s="2" t="s">
        <v>5</v>
      </c>
      <c r="F901" s="2" t="s">
        <v>15273</v>
      </c>
      <c r="G901" s="3"/>
      <c r="H901" s="1"/>
      <c r="I901" s="1"/>
      <c r="J901" s="4" t="s">
        <v>16120</v>
      </c>
      <c r="K901" s="1" t="s">
        <v>13</v>
      </c>
      <c r="L901" s="1" t="s">
        <v>14</v>
      </c>
      <c r="M901" s="825">
        <v>1</v>
      </c>
      <c r="N901" s="17">
        <v>1</v>
      </c>
      <c r="O901" s="3" t="s">
        <v>172</v>
      </c>
      <c r="P901" s="20">
        <v>17693</v>
      </c>
      <c r="Q901" s="3" t="s">
        <v>3338</v>
      </c>
      <c r="R901" s="3"/>
      <c r="S901" s="3" t="s">
        <v>5457</v>
      </c>
      <c r="T901" s="3" t="s">
        <v>572</v>
      </c>
      <c r="U901" s="2"/>
      <c r="V901" s="2" t="s">
        <v>145</v>
      </c>
      <c r="W901" s="2"/>
      <c r="X901" s="2"/>
      <c r="Y901" s="2"/>
      <c r="Z901" s="2"/>
      <c r="AA901" s="2" t="s">
        <v>104</v>
      </c>
      <c r="AB901" s="2"/>
      <c r="AC901" s="2"/>
      <c r="AD901" s="2"/>
    </row>
    <row r="902" spans="1:30" ht="12" customHeight="1">
      <c r="A902" s="828" t="s">
        <v>17596</v>
      </c>
      <c r="B902" s="3" t="s">
        <v>3329</v>
      </c>
      <c r="C902" s="1" t="s">
        <v>5036</v>
      </c>
      <c r="D902" s="5">
        <f t="shared" si="14"/>
        <v>47</v>
      </c>
      <c r="E902" s="2" t="s">
        <v>5</v>
      </c>
      <c r="F902" s="2" t="s">
        <v>15273</v>
      </c>
      <c r="G902" s="3"/>
      <c r="H902" s="1"/>
      <c r="I902" s="1"/>
      <c r="J902" s="4" t="s">
        <v>16116</v>
      </c>
      <c r="K902" s="1" t="s">
        <v>4997</v>
      </c>
      <c r="L902" s="1" t="s">
        <v>6</v>
      </c>
      <c r="M902" s="825"/>
      <c r="N902" s="17"/>
      <c r="O902" s="3" t="s">
        <v>302</v>
      </c>
      <c r="P902" s="20">
        <v>24029</v>
      </c>
      <c r="Q902" s="3" t="s">
        <v>5037</v>
      </c>
      <c r="R902" s="3"/>
      <c r="S902" s="3"/>
      <c r="T902" s="3" t="s">
        <v>47</v>
      </c>
      <c r="U902" s="2" t="s">
        <v>47</v>
      </c>
      <c r="V902" s="2"/>
      <c r="W902" s="2"/>
      <c r="X902" s="2"/>
      <c r="Y902" s="2"/>
      <c r="Z902" s="2"/>
      <c r="AA902" s="2"/>
      <c r="AB902" s="2"/>
      <c r="AC902" s="2"/>
      <c r="AD902" s="2"/>
    </row>
    <row r="903" spans="1:30" ht="12" customHeight="1">
      <c r="A903" s="828" t="s">
        <v>17597</v>
      </c>
      <c r="B903" s="3" t="s">
        <v>3330</v>
      </c>
      <c r="C903" s="1" t="s">
        <v>3339</v>
      </c>
      <c r="D903" s="5">
        <f t="shared" si="14"/>
        <v>66</v>
      </c>
      <c r="E903" s="2" t="s">
        <v>5</v>
      </c>
      <c r="F903" s="2"/>
      <c r="G903" s="3"/>
      <c r="H903" s="1"/>
      <c r="I903" s="1"/>
      <c r="J903" s="4" t="s">
        <v>16117</v>
      </c>
      <c r="K903" s="1"/>
      <c r="L903" s="1" t="s">
        <v>6</v>
      </c>
      <c r="M903" s="825"/>
      <c r="N903" s="17"/>
      <c r="O903" s="3" t="s">
        <v>3340</v>
      </c>
      <c r="P903" s="21">
        <v>17131</v>
      </c>
      <c r="Q903" s="3" t="s">
        <v>3341</v>
      </c>
      <c r="R903" s="3"/>
      <c r="S903" s="3"/>
      <c r="T903" s="3" t="s">
        <v>69</v>
      </c>
      <c r="U903" s="2"/>
      <c r="V903" s="2"/>
      <c r="W903" s="2"/>
      <c r="X903" s="2"/>
      <c r="Y903" s="2"/>
      <c r="Z903" s="2"/>
      <c r="AA903" s="2"/>
      <c r="AB903" s="2"/>
      <c r="AC903" s="2"/>
      <c r="AD903" s="2" t="s">
        <v>69</v>
      </c>
    </row>
    <row r="904" spans="1:30" ht="12" customHeight="1">
      <c r="A904" s="828" t="s">
        <v>17598</v>
      </c>
      <c r="B904" s="3" t="s">
        <v>3345</v>
      </c>
      <c r="C904" s="1" t="s">
        <v>3349</v>
      </c>
      <c r="D904" s="5">
        <f t="shared" si="14"/>
        <v>52</v>
      </c>
      <c r="E904" s="2" t="s">
        <v>19</v>
      </c>
      <c r="F904" s="6" t="s">
        <v>15273</v>
      </c>
      <c r="G904" s="3" t="s">
        <v>3350</v>
      </c>
      <c r="H904" s="1"/>
      <c r="I904" s="1"/>
      <c r="J904" s="8" t="s">
        <v>16127</v>
      </c>
      <c r="K904" s="1" t="s">
        <v>45</v>
      </c>
      <c r="L904" s="1" t="s">
        <v>25</v>
      </c>
      <c r="M904" s="825">
        <v>4</v>
      </c>
      <c r="N904" s="17">
        <v>4</v>
      </c>
      <c r="O904" s="3" t="s">
        <v>188</v>
      </c>
      <c r="P904" s="20">
        <v>22034</v>
      </c>
      <c r="Q904" s="3" t="s">
        <v>3351</v>
      </c>
      <c r="R904" s="3" t="s">
        <v>3352</v>
      </c>
      <c r="S904" s="3" t="s">
        <v>736</v>
      </c>
      <c r="T904" s="3"/>
      <c r="U904" s="2"/>
      <c r="V904" s="2"/>
      <c r="W904" s="2"/>
      <c r="X904" s="2"/>
      <c r="Y904" s="2"/>
      <c r="Z904" s="2"/>
      <c r="AA904" s="2"/>
      <c r="AB904" s="2"/>
      <c r="AC904" s="2"/>
      <c r="AD904" s="2"/>
    </row>
    <row r="905" spans="1:30" ht="12" customHeight="1">
      <c r="A905" s="828" t="s">
        <v>17599</v>
      </c>
      <c r="B905" s="3" t="s">
        <v>3346</v>
      </c>
      <c r="C905" s="1" t="s">
        <v>4635</v>
      </c>
      <c r="D905" s="5">
        <f t="shared" si="14"/>
        <v>43</v>
      </c>
      <c r="E905" s="2" t="s">
        <v>5</v>
      </c>
      <c r="F905" s="2" t="s">
        <v>15273</v>
      </c>
      <c r="G905" s="3"/>
      <c r="H905" s="1"/>
      <c r="I905" s="1"/>
      <c r="J905" s="4" t="s">
        <v>16120</v>
      </c>
      <c r="K905" s="1" t="s">
        <v>30</v>
      </c>
      <c r="L905" s="1" t="s">
        <v>6</v>
      </c>
      <c r="M905" s="825"/>
      <c r="N905" s="17"/>
      <c r="O905" s="3" t="s">
        <v>5836</v>
      </c>
      <c r="P905" s="20">
        <v>25438</v>
      </c>
      <c r="Q905" s="3" t="s">
        <v>5837</v>
      </c>
      <c r="R905" s="3"/>
      <c r="S905" s="3"/>
      <c r="T905" s="3"/>
      <c r="U905" s="2"/>
      <c r="V905" s="2"/>
      <c r="W905" s="2"/>
      <c r="X905" s="2"/>
      <c r="Y905" s="2"/>
      <c r="Z905" s="2"/>
      <c r="AA905" s="2"/>
      <c r="AB905" s="2"/>
      <c r="AC905" s="2"/>
      <c r="AD905" s="2"/>
    </row>
    <row r="906" spans="1:30" ht="12" customHeight="1">
      <c r="A906" s="828" t="s">
        <v>17600</v>
      </c>
      <c r="B906" s="3" t="s">
        <v>3347</v>
      </c>
      <c r="C906" s="1" t="s">
        <v>3355</v>
      </c>
      <c r="D906" s="5">
        <f t="shared" si="14"/>
        <v>41</v>
      </c>
      <c r="E906" s="2" t="s">
        <v>5</v>
      </c>
      <c r="F906" s="2" t="s">
        <v>15273</v>
      </c>
      <c r="G906" s="3" t="s">
        <v>3356</v>
      </c>
      <c r="H906" s="1"/>
      <c r="I906" s="1"/>
      <c r="J906" s="4" t="s">
        <v>16116</v>
      </c>
      <c r="K906" s="1" t="s">
        <v>276</v>
      </c>
      <c r="L906" s="1" t="s">
        <v>25</v>
      </c>
      <c r="M906" s="825">
        <v>3</v>
      </c>
      <c r="N906" s="17">
        <v>3</v>
      </c>
      <c r="O906" s="3" t="s">
        <v>188</v>
      </c>
      <c r="P906" s="20">
        <v>26162</v>
      </c>
      <c r="Q906" s="3" t="s">
        <v>3358</v>
      </c>
      <c r="R906" s="3" t="s">
        <v>3359</v>
      </c>
      <c r="S906" s="3" t="s">
        <v>18564</v>
      </c>
      <c r="T906" s="3" t="s">
        <v>258</v>
      </c>
      <c r="U906" s="2"/>
      <c r="V906" s="2"/>
      <c r="W906" s="2"/>
      <c r="X906" s="2"/>
      <c r="Y906" s="2" t="s">
        <v>155</v>
      </c>
      <c r="Z906" s="2"/>
      <c r="AA906" s="2" t="s">
        <v>104</v>
      </c>
      <c r="AB906" s="2"/>
      <c r="AC906" s="2"/>
      <c r="AD906" s="2"/>
    </row>
    <row r="907" spans="1:30" ht="12" customHeight="1">
      <c r="A907" s="828" t="s">
        <v>17601</v>
      </c>
      <c r="B907" s="3" t="s">
        <v>3348</v>
      </c>
      <c r="C907" s="1" t="s">
        <v>3353</v>
      </c>
      <c r="D907" s="5">
        <f t="shared" si="14"/>
        <v>51</v>
      </c>
      <c r="E907" s="2" t="s">
        <v>5</v>
      </c>
      <c r="F907" s="2"/>
      <c r="G907" s="3"/>
      <c r="H907" s="1"/>
      <c r="I907" s="1"/>
      <c r="J907" s="4" t="s">
        <v>16117</v>
      </c>
      <c r="K907" s="1"/>
      <c r="L907" s="1" t="s">
        <v>6</v>
      </c>
      <c r="M907" s="825"/>
      <c r="N907" s="17"/>
      <c r="O907" s="3" t="s">
        <v>7</v>
      </c>
      <c r="P907" s="20">
        <v>22427</v>
      </c>
      <c r="Q907" s="3" t="s">
        <v>3354</v>
      </c>
      <c r="R907" s="3"/>
      <c r="S907" s="3"/>
      <c r="T907" s="3"/>
      <c r="U907" s="2"/>
      <c r="V907" s="2"/>
      <c r="W907" s="2"/>
      <c r="X907" s="2"/>
      <c r="Y907" s="2"/>
      <c r="Z907" s="2"/>
      <c r="AA907" s="2"/>
      <c r="AB907" s="2"/>
      <c r="AC907" s="2"/>
      <c r="AD907" s="2"/>
    </row>
    <row r="908" spans="1:30" ht="12" customHeight="1">
      <c r="A908" s="828" t="s">
        <v>17602</v>
      </c>
      <c r="B908" s="3" t="s">
        <v>3362</v>
      </c>
      <c r="C908" s="1" t="s">
        <v>3366</v>
      </c>
      <c r="D908" s="5">
        <f t="shared" si="14"/>
        <v>63</v>
      </c>
      <c r="E908" s="2" t="s">
        <v>5</v>
      </c>
      <c r="F908" s="6" t="s">
        <v>15273</v>
      </c>
      <c r="G908" s="3" t="s">
        <v>3367</v>
      </c>
      <c r="H908" s="1"/>
      <c r="I908" s="1"/>
      <c r="J908" s="8" t="s">
        <v>16127</v>
      </c>
      <c r="K908" s="1" t="s">
        <v>45</v>
      </c>
      <c r="L908" s="1" t="s">
        <v>25</v>
      </c>
      <c r="M908" s="825">
        <v>5</v>
      </c>
      <c r="N908" s="17">
        <v>5</v>
      </c>
      <c r="O908" s="3" t="s">
        <v>381</v>
      </c>
      <c r="P908" s="20">
        <v>17976</v>
      </c>
      <c r="Q908" s="3" t="s">
        <v>3368</v>
      </c>
      <c r="R908" s="3" t="s">
        <v>3369</v>
      </c>
      <c r="S908" s="3" t="s">
        <v>736</v>
      </c>
      <c r="T908" s="3" t="s">
        <v>69</v>
      </c>
      <c r="U908" s="2"/>
      <c r="V908" s="2"/>
      <c r="W908" s="2"/>
      <c r="X908" s="2"/>
      <c r="Y908" s="2"/>
      <c r="Z908" s="2"/>
      <c r="AA908" s="2"/>
      <c r="AB908" s="2"/>
      <c r="AC908" s="2"/>
      <c r="AD908" s="2" t="s">
        <v>69</v>
      </c>
    </row>
    <row r="909" spans="1:30" ht="12" customHeight="1">
      <c r="A909" s="828" t="s">
        <v>17603</v>
      </c>
      <c r="B909" s="3" t="s">
        <v>3363</v>
      </c>
      <c r="C909" s="1" t="s">
        <v>3370</v>
      </c>
      <c r="D909" s="5">
        <f t="shared" si="14"/>
        <v>66</v>
      </c>
      <c r="E909" s="2" t="s">
        <v>19</v>
      </c>
      <c r="F909" s="2" t="s">
        <v>15273</v>
      </c>
      <c r="G909" s="3"/>
      <c r="H909" s="1"/>
      <c r="I909" s="1"/>
      <c r="J909" s="8" t="s">
        <v>16120</v>
      </c>
      <c r="K909" s="1" t="s">
        <v>65</v>
      </c>
      <c r="L909" s="1" t="s">
        <v>14</v>
      </c>
      <c r="M909" s="825">
        <v>1</v>
      </c>
      <c r="N909" s="17">
        <v>1</v>
      </c>
      <c r="O909" s="3" t="s">
        <v>3371</v>
      </c>
      <c r="P909" s="20">
        <v>16844</v>
      </c>
      <c r="Q909" s="3" t="s">
        <v>3372</v>
      </c>
      <c r="R909" s="3"/>
      <c r="S909" s="3"/>
      <c r="T909" s="3"/>
      <c r="U909" s="2"/>
      <c r="V909" s="2"/>
      <c r="W909" s="2"/>
      <c r="X909" s="2"/>
      <c r="Y909" s="2"/>
      <c r="Z909" s="2"/>
      <c r="AA909" s="2"/>
      <c r="AB909" s="2"/>
      <c r="AC909" s="2"/>
      <c r="AD909" s="2"/>
    </row>
    <row r="910" spans="1:30" ht="12" customHeight="1">
      <c r="A910" s="828" t="s">
        <v>17604</v>
      </c>
      <c r="B910" s="3" t="s">
        <v>3364</v>
      </c>
      <c r="C910" s="1" t="s">
        <v>5038</v>
      </c>
      <c r="D910" s="5">
        <f t="shared" si="14"/>
        <v>48</v>
      </c>
      <c r="E910" s="2" t="s">
        <v>5</v>
      </c>
      <c r="F910" s="2" t="s">
        <v>15273</v>
      </c>
      <c r="G910" s="3"/>
      <c r="H910" s="1"/>
      <c r="I910" s="1"/>
      <c r="J910" s="4" t="s">
        <v>16116</v>
      </c>
      <c r="K910" s="1" t="s">
        <v>4997</v>
      </c>
      <c r="L910" s="1" t="s">
        <v>6</v>
      </c>
      <c r="M910" s="825"/>
      <c r="N910" s="17"/>
      <c r="O910" s="3" t="s">
        <v>3016</v>
      </c>
      <c r="P910" s="20">
        <v>23380</v>
      </c>
      <c r="Q910" s="3" t="s">
        <v>5617</v>
      </c>
      <c r="R910" s="3"/>
      <c r="S910" s="3" t="s">
        <v>469</v>
      </c>
      <c r="T910" s="3"/>
      <c r="U910" s="2"/>
      <c r="V910" s="2"/>
      <c r="W910" s="2"/>
      <c r="X910" s="2"/>
      <c r="Y910" s="2"/>
      <c r="Z910" s="2"/>
      <c r="AA910" s="2"/>
      <c r="AB910" s="2"/>
      <c r="AC910" s="2"/>
      <c r="AD910" s="2"/>
    </row>
    <row r="911" spans="1:30" ht="12" customHeight="1">
      <c r="A911" s="828" t="s">
        <v>17605</v>
      </c>
      <c r="B911" s="3" t="s">
        <v>3365</v>
      </c>
      <c r="C911" s="1" t="s">
        <v>3373</v>
      </c>
      <c r="D911" s="5">
        <f t="shared" si="14"/>
        <v>37</v>
      </c>
      <c r="E911" s="2" t="s">
        <v>5</v>
      </c>
      <c r="F911" s="2"/>
      <c r="G911" s="3"/>
      <c r="H911" s="1"/>
      <c r="I911" s="1"/>
      <c r="J911" s="4" t="s">
        <v>16117</v>
      </c>
      <c r="K911" s="1"/>
      <c r="L911" s="1" t="s">
        <v>6</v>
      </c>
      <c r="M911" s="825"/>
      <c r="N911" s="17"/>
      <c r="O911" s="3" t="s">
        <v>3374</v>
      </c>
      <c r="P911" s="21">
        <v>27422</v>
      </c>
      <c r="Q911" s="3" t="s">
        <v>3375</v>
      </c>
      <c r="R911" s="3"/>
      <c r="S911" s="3"/>
      <c r="T911" s="3"/>
      <c r="U911" s="2"/>
      <c r="V911" s="2"/>
      <c r="W911" s="2"/>
      <c r="X911" s="2"/>
      <c r="Y911" s="2"/>
      <c r="Z911" s="2"/>
      <c r="AA911" s="2"/>
      <c r="AB911" s="2"/>
      <c r="AC911" s="2"/>
      <c r="AD911" s="2"/>
    </row>
    <row r="912" spans="1:30" ht="12" customHeight="1">
      <c r="A912" s="828" t="s">
        <v>17606</v>
      </c>
      <c r="B912" s="3" t="s">
        <v>3376</v>
      </c>
      <c r="C912" s="1" t="s">
        <v>3379</v>
      </c>
      <c r="D912" s="5">
        <f t="shared" si="14"/>
        <v>53</v>
      </c>
      <c r="E912" s="2" t="s">
        <v>5</v>
      </c>
      <c r="F912" s="6" t="s">
        <v>15273</v>
      </c>
      <c r="G912" s="3" t="s">
        <v>3380</v>
      </c>
      <c r="H912" s="1"/>
      <c r="I912" s="1"/>
      <c r="J912" s="8" t="s">
        <v>16126</v>
      </c>
      <c r="K912" s="1" t="s">
        <v>604</v>
      </c>
      <c r="L912" s="1" t="s">
        <v>25</v>
      </c>
      <c r="M912" s="825">
        <v>5</v>
      </c>
      <c r="N912" s="17">
        <v>5</v>
      </c>
      <c r="O912" s="3" t="s">
        <v>2551</v>
      </c>
      <c r="P912" s="20">
        <v>21768</v>
      </c>
      <c r="Q912" s="3" t="s">
        <v>16670</v>
      </c>
      <c r="R912" s="3" t="s">
        <v>3383</v>
      </c>
      <c r="S912" s="3" t="s">
        <v>736</v>
      </c>
      <c r="T912" s="3" t="s">
        <v>146</v>
      </c>
      <c r="U912" s="2"/>
      <c r="V912" s="2"/>
      <c r="W912" s="2"/>
      <c r="X912" s="2"/>
      <c r="Y912" s="2"/>
      <c r="Z912" s="2"/>
      <c r="AA912" s="2"/>
      <c r="AB912" s="2"/>
      <c r="AC912" s="2" t="s">
        <v>146</v>
      </c>
      <c r="AD912" s="2"/>
    </row>
    <row r="913" spans="1:30" ht="12" customHeight="1">
      <c r="A913" s="828" t="s">
        <v>17607</v>
      </c>
      <c r="B913" s="3" t="s">
        <v>3377</v>
      </c>
      <c r="C913" s="1" t="s">
        <v>3384</v>
      </c>
      <c r="D913" s="5">
        <f t="shared" si="14"/>
        <v>61</v>
      </c>
      <c r="E913" s="2" t="s">
        <v>5</v>
      </c>
      <c r="F913" s="2" t="s">
        <v>15273</v>
      </c>
      <c r="G913" s="3"/>
      <c r="H913" s="1"/>
      <c r="I913" s="1"/>
      <c r="J913" s="4" t="s">
        <v>16120</v>
      </c>
      <c r="K913" s="1" t="s">
        <v>475</v>
      </c>
      <c r="L913" s="1" t="s">
        <v>14</v>
      </c>
      <c r="M913" s="825">
        <v>3</v>
      </c>
      <c r="N913" s="17">
        <v>3</v>
      </c>
      <c r="O913" s="3" t="s">
        <v>675</v>
      </c>
      <c r="P913" s="20">
        <v>18940</v>
      </c>
      <c r="Q913" s="3" t="s">
        <v>3385</v>
      </c>
      <c r="R913" s="3" t="s">
        <v>3335</v>
      </c>
      <c r="S913" s="3" t="s">
        <v>5457</v>
      </c>
      <c r="T913" s="3" t="s">
        <v>104</v>
      </c>
      <c r="U913" s="2"/>
      <c r="V913" s="2"/>
      <c r="W913" s="2"/>
      <c r="X913" s="2"/>
      <c r="Y913" s="2"/>
      <c r="Z913" s="2"/>
      <c r="AA913" s="2" t="s">
        <v>104</v>
      </c>
      <c r="AB913" s="2"/>
      <c r="AC913" s="2"/>
      <c r="AD913" s="2"/>
    </row>
    <row r="914" spans="1:30" ht="12" customHeight="1">
      <c r="A914" s="828" t="s">
        <v>17608</v>
      </c>
      <c r="B914" s="3" t="s">
        <v>3378</v>
      </c>
      <c r="C914" s="1" t="s">
        <v>3242</v>
      </c>
      <c r="D914" s="5">
        <f t="shared" si="14"/>
        <v>43</v>
      </c>
      <c r="E914" s="2" t="s">
        <v>5</v>
      </c>
      <c r="F914" s="2" t="s">
        <v>15273</v>
      </c>
      <c r="G914" s="3"/>
      <c r="H914" s="1"/>
      <c r="I914" s="1"/>
      <c r="J914" s="4" t="s">
        <v>16128</v>
      </c>
      <c r="K914" s="1"/>
      <c r="L914" s="1" t="s">
        <v>6</v>
      </c>
      <c r="M914" s="825"/>
      <c r="N914" s="17"/>
      <c r="O914" s="3" t="s">
        <v>466</v>
      </c>
      <c r="P914" s="20">
        <v>25336</v>
      </c>
      <c r="Q914" s="3" t="s">
        <v>3244</v>
      </c>
      <c r="R914" s="3"/>
      <c r="S914" s="3" t="s">
        <v>5092</v>
      </c>
      <c r="T914" s="3"/>
      <c r="U914" s="2"/>
      <c r="V914" s="2"/>
      <c r="W914" s="2"/>
      <c r="X914" s="2"/>
      <c r="Y914" s="2"/>
      <c r="Z914" s="2"/>
      <c r="AA914" s="2"/>
      <c r="AB914" s="2"/>
      <c r="AC914" s="2"/>
      <c r="AD914" s="2"/>
    </row>
    <row r="915" spans="1:30" ht="12" customHeight="1">
      <c r="A915" s="828" t="s">
        <v>17609</v>
      </c>
      <c r="B915" s="3" t="s">
        <v>5686</v>
      </c>
      <c r="C915" s="1" t="s">
        <v>3386</v>
      </c>
      <c r="D915" s="5">
        <f t="shared" si="14"/>
        <v>50</v>
      </c>
      <c r="E915" s="2" t="s">
        <v>19</v>
      </c>
      <c r="F915" s="2"/>
      <c r="G915" s="3"/>
      <c r="H915" s="1"/>
      <c r="I915" s="1"/>
      <c r="J915" s="4" t="s">
        <v>16117</v>
      </c>
      <c r="K915" s="1"/>
      <c r="L915" s="1" t="s">
        <v>6</v>
      </c>
      <c r="M915" s="825"/>
      <c r="N915" s="17"/>
      <c r="O915" s="3" t="s">
        <v>3387</v>
      </c>
      <c r="P915" s="21">
        <v>22956</v>
      </c>
      <c r="Q915" s="3" t="s">
        <v>1663</v>
      </c>
      <c r="R915" s="3"/>
      <c r="S915" s="3"/>
      <c r="T915" s="3"/>
      <c r="U915" s="2"/>
      <c r="V915" s="2"/>
      <c r="W915" s="2"/>
      <c r="X915" s="2"/>
      <c r="Y915" s="2"/>
      <c r="Z915" s="2"/>
      <c r="AA915" s="2"/>
      <c r="AB915" s="2"/>
      <c r="AC915" s="2"/>
      <c r="AD915" s="2"/>
    </row>
    <row r="916" spans="1:30" ht="12" customHeight="1">
      <c r="A916" s="828" t="s">
        <v>17610</v>
      </c>
      <c r="B916" s="3" t="s">
        <v>3389</v>
      </c>
      <c r="C916" s="1" t="s">
        <v>3396</v>
      </c>
      <c r="D916" s="5">
        <f t="shared" si="14"/>
        <v>61</v>
      </c>
      <c r="E916" s="2" t="s">
        <v>5</v>
      </c>
      <c r="F916" s="6" t="s">
        <v>15273</v>
      </c>
      <c r="G916" s="3" t="s">
        <v>3393</v>
      </c>
      <c r="H916" s="1"/>
      <c r="I916" s="1"/>
      <c r="J916" s="8" t="s">
        <v>16127</v>
      </c>
      <c r="K916" s="1" t="s">
        <v>604</v>
      </c>
      <c r="L916" s="1" t="s">
        <v>25</v>
      </c>
      <c r="M916" s="825">
        <v>1</v>
      </c>
      <c r="N916" s="17">
        <v>2</v>
      </c>
      <c r="O916" s="3" t="s">
        <v>474</v>
      </c>
      <c r="P916" s="20">
        <v>18906</v>
      </c>
      <c r="Q916" s="3" t="s">
        <v>3394</v>
      </c>
      <c r="R916" s="3" t="s">
        <v>374</v>
      </c>
      <c r="S916" s="3" t="s">
        <v>736</v>
      </c>
      <c r="T916" s="3" t="s">
        <v>375</v>
      </c>
      <c r="U916" s="2"/>
      <c r="V916" s="2" t="s">
        <v>145</v>
      </c>
      <c r="W916" s="2"/>
      <c r="X916" s="2" t="s">
        <v>229</v>
      </c>
      <c r="Y916" s="2"/>
      <c r="Z916" s="2"/>
      <c r="AA916" s="2"/>
      <c r="AB916" s="2"/>
      <c r="AC916" s="2"/>
      <c r="AD916" s="2"/>
    </row>
    <row r="917" spans="1:30" ht="12" customHeight="1">
      <c r="A917" s="828" t="s">
        <v>17611</v>
      </c>
      <c r="B917" s="3" t="s">
        <v>3390</v>
      </c>
      <c r="C917" s="1" t="s">
        <v>5576</v>
      </c>
      <c r="D917" s="5">
        <f t="shared" si="14"/>
        <v>35</v>
      </c>
      <c r="E917" s="2" t="s">
        <v>5</v>
      </c>
      <c r="F917" s="2" t="s">
        <v>15273</v>
      </c>
      <c r="G917" s="3"/>
      <c r="H917" s="1"/>
      <c r="I917" s="1"/>
      <c r="J917" s="4" t="s">
        <v>16120</v>
      </c>
      <c r="K917" s="1" t="s">
        <v>30</v>
      </c>
      <c r="L917" s="1" t="s">
        <v>6</v>
      </c>
      <c r="M917" s="825"/>
      <c r="N917" s="17"/>
      <c r="O917" s="3" t="s">
        <v>3776</v>
      </c>
      <c r="P917" s="20">
        <v>28410</v>
      </c>
      <c r="Q917" s="3" t="s">
        <v>5577</v>
      </c>
      <c r="R917" s="3"/>
      <c r="S917" s="3"/>
      <c r="T917" s="3" t="s">
        <v>145</v>
      </c>
      <c r="U917" s="2"/>
      <c r="V917" s="2" t="s">
        <v>145</v>
      </c>
      <c r="W917" s="2"/>
      <c r="X917" s="2"/>
      <c r="Y917" s="2"/>
      <c r="Z917" s="2"/>
      <c r="AA917" s="2"/>
      <c r="AB917" s="2"/>
      <c r="AC917" s="2"/>
      <c r="AD917" s="2"/>
    </row>
    <row r="918" spans="1:30" ht="12" customHeight="1">
      <c r="A918" s="828" t="s">
        <v>17612</v>
      </c>
      <c r="B918" s="3" t="s">
        <v>3391</v>
      </c>
      <c r="C918" s="1" t="s">
        <v>5331</v>
      </c>
      <c r="D918" s="5">
        <f t="shared" si="14"/>
        <v>43</v>
      </c>
      <c r="E918" s="2" t="s">
        <v>5</v>
      </c>
      <c r="F918" s="2" t="s">
        <v>15273</v>
      </c>
      <c r="G918" s="3"/>
      <c r="H918" s="1"/>
      <c r="I918" s="1"/>
      <c r="J918" s="4" t="s">
        <v>16116</v>
      </c>
      <c r="K918" s="1" t="s">
        <v>276</v>
      </c>
      <c r="L918" s="1" t="s">
        <v>6</v>
      </c>
      <c r="M918" s="825"/>
      <c r="N918" s="17"/>
      <c r="O918" s="3" t="s">
        <v>381</v>
      </c>
      <c r="P918" s="21">
        <v>25214</v>
      </c>
      <c r="Q918" s="3" t="s">
        <v>5335</v>
      </c>
      <c r="R918" s="3"/>
      <c r="S918" s="3"/>
      <c r="T918" s="3" t="s">
        <v>572</v>
      </c>
      <c r="U918" s="2"/>
      <c r="V918" s="2" t="s">
        <v>145</v>
      </c>
      <c r="W918" s="2"/>
      <c r="X918" s="2"/>
      <c r="Y918" s="2"/>
      <c r="Z918" s="2"/>
      <c r="AA918" s="2" t="s">
        <v>104</v>
      </c>
      <c r="AB918" s="2"/>
      <c r="AC918" s="2"/>
      <c r="AD918" s="2"/>
    </row>
    <row r="919" spans="1:30" ht="12" customHeight="1">
      <c r="A919" s="828" t="s">
        <v>17613</v>
      </c>
      <c r="B919" s="3" t="s">
        <v>3392</v>
      </c>
      <c r="C919" s="1" t="s">
        <v>3400</v>
      </c>
      <c r="D919" s="5">
        <f t="shared" si="14"/>
        <v>57</v>
      </c>
      <c r="E919" s="2" t="s">
        <v>19</v>
      </c>
      <c r="F919" s="2"/>
      <c r="G919" s="3"/>
      <c r="H919" s="1"/>
      <c r="I919" s="1"/>
      <c r="J919" s="4" t="s">
        <v>16117</v>
      </c>
      <c r="K919" s="1"/>
      <c r="L919" s="1" t="s">
        <v>6</v>
      </c>
      <c r="M919" s="825"/>
      <c r="N919" s="17"/>
      <c r="O919" s="3" t="s">
        <v>16038</v>
      </c>
      <c r="P919" s="21">
        <v>20389</v>
      </c>
      <c r="Q919" s="3" t="s">
        <v>1663</v>
      </c>
      <c r="R919" s="3"/>
      <c r="S919" s="3"/>
      <c r="T919" s="3"/>
      <c r="U919" s="2"/>
      <c r="V919" s="2"/>
      <c r="W919" s="2"/>
      <c r="X919" s="2"/>
      <c r="Y919" s="2"/>
      <c r="Z919" s="2"/>
      <c r="AA919" s="2"/>
      <c r="AB919" s="2"/>
      <c r="AC919" s="2"/>
      <c r="AD919" s="2"/>
    </row>
    <row r="920" spans="1:30" ht="12" customHeight="1">
      <c r="A920" s="828" t="s">
        <v>17614</v>
      </c>
      <c r="B920" s="3" t="s">
        <v>16035</v>
      </c>
      <c r="C920" s="1" t="s">
        <v>16036</v>
      </c>
      <c r="D920" s="5">
        <f t="shared" si="14"/>
        <v>64</v>
      </c>
      <c r="E920" s="2" t="s">
        <v>5</v>
      </c>
      <c r="F920" s="2"/>
      <c r="G920" s="3"/>
      <c r="H920" s="1"/>
      <c r="I920" s="1"/>
      <c r="J920" s="8" t="s">
        <v>16129</v>
      </c>
      <c r="K920" s="1"/>
      <c r="L920" s="1" t="s">
        <v>6</v>
      </c>
      <c r="M920" s="825"/>
      <c r="N920" s="17"/>
      <c r="O920" s="3" t="s">
        <v>16037</v>
      </c>
      <c r="P920" s="21">
        <v>17544</v>
      </c>
      <c r="Q920" s="3" t="s">
        <v>16650</v>
      </c>
      <c r="R920" s="3"/>
      <c r="S920" s="3"/>
      <c r="T920" s="3"/>
      <c r="U920" s="2"/>
      <c r="V920" s="2"/>
      <c r="W920" s="2"/>
      <c r="X920" s="2"/>
      <c r="Y920" s="2"/>
      <c r="Z920" s="2"/>
      <c r="AA920" s="2"/>
      <c r="AB920" s="2"/>
      <c r="AC920" s="2"/>
      <c r="AD920" s="2"/>
    </row>
    <row r="921" spans="1:30" ht="12" customHeight="1">
      <c r="A921" s="828" t="s">
        <v>17615</v>
      </c>
      <c r="B921" s="3" t="s">
        <v>3401</v>
      </c>
      <c r="C921" s="1" t="s">
        <v>15844</v>
      </c>
      <c r="D921" s="5">
        <f t="shared" si="14"/>
        <v>48</v>
      </c>
      <c r="E921" s="2" t="s">
        <v>5</v>
      </c>
      <c r="F921" s="6" t="s">
        <v>15273</v>
      </c>
      <c r="G921" s="3"/>
      <c r="H921" s="1"/>
      <c r="I921" s="1"/>
      <c r="J921" s="8" t="s">
        <v>16127</v>
      </c>
      <c r="K921" s="1" t="s">
        <v>44</v>
      </c>
      <c r="L921" s="1" t="s">
        <v>6</v>
      </c>
      <c r="M921" s="825"/>
      <c r="N921" s="17"/>
      <c r="O921" s="3" t="s">
        <v>15845</v>
      </c>
      <c r="P921" s="21">
        <v>23490</v>
      </c>
      <c r="Q921" s="3" t="s">
        <v>15846</v>
      </c>
      <c r="R921" s="3"/>
      <c r="S921" s="3" t="s">
        <v>736</v>
      </c>
      <c r="T921" s="3"/>
      <c r="U921" s="2"/>
      <c r="V921" s="2"/>
      <c r="W921" s="2"/>
      <c r="X921" s="2"/>
      <c r="Y921" s="2"/>
      <c r="Z921" s="2"/>
      <c r="AA921" s="2"/>
      <c r="AB921" s="2"/>
      <c r="AC921" s="2"/>
      <c r="AD921" s="2"/>
    </row>
    <row r="922" spans="1:30" ht="12" customHeight="1">
      <c r="A922" s="828" t="s">
        <v>17616</v>
      </c>
      <c r="B922" s="3" t="s">
        <v>3402</v>
      </c>
      <c r="C922" s="1" t="s">
        <v>3411</v>
      </c>
      <c r="D922" s="5">
        <f t="shared" si="14"/>
        <v>65</v>
      </c>
      <c r="E922" s="2" t="s">
        <v>5</v>
      </c>
      <c r="F922" s="2" t="s">
        <v>15273</v>
      </c>
      <c r="G922" s="3" t="s">
        <v>3412</v>
      </c>
      <c r="H922" s="1"/>
      <c r="I922" s="1"/>
      <c r="J922" s="4" t="s">
        <v>16116</v>
      </c>
      <c r="K922" s="1" t="s">
        <v>276</v>
      </c>
      <c r="L922" s="1" t="s">
        <v>25</v>
      </c>
      <c r="M922" s="825">
        <v>5</v>
      </c>
      <c r="N922" s="17">
        <v>7</v>
      </c>
      <c r="O922" s="3" t="s">
        <v>675</v>
      </c>
      <c r="P922" s="20">
        <v>17177</v>
      </c>
      <c r="Q922" s="3" t="s">
        <v>3413</v>
      </c>
      <c r="R922" s="3" t="s">
        <v>3414</v>
      </c>
      <c r="S922" s="3" t="s">
        <v>18564</v>
      </c>
      <c r="T922" s="3" t="s">
        <v>229</v>
      </c>
      <c r="U922" s="2"/>
      <c r="V922" s="2"/>
      <c r="W922" s="2"/>
      <c r="X922" s="2" t="s">
        <v>229</v>
      </c>
      <c r="Y922" s="2"/>
      <c r="Z922" s="2"/>
      <c r="AA922" s="2"/>
      <c r="AB922" s="2"/>
      <c r="AC922" s="2"/>
      <c r="AD922" s="2"/>
    </row>
    <row r="923" spans="1:30" ht="12" customHeight="1">
      <c r="A923" s="828" t="s">
        <v>17617</v>
      </c>
      <c r="B923" s="3" t="s">
        <v>3403</v>
      </c>
      <c r="C923" s="1" t="s">
        <v>3408</v>
      </c>
      <c r="D923" s="5">
        <f t="shared" si="14"/>
        <v>64</v>
      </c>
      <c r="E923" s="2" t="s">
        <v>5</v>
      </c>
      <c r="F923" s="2"/>
      <c r="G923" s="3"/>
      <c r="H923" s="1"/>
      <c r="I923" s="1"/>
      <c r="J923" s="4" t="s">
        <v>16117</v>
      </c>
      <c r="K923" s="1"/>
      <c r="L923" s="1" t="s">
        <v>6</v>
      </c>
      <c r="M923" s="825"/>
      <c r="N923" s="17"/>
      <c r="O923" s="3" t="s">
        <v>3409</v>
      </c>
      <c r="P923" s="20">
        <v>17578</v>
      </c>
      <c r="Q923" s="3" t="s">
        <v>3410</v>
      </c>
      <c r="R923" s="3"/>
      <c r="S923" s="3"/>
      <c r="T923" s="3" t="s">
        <v>145</v>
      </c>
      <c r="U923" s="2"/>
      <c r="V923" s="2" t="s">
        <v>145</v>
      </c>
      <c r="W923" s="2"/>
      <c r="X923" s="2"/>
      <c r="Y923" s="2"/>
      <c r="Z923" s="2"/>
      <c r="AA923" s="2"/>
      <c r="AB923" s="2"/>
      <c r="AC923" s="2"/>
      <c r="AD923" s="2"/>
    </row>
    <row r="924" spans="1:30" ht="12" customHeight="1">
      <c r="A924" s="828" t="s">
        <v>17618</v>
      </c>
      <c r="B924" s="3" t="s">
        <v>3404</v>
      </c>
      <c r="C924" s="1" t="s">
        <v>3405</v>
      </c>
      <c r="D924" s="5">
        <f t="shared" si="14"/>
        <v>50</v>
      </c>
      <c r="E924" s="2" t="s">
        <v>5</v>
      </c>
      <c r="F924" s="2"/>
      <c r="G924" s="3" t="s">
        <v>3406</v>
      </c>
      <c r="H924" s="1"/>
      <c r="I924" s="1"/>
      <c r="J924" s="4" t="s">
        <v>16129</v>
      </c>
      <c r="K924" s="1" t="s">
        <v>97</v>
      </c>
      <c r="L924" s="1" t="s">
        <v>25</v>
      </c>
      <c r="M924" s="825">
        <v>1</v>
      </c>
      <c r="N924" s="17">
        <v>1</v>
      </c>
      <c r="O924" s="3" t="s">
        <v>7</v>
      </c>
      <c r="P924" s="20">
        <v>22979</v>
      </c>
      <c r="Q924" s="3" t="s">
        <v>3407</v>
      </c>
      <c r="R924" s="3"/>
      <c r="S924" s="3" t="s">
        <v>276</v>
      </c>
      <c r="T924" s="3"/>
      <c r="U924" s="2"/>
      <c r="V924" s="2"/>
      <c r="W924" s="2"/>
      <c r="X924" s="2"/>
      <c r="Y924" s="2"/>
      <c r="Z924" s="2"/>
      <c r="AA924" s="2"/>
      <c r="AB924" s="2"/>
      <c r="AC924" s="2"/>
      <c r="AD924" s="2"/>
    </row>
    <row r="925" spans="1:30" ht="12" customHeight="1">
      <c r="A925" s="828" t="s">
        <v>17619</v>
      </c>
      <c r="B925" s="3" t="s">
        <v>3417</v>
      </c>
      <c r="C925" s="1" t="s">
        <v>3421</v>
      </c>
      <c r="D925" s="5">
        <f t="shared" si="14"/>
        <v>72</v>
      </c>
      <c r="E925" s="2" t="s">
        <v>5</v>
      </c>
      <c r="F925" s="2" t="s">
        <v>15273</v>
      </c>
      <c r="G925" s="3" t="s">
        <v>3422</v>
      </c>
      <c r="H925" s="1"/>
      <c r="I925" s="1"/>
      <c r="J925" s="8" t="s">
        <v>16120</v>
      </c>
      <c r="K925" s="1" t="s">
        <v>476</v>
      </c>
      <c r="L925" s="1" t="s">
        <v>25</v>
      </c>
      <c r="M925" s="825">
        <v>5</v>
      </c>
      <c r="N925" s="17">
        <v>5</v>
      </c>
      <c r="O925" s="3" t="s">
        <v>3424</v>
      </c>
      <c r="P925" s="20">
        <v>14938</v>
      </c>
      <c r="Q925" s="3" t="s">
        <v>3425</v>
      </c>
      <c r="R925" s="3" t="s">
        <v>3426</v>
      </c>
      <c r="S925" s="3" t="s">
        <v>5457</v>
      </c>
      <c r="T925" s="3" t="s">
        <v>47</v>
      </c>
      <c r="U925" s="2" t="s">
        <v>47</v>
      </c>
      <c r="V925" s="2"/>
      <c r="W925" s="2"/>
      <c r="X925" s="2"/>
      <c r="Y925" s="2"/>
      <c r="Z925" s="2"/>
      <c r="AA925" s="2"/>
      <c r="AB925" s="2"/>
      <c r="AC925" s="2"/>
      <c r="AD925" s="2"/>
    </row>
    <row r="926" spans="1:30" ht="12" customHeight="1">
      <c r="A926" s="828" t="s">
        <v>17620</v>
      </c>
      <c r="B926" s="3" t="s">
        <v>3418</v>
      </c>
      <c r="C926" s="1" t="s">
        <v>3428</v>
      </c>
      <c r="D926" s="5">
        <f t="shared" si="14"/>
        <v>42</v>
      </c>
      <c r="E926" s="2" t="s">
        <v>5</v>
      </c>
      <c r="F926" s="2" t="s">
        <v>15273</v>
      </c>
      <c r="G926" s="3" t="s">
        <v>3429</v>
      </c>
      <c r="H926" s="1"/>
      <c r="I926" s="1"/>
      <c r="J926" s="4" t="s">
        <v>16125</v>
      </c>
      <c r="K926" s="1"/>
      <c r="L926" s="1" t="s">
        <v>25</v>
      </c>
      <c r="M926" s="825">
        <v>1</v>
      </c>
      <c r="N926" s="17">
        <v>1</v>
      </c>
      <c r="O926" s="3" t="s">
        <v>317</v>
      </c>
      <c r="P926" s="20">
        <v>25904</v>
      </c>
      <c r="Q926" s="3" t="s">
        <v>3431</v>
      </c>
      <c r="R926" s="3"/>
      <c r="S926" s="3" t="s">
        <v>5561</v>
      </c>
      <c r="T926" s="3"/>
      <c r="U926" s="2"/>
      <c r="V926" s="2"/>
      <c r="W926" s="2"/>
      <c r="X926" s="2"/>
      <c r="Y926" s="2"/>
      <c r="Z926" s="2"/>
      <c r="AA926" s="2"/>
      <c r="AB926" s="2"/>
      <c r="AC926" s="2"/>
      <c r="AD926" s="2"/>
    </row>
    <row r="927" spans="1:30" ht="12" customHeight="1">
      <c r="A927" s="828" t="s">
        <v>17621</v>
      </c>
      <c r="B927" s="3" t="s">
        <v>3419</v>
      </c>
      <c r="C927" s="1" t="s">
        <v>4414</v>
      </c>
      <c r="D927" s="5">
        <f t="shared" si="14"/>
        <v>39</v>
      </c>
      <c r="E927" s="2" t="s">
        <v>5</v>
      </c>
      <c r="F927" s="2" t="s">
        <v>15273</v>
      </c>
      <c r="G927" s="3"/>
      <c r="H927" s="1"/>
      <c r="I927" s="1"/>
      <c r="J927" s="4" t="s">
        <v>16116</v>
      </c>
      <c r="K927" s="1" t="s">
        <v>276</v>
      </c>
      <c r="L927" s="1" t="s">
        <v>6</v>
      </c>
      <c r="M927" s="825"/>
      <c r="N927" s="17"/>
      <c r="O927" s="3" t="s">
        <v>4415</v>
      </c>
      <c r="P927" s="20">
        <v>26758</v>
      </c>
      <c r="Q927" s="3" t="s">
        <v>4416</v>
      </c>
      <c r="R927" s="3"/>
      <c r="S927" s="3"/>
      <c r="T927" s="3" t="s">
        <v>145</v>
      </c>
      <c r="U927" s="2"/>
      <c r="V927" s="2" t="s">
        <v>145</v>
      </c>
      <c r="W927" s="2"/>
      <c r="X927" s="2"/>
      <c r="Y927" s="2"/>
      <c r="Z927" s="2"/>
      <c r="AA927" s="2"/>
      <c r="AB927" s="2"/>
      <c r="AC927" s="2"/>
      <c r="AD927" s="2"/>
    </row>
    <row r="928" spans="1:30" ht="12" customHeight="1">
      <c r="A928" s="828" t="s">
        <v>17622</v>
      </c>
      <c r="B928" s="3" t="s">
        <v>3420</v>
      </c>
      <c r="C928" s="1" t="s">
        <v>3432</v>
      </c>
      <c r="D928" s="5">
        <f t="shared" si="14"/>
        <v>64</v>
      </c>
      <c r="E928" s="2" t="s">
        <v>5</v>
      </c>
      <c r="F928" s="2"/>
      <c r="G928" s="3"/>
      <c r="H928" s="1"/>
      <c r="I928" s="1"/>
      <c r="J928" s="4" t="s">
        <v>16117</v>
      </c>
      <c r="K928" s="1"/>
      <c r="L928" s="1" t="s">
        <v>6</v>
      </c>
      <c r="M928" s="825"/>
      <c r="N928" s="17"/>
      <c r="O928" s="3" t="s">
        <v>16039</v>
      </c>
      <c r="P928" s="21">
        <v>17883</v>
      </c>
      <c r="Q928" s="3" t="s">
        <v>3433</v>
      </c>
      <c r="R928" s="3"/>
      <c r="S928" s="3"/>
      <c r="T928" s="3"/>
      <c r="U928" s="2"/>
      <c r="V928" s="2"/>
      <c r="W928" s="2"/>
      <c r="X928" s="2"/>
      <c r="Y928" s="2"/>
      <c r="Z928" s="2"/>
      <c r="AA928" s="2"/>
      <c r="AB928" s="2"/>
      <c r="AC928" s="2"/>
      <c r="AD928" s="2"/>
    </row>
    <row r="929" spans="1:30" ht="12" customHeight="1">
      <c r="A929" s="828" t="s">
        <v>17623</v>
      </c>
      <c r="B929" s="3" t="s">
        <v>3434</v>
      </c>
      <c r="C929" s="1" t="s">
        <v>3437</v>
      </c>
      <c r="D929" s="5">
        <f t="shared" si="14"/>
        <v>41</v>
      </c>
      <c r="E929" s="2" t="s">
        <v>5</v>
      </c>
      <c r="F929" s="6" t="s">
        <v>15273</v>
      </c>
      <c r="G929" s="3" t="s">
        <v>3438</v>
      </c>
      <c r="H929" s="1"/>
      <c r="I929" s="1"/>
      <c r="J929" s="8" t="s">
        <v>16126</v>
      </c>
      <c r="K929" s="1" t="s">
        <v>44</v>
      </c>
      <c r="L929" s="1" t="s">
        <v>25</v>
      </c>
      <c r="M929" s="825">
        <v>1</v>
      </c>
      <c r="N929" s="17">
        <v>1</v>
      </c>
      <c r="O929" s="3" t="s">
        <v>557</v>
      </c>
      <c r="P929" s="20">
        <v>26031</v>
      </c>
      <c r="Q929" s="3" t="s">
        <v>3440</v>
      </c>
      <c r="R929" s="3"/>
      <c r="S929" s="3"/>
      <c r="T929" s="3" t="s">
        <v>173</v>
      </c>
      <c r="U929" s="2"/>
      <c r="V929" s="2" t="s">
        <v>145</v>
      </c>
      <c r="W929" s="2"/>
      <c r="X929" s="2"/>
      <c r="Y929" s="2" t="s">
        <v>155</v>
      </c>
      <c r="Z929" s="2"/>
      <c r="AA929" s="2"/>
      <c r="AB929" s="2"/>
      <c r="AC929" s="2"/>
      <c r="AD929" s="2"/>
    </row>
    <row r="930" spans="1:30" ht="12" customHeight="1">
      <c r="A930" s="828" t="s">
        <v>17624</v>
      </c>
      <c r="B930" s="3" t="s">
        <v>3435</v>
      </c>
      <c r="C930" s="1" t="s">
        <v>3444</v>
      </c>
      <c r="D930" s="5">
        <f t="shared" si="14"/>
        <v>59</v>
      </c>
      <c r="E930" s="2" t="s">
        <v>5</v>
      </c>
      <c r="F930" s="2"/>
      <c r="G930" s="3"/>
      <c r="H930" s="1"/>
      <c r="I930" s="1"/>
      <c r="J930" s="4" t="s">
        <v>16118</v>
      </c>
      <c r="K930" s="1"/>
      <c r="L930" s="1" t="s">
        <v>14</v>
      </c>
      <c r="M930" s="825">
        <v>6</v>
      </c>
      <c r="N930" s="17">
        <v>6</v>
      </c>
      <c r="O930" s="3" t="s">
        <v>2123</v>
      </c>
      <c r="P930" s="20">
        <v>19420</v>
      </c>
      <c r="Q930" s="3" t="s">
        <v>727</v>
      </c>
      <c r="R930" s="3" t="s">
        <v>3449</v>
      </c>
      <c r="S930" s="3" t="s">
        <v>5546</v>
      </c>
      <c r="T930" s="3" t="s">
        <v>3181</v>
      </c>
      <c r="U930" s="2"/>
      <c r="V930" s="2"/>
      <c r="W930" s="2"/>
      <c r="X930" s="2"/>
      <c r="Y930" s="2"/>
      <c r="Z930" s="2"/>
      <c r="AA930" s="2" t="s">
        <v>104</v>
      </c>
      <c r="AB930" s="2" t="s">
        <v>147</v>
      </c>
      <c r="AC930" s="2"/>
      <c r="AD930" s="2"/>
    </row>
    <row r="931" spans="1:30" ht="12" customHeight="1">
      <c r="A931" s="828" t="s">
        <v>17625</v>
      </c>
      <c r="B931" s="3" t="s">
        <v>3436</v>
      </c>
      <c r="C931" s="1" t="s">
        <v>3450</v>
      </c>
      <c r="D931" s="5">
        <f t="shared" si="14"/>
        <v>61</v>
      </c>
      <c r="E931" s="2" t="s">
        <v>5</v>
      </c>
      <c r="F931" s="2"/>
      <c r="G931" s="3"/>
      <c r="H931" s="1"/>
      <c r="I931" s="1"/>
      <c r="J931" s="4" t="s">
        <v>16117</v>
      </c>
      <c r="K931" s="1"/>
      <c r="L931" s="1" t="s">
        <v>6</v>
      </c>
      <c r="M931" s="825"/>
      <c r="N931" s="17"/>
      <c r="O931" s="3" t="s">
        <v>3451</v>
      </c>
      <c r="P931" s="21">
        <v>18764</v>
      </c>
      <c r="Q931" s="3" t="s">
        <v>3452</v>
      </c>
      <c r="R931" s="3"/>
      <c r="S931" s="3"/>
      <c r="T931" s="3" t="s">
        <v>145</v>
      </c>
      <c r="U931" s="2"/>
      <c r="V931" s="2" t="s">
        <v>145</v>
      </c>
      <c r="W931" s="2"/>
      <c r="X931" s="2"/>
      <c r="Y931" s="2"/>
      <c r="Z931" s="2"/>
      <c r="AA931" s="2"/>
      <c r="AB931" s="2"/>
      <c r="AC931" s="2"/>
      <c r="AD931" s="2"/>
    </row>
    <row r="932" spans="1:30" ht="12" customHeight="1">
      <c r="A932" s="828" t="s">
        <v>17626</v>
      </c>
      <c r="B932" s="3" t="s">
        <v>16040</v>
      </c>
      <c r="C932" s="1" t="s">
        <v>16041</v>
      </c>
      <c r="D932" s="5">
        <f t="shared" si="14"/>
        <v>61</v>
      </c>
      <c r="E932" s="2" t="s">
        <v>5</v>
      </c>
      <c r="F932" s="2"/>
      <c r="G932" s="3"/>
      <c r="H932" s="1"/>
      <c r="I932" s="1"/>
      <c r="J932" s="4" t="s">
        <v>16122</v>
      </c>
      <c r="K932" s="1" t="s">
        <v>16042</v>
      </c>
      <c r="L932" s="1" t="s">
        <v>6</v>
      </c>
      <c r="M932" s="825"/>
      <c r="N932" s="17"/>
      <c r="O932" s="3" t="s">
        <v>7</v>
      </c>
      <c r="P932" s="21">
        <v>18677</v>
      </c>
      <c r="Q932" s="3" t="s">
        <v>16043</v>
      </c>
      <c r="R932" s="3"/>
      <c r="S932" s="3"/>
      <c r="T932" s="3"/>
      <c r="U932" s="2"/>
      <c r="V932" s="2"/>
      <c r="W932" s="2"/>
      <c r="X932" s="2"/>
      <c r="Y932" s="2"/>
      <c r="Z932" s="2"/>
      <c r="AA932" s="2"/>
      <c r="AB932" s="2"/>
      <c r="AC932" s="2"/>
      <c r="AD932" s="2"/>
    </row>
    <row r="933" spans="1:30" ht="12" customHeight="1">
      <c r="A933" s="828" t="s">
        <v>17627</v>
      </c>
      <c r="B933" s="3" t="s">
        <v>5999</v>
      </c>
      <c r="C933" s="1" t="s">
        <v>6052</v>
      </c>
      <c r="D933" s="5">
        <f t="shared" si="14"/>
        <v>35</v>
      </c>
      <c r="E933" s="2" t="s">
        <v>5</v>
      </c>
      <c r="F933" s="6" t="s">
        <v>15273</v>
      </c>
      <c r="G933" s="3"/>
      <c r="H933" s="1"/>
      <c r="I933" s="1"/>
      <c r="J933" s="8" t="s">
        <v>16127</v>
      </c>
      <c r="K933" s="1" t="s">
        <v>44</v>
      </c>
      <c r="L933" s="1" t="s">
        <v>6</v>
      </c>
      <c r="M933" s="825"/>
      <c r="N933" s="17"/>
      <c r="O933" s="3" t="s">
        <v>267</v>
      </c>
      <c r="P933" s="21">
        <v>28313</v>
      </c>
      <c r="Q933" s="3" t="s">
        <v>6054</v>
      </c>
      <c r="R933" s="3"/>
      <c r="S933" s="3" t="s">
        <v>736</v>
      </c>
      <c r="T933" s="3" t="s">
        <v>145</v>
      </c>
      <c r="U933" s="2"/>
      <c r="V933" s="2" t="s">
        <v>145</v>
      </c>
      <c r="W933" s="2"/>
      <c r="X933" s="2"/>
      <c r="Y933" s="2"/>
      <c r="Z933" s="2"/>
      <c r="AA933" s="2"/>
      <c r="AB933" s="2"/>
      <c r="AC933" s="2"/>
      <c r="AD933" s="2"/>
    </row>
    <row r="934" spans="1:30" ht="12" customHeight="1">
      <c r="A934" s="828" t="s">
        <v>17628</v>
      </c>
      <c r="B934" s="3" t="s">
        <v>3453</v>
      </c>
      <c r="C934" s="1" t="s">
        <v>3458</v>
      </c>
      <c r="D934" s="5">
        <f t="shared" si="14"/>
        <v>73</v>
      </c>
      <c r="E934" s="2" t="s">
        <v>19</v>
      </c>
      <c r="F934" s="2"/>
      <c r="G934" s="3"/>
      <c r="H934" s="1"/>
      <c r="I934" s="1"/>
      <c r="J934" s="4" t="s">
        <v>16120</v>
      </c>
      <c r="K934" s="1" t="s">
        <v>13</v>
      </c>
      <c r="L934" s="1" t="s">
        <v>14</v>
      </c>
      <c r="M934" s="825">
        <v>2</v>
      </c>
      <c r="N934" s="17">
        <v>2</v>
      </c>
      <c r="O934" s="3" t="s">
        <v>3459</v>
      </c>
      <c r="P934" s="20">
        <v>14424</v>
      </c>
      <c r="Q934" s="3" t="s">
        <v>3461</v>
      </c>
      <c r="R934" s="3" t="s">
        <v>247</v>
      </c>
      <c r="S934" s="3"/>
      <c r="T934" s="3"/>
      <c r="U934" s="2"/>
      <c r="V934" s="2"/>
      <c r="W934" s="2"/>
      <c r="X934" s="2"/>
      <c r="Y934" s="2"/>
      <c r="Z934" s="2"/>
      <c r="AA934" s="2"/>
      <c r="AB934" s="2"/>
      <c r="AC934" s="2"/>
      <c r="AD934" s="2"/>
    </row>
    <row r="935" spans="1:30" ht="12" customHeight="1">
      <c r="A935" s="828" t="s">
        <v>17629</v>
      </c>
      <c r="B935" s="3" t="s">
        <v>3454</v>
      </c>
      <c r="C935" s="1" t="s">
        <v>3456</v>
      </c>
      <c r="D935" s="5">
        <f t="shared" si="14"/>
        <v>64</v>
      </c>
      <c r="E935" s="2" t="s">
        <v>5</v>
      </c>
      <c r="F935" s="2" t="s">
        <v>15273</v>
      </c>
      <c r="G935" s="3" t="s">
        <v>3457</v>
      </c>
      <c r="H935" s="1"/>
      <c r="I935" s="1"/>
      <c r="J935" s="4" t="s">
        <v>16125</v>
      </c>
      <c r="K935" s="1"/>
      <c r="L935" s="1" t="s">
        <v>25</v>
      </c>
      <c r="M935" s="825">
        <v>2</v>
      </c>
      <c r="N935" s="17">
        <v>2</v>
      </c>
      <c r="O935" s="3" t="s">
        <v>317</v>
      </c>
      <c r="P935" s="20">
        <v>17696</v>
      </c>
      <c r="Q935" s="3" t="s">
        <v>727</v>
      </c>
      <c r="R935" s="3"/>
      <c r="S935" s="3" t="s">
        <v>5561</v>
      </c>
      <c r="T935" s="3" t="s">
        <v>147</v>
      </c>
      <c r="U935" s="2"/>
      <c r="V935" s="2"/>
      <c r="W935" s="2"/>
      <c r="X935" s="2"/>
      <c r="Y935" s="2"/>
      <c r="Z935" s="2"/>
      <c r="AA935" s="2"/>
      <c r="AB935" s="2" t="s">
        <v>147</v>
      </c>
      <c r="AC935" s="2"/>
      <c r="AD935" s="2"/>
    </row>
    <row r="936" spans="1:30" ht="12" customHeight="1">
      <c r="A936" s="828" t="s">
        <v>17630</v>
      </c>
      <c r="B936" s="3" t="s">
        <v>3455</v>
      </c>
      <c r="C936" s="1" t="s">
        <v>4417</v>
      </c>
      <c r="D936" s="5">
        <f t="shared" si="14"/>
        <v>47</v>
      </c>
      <c r="E936" s="2" t="s">
        <v>5</v>
      </c>
      <c r="F936" s="2" t="s">
        <v>15273</v>
      </c>
      <c r="G936" s="3"/>
      <c r="H936" s="1"/>
      <c r="I936" s="1"/>
      <c r="J936" s="4" t="s">
        <v>16116</v>
      </c>
      <c r="K936" s="1" t="s">
        <v>276</v>
      </c>
      <c r="L936" s="1" t="s">
        <v>6</v>
      </c>
      <c r="M936" s="825"/>
      <c r="N936" s="17"/>
      <c r="O936" s="3" t="s">
        <v>4418</v>
      </c>
      <c r="P936" s="21">
        <v>23769</v>
      </c>
      <c r="Q936" s="3" t="s">
        <v>4419</v>
      </c>
      <c r="R936" s="3"/>
      <c r="S936" s="3"/>
      <c r="T936" s="3" t="s">
        <v>145</v>
      </c>
      <c r="U936" s="2"/>
      <c r="V936" s="2" t="s">
        <v>145</v>
      </c>
      <c r="W936" s="2"/>
      <c r="X936" s="2"/>
      <c r="Y936" s="2"/>
      <c r="Z936" s="2"/>
      <c r="AA936" s="2"/>
      <c r="AB936" s="2"/>
      <c r="AC936" s="2"/>
      <c r="AD936" s="2"/>
    </row>
    <row r="937" spans="1:30" ht="12" customHeight="1">
      <c r="A937" s="828" t="s">
        <v>17631</v>
      </c>
      <c r="B937" s="3" t="s">
        <v>5998</v>
      </c>
      <c r="C937" s="1" t="s">
        <v>3462</v>
      </c>
      <c r="D937" s="5">
        <f t="shared" si="14"/>
        <v>54</v>
      </c>
      <c r="E937" s="2" t="s">
        <v>5</v>
      </c>
      <c r="F937" s="2"/>
      <c r="G937" s="3"/>
      <c r="H937" s="1"/>
      <c r="I937" s="1"/>
      <c r="J937" s="4" t="s">
        <v>16117</v>
      </c>
      <c r="K937" s="1"/>
      <c r="L937" s="1" t="s">
        <v>6</v>
      </c>
      <c r="M937" s="825"/>
      <c r="N937" s="17"/>
      <c r="O937" s="3" t="s">
        <v>2953</v>
      </c>
      <c r="P937" s="21">
        <v>21320</v>
      </c>
      <c r="Q937" s="3" t="s">
        <v>3463</v>
      </c>
      <c r="R937" s="3"/>
      <c r="S937" s="3"/>
      <c r="T937" s="3"/>
      <c r="U937" s="2"/>
      <c r="V937" s="2"/>
      <c r="W937" s="2"/>
      <c r="X937" s="2"/>
      <c r="Y937" s="2"/>
      <c r="Z937" s="2"/>
      <c r="AA937" s="2"/>
      <c r="AB937" s="2"/>
      <c r="AC937" s="2"/>
      <c r="AD937" s="2"/>
    </row>
    <row r="938" spans="1:30" ht="12" customHeight="1">
      <c r="A938" s="828" t="s">
        <v>17632</v>
      </c>
      <c r="B938" s="3" t="s">
        <v>16044</v>
      </c>
      <c r="C938" s="1" t="s">
        <v>16045</v>
      </c>
      <c r="D938" s="5">
        <f t="shared" si="14"/>
        <v>65</v>
      </c>
      <c r="E938" s="2" t="s">
        <v>19</v>
      </c>
      <c r="F938" s="2"/>
      <c r="G938" s="3"/>
      <c r="H938" s="1"/>
      <c r="I938" s="1"/>
      <c r="J938" s="4" t="s">
        <v>16129</v>
      </c>
      <c r="K938" s="1"/>
      <c r="L938" s="1" t="s">
        <v>6</v>
      </c>
      <c r="M938" s="825"/>
      <c r="N938" s="17"/>
      <c r="O938" s="3" t="s">
        <v>16046</v>
      </c>
      <c r="P938" s="21">
        <v>17329</v>
      </c>
      <c r="Q938" s="3" t="s">
        <v>16651</v>
      </c>
      <c r="R938" s="3"/>
      <c r="S938" s="3"/>
      <c r="T938" s="3"/>
      <c r="U938" s="2"/>
      <c r="V938" s="2"/>
      <c r="W938" s="2"/>
      <c r="X938" s="2"/>
      <c r="Y938" s="2"/>
      <c r="Z938" s="2"/>
      <c r="AA938" s="2"/>
      <c r="AB938" s="2"/>
      <c r="AC938" s="2"/>
      <c r="AD938" s="2"/>
    </row>
    <row r="939" spans="1:30" ht="12" customHeight="1">
      <c r="A939" s="828" t="s">
        <v>17633</v>
      </c>
      <c r="B939" s="3" t="s">
        <v>3464</v>
      </c>
      <c r="C939" s="1" t="s">
        <v>3476</v>
      </c>
      <c r="D939" s="5">
        <f t="shared" si="14"/>
        <v>63</v>
      </c>
      <c r="E939" s="2" t="s">
        <v>5</v>
      </c>
      <c r="F939" s="2" t="s">
        <v>15273</v>
      </c>
      <c r="G939" s="3"/>
      <c r="H939" s="1"/>
      <c r="I939" s="1"/>
      <c r="J939" s="4" t="s">
        <v>16120</v>
      </c>
      <c r="K939" s="1" t="s">
        <v>30</v>
      </c>
      <c r="L939" s="1" t="s">
        <v>6</v>
      </c>
      <c r="M939" s="825"/>
      <c r="N939" s="17"/>
      <c r="O939" s="3" t="s">
        <v>3477</v>
      </c>
      <c r="P939" s="20">
        <v>18000</v>
      </c>
      <c r="Q939" s="3" t="s">
        <v>3478</v>
      </c>
      <c r="R939" s="3"/>
      <c r="S939" s="3" t="s">
        <v>5457</v>
      </c>
      <c r="T939" s="3" t="s">
        <v>371</v>
      </c>
      <c r="U939" s="2"/>
      <c r="V939" s="2" t="s">
        <v>145</v>
      </c>
      <c r="W939" s="2" t="s">
        <v>75</v>
      </c>
      <c r="X939" s="2"/>
      <c r="Y939" s="2"/>
      <c r="Z939" s="2"/>
      <c r="AA939" s="2"/>
      <c r="AB939" s="2"/>
      <c r="AC939" s="2"/>
      <c r="AD939" s="2"/>
    </row>
    <row r="940" spans="1:30" ht="12" customHeight="1">
      <c r="A940" s="828" t="s">
        <v>17634</v>
      </c>
      <c r="B940" s="3" t="s">
        <v>3465</v>
      </c>
      <c r="C940" s="1" t="s">
        <v>3468</v>
      </c>
      <c r="D940" s="5">
        <f t="shared" si="14"/>
        <v>61</v>
      </c>
      <c r="E940" s="2" t="s">
        <v>5</v>
      </c>
      <c r="F940" s="2" t="s">
        <v>15273</v>
      </c>
      <c r="G940" s="3" t="s">
        <v>3469</v>
      </c>
      <c r="H940" s="1"/>
      <c r="I940" s="1"/>
      <c r="J940" s="4" t="s">
        <v>16125</v>
      </c>
      <c r="K940" s="1"/>
      <c r="L940" s="1" t="s">
        <v>25</v>
      </c>
      <c r="M940" s="825">
        <v>2</v>
      </c>
      <c r="N940" s="17">
        <v>2</v>
      </c>
      <c r="O940" s="3" t="s">
        <v>3470</v>
      </c>
      <c r="P940" s="20">
        <v>18669</v>
      </c>
      <c r="Q940" s="3" t="s">
        <v>3471</v>
      </c>
      <c r="R940" s="3"/>
      <c r="S940" s="3" t="s">
        <v>5561</v>
      </c>
      <c r="T940" s="3" t="s">
        <v>145</v>
      </c>
      <c r="U940" s="2"/>
      <c r="V940" s="2" t="s">
        <v>145</v>
      </c>
      <c r="W940" s="2"/>
      <c r="X940" s="2"/>
      <c r="Y940" s="2"/>
      <c r="Z940" s="2"/>
      <c r="AA940" s="2"/>
      <c r="AB940" s="2"/>
      <c r="AC940" s="2"/>
      <c r="AD940" s="2"/>
    </row>
    <row r="941" spans="1:30" ht="12" customHeight="1">
      <c r="A941" s="828" t="s">
        <v>17635</v>
      </c>
      <c r="B941" s="3" t="s">
        <v>3466</v>
      </c>
      <c r="C941" s="1" t="s">
        <v>3481</v>
      </c>
      <c r="D941" s="5">
        <f t="shared" si="14"/>
        <v>44</v>
      </c>
      <c r="E941" s="2" t="s">
        <v>5</v>
      </c>
      <c r="F941" s="2" t="s">
        <v>15273</v>
      </c>
      <c r="G941" s="3"/>
      <c r="H941" s="1"/>
      <c r="I941" s="1"/>
      <c r="J941" s="4" t="s">
        <v>16116</v>
      </c>
      <c r="K941" s="1" t="s">
        <v>276</v>
      </c>
      <c r="L941" s="1" t="s">
        <v>6</v>
      </c>
      <c r="M941" s="825"/>
      <c r="N941" s="17"/>
      <c r="O941" s="3" t="s">
        <v>3482</v>
      </c>
      <c r="P941" s="21">
        <v>24995</v>
      </c>
      <c r="Q941" s="3" t="s">
        <v>3483</v>
      </c>
      <c r="R941" s="3"/>
      <c r="S941" s="3" t="s">
        <v>469</v>
      </c>
      <c r="T941" s="3"/>
      <c r="U941" s="2"/>
      <c r="V941" s="2"/>
      <c r="W941" s="2"/>
      <c r="X941" s="2"/>
      <c r="Y941" s="2"/>
      <c r="Z941" s="2"/>
      <c r="AA941" s="2"/>
      <c r="AB941" s="2"/>
      <c r="AC941" s="2"/>
      <c r="AD941" s="2"/>
    </row>
    <row r="942" spans="1:30" ht="12" customHeight="1">
      <c r="A942" s="828" t="s">
        <v>17636</v>
      </c>
      <c r="B942" s="3" t="s">
        <v>3467</v>
      </c>
      <c r="C942" s="1" t="s">
        <v>3472</v>
      </c>
      <c r="D942" s="5">
        <f t="shared" si="14"/>
        <v>62</v>
      </c>
      <c r="E942" s="2" t="s">
        <v>5</v>
      </c>
      <c r="F942" s="2"/>
      <c r="G942" s="3"/>
      <c r="H942" s="1"/>
      <c r="I942" s="1"/>
      <c r="J942" s="4" t="s">
        <v>16117</v>
      </c>
      <c r="K942" s="1"/>
      <c r="L942" s="1" t="s">
        <v>6</v>
      </c>
      <c r="M942" s="825"/>
      <c r="N942" s="17"/>
      <c r="O942" s="3" t="s">
        <v>3473</v>
      </c>
      <c r="P942" s="21">
        <v>18325</v>
      </c>
      <c r="Q942" s="3" t="s">
        <v>3474</v>
      </c>
      <c r="R942" s="3"/>
      <c r="S942" s="3"/>
      <c r="T942" s="3" t="s">
        <v>69</v>
      </c>
      <c r="U942" s="2"/>
      <c r="V942" s="2"/>
      <c r="W942" s="2"/>
      <c r="X942" s="2"/>
      <c r="Y942" s="2"/>
      <c r="Z942" s="2"/>
      <c r="AA942" s="2"/>
      <c r="AB942" s="2"/>
      <c r="AC942" s="2"/>
      <c r="AD942" s="2" t="s">
        <v>69</v>
      </c>
    </row>
    <row r="943" spans="1:30" ht="12" customHeight="1">
      <c r="A943" s="828" t="s">
        <v>17637</v>
      </c>
      <c r="B943" s="3" t="s">
        <v>3484</v>
      </c>
      <c r="C943" s="1" t="s">
        <v>3488</v>
      </c>
      <c r="D943" s="5">
        <f t="shared" si="14"/>
        <v>44</v>
      </c>
      <c r="E943" s="2" t="s">
        <v>5</v>
      </c>
      <c r="F943" s="6" t="s">
        <v>15273</v>
      </c>
      <c r="G943" s="3" t="s">
        <v>3489</v>
      </c>
      <c r="H943" s="1"/>
      <c r="I943" s="1"/>
      <c r="J943" s="8" t="s">
        <v>16127</v>
      </c>
      <c r="K943" s="1" t="s">
        <v>44</v>
      </c>
      <c r="L943" s="1" t="s">
        <v>25</v>
      </c>
      <c r="M943" s="825">
        <v>3</v>
      </c>
      <c r="N943" s="17">
        <v>3</v>
      </c>
      <c r="O943" s="3" t="s">
        <v>317</v>
      </c>
      <c r="P943" s="20">
        <v>25086</v>
      </c>
      <c r="Q943" s="3" t="s">
        <v>3492</v>
      </c>
      <c r="R943" s="3" t="s">
        <v>3491</v>
      </c>
      <c r="S943" s="3" t="s">
        <v>736</v>
      </c>
      <c r="T943" s="3"/>
      <c r="U943" s="2"/>
      <c r="V943" s="2"/>
      <c r="W943" s="2"/>
      <c r="X943" s="2"/>
      <c r="Y943" s="2"/>
      <c r="Z943" s="2"/>
      <c r="AA943" s="2"/>
      <c r="AB943" s="2"/>
      <c r="AC943" s="2"/>
      <c r="AD943" s="2"/>
    </row>
    <row r="944" spans="1:30" ht="12" customHeight="1">
      <c r="A944" s="828" t="s">
        <v>17638</v>
      </c>
      <c r="B944" s="3" t="s">
        <v>3485</v>
      </c>
      <c r="C944" s="1" t="s">
        <v>3493</v>
      </c>
      <c r="D944" s="5">
        <f t="shared" si="14"/>
        <v>36</v>
      </c>
      <c r="E944" s="2" t="s">
        <v>5</v>
      </c>
      <c r="F944" s="2" t="s">
        <v>15273</v>
      </c>
      <c r="G944" s="3"/>
      <c r="H944" s="1"/>
      <c r="I944" s="1"/>
      <c r="J944" s="8" t="s">
        <v>16120</v>
      </c>
      <c r="K944" s="1" t="s">
        <v>48</v>
      </c>
      <c r="L944" s="1" t="s">
        <v>6</v>
      </c>
      <c r="M944" s="825"/>
      <c r="N944" s="17"/>
      <c r="O944" s="3" t="s">
        <v>3009</v>
      </c>
      <c r="P944" s="20">
        <v>27877</v>
      </c>
      <c r="Q944" s="3" t="s">
        <v>3495</v>
      </c>
      <c r="R944" s="3"/>
      <c r="S944" s="3" t="s">
        <v>5457</v>
      </c>
      <c r="T944" s="3" t="s">
        <v>3496</v>
      </c>
      <c r="U944" s="2"/>
      <c r="V944" s="2"/>
      <c r="W944" s="2"/>
      <c r="X944" s="2"/>
      <c r="Y944" s="2"/>
      <c r="Z944" s="2" t="s">
        <v>85</v>
      </c>
      <c r="AA944" s="2" t="s">
        <v>1746</v>
      </c>
      <c r="AB944" s="2"/>
      <c r="AC944" s="2"/>
      <c r="AD944" s="2"/>
    </row>
    <row r="945" spans="1:30" ht="12" customHeight="1">
      <c r="A945" s="828" t="s">
        <v>17639</v>
      </c>
      <c r="B945" s="3" t="s">
        <v>3486</v>
      </c>
      <c r="C945" s="1" t="s">
        <v>5039</v>
      </c>
      <c r="D945" s="5">
        <f t="shared" si="14"/>
        <v>28</v>
      </c>
      <c r="E945" s="2" t="s">
        <v>5</v>
      </c>
      <c r="F945" s="2" t="s">
        <v>15273</v>
      </c>
      <c r="G945" s="3"/>
      <c r="H945" s="1"/>
      <c r="I945" s="1"/>
      <c r="J945" s="4" t="s">
        <v>16116</v>
      </c>
      <c r="K945" s="1" t="s">
        <v>4997</v>
      </c>
      <c r="L945" s="1" t="s">
        <v>6</v>
      </c>
      <c r="M945" s="825"/>
      <c r="N945" s="17"/>
      <c r="O945" s="3" t="s">
        <v>317</v>
      </c>
      <c r="P945" s="21">
        <v>30691</v>
      </c>
      <c r="Q945" s="3" t="s">
        <v>16671</v>
      </c>
      <c r="R945" s="3"/>
      <c r="S945" s="3" t="s">
        <v>469</v>
      </c>
      <c r="T945" s="3" t="s">
        <v>1510</v>
      </c>
      <c r="U945" s="2" t="s">
        <v>47</v>
      </c>
      <c r="V945" s="2"/>
      <c r="W945" s="2"/>
      <c r="X945" s="2"/>
      <c r="Y945" s="2"/>
      <c r="Z945" s="2"/>
      <c r="AA945" s="2"/>
      <c r="AB945" s="2"/>
      <c r="AC945" s="2" t="s">
        <v>146</v>
      </c>
      <c r="AD945" s="2"/>
    </row>
    <row r="946" spans="1:30" ht="12" customHeight="1">
      <c r="A946" s="828" t="s">
        <v>17640</v>
      </c>
      <c r="B946" s="3" t="s">
        <v>3487</v>
      </c>
      <c r="C946" s="1" t="s">
        <v>3499</v>
      </c>
      <c r="D946" s="5">
        <f t="shared" si="14"/>
        <v>34</v>
      </c>
      <c r="E946" s="2" t="s">
        <v>5</v>
      </c>
      <c r="F946" s="2"/>
      <c r="G946" s="3"/>
      <c r="H946" s="1"/>
      <c r="I946" s="1"/>
      <c r="J946" s="4" t="s">
        <v>16117</v>
      </c>
      <c r="K946" s="1"/>
      <c r="L946" s="1" t="s">
        <v>6</v>
      </c>
      <c r="M946" s="825"/>
      <c r="N946" s="17"/>
      <c r="O946" s="3" t="s">
        <v>3500</v>
      </c>
      <c r="P946" s="21">
        <v>28660</v>
      </c>
      <c r="Q946" s="3" t="s">
        <v>364</v>
      </c>
      <c r="R946" s="3"/>
      <c r="S946" s="3"/>
      <c r="T946" s="3"/>
      <c r="U946" s="2"/>
      <c r="V946" s="2"/>
      <c r="W946" s="2"/>
      <c r="X946" s="2"/>
      <c r="Y946" s="2"/>
      <c r="Z946" s="2"/>
      <c r="AA946" s="2"/>
      <c r="AB946" s="2"/>
      <c r="AC946" s="2"/>
      <c r="AD946" s="2"/>
    </row>
    <row r="947" spans="1:30" ht="12" customHeight="1">
      <c r="A947" s="828" t="s">
        <v>17641</v>
      </c>
      <c r="B947" s="3" t="s">
        <v>5168</v>
      </c>
      <c r="C947" s="1" t="s">
        <v>5169</v>
      </c>
      <c r="D947" s="5">
        <f t="shared" si="14"/>
        <v>40</v>
      </c>
      <c r="E947" s="2" t="s">
        <v>5</v>
      </c>
      <c r="F947" s="2"/>
      <c r="G947" s="3"/>
      <c r="H947" s="1"/>
      <c r="I947" s="1"/>
      <c r="J947" s="4" t="s">
        <v>16122</v>
      </c>
      <c r="K947" s="1" t="s">
        <v>22</v>
      </c>
      <c r="L947" s="1" t="s">
        <v>6</v>
      </c>
      <c r="M947" s="825"/>
      <c r="N947" s="17"/>
      <c r="O947" s="3" t="s">
        <v>95</v>
      </c>
      <c r="P947" s="21">
        <v>26560</v>
      </c>
      <c r="Q947" s="3" t="s">
        <v>5170</v>
      </c>
      <c r="R947" s="3"/>
      <c r="S947" s="3"/>
      <c r="T947" s="3"/>
      <c r="U947" s="2"/>
      <c r="V947" s="2"/>
      <c r="W947" s="2"/>
      <c r="X947" s="2"/>
      <c r="Y947" s="2"/>
      <c r="Z947" s="2"/>
      <c r="AA947" s="2"/>
      <c r="AB947" s="2"/>
      <c r="AC947" s="2"/>
      <c r="AD947" s="2"/>
    </row>
    <row r="948" spans="1:30" ht="12" customHeight="1">
      <c r="A948" s="828" t="s">
        <v>17642</v>
      </c>
      <c r="B948" s="3" t="s">
        <v>3504</v>
      </c>
      <c r="C948" s="1" t="s">
        <v>3508</v>
      </c>
      <c r="D948" s="5">
        <f t="shared" si="14"/>
        <v>47</v>
      </c>
      <c r="E948" s="2" t="s">
        <v>19</v>
      </c>
      <c r="F948" s="6" t="s">
        <v>15273</v>
      </c>
      <c r="G948" s="3" t="s">
        <v>3509</v>
      </c>
      <c r="H948" s="1"/>
      <c r="I948" s="1"/>
      <c r="J948" s="8" t="s">
        <v>16126</v>
      </c>
      <c r="K948" s="1" t="s">
        <v>44</v>
      </c>
      <c r="L948" s="1" t="s">
        <v>25</v>
      </c>
      <c r="M948" s="825">
        <v>1</v>
      </c>
      <c r="N948" s="17">
        <v>1</v>
      </c>
      <c r="O948" s="3" t="s">
        <v>3510</v>
      </c>
      <c r="P948" s="20">
        <v>24089</v>
      </c>
      <c r="Q948" s="3" t="s">
        <v>3513</v>
      </c>
      <c r="R948" s="3"/>
      <c r="S948" s="3" t="s">
        <v>736</v>
      </c>
      <c r="T948" s="3" t="s">
        <v>3511</v>
      </c>
      <c r="U948" s="2"/>
      <c r="V948" s="2" t="s">
        <v>145</v>
      </c>
      <c r="W948" s="2"/>
      <c r="X948" s="2"/>
      <c r="Y948" s="2" t="s">
        <v>155</v>
      </c>
      <c r="Z948" s="2"/>
      <c r="AA948" s="2"/>
      <c r="AB948" s="2"/>
      <c r="AC948" s="2" t="s">
        <v>146</v>
      </c>
      <c r="AD948" s="2"/>
    </row>
    <row r="949" spans="1:30" ht="12" customHeight="1">
      <c r="A949" s="828" t="s">
        <v>17643</v>
      </c>
      <c r="B949" s="3" t="s">
        <v>3505</v>
      </c>
      <c r="C949" s="1" t="s">
        <v>3514</v>
      </c>
      <c r="D949" s="5">
        <f t="shared" si="14"/>
        <v>59</v>
      </c>
      <c r="E949" s="2" t="s">
        <v>5</v>
      </c>
      <c r="F949" s="2" t="s">
        <v>15273</v>
      </c>
      <c r="G949" s="3"/>
      <c r="H949" s="1"/>
      <c r="I949" s="1"/>
      <c r="J949" s="4" t="s">
        <v>16120</v>
      </c>
      <c r="K949" s="1" t="s">
        <v>476</v>
      </c>
      <c r="L949" s="1" t="s">
        <v>14</v>
      </c>
      <c r="M949" s="825">
        <v>1</v>
      </c>
      <c r="N949" s="17">
        <v>1</v>
      </c>
      <c r="O949" s="3" t="s">
        <v>317</v>
      </c>
      <c r="P949" s="20">
        <v>19707</v>
      </c>
      <c r="Q949" s="3" t="s">
        <v>3515</v>
      </c>
      <c r="R949" s="3"/>
      <c r="S949" s="3" t="s">
        <v>5457</v>
      </c>
      <c r="T949" s="3" t="s">
        <v>47</v>
      </c>
      <c r="U949" s="2" t="s">
        <v>47</v>
      </c>
      <c r="V949" s="2"/>
      <c r="W949" s="2"/>
      <c r="X949" s="2"/>
      <c r="Y949" s="2"/>
      <c r="Z949" s="2"/>
      <c r="AA949" s="2"/>
      <c r="AB949" s="2"/>
      <c r="AC949" s="2"/>
      <c r="AD949" s="2"/>
    </row>
    <row r="950" spans="1:30" ht="12" customHeight="1">
      <c r="A950" s="828" t="s">
        <v>17644</v>
      </c>
      <c r="B950" s="3" t="s">
        <v>3506</v>
      </c>
      <c r="C950" s="1" t="s">
        <v>3519</v>
      </c>
      <c r="D950" s="5">
        <f t="shared" si="14"/>
        <v>38</v>
      </c>
      <c r="E950" s="2" t="s">
        <v>5</v>
      </c>
      <c r="F950" s="2" t="s">
        <v>15273</v>
      </c>
      <c r="G950" s="3"/>
      <c r="H950" s="1"/>
      <c r="I950" s="1"/>
      <c r="J950" s="8" t="s">
        <v>16128</v>
      </c>
      <c r="K950" s="1"/>
      <c r="L950" s="1" t="s">
        <v>6</v>
      </c>
      <c r="M950" s="825"/>
      <c r="N950" s="17"/>
      <c r="O950" s="3" t="s">
        <v>1493</v>
      </c>
      <c r="P950" s="20">
        <v>27115</v>
      </c>
      <c r="Q950" s="3" t="s">
        <v>3520</v>
      </c>
      <c r="R950" s="3"/>
      <c r="S950" s="3" t="s">
        <v>6031</v>
      </c>
      <c r="T950" s="3" t="s">
        <v>145</v>
      </c>
      <c r="U950" s="2"/>
      <c r="V950" s="2" t="s">
        <v>145</v>
      </c>
      <c r="W950" s="2"/>
      <c r="X950" s="2"/>
      <c r="Y950" s="2"/>
      <c r="Z950" s="2"/>
      <c r="AA950" s="2"/>
      <c r="AB950" s="2"/>
      <c r="AC950" s="2"/>
      <c r="AD950" s="2"/>
    </row>
    <row r="951" spans="1:30" ht="12" customHeight="1">
      <c r="A951" s="828" t="s">
        <v>17645</v>
      </c>
      <c r="B951" s="3" t="s">
        <v>3507</v>
      </c>
      <c r="C951" s="1" t="s">
        <v>3516</v>
      </c>
      <c r="D951" s="5">
        <f t="shared" si="14"/>
        <v>41</v>
      </c>
      <c r="E951" s="2" t="s">
        <v>5</v>
      </c>
      <c r="F951" s="2"/>
      <c r="G951" s="3"/>
      <c r="H951" s="1"/>
      <c r="I951" s="1"/>
      <c r="J951" s="4" t="s">
        <v>16117</v>
      </c>
      <c r="K951" s="1"/>
      <c r="L951" s="1" t="s">
        <v>6</v>
      </c>
      <c r="M951" s="825"/>
      <c r="N951" s="17"/>
      <c r="O951" s="3" t="s">
        <v>3517</v>
      </c>
      <c r="P951" s="21">
        <v>25990</v>
      </c>
      <c r="Q951" s="3" t="s">
        <v>3518</v>
      </c>
      <c r="R951" s="3"/>
      <c r="S951" s="3"/>
      <c r="T951" s="3"/>
      <c r="U951" s="2"/>
      <c r="V951" s="2"/>
      <c r="W951" s="2"/>
      <c r="X951" s="2"/>
      <c r="Y951" s="2"/>
      <c r="Z951" s="2"/>
      <c r="AA951" s="2"/>
      <c r="AB951" s="2"/>
      <c r="AC951" s="2"/>
      <c r="AD951" s="2"/>
    </row>
    <row r="952" spans="1:30" ht="12" customHeight="1">
      <c r="A952" s="828" t="s">
        <v>17646</v>
      </c>
      <c r="B952" s="3" t="s">
        <v>3521</v>
      </c>
      <c r="C952" s="1" t="s">
        <v>3524</v>
      </c>
      <c r="D952" s="5">
        <f t="shared" si="14"/>
        <v>55</v>
      </c>
      <c r="E952" s="2" t="s">
        <v>5</v>
      </c>
      <c r="F952" s="6" t="s">
        <v>15273</v>
      </c>
      <c r="G952" s="3" t="s">
        <v>3525</v>
      </c>
      <c r="H952" s="1"/>
      <c r="I952" s="1"/>
      <c r="J952" s="8" t="s">
        <v>16127</v>
      </c>
      <c r="K952" s="1" t="s">
        <v>681</v>
      </c>
      <c r="L952" s="1" t="s">
        <v>25</v>
      </c>
      <c r="M952" s="825">
        <v>1</v>
      </c>
      <c r="N952" s="17">
        <v>1</v>
      </c>
      <c r="O952" s="3" t="s">
        <v>2551</v>
      </c>
      <c r="P952" s="20">
        <v>21019</v>
      </c>
      <c r="Q952" s="3" t="s">
        <v>3527</v>
      </c>
      <c r="R952" s="3"/>
      <c r="S952" s="3"/>
      <c r="T952" s="3" t="s">
        <v>148</v>
      </c>
      <c r="U952" s="2"/>
      <c r="V952" s="2" t="s">
        <v>145</v>
      </c>
      <c r="W952" s="2"/>
      <c r="X952" s="2"/>
      <c r="Y952" s="2"/>
      <c r="Z952" s="2"/>
      <c r="AA952" s="2"/>
      <c r="AB952" s="2"/>
      <c r="AC952" s="2"/>
      <c r="AD952" s="2" t="s">
        <v>69</v>
      </c>
    </row>
    <row r="953" spans="1:30" ht="12" customHeight="1">
      <c r="A953" s="828" t="s">
        <v>17647</v>
      </c>
      <c r="B953" s="3" t="s">
        <v>3522</v>
      </c>
      <c r="C953" s="1" t="s">
        <v>3529</v>
      </c>
      <c r="D953" s="5">
        <f t="shared" si="14"/>
        <v>54</v>
      </c>
      <c r="E953" s="2" t="s">
        <v>5</v>
      </c>
      <c r="F953" s="2"/>
      <c r="G953" s="3"/>
      <c r="H953" s="1"/>
      <c r="I953" s="1"/>
      <c r="J953" s="4" t="s">
        <v>16118</v>
      </c>
      <c r="K953" s="1"/>
      <c r="L953" s="1" t="s">
        <v>14</v>
      </c>
      <c r="M953" s="825">
        <v>5</v>
      </c>
      <c r="N953" s="17">
        <v>5</v>
      </c>
      <c r="O953" s="3" t="s">
        <v>31</v>
      </c>
      <c r="P953" s="20">
        <v>21312</v>
      </c>
      <c r="Q953" s="3" t="s">
        <v>3490</v>
      </c>
      <c r="R953" s="3" t="s">
        <v>3530</v>
      </c>
      <c r="S953" s="3" t="s">
        <v>5546</v>
      </c>
      <c r="T953" s="3"/>
      <c r="U953" s="2"/>
      <c r="V953" s="2"/>
      <c r="W953" s="2"/>
      <c r="X953" s="2"/>
      <c r="Y953" s="2"/>
      <c r="Z953" s="2"/>
      <c r="AA953" s="2"/>
      <c r="AB953" s="2"/>
      <c r="AC953" s="2"/>
      <c r="AD953" s="2"/>
    </row>
    <row r="954" spans="1:30" ht="12" customHeight="1">
      <c r="A954" s="828" t="s">
        <v>17648</v>
      </c>
      <c r="B954" s="3" t="s">
        <v>3523</v>
      </c>
      <c r="C954" s="1" t="s">
        <v>3531</v>
      </c>
      <c r="D954" s="5">
        <f t="shared" si="14"/>
        <v>61</v>
      </c>
      <c r="E954" s="2" t="s">
        <v>19</v>
      </c>
      <c r="F954" s="2"/>
      <c r="G954" s="3"/>
      <c r="H954" s="1"/>
      <c r="I954" s="1"/>
      <c r="J954" s="4" t="s">
        <v>16117</v>
      </c>
      <c r="K954" s="1"/>
      <c r="L954" s="1" t="s">
        <v>6</v>
      </c>
      <c r="M954" s="825"/>
      <c r="N954" s="17"/>
      <c r="O954" s="3" t="s">
        <v>3533</v>
      </c>
      <c r="P954" s="21">
        <v>18936</v>
      </c>
      <c r="Q954" s="3" t="s">
        <v>3532</v>
      </c>
      <c r="R954" s="3"/>
      <c r="S954" s="3"/>
      <c r="T954" s="3"/>
      <c r="U954" s="2"/>
      <c r="V954" s="2"/>
      <c r="W954" s="2"/>
      <c r="X954" s="2"/>
      <c r="Y954" s="2"/>
      <c r="Z954" s="2"/>
      <c r="AA954" s="2"/>
      <c r="AB954" s="2"/>
      <c r="AC954" s="2"/>
      <c r="AD954" s="2"/>
    </row>
    <row r="955" spans="1:30" ht="12" customHeight="1">
      <c r="A955" s="828" t="s">
        <v>17649</v>
      </c>
      <c r="B955" s="3" t="s">
        <v>5852</v>
      </c>
      <c r="C955" s="1" t="s">
        <v>5853</v>
      </c>
      <c r="D955" s="5">
        <f t="shared" si="14"/>
        <v>35</v>
      </c>
      <c r="E955" s="2" t="s">
        <v>5</v>
      </c>
      <c r="F955" s="2"/>
      <c r="G955" s="3"/>
      <c r="H955" s="1"/>
      <c r="I955" s="1"/>
      <c r="J955" s="4" t="s">
        <v>16129</v>
      </c>
      <c r="K955" s="1"/>
      <c r="L955" s="1" t="s">
        <v>6</v>
      </c>
      <c r="M955" s="825"/>
      <c r="N955" s="17"/>
      <c r="O955" s="3" t="s">
        <v>5854</v>
      </c>
      <c r="P955" s="21">
        <v>28310</v>
      </c>
      <c r="Q955" s="3" t="s">
        <v>2207</v>
      </c>
      <c r="R955" s="3"/>
      <c r="S955" s="3"/>
      <c r="T955" s="3"/>
      <c r="U955" s="2"/>
      <c r="V955" s="2"/>
      <c r="W955" s="2"/>
      <c r="X955" s="2"/>
      <c r="Y955" s="2"/>
      <c r="Z955" s="2"/>
      <c r="AA955" s="2"/>
      <c r="AB955" s="2"/>
      <c r="AC955" s="2"/>
      <c r="AD955" s="2"/>
    </row>
    <row r="956" spans="1:30" ht="12" customHeight="1">
      <c r="A956" s="828" t="s">
        <v>17650</v>
      </c>
      <c r="B956" s="3" t="s">
        <v>3534</v>
      </c>
      <c r="C956" s="1" t="s">
        <v>3538</v>
      </c>
      <c r="D956" s="5">
        <f t="shared" si="14"/>
        <v>41</v>
      </c>
      <c r="E956" s="2" t="s">
        <v>5</v>
      </c>
      <c r="F956" s="6" t="s">
        <v>15273</v>
      </c>
      <c r="G956" s="3"/>
      <c r="H956" s="1"/>
      <c r="I956" s="1"/>
      <c r="J956" s="8" t="s">
        <v>16127</v>
      </c>
      <c r="K956" s="1" t="s">
        <v>44</v>
      </c>
      <c r="L956" s="1" t="s">
        <v>6</v>
      </c>
      <c r="M956" s="825"/>
      <c r="N956" s="17"/>
      <c r="O956" s="3" t="s">
        <v>3539</v>
      </c>
      <c r="P956" s="20">
        <v>26248</v>
      </c>
      <c r="Q956" s="3" t="s">
        <v>3540</v>
      </c>
      <c r="R956" s="3"/>
      <c r="S956" s="3" t="s">
        <v>736</v>
      </c>
      <c r="T956" s="3"/>
      <c r="U956" s="2"/>
      <c r="V956" s="2"/>
      <c r="W956" s="2"/>
      <c r="X956" s="2"/>
      <c r="Y956" s="2"/>
      <c r="Z956" s="2"/>
      <c r="AA956" s="2"/>
      <c r="AB956" s="2"/>
      <c r="AC956" s="2"/>
      <c r="AD956" s="2"/>
    </row>
    <row r="957" spans="1:30" ht="12" customHeight="1">
      <c r="A957" s="828" t="s">
        <v>17651</v>
      </c>
      <c r="B957" s="3" t="s">
        <v>3535</v>
      </c>
      <c r="C957" s="1" t="s">
        <v>3541</v>
      </c>
      <c r="D957" s="5">
        <f t="shared" si="14"/>
        <v>47</v>
      </c>
      <c r="E957" s="2" t="s">
        <v>5</v>
      </c>
      <c r="F957" s="2" t="s">
        <v>15273</v>
      </c>
      <c r="G957" s="3"/>
      <c r="H957" s="1"/>
      <c r="I957" s="1"/>
      <c r="J957" s="4" t="s">
        <v>16120</v>
      </c>
      <c r="K957" s="1" t="s">
        <v>48</v>
      </c>
      <c r="L957" s="1" t="s">
        <v>14</v>
      </c>
      <c r="M957" s="825">
        <v>1</v>
      </c>
      <c r="N957" s="17">
        <v>1</v>
      </c>
      <c r="O957" s="3" t="s">
        <v>3539</v>
      </c>
      <c r="P957" s="20">
        <v>23900</v>
      </c>
      <c r="Q957" s="3" t="s">
        <v>3542</v>
      </c>
      <c r="R957" s="3"/>
      <c r="S957" s="3" t="s">
        <v>5457</v>
      </c>
      <c r="T957" s="3"/>
      <c r="U957" s="2"/>
      <c r="V957" s="2"/>
      <c r="W957" s="2"/>
      <c r="X957" s="2"/>
      <c r="Y957" s="2"/>
      <c r="Z957" s="2"/>
      <c r="AA957" s="2"/>
      <c r="AB957" s="2"/>
      <c r="AC957" s="2"/>
      <c r="AD957" s="2"/>
    </row>
    <row r="958" spans="1:30" ht="12" customHeight="1">
      <c r="A958" s="828" t="s">
        <v>17652</v>
      </c>
      <c r="B958" s="3" t="s">
        <v>3536</v>
      </c>
      <c r="C958" s="1" t="s">
        <v>5084</v>
      </c>
      <c r="D958" s="5">
        <f t="shared" si="14"/>
        <v>35</v>
      </c>
      <c r="E958" s="2" t="s">
        <v>19</v>
      </c>
      <c r="F958" s="2" t="s">
        <v>15273</v>
      </c>
      <c r="G958" s="3"/>
      <c r="H958" s="1"/>
      <c r="I958" s="1"/>
      <c r="J958" s="4" t="s">
        <v>16125</v>
      </c>
      <c r="K958" s="1"/>
      <c r="L958" s="1" t="s">
        <v>6</v>
      </c>
      <c r="M958" s="825"/>
      <c r="N958" s="17"/>
      <c r="O958" s="3" t="s">
        <v>317</v>
      </c>
      <c r="P958" s="20">
        <v>28398</v>
      </c>
      <c r="Q958" s="3" t="s">
        <v>5087</v>
      </c>
      <c r="R958" s="3"/>
      <c r="S958" s="3" t="s">
        <v>5561</v>
      </c>
      <c r="T958" s="3" t="s">
        <v>47</v>
      </c>
      <c r="U958" s="2" t="s">
        <v>47</v>
      </c>
      <c r="V958" s="2"/>
      <c r="W958" s="2"/>
      <c r="X958" s="2"/>
      <c r="Y958" s="2"/>
      <c r="Z958" s="2"/>
      <c r="AA958" s="2"/>
      <c r="AB958" s="2"/>
      <c r="AC958" s="2"/>
      <c r="AD958" s="2"/>
    </row>
    <row r="959" spans="1:30" ht="12" customHeight="1">
      <c r="A959" s="828" t="s">
        <v>17653</v>
      </c>
      <c r="B959" s="3" t="s">
        <v>3537</v>
      </c>
      <c r="C959" s="1" t="s">
        <v>5041</v>
      </c>
      <c r="D959" s="5">
        <f t="shared" si="14"/>
        <v>50</v>
      </c>
      <c r="E959" s="2" t="s">
        <v>5</v>
      </c>
      <c r="F959" s="2" t="s">
        <v>15273</v>
      </c>
      <c r="G959" s="3"/>
      <c r="H959" s="1"/>
      <c r="I959" s="1"/>
      <c r="J959" s="4" t="s">
        <v>16116</v>
      </c>
      <c r="K959" s="1" t="s">
        <v>276</v>
      </c>
      <c r="L959" s="1" t="s">
        <v>6</v>
      </c>
      <c r="M959" s="825"/>
      <c r="N959" s="17"/>
      <c r="O959" s="3" t="s">
        <v>1282</v>
      </c>
      <c r="P959" s="20">
        <v>22765</v>
      </c>
      <c r="Q959" s="3" t="s">
        <v>5042</v>
      </c>
      <c r="R959" s="3"/>
      <c r="S959" s="3" t="s">
        <v>469</v>
      </c>
      <c r="T959" s="3" t="s">
        <v>145</v>
      </c>
      <c r="U959" s="2"/>
      <c r="V959" s="2" t="s">
        <v>145</v>
      </c>
      <c r="W959" s="2"/>
      <c r="X959" s="2"/>
      <c r="Y959" s="2"/>
      <c r="Z959" s="2"/>
      <c r="AA959" s="2"/>
      <c r="AB959" s="2"/>
      <c r="AC959" s="2"/>
      <c r="AD959" s="2"/>
    </row>
    <row r="960" spans="1:30" ht="12" customHeight="1">
      <c r="A960" s="828" t="s">
        <v>17654</v>
      </c>
      <c r="B960" s="3" t="s">
        <v>5040</v>
      </c>
      <c r="C960" s="1" t="s">
        <v>3543</v>
      </c>
      <c r="D960" s="5">
        <f t="shared" si="14"/>
        <v>64</v>
      </c>
      <c r="E960" s="2" t="s">
        <v>5</v>
      </c>
      <c r="F960" s="2"/>
      <c r="G960" s="3"/>
      <c r="H960" s="1"/>
      <c r="I960" s="1"/>
      <c r="J960" s="4" t="s">
        <v>16117</v>
      </c>
      <c r="K960" s="1"/>
      <c r="L960" s="1" t="s">
        <v>6</v>
      </c>
      <c r="M960" s="825"/>
      <c r="N960" s="17"/>
      <c r="O960" s="3" t="s">
        <v>3544</v>
      </c>
      <c r="P960" s="20">
        <v>17632</v>
      </c>
      <c r="Q960" s="3" t="s">
        <v>3545</v>
      </c>
      <c r="R960" s="3"/>
      <c r="S960" s="3"/>
      <c r="T960" s="3"/>
      <c r="U960" s="2"/>
      <c r="V960" s="2"/>
      <c r="W960" s="2"/>
      <c r="X960" s="2"/>
      <c r="Y960" s="2"/>
      <c r="Z960" s="2"/>
      <c r="AA960" s="2"/>
      <c r="AB960" s="2"/>
      <c r="AC960" s="2"/>
      <c r="AD960" s="2"/>
    </row>
    <row r="961" spans="1:30" ht="12" customHeight="1">
      <c r="A961" s="828" t="s">
        <v>17655</v>
      </c>
      <c r="B961" s="3" t="s">
        <v>3546</v>
      </c>
      <c r="C961" s="1" t="s">
        <v>3549</v>
      </c>
      <c r="D961" s="5">
        <f t="shared" ref="D961:D1024" si="15">DATEDIF(P961,$P$1505,"Y")</f>
        <v>48</v>
      </c>
      <c r="E961" s="2" t="s">
        <v>5</v>
      </c>
      <c r="F961" s="6" t="s">
        <v>15273</v>
      </c>
      <c r="G961" s="3" t="s">
        <v>3550</v>
      </c>
      <c r="H961" s="1"/>
      <c r="I961" s="1"/>
      <c r="J961" s="8" t="s">
        <v>16126</v>
      </c>
      <c r="K961" s="1" t="s">
        <v>655</v>
      </c>
      <c r="L961" s="1" t="s">
        <v>25</v>
      </c>
      <c r="M961" s="825">
        <v>1</v>
      </c>
      <c r="N961" s="17">
        <v>1</v>
      </c>
      <c r="O961" s="3" t="s">
        <v>3552</v>
      </c>
      <c r="P961" s="20">
        <v>23552</v>
      </c>
      <c r="Q961" s="3" t="s">
        <v>3553</v>
      </c>
      <c r="R961" s="3"/>
      <c r="S961" s="3" t="s">
        <v>736</v>
      </c>
      <c r="T961" s="3"/>
      <c r="U961" s="2"/>
      <c r="V961" s="2"/>
      <c r="W961" s="2"/>
      <c r="X961" s="2"/>
      <c r="Y961" s="2"/>
      <c r="Z961" s="2"/>
      <c r="AA961" s="2"/>
      <c r="AB961" s="2"/>
      <c r="AC961" s="2"/>
      <c r="AD961" s="2"/>
    </row>
    <row r="962" spans="1:30" ht="12" customHeight="1">
      <c r="A962" s="828" t="s">
        <v>17656</v>
      </c>
      <c r="B962" s="3" t="s">
        <v>3547</v>
      </c>
      <c r="C962" s="1" t="s">
        <v>3554</v>
      </c>
      <c r="D962" s="5">
        <f t="shared" si="15"/>
        <v>41</v>
      </c>
      <c r="E962" s="2" t="s">
        <v>5</v>
      </c>
      <c r="F962" s="2" t="s">
        <v>15273</v>
      </c>
      <c r="G962" s="3"/>
      <c r="H962" s="1"/>
      <c r="I962" s="1"/>
      <c r="J962" s="8" t="s">
        <v>16120</v>
      </c>
      <c r="K962" s="1" t="s">
        <v>30</v>
      </c>
      <c r="L962" s="1" t="s">
        <v>6</v>
      </c>
      <c r="M962" s="825"/>
      <c r="N962" s="17"/>
      <c r="O962" s="3" t="s">
        <v>317</v>
      </c>
      <c r="P962" s="20">
        <v>26187</v>
      </c>
      <c r="Q962" s="3" t="s">
        <v>3555</v>
      </c>
      <c r="R962" s="3"/>
      <c r="S962" s="3" t="s">
        <v>5457</v>
      </c>
      <c r="T962" s="3" t="s">
        <v>47</v>
      </c>
      <c r="U962" s="2" t="s">
        <v>47</v>
      </c>
      <c r="V962" s="2"/>
      <c r="W962" s="2"/>
      <c r="X962" s="2"/>
      <c r="Y962" s="2"/>
      <c r="Z962" s="2"/>
      <c r="AA962" s="2"/>
      <c r="AB962" s="2"/>
      <c r="AC962" s="2"/>
      <c r="AD962" s="2"/>
    </row>
    <row r="963" spans="1:30" ht="12" customHeight="1">
      <c r="A963" s="828" t="s">
        <v>17657</v>
      </c>
      <c r="B963" s="3" t="s">
        <v>3548</v>
      </c>
      <c r="C963" s="1" t="s">
        <v>5424</v>
      </c>
      <c r="D963" s="5">
        <f t="shared" si="15"/>
        <v>38</v>
      </c>
      <c r="E963" s="2" t="s">
        <v>5</v>
      </c>
      <c r="F963" s="2" t="s">
        <v>15273</v>
      </c>
      <c r="G963" s="3"/>
      <c r="H963" s="1"/>
      <c r="I963" s="1"/>
      <c r="J963" s="4" t="s">
        <v>16116</v>
      </c>
      <c r="K963" s="1" t="s">
        <v>4997</v>
      </c>
      <c r="L963" s="1" t="s">
        <v>6</v>
      </c>
      <c r="M963" s="825"/>
      <c r="N963" s="17"/>
      <c r="O963" s="3" t="s">
        <v>5425</v>
      </c>
      <c r="P963" s="21">
        <v>27209</v>
      </c>
      <c r="Q963" s="3" t="s">
        <v>5426</v>
      </c>
      <c r="R963" s="3"/>
      <c r="S963" s="3" t="s">
        <v>469</v>
      </c>
      <c r="T963" s="3" t="s">
        <v>155</v>
      </c>
      <c r="U963" s="2"/>
      <c r="V963" s="2"/>
      <c r="W963" s="2"/>
      <c r="X963" s="2"/>
      <c r="Y963" s="2" t="s">
        <v>155</v>
      </c>
      <c r="Z963" s="2"/>
      <c r="AA963" s="2"/>
      <c r="AB963" s="2"/>
      <c r="AC963" s="2"/>
      <c r="AD963" s="2"/>
    </row>
    <row r="964" spans="1:30" ht="12" customHeight="1">
      <c r="A964" s="828" t="s">
        <v>17658</v>
      </c>
      <c r="B964" s="3" t="s">
        <v>5423</v>
      </c>
      <c r="C964" s="1" t="s">
        <v>3556</v>
      </c>
      <c r="D964" s="5">
        <f t="shared" si="15"/>
        <v>68</v>
      </c>
      <c r="E964" s="2" t="s">
        <v>5</v>
      </c>
      <c r="F964" s="2"/>
      <c r="G964" s="3"/>
      <c r="H964" s="1"/>
      <c r="I964" s="1"/>
      <c r="J964" s="4" t="s">
        <v>16117</v>
      </c>
      <c r="K964" s="1"/>
      <c r="L964" s="1" t="s">
        <v>6</v>
      </c>
      <c r="M964" s="825"/>
      <c r="N964" s="17"/>
      <c r="O964" s="3" t="s">
        <v>3557</v>
      </c>
      <c r="P964" s="21">
        <v>16302</v>
      </c>
      <c r="Q964" s="3" t="s">
        <v>3558</v>
      </c>
      <c r="R964" s="3"/>
      <c r="S964" s="3"/>
      <c r="T964" s="3"/>
      <c r="U964" s="2"/>
      <c r="V964" s="2"/>
      <c r="W964" s="2"/>
      <c r="X964" s="2"/>
      <c r="Y964" s="2"/>
      <c r="Z964" s="2"/>
      <c r="AA964" s="2"/>
      <c r="AB964" s="2"/>
      <c r="AC964" s="2"/>
      <c r="AD964" s="2"/>
    </row>
    <row r="965" spans="1:30" ht="12" customHeight="1">
      <c r="A965" s="828" t="s">
        <v>17659</v>
      </c>
      <c r="B965" s="3" t="s">
        <v>3563</v>
      </c>
      <c r="C965" s="1" t="s">
        <v>3566</v>
      </c>
      <c r="D965" s="5">
        <f t="shared" si="15"/>
        <v>56</v>
      </c>
      <c r="E965" s="2" t="s">
        <v>5</v>
      </c>
      <c r="F965" s="6" t="s">
        <v>15273</v>
      </c>
      <c r="G965" s="3" t="s">
        <v>3567</v>
      </c>
      <c r="H965" s="1"/>
      <c r="I965" s="1"/>
      <c r="J965" s="8" t="s">
        <v>16127</v>
      </c>
      <c r="K965" s="1" t="s">
        <v>737</v>
      </c>
      <c r="L965" s="1" t="s">
        <v>25</v>
      </c>
      <c r="M965" s="825">
        <v>2</v>
      </c>
      <c r="N965" s="17">
        <v>2</v>
      </c>
      <c r="O965" s="3" t="s">
        <v>188</v>
      </c>
      <c r="P965" s="20">
        <v>20742</v>
      </c>
      <c r="Q965" s="3" t="s">
        <v>3569</v>
      </c>
      <c r="R965" s="3" t="s">
        <v>2208</v>
      </c>
      <c r="S965" s="3" t="s">
        <v>736</v>
      </c>
      <c r="T965" s="3" t="s">
        <v>104</v>
      </c>
      <c r="U965" s="2"/>
      <c r="V965" s="2"/>
      <c r="W965" s="2"/>
      <c r="X965" s="2"/>
      <c r="Y965" s="2"/>
      <c r="Z965" s="2"/>
      <c r="AA965" s="2" t="s">
        <v>104</v>
      </c>
      <c r="AB965" s="2"/>
      <c r="AC965" s="2"/>
      <c r="AD965" s="2"/>
    </row>
    <row r="966" spans="1:30" ht="12" customHeight="1">
      <c r="A966" s="828" t="s">
        <v>17660</v>
      </c>
      <c r="B966" s="3" t="s">
        <v>3564</v>
      </c>
      <c r="C966" s="1" t="s">
        <v>3572</v>
      </c>
      <c r="D966" s="5">
        <f t="shared" si="15"/>
        <v>60</v>
      </c>
      <c r="E966" s="2" t="s">
        <v>5</v>
      </c>
      <c r="F966" s="2" t="s">
        <v>15273</v>
      </c>
      <c r="G966" s="3" t="s">
        <v>3573</v>
      </c>
      <c r="H966" s="1"/>
      <c r="I966" s="1"/>
      <c r="J966" s="4" t="s">
        <v>16120</v>
      </c>
      <c r="K966" s="1" t="s">
        <v>65</v>
      </c>
      <c r="L966" s="1" t="s">
        <v>25</v>
      </c>
      <c r="M966" s="825">
        <v>3</v>
      </c>
      <c r="N966" s="17">
        <v>3</v>
      </c>
      <c r="O966" s="3" t="s">
        <v>557</v>
      </c>
      <c r="P966" s="20">
        <v>19021</v>
      </c>
      <c r="Q966" s="3" t="s">
        <v>3575</v>
      </c>
      <c r="R966" s="3" t="s">
        <v>809</v>
      </c>
      <c r="S966" s="3" t="s">
        <v>5457</v>
      </c>
      <c r="T966" s="3" t="s">
        <v>104</v>
      </c>
      <c r="U966" s="2"/>
      <c r="V966" s="2"/>
      <c r="W966" s="2"/>
      <c r="X966" s="2"/>
      <c r="Y966" s="2"/>
      <c r="Z966" s="2"/>
      <c r="AA966" s="2" t="s">
        <v>104</v>
      </c>
      <c r="AB966" s="2"/>
      <c r="AC966" s="2"/>
      <c r="AD966" s="2"/>
    </row>
    <row r="967" spans="1:30" ht="12" customHeight="1">
      <c r="A967" s="828" t="s">
        <v>17661</v>
      </c>
      <c r="B967" s="3" t="s">
        <v>3565</v>
      </c>
      <c r="C967" s="1" t="s">
        <v>5098</v>
      </c>
      <c r="D967" s="5">
        <f t="shared" si="15"/>
        <v>46</v>
      </c>
      <c r="E967" s="2" t="s">
        <v>19</v>
      </c>
      <c r="F967" s="2" t="s">
        <v>15273</v>
      </c>
      <c r="G967" s="3"/>
      <c r="H967" s="1"/>
      <c r="I967" s="1"/>
      <c r="J967" s="4" t="s">
        <v>16116</v>
      </c>
      <c r="K967" s="1" t="s">
        <v>4993</v>
      </c>
      <c r="L967" s="1" t="s">
        <v>6</v>
      </c>
      <c r="M967" s="825"/>
      <c r="N967" s="17"/>
      <c r="O967" s="3" t="s">
        <v>675</v>
      </c>
      <c r="P967" s="20">
        <v>24295</v>
      </c>
      <c r="Q967" s="3" t="s">
        <v>5100</v>
      </c>
      <c r="R967" s="3"/>
      <c r="S967" s="3" t="s">
        <v>469</v>
      </c>
      <c r="T967" s="3" t="s">
        <v>145</v>
      </c>
      <c r="U967" s="2"/>
      <c r="V967" s="2" t="s">
        <v>145</v>
      </c>
      <c r="W967" s="2"/>
      <c r="X967" s="2"/>
      <c r="Y967" s="2"/>
      <c r="Z967" s="2"/>
      <c r="AA967" s="2"/>
      <c r="AB967" s="2"/>
      <c r="AC967" s="2"/>
      <c r="AD967" s="2"/>
    </row>
    <row r="968" spans="1:30" ht="12" customHeight="1">
      <c r="A968" s="828" t="s">
        <v>17662</v>
      </c>
      <c r="B968" s="3" t="s">
        <v>5097</v>
      </c>
      <c r="C968" s="1" t="s">
        <v>3577</v>
      </c>
      <c r="D968" s="5">
        <f t="shared" si="15"/>
        <v>59</v>
      </c>
      <c r="E968" s="2" t="s">
        <v>5</v>
      </c>
      <c r="F968" s="2"/>
      <c r="G968" s="3"/>
      <c r="H968" s="1"/>
      <c r="I968" s="1"/>
      <c r="J968" s="4" t="s">
        <v>16117</v>
      </c>
      <c r="K968" s="1"/>
      <c r="L968" s="1" t="s">
        <v>6</v>
      </c>
      <c r="M968" s="825"/>
      <c r="N968" s="17"/>
      <c r="O968" s="3" t="s">
        <v>3578</v>
      </c>
      <c r="P968" s="20">
        <v>19684</v>
      </c>
      <c r="Q968" s="3" t="s">
        <v>3579</v>
      </c>
      <c r="R968" s="3"/>
      <c r="S968" s="3"/>
      <c r="T968" s="3" t="s">
        <v>145</v>
      </c>
      <c r="U968" s="2"/>
      <c r="V968" s="2" t="s">
        <v>145</v>
      </c>
      <c r="W968" s="2"/>
      <c r="X968" s="2"/>
      <c r="Y968" s="2"/>
      <c r="Z968" s="2"/>
      <c r="AA968" s="2"/>
      <c r="AB968" s="2"/>
      <c r="AC968" s="2"/>
      <c r="AD968" s="2"/>
    </row>
    <row r="969" spans="1:30" ht="12" customHeight="1">
      <c r="A969" s="828" t="s">
        <v>17663</v>
      </c>
      <c r="B969" s="3" t="s">
        <v>3581</v>
      </c>
      <c r="C969" s="1" t="s">
        <v>3585</v>
      </c>
      <c r="D969" s="5">
        <f t="shared" si="15"/>
        <v>48</v>
      </c>
      <c r="E969" s="2" t="s">
        <v>5</v>
      </c>
      <c r="F969" s="6" t="s">
        <v>15273</v>
      </c>
      <c r="G969" s="3" t="s">
        <v>3586</v>
      </c>
      <c r="H969" s="1"/>
      <c r="I969" s="1"/>
      <c r="J969" s="8" t="s">
        <v>16127</v>
      </c>
      <c r="K969" s="1" t="s">
        <v>604</v>
      </c>
      <c r="L969" s="1" t="s">
        <v>25</v>
      </c>
      <c r="M969" s="825">
        <v>3</v>
      </c>
      <c r="N969" s="17">
        <v>3</v>
      </c>
      <c r="O969" s="3" t="s">
        <v>447</v>
      </c>
      <c r="P969" s="20">
        <v>23574</v>
      </c>
      <c r="Q969" s="3" t="s">
        <v>3587</v>
      </c>
      <c r="R969" s="3" t="s">
        <v>809</v>
      </c>
      <c r="S969" s="3" t="s">
        <v>736</v>
      </c>
      <c r="T969" s="3" t="s">
        <v>146</v>
      </c>
      <c r="U969" s="2"/>
      <c r="V969" s="2"/>
      <c r="W969" s="2"/>
      <c r="X969" s="2"/>
      <c r="Y969" s="2"/>
      <c r="Z969" s="2"/>
      <c r="AA969" s="2"/>
      <c r="AB969" s="2"/>
      <c r="AC969" s="2" t="s">
        <v>146</v>
      </c>
      <c r="AD969" s="2"/>
    </row>
    <row r="970" spans="1:30" ht="12" customHeight="1">
      <c r="A970" s="828" t="s">
        <v>17664</v>
      </c>
      <c r="B970" s="3" t="s">
        <v>3582</v>
      </c>
      <c r="C970" s="1" t="s">
        <v>3589</v>
      </c>
      <c r="D970" s="5">
        <f t="shared" si="15"/>
        <v>46</v>
      </c>
      <c r="E970" s="2" t="s">
        <v>5</v>
      </c>
      <c r="F970" s="2" t="s">
        <v>15273</v>
      </c>
      <c r="G970" s="3"/>
      <c r="H970" s="1"/>
      <c r="I970" s="1"/>
      <c r="J970" s="4" t="s">
        <v>16120</v>
      </c>
      <c r="K970" s="1" t="s">
        <v>30</v>
      </c>
      <c r="L970" s="1" t="s">
        <v>6</v>
      </c>
      <c r="M970" s="825"/>
      <c r="N970" s="17"/>
      <c r="O970" s="3" t="s">
        <v>3590</v>
      </c>
      <c r="P970" s="20">
        <v>24127</v>
      </c>
      <c r="Q970" s="3" t="s">
        <v>3591</v>
      </c>
      <c r="R970" s="3"/>
      <c r="S970" s="3" t="s">
        <v>5457</v>
      </c>
      <c r="T970" s="3" t="s">
        <v>146</v>
      </c>
      <c r="U970" s="2"/>
      <c r="V970" s="2"/>
      <c r="W970" s="2"/>
      <c r="X970" s="2"/>
      <c r="Y970" s="2"/>
      <c r="Z970" s="2"/>
      <c r="AA970" s="2"/>
      <c r="AB970" s="2"/>
      <c r="AC970" s="2" t="s">
        <v>146</v>
      </c>
      <c r="AD970" s="2"/>
    </row>
    <row r="971" spans="1:30" ht="12" customHeight="1">
      <c r="A971" s="828" t="s">
        <v>17665</v>
      </c>
      <c r="B971" s="3" t="s">
        <v>3583</v>
      </c>
      <c r="C971" s="1" t="s">
        <v>6202</v>
      </c>
      <c r="D971" s="5">
        <f t="shared" si="15"/>
        <v>57</v>
      </c>
      <c r="E971" s="2" t="s">
        <v>5</v>
      </c>
      <c r="F971" s="2" t="s">
        <v>15273</v>
      </c>
      <c r="G971" s="3"/>
      <c r="H971" s="1"/>
      <c r="I971" s="1"/>
      <c r="J971" s="4" t="s">
        <v>16125</v>
      </c>
      <c r="K971" s="1"/>
      <c r="L971" s="1" t="s">
        <v>6</v>
      </c>
      <c r="M971" s="825"/>
      <c r="N971" s="17"/>
      <c r="O971" s="3" t="s">
        <v>2085</v>
      </c>
      <c r="P971" s="21">
        <v>20160</v>
      </c>
      <c r="Q971" s="3" t="s">
        <v>6203</v>
      </c>
      <c r="R971" s="3"/>
      <c r="S971" s="3" t="s">
        <v>5561</v>
      </c>
      <c r="T971" s="3" t="s">
        <v>145</v>
      </c>
      <c r="U971" s="2"/>
      <c r="V971" s="2" t="s">
        <v>145</v>
      </c>
      <c r="W971" s="2"/>
      <c r="X971" s="2"/>
      <c r="Y971" s="2"/>
      <c r="Z971" s="2"/>
      <c r="AA971" s="2"/>
      <c r="AB971" s="2"/>
      <c r="AC971" s="2"/>
      <c r="AD971" s="2"/>
    </row>
    <row r="972" spans="1:30" ht="12" customHeight="1">
      <c r="A972" s="828" t="s">
        <v>17666</v>
      </c>
      <c r="B972" s="3" t="s">
        <v>3584</v>
      </c>
      <c r="C972" s="1" t="s">
        <v>3595</v>
      </c>
      <c r="D972" s="5">
        <f t="shared" si="15"/>
        <v>45</v>
      </c>
      <c r="E972" s="2" t="s">
        <v>19</v>
      </c>
      <c r="F972" s="2" t="s">
        <v>15273</v>
      </c>
      <c r="G972" s="3"/>
      <c r="H972" s="1"/>
      <c r="I972" s="1"/>
      <c r="J972" s="4" t="s">
        <v>16116</v>
      </c>
      <c r="K972" s="1" t="s">
        <v>469</v>
      </c>
      <c r="L972" s="1" t="s">
        <v>6</v>
      </c>
      <c r="M972" s="825"/>
      <c r="N972" s="17"/>
      <c r="O972" s="3" t="s">
        <v>3596</v>
      </c>
      <c r="P972" s="20">
        <v>24584</v>
      </c>
      <c r="Q972" s="3" t="s">
        <v>3597</v>
      </c>
      <c r="R972" s="3"/>
      <c r="S972" s="3"/>
      <c r="T972" s="3"/>
      <c r="U972" s="2"/>
      <c r="V972" s="2"/>
      <c r="W972" s="2"/>
      <c r="X972" s="2"/>
      <c r="Y972" s="2"/>
      <c r="Z972" s="2"/>
      <c r="AA972" s="2"/>
      <c r="AB972" s="2"/>
      <c r="AC972" s="2"/>
      <c r="AD972" s="2"/>
    </row>
    <row r="973" spans="1:30" ht="12" customHeight="1">
      <c r="A973" s="828" t="s">
        <v>17667</v>
      </c>
      <c r="B973" s="3" t="s">
        <v>6201</v>
      </c>
      <c r="C973" s="1" t="s">
        <v>3592</v>
      </c>
      <c r="D973" s="5">
        <f t="shared" si="15"/>
        <v>38</v>
      </c>
      <c r="E973" s="2" t="s">
        <v>5</v>
      </c>
      <c r="F973" s="2"/>
      <c r="G973" s="3"/>
      <c r="H973" s="1"/>
      <c r="I973" s="1"/>
      <c r="J973" s="4" t="s">
        <v>16117</v>
      </c>
      <c r="K973" s="1"/>
      <c r="L973" s="1" t="s">
        <v>6</v>
      </c>
      <c r="M973" s="825"/>
      <c r="N973" s="17"/>
      <c r="O973" s="3" t="s">
        <v>3593</v>
      </c>
      <c r="P973" s="21">
        <v>27307</v>
      </c>
      <c r="Q973" s="3" t="s">
        <v>3594</v>
      </c>
      <c r="R973" s="3"/>
      <c r="S973" s="3"/>
      <c r="T973" s="3"/>
      <c r="U973" s="2"/>
      <c r="V973" s="2"/>
      <c r="W973" s="2"/>
      <c r="X973" s="2"/>
      <c r="Y973" s="2"/>
      <c r="Z973" s="2"/>
      <c r="AA973" s="2"/>
      <c r="AB973" s="2"/>
      <c r="AC973" s="2"/>
      <c r="AD973" s="2"/>
    </row>
    <row r="974" spans="1:30" ht="12" customHeight="1">
      <c r="A974" s="828" t="s">
        <v>17668</v>
      </c>
      <c r="B974" s="3" t="s">
        <v>3598</v>
      </c>
      <c r="C974" s="1" t="s">
        <v>3602</v>
      </c>
      <c r="D974" s="5">
        <f t="shared" si="15"/>
        <v>41</v>
      </c>
      <c r="E974" s="2" t="s">
        <v>5</v>
      </c>
      <c r="F974" s="6" t="s">
        <v>15273</v>
      </c>
      <c r="G974" s="3" t="s">
        <v>3603</v>
      </c>
      <c r="H974" s="1"/>
      <c r="I974" s="1"/>
      <c r="J974" s="8" t="s">
        <v>16126</v>
      </c>
      <c r="K974" s="1" t="s">
        <v>44</v>
      </c>
      <c r="L974" s="1" t="s">
        <v>25</v>
      </c>
      <c r="M974" s="825">
        <v>1</v>
      </c>
      <c r="N974" s="17">
        <v>1</v>
      </c>
      <c r="O974" s="3" t="s">
        <v>3605</v>
      </c>
      <c r="P974" s="20">
        <v>26082</v>
      </c>
      <c r="Q974" s="3" t="s">
        <v>3604</v>
      </c>
      <c r="R974" s="3"/>
      <c r="S974" s="3" t="s">
        <v>736</v>
      </c>
      <c r="T974" s="3" t="s">
        <v>104</v>
      </c>
      <c r="U974" s="2"/>
      <c r="V974" s="2"/>
      <c r="W974" s="2"/>
      <c r="X974" s="2"/>
      <c r="Y974" s="2"/>
      <c r="Z974" s="2"/>
      <c r="AA974" s="2" t="s">
        <v>104</v>
      </c>
      <c r="AB974" s="2"/>
      <c r="AC974" s="2"/>
      <c r="AD974" s="2"/>
    </row>
    <row r="975" spans="1:30" ht="12" customHeight="1">
      <c r="A975" s="828" t="s">
        <v>17669</v>
      </c>
      <c r="B975" s="3" t="s">
        <v>3599</v>
      </c>
      <c r="C975" s="1" t="s">
        <v>3606</v>
      </c>
      <c r="D975" s="5">
        <f t="shared" si="15"/>
        <v>46</v>
      </c>
      <c r="E975" s="2" t="s">
        <v>5</v>
      </c>
      <c r="F975" s="2" t="s">
        <v>15273</v>
      </c>
      <c r="G975" s="3"/>
      <c r="H975" s="1"/>
      <c r="I975" s="1"/>
      <c r="J975" s="8" t="s">
        <v>16120</v>
      </c>
      <c r="K975" s="1" t="s">
        <v>445</v>
      </c>
      <c r="L975" s="1" t="s">
        <v>6</v>
      </c>
      <c r="M975" s="825"/>
      <c r="N975" s="17"/>
      <c r="O975" s="3" t="s">
        <v>3607</v>
      </c>
      <c r="P975" s="20">
        <v>24217</v>
      </c>
      <c r="Q975" s="3" t="s">
        <v>3608</v>
      </c>
      <c r="R975" s="3"/>
      <c r="S975" s="3" t="s">
        <v>5457</v>
      </c>
      <c r="T975" s="3"/>
      <c r="U975" s="2"/>
      <c r="V975" s="2"/>
      <c r="W975" s="2"/>
      <c r="X975" s="2"/>
      <c r="Y975" s="2"/>
      <c r="Z975" s="2"/>
      <c r="AA975" s="2"/>
      <c r="AB975" s="2"/>
      <c r="AC975" s="2"/>
      <c r="AD975" s="2"/>
    </row>
    <row r="976" spans="1:30" ht="12" customHeight="1">
      <c r="A976" s="828" t="s">
        <v>17670</v>
      </c>
      <c r="B976" s="3" t="s">
        <v>3600</v>
      </c>
      <c r="C976" s="1" t="s">
        <v>3609</v>
      </c>
      <c r="D976" s="5">
        <f t="shared" si="15"/>
        <v>40</v>
      </c>
      <c r="E976" s="2" t="s">
        <v>5</v>
      </c>
      <c r="F976" s="2" t="s">
        <v>15273</v>
      </c>
      <c r="G976" s="3"/>
      <c r="H976" s="1"/>
      <c r="I976" s="1"/>
      <c r="J976" s="4" t="s">
        <v>16128</v>
      </c>
      <c r="K976" s="1"/>
      <c r="L976" s="1" t="s">
        <v>6</v>
      </c>
      <c r="M976" s="825"/>
      <c r="N976" s="17"/>
      <c r="O976" s="3" t="s">
        <v>3539</v>
      </c>
      <c r="P976" s="20">
        <v>26480</v>
      </c>
      <c r="Q976" s="3" t="s">
        <v>16672</v>
      </c>
      <c r="R976" s="3"/>
      <c r="S976" s="3" t="s">
        <v>6031</v>
      </c>
      <c r="T976" s="3" t="s">
        <v>146</v>
      </c>
      <c r="U976" s="2"/>
      <c r="V976" s="2"/>
      <c r="W976" s="2"/>
      <c r="X976" s="2"/>
      <c r="Y976" s="2"/>
      <c r="Z976" s="2"/>
      <c r="AA976" s="2"/>
      <c r="AB976" s="2"/>
      <c r="AC976" s="2" t="s">
        <v>146</v>
      </c>
      <c r="AD976" s="2"/>
    </row>
    <row r="977" spans="1:30" ht="12" customHeight="1">
      <c r="A977" s="828" t="s">
        <v>17671</v>
      </c>
      <c r="B977" s="3" t="s">
        <v>3601</v>
      </c>
      <c r="C977" s="1" t="s">
        <v>5312</v>
      </c>
      <c r="D977" s="5">
        <f t="shared" si="15"/>
        <v>59</v>
      </c>
      <c r="E977" s="2" t="s">
        <v>5</v>
      </c>
      <c r="F977" s="2"/>
      <c r="G977" s="3"/>
      <c r="H977" s="1"/>
      <c r="I977" s="1"/>
      <c r="J977" s="4" t="s">
        <v>16117</v>
      </c>
      <c r="K977" s="1"/>
      <c r="L977" s="1" t="s">
        <v>6</v>
      </c>
      <c r="M977" s="825"/>
      <c r="N977" s="17"/>
      <c r="O977" s="3" t="s">
        <v>16048</v>
      </c>
      <c r="P977" s="21">
        <v>19566</v>
      </c>
      <c r="Q977" s="3" t="s">
        <v>16047</v>
      </c>
      <c r="R977" s="3"/>
      <c r="S977" s="3"/>
      <c r="T977" s="3"/>
      <c r="U977" s="2"/>
      <c r="V977" s="2"/>
      <c r="W977" s="2"/>
      <c r="X977" s="2"/>
      <c r="Y977" s="2"/>
      <c r="Z977" s="2"/>
      <c r="AA977" s="2"/>
      <c r="AB977" s="2"/>
      <c r="AC977" s="2"/>
      <c r="AD977" s="2"/>
    </row>
    <row r="978" spans="1:30" ht="12" customHeight="1">
      <c r="A978" s="828" t="s">
        <v>17672</v>
      </c>
      <c r="B978" s="3" t="s">
        <v>3610</v>
      </c>
      <c r="C978" s="1" t="s">
        <v>3771</v>
      </c>
      <c r="D978" s="5">
        <f t="shared" si="15"/>
        <v>57</v>
      </c>
      <c r="E978" s="2" t="s">
        <v>19</v>
      </c>
      <c r="F978" s="6" t="s">
        <v>15273</v>
      </c>
      <c r="G978" s="3" t="s">
        <v>4196</v>
      </c>
      <c r="H978" s="1"/>
      <c r="I978" s="1"/>
      <c r="J978" s="8" t="s">
        <v>16127</v>
      </c>
      <c r="K978" s="1" t="s">
        <v>44</v>
      </c>
      <c r="L978" s="1" t="s">
        <v>25</v>
      </c>
      <c r="M978" s="825">
        <v>1</v>
      </c>
      <c r="N978" s="17">
        <v>1</v>
      </c>
      <c r="O978" s="3" t="s">
        <v>3772</v>
      </c>
      <c r="P978" s="20">
        <v>20376</v>
      </c>
      <c r="Q978" s="3" t="s">
        <v>3773</v>
      </c>
      <c r="R978" s="3"/>
      <c r="S978" s="3"/>
      <c r="T978" s="3" t="s">
        <v>572</v>
      </c>
      <c r="U978" s="2"/>
      <c r="V978" s="2" t="s">
        <v>145</v>
      </c>
      <c r="W978" s="2"/>
      <c r="X978" s="2"/>
      <c r="Y978" s="2"/>
      <c r="Z978" s="2"/>
      <c r="AA978" s="2" t="s">
        <v>104</v>
      </c>
      <c r="AB978" s="2"/>
      <c r="AC978" s="2"/>
      <c r="AD978" s="2"/>
    </row>
    <row r="979" spans="1:30" ht="12" customHeight="1">
      <c r="A979" s="828" t="s">
        <v>17673</v>
      </c>
      <c r="B979" s="3" t="s">
        <v>3611</v>
      </c>
      <c r="C979" s="1" t="s">
        <v>3614</v>
      </c>
      <c r="D979" s="5">
        <f t="shared" si="15"/>
        <v>34</v>
      </c>
      <c r="E979" s="2" t="s">
        <v>5</v>
      </c>
      <c r="F979" s="2"/>
      <c r="G979" s="3"/>
      <c r="H979" s="1"/>
      <c r="I979" s="1"/>
      <c r="J979" s="4" t="s">
        <v>16118</v>
      </c>
      <c r="K979" s="1"/>
      <c r="L979" s="1" t="s">
        <v>6</v>
      </c>
      <c r="M979" s="825"/>
      <c r="N979" s="17"/>
      <c r="O979" s="3" t="s">
        <v>302</v>
      </c>
      <c r="P979" s="20">
        <v>28494</v>
      </c>
      <c r="Q979" s="3" t="s">
        <v>3616</v>
      </c>
      <c r="R979" s="3"/>
      <c r="S979" s="3" t="s">
        <v>5546</v>
      </c>
      <c r="T979" s="3" t="s">
        <v>47</v>
      </c>
      <c r="U979" s="2" t="s">
        <v>47</v>
      </c>
      <c r="V979" s="2"/>
      <c r="W979" s="2"/>
      <c r="X979" s="2"/>
      <c r="Y979" s="2"/>
      <c r="Z979" s="2"/>
      <c r="AA979" s="2"/>
      <c r="AB979" s="2"/>
      <c r="AC979" s="2"/>
      <c r="AD979" s="2"/>
    </row>
    <row r="980" spans="1:30" ht="12" customHeight="1">
      <c r="A980" s="828" t="s">
        <v>17674</v>
      </c>
      <c r="B980" s="3" t="s">
        <v>3612</v>
      </c>
      <c r="C980" s="1" t="s">
        <v>3619</v>
      </c>
      <c r="D980" s="5">
        <f t="shared" si="15"/>
        <v>58</v>
      </c>
      <c r="E980" s="2" t="s">
        <v>19</v>
      </c>
      <c r="F980" s="2"/>
      <c r="G980" s="3"/>
      <c r="H980" s="1"/>
      <c r="I980" s="1"/>
      <c r="J980" s="4" t="s">
        <v>16117</v>
      </c>
      <c r="K980" s="1"/>
      <c r="L980" s="1" t="s">
        <v>6</v>
      </c>
      <c r="M980" s="825"/>
      <c r="N980" s="17"/>
      <c r="O980" s="3" t="s">
        <v>95</v>
      </c>
      <c r="P980" s="20">
        <v>19952</v>
      </c>
      <c r="Q980" s="3" t="s">
        <v>3620</v>
      </c>
      <c r="R980" s="3"/>
      <c r="S980" s="3"/>
      <c r="T980" s="3"/>
      <c r="U980" s="2"/>
      <c r="V980" s="2"/>
      <c r="W980" s="2"/>
      <c r="X980" s="2"/>
      <c r="Y980" s="2"/>
      <c r="Z980" s="2"/>
      <c r="AA980" s="2"/>
      <c r="AB980" s="2"/>
      <c r="AC980" s="2"/>
      <c r="AD980" s="2"/>
    </row>
    <row r="981" spans="1:30" ht="12" customHeight="1">
      <c r="A981" s="828" t="s">
        <v>17675</v>
      </c>
      <c r="B981" s="3" t="s">
        <v>3613</v>
      </c>
      <c r="C981" s="1" t="s">
        <v>3621</v>
      </c>
      <c r="D981" s="5">
        <f t="shared" si="15"/>
        <v>56</v>
      </c>
      <c r="E981" s="2" t="s">
        <v>5</v>
      </c>
      <c r="F981" s="2"/>
      <c r="G981" s="3" t="s">
        <v>3622</v>
      </c>
      <c r="H981" s="1"/>
      <c r="I981" s="1"/>
      <c r="J981" s="4" t="s">
        <v>16123</v>
      </c>
      <c r="K981" s="1"/>
      <c r="L981" s="1" t="s">
        <v>25</v>
      </c>
      <c r="M981" s="825">
        <v>1</v>
      </c>
      <c r="N981" s="17">
        <v>5</v>
      </c>
      <c r="O981" s="3" t="s">
        <v>447</v>
      </c>
      <c r="P981" s="20">
        <v>20557</v>
      </c>
      <c r="Q981" s="3" t="s">
        <v>3623</v>
      </c>
      <c r="R981" s="3" t="s">
        <v>3624</v>
      </c>
      <c r="S981" s="3"/>
      <c r="T981" s="3" t="s">
        <v>2503</v>
      </c>
      <c r="U981" s="2"/>
      <c r="V981" s="2"/>
      <c r="W981" s="2" t="s">
        <v>75</v>
      </c>
      <c r="X981" s="2" t="s">
        <v>229</v>
      </c>
      <c r="Y981" s="2"/>
      <c r="Z981" s="2" t="s">
        <v>85</v>
      </c>
      <c r="AA981" s="2"/>
      <c r="AB981" s="2"/>
      <c r="AC981" s="2"/>
      <c r="AD981" s="2"/>
    </row>
    <row r="982" spans="1:30" ht="12" customHeight="1">
      <c r="A982" s="828" t="s">
        <v>17676</v>
      </c>
      <c r="B982" s="3" t="s">
        <v>3629</v>
      </c>
      <c r="C982" s="1" t="s">
        <v>3775</v>
      </c>
      <c r="D982" s="5">
        <f t="shared" si="15"/>
        <v>60</v>
      </c>
      <c r="E982" s="2" t="s">
        <v>5</v>
      </c>
      <c r="F982" s="6" t="s">
        <v>15273</v>
      </c>
      <c r="G982" s="3" t="s">
        <v>5207</v>
      </c>
      <c r="H982" s="1"/>
      <c r="I982" s="1"/>
      <c r="J982" s="8" t="s">
        <v>16127</v>
      </c>
      <c r="K982" s="1" t="s">
        <v>44</v>
      </c>
      <c r="L982" s="1" t="s">
        <v>25</v>
      </c>
      <c r="M982" s="825">
        <v>1</v>
      </c>
      <c r="N982" s="17">
        <v>1</v>
      </c>
      <c r="O982" s="3" t="s">
        <v>3776</v>
      </c>
      <c r="P982" s="20">
        <v>19106</v>
      </c>
      <c r="Q982" s="3" t="s">
        <v>3777</v>
      </c>
      <c r="R982" s="3"/>
      <c r="S982" s="3" t="s">
        <v>736</v>
      </c>
      <c r="T982" s="3"/>
      <c r="U982" s="2"/>
      <c r="V982" s="2"/>
      <c r="W982" s="2"/>
      <c r="X982" s="2"/>
      <c r="Y982" s="2"/>
      <c r="Z982" s="2"/>
      <c r="AA982" s="2"/>
      <c r="AB982" s="2"/>
      <c r="AC982" s="2"/>
      <c r="AD982" s="2"/>
    </row>
    <row r="983" spans="1:30" ht="12" customHeight="1">
      <c r="A983" s="828" t="s">
        <v>17677</v>
      </c>
      <c r="B983" s="3" t="s">
        <v>3630</v>
      </c>
      <c r="C983" s="1" t="s">
        <v>3632</v>
      </c>
      <c r="D983" s="5">
        <f t="shared" si="15"/>
        <v>50</v>
      </c>
      <c r="E983" s="2" t="s">
        <v>5</v>
      </c>
      <c r="F983" s="2" t="s">
        <v>15273</v>
      </c>
      <c r="G983" s="3" t="s">
        <v>3633</v>
      </c>
      <c r="H983" s="1"/>
      <c r="I983" s="1"/>
      <c r="J983" s="4" t="s">
        <v>16120</v>
      </c>
      <c r="K983" s="1" t="s">
        <v>30</v>
      </c>
      <c r="L983" s="1" t="s">
        <v>25</v>
      </c>
      <c r="M983" s="825">
        <v>3</v>
      </c>
      <c r="N983" s="17">
        <v>3</v>
      </c>
      <c r="O983" s="3" t="s">
        <v>3634</v>
      </c>
      <c r="P983" s="20">
        <v>22934</v>
      </c>
      <c r="Q983" s="3" t="s">
        <v>3635</v>
      </c>
      <c r="R983" s="3" t="s">
        <v>304</v>
      </c>
      <c r="S983" s="3" t="s">
        <v>5457</v>
      </c>
      <c r="T983" s="3" t="s">
        <v>355</v>
      </c>
      <c r="U983" s="2" t="s">
        <v>47</v>
      </c>
      <c r="V983" s="2"/>
      <c r="W983" s="2"/>
      <c r="X983" s="2"/>
      <c r="Y983" s="2"/>
      <c r="Z983" s="2"/>
      <c r="AA983" s="2" t="s">
        <v>104</v>
      </c>
      <c r="AB983" s="2"/>
      <c r="AC983" s="2"/>
      <c r="AD983" s="2"/>
    </row>
    <row r="984" spans="1:30" ht="12" customHeight="1">
      <c r="A984" s="828" t="s">
        <v>17678</v>
      </c>
      <c r="B984" s="3" t="s">
        <v>3631</v>
      </c>
      <c r="C984" s="1" t="s">
        <v>5428</v>
      </c>
      <c r="D984" s="5">
        <f t="shared" si="15"/>
        <v>45</v>
      </c>
      <c r="E984" s="2" t="s">
        <v>5</v>
      </c>
      <c r="F984" s="2" t="s">
        <v>15273</v>
      </c>
      <c r="G984" s="3"/>
      <c r="H984" s="1"/>
      <c r="I984" s="1"/>
      <c r="J984" s="4" t="s">
        <v>16116</v>
      </c>
      <c r="K984" s="1" t="s">
        <v>4997</v>
      </c>
      <c r="L984" s="1" t="s">
        <v>6</v>
      </c>
      <c r="M984" s="825"/>
      <c r="N984" s="17"/>
      <c r="O984" s="3" t="s">
        <v>2291</v>
      </c>
      <c r="P984" s="21">
        <v>24586</v>
      </c>
      <c r="Q984" s="3" t="s">
        <v>6150</v>
      </c>
      <c r="R984" s="3"/>
      <c r="S984" s="3" t="s">
        <v>469</v>
      </c>
      <c r="T984" s="3"/>
      <c r="U984" s="2"/>
      <c r="V984" s="2"/>
      <c r="W984" s="2"/>
      <c r="X984" s="2"/>
      <c r="Y984" s="2"/>
      <c r="Z984" s="2"/>
      <c r="AA984" s="2"/>
      <c r="AB984" s="2"/>
      <c r="AC984" s="2"/>
      <c r="AD984" s="2"/>
    </row>
    <row r="985" spans="1:30" ht="12" customHeight="1">
      <c r="A985" s="828" t="s">
        <v>17679</v>
      </c>
      <c r="B985" s="3" t="s">
        <v>5427</v>
      </c>
      <c r="C985" s="1" t="s">
        <v>3637</v>
      </c>
      <c r="D985" s="5">
        <f t="shared" si="15"/>
        <v>65</v>
      </c>
      <c r="E985" s="2" t="s">
        <v>19</v>
      </c>
      <c r="F985" s="2"/>
      <c r="G985" s="3"/>
      <c r="H985" s="1"/>
      <c r="I985" s="1"/>
      <c r="J985" s="4" t="s">
        <v>16117</v>
      </c>
      <c r="K985" s="1"/>
      <c r="L985" s="1" t="s">
        <v>6</v>
      </c>
      <c r="M985" s="825"/>
      <c r="N985" s="17"/>
      <c r="O985" s="3" t="s">
        <v>3638</v>
      </c>
      <c r="P985" s="21">
        <v>17245</v>
      </c>
      <c r="Q985" s="3" t="s">
        <v>3639</v>
      </c>
      <c r="R985" s="3"/>
      <c r="S985" s="3"/>
      <c r="T985" s="3" t="s">
        <v>145</v>
      </c>
      <c r="U985" s="2"/>
      <c r="V985" s="2" t="s">
        <v>145</v>
      </c>
      <c r="W985" s="2"/>
      <c r="X985" s="2"/>
      <c r="Y985" s="2"/>
      <c r="Z985" s="2"/>
      <c r="AA985" s="2"/>
      <c r="AB985" s="2"/>
      <c r="AC985" s="2"/>
      <c r="AD985" s="2"/>
    </row>
    <row r="986" spans="1:30" ht="12" customHeight="1">
      <c r="A986" s="828" t="s">
        <v>17680</v>
      </c>
      <c r="B986" s="3" t="s">
        <v>3640</v>
      </c>
      <c r="C986" s="1" t="s">
        <v>3643</v>
      </c>
      <c r="D986" s="5">
        <f t="shared" si="15"/>
        <v>37</v>
      </c>
      <c r="E986" s="2" t="s">
        <v>5</v>
      </c>
      <c r="F986" s="6" t="s">
        <v>15273</v>
      </c>
      <c r="G986" s="3" t="s">
        <v>3644</v>
      </c>
      <c r="H986" s="1"/>
      <c r="I986" s="1"/>
      <c r="J986" s="8" t="s">
        <v>16126</v>
      </c>
      <c r="K986" s="1" t="s">
        <v>44</v>
      </c>
      <c r="L986" s="1" t="s">
        <v>25</v>
      </c>
      <c r="M986" s="825">
        <v>1</v>
      </c>
      <c r="N986" s="17">
        <v>1</v>
      </c>
      <c r="O986" s="3" t="s">
        <v>255</v>
      </c>
      <c r="P986" s="20">
        <v>27588</v>
      </c>
      <c r="Q986" s="3" t="s">
        <v>3646</v>
      </c>
      <c r="R986" s="3"/>
      <c r="S986" s="3" t="s">
        <v>736</v>
      </c>
      <c r="T986" s="3"/>
      <c r="U986" s="2"/>
      <c r="V986" s="2"/>
      <c r="W986" s="2"/>
      <c r="X986" s="2"/>
      <c r="Y986" s="2"/>
      <c r="Z986" s="2"/>
      <c r="AA986" s="2"/>
      <c r="AB986" s="2"/>
      <c r="AC986" s="2"/>
      <c r="AD986" s="2"/>
    </row>
    <row r="987" spans="1:30" ht="12" customHeight="1">
      <c r="A987" s="828" t="s">
        <v>17681</v>
      </c>
      <c r="B987" s="3" t="s">
        <v>3641</v>
      </c>
      <c r="C987" s="1" t="s">
        <v>3647</v>
      </c>
      <c r="D987" s="5">
        <f t="shared" si="15"/>
        <v>64</v>
      </c>
      <c r="E987" s="2" t="s">
        <v>5</v>
      </c>
      <c r="F987" s="2" t="s">
        <v>15273</v>
      </c>
      <c r="G987" s="3"/>
      <c r="H987" s="1"/>
      <c r="I987" s="1"/>
      <c r="J987" s="4" t="s">
        <v>16120</v>
      </c>
      <c r="K987" s="1" t="s">
        <v>30</v>
      </c>
      <c r="L987" s="1" t="s">
        <v>14</v>
      </c>
      <c r="M987" s="825">
        <v>6</v>
      </c>
      <c r="N987" s="17">
        <v>6</v>
      </c>
      <c r="O987" s="3" t="s">
        <v>188</v>
      </c>
      <c r="P987" s="20">
        <v>17574</v>
      </c>
      <c r="Q987" s="3" t="s">
        <v>3648</v>
      </c>
      <c r="R987" s="3" t="s">
        <v>3649</v>
      </c>
      <c r="S987" s="3" t="s">
        <v>5457</v>
      </c>
      <c r="T987" s="3" t="s">
        <v>104</v>
      </c>
      <c r="U987" s="2"/>
      <c r="V987" s="2"/>
      <c r="W987" s="2"/>
      <c r="X987" s="2"/>
      <c r="Y987" s="2"/>
      <c r="Z987" s="2"/>
      <c r="AA987" s="2" t="s">
        <v>104</v>
      </c>
      <c r="AB987" s="2"/>
      <c r="AC987" s="2"/>
      <c r="AD987" s="2"/>
    </row>
    <row r="988" spans="1:30" ht="12" customHeight="1">
      <c r="A988" s="828" t="s">
        <v>17682</v>
      </c>
      <c r="B988" s="3" t="s">
        <v>3642</v>
      </c>
      <c r="C988" s="1" t="s">
        <v>5045</v>
      </c>
      <c r="D988" s="5">
        <f t="shared" si="15"/>
        <v>30</v>
      </c>
      <c r="E988" s="2" t="s">
        <v>5</v>
      </c>
      <c r="F988" s="2" t="s">
        <v>15273</v>
      </c>
      <c r="G988" s="3"/>
      <c r="H988" s="1"/>
      <c r="I988" s="1"/>
      <c r="J988" s="4" t="s">
        <v>16116</v>
      </c>
      <c r="K988" s="1" t="s">
        <v>4997</v>
      </c>
      <c r="L988" s="1" t="s">
        <v>6</v>
      </c>
      <c r="M988" s="825"/>
      <c r="N988" s="17"/>
      <c r="O988" s="3" t="s">
        <v>317</v>
      </c>
      <c r="P988" s="21">
        <v>30268</v>
      </c>
      <c r="Q988" s="3" t="s">
        <v>16522</v>
      </c>
      <c r="R988" s="3"/>
      <c r="S988" s="3" t="s">
        <v>469</v>
      </c>
      <c r="T988" s="3"/>
      <c r="U988" s="2"/>
      <c r="V988" s="2"/>
      <c r="W988" s="2"/>
      <c r="X988" s="2"/>
      <c r="Y988" s="2"/>
      <c r="Z988" s="2"/>
      <c r="AA988" s="2"/>
      <c r="AB988" s="2"/>
      <c r="AC988" s="2"/>
      <c r="AD988" s="2"/>
    </row>
    <row r="989" spans="1:30" ht="12" customHeight="1">
      <c r="A989" s="828" t="s">
        <v>17683</v>
      </c>
      <c r="B989" s="3" t="s">
        <v>5044</v>
      </c>
      <c r="C989" s="1" t="s">
        <v>3650</v>
      </c>
      <c r="D989" s="5">
        <f t="shared" si="15"/>
        <v>62</v>
      </c>
      <c r="E989" s="2" t="s">
        <v>5</v>
      </c>
      <c r="F989" s="2"/>
      <c r="G989" s="3"/>
      <c r="H989" s="1"/>
      <c r="I989" s="1"/>
      <c r="J989" s="4" t="s">
        <v>16117</v>
      </c>
      <c r="K989" s="1"/>
      <c r="L989" s="1" t="s">
        <v>6</v>
      </c>
      <c r="M989" s="825"/>
      <c r="N989" s="17"/>
      <c r="O989" s="3" t="s">
        <v>3607</v>
      </c>
      <c r="P989" s="21">
        <v>18568</v>
      </c>
      <c r="Q989" s="3" t="s">
        <v>3651</v>
      </c>
      <c r="R989" s="3"/>
      <c r="S989" s="3"/>
      <c r="T989" s="3" t="s">
        <v>69</v>
      </c>
      <c r="U989" s="2"/>
      <c r="V989" s="2"/>
      <c r="W989" s="2"/>
      <c r="X989" s="2"/>
      <c r="Y989" s="2"/>
      <c r="Z989" s="2"/>
      <c r="AA989" s="2"/>
      <c r="AB989" s="2"/>
      <c r="AC989" s="2"/>
      <c r="AD989" s="2" t="s">
        <v>69</v>
      </c>
    </row>
    <row r="990" spans="1:30" ht="12" customHeight="1">
      <c r="A990" s="828" t="s">
        <v>17684</v>
      </c>
      <c r="B990" s="3" t="s">
        <v>3653</v>
      </c>
      <c r="C990" s="1" t="s">
        <v>3656</v>
      </c>
      <c r="D990" s="5">
        <f t="shared" si="15"/>
        <v>53</v>
      </c>
      <c r="E990" s="2" t="s">
        <v>5</v>
      </c>
      <c r="F990" s="6" t="s">
        <v>15273</v>
      </c>
      <c r="G990" s="3" t="s">
        <v>3657</v>
      </c>
      <c r="H990" s="1"/>
      <c r="I990" s="1"/>
      <c r="J990" s="8" t="s">
        <v>16127</v>
      </c>
      <c r="K990" s="1" t="s">
        <v>604</v>
      </c>
      <c r="L990" s="1" t="s">
        <v>25</v>
      </c>
      <c r="M990" s="825">
        <v>4</v>
      </c>
      <c r="N990" s="17">
        <v>4</v>
      </c>
      <c r="O990" s="3" t="s">
        <v>317</v>
      </c>
      <c r="P990" s="20">
        <v>21665</v>
      </c>
      <c r="Q990" s="3" t="s">
        <v>3659</v>
      </c>
      <c r="R990" s="3" t="s">
        <v>3658</v>
      </c>
      <c r="S990" s="3" t="s">
        <v>736</v>
      </c>
      <c r="T990" s="3" t="s">
        <v>104</v>
      </c>
      <c r="U990" s="2"/>
      <c r="V990" s="2"/>
      <c r="W990" s="2"/>
      <c r="X990" s="2"/>
      <c r="Y990" s="2"/>
      <c r="Z990" s="2"/>
      <c r="AA990" s="2" t="s">
        <v>104</v>
      </c>
      <c r="AB990" s="2"/>
      <c r="AC990" s="2"/>
      <c r="AD990" s="2"/>
    </row>
    <row r="991" spans="1:30" ht="12" customHeight="1">
      <c r="A991" s="828" t="s">
        <v>17685</v>
      </c>
      <c r="B991" s="3" t="s">
        <v>3654</v>
      </c>
      <c r="C991" s="1" t="s">
        <v>3660</v>
      </c>
      <c r="D991" s="5">
        <f t="shared" si="15"/>
        <v>42</v>
      </c>
      <c r="E991" s="2" t="s">
        <v>5</v>
      </c>
      <c r="F991" s="2" t="s">
        <v>15273</v>
      </c>
      <c r="G991" s="3"/>
      <c r="H991" s="1"/>
      <c r="I991" s="1"/>
      <c r="J991" s="8" t="s">
        <v>16120</v>
      </c>
      <c r="K991" s="1" t="s">
        <v>30</v>
      </c>
      <c r="L991" s="1" t="s">
        <v>6</v>
      </c>
      <c r="M991" s="825"/>
      <c r="N991" s="17"/>
      <c r="O991" s="3" t="s">
        <v>3661</v>
      </c>
      <c r="P991" s="20">
        <v>25756</v>
      </c>
      <c r="Q991" s="3" t="s">
        <v>3662</v>
      </c>
      <c r="R991" s="3"/>
      <c r="S991" s="3" t="s">
        <v>5457</v>
      </c>
      <c r="T991" s="3"/>
      <c r="U991" s="2"/>
      <c r="V991" s="2"/>
      <c r="W991" s="2"/>
      <c r="X991" s="2"/>
      <c r="Y991" s="2"/>
      <c r="Z991" s="2"/>
      <c r="AA991" s="2"/>
      <c r="AB991" s="2"/>
      <c r="AC991" s="2"/>
      <c r="AD991" s="2"/>
    </row>
    <row r="992" spans="1:30" ht="12" customHeight="1">
      <c r="A992" s="828" t="s">
        <v>17686</v>
      </c>
      <c r="B992" s="3" t="s">
        <v>3655</v>
      </c>
      <c r="C992" s="1" t="s">
        <v>5430</v>
      </c>
      <c r="D992" s="5">
        <f t="shared" si="15"/>
        <v>26</v>
      </c>
      <c r="E992" s="2" t="s">
        <v>5</v>
      </c>
      <c r="F992" s="2" t="s">
        <v>15273</v>
      </c>
      <c r="G992" s="3"/>
      <c r="H992" s="1"/>
      <c r="I992" s="1"/>
      <c r="J992" s="4" t="s">
        <v>16116</v>
      </c>
      <c r="K992" s="1" t="s">
        <v>4997</v>
      </c>
      <c r="L992" s="1" t="s">
        <v>6</v>
      </c>
      <c r="M992" s="825"/>
      <c r="N992" s="17"/>
      <c r="O992" s="3" t="s">
        <v>16049</v>
      </c>
      <c r="P992" s="20">
        <v>31731</v>
      </c>
      <c r="Q992" s="3" t="s">
        <v>5536</v>
      </c>
      <c r="R992" s="3"/>
      <c r="S992" s="3" t="s">
        <v>469</v>
      </c>
      <c r="T992" s="3"/>
      <c r="U992" s="2"/>
      <c r="V992" s="2"/>
      <c r="W992" s="2"/>
      <c r="X992" s="2"/>
      <c r="Y992" s="2"/>
      <c r="Z992" s="2"/>
      <c r="AA992" s="2"/>
      <c r="AB992" s="2"/>
      <c r="AC992" s="2"/>
      <c r="AD992" s="2"/>
    </row>
    <row r="993" spans="1:30" ht="12" customHeight="1">
      <c r="A993" s="828" t="s">
        <v>17687</v>
      </c>
      <c r="B993" s="3" t="s">
        <v>5429</v>
      </c>
      <c r="C993" s="1" t="s">
        <v>3663</v>
      </c>
      <c r="D993" s="5">
        <f t="shared" si="15"/>
        <v>37</v>
      </c>
      <c r="E993" s="2" t="s">
        <v>19</v>
      </c>
      <c r="F993" s="2"/>
      <c r="G993" s="3"/>
      <c r="H993" s="1"/>
      <c r="I993" s="1"/>
      <c r="J993" s="4" t="s">
        <v>16117</v>
      </c>
      <c r="K993" s="1"/>
      <c r="L993" s="1" t="s">
        <v>6</v>
      </c>
      <c r="M993" s="825"/>
      <c r="N993" s="17"/>
      <c r="O993" s="3" t="s">
        <v>3664</v>
      </c>
      <c r="P993" s="20">
        <v>27584</v>
      </c>
      <c r="Q993" s="3" t="s">
        <v>3665</v>
      </c>
      <c r="R993" s="3"/>
      <c r="S993" s="3"/>
      <c r="T993" s="3"/>
      <c r="U993" s="2"/>
      <c r="V993" s="2"/>
      <c r="W993" s="2"/>
      <c r="X993" s="2"/>
      <c r="Y993" s="2"/>
      <c r="Z993" s="2"/>
      <c r="AA993" s="2"/>
      <c r="AB993" s="2"/>
      <c r="AC993" s="2"/>
      <c r="AD993" s="2"/>
    </row>
    <row r="994" spans="1:30" ht="12" customHeight="1">
      <c r="A994" s="828" t="s">
        <v>17688</v>
      </c>
      <c r="B994" s="3" t="s">
        <v>3666</v>
      </c>
      <c r="C994" s="1" t="s">
        <v>3669</v>
      </c>
      <c r="D994" s="5">
        <f t="shared" si="15"/>
        <v>58</v>
      </c>
      <c r="E994" s="2" t="s">
        <v>5</v>
      </c>
      <c r="F994" s="6" t="s">
        <v>15273</v>
      </c>
      <c r="G994" s="3" t="s">
        <v>3670</v>
      </c>
      <c r="H994" s="1"/>
      <c r="I994" s="1"/>
      <c r="J994" s="8" t="s">
        <v>16127</v>
      </c>
      <c r="K994" s="1" t="s">
        <v>604</v>
      </c>
      <c r="L994" s="1" t="s">
        <v>25</v>
      </c>
      <c r="M994" s="825">
        <v>3</v>
      </c>
      <c r="N994" s="17">
        <v>3</v>
      </c>
      <c r="O994" s="3" t="s">
        <v>1983</v>
      </c>
      <c r="P994" s="20">
        <v>20000</v>
      </c>
      <c r="Q994" s="3" t="s">
        <v>3672</v>
      </c>
      <c r="R994" s="3" t="s">
        <v>3671</v>
      </c>
      <c r="S994" s="3" t="s">
        <v>736</v>
      </c>
      <c r="T994" s="3" t="s">
        <v>47</v>
      </c>
      <c r="U994" s="2" t="s">
        <v>47</v>
      </c>
      <c r="V994" s="2"/>
      <c r="W994" s="2"/>
      <c r="X994" s="2"/>
      <c r="Y994" s="2"/>
      <c r="Z994" s="2"/>
      <c r="AA994" s="2"/>
      <c r="AB994" s="2"/>
      <c r="AC994" s="2"/>
      <c r="AD994" s="2"/>
    </row>
    <row r="995" spans="1:30" ht="12" customHeight="1">
      <c r="A995" s="828" t="s">
        <v>17689</v>
      </c>
      <c r="B995" s="3" t="s">
        <v>3667</v>
      </c>
      <c r="C995" s="1" t="s">
        <v>3674</v>
      </c>
      <c r="D995" s="5">
        <f t="shared" si="15"/>
        <v>48</v>
      </c>
      <c r="E995" s="2" t="s">
        <v>5</v>
      </c>
      <c r="F995" s="2" t="s">
        <v>15273</v>
      </c>
      <c r="G995" s="3"/>
      <c r="H995" s="1"/>
      <c r="I995" s="1"/>
      <c r="J995" s="4" t="s">
        <v>16120</v>
      </c>
      <c r="K995" s="1" t="s">
        <v>30</v>
      </c>
      <c r="L995" s="1" t="s">
        <v>6</v>
      </c>
      <c r="M995" s="825"/>
      <c r="N995" s="17"/>
      <c r="O995" s="3" t="s">
        <v>3544</v>
      </c>
      <c r="P995" s="20">
        <v>23368</v>
      </c>
      <c r="Q995" s="3" t="s">
        <v>727</v>
      </c>
      <c r="R995" s="3"/>
      <c r="S995" s="3" t="s">
        <v>5457</v>
      </c>
      <c r="T995" s="3" t="s">
        <v>147</v>
      </c>
      <c r="U995" s="2"/>
      <c r="V995" s="2"/>
      <c r="W995" s="2"/>
      <c r="X995" s="2"/>
      <c r="Y995" s="2"/>
      <c r="Z995" s="2"/>
      <c r="AA995" s="2"/>
      <c r="AB995" s="2" t="s">
        <v>147</v>
      </c>
      <c r="AC995" s="2"/>
      <c r="AD995" s="2"/>
    </row>
    <row r="996" spans="1:30" ht="12" customHeight="1">
      <c r="A996" s="828" t="s">
        <v>17690</v>
      </c>
      <c r="B996" s="3" t="s">
        <v>3668</v>
      </c>
      <c r="C996" s="1" t="s">
        <v>5633</v>
      </c>
      <c r="D996" s="5">
        <f t="shared" si="15"/>
        <v>46</v>
      </c>
      <c r="E996" s="2" t="s">
        <v>5</v>
      </c>
      <c r="F996" s="2" t="s">
        <v>15273</v>
      </c>
      <c r="G996" s="3"/>
      <c r="H996" s="1"/>
      <c r="I996" s="1"/>
      <c r="J996" s="4" t="s">
        <v>16116</v>
      </c>
      <c r="K996" s="1" t="s">
        <v>4997</v>
      </c>
      <c r="L996" s="1" t="s">
        <v>6</v>
      </c>
      <c r="M996" s="825"/>
      <c r="N996" s="17"/>
      <c r="O996" s="3" t="s">
        <v>16050</v>
      </c>
      <c r="P996" s="20">
        <v>24419</v>
      </c>
      <c r="Q996" s="3" t="s">
        <v>5634</v>
      </c>
      <c r="R996" s="3"/>
      <c r="S996" s="3" t="s">
        <v>469</v>
      </c>
      <c r="T996" s="3"/>
      <c r="U996" s="2"/>
      <c r="V996" s="2"/>
      <c r="W996" s="2"/>
      <c r="X996" s="2"/>
      <c r="Y996" s="2"/>
      <c r="Z996" s="2"/>
      <c r="AA996" s="2"/>
      <c r="AB996" s="2"/>
      <c r="AC996" s="2"/>
      <c r="AD996" s="2"/>
    </row>
    <row r="997" spans="1:30" ht="12" customHeight="1">
      <c r="A997" s="828" t="s">
        <v>17691</v>
      </c>
      <c r="B997" s="3" t="s">
        <v>5632</v>
      </c>
      <c r="C997" s="1" t="s">
        <v>5237</v>
      </c>
      <c r="D997" s="5">
        <f t="shared" si="15"/>
        <v>37</v>
      </c>
      <c r="E997" s="2" t="s">
        <v>5</v>
      </c>
      <c r="F997" s="2"/>
      <c r="G997" s="3"/>
      <c r="H997" s="1"/>
      <c r="I997" s="1"/>
      <c r="J997" s="4" t="s">
        <v>16117</v>
      </c>
      <c r="K997" s="1"/>
      <c r="L997" s="1" t="s">
        <v>6</v>
      </c>
      <c r="M997" s="825"/>
      <c r="N997" s="17"/>
      <c r="O997" s="3" t="s">
        <v>2906</v>
      </c>
      <c r="P997" s="20">
        <v>27408</v>
      </c>
      <c r="Q997" s="3" t="s">
        <v>5238</v>
      </c>
      <c r="R997" s="3"/>
      <c r="S997" s="3"/>
      <c r="T997" s="3"/>
      <c r="U997" s="2"/>
      <c r="V997" s="2"/>
      <c r="W997" s="2"/>
      <c r="X997" s="2"/>
      <c r="Y997" s="2"/>
      <c r="Z997" s="2"/>
      <c r="AA997" s="2"/>
      <c r="AB997" s="2"/>
      <c r="AC997" s="2"/>
      <c r="AD997" s="2"/>
    </row>
    <row r="998" spans="1:30" ht="12" customHeight="1">
      <c r="A998" s="828" t="s">
        <v>17692</v>
      </c>
      <c r="B998" s="3" t="s">
        <v>3677</v>
      </c>
      <c r="C998" s="1" t="s">
        <v>3680</v>
      </c>
      <c r="D998" s="5">
        <f t="shared" si="15"/>
        <v>52</v>
      </c>
      <c r="E998" s="2" t="s">
        <v>5</v>
      </c>
      <c r="F998" s="6" t="s">
        <v>15273</v>
      </c>
      <c r="G998" s="3" t="s">
        <v>3681</v>
      </c>
      <c r="H998" s="1"/>
      <c r="I998" s="1"/>
      <c r="J998" s="8" t="s">
        <v>16126</v>
      </c>
      <c r="K998" s="1" t="s">
        <v>44</v>
      </c>
      <c r="L998" s="1" t="s">
        <v>25</v>
      </c>
      <c r="M998" s="825">
        <v>3</v>
      </c>
      <c r="N998" s="17">
        <v>3</v>
      </c>
      <c r="O998" s="3" t="s">
        <v>1485</v>
      </c>
      <c r="P998" s="20">
        <v>22151</v>
      </c>
      <c r="Q998" s="3" t="s">
        <v>3682</v>
      </c>
      <c r="R998" s="3" t="s">
        <v>3683</v>
      </c>
      <c r="S998" s="3" t="s">
        <v>736</v>
      </c>
      <c r="T998" s="3"/>
      <c r="U998" s="2"/>
      <c r="V998" s="2"/>
      <c r="W998" s="2"/>
      <c r="X998" s="2"/>
      <c r="Y998" s="2"/>
      <c r="Z998" s="2"/>
      <c r="AA998" s="2"/>
      <c r="AB998" s="2"/>
      <c r="AC998" s="2"/>
      <c r="AD998" s="2"/>
    </row>
    <row r="999" spans="1:30" ht="12" customHeight="1">
      <c r="A999" s="828" t="s">
        <v>17693</v>
      </c>
      <c r="B999" s="3" t="s">
        <v>3678</v>
      </c>
      <c r="C999" s="1" t="s">
        <v>3684</v>
      </c>
      <c r="D999" s="5">
        <f t="shared" si="15"/>
        <v>48</v>
      </c>
      <c r="E999" s="2" t="s">
        <v>5</v>
      </c>
      <c r="F999" s="2" t="s">
        <v>15273</v>
      </c>
      <c r="G999" s="3"/>
      <c r="H999" s="1"/>
      <c r="I999" s="1"/>
      <c r="J999" s="4" t="s">
        <v>16120</v>
      </c>
      <c r="K999" s="1" t="s">
        <v>30</v>
      </c>
      <c r="L999" s="1" t="s">
        <v>6</v>
      </c>
      <c r="M999" s="825"/>
      <c r="N999" s="17"/>
      <c r="O999" s="3" t="s">
        <v>31</v>
      </c>
      <c r="P999" s="20">
        <v>23659</v>
      </c>
      <c r="Q999" s="3" t="s">
        <v>3685</v>
      </c>
      <c r="R999" s="3"/>
      <c r="S999" s="3" t="s">
        <v>5457</v>
      </c>
      <c r="T999" s="3" t="s">
        <v>145</v>
      </c>
      <c r="U999" s="2"/>
      <c r="V999" s="2" t="s">
        <v>145</v>
      </c>
      <c r="W999" s="2"/>
      <c r="X999" s="2"/>
      <c r="Y999" s="2"/>
      <c r="Z999" s="2"/>
      <c r="AA999" s="2"/>
      <c r="AB999" s="2"/>
      <c r="AC999" s="2"/>
      <c r="AD999" s="2"/>
    </row>
    <row r="1000" spans="1:30" ht="12" customHeight="1">
      <c r="A1000" s="828" t="s">
        <v>17694</v>
      </c>
      <c r="B1000" s="3" t="s">
        <v>3679</v>
      </c>
      <c r="C1000" s="1" t="s">
        <v>5047</v>
      </c>
      <c r="D1000" s="5">
        <f t="shared" si="15"/>
        <v>52</v>
      </c>
      <c r="E1000" s="2" t="s">
        <v>5</v>
      </c>
      <c r="F1000" s="2" t="s">
        <v>15273</v>
      </c>
      <c r="G1000" s="3"/>
      <c r="H1000" s="1"/>
      <c r="I1000" s="1"/>
      <c r="J1000" s="4" t="s">
        <v>16116</v>
      </c>
      <c r="K1000" s="1" t="s">
        <v>4997</v>
      </c>
      <c r="L1000" s="1" t="s">
        <v>6</v>
      </c>
      <c r="M1000" s="825"/>
      <c r="N1000" s="17"/>
      <c r="O1000" s="3" t="s">
        <v>5048</v>
      </c>
      <c r="P1000" s="21">
        <v>22205</v>
      </c>
      <c r="Q1000" s="3" t="s">
        <v>5049</v>
      </c>
      <c r="R1000" s="3"/>
      <c r="S1000" s="3" t="s">
        <v>469</v>
      </c>
      <c r="T1000" s="3" t="s">
        <v>47</v>
      </c>
      <c r="U1000" s="2" t="s">
        <v>47</v>
      </c>
      <c r="V1000" s="2"/>
      <c r="W1000" s="2"/>
      <c r="X1000" s="2"/>
      <c r="Y1000" s="2"/>
      <c r="Z1000" s="2"/>
      <c r="AA1000" s="2"/>
      <c r="AB1000" s="2"/>
      <c r="AC1000" s="2"/>
      <c r="AD1000" s="2"/>
    </row>
    <row r="1001" spans="1:30" ht="12" customHeight="1">
      <c r="A1001" s="828" t="s">
        <v>17695</v>
      </c>
      <c r="B1001" s="3" t="s">
        <v>5046</v>
      </c>
      <c r="C1001" s="1" t="s">
        <v>3686</v>
      </c>
      <c r="D1001" s="5">
        <f t="shared" si="15"/>
        <v>66</v>
      </c>
      <c r="E1001" s="2" t="s">
        <v>19</v>
      </c>
      <c r="F1001" s="2"/>
      <c r="G1001" s="3"/>
      <c r="H1001" s="1"/>
      <c r="I1001" s="1"/>
      <c r="J1001" s="4" t="s">
        <v>16117</v>
      </c>
      <c r="K1001" s="1"/>
      <c r="L1001" s="1" t="s">
        <v>6</v>
      </c>
      <c r="M1001" s="825"/>
      <c r="N1001" s="17"/>
      <c r="O1001" s="3" t="s">
        <v>3687</v>
      </c>
      <c r="P1001" s="21">
        <v>16887</v>
      </c>
      <c r="Q1001" s="3" t="s">
        <v>3688</v>
      </c>
      <c r="R1001" s="3"/>
      <c r="S1001" s="3"/>
      <c r="T1001" s="3"/>
      <c r="U1001" s="2"/>
      <c r="V1001" s="2"/>
      <c r="W1001" s="2"/>
      <c r="X1001" s="2"/>
      <c r="Y1001" s="2"/>
      <c r="Z1001" s="2"/>
      <c r="AA1001" s="2"/>
      <c r="AB1001" s="2"/>
      <c r="AC1001" s="2"/>
      <c r="AD1001" s="2"/>
    </row>
    <row r="1002" spans="1:30" ht="12" customHeight="1">
      <c r="A1002" s="828" t="s">
        <v>17696</v>
      </c>
      <c r="B1002" s="3" t="s">
        <v>3689</v>
      </c>
      <c r="C1002" s="1" t="s">
        <v>3692</v>
      </c>
      <c r="D1002" s="5">
        <f t="shared" si="15"/>
        <v>37</v>
      </c>
      <c r="E1002" s="2" t="s">
        <v>5</v>
      </c>
      <c r="F1002" s="6" t="s">
        <v>15273</v>
      </c>
      <c r="G1002" s="3"/>
      <c r="H1002" s="1"/>
      <c r="I1002" s="1"/>
      <c r="J1002" s="8" t="s">
        <v>16127</v>
      </c>
      <c r="K1002" s="1" t="s">
        <v>44</v>
      </c>
      <c r="L1002" s="1" t="s">
        <v>6</v>
      </c>
      <c r="M1002" s="825"/>
      <c r="N1002" s="17"/>
      <c r="O1002" s="3" t="s">
        <v>3693</v>
      </c>
      <c r="P1002" s="20">
        <v>27577</v>
      </c>
      <c r="Q1002" s="3" t="s">
        <v>3694</v>
      </c>
      <c r="R1002" s="3"/>
      <c r="S1002" s="3" t="s">
        <v>736</v>
      </c>
      <c r="T1002" s="3"/>
      <c r="U1002" s="2"/>
      <c r="V1002" s="2"/>
      <c r="W1002" s="2"/>
      <c r="X1002" s="2"/>
      <c r="Y1002" s="2"/>
      <c r="Z1002" s="2"/>
      <c r="AA1002" s="2"/>
      <c r="AB1002" s="2"/>
      <c r="AC1002" s="2"/>
      <c r="AD1002" s="2"/>
    </row>
    <row r="1003" spans="1:30" ht="12" customHeight="1">
      <c r="A1003" s="828" t="s">
        <v>17697</v>
      </c>
      <c r="B1003" s="3" t="s">
        <v>3690</v>
      </c>
      <c r="C1003" s="1" t="s">
        <v>3695</v>
      </c>
      <c r="D1003" s="5">
        <f t="shared" si="15"/>
        <v>51</v>
      </c>
      <c r="E1003" s="2" t="s">
        <v>19</v>
      </c>
      <c r="F1003" s="2" t="s">
        <v>15273</v>
      </c>
      <c r="G1003" s="3" t="s">
        <v>3696</v>
      </c>
      <c r="H1003" s="1"/>
      <c r="I1003" s="1"/>
      <c r="J1003" s="8" t="s">
        <v>16120</v>
      </c>
      <c r="K1003" s="1" t="s">
        <v>30</v>
      </c>
      <c r="L1003" s="1" t="s">
        <v>25</v>
      </c>
      <c r="M1003" s="825">
        <v>5</v>
      </c>
      <c r="N1003" s="17">
        <v>5</v>
      </c>
      <c r="O1003" s="3" t="s">
        <v>3607</v>
      </c>
      <c r="P1003" s="20">
        <v>22347</v>
      </c>
      <c r="Q1003" s="3" t="s">
        <v>3697</v>
      </c>
      <c r="R1003" s="3" t="s">
        <v>3698</v>
      </c>
      <c r="S1003" s="3" t="s">
        <v>5457</v>
      </c>
      <c r="T1003" s="3" t="s">
        <v>146</v>
      </c>
      <c r="U1003" s="2"/>
      <c r="V1003" s="2"/>
      <c r="W1003" s="2"/>
      <c r="X1003" s="2"/>
      <c r="Y1003" s="2"/>
      <c r="Z1003" s="2"/>
      <c r="AA1003" s="2"/>
      <c r="AB1003" s="2"/>
      <c r="AC1003" s="2" t="s">
        <v>146</v>
      </c>
      <c r="AD1003" s="2"/>
    </row>
    <row r="1004" spans="1:30" ht="12" customHeight="1">
      <c r="A1004" s="828" t="s">
        <v>17698</v>
      </c>
      <c r="B1004" s="3" t="s">
        <v>3691</v>
      </c>
      <c r="C1004" s="1" t="s">
        <v>3700</v>
      </c>
      <c r="D1004" s="5">
        <f t="shared" si="15"/>
        <v>41</v>
      </c>
      <c r="E1004" s="2" t="s">
        <v>5</v>
      </c>
      <c r="F1004" s="2" t="s">
        <v>15273</v>
      </c>
      <c r="G1004" s="3"/>
      <c r="H1004" s="1" t="s">
        <v>373</v>
      </c>
      <c r="I1004" s="1"/>
      <c r="J1004" s="4" t="s">
        <v>16125</v>
      </c>
      <c r="K1004" s="1"/>
      <c r="L1004" s="1" t="s">
        <v>14</v>
      </c>
      <c r="M1004" s="825">
        <v>2</v>
      </c>
      <c r="N1004" s="17">
        <v>4</v>
      </c>
      <c r="O1004" s="3" t="s">
        <v>1493</v>
      </c>
      <c r="P1004" s="20">
        <v>26138</v>
      </c>
      <c r="Q1004" s="3" t="s">
        <v>3703</v>
      </c>
      <c r="R1004" s="3" t="s">
        <v>16683</v>
      </c>
      <c r="S1004" s="3" t="s">
        <v>5561</v>
      </c>
      <c r="T1004" s="3" t="s">
        <v>229</v>
      </c>
      <c r="U1004" s="2"/>
      <c r="V1004" s="2"/>
      <c r="W1004" s="2"/>
      <c r="X1004" s="2" t="s">
        <v>229</v>
      </c>
      <c r="Y1004" s="2"/>
      <c r="Z1004" s="2"/>
      <c r="AA1004" s="2"/>
      <c r="AB1004" s="2"/>
      <c r="AC1004" s="2"/>
      <c r="AD1004" s="2"/>
    </row>
    <row r="1005" spans="1:30" ht="12" customHeight="1">
      <c r="A1005" s="828" t="s">
        <v>17699</v>
      </c>
      <c r="B1005" s="3" t="s">
        <v>3699</v>
      </c>
      <c r="C1005" s="1" t="s">
        <v>5051</v>
      </c>
      <c r="D1005" s="5">
        <f t="shared" si="15"/>
        <v>33</v>
      </c>
      <c r="E1005" s="2" t="s">
        <v>5</v>
      </c>
      <c r="F1005" s="2" t="s">
        <v>15273</v>
      </c>
      <c r="G1005" s="3"/>
      <c r="H1005" s="1"/>
      <c r="I1005" s="1"/>
      <c r="J1005" s="4" t="s">
        <v>16116</v>
      </c>
      <c r="K1005" s="1" t="s">
        <v>4997</v>
      </c>
      <c r="L1005" s="1" t="s">
        <v>6</v>
      </c>
      <c r="M1005" s="825"/>
      <c r="N1005" s="17"/>
      <c r="O1005" s="3" t="s">
        <v>657</v>
      </c>
      <c r="P1005" s="20">
        <v>28850</v>
      </c>
      <c r="Q1005" s="3" t="s">
        <v>6157</v>
      </c>
      <c r="R1005" s="3"/>
      <c r="S1005" s="3" t="s">
        <v>469</v>
      </c>
      <c r="T1005" s="3" t="s">
        <v>47</v>
      </c>
      <c r="U1005" s="2" t="s">
        <v>47</v>
      </c>
      <c r="V1005" s="2"/>
      <c r="W1005" s="2"/>
      <c r="X1005" s="2"/>
      <c r="Y1005" s="2"/>
      <c r="Z1005" s="2"/>
      <c r="AA1005" s="2"/>
      <c r="AB1005" s="2"/>
      <c r="AC1005" s="2"/>
      <c r="AD1005" s="2"/>
    </row>
    <row r="1006" spans="1:30" ht="12" customHeight="1">
      <c r="A1006" s="828" t="s">
        <v>17700</v>
      </c>
      <c r="B1006" s="3" t="s">
        <v>5050</v>
      </c>
      <c r="C1006" s="1" t="s">
        <v>3704</v>
      </c>
      <c r="D1006" s="5">
        <f t="shared" si="15"/>
        <v>64</v>
      </c>
      <c r="E1006" s="2" t="s">
        <v>19</v>
      </c>
      <c r="F1006" s="2" t="s">
        <v>15273</v>
      </c>
      <c r="G1006" s="3"/>
      <c r="H1006" s="1"/>
      <c r="I1006" s="1"/>
      <c r="J1006" s="4" t="s">
        <v>16117</v>
      </c>
      <c r="K1006" s="1"/>
      <c r="L1006" s="1" t="s">
        <v>6</v>
      </c>
      <c r="M1006" s="825"/>
      <c r="N1006" s="17"/>
      <c r="O1006" s="3" t="s">
        <v>3705</v>
      </c>
      <c r="P1006" s="20">
        <v>17606</v>
      </c>
      <c r="Q1006" s="3" t="s">
        <v>3706</v>
      </c>
      <c r="R1006" s="3"/>
      <c r="S1006" s="3"/>
      <c r="T1006" s="3" t="s">
        <v>145</v>
      </c>
      <c r="U1006" s="2"/>
      <c r="V1006" s="2" t="s">
        <v>145</v>
      </c>
      <c r="W1006" s="2"/>
      <c r="X1006" s="2"/>
      <c r="Y1006" s="2"/>
      <c r="Z1006" s="2"/>
      <c r="AA1006" s="2"/>
      <c r="AB1006" s="2"/>
      <c r="AC1006" s="2"/>
      <c r="AD1006" s="2"/>
    </row>
    <row r="1007" spans="1:30" ht="12" customHeight="1">
      <c r="A1007" s="828" t="s">
        <v>17701</v>
      </c>
      <c r="B1007" s="3" t="s">
        <v>3707</v>
      </c>
      <c r="C1007" s="1" t="s">
        <v>3710</v>
      </c>
      <c r="D1007" s="5">
        <f t="shared" si="15"/>
        <v>49</v>
      </c>
      <c r="E1007" s="2" t="s">
        <v>5</v>
      </c>
      <c r="F1007" s="6" t="s">
        <v>15273</v>
      </c>
      <c r="G1007" s="3" t="s">
        <v>3711</v>
      </c>
      <c r="H1007" s="1"/>
      <c r="I1007" s="1"/>
      <c r="J1007" s="8" t="s">
        <v>16127</v>
      </c>
      <c r="K1007" s="1" t="s">
        <v>44</v>
      </c>
      <c r="L1007" s="1" t="s">
        <v>25</v>
      </c>
      <c r="M1007" s="825">
        <v>1</v>
      </c>
      <c r="N1007" s="17">
        <v>1</v>
      </c>
      <c r="O1007" s="3" t="s">
        <v>1282</v>
      </c>
      <c r="P1007" s="20">
        <v>23296</v>
      </c>
      <c r="Q1007" s="3" t="s">
        <v>3712</v>
      </c>
      <c r="R1007" s="3"/>
      <c r="S1007" s="3" t="s">
        <v>736</v>
      </c>
      <c r="T1007" s="3" t="s">
        <v>145</v>
      </c>
      <c r="U1007" s="2"/>
      <c r="V1007" s="2" t="s">
        <v>145</v>
      </c>
      <c r="W1007" s="2"/>
      <c r="X1007" s="2"/>
      <c r="Y1007" s="2"/>
      <c r="Z1007" s="2"/>
      <c r="AA1007" s="2"/>
      <c r="AB1007" s="2"/>
      <c r="AC1007" s="2"/>
      <c r="AD1007" s="2"/>
    </row>
    <row r="1008" spans="1:30" ht="12" customHeight="1">
      <c r="A1008" s="828" t="s">
        <v>17702</v>
      </c>
      <c r="B1008" s="3" t="s">
        <v>3708</v>
      </c>
      <c r="C1008" s="1" t="s">
        <v>3713</v>
      </c>
      <c r="D1008" s="5">
        <f t="shared" si="15"/>
        <v>68</v>
      </c>
      <c r="E1008" s="2" t="s">
        <v>5</v>
      </c>
      <c r="F1008" s="2" t="s">
        <v>15273</v>
      </c>
      <c r="G1008" s="3"/>
      <c r="H1008" s="1"/>
      <c r="I1008" s="1"/>
      <c r="J1008" s="4" t="s">
        <v>16120</v>
      </c>
      <c r="K1008" s="1" t="s">
        <v>48</v>
      </c>
      <c r="L1008" s="1" t="s">
        <v>14</v>
      </c>
      <c r="M1008" s="825">
        <v>2</v>
      </c>
      <c r="N1008" s="17">
        <v>2</v>
      </c>
      <c r="O1008" s="3" t="s">
        <v>31</v>
      </c>
      <c r="P1008" s="20">
        <v>16136</v>
      </c>
      <c r="Q1008" s="3" t="s">
        <v>3714</v>
      </c>
      <c r="R1008" s="3" t="s">
        <v>1082</v>
      </c>
      <c r="S1008" s="3" t="s">
        <v>5457</v>
      </c>
      <c r="T1008" s="3" t="s">
        <v>104</v>
      </c>
      <c r="U1008" s="2"/>
      <c r="V1008" s="2"/>
      <c r="W1008" s="2"/>
      <c r="X1008" s="2"/>
      <c r="Y1008" s="2"/>
      <c r="Z1008" s="2"/>
      <c r="AA1008" s="2" t="s">
        <v>104</v>
      </c>
      <c r="AB1008" s="2"/>
      <c r="AC1008" s="2"/>
      <c r="AD1008" s="2"/>
    </row>
    <row r="1009" spans="1:30" ht="12" customHeight="1">
      <c r="A1009" s="828" t="s">
        <v>17703</v>
      </c>
      <c r="B1009" s="3" t="s">
        <v>3709</v>
      </c>
      <c r="C1009" s="1" t="s">
        <v>5053</v>
      </c>
      <c r="D1009" s="5">
        <f t="shared" si="15"/>
        <v>45</v>
      </c>
      <c r="E1009" s="2" t="s">
        <v>5</v>
      </c>
      <c r="F1009" s="2" t="s">
        <v>15273</v>
      </c>
      <c r="G1009" s="3"/>
      <c r="H1009" s="1"/>
      <c r="I1009" s="1"/>
      <c r="J1009" s="4" t="s">
        <v>16116</v>
      </c>
      <c r="K1009" s="1" t="s">
        <v>4997</v>
      </c>
      <c r="L1009" s="1" t="s">
        <v>6</v>
      </c>
      <c r="M1009" s="825"/>
      <c r="N1009" s="17"/>
      <c r="O1009" s="3" t="s">
        <v>77</v>
      </c>
      <c r="P1009" s="20">
        <v>24707</v>
      </c>
      <c r="Q1009" s="3" t="s">
        <v>5054</v>
      </c>
      <c r="R1009" s="3"/>
      <c r="S1009" s="3" t="s">
        <v>469</v>
      </c>
      <c r="T1009" s="3"/>
      <c r="U1009" s="2"/>
      <c r="V1009" s="2"/>
      <c r="W1009" s="2"/>
      <c r="X1009" s="2"/>
      <c r="Y1009" s="2"/>
      <c r="Z1009" s="2"/>
      <c r="AA1009" s="2"/>
      <c r="AB1009" s="2"/>
      <c r="AC1009" s="2"/>
      <c r="AD1009" s="2"/>
    </row>
    <row r="1010" spans="1:30" ht="12" customHeight="1">
      <c r="A1010" s="828" t="s">
        <v>17704</v>
      </c>
      <c r="B1010" s="3" t="s">
        <v>5052</v>
      </c>
      <c r="C1010" s="1" t="s">
        <v>3716</v>
      </c>
      <c r="D1010" s="5">
        <f t="shared" si="15"/>
        <v>59</v>
      </c>
      <c r="E1010" s="2" t="s">
        <v>5</v>
      </c>
      <c r="F1010" s="2"/>
      <c r="G1010" s="3"/>
      <c r="H1010" s="1"/>
      <c r="I1010" s="1"/>
      <c r="J1010" s="4" t="s">
        <v>16117</v>
      </c>
      <c r="K1010" s="1"/>
      <c r="L1010" s="1" t="s">
        <v>6</v>
      </c>
      <c r="M1010" s="825"/>
      <c r="N1010" s="17"/>
      <c r="O1010" s="3" t="s">
        <v>3517</v>
      </c>
      <c r="P1010" s="20">
        <v>19422</v>
      </c>
      <c r="Q1010" s="3" t="s">
        <v>3717</v>
      </c>
      <c r="R1010" s="3"/>
      <c r="S1010" s="3"/>
      <c r="T1010" s="3" t="s">
        <v>145</v>
      </c>
      <c r="U1010" s="2"/>
      <c r="V1010" s="2" t="s">
        <v>145</v>
      </c>
      <c r="W1010" s="2"/>
      <c r="X1010" s="2"/>
      <c r="Y1010" s="2"/>
      <c r="Z1010" s="2"/>
      <c r="AA1010" s="2"/>
      <c r="AB1010" s="2"/>
      <c r="AC1010" s="2"/>
      <c r="AD1010" s="2"/>
    </row>
    <row r="1011" spans="1:30" ht="12" customHeight="1">
      <c r="A1011" s="828" t="s">
        <v>17705</v>
      </c>
      <c r="B1011" s="3" t="s">
        <v>3718</v>
      </c>
      <c r="C1011" s="1" t="s">
        <v>3721</v>
      </c>
      <c r="D1011" s="5">
        <f t="shared" si="15"/>
        <v>56</v>
      </c>
      <c r="E1011" s="2" t="s">
        <v>5</v>
      </c>
      <c r="F1011" s="6" t="s">
        <v>15273</v>
      </c>
      <c r="G1011" s="3" t="s">
        <v>3722</v>
      </c>
      <c r="H1011" s="1"/>
      <c r="I1011" s="1"/>
      <c r="J1011" s="8" t="s">
        <v>16126</v>
      </c>
      <c r="K1011" s="1" t="s">
        <v>44</v>
      </c>
      <c r="L1011" s="1" t="s">
        <v>25</v>
      </c>
      <c r="M1011" s="825">
        <v>1</v>
      </c>
      <c r="N1011" s="17">
        <v>1</v>
      </c>
      <c r="O1011" s="3" t="s">
        <v>450</v>
      </c>
      <c r="P1011" s="20">
        <v>20544</v>
      </c>
      <c r="Q1011" s="3" t="s">
        <v>3723</v>
      </c>
      <c r="R1011" s="3"/>
      <c r="S1011" s="3"/>
      <c r="T1011" s="3"/>
      <c r="U1011" s="2"/>
      <c r="V1011" s="2"/>
      <c r="W1011" s="2"/>
      <c r="X1011" s="2"/>
      <c r="Y1011" s="2"/>
      <c r="Z1011" s="2"/>
      <c r="AA1011" s="2"/>
      <c r="AB1011" s="2"/>
      <c r="AC1011" s="2"/>
      <c r="AD1011" s="2"/>
    </row>
    <row r="1012" spans="1:30" ht="12" customHeight="1">
      <c r="A1012" s="828" t="s">
        <v>17706</v>
      </c>
      <c r="B1012" s="3" t="s">
        <v>3719</v>
      </c>
      <c r="C1012" s="1" t="s">
        <v>3724</v>
      </c>
      <c r="D1012" s="5">
        <f t="shared" si="15"/>
        <v>38</v>
      </c>
      <c r="E1012" s="2" t="s">
        <v>5</v>
      </c>
      <c r="F1012" s="2" t="s">
        <v>15273</v>
      </c>
      <c r="G1012" s="3"/>
      <c r="H1012" s="1"/>
      <c r="I1012" s="1"/>
      <c r="J1012" s="4" t="s">
        <v>16120</v>
      </c>
      <c r="K1012" s="1" t="s">
        <v>934</v>
      </c>
      <c r="L1012" s="1" t="s">
        <v>6</v>
      </c>
      <c r="M1012" s="825"/>
      <c r="N1012" s="17"/>
      <c r="O1012" s="3" t="s">
        <v>188</v>
      </c>
      <c r="P1012" s="20">
        <v>27214</v>
      </c>
      <c r="Q1012" s="3" t="s">
        <v>3725</v>
      </c>
      <c r="R1012" s="3"/>
      <c r="S1012" s="3" t="s">
        <v>5457</v>
      </c>
      <c r="T1012" s="3" t="s">
        <v>104</v>
      </c>
      <c r="U1012" s="2"/>
      <c r="V1012" s="2"/>
      <c r="W1012" s="2"/>
      <c r="X1012" s="2"/>
      <c r="Y1012" s="2"/>
      <c r="Z1012" s="2"/>
      <c r="AA1012" s="2" t="s">
        <v>104</v>
      </c>
      <c r="AB1012" s="2"/>
      <c r="AC1012" s="2"/>
      <c r="AD1012" s="2"/>
    </row>
    <row r="1013" spans="1:30" ht="12" customHeight="1">
      <c r="A1013" s="828" t="s">
        <v>17707</v>
      </c>
      <c r="B1013" s="3" t="s">
        <v>3720</v>
      </c>
      <c r="C1013" s="1" t="s">
        <v>5525</v>
      </c>
      <c r="D1013" s="5">
        <f t="shared" si="15"/>
        <v>45</v>
      </c>
      <c r="E1013" s="2" t="s">
        <v>5</v>
      </c>
      <c r="F1013" s="2" t="s">
        <v>15273</v>
      </c>
      <c r="G1013" s="3"/>
      <c r="H1013" s="1"/>
      <c r="I1013" s="1"/>
      <c r="J1013" s="4" t="s">
        <v>16116</v>
      </c>
      <c r="K1013" s="1" t="s">
        <v>4997</v>
      </c>
      <c r="L1013" s="1" t="s">
        <v>6</v>
      </c>
      <c r="M1013" s="825"/>
      <c r="N1013" s="17"/>
      <c r="O1013" s="3" t="s">
        <v>669</v>
      </c>
      <c r="P1013" s="21">
        <v>24558</v>
      </c>
      <c r="Q1013" s="3" t="s">
        <v>5592</v>
      </c>
      <c r="R1013" s="3"/>
      <c r="S1013" s="3" t="s">
        <v>469</v>
      </c>
      <c r="T1013" s="3" t="s">
        <v>572</v>
      </c>
      <c r="U1013" s="2"/>
      <c r="V1013" s="2" t="s">
        <v>145</v>
      </c>
      <c r="W1013" s="2"/>
      <c r="X1013" s="2"/>
      <c r="Y1013" s="2"/>
      <c r="Z1013" s="2"/>
      <c r="AA1013" s="2" t="s">
        <v>104</v>
      </c>
      <c r="AB1013" s="2"/>
      <c r="AC1013" s="2"/>
      <c r="AD1013" s="2"/>
    </row>
    <row r="1014" spans="1:30" ht="12" customHeight="1">
      <c r="A1014" s="828" t="s">
        <v>17708</v>
      </c>
      <c r="B1014" s="3" t="s">
        <v>5524</v>
      </c>
      <c r="C1014" s="1" t="s">
        <v>3726</v>
      </c>
      <c r="D1014" s="5">
        <f t="shared" si="15"/>
        <v>62</v>
      </c>
      <c r="E1014" s="2" t="s">
        <v>19</v>
      </c>
      <c r="F1014" s="2"/>
      <c r="G1014" s="3"/>
      <c r="H1014" s="1"/>
      <c r="I1014" s="1"/>
      <c r="J1014" s="4" t="s">
        <v>16117</v>
      </c>
      <c r="K1014" s="1"/>
      <c r="L1014" s="1" t="s">
        <v>6</v>
      </c>
      <c r="M1014" s="825"/>
      <c r="N1014" s="17"/>
      <c r="O1014" s="3" t="s">
        <v>3727</v>
      </c>
      <c r="P1014" s="21">
        <v>18484</v>
      </c>
      <c r="Q1014" s="3" t="s">
        <v>270</v>
      </c>
      <c r="R1014" s="3"/>
      <c r="S1014" s="3"/>
      <c r="T1014" s="3"/>
      <c r="U1014" s="2"/>
      <c r="V1014" s="2"/>
      <c r="W1014" s="2"/>
      <c r="X1014" s="2"/>
      <c r="Y1014" s="2"/>
      <c r="Z1014" s="2"/>
      <c r="AA1014" s="2"/>
      <c r="AB1014" s="2"/>
      <c r="AC1014" s="2"/>
      <c r="AD1014" s="2"/>
    </row>
    <row r="1015" spans="1:30" ht="12" customHeight="1">
      <c r="A1015" s="828" t="s">
        <v>17709</v>
      </c>
      <c r="B1015" s="3" t="s">
        <v>3729</v>
      </c>
      <c r="C1015" s="1" t="s">
        <v>3732</v>
      </c>
      <c r="D1015" s="5">
        <f t="shared" si="15"/>
        <v>56</v>
      </c>
      <c r="E1015" s="2" t="s">
        <v>5</v>
      </c>
      <c r="F1015" s="6" t="s">
        <v>15273</v>
      </c>
      <c r="G1015" s="3" t="s">
        <v>3733</v>
      </c>
      <c r="H1015" s="1"/>
      <c r="I1015" s="1"/>
      <c r="J1015" s="8" t="s">
        <v>16127</v>
      </c>
      <c r="K1015" s="1" t="s">
        <v>44</v>
      </c>
      <c r="L1015" s="1" t="s">
        <v>25</v>
      </c>
      <c r="M1015" s="825">
        <v>1</v>
      </c>
      <c r="N1015" s="17">
        <v>1</v>
      </c>
      <c r="O1015" s="3" t="s">
        <v>317</v>
      </c>
      <c r="P1015" s="20">
        <v>20648</v>
      </c>
      <c r="Q1015" s="3" t="s">
        <v>3735</v>
      </c>
      <c r="R1015" s="3" t="s">
        <v>3736</v>
      </c>
      <c r="S1015" s="3" t="s">
        <v>736</v>
      </c>
      <c r="T1015" s="3" t="s">
        <v>47</v>
      </c>
      <c r="U1015" s="2" t="s">
        <v>47</v>
      </c>
      <c r="V1015" s="2"/>
      <c r="W1015" s="2"/>
      <c r="X1015" s="2"/>
      <c r="Y1015" s="2"/>
      <c r="Z1015" s="2"/>
      <c r="AA1015" s="2"/>
      <c r="AB1015" s="2"/>
      <c r="AC1015" s="2"/>
      <c r="AD1015" s="2"/>
    </row>
    <row r="1016" spans="1:30" ht="12" customHeight="1">
      <c r="A1016" s="828" t="s">
        <v>17710</v>
      </c>
      <c r="B1016" s="3" t="s">
        <v>3730</v>
      </c>
      <c r="C1016" s="1" t="s">
        <v>3738</v>
      </c>
      <c r="D1016" s="5">
        <f t="shared" si="15"/>
        <v>47</v>
      </c>
      <c r="E1016" s="2" t="s">
        <v>5</v>
      </c>
      <c r="F1016" s="2" t="s">
        <v>15273</v>
      </c>
      <c r="G1016" s="3"/>
      <c r="H1016" s="1"/>
      <c r="I1016" s="1"/>
      <c r="J1016" s="8" t="s">
        <v>16120</v>
      </c>
      <c r="K1016" s="1" t="s">
        <v>30</v>
      </c>
      <c r="L1016" s="1" t="s">
        <v>6</v>
      </c>
      <c r="M1016" s="825"/>
      <c r="N1016" s="17"/>
      <c r="O1016" s="3" t="s">
        <v>3739</v>
      </c>
      <c r="P1016" s="20">
        <v>23972</v>
      </c>
      <c r="Q1016" s="3" t="s">
        <v>3740</v>
      </c>
      <c r="R1016" s="3"/>
      <c r="S1016" s="3" t="s">
        <v>5457</v>
      </c>
      <c r="T1016" s="3"/>
      <c r="U1016" s="2"/>
      <c r="V1016" s="2"/>
      <c r="W1016" s="2"/>
      <c r="X1016" s="2"/>
      <c r="Y1016" s="2"/>
      <c r="Z1016" s="2"/>
      <c r="AA1016" s="2"/>
      <c r="AB1016" s="2"/>
      <c r="AC1016" s="2"/>
      <c r="AD1016" s="2"/>
    </row>
    <row r="1017" spans="1:30" ht="12" customHeight="1">
      <c r="A1017" s="828" t="s">
        <v>17711</v>
      </c>
      <c r="B1017" s="3" t="s">
        <v>3731</v>
      </c>
      <c r="C1017" s="1" t="s">
        <v>1293</v>
      </c>
      <c r="D1017" s="5">
        <f t="shared" si="15"/>
        <v>40</v>
      </c>
      <c r="E1017" s="2" t="s">
        <v>5</v>
      </c>
      <c r="F1017" s="2" t="s">
        <v>15273</v>
      </c>
      <c r="G1017" s="3"/>
      <c r="H1017" s="1"/>
      <c r="I1017" s="1"/>
      <c r="J1017" s="4" t="s">
        <v>16116</v>
      </c>
      <c r="K1017" s="1" t="s">
        <v>276</v>
      </c>
      <c r="L1017" s="1" t="s">
        <v>14</v>
      </c>
      <c r="M1017" s="825">
        <v>1</v>
      </c>
      <c r="N1017" s="17">
        <v>1</v>
      </c>
      <c r="O1017" s="3" t="s">
        <v>31</v>
      </c>
      <c r="P1017" s="20">
        <v>26595</v>
      </c>
      <c r="Q1017" s="3" t="s">
        <v>1295</v>
      </c>
      <c r="R1017" s="3"/>
      <c r="S1017" s="3"/>
      <c r="T1017" s="3" t="s">
        <v>155</v>
      </c>
      <c r="U1017" s="2"/>
      <c r="V1017" s="2"/>
      <c r="W1017" s="2"/>
      <c r="X1017" s="2"/>
      <c r="Y1017" s="2" t="s">
        <v>155</v>
      </c>
      <c r="Z1017" s="2"/>
      <c r="AA1017" s="2"/>
      <c r="AB1017" s="2"/>
      <c r="AC1017" s="2"/>
      <c r="AD1017" s="2"/>
    </row>
    <row r="1018" spans="1:30" ht="12" customHeight="1">
      <c r="A1018" s="828" t="s">
        <v>17712</v>
      </c>
      <c r="B1018" s="3" t="s">
        <v>4987</v>
      </c>
      <c r="C1018" s="1" t="s">
        <v>3741</v>
      </c>
      <c r="D1018" s="5">
        <f t="shared" si="15"/>
        <v>52</v>
      </c>
      <c r="E1018" s="2" t="s">
        <v>5</v>
      </c>
      <c r="F1018" s="2"/>
      <c r="G1018" s="3"/>
      <c r="H1018" s="1"/>
      <c r="I1018" s="1"/>
      <c r="J1018" s="4" t="s">
        <v>16117</v>
      </c>
      <c r="K1018" s="1"/>
      <c r="L1018" s="1" t="s">
        <v>6</v>
      </c>
      <c r="M1018" s="825"/>
      <c r="N1018" s="17"/>
      <c r="O1018" s="3" t="s">
        <v>3739</v>
      </c>
      <c r="P1018" s="20">
        <v>22214</v>
      </c>
      <c r="Q1018" s="3" t="s">
        <v>3742</v>
      </c>
      <c r="R1018" s="3"/>
      <c r="S1018" s="3"/>
      <c r="T1018" s="3"/>
      <c r="U1018" s="2"/>
      <c r="V1018" s="2"/>
      <c r="W1018" s="2"/>
      <c r="X1018" s="2"/>
      <c r="Y1018" s="2"/>
      <c r="Z1018" s="2"/>
      <c r="AA1018" s="2"/>
      <c r="AB1018" s="2"/>
      <c r="AC1018" s="2"/>
      <c r="AD1018" s="2"/>
    </row>
    <row r="1019" spans="1:30" ht="12" customHeight="1">
      <c r="A1019" s="828" t="s">
        <v>17713</v>
      </c>
      <c r="B1019" s="3" t="s">
        <v>3743</v>
      </c>
      <c r="C1019" s="1" t="s">
        <v>5693</v>
      </c>
      <c r="D1019" s="5">
        <f t="shared" si="15"/>
        <v>52</v>
      </c>
      <c r="E1019" s="2" t="s">
        <v>5</v>
      </c>
      <c r="F1019" s="6" t="s">
        <v>15273</v>
      </c>
      <c r="G1019" s="3"/>
      <c r="H1019" s="1"/>
      <c r="I1019" s="1"/>
      <c r="J1019" s="8" t="s">
        <v>16127</v>
      </c>
      <c r="K1019" s="1" t="s">
        <v>44</v>
      </c>
      <c r="L1019" s="1" t="s">
        <v>6</v>
      </c>
      <c r="M1019" s="825"/>
      <c r="N1019" s="17"/>
      <c r="O1019" s="3" t="s">
        <v>3153</v>
      </c>
      <c r="P1019" s="20">
        <v>22156</v>
      </c>
      <c r="Q1019" s="3" t="s">
        <v>5855</v>
      </c>
      <c r="R1019" s="3"/>
      <c r="S1019" s="3"/>
      <c r="T1019" s="3" t="s">
        <v>155</v>
      </c>
      <c r="U1019" s="2"/>
      <c r="V1019" s="2"/>
      <c r="W1019" s="2"/>
      <c r="X1019" s="2"/>
      <c r="Y1019" s="2" t="s">
        <v>155</v>
      </c>
      <c r="Z1019" s="2"/>
      <c r="AA1019" s="2"/>
      <c r="AB1019" s="2"/>
      <c r="AC1019" s="2"/>
      <c r="AD1019" s="2"/>
    </row>
    <row r="1020" spans="1:30" ht="12" customHeight="1">
      <c r="A1020" s="828" t="s">
        <v>17714</v>
      </c>
      <c r="B1020" s="3" t="s">
        <v>3744</v>
      </c>
      <c r="C1020" s="1" t="s">
        <v>3750</v>
      </c>
      <c r="D1020" s="5">
        <f t="shared" si="15"/>
        <v>60</v>
      </c>
      <c r="E1020" s="2" t="s">
        <v>5</v>
      </c>
      <c r="F1020" s="2" t="s">
        <v>15273</v>
      </c>
      <c r="G1020" s="3" t="s">
        <v>3751</v>
      </c>
      <c r="H1020" s="1"/>
      <c r="I1020" s="1"/>
      <c r="J1020" s="4" t="s">
        <v>16120</v>
      </c>
      <c r="K1020" s="1" t="s">
        <v>934</v>
      </c>
      <c r="L1020" s="1" t="s">
        <v>25</v>
      </c>
      <c r="M1020" s="825">
        <v>4</v>
      </c>
      <c r="N1020" s="17">
        <v>4</v>
      </c>
      <c r="O1020" s="3" t="s">
        <v>188</v>
      </c>
      <c r="P1020" s="20">
        <v>19095</v>
      </c>
      <c r="Q1020" s="3" t="s">
        <v>3752</v>
      </c>
      <c r="R1020" s="3" t="s">
        <v>3753</v>
      </c>
      <c r="S1020" s="3" t="s">
        <v>5457</v>
      </c>
      <c r="T1020" s="3" t="s">
        <v>371</v>
      </c>
      <c r="U1020" s="2"/>
      <c r="V1020" s="2" t="s">
        <v>145</v>
      </c>
      <c r="W1020" s="2" t="s">
        <v>75</v>
      </c>
      <c r="X1020" s="2"/>
      <c r="Y1020" s="2"/>
      <c r="Z1020" s="2"/>
      <c r="AA1020" s="2"/>
      <c r="AB1020" s="2"/>
      <c r="AC1020" s="2"/>
      <c r="AD1020" s="2"/>
    </row>
    <row r="1021" spans="1:30" ht="12" customHeight="1">
      <c r="A1021" s="828" t="s">
        <v>17715</v>
      </c>
      <c r="B1021" s="3" t="s">
        <v>3745</v>
      </c>
      <c r="C1021" s="1" t="s">
        <v>3746</v>
      </c>
      <c r="D1021" s="5">
        <f t="shared" si="15"/>
        <v>49</v>
      </c>
      <c r="E1021" s="2" t="s">
        <v>5</v>
      </c>
      <c r="F1021" s="2" t="s">
        <v>15273</v>
      </c>
      <c r="G1021" s="3" t="s">
        <v>3747</v>
      </c>
      <c r="H1021" s="1"/>
      <c r="I1021" s="1"/>
      <c r="J1021" s="4" t="s">
        <v>16116</v>
      </c>
      <c r="K1021" s="1" t="s">
        <v>4422</v>
      </c>
      <c r="L1021" s="1" t="s">
        <v>25</v>
      </c>
      <c r="M1021" s="825">
        <v>1</v>
      </c>
      <c r="N1021" s="17">
        <v>1</v>
      </c>
      <c r="O1021" s="3" t="s">
        <v>2745</v>
      </c>
      <c r="P1021" s="20">
        <v>23174</v>
      </c>
      <c r="Q1021" s="3" t="s">
        <v>3749</v>
      </c>
      <c r="R1021" s="3"/>
      <c r="S1021" s="3" t="s">
        <v>18564</v>
      </c>
      <c r="T1021" s="3"/>
      <c r="U1021" s="2"/>
      <c r="V1021" s="2"/>
      <c r="W1021" s="2"/>
      <c r="X1021" s="2"/>
      <c r="Y1021" s="2"/>
      <c r="Z1021" s="2"/>
      <c r="AA1021" s="2"/>
      <c r="AB1021" s="2"/>
      <c r="AC1021" s="2"/>
      <c r="AD1021" s="2"/>
    </row>
    <row r="1022" spans="1:30" ht="12" customHeight="1">
      <c r="A1022" s="828" t="s">
        <v>17716</v>
      </c>
      <c r="B1022" s="3" t="s">
        <v>5065</v>
      </c>
      <c r="C1022" s="1" t="s">
        <v>3757</v>
      </c>
      <c r="D1022" s="5">
        <f t="shared" si="15"/>
        <v>37</v>
      </c>
      <c r="E1022" s="2" t="s">
        <v>5</v>
      </c>
      <c r="F1022" s="2"/>
      <c r="G1022" s="3"/>
      <c r="H1022" s="1"/>
      <c r="I1022" s="1"/>
      <c r="J1022" s="4" t="s">
        <v>16117</v>
      </c>
      <c r="K1022" s="1"/>
      <c r="L1022" s="1" t="s">
        <v>6</v>
      </c>
      <c r="M1022" s="825"/>
      <c r="N1022" s="17"/>
      <c r="O1022" s="3" t="s">
        <v>3758</v>
      </c>
      <c r="P1022" s="20">
        <v>27693</v>
      </c>
      <c r="Q1022" s="3" t="s">
        <v>3762</v>
      </c>
      <c r="R1022" s="3"/>
      <c r="S1022" s="3"/>
      <c r="T1022" s="3"/>
      <c r="U1022" s="2"/>
      <c r="V1022" s="2"/>
      <c r="W1022" s="2"/>
      <c r="X1022" s="2"/>
      <c r="Y1022" s="2"/>
      <c r="Z1022" s="2"/>
      <c r="AA1022" s="2"/>
      <c r="AB1022" s="2"/>
      <c r="AC1022" s="2"/>
      <c r="AD1022" s="2"/>
    </row>
    <row r="1023" spans="1:30" ht="12" customHeight="1">
      <c r="A1023" s="828" t="s">
        <v>17717</v>
      </c>
      <c r="B1023" s="3" t="s">
        <v>3759</v>
      </c>
      <c r="C1023" s="1" t="s">
        <v>3763</v>
      </c>
      <c r="D1023" s="5">
        <f t="shared" si="15"/>
        <v>73</v>
      </c>
      <c r="E1023" s="2" t="s">
        <v>5</v>
      </c>
      <c r="F1023" s="2"/>
      <c r="G1023" s="3" t="s">
        <v>3764</v>
      </c>
      <c r="H1023" s="1"/>
      <c r="I1023" s="1"/>
      <c r="J1023" s="4" t="s">
        <v>16120</v>
      </c>
      <c r="K1023" s="1" t="s">
        <v>65</v>
      </c>
      <c r="L1023" s="1" t="s">
        <v>25</v>
      </c>
      <c r="M1023" s="825">
        <v>9</v>
      </c>
      <c r="N1023" s="17">
        <v>9</v>
      </c>
      <c r="O1023" s="3" t="s">
        <v>381</v>
      </c>
      <c r="P1023" s="20">
        <v>14293</v>
      </c>
      <c r="Q1023" s="3" t="s">
        <v>3765</v>
      </c>
      <c r="R1023" s="3" t="s">
        <v>3766</v>
      </c>
      <c r="S1023" s="3" t="s">
        <v>5457</v>
      </c>
      <c r="T1023" s="3" t="s">
        <v>145</v>
      </c>
      <c r="U1023" s="2"/>
      <c r="V1023" s="2" t="s">
        <v>145</v>
      </c>
      <c r="W1023" s="2"/>
      <c r="X1023" s="2"/>
      <c r="Y1023" s="2"/>
      <c r="Z1023" s="2"/>
      <c r="AA1023" s="2"/>
      <c r="AB1023" s="2"/>
      <c r="AC1023" s="2"/>
      <c r="AD1023" s="2"/>
    </row>
    <row r="1024" spans="1:30" ht="12" customHeight="1">
      <c r="A1024" s="828" t="s">
        <v>17718</v>
      </c>
      <c r="B1024" s="3" t="s">
        <v>3760</v>
      </c>
      <c r="C1024" s="1" t="s">
        <v>5303</v>
      </c>
      <c r="D1024" s="5">
        <f t="shared" si="15"/>
        <v>45</v>
      </c>
      <c r="E1024" s="2" t="s">
        <v>5</v>
      </c>
      <c r="F1024" s="2" t="s">
        <v>15273</v>
      </c>
      <c r="G1024" s="3"/>
      <c r="H1024" s="1"/>
      <c r="I1024" s="1"/>
      <c r="J1024" s="4" t="s">
        <v>16116</v>
      </c>
      <c r="K1024" s="1" t="s">
        <v>4422</v>
      </c>
      <c r="L1024" s="1" t="s">
        <v>6</v>
      </c>
      <c r="M1024" s="825"/>
      <c r="N1024" s="17"/>
      <c r="O1024" s="3" t="s">
        <v>3047</v>
      </c>
      <c r="P1024" s="21">
        <v>24709</v>
      </c>
      <c r="Q1024" s="3" t="s">
        <v>5304</v>
      </c>
      <c r="R1024" s="3"/>
      <c r="S1024" s="3" t="s">
        <v>469</v>
      </c>
      <c r="T1024" s="3" t="s">
        <v>145</v>
      </c>
      <c r="U1024" s="2"/>
      <c r="V1024" s="2" t="s">
        <v>145</v>
      </c>
      <c r="W1024" s="2"/>
      <c r="X1024" s="2"/>
      <c r="Y1024" s="2"/>
      <c r="Z1024" s="2"/>
      <c r="AA1024" s="2"/>
      <c r="AB1024" s="2"/>
      <c r="AC1024" s="2"/>
      <c r="AD1024" s="2"/>
    </row>
    <row r="1025" spans="1:30" ht="12" customHeight="1">
      <c r="A1025" s="828" t="s">
        <v>17719</v>
      </c>
      <c r="B1025" s="3" t="s">
        <v>3761</v>
      </c>
      <c r="C1025" s="1" t="s">
        <v>3767</v>
      </c>
      <c r="D1025" s="5">
        <f t="shared" ref="D1025:D1088" si="16">DATEDIF(P1025,$P$1505,"Y")</f>
        <v>61</v>
      </c>
      <c r="E1025" s="2" t="s">
        <v>5</v>
      </c>
      <c r="F1025" s="2" t="s">
        <v>15273</v>
      </c>
      <c r="G1025" s="3"/>
      <c r="H1025" s="1"/>
      <c r="I1025" s="1"/>
      <c r="J1025" s="4" t="s">
        <v>16117</v>
      </c>
      <c r="K1025" s="1"/>
      <c r="L1025" s="1" t="s">
        <v>6</v>
      </c>
      <c r="M1025" s="825"/>
      <c r="N1025" s="17"/>
      <c r="O1025" s="3" t="s">
        <v>3079</v>
      </c>
      <c r="P1025" s="20">
        <v>18922</v>
      </c>
      <c r="Q1025" s="3" t="s">
        <v>3770</v>
      </c>
      <c r="R1025" s="3"/>
      <c r="S1025" s="3"/>
      <c r="T1025" s="3" t="s">
        <v>155</v>
      </c>
      <c r="U1025" s="2"/>
      <c r="V1025" s="2"/>
      <c r="W1025" s="2"/>
      <c r="X1025" s="2"/>
      <c r="Y1025" s="2" t="s">
        <v>155</v>
      </c>
      <c r="Z1025" s="2"/>
      <c r="AA1025" s="2"/>
      <c r="AB1025" s="2"/>
      <c r="AC1025" s="2"/>
      <c r="AD1025" s="2"/>
    </row>
    <row r="1026" spans="1:30" ht="12" customHeight="1">
      <c r="A1026" s="828" t="s">
        <v>17720</v>
      </c>
      <c r="B1026" s="3" t="s">
        <v>3814</v>
      </c>
      <c r="C1026" s="1" t="s">
        <v>3816</v>
      </c>
      <c r="D1026" s="5">
        <f t="shared" si="16"/>
        <v>55</v>
      </c>
      <c r="E1026" s="2" t="s">
        <v>5</v>
      </c>
      <c r="F1026" s="2"/>
      <c r="G1026" s="3" t="s">
        <v>3813</v>
      </c>
      <c r="H1026" s="1"/>
      <c r="I1026" s="1"/>
      <c r="J1026" s="8" t="s">
        <v>16120</v>
      </c>
      <c r="K1026" s="1" t="s">
        <v>30</v>
      </c>
      <c r="L1026" s="1" t="s">
        <v>25</v>
      </c>
      <c r="M1026" s="825">
        <v>8</v>
      </c>
      <c r="N1026" s="17">
        <v>8</v>
      </c>
      <c r="O1026" s="3" t="s">
        <v>31</v>
      </c>
      <c r="P1026" s="20">
        <v>20855</v>
      </c>
      <c r="Q1026" s="3" t="s">
        <v>3817</v>
      </c>
      <c r="R1026" s="3" t="s">
        <v>3819</v>
      </c>
      <c r="S1026" s="3" t="s">
        <v>5457</v>
      </c>
      <c r="T1026" s="3" t="s">
        <v>104</v>
      </c>
      <c r="U1026" s="2"/>
      <c r="V1026" s="2"/>
      <c r="W1026" s="2"/>
      <c r="X1026" s="2"/>
      <c r="Y1026" s="2"/>
      <c r="Z1026" s="2"/>
      <c r="AA1026" s="2" t="s">
        <v>104</v>
      </c>
      <c r="AB1026" s="2"/>
      <c r="AC1026" s="2"/>
      <c r="AD1026" s="2"/>
    </row>
    <row r="1027" spans="1:30" ht="12" customHeight="1">
      <c r="A1027" s="828" t="s">
        <v>17721</v>
      </c>
      <c r="B1027" s="3" t="s">
        <v>3815</v>
      </c>
      <c r="C1027" s="1" t="s">
        <v>3820</v>
      </c>
      <c r="D1027" s="5">
        <f t="shared" si="16"/>
        <v>48</v>
      </c>
      <c r="E1027" s="2" t="s">
        <v>5</v>
      </c>
      <c r="F1027" s="2"/>
      <c r="G1027" s="3"/>
      <c r="H1027" s="1"/>
      <c r="I1027" s="1"/>
      <c r="J1027" s="4" t="s">
        <v>16117</v>
      </c>
      <c r="K1027" s="1"/>
      <c r="L1027" s="1" t="s">
        <v>6</v>
      </c>
      <c r="M1027" s="825"/>
      <c r="N1027" s="17"/>
      <c r="O1027" s="3" t="s">
        <v>95</v>
      </c>
      <c r="P1027" s="20">
        <v>23413</v>
      </c>
      <c r="Q1027" s="3" t="s">
        <v>3821</v>
      </c>
      <c r="R1027" s="3"/>
      <c r="S1027" s="3"/>
      <c r="T1027" s="3"/>
      <c r="U1027" s="2"/>
      <c r="V1027" s="2"/>
      <c r="W1027" s="2"/>
      <c r="X1027" s="2"/>
      <c r="Y1027" s="2"/>
      <c r="Z1027" s="2"/>
      <c r="AA1027" s="2"/>
      <c r="AB1027" s="2"/>
      <c r="AC1027" s="2"/>
      <c r="AD1027" s="2"/>
    </row>
    <row r="1028" spans="1:30" ht="12" customHeight="1">
      <c r="A1028" s="828" t="s">
        <v>17722</v>
      </c>
      <c r="B1028" s="3" t="s">
        <v>16051</v>
      </c>
      <c r="C1028" s="1" t="s">
        <v>16052</v>
      </c>
      <c r="D1028" s="5">
        <f t="shared" si="16"/>
        <v>63</v>
      </c>
      <c r="E1028" s="2" t="s">
        <v>5</v>
      </c>
      <c r="F1028" s="2"/>
      <c r="G1028" s="3"/>
      <c r="H1028" s="1"/>
      <c r="I1028" s="1"/>
      <c r="J1028" s="4" t="s">
        <v>16129</v>
      </c>
      <c r="K1028" s="1"/>
      <c r="L1028" s="1" t="s">
        <v>6</v>
      </c>
      <c r="M1028" s="825"/>
      <c r="N1028" s="17"/>
      <c r="O1028" s="3" t="s">
        <v>2212</v>
      </c>
      <c r="P1028" s="20">
        <v>17931</v>
      </c>
      <c r="Q1028" s="3" t="s">
        <v>16053</v>
      </c>
      <c r="R1028" s="3"/>
      <c r="S1028" s="3"/>
      <c r="T1028" s="3"/>
      <c r="U1028" s="2"/>
      <c r="V1028" s="2"/>
      <c r="W1028" s="2"/>
      <c r="X1028" s="2"/>
      <c r="Y1028" s="2"/>
      <c r="Z1028" s="2"/>
      <c r="AA1028" s="2"/>
      <c r="AB1028" s="2"/>
      <c r="AC1028" s="2"/>
      <c r="AD1028" s="2"/>
    </row>
    <row r="1029" spans="1:30" ht="12" customHeight="1">
      <c r="A1029" s="828" t="s">
        <v>17723</v>
      </c>
      <c r="B1029" s="3" t="s">
        <v>3822</v>
      </c>
      <c r="C1029" s="1" t="s">
        <v>3825</v>
      </c>
      <c r="D1029" s="5">
        <f t="shared" si="16"/>
        <v>50</v>
      </c>
      <c r="E1029" s="2" t="s">
        <v>5</v>
      </c>
      <c r="F1029" s="6" t="s">
        <v>15273</v>
      </c>
      <c r="G1029" s="3" t="s">
        <v>3826</v>
      </c>
      <c r="H1029" s="1"/>
      <c r="I1029" s="1"/>
      <c r="J1029" s="8" t="s">
        <v>16126</v>
      </c>
      <c r="K1029" s="1" t="s">
        <v>44</v>
      </c>
      <c r="L1029" s="1" t="s">
        <v>25</v>
      </c>
      <c r="M1029" s="825">
        <v>1</v>
      </c>
      <c r="N1029" s="17">
        <v>1</v>
      </c>
      <c r="O1029" s="3" t="s">
        <v>188</v>
      </c>
      <c r="P1029" s="20">
        <v>22970</v>
      </c>
      <c r="Q1029" s="3" t="s">
        <v>3827</v>
      </c>
      <c r="R1029" s="3"/>
      <c r="S1029" s="3"/>
      <c r="T1029" s="3" t="s">
        <v>145</v>
      </c>
      <c r="U1029" s="2"/>
      <c r="V1029" s="2" t="s">
        <v>145</v>
      </c>
      <c r="W1029" s="2"/>
      <c r="X1029" s="2"/>
      <c r="Y1029" s="2"/>
      <c r="Z1029" s="2"/>
      <c r="AA1029" s="2"/>
      <c r="AB1029" s="2"/>
      <c r="AC1029" s="2"/>
      <c r="AD1029" s="2"/>
    </row>
    <row r="1030" spans="1:30" ht="12" customHeight="1">
      <c r="A1030" s="828" t="s">
        <v>17724</v>
      </c>
      <c r="B1030" s="3" t="s">
        <v>3823</v>
      </c>
      <c r="C1030" s="1" t="s">
        <v>3828</v>
      </c>
      <c r="D1030" s="5">
        <f t="shared" si="16"/>
        <v>51</v>
      </c>
      <c r="E1030" s="2" t="s">
        <v>5</v>
      </c>
      <c r="F1030" s="2" t="s">
        <v>15273</v>
      </c>
      <c r="G1030" s="3" t="s">
        <v>3829</v>
      </c>
      <c r="H1030" s="1"/>
      <c r="I1030" s="1"/>
      <c r="J1030" s="4" t="s">
        <v>16120</v>
      </c>
      <c r="K1030" s="1" t="s">
        <v>30</v>
      </c>
      <c r="L1030" s="1" t="s">
        <v>25</v>
      </c>
      <c r="M1030" s="825">
        <v>2</v>
      </c>
      <c r="N1030" s="17">
        <v>2</v>
      </c>
      <c r="O1030" s="3" t="s">
        <v>317</v>
      </c>
      <c r="P1030" s="20">
        <v>22268</v>
      </c>
      <c r="Q1030" s="3" t="s">
        <v>3830</v>
      </c>
      <c r="R1030" s="3"/>
      <c r="S1030" s="3" t="s">
        <v>5457</v>
      </c>
      <c r="T1030" s="3" t="s">
        <v>355</v>
      </c>
      <c r="U1030" s="2" t="s">
        <v>47</v>
      </c>
      <c r="V1030" s="2"/>
      <c r="W1030" s="2"/>
      <c r="X1030" s="2"/>
      <c r="Y1030" s="2"/>
      <c r="Z1030" s="2"/>
      <c r="AA1030" s="2" t="s">
        <v>104</v>
      </c>
      <c r="AB1030" s="2"/>
      <c r="AC1030" s="2"/>
      <c r="AD1030" s="2"/>
    </row>
    <row r="1031" spans="1:30" ht="12" customHeight="1">
      <c r="A1031" s="828" t="s">
        <v>17725</v>
      </c>
      <c r="B1031" s="3" t="s">
        <v>3824</v>
      </c>
      <c r="C1031" s="1" t="s">
        <v>3832</v>
      </c>
      <c r="D1031" s="5">
        <f t="shared" si="16"/>
        <v>37</v>
      </c>
      <c r="E1031" s="2" t="s">
        <v>5</v>
      </c>
      <c r="F1031" s="2"/>
      <c r="G1031" s="3"/>
      <c r="H1031" s="1"/>
      <c r="I1031" s="1"/>
      <c r="J1031" s="4" t="s">
        <v>16117</v>
      </c>
      <c r="K1031" s="1"/>
      <c r="L1031" s="1" t="s">
        <v>6</v>
      </c>
      <c r="M1031" s="825"/>
      <c r="N1031" s="17"/>
      <c r="O1031" s="3" t="s">
        <v>1200</v>
      </c>
      <c r="P1031" s="20">
        <v>27736</v>
      </c>
      <c r="Q1031" s="3" t="s">
        <v>3833</v>
      </c>
      <c r="R1031" s="3"/>
      <c r="S1031" s="3"/>
      <c r="T1031" s="3"/>
      <c r="U1031" s="2"/>
      <c r="V1031" s="2"/>
      <c r="W1031" s="2"/>
      <c r="X1031" s="2"/>
      <c r="Y1031" s="2"/>
      <c r="Z1031" s="2"/>
      <c r="AA1031" s="2"/>
      <c r="AB1031" s="2"/>
      <c r="AC1031" s="2"/>
      <c r="AD1031" s="2"/>
    </row>
    <row r="1032" spans="1:30" ht="12" customHeight="1">
      <c r="A1032" s="828" t="s">
        <v>17726</v>
      </c>
      <c r="B1032" s="3" t="s">
        <v>3834</v>
      </c>
      <c r="C1032" s="1" t="s">
        <v>3837</v>
      </c>
      <c r="D1032" s="5">
        <f t="shared" si="16"/>
        <v>52</v>
      </c>
      <c r="E1032" s="2" t="s">
        <v>5</v>
      </c>
      <c r="F1032" s="6" t="s">
        <v>15273</v>
      </c>
      <c r="G1032" s="3" t="s">
        <v>3838</v>
      </c>
      <c r="H1032" s="1"/>
      <c r="I1032" s="1"/>
      <c r="J1032" s="8" t="s">
        <v>16127</v>
      </c>
      <c r="K1032" s="1" t="s">
        <v>45</v>
      </c>
      <c r="L1032" s="1" t="s">
        <v>25</v>
      </c>
      <c r="M1032" s="825">
        <v>1</v>
      </c>
      <c r="N1032" s="17">
        <v>1</v>
      </c>
      <c r="O1032" s="3" t="s">
        <v>3839</v>
      </c>
      <c r="P1032" s="20">
        <v>22177</v>
      </c>
      <c r="Q1032" s="3" t="s">
        <v>3840</v>
      </c>
      <c r="R1032" s="3"/>
      <c r="S1032" s="3"/>
      <c r="T1032" s="3" t="s">
        <v>148</v>
      </c>
      <c r="U1032" s="2"/>
      <c r="V1032" s="2" t="s">
        <v>145</v>
      </c>
      <c r="W1032" s="2"/>
      <c r="X1032" s="2"/>
      <c r="Y1032" s="2"/>
      <c r="Z1032" s="2"/>
      <c r="AA1032" s="2"/>
      <c r="AB1032" s="2"/>
      <c r="AC1032" s="2"/>
      <c r="AD1032" s="2" t="s">
        <v>69</v>
      </c>
    </row>
    <row r="1033" spans="1:30" ht="12" customHeight="1">
      <c r="A1033" s="828" t="s">
        <v>17727</v>
      </c>
      <c r="B1033" s="3" t="s">
        <v>3835</v>
      </c>
      <c r="C1033" s="1" t="s">
        <v>3844</v>
      </c>
      <c r="D1033" s="5">
        <f t="shared" si="16"/>
        <v>68</v>
      </c>
      <c r="E1033" s="2" t="s">
        <v>5</v>
      </c>
      <c r="F1033" s="2" t="s">
        <v>15273</v>
      </c>
      <c r="G1033" s="3" t="s">
        <v>3845</v>
      </c>
      <c r="H1033" s="1"/>
      <c r="I1033" s="1"/>
      <c r="J1033" s="4" t="s">
        <v>16120</v>
      </c>
      <c r="K1033" s="1" t="s">
        <v>48</v>
      </c>
      <c r="L1033" s="1" t="s">
        <v>25</v>
      </c>
      <c r="M1033" s="825">
        <v>7</v>
      </c>
      <c r="N1033" s="17">
        <v>7</v>
      </c>
      <c r="O1033" s="3" t="s">
        <v>317</v>
      </c>
      <c r="P1033" s="20">
        <v>16167</v>
      </c>
      <c r="Q1033" s="3" t="s">
        <v>3847</v>
      </c>
      <c r="R1033" s="3" t="s">
        <v>3851</v>
      </c>
      <c r="S1033" s="3" t="s">
        <v>5457</v>
      </c>
      <c r="T1033" s="3" t="s">
        <v>355</v>
      </c>
      <c r="U1033" s="2" t="s">
        <v>47</v>
      </c>
      <c r="V1033" s="2"/>
      <c r="W1033" s="2"/>
      <c r="X1033" s="2"/>
      <c r="Y1033" s="2"/>
      <c r="Z1033" s="2"/>
      <c r="AA1033" s="2" t="s">
        <v>104</v>
      </c>
      <c r="AB1033" s="2"/>
      <c r="AC1033" s="2"/>
      <c r="AD1033" s="2"/>
    </row>
    <row r="1034" spans="1:30" ht="12" customHeight="1">
      <c r="A1034" s="828" t="s">
        <v>17728</v>
      </c>
      <c r="B1034" s="3" t="s">
        <v>3836</v>
      </c>
      <c r="C1034" s="1" t="s">
        <v>3852</v>
      </c>
      <c r="D1034" s="5">
        <f t="shared" si="16"/>
        <v>61</v>
      </c>
      <c r="E1034" s="2" t="s">
        <v>19</v>
      </c>
      <c r="F1034" s="2"/>
      <c r="G1034" s="3"/>
      <c r="H1034" s="1"/>
      <c r="I1034" s="1"/>
      <c r="J1034" s="4" t="s">
        <v>16117</v>
      </c>
      <c r="K1034" s="1"/>
      <c r="L1034" s="1" t="s">
        <v>6</v>
      </c>
      <c r="M1034" s="825"/>
      <c r="N1034" s="17"/>
      <c r="O1034" s="3" t="s">
        <v>3853</v>
      </c>
      <c r="P1034" s="21">
        <v>18653</v>
      </c>
      <c r="Q1034" s="3" t="s">
        <v>3854</v>
      </c>
      <c r="R1034" s="3"/>
      <c r="S1034" s="3"/>
      <c r="T1034" s="3" t="s">
        <v>145</v>
      </c>
      <c r="U1034" s="2"/>
      <c r="V1034" s="2" t="s">
        <v>145</v>
      </c>
      <c r="W1034" s="2"/>
      <c r="X1034" s="2"/>
      <c r="Y1034" s="2"/>
      <c r="Z1034" s="2"/>
      <c r="AA1034" s="2"/>
      <c r="AB1034" s="2"/>
      <c r="AC1034" s="2"/>
      <c r="AD1034" s="2"/>
    </row>
    <row r="1035" spans="1:30" ht="12" customHeight="1">
      <c r="A1035" s="828" t="s">
        <v>17729</v>
      </c>
      <c r="B1035" s="3" t="s">
        <v>3855</v>
      </c>
      <c r="C1035" s="1" t="s">
        <v>5088</v>
      </c>
      <c r="D1035" s="5">
        <f t="shared" si="16"/>
        <v>32</v>
      </c>
      <c r="E1035" s="2" t="s">
        <v>5</v>
      </c>
      <c r="F1035" s="6" t="s">
        <v>15273</v>
      </c>
      <c r="G1035" s="3"/>
      <c r="H1035" s="1"/>
      <c r="I1035" s="1"/>
      <c r="J1035" s="8" t="s">
        <v>16127</v>
      </c>
      <c r="K1035" s="1" t="s">
        <v>44</v>
      </c>
      <c r="L1035" s="1" t="s">
        <v>6</v>
      </c>
      <c r="M1035" s="825"/>
      <c r="N1035" s="17"/>
      <c r="O1035" s="3" t="s">
        <v>5209</v>
      </c>
      <c r="P1035" s="20">
        <v>29388</v>
      </c>
      <c r="Q1035" s="3" t="s">
        <v>5089</v>
      </c>
      <c r="R1035" s="3"/>
      <c r="S1035" s="3"/>
      <c r="T1035" s="3"/>
      <c r="U1035" s="2"/>
      <c r="V1035" s="2"/>
      <c r="W1035" s="2"/>
      <c r="X1035" s="2"/>
      <c r="Y1035" s="2"/>
      <c r="Z1035" s="2"/>
      <c r="AA1035" s="2"/>
      <c r="AB1035" s="2"/>
      <c r="AC1035" s="2"/>
      <c r="AD1035" s="2"/>
    </row>
    <row r="1036" spans="1:30" ht="12" customHeight="1">
      <c r="A1036" s="828" t="s">
        <v>17730</v>
      </c>
      <c r="B1036" s="3" t="s">
        <v>3856</v>
      </c>
      <c r="C1036" s="1" t="s">
        <v>3858</v>
      </c>
      <c r="D1036" s="5">
        <f t="shared" si="16"/>
        <v>66</v>
      </c>
      <c r="E1036" s="2" t="s">
        <v>5</v>
      </c>
      <c r="F1036" s="2" t="s">
        <v>15273</v>
      </c>
      <c r="G1036" s="3" t="s">
        <v>3859</v>
      </c>
      <c r="H1036" s="1"/>
      <c r="I1036" s="1"/>
      <c r="J1036" s="8" t="s">
        <v>16120</v>
      </c>
      <c r="K1036" s="1" t="s">
        <v>13</v>
      </c>
      <c r="L1036" s="1" t="s">
        <v>25</v>
      </c>
      <c r="M1036" s="825">
        <v>4</v>
      </c>
      <c r="N1036" s="17">
        <v>4</v>
      </c>
      <c r="O1036" s="3" t="s">
        <v>31</v>
      </c>
      <c r="P1036" s="20">
        <v>17109</v>
      </c>
      <c r="Q1036" s="3" t="s">
        <v>3860</v>
      </c>
      <c r="R1036" s="3" t="s">
        <v>3861</v>
      </c>
      <c r="S1036" s="3" t="s">
        <v>5457</v>
      </c>
      <c r="T1036" s="3" t="s">
        <v>258</v>
      </c>
      <c r="U1036" s="2"/>
      <c r="V1036" s="2"/>
      <c r="W1036" s="2"/>
      <c r="X1036" s="2"/>
      <c r="Y1036" s="2" t="s">
        <v>155</v>
      </c>
      <c r="Z1036" s="2"/>
      <c r="AA1036" s="2" t="s">
        <v>104</v>
      </c>
      <c r="AB1036" s="2"/>
      <c r="AC1036" s="2"/>
      <c r="AD1036" s="2"/>
    </row>
    <row r="1037" spans="1:30" ht="12" customHeight="1">
      <c r="A1037" s="828" t="s">
        <v>17731</v>
      </c>
      <c r="B1037" s="3" t="s">
        <v>3857</v>
      </c>
      <c r="C1037" s="1" t="s">
        <v>3864</v>
      </c>
      <c r="D1037" s="5">
        <f t="shared" si="16"/>
        <v>41</v>
      </c>
      <c r="E1037" s="2" t="s">
        <v>5</v>
      </c>
      <c r="F1037" s="2"/>
      <c r="G1037" s="3"/>
      <c r="H1037" s="1"/>
      <c r="I1037" s="1"/>
      <c r="J1037" s="4" t="s">
        <v>16117</v>
      </c>
      <c r="K1037" s="1"/>
      <c r="L1037" s="1" t="s">
        <v>6</v>
      </c>
      <c r="M1037" s="825"/>
      <c r="N1037" s="17"/>
      <c r="O1037" s="3" t="s">
        <v>3865</v>
      </c>
      <c r="P1037" s="20">
        <v>25945</v>
      </c>
      <c r="Q1037" s="3" t="s">
        <v>3866</v>
      </c>
      <c r="R1037" s="3"/>
      <c r="S1037" s="3"/>
      <c r="T1037" s="3"/>
      <c r="U1037" s="2"/>
      <c r="V1037" s="2"/>
      <c r="W1037" s="2"/>
      <c r="X1037" s="2"/>
      <c r="Y1037" s="2"/>
      <c r="Z1037" s="2"/>
      <c r="AA1037" s="2"/>
      <c r="AB1037" s="2"/>
      <c r="AC1037" s="2"/>
      <c r="AD1037" s="2"/>
    </row>
    <row r="1038" spans="1:30" ht="12" customHeight="1">
      <c r="A1038" s="828" t="s">
        <v>17732</v>
      </c>
      <c r="B1038" s="3" t="s">
        <v>3867</v>
      </c>
      <c r="C1038" s="1" t="s">
        <v>3871</v>
      </c>
      <c r="D1038" s="5">
        <f t="shared" si="16"/>
        <v>43</v>
      </c>
      <c r="E1038" s="2" t="s">
        <v>5</v>
      </c>
      <c r="F1038" s="6" t="s">
        <v>15273</v>
      </c>
      <c r="G1038" s="3" t="s">
        <v>3872</v>
      </c>
      <c r="H1038" s="1"/>
      <c r="I1038" s="1"/>
      <c r="J1038" s="8" t="s">
        <v>16126</v>
      </c>
      <c r="K1038" s="1" t="s">
        <v>44</v>
      </c>
      <c r="L1038" s="1" t="s">
        <v>25</v>
      </c>
      <c r="M1038" s="825">
        <v>1</v>
      </c>
      <c r="N1038" s="17">
        <v>1</v>
      </c>
      <c r="O1038" s="3" t="s">
        <v>317</v>
      </c>
      <c r="P1038" s="20">
        <v>25472</v>
      </c>
      <c r="Q1038" s="3" t="s">
        <v>3873</v>
      </c>
      <c r="R1038" s="3"/>
      <c r="S1038" s="3" t="s">
        <v>736</v>
      </c>
      <c r="T1038" s="3" t="s">
        <v>47</v>
      </c>
      <c r="U1038" s="2" t="s">
        <v>47</v>
      </c>
      <c r="V1038" s="2"/>
      <c r="W1038" s="2"/>
      <c r="X1038" s="2"/>
      <c r="Y1038" s="2"/>
      <c r="Z1038" s="2"/>
      <c r="AA1038" s="2"/>
      <c r="AB1038" s="2"/>
      <c r="AC1038" s="2"/>
      <c r="AD1038" s="2"/>
    </row>
    <row r="1039" spans="1:30" ht="12" customHeight="1">
      <c r="A1039" s="828" t="s">
        <v>17733</v>
      </c>
      <c r="B1039" s="3" t="s">
        <v>3868</v>
      </c>
      <c r="C1039" s="1" t="s">
        <v>3874</v>
      </c>
      <c r="D1039" s="5">
        <f t="shared" si="16"/>
        <v>58</v>
      </c>
      <c r="E1039" s="2" t="s">
        <v>5</v>
      </c>
      <c r="F1039" s="2" t="s">
        <v>15273</v>
      </c>
      <c r="G1039" s="3" t="s">
        <v>3875</v>
      </c>
      <c r="H1039" s="1"/>
      <c r="I1039" s="1"/>
      <c r="J1039" s="4" t="s">
        <v>16120</v>
      </c>
      <c r="K1039" s="1" t="s">
        <v>30</v>
      </c>
      <c r="L1039" s="1" t="s">
        <v>25</v>
      </c>
      <c r="M1039" s="825">
        <v>8</v>
      </c>
      <c r="N1039" s="17">
        <v>8</v>
      </c>
      <c r="O1039" s="3" t="s">
        <v>31</v>
      </c>
      <c r="P1039" s="20">
        <v>19885</v>
      </c>
      <c r="Q1039" s="3" t="s">
        <v>16658</v>
      </c>
      <c r="R1039" s="3" t="s">
        <v>3878</v>
      </c>
      <c r="S1039" s="3" t="s">
        <v>5457</v>
      </c>
      <c r="T1039" s="3" t="s">
        <v>3876</v>
      </c>
      <c r="U1039" s="2"/>
      <c r="V1039" s="2"/>
      <c r="W1039" s="2"/>
      <c r="X1039" s="2"/>
      <c r="Y1039" s="2"/>
      <c r="Z1039" s="2"/>
      <c r="AA1039" s="2" t="s">
        <v>104</v>
      </c>
      <c r="AB1039" s="2"/>
      <c r="AC1039" s="2" t="s">
        <v>146</v>
      </c>
      <c r="AD1039" s="2"/>
    </row>
    <row r="1040" spans="1:30" ht="12" customHeight="1">
      <c r="A1040" s="828" t="s">
        <v>17734</v>
      </c>
      <c r="B1040" s="3" t="s">
        <v>5687</v>
      </c>
      <c r="C1040" s="1" t="s">
        <v>3882</v>
      </c>
      <c r="D1040" s="5">
        <f t="shared" si="16"/>
        <v>37</v>
      </c>
      <c r="E1040" s="2" t="s">
        <v>5</v>
      </c>
      <c r="F1040" s="2" t="s">
        <v>15273</v>
      </c>
      <c r="G1040" s="3"/>
      <c r="H1040" s="1"/>
      <c r="I1040" s="1"/>
      <c r="J1040" s="4" t="s">
        <v>16128</v>
      </c>
      <c r="K1040" s="1"/>
      <c r="L1040" s="1" t="s">
        <v>6</v>
      </c>
      <c r="M1040" s="825"/>
      <c r="N1040" s="17"/>
      <c r="O1040" s="3" t="s">
        <v>1405</v>
      </c>
      <c r="P1040" s="20">
        <v>27447</v>
      </c>
      <c r="Q1040" s="3" t="s">
        <v>3883</v>
      </c>
      <c r="R1040" s="3"/>
      <c r="S1040" s="3" t="s">
        <v>6031</v>
      </c>
      <c r="T1040" s="3"/>
      <c r="U1040" s="2"/>
      <c r="V1040" s="2"/>
      <c r="W1040" s="2"/>
      <c r="X1040" s="2"/>
      <c r="Y1040" s="2"/>
      <c r="Z1040" s="2"/>
      <c r="AA1040" s="2"/>
      <c r="AB1040" s="2"/>
      <c r="AC1040" s="2"/>
      <c r="AD1040" s="2"/>
    </row>
    <row r="1041" spans="1:30" ht="12" customHeight="1">
      <c r="A1041" s="828" t="s">
        <v>17735</v>
      </c>
      <c r="B1041" s="3" t="s">
        <v>3869</v>
      </c>
      <c r="C1041" s="1" t="s">
        <v>3879</v>
      </c>
      <c r="D1041" s="5">
        <f t="shared" si="16"/>
        <v>48</v>
      </c>
      <c r="E1041" s="2" t="s">
        <v>5</v>
      </c>
      <c r="F1041" s="2"/>
      <c r="G1041" s="3"/>
      <c r="H1041" s="1"/>
      <c r="I1041" s="1"/>
      <c r="J1041" s="4" t="s">
        <v>16117</v>
      </c>
      <c r="K1041" s="1"/>
      <c r="L1041" s="1" t="s">
        <v>6</v>
      </c>
      <c r="M1041" s="825"/>
      <c r="N1041" s="17"/>
      <c r="O1041" s="3" t="s">
        <v>3880</v>
      </c>
      <c r="P1041" s="20">
        <v>23622</v>
      </c>
      <c r="Q1041" s="3" t="s">
        <v>3881</v>
      </c>
      <c r="R1041" s="3"/>
      <c r="S1041" s="3"/>
      <c r="T1041" s="3"/>
      <c r="U1041" s="2"/>
      <c r="V1041" s="2"/>
      <c r="W1041" s="2"/>
      <c r="X1041" s="2"/>
      <c r="Y1041" s="2"/>
      <c r="Z1041" s="2"/>
      <c r="AA1041" s="2"/>
      <c r="AB1041" s="2"/>
      <c r="AC1041" s="2"/>
      <c r="AD1041" s="2"/>
    </row>
    <row r="1042" spans="1:30" ht="12" customHeight="1">
      <c r="A1042" s="828" t="s">
        <v>17736</v>
      </c>
      <c r="B1042" s="3" t="s">
        <v>3870</v>
      </c>
      <c r="C1042" s="1" t="s">
        <v>3884</v>
      </c>
      <c r="D1042" s="5">
        <f t="shared" si="16"/>
        <v>50</v>
      </c>
      <c r="E1042" s="2" t="s">
        <v>19</v>
      </c>
      <c r="F1042" s="2"/>
      <c r="G1042" s="3"/>
      <c r="H1042" s="1"/>
      <c r="I1042" s="1"/>
      <c r="J1042" s="4" t="s">
        <v>16122</v>
      </c>
      <c r="K1042" s="1" t="s">
        <v>22</v>
      </c>
      <c r="L1042" s="1" t="s">
        <v>6</v>
      </c>
      <c r="M1042" s="825"/>
      <c r="N1042" s="17"/>
      <c r="O1042" s="3" t="s">
        <v>3885</v>
      </c>
      <c r="P1042" s="20">
        <v>22806</v>
      </c>
      <c r="Q1042" s="3" t="s">
        <v>3886</v>
      </c>
      <c r="R1042" s="3"/>
      <c r="S1042" s="3"/>
      <c r="T1042" s="3"/>
      <c r="U1042" s="2"/>
      <c r="V1042" s="2"/>
      <c r="W1042" s="2"/>
      <c r="X1042" s="2"/>
      <c r="Y1042" s="2"/>
      <c r="Z1042" s="2"/>
      <c r="AA1042" s="2"/>
      <c r="AB1042" s="2"/>
      <c r="AC1042" s="2"/>
      <c r="AD1042" s="2"/>
    </row>
    <row r="1043" spans="1:30" ht="12" customHeight="1">
      <c r="A1043" s="828" t="s">
        <v>17737</v>
      </c>
      <c r="B1043" s="3" t="s">
        <v>3887</v>
      </c>
      <c r="C1043" s="1" t="s">
        <v>3890</v>
      </c>
      <c r="D1043" s="5">
        <f t="shared" si="16"/>
        <v>41</v>
      </c>
      <c r="E1043" s="2" t="s">
        <v>5</v>
      </c>
      <c r="F1043" s="6" t="s">
        <v>15273</v>
      </c>
      <c r="G1043" s="3" t="s">
        <v>3891</v>
      </c>
      <c r="H1043" s="1"/>
      <c r="I1043" s="1"/>
      <c r="J1043" s="8" t="s">
        <v>16127</v>
      </c>
      <c r="K1043" s="1" t="s">
        <v>44</v>
      </c>
      <c r="L1043" s="1" t="s">
        <v>25</v>
      </c>
      <c r="M1043" s="825">
        <v>3</v>
      </c>
      <c r="N1043" s="17">
        <v>3</v>
      </c>
      <c r="O1043" s="3" t="s">
        <v>2022</v>
      </c>
      <c r="P1043" s="20">
        <v>26233</v>
      </c>
      <c r="Q1043" s="3" t="s">
        <v>788</v>
      </c>
      <c r="R1043" s="3" t="s">
        <v>247</v>
      </c>
      <c r="S1043" s="3" t="s">
        <v>736</v>
      </c>
      <c r="T1043" s="3"/>
      <c r="U1043" s="2"/>
      <c r="V1043" s="2"/>
      <c r="W1043" s="2"/>
      <c r="X1043" s="2"/>
      <c r="Y1043" s="2"/>
      <c r="Z1043" s="2"/>
      <c r="AA1043" s="2"/>
      <c r="AB1043" s="2"/>
      <c r="AC1043" s="2"/>
      <c r="AD1043" s="2"/>
    </row>
    <row r="1044" spans="1:30" ht="12" customHeight="1">
      <c r="A1044" s="828" t="s">
        <v>17738</v>
      </c>
      <c r="B1044" s="3" t="s">
        <v>3888</v>
      </c>
      <c r="C1044" s="1" t="s">
        <v>3894</v>
      </c>
      <c r="D1044" s="5">
        <f t="shared" si="16"/>
        <v>47</v>
      </c>
      <c r="E1044" s="2" t="s">
        <v>5</v>
      </c>
      <c r="F1044" s="2" t="s">
        <v>15273</v>
      </c>
      <c r="G1044" s="3"/>
      <c r="H1044" s="1"/>
      <c r="I1044" s="1"/>
      <c r="J1044" s="4" t="s">
        <v>16120</v>
      </c>
      <c r="K1044" s="1" t="s">
        <v>30</v>
      </c>
      <c r="L1044" s="1" t="s">
        <v>6</v>
      </c>
      <c r="M1044" s="825"/>
      <c r="N1044" s="17"/>
      <c r="O1044" s="3" t="s">
        <v>3898</v>
      </c>
      <c r="P1044" s="20">
        <v>23993</v>
      </c>
      <c r="Q1044" s="3" t="s">
        <v>3896</v>
      </c>
      <c r="R1044" s="3"/>
      <c r="S1044" s="3" t="s">
        <v>5457</v>
      </c>
      <c r="T1044" s="3" t="s">
        <v>658</v>
      </c>
      <c r="U1044" s="2" t="s">
        <v>47</v>
      </c>
      <c r="V1044" s="2"/>
      <c r="W1044" s="2"/>
      <c r="X1044" s="2"/>
      <c r="Y1044" s="2"/>
      <c r="Z1044" s="2"/>
      <c r="AA1044" s="2"/>
      <c r="AB1044" s="2" t="s">
        <v>147</v>
      </c>
      <c r="AC1044" s="2"/>
      <c r="AD1044" s="2"/>
    </row>
    <row r="1045" spans="1:30" ht="12" customHeight="1">
      <c r="A1045" s="828" t="s">
        <v>17739</v>
      </c>
      <c r="B1045" s="3" t="s">
        <v>3889</v>
      </c>
      <c r="C1045" s="1" t="s">
        <v>3897</v>
      </c>
      <c r="D1045" s="5">
        <f t="shared" si="16"/>
        <v>65</v>
      </c>
      <c r="E1045" s="2" t="s">
        <v>19</v>
      </c>
      <c r="F1045" s="2"/>
      <c r="G1045" s="3"/>
      <c r="H1045" s="1"/>
      <c r="I1045" s="1"/>
      <c r="J1045" s="4" t="s">
        <v>16117</v>
      </c>
      <c r="K1045" s="1"/>
      <c r="L1045" s="1" t="s">
        <v>6</v>
      </c>
      <c r="M1045" s="825"/>
      <c r="N1045" s="17"/>
      <c r="O1045" s="3" t="s">
        <v>3899</v>
      </c>
      <c r="P1045" s="21">
        <v>17385</v>
      </c>
      <c r="Q1045" s="3" t="s">
        <v>3900</v>
      </c>
      <c r="R1045" s="3"/>
      <c r="S1045" s="3"/>
      <c r="T1045" s="3" t="s">
        <v>148</v>
      </c>
      <c r="U1045" s="2"/>
      <c r="V1045" s="2" t="s">
        <v>145</v>
      </c>
      <c r="W1045" s="2"/>
      <c r="X1045" s="2"/>
      <c r="Y1045" s="2"/>
      <c r="Z1045" s="2"/>
      <c r="AA1045" s="2"/>
      <c r="AB1045" s="2"/>
      <c r="AC1045" s="2"/>
      <c r="AD1045" s="2" t="s">
        <v>69</v>
      </c>
    </row>
    <row r="1046" spans="1:30" ht="12" customHeight="1">
      <c r="A1046" s="828" t="s">
        <v>17740</v>
      </c>
      <c r="B1046" s="3" t="s">
        <v>3901</v>
      </c>
      <c r="C1046" s="1" t="s">
        <v>3905</v>
      </c>
      <c r="D1046" s="5">
        <f t="shared" si="16"/>
        <v>37</v>
      </c>
      <c r="E1046" s="2" t="s">
        <v>5</v>
      </c>
      <c r="F1046" s="6" t="s">
        <v>15273</v>
      </c>
      <c r="G1046" s="3"/>
      <c r="H1046" s="1"/>
      <c r="I1046" s="1"/>
      <c r="J1046" s="8" t="s">
        <v>16127</v>
      </c>
      <c r="K1046" s="1" t="s">
        <v>44</v>
      </c>
      <c r="L1046" s="1" t="s">
        <v>6</v>
      </c>
      <c r="M1046" s="825"/>
      <c r="N1046" s="17"/>
      <c r="O1046" s="3" t="s">
        <v>267</v>
      </c>
      <c r="P1046" s="20">
        <v>27737</v>
      </c>
      <c r="Q1046" s="3" t="s">
        <v>727</v>
      </c>
      <c r="R1046" s="3"/>
      <c r="S1046" s="3" t="s">
        <v>736</v>
      </c>
      <c r="T1046" s="3" t="s">
        <v>147</v>
      </c>
      <c r="U1046" s="2"/>
      <c r="V1046" s="2"/>
      <c r="W1046" s="2"/>
      <c r="X1046" s="2"/>
      <c r="Y1046" s="2"/>
      <c r="Z1046" s="2"/>
      <c r="AA1046" s="2"/>
      <c r="AB1046" s="2" t="s">
        <v>147</v>
      </c>
      <c r="AC1046" s="2"/>
      <c r="AD1046" s="2"/>
    </row>
    <row r="1047" spans="1:30" ht="12" customHeight="1">
      <c r="A1047" s="828" t="s">
        <v>17741</v>
      </c>
      <c r="B1047" s="3" t="s">
        <v>3902</v>
      </c>
      <c r="C1047" s="1" t="s">
        <v>3907</v>
      </c>
      <c r="D1047" s="5">
        <f t="shared" si="16"/>
        <v>53</v>
      </c>
      <c r="E1047" s="2" t="s">
        <v>19</v>
      </c>
      <c r="F1047" s="2" t="s">
        <v>15273</v>
      </c>
      <c r="G1047" s="3" t="s">
        <v>3908</v>
      </c>
      <c r="H1047" s="1"/>
      <c r="I1047" s="1"/>
      <c r="J1047" s="8" t="s">
        <v>16120</v>
      </c>
      <c r="K1047" s="1" t="s">
        <v>30</v>
      </c>
      <c r="L1047" s="1" t="s">
        <v>25</v>
      </c>
      <c r="M1047" s="825">
        <v>2</v>
      </c>
      <c r="N1047" s="17">
        <v>2</v>
      </c>
      <c r="O1047" s="3" t="s">
        <v>3909</v>
      </c>
      <c r="P1047" s="20">
        <v>21689</v>
      </c>
      <c r="Q1047" s="3" t="s">
        <v>3910</v>
      </c>
      <c r="R1047" s="3"/>
      <c r="S1047" s="3" t="s">
        <v>5457</v>
      </c>
      <c r="T1047" s="3"/>
      <c r="U1047" s="2"/>
      <c r="V1047" s="2"/>
      <c r="W1047" s="2"/>
      <c r="X1047" s="2"/>
      <c r="Y1047" s="2"/>
      <c r="Z1047" s="2"/>
      <c r="AA1047" s="2"/>
      <c r="AB1047" s="2"/>
      <c r="AC1047" s="2"/>
      <c r="AD1047" s="2"/>
    </row>
    <row r="1048" spans="1:30" ht="12" customHeight="1">
      <c r="A1048" s="828" t="s">
        <v>17742</v>
      </c>
      <c r="B1048" s="3" t="s">
        <v>3903</v>
      </c>
      <c r="C1048" s="1" t="s">
        <v>3914</v>
      </c>
      <c r="D1048" s="5">
        <f t="shared" si="16"/>
        <v>73</v>
      </c>
      <c r="E1048" s="2" t="s">
        <v>5</v>
      </c>
      <c r="F1048" s="2" t="s">
        <v>15273</v>
      </c>
      <c r="G1048" s="3" t="s">
        <v>3915</v>
      </c>
      <c r="H1048" s="1"/>
      <c r="I1048" s="1"/>
      <c r="J1048" s="4" t="s">
        <v>16116</v>
      </c>
      <c r="K1048" s="1" t="s">
        <v>4993</v>
      </c>
      <c r="L1048" s="1" t="s">
        <v>25</v>
      </c>
      <c r="M1048" s="825">
        <v>10</v>
      </c>
      <c r="N1048" s="17">
        <v>10</v>
      </c>
      <c r="O1048" s="3" t="s">
        <v>31</v>
      </c>
      <c r="P1048" s="20">
        <v>14460</v>
      </c>
      <c r="Q1048" s="3" t="s">
        <v>3917</v>
      </c>
      <c r="R1048" s="3" t="s">
        <v>5553</v>
      </c>
      <c r="S1048" s="3"/>
      <c r="T1048" s="3" t="s">
        <v>104</v>
      </c>
      <c r="U1048" s="2"/>
      <c r="V1048" s="2"/>
      <c r="W1048" s="2"/>
      <c r="X1048" s="2"/>
      <c r="Y1048" s="2"/>
      <c r="Z1048" s="2"/>
      <c r="AA1048" s="2" t="s">
        <v>104</v>
      </c>
      <c r="AB1048" s="2"/>
      <c r="AC1048" s="2"/>
      <c r="AD1048" s="2"/>
    </row>
    <row r="1049" spans="1:30" ht="12" customHeight="1">
      <c r="A1049" s="828" t="s">
        <v>17743</v>
      </c>
      <c r="B1049" s="3" t="s">
        <v>3904</v>
      </c>
      <c r="C1049" s="1" t="s">
        <v>3911</v>
      </c>
      <c r="D1049" s="5">
        <f t="shared" si="16"/>
        <v>67</v>
      </c>
      <c r="E1049" s="2" t="s">
        <v>5</v>
      </c>
      <c r="F1049" s="2"/>
      <c r="G1049" s="3"/>
      <c r="H1049" s="1"/>
      <c r="I1049" s="1"/>
      <c r="J1049" s="4" t="s">
        <v>16117</v>
      </c>
      <c r="K1049" s="1"/>
      <c r="L1049" s="1" t="s">
        <v>6</v>
      </c>
      <c r="M1049" s="825"/>
      <c r="N1049" s="17"/>
      <c r="O1049" s="3" t="s">
        <v>3913</v>
      </c>
      <c r="P1049" s="21">
        <v>16448</v>
      </c>
      <c r="Q1049" s="3" t="s">
        <v>3912</v>
      </c>
      <c r="R1049" s="3"/>
      <c r="S1049" s="3"/>
      <c r="T1049" s="3"/>
      <c r="U1049" s="2"/>
      <c r="V1049" s="2"/>
      <c r="W1049" s="2"/>
      <c r="X1049" s="2"/>
      <c r="Y1049" s="2"/>
      <c r="Z1049" s="2"/>
      <c r="AA1049" s="2"/>
      <c r="AB1049" s="2"/>
      <c r="AC1049" s="2"/>
      <c r="AD1049" s="2"/>
    </row>
    <row r="1050" spans="1:30" ht="12" customHeight="1">
      <c r="A1050" s="828" t="s">
        <v>17744</v>
      </c>
      <c r="B1050" s="3" t="s">
        <v>3918</v>
      </c>
      <c r="C1050" s="1" t="s">
        <v>3921</v>
      </c>
      <c r="D1050" s="5">
        <f t="shared" si="16"/>
        <v>40</v>
      </c>
      <c r="E1050" s="2" t="s">
        <v>5</v>
      </c>
      <c r="F1050" s="6" t="s">
        <v>15273</v>
      </c>
      <c r="G1050" s="3" t="s">
        <v>3922</v>
      </c>
      <c r="H1050" s="1"/>
      <c r="I1050" s="1"/>
      <c r="J1050" s="8" t="s">
        <v>16126</v>
      </c>
      <c r="K1050" s="1" t="s">
        <v>44</v>
      </c>
      <c r="L1050" s="1" t="s">
        <v>25</v>
      </c>
      <c r="M1050" s="825">
        <v>2</v>
      </c>
      <c r="N1050" s="17">
        <v>2</v>
      </c>
      <c r="O1050" s="3" t="s">
        <v>3544</v>
      </c>
      <c r="P1050" s="20">
        <v>26447</v>
      </c>
      <c r="Q1050" s="3" t="s">
        <v>3923</v>
      </c>
      <c r="R1050" s="3" t="s">
        <v>3924</v>
      </c>
      <c r="S1050" s="3" t="s">
        <v>736</v>
      </c>
      <c r="T1050" s="3"/>
      <c r="U1050" s="2"/>
      <c r="V1050" s="2"/>
      <c r="W1050" s="2"/>
      <c r="X1050" s="2"/>
      <c r="Y1050" s="2"/>
      <c r="Z1050" s="2"/>
      <c r="AA1050" s="2"/>
      <c r="AB1050" s="2"/>
      <c r="AC1050" s="2"/>
      <c r="AD1050" s="2"/>
    </row>
    <row r="1051" spans="1:30" ht="12" customHeight="1">
      <c r="A1051" s="828" t="s">
        <v>17745</v>
      </c>
      <c r="B1051" s="3" t="s">
        <v>3919</v>
      </c>
      <c r="C1051" s="1" t="s">
        <v>3925</v>
      </c>
      <c r="D1051" s="5">
        <f t="shared" si="16"/>
        <v>38</v>
      </c>
      <c r="E1051" s="2" t="s">
        <v>5</v>
      </c>
      <c r="F1051" s="2" t="s">
        <v>15273</v>
      </c>
      <c r="G1051" s="3"/>
      <c r="H1051" s="1"/>
      <c r="I1051" s="1"/>
      <c r="J1051" s="4" t="s">
        <v>16120</v>
      </c>
      <c r="K1051" s="1" t="s">
        <v>13</v>
      </c>
      <c r="L1051" s="1" t="s">
        <v>14</v>
      </c>
      <c r="M1051" s="825">
        <v>1</v>
      </c>
      <c r="N1051" s="17">
        <v>1</v>
      </c>
      <c r="O1051" s="3" t="s">
        <v>267</v>
      </c>
      <c r="P1051" s="20">
        <v>27065</v>
      </c>
      <c r="Q1051" s="3" t="s">
        <v>3926</v>
      </c>
      <c r="R1051" s="3"/>
      <c r="S1051" s="3" t="s">
        <v>5457</v>
      </c>
      <c r="T1051" s="3" t="s">
        <v>104</v>
      </c>
      <c r="U1051" s="2"/>
      <c r="V1051" s="2"/>
      <c r="W1051" s="2"/>
      <c r="X1051" s="2"/>
      <c r="Y1051" s="2"/>
      <c r="Z1051" s="2"/>
      <c r="AA1051" s="2" t="s">
        <v>104</v>
      </c>
      <c r="AB1051" s="2"/>
      <c r="AC1051" s="2"/>
      <c r="AD1051" s="2"/>
    </row>
    <row r="1052" spans="1:30" ht="12" customHeight="1">
      <c r="A1052" s="828" t="s">
        <v>17746</v>
      </c>
      <c r="B1052" s="3" t="s">
        <v>3920</v>
      </c>
      <c r="C1052" s="1" t="s">
        <v>5056</v>
      </c>
      <c r="D1052" s="5">
        <f t="shared" si="16"/>
        <v>51</v>
      </c>
      <c r="E1052" s="2" t="s">
        <v>5</v>
      </c>
      <c r="F1052" s="2" t="s">
        <v>15273</v>
      </c>
      <c r="G1052" s="3"/>
      <c r="H1052" s="1"/>
      <c r="I1052" s="1"/>
      <c r="J1052" s="4" t="s">
        <v>16116</v>
      </c>
      <c r="K1052" s="1" t="s">
        <v>276</v>
      </c>
      <c r="L1052" s="1" t="s">
        <v>6</v>
      </c>
      <c r="M1052" s="825"/>
      <c r="N1052" s="17"/>
      <c r="O1052" s="3" t="s">
        <v>302</v>
      </c>
      <c r="P1052" s="21">
        <v>22277</v>
      </c>
      <c r="Q1052" s="3" t="s">
        <v>5618</v>
      </c>
      <c r="R1052" s="3"/>
      <c r="S1052" s="3"/>
      <c r="T1052" s="3" t="s">
        <v>145</v>
      </c>
      <c r="U1052" s="2"/>
      <c r="V1052" s="2" t="s">
        <v>145</v>
      </c>
      <c r="W1052" s="2"/>
      <c r="X1052" s="2"/>
      <c r="Y1052" s="2"/>
      <c r="Z1052" s="2"/>
      <c r="AA1052" s="2"/>
      <c r="AB1052" s="2"/>
      <c r="AC1052" s="2"/>
      <c r="AD1052" s="2"/>
    </row>
    <row r="1053" spans="1:30" ht="12" customHeight="1">
      <c r="A1053" s="828" t="s">
        <v>17747</v>
      </c>
      <c r="B1053" s="3" t="s">
        <v>5055</v>
      </c>
      <c r="C1053" s="1" t="s">
        <v>16112</v>
      </c>
      <c r="D1053" s="5">
        <f t="shared" si="16"/>
        <v>46</v>
      </c>
      <c r="E1053" s="2" t="s">
        <v>19</v>
      </c>
      <c r="F1053" s="2"/>
      <c r="G1053" s="3"/>
      <c r="H1053" s="1"/>
      <c r="I1053" s="1"/>
      <c r="J1053" s="4" t="s">
        <v>16117</v>
      </c>
      <c r="K1053" s="1"/>
      <c r="L1053" s="1" t="s">
        <v>6</v>
      </c>
      <c r="M1053" s="825"/>
      <c r="N1053" s="17"/>
      <c r="O1053" s="3" t="s">
        <v>3927</v>
      </c>
      <c r="P1053" s="21">
        <v>24242</v>
      </c>
      <c r="Q1053" s="3" t="s">
        <v>3928</v>
      </c>
      <c r="R1053" s="3"/>
      <c r="S1053" s="3"/>
      <c r="T1053" s="3" t="s">
        <v>145</v>
      </c>
      <c r="U1053" s="2"/>
      <c r="V1053" s="2" t="s">
        <v>145</v>
      </c>
      <c r="W1053" s="2"/>
      <c r="X1053" s="2"/>
      <c r="Y1053" s="2"/>
      <c r="Z1053" s="2"/>
      <c r="AA1053" s="2"/>
      <c r="AB1053" s="2"/>
      <c r="AC1053" s="2"/>
      <c r="AD1053" s="2"/>
    </row>
    <row r="1054" spans="1:30" ht="12" customHeight="1">
      <c r="A1054" s="828" t="s">
        <v>17748</v>
      </c>
      <c r="B1054" s="3" t="s">
        <v>3929</v>
      </c>
      <c r="C1054" s="1" t="s">
        <v>3932</v>
      </c>
      <c r="D1054" s="5">
        <f t="shared" si="16"/>
        <v>46</v>
      </c>
      <c r="E1054" s="2" t="s">
        <v>5</v>
      </c>
      <c r="F1054" s="6" t="s">
        <v>15273</v>
      </c>
      <c r="G1054" s="3" t="s">
        <v>3933</v>
      </c>
      <c r="H1054" s="1"/>
      <c r="I1054" s="1"/>
      <c r="J1054" s="8" t="s">
        <v>16127</v>
      </c>
      <c r="K1054" s="1" t="s">
        <v>44</v>
      </c>
      <c r="L1054" s="1" t="s">
        <v>25</v>
      </c>
      <c r="M1054" s="825">
        <v>1</v>
      </c>
      <c r="N1054" s="17">
        <v>1</v>
      </c>
      <c r="O1054" s="3" t="s">
        <v>31</v>
      </c>
      <c r="P1054" s="20">
        <v>24333</v>
      </c>
      <c r="Q1054" s="3" t="s">
        <v>3934</v>
      </c>
      <c r="R1054" s="3"/>
      <c r="S1054" s="3" t="s">
        <v>736</v>
      </c>
      <c r="T1054" s="3"/>
      <c r="U1054" s="2"/>
      <c r="V1054" s="2"/>
      <c r="W1054" s="2"/>
      <c r="X1054" s="2"/>
      <c r="Y1054" s="2"/>
      <c r="Z1054" s="2"/>
      <c r="AA1054" s="2"/>
      <c r="AB1054" s="2"/>
      <c r="AC1054" s="2"/>
      <c r="AD1054" s="2"/>
    </row>
    <row r="1055" spans="1:30" ht="12" customHeight="1">
      <c r="A1055" s="828" t="s">
        <v>17749</v>
      </c>
      <c r="B1055" s="3" t="s">
        <v>3930</v>
      </c>
      <c r="C1055" s="1" t="s">
        <v>4095</v>
      </c>
      <c r="D1055" s="5">
        <f t="shared" si="16"/>
        <v>57</v>
      </c>
      <c r="E1055" s="2" t="s">
        <v>5</v>
      </c>
      <c r="F1055" s="2" t="s">
        <v>15273</v>
      </c>
      <c r="G1055" s="3" t="s">
        <v>4654</v>
      </c>
      <c r="H1055" s="1"/>
      <c r="I1055" s="1"/>
      <c r="J1055" s="4" t="s">
        <v>16120</v>
      </c>
      <c r="K1055" s="1" t="s">
        <v>13</v>
      </c>
      <c r="L1055" s="1" t="s">
        <v>25</v>
      </c>
      <c r="M1055" s="825">
        <v>3</v>
      </c>
      <c r="N1055" s="17">
        <v>3</v>
      </c>
      <c r="O1055" s="3" t="s">
        <v>317</v>
      </c>
      <c r="P1055" s="20">
        <v>20415</v>
      </c>
      <c r="Q1055" s="3" t="s">
        <v>4097</v>
      </c>
      <c r="R1055" s="3" t="s">
        <v>247</v>
      </c>
      <c r="S1055" s="3" t="s">
        <v>5457</v>
      </c>
      <c r="T1055" s="3" t="s">
        <v>355</v>
      </c>
      <c r="U1055" s="2" t="s">
        <v>47</v>
      </c>
      <c r="V1055" s="2"/>
      <c r="W1055" s="2"/>
      <c r="X1055" s="2"/>
      <c r="Y1055" s="2"/>
      <c r="Z1055" s="2"/>
      <c r="AA1055" s="2" t="s">
        <v>104</v>
      </c>
      <c r="AB1055" s="2"/>
      <c r="AC1055" s="2"/>
      <c r="AD1055" s="2"/>
    </row>
    <row r="1056" spans="1:30" ht="12" customHeight="1">
      <c r="A1056" s="828" t="s">
        <v>17750</v>
      </c>
      <c r="B1056" s="3" t="s">
        <v>3931</v>
      </c>
      <c r="C1056" s="1" t="s">
        <v>3935</v>
      </c>
      <c r="D1056" s="5">
        <f t="shared" si="16"/>
        <v>41</v>
      </c>
      <c r="E1056" s="2" t="s">
        <v>5</v>
      </c>
      <c r="F1056" s="2"/>
      <c r="G1056" s="3"/>
      <c r="H1056" s="1"/>
      <c r="I1056" s="1"/>
      <c r="J1056" s="4" t="s">
        <v>16117</v>
      </c>
      <c r="K1056" s="1"/>
      <c r="L1056" s="1" t="s">
        <v>6</v>
      </c>
      <c r="M1056" s="825"/>
      <c r="N1056" s="17"/>
      <c r="O1056" s="3" t="s">
        <v>3937</v>
      </c>
      <c r="P1056" s="21">
        <v>26121</v>
      </c>
      <c r="Q1056" s="3" t="s">
        <v>1663</v>
      </c>
      <c r="R1056" s="3"/>
      <c r="S1056" s="3"/>
      <c r="T1056" s="3"/>
      <c r="U1056" s="2"/>
      <c r="V1056" s="2"/>
      <c r="W1056" s="2"/>
      <c r="X1056" s="2"/>
      <c r="Y1056" s="2"/>
      <c r="Z1056" s="2"/>
      <c r="AA1056" s="2"/>
      <c r="AB1056" s="2"/>
      <c r="AC1056" s="2"/>
      <c r="AD1056" s="2"/>
    </row>
    <row r="1057" spans="1:30" ht="12" customHeight="1">
      <c r="A1057" s="828" t="s">
        <v>17751</v>
      </c>
      <c r="B1057" s="3" t="s">
        <v>3938</v>
      </c>
      <c r="C1057" s="1" t="s">
        <v>5602</v>
      </c>
      <c r="D1057" s="5">
        <f t="shared" si="16"/>
        <v>49</v>
      </c>
      <c r="E1057" s="2" t="s">
        <v>5</v>
      </c>
      <c r="F1057" s="6" t="s">
        <v>15273</v>
      </c>
      <c r="G1057" s="3"/>
      <c r="H1057" s="1"/>
      <c r="I1057" s="1"/>
      <c r="J1057" s="8" t="s">
        <v>16127</v>
      </c>
      <c r="K1057" s="1" t="s">
        <v>44</v>
      </c>
      <c r="L1057" s="1" t="s">
        <v>6</v>
      </c>
      <c r="M1057" s="825"/>
      <c r="N1057" s="17"/>
      <c r="O1057" s="3" t="s">
        <v>5603</v>
      </c>
      <c r="P1057" s="21">
        <v>23153</v>
      </c>
      <c r="Q1057" s="3" t="s">
        <v>5838</v>
      </c>
      <c r="R1057" s="3"/>
      <c r="S1057" s="3"/>
      <c r="T1057" s="3" t="s">
        <v>155</v>
      </c>
      <c r="U1057" s="2"/>
      <c r="V1057" s="2"/>
      <c r="W1057" s="2"/>
      <c r="X1057" s="2"/>
      <c r="Y1057" s="2" t="s">
        <v>155</v>
      </c>
      <c r="Z1057" s="2"/>
      <c r="AA1057" s="2"/>
      <c r="AB1057" s="2"/>
      <c r="AC1057" s="2"/>
      <c r="AD1057" s="2"/>
    </row>
    <row r="1058" spans="1:30" ht="12" customHeight="1">
      <c r="A1058" s="828" t="s">
        <v>17752</v>
      </c>
      <c r="B1058" s="3" t="s">
        <v>3939</v>
      </c>
      <c r="C1058" s="1" t="s">
        <v>3942</v>
      </c>
      <c r="D1058" s="5">
        <f t="shared" si="16"/>
        <v>55</v>
      </c>
      <c r="E1058" s="2" t="s">
        <v>5</v>
      </c>
      <c r="F1058" s="2" t="s">
        <v>15273</v>
      </c>
      <c r="G1058" s="3" t="s">
        <v>3943</v>
      </c>
      <c r="H1058" s="1"/>
      <c r="I1058" s="1"/>
      <c r="J1058" s="8" t="s">
        <v>16120</v>
      </c>
      <c r="K1058" s="1" t="s">
        <v>476</v>
      </c>
      <c r="L1058" s="1" t="s">
        <v>25</v>
      </c>
      <c r="M1058" s="825">
        <v>6</v>
      </c>
      <c r="N1058" s="17">
        <v>6</v>
      </c>
      <c r="O1058" s="3" t="s">
        <v>188</v>
      </c>
      <c r="P1058" s="20">
        <v>21030</v>
      </c>
      <c r="Q1058" s="3" t="s">
        <v>3944</v>
      </c>
      <c r="R1058" s="3" t="s">
        <v>3945</v>
      </c>
      <c r="S1058" s="3" t="s">
        <v>5457</v>
      </c>
      <c r="T1058" s="3" t="s">
        <v>104</v>
      </c>
      <c r="U1058" s="2"/>
      <c r="V1058" s="2"/>
      <c r="W1058" s="2"/>
      <c r="X1058" s="2"/>
      <c r="Y1058" s="2"/>
      <c r="Z1058" s="2"/>
      <c r="AA1058" s="2" t="s">
        <v>104</v>
      </c>
      <c r="AB1058" s="2"/>
      <c r="AC1058" s="2"/>
      <c r="AD1058" s="2"/>
    </row>
    <row r="1059" spans="1:30" ht="12" customHeight="1">
      <c r="A1059" s="828" t="s">
        <v>17753</v>
      </c>
      <c r="B1059" s="3" t="s">
        <v>3940</v>
      </c>
      <c r="C1059" s="1" t="s">
        <v>3946</v>
      </c>
      <c r="D1059" s="5">
        <f t="shared" si="16"/>
        <v>44</v>
      </c>
      <c r="E1059" s="2" t="s">
        <v>5</v>
      </c>
      <c r="F1059" s="2" t="s">
        <v>15273</v>
      </c>
      <c r="G1059" s="3" t="s">
        <v>3947</v>
      </c>
      <c r="H1059" s="1"/>
      <c r="I1059" s="1"/>
      <c r="J1059" s="4" t="s">
        <v>16125</v>
      </c>
      <c r="K1059" s="1"/>
      <c r="L1059" s="1" t="s">
        <v>25</v>
      </c>
      <c r="M1059" s="825">
        <v>1</v>
      </c>
      <c r="N1059" s="17">
        <v>1</v>
      </c>
      <c r="O1059" s="3" t="s">
        <v>172</v>
      </c>
      <c r="P1059" s="20">
        <v>25130</v>
      </c>
      <c r="Q1059" s="3" t="s">
        <v>3949</v>
      </c>
      <c r="R1059" s="3"/>
      <c r="S1059" s="3" t="s">
        <v>5561</v>
      </c>
      <c r="T1059" s="3" t="s">
        <v>104</v>
      </c>
      <c r="U1059" s="2"/>
      <c r="V1059" s="2"/>
      <c r="W1059" s="2"/>
      <c r="X1059" s="2"/>
      <c r="Y1059" s="2"/>
      <c r="Z1059" s="2"/>
      <c r="AA1059" s="2" t="s">
        <v>104</v>
      </c>
      <c r="AB1059" s="2"/>
      <c r="AC1059" s="2"/>
      <c r="AD1059" s="2"/>
    </row>
    <row r="1060" spans="1:30" ht="12" customHeight="1">
      <c r="A1060" s="828" t="s">
        <v>17754</v>
      </c>
      <c r="B1060" s="3" t="s">
        <v>3941</v>
      </c>
      <c r="C1060" s="1" t="s">
        <v>3950</v>
      </c>
      <c r="D1060" s="5">
        <f t="shared" si="16"/>
        <v>46</v>
      </c>
      <c r="E1060" s="2" t="s">
        <v>5</v>
      </c>
      <c r="F1060" s="2"/>
      <c r="G1060" s="3"/>
      <c r="H1060" s="1"/>
      <c r="I1060" s="1"/>
      <c r="J1060" s="4" t="s">
        <v>16117</v>
      </c>
      <c r="K1060" s="1"/>
      <c r="L1060" s="1" t="s">
        <v>6</v>
      </c>
      <c r="M1060" s="825"/>
      <c r="N1060" s="17"/>
      <c r="O1060" s="3" t="s">
        <v>3951</v>
      </c>
      <c r="P1060" s="20">
        <v>24146</v>
      </c>
      <c r="Q1060" s="3" t="s">
        <v>3952</v>
      </c>
      <c r="R1060" s="3"/>
      <c r="S1060" s="3"/>
      <c r="T1060" s="3"/>
      <c r="U1060" s="2"/>
      <c r="V1060" s="2"/>
      <c r="W1060" s="2"/>
      <c r="X1060" s="2"/>
      <c r="Y1060" s="2"/>
      <c r="Z1060" s="2"/>
      <c r="AA1060" s="2"/>
      <c r="AB1060" s="2"/>
      <c r="AC1060" s="2"/>
      <c r="AD1060" s="2"/>
    </row>
    <row r="1061" spans="1:30" ht="12" customHeight="1">
      <c r="A1061" s="828" t="s">
        <v>17755</v>
      </c>
      <c r="B1061" s="3" t="s">
        <v>3953</v>
      </c>
      <c r="C1061" s="1" t="s">
        <v>3956</v>
      </c>
      <c r="D1061" s="5">
        <f t="shared" si="16"/>
        <v>41</v>
      </c>
      <c r="E1061" s="2" t="s">
        <v>5</v>
      </c>
      <c r="F1061" s="6" t="s">
        <v>15273</v>
      </c>
      <c r="G1061" s="3" t="s">
        <v>3957</v>
      </c>
      <c r="H1061" s="1"/>
      <c r="I1061" s="1"/>
      <c r="J1061" s="8" t="s">
        <v>16126</v>
      </c>
      <c r="K1061" s="1" t="s">
        <v>44</v>
      </c>
      <c r="L1061" s="1" t="s">
        <v>25</v>
      </c>
      <c r="M1061" s="825">
        <v>3</v>
      </c>
      <c r="N1061" s="17">
        <v>3</v>
      </c>
      <c r="O1061" s="3" t="s">
        <v>317</v>
      </c>
      <c r="P1061" s="20">
        <v>26150</v>
      </c>
      <c r="Q1061" s="3" t="s">
        <v>16673</v>
      </c>
      <c r="R1061" s="3" t="s">
        <v>3958</v>
      </c>
      <c r="S1061" s="3" t="s">
        <v>736</v>
      </c>
      <c r="T1061" s="3" t="s">
        <v>146</v>
      </c>
      <c r="U1061" s="2"/>
      <c r="V1061" s="2"/>
      <c r="W1061" s="2"/>
      <c r="X1061" s="2"/>
      <c r="Y1061" s="2"/>
      <c r="Z1061" s="2"/>
      <c r="AA1061" s="2"/>
      <c r="AB1061" s="2"/>
      <c r="AC1061" s="2" t="s">
        <v>146</v>
      </c>
      <c r="AD1061" s="2"/>
    </row>
    <row r="1062" spans="1:30" ht="12" customHeight="1">
      <c r="A1062" s="828" t="s">
        <v>17756</v>
      </c>
      <c r="B1062" s="3" t="s">
        <v>3954</v>
      </c>
      <c r="C1062" s="1" t="s">
        <v>3959</v>
      </c>
      <c r="D1062" s="5">
        <f t="shared" si="16"/>
        <v>64</v>
      </c>
      <c r="E1062" s="2" t="s">
        <v>5</v>
      </c>
      <c r="F1062" s="2" t="s">
        <v>15273</v>
      </c>
      <c r="G1062" s="3"/>
      <c r="H1062" s="1"/>
      <c r="I1062" s="1"/>
      <c r="J1062" s="4" t="s">
        <v>16120</v>
      </c>
      <c r="K1062" s="1" t="s">
        <v>13</v>
      </c>
      <c r="L1062" s="1" t="s">
        <v>14</v>
      </c>
      <c r="M1062" s="825">
        <v>1</v>
      </c>
      <c r="N1062" s="17">
        <v>1</v>
      </c>
      <c r="O1062" s="3" t="s">
        <v>317</v>
      </c>
      <c r="P1062" s="20">
        <v>17746</v>
      </c>
      <c r="Q1062" s="3" t="s">
        <v>3960</v>
      </c>
      <c r="R1062" s="3"/>
      <c r="S1062" s="3" t="s">
        <v>5457</v>
      </c>
      <c r="T1062" s="3" t="s">
        <v>47</v>
      </c>
      <c r="U1062" s="2" t="s">
        <v>47</v>
      </c>
      <c r="V1062" s="2"/>
      <c r="W1062" s="2"/>
      <c r="X1062" s="2"/>
      <c r="Y1062" s="2"/>
      <c r="Z1062" s="2"/>
      <c r="AA1062" s="2"/>
      <c r="AB1062" s="2"/>
      <c r="AC1062" s="2"/>
      <c r="AD1062" s="2"/>
    </row>
    <row r="1063" spans="1:30" ht="12" customHeight="1">
      <c r="A1063" s="828" t="s">
        <v>17757</v>
      </c>
      <c r="B1063" s="3" t="s">
        <v>3955</v>
      </c>
      <c r="C1063" s="1" t="s">
        <v>5861</v>
      </c>
      <c r="D1063" s="5">
        <f t="shared" si="16"/>
        <v>43</v>
      </c>
      <c r="E1063" s="2" t="s">
        <v>5</v>
      </c>
      <c r="F1063" s="2" t="s">
        <v>15273</v>
      </c>
      <c r="G1063" s="3"/>
      <c r="H1063" s="1"/>
      <c r="I1063" s="1"/>
      <c r="J1063" s="4" t="s">
        <v>16116</v>
      </c>
      <c r="K1063" s="1" t="s">
        <v>4997</v>
      </c>
      <c r="L1063" s="1" t="s">
        <v>6</v>
      </c>
      <c r="M1063" s="825"/>
      <c r="N1063" s="17"/>
      <c r="O1063" s="3" t="s">
        <v>349</v>
      </c>
      <c r="P1063" s="20">
        <v>25192</v>
      </c>
      <c r="Q1063" s="3" t="s">
        <v>5974</v>
      </c>
      <c r="R1063" s="3"/>
      <c r="S1063" s="3" t="s">
        <v>469</v>
      </c>
      <c r="T1063" s="3"/>
      <c r="U1063" s="2"/>
      <c r="V1063" s="2"/>
      <c r="W1063" s="2"/>
      <c r="X1063" s="2"/>
      <c r="Y1063" s="2"/>
      <c r="Z1063" s="2"/>
      <c r="AA1063" s="2"/>
      <c r="AB1063" s="2"/>
      <c r="AC1063" s="2"/>
      <c r="AD1063" s="2"/>
    </row>
    <row r="1064" spans="1:30" ht="12" customHeight="1">
      <c r="A1064" s="828" t="s">
        <v>17758</v>
      </c>
      <c r="B1064" s="3" t="s">
        <v>5860</v>
      </c>
      <c r="C1064" s="1" t="s">
        <v>3961</v>
      </c>
      <c r="D1064" s="5">
        <f t="shared" si="16"/>
        <v>60</v>
      </c>
      <c r="E1064" s="2" t="s">
        <v>5</v>
      </c>
      <c r="F1064" s="2"/>
      <c r="G1064" s="3"/>
      <c r="H1064" s="1"/>
      <c r="I1064" s="1"/>
      <c r="J1064" s="4" t="s">
        <v>16117</v>
      </c>
      <c r="K1064" s="1"/>
      <c r="L1064" s="1" t="s">
        <v>6</v>
      </c>
      <c r="M1064" s="825"/>
      <c r="N1064" s="17"/>
      <c r="O1064" s="3" t="s">
        <v>3962</v>
      </c>
      <c r="P1064" s="21">
        <v>19207</v>
      </c>
      <c r="Q1064" s="3" t="s">
        <v>3963</v>
      </c>
      <c r="R1064" s="3"/>
      <c r="S1064" s="3"/>
      <c r="T1064" s="3" t="s">
        <v>145</v>
      </c>
      <c r="U1064" s="2"/>
      <c r="V1064" s="2" t="s">
        <v>145</v>
      </c>
      <c r="W1064" s="2"/>
      <c r="X1064" s="2"/>
      <c r="Y1064" s="2"/>
      <c r="Z1064" s="2"/>
      <c r="AA1064" s="2"/>
      <c r="AB1064" s="2"/>
      <c r="AC1064" s="2"/>
      <c r="AD1064" s="2"/>
    </row>
    <row r="1065" spans="1:30" ht="12" customHeight="1">
      <c r="A1065" s="828" t="s">
        <v>17759</v>
      </c>
      <c r="B1065" s="3" t="s">
        <v>3964</v>
      </c>
      <c r="C1065" s="1" t="s">
        <v>3967</v>
      </c>
      <c r="D1065" s="5">
        <f t="shared" si="16"/>
        <v>42</v>
      </c>
      <c r="E1065" s="2" t="s">
        <v>5</v>
      </c>
      <c r="F1065" s="6" t="s">
        <v>15273</v>
      </c>
      <c r="G1065" s="3" t="s">
        <v>3968</v>
      </c>
      <c r="H1065" s="1"/>
      <c r="I1065" s="1"/>
      <c r="J1065" s="8" t="s">
        <v>16127</v>
      </c>
      <c r="K1065" s="1" t="s">
        <v>44</v>
      </c>
      <c r="L1065" s="1" t="s">
        <v>25</v>
      </c>
      <c r="M1065" s="825">
        <v>1</v>
      </c>
      <c r="N1065" s="17">
        <v>1</v>
      </c>
      <c r="O1065" s="3" t="s">
        <v>3969</v>
      </c>
      <c r="P1065" s="20">
        <v>25771</v>
      </c>
      <c r="Q1065" s="3" t="s">
        <v>3970</v>
      </c>
      <c r="R1065" s="3"/>
      <c r="S1065" s="3"/>
      <c r="T1065" s="3" t="s">
        <v>47</v>
      </c>
      <c r="U1065" s="2" t="s">
        <v>47</v>
      </c>
      <c r="V1065" s="2"/>
      <c r="W1065" s="2"/>
      <c r="X1065" s="2"/>
      <c r="Y1065" s="2"/>
      <c r="Z1065" s="2"/>
      <c r="AA1065" s="2"/>
      <c r="AB1065" s="2"/>
      <c r="AC1065" s="2"/>
      <c r="AD1065" s="2"/>
    </row>
    <row r="1066" spans="1:30" ht="12" customHeight="1">
      <c r="A1066" s="828" t="s">
        <v>17760</v>
      </c>
      <c r="B1066" s="3" t="s">
        <v>3965</v>
      </c>
      <c r="C1066" s="1" t="s">
        <v>3971</v>
      </c>
      <c r="D1066" s="5">
        <f t="shared" si="16"/>
        <v>49</v>
      </c>
      <c r="E1066" s="2" t="s">
        <v>5</v>
      </c>
      <c r="F1066" s="2" t="s">
        <v>15273</v>
      </c>
      <c r="G1066" s="3" t="s">
        <v>3972</v>
      </c>
      <c r="H1066" s="1"/>
      <c r="I1066" s="1"/>
      <c r="J1066" s="4" t="s">
        <v>16120</v>
      </c>
      <c r="K1066" s="1" t="s">
        <v>30</v>
      </c>
      <c r="L1066" s="1" t="s">
        <v>25</v>
      </c>
      <c r="M1066" s="825">
        <v>4</v>
      </c>
      <c r="N1066" s="17">
        <v>4</v>
      </c>
      <c r="O1066" s="3" t="s">
        <v>31</v>
      </c>
      <c r="P1066" s="20">
        <v>23081</v>
      </c>
      <c r="Q1066" s="3" t="s">
        <v>16674</v>
      </c>
      <c r="R1066" s="3" t="s">
        <v>3973</v>
      </c>
      <c r="S1066" s="3" t="s">
        <v>5457</v>
      </c>
      <c r="T1066" s="3" t="s">
        <v>635</v>
      </c>
      <c r="U1066" s="2"/>
      <c r="V1066" s="2" t="s">
        <v>145</v>
      </c>
      <c r="W1066" s="2"/>
      <c r="X1066" s="2"/>
      <c r="Y1066" s="2"/>
      <c r="Z1066" s="2"/>
      <c r="AA1066" s="2"/>
      <c r="AB1066" s="2"/>
      <c r="AC1066" s="2" t="s">
        <v>146</v>
      </c>
      <c r="AD1066" s="2"/>
    </row>
    <row r="1067" spans="1:30" ht="12" customHeight="1">
      <c r="A1067" s="828" t="s">
        <v>17761</v>
      </c>
      <c r="B1067" s="3" t="s">
        <v>3966</v>
      </c>
      <c r="C1067" s="1" t="s">
        <v>5233</v>
      </c>
      <c r="D1067" s="5">
        <f t="shared" si="16"/>
        <v>49</v>
      </c>
      <c r="E1067" s="2" t="s">
        <v>5</v>
      </c>
      <c r="F1067" s="2" t="s">
        <v>15273</v>
      </c>
      <c r="G1067" s="3"/>
      <c r="H1067" s="1"/>
      <c r="I1067" s="1"/>
      <c r="J1067" s="4" t="s">
        <v>16116</v>
      </c>
      <c r="K1067" s="1" t="s">
        <v>4993</v>
      </c>
      <c r="L1067" s="1" t="s">
        <v>6</v>
      </c>
      <c r="M1067" s="825"/>
      <c r="N1067" s="17"/>
      <c r="O1067" s="3" t="s">
        <v>6151</v>
      </c>
      <c r="P1067" s="21">
        <v>23332</v>
      </c>
      <c r="Q1067" s="3" t="s">
        <v>5232</v>
      </c>
      <c r="R1067" s="3"/>
      <c r="S1067" s="3"/>
      <c r="T1067" s="3"/>
      <c r="U1067" s="2"/>
      <c r="V1067" s="2"/>
      <c r="W1067" s="2"/>
      <c r="X1067" s="2"/>
      <c r="Y1067" s="2"/>
      <c r="Z1067" s="2"/>
      <c r="AA1067" s="2"/>
      <c r="AB1067" s="2"/>
      <c r="AC1067" s="2"/>
      <c r="AD1067" s="2"/>
    </row>
    <row r="1068" spans="1:30" ht="12" customHeight="1">
      <c r="A1068" s="828" t="s">
        <v>17762</v>
      </c>
      <c r="B1068" s="3" t="s">
        <v>5231</v>
      </c>
      <c r="C1068" s="1" t="s">
        <v>3974</v>
      </c>
      <c r="D1068" s="5">
        <f t="shared" si="16"/>
        <v>59</v>
      </c>
      <c r="E1068" s="2" t="s">
        <v>19</v>
      </c>
      <c r="F1068" s="2"/>
      <c r="G1068" s="3"/>
      <c r="H1068" s="1"/>
      <c r="I1068" s="1"/>
      <c r="J1068" s="4" t="s">
        <v>16117</v>
      </c>
      <c r="K1068" s="1"/>
      <c r="L1068" s="1" t="s">
        <v>6</v>
      </c>
      <c r="M1068" s="825"/>
      <c r="N1068" s="17"/>
      <c r="O1068" s="3" t="s">
        <v>597</v>
      </c>
      <c r="P1068" s="21">
        <v>19528</v>
      </c>
      <c r="Q1068" s="3" t="s">
        <v>3975</v>
      </c>
      <c r="R1068" s="3"/>
      <c r="S1068" s="3"/>
      <c r="T1068" s="3" t="s">
        <v>145</v>
      </c>
      <c r="U1068" s="2"/>
      <c r="V1068" s="2" t="s">
        <v>145</v>
      </c>
      <c r="W1068" s="2"/>
      <c r="X1068" s="2"/>
      <c r="Y1068" s="2"/>
      <c r="Z1068" s="2"/>
      <c r="AA1068" s="2"/>
      <c r="AB1068" s="2"/>
      <c r="AC1068" s="2"/>
      <c r="AD1068" s="2"/>
    </row>
    <row r="1069" spans="1:30" ht="12" customHeight="1">
      <c r="A1069" s="828" t="s">
        <v>17763</v>
      </c>
      <c r="B1069" s="3" t="s">
        <v>3976</v>
      </c>
      <c r="C1069" s="1" t="s">
        <v>3979</v>
      </c>
      <c r="D1069" s="5">
        <f t="shared" si="16"/>
        <v>48</v>
      </c>
      <c r="E1069" s="2" t="s">
        <v>5</v>
      </c>
      <c r="F1069" s="6" t="s">
        <v>15273</v>
      </c>
      <c r="G1069" s="3" t="s">
        <v>3980</v>
      </c>
      <c r="H1069" s="1"/>
      <c r="I1069" s="1"/>
      <c r="J1069" s="8" t="s">
        <v>16127</v>
      </c>
      <c r="K1069" s="1" t="s">
        <v>737</v>
      </c>
      <c r="L1069" s="1" t="s">
        <v>25</v>
      </c>
      <c r="M1069" s="825">
        <v>1</v>
      </c>
      <c r="N1069" s="17">
        <v>1</v>
      </c>
      <c r="O1069" s="3" t="s">
        <v>462</v>
      </c>
      <c r="P1069" s="20">
        <v>23447</v>
      </c>
      <c r="Q1069" s="3" t="s">
        <v>3983</v>
      </c>
      <c r="R1069" s="3"/>
      <c r="S1069" s="3" t="s">
        <v>736</v>
      </c>
      <c r="T1069" s="3"/>
      <c r="U1069" s="2"/>
      <c r="V1069" s="2"/>
      <c r="W1069" s="2"/>
      <c r="X1069" s="2"/>
      <c r="Y1069" s="2"/>
      <c r="Z1069" s="2"/>
      <c r="AA1069" s="2"/>
      <c r="AB1069" s="2"/>
      <c r="AC1069" s="2"/>
      <c r="AD1069" s="2"/>
    </row>
    <row r="1070" spans="1:30" ht="12" customHeight="1">
      <c r="A1070" s="828" t="s">
        <v>17764</v>
      </c>
      <c r="B1070" s="3" t="s">
        <v>3977</v>
      </c>
      <c r="C1070" s="1" t="s">
        <v>3984</v>
      </c>
      <c r="D1070" s="5">
        <f t="shared" si="16"/>
        <v>42</v>
      </c>
      <c r="E1070" s="2" t="s">
        <v>5</v>
      </c>
      <c r="F1070" s="2" t="s">
        <v>15273</v>
      </c>
      <c r="G1070" s="3"/>
      <c r="H1070" s="1"/>
      <c r="I1070" s="1"/>
      <c r="J1070" s="8" t="s">
        <v>16120</v>
      </c>
      <c r="K1070" s="1" t="s">
        <v>30</v>
      </c>
      <c r="L1070" s="1" t="s">
        <v>6</v>
      </c>
      <c r="M1070" s="825"/>
      <c r="N1070" s="17"/>
      <c r="O1070" s="3" t="s">
        <v>172</v>
      </c>
      <c r="P1070" s="20">
        <v>25683</v>
      </c>
      <c r="Q1070" s="3" t="s">
        <v>3985</v>
      </c>
      <c r="R1070" s="3"/>
      <c r="S1070" s="3" t="s">
        <v>5457</v>
      </c>
      <c r="T1070" s="3" t="s">
        <v>258</v>
      </c>
      <c r="U1070" s="2"/>
      <c r="V1070" s="2"/>
      <c r="W1070" s="2"/>
      <c r="X1070" s="2"/>
      <c r="Y1070" s="2" t="s">
        <v>155</v>
      </c>
      <c r="Z1070" s="2"/>
      <c r="AA1070" s="2" t="s">
        <v>104</v>
      </c>
      <c r="AB1070" s="2"/>
      <c r="AC1070" s="2"/>
      <c r="AD1070" s="2"/>
    </row>
    <row r="1071" spans="1:30" ht="12" customHeight="1">
      <c r="A1071" s="828" t="s">
        <v>17765</v>
      </c>
      <c r="B1071" s="3" t="s">
        <v>3978</v>
      </c>
      <c r="C1071" s="1" t="s">
        <v>3987</v>
      </c>
      <c r="D1071" s="5">
        <f t="shared" si="16"/>
        <v>50</v>
      </c>
      <c r="E1071" s="2" t="s">
        <v>5</v>
      </c>
      <c r="F1071" s="2"/>
      <c r="G1071" s="3"/>
      <c r="H1071" s="1"/>
      <c r="I1071" s="1"/>
      <c r="J1071" s="4" t="s">
        <v>16117</v>
      </c>
      <c r="K1071" s="1"/>
      <c r="L1071" s="1" t="s">
        <v>6</v>
      </c>
      <c r="M1071" s="825"/>
      <c r="N1071" s="17"/>
      <c r="O1071" s="3" t="s">
        <v>3988</v>
      </c>
      <c r="P1071" s="20">
        <v>22975</v>
      </c>
      <c r="Q1071" s="3" t="s">
        <v>3989</v>
      </c>
      <c r="R1071" s="3"/>
      <c r="S1071" s="3"/>
      <c r="T1071" s="3"/>
      <c r="U1071" s="2"/>
      <c r="V1071" s="2"/>
      <c r="W1071" s="2"/>
      <c r="X1071" s="2"/>
      <c r="Y1071" s="2"/>
      <c r="Z1071" s="2"/>
      <c r="AA1071" s="2"/>
      <c r="AB1071" s="2"/>
      <c r="AC1071" s="2"/>
      <c r="AD1071" s="2"/>
    </row>
    <row r="1072" spans="1:30" ht="12" customHeight="1">
      <c r="A1072" s="828" t="s">
        <v>17766</v>
      </c>
      <c r="B1072" s="3" t="s">
        <v>3990</v>
      </c>
      <c r="C1072" s="1" t="s">
        <v>4000</v>
      </c>
      <c r="D1072" s="5">
        <f t="shared" si="16"/>
        <v>53</v>
      </c>
      <c r="E1072" s="2" t="s">
        <v>5</v>
      </c>
      <c r="F1072" s="6" t="s">
        <v>15273</v>
      </c>
      <c r="G1072" s="3" t="s">
        <v>4001</v>
      </c>
      <c r="H1072" s="1"/>
      <c r="I1072" s="1"/>
      <c r="J1072" s="8" t="s">
        <v>16126</v>
      </c>
      <c r="K1072" s="1" t="s">
        <v>44</v>
      </c>
      <c r="L1072" s="1" t="s">
        <v>25</v>
      </c>
      <c r="M1072" s="825">
        <v>2</v>
      </c>
      <c r="N1072" s="17">
        <v>2</v>
      </c>
      <c r="O1072" s="3" t="s">
        <v>2551</v>
      </c>
      <c r="P1072" s="20">
        <v>21717</v>
      </c>
      <c r="Q1072" s="3" t="s">
        <v>4003</v>
      </c>
      <c r="R1072" s="3" t="s">
        <v>4004</v>
      </c>
      <c r="S1072" s="3" t="s">
        <v>736</v>
      </c>
      <c r="T1072" s="3" t="s">
        <v>146</v>
      </c>
      <c r="U1072" s="2"/>
      <c r="V1072" s="2"/>
      <c r="W1072" s="2"/>
      <c r="X1072" s="2"/>
      <c r="Y1072" s="2"/>
      <c r="Z1072" s="2"/>
      <c r="AA1072" s="2"/>
      <c r="AB1072" s="2"/>
      <c r="AC1072" s="2" t="s">
        <v>146</v>
      </c>
      <c r="AD1072" s="2"/>
    </row>
    <row r="1073" spans="1:30" ht="12" customHeight="1">
      <c r="A1073" s="828" t="s">
        <v>17767</v>
      </c>
      <c r="B1073" s="3" t="s">
        <v>3991</v>
      </c>
      <c r="C1073" s="1" t="s">
        <v>4005</v>
      </c>
      <c r="D1073" s="5">
        <f t="shared" si="16"/>
        <v>54</v>
      </c>
      <c r="E1073" s="2" t="s">
        <v>5</v>
      </c>
      <c r="F1073" s="2" t="s">
        <v>15273</v>
      </c>
      <c r="G1073" s="3"/>
      <c r="H1073" s="1"/>
      <c r="I1073" s="1"/>
      <c r="J1073" s="4" t="s">
        <v>16120</v>
      </c>
      <c r="K1073" s="1" t="s">
        <v>476</v>
      </c>
      <c r="L1073" s="1" t="s">
        <v>14</v>
      </c>
      <c r="M1073" s="825">
        <v>2</v>
      </c>
      <c r="N1073" s="17">
        <v>2</v>
      </c>
      <c r="O1073" s="3" t="s">
        <v>255</v>
      </c>
      <c r="P1073" s="20">
        <v>21209</v>
      </c>
      <c r="Q1073" s="3" t="s">
        <v>4006</v>
      </c>
      <c r="R1073" s="3" t="s">
        <v>2428</v>
      </c>
      <c r="S1073" s="3" t="s">
        <v>5457</v>
      </c>
      <c r="T1073" s="3" t="s">
        <v>355</v>
      </c>
      <c r="U1073" s="2" t="s">
        <v>47</v>
      </c>
      <c r="V1073" s="2"/>
      <c r="W1073" s="2"/>
      <c r="X1073" s="2"/>
      <c r="Y1073" s="2"/>
      <c r="Z1073" s="2"/>
      <c r="AA1073" s="2" t="s">
        <v>104</v>
      </c>
      <c r="AB1073" s="2"/>
      <c r="AC1073" s="2"/>
      <c r="AD1073" s="2"/>
    </row>
    <row r="1074" spans="1:30" ht="12" customHeight="1">
      <c r="A1074" s="828" t="s">
        <v>17768</v>
      </c>
      <c r="B1074" s="3" t="s">
        <v>3992</v>
      </c>
      <c r="C1074" s="1" t="s">
        <v>4008</v>
      </c>
      <c r="D1074" s="5">
        <f t="shared" si="16"/>
        <v>60</v>
      </c>
      <c r="E1074" s="2" t="s">
        <v>5</v>
      </c>
      <c r="F1074" s="2"/>
      <c r="G1074" s="3"/>
      <c r="H1074" s="1"/>
      <c r="I1074" s="1"/>
      <c r="J1074" s="4" t="s">
        <v>16117</v>
      </c>
      <c r="K1074" s="1"/>
      <c r="L1074" s="1" t="s">
        <v>6</v>
      </c>
      <c r="M1074" s="825"/>
      <c r="N1074" s="17"/>
      <c r="O1074" s="3" t="s">
        <v>4009</v>
      </c>
      <c r="P1074" s="21">
        <v>19306</v>
      </c>
      <c r="Q1074" s="3" t="s">
        <v>4010</v>
      </c>
      <c r="R1074" s="3"/>
      <c r="S1074" s="3"/>
      <c r="T1074" s="3" t="s">
        <v>145</v>
      </c>
      <c r="U1074" s="2"/>
      <c r="V1074" s="2" t="s">
        <v>145</v>
      </c>
      <c r="W1074" s="2"/>
      <c r="X1074" s="2"/>
      <c r="Y1074" s="2"/>
      <c r="Z1074" s="2"/>
      <c r="AA1074" s="2"/>
      <c r="AB1074" s="2"/>
      <c r="AC1074" s="2"/>
      <c r="AD1074" s="2"/>
    </row>
    <row r="1075" spans="1:30" ht="12" customHeight="1">
      <c r="A1075" s="828" t="s">
        <v>17769</v>
      </c>
      <c r="B1075" s="3" t="s">
        <v>4011</v>
      </c>
      <c r="C1075" s="1" t="s">
        <v>4014</v>
      </c>
      <c r="D1075" s="5">
        <f t="shared" si="16"/>
        <v>62</v>
      </c>
      <c r="E1075" s="2" t="s">
        <v>5</v>
      </c>
      <c r="F1075" s="2" t="s">
        <v>15273</v>
      </c>
      <c r="G1075" s="3"/>
      <c r="H1075" s="1"/>
      <c r="I1075" s="1"/>
      <c r="J1075" s="4" t="s">
        <v>16120</v>
      </c>
      <c r="K1075" s="1" t="s">
        <v>476</v>
      </c>
      <c r="L1075" s="1" t="s">
        <v>6</v>
      </c>
      <c r="M1075" s="825"/>
      <c r="N1075" s="17"/>
      <c r="O1075" s="3" t="s">
        <v>1879</v>
      </c>
      <c r="P1075" s="20">
        <v>18513</v>
      </c>
      <c r="Q1075" s="3" t="s">
        <v>4015</v>
      </c>
      <c r="R1075" s="3"/>
      <c r="S1075" s="3"/>
      <c r="T1075" s="3" t="s">
        <v>145</v>
      </c>
      <c r="U1075" s="2"/>
      <c r="V1075" s="2" t="s">
        <v>145</v>
      </c>
      <c r="W1075" s="2"/>
      <c r="X1075" s="2"/>
      <c r="Y1075" s="2"/>
      <c r="Z1075" s="2"/>
      <c r="AA1075" s="2"/>
      <c r="AB1075" s="2"/>
      <c r="AC1075" s="2"/>
      <c r="AD1075" s="2"/>
    </row>
    <row r="1076" spans="1:30" ht="12" customHeight="1">
      <c r="A1076" s="828" t="s">
        <v>17770</v>
      </c>
      <c r="B1076" s="3" t="s">
        <v>4012</v>
      </c>
      <c r="C1076" s="1" t="s">
        <v>4019</v>
      </c>
      <c r="D1076" s="5">
        <f t="shared" si="16"/>
        <v>76</v>
      </c>
      <c r="E1076" s="2" t="s">
        <v>5</v>
      </c>
      <c r="F1076" s="2" t="s">
        <v>15273</v>
      </c>
      <c r="G1076" s="3" t="s">
        <v>4020</v>
      </c>
      <c r="H1076" s="1"/>
      <c r="I1076" s="1"/>
      <c r="J1076" s="4" t="s">
        <v>16125</v>
      </c>
      <c r="K1076" s="1"/>
      <c r="L1076" s="1" t="s">
        <v>25</v>
      </c>
      <c r="M1076" s="825">
        <v>11</v>
      </c>
      <c r="N1076" s="17">
        <v>11</v>
      </c>
      <c r="O1076" s="3" t="s">
        <v>317</v>
      </c>
      <c r="P1076" s="20">
        <v>13455</v>
      </c>
      <c r="Q1076" s="3" t="s">
        <v>4021</v>
      </c>
      <c r="R1076" s="3" t="s">
        <v>5542</v>
      </c>
      <c r="S1076" s="3" t="s">
        <v>5561</v>
      </c>
      <c r="T1076" s="3" t="s">
        <v>47</v>
      </c>
      <c r="U1076" s="2" t="s">
        <v>47</v>
      </c>
      <c r="V1076" s="2"/>
      <c r="W1076" s="2"/>
      <c r="X1076" s="2"/>
      <c r="Y1076" s="2"/>
      <c r="Z1076" s="2"/>
      <c r="AA1076" s="2"/>
      <c r="AB1076" s="2"/>
      <c r="AC1076" s="2"/>
      <c r="AD1076" s="2"/>
    </row>
    <row r="1077" spans="1:30" ht="12" customHeight="1">
      <c r="A1077" s="828" t="s">
        <v>17771</v>
      </c>
      <c r="B1077" s="3" t="s">
        <v>4013</v>
      </c>
      <c r="C1077" s="1" t="s">
        <v>4016</v>
      </c>
      <c r="D1077" s="5">
        <f t="shared" si="16"/>
        <v>55</v>
      </c>
      <c r="E1077" s="2" t="s">
        <v>19</v>
      </c>
      <c r="F1077" s="2"/>
      <c r="G1077" s="3"/>
      <c r="H1077" s="1"/>
      <c r="I1077" s="1"/>
      <c r="J1077" s="4" t="s">
        <v>16117</v>
      </c>
      <c r="K1077" s="1"/>
      <c r="L1077" s="1" t="s">
        <v>6</v>
      </c>
      <c r="M1077" s="825"/>
      <c r="N1077" s="17"/>
      <c r="O1077" s="3" t="s">
        <v>4017</v>
      </c>
      <c r="P1077" s="20">
        <v>21031</v>
      </c>
      <c r="Q1077" s="3" t="s">
        <v>4018</v>
      </c>
      <c r="R1077" s="3"/>
      <c r="S1077" s="3"/>
      <c r="T1077" s="3"/>
      <c r="U1077" s="2"/>
      <c r="V1077" s="2"/>
      <c r="W1077" s="2"/>
      <c r="X1077" s="2"/>
      <c r="Y1077" s="2"/>
      <c r="Z1077" s="2"/>
      <c r="AA1077" s="2"/>
      <c r="AB1077" s="2"/>
      <c r="AC1077" s="2"/>
      <c r="AD1077" s="2"/>
    </row>
    <row r="1078" spans="1:30" ht="12" customHeight="1">
      <c r="A1078" s="828" t="s">
        <v>17772</v>
      </c>
      <c r="B1078" s="3" t="s">
        <v>4022</v>
      </c>
      <c r="C1078" s="1" t="s">
        <v>4029</v>
      </c>
      <c r="D1078" s="5">
        <f t="shared" si="16"/>
        <v>49</v>
      </c>
      <c r="E1078" s="2" t="s">
        <v>5</v>
      </c>
      <c r="F1078" s="6" t="s">
        <v>15273</v>
      </c>
      <c r="G1078" s="3" t="s">
        <v>4030</v>
      </c>
      <c r="H1078" s="1"/>
      <c r="I1078" s="1"/>
      <c r="J1078" s="8" t="s">
        <v>16127</v>
      </c>
      <c r="K1078" s="1" t="s">
        <v>44</v>
      </c>
      <c r="L1078" s="1" t="s">
        <v>25</v>
      </c>
      <c r="M1078" s="825">
        <v>3</v>
      </c>
      <c r="N1078" s="17">
        <v>3</v>
      </c>
      <c r="O1078" s="3" t="s">
        <v>317</v>
      </c>
      <c r="P1078" s="20">
        <v>23210</v>
      </c>
      <c r="Q1078" s="3" t="s">
        <v>4031</v>
      </c>
      <c r="R1078" s="3" t="s">
        <v>247</v>
      </c>
      <c r="S1078" s="3" t="s">
        <v>736</v>
      </c>
      <c r="T1078" s="3" t="s">
        <v>47</v>
      </c>
      <c r="U1078" s="2" t="s">
        <v>47</v>
      </c>
      <c r="V1078" s="2"/>
      <c r="W1078" s="2"/>
      <c r="X1078" s="2"/>
      <c r="Y1078" s="2"/>
      <c r="Z1078" s="2"/>
      <c r="AA1078" s="2"/>
      <c r="AB1078" s="2"/>
      <c r="AC1078" s="2"/>
      <c r="AD1078" s="2"/>
    </row>
    <row r="1079" spans="1:30" ht="12" customHeight="1">
      <c r="A1079" s="828" t="s">
        <v>17773</v>
      </c>
      <c r="B1079" s="3" t="s">
        <v>4023</v>
      </c>
      <c r="C1079" s="1" t="s">
        <v>4032</v>
      </c>
      <c r="D1079" s="5">
        <f t="shared" si="16"/>
        <v>29</v>
      </c>
      <c r="E1079" s="2" t="s">
        <v>5</v>
      </c>
      <c r="F1079" s="2" t="s">
        <v>15273</v>
      </c>
      <c r="G1079" s="3"/>
      <c r="H1079" s="1"/>
      <c r="I1079" s="1"/>
      <c r="J1079" s="8" t="s">
        <v>16120</v>
      </c>
      <c r="K1079" s="1" t="s">
        <v>30</v>
      </c>
      <c r="L1079" s="1" t="s">
        <v>6</v>
      </c>
      <c r="M1079" s="825"/>
      <c r="N1079" s="17"/>
      <c r="O1079" s="3" t="s">
        <v>450</v>
      </c>
      <c r="P1079" s="20">
        <v>30414</v>
      </c>
      <c r="Q1079" s="3" t="s">
        <v>4033</v>
      </c>
      <c r="R1079" s="3"/>
      <c r="S1079" s="3" t="s">
        <v>5457</v>
      </c>
      <c r="T1079" s="3" t="s">
        <v>104</v>
      </c>
      <c r="U1079" s="2"/>
      <c r="V1079" s="2"/>
      <c r="W1079" s="2"/>
      <c r="X1079" s="2"/>
      <c r="Y1079" s="2"/>
      <c r="Z1079" s="2"/>
      <c r="AA1079" s="2" t="s">
        <v>104</v>
      </c>
      <c r="AB1079" s="2"/>
      <c r="AC1079" s="2"/>
      <c r="AD1079" s="2"/>
    </row>
    <row r="1080" spans="1:30" ht="12" customHeight="1">
      <c r="A1080" s="828" t="s">
        <v>17774</v>
      </c>
      <c r="B1080" s="3" t="s">
        <v>4024</v>
      </c>
      <c r="C1080" s="1" t="s">
        <v>5235</v>
      </c>
      <c r="D1080" s="5">
        <f t="shared" si="16"/>
        <v>30</v>
      </c>
      <c r="E1080" s="2" t="s">
        <v>5</v>
      </c>
      <c r="F1080" s="2" t="s">
        <v>15273</v>
      </c>
      <c r="G1080" s="3"/>
      <c r="H1080" s="1"/>
      <c r="I1080" s="1"/>
      <c r="J1080" s="4" t="s">
        <v>16116</v>
      </c>
      <c r="K1080" s="1" t="s">
        <v>4997</v>
      </c>
      <c r="L1080" s="1" t="s">
        <v>6</v>
      </c>
      <c r="M1080" s="825"/>
      <c r="N1080" s="17"/>
      <c r="O1080" s="3" t="s">
        <v>5236</v>
      </c>
      <c r="P1080" s="21">
        <v>30183</v>
      </c>
      <c r="Q1080" s="3" t="s">
        <v>16558</v>
      </c>
      <c r="R1080" s="3"/>
      <c r="S1080" s="3" t="s">
        <v>469</v>
      </c>
      <c r="T1080" s="3"/>
      <c r="U1080" s="2"/>
      <c r="V1080" s="2"/>
      <c r="W1080" s="2"/>
      <c r="X1080" s="2"/>
      <c r="Y1080" s="2"/>
      <c r="Z1080" s="2"/>
      <c r="AA1080" s="2"/>
      <c r="AB1080" s="2"/>
      <c r="AC1080" s="2"/>
      <c r="AD1080" s="2"/>
    </row>
    <row r="1081" spans="1:30" ht="12" customHeight="1">
      <c r="A1081" s="828" t="s">
        <v>17775</v>
      </c>
      <c r="B1081" s="3" t="s">
        <v>5234</v>
      </c>
      <c r="C1081" s="1" t="s">
        <v>4034</v>
      </c>
      <c r="D1081" s="5">
        <f t="shared" si="16"/>
        <v>56</v>
      </c>
      <c r="E1081" s="2" t="s">
        <v>5</v>
      </c>
      <c r="F1081" s="2"/>
      <c r="G1081" s="3"/>
      <c r="H1081" s="1"/>
      <c r="I1081" s="1"/>
      <c r="J1081" s="4" t="s">
        <v>16117</v>
      </c>
      <c r="K1081" s="1"/>
      <c r="L1081" s="1" t="s">
        <v>6</v>
      </c>
      <c r="M1081" s="825"/>
      <c r="N1081" s="17"/>
      <c r="O1081" s="3" t="s">
        <v>4036</v>
      </c>
      <c r="P1081" s="21">
        <v>20767</v>
      </c>
      <c r="Q1081" s="3" t="s">
        <v>4035</v>
      </c>
      <c r="R1081" s="3"/>
      <c r="S1081" s="3"/>
      <c r="T1081" s="3"/>
      <c r="U1081" s="2"/>
      <c r="V1081" s="2"/>
      <c r="W1081" s="2"/>
      <c r="X1081" s="2"/>
      <c r="Y1081" s="2"/>
      <c r="Z1081" s="2"/>
      <c r="AA1081" s="2"/>
      <c r="AB1081" s="2"/>
      <c r="AC1081" s="2"/>
      <c r="AD1081" s="2"/>
    </row>
    <row r="1082" spans="1:30" ht="12" customHeight="1">
      <c r="A1082" s="828" t="s">
        <v>17776</v>
      </c>
      <c r="B1082" s="3" t="s">
        <v>4037</v>
      </c>
      <c r="C1082" s="1" t="s">
        <v>4040</v>
      </c>
      <c r="D1082" s="5">
        <f t="shared" si="16"/>
        <v>29</v>
      </c>
      <c r="E1082" s="2" t="s">
        <v>5</v>
      </c>
      <c r="F1082" s="6" t="s">
        <v>15273</v>
      </c>
      <c r="G1082" s="3"/>
      <c r="H1082" s="1"/>
      <c r="I1082" s="1"/>
      <c r="J1082" s="8" t="s">
        <v>16127</v>
      </c>
      <c r="K1082" s="1" t="s">
        <v>44</v>
      </c>
      <c r="L1082" s="1" t="s">
        <v>6</v>
      </c>
      <c r="M1082" s="825"/>
      <c r="N1082" s="17"/>
      <c r="O1082" s="3" t="s">
        <v>4041</v>
      </c>
      <c r="P1082" s="20">
        <v>30338</v>
      </c>
      <c r="Q1082" s="3" t="s">
        <v>4042</v>
      </c>
      <c r="R1082" s="3"/>
      <c r="S1082" s="3"/>
      <c r="T1082" s="3"/>
      <c r="U1082" s="2"/>
      <c r="V1082" s="2"/>
      <c r="W1082" s="2"/>
      <c r="X1082" s="2"/>
      <c r="Y1082" s="2"/>
      <c r="Z1082" s="2"/>
      <c r="AA1082" s="2"/>
      <c r="AB1082" s="2"/>
      <c r="AC1082" s="2"/>
      <c r="AD1082" s="2"/>
    </row>
    <row r="1083" spans="1:30" ht="12" customHeight="1">
      <c r="A1083" s="828" t="s">
        <v>17777</v>
      </c>
      <c r="B1083" s="3" t="s">
        <v>4038</v>
      </c>
      <c r="C1083" s="1" t="s">
        <v>4043</v>
      </c>
      <c r="D1083" s="5">
        <f t="shared" si="16"/>
        <v>70</v>
      </c>
      <c r="E1083" s="2" t="s">
        <v>5</v>
      </c>
      <c r="F1083" s="2" t="s">
        <v>15273</v>
      </c>
      <c r="G1083" s="3" t="s">
        <v>4044</v>
      </c>
      <c r="H1083" s="1"/>
      <c r="I1083" s="1"/>
      <c r="J1083" s="4" t="s">
        <v>16120</v>
      </c>
      <c r="K1083" s="1" t="s">
        <v>30</v>
      </c>
      <c r="L1083" s="1" t="s">
        <v>25</v>
      </c>
      <c r="M1083" s="825">
        <v>10</v>
      </c>
      <c r="N1083" s="17">
        <v>10</v>
      </c>
      <c r="O1083" s="3" t="s">
        <v>381</v>
      </c>
      <c r="P1083" s="20">
        <v>15415</v>
      </c>
      <c r="Q1083" s="3" t="s">
        <v>727</v>
      </c>
      <c r="R1083" s="3" t="s">
        <v>4046</v>
      </c>
      <c r="S1083" s="3" t="s">
        <v>5457</v>
      </c>
      <c r="T1083" s="3" t="s">
        <v>3181</v>
      </c>
      <c r="U1083" s="2"/>
      <c r="V1083" s="2"/>
      <c r="W1083" s="2"/>
      <c r="X1083" s="2"/>
      <c r="Y1083" s="2"/>
      <c r="Z1083" s="2"/>
      <c r="AA1083" s="2" t="s">
        <v>104</v>
      </c>
      <c r="AB1083" s="2" t="s">
        <v>147</v>
      </c>
      <c r="AC1083" s="2"/>
      <c r="AD1083" s="2"/>
    </row>
    <row r="1084" spans="1:30" ht="12" customHeight="1">
      <c r="A1084" s="828" t="s">
        <v>17778</v>
      </c>
      <c r="B1084" s="3" t="s">
        <v>4039</v>
      </c>
      <c r="C1084" s="1" t="s">
        <v>6136</v>
      </c>
      <c r="D1084" s="5">
        <f t="shared" si="16"/>
        <v>53</v>
      </c>
      <c r="E1084" s="2" t="s">
        <v>5</v>
      </c>
      <c r="F1084" s="2" t="s">
        <v>15273</v>
      </c>
      <c r="G1084" s="3"/>
      <c r="H1084" s="1"/>
      <c r="I1084" s="1"/>
      <c r="J1084" s="4" t="s">
        <v>16125</v>
      </c>
      <c r="K1084" s="1"/>
      <c r="L1084" s="1" t="s">
        <v>6</v>
      </c>
      <c r="M1084" s="825"/>
      <c r="N1084" s="17"/>
      <c r="O1084" s="3" t="s">
        <v>1282</v>
      </c>
      <c r="P1084" s="20">
        <v>21558</v>
      </c>
      <c r="Q1084" s="3" t="s">
        <v>6137</v>
      </c>
      <c r="R1084" s="3"/>
      <c r="S1084" s="3" t="s">
        <v>5561</v>
      </c>
      <c r="T1084" s="3"/>
      <c r="U1084" s="2"/>
      <c r="V1084" s="2"/>
      <c r="W1084" s="2"/>
      <c r="X1084" s="2"/>
      <c r="Y1084" s="2"/>
      <c r="Z1084" s="2"/>
      <c r="AA1084" s="2"/>
      <c r="AB1084" s="2"/>
      <c r="AC1084" s="2"/>
      <c r="AD1084" s="2"/>
    </row>
    <row r="1085" spans="1:30" ht="12" customHeight="1">
      <c r="A1085" s="828" t="s">
        <v>17779</v>
      </c>
      <c r="B1085" s="3" t="s">
        <v>6135</v>
      </c>
      <c r="C1085" s="1" t="s">
        <v>4047</v>
      </c>
      <c r="D1085" s="5">
        <f t="shared" si="16"/>
        <v>54</v>
      </c>
      <c r="E1085" s="2" t="s">
        <v>5</v>
      </c>
      <c r="F1085" s="2"/>
      <c r="G1085" s="3"/>
      <c r="H1085" s="1"/>
      <c r="I1085" s="1"/>
      <c r="J1085" s="4" t="s">
        <v>16117</v>
      </c>
      <c r="K1085" s="1"/>
      <c r="L1085" s="1" t="s">
        <v>6</v>
      </c>
      <c r="M1085" s="825"/>
      <c r="N1085" s="17"/>
      <c r="O1085" s="3" t="s">
        <v>3306</v>
      </c>
      <c r="P1085" s="20">
        <v>21246</v>
      </c>
      <c r="Q1085" s="3" t="s">
        <v>4048</v>
      </c>
      <c r="R1085" s="3"/>
      <c r="S1085" s="3"/>
      <c r="T1085" s="3"/>
      <c r="U1085" s="2"/>
      <c r="V1085" s="2"/>
      <c r="W1085" s="2"/>
      <c r="X1085" s="2"/>
      <c r="Y1085" s="2"/>
      <c r="Z1085" s="2"/>
      <c r="AA1085" s="2"/>
      <c r="AB1085" s="2"/>
      <c r="AC1085" s="2"/>
      <c r="AD1085" s="2"/>
    </row>
    <row r="1086" spans="1:30" ht="12" customHeight="1">
      <c r="A1086" s="828" t="s">
        <v>17780</v>
      </c>
      <c r="B1086" s="3" t="s">
        <v>4049</v>
      </c>
      <c r="C1086" s="1" t="s">
        <v>4052</v>
      </c>
      <c r="D1086" s="5">
        <f t="shared" si="16"/>
        <v>58</v>
      </c>
      <c r="E1086" s="2" t="s">
        <v>5</v>
      </c>
      <c r="F1086" s="6" t="s">
        <v>15273</v>
      </c>
      <c r="G1086" s="3" t="s">
        <v>4053</v>
      </c>
      <c r="H1086" s="1"/>
      <c r="I1086" s="1"/>
      <c r="J1086" s="8" t="s">
        <v>16126</v>
      </c>
      <c r="K1086" s="1" t="s">
        <v>44</v>
      </c>
      <c r="L1086" s="1" t="s">
        <v>25</v>
      </c>
      <c r="M1086" s="825">
        <v>5</v>
      </c>
      <c r="N1086" s="17">
        <v>5</v>
      </c>
      <c r="O1086" s="3" t="s">
        <v>317</v>
      </c>
      <c r="P1086" s="20">
        <v>19738</v>
      </c>
      <c r="Q1086" s="3" t="s">
        <v>4054</v>
      </c>
      <c r="R1086" s="3" t="s">
        <v>4056</v>
      </c>
      <c r="S1086" s="3" t="s">
        <v>736</v>
      </c>
      <c r="T1086" s="3" t="s">
        <v>658</v>
      </c>
      <c r="U1086" s="2" t="s">
        <v>47</v>
      </c>
      <c r="V1086" s="2"/>
      <c r="W1086" s="2"/>
      <c r="X1086" s="2"/>
      <c r="Y1086" s="2"/>
      <c r="Z1086" s="2"/>
      <c r="AA1086" s="2"/>
      <c r="AB1086" s="2" t="s">
        <v>147</v>
      </c>
      <c r="AC1086" s="2"/>
      <c r="AD1086" s="2"/>
    </row>
    <row r="1087" spans="1:30" ht="12" customHeight="1">
      <c r="A1087" s="828" t="s">
        <v>17781</v>
      </c>
      <c r="B1087" s="3" t="s">
        <v>4050</v>
      </c>
      <c r="C1087" s="1" t="s">
        <v>4057</v>
      </c>
      <c r="D1087" s="5">
        <f t="shared" si="16"/>
        <v>53</v>
      </c>
      <c r="E1087" s="2" t="s">
        <v>5</v>
      </c>
      <c r="F1087" s="2" t="s">
        <v>15273</v>
      </c>
      <c r="G1087" s="3" t="s">
        <v>4058</v>
      </c>
      <c r="H1087" s="1" t="s">
        <v>373</v>
      </c>
      <c r="I1087" s="1"/>
      <c r="J1087" s="4" t="s">
        <v>16120</v>
      </c>
      <c r="K1087" s="1" t="s">
        <v>48</v>
      </c>
      <c r="L1087" s="1" t="s">
        <v>6</v>
      </c>
      <c r="M1087" s="825"/>
      <c r="N1087" s="17">
        <v>3</v>
      </c>
      <c r="O1087" s="3" t="s">
        <v>31</v>
      </c>
      <c r="P1087" s="20">
        <v>21641</v>
      </c>
      <c r="Q1087" s="3" t="s">
        <v>3431</v>
      </c>
      <c r="R1087" s="3" t="s">
        <v>4060</v>
      </c>
      <c r="S1087" s="3" t="s">
        <v>5457</v>
      </c>
      <c r="T1087" s="3" t="s">
        <v>1291</v>
      </c>
      <c r="U1087" s="2"/>
      <c r="V1087" s="2"/>
      <c r="W1087" s="2"/>
      <c r="X1087" s="2" t="s">
        <v>229</v>
      </c>
      <c r="Y1087" s="2"/>
      <c r="Z1087" s="2"/>
      <c r="AA1087" s="2" t="s">
        <v>104</v>
      </c>
      <c r="AB1087" s="2"/>
      <c r="AC1087" s="2"/>
      <c r="AD1087" s="2"/>
    </row>
    <row r="1088" spans="1:30" ht="12" customHeight="1">
      <c r="A1088" s="828" t="s">
        <v>17782</v>
      </c>
      <c r="B1088" s="3" t="s">
        <v>4051</v>
      </c>
      <c r="C1088" s="1" t="s">
        <v>5432</v>
      </c>
      <c r="D1088" s="5">
        <f t="shared" si="16"/>
        <v>29</v>
      </c>
      <c r="E1088" s="2" t="s">
        <v>19</v>
      </c>
      <c r="F1088" s="2" t="s">
        <v>15273</v>
      </c>
      <c r="G1088" s="3"/>
      <c r="H1088" s="1"/>
      <c r="I1088" s="1"/>
      <c r="J1088" s="4" t="s">
        <v>16116</v>
      </c>
      <c r="K1088" s="1" t="s">
        <v>4997</v>
      </c>
      <c r="L1088" s="1" t="s">
        <v>6</v>
      </c>
      <c r="M1088" s="825"/>
      <c r="N1088" s="17"/>
      <c r="O1088" s="3" t="s">
        <v>5433</v>
      </c>
      <c r="P1088" s="21">
        <v>30495</v>
      </c>
      <c r="Q1088" s="3" t="s">
        <v>5434</v>
      </c>
      <c r="R1088" s="3"/>
      <c r="S1088" s="3" t="s">
        <v>469</v>
      </c>
      <c r="T1088" s="3" t="s">
        <v>145</v>
      </c>
      <c r="U1088" s="2"/>
      <c r="V1088" s="2" t="s">
        <v>145</v>
      </c>
      <c r="W1088" s="2"/>
      <c r="X1088" s="2"/>
      <c r="Y1088" s="2"/>
      <c r="Z1088" s="2"/>
      <c r="AA1088" s="2"/>
      <c r="AB1088" s="2"/>
      <c r="AC1088" s="2"/>
      <c r="AD1088" s="2"/>
    </row>
    <row r="1089" spans="1:30" ht="12" customHeight="1">
      <c r="A1089" s="828" t="s">
        <v>17783</v>
      </c>
      <c r="B1089" s="3" t="s">
        <v>5431</v>
      </c>
      <c r="C1089" s="1" t="s">
        <v>4062</v>
      </c>
      <c r="D1089" s="5">
        <f t="shared" ref="D1089:D1152" si="17">DATEDIF(P1089,$P$1505,"Y")</f>
        <v>58</v>
      </c>
      <c r="E1089" s="2" t="s">
        <v>5</v>
      </c>
      <c r="F1089" s="2"/>
      <c r="G1089" s="3"/>
      <c r="H1089" s="1"/>
      <c r="I1089" s="1"/>
      <c r="J1089" s="4" t="s">
        <v>16117</v>
      </c>
      <c r="K1089" s="1"/>
      <c r="L1089" s="1" t="s">
        <v>6</v>
      </c>
      <c r="M1089" s="825"/>
      <c r="N1089" s="17"/>
      <c r="O1089" s="3" t="s">
        <v>4063</v>
      </c>
      <c r="P1089" s="21">
        <v>19867</v>
      </c>
      <c r="Q1089" s="3" t="s">
        <v>4064</v>
      </c>
      <c r="R1089" s="3"/>
      <c r="S1089" s="3"/>
      <c r="T1089" s="3" t="s">
        <v>145</v>
      </c>
      <c r="U1089" s="2"/>
      <c r="V1089" s="2" t="s">
        <v>145</v>
      </c>
      <c r="W1089" s="2"/>
      <c r="X1089" s="2"/>
      <c r="Y1089" s="2"/>
      <c r="Z1089" s="2"/>
      <c r="AA1089" s="2"/>
      <c r="AB1089" s="2"/>
      <c r="AC1089" s="2"/>
      <c r="AD1089" s="2"/>
    </row>
    <row r="1090" spans="1:30" ht="12" customHeight="1">
      <c r="A1090" s="828" t="s">
        <v>17784</v>
      </c>
      <c r="B1090" s="3" t="s">
        <v>4065</v>
      </c>
      <c r="C1090" s="1" t="s">
        <v>4068</v>
      </c>
      <c r="D1090" s="5">
        <f t="shared" si="17"/>
        <v>34</v>
      </c>
      <c r="E1090" s="2" t="s">
        <v>5</v>
      </c>
      <c r="F1090" s="6" t="s">
        <v>15273</v>
      </c>
      <c r="G1090" s="3" t="s">
        <v>4069</v>
      </c>
      <c r="H1090" s="1"/>
      <c r="I1090" s="1"/>
      <c r="J1090" s="8" t="s">
        <v>16127</v>
      </c>
      <c r="K1090" s="1" t="s">
        <v>44</v>
      </c>
      <c r="L1090" s="1" t="s">
        <v>25</v>
      </c>
      <c r="M1090" s="825">
        <v>1</v>
      </c>
      <c r="N1090" s="17">
        <v>1</v>
      </c>
      <c r="O1090" s="3" t="s">
        <v>4070</v>
      </c>
      <c r="P1090" s="20">
        <v>28524</v>
      </c>
      <c r="Q1090" s="3" t="s">
        <v>4071</v>
      </c>
      <c r="R1090" s="3"/>
      <c r="S1090" s="3" t="s">
        <v>736</v>
      </c>
      <c r="T1090" s="3"/>
      <c r="U1090" s="2"/>
      <c r="V1090" s="2"/>
      <c r="W1090" s="2"/>
      <c r="X1090" s="2"/>
      <c r="Y1090" s="2"/>
      <c r="Z1090" s="2"/>
      <c r="AA1090" s="2"/>
      <c r="AB1090" s="2"/>
      <c r="AC1090" s="2"/>
      <c r="AD1090" s="2"/>
    </row>
    <row r="1091" spans="1:30" ht="12" customHeight="1">
      <c r="A1091" s="828" t="s">
        <v>17785</v>
      </c>
      <c r="B1091" s="3" t="s">
        <v>4066</v>
      </c>
      <c r="C1091" s="1" t="s">
        <v>4072</v>
      </c>
      <c r="D1091" s="5">
        <f t="shared" si="17"/>
        <v>70</v>
      </c>
      <c r="E1091" s="2" t="s">
        <v>5</v>
      </c>
      <c r="F1091" s="2" t="s">
        <v>15273</v>
      </c>
      <c r="G1091" s="3" t="s">
        <v>4073</v>
      </c>
      <c r="H1091" s="1"/>
      <c r="I1091" s="1"/>
      <c r="J1091" s="8" t="s">
        <v>16120</v>
      </c>
      <c r="K1091" s="1" t="s">
        <v>65</v>
      </c>
      <c r="L1091" s="1" t="s">
        <v>25</v>
      </c>
      <c r="M1091" s="825">
        <v>7</v>
      </c>
      <c r="N1091" s="17">
        <v>7</v>
      </c>
      <c r="O1091" s="3" t="s">
        <v>31</v>
      </c>
      <c r="P1091" s="20">
        <v>15655</v>
      </c>
      <c r="Q1091" s="3" t="s">
        <v>4074</v>
      </c>
      <c r="R1091" s="3" t="s">
        <v>4076</v>
      </c>
      <c r="S1091" s="3" t="s">
        <v>5457</v>
      </c>
      <c r="T1091" s="3" t="s">
        <v>145</v>
      </c>
      <c r="U1091" s="2"/>
      <c r="V1091" s="2" t="s">
        <v>145</v>
      </c>
      <c r="W1091" s="2"/>
      <c r="X1091" s="2"/>
      <c r="Y1091" s="2"/>
      <c r="Z1091" s="2"/>
      <c r="AA1091" s="2"/>
      <c r="AB1091" s="2"/>
      <c r="AC1091" s="2"/>
      <c r="AD1091" s="2"/>
    </row>
    <row r="1092" spans="1:30" ht="12" customHeight="1">
      <c r="A1092" s="828" t="s">
        <v>17786</v>
      </c>
      <c r="B1092" s="3" t="s">
        <v>4067</v>
      </c>
      <c r="C1092" s="1" t="s">
        <v>4077</v>
      </c>
      <c r="D1092" s="5">
        <f t="shared" si="17"/>
        <v>51</v>
      </c>
      <c r="E1092" s="2" t="s">
        <v>19</v>
      </c>
      <c r="F1092" s="2"/>
      <c r="G1092" s="3"/>
      <c r="H1092" s="1"/>
      <c r="I1092" s="1"/>
      <c r="J1092" s="4" t="s">
        <v>16117</v>
      </c>
      <c r="K1092" s="1"/>
      <c r="L1092" s="1" t="s">
        <v>6</v>
      </c>
      <c r="M1092" s="825"/>
      <c r="N1092" s="17"/>
      <c r="O1092" s="3" t="s">
        <v>4078</v>
      </c>
      <c r="P1092" s="21">
        <v>22599</v>
      </c>
      <c r="Q1092" s="3" t="s">
        <v>4079</v>
      </c>
      <c r="R1092" s="3"/>
      <c r="S1092" s="3"/>
      <c r="T1092" s="3"/>
      <c r="U1092" s="2"/>
      <c r="V1092" s="2"/>
      <c r="W1092" s="2"/>
      <c r="X1092" s="2"/>
      <c r="Y1092" s="2"/>
      <c r="Z1092" s="2"/>
      <c r="AA1092" s="2"/>
      <c r="AB1092" s="2"/>
      <c r="AC1092" s="2"/>
      <c r="AD1092" s="2"/>
    </row>
    <row r="1093" spans="1:30" ht="12" customHeight="1">
      <c r="A1093" s="828" t="s">
        <v>17787</v>
      </c>
      <c r="B1093" s="3" t="s">
        <v>4080</v>
      </c>
      <c r="C1093" s="1" t="s">
        <v>5697</v>
      </c>
      <c r="D1093" s="5">
        <f t="shared" si="17"/>
        <v>45</v>
      </c>
      <c r="E1093" s="2" t="s">
        <v>5</v>
      </c>
      <c r="F1093" s="6" t="s">
        <v>15273</v>
      </c>
      <c r="G1093" s="3"/>
      <c r="H1093" s="1"/>
      <c r="I1093" s="1"/>
      <c r="J1093" s="8" t="s">
        <v>16127</v>
      </c>
      <c r="K1093" s="1" t="s">
        <v>44</v>
      </c>
      <c r="L1093" s="1" t="s">
        <v>6</v>
      </c>
      <c r="M1093" s="825"/>
      <c r="N1093" s="17"/>
      <c r="O1093" s="3" t="s">
        <v>123</v>
      </c>
      <c r="P1093" s="20">
        <v>24570</v>
      </c>
      <c r="Q1093" s="3" t="s">
        <v>5839</v>
      </c>
      <c r="R1093" s="3"/>
      <c r="S1093" s="3"/>
      <c r="T1093" s="3"/>
      <c r="U1093" s="2"/>
      <c r="V1093" s="2"/>
      <c r="W1093" s="2"/>
      <c r="X1093" s="2"/>
      <c r="Y1093" s="2"/>
      <c r="Z1093" s="2"/>
      <c r="AA1093" s="2"/>
      <c r="AB1093" s="2"/>
      <c r="AC1093" s="2"/>
      <c r="AD1093" s="2"/>
    </row>
    <row r="1094" spans="1:30" ht="12" customHeight="1">
      <c r="A1094" s="828" t="s">
        <v>17788</v>
      </c>
      <c r="B1094" s="3" t="s">
        <v>4081</v>
      </c>
      <c r="C1094" s="1" t="s">
        <v>4083</v>
      </c>
      <c r="D1094" s="5">
        <f t="shared" si="17"/>
        <v>58</v>
      </c>
      <c r="E1094" s="2" t="s">
        <v>5</v>
      </c>
      <c r="F1094" s="2"/>
      <c r="G1094" s="3" t="s">
        <v>4084</v>
      </c>
      <c r="H1094" s="1"/>
      <c r="I1094" s="1"/>
      <c r="J1094" s="4" t="s">
        <v>16120</v>
      </c>
      <c r="K1094" s="1" t="s">
        <v>30</v>
      </c>
      <c r="L1094" s="1" t="s">
        <v>25</v>
      </c>
      <c r="M1094" s="825">
        <v>6</v>
      </c>
      <c r="N1094" s="17">
        <v>6</v>
      </c>
      <c r="O1094" s="3" t="s">
        <v>451</v>
      </c>
      <c r="P1094" s="20">
        <v>19988</v>
      </c>
      <c r="Q1094" s="3" t="s">
        <v>4085</v>
      </c>
      <c r="R1094" s="3" t="s">
        <v>4087</v>
      </c>
      <c r="S1094" s="3" t="s">
        <v>5457</v>
      </c>
      <c r="T1094" s="3" t="s">
        <v>104</v>
      </c>
      <c r="U1094" s="2"/>
      <c r="V1094" s="2"/>
      <c r="W1094" s="2"/>
      <c r="X1094" s="2"/>
      <c r="Y1094" s="2"/>
      <c r="Z1094" s="2"/>
      <c r="AA1094" s="2" t="s">
        <v>104</v>
      </c>
      <c r="AB1094" s="2"/>
      <c r="AC1094" s="2"/>
      <c r="AD1094" s="2"/>
    </row>
    <row r="1095" spans="1:30" ht="12" customHeight="1">
      <c r="A1095" s="828" t="s">
        <v>17789</v>
      </c>
      <c r="B1095" s="3" t="s">
        <v>4082</v>
      </c>
      <c r="C1095" s="1" t="s">
        <v>4088</v>
      </c>
      <c r="D1095" s="5">
        <f t="shared" si="17"/>
        <v>48</v>
      </c>
      <c r="E1095" s="2" t="s">
        <v>5</v>
      </c>
      <c r="F1095" s="2"/>
      <c r="G1095" s="3"/>
      <c r="H1095" s="1"/>
      <c r="I1095" s="1"/>
      <c r="J1095" s="4" t="s">
        <v>16117</v>
      </c>
      <c r="K1095" s="1"/>
      <c r="L1095" s="1" t="s">
        <v>6</v>
      </c>
      <c r="M1095" s="825"/>
      <c r="N1095" s="17"/>
      <c r="O1095" s="3" t="s">
        <v>4089</v>
      </c>
      <c r="P1095" s="21">
        <v>23684</v>
      </c>
      <c r="Q1095" s="3" t="s">
        <v>4090</v>
      </c>
      <c r="R1095" s="3"/>
      <c r="S1095" s="3"/>
      <c r="T1095" s="3" t="s">
        <v>145</v>
      </c>
      <c r="U1095" s="2"/>
      <c r="V1095" s="2" t="s">
        <v>145</v>
      </c>
      <c r="W1095" s="2"/>
      <c r="X1095" s="2"/>
      <c r="Y1095" s="2"/>
      <c r="Z1095" s="2"/>
      <c r="AA1095" s="2"/>
      <c r="AB1095" s="2"/>
      <c r="AC1095" s="2"/>
      <c r="AD1095" s="2"/>
    </row>
    <row r="1096" spans="1:30" ht="12" customHeight="1">
      <c r="A1096" s="828" t="s">
        <v>17790</v>
      </c>
      <c r="B1096" s="3" t="s">
        <v>4116</v>
      </c>
      <c r="C1096" s="1" t="s">
        <v>4119</v>
      </c>
      <c r="D1096" s="5">
        <f t="shared" si="17"/>
        <v>66</v>
      </c>
      <c r="E1096" s="2" t="s">
        <v>5</v>
      </c>
      <c r="F1096" s="6" t="s">
        <v>15273</v>
      </c>
      <c r="G1096" s="3" t="s">
        <v>4120</v>
      </c>
      <c r="H1096" s="1"/>
      <c r="I1096" s="1"/>
      <c r="J1096" s="8" t="s">
        <v>16126</v>
      </c>
      <c r="K1096" s="1" t="s">
        <v>45</v>
      </c>
      <c r="L1096" s="1" t="s">
        <v>25</v>
      </c>
      <c r="M1096" s="825">
        <v>6</v>
      </c>
      <c r="N1096" s="17">
        <v>6</v>
      </c>
      <c r="O1096" s="3" t="s">
        <v>2223</v>
      </c>
      <c r="P1096" s="20">
        <v>16817</v>
      </c>
      <c r="Q1096" s="3" t="s">
        <v>727</v>
      </c>
      <c r="R1096" s="3"/>
      <c r="S1096" s="3" t="s">
        <v>736</v>
      </c>
      <c r="T1096" s="3" t="s">
        <v>147</v>
      </c>
      <c r="U1096" s="2"/>
      <c r="V1096" s="2"/>
      <c r="W1096" s="2"/>
      <c r="X1096" s="2"/>
      <c r="Y1096" s="2"/>
      <c r="Z1096" s="2"/>
      <c r="AA1096" s="2"/>
      <c r="AB1096" s="2" t="s">
        <v>147</v>
      </c>
      <c r="AC1096" s="2"/>
      <c r="AD1096" s="2"/>
    </row>
    <row r="1097" spans="1:30" ht="12" customHeight="1">
      <c r="A1097" s="828" t="s">
        <v>17791</v>
      </c>
      <c r="B1097" s="3" t="s">
        <v>4117</v>
      </c>
      <c r="C1097" s="1" t="s">
        <v>4122</v>
      </c>
      <c r="D1097" s="5">
        <f t="shared" si="17"/>
        <v>59</v>
      </c>
      <c r="E1097" s="2" t="s">
        <v>5</v>
      </c>
      <c r="F1097" s="2" t="s">
        <v>15273</v>
      </c>
      <c r="G1097" s="3"/>
      <c r="H1097" s="1"/>
      <c r="I1097" s="1"/>
      <c r="J1097" s="4" t="s">
        <v>16120</v>
      </c>
      <c r="K1097" s="1" t="s">
        <v>30</v>
      </c>
      <c r="L1097" s="1" t="s">
        <v>6</v>
      </c>
      <c r="M1097" s="825"/>
      <c r="N1097" s="17"/>
      <c r="O1097" s="3" t="s">
        <v>4123</v>
      </c>
      <c r="P1097" s="20">
        <v>19347</v>
      </c>
      <c r="Q1097" s="3" t="s">
        <v>4128</v>
      </c>
      <c r="R1097" s="3"/>
      <c r="S1097" s="3" t="s">
        <v>5457</v>
      </c>
      <c r="T1097" s="3" t="s">
        <v>145</v>
      </c>
      <c r="U1097" s="2"/>
      <c r="V1097" s="2" t="s">
        <v>145</v>
      </c>
      <c r="W1097" s="2"/>
      <c r="X1097" s="2"/>
      <c r="Y1097" s="2"/>
      <c r="Z1097" s="2"/>
      <c r="AA1097" s="2"/>
      <c r="AB1097" s="2"/>
      <c r="AC1097" s="2"/>
      <c r="AD1097" s="2"/>
    </row>
    <row r="1098" spans="1:30" ht="12" customHeight="1">
      <c r="A1098" s="828" t="s">
        <v>17792</v>
      </c>
      <c r="B1098" s="3" t="s">
        <v>4118</v>
      </c>
      <c r="C1098" s="1" t="s">
        <v>4125</v>
      </c>
      <c r="D1098" s="5">
        <f t="shared" si="17"/>
        <v>64</v>
      </c>
      <c r="E1098" s="2" t="s">
        <v>5</v>
      </c>
      <c r="F1098" s="2"/>
      <c r="G1098" s="3"/>
      <c r="H1098" s="1"/>
      <c r="I1098" s="1"/>
      <c r="J1098" s="4" t="s">
        <v>16117</v>
      </c>
      <c r="K1098" s="1"/>
      <c r="L1098" s="1" t="s">
        <v>6</v>
      </c>
      <c r="M1098" s="825"/>
      <c r="N1098" s="17"/>
      <c r="O1098" s="3" t="s">
        <v>3693</v>
      </c>
      <c r="P1098" s="20">
        <v>17560</v>
      </c>
      <c r="Q1098" s="3" t="s">
        <v>4126</v>
      </c>
      <c r="R1098" s="3"/>
      <c r="S1098" s="3"/>
      <c r="T1098" s="3"/>
      <c r="U1098" s="2"/>
      <c r="V1098" s="2"/>
      <c r="W1098" s="2"/>
      <c r="X1098" s="2"/>
      <c r="Y1098" s="2"/>
      <c r="Z1098" s="2"/>
      <c r="AA1098" s="2"/>
      <c r="AB1098" s="2"/>
      <c r="AC1098" s="2"/>
      <c r="AD1098" s="2"/>
    </row>
    <row r="1099" spans="1:30" ht="12" customHeight="1">
      <c r="A1099" s="828" t="s">
        <v>17793</v>
      </c>
      <c r="B1099" s="3" t="s">
        <v>4127</v>
      </c>
      <c r="C1099" s="1" t="s">
        <v>4131</v>
      </c>
      <c r="D1099" s="5">
        <f t="shared" si="17"/>
        <v>41</v>
      </c>
      <c r="E1099" s="2" t="s">
        <v>19</v>
      </c>
      <c r="F1099" s="6" t="s">
        <v>15273</v>
      </c>
      <c r="G1099" s="3" t="s">
        <v>4132</v>
      </c>
      <c r="H1099" s="1"/>
      <c r="I1099" s="1"/>
      <c r="J1099" s="8" t="s">
        <v>16127</v>
      </c>
      <c r="K1099" s="1" t="s">
        <v>44</v>
      </c>
      <c r="L1099" s="1" t="s">
        <v>25</v>
      </c>
      <c r="M1099" s="825">
        <v>3</v>
      </c>
      <c r="N1099" s="17">
        <v>3</v>
      </c>
      <c r="O1099" s="3" t="s">
        <v>188</v>
      </c>
      <c r="P1099" s="20">
        <v>26267</v>
      </c>
      <c r="Q1099" s="3" t="s">
        <v>4133</v>
      </c>
      <c r="R1099" s="3" t="s">
        <v>4134</v>
      </c>
      <c r="S1099" s="3"/>
      <c r="T1099" s="3"/>
      <c r="U1099" s="2"/>
      <c r="V1099" s="2"/>
      <c r="W1099" s="2"/>
      <c r="X1099" s="2"/>
      <c r="Y1099" s="2"/>
      <c r="Z1099" s="2"/>
      <c r="AA1099" s="2"/>
      <c r="AB1099" s="2"/>
      <c r="AC1099" s="2"/>
      <c r="AD1099" s="2"/>
    </row>
    <row r="1100" spans="1:30" ht="12" customHeight="1">
      <c r="A1100" s="828" t="s">
        <v>17794</v>
      </c>
      <c r="B1100" s="3" t="s">
        <v>4129</v>
      </c>
      <c r="C1100" s="1" t="s">
        <v>4135</v>
      </c>
      <c r="D1100" s="5">
        <f t="shared" si="17"/>
        <v>62</v>
      </c>
      <c r="E1100" s="2" t="s">
        <v>5</v>
      </c>
      <c r="F1100" s="2" t="s">
        <v>15273</v>
      </c>
      <c r="G1100" s="3" t="s">
        <v>4140</v>
      </c>
      <c r="H1100" s="1"/>
      <c r="I1100" s="1"/>
      <c r="J1100" s="8" t="s">
        <v>16120</v>
      </c>
      <c r="K1100" s="1" t="s">
        <v>445</v>
      </c>
      <c r="L1100" s="1" t="s">
        <v>25</v>
      </c>
      <c r="M1100" s="825">
        <v>7</v>
      </c>
      <c r="N1100" s="17">
        <v>7</v>
      </c>
      <c r="O1100" s="3" t="s">
        <v>452</v>
      </c>
      <c r="P1100" s="20">
        <v>18322</v>
      </c>
      <c r="Q1100" s="3" t="s">
        <v>4138</v>
      </c>
      <c r="R1100" s="3" t="s">
        <v>4139</v>
      </c>
      <c r="S1100" s="3" t="s">
        <v>5457</v>
      </c>
      <c r="T1100" s="3" t="s">
        <v>145</v>
      </c>
      <c r="U1100" s="2"/>
      <c r="V1100" s="2" t="s">
        <v>145</v>
      </c>
      <c r="W1100" s="2"/>
      <c r="X1100" s="2"/>
      <c r="Y1100" s="2"/>
      <c r="Z1100" s="2"/>
      <c r="AA1100" s="2"/>
      <c r="AB1100" s="2"/>
      <c r="AC1100" s="2"/>
      <c r="AD1100" s="2"/>
    </row>
    <row r="1101" spans="1:30" ht="12" customHeight="1">
      <c r="A1101" s="828" t="s">
        <v>17795</v>
      </c>
      <c r="B1101" s="3" t="s">
        <v>4130</v>
      </c>
      <c r="C1101" s="1" t="s">
        <v>4141</v>
      </c>
      <c r="D1101" s="5">
        <f t="shared" si="17"/>
        <v>51</v>
      </c>
      <c r="E1101" s="2" t="s">
        <v>5</v>
      </c>
      <c r="F1101" s="2"/>
      <c r="G1101" s="3"/>
      <c r="H1101" s="1"/>
      <c r="I1101" s="1"/>
      <c r="J1101" s="4" t="s">
        <v>16117</v>
      </c>
      <c r="K1101" s="1"/>
      <c r="L1101" s="1" t="s">
        <v>6</v>
      </c>
      <c r="M1101" s="825"/>
      <c r="N1101" s="17"/>
      <c r="O1101" s="3" t="s">
        <v>4142</v>
      </c>
      <c r="P1101" s="21">
        <v>22306</v>
      </c>
      <c r="Q1101" s="3" t="s">
        <v>4143</v>
      </c>
      <c r="R1101" s="3"/>
      <c r="S1101" s="3"/>
      <c r="T1101" s="3" t="s">
        <v>69</v>
      </c>
      <c r="U1101" s="2"/>
      <c r="V1101" s="2"/>
      <c r="W1101" s="2"/>
      <c r="X1101" s="2"/>
      <c r="Y1101" s="2"/>
      <c r="Z1101" s="2"/>
      <c r="AA1101" s="2"/>
      <c r="AB1101" s="2"/>
      <c r="AC1101" s="2"/>
      <c r="AD1101" s="2" t="s">
        <v>69</v>
      </c>
    </row>
    <row r="1102" spans="1:30" ht="12" customHeight="1">
      <c r="A1102" s="828" t="s">
        <v>17796</v>
      </c>
      <c r="B1102" s="3" t="s">
        <v>4144</v>
      </c>
      <c r="C1102" s="1" t="s">
        <v>4148</v>
      </c>
      <c r="D1102" s="5">
        <f t="shared" si="17"/>
        <v>46</v>
      </c>
      <c r="E1102" s="2" t="s">
        <v>5</v>
      </c>
      <c r="F1102" s="6" t="s">
        <v>15273</v>
      </c>
      <c r="G1102" s="3" t="s">
        <v>4149</v>
      </c>
      <c r="H1102" s="1"/>
      <c r="I1102" s="1"/>
      <c r="J1102" s="8" t="s">
        <v>16127</v>
      </c>
      <c r="K1102" s="1" t="s">
        <v>44</v>
      </c>
      <c r="L1102" s="1" t="s">
        <v>25</v>
      </c>
      <c r="M1102" s="825">
        <v>1</v>
      </c>
      <c r="N1102" s="17">
        <v>1</v>
      </c>
      <c r="O1102" s="3" t="s">
        <v>3693</v>
      </c>
      <c r="P1102" s="20">
        <v>24250</v>
      </c>
      <c r="Q1102" s="3" t="s">
        <v>4150</v>
      </c>
      <c r="R1102" s="3"/>
      <c r="S1102" s="3" t="s">
        <v>736</v>
      </c>
      <c r="T1102" s="3"/>
      <c r="U1102" s="2"/>
      <c r="V1102" s="2"/>
      <c r="W1102" s="2"/>
      <c r="X1102" s="2"/>
      <c r="Y1102" s="2"/>
      <c r="Z1102" s="2"/>
      <c r="AA1102" s="2"/>
      <c r="AB1102" s="2"/>
      <c r="AC1102" s="2"/>
      <c r="AD1102" s="2"/>
    </row>
    <row r="1103" spans="1:30" ht="12" customHeight="1">
      <c r="A1103" s="828" t="s">
        <v>17797</v>
      </c>
      <c r="B1103" s="3" t="s">
        <v>4145</v>
      </c>
      <c r="C1103" s="1" t="s">
        <v>4151</v>
      </c>
      <c r="D1103" s="5">
        <f t="shared" si="17"/>
        <v>43</v>
      </c>
      <c r="E1103" s="2" t="s">
        <v>5</v>
      </c>
      <c r="F1103" s="2" t="s">
        <v>15273</v>
      </c>
      <c r="G1103" s="3" t="s">
        <v>4152</v>
      </c>
      <c r="H1103" s="1"/>
      <c r="I1103" s="1"/>
      <c r="J1103" s="4" t="s">
        <v>16120</v>
      </c>
      <c r="K1103" s="1" t="s">
        <v>30</v>
      </c>
      <c r="L1103" s="1" t="s">
        <v>25</v>
      </c>
      <c r="M1103" s="825">
        <v>4</v>
      </c>
      <c r="N1103" s="17">
        <v>4</v>
      </c>
      <c r="O1103" s="3" t="s">
        <v>31</v>
      </c>
      <c r="P1103" s="20">
        <v>25420</v>
      </c>
      <c r="Q1103" s="3" t="s">
        <v>4153</v>
      </c>
      <c r="R1103" s="3" t="s">
        <v>4154</v>
      </c>
      <c r="S1103" s="3" t="s">
        <v>5457</v>
      </c>
      <c r="T1103" s="3" t="s">
        <v>104</v>
      </c>
      <c r="U1103" s="2"/>
      <c r="V1103" s="2"/>
      <c r="W1103" s="2"/>
      <c r="X1103" s="2"/>
      <c r="Y1103" s="2"/>
      <c r="Z1103" s="2"/>
      <c r="AA1103" s="2" t="s">
        <v>104</v>
      </c>
      <c r="AB1103" s="2"/>
      <c r="AC1103" s="2"/>
      <c r="AD1103" s="2"/>
    </row>
    <row r="1104" spans="1:30" ht="12" customHeight="1">
      <c r="A1104" s="828" t="s">
        <v>17798</v>
      </c>
      <c r="B1104" s="3" t="s">
        <v>4146</v>
      </c>
      <c r="C1104" s="1" t="s">
        <v>4155</v>
      </c>
      <c r="D1104" s="5">
        <f t="shared" si="17"/>
        <v>32</v>
      </c>
      <c r="E1104" s="2" t="s">
        <v>5</v>
      </c>
      <c r="F1104" s="2"/>
      <c r="G1104" s="3"/>
      <c r="H1104" s="1"/>
      <c r="I1104" s="1"/>
      <c r="J1104" s="4" t="s">
        <v>16117</v>
      </c>
      <c r="K1104" s="1"/>
      <c r="L1104" s="1" t="s">
        <v>6</v>
      </c>
      <c r="M1104" s="825"/>
      <c r="N1104" s="17"/>
      <c r="O1104" s="3" t="s">
        <v>4156</v>
      </c>
      <c r="P1104" s="21">
        <v>29549</v>
      </c>
      <c r="Q1104" s="3" t="s">
        <v>4157</v>
      </c>
      <c r="R1104" s="3"/>
      <c r="S1104" s="3"/>
      <c r="T1104" s="3"/>
      <c r="U1104" s="2"/>
      <c r="V1104" s="2"/>
      <c r="W1104" s="2"/>
      <c r="X1104" s="2"/>
      <c r="Y1104" s="2"/>
      <c r="Z1104" s="2"/>
      <c r="AA1104" s="2"/>
      <c r="AB1104" s="2"/>
      <c r="AC1104" s="2"/>
      <c r="AD1104" s="2"/>
    </row>
    <row r="1105" spans="1:30" ht="12" customHeight="1">
      <c r="A1105" s="828" t="s">
        <v>17799</v>
      </c>
      <c r="B1105" s="3" t="s">
        <v>4147</v>
      </c>
      <c r="C1105" s="1" t="s">
        <v>4158</v>
      </c>
      <c r="D1105" s="5">
        <f t="shared" si="17"/>
        <v>30</v>
      </c>
      <c r="E1105" s="2" t="s">
        <v>19</v>
      </c>
      <c r="F1105" s="2"/>
      <c r="G1105" s="3"/>
      <c r="H1105" s="1"/>
      <c r="I1105" s="1"/>
      <c r="J1105" s="4" t="s">
        <v>16122</v>
      </c>
      <c r="K1105" s="1" t="s">
        <v>22</v>
      </c>
      <c r="L1105" s="1" t="s">
        <v>6</v>
      </c>
      <c r="M1105" s="825"/>
      <c r="N1105" s="17"/>
      <c r="O1105" s="3" t="s">
        <v>447</v>
      </c>
      <c r="P1105" s="20">
        <v>29972</v>
      </c>
      <c r="Q1105" s="3" t="s">
        <v>1296</v>
      </c>
      <c r="R1105" s="3"/>
      <c r="S1105" s="3"/>
      <c r="T1105" s="3"/>
      <c r="U1105" s="2"/>
      <c r="V1105" s="2"/>
      <c r="W1105" s="2"/>
      <c r="X1105" s="2"/>
      <c r="Y1105" s="2"/>
      <c r="Z1105" s="2"/>
      <c r="AA1105" s="2"/>
      <c r="AB1105" s="2"/>
      <c r="AC1105" s="2"/>
      <c r="AD1105" s="2"/>
    </row>
    <row r="1106" spans="1:30" ht="12" customHeight="1">
      <c r="A1106" s="828" t="s">
        <v>17800</v>
      </c>
      <c r="B1106" s="3" t="s">
        <v>4160</v>
      </c>
      <c r="C1106" s="1" t="s">
        <v>4163</v>
      </c>
      <c r="D1106" s="5">
        <f t="shared" si="17"/>
        <v>41</v>
      </c>
      <c r="E1106" s="2" t="s">
        <v>5</v>
      </c>
      <c r="F1106" s="6" t="s">
        <v>15273</v>
      </c>
      <c r="G1106" s="3" t="s">
        <v>4164</v>
      </c>
      <c r="H1106" s="1"/>
      <c r="I1106" s="1"/>
      <c r="J1106" s="8" t="s">
        <v>16126</v>
      </c>
      <c r="K1106" s="1" t="s">
        <v>44</v>
      </c>
      <c r="L1106" s="1" t="s">
        <v>25</v>
      </c>
      <c r="M1106" s="825">
        <v>2</v>
      </c>
      <c r="N1106" s="17">
        <v>2</v>
      </c>
      <c r="O1106" s="3" t="s">
        <v>317</v>
      </c>
      <c r="P1106" s="20">
        <v>26041</v>
      </c>
      <c r="Q1106" s="3" t="s">
        <v>4165</v>
      </c>
      <c r="R1106" s="3" t="s">
        <v>810</v>
      </c>
      <c r="S1106" s="3" t="s">
        <v>736</v>
      </c>
      <c r="T1106" s="3" t="s">
        <v>47</v>
      </c>
      <c r="U1106" s="2" t="s">
        <v>47</v>
      </c>
      <c r="V1106" s="2"/>
      <c r="W1106" s="2"/>
      <c r="X1106" s="2"/>
      <c r="Y1106" s="2"/>
      <c r="Z1106" s="2"/>
      <c r="AA1106" s="2"/>
      <c r="AB1106" s="2"/>
      <c r="AC1106" s="2"/>
      <c r="AD1106" s="2"/>
    </row>
    <row r="1107" spans="1:30" ht="12" customHeight="1">
      <c r="A1107" s="828" t="s">
        <v>17801</v>
      </c>
      <c r="B1107" s="3" t="s">
        <v>4161</v>
      </c>
      <c r="C1107" s="1" t="s">
        <v>4168</v>
      </c>
      <c r="D1107" s="5">
        <f t="shared" si="17"/>
        <v>54</v>
      </c>
      <c r="E1107" s="2" t="s">
        <v>5</v>
      </c>
      <c r="F1107" s="2" t="s">
        <v>15273</v>
      </c>
      <c r="G1107" s="3" t="s">
        <v>4169</v>
      </c>
      <c r="H1107" s="1"/>
      <c r="I1107" s="1"/>
      <c r="J1107" s="4" t="s">
        <v>16120</v>
      </c>
      <c r="K1107" s="1" t="s">
        <v>30</v>
      </c>
      <c r="L1107" s="1" t="s">
        <v>25</v>
      </c>
      <c r="M1107" s="825">
        <v>4</v>
      </c>
      <c r="N1107" s="17">
        <v>4</v>
      </c>
      <c r="O1107" s="3" t="s">
        <v>450</v>
      </c>
      <c r="P1107" s="20">
        <v>21210</v>
      </c>
      <c r="Q1107" s="3" t="s">
        <v>4170</v>
      </c>
      <c r="R1107" s="3" t="s">
        <v>4171</v>
      </c>
      <c r="S1107" s="3" t="s">
        <v>5457</v>
      </c>
      <c r="T1107" s="3" t="s">
        <v>104</v>
      </c>
      <c r="U1107" s="2"/>
      <c r="V1107" s="2"/>
      <c r="W1107" s="2"/>
      <c r="X1107" s="2"/>
      <c r="Y1107" s="2"/>
      <c r="Z1107" s="2"/>
      <c r="AA1107" s="2" t="s">
        <v>104</v>
      </c>
      <c r="AB1107" s="2"/>
      <c r="AC1107" s="2"/>
      <c r="AD1107" s="2"/>
    </row>
    <row r="1108" spans="1:30" ht="12" customHeight="1">
      <c r="A1108" s="828" t="s">
        <v>17802</v>
      </c>
      <c r="B1108" s="3" t="s">
        <v>4162</v>
      </c>
      <c r="C1108" s="1" t="s">
        <v>5862</v>
      </c>
      <c r="D1108" s="5">
        <f t="shared" si="17"/>
        <v>66</v>
      </c>
      <c r="E1108" s="2" t="s">
        <v>5</v>
      </c>
      <c r="F1108" s="2" t="s">
        <v>15273</v>
      </c>
      <c r="G1108" s="3"/>
      <c r="H1108" s="1"/>
      <c r="I1108" s="1"/>
      <c r="J1108" s="4" t="s">
        <v>16116</v>
      </c>
      <c r="K1108" s="1" t="s">
        <v>4997</v>
      </c>
      <c r="L1108" s="1" t="s">
        <v>6</v>
      </c>
      <c r="M1108" s="825"/>
      <c r="N1108" s="17"/>
      <c r="O1108" s="3" t="s">
        <v>3539</v>
      </c>
      <c r="P1108" s="20">
        <v>16892</v>
      </c>
      <c r="Q1108" s="3" t="s">
        <v>5951</v>
      </c>
      <c r="R1108" s="3"/>
      <c r="S1108" s="3"/>
      <c r="T1108" s="3" t="s">
        <v>145</v>
      </c>
      <c r="U1108" s="2"/>
      <c r="V1108" s="2" t="s">
        <v>145</v>
      </c>
      <c r="W1108" s="2"/>
      <c r="X1108" s="2"/>
      <c r="Y1108" s="2"/>
      <c r="Z1108" s="2"/>
      <c r="AA1108" s="2"/>
      <c r="AB1108" s="2"/>
      <c r="AC1108" s="2"/>
      <c r="AD1108" s="2"/>
    </row>
    <row r="1109" spans="1:30" ht="12" customHeight="1">
      <c r="A1109" s="828" t="s">
        <v>17803</v>
      </c>
      <c r="B1109" s="3" t="s">
        <v>5435</v>
      </c>
      <c r="C1109" s="1" t="s">
        <v>4172</v>
      </c>
      <c r="D1109" s="5">
        <f t="shared" si="17"/>
        <v>53</v>
      </c>
      <c r="E1109" s="2" t="s">
        <v>5</v>
      </c>
      <c r="F1109" s="2"/>
      <c r="G1109" s="3"/>
      <c r="H1109" s="1"/>
      <c r="I1109" s="1"/>
      <c r="J1109" s="4" t="s">
        <v>16117</v>
      </c>
      <c r="K1109" s="1"/>
      <c r="L1109" s="1" t="s">
        <v>6</v>
      </c>
      <c r="M1109" s="825"/>
      <c r="N1109" s="17"/>
      <c r="O1109" s="3" t="s">
        <v>3596</v>
      </c>
      <c r="P1109" s="20">
        <v>21707</v>
      </c>
      <c r="Q1109" s="3" t="s">
        <v>4173</v>
      </c>
      <c r="R1109" s="3"/>
      <c r="S1109" s="3"/>
      <c r="T1109" s="3" t="s">
        <v>69</v>
      </c>
      <c r="U1109" s="2"/>
      <c r="V1109" s="2"/>
      <c r="W1109" s="2"/>
      <c r="X1109" s="2"/>
      <c r="Y1109" s="2"/>
      <c r="Z1109" s="2"/>
      <c r="AA1109" s="2"/>
      <c r="AB1109" s="2"/>
      <c r="AC1109" s="2"/>
      <c r="AD1109" s="2" t="s">
        <v>69</v>
      </c>
    </row>
    <row r="1110" spans="1:30" ht="12" customHeight="1">
      <c r="A1110" s="828" t="s">
        <v>17804</v>
      </c>
      <c r="B1110" s="3" t="s">
        <v>4174</v>
      </c>
      <c r="C1110" s="1" t="s">
        <v>4177</v>
      </c>
      <c r="D1110" s="5">
        <f t="shared" si="17"/>
        <v>43</v>
      </c>
      <c r="E1110" s="2" t="s">
        <v>5</v>
      </c>
      <c r="F1110" s="6" t="s">
        <v>15273</v>
      </c>
      <c r="G1110" s="3" t="s">
        <v>4178</v>
      </c>
      <c r="H1110" s="1"/>
      <c r="I1110" s="1"/>
      <c r="J1110" s="8" t="s">
        <v>16127</v>
      </c>
      <c r="K1110" s="1" t="s">
        <v>44</v>
      </c>
      <c r="L1110" s="1" t="s">
        <v>25</v>
      </c>
      <c r="M1110" s="825">
        <v>1</v>
      </c>
      <c r="N1110" s="17">
        <v>1</v>
      </c>
      <c r="O1110" s="3" t="s">
        <v>255</v>
      </c>
      <c r="P1110" s="20">
        <v>25324</v>
      </c>
      <c r="Q1110" s="3" t="s">
        <v>1629</v>
      </c>
      <c r="R1110" s="3"/>
      <c r="S1110" s="3" t="s">
        <v>736</v>
      </c>
      <c r="T1110" s="3" t="s">
        <v>47</v>
      </c>
      <c r="U1110" s="2" t="s">
        <v>47</v>
      </c>
      <c r="V1110" s="2"/>
      <c r="W1110" s="2"/>
      <c r="X1110" s="2"/>
      <c r="Y1110" s="2"/>
      <c r="Z1110" s="2"/>
      <c r="AA1110" s="2"/>
      <c r="AB1110" s="2"/>
      <c r="AC1110" s="2"/>
      <c r="AD1110" s="2"/>
    </row>
    <row r="1111" spans="1:30" ht="12" customHeight="1">
      <c r="A1111" s="828" t="s">
        <v>17805</v>
      </c>
      <c r="B1111" s="3" t="s">
        <v>4175</v>
      </c>
      <c r="C1111" s="1" t="s">
        <v>4179</v>
      </c>
      <c r="D1111" s="5">
        <f t="shared" si="17"/>
        <v>47</v>
      </c>
      <c r="E1111" s="2" t="s">
        <v>5</v>
      </c>
      <c r="F1111" s="2" t="s">
        <v>15273</v>
      </c>
      <c r="G1111" s="3"/>
      <c r="H1111" s="1"/>
      <c r="I1111" s="1"/>
      <c r="J1111" s="8" t="s">
        <v>16120</v>
      </c>
      <c r="K1111" s="1" t="s">
        <v>30</v>
      </c>
      <c r="L1111" s="1" t="s">
        <v>6</v>
      </c>
      <c r="M1111" s="825"/>
      <c r="N1111" s="17"/>
      <c r="O1111" s="3" t="s">
        <v>4103</v>
      </c>
      <c r="P1111" s="20">
        <v>23956</v>
      </c>
      <c r="Q1111" s="3" t="s">
        <v>4180</v>
      </c>
      <c r="R1111" s="3"/>
      <c r="S1111" s="3" t="s">
        <v>5457</v>
      </c>
      <c r="T1111" s="3" t="s">
        <v>47</v>
      </c>
      <c r="U1111" s="2" t="s">
        <v>47</v>
      </c>
      <c r="V1111" s="2"/>
      <c r="W1111" s="2"/>
      <c r="X1111" s="2"/>
      <c r="Y1111" s="2"/>
      <c r="Z1111" s="2"/>
      <c r="AA1111" s="2"/>
      <c r="AB1111" s="2"/>
      <c r="AC1111" s="2"/>
      <c r="AD1111" s="2"/>
    </row>
    <row r="1112" spans="1:30" ht="12" customHeight="1">
      <c r="A1112" s="828" t="s">
        <v>17806</v>
      </c>
      <c r="B1112" s="3" t="s">
        <v>4176</v>
      </c>
      <c r="C1112" s="1" t="s">
        <v>5066</v>
      </c>
      <c r="D1112" s="5">
        <f t="shared" si="17"/>
        <v>52</v>
      </c>
      <c r="E1112" s="2" t="s">
        <v>5</v>
      </c>
      <c r="F1112" s="2"/>
      <c r="G1112" s="3"/>
      <c r="H1112" s="1"/>
      <c r="I1112" s="1"/>
      <c r="J1112" s="4" t="s">
        <v>16117</v>
      </c>
      <c r="K1112" s="1"/>
      <c r="L1112" s="1" t="s">
        <v>6</v>
      </c>
      <c r="M1112" s="825"/>
      <c r="N1112" s="17"/>
      <c r="O1112" s="3" t="s">
        <v>16054</v>
      </c>
      <c r="P1112" s="20">
        <v>22214</v>
      </c>
      <c r="Q1112" s="3" t="s">
        <v>5067</v>
      </c>
      <c r="R1112" s="3"/>
      <c r="S1112" s="3"/>
      <c r="T1112" s="3"/>
      <c r="U1112" s="2"/>
      <c r="V1112" s="2"/>
      <c r="W1112" s="2"/>
      <c r="X1112" s="2"/>
      <c r="Y1112" s="2"/>
      <c r="Z1112" s="2"/>
      <c r="AA1112" s="2"/>
      <c r="AB1112" s="2"/>
      <c r="AC1112" s="2"/>
      <c r="AD1112" s="2"/>
    </row>
    <row r="1113" spans="1:30" ht="12" customHeight="1">
      <c r="A1113" s="828" t="s">
        <v>17807</v>
      </c>
      <c r="B1113" s="3" t="s">
        <v>4184</v>
      </c>
      <c r="C1113" s="1" t="s">
        <v>4187</v>
      </c>
      <c r="D1113" s="5">
        <f t="shared" si="17"/>
        <v>44</v>
      </c>
      <c r="E1113" s="2" t="s">
        <v>5</v>
      </c>
      <c r="F1113" s="2" t="s">
        <v>15273</v>
      </c>
      <c r="G1113" s="3"/>
      <c r="H1113" s="1"/>
      <c r="I1113" s="1"/>
      <c r="J1113" s="4" t="s">
        <v>16120</v>
      </c>
      <c r="K1113" s="1" t="s">
        <v>934</v>
      </c>
      <c r="L1113" s="1" t="s">
        <v>6</v>
      </c>
      <c r="M1113" s="825"/>
      <c r="N1113" s="17"/>
      <c r="O1113" s="3" t="s">
        <v>4103</v>
      </c>
      <c r="P1113" s="20">
        <v>25143</v>
      </c>
      <c r="Q1113" s="3" t="s">
        <v>4188</v>
      </c>
      <c r="R1113" s="3"/>
      <c r="S1113" s="3" t="s">
        <v>5457</v>
      </c>
      <c r="T1113" s="3" t="s">
        <v>104</v>
      </c>
      <c r="U1113" s="2"/>
      <c r="V1113" s="2"/>
      <c r="W1113" s="2"/>
      <c r="X1113" s="2"/>
      <c r="Y1113" s="2"/>
      <c r="Z1113" s="2"/>
      <c r="AA1113" s="2" t="s">
        <v>104</v>
      </c>
      <c r="AB1113" s="2"/>
      <c r="AC1113" s="2"/>
      <c r="AD1113" s="2"/>
    </row>
    <row r="1114" spans="1:30" ht="12" customHeight="1">
      <c r="A1114" s="828" t="s">
        <v>17808</v>
      </c>
      <c r="B1114" s="3" t="s">
        <v>4185</v>
      </c>
      <c r="C1114" s="1" t="s">
        <v>4189</v>
      </c>
      <c r="D1114" s="5">
        <f t="shared" si="17"/>
        <v>52</v>
      </c>
      <c r="E1114" s="2" t="s">
        <v>5</v>
      </c>
      <c r="F1114" s="2"/>
      <c r="G1114" s="3"/>
      <c r="H1114" s="1"/>
      <c r="I1114" s="1"/>
      <c r="J1114" s="4" t="s">
        <v>16117</v>
      </c>
      <c r="K1114" s="1"/>
      <c r="L1114" s="1" t="s">
        <v>6</v>
      </c>
      <c r="M1114" s="825"/>
      <c r="N1114" s="17"/>
      <c r="O1114" s="3" t="s">
        <v>3693</v>
      </c>
      <c r="P1114" s="20">
        <v>22098</v>
      </c>
      <c r="Q1114" s="3" t="s">
        <v>4232</v>
      </c>
      <c r="R1114" s="3"/>
      <c r="S1114" s="3"/>
      <c r="T1114" s="3"/>
      <c r="U1114" s="2"/>
      <c r="V1114" s="2"/>
      <c r="W1114" s="2"/>
      <c r="X1114" s="2"/>
      <c r="Y1114" s="2"/>
      <c r="Z1114" s="2"/>
      <c r="AA1114" s="2"/>
      <c r="AB1114" s="2"/>
      <c r="AC1114" s="2"/>
      <c r="AD1114" s="2"/>
    </row>
    <row r="1115" spans="1:30" ht="12" customHeight="1">
      <c r="A1115" s="828" t="s">
        <v>17809</v>
      </c>
      <c r="B1115" s="3" t="s">
        <v>4186</v>
      </c>
      <c r="C1115" s="1" t="s">
        <v>4190</v>
      </c>
      <c r="D1115" s="5">
        <f t="shared" si="17"/>
        <v>54</v>
      </c>
      <c r="E1115" s="2" t="s">
        <v>5</v>
      </c>
      <c r="F1115" s="2" t="s">
        <v>15273</v>
      </c>
      <c r="G1115" s="3"/>
      <c r="H1115" s="1"/>
      <c r="I1115" s="1"/>
      <c r="J1115" s="4" t="s">
        <v>16121</v>
      </c>
      <c r="K1115" s="1"/>
      <c r="L1115" s="1" t="s">
        <v>6</v>
      </c>
      <c r="M1115" s="825"/>
      <c r="N1115" s="17"/>
      <c r="O1115" s="3" t="s">
        <v>3306</v>
      </c>
      <c r="P1115" s="20">
        <v>21436</v>
      </c>
      <c r="Q1115" s="3" t="s">
        <v>4191</v>
      </c>
      <c r="R1115" s="3"/>
      <c r="S1115" s="3"/>
      <c r="T1115" s="3" t="s">
        <v>69</v>
      </c>
      <c r="U1115" s="2"/>
      <c r="V1115" s="2"/>
      <c r="W1115" s="2"/>
      <c r="X1115" s="2"/>
      <c r="Y1115" s="2"/>
      <c r="Z1115" s="2"/>
      <c r="AA1115" s="2"/>
      <c r="AB1115" s="2"/>
      <c r="AC1115" s="2"/>
      <c r="AD1115" s="2" t="s">
        <v>69</v>
      </c>
    </row>
    <row r="1116" spans="1:30" ht="12" customHeight="1">
      <c r="A1116" s="828" t="s">
        <v>17810</v>
      </c>
      <c r="B1116" s="3" t="s">
        <v>4192</v>
      </c>
      <c r="C1116" s="1" t="s">
        <v>4198</v>
      </c>
      <c r="D1116" s="5">
        <f t="shared" si="17"/>
        <v>52</v>
      </c>
      <c r="E1116" s="2" t="s">
        <v>19</v>
      </c>
      <c r="F1116" s="6" t="s">
        <v>15273</v>
      </c>
      <c r="G1116" s="3" t="s">
        <v>4199</v>
      </c>
      <c r="H1116" s="1"/>
      <c r="I1116" s="1"/>
      <c r="J1116" s="8" t="s">
        <v>16127</v>
      </c>
      <c r="K1116" s="1" t="s">
        <v>44</v>
      </c>
      <c r="L1116" s="1" t="s">
        <v>25</v>
      </c>
      <c r="M1116" s="825">
        <v>1</v>
      </c>
      <c r="N1116" s="17">
        <v>1</v>
      </c>
      <c r="O1116" s="3" t="s">
        <v>3607</v>
      </c>
      <c r="P1116" s="20">
        <v>22082</v>
      </c>
      <c r="Q1116" s="3" t="s">
        <v>4201</v>
      </c>
      <c r="R1116" s="3"/>
      <c r="S1116" s="3" t="s">
        <v>736</v>
      </c>
      <c r="T1116" s="3" t="s">
        <v>155</v>
      </c>
      <c r="U1116" s="2"/>
      <c r="V1116" s="2"/>
      <c r="W1116" s="2"/>
      <c r="X1116" s="2"/>
      <c r="Y1116" s="2" t="s">
        <v>155</v>
      </c>
      <c r="Z1116" s="2"/>
      <c r="AA1116" s="2"/>
      <c r="AB1116" s="2"/>
      <c r="AC1116" s="2"/>
      <c r="AD1116" s="2"/>
    </row>
    <row r="1117" spans="1:30" ht="12" customHeight="1">
      <c r="A1117" s="828" t="s">
        <v>17811</v>
      </c>
      <c r="B1117" s="3" t="s">
        <v>4193</v>
      </c>
      <c r="C1117" s="1" t="s">
        <v>4202</v>
      </c>
      <c r="D1117" s="5">
        <f t="shared" si="17"/>
        <v>62</v>
      </c>
      <c r="E1117" s="2" t="s">
        <v>5</v>
      </c>
      <c r="F1117" s="2" t="s">
        <v>15273</v>
      </c>
      <c r="G1117" s="3" t="s">
        <v>4203</v>
      </c>
      <c r="H1117" s="1"/>
      <c r="I1117" s="1"/>
      <c r="J1117" s="4" t="s">
        <v>16120</v>
      </c>
      <c r="K1117" s="1" t="s">
        <v>476</v>
      </c>
      <c r="L1117" s="1" t="s">
        <v>25</v>
      </c>
      <c r="M1117" s="825">
        <v>5</v>
      </c>
      <c r="N1117" s="17">
        <v>6</v>
      </c>
      <c r="O1117" s="3" t="s">
        <v>255</v>
      </c>
      <c r="P1117" s="20">
        <v>18574</v>
      </c>
      <c r="Q1117" s="3" t="s">
        <v>4204</v>
      </c>
      <c r="R1117" s="3" t="s">
        <v>4205</v>
      </c>
      <c r="S1117" s="3"/>
      <c r="T1117" s="3" t="s">
        <v>1291</v>
      </c>
      <c r="U1117" s="2"/>
      <c r="V1117" s="2"/>
      <c r="W1117" s="2"/>
      <c r="X1117" s="2" t="s">
        <v>229</v>
      </c>
      <c r="Y1117" s="2"/>
      <c r="Z1117" s="2"/>
      <c r="AA1117" s="2" t="s">
        <v>104</v>
      </c>
      <c r="AB1117" s="2"/>
      <c r="AC1117" s="2"/>
      <c r="AD1117" s="2"/>
    </row>
    <row r="1118" spans="1:30" ht="12" customHeight="1">
      <c r="A1118" s="828" t="s">
        <v>17812</v>
      </c>
      <c r="B1118" s="3" t="s">
        <v>4194</v>
      </c>
      <c r="C1118" s="1" t="s">
        <v>5196</v>
      </c>
      <c r="D1118" s="5">
        <f t="shared" si="17"/>
        <v>54</v>
      </c>
      <c r="E1118" s="2" t="s">
        <v>5</v>
      </c>
      <c r="F1118" s="2" t="s">
        <v>15273</v>
      </c>
      <c r="G1118" s="3"/>
      <c r="H1118" s="1"/>
      <c r="I1118" s="1"/>
      <c r="J1118" s="4" t="s">
        <v>16116</v>
      </c>
      <c r="K1118" s="1" t="s">
        <v>276</v>
      </c>
      <c r="L1118" s="1" t="s">
        <v>6</v>
      </c>
      <c r="M1118" s="825"/>
      <c r="N1118" s="17"/>
      <c r="O1118" s="3" t="s">
        <v>95</v>
      </c>
      <c r="P1118" s="20">
        <v>21433</v>
      </c>
      <c r="Q1118" s="3" t="s">
        <v>5199</v>
      </c>
      <c r="R1118" s="3"/>
      <c r="S1118" s="3"/>
      <c r="T1118" s="3" t="s">
        <v>145</v>
      </c>
      <c r="U1118" s="2"/>
      <c r="V1118" s="2" t="s">
        <v>145</v>
      </c>
      <c r="W1118" s="2"/>
      <c r="X1118" s="2"/>
      <c r="Y1118" s="2"/>
      <c r="Z1118" s="2"/>
      <c r="AA1118" s="2"/>
      <c r="AB1118" s="2"/>
      <c r="AC1118" s="2"/>
      <c r="AD1118" s="2"/>
    </row>
    <row r="1119" spans="1:30" ht="12" customHeight="1">
      <c r="A1119" s="828" t="s">
        <v>17813</v>
      </c>
      <c r="B1119" s="3" t="s">
        <v>5195</v>
      </c>
      <c r="C1119" s="1" t="s">
        <v>4210</v>
      </c>
      <c r="D1119" s="5">
        <f t="shared" si="17"/>
        <v>45</v>
      </c>
      <c r="E1119" s="2" t="s">
        <v>5</v>
      </c>
      <c r="F1119" s="2"/>
      <c r="G1119" s="3"/>
      <c r="H1119" s="1"/>
      <c r="I1119" s="1"/>
      <c r="J1119" s="4" t="s">
        <v>16117</v>
      </c>
      <c r="K1119" s="1"/>
      <c r="L1119" s="1" t="s">
        <v>6</v>
      </c>
      <c r="M1119" s="825"/>
      <c r="N1119" s="17"/>
      <c r="O1119" s="3" t="s">
        <v>4211</v>
      </c>
      <c r="P1119" s="20">
        <v>24584</v>
      </c>
      <c r="Q1119" s="3" t="s">
        <v>4212</v>
      </c>
      <c r="R1119" s="3"/>
      <c r="S1119" s="3"/>
      <c r="T1119" s="3"/>
      <c r="U1119" s="2"/>
      <c r="V1119" s="2"/>
      <c r="W1119" s="2"/>
      <c r="X1119" s="2"/>
      <c r="Y1119" s="2"/>
      <c r="Z1119" s="2"/>
      <c r="AA1119" s="2"/>
      <c r="AB1119" s="2"/>
      <c r="AC1119" s="2"/>
      <c r="AD1119" s="2"/>
    </row>
    <row r="1120" spans="1:30" ht="12" customHeight="1">
      <c r="A1120" s="828" t="s">
        <v>17814</v>
      </c>
      <c r="B1120" s="3" t="s">
        <v>5604</v>
      </c>
      <c r="C1120" s="1" t="s">
        <v>5605</v>
      </c>
      <c r="D1120" s="5">
        <f t="shared" si="17"/>
        <v>51</v>
      </c>
      <c r="E1120" s="2" t="s">
        <v>5</v>
      </c>
      <c r="F1120" s="2"/>
      <c r="G1120" s="3"/>
      <c r="H1120" s="1"/>
      <c r="I1120" s="1"/>
      <c r="J1120" s="8" t="s">
        <v>16129</v>
      </c>
      <c r="K1120" s="1"/>
      <c r="L1120" s="1" t="s">
        <v>6</v>
      </c>
      <c r="M1120" s="825"/>
      <c r="N1120" s="17"/>
      <c r="O1120" s="3" t="s">
        <v>188</v>
      </c>
      <c r="P1120" s="20">
        <v>22321</v>
      </c>
      <c r="Q1120" s="3" t="s">
        <v>5606</v>
      </c>
      <c r="R1120" s="3"/>
      <c r="S1120" s="3"/>
      <c r="T1120" s="3"/>
      <c r="U1120" s="2"/>
      <c r="V1120" s="2"/>
      <c r="W1120" s="2"/>
      <c r="X1120" s="2"/>
      <c r="Y1120" s="2"/>
      <c r="Z1120" s="2"/>
      <c r="AA1120" s="2"/>
      <c r="AB1120" s="2"/>
      <c r="AC1120" s="2"/>
      <c r="AD1120" s="2"/>
    </row>
    <row r="1121" spans="1:30" ht="12" customHeight="1">
      <c r="A1121" s="828" t="s">
        <v>17815</v>
      </c>
      <c r="B1121" s="3" t="s">
        <v>4213</v>
      </c>
      <c r="C1121" s="1" t="s">
        <v>4216</v>
      </c>
      <c r="D1121" s="5">
        <f t="shared" si="17"/>
        <v>60</v>
      </c>
      <c r="E1121" s="2" t="s">
        <v>5</v>
      </c>
      <c r="F1121" s="2" t="s">
        <v>15273</v>
      </c>
      <c r="G1121" s="3" t="s">
        <v>4217</v>
      </c>
      <c r="H1121" s="1"/>
      <c r="I1121" s="1"/>
      <c r="J1121" s="8" t="s">
        <v>16120</v>
      </c>
      <c r="K1121" s="1" t="s">
        <v>30</v>
      </c>
      <c r="L1121" s="1" t="s">
        <v>25</v>
      </c>
      <c r="M1121" s="825">
        <v>8</v>
      </c>
      <c r="N1121" s="17">
        <v>8</v>
      </c>
      <c r="O1121" s="3" t="s">
        <v>317</v>
      </c>
      <c r="P1121" s="20">
        <v>19125</v>
      </c>
      <c r="Q1121" s="3" t="s">
        <v>4218</v>
      </c>
      <c r="R1121" s="3" t="s">
        <v>4219</v>
      </c>
      <c r="S1121" s="3"/>
      <c r="T1121" s="3" t="s">
        <v>104</v>
      </c>
      <c r="U1121" s="2"/>
      <c r="V1121" s="2"/>
      <c r="W1121" s="2"/>
      <c r="X1121" s="2"/>
      <c r="Y1121" s="2"/>
      <c r="Z1121" s="2"/>
      <c r="AA1121" s="2" t="s">
        <v>104</v>
      </c>
      <c r="AB1121" s="2"/>
      <c r="AC1121" s="2"/>
      <c r="AD1121" s="2"/>
    </row>
    <row r="1122" spans="1:30" ht="12" customHeight="1">
      <c r="A1122" s="828" t="s">
        <v>17816</v>
      </c>
      <c r="B1122" s="3" t="s">
        <v>4214</v>
      </c>
      <c r="C1122" s="1" t="s">
        <v>4208</v>
      </c>
      <c r="D1122" s="5">
        <f t="shared" si="17"/>
        <v>37</v>
      </c>
      <c r="E1122" s="2" t="s">
        <v>5</v>
      </c>
      <c r="F1122" s="2" t="s">
        <v>15273</v>
      </c>
      <c r="G1122" s="3" t="s">
        <v>4638</v>
      </c>
      <c r="H1122" s="1" t="s">
        <v>373</v>
      </c>
      <c r="I1122" s="1"/>
      <c r="J1122" s="4" t="s">
        <v>16125</v>
      </c>
      <c r="K1122" s="1"/>
      <c r="L1122" s="1" t="s">
        <v>6</v>
      </c>
      <c r="M1122" s="825"/>
      <c r="N1122" s="17">
        <v>2</v>
      </c>
      <c r="O1122" s="3" t="s">
        <v>188</v>
      </c>
      <c r="P1122" s="20">
        <v>27508</v>
      </c>
      <c r="Q1122" s="3" t="s">
        <v>4640</v>
      </c>
      <c r="R1122" s="3" t="s">
        <v>374</v>
      </c>
      <c r="S1122" s="3" t="s">
        <v>5561</v>
      </c>
      <c r="T1122" s="3" t="s">
        <v>1569</v>
      </c>
      <c r="U1122" s="2"/>
      <c r="V1122" s="2"/>
      <c r="W1122" s="2"/>
      <c r="X1122" s="2" t="s">
        <v>229</v>
      </c>
      <c r="Y1122" s="2"/>
      <c r="Z1122" s="2" t="s">
        <v>85</v>
      </c>
      <c r="AA1122" s="2"/>
      <c r="AB1122" s="2"/>
      <c r="AC1122" s="2"/>
      <c r="AD1122" s="2"/>
    </row>
    <row r="1123" spans="1:30" ht="12" customHeight="1">
      <c r="A1123" s="828" t="s">
        <v>17817</v>
      </c>
      <c r="B1123" s="3" t="s">
        <v>4215</v>
      </c>
      <c r="C1123" s="1" t="s">
        <v>5307</v>
      </c>
      <c r="D1123" s="5">
        <f t="shared" si="17"/>
        <v>39</v>
      </c>
      <c r="E1123" s="2" t="s">
        <v>5</v>
      </c>
      <c r="F1123" s="2" t="s">
        <v>15273</v>
      </c>
      <c r="G1123" s="3"/>
      <c r="H1123" s="1"/>
      <c r="I1123" s="1"/>
      <c r="J1123" s="4" t="s">
        <v>16116</v>
      </c>
      <c r="K1123" s="1" t="s">
        <v>4997</v>
      </c>
      <c r="L1123" s="1" t="s">
        <v>6</v>
      </c>
      <c r="M1123" s="825"/>
      <c r="N1123" s="17"/>
      <c r="O1123" s="3" t="s">
        <v>6161</v>
      </c>
      <c r="P1123" s="20">
        <v>26698</v>
      </c>
      <c r="Q1123" s="3" t="s">
        <v>5308</v>
      </c>
      <c r="R1123" s="3"/>
      <c r="S1123" s="3" t="s">
        <v>469</v>
      </c>
      <c r="T1123" s="3"/>
      <c r="U1123" s="2"/>
      <c r="V1123" s="2"/>
      <c r="W1123" s="2"/>
      <c r="X1123" s="2"/>
      <c r="Y1123" s="2"/>
      <c r="Z1123" s="2"/>
      <c r="AA1123" s="2"/>
      <c r="AB1123" s="2"/>
      <c r="AC1123" s="2"/>
      <c r="AD1123" s="2"/>
    </row>
    <row r="1124" spans="1:30" ht="12" customHeight="1">
      <c r="A1124" s="828" t="s">
        <v>17818</v>
      </c>
      <c r="B1124" s="3" t="s">
        <v>4637</v>
      </c>
      <c r="C1124" s="1" t="s">
        <v>5642</v>
      </c>
      <c r="D1124" s="5">
        <f t="shared" si="17"/>
        <v>57</v>
      </c>
      <c r="E1124" s="2" t="s">
        <v>19</v>
      </c>
      <c r="F1124" s="2"/>
      <c r="G1124" s="3"/>
      <c r="H1124" s="1"/>
      <c r="I1124" s="1"/>
      <c r="J1124" s="4" t="s">
        <v>16117</v>
      </c>
      <c r="K1124" s="1"/>
      <c r="L1124" s="1" t="s">
        <v>6</v>
      </c>
      <c r="M1124" s="825"/>
      <c r="N1124" s="17"/>
      <c r="O1124" s="3" t="s">
        <v>5643</v>
      </c>
      <c r="P1124" s="20">
        <v>20126</v>
      </c>
      <c r="Q1124" s="3" t="s">
        <v>5644</v>
      </c>
      <c r="R1124" s="3"/>
      <c r="S1124" s="3"/>
      <c r="T1124" s="3" t="s">
        <v>145</v>
      </c>
      <c r="U1124" s="2"/>
      <c r="V1124" s="2" t="s">
        <v>145</v>
      </c>
      <c r="W1124" s="2"/>
      <c r="X1124" s="2"/>
      <c r="Y1124" s="2"/>
      <c r="Z1124" s="2"/>
      <c r="AA1124" s="2"/>
      <c r="AB1124" s="2"/>
      <c r="AC1124" s="2"/>
      <c r="AD1124" s="2"/>
    </row>
    <row r="1125" spans="1:30" ht="12" customHeight="1">
      <c r="A1125" s="828" t="s">
        <v>17819</v>
      </c>
      <c r="B1125" s="3" t="s">
        <v>4220</v>
      </c>
      <c r="C1125" s="1" t="s">
        <v>4223</v>
      </c>
      <c r="D1125" s="5">
        <f t="shared" si="17"/>
        <v>49</v>
      </c>
      <c r="E1125" s="2" t="s">
        <v>5</v>
      </c>
      <c r="F1125" s="6" t="s">
        <v>15273</v>
      </c>
      <c r="G1125" s="3" t="s">
        <v>4224</v>
      </c>
      <c r="H1125" s="1"/>
      <c r="I1125" s="1"/>
      <c r="J1125" s="8" t="s">
        <v>16126</v>
      </c>
      <c r="K1125" s="1" t="s">
        <v>44</v>
      </c>
      <c r="L1125" s="1" t="s">
        <v>25</v>
      </c>
      <c r="M1125" s="825">
        <v>1</v>
      </c>
      <c r="N1125" s="17">
        <v>1</v>
      </c>
      <c r="O1125" s="3" t="s">
        <v>4225</v>
      </c>
      <c r="P1125" s="20">
        <v>23187</v>
      </c>
      <c r="Q1125" s="3" t="s">
        <v>4226</v>
      </c>
      <c r="R1125" s="3"/>
      <c r="S1125" s="3" t="s">
        <v>736</v>
      </c>
      <c r="T1125" s="3"/>
      <c r="U1125" s="2"/>
      <c r="V1125" s="2"/>
      <c r="W1125" s="2"/>
      <c r="X1125" s="2"/>
      <c r="Y1125" s="2"/>
      <c r="Z1125" s="2"/>
      <c r="AA1125" s="2"/>
      <c r="AB1125" s="2"/>
      <c r="AC1125" s="2"/>
      <c r="AD1125" s="2"/>
    </row>
    <row r="1126" spans="1:30" ht="12" customHeight="1">
      <c r="A1126" s="828" t="s">
        <v>17820</v>
      </c>
      <c r="B1126" s="3" t="s">
        <v>4221</v>
      </c>
      <c r="C1126" s="1" t="s">
        <v>4227</v>
      </c>
      <c r="D1126" s="5">
        <f t="shared" si="17"/>
        <v>56</v>
      </c>
      <c r="E1126" s="2" t="s">
        <v>5</v>
      </c>
      <c r="F1126" s="2" t="s">
        <v>15273</v>
      </c>
      <c r="G1126" s="3"/>
      <c r="H1126" s="1"/>
      <c r="I1126" s="1"/>
      <c r="J1126" s="4" t="s">
        <v>16120</v>
      </c>
      <c r="K1126" s="1" t="s">
        <v>30</v>
      </c>
      <c r="L1126" s="1" t="s">
        <v>6</v>
      </c>
      <c r="M1126" s="825"/>
      <c r="N1126" s="17"/>
      <c r="O1126" s="3" t="s">
        <v>188</v>
      </c>
      <c r="P1126" s="20">
        <v>20546</v>
      </c>
      <c r="Q1126" s="3" t="s">
        <v>4228</v>
      </c>
      <c r="R1126" s="3"/>
      <c r="S1126" s="3"/>
      <c r="T1126" s="3" t="s">
        <v>145</v>
      </c>
      <c r="U1126" s="2"/>
      <c r="V1126" s="2" t="s">
        <v>145</v>
      </c>
      <c r="W1126" s="2"/>
      <c r="X1126" s="2"/>
      <c r="Y1126" s="2"/>
      <c r="Z1126" s="2"/>
      <c r="AA1126" s="2"/>
      <c r="AB1126" s="2"/>
      <c r="AC1126" s="2"/>
      <c r="AD1126" s="2"/>
    </row>
    <row r="1127" spans="1:30" ht="12" customHeight="1">
      <c r="A1127" s="828" t="s">
        <v>17821</v>
      </c>
      <c r="B1127" s="3" t="s">
        <v>4222</v>
      </c>
      <c r="C1127" s="1" t="s">
        <v>5203</v>
      </c>
      <c r="D1127" s="5">
        <f t="shared" si="17"/>
        <v>31</v>
      </c>
      <c r="E1127" s="2" t="s">
        <v>19</v>
      </c>
      <c r="F1127" s="2" t="s">
        <v>15273</v>
      </c>
      <c r="G1127" s="3"/>
      <c r="H1127" s="1"/>
      <c r="I1127" s="1"/>
      <c r="J1127" s="4" t="s">
        <v>16116</v>
      </c>
      <c r="K1127" s="1" t="s">
        <v>4997</v>
      </c>
      <c r="L1127" s="1" t="s">
        <v>6</v>
      </c>
      <c r="M1127" s="825"/>
      <c r="N1127" s="17"/>
      <c r="O1127" s="3" t="s">
        <v>5204</v>
      </c>
      <c r="P1127" s="21">
        <v>29769</v>
      </c>
      <c r="Q1127" s="3" t="s">
        <v>5205</v>
      </c>
      <c r="R1127" s="3"/>
      <c r="S1127" s="3" t="s">
        <v>469</v>
      </c>
      <c r="T1127" s="3"/>
      <c r="U1127" s="2"/>
      <c r="V1127" s="2"/>
      <c r="W1127" s="2"/>
      <c r="X1127" s="2"/>
      <c r="Y1127" s="2"/>
      <c r="Z1127" s="2"/>
      <c r="AA1127" s="2"/>
      <c r="AB1127" s="2"/>
      <c r="AC1127" s="2"/>
      <c r="AD1127" s="2"/>
    </row>
    <row r="1128" spans="1:30" ht="12" customHeight="1">
      <c r="A1128" s="828" t="s">
        <v>17822</v>
      </c>
      <c r="B1128" s="3" t="s">
        <v>5202</v>
      </c>
      <c r="C1128" s="1" t="s">
        <v>4229</v>
      </c>
      <c r="D1128" s="5">
        <f t="shared" si="17"/>
        <v>60</v>
      </c>
      <c r="E1128" s="2" t="s">
        <v>5</v>
      </c>
      <c r="F1128" s="2"/>
      <c r="G1128" s="3"/>
      <c r="H1128" s="1"/>
      <c r="I1128" s="1"/>
      <c r="J1128" s="4" t="s">
        <v>16117</v>
      </c>
      <c r="K1128" s="1"/>
      <c r="L1128" s="1" t="s">
        <v>6</v>
      </c>
      <c r="M1128" s="825"/>
      <c r="N1128" s="17"/>
      <c r="O1128" s="3" t="s">
        <v>4230</v>
      </c>
      <c r="P1128" s="21">
        <v>19252</v>
      </c>
      <c r="Q1128" s="3" t="s">
        <v>4231</v>
      </c>
      <c r="R1128" s="3"/>
      <c r="S1128" s="3"/>
      <c r="T1128" s="3"/>
      <c r="U1128" s="2"/>
      <c r="V1128" s="2"/>
      <c r="W1128" s="2"/>
      <c r="X1128" s="2"/>
      <c r="Y1128" s="2"/>
      <c r="Z1128" s="2"/>
      <c r="AA1128" s="2"/>
      <c r="AB1128" s="2"/>
      <c r="AC1128" s="2"/>
      <c r="AD1128" s="2"/>
    </row>
    <row r="1129" spans="1:30" ht="12" customHeight="1">
      <c r="A1129" s="828" t="s">
        <v>17823</v>
      </c>
      <c r="B1129" s="3" t="s">
        <v>4233</v>
      </c>
      <c r="C1129" s="1" t="s">
        <v>4241</v>
      </c>
      <c r="D1129" s="5">
        <f t="shared" si="17"/>
        <v>40</v>
      </c>
      <c r="E1129" s="2" t="s">
        <v>5</v>
      </c>
      <c r="F1129" s="6" t="s">
        <v>15273</v>
      </c>
      <c r="G1129" s="3" t="s">
        <v>4242</v>
      </c>
      <c r="H1129" s="1"/>
      <c r="I1129" s="1"/>
      <c r="J1129" s="8" t="s">
        <v>16127</v>
      </c>
      <c r="K1129" s="1" t="s">
        <v>44</v>
      </c>
      <c r="L1129" s="1" t="s">
        <v>25</v>
      </c>
      <c r="M1129" s="825">
        <v>1</v>
      </c>
      <c r="N1129" s="17">
        <v>1</v>
      </c>
      <c r="O1129" s="3" t="s">
        <v>4243</v>
      </c>
      <c r="P1129" s="20">
        <v>26315</v>
      </c>
      <c r="Q1129" s="3" t="s">
        <v>4244</v>
      </c>
      <c r="R1129" s="3"/>
      <c r="S1129" s="3" t="s">
        <v>736</v>
      </c>
      <c r="T1129" s="3" t="s">
        <v>104</v>
      </c>
      <c r="U1129" s="2"/>
      <c r="V1129" s="2"/>
      <c r="W1129" s="2"/>
      <c r="X1129" s="2"/>
      <c r="Y1129" s="2"/>
      <c r="Z1129" s="2"/>
      <c r="AA1129" s="2" t="s">
        <v>104</v>
      </c>
      <c r="AB1129" s="2"/>
      <c r="AC1129" s="2"/>
      <c r="AD1129" s="2"/>
    </row>
    <row r="1130" spans="1:30" ht="12" customHeight="1">
      <c r="A1130" s="828" t="s">
        <v>17824</v>
      </c>
      <c r="B1130" s="3" t="s">
        <v>4234</v>
      </c>
      <c r="C1130" s="1" t="s">
        <v>4237</v>
      </c>
      <c r="D1130" s="5">
        <f t="shared" si="17"/>
        <v>65</v>
      </c>
      <c r="E1130" s="2" t="s">
        <v>5</v>
      </c>
      <c r="F1130" s="2" t="s">
        <v>15273</v>
      </c>
      <c r="G1130" s="3" t="s">
        <v>4238</v>
      </c>
      <c r="H1130" s="1"/>
      <c r="I1130" s="1"/>
      <c r="J1130" s="4" t="s">
        <v>16120</v>
      </c>
      <c r="K1130" s="1" t="s">
        <v>30</v>
      </c>
      <c r="L1130" s="1" t="s">
        <v>25</v>
      </c>
      <c r="M1130" s="825">
        <v>6</v>
      </c>
      <c r="N1130" s="17">
        <v>6</v>
      </c>
      <c r="O1130" s="3" t="s">
        <v>31</v>
      </c>
      <c r="P1130" s="20">
        <v>17414</v>
      </c>
      <c r="Q1130" s="3" t="s">
        <v>4239</v>
      </c>
      <c r="R1130" s="3" t="s">
        <v>4240</v>
      </c>
      <c r="S1130" s="3" t="s">
        <v>5457</v>
      </c>
      <c r="T1130" s="3" t="s">
        <v>104</v>
      </c>
      <c r="U1130" s="2"/>
      <c r="V1130" s="2"/>
      <c r="W1130" s="2"/>
      <c r="X1130" s="2"/>
      <c r="Y1130" s="2"/>
      <c r="Z1130" s="2"/>
      <c r="AA1130" s="2" t="s">
        <v>104</v>
      </c>
      <c r="AB1130" s="2"/>
      <c r="AC1130" s="2"/>
      <c r="AD1130" s="2"/>
    </row>
    <row r="1131" spans="1:30" ht="12" customHeight="1">
      <c r="A1131" s="828" t="s">
        <v>17825</v>
      </c>
      <c r="B1131" s="3" t="s">
        <v>4235</v>
      </c>
      <c r="C1131" s="1" t="s">
        <v>4248</v>
      </c>
      <c r="D1131" s="5">
        <f t="shared" si="17"/>
        <v>47</v>
      </c>
      <c r="E1131" s="2" t="s">
        <v>5</v>
      </c>
      <c r="F1131" s="2" t="s">
        <v>15273</v>
      </c>
      <c r="G1131" s="3" t="s">
        <v>4249</v>
      </c>
      <c r="H1131" s="1" t="s">
        <v>373</v>
      </c>
      <c r="I1131" s="1"/>
      <c r="J1131" s="4" t="s">
        <v>16116</v>
      </c>
      <c r="K1131" s="1" t="s">
        <v>469</v>
      </c>
      <c r="L1131" s="1" t="s">
        <v>6</v>
      </c>
      <c r="M1131" s="825"/>
      <c r="N1131" s="17">
        <v>1</v>
      </c>
      <c r="O1131" s="3" t="s">
        <v>4251</v>
      </c>
      <c r="P1131" s="20">
        <v>24036</v>
      </c>
      <c r="Q1131" s="3" t="s">
        <v>4252</v>
      </c>
      <c r="R1131" s="3" t="s">
        <v>4253</v>
      </c>
      <c r="S1131" s="3" t="s">
        <v>16465</v>
      </c>
      <c r="T1131" s="3" t="s">
        <v>355</v>
      </c>
      <c r="U1131" s="2" t="s">
        <v>47</v>
      </c>
      <c r="V1131" s="2"/>
      <c r="W1131" s="2"/>
      <c r="X1131" s="2"/>
      <c r="Y1131" s="2"/>
      <c r="Z1131" s="2"/>
      <c r="AA1131" s="2" t="s">
        <v>104</v>
      </c>
      <c r="AB1131" s="2"/>
      <c r="AC1131" s="2"/>
      <c r="AD1131" s="2"/>
    </row>
    <row r="1132" spans="1:30" ht="12" customHeight="1">
      <c r="A1132" s="828" t="s">
        <v>17826</v>
      </c>
      <c r="B1132" s="3" t="s">
        <v>4236</v>
      </c>
      <c r="C1132" s="1" t="s">
        <v>4245</v>
      </c>
      <c r="D1132" s="5">
        <f t="shared" si="17"/>
        <v>55</v>
      </c>
      <c r="E1132" s="2" t="s">
        <v>5</v>
      </c>
      <c r="F1132" s="2"/>
      <c r="G1132" s="3"/>
      <c r="H1132" s="1"/>
      <c r="I1132" s="1"/>
      <c r="J1132" s="4" t="s">
        <v>16117</v>
      </c>
      <c r="K1132" s="1"/>
      <c r="L1132" s="1" t="s">
        <v>6</v>
      </c>
      <c r="M1132" s="825"/>
      <c r="N1132" s="17"/>
      <c r="O1132" s="3" t="s">
        <v>4246</v>
      </c>
      <c r="P1132" s="21">
        <v>21042</v>
      </c>
      <c r="Q1132" s="3" t="s">
        <v>53</v>
      </c>
      <c r="R1132" s="3"/>
      <c r="S1132" s="3"/>
      <c r="T1132" s="3"/>
      <c r="U1132" s="2"/>
      <c r="V1132" s="2"/>
      <c r="W1132" s="2"/>
      <c r="X1132" s="2"/>
      <c r="Y1132" s="2"/>
      <c r="Z1132" s="2"/>
      <c r="AA1132" s="2"/>
      <c r="AB1132" s="2"/>
      <c r="AC1132" s="2"/>
      <c r="AD1132" s="2"/>
    </row>
    <row r="1133" spans="1:30" ht="12" customHeight="1">
      <c r="A1133" s="828" t="s">
        <v>17827</v>
      </c>
      <c r="B1133" s="3" t="s">
        <v>4254</v>
      </c>
      <c r="C1133" s="1" t="s">
        <v>4257</v>
      </c>
      <c r="D1133" s="5">
        <f t="shared" si="17"/>
        <v>32</v>
      </c>
      <c r="E1133" s="2" t="s">
        <v>5</v>
      </c>
      <c r="F1133" s="6" t="s">
        <v>15273</v>
      </c>
      <c r="G1133" s="3"/>
      <c r="H1133" s="1"/>
      <c r="I1133" s="1"/>
      <c r="J1133" s="8" t="s">
        <v>16127</v>
      </c>
      <c r="K1133" s="1" t="s">
        <v>44</v>
      </c>
      <c r="L1133" s="1" t="s">
        <v>6</v>
      </c>
      <c r="M1133" s="825"/>
      <c r="N1133" s="17"/>
      <c r="O1133" s="3" t="s">
        <v>172</v>
      </c>
      <c r="P1133" s="20">
        <v>29475</v>
      </c>
      <c r="Q1133" s="3" t="s">
        <v>4259</v>
      </c>
      <c r="R1133" s="3"/>
      <c r="S1133" s="3" t="s">
        <v>736</v>
      </c>
      <c r="T1133" s="3" t="s">
        <v>145</v>
      </c>
      <c r="U1133" s="2"/>
      <c r="V1133" s="2" t="s">
        <v>145</v>
      </c>
      <c r="W1133" s="2"/>
      <c r="X1133" s="2"/>
      <c r="Y1133" s="2"/>
      <c r="Z1133" s="2"/>
      <c r="AA1133" s="2"/>
      <c r="AB1133" s="2"/>
      <c r="AC1133" s="2"/>
      <c r="AD1133" s="2"/>
    </row>
    <row r="1134" spans="1:30" ht="12" customHeight="1">
      <c r="A1134" s="828" t="s">
        <v>17828</v>
      </c>
      <c r="B1134" s="3" t="s">
        <v>4255</v>
      </c>
      <c r="C1134" s="1" t="s">
        <v>4260</v>
      </c>
      <c r="D1134" s="5">
        <f t="shared" si="17"/>
        <v>59</v>
      </c>
      <c r="E1134" s="2" t="s">
        <v>5</v>
      </c>
      <c r="F1134" s="2" t="s">
        <v>15273</v>
      </c>
      <c r="G1134" s="3" t="s">
        <v>4261</v>
      </c>
      <c r="H1134" s="1"/>
      <c r="I1134" s="1"/>
      <c r="J1134" s="8" t="s">
        <v>16120</v>
      </c>
      <c r="K1134" s="1" t="s">
        <v>476</v>
      </c>
      <c r="L1134" s="1" t="s">
        <v>25</v>
      </c>
      <c r="M1134" s="825">
        <v>4</v>
      </c>
      <c r="N1134" s="17">
        <v>4</v>
      </c>
      <c r="O1134" s="3" t="s">
        <v>317</v>
      </c>
      <c r="P1134" s="20">
        <v>19707</v>
      </c>
      <c r="Q1134" s="3" t="s">
        <v>4262</v>
      </c>
      <c r="R1134" s="3" t="s">
        <v>4263</v>
      </c>
      <c r="S1134" s="3" t="s">
        <v>5457</v>
      </c>
      <c r="T1134" s="3" t="s">
        <v>47</v>
      </c>
      <c r="U1134" s="2" t="s">
        <v>47</v>
      </c>
      <c r="V1134" s="2"/>
      <c r="W1134" s="2"/>
      <c r="X1134" s="2"/>
      <c r="Y1134" s="2"/>
      <c r="Z1134" s="2"/>
      <c r="AA1134" s="2"/>
      <c r="AB1134" s="2"/>
      <c r="AC1134" s="2"/>
      <c r="AD1134" s="2"/>
    </row>
    <row r="1135" spans="1:30" ht="12" customHeight="1">
      <c r="A1135" s="828" t="s">
        <v>17829</v>
      </c>
      <c r="B1135" s="3" t="s">
        <v>4256</v>
      </c>
      <c r="C1135" s="1" t="s">
        <v>5437</v>
      </c>
      <c r="D1135" s="5">
        <f t="shared" si="17"/>
        <v>35</v>
      </c>
      <c r="E1135" s="2" t="s">
        <v>5</v>
      </c>
      <c r="F1135" s="2" t="s">
        <v>15273</v>
      </c>
      <c r="G1135" s="3"/>
      <c r="H1135" s="1"/>
      <c r="I1135" s="1"/>
      <c r="J1135" s="4" t="s">
        <v>16116</v>
      </c>
      <c r="K1135" s="1" t="s">
        <v>4997</v>
      </c>
      <c r="L1135" s="1" t="s">
        <v>6</v>
      </c>
      <c r="M1135" s="825"/>
      <c r="N1135" s="17"/>
      <c r="O1135" s="3" t="s">
        <v>255</v>
      </c>
      <c r="P1135" s="20">
        <v>28131</v>
      </c>
      <c r="Q1135" s="3" t="s">
        <v>5213</v>
      </c>
      <c r="R1135" s="3"/>
      <c r="S1135" s="3" t="s">
        <v>469</v>
      </c>
      <c r="T1135" s="3"/>
      <c r="U1135" s="2"/>
      <c r="V1135" s="2"/>
      <c r="W1135" s="2"/>
      <c r="X1135" s="2"/>
      <c r="Y1135" s="2"/>
      <c r="Z1135" s="2"/>
      <c r="AA1135" s="2"/>
      <c r="AB1135" s="2"/>
      <c r="AC1135" s="2"/>
      <c r="AD1135" s="2"/>
    </row>
    <row r="1136" spans="1:30" ht="12" customHeight="1">
      <c r="A1136" s="828" t="s">
        <v>17830</v>
      </c>
      <c r="B1136" s="3" t="s">
        <v>5436</v>
      </c>
      <c r="C1136" s="1" t="s">
        <v>4264</v>
      </c>
      <c r="D1136" s="5">
        <f t="shared" si="17"/>
        <v>53</v>
      </c>
      <c r="E1136" s="2" t="s">
        <v>5</v>
      </c>
      <c r="F1136" s="2" t="s">
        <v>15273</v>
      </c>
      <c r="G1136" s="3"/>
      <c r="H1136" s="1"/>
      <c r="I1136" s="1"/>
      <c r="J1136" s="4" t="s">
        <v>16117</v>
      </c>
      <c r="K1136" s="1"/>
      <c r="L1136" s="1" t="s">
        <v>14</v>
      </c>
      <c r="M1136" s="825">
        <v>2</v>
      </c>
      <c r="N1136" s="17">
        <v>2</v>
      </c>
      <c r="O1136" s="3" t="s">
        <v>4230</v>
      </c>
      <c r="P1136" s="20">
        <v>21656</v>
      </c>
      <c r="Q1136" s="3" t="s">
        <v>4265</v>
      </c>
      <c r="R1136" s="3"/>
      <c r="S1136" s="3"/>
      <c r="T1136" s="3"/>
      <c r="U1136" s="2"/>
      <c r="V1136" s="2"/>
      <c r="W1136" s="2"/>
      <c r="X1136" s="2"/>
      <c r="Y1136" s="2"/>
      <c r="Z1136" s="2"/>
      <c r="AA1136" s="2"/>
      <c r="AB1136" s="2"/>
      <c r="AC1136" s="2"/>
      <c r="AD1136" s="2"/>
    </row>
    <row r="1137" spans="1:30" ht="12" customHeight="1">
      <c r="A1137" s="828" t="s">
        <v>17831</v>
      </c>
      <c r="B1137" s="3" t="s">
        <v>4266</v>
      </c>
      <c r="C1137" s="1" t="s">
        <v>4268</v>
      </c>
      <c r="D1137" s="5">
        <f t="shared" si="17"/>
        <v>55</v>
      </c>
      <c r="E1137" s="2" t="s">
        <v>5</v>
      </c>
      <c r="F1137" s="2" t="s">
        <v>15273</v>
      </c>
      <c r="G1137" s="3" t="s">
        <v>4269</v>
      </c>
      <c r="H1137" s="1"/>
      <c r="I1137" s="1"/>
      <c r="J1137" s="4" t="s">
        <v>16120</v>
      </c>
      <c r="K1137" s="1" t="s">
        <v>30</v>
      </c>
      <c r="L1137" s="1" t="s">
        <v>25</v>
      </c>
      <c r="M1137" s="825">
        <v>7</v>
      </c>
      <c r="N1137" s="17">
        <v>7</v>
      </c>
      <c r="O1137" s="3" t="s">
        <v>150</v>
      </c>
      <c r="P1137" s="20">
        <v>21107</v>
      </c>
      <c r="Q1137" s="3" t="s">
        <v>4270</v>
      </c>
      <c r="R1137" s="3" t="s">
        <v>4271</v>
      </c>
      <c r="S1137" s="3" t="s">
        <v>5457</v>
      </c>
      <c r="T1137" s="3" t="s">
        <v>104</v>
      </c>
      <c r="U1137" s="2"/>
      <c r="V1137" s="2"/>
      <c r="W1137" s="2"/>
      <c r="X1137" s="2"/>
      <c r="Y1137" s="2"/>
      <c r="Z1137" s="2"/>
      <c r="AA1137" s="2" t="s">
        <v>104</v>
      </c>
      <c r="AB1137" s="2"/>
      <c r="AC1137" s="2"/>
      <c r="AD1137" s="2"/>
    </row>
    <row r="1138" spans="1:30" ht="12" customHeight="1">
      <c r="A1138" s="828" t="s">
        <v>17832</v>
      </c>
      <c r="B1138" s="3" t="s">
        <v>4267</v>
      </c>
      <c r="C1138" s="1" t="s">
        <v>4272</v>
      </c>
      <c r="D1138" s="5">
        <f t="shared" si="17"/>
        <v>54</v>
      </c>
      <c r="E1138" s="2" t="s">
        <v>5</v>
      </c>
      <c r="F1138" s="2"/>
      <c r="G1138" s="3"/>
      <c r="H1138" s="1"/>
      <c r="I1138" s="1"/>
      <c r="J1138" s="4" t="s">
        <v>16117</v>
      </c>
      <c r="K1138" s="1"/>
      <c r="L1138" s="1" t="s">
        <v>6</v>
      </c>
      <c r="M1138" s="825"/>
      <c r="N1138" s="17"/>
      <c r="O1138" s="3" t="s">
        <v>4273</v>
      </c>
      <c r="P1138" s="21">
        <v>21192</v>
      </c>
      <c r="Q1138" s="3" t="s">
        <v>4274</v>
      </c>
      <c r="R1138" s="3"/>
      <c r="S1138" s="3"/>
      <c r="T1138" s="3"/>
      <c r="U1138" s="2"/>
      <c r="V1138" s="2"/>
      <c r="W1138" s="2"/>
      <c r="X1138" s="2"/>
      <c r="Y1138" s="2"/>
      <c r="Z1138" s="2"/>
      <c r="AA1138" s="2"/>
      <c r="AB1138" s="2"/>
      <c r="AC1138" s="2"/>
      <c r="AD1138" s="2"/>
    </row>
    <row r="1139" spans="1:30" ht="12" customHeight="1">
      <c r="A1139" s="828" t="s">
        <v>17833</v>
      </c>
      <c r="B1139" s="3" t="s">
        <v>4275</v>
      </c>
      <c r="C1139" s="1" t="s">
        <v>4277</v>
      </c>
      <c r="D1139" s="5">
        <f t="shared" si="17"/>
        <v>60</v>
      </c>
      <c r="E1139" s="2" t="s">
        <v>5</v>
      </c>
      <c r="F1139" s="2" t="s">
        <v>15273</v>
      </c>
      <c r="G1139" s="3" t="s">
        <v>4278</v>
      </c>
      <c r="H1139" s="1"/>
      <c r="I1139" s="1"/>
      <c r="J1139" s="4" t="s">
        <v>16120</v>
      </c>
      <c r="K1139" s="1" t="s">
        <v>30</v>
      </c>
      <c r="L1139" s="1" t="s">
        <v>25</v>
      </c>
      <c r="M1139" s="825">
        <v>7</v>
      </c>
      <c r="N1139" s="17">
        <v>7</v>
      </c>
      <c r="O1139" s="3" t="s">
        <v>188</v>
      </c>
      <c r="P1139" s="20">
        <v>19125</v>
      </c>
      <c r="Q1139" s="3" t="s">
        <v>4279</v>
      </c>
      <c r="R1139" s="3" t="s">
        <v>4281</v>
      </c>
      <c r="S1139" s="3" t="s">
        <v>5457</v>
      </c>
      <c r="T1139" s="3" t="s">
        <v>559</v>
      </c>
      <c r="U1139" s="2"/>
      <c r="V1139" s="2" t="s">
        <v>145</v>
      </c>
      <c r="W1139" s="2"/>
      <c r="X1139" s="2"/>
      <c r="Y1139" s="2"/>
      <c r="Z1139" s="2"/>
      <c r="AA1139" s="2"/>
      <c r="AB1139" s="2" t="s">
        <v>147</v>
      </c>
      <c r="AC1139" s="2"/>
      <c r="AD1139" s="2"/>
    </row>
    <row r="1140" spans="1:30" ht="12" customHeight="1">
      <c r="A1140" s="828" t="s">
        <v>17834</v>
      </c>
      <c r="B1140" s="3" t="s">
        <v>4276</v>
      </c>
      <c r="C1140" s="1" t="s">
        <v>4282</v>
      </c>
      <c r="D1140" s="5">
        <f t="shared" si="17"/>
        <v>62</v>
      </c>
      <c r="E1140" s="2" t="s">
        <v>5</v>
      </c>
      <c r="F1140" s="2"/>
      <c r="G1140" s="3"/>
      <c r="H1140" s="1"/>
      <c r="I1140" s="1"/>
      <c r="J1140" s="4" t="s">
        <v>16117</v>
      </c>
      <c r="K1140" s="1"/>
      <c r="L1140" s="1" t="s">
        <v>6</v>
      </c>
      <c r="M1140" s="825"/>
      <c r="N1140" s="17"/>
      <c r="O1140" s="3" t="s">
        <v>4230</v>
      </c>
      <c r="P1140" s="21">
        <v>18476</v>
      </c>
      <c r="Q1140" s="3" t="s">
        <v>4283</v>
      </c>
      <c r="R1140" s="3"/>
      <c r="S1140" s="3"/>
      <c r="T1140" s="3" t="s">
        <v>69</v>
      </c>
      <c r="U1140" s="2"/>
      <c r="V1140" s="2"/>
      <c r="W1140" s="2"/>
      <c r="X1140" s="2"/>
      <c r="Y1140" s="2"/>
      <c r="Z1140" s="2"/>
      <c r="AA1140" s="2"/>
      <c r="AB1140" s="2"/>
      <c r="AC1140" s="2"/>
      <c r="AD1140" s="2" t="s">
        <v>69</v>
      </c>
    </row>
    <row r="1141" spans="1:30" ht="12" customHeight="1">
      <c r="A1141" s="828" t="s">
        <v>17835</v>
      </c>
      <c r="B1141" s="3" t="s">
        <v>4292</v>
      </c>
      <c r="C1141" s="1" t="s">
        <v>4296</v>
      </c>
      <c r="D1141" s="5">
        <f t="shared" si="17"/>
        <v>61</v>
      </c>
      <c r="E1141" s="2" t="s">
        <v>5</v>
      </c>
      <c r="F1141" s="6" t="s">
        <v>15273</v>
      </c>
      <c r="G1141" s="3" t="s">
        <v>4297</v>
      </c>
      <c r="H1141" s="1"/>
      <c r="I1141" s="1"/>
      <c r="J1141" s="8" t="s">
        <v>16126</v>
      </c>
      <c r="K1141" s="1" t="s">
        <v>45</v>
      </c>
      <c r="L1141" s="1" t="s">
        <v>25</v>
      </c>
      <c r="M1141" s="825">
        <v>7</v>
      </c>
      <c r="N1141" s="17">
        <v>7</v>
      </c>
      <c r="O1141" s="3" t="s">
        <v>381</v>
      </c>
      <c r="P1141" s="20">
        <v>18765</v>
      </c>
      <c r="Q1141" s="3" t="s">
        <v>4298</v>
      </c>
      <c r="R1141" s="3" t="s">
        <v>4299</v>
      </c>
      <c r="S1141" s="3" t="s">
        <v>736</v>
      </c>
      <c r="T1141" s="3" t="s">
        <v>104</v>
      </c>
      <c r="U1141" s="2"/>
      <c r="V1141" s="2"/>
      <c r="W1141" s="2"/>
      <c r="X1141" s="2"/>
      <c r="Y1141" s="2"/>
      <c r="Z1141" s="2"/>
      <c r="AA1141" s="2" t="s">
        <v>104</v>
      </c>
      <c r="AB1141" s="2"/>
      <c r="AC1141" s="2"/>
      <c r="AD1141" s="2"/>
    </row>
    <row r="1142" spans="1:30" ht="12" customHeight="1">
      <c r="A1142" s="828" t="s">
        <v>17836</v>
      </c>
      <c r="B1142" s="3" t="s">
        <v>4293</v>
      </c>
      <c r="C1142" s="1" t="s">
        <v>5967</v>
      </c>
      <c r="D1142" s="5">
        <f t="shared" si="17"/>
        <v>50</v>
      </c>
      <c r="E1142" s="2" t="s">
        <v>5</v>
      </c>
      <c r="F1142" s="2" t="s">
        <v>15273</v>
      </c>
      <c r="G1142" s="3"/>
      <c r="H1142" s="1"/>
      <c r="I1142" s="1"/>
      <c r="J1142" s="8" t="s">
        <v>16120</v>
      </c>
      <c r="K1142" s="1" t="s">
        <v>445</v>
      </c>
      <c r="L1142" s="1" t="s">
        <v>6</v>
      </c>
      <c r="M1142" s="825"/>
      <c r="N1142" s="17"/>
      <c r="O1142" s="3" t="s">
        <v>321</v>
      </c>
      <c r="P1142" s="20">
        <v>22738</v>
      </c>
      <c r="Q1142" s="3" t="s">
        <v>5968</v>
      </c>
      <c r="R1142" s="3"/>
      <c r="S1142" s="3"/>
      <c r="T1142" s="3"/>
      <c r="U1142" s="2"/>
      <c r="V1142" s="2"/>
      <c r="W1142" s="2"/>
      <c r="X1142" s="2"/>
      <c r="Y1142" s="2"/>
      <c r="Z1142" s="2"/>
      <c r="AA1142" s="2"/>
      <c r="AB1142" s="2"/>
      <c r="AC1142" s="2"/>
      <c r="AD1142" s="2"/>
    </row>
    <row r="1143" spans="1:30" ht="12" customHeight="1">
      <c r="A1143" s="828" t="s">
        <v>17837</v>
      </c>
      <c r="B1143" s="3" t="s">
        <v>4294</v>
      </c>
      <c r="C1143" s="1" t="s">
        <v>4303</v>
      </c>
      <c r="D1143" s="5">
        <f t="shared" si="17"/>
        <v>38</v>
      </c>
      <c r="E1143" s="2" t="s">
        <v>5</v>
      </c>
      <c r="F1143" s="2" t="s">
        <v>15273</v>
      </c>
      <c r="G1143" s="3"/>
      <c r="H1143" s="1"/>
      <c r="I1143" s="1"/>
      <c r="J1143" s="4" t="s">
        <v>16128</v>
      </c>
      <c r="K1143" s="1"/>
      <c r="L1143" s="1" t="s">
        <v>6</v>
      </c>
      <c r="M1143" s="825"/>
      <c r="N1143" s="17"/>
      <c r="O1143" s="3" t="s">
        <v>1273</v>
      </c>
      <c r="P1143" s="20">
        <v>27110</v>
      </c>
      <c r="Q1143" s="3" t="s">
        <v>4304</v>
      </c>
      <c r="R1143" s="3"/>
      <c r="S1143" s="3" t="s">
        <v>6031</v>
      </c>
      <c r="T1143" s="3"/>
      <c r="U1143" s="2"/>
      <c r="V1143" s="2"/>
      <c r="W1143" s="2"/>
      <c r="X1143" s="2"/>
      <c r="Y1143" s="2"/>
      <c r="Z1143" s="2"/>
      <c r="AA1143" s="2"/>
      <c r="AB1143" s="2"/>
      <c r="AC1143" s="2"/>
      <c r="AD1143" s="2"/>
    </row>
    <row r="1144" spans="1:30" ht="12" customHeight="1">
      <c r="A1144" s="828" t="s">
        <v>17838</v>
      </c>
      <c r="B1144" s="3" t="s">
        <v>4295</v>
      </c>
      <c r="C1144" s="1" t="s">
        <v>4300</v>
      </c>
      <c r="D1144" s="5">
        <f t="shared" si="17"/>
        <v>65</v>
      </c>
      <c r="E1144" s="2" t="s">
        <v>5</v>
      </c>
      <c r="F1144" s="2"/>
      <c r="G1144" s="3"/>
      <c r="H1144" s="1"/>
      <c r="I1144" s="1"/>
      <c r="J1144" s="4" t="s">
        <v>16117</v>
      </c>
      <c r="K1144" s="1"/>
      <c r="L1144" s="1" t="s">
        <v>6</v>
      </c>
      <c r="M1144" s="825"/>
      <c r="N1144" s="17"/>
      <c r="O1144" s="3" t="s">
        <v>4301</v>
      </c>
      <c r="P1144" s="21">
        <v>17170</v>
      </c>
      <c r="Q1144" s="3" t="s">
        <v>4302</v>
      </c>
      <c r="R1144" s="3"/>
      <c r="S1144" s="3"/>
      <c r="T1144" s="3" t="s">
        <v>145</v>
      </c>
      <c r="U1144" s="2"/>
      <c r="V1144" s="2" t="s">
        <v>145</v>
      </c>
      <c r="W1144" s="2"/>
      <c r="X1144" s="2"/>
      <c r="Y1144" s="2"/>
      <c r="Z1144" s="2"/>
      <c r="AA1144" s="2"/>
      <c r="AB1144" s="2"/>
      <c r="AC1144" s="2"/>
      <c r="AD1144" s="2"/>
    </row>
    <row r="1145" spans="1:30" ht="12" customHeight="1">
      <c r="A1145" s="828" t="s">
        <v>17839</v>
      </c>
      <c r="B1145" s="3" t="s">
        <v>5971</v>
      </c>
      <c r="C1145" s="1" t="s">
        <v>5972</v>
      </c>
      <c r="D1145" s="5">
        <f t="shared" si="17"/>
        <v>57</v>
      </c>
      <c r="E1145" s="2" t="s">
        <v>19</v>
      </c>
      <c r="F1145" s="2"/>
      <c r="G1145" s="3"/>
      <c r="H1145" s="1"/>
      <c r="I1145" s="1"/>
      <c r="J1145" s="4" t="s">
        <v>16129</v>
      </c>
      <c r="K1145" s="1"/>
      <c r="L1145" s="1" t="s">
        <v>6</v>
      </c>
      <c r="M1145" s="825"/>
      <c r="N1145" s="17"/>
      <c r="O1145" s="3" t="s">
        <v>16055</v>
      </c>
      <c r="P1145" s="21">
        <v>20111</v>
      </c>
      <c r="Q1145" s="3" t="s">
        <v>5973</v>
      </c>
      <c r="R1145" s="3"/>
      <c r="S1145" s="3"/>
      <c r="T1145" s="3"/>
      <c r="U1145" s="2"/>
      <c r="V1145" s="2"/>
      <c r="W1145" s="2"/>
      <c r="X1145" s="2"/>
      <c r="Y1145" s="2"/>
      <c r="Z1145" s="2"/>
      <c r="AA1145" s="2"/>
      <c r="AB1145" s="2"/>
      <c r="AC1145" s="2"/>
      <c r="AD1145" s="2"/>
    </row>
    <row r="1146" spans="1:30" ht="12" customHeight="1">
      <c r="A1146" s="828" t="s">
        <v>17840</v>
      </c>
      <c r="B1146" s="3" t="s">
        <v>4305</v>
      </c>
      <c r="C1146" s="1" t="s">
        <v>4308</v>
      </c>
      <c r="D1146" s="5">
        <f t="shared" si="17"/>
        <v>42</v>
      </c>
      <c r="E1146" s="2" t="s">
        <v>5</v>
      </c>
      <c r="F1146" s="6" t="s">
        <v>15273</v>
      </c>
      <c r="G1146" s="3" t="s">
        <v>4309</v>
      </c>
      <c r="H1146" s="1"/>
      <c r="I1146" s="1"/>
      <c r="J1146" s="8" t="s">
        <v>16127</v>
      </c>
      <c r="K1146" s="1" t="s">
        <v>44</v>
      </c>
      <c r="L1146" s="1" t="s">
        <v>25</v>
      </c>
      <c r="M1146" s="825">
        <v>1</v>
      </c>
      <c r="N1146" s="17">
        <v>1</v>
      </c>
      <c r="O1146" s="3" t="s">
        <v>302</v>
      </c>
      <c r="P1146" s="20">
        <v>25806</v>
      </c>
      <c r="Q1146" s="3" t="s">
        <v>16675</v>
      </c>
      <c r="R1146" s="3"/>
      <c r="S1146" s="3" t="s">
        <v>736</v>
      </c>
      <c r="T1146" s="3" t="s">
        <v>146</v>
      </c>
      <c r="U1146" s="2"/>
      <c r="V1146" s="2"/>
      <c r="W1146" s="2"/>
      <c r="X1146" s="2"/>
      <c r="Y1146" s="2"/>
      <c r="Z1146" s="2"/>
      <c r="AA1146" s="2"/>
      <c r="AB1146" s="2"/>
      <c r="AC1146" s="2" t="s">
        <v>146</v>
      </c>
      <c r="AD1146" s="2"/>
    </row>
    <row r="1147" spans="1:30" ht="12" customHeight="1">
      <c r="A1147" s="828" t="s">
        <v>17841</v>
      </c>
      <c r="B1147" s="3" t="s">
        <v>4306</v>
      </c>
      <c r="C1147" s="1" t="s">
        <v>4311</v>
      </c>
      <c r="D1147" s="5">
        <f t="shared" si="17"/>
        <v>40</v>
      </c>
      <c r="E1147" s="2" t="s">
        <v>5</v>
      </c>
      <c r="F1147" s="2" t="s">
        <v>15273</v>
      </c>
      <c r="G1147" s="3"/>
      <c r="H1147" s="1"/>
      <c r="I1147" s="1"/>
      <c r="J1147" s="4" t="s">
        <v>16120</v>
      </c>
      <c r="K1147" s="1" t="s">
        <v>30</v>
      </c>
      <c r="L1147" s="1" t="s">
        <v>6</v>
      </c>
      <c r="M1147" s="825"/>
      <c r="N1147" s="17"/>
      <c r="O1147" s="3" t="s">
        <v>4312</v>
      </c>
      <c r="P1147" s="20">
        <v>26588</v>
      </c>
      <c r="Q1147" s="3" t="s">
        <v>4313</v>
      </c>
      <c r="R1147" s="3"/>
      <c r="S1147" s="3"/>
      <c r="T1147" s="3" t="s">
        <v>145</v>
      </c>
      <c r="U1147" s="2"/>
      <c r="V1147" s="2" t="s">
        <v>145</v>
      </c>
      <c r="W1147" s="2"/>
      <c r="X1147" s="2"/>
      <c r="Y1147" s="2"/>
      <c r="Z1147" s="2"/>
      <c r="AA1147" s="2"/>
      <c r="AB1147" s="2"/>
      <c r="AC1147" s="2"/>
      <c r="AD1147" s="2"/>
    </row>
    <row r="1148" spans="1:30" ht="12" customHeight="1">
      <c r="A1148" s="828" t="s">
        <v>17842</v>
      </c>
      <c r="B1148" s="3" t="s">
        <v>4307</v>
      </c>
      <c r="C1148" s="1" t="s">
        <v>4424</v>
      </c>
      <c r="D1148" s="5">
        <f t="shared" si="17"/>
        <v>39</v>
      </c>
      <c r="E1148" s="2" t="s">
        <v>5</v>
      </c>
      <c r="F1148" s="2" t="s">
        <v>15273</v>
      </c>
      <c r="G1148" s="3"/>
      <c r="H1148" s="1"/>
      <c r="I1148" s="1"/>
      <c r="J1148" s="4" t="s">
        <v>16125</v>
      </c>
      <c r="K1148" s="1"/>
      <c r="L1148" s="1" t="s">
        <v>6</v>
      </c>
      <c r="M1148" s="825"/>
      <c r="N1148" s="17"/>
      <c r="O1148" s="3" t="s">
        <v>4425</v>
      </c>
      <c r="P1148" s="20">
        <v>26872</v>
      </c>
      <c r="Q1148" s="3" t="s">
        <v>4426</v>
      </c>
      <c r="R1148" s="3"/>
      <c r="S1148" s="3" t="s">
        <v>5561</v>
      </c>
      <c r="T1148" s="3"/>
      <c r="U1148" s="2"/>
      <c r="V1148" s="2"/>
      <c r="W1148" s="2"/>
      <c r="X1148" s="2"/>
      <c r="Y1148" s="2"/>
      <c r="Z1148" s="2"/>
      <c r="AA1148" s="2"/>
      <c r="AB1148" s="2"/>
      <c r="AC1148" s="2"/>
      <c r="AD1148" s="2"/>
    </row>
    <row r="1149" spans="1:30" ht="12" customHeight="1">
      <c r="A1149" s="828" t="s">
        <v>17843</v>
      </c>
      <c r="B1149" s="3" t="s">
        <v>4423</v>
      </c>
      <c r="C1149" s="1" t="s">
        <v>5529</v>
      </c>
      <c r="D1149" s="5">
        <f t="shared" si="17"/>
        <v>35</v>
      </c>
      <c r="E1149" s="2" t="s">
        <v>5</v>
      </c>
      <c r="F1149" s="2" t="s">
        <v>15273</v>
      </c>
      <c r="G1149" s="3"/>
      <c r="H1149" s="1"/>
      <c r="I1149" s="1"/>
      <c r="J1149" s="4" t="s">
        <v>16116</v>
      </c>
      <c r="K1149" s="1" t="s">
        <v>4993</v>
      </c>
      <c r="L1149" s="1" t="s">
        <v>6</v>
      </c>
      <c r="M1149" s="825"/>
      <c r="N1149" s="17"/>
      <c r="O1149" s="3" t="s">
        <v>1485</v>
      </c>
      <c r="P1149" s="21">
        <v>28268</v>
      </c>
      <c r="Q1149" s="3" t="s">
        <v>16056</v>
      </c>
      <c r="R1149" s="3"/>
      <c r="S1149" s="3"/>
      <c r="T1149" s="3"/>
      <c r="U1149" s="2"/>
      <c r="V1149" s="2"/>
      <c r="W1149" s="2"/>
      <c r="X1149" s="2"/>
      <c r="Y1149" s="2"/>
      <c r="Z1149" s="2"/>
      <c r="AA1149" s="2"/>
      <c r="AB1149" s="2"/>
      <c r="AC1149" s="2"/>
      <c r="AD1149" s="2"/>
    </row>
    <row r="1150" spans="1:30" ht="12" customHeight="1">
      <c r="A1150" s="828" t="s">
        <v>17844</v>
      </c>
      <c r="B1150" s="3" t="s">
        <v>5528</v>
      </c>
      <c r="C1150" s="1" t="s">
        <v>4314</v>
      </c>
      <c r="D1150" s="5">
        <f t="shared" si="17"/>
        <v>45</v>
      </c>
      <c r="E1150" s="2" t="s">
        <v>5</v>
      </c>
      <c r="F1150" s="2"/>
      <c r="G1150" s="3"/>
      <c r="H1150" s="1"/>
      <c r="I1150" s="1"/>
      <c r="J1150" s="4" t="s">
        <v>16117</v>
      </c>
      <c r="K1150" s="1"/>
      <c r="L1150" s="1" t="s">
        <v>6</v>
      </c>
      <c r="M1150" s="825"/>
      <c r="N1150" s="17"/>
      <c r="O1150" s="3" t="s">
        <v>4328</v>
      </c>
      <c r="P1150" s="21">
        <v>24664</v>
      </c>
      <c r="Q1150" s="3" t="s">
        <v>4315</v>
      </c>
      <c r="R1150" s="3"/>
      <c r="S1150" s="3"/>
      <c r="T1150" s="3" t="s">
        <v>145</v>
      </c>
      <c r="U1150" s="2"/>
      <c r="V1150" s="2" t="s">
        <v>145</v>
      </c>
      <c r="W1150" s="2"/>
      <c r="X1150" s="2"/>
      <c r="Y1150" s="2"/>
      <c r="Z1150" s="2"/>
      <c r="AA1150" s="2"/>
      <c r="AB1150" s="2"/>
      <c r="AC1150" s="2"/>
      <c r="AD1150" s="2"/>
    </row>
    <row r="1151" spans="1:30" ht="12" customHeight="1">
      <c r="A1151" s="828" t="s">
        <v>17845</v>
      </c>
      <c r="B1151" s="3" t="s">
        <v>4316</v>
      </c>
      <c r="C1151" s="1" t="s">
        <v>4320</v>
      </c>
      <c r="D1151" s="5">
        <f t="shared" si="17"/>
        <v>63</v>
      </c>
      <c r="E1151" s="2" t="s">
        <v>19</v>
      </c>
      <c r="F1151" s="6" t="s">
        <v>15273</v>
      </c>
      <c r="G1151" s="3" t="s">
        <v>4321</v>
      </c>
      <c r="H1151" s="1"/>
      <c r="I1151" s="1"/>
      <c r="J1151" s="8" t="s">
        <v>16127</v>
      </c>
      <c r="K1151" s="1" t="s">
        <v>45</v>
      </c>
      <c r="L1151" s="1" t="s">
        <v>25</v>
      </c>
      <c r="M1151" s="825">
        <v>2</v>
      </c>
      <c r="N1151" s="17">
        <v>2</v>
      </c>
      <c r="O1151" s="3" t="s">
        <v>570</v>
      </c>
      <c r="P1151" s="20">
        <v>18099</v>
      </c>
      <c r="Q1151" s="3" t="s">
        <v>4324</v>
      </c>
      <c r="R1151" s="3" t="s">
        <v>1784</v>
      </c>
      <c r="S1151" s="3" t="s">
        <v>736</v>
      </c>
      <c r="T1151" s="3" t="s">
        <v>148</v>
      </c>
      <c r="U1151" s="2"/>
      <c r="V1151" s="2" t="s">
        <v>145</v>
      </c>
      <c r="W1151" s="2"/>
      <c r="X1151" s="2"/>
      <c r="Y1151" s="2"/>
      <c r="Z1151" s="2"/>
      <c r="AA1151" s="2"/>
      <c r="AB1151" s="2"/>
      <c r="AC1151" s="2"/>
      <c r="AD1151" s="2" t="s">
        <v>69</v>
      </c>
    </row>
    <row r="1152" spans="1:30" ht="12" customHeight="1">
      <c r="A1152" s="828" t="s">
        <v>17846</v>
      </c>
      <c r="B1152" s="3" t="s">
        <v>4317</v>
      </c>
      <c r="C1152" s="1" t="s">
        <v>4325</v>
      </c>
      <c r="D1152" s="5">
        <f t="shared" si="17"/>
        <v>40</v>
      </c>
      <c r="E1152" s="2" t="s">
        <v>5</v>
      </c>
      <c r="F1152" s="2" t="s">
        <v>15273</v>
      </c>
      <c r="G1152" s="3"/>
      <c r="H1152" s="1"/>
      <c r="I1152" s="1"/>
      <c r="J1152" s="4" t="s">
        <v>16120</v>
      </c>
      <c r="K1152" s="1" t="s">
        <v>30</v>
      </c>
      <c r="L1152" s="1" t="s">
        <v>6</v>
      </c>
      <c r="M1152" s="825"/>
      <c r="N1152" s="17"/>
      <c r="O1152" s="3" t="s">
        <v>317</v>
      </c>
      <c r="P1152" s="20">
        <v>26494</v>
      </c>
      <c r="Q1152" s="3" t="s">
        <v>4326</v>
      </c>
      <c r="R1152" s="3"/>
      <c r="S1152" s="3" t="s">
        <v>5457</v>
      </c>
      <c r="T1152" s="3" t="s">
        <v>47</v>
      </c>
      <c r="U1152" s="2" t="s">
        <v>47</v>
      </c>
      <c r="V1152" s="2"/>
      <c r="W1152" s="2"/>
      <c r="X1152" s="2"/>
      <c r="Y1152" s="2"/>
      <c r="Z1152" s="2"/>
      <c r="AA1152" s="2"/>
      <c r="AB1152" s="2"/>
      <c r="AC1152" s="2"/>
      <c r="AD1152" s="2"/>
    </row>
    <row r="1153" spans="1:30" ht="12" customHeight="1">
      <c r="A1153" s="828" t="s">
        <v>17847</v>
      </c>
      <c r="B1153" s="3" t="s">
        <v>4318</v>
      </c>
      <c r="C1153" s="1" t="s">
        <v>4330</v>
      </c>
      <c r="D1153" s="5">
        <f t="shared" ref="D1153:D1216" si="18">DATEDIF(P1153,$P$1505,"Y")</f>
        <v>51</v>
      </c>
      <c r="E1153" s="2" t="s">
        <v>5</v>
      </c>
      <c r="F1153" s="2" t="s">
        <v>15273</v>
      </c>
      <c r="G1153" s="3"/>
      <c r="H1153" s="1"/>
      <c r="I1153" s="1"/>
      <c r="J1153" s="4" t="s">
        <v>16128</v>
      </c>
      <c r="K1153" s="1"/>
      <c r="L1153" s="1" t="s">
        <v>6</v>
      </c>
      <c r="M1153" s="825"/>
      <c r="N1153" s="17"/>
      <c r="O1153" s="3" t="s">
        <v>4328</v>
      </c>
      <c r="P1153" s="20">
        <v>22418</v>
      </c>
      <c r="Q1153" s="3" t="s">
        <v>4331</v>
      </c>
      <c r="R1153" s="3"/>
      <c r="S1153" s="3" t="s">
        <v>6031</v>
      </c>
      <c r="T1153" s="3" t="s">
        <v>145</v>
      </c>
      <c r="U1153" s="2"/>
      <c r="V1153" s="2" t="s">
        <v>145</v>
      </c>
      <c r="W1153" s="2"/>
      <c r="X1153" s="2"/>
      <c r="Y1153" s="2"/>
      <c r="Z1153" s="2"/>
      <c r="AA1153" s="2"/>
      <c r="AB1153" s="2"/>
      <c r="AC1153" s="2"/>
      <c r="AD1153" s="2"/>
    </row>
    <row r="1154" spans="1:30" ht="12" customHeight="1">
      <c r="A1154" s="828" t="s">
        <v>17848</v>
      </c>
      <c r="B1154" s="3" t="s">
        <v>4319</v>
      </c>
      <c r="C1154" s="1" t="s">
        <v>4327</v>
      </c>
      <c r="D1154" s="5">
        <f t="shared" si="18"/>
        <v>31</v>
      </c>
      <c r="E1154" s="2" t="s">
        <v>5</v>
      </c>
      <c r="F1154" s="2"/>
      <c r="G1154" s="3"/>
      <c r="H1154" s="1"/>
      <c r="I1154" s="1"/>
      <c r="J1154" s="4" t="s">
        <v>16117</v>
      </c>
      <c r="K1154" s="1"/>
      <c r="L1154" s="1" t="s">
        <v>6</v>
      </c>
      <c r="M1154" s="825"/>
      <c r="N1154" s="17"/>
      <c r="O1154" s="3" t="s">
        <v>4328</v>
      </c>
      <c r="P1154" s="20">
        <v>29837</v>
      </c>
      <c r="Q1154" s="3" t="s">
        <v>4329</v>
      </c>
      <c r="R1154" s="3"/>
      <c r="S1154" s="3"/>
      <c r="T1154" s="3"/>
      <c r="U1154" s="2"/>
      <c r="V1154" s="2"/>
      <c r="W1154" s="2"/>
      <c r="X1154" s="2"/>
      <c r="Y1154" s="2"/>
      <c r="Z1154" s="2"/>
      <c r="AA1154" s="2"/>
      <c r="AB1154" s="2"/>
      <c r="AC1154" s="2"/>
      <c r="AD1154" s="2"/>
    </row>
    <row r="1155" spans="1:30" ht="12" customHeight="1">
      <c r="A1155" s="828" t="s">
        <v>17849</v>
      </c>
      <c r="B1155" s="3" t="s">
        <v>4332</v>
      </c>
      <c r="C1155" s="1" t="s">
        <v>5227</v>
      </c>
      <c r="D1155" s="5">
        <f t="shared" si="18"/>
        <v>38</v>
      </c>
      <c r="E1155" s="2" t="s">
        <v>5</v>
      </c>
      <c r="F1155" s="6" t="s">
        <v>15273</v>
      </c>
      <c r="G1155" s="3"/>
      <c r="H1155" s="1"/>
      <c r="I1155" s="1"/>
      <c r="J1155" s="8" t="s">
        <v>16126</v>
      </c>
      <c r="K1155" s="1" t="s">
        <v>44</v>
      </c>
      <c r="L1155" s="1" t="s">
        <v>6</v>
      </c>
      <c r="M1155" s="825"/>
      <c r="N1155" s="17"/>
      <c r="O1155" s="3" t="s">
        <v>5228</v>
      </c>
      <c r="P1155" s="20">
        <v>27153</v>
      </c>
      <c r="Q1155" s="3" t="s">
        <v>5229</v>
      </c>
      <c r="R1155" s="3"/>
      <c r="S1155" s="3" t="s">
        <v>736</v>
      </c>
      <c r="T1155" s="3" t="s">
        <v>145</v>
      </c>
      <c r="U1155" s="2"/>
      <c r="V1155" s="2" t="s">
        <v>145</v>
      </c>
      <c r="W1155" s="2"/>
      <c r="X1155" s="2"/>
      <c r="Y1155" s="2"/>
      <c r="Z1155" s="2"/>
      <c r="AA1155" s="2"/>
      <c r="AB1155" s="2"/>
      <c r="AC1155" s="2"/>
      <c r="AD1155" s="2"/>
    </row>
    <row r="1156" spans="1:30" ht="12" customHeight="1">
      <c r="A1156" s="828" t="s">
        <v>17850</v>
      </c>
      <c r="B1156" s="3" t="s">
        <v>4333</v>
      </c>
      <c r="C1156" s="1" t="s">
        <v>4338</v>
      </c>
      <c r="D1156" s="5">
        <f t="shared" si="18"/>
        <v>50</v>
      </c>
      <c r="E1156" s="2" t="s">
        <v>5</v>
      </c>
      <c r="F1156" s="2" t="s">
        <v>15273</v>
      </c>
      <c r="G1156" s="3"/>
      <c r="H1156" s="1"/>
      <c r="I1156" s="1"/>
      <c r="J1156" s="8" t="s">
        <v>16120</v>
      </c>
      <c r="K1156" s="1" t="s">
        <v>30</v>
      </c>
      <c r="L1156" s="1" t="s">
        <v>6</v>
      </c>
      <c r="M1156" s="825"/>
      <c r="N1156" s="17"/>
      <c r="O1156" s="3" t="s">
        <v>452</v>
      </c>
      <c r="P1156" s="20">
        <v>22938</v>
      </c>
      <c r="Q1156" s="3" t="s">
        <v>4339</v>
      </c>
      <c r="R1156" s="3"/>
      <c r="S1156" s="3" t="s">
        <v>5457</v>
      </c>
      <c r="T1156" s="3"/>
      <c r="U1156" s="2"/>
      <c r="V1156" s="2"/>
      <c r="W1156" s="2"/>
      <c r="X1156" s="2"/>
      <c r="Y1156" s="2"/>
      <c r="Z1156" s="2"/>
      <c r="AA1156" s="2"/>
      <c r="AB1156" s="2"/>
      <c r="AC1156" s="2"/>
      <c r="AD1156" s="2"/>
    </row>
    <row r="1157" spans="1:30" ht="12" customHeight="1">
      <c r="A1157" s="828" t="s">
        <v>17851</v>
      </c>
      <c r="B1157" s="3" t="s">
        <v>4334</v>
      </c>
      <c r="C1157" s="1" t="s">
        <v>4343</v>
      </c>
      <c r="D1157" s="5">
        <f t="shared" si="18"/>
        <v>59</v>
      </c>
      <c r="E1157" s="2" t="s">
        <v>5</v>
      </c>
      <c r="F1157" s="2" t="s">
        <v>15273</v>
      </c>
      <c r="G1157" s="3" t="s">
        <v>4344</v>
      </c>
      <c r="H1157" s="1"/>
      <c r="I1157" s="1"/>
      <c r="J1157" s="4" t="s">
        <v>16125</v>
      </c>
      <c r="K1157" s="1"/>
      <c r="L1157" s="1" t="s">
        <v>25</v>
      </c>
      <c r="M1157" s="825">
        <v>2</v>
      </c>
      <c r="N1157" s="17">
        <v>2</v>
      </c>
      <c r="O1157" s="3" t="s">
        <v>317</v>
      </c>
      <c r="P1157" s="20">
        <v>19474</v>
      </c>
      <c r="Q1157" s="3" t="s">
        <v>4347</v>
      </c>
      <c r="R1157" s="3"/>
      <c r="S1157" s="3" t="s">
        <v>5561</v>
      </c>
      <c r="T1157" s="3" t="s">
        <v>145</v>
      </c>
      <c r="U1157" s="2"/>
      <c r="V1157" s="2" t="s">
        <v>145</v>
      </c>
      <c r="W1157" s="2"/>
      <c r="X1157" s="2"/>
      <c r="Y1157" s="2"/>
      <c r="Z1157" s="2"/>
      <c r="AA1157" s="2"/>
      <c r="AB1157" s="2"/>
      <c r="AC1157" s="2"/>
      <c r="AD1157" s="2"/>
    </row>
    <row r="1158" spans="1:30" ht="12" customHeight="1">
      <c r="A1158" s="828" t="s">
        <v>17852</v>
      </c>
      <c r="B1158" s="3" t="s">
        <v>4335</v>
      </c>
      <c r="C1158" s="1" t="s">
        <v>4351</v>
      </c>
      <c r="D1158" s="5">
        <f t="shared" si="18"/>
        <v>51</v>
      </c>
      <c r="E1158" s="2" t="s">
        <v>5</v>
      </c>
      <c r="F1158" s="2" t="s">
        <v>15273</v>
      </c>
      <c r="G1158" s="3"/>
      <c r="H1158" s="1"/>
      <c r="I1158" s="1"/>
      <c r="J1158" s="4" t="s">
        <v>16116</v>
      </c>
      <c r="K1158" s="1" t="s">
        <v>4993</v>
      </c>
      <c r="L1158" s="1" t="s">
        <v>6</v>
      </c>
      <c r="M1158" s="825"/>
      <c r="N1158" s="17"/>
      <c r="O1158" s="3" t="s">
        <v>4352</v>
      </c>
      <c r="P1158" s="20">
        <v>22462</v>
      </c>
      <c r="Q1158" s="3" t="s">
        <v>4354</v>
      </c>
      <c r="R1158" s="3"/>
      <c r="S1158" s="3"/>
      <c r="T1158" s="3" t="s">
        <v>104</v>
      </c>
      <c r="U1158" s="2"/>
      <c r="V1158" s="2"/>
      <c r="W1158" s="2"/>
      <c r="X1158" s="2"/>
      <c r="Y1158" s="2"/>
      <c r="Z1158" s="2"/>
      <c r="AA1158" s="2" t="s">
        <v>104</v>
      </c>
      <c r="AB1158" s="2"/>
      <c r="AC1158" s="2"/>
      <c r="AD1158" s="2"/>
    </row>
    <row r="1159" spans="1:30" ht="12" customHeight="1">
      <c r="A1159" s="828" t="s">
        <v>17853</v>
      </c>
      <c r="B1159" s="3" t="s">
        <v>4336</v>
      </c>
      <c r="C1159" s="1" t="s">
        <v>4348</v>
      </c>
      <c r="D1159" s="5">
        <f t="shared" si="18"/>
        <v>57</v>
      </c>
      <c r="E1159" s="2" t="s">
        <v>5</v>
      </c>
      <c r="F1159" s="2"/>
      <c r="G1159" s="3"/>
      <c r="H1159" s="1"/>
      <c r="I1159" s="1"/>
      <c r="J1159" s="4" t="s">
        <v>16117</v>
      </c>
      <c r="K1159" s="1"/>
      <c r="L1159" s="1" t="s">
        <v>6</v>
      </c>
      <c r="M1159" s="825"/>
      <c r="N1159" s="17"/>
      <c r="O1159" s="3" t="s">
        <v>4349</v>
      </c>
      <c r="P1159" s="20">
        <v>20298</v>
      </c>
      <c r="Q1159" s="3" t="s">
        <v>53</v>
      </c>
      <c r="R1159" s="3"/>
      <c r="S1159" s="3"/>
      <c r="T1159" s="3"/>
      <c r="U1159" s="2"/>
      <c r="V1159" s="2"/>
      <c r="W1159" s="2"/>
      <c r="X1159" s="2"/>
      <c r="Y1159" s="2"/>
      <c r="Z1159" s="2"/>
      <c r="AA1159" s="2"/>
      <c r="AB1159" s="2"/>
      <c r="AC1159" s="2"/>
      <c r="AD1159" s="2"/>
    </row>
    <row r="1160" spans="1:30" ht="12" customHeight="1">
      <c r="A1160" s="828" t="s">
        <v>17854</v>
      </c>
      <c r="B1160" s="3" t="s">
        <v>4337</v>
      </c>
      <c r="C1160" s="1" t="s">
        <v>4355</v>
      </c>
      <c r="D1160" s="5">
        <f t="shared" si="18"/>
        <v>53</v>
      </c>
      <c r="E1160" s="2" t="s">
        <v>19</v>
      </c>
      <c r="F1160" s="2"/>
      <c r="G1160" s="3"/>
      <c r="H1160" s="1"/>
      <c r="I1160" s="1"/>
      <c r="J1160" s="4" t="s">
        <v>16122</v>
      </c>
      <c r="K1160" s="1" t="s">
        <v>22</v>
      </c>
      <c r="L1160" s="1" t="s">
        <v>6</v>
      </c>
      <c r="M1160" s="825"/>
      <c r="N1160" s="17"/>
      <c r="O1160" s="3" t="s">
        <v>4078</v>
      </c>
      <c r="P1160" s="20">
        <v>21652</v>
      </c>
      <c r="Q1160" s="3" t="s">
        <v>4356</v>
      </c>
      <c r="R1160" s="3"/>
      <c r="S1160" s="3"/>
      <c r="T1160" s="3"/>
      <c r="U1160" s="2"/>
      <c r="V1160" s="2"/>
      <c r="W1160" s="2"/>
      <c r="X1160" s="2"/>
      <c r="Y1160" s="2"/>
      <c r="Z1160" s="2"/>
      <c r="AA1160" s="2"/>
      <c r="AB1160" s="2"/>
      <c r="AC1160" s="2"/>
      <c r="AD1160" s="2"/>
    </row>
    <row r="1161" spans="1:30" ht="12" customHeight="1">
      <c r="A1161" s="828" t="s">
        <v>17855</v>
      </c>
      <c r="B1161" s="3" t="s">
        <v>4384</v>
      </c>
      <c r="C1161" s="1" t="s">
        <v>4357</v>
      </c>
      <c r="D1161" s="5">
        <f t="shared" si="18"/>
        <v>37</v>
      </c>
      <c r="E1161" s="2" t="s">
        <v>5</v>
      </c>
      <c r="F1161" s="6" t="s">
        <v>15273</v>
      </c>
      <c r="G1161" s="3" t="s">
        <v>4358</v>
      </c>
      <c r="H1161" s="1"/>
      <c r="I1161" s="1"/>
      <c r="J1161" s="8" t="s">
        <v>16127</v>
      </c>
      <c r="K1161" s="1" t="s">
        <v>44</v>
      </c>
      <c r="L1161" s="1" t="s">
        <v>25</v>
      </c>
      <c r="M1161" s="825">
        <v>3</v>
      </c>
      <c r="N1161" s="17">
        <v>3</v>
      </c>
      <c r="O1161" s="3" t="s">
        <v>317</v>
      </c>
      <c r="P1161" s="20">
        <v>27504</v>
      </c>
      <c r="Q1161" s="3" t="s">
        <v>4359</v>
      </c>
      <c r="R1161" s="3" t="s">
        <v>2428</v>
      </c>
      <c r="S1161" s="3" t="s">
        <v>736</v>
      </c>
      <c r="T1161" s="3"/>
      <c r="U1161" s="2"/>
      <c r="V1161" s="2"/>
      <c r="W1161" s="2"/>
      <c r="X1161" s="2"/>
      <c r="Y1161" s="2"/>
      <c r="Z1161" s="2"/>
      <c r="AA1161" s="2"/>
      <c r="AB1161" s="2"/>
      <c r="AC1161" s="2"/>
      <c r="AD1161" s="2"/>
    </row>
    <row r="1162" spans="1:30" ht="12" customHeight="1">
      <c r="A1162" s="828" t="s">
        <v>17856</v>
      </c>
      <c r="B1162" s="3" t="s">
        <v>4385</v>
      </c>
      <c r="C1162" s="1" t="s">
        <v>4361</v>
      </c>
      <c r="D1162" s="5">
        <f t="shared" si="18"/>
        <v>68</v>
      </c>
      <c r="E1162" s="2" t="s">
        <v>5</v>
      </c>
      <c r="F1162" s="2" t="s">
        <v>15273</v>
      </c>
      <c r="G1162" s="3"/>
      <c r="H1162" s="1"/>
      <c r="I1162" s="1"/>
      <c r="J1162" s="4" t="s">
        <v>16120</v>
      </c>
      <c r="K1162" s="1" t="s">
        <v>934</v>
      </c>
      <c r="L1162" s="1" t="s">
        <v>14</v>
      </c>
      <c r="M1162" s="825">
        <v>5</v>
      </c>
      <c r="N1162" s="17">
        <v>5</v>
      </c>
      <c r="O1162" s="3" t="s">
        <v>317</v>
      </c>
      <c r="P1162" s="20">
        <v>16346</v>
      </c>
      <c r="Q1162" s="3" t="s">
        <v>4362</v>
      </c>
      <c r="R1162" s="3" t="s">
        <v>4365</v>
      </c>
      <c r="S1162" s="3" t="s">
        <v>5457</v>
      </c>
      <c r="T1162" s="3" t="s">
        <v>2580</v>
      </c>
      <c r="U1162" s="2" t="s">
        <v>47</v>
      </c>
      <c r="V1162" s="2"/>
      <c r="W1162" s="2"/>
      <c r="X1162" s="2"/>
      <c r="Y1162" s="2"/>
      <c r="Z1162" s="2"/>
      <c r="AA1162" s="2" t="s">
        <v>104</v>
      </c>
      <c r="AB1162" s="2" t="s">
        <v>147</v>
      </c>
      <c r="AC1162" s="2"/>
      <c r="AD1162" s="2"/>
    </row>
    <row r="1163" spans="1:30" ht="12" customHeight="1">
      <c r="A1163" s="828" t="s">
        <v>17857</v>
      </c>
      <c r="B1163" s="3" t="s">
        <v>4386</v>
      </c>
      <c r="C1163" s="1" t="s">
        <v>5796</v>
      </c>
      <c r="D1163" s="5">
        <f t="shared" si="18"/>
        <v>47</v>
      </c>
      <c r="E1163" s="2" t="s">
        <v>5</v>
      </c>
      <c r="F1163" s="2" t="s">
        <v>15273</v>
      </c>
      <c r="G1163" s="3"/>
      <c r="H1163" s="1"/>
      <c r="I1163" s="1"/>
      <c r="J1163" s="4" t="s">
        <v>16125</v>
      </c>
      <c r="K1163" s="1"/>
      <c r="L1163" s="1" t="s">
        <v>6</v>
      </c>
      <c r="M1163" s="825"/>
      <c r="N1163" s="17"/>
      <c r="O1163" s="3" t="s">
        <v>5797</v>
      </c>
      <c r="P1163" s="21">
        <v>24038</v>
      </c>
      <c r="Q1163" s="3" t="s">
        <v>5798</v>
      </c>
      <c r="R1163" s="3"/>
      <c r="S1163" s="3" t="s">
        <v>5561</v>
      </c>
      <c r="T1163" s="3" t="s">
        <v>145</v>
      </c>
      <c r="U1163" s="2"/>
      <c r="V1163" s="2" t="s">
        <v>145</v>
      </c>
      <c r="W1163" s="2"/>
      <c r="X1163" s="2"/>
      <c r="Y1163" s="2"/>
      <c r="Z1163" s="2"/>
      <c r="AA1163" s="2"/>
      <c r="AB1163" s="2"/>
      <c r="AC1163" s="2"/>
      <c r="AD1163" s="2"/>
    </row>
    <row r="1164" spans="1:30" ht="12" customHeight="1">
      <c r="A1164" s="828" t="s">
        <v>17858</v>
      </c>
      <c r="B1164" s="3" t="s">
        <v>5438</v>
      </c>
      <c r="C1164" s="1" t="s">
        <v>5439</v>
      </c>
      <c r="D1164" s="5">
        <f t="shared" si="18"/>
        <v>56</v>
      </c>
      <c r="E1164" s="2" t="s">
        <v>5</v>
      </c>
      <c r="F1164" s="2" t="s">
        <v>15273</v>
      </c>
      <c r="G1164" s="3"/>
      <c r="H1164" s="1"/>
      <c r="I1164" s="1"/>
      <c r="J1164" s="4" t="s">
        <v>16116</v>
      </c>
      <c r="K1164" s="1" t="s">
        <v>4997</v>
      </c>
      <c r="L1164" s="1" t="s">
        <v>6</v>
      </c>
      <c r="M1164" s="825"/>
      <c r="N1164" s="17"/>
      <c r="O1164" s="3" t="s">
        <v>188</v>
      </c>
      <c r="P1164" s="21">
        <v>20613</v>
      </c>
      <c r="Q1164" s="3" t="s">
        <v>6152</v>
      </c>
      <c r="R1164" s="3"/>
      <c r="S1164" s="3" t="s">
        <v>469</v>
      </c>
      <c r="T1164" s="3"/>
      <c r="U1164" s="2"/>
      <c r="V1164" s="2"/>
      <c r="W1164" s="2"/>
      <c r="X1164" s="2"/>
      <c r="Y1164" s="2"/>
      <c r="Z1164" s="2"/>
      <c r="AA1164" s="2"/>
      <c r="AB1164" s="2"/>
      <c r="AC1164" s="2"/>
      <c r="AD1164" s="2"/>
    </row>
    <row r="1165" spans="1:30" ht="12" customHeight="1">
      <c r="A1165" s="828" t="s">
        <v>17859</v>
      </c>
      <c r="B1165" s="3" t="s">
        <v>5795</v>
      </c>
      <c r="C1165" s="1" t="s">
        <v>4366</v>
      </c>
      <c r="D1165" s="5">
        <f t="shared" si="18"/>
        <v>56</v>
      </c>
      <c r="E1165" s="2" t="s">
        <v>5</v>
      </c>
      <c r="F1165" s="2"/>
      <c r="G1165" s="3"/>
      <c r="H1165" s="1"/>
      <c r="I1165" s="1"/>
      <c r="J1165" s="4" t="s">
        <v>16117</v>
      </c>
      <c r="K1165" s="1"/>
      <c r="L1165" s="1" t="s">
        <v>6</v>
      </c>
      <c r="M1165" s="825"/>
      <c r="N1165" s="17"/>
      <c r="O1165" s="3" t="s">
        <v>4312</v>
      </c>
      <c r="P1165" s="21">
        <v>20652</v>
      </c>
      <c r="Q1165" s="3" t="s">
        <v>4367</v>
      </c>
      <c r="R1165" s="3"/>
      <c r="S1165" s="3"/>
      <c r="T1165" s="3"/>
      <c r="U1165" s="2"/>
      <c r="V1165" s="2"/>
      <c r="W1165" s="2"/>
      <c r="X1165" s="2"/>
      <c r="Y1165" s="2"/>
      <c r="Z1165" s="2"/>
      <c r="AA1165" s="2"/>
      <c r="AB1165" s="2"/>
      <c r="AC1165" s="2"/>
      <c r="AD1165" s="2"/>
    </row>
    <row r="1166" spans="1:30" ht="12" customHeight="1">
      <c r="A1166" s="828" t="s">
        <v>17860</v>
      </c>
      <c r="B1166" s="3" t="s">
        <v>4387</v>
      </c>
      <c r="C1166" s="1" t="s">
        <v>4368</v>
      </c>
      <c r="D1166" s="5">
        <f t="shared" si="18"/>
        <v>65</v>
      </c>
      <c r="E1166" s="2" t="s">
        <v>5</v>
      </c>
      <c r="F1166" s="6" t="s">
        <v>15273</v>
      </c>
      <c r="G1166" s="3" t="s">
        <v>4369</v>
      </c>
      <c r="H1166" s="1"/>
      <c r="I1166" s="1"/>
      <c r="J1166" s="8" t="s">
        <v>16127</v>
      </c>
      <c r="K1166" s="1" t="s">
        <v>604</v>
      </c>
      <c r="L1166" s="1" t="s">
        <v>25</v>
      </c>
      <c r="M1166" s="825">
        <v>7</v>
      </c>
      <c r="N1166" s="17">
        <v>7</v>
      </c>
      <c r="O1166" s="3" t="s">
        <v>317</v>
      </c>
      <c r="P1166" s="20">
        <v>17378</v>
      </c>
      <c r="Q1166" s="3" t="s">
        <v>4372</v>
      </c>
      <c r="R1166" s="3" t="s">
        <v>4371</v>
      </c>
      <c r="S1166" s="3" t="s">
        <v>736</v>
      </c>
      <c r="T1166" s="3" t="s">
        <v>47</v>
      </c>
      <c r="U1166" s="2" t="s">
        <v>47</v>
      </c>
      <c r="V1166" s="2"/>
      <c r="W1166" s="2"/>
      <c r="X1166" s="2"/>
      <c r="Y1166" s="2"/>
      <c r="Z1166" s="2"/>
      <c r="AA1166" s="2"/>
      <c r="AB1166" s="2"/>
      <c r="AC1166" s="2"/>
      <c r="AD1166" s="2"/>
    </row>
    <row r="1167" spans="1:30" ht="12" customHeight="1">
      <c r="A1167" s="828" t="s">
        <v>17861</v>
      </c>
      <c r="B1167" s="3" t="s">
        <v>4388</v>
      </c>
      <c r="C1167" s="1" t="s">
        <v>5864</v>
      </c>
      <c r="D1167" s="5">
        <f t="shared" si="18"/>
        <v>36</v>
      </c>
      <c r="E1167" s="2" t="s">
        <v>5</v>
      </c>
      <c r="F1167" s="2" t="s">
        <v>15273</v>
      </c>
      <c r="G1167" s="3"/>
      <c r="H1167" s="1"/>
      <c r="I1167" s="1"/>
      <c r="J1167" s="4" t="s">
        <v>16116</v>
      </c>
      <c r="K1167" s="1" t="s">
        <v>4997</v>
      </c>
      <c r="L1167" s="1" t="s">
        <v>6</v>
      </c>
      <c r="M1167" s="825"/>
      <c r="N1167" s="17"/>
      <c r="O1167" s="3" t="s">
        <v>1617</v>
      </c>
      <c r="P1167" s="20">
        <v>28076</v>
      </c>
      <c r="Q1167" s="3" t="s">
        <v>16057</v>
      </c>
      <c r="R1167" s="3"/>
      <c r="S1167" s="3" t="s">
        <v>469</v>
      </c>
      <c r="T1167" s="3"/>
      <c r="U1167" s="2"/>
      <c r="V1167" s="2"/>
      <c r="W1167" s="2"/>
      <c r="X1167" s="2"/>
      <c r="Y1167" s="2"/>
      <c r="Z1167" s="2"/>
      <c r="AA1167" s="2"/>
      <c r="AB1167" s="2"/>
      <c r="AC1167" s="2"/>
      <c r="AD1167" s="2"/>
    </row>
    <row r="1168" spans="1:30" ht="12" customHeight="1">
      <c r="A1168" s="828" t="s">
        <v>17862</v>
      </c>
      <c r="B1168" s="3" t="s">
        <v>4389</v>
      </c>
      <c r="C1168" s="1" t="s">
        <v>4373</v>
      </c>
      <c r="D1168" s="5">
        <f t="shared" si="18"/>
        <v>51</v>
      </c>
      <c r="E1168" s="2" t="s">
        <v>19</v>
      </c>
      <c r="F1168" s="2"/>
      <c r="G1168" s="3"/>
      <c r="H1168" s="1"/>
      <c r="I1168" s="1"/>
      <c r="J1168" s="4" t="s">
        <v>16117</v>
      </c>
      <c r="K1168" s="1"/>
      <c r="L1168" s="1" t="s">
        <v>6</v>
      </c>
      <c r="M1168" s="825"/>
      <c r="N1168" s="17"/>
      <c r="O1168" s="3" t="s">
        <v>16058</v>
      </c>
      <c r="P1168" s="20">
        <v>22335</v>
      </c>
      <c r="Q1168" s="3" t="s">
        <v>4374</v>
      </c>
      <c r="R1168" s="3"/>
      <c r="S1168" s="3"/>
      <c r="T1168" s="3"/>
      <c r="U1168" s="2"/>
      <c r="V1168" s="2"/>
      <c r="W1168" s="2"/>
      <c r="X1168" s="2"/>
      <c r="Y1168" s="2"/>
      <c r="Z1168" s="2"/>
      <c r="AA1168" s="2"/>
      <c r="AB1168" s="2"/>
      <c r="AC1168" s="2"/>
      <c r="AD1168" s="2"/>
    </row>
    <row r="1169" spans="1:30" ht="12" customHeight="1">
      <c r="A1169" s="828" t="s">
        <v>17863</v>
      </c>
      <c r="B1169" s="3" t="s">
        <v>4390</v>
      </c>
      <c r="C1169" s="1" t="s">
        <v>4375</v>
      </c>
      <c r="D1169" s="5">
        <f t="shared" si="18"/>
        <v>64</v>
      </c>
      <c r="E1169" s="2" t="s">
        <v>5</v>
      </c>
      <c r="F1169" s="2"/>
      <c r="G1169" s="3" t="s">
        <v>4376</v>
      </c>
      <c r="H1169" s="1"/>
      <c r="I1169" s="1"/>
      <c r="J1169" s="4" t="s">
        <v>16129</v>
      </c>
      <c r="K1169" s="1" t="s">
        <v>97</v>
      </c>
      <c r="L1169" s="1" t="s">
        <v>25</v>
      </c>
      <c r="M1169" s="825">
        <v>11</v>
      </c>
      <c r="N1169" s="17">
        <v>11</v>
      </c>
      <c r="O1169" s="3" t="s">
        <v>317</v>
      </c>
      <c r="P1169" s="20">
        <v>17789</v>
      </c>
      <c r="Q1169" s="3" t="s">
        <v>4377</v>
      </c>
      <c r="R1169" s="3" t="s">
        <v>4378</v>
      </c>
      <c r="S1169" s="3" t="s">
        <v>276</v>
      </c>
      <c r="T1169" s="3" t="s">
        <v>104</v>
      </c>
      <c r="U1169" s="2"/>
      <c r="V1169" s="2"/>
      <c r="W1169" s="2"/>
      <c r="X1169" s="2"/>
      <c r="Y1169" s="2"/>
      <c r="Z1169" s="2"/>
      <c r="AA1169" s="2" t="s">
        <v>104</v>
      </c>
      <c r="AB1169" s="2"/>
      <c r="AC1169" s="2"/>
      <c r="AD1169" s="2"/>
    </row>
    <row r="1170" spans="1:30" ht="12" customHeight="1">
      <c r="A1170" s="828" t="s">
        <v>17864</v>
      </c>
      <c r="B1170" s="3" t="s">
        <v>5863</v>
      </c>
      <c r="C1170" s="1" t="s">
        <v>5580</v>
      </c>
      <c r="D1170" s="5">
        <f t="shared" si="18"/>
        <v>38</v>
      </c>
      <c r="E1170" s="2" t="s">
        <v>5</v>
      </c>
      <c r="F1170" s="2"/>
      <c r="G1170" s="3"/>
      <c r="H1170" s="1"/>
      <c r="I1170" s="1"/>
      <c r="J1170" s="4" t="s">
        <v>16129</v>
      </c>
      <c r="K1170" s="1" t="s">
        <v>97</v>
      </c>
      <c r="L1170" s="1" t="s">
        <v>6</v>
      </c>
      <c r="M1170" s="825"/>
      <c r="N1170" s="17"/>
      <c r="O1170" s="3" t="s">
        <v>188</v>
      </c>
      <c r="P1170" s="20">
        <v>27114</v>
      </c>
      <c r="Q1170" s="3" t="s">
        <v>5581</v>
      </c>
      <c r="R1170" s="3"/>
      <c r="S1170" s="3"/>
      <c r="T1170" s="3" t="s">
        <v>173</v>
      </c>
      <c r="U1170" s="2"/>
      <c r="V1170" s="2" t="s">
        <v>145</v>
      </c>
      <c r="W1170" s="2"/>
      <c r="X1170" s="2"/>
      <c r="Y1170" s="2" t="s">
        <v>155</v>
      </c>
      <c r="Z1170" s="2"/>
      <c r="AA1170" s="2"/>
      <c r="AB1170" s="2"/>
      <c r="AC1170" s="2"/>
      <c r="AD1170" s="2"/>
    </row>
    <row r="1171" spans="1:30" ht="12" customHeight="1">
      <c r="A1171" s="828" t="s">
        <v>17865</v>
      </c>
      <c r="B1171" s="3" t="s">
        <v>4391</v>
      </c>
      <c r="C1171" s="1" t="s">
        <v>4379</v>
      </c>
      <c r="D1171" s="5">
        <f t="shared" si="18"/>
        <v>54</v>
      </c>
      <c r="E1171" s="2" t="s">
        <v>5</v>
      </c>
      <c r="F1171" s="6" t="s">
        <v>15273</v>
      </c>
      <c r="G1171" s="3" t="s">
        <v>4380</v>
      </c>
      <c r="H1171" s="1"/>
      <c r="I1171" s="1"/>
      <c r="J1171" s="8" t="s">
        <v>16126</v>
      </c>
      <c r="K1171" s="1" t="s">
        <v>44</v>
      </c>
      <c r="L1171" s="1" t="s">
        <v>25</v>
      </c>
      <c r="M1171" s="825">
        <v>1</v>
      </c>
      <c r="N1171" s="17">
        <v>1</v>
      </c>
      <c r="O1171" s="3" t="s">
        <v>172</v>
      </c>
      <c r="P1171" s="20">
        <v>21339</v>
      </c>
      <c r="Q1171" s="3" t="s">
        <v>4382</v>
      </c>
      <c r="R1171" s="3"/>
      <c r="S1171" s="3" t="s">
        <v>736</v>
      </c>
      <c r="T1171" s="3" t="s">
        <v>75</v>
      </c>
      <c r="U1171" s="2"/>
      <c r="V1171" s="2"/>
      <c r="W1171" s="2" t="s">
        <v>75</v>
      </c>
      <c r="X1171" s="2"/>
      <c r="Y1171" s="2"/>
      <c r="Z1171" s="2"/>
      <c r="AA1171" s="2"/>
      <c r="AB1171" s="2"/>
      <c r="AC1171" s="2"/>
      <c r="AD1171" s="2"/>
    </row>
    <row r="1172" spans="1:30" ht="12" customHeight="1">
      <c r="A1172" s="828" t="s">
        <v>17866</v>
      </c>
      <c r="B1172" s="3" t="s">
        <v>4392</v>
      </c>
      <c r="C1172" s="1" t="s">
        <v>5482</v>
      </c>
      <c r="D1172" s="5">
        <f t="shared" si="18"/>
        <v>52</v>
      </c>
      <c r="E1172" s="2" t="s">
        <v>5</v>
      </c>
      <c r="F1172" s="2" t="s">
        <v>15273</v>
      </c>
      <c r="G1172" s="3"/>
      <c r="H1172" s="1"/>
      <c r="I1172" s="1"/>
      <c r="J1172" s="4" t="s">
        <v>16120</v>
      </c>
      <c r="K1172" s="1" t="s">
        <v>476</v>
      </c>
      <c r="L1172" s="1" t="s">
        <v>6</v>
      </c>
      <c r="M1172" s="825"/>
      <c r="N1172" s="17"/>
      <c r="O1172" s="3" t="s">
        <v>15958</v>
      </c>
      <c r="P1172" s="20">
        <v>21934</v>
      </c>
      <c r="Q1172" s="3" t="s">
        <v>15957</v>
      </c>
      <c r="R1172" s="3"/>
      <c r="S1172" s="3" t="s">
        <v>5457</v>
      </c>
      <c r="T1172" s="3"/>
      <c r="U1172" s="2"/>
      <c r="V1172" s="2"/>
      <c r="W1172" s="2"/>
      <c r="X1172" s="2"/>
      <c r="Y1172" s="2"/>
      <c r="Z1172" s="2"/>
      <c r="AA1172" s="2"/>
      <c r="AB1172" s="2"/>
      <c r="AC1172" s="2"/>
      <c r="AD1172" s="2"/>
    </row>
    <row r="1173" spans="1:30" ht="12" customHeight="1">
      <c r="A1173" s="828" t="s">
        <v>17867</v>
      </c>
      <c r="B1173" s="3" t="s">
        <v>4393</v>
      </c>
      <c r="C1173" s="1" t="s">
        <v>5646</v>
      </c>
      <c r="D1173" s="5">
        <f t="shared" si="18"/>
        <v>49</v>
      </c>
      <c r="E1173" s="2" t="s">
        <v>5</v>
      </c>
      <c r="F1173" s="2" t="s">
        <v>15273</v>
      </c>
      <c r="G1173" s="3"/>
      <c r="H1173" s="1"/>
      <c r="I1173" s="1"/>
      <c r="J1173" s="4" t="s">
        <v>16128</v>
      </c>
      <c r="K1173" s="1"/>
      <c r="L1173" s="1" t="s">
        <v>6</v>
      </c>
      <c r="M1173" s="825"/>
      <c r="N1173" s="17"/>
      <c r="O1173" s="3" t="s">
        <v>95</v>
      </c>
      <c r="P1173" s="21">
        <v>23228</v>
      </c>
      <c r="Q1173" s="3" t="s">
        <v>5647</v>
      </c>
      <c r="R1173" s="3"/>
      <c r="S1173" s="3" t="s">
        <v>6031</v>
      </c>
      <c r="T1173" s="3"/>
      <c r="U1173" s="2"/>
      <c r="V1173" s="2"/>
      <c r="W1173" s="2"/>
      <c r="X1173" s="2"/>
      <c r="Y1173" s="2"/>
      <c r="Z1173" s="2"/>
      <c r="AA1173" s="2"/>
      <c r="AB1173" s="2"/>
      <c r="AC1173" s="2"/>
      <c r="AD1173" s="2"/>
    </row>
    <row r="1174" spans="1:30" ht="12" customHeight="1">
      <c r="A1174" s="828" t="s">
        <v>17868</v>
      </c>
      <c r="B1174" s="3" t="s">
        <v>5645</v>
      </c>
      <c r="C1174" s="1" t="s">
        <v>4394</v>
      </c>
      <c r="D1174" s="5">
        <f t="shared" si="18"/>
        <v>38</v>
      </c>
      <c r="E1174" s="2" t="s">
        <v>5</v>
      </c>
      <c r="F1174" s="2"/>
      <c r="G1174" s="3"/>
      <c r="H1174" s="1"/>
      <c r="I1174" s="1"/>
      <c r="J1174" s="4" t="s">
        <v>16117</v>
      </c>
      <c r="K1174" s="1"/>
      <c r="L1174" s="1" t="s">
        <v>6</v>
      </c>
      <c r="M1174" s="825"/>
      <c r="N1174" s="17"/>
      <c r="O1174" s="3" t="s">
        <v>16059</v>
      </c>
      <c r="P1174" s="21">
        <v>27207</v>
      </c>
      <c r="Q1174" s="3" t="s">
        <v>260</v>
      </c>
      <c r="R1174" s="3"/>
      <c r="S1174" s="3"/>
      <c r="T1174" s="3"/>
      <c r="U1174" s="2"/>
      <c r="V1174" s="2"/>
      <c r="W1174" s="2"/>
      <c r="X1174" s="2"/>
      <c r="Y1174" s="2"/>
      <c r="Z1174" s="2"/>
      <c r="AA1174" s="2"/>
      <c r="AB1174" s="2"/>
      <c r="AC1174" s="2"/>
      <c r="AD1174" s="2"/>
    </row>
    <row r="1175" spans="1:30" ht="12" customHeight="1">
      <c r="A1175" s="828" t="s">
        <v>17869</v>
      </c>
      <c r="B1175" s="3" t="s">
        <v>4396</v>
      </c>
      <c r="C1175" s="1" t="s">
        <v>4399</v>
      </c>
      <c r="D1175" s="5">
        <f t="shared" si="18"/>
        <v>40</v>
      </c>
      <c r="E1175" s="2" t="s">
        <v>5</v>
      </c>
      <c r="F1175" s="6" t="s">
        <v>15273</v>
      </c>
      <c r="G1175" s="3" t="s">
        <v>4400</v>
      </c>
      <c r="H1175" s="1"/>
      <c r="I1175" s="1"/>
      <c r="J1175" s="8" t="s">
        <v>16127</v>
      </c>
      <c r="K1175" s="1" t="s">
        <v>44</v>
      </c>
      <c r="L1175" s="1" t="s">
        <v>25</v>
      </c>
      <c r="M1175" s="825">
        <v>1</v>
      </c>
      <c r="N1175" s="17">
        <v>1</v>
      </c>
      <c r="O1175" s="3" t="s">
        <v>2214</v>
      </c>
      <c r="P1175" s="20">
        <v>26299</v>
      </c>
      <c r="Q1175" s="3" t="s">
        <v>4401</v>
      </c>
      <c r="R1175" s="3"/>
      <c r="S1175" s="3"/>
      <c r="T1175" s="3"/>
      <c r="U1175" s="2"/>
      <c r="V1175" s="2"/>
      <c r="W1175" s="2"/>
      <c r="X1175" s="2"/>
      <c r="Y1175" s="2"/>
      <c r="Z1175" s="2"/>
      <c r="AA1175" s="2"/>
      <c r="AB1175" s="2"/>
      <c r="AC1175" s="2"/>
      <c r="AD1175" s="2"/>
    </row>
    <row r="1176" spans="1:30" ht="12" customHeight="1">
      <c r="A1176" s="828" t="s">
        <v>17870</v>
      </c>
      <c r="B1176" s="3" t="s">
        <v>4397</v>
      </c>
      <c r="C1176" s="1" t="s">
        <v>4402</v>
      </c>
      <c r="D1176" s="5">
        <f t="shared" si="18"/>
        <v>72</v>
      </c>
      <c r="E1176" s="2" t="s">
        <v>5</v>
      </c>
      <c r="F1176" s="2" t="s">
        <v>15273</v>
      </c>
      <c r="G1176" s="3" t="s">
        <v>4403</v>
      </c>
      <c r="H1176" s="1"/>
      <c r="I1176" s="1"/>
      <c r="J1176" s="8" t="s">
        <v>16120</v>
      </c>
      <c r="K1176" s="1" t="s">
        <v>445</v>
      </c>
      <c r="L1176" s="1" t="s">
        <v>25</v>
      </c>
      <c r="M1176" s="825">
        <v>10</v>
      </c>
      <c r="N1176" s="17">
        <v>10</v>
      </c>
      <c r="O1176" s="3" t="s">
        <v>123</v>
      </c>
      <c r="P1176" s="20">
        <v>14874</v>
      </c>
      <c r="Q1176" s="3" t="s">
        <v>4404</v>
      </c>
      <c r="R1176" s="3" t="s">
        <v>4405</v>
      </c>
      <c r="S1176" s="3"/>
      <c r="T1176" s="3" t="s">
        <v>104</v>
      </c>
      <c r="U1176" s="2"/>
      <c r="V1176" s="2"/>
      <c r="W1176" s="2"/>
      <c r="X1176" s="2"/>
      <c r="Y1176" s="2"/>
      <c r="Z1176" s="2"/>
      <c r="AA1176" s="2" t="s">
        <v>104</v>
      </c>
      <c r="AB1176" s="2"/>
      <c r="AC1176" s="2"/>
      <c r="AD1176" s="2"/>
    </row>
    <row r="1177" spans="1:30" ht="12" customHeight="1">
      <c r="A1177" s="828" t="s">
        <v>17871</v>
      </c>
      <c r="B1177" s="3" t="s">
        <v>4398</v>
      </c>
      <c r="C1177" s="1" t="s">
        <v>5243</v>
      </c>
      <c r="D1177" s="5">
        <f t="shared" si="18"/>
        <v>63</v>
      </c>
      <c r="E1177" s="2" t="s">
        <v>5</v>
      </c>
      <c r="F1177" s="2"/>
      <c r="G1177" s="3"/>
      <c r="H1177" s="1"/>
      <c r="I1177" s="1"/>
      <c r="J1177" s="4" t="s">
        <v>16117</v>
      </c>
      <c r="K1177" s="1"/>
      <c r="L1177" s="1" t="s">
        <v>6</v>
      </c>
      <c r="M1177" s="825"/>
      <c r="N1177" s="17"/>
      <c r="O1177" s="3" t="s">
        <v>609</v>
      </c>
      <c r="P1177" s="20">
        <v>17924</v>
      </c>
      <c r="Q1177" s="3" t="s">
        <v>5244</v>
      </c>
      <c r="R1177" s="3"/>
      <c r="S1177" s="3"/>
      <c r="T1177" s="3" t="s">
        <v>145</v>
      </c>
      <c r="U1177" s="2"/>
      <c r="V1177" s="2" t="s">
        <v>145</v>
      </c>
      <c r="W1177" s="2"/>
      <c r="X1177" s="2"/>
      <c r="Y1177" s="2"/>
      <c r="Z1177" s="2"/>
      <c r="AA1177" s="2"/>
      <c r="AB1177" s="2"/>
      <c r="AC1177" s="2"/>
      <c r="AD1177" s="2"/>
    </row>
    <row r="1178" spans="1:30" ht="12" customHeight="1">
      <c r="A1178" s="828" t="s">
        <v>17872</v>
      </c>
      <c r="B1178" s="3" t="s">
        <v>4435</v>
      </c>
      <c r="C1178" s="1" t="s">
        <v>4438</v>
      </c>
      <c r="D1178" s="5">
        <f t="shared" si="18"/>
        <v>39</v>
      </c>
      <c r="E1178" s="2" t="s">
        <v>5</v>
      </c>
      <c r="F1178" s="6" t="s">
        <v>15273</v>
      </c>
      <c r="G1178" s="3" t="s">
        <v>4439</v>
      </c>
      <c r="H1178" s="1"/>
      <c r="I1178" s="1"/>
      <c r="J1178" s="8" t="s">
        <v>16127</v>
      </c>
      <c r="K1178" s="1" t="s">
        <v>44</v>
      </c>
      <c r="L1178" s="1" t="s">
        <v>25</v>
      </c>
      <c r="M1178" s="825">
        <v>1</v>
      </c>
      <c r="N1178" s="17">
        <v>1</v>
      </c>
      <c r="O1178" s="3" t="s">
        <v>2223</v>
      </c>
      <c r="P1178" s="20">
        <v>26672</v>
      </c>
      <c r="Q1178" s="3" t="s">
        <v>4441</v>
      </c>
      <c r="R1178" s="3"/>
      <c r="S1178" s="3" t="s">
        <v>736</v>
      </c>
      <c r="T1178" s="3" t="s">
        <v>47</v>
      </c>
      <c r="U1178" s="2" t="s">
        <v>47</v>
      </c>
      <c r="V1178" s="2"/>
      <c r="W1178" s="2"/>
      <c r="X1178" s="2"/>
      <c r="Y1178" s="2"/>
      <c r="Z1178" s="2"/>
      <c r="AA1178" s="2"/>
      <c r="AB1178" s="2"/>
      <c r="AC1178" s="2"/>
      <c r="AD1178" s="2"/>
    </row>
    <row r="1179" spans="1:30" ht="12" customHeight="1">
      <c r="A1179" s="828" t="s">
        <v>17873</v>
      </c>
      <c r="B1179" s="3" t="s">
        <v>4436</v>
      </c>
      <c r="C1179" s="1" t="s">
        <v>4443</v>
      </c>
      <c r="D1179" s="5">
        <f t="shared" si="18"/>
        <v>65</v>
      </c>
      <c r="E1179" s="2" t="s">
        <v>5</v>
      </c>
      <c r="F1179" s="2" t="s">
        <v>15273</v>
      </c>
      <c r="G1179" s="3"/>
      <c r="H1179" s="1"/>
      <c r="I1179" s="1"/>
      <c r="J1179" s="4" t="s">
        <v>16120</v>
      </c>
      <c r="K1179" s="1" t="s">
        <v>13</v>
      </c>
      <c r="L1179" s="1" t="s">
        <v>14</v>
      </c>
      <c r="M1179" s="825">
        <v>5</v>
      </c>
      <c r="N1179" s="17">
        <v>5</v>
      </c>
      <c r="O1179" s="3" t="s">
        <v>4444</v>
      </c>
      <c r="P1179" s="20">
        <v>17310</v>
      </c>
      <c r="Q1179" s="3" t="s">
        <v>4445</v>
      </c>
      <c r="R1179" s="3" t="s">
        <v>4447</v>
      </c>
      <c r="S1179" s="3" t="s">
        <v>5457</v>
      </c>
      <c r="T1179" s="3" t="s">
        <v>104</v>
      </c>
      <c r="U1179" s="2"/>
      <c r="V1179" s="2"/>
      <c r="W1179" s="2"/>
      <c r="X1179" s="2"/>
      <c r="Y1179" s="2"/>
      <c r="Z1179" s="2"/>
      <c r="AA1179" s="2" t="s">
        <v>104</v>
      </c>
      <c r="AB1179" s="2"/>
      <c r="AC1179" s="2"/>
      <c r="AD1179" s="2"/>
    </row>
    <row r="1180" spans="1:30" ht="12" customHeight="1">
      <c r="A1180" s="828" t="s">
        <v>17874</v>
      </c>
      <c r="B1180" s="3" t="s">
        <v>4437</v>
      </c>
      <c r="C1180" s="1" t="s">
        <v>6153</v>
      </c>
      <c r="D1180" s="5">
        <f t="shared" si="18"/>
        <v>47</v>
      </c>
      <c r="E1180" s="2" t="s">
        <v>5</v>
      </c>
      <c r="F1180" s="2" t="s">
        <v>15273</v>
      </c>
      <c r="G1180" s="3"/>
      <c r="H1180" s="1"/>
      <c r="I1180" s="1"/>
      <c r="J1180" s="4" t="s">
        <v>16116</v>
      </c>
      <c r="K1180" s="1" t="s">
        <v>469</v>
      </c>
      <c r="L1180" s="1" t="s">
        <v>6</v>
      </c>
      <c r="M1180" s="825"/>
      <c r="N1180" s="17"/>
      <c r="O1180" s="3" t="s">
        <v>1879</v>
      </c>
      <c r="P1180" s="20">
        <v>23848</v>
      </c>
      <c r="Q1180" s="3" t="s">
        <v>6156</v>
      </c>
      <c r="R1180" s="3"/>
      <c r="S1180" s="3" t="s">
        <v>469</v>
      </c>
      <c r="T1180" s="3"/>
      <c r="U1180" s="2"/>
      <c r="V1180" s="2"/>
      <c r="W1180" s="2"/>
      <c r="X1180" s="2"/>
      <c r="Y1180" s="2"/>
      <c r="Z1180" s="2"/>
      <c r="AA1180" s="2"/>
      <c r="AB1180" s="2"/>
      <c r="AC1180" s="2"/>
      <c r="AD1180" s="2"/>
    </row>
    <row r="1181" spans="1:30" ht="12" customHeight="1">
      <c r="A1181" s="828" t="s">
        <v>17875</v>
      </c>
      <c r="B1181" s="3" t="s">
        <v>5440</v>
      </c>
      <c r="C1181" s="1" t="s">
        <v>4448</v>
      </c>
      <c r="D1181" s="5">
        <f t="shared" si="18"/>
        <v>49</v>
      </c>
      <c r="E1181" s="2" t="s">
        <v>5</v>
      </c>
      <c r="F1181" s="2" t="s">
        <v>15273</v>
      </c>
      <c r="G1181" s="3"/>
      <c r="H1181" s="1"/>
      <c r="I1181" s="1"/>
      <c r="J1181" s="4" t="s">
        <v>16117</v>
      </c>
      <c r="K1181" s="1"/>
      <c r="L1181" s="1" t="s">
        <v>6</v>
      </c>
      <c r="M1181" s="825"/>
      <c r="N1181" s="17"/>
      <c r="O1181" s="3" t="s">
        <v>4449</v>
      </c>
      <c r="P1181" s="20">
        <v>23023</v>
      </c>
      <c r="Q1181" s="3" t="s">
        <v>4450</v>
      </c>
      <c r="R1181" s="3"/>
      <c r="S1181" s="3"/>
      <c r="T1181" s="3" t="s">
        <v>145</v>
      </c>
      <c r="U1181" s="2"/>
      <c r="V1181" s="2" t="s">
        <v>145</v>
      </c>
      <c r="W1181" s="2"/>
      <c r="X1181" s="2"/>
      <c r="Y1181" s="2"/>
      <c r="Z1181" s="2"/>
      <c r="AA1181" s="2"/>
      <c r="AB1181" s="2"/>
      <c r="AC1181" s="2"/>
      <c r="AD1181" s="2"/>
    </row>
    <row r="1182" spans="1:30" ht="12" customHeight="1">
      <c r="A1182" s="828" t="s">
        <v>17876</v>
      </c>
      <c r="B1182" s="3" t="s">
        <v>4452</v>
      </c>
      <c r="C1182" s="1" t="s">
        <v>4456</v>
      </c>
      <c r="D1182" s="5">
        <f t="shared" si="18"/>
        <v>39</v>
      </c>
      <c r="E1182" s="2" t="s">
        <v>5</v>
      </c>
      <c r="F1182" s="6" t="s">
        <v>15273</v>
      </c>
      <c r="G1182" s="3" t="s">
        <v>4457</v>
      </c>
      <c r="H1182" s="1"/>
      <c r="I1182" s="1"/>
      <c r="J1182" s="8" t="s">
        <v>16126</v>
      </c>
      <c r="K1182" s="1" t="s">
        <v>44</v>
      </c>
      <c r="L1182" s="1" t="s">
        <v>25</v>
      </c>
      <c r="M1182" s="825">
        <v>2</v>
      </c>
      <c r="N1182" s="17">
        <v>2</v>
      </c>
      <c r="O1182" s="3" t="s">
        <v>1493</v>
      </c>
      <c r="P1182" s="20">
        <v>26838</v>
      </c>
      <c r="Q1182" s="3" t="s">
        <v>16676</v>
      </c>
      <c r="R1182" s="3" t="s">
        <v>2043</v>
      </c>
      <c r="S1182" s="3" t="s">
        <v>736</v>
      </c>
      <c r="T1182" s="3" t="s">
        <v>146</v>
      </c>
      <c r="U1182" s="2"/>
      <c r="V1182" s="2"/>
      <c r="W1182" s="2"/>
      <c r="X1182" s="2"/>
      <c r="Y1182" s="2"/>
      <c r="Z1182" s="2"/>
      <c r="AA1182" s="2"/>
      <c r="AB1182" s="2"/>
      <c r="AC1182" s="2" t="s">
        <v>146</v>
      </c>
      <c r="AD1182" s="2"/>
    </row>
    <row r="1183" spans="1:30" ht="12" customHeight="1">
      <c r="A1183" s="828" t="s">
        <v>17877</v>
      </c>
      <c r="B1183" s="3" t="s">
        <v>4453</v>
      </c>
      <c r="C1183" s="1" t="s">
        <v>4460</v>
      </c>
      <c r="D1183" s="5">
        <f t="shared" si="18"/>
        <v>64</v>
      </c>
      <c r="E1183" s="2" t="s">
        <v>5</v>
      </c>
      <c r="F1183" s="2"/>
      <c r="G1183" s="3" t="s">
        <v>4461</v>
      </c>
      <c r="H1183" s="1"/>
      <c r="I1183" s="1"/>
      <c r="J1183" s="4" t="s">
        <v>16120</v>
      </c>
      <c r="K1183" s="1" t="s">
        <v>476</v>
      </c>
      <c r="L1183" s="1" t="s">
        <v>25</v>
      </c>
      <c r="M1183" s="825">
        <v>5</v>
      </c>
      <c r="N1183" s="17">
        <v>5</v>
      </c>
      <c r="O1183" s="3" t="s">
        <v>317</v>
      </c>
      <c r="P1183" s="20">
        <v>17753</v>
      </c>
      <c r="Q1183" s="3" t="s">
        <v>4463</v>
      </c>
      <c r="R1183" s="3" t="s">
        <v>4464</v>
      </c>
      <c r="S1183" s="3" t="s">
        <v>5457</v>
      </c>
      <c r="T1183" s="3" t="s">
        <v>47</v>
      </c>
      <c r="U1183" s="2" t="s">
        <v>47</v>
      </c>
      <c r="V1183" s="2"/>
      <c r="W1183" s="2"/>
      <c r="X1183" s="2"/>
      <c r="Y1183" s="2"/>
      <c r="Z1183" s="2"/>
      <c r="AA1183" s="2"/>
      <c r="AB1183" s="2"/>
      <c r="AC1183" s="2"/>
      <c r="AD1183" s="2"/>
    </row>
    <row r="1184" spans="1:30" ht="12" customHeight="1">
      <c r="A1184" s="828" t="s">
        <v>17878</v>
      </c>
      <c r="B1184" s="3" t="s">
        <v>4454</v>
      </c>
      <c r="C1184" s="1" t="s">
        <v>4467</v>
      </c>
      <c r="D1184" s="5">
        <f t="shared" si="18"/>
        <v>57</v>
      </c>
      <c r="E1184" s="2" t="s">
        <v>5</v>
      </c>
      <c r="F1184" s="2" t="s">
        <v>15273</v>
      </c>
      <c r="G1184" s="3"/>
      <c r="H1184" s="1"/>
      <c r="I1184" s="1"/>
      <c r="J1184" s="4" t="s">
        <v>16128</v>
      </c>
      <c r="K1184" s="1"/>
      <c r="L1184" s="1" t="s">
        <v>6</v>
      </c>
      <c r="M1184" s="825"/>
      <c r="N1184" s="17"/>
      <c r="O1184" s="3" t="s">
        <v>172</v>
      </c>
      <c r="P1184" s="20">
        <v>20188</v>
      </c>
      <c r="Q1184" s="3" t="s">
        <v>4469</v>
      </c>
      <c r="R1184" s="3"/>
      <c r="S1184" s="3" t="s">
        <v>6031</v>
      </c>
      <c r="T1184" s="3" t="s">
        <v>145</v>
      </c>
      <c r="U1184" s="2"/>
      <c r="V1184" s="2" t="s">
        <v>145</v>
      </c>
      <c r="W1184" s="2"/>
      <c r="X1184" s="2"/>
      <c r="Y1184" s="2"/>
      <c r="Z1184" s="2"/>
      <c r="AA1184" s="2"/>
      <c r="AB1184" s="2"/>
      <c r="AC1184" s="2"/>
      <c r="AD1184" s="2"/>
    </row>
    <row r="1185" spans="1:30" ht="12" customHeight="1">
      <c r="A1185" s="828" t="s">
        <v>17879</v>
      </c>
      <c r="B1185" s="3" t="s">
        <v>4455</v>
      </c>
      <c r="C1185" s="1" t="s">
        <v>4465</v>
      </c>
      <c r="D1185" s="5">
        <f t="shared" si="18"/>
        <v>52</v>
      </c>
      <c r="E1185" s="2" t="s">
        <v>19</v>
      </c>
      <c r="F1185" s="2"/>
      <c r="G1185" s="3"/>
      <c r="H1185" s="1"/>
      <c r="I1185" s="1"/>
      <c r="J1185" s="4" t="s">
        <v>16117</v>
      </c>
      <c r="K1185" s="1"/>
      <c r="L1185" s="1" t="s">
        <v>6</v>
      </c>
      <c r="M1185" s="825"/>
      <c r="N1185" s="17"/>
      <c r="O1185" s="3" t="s">
        <v>3969</v>
      </c>
      <c r="P1185" s="21">
        <v>22102</v>
      </c>
      <c r="Q1185" s="3" t="s">
        <v>4466</v>
      </c>
      <c r="R1185" s="3"/>
      <c r="S1185" s="3"/>
      <c r="T1185" s="3" t="s">
        <v>145</v>
      </c>
      <c r="U1185" s="2"/>
      <c r="V1185" s="2" t="s">
        <v>145</v>
      </c>
      <c r="W1185" s="2"/>
      <c r="X1185" s="2"/>
      <c r="Y1185" s="2"/>
      <c r="Z1185" s="2"/>
      <c r="AA1185" s="2"/>
      <c r="AB1185" s="2"/>
      <c r="AC1185" s="2"/>
      <c r="AD1185" s="2"/>
    </row>
    <row r="1186" spans="1:30" ht="12" customHeight="1">
      <c r="A1186" s="828" t="s">
        <v>17880</v>
      </c>
      <c r="B1186" s="3" t="s">
        <v>4470</v>
      </c>
      <c r="C1186" s="1" t="s">
        <v>4473</v>
      </c>
      <c r="D1186" s="5">
        <f t="shared" si="18"/>
        <v>44</v>
      </c>
      <c r="E1186" s="2" t="s">
        <v>5</v>
      </c>
      <c r="F1186" s="2" t="s">
        <v>15273</v>
      </c>
      <c r="G1186" s="3" t="s">
        <v>4474</v>
      </c>
      <c r="H1186" s="1"/>
      <c r="I1186" s="1"/>
      <c r="J1186" s="8" t="s">
        <v>16120</v>
      </c>
      <c r="K1186" s="1" t="s">
        <v>30</v>
      </c>
      <c r="L1186" s="1" t="s">
        <v>25</v>
      </c>
      <c r="M1186" s="825">
        <v>3</v>
      </c>
      <c r="N1186" s="17">
        <v>3</v>
      </c>
      <c r="O1186" s="3" t="s">
        <v>245</v>
      </c>
      <c r="P1186" s="20">
        <v>24929</v>
      </c>
      <c r="Q1186" s="3" t="s">
        <v>4475</v>
      </c>
      <c r="R1186" s="3" t="s">
        <v>2428</v>
      </c>
      <c r="S1186" s="3" t="s">
        <v>5457</v>
      </c>
      <c r="T1186" s="3" t="s">
        <v>104</v>
      </c>
      <c r="U1186" s="2"/>
      <c r="V1186" s="2"/>
      <c r="W1186" s="2"/>
      <c r="X1186" s="2"/>
      <c r="Y1186" s="2"/>
      <c r="Z1186" s="2"/>
      <c r="AA1186" s="2" t="s">
        <v>104</v>
      </c>
      <c r="AB1186" s="2"/>
      <c r="AC1186" s="2"/>
      <c r="AD1186" s="2"/>
    </row>
    <row r="1187" spans="1:30" ht="12" customHeight="1">
      <c r="A1187" s="828" t="s">
        <v>17881</v>
      </c>
      <c r="B1187" s="3" t="s">
        <v>4471</v>
      </c>
      <c r="C1187" s="1" t="s">
        <v>5782</v>
      </c>
      <c r="D1187" s="5">
        <f t="shared" si="18"/>
        <v>33</v>
      </c>
      <c r="E1187" s="2" t="s">
        <v>5</v>
      </c>
      <c r="F1187" s="2" t="s">
        <v>15273</v>
      </c>
      <c r="G1187" s="3"/>
      <c r="H1187" s="1"/>
      <c r="I1187" s="1"/>
      <c r="J1187" s="4" t="s">
        <v>16116</v>
      </c>
      <c r="K1187" s="1" t="s">
        <v>4997</v>
      </c>
      <c r="L1187" s="1" t="s">
        <v>6</v>
      </c>
      <c r="M1187" s="825"/>
      <c r="N1187" s="17"/>
      <c r="O1187" s="3" t="s">
        <v>188</v>
      </c>
      <c r="P1187" s="20">
        <v>29159</v>
      </c>
      <c r="Q1187" s="3" t="s">
        <v>727</v>
      </c>
      <c r="R1187" s="3"/>
      <c r="S1187" s="3" t="s">
        <v>469</v>
      </c>
      <c r="T1187" s="3"/>
      <c r="U1187" s="2"/>
      <c r="V1187" s="2"/>
      <c r="W1187" s="2"/>
      <c r="X1187" s="2"/>
      <c r="Y1187" s="2"/>
      <c r="Z1187" s="2"/>
      <c r="AA1187" s="2"/>
      <c r="AB1187" s="2" t="s">
        <v>147</v>
      </c>
      <c r="AC1187" s="2"/>
      <c r="AD1187" s="2"/>
    </row>
    <row r="1188" spans="1:30" ht="12" customHeight="1">
      <c r="A1188" s="828" t="s">
        <v>17882</v>
      </c>
      <c r="B1188" s="3" t="s">
        <v>4472</v>
      </c>
      <c r="C1188" s="1" t="s">
        <v>4477</v>
      </c>
      <c r="D1188" s="5">
        <f t="shared" si="18"/>
        <v>59</v>
      </c>
      <c r="E1188" s="2" t="s">
        <v>19</v>
      </c>
      <c r="F1188" s="2"/>
      <c r="G1188" s="3"/>
      <c r="H1188" s="1"/>
      <c r="I1188" s="1"/>
      <c r="J1188" s="4" t="s">
        <v>16117</v>
      </c>
      <c r="K1188" s="1"/>
      <c r="L1188" s="1" t="s">
        <v>6</v>
      </c>
      <c r="M1188" s="825"/>
      <c r="N1188" s="17"/>
      <c r="O1188" s="3" t="s">
        <v>4479</v>
      </c>
      <c r="P1188" s="21">
        <v>19647</v>
      </c>
      <c r="Q1188" s="3" t="s">
        <v>260</v>
      </c>
      <c r="R1188" s="3"/>
      <c r="S1188" s="3"/>
      <c r="T1188" s="3"/>
      <c r="U1188" s="2"/>
      <c r="V1188" s="2"/>
      <c r="W1188" s="2"/>
      <c r="X1188" s="2"/>
      <c r="Y1188" s="2"/>
      <c r="Z1188" s="2"/>
      <c r="AA1188" s="2"/>
      <c r="AB1188" s="2"/>
      <c r="AC1188" s="2"/>
      <c r="AD1188" s="2"/>
    </row>
    <row r="1189" spans="1:30" ht="12" customHeight="1">
      <c r="A1189" s="828" t="s">
        <v>17883</v>
      </c>
      <c r="B1189" s="3" t="s">
        <v>5343</v>
      </c>
      <c r="C1189" s="1" t="s">
        <v>5344</v>
      </c>
      <c r="D1189" s="5">
        <f t="shared" si="18"/>
        <v>36</v>
      </c>
      <c r="E1189" s="2" t="s">
        <v>19</v>
      </c>
      <c r="F1189" s="2" t="s">
        <v>15273</v>
      </c>
      <c r="G1189" s="3"/>
      <c r="H1189" s="1"/>
      <c r="I1189" s="1"/>
      <c r="J1189" s="4" t="s">
        <v>16121</v>
      </c>
      <c r="K1189" s="1"/>
      <c r="L1189" s="1" t="s">
        <v>6</v>
      </c>
      <c r="M1189" s="825"/>
      <c r="N1189" s="17"/>
      <c r="O1189" s="3" t="s">
        <v>4070</v>
      </c>
      <c r="P1189" s="21">
        <v>27912</v>
      </c>
      <c r="Q1189" s="3" t="s">
        <v>5470</v>
      </c>
      <c r="R1189" s="3"/>
      <c r="S1189" s="3"/>
      <c r="T1189" s="3"/>
      <c r="U1189" s="2"/>
      <c r="V1189" s="2"/>
      <c r="W1189" s="2"/>
      <c r="X1189" s="2"/>
      <c r="Y1189" s="2"/>
      <c r="Z1189" s="2"/>
      <c r="AA1189" s="2"/>
      <c r="AB1189" s="2"/>
      <c r="AC1189" s="2"/>
      <c r="AD1189" s="2"/>
    </row>
    <row r="1190" spans="1:30" ht="12" customHeight="1">
      <c r="A1190" s="828" t="s">
        <v>17884</v>
      </c>
      <c r="B1190" s="3" t="s">
        <v>4480</v>
      </c>
      <c r="C1190" s="1" t="s">
        <v>4483</v>
      </c>
      <c r="D1190" s="5">
        <f t="shared" si="18"/>
        <v>53</v>
      </c>
      <c r="E1190" s="2" t="s">
        <v>5</v>
      </c>
      <c r="F1190" s="6" t="s">
        <v>15273</v>
      </c>
      <c r="G1190" s="3" t="s">
        <v>4484</v>
      </c>
      <c r="H1190" s="1"/>
      <c r="I1190" s="1"/>
      <c r="J1190" s="8" t="s">
        <v>16127</v>
      </c>
      <c r="K1190" s="1" t="s">
        <v>604</v>
      </c>
      <c r="L1190" s="1" t="s">
        <v>25</v>
      </c>
      <c r="M1190" s="825">
        <v>5</v>
      </c>
      <c r="N1190" s="17">
        <v>5</v>
      </c>
      <c r="O1190" s="3" t="s">
        <v>317</v>
      </c>
      <c r="P1190" s="20">
        <v>21733</v>
      </c>
      <c r="Q1190" s="3" t="s">
        <v>16677</v>
      </c>
      <c r="R1190" s="3" t="s">
        <v>4486</v>
      </c>
      <c r="S1190" s="3" t="s">
        <v>736</v>
      </c>
      <c r="T1190" s="3" t="s">
        <v>635</v>
      </c>
      <c r="U1190" s="2"/>
      <c r="V1190" s="2" t="s">
        <v>145</v>
      </c>
      <c r="W1190" s="2"/>
      <c r="X1190" s="2"/>
      <c r="Y1190" s="2"/>
      <c r="Z1190" s="2"/>
      <c r="AA1190" s="2"/>
      <c r="AB1190" s="2"/>
      <c r="AC1190" s="2" t="s">
        <v>146</v>
      </c>
      <c r="AD1190" s="2"/>
    </row>
    <row r="1191" spans="1:30" ht="12" customHeight="1">
      <c r="A1191" s="828" t="s">
        <v>17885</v>
      </c>
      <c r="B1191" s="3" t="s">
        <v>4481</v>
      </c>
      <c r="C1191" s="1" t="s">
        <v>4487</v>
      </c>
      <c r="D1191" s="5">
        <f t="shared" si="18"/>
        <v>39</v>
      </c>
      <c r="E1191" s="2" t="s">
        <v>5</v>
      </c>
      <c r="F1191" s="2" t="s">
        <v>15273</v>
      </c>
      <c r="G1191" s="3"/>
      <c r="H1191" s="1"/>
      <c r="I1191" s="1"/>
      <c r="J1191" s="4" t="s">
        <v>16120</v>
      </c>
      <c r="K1191" s="1" t="s">
        <v>30</v>
      </c>
      <c r="L1191" s="1" t="s">
        <v>6</v>
      </c>
      <c r="M1191" s="825"/>
      <c r="N1191" s="17"/>
      <c r="O1191" s="3" t="s">
        <v>4312</v>
      </c>
      <c r="P1191" s="20">
        <v>26927</v>
      </c>
      <c r="Q1191" s="3" t="s">
        <v>4489</v>
      </c>
      <c r="R1191" s="3"/>
      <c r="S1191" s="3" t="s">
        <v>5457</v>
      </c>
      <c r="T1191" s="3" t="s">
        <v>145</v>
      </c>
      <c r="U1191" s="2"/>
      <c r="V1191" s="2" t="s">
        <v>145</v>
      </c>
      <c r="W1191" s="2"/>
      <c r="X1191" s="2"/>
      <c r="Y1191" s="2"/>
      <c r="Z1191" s="2"/>
      <c r="AA1191" s="2"/>
      <c r="AB1191" s="2"/>
      <c r="AC1191" s="2"/>
      <c r="AD1191" s="2"/>
    </row>
    <row r="1192" spans="1:30" ht="12" customHeight="1">
      <c r="A1192" s="828" t="s">
        <v>17886</v>
      </c>
      <c r="B1192" s="3" t="s">
        <v>4482</v>
      </c>
      <c r="C1192" s="1" t="s">
        <v>4490</v>
      </c>
      <c r="D1192" s="5">
        <f t="shared" si="18"/>
        <v>57</v>
      </c>
      <c r="E1192" s="2" t="s">
        <v>5</v>
      </c>
      <c r="F1192" s="2"/>
      <c r="G1192" s="3"/>
      <c r="H1192" s="1"/>
      <c r="I1192" s="1"/>
      <c r="J1192" s="4" t="s">
        <v>16117</v>
      </c>
      <c r="K1192" s="1"/>
      <c r="L1192" s="1" t="s">
        <v>6</v>
      </c>
      <c r="M1192" s="825"/>
      <c r="N1192" s="17"/>
      <c r="O1192" s="3" t="s">
        <v>4491</v>
      </c>
      <c r="P1192" s="21">
        <v>20287</v>
      </c>
      <c r="Q1192" s="3" t="s">
        <v>4492</v>
      </c>
      <c r="R1192" s="3"/>
      <c r="S1192" s="3"/>
      <c r="T1192" s="3" t="s">
        <v>145</v>
      </c>
      <c r="U1192" s="2"/>
      <c r="V1192" s="2" t="s">
        <v>145</v>
      </c>
      <c r="W1192" s="2"/>
      <c r="X1192" s="2"/>
      <c r="Y1192" s="2"/>
      <c r="Z1192" s="2"/>
      <c r="AA1192" s="2"/>
      <c r="AB1192" s="2"/>
      <c r="AC1192" s="2"/>
      <c r="AD1192" s="2"/>
    </row>
    <row r="1193" spans="1:30" ht="12" customHeight="1">
      <c r="A1193" s="828" t="s">
        <v>17887</v>
      </c>
      <c r="B1193" s="3" t="s">
        <v>4494</v>
      </c>
      <c r="C1193" s="1" t="s">
        <v>4497</v>
      </c>
      <c r="D1193" s="5">
        <f t="shared" si="18"/>
        <v>47</v>
      </c>
      <c r="E1193" s="2" t="s">
        <v>5</v>
      </c>
      <c r="F1193" s="6" t="s">
        <v>15273</v>
      </c>
      <c r="G1193" s="3" t="s">
        <v>4498</v>
      </c>
      <c r="H1193" s="1"/>
      <c r="I1193" s="1"/>
      <c r="J1193" s="8" t="s">
        <v>16127</v>
      </c>
      <c r="K1193" s="1" t="s">
        <v>44</v>
      </c>
      <c r="L1193" s="1" t="s">
        <v>25</v>
      </c>
      <c r="M1193" s="825">
        <v>2</v>
      </c>
      <c r="N1193" s="17">
        <v>2</v>
      </c>
      <c r="O1193" s="3" t="s">
        <v>317</v>
      </c>
      <c r="P1193" s="20">
        <v>23985</v>
      </c>
      <c r="Q1193" s="3" t="s">
        <v>4499</v>
      </c>
      <c r="R1193" s="3" t="s">
        <v>4500</v>
      </c>
      <c r="S1193" s="3"/>
      <c r="T1193" s="3" t="s">
        <v>47</v>
      </c>
      <c r="U1193" s="2" t="s">
        <v>47</v>
      </c>
      <c r="V1193" s="2"/>
      <c r="W1193" s="2"/>
      <c r="X1193" s="2"/>
      <c r="Y1193" s="2"/>
      <c r="Z1193" s="2"/>
      <c r="AA1193" s="2"/>
      <c r="AB1193" s="2"/>
      <c r="AC1193" s="2"/>
      <c r="AD1193" s="2"/>
    </row>
    <row r="1194" spans="1:30" ht="12" customHeight="1">
      <c r="A1194" s="828" t="s">
        <v>17888</v>
      </c>
      <c r="B1194" s="3" t="s">
        <v>4495</v>
      </c>
      <c r="C1194" s="1" t="s">
        <v>4501</v>
      </c>
      <c r="D1194" s="5">
        <f t="shared" si="18"/>
        <v>65</v>
      </c>
      <c r="E1194" s="2" t="s">
        <v>5</v>
      </c>
      <c r="F1194" s="2" t="s">
        <v>15273</v>
      </c>
      <c r="G1194" s="3" t="s">
        <v>4502</v>
      </c>
      <c r="H1194" s="1"/>
      <c r="I1194" s="1"/>
      <c r="J1194" s="4" t="s">
        <v>16120</v>
      </c>
      <c r="K1194" s="1" t="s">
        <v>30</v>
      </c>
      <c r="L1194" s="1" t="s">
        <v>25</v>
      </c>
      <c r="M1194" s="825">
        <v>5</v>
      </c>
      <c r="N1194" s="17">
        <v>5</v>
      </c>
      <c r="O1194" s="3" t="s">
        <v>317</v>
      </c>
      <c r="P1194" s="20">
        <v>17172</v>
      </c>
      <c r="Q1194" s="3" t="s">
        <v>4503</v>
      </c>
      <c r="R1194" s="3" t="s">
        <v>4504</v>
      </c>
      <c r="S1194" s="3" t="s">
        <v>5457</v>
      </c>
      <c r="T1194" s="3"/>
      <c r="U1194" s="2"/>
      <c r="V1194" s="2"/>
      <c r="W1194" s="2"/>
      <c r="X1194" s="2"/>
      <c r="Y1194" s="2"/>
      <c r="Z1194" s="2"/>
      <c r="AA1194" s="2"/>
      <c r="AB1194" s="2"/>
      <c r="AC1194" s="2"/>
      <c r="AD1194" s="2"/>
    </row>
    <row r="1195" spans="1:30" ht="12" customHeight="1">
      <c r="A1195" s="828" t="s">
        <v>17889</v>
      </c>
      <c r="B1195" s="3" t="s">
        <v>4496</v>
      </c>
      <c r="C1195" s="1" t="s">
        <v>4505</v>
      </c>
      <c r="D1195" s="5">
        <f t="shared" si="18"/>
        <v>47</v>
      </c>
      <c r="E1195" s="2" t="s">
        <v>5</v>
      </c>
      <c r="F1195" s="2"/>
      <c r="G1195" s="3"/>
      <c r="H1195" s="1"/>
      <c r="I1195" s="1"/>
      <c r="J1195" s="4" t="s">
        <v>16117</v>
      </c>
      <c r="K1195" s="1"/>
      <c r="L1195" s="1" t="s">
        <v>6</v>
      </c>
      <c r="M1195" s="825"/>
      <c r="N1195" s="17"/>
      <c r="O1195" s="3" t="s">
        <v>4506</v>
      </c>
      <c r="P1195" s="20">
        <v>23866</v>
      </c>
      <c r="Q1195" s="3" t="s">
        <v>4507</v>
      </c>
      <c r="R1195" s="3"/>
      <c r="S1195" s="3"/>
      <c r="T1195" s="3"/>
      <c r="U1195" s="2"/>
      <c r="V1195" s="2"/>
      <c r="W1195" s="2"/>
      <c r="X1195" s="2"/>
      <c r="Y1195" s="2"/>
      <c r="Z1195" s="2"/>
      <c r="AA1195" s="2"/>
      <c r="AB1195" s="2"/>
      <c r="AC1195" s="2"/>
      <c r="AD1195" s="2"/>
    </row>
    <row r="1196" spans="1:30" ht="12" customHeight="1">
      <c r="A1196" s="828" t="s">
        <v>17890</v>
      </c>
      <c r="B1196" s="3" t="s">
        <v>4508</v>
      </c>
      <c r="C1196" s="1" t="s">
        <v>4510</v>
      </c>
      <c r="D1196" s="5">
        <f t="shared" si="18"/>
        <v>78</v>
      </c>
      <c r="E1196" s="2" t="s">
        <v>5</v>
      </c>
      <c r="F1196" s="2"/>
      <c r="G1196" s="3" t="s">
        <v>4511</v>
      </c>
      <c r="H1196" s="1"/>
      <c r="I1196" s="1"/>
      <c r="J1196" s="8" t="s">
        <v>16120</v>
      </c>
      <c r="K1196" s="1" t="s">
        <v>30</v>
      </c>
      <c r="L1196" s="1" t="s">
        <v>25</v>
      </c>
      <c r="M1196" s="825">
        <v>11</v>
      </c>
      <c r="N1196" s="17">
        <v>11</v>
      </c>
      <c r="O1196" s="3" t="s">
        <v>31</v>
      </c>
      <c r="P1196" s="20">
        <v>12685</v>
      </c>
      <c r="Q1196" s="3" t="s">
        <v>4512</v>
      </c>
      <c r="R1196" s="3" t="s">
        <v>4513</v>
      </c>
      <c r="S1196" s="3"/>
      <c r="T1196" s="3" t="s">
        <v>104</v>
      </c>
      <c r="U1196" s="2"/>
      <c r="V1196" s="2"/>
      <c r="W1196" s="2"/>
      <c r="X1196" s="2"/>
      <c r="Y1196" s="2"/>
      <c r="Z1196" s="2"/>
      <c r="AA1196" s="2" t="s">
        <v>104</v>
      </c>
      <c r="AB1196" s="2"/>
      <c r="AC1196" s="2"/>
      <c r="AD1196" s="2"/>
    </row>
    <row r="1197" spans="1:30" ht="12" customHeight="1">
      <c r="A1197" s="828" t="s">
        <v>17891</v>
      </c>
      <c r="B1197" s="3" t="s">
        <v>4509</v>
      </c>
      <c r="C1197" s="1" t="s">
        <v>4578</v>
      </c>
      <c r="D1197" s="5">
        <f t="shared" si="18"/>
        <v>57</v>
      </c>
      <c r="E1197" s="2" t="s">
        <v>5</v>
      </c>
      <c r="F1197" s="2"/>
      <c r="G1197" s="3"/>
      <c r="H1197" s="1"/>
      <c r="I1197" s="1"/>
      <c r="J1197" s="4" t="s">
        <v>16117</v>
      </c>
      <c r="K1197" s="1"/>
      <c r="L1197" s="1" t="s">
        <v>6</v>
      </c>
      <c r="M1197" s="825"/>
      <c r="N1197" s="17"/>
      <c r="O1197" s="3" t="s">
        <v>4579</v>
      </c>
      <c r="P1197" s="20">
        <v>20318</v>
      </c>
      <c r="Q1197" s="3" t="s">
        <v>4580</v>
      </c>
      <c r="R1197" s="3"/>
      <c r="S1197" s="3"/>
      <c r="T1197" s="3" t="s">
        <v>145</v>
      </c>
      <c r="U1197" s="2"/>
      <c r="V1197" s="2" t="s">
        <v>145</v>
      </c>
      <c r="W1197" s="2"/>
      <c r="X1197" s="2"/>
      <c r="Y1197" s="2"/>
      <c r="Z1197" s="2"/>
      <c r="AA1197" s="2"/>
      <c r="AB1197" s="2"/>
      <c r="AC1197" s="2"/>
      <c r="AD1197" s="2"/>
    </row>
    <row r="1198" spans="1:30" ht="12" customHeight="1">
      <c r="A1198" s="828" t="s">
        <v>17892</v>
      </c>
      <c r="B1198" s="3" t="s">
        <v>4514</v>
      </c>
      <c r="C1198" s="1" t="s">
        <v>4517</v>
      </c>
      <c r="D1198" s="5">
        <f t="shared" si="18"/>
        <v>66</v>
      </c>
      <c r="E1198" s="2" t="s">
        <v>5</v>
      </c>
      <c r="F1198" s="6" t="s">
        <v>15273</v>
      </c>
      <c r="G1198" s="3" t="s">
        <v>4518</v>
      </c>
      <c r="H1198" s="1"/>
      <c r="I1198" s="1"/>
      <c r="J1198" s="8" t="s">
        <v>16126</v>
      </c>
      <c r="K1198" s="1" t="s">
        <v>681</v>
      </c>
      <c r="L1198" s="1" t="s">
        <v>25</v>
      </c>
      <c r="M1198" s="825">
        <v>7</v>
      </c>
      <c r="N1198" s="17">
        <v>7</v>
      </c>
      <c r="O1198" s="3" t="s">
        <v>4520</v>
      </c>
      <c r="P1198" s="20">
        <v>16793</v>
      </c>
      <c r="Q1198" s="3" t="s">
        <v>4521</v>
      </c>
      <c r="R1198" s="3" t="s">
        <v>4524</v>
      </c>
      <c r="S1198" s="3" t="s">
        <v>736</v>
      </c>
      <c r="T1198" s="3" t="s">
        <v>148</v>
      </c>
      <c r="U1198" s="2"/>
      <c r="V1198" s="2" t="s">
        <v>145</v>
      </c>
      <c r="W1198" s="2"/>
      <c r="X1198" s="2"/>
      <c r="Y1198" s="2"/>
      <c r="Z1198" s="2"/>
      <c r="AA1198" s="2"/>
      <c r="AB1198" s="2"/>
      <c r="AC1198" s="2"/>
      <c r="AD1198" s="2" t="s">
        <v>69</v>
      </c>
    </row>
    <row r="1199" spans="1:30" ht="12" customHeight="1">
      <c r="A1199" s="828" t="s">
        <v>17893</v>
      </c>
      <c r="B1199" s="3" t="s">
        <v>4515</v>
      </c>
      <c r="C1199" s="1" t="s">
        <v>4525</v>
      </c>
      <c r="D1199" s="5">
        <f t="shared" si="18"/>
        <v>64</v>
      </c>
      <c r="E1199" s="2" t="s">
        <v>5</v>
      </c>
      <c r="F1199" s="2" t="s">
        <v>15273</v>
      </c>
      <c r="G1199" s="3"/>
      <c r="H1199" s="1"/>
      <c r="I1199" s="1"/>
      <c r="J1199" s="4" t="s">
        <v>16120</v>
      </c>
      <c r="K1199" s="1" t="s">
        <v>934</v>
      </c>
      <c r="L1199" s="1" t="s">
        <v>14</v>
      </c>
      <c r="M1199" s="825">
        <v>1</v>
      </c>
      <c r="N1199" s="17">
        <v>1</v>
      </c>
      <c r="O1199" s="3" t="s">
        <v>4526</v>
      </c>
      <c r="P1199" s="20">
        <v>17718</v>
      </c>
      <c r="Q1199" s="3" t="s">
        <v>4527</v>
      </c>
      <c r="R1199" s="3"/>
      <c r="S1199" s="3" t="s">
        <v>5457</v>
      </c>
      <c r="T1199" s="3" t="s">
        <v>145</v>
      </c>
      <c r="U1199" s="2"/>
      <c r="V1199" s="2" t="s">
        <v>145</v>
      </c>
      <c r="W1199" s="2"/>
      <c r="X1199" s="2"/>
      <c r="Y1199" s="2"/>
      <c r="Z1199" s="2"/>
      <c r="AA1199" s="2"/>
      <c r="AB1199" s="2"/>
      <c r="AC1199" s="2"/>
      <c r="AD1199" s="2"/>
    </row>
    <row r="1200" spans="1:30" ht="12" customHeight="1">
      <c r="A1200" s="828" t="s">
        <v>17894</v>
      </c>
      <c r="B1200" s="3" t="s">
        <v>4516</v>
      </c>
      <c r="C1200" s="1" t="s">
        <v>4528</v>
      </c>
      <c r="D1200" s="5">
        <f t="shared" si="18"/>
        <v>55</v>
      </c>
      <c r="E1200" s="2" t="s">
        <v>5</v>
      </c>
      <c r="F1200" s="2"/>
      <c r="G1200" s="3"/>
      <c r="H1200" s="1"/>
      <c r="I1200" s="1"/>
      <c r="J1200" s="4" t="s">
        <v>16117</v>
      </c>
      <c r="K1200" s="1"/>
      <c r="L1200" s="1" t="s">
        <v>6</v>
      </c>
      <c r="M1200" s="825"/>
      <c r="N1200" s="17"/>
      <c r="O1200" s="3" t="s">
        <v>381</v>
      </c>
      <c r="P1200" s="21">
        <v>20888</v>
      </c>
      <c r="Q1200" s="3" t="s">
        <v>4529</v>
      </c>
      <c r="R1200" s="3"/>
      <c r="S1200" s="3"/>
      <c r="T1200" s="3" t="s">
        <v>145</v>
      </c>
      <c r="U1200" s="2"/>
      <c r="V1200" s="2" t="s">
        <v>145</v>
      </c>
      <c r="W1200" s="2"/>
      <c r="X1200" s="2"/>
      <c r="Y1200" s="2"/>
      <c r="Z1200" s="2"/>
      <c r="AA1200" s="2"/>
      <c r="AB1200" s="2"/>
      <c r="AC1200" s="2"/>
      <c r="AD1200" s="2"/>
    </row>
    <row r="1201" spans="1:30" ht="12" customHeight="1">
      <c r="A1201" s="828" t="s">
        <v>17895</v>
      </c>
      <c r="B1201" s="3" t="s">
        <v>4530</v>
      </c>
      <c r="C1201" s="1" t="s">
        <v>5549</v>
      </c>
      <c r="D1201" s="5">
        <f t="shared" si="18"/>
        <v>69</v>
      </c>
      <c r="E1201" s="2" t="s">
        <v>5</v>
      </c>
      <c r="F1201" s="6" t="s">
        <v>15273</v>
      </c>
      <c r="G1201" s="3" t="s">
        <v>5550</v>
      </c>
      <c r="H1201" s="1"/>
      <c r="I1201" s="1"/>
      <c r="J1201" s="8" t="s">
        <v>16127</v>
      </c>
      <c r="K1201" s="1" t="s">
        <v>44</v>
      </c>
      <c r="L1201" s="1" t="s">
        <v>25</v>
      </c>
      <c r="M1201" s="825">
        <v>1</v>
      </c>
      <c r="N1201" s="17">
        <v>1</v>
      </c>
      <c r="O1201" s="3" t="s">
        <v>5551</v>
      </c>
      <c r="P1201" s="21">
        <v>15899</v>
      </c>
      <c r="Q1201" s="3" t="s">
        <v>5552</v>
      </c>
      <c r="R1201" s="3"/>
      <c r="S1201" s="3" t="s">
        <v>736</v>
      </c>
      <c r="T1201" s="3" t="s">
        <v>148</v>
      </c>
      <c r="U1201" s="2"/>
      <c r="V1201" s="2" t="s">
        <v>145</v>
      </c>
      <c r="W1201" s="2"/>
      <c r="X1201" s="2"/>
      <c r="Y1201" s="2"/>
      <c r="Z1201" s="2"/>
      <c r="AA1201" s="2"/>
      <c r="AB1201" s="2"/>
      <c r="AC1201" s="2"/>
      <c r="AD1201" s="2" t="s">
        <v>69</v>
      </c>
    </row>
    <row r="1202" spans="1:30" ht="12" customHeight="1">
      <c r="A1202" s="828" t="s">
        <v>17896</v>
      </c>
      <c r="B1202" s="3" t="s">
        <v>4531</v>
      </c>
      <c r="C1202" s="1" t="s">
        <v>4533</v>
      </c>
      <c r="D1202" s="5">
        <f t="shared" si="18"/>
        <v>66</v>
      </c>
      <c r="E1202" s="2" t="s">
        <v>5</v>
      </c>
      <c r="F1202" s="2" t="s">
        <v>15273</v>
      </c>
      <c r="G1202" s="3"/>
      <c r="H1202" s="1"/>
      <c r="I1202" s="1"/>
      <c r="J1202" s="4" t="s">
        <v>16120</v>
      </c>
      <c r="K1202" s="1" t="s">
        <v>30</v>
      </c>
      <c r="L1202" s="1" t="s">
        <v>6</v>
      </c>
      <c r="M1202" s="825"/>
      <c r="N1202" s="17"/>
      <c r="O1202" s="3" t="s">
        <v>172</v>
      </c>
      <c r="P1202" s="20">
        <v>16916</v>
      </c>
      <c r="Q1202" s="3" t="s">
        <v>4534</v>
      </c>
      <c r="R1202" s="3"/>
      <c r="S1202" s="3" t="s">
        <v>5457</v>
      </c>
      <c r="T1202" s="3" t="s">
        <v>145</v>
      </c>
      <c r="U1202" s="2"/>
      <c r="V1202" s="2" t="s">
        <v>145</v>
      </c>
      <c r="W1202" s="2"/>
      <c r="X1202" s="2"/>
      <c r="Y1202" s="2"/>
      <c r="Z1202" s="2"/>
      <c r="AA1202" s="2"/>
      <c r="AB1202" s="2"/>
      <c r="AC1202" s="2"/>
      <c r="AD1202" s="2"/>
    </row>
    <row r="1203" spans="1:30" ht="12" customHeight="1">
      <c r="A1203" s="828" t="s">
        <v>17897</v>
      </c>
      <c r="B1203" s="3" t="s">
        <v>4532</v>
      </c>
      <c r="C1203" s="1" t="s">
        <v>5281</v>
      </c>
      <c r="D1203" s="5">
        <f t="shared" si="18"/>
        <v>63</v>
      </c>
      <c r="E1203" s="2" t="s">
        <v>5</v>
      </c>
      <c r="F1203" s="2"/>
      <c r="G1203" s="3"/>
      <c r="H1203" s="1"/>
      <c r="I1203" s="1"/>
      <c r="J1203" s="4" t="s">
        <v>16117</v>
      </c>
      <c r="K1203" s="1"/>
      <c r="L1203" s="1" t="s">
        <v>6</v>
      </c>
      <c r="M1203" s="825"/>
      <c r="N1203" s="17"/>
      <c r="O1203" s="3" t="s">
        <v>16060</v>
      </c>
      <c r="P1203" s="20">
        <v>18241</v>
      </c>
      <c r="Q1203" s="3" t="s">
        <v>5282</v>
      </c>
      <c r="R1203" s="3"/>
      <c r="S1203" s="3"/>
      <c r="T1203" s="3" t="s">
        <v>145</v>
      </c>
      <c r="U1203" s="2"/>
      <c r="V1203" s="2" t="s">
        <v>145</v>
      </c>
      <c r="W1203" s="2"/>
      <c r="X1203" s="2"/>
      <c r="Y1203" s="2"/>
      <c r="Z1203" s="2"/>
      <c r="AA1203" s="2"/>
      <c r="AB1203" s="2"/>
      <c r="AC1203" s="2"/>
      <c r="AD1203" s="2"/>
    </row>
    <row r="1204" spans="1:30" ht="12" customHeight="1">
      <c r="A1204" s="828" t="s">
        <v>17898</v>
      </c>
      <c r="B1204" s="3" t="s">
        <v>4574</v>
      </c>
      <c r="C1204" s="1" t="s">
        <v>16062</v>
      </c>
      <c r="D1204" s="5">
        <f t="shared" si="18"/>
        <v>63</v>
      </c>
      <c r="E1204" s="2" t="s">
        <v>5</v>
      </c>
      <c r="F1204" s="2"/>
      <c r="G1204" s="3"/>
      <c r="H1204" s="1"/>
      <c r="I1204" s="1"/>
      <c r="J1204" s="4" t="s">
        <v>16129</v>
      </c>
      <c r="K1204" s="1"/>
      <c r="L1204" s="1" t="s">
        <v>6</v>
      </c>
      <c r="M1204" s="825"/>
      <c r="N1204" s="17"/>
      <c r="O1204" s="3" t="s">
        <v>16063</v>
      </c>
      <c r="P1204" s="20">
        <v>17926</v>
      </c>
      <c r="Q1204" s="3" t="s">
        <v>16064</v>
      </c>
      <c r="R1204" s="3"/>
      <c r="S1204" s="3"/>
      <c r="T1204" s="3"/>
      <c r="U1204" s="2"/>
      <c r="V1204" s="2"/>
      <c r="W1204" s="2"/>
      <c r="X1204" s="2"/>
      <c r="Y1204" s="2"/>
      <c r="Z1204" s="2"/>
      <c r="AA1204" s="2"/>
      <c r="AB1204" s="2"/>
      <c r="AC1204" s="2"/>
      <c r="AD1204" s="2"/>
    </row>
    <row r="1205" spans="1:30" ht="12" customHeight="1">
      <c r="A1205" s="828" t="s">
        <v>17899</v>
      </c>
      <c r="B1205" s="3" t="s">
        <v>16061</v>
      </c>
      <c r="C1205" s="1" t="s">
        <v>5588</v>
      </c>
      <c r="D1205" s="5">
        <f t="shared" si="18"/>
        <v>58</v>
      </c>
      <c r="E1205" s="2" t="s">
        <v>5</v>
      </c>
      <c r="F1205" s="2"/>
      <c r="G1205" s="3"/>
      <c r="H1205" s="1"/>
      <c r="I1205" s="1"/>
      <c r="J1205" s="8" t="s">
        <v>16129</v>
      </c>
      <c r="K1205" s="1" t="s">
        <v>97</v>
      </c>
      <c r="L1205" s="1" t="s">
        <v>6</v>
      </c>
      <c r="M1205" s="825"/>
      <c r="N1205" s="17"/>
      <c r="O1205" s="3" t="s">
        <v>557</v>
      </c>
      <c r="P1205" s="21">
        <v>20010</v>
      </c>
      <c r="Q1205" s="3" t="s">
        <v>5591</v>
      </c>
      <c r="R1205" s="3"/>
      <c r="S1205" s="3"/>
      <c r="T1205" s="3" t="s">
        <v>371</v>
      </c>
      <c r="U1205" s="2"/>
      <c r="V1205" s="2" t="s">
        <v>145</v>
      </c>
      <c r="W1205" s="2" t="s">
        <v>75</v>
      </c>
      <c r="X1205" s="2"/>
      <c r="Y1205" s="2"/>
      <c r="Z1205" s="2"/>
      <c r="AA1205" s="2"/>
      <c r="AB1205" s="2"/>
      <c r="AC1205" s="2"/>
      <c r="AD1205" s="2"/>
    </row>
    <row r="1206" spans="1:30" ht="12" customHeight="1">
      <c r="A1206" s="828" t="s">
        <v>17900</v>
      </c>
      <c r="B1206" s="3" t="s">
        <v>4535</v>
      </c>
      <c r="C1206" s="1" t="s">
        <v>4542</v>
      </c>
      <c r="D1206" s="5">
        <f t="shared" si="18"/>
        <v>71</v>
      </c>
      <c r="E1206" s="2" t="s">
        <v>5</v>
      </c>
      <c r="F1206" s="2" t="s">
        <v>15273</v>
      </c>
      <c r="G1206" s="3" t="s">
        <v>4543</v>
      </c>
      <c r="H1206" s="1"/>
      <c r="I1206" s="1"/>
      <c r="J1206" s="8" t="s">
        <v>16120</v>
      </c>
      <c r="K1206" s="1" t="s">
        <v>48</v>
      </c>
      <c r="L1206" s="1" t="s">
        <v>25</v>
      </c>
      <c r="M1206" s="825">
        <v>3</v>
      </c>
      <c r="N1206" s="17">
        <v>3</v>
      </c>
      <c r="O1206" s="3" t="s">
        <v>4545</v>
      </c>
      <c r="P1206" s="20">
        <v>15200</v>
      </c>
      <c r="Q1206" s="3" t="s">
        <v>4546</v>
      </c>
      <c r="R1206" s="3" t="s">
        <v>347</v>
      </c>
      <c r="S1206" s="3" t="s">
        <v>5457</v>
      </c>
      <c r="T1206" s="3" t="s">
        <v>145</v>
      </c>
      <c r="U1206" s="2"/>
      <c r="V1206" s="2" t="s">
        <v>145</v>
      </c>
      <c r="W1206" s="2"/>
      <c r="X1206" s="2"/>
      <c r="Y1206" s="2"/>
      <c r="Z1206" s="2"/>
      <c r="AA1206" s="2"/>
      <c r="AB1206" s="2"/>
      <c r="AC1206" s="2"/>
      <c r="AD1206" s="2"/>
    </row>
    <row r="1207" spans="1:30" ht="12" customHeight="1">
      <c r="A1207" s="828" t="s">
        <v>17901</v>
      </c>
      <c r="B1207" s="3" t="s">
        <v>4536</v>
      </c>
      <c r="C1207" s="1" t="s">
        <v>4538</v>
      </c>
      <c r="D1207" s="5">
        <f t="shared" si="18"/>
        <v>70</v>
      </c>
      <c r="E1207" s="2" t="s">
        <v>5</v>
      </c>
      <c r="F1207" s="2" t="s">
        <v>15273</v>
      </c>
      <c r="G1207" s="3" t="s">
        <v>4539</v>
      </c>
      <c r="H1207" s="1"/>
      <c r="I1207" s="1"/>
      <c r="J1207" s="4" t="s">
        <v>16125</v>
      </c>
      <c r="K1207" s="1"/>
      <c r="L1207" s="1" t="s">
        <v>25</v>
      </c>
      <c r="M1207" s="825">
        <v>5</v>
      </c>
      <c r="N1207" s="17">
        <v>5</v>
      </c>
      <c r="O1207" s="3" t="s">
        <v>188</v>
      </c>
      <c r="P1207" s="20">
        <v>15439</v>
      </c>
      <c r="Q1207" s="3" t="s">
        <v>4540</v>
      </c>
      <c r="R1207" s="3" t="s">
        <v>16686</v>
      </c>
      <c r="S1207" s="3" t="s">
        <v>5561</v>
      </c>
      <c r="T1207" s="3" t="s">
        <v>147</v>
      </c>
      <c r="U1207" s="2"/>
      <c r="V1207" s="2"/>
      <c r="W1207" s="2"/>
      <c r="X1207" s="2"/>
      <c r="Y1207" s="2"/>
      <c r="Z1207" s="2"/>
      <c r="AA1207" s="2"/>
      <c r="AB1207" s="2" t="s">
        <v>147</v>
      </c>
      <c r="AC1207" s="2"/>
      <c r="AD1207" s="2"/>
    </row>
    <row r="1208" spans="1:30" ht="12" customHeight="1">
      <c r="A1208" s="828" t="s">
        <v>17902</v>
      </c>
      <c r="B1208" s="3" t="s">
        <v>4537</v>
      </c>
      <c r="C1208" s="1" t="s">
        <v>5283</v>
      </c>
      <c r="D1208" s="5">
        <f t="shared" si="18"/>
        <v>63</v>
      </c>
      <c r="E1208" s="2" t="s">
        <v>5</v>
      </c>
      <c r="F1208" s="2"/>
      <c r="G1208" s="3"/>
      <c r="H1208" s="1"/>
      <c r="I1208" s="1"/>
      <c r="J1208" s="4" t="s">
        <v>16117</v>
      </c>
      <c r="K1208" s="1"/>
      <c r="L1208" s="1" t="s">
        <v>6</v>
      </c>
      <c r="M1208" s="825"/>
      <c r="N1208" s="17"/>
      <c r="O1208" s="3" t="s">
        <v>4564</v>
      </c>
      <c r="P1208" s="20">
        <v>18088</v>
      </c>
      <c r="Q1208" s="3" t="s">
        <v>270</v>
      </c>
      <c r="R1208" s="3"/>
      <c r="S1208" s="3"/>
      <c r="T1208" s="3"/>
      <c r="U1208" s="2"/>
      <c r="V1208" s="2"/>
      <c r="W1208" s="2"/>
      <c r="X1208" s="2"/>
      <c r="Y1208" s="2"/>
      <c r="Z1208" s="2"/>
      <c r="AA1208" s="2"/>
      <c r="AB1208" s="2"/>
      <c r="AC1208" s="2"/>
      <c r="AD1208" s="2"/>
    </row>
    <row r="1209" spans="1:30" ht="12" customHeight="1">
      <c r="A1209" s="828" t="s">
        <v>17903</v>
      </c>
      <c r="B1209" s="3" t="s">
        <v>4547</v>
      </c>
      <c r="C1209" s="1" t="s">
        <v>4551</v>
      </c>
      <c r="D1209" s="5">
        <f t="shared" si="18"/>
        <v>49</v>
      </c>
      <c r="E1209" s="2" t="s">
        <v>5</v>
      </c>
      <c r="F1209" s="6" t="s">
        <v>15273</v>
      </c>
      <c r="G1209" s="3" t="s">
        <v>4552</v>
      </c>
      <c r="H1209" s="1"/>
      <c r="I1209" s="1"/>
      <c r="J1209" s="8" t="s">
        <v>16127</v>
      </c>
      <c r="K1209" s="1" t="s">
        <v>276</v>
      </c>
      <c r="L1209" s="1" t="s">
        <v>25</v>
      </c>
      <c r="M1209" s="825">
        <v>2</v>
      </c>
      <c r="N1209" s="17">
        <v>2</v>
      </c>
      <c r="O1209" s="3" t="s">
        <v>447</v>
      </c>
      <c r="P1209" s="20">
        <v>23168</v>
      </c>
      <c r="Q1209" s="3" t="s">
        <v>4555</v>
      </c>
      <c r="R1209" s="3" t="s">
        <v>4554</v>
      </c>
      <c r="S1209" s="3" t="s">
        <v>736</v>
      </c>
      <c r="T1209" s="3" t="s">
        <v>572</v>
      </c>
      <c r="U1209" s="2"/>
      <c r="V1209" s="2" t="s">
        <v>145</v>
      </c>
      <c r="W1209" s="2"/>
      <c r="X1209" s="2"/>
      <c r="Y1209" s="2"/>
      <c r="Z1209" s="2"/>
      <c r="AA1209" s="2" t="s">
        <v>104</v>
      </c>
      <c r="AB1209" s="2"/>
      <c r="AC1209" s="2"/>
      <c r="AD1209" s="2"/>
    </row>
    <row r="1210" spans="1:30" ht="12" customHeight="1">
      <c r="A1210" s="828" t="s">
        <v>17904</v>
      </c>
      <c r="B1210" s="3" t="s">
        <v>4548</v>
      </c>
      <c r="C1210" s="1" t="s">
        <v>4557</v>
      </c>
      <c r="D1210" s="5">
        <f t="shared" si="18"/>
        <v>65</v>
      </c>
      <c r="E1210" s="2" t="s">
        <v>5</v>
      </c>
      <c r="F1210" s="2" t="s">
        <v>15273</v>
      </c>
      <c r="G1210" s="3" t="s">
        <v>4558</v>
      </c>
      <c r="H1210" s="1"/>
      <c r="I1210" s="1"/>
      <c r="J1210" s="4" t="s">
        <v>16120</v>
      </c>
      <c r="K1210" s="1" t="s">
        <v>476</v>
      </c>
      <c r="L1210" s="1" t="s">
        <v>25</v>
      </c>
      <c r="M1210" s="825">
        <v>4</v>
      </c>
      <c r="N1210" s="17">
        <v>4</v>
      </c>
      <c r="O1210" s="3" t="s">
        <v>188</v>
      </c>
      <c r="P1210" s="20">
        <v>17196</v>
      </c>
      <c r="Q1210" s="3" t="s">
        <v>4559</v>
      </c>
      <c r="R1210" s="3" t="s">
        <v>4560</v>
      </c>
      <c r="S1210" s="3" t="s">
        <v>5457</v>
      </c>
      <c r="T1210" s="3" t="s">
        <v>145</v>
      </c>
      <c r="U1210" s="2"/>
      <c r="V1210" s="2" t="s">
        <v>145</v>
      </c>
      <c r="W1210" s="2"/>
      <c r="X1210" s="2"/>
      <c r="Y1210" s="2"/>
      <c r="Z1210" s="2"/>
      <c r="AA1210" s="2"/>
      <c r="AB1210" s="2"/>
      <c r="AC1210" s="2"/>
      <c r="AD1210" s="2"/>
    </row>
    <row r="1211" spans="1:30" ht="12" customHeight="1">
      <c r="A1211" s="828" t="s">
        <v>17905</v>
      </c>
      <c r="B1211" s="3" t="s">
        <v>4549</v>
      </c>
      <c r="C1211" s="1" t="s">
        <v>4561</v>
      </c>
      <c r="D1211" s="5">
        <f t="shared" si="18"/>
        <v>50</v>
      </c>
      <c r="E1211" s="2" t="s">
        <v>5</v>
      </c>
      <c r="F1211" s="2" t="s">
        <v>15273</v>
      </c>
      <c r="G1211" s="3"/>
      <c r="H1211" s="1"/>
      <c r="I1211" s="1"/>
      <c r="J1211" s="4" t="s">
        <v>16125</v>
      </c>
      <c r="K1211" s="1"/>
      <c r="L1211" s="1" t="s">
        <v>6</v>
      </c>
      <c r="M1211" s="825"/>
      <c r="N1211" s="17"/>
      <c r="O1211" s="3" t="s">
        <v>1493</v>
      </c>
      <c r="P1211" s="20">
        <v>22982</v>
      </c>
      <c r="Q1211" s="3" t="s">
        <v>4562</v>
      </c>
      <c r="R1211" s="3"/>
      <c r="S1211" s="3" t="s">
        <v>5561</v>
      </c>
      <c r="T1211" s="3" t="s">
        <v>145</v>
      </c>
      <c r="U1211" s="2"/>
      <c r="V1211" s="2" t="s">
        <v>145</v>
      </c>
      <c r="W1211" s="2"/>
      <c r="X1211" s="2"/>
      <c r="Y1211" s="2"/>
      <c r="Z1211" s="2"/>
      <c r="AA1211" s="2"/>
      <c r="AB1211" s="2"/>
      <c r="AC1211" s="2"/>
      <c r="AD1211" s="2"/>
    </row>
    <row r="1212" spans="1:30" ht="12" customHeight="1">
      <c r="A1212" s="828" t="s">
        <v>17906</v>
      </c>
      <c r="B1212" s="3" t="s">
        <v>4550</v>
      </c>
      <c r="C1212" s="1" t="s">
        <v>4563</v>
      </c>
      <c r="D1212" s="5">
        <f t="shared" si="18"/>
        <v>60</v>
      </c>
      <c r="E1212" s="2" t="s">
        <v>5</v>
      </c>
      <c r="F1212" s="2"/>
      <c r="G1212" s="3"/>
      <c r="H1212" s="1"/>
      <c r="I1212" s="1"/>
      <c r="J1212" s="4" t="s">
        <v>16117</v>
      </c>
      <c r="K1212" s="1"/>
      <c r="L1212" s="1" t="s">
        <v>6</v>
      </c>
      <c r="M1212" s="825"/>
      <c r="N1212" s="17"/>
      <c r="O1212" s="3" t="s">
        <v>4564</v>
      </c>
      <c r="P1212" s="20">
        <v>19287</v>
      </c>
      <c r="Q1212" s="3" t="s">
        <v>53</v>
      </c>
      <c r="R1212" s="3"/>
      <c r="S1212" s="3"/>
      <c r="T1212" s="3"/>
      <c r="U1212" s="2"/>
      <c r="V1212" s="2"/>
      <c r="W1212" s="2"/>
      <c r="X1212" s="2"/>
      <c r="Y1212" s="2"/>
      <c r="Z1212" s="2"/>
      <c r="AA1212" s="2"/>
      <c r="AB1212" s="2"/>
      <c r="AC1212" s="2"/>
      <c r="AD1212" s="2"/>
    </row>
    <row r="1213" spans="1:30" ht="12" customHeight="1">
      <c r="A1213" s="828" t="s">
        <v>17907</v>
      </c>
      <c r="B1213" s="3" t="s">
        <v>4664</v>
      </c>
      <c r="C1213" s="1" t="s">
        <v>4668</v>
      </c>
      <c r="D1213" s="5">
        <f t="shared" si="18"/>
        <v>60</v>
      </c>
      <c r="E1213" s="2" t="s">
        <v>5</v>
      </c>
      <c r="F1213" s="6" t="s">
        <v>15273</v>
      </c>
      <c r="G1213" s="3"/>
      <c r="H1213" s="1"/>
      <c r="I1213" s="1"/>
      <c r="J1213" s="8" t="s">
        <v>16126</v>
      </c>
      <c r="K1213" s="1" t="s">
        <v>44</v>
      </c>
      <c r="L1213" s="1" t="s">
        <v>6</v>
      </c>
      <c r="M1213" s="825"/>
      <c r="N1213" s="17"/>
      <c r="O1213" s="3" t="s">
        <v>317</v>
      </c>
      <c r="P1213" s="20">
        <v>19047</v>
      </c>
      <c r="Q1213" s="3" t="s">
        <v>5635</v>
      </c>
      <c r="R1213" s="3"/>
      <c r="S1213" s="3"/>
      <c r="T1213" s="3" t="s">
        <v>145</v>
      </c>
      <c r="U1213" s="2"/>
      <c r="V1213" s="2" t="s">
        <v>145</v>
      </c>
      <c r="W1213" s="2"/>
      <c r="X1213" s="2"/>
      <c r="Y1213" s="2"/>
      <c r="Z1213" s="2"/>
      <c r="AA1213" s="2"/>
      <c r="AB1213" s="2"/>
      <c r="AC1213" s="2"/>
      <c r="AD1213" s="2"/>
    </row>
    <row r="1214" spans="1:30" ht="12" customHeight="1">
      <c r="A1214" s="828" t="s">
        <v>17908</v>
      </c>
      <c r="B1214" s="3" t="s">
        <v>4665</v>
      </c>
      <c r="C1214" s="1" t="s">
        <v>4670</v>
      </c>
      <c r="D1214" s="5">
        <f t="shared" si="18"/>
        <v>43</v>
      </c>
      <c r="E1214" s="2" t="s">
        <v>5</v>
      </c>
      <c r="F1214" s="2" t="s">
        <v>15273</v>
      </c>
      <c r="G1214" s="3"/>
      <c r="H1214" s="1"/>
      <c r="I1214" s="1"/>
      <c r="J1214" s="4" t="s">
        <v>16120</v>
      </c>
      <c r="K1214" s="1" t="s">
        <v>13</v>
      </c>
      <c r="L1214" s="1" t="s">
        <v>14</v>
      </c>
      <c r="M1214" s="825">
        <v>1</v>
      </c>
      <c r="N1214" s="17">
        <v>1</v>
      </c>
      <c r="O1214" s="3" t="s">
        <v>188</v>
      </c>
      <c r="P1214" s="20">
        <v>25427</v>
      </c>
      <c r="Q1214" s="3" t="s">
        <v>4671</v>
      </c>
      <c r="R1214" s="3"/>
      <c r="S1214" s="3"/>
      <c r="T1214" s="3"/>
      <c r="U1214" s="2"/>
      <c r="V1214" s="2"/>
      <c r="W1214" s="2"/>
      <c r="X1214" s="2"/>
      <c r="Y1214" s="2"/>
      <c r="Z1214" s="2"/>
      <c r="AA1214" s="2"/>
      <c r="AB1214" s="2"/>
      <c r="AC1214" s="2"/>
      <c r="AD1214" s="2"/>
    </row>
    <row r="1215" spans="1:30" ht="12" customHeight="1">
      <c r="A1215" s="828" t="s">
        <v>17909</v>
      </c>
      <c r="B1215" s="3" t="s">
        <v>4666</v>
      </c>
      <c r="C1215" s="1" t="s">
        <v>4675</v>
      </c>
      <c r="D1215" s="5">
        <f t="shared" si="18"/>
        <v>52</v>
      </c>
      <c r="E1215" s="2" t="s">
        <v>5</v>
      </c>
      <c r="F1215" s="2" t="s">
        <v>15273</v>
      </c>
      <c r="G1215" s="3" t="s">
        <v>4676</v>
      </c>
      <c r="H1215" s="1"/>
      <c r="I1215" s="1"/>
      <c r="J1215" s="4" t="s">
        <v>16116</v>
      </c>
      <c r="K1215" s="1" t="s">
        <v>564</v>
      </c>
      <c r="L1215" s="1" t="s">
        <v>25</v>
      </c>
      <c r="M1215" s="825">
        <v>4</v>
      </c>
      <c r="N1215" s="17">
        <v>4</v>
      </c>
      <c r="O1215" s="3" t="s">
        <v>31</v>
      </c>
      <c r="P1215" s="20">
        <v>22178</v>
      </c>
      <c r="Q1215" s="3" t="s">
        <v>4677</v>
      </c>
      <c r="R1215" s="3" t="s">
        <v>4678</v>
      </c>
      <c r="S1215" s="3" t="s">
        <v>18567</v>
      </c>
      <c r="T1215" s="3" t="s">
        <v>104</v>
      </c>
      <c r="U1215" s="2"/>
      <c r="V1215" s="2"/>
      <c r="W1215" s="2"/>
      <c r="X1215" s="2"/>
      <c r="Y1215" s="2"/>
      <c r="Z1215" s="2"/>
      <c r="AA1215" s="2" t="s">
        <v>104</v>
      </c>
      <c r="AB1215" s="2"/>
      <c r="AC1215" s="2"/>
      <c r="AD1215" s="2"/>
    </row>
    <row r="1216" spans="1:30" ht="12" customHeight="1">
      <c r="A1216" s="828" t="s">
        <v>17910</v>
      </c>
      <c r="B1216" s="3" t="s">
        <v>4667</v>
      </c>
      <c r="C1216" s="1" t="s">
        <v>4672</v>
      </c>
      <c r="D1216" s="5">
        <f t="shared" si="18"/>
        <v>46</v>
      </c>
      <c r="E1216" s="2" t="s">
        <v>5</v>
      </c>
      <c r="F1216" s="2"/>
      <c r="G1216" s="3"/>
      <c r="H1216" s="1"/>
      <c r="I1216" s="1"/>
      <c r="J1216" s="4" t="s">
        <v>16117</v>
      </c>
      <c r="K1216" s="1"/>
      <c r="L1216" s="1" t="s">
        <v>6</v>
      </c>
      <c r="M1216" s="825"/>
      <c r="N1216" s="17"/>
      <c r="O1216" s="3" t="s">
        <v>557</v>
      </c>
      <c r="P1216" s="21">
        <v>24251</v>
      </c>
      <c r="Q1216" s="3" t="s">
        <v>364</v>
      </c>
      <c r="R1216" s="3"/>
      <c r="S1216" s="3"/>
      <c r="T1216" s="3"/>
      <c r="U1216" s="2"/>
      <c r="V1216" s="2"/>
      <c r="W1216" s="2"/>
      <c r="X1216" s="2"/>
      <c r="Y1216" s="2"/>
      <c r="Z1216" s="2"/>
      <c r="AA1216" s="2"/>
      <c r="AB1216" s="2"/>
      <c r="AC1216" s="2"/>
      <c r="AD1216" s="2"/>
    </row>
    <row r="1217" spans="1:30" ht="12" customHeight="1">
      <c r="A1217" s="828" t="s">
        <v>17911</v>
      </c>
      <c r="B1217" s="3" t="s">
        <v>16065</v>
      </c>
      <c r="C1217" s="1" t="s">
        <v>16066</v>
      </c>
      <c r="D1217" s="5">
        <f t="shared" ref="D1217:D1280" si="19">DATEDIF(P1217,$P$1505,"Y")</f>
        <v>62</v>
      </c>
      <c r="E1217" s="2" t="s">
        <v>5</v>
      </c>
      <c r="F1217" s="2"/>
      <c r="G1217" s="3"/>
      <c r="H1217" s="1"/>
      <c r="I1217" s="1"/>
      <c r="J1217" s="4" t="s">
        <v>16129</v>
      </c>
      <c r="K1217" s="1"/>
      <c r="L1217" s="1" t="s">
        <v>6</v>
      </c>
      <c r="M1217" s="825"/>
      <c r="N1217" s="17"/>
      <c r="O1217" s="3" t="s">
        <v>16067</v>
      </c>
      <c r="P1217" s="21">
        <v>18478</v>
      </c>
      <c r="Q1217" s="3" t="s">
        <v>16068</v>
      </c>
      <c r="R1217" s="3"/>
      <c r="S1217" s="3"/>
      <c r="T1217" s="3"/>
      <c r="U1217" s="2"/>
      <c r="V1217" s="2"/>
      <c r="W1217" s="2"/>
      <c r="X1217" s="2"/>
      <c r="Y1217" s="2"/>
      <c r="Z1217" s="2"/>
      <c r="AA1217" s="2"/>
      <c r="AB1217" s="2"/>
      <c r="AC1217" s="2"/>
      <c r="AD1217" s="2"/>
    </row>
    <row r="1218" spans="1:30" ht="12" customHeight="1">
      <c r="A1218" s="828" t="s">
        <v>17912</v>
      </c>
      <c r="B1218" s="3" t="s">
        <v>4679</v>
      </c>
      <c r="C1218" s="1" t="s">
        <v>4684</v>
      </c>
      <c r="D1218" s="5">
        <f t="shared" si="19"/>
        <v>42</v>
      </c>
      <c r="E1218" s="2" t="s">
        <v>5</v>
      </c>
      <c r="F1218" s="6" t="s">
        <v>15273</v>
      </c>
      <c r="G1218" s="3"/>
      <c r="H1218" s="1"/>
      <c r="I1218" s="1"/>
      <c r="J1218" s="8" t="s">
        <v>16127</v>
      </c>
      <c r="K1218" s="1" t="s">
        <v>44</v>
      </c>
      <c r="L1218" s="1" t="s">
        <v>6</v>
      </c>
      <c r="M1218" s="825"/>
      <c r="N1218" s="17"/>
      <c r="O1218" s="3" t="s">
        <v>4686</v>
      </c>
      <c r="P1218" s="20">
        <v>25768</v>
      </c>
      <c r="Q1218" s="3" t="s">
        <v>4685</v>
      </c>
      <c r="R1218" s="3"/>
      <c r="S1218" s="3"/>
      <c r="T1218" s="3" t="s">
        <v>145</v>
      </c>
      <c r="U1218" s="2"/>
      <c r="V1218" s="2" t="s">
        <v>145</v>
      </c>
      <c r="W1218" s="2"/>
      <c r="X1218" s="2"/>
      <c r="Y1218" s="2"/>
      <c r="Z1218" s="2"/>
      <c r="AA1218" s="2"/>
      <c r="AB1218" s="2"/>
      <c r="AC1218" s="2"/>
      <c r="AD1218" s="2"/>
    </row>
    <row r="1219" spans="1:30" ht="12" customHeight="1">
      <c r="A1219" s="828" t="s">
        <v>17913</v>
      </c>
      <c r="B1219" s="3" t="s">
        <v>4680</v>
      </c>
      <c r="C1219" s="1" t="s">
        <v>4687</v>
      </c>
      <c r="D1219" s="5">
        <f t="shared" si="19"/>
        <v>71</v>
      </c>
      <c r="E1219" s="2" t="s">
        <v>5</v>
      </c>
      <c r="F1219" s="2" t="s">
        <v>15273</v>
      </c>
      <c r="G1219" s="3" t="s">
        <v>4688</v>
      </c>
      <c r="H1219" s="1"/>
      <c r="I1219" s="1"/>
      <c r="J1219" s="8" t="s">
        <v>16120</v>
      </c>
      <c r="K1219" s="1" t="s">
        <v>934</v>
      </c>
      <c r="L1219" s="1" t="s">
        <v>25</v>
      </c>
      <c r="M1219" s="825">
        <v>13</v>
      </c>
      <c r="N1219" s="17">
        <v>13</v>
      </c>
      <c r="O1219" s="3" t="s">
        <v>317</v>
      </c>
      <c r="P1219" s="20">
        <v>15252</v>
      </c>
      <c r="Q1219" s="3" t="s">
        <v>4690</v>
      </c>
      <c r="R1219" s="3" t="s">
        <v>4691</v>
      </c>
      <c r="S1219" s="3" t="s">
        <v>5457</v>
      </c>
      <c r="T1219" s="3" t="s">
        <v>355</v>
      </c>
      <c r="U1219" s="2" t="s">
        <v>47</v>
      </c>
      <c r="V1219" s="2"/>
      <c r="W1219" s="2"/>
      <c r="X1219" s="2"/>
      <c r="Y1219" s="2"/>
      <c r="Z1219" s="2"/>
      <c r="AA1219" s="2" t="s">
        <v>104</v>
      </c>
      <c r="AB1219" s="2"/>
      <c r="AC1219" s="2"/>
      <c r="AD1219" s="2"/>
    </row>
    <row r="1220" spans="1:30" ht="12" customHeight="1">
      <c r="A1220" s="828" t="s">
        <v>17914</v>
      </c>
      <c r="B1220" s="3" t="s">
        <v>4681</v>
      </c>
      <c r="C1220" s="1" t="s">
        <v>4692</v>
      </c>
      <c r="D1220" s="5">
        <f t="shared" si="19"/>
        <v>46</v>
      </c>
      <c r="E1220" s="2" t="s">
        <v>5</v>
      </c>
      <c r="F1220" s="2" t="s">
        <v>15273</v>
      </c>
      <c r="G1220" s="3" t="s">
        <v>4693</v>
      </c>
      <c r="H1220" s="1"/>
      <c r="I1220" s="1"/>
      <c r="J1220" s="4" t="s">
        <v>16125</v>
      </c>
      <c r="K1220" s="1"/>
      <c r="L1220" s="1" t="s">
        <v>25</v>
      </c>
      <c r="M1220" s="825">
        <v>1</v>
      </c>
      <c r="N1220" s="17">
        <v>1</v>
      </c>
      <c r="O1220" s="3" t="s">
        <v>31</v>
      </c>
      <c r="P1220" s="20">
        <v>24219</v>
      </c>
      <c r="Q1220" s="3" t="s">
        <v>4694</v>
      </c>
      <c r="R1220" s="3"/>
      <c r="S1220" s="3" t="s">
        <v>5561</v>
      </c>
      <c r="T1220" s="3"/>
      <c r="U1220" s="2"/>
      <c r="V1220" s="2"/>
      <c r="W1220" s="2"/>
      <c r="X1220" s="2"/>
      <c r="Y1220" s="2"/>
      <c r="Z1220" s="2"/>
      <c r="AA1220" s="2"/>
      <c r="AB1220" s="2"/>
      <c r="AC1220" s="2"/>
      <c r="AD1220" s="2"/>
    </row>
    <row r="1221" spans="1:30" ht="12" customHeight="1">
      <c r="A1221" s="828" t="s">
        <v>17915</v>
      </c>
      <c r="B1221" s="3" t="s">
        <v>4682</v>
      </c>
      <c r="C1221" s="1" t="s">
        <v>4699</v>
      </c>
      <c r="D1221" s="5">
        <f t="shared" si="19"/>
        <v>41</v>
      </c>
      <c r="E1221" s="2" t="s">
        <v>19</v>
      </c>
      <c r="F1221" s="2" t="s">
        <v>15273</v>
      </c>
      <c r="G1221" s="3"/>
      <c r="H1221" s="1"/>
      <c r="I1221" s="1"/>
      <c r="J1221" s="4" t="s">
        <v>16128</v>
      </c>
      <c r="K1221" s="1"/>
      <c r="L1221" s="1" t="s">
        <v>6</v>
      </c>
      <c r="M1221" s="825"/>
      <c r="N1221" s="17"/>
      <c r="O1221" s="3" t="s">
        <v>4700</v>
      </c>
      <c r="P1221" s="20">
        <v>26205</v>
      </c>
      <c r="Q1221" s="3" t="s">
        <v>4701</v>
      </c>
      <c r="R1221" s="3"/>
      <c r="S1221" s="3" t="s">
        <v>6031</v>
      </c>
      <c r="T1221" s="3" t="s">
        <v>104</v>
      </c>
      <c r="U1221" s="2"/>
      <c r="V1221" s="2"/>
      <c r="W1221" s="2"/>
      <c r="X1221" s="2"/>
      <c r="Y1221" s="2"/>
      <c r="Z1221" s="2"/>
      <c r="AA1221" s="2" t="s">
        <v>104</v>
      </c>
      <c r="AB1221" s="2"/>
      <c r="AC1221" s="2"/>
      <c r="AD1221" s="2"/>
    </row>
    <row r="1222" spans="1:30" ht="12" customHeight="1">
      <c r="A1222" s="828" t="s">
        <v>17916</v>
      </c>
      <c r="B1222" s="3" t="s">
        <v>4683</v>
      </c>
      <c r="C1222" s="1" t="s">
        <v>4695</v>
      </c>
      <c r="D1222" s="5">
        <f t="shared" si="19"/>
        <v>59</v>
      </c>
      <c r="E1222" s="2" t="s">
        <v>5</v>
      </c>
      <c r="F1222" s="2"/>
      <c r="G1222" s="3"/>
      <c r="H1222" s="1"/>
      <c r="I1222" s="1"/>
      <c r="J1222" s="4" t="s">
        <v>16117</v>
      </c>
      <c r="K1222" s="1"/>
      <c r="L1222" s="1" t="s">
        <v>6</v>
      </c>
      <c r="M1222" s="825"/>
      <c r="N1222" s="17"/>
      <c r="O1222" s="3" t="s">
        <v>16069</v>
      </c>
      <c r="P1222" s="21">
        <v>19648</v>
      </c>
      <c r="Q1222" s="3" t="s">
        <v>4697</v>
      </c>
      <c r="R1222" s="3"/>
      <c r="S1222" s="3"/>
      <c r="T1222" s="3" t="s">
        <v>145</v>
      </c>
      <c r="U1222" s="2"/>
      <c r="V1222" s="2" t="s">
        <v>145</v>
      </c>
      <c r="W1222" s="2"/>
      <c r="X1222" s="2"/>
      <c r="Y1222" s="2"/>
      <c r="Z1222" s="2"/>
      <c r="AA1222" s="2"/>
      <c r="AB1222" s="2"/>
      <c r="AC1222" s="2"/>
      <c r="AD1222" s="2"/>
    </row>
    <row r="1223" spans="1:30" ht="12" customHeight="1">
      <c r="A1223" s="828" t="s">
        <v>17917</v>
      </c>
      <c r="B1223" s="3" t="s">
        <v>4702</v>
      </c>
      <c r="C1223" s="1" t="s">
        <v>5502</v>
      </c>
      <c r="D1223" s="5">
        <f t="shared" si="19"/>
        <v>34</v>
      </c>
      <c r="E1223" s="2" t="s">
        <v>5</v>
      </c>
      <c r="F1223" s="6" t="s">
        <v>15273</v>
      </c>
      <c r="G1223" s="3"/>
      <c r="H1223" s="1"/>
      <c r="I1223" s="1"/>
      <c r="J1223" s="8" t="s">
        <v>16127</v>
      </c>
      <c r="K1223" s="1" t="s">
        <v>44</v>
      </c>
      <c r="L1223" s="1" t="s">
        <v>6</v>
      </c>
      <c r="M1223" s="825"/>
      <c r="N1223" s="17"/>
      <c r="O1223" s="3" t="s">
        <v>4736</v>
      </c>
      <c r="P1223" s="20">
        <v>28515</v>
      </c>
      <c r="Q1223" s="3" t="s">
        <v>5503</v>
      </c>
      <c r="R1223" s="3"/>
      <c r="S1223" s="3" t="s">
        <v>736</v>
      </c>
      <c r="T1223" s="3"/>
      <c r="U1223" s="2"/>
      <c r="V1223" s="2"/>
      <c r="W1223" s="2"/>
      <c r="X1223" s="2"/>
      <c r="Y1223" s="2"/>
      <c r="Z1223" s="2"/>
      <c r="AA1223" s="2"/>
      <c r="AB1223" s="2"/>
      <c r="AC1223" s="2"/>
      <c r="AD1223" s="2"/>
    </row>
    <row r="1224" spans="1:30" ht="12" customHeight="1">
      <c r="A1224" s="828" t="s">
        <v>17918</v>
      </c>
      <c r="B1224" s="3" t="s">
        <v>4703</v>
      </c>
      <c r="C1224" s="1" t="s">
        <v>4707</v>
      </c>
      <c r="D1224" s="5">
        <f t="shared" si="19"/>
        <v>62</v>
      </c>
      <c r="E1224" s="2" t="s">
        <v>5</v>
      </c>
      <c r="F1224" s="2" t="s">
        <v>15273</v>
      </c>
      <c r="G1224" s="3" t="s">
        <v>4708</v>
      </c>
      <c r="H1224" s="1"/>
      <c r="I1224" s="1"/>
      <c r="J1224" s="4" t="s">
        <v>16120</v>
      </c>
      <c r="K1224" s="1" t="s">
        <v>934</v>
      </c>
      <c r="L1224" s="1" t="s">
        <v>25</v>
      </c>
      <c r="M1224" s="825">
        <v>3</v>
      </c>
      <c r="N1224" s="17">
        <v>3</v>
      </c>
      <c r="O1224" s="3" t="s">
        <v>381</v>
      </c>
      <c r="P1224" s="20">
        <v>18573</v>
      </c>
      <c r="Q1224" s="3" t="s">
        <v>4709</v>
      </c>
      <c r="R1224" s="3" t="s">
        <v>810</v>
      </c>
      <c r="S1224" s="3" t="s">
        <v>5457</v>
      </c>
      <c r="T1224" s="3" t="s">
        <v>173</v>
      </c>
      <c r="U1224" s="2"/>
      <c r="V1224" s="2" t="s">
        <v>145</v>
      </c>
      <c r="W1224" s="2"/>
      <c r="X1224" s="2"/>
      <c r="Y1224" s="2" t="s">
        <v>155</v>
      </c>
      <c r="Z1224" s="2"/>
      <c r="AA1224" s="2"/>
      <c r="AB1224" s="2"/>
      <c r="AC1224" s="2"/>
      <c r="AD1224" s="2"/>
    </row>
    <row r="1225" spans="1:30" ht="12" customHeight="1">
      <c r="A1225" s="828" t="s">
        <v>17919</v>
      </c>
      <c r="B1225" s="3" t="s">
        <v>4704</v>
      </c>
      <c r="C1225" s="1" t="s">
        <v>4705</v>
      </c>
      <c r="D1225" s="5">
        <f t="shared" si="19"/>
        <v>45</v>
      </c>
      <c r="E1225" s="2" t="s">
        <v>5</v>
      </c>
      <c r="F1225" s="2" t="s">
        <v>15273</v>
      </c>
      <c r="G1225" s="3"/>
      <c r="H1225" s="1"/>
      <c r="I1225" s="1"/>
      <c r="J1225" s="4" t="s">
        <v>16116</v>
      </c>
      <c r="K1225" s="1" t="s">
        <v>4422</v>
      </c>
      <c r="L1225" s="1" t="s">
        <v>6</v>
      </c>
      <c r="M1225" s="825"/>
      <c r="N1225" s="17"/>
      <c r="O1225" s="3" t="s">
        <v>3772</v>
      </c>
      <c r="P1225" s="20">
        <v>24582</v>
      </c>
      <c r="Q1225" s="3" t="s">
        <v>4706</v>
      </c>
      <c r="R1225" s="3"/>
      <c r="S1225" s="3"/>
      <c r="T1225" s="3"/>
      <c r="U1225" s="2"/>
      <c r="V1225" s="2"/>
      <c r="W1225" s="2"/>
      <c r="X1225" s="2"/>
      <c r="Y1225" s="2"/>
      <c r="Z1225" s="2"/>
      <c r="AA1225" s="2"/>
      <c r="AB1225" s="2"/>
      <c r="AC1225" s="2"/>
      <c r="AD1225" s="2"/>
    </row>
    <row r="1226" spans="1:30" ht="12" customHeight="1">
      <c r="A1226" s="828" t="s">
        <v>17920</v>
      </c>
      <c r="B1226" s="3" t="s">
        <v>5208</v>
      </c>
      <c r="C1226" s="1" t="s">
        <v>4713</v>
      </c>
      <c r="D1226" s="5">
        <f t="shared" si="19"/>
        <v>43</v>
      </c>
      <c r="E1226" s="2" t="s">
        <v>19</v>
      </c>
      <c r="F1226" s="2"/>
      <c r="G1226" s="3"/>
      <c r="H1226" s="1"/>
      <c r="I1226" s="1"/>
      <c r="J1226" s="4" t="s">
        <v>16117</v>
      </c>
      <c r="K1226" s="1"/>
      <c r="L1226" s="1" t="s">
        <v>6</v>
      </c>
      <c r="M1226" s="825"/>
      <c r="N1226" s="17"/>
      <c r="O1226" s="3" t="s">
        <v>4714</v>
      </c>
      <c r="P1226" s="21">
        <v>25408</v>
      </c>
      <c r="Q1226" s="3" t="s">
        <v>260</v>
      </c>
      <c r="R1226" s="3"/>
      <c r="S1226" s="3"/>
      <c r="T1226" s="3"/>
      <c r="U1226" s="2"/>
      <c r="V1226" s="2"/>
      <c r="W1226" s="2"/>
      <c r="X1226" s="2"/>
      <c r="Y1226" s="2"/>
      <c r="Z1226" s="2"/>
      <c r="AA1226" s="2"/>
      <c r="AB1226" s="2"/>
      <c r="AC1226" s="2"/>
      <c r="AD1226" s="2"/>
    </row>
    <row r="1227" spans="1:30" ht="12" customHeight="1">
      <c r="A1227" s="828" t="s">
        <v>17921</v>
      </c>
      <c r="B1227" s="3" t="s">
        <v>4715</v>
      </c>
      <c r="C1227" s="1" t="s">
        <v>4720</v>
      </c>
      <c r="D1227" s="5">
        <f t="shared" si="19"/>
        <v>70</v>
      </c>
      <c r="E1227" s="2" t="s">
        <v>5</v>
      </c>
      <c r="F1227" s="2" t="s">
        <v>15273</v>
      </c>
      <c r="G1227" s="3" t="s">
        <v>4721</v>
      </c>
      <c r="H1227" s="1"/>
      <c r="I1227" s="1"/>
      <c r="J1227" s="4" t="s">
        <v>16116</v>
      </c>
      <c r="K1227" s="1" t="s">
        <v>4993</v>
      </c>
      <c r="L1227" s="1" t="s">
        <v>25</v>
      </c>
      <c r="M1227" s="825">
        <v>8</v>
      </c>
      <c r="N1227" s="17">
        <v>8</v>
      </c>
      <c r="O1227" s="3" t="s">
        <v>172</v>
      </c>
      <c r="P1227" s="20">
        <v>15391</v>
      </c>
      <c r="Q1227" s="3" t="s">
        <v>4723</v>
      </c>
      <c r="R1227" s="3" t="s">
        <v>5547</v>
      </c>
      <c r="S1227" s="3"/>
      <c r="T1227" s="3" t="s">
        <v>104</v>
      </c>
      <c r="U1227" s="2"/>
      <c r="V1227" s="2"/>
      <c r="W1227" s="2"/>
      <c r="X1227" s="2"/>
      <c r="Y1227" s="2"/>
      <c r="Z1227" s="2"/>
      <c r="AA1227" s="2" t="s">
        <v>104</v>
      </c>
      <c r="AB1227" s="2"/>
      <c r="AC1227" s="2"/>
      <c r="AD1227" s="2"/>
    </row>
    <row r="1228" spans="1:30" ht="12" customHeight="1">
      <c r="A1228" s="828" t="s">
        <v>17922</v>
      </c>
      <c r="B1228" s="3" t="s">
        <v>4716</v>
      </c>
      <c r="C1228" s="1" t="s">
        <v>4718</v>
      </c>
      <c r="D1228" s="5">
        <f t="shared" si="19"/>
        <v>61</v>
      </c>
      <c r="E1228" s="2" t="s">
        <v>19</v>
      </c>
      <c r="F1228" s="2"/>
      <c r="G1228" s="3"/>
      <c r="H1228" s="1"/>
      <c r="I1228" s="1"/>
      <c r="J1228" s="4" t="s">
        <v>16117</v>
      </c>
      <c r="K1228" s="1"/>
      <c r="L1228" s="1" t="s">
        <v>6</v>
      </c>
      <c r="M1228" s="825"/>
      <c r="N1228" s="17"/>
      <c r="O1228" s="3" t="s">
        <v>16070</v>
      </c>
      <c r="P1228" s="21">
        <v>18697</v>
      </c>
      <c r="Q1228" s="3" t="s">
        <v>4719</v>
      </c>
      <c r="R1228" s="3"/>
      <c r="S1228" s="3"/>
      <c r="T1228" s="3"/>
      <c r="U1228" s="2"/>
      <c r="V1228" s="2"/>
      <c r="W1228" s="2"/>
      <c r="X1228" s="2"/>
      <c r="Y1228" s="2"/>
      <c r="Z1228" s="2"/>
      <c r="AA1228" s="2"/>
      <c r="AB1228" s="2"/>
      <c r="AC1228" s="2"/>
      <c r="AD1228" s="2"/>
    </row>
    <row r="1229" spans="1:30" ht="12" customHeight="1">
      <c r="A1229" s="828" t="s">
        <v>17923</v>
      </c>
      <c r="B1229" s="3" t="s">
        <v>4717</v>
      </c>
      <c r="C1229" s="1" t="s">
        <v>4724</v>
      </c>
      <c r="D1229" s="5">
        <f t="shared" si="19"/>
        <v>52</v>
      </c>
      <c r="E1229" s="2" t="s">
        <v>5</v>
      </c>
      <c r="F1229" s="2"/>
      <c r="G1229" s="3"/>
      <c r="H1229" s="1"/>
      <c r="I1229" s="1"/>
      <c r="J1229" s="4" t="s">
        <v>16129</v>
      </c>
      <c r="K1229" s="1"/>
      <c r="L1229" s="1" t="s">
        <v>14</v>
      </c>
      <c r="M1229" s="825">
        <v>2</v>
      </c>
      <c r="N1229" s="17">
        <v>2</v>
      </c>
      <c r="O1229" s="3" t="s">
        <v>450</v>
      </c>
      <c r="P1229" s="20">
        <v>22136</v>
      </c>
      <c r="Q1229" s="3" t="s">
        <v>4727</v>
      </c>
      <c r="R1229" s="3" t="s">
        <v>5059</v>
      </c>
      <c r="S1229" s="3"/>
      <c r="T1229" s="3" t="s">
        <v>75</v>
      </c>
      <c r="U1229" s="2"/>
      <c r="V1229" s="2"/>
      <c r="W1229" s="2" t="s">
        <v>75</v>
      </c>
      <c r="X1229" s="2"/>
      <c r="Y1229" s="2"/>
      <c r="Z1229" s="2"/>
      <c r="AA1229" s="2"/>
      <c r="AB1229" s="2"/>
      <c r="AC1229" s="2"/>
      <c r="AD1229" s="2"/>
    </row>
    <row r="1230" spans="1:30" ht="12" customHeight="1">
      <c r="A1230" s="828" t="s">
        <v>17924</v>
      </c>
      <c r="B1230" s="3" t="s">
        <v>4728</v>
      </c>
      <c r="C1230" s="1" t="s">
        <v>4731</v>
      </c>
      <c r="D1230" s="5">
        <f t="shared" si="19"/>
        <v>51</v>
      </c>
      <c r="E1230" s="2" t="s">
        <v>5</v>
      </c>
      <c r="F1230" s="2" t="s">
        <v>15273</v>
      </c>
      <c r="G1230" s="3" t="s">
        <v>4732</v>
      </c>
      <c r="H1230" s="1"/>
      <c r="I1230" s="1"/>
      <c r="J1230" s="4" t="s">
        <v>16120</v>
      </c>
      <c r="K1230" s="1" t="s">
        <v>934</v>
      </c>
      <c r="L1230" s="1" t="s">
        <v>25</v>
      </c>
      <c r="M1230" s="825">
        <v>4</v>
      </c>
      <c r="N1230" s="17">
        <v>4</v>
      </c>
      <c r="O1230" s="3" t="s">
        <v>188</v>
      </c>
      <c r="P1230" s="20">
        <v>22339</v>
      </c>
      <c r="Q1230" s="3" t="s">
        <v>4733</v>
      </c>
      <c r="R1230" s="3" t="s">
        <v>4734</v>
      </c>
      <c r="S1230" s="3" t="s">
        <v>5457</v>
      </c>
      <c r="T1230" s="3"/>
      <c r="U1230" s="2"/>
      <c r="V1230" s="2"/>
      <c r="W1230" s="2"/>
      <c r="X1230" s="2"/>
      <c r="Y1230" s="2"/>
      <c r="Z1230" s="2"/>
      <c r="AA1230" s="2"/>
      <c r="AB1230" s="2"/>
      <c r="AC1230" s="2"/>
      <c r="AD1230" s="2"/>
    </row>
    <row r="1231" spans="1:30" ht="12" customHeight="1">
      <c r="A1231" s="828" t="s">
        <v>17925</v>
      </c>
      <c r="B1231" s="3" t="s">
        <v>4729</v>
      </c>
      <c r="C1231" s="1" t="s">
        <v>4735</v>
      </c>
      <c r="D1231" s="5">
        <f t="shared" si="19"/>
        <v>57</v>
      </c>
      <c r="E1231" s="2" t="s">
        <v>5</v>
      </c>
      <c r="F1231" s="2"/>
      <c r="G1231" s="3"/>
      <c r="H1231" s="1"/>
      <c r="I1231" s="1"/>
      <c r="J1231" s="4" t="s">
        <v>16117</v>
      </c>
      <c r="K1231" s="1"/>
      <c r="L1231" s="1" t="s">
        <v>6</v>
      </c>
      <c r="M1231" s="825"/>
      <c r="N1231" s="17"/>
      <c r="O1231" s="3" t="s">
        <v>4736</v>
      </c>
      <c r="P1231" s="20">
        <v>20382</v>
      </c>
      <c r="Q1231" s="3" t="s">
        <v>4737</v>
      </c>
      <c r="R1231" s="3"/>
      <c r="S1231" s="3"/>
      <c r="T1231" s="3"/>
      <c r="U1231" s="2"/>
      <c r="V1231" s="2"/>
      <c r="W1231" s="2"/>
      <c r="X1231" s="2"/>
      <c r="Y1231" s="2"/>
      <c r="Z1231" s="2"/>
      <c r="AA1231" s="2"/>
      <c r="AB1231" s="2"/>
      <c r="AC1231" s="2"/>
      <c r="AD1231" s="2"/>
    </row>
    <row r="1232" spans="1:30" ht="12" customHeight="1">
      <c r="A1232" s="828" t="s">
        <v>17926</v>
      </c>
      <c r="B1232" s="3" t="s">
        <v>4730</v>
      </c>
      <c r="C1232" s="1" t="s">
        <v>4738</v>
      </c>
      <c r="D1232" s="5">
        <f t="shared" si="19"/>
        <v>69</v>
      </c>
      <c r="E1232" s="2" t="s">
        <v>5</v>
      </c>
      <c r="F1232" s="2" t="s">
        <v>15273</v>
      </c>
      <c r="G1232" s="3"/>
      <c r="H1232" s="1"/>
      <c r="I1232" s="1"/>
      <c r="J1232" s="8" t="s">
        <v>16121</v>
      </c>
      <c r="K1232" s="1"/>
      <c r="L1232" s="1" t="s">
        <v>25</v>
      </c>
      <c r="M1232" s="825">
        <v>1</v>
      </c>
      <c r="N1232" s="17">
        <v>1</v>
      </c>
      <c r="O1232" s="3" t="s">
        <v>4739</v>
      </c>
      <c r="P1232" s="20">
        <v>15879</v>
      </c>
      <c r="Q1232" s="3" t="s">
        <v>4742</v>
      </c>
      <c r="R1232" s="3"/>
      <c r="S1232" s="3"/>
      <c r="T1232" s="3" t="s">
        <v>1942</v>
      </c>
      <c r="U1232" s="2"/>
      <c r="V1232" s="2" t="s">
        <v>145</v>
      </c>
      <c r="W1232" s="2" t="s">
        <v>75</v>
      </c>
      <c r="X1232" s="2"/>
      <c r="Y1232" s="2"/>
      <c r="Z1232" s="2"/>
      <c r="AA1232" s="2"/>
      <c r="AB1232" s="2"/>
      <c r="AC1232" s="2"/>
      <c r="AD1232" s="2" t="s">
        <v>69</v>
      </c>
    </row>
    <row r="1233" spans="1:30" ht="12" customHeight="1">
      <c r="A1233" s="828" t="s">
        <v>17927</v>
      </c>
      <c r="B1233" s="3" t="s">
        <v>4743</v>
      </c>
      <c r="C1233" s="1" t="s">
        <v>4748</v>
      </c>
      <c r="D1233" s="5">
        <f t="shared" si="19"/>
        <v>54</v>
      </c>
      <c r="E1233" s="2" t="s">
        <v>5</v>
      </c>
      <c r="F1233" s="6" t="s">
        <v>15273</v>
      </c>
      <c r="G1233" s="3" t="s">
        <v>4749</v>
      </c>
      <c r="H1233" s="1"/>
      <c r="I1233" s="1"/>
      <c r="J1233" s="8" t="s">
        <v>16126</v>
      </c>
      <c r="K1233" s="1" t="s">
        <v>44</v>
      </c>
      <c r="L1233" s="1" t="s">
        <v>25</v>
      </c>
      <c r="M1233" s="825">
        <v>3</v>
      </c>
      <c r="N1233" s="17">
        <v>3</v>
      </c>
      <c r="O1233" s="3" t="s">
        <v>317</v>
      </c>
      <c r="P1233" s="20">
        <v>21260</v>
      </c>
      <c r="Q1233" s="3" t="s">
        <v>4750</v>
      </c>
      <c r="R1233" s="3" t="s">
        <v>4751</v>
      </c>
      <c r="S1233" s="3" t="s">
        <v>736</v>
      </c>
      <c r="T1233" s="3"/>
      <c r="U1233" s="2"/>
      <c r="V1233" s="2"/>
      <c r="W1233" s="2"/>
      <c r="X1233" s="2"/>
      <c r="Y1233" s="2"/>
      <c r="Z1233" s="2"/>
      <c r="AA1233" s="2"/>
      <c r="AB1233" s="2"/>
      <c r="AC1233" s="2"/>
      <c r="AD1233" s="2"/>
    </row>
    <row r="1234" spans="1:30" ht="12" customHeight="1">
      <c r="A1234" s="828" t="s">
        <v>17928</v>
      </c>
      <c r="B1234" s="3" t="s">
        <v>4744</v>
      </c>
      <c r="C1234" s="1" t="s">
        <v>4752</v>
      </c>
      <c r="D1234" s="5">
        <f t="shared" si="19"/>
        <v>43</v>
      </c>
      <c r="E1234" s="2" t="s">
        <v>5</v>
      </c>
      <c r="F1234" s="2" t="s">
        <v>15273</v>
      </c>
      <c r="G1234" s="3"/>
      <c r="H1234" s="1"/>
      <c r="I1234" s="1"/>
      <c r="J1234" s="8" t="s">
        <v>16120</v>
      </c>
      <c r="K1234" s="1" t="s">
        <v>48</v>
      </c>
      <c r="L1234" s="1" t="s">
        <v>6</v>
      </c>
      <c r="M1234" s="825"/>
      <c r="N1234" s="17"/>
      <c r="O1234" s="3" t="s">
        <v>4753</v>
      </c>
      <c r="P1234" s="20">
        <v>25408</v>
      </c>
      <c r="Q1234" s="3" t="s">
        <v>4754</v>
      </c>
      <c r="R1234" s="3"/>
      <c r="S1234" s="3" t="s">
        <v>5457</v>
      </c>
      <c r="T1234" s="3"/>
      <c r="U1234" s="2"/>
      <c r="V1234" s="2"/>
      <c r="W1234" s="2"/>
      <c r="X1234" s="2"/>
      <c r="Y1234" s="2"/>
      <c r="Z1234" s="2"/>
      <c r="AA1234" s="2"/>
      <c r="AB1234" s="2"/>
      <c r="AC1234" s="2"/>
      <c r="AD1234" s="2"/>
    </row>
    <row r="1235" spans="1:30" ht="12" customHeight="1">
      <c r="A1235" s="828" t="s">
        <v>17929</v>
      </c>
      <c r="B1235" s="3" t="s">
        <v>4745</v>
      </c>
      <c r="C1235" s="1" t="s">
        <v>5749</v>
      </c>
      <c r="D1235" s="5">
        <f t="shared" si="19"/>
        <v>45</v>
      </c>
      <c r="E1235" s="2" t="s">
        <v>5</v>
      </c>
      <c r="F1235" s="2" t="s">
        <v>15273</v>
      </c>
      <c r="G1235" s="3"/>
      <c r="H1235" s="1"/>
      <c r="I1235" s="1"/>
      <c r="J1235" s="4" t="s">
        <v>16125</v>
      </c>
      <c r="K1235" s="1"/>
      <c r="L1235" s="1" t="s">
        <v>6</v>
      </c>
      <c r="M1235" s="825"/>
      <c r="N1235" s="17"/>
      <c r="O1235" s="3" t="s">
        <v>452</v>
      </c>
      <c r="P1235" s="20">
        <v>24638</v>
      </c>
      <c r="Q1235" s="3" t="s">
        <v>5750</v>
      </c>
      <c r="R1235" s="3"/>
      <c r="S1235" s="3" t="s">
        <v>5561</v>
      </c>
      <c r="T1235" s="3"/>
      <c r="U1235" s="2"/>
      <c r="V1235" s="2"/>
      <c r="W1235" s="2"/>
      <c r="X1235" s="2"/>
      <c r="Y1235" s="2"/>
      <c r="Z1235" s="2"/>
      <c r="AA1235" s="2"/>
      <c r="AB1235" s="2"/>
      <c r="AC1235" s="2"/>
      <c r="AD1235" s="2"/>
    </row>
    <row r="1236" spans="1:30" ht="12" customHeight="1">
      <c r="A1236" s="828" t="s">
        <v>17930</v>
      </c>
      <c r="B1236" s="3" t="s">
        <v>5057</v>
      </c>
      <c r="C1236" s="1" t="s">
        <v>5058</v>
      </c>
      <c r="D1236" s="5">
        <f t="shared" si="19"/>
        <v>42</v>
      </c>
      <c r="E1236" s="2" t="s">
        <v>5</v>
      </c>
      <c r="F1236" s="2" t="s">
        <v>15273</v>
      </c>
      <c r="G1236" s="3"/>
      <c r="H1236" s="1"/>
      <c r="I1236" s="1"/>
      <c r="J1236" s="4" t="s">
        <v>16116</v>
      </c>
      <c r="K1236" s="1" t="s">
        <v>4997</v>
      </c>
      <c r="L1236" s="1" t="s">
        <v>6</v>
      </c>
      <c r="M1236" s="825"/>
      <c r="N1236" s="17"/>
      <c r="O1236" s="3" t="s">
        <v>31</v>
      </c>
      <c r="P1236" s="21">
        <v>25674</v>
      </c>
      <c r="Q1236" s="3" t="s">
        <v>16622</v>
      </c>
      <c r="R1236" s="3"/>
      <c r="S1236" s="3" t="s">
        <v>469</v>
      </c>
      <c r="T1236" s="3"/>
      <c r="U1236" s="2"/>
      <c r="V1236" s="2"/>
      <c r="W1236" s="2"/>
      <c r="X1236" s="2"/>
      <c r="Y1236" s="2"/>
      <c r="Z1236" s="2"/>
      <c r="AA1236" s="2"/>
      <c r="AB1236" s="2"/>
      <c r="AC1236" s="2"/>
      <c r="AD1236" s="2"/>
    </row>
    <row r="1237" spans="1:30" ht="12" customHeight="1">
      <c r="A1237" s="828" t="s">
        <v>17931</v>
      </c>
      <c r="B1237" s="3" t="s">
        <v>5748</v>
      </c>
      <c r="C1237" s="1" t="s">
        <v>4755</v>
      </c>
      <c r="D1237" s="5">
        <f t="shared" si="19"/>
        <v>61</v>
      </c>
      <c r="E1237" s="2" t="s">
        <v>5</v>
      </c>
      <c r="F1237" s="2"/>
      <c r="G1237" s="3"/>
      <c r="H1237" s="1"/>
      <c r="I1237" s="1"/>
      <c r="J1237" s="4" t="s">
        <v>16117</v>
      </c>
      <c r="K1237" s="1"/>
      <c r="L1237" s="1" t="s">
        <v>6</v>
      </c>
      <c r="M1237" s="825"/>
      <c r="N1237" s="17"/>
      <c r="O1237" s="3" t="s">
        <v>16071</v>
      </c>
      <c r="P1237" s="21">
        <v>18679</v>
      </c>
      <c r="Q1237" s="3" t="s">
        <v>4756</v>
      </c>
      <c r="R1237" s="3"/>
      <c r="S1237" s="3"/>
      <c r="T1237" s="3"/>
      <c r="U1237" s="2"/>
      <c r="V1237" s="2"/>
      <c r="W1237" s="2"/>
      <c r="X1237" s="2"/>
      <c r="Y1237" s="2"/>
      <c r="Z1237" s="2"/>
      <c r="AA1237" s="2"/>
      <c r="AB1237" s="2"/>
      <c r="AC1237" s="2"/>
      <c r="AD1237" s="2"/>
    </row>
    <row r="1238" spans="1:30" ht="12" customHeight="1">
      <c r="A1238" s="828" t="s">
        <v>17932</v>
      </c>
      <c r="B1238" s="3" t="s">
        <v>16072</v>
      </c>
      <c r="C1238" s="1" t="s">
        <v>16073</v>
      </c>
      <c r="D1238" s="5">
        <f t="shared" si="19"/>
        <v>48</v>
      </c>
      <c r="E1238" s="2" t="s">
        <v>5</v>
      </c>
      <c r="F1238" s="2"/>
      <c r="G1238" s="3"/>
      <c r="H1238" s="1"/>
      <c r="I1238" s="1"/>
      <c r="J1238" s="4" t="s">
        <v>16129</v>
      </c>
      <c r="K1238" s="1"/>
      <c r="L1238" s="1" t="s">
        <v>6</v>
      </c>
      <c r="M1238" s="825"/>
      <c r="N1238" s="17"/>
      <c r="O1238" s="3" t="s">
        <v>16074</v>
      </c>
      <c r="P1238" s="21">
        <v>23685</v>
      </c>
      <c r="Q1238" s="3" t="s">
        <v>1598</v>
      </c>
      <c r="R1238" s="3"/>
      <c r="S1238" s="3"/>
      <c r="T1238" s="3"/>
      <c r="U1238" s="2"/>
      <c r="V1238" s="2"/>
      <c r="W1238" s="2"/>
      <c r="X1238" s="2"/>
      <c r="Y1238" s="2"/>
      <c r="Z1238" s="2"/>
      <c r="AA1238" s="2"/>
      <c r="AB1238" s="2"/>
      <c r="AC1238" s="2"/>
      <c r="AD1238" s="2"/>
    </row>
    <row r="1239" spans="1:30" ht="12" customHeight="1">
      <c r="A1239" s="828" t="s">
        <v>17933</v>
      </c>
      <c r="B1239" s="3" t="s">
        <v>4757</v>
      </c>
      <c r="C1239" s="1" t="s">
        <v>4760</v>
      </c>
      <c r="D1239" s="5">
        <f t="shared" si="19"/>
        <v>71</v>
      </c>
      <c r="E1239" s="2" t="s">
        <v>5</v>
      </c>
      <c r="F1239" s="2" t="s">
        <v>15273</v>
      </c>
      <c r="G1239" s="3" t="s">
        <v>4761</v>
      </c>
      <c r="H1239" s="1"/>
      <c r="I1239" s="1"/>
      <c r="J1239" s="4" t="s">
        <v>16120</v>
      </c>
      <c r="K1239" s="1" t="s">
        <v>48</v>
      </c>
      <c r="L1239" s="1" t="s">
        <v>25</v>
      </c>
      <c r="M1239" s="825">
        <v>9</v>
      </c>
      <c r="N1239" s="17">
        <v>11</v>
      </c>
      <c r="O1239" s="3" t="s">
        <v>245</v>
      </c>
      <c r="P1239" s="20">
        <v>15095</v>
      </c>
      <c r="Q1239" s="3" t="s">
        <v>4762</v>
      </c>
      <c r="R1239" s="3" t="s">
        <v>4765</v>
      </c>
      <c r="S1239" s="3" t="s">
        <v>5457</v>
      </c>
      <c r="T1239" s="3" t="s">
        <v>4763</v>
      </c>
      <c r="U1239" s="2"/>
      <c r="V1239" s="2"/>
      <c r="W1239" s="2" t="s">
        <v>75</v>
      </c>
      <c r="X1239" s="2" t="s">
        <v>229</v>
      </c>
      <c r="Y1239" s="2"/>
      <c r="Z1239" s="2"/>
      <c r="AA1239" s="2"/>
      <c r="AB1239" s="2"/>
      <c r="AC1239" s="2"/>
      <c r="AD1239" s="2"/>
    </row>
    <row r="1240" spans="1:30" ht="12" customHeight="1">
      <c r="A1240" s="828" t="s">
        <v>17934</v>
      </c>
      <c r="B1240" s="3" t="s">
        <v>4758</v>
      </c>
      <c r="C1240" s="1" t="s">
        <v>5441</v>
      </c>
      <c r="D1240" s="5">
        <f t="shared" si="19"/>
        <v>43</v>
      </c>
      <c r="E1240" s="2" t="s">
        <v>5</v>
      </c>
      <c r="F1240" s="2" t="s">
        <v>15273</v>
      </c>
      <c r="G1240" s="3"/>
      <c r="H1240" s="1"/>
      <c r="I1240" s="1"/>
      <c r="J1240" s="4" t="s">
        <v>16116</v>
      </c>
      <c r="K1240" s="1" t="s">
        <v>4997</v>
      </c>
      <c r="L1240" s="1" t="s">
        <v>6</v>
      </c>
      <c r="M1240" s="825"/>
      <c r="N1240" s="17"/>
      <c r="O1240" s="3" t="s">
        <v>5442</v>
      </c>
      <c r="P1240" s="20">
        <v>25546</v>
      </c>
      <c r="Q1240" s="3" t="s">
        <v>5443</v>
      </c>
      <c r="R1240" s="3"/>
      <c r="S1240" s="3" t="s">
        <v>469</v>
      </c>
      <c r="T1240" s="3"/>
      <c r="U1240" s="2"/>
      <c r="V1240" s="2"/>
      <c r="W1240" s="2"/>
      <c r="X1240" s="2"/>
      <c r="Y1240" s="2"/>
      <c r="Z1240" s="2"/>
      <c r="AA1240" s="2"/>
      <c r="AB1240" s="2"/>
      <c r="AC1240" s="2"/>
      <c r="AD1240" s="2"/>
    </row>
    <row r="1241" spans="1:30" ht="12" customHeight="1">
      <c r="A1241" s="828" t="s">
        <v>17935</v>
      </c>
      <c r="B1241" s="3" t="s">
        <v>4759</v>
      </c>
      <c r="C1241" s="1" t="s">
        <v>5726</v>
      </c>
      <c r="D1241" s="5">
        <f t="shared" si="19"/>
        <v>35</v>
      </c>
      <c r="E1241" s="2" t="s">
        <v>5</v>
      </c>
      <c r="F1241" s="2"/>
      <c r="G1241" s="3"/>
      <c r="H1241" s="1"/>
      <c r="I1241" s="1"/>
      <c r="J1241" s="4" t="s">
        <v>16117</v>
      </c>
      <c r="K1241" s="1"/>
      <c r="L1241" s="1" t="s">
        <v>6</v>
      </c>
      <c r="M1241" s="825"/>
      <c r="N1241" s="17"/>
      <c r="O1241" s="3" t="s">
        <v>5727</v>
      </c>
      <c r="P1241" s="20">
        <v>28121</v>
      </c>
      <c r="Q1241" s="3" t="s">
        <v>5728</v>
      </c>
      <c r="R1241" s="3"/>
      <c r="S1241" s="3"/>
      <c r="T1241" s="3"/>
      <c r="U1241" s="2"/>
      <c r="V1241" s="2"/>
      <c r="W1241" s="2"/>
      <c r="X1241" s="2"/>
      <c r="Y1241" s="2"/>
      <c r="Z1241" s="2"/>
      <c r="AA1241" s="2"/>
      <c r="AB1241" s="2"/>
      <c r="AC1241" s="2"/>
      <c r="AD1241" s="2"/>
    </row>
    <row r="1242" spans="1:30" ht="12" customHeight="1">
      <c r="A1242" s="828" t="s">
        <v>17936</v>
      </c>
      <c r="B1242" s="3" t="s">
        <v>16076</v>
      </c>
      <c r="C1242" s="1" t="s">
        <v>5345</v>
      </c>
      <c r="D1242" s="5">
        <f t="shared" si="19"/>
        <v>46</v>
      </c>
      <c r="E1242" s="2" t="s">
        <v>5</v>
      </c>
      <c r="F1242" s="2" t="s">
        <v>15273</v>
      </c>
      <c r="G1242" s="3"/>
      <c r="H1242" s="1"/>
      <c r="I1242" s="1"/>
      <c r="J1242" s="4" t="s">
        <v>16121</v>
      </c>
      <c r="K1242" s="1"/>
      <c r="L1242" s="1" t="s">
        <v>6</v>
      </c>
      <c r="M1242" s="825"/>
      <c r="N1242" s="17"/>
      <c r="O1242" s="3" t="s">
        <v>3552</v>
      </c>
      <c r="P1242" s="20">
        <v>24378</v>
      </c>
      <c r="Q1242" s="3" t="s">
        <v>5346</v>
      </c>
      <c r="R1242" s="3"/>
      <c r="S1242" s="3"/>
      <c r="T1242" s="3"/>
      <c r="U1242" s="2"/>
      <c r="V1242" s="2"/>
      <c r="W1242" s="2"/>
      <c r="X1242" s="2"/>
      <c r="Y1242" s="2"/>
      <c r="Z1242" s="2"/>
      <c r="AA1242" s="2"/>
      <c r="AB1242" s="2"/>
      <c r="AC1242" s="2"/>
      <c r="AD1242" s="2"/>
    </row>
    <row r="1243" spans="1:30" ht="12" customHeight="1">
      <c r="A1243" s="828" t="s">
        <v>17937</v>
      </c>
      <c r="B1243" s="3" t="s">
        <v>4766</v>
      </c>
      <c r="C1243" s="1" t="s">
        <v>4770</v>
      </c>
      <c r="D1243" s="5">
        <f t="shared" si="19"/>
        <v>69</v>
      </c>
      <c r="E1243" s="2" t="s">
        <v>5</v>
      </c>
      <c r="F1243" s="6" t="s">
        <v>15273</v>
      </c>
      <c r="G1243" s="3" t="s">
        <v>4771</v>
      </c>
      <c r="H1243" s="1"/>
      <c r="I1243" s="1"/>
      <c r="J1243" s="8" t="s">
        <v>16127</v>
      </c>
      <c r="K1243" s="1" t="s">
        <v>45</v>
      </c>
      <c r="L1243" s="1" t="s">
        <v>25</v>
      </c>
      <c r="M1243" s="825">
        <v>6</v>
      </c>
      <c r="N1243" s="17">
        <v>6</v>
      </c>
      <c r="O1243" s="3" t="s">
        <v>4772</v>
      </c>
      <c r="P1243" s="20">
        <v>16014</v>
      </c>
      <c r="Q1243" s="3" t="s">
        <v>4773</v>
      </c>
      <c r="R1243" s="3" t="s">
        <v>4775</v>
      </c>
      <c r="S1243" s="3" t="s">
        <v>736</v>
      </c>
      <c r="T1243" s="3" t="s">
        <v>85</v>
      </c>
      <c r="U1243" s="2"/>
      <c r="V1243" s="2"/>
      <c r="W1243" s="2"/>
      <c r="X1243" s="2"/>
      <c r="Y1243" s="2"/>
      <c r="Z1243" s="2" t="s">
        <v>85</v>
      </c>
      <c r="AA1243" s="2"/>
      <c r="AB1243" s="2"/>
      <c r="AC1243" s="2"/>
      <c r="AD1243" s="2"/>
    </row>
    <row r="1244" spans="1:30" ht="12" customHeight="1">
      <c r="A1244" s="828" t="s">
        <v>17938</v>
      </c>
      <c r="B1244" s="3" t="s">
        <v>4767</v>
      </c>
      <c r="C1244" s="1" t="s">
        <v>4776</v>
      </c>
      <c r="D1244" s="5">
        <f t="shared" si="19"/>
        <v>55</v>
      </c>
      <c r="E1244" s="2" t="s">
        <v>5</v>
      </c>
      <c r="F1244" s="2" t="s">
        <v>15273</v>
      </c>
      <c r="G1244" s="3" t="s">
        <v>4777</v>
      </c>
      <c r="H1244" s="1"/>
      <c r="I1244" s="1"/>
      <c r="J1244" s="4" t="s">
        <v>16120</v>
      </c>
      <c r="K1244" s="1" t="s">
        <v>445</v>
      </c>
      <c r="L1244" s="1" t="s">
        <v>25</v>
      </c>
      <c r="M1244" s="825">
        <v>5</v>
      </c>
      <c r="N1244" s="17">
        <v>5</v>
      </c>
      <c r="O1244" s="3" t="s">
        <v>188</v>
      </c>
      <c r="P1244" s="20">
        <v>21056</v>
      </c>
      <c r="Q1244" s="3" t="s">
        <v>4778</v>
      </c>
      <c r="R1244" s="3" t="s">
        <v>4779</v>
      </c>
      <c r="S1244" s="3" t="s">
        <v>5457</v>
      </c>
      <c r="T1244" s="3" t="s">
        <v>145</v>
      </c>
      <c r="U1244" s="2"/>
      <c r="V1244" s="2" t="s">
        <v>145</v>
      </c>
      <c r="W1244" s="2"/>
      <c r="X1244" s="2"/>
      <c r="Y1244" s="2"/>
      <c r="Z1244" s="2"/>
      <c r="AA1244" s="2"/>
      <c r="AB1244" s="2"/>
      <c r="AC1244" s="2"/>
      <c r="AD1244" s="2"/>
    </row>
    <row r="1245" spans="1:30" ht="12" customHeight="1">
      <c r="A1245" s="828" t="s">
        <v>17939</v>
      </c>
      <c r="B1245" s="3" t="s">
        <v>4768</v>
      </c>
      <c r="C1245" s="1" t="s">
        <v>4782</v>
      </c>
      <c r="D1245" s="5">
        <f t="shared" si="19"/>
        <v>36</v>
      </c>
      <c r="E1245" s="2" t="s">
        <v>5</v>
      </c>
      <c r="F1245" s="2" t="s">
        <v>15273</v>
      </c>
      <c r="G1245" s="3"/>
      <c r="H1245" s="1"/>
      <c r="I1245" s="1"/>
      <c r="J1245" s="4" t="s">
        <v>16128</v>
      </c>
      <c r="K1245" s="1"/>
      <c r="L1245" s="1" t="s">
        <v>6</v>
      </c>
      <c r="M1245" s="825"/>
      <c r="N1245" s="17"/>
      <c r="O1245" s="3" t="s">
        <v>452</v>
      </c>
      <c r="P1245" s="20">
        <v>27924</v>
      </c>
      <c r="Q1245" s="3" t="s">
        <v>16678</v>
      </c>
      <c r="R1245" s="3"/>
      <c r="S1245" s="3" t="s">
        <v>6031</v>
      </c>
      <c r="T1245" s="3" t="s">
        <v>146</v>
      </c>
      <c r="U1245" s="2"/>
      <c r="V1245" s="2"/>
      <c r="W1245" s="2"/>
      <c r="X1245" s="2"/>
      <c r="Y1245" s="2"/>
      <c r="Z1245" s="2"/>
      <c r="AA1245" s="2"/>
      <c r="AB1245" s="2"/>
      <c r="AC1245" s="2" t="s">
        <v>146</v>
      </c>
      <c r="AD1245" s="2"/>
    </row>
    <row r="1246" spans="1:30" ht="12" customHeight="1">
      <c r="A1246" s="828" t="s">
        <v>17940</v>
      </c>
      <c r="B1246" s="3" t="s">
        <v>4769</v>
      </c>
      <c r="C1246" s="1" t="s">
        <v>4780</v>
      </c>
      <c r="D1246" s="5">
        <f t="shared" si="19"/>
        <v>57</v>
      </c>
      <c r="E1246" s="2" t="s">
        <v>5</v>
      </c>
      <c r="F1246" s="2"/>
      <c r="G1246" s="3"/>
      <c r="H1246" s="1"/>
      <c r="I1246" s="1"/>
      <c r="J1246" s="4" t="s">
        <v>16117</v>
      </c>
      <c r="K1246" s="1"/>
      <c r="L1246" s="1" t="s">
        <v>6</v>
      </c>
      <c r="M1246" s="825"/>
      <c r="N1246" s="17"/>
      <c r="O1246" s="3" t="s">
        <v>16077</v>
      </c>
      <c r="P1246" s="21">
        <v>20385</v>
      </c>
      <c r="Q1246" s="3" t="s">
        <v>4781</v>
      </c>
      <c r="R1246" s="3"/>
      <c r="S1246" s="3"/>
      <c r="T1246" s="3" t="s">
        <v>145</v>
      </c>
      <c r="U1246" s="2"/>
      <c r="V1246" s="2" t="s">
        <v>145</v>
      </c>
      <c r="W1246" s="2"/>
      <c r="X1246" s="2"/>
      <c r="Y1246" s="2"/>
      <c r="Z1246" s="2"/>
      <c r="AA1246" s="2"/>
      <c r="AB1246" s="2"/>
      <c r="AC1246" s="2"/>
      <c r="AD1246" s="2"/>
    </row>
    <row r="1247" spans="1:30" ht="12" customHeight="1">
      <c r="A1247" s="828" t="s">
        <v>17941</v>
      </c>
      <c r="B1247" s="3" t="s">
        <v>4784</v>
      </c>
      <c r="C1247" s="1" t="s">
        <v>4788</v>
      </c>
      <c r="D1247" s="5">
        <f t="shared" si="19"/>
        <v>63</v>
      </c>
      <c r="E1247" s="2" t="s">
        <v>5</v>
      </c>
      <c r="F1247" s="6" t="s">
        <v>15273</v>
      </c>
      <c r="G1247" s="3" t="s">
        <v>4789</v>
      </c>
      <c r="H1247" s="1"/>
      <c r="I1247" s="1"/>
      <c r="J1247" s="8" t="s">
        <v>16127</v>
      </c>
      <c r="K1247" s="1" t="s">
        <v>44</v>
      </c>
      <c r="L1247" s="1" t="s">
        <v>25</v>
      </c>
      <c r="M1247" s="825">
        <v>1</v>
      </c>
      <c r="N1247" s="17">
        <v>1</v>
      </c>
      <c r="O1247" s="3" t="s">
        <v>317</v>
      </c>
      <c r="P1247" s="20">
        <v>17937</v>
      </c>
      <c r="Q1247" s="3" t="s">
        <v>4790</v>
      </c>
      <c r="R1247" s="3" t="s">
        <v>836</v>
      </c>
      <c r="S1247" s="3" t="s">
        <v>736</v>
      </c>
      <c r="T1247" s="3" t="s">
        <v>47</v>
      </c>
      <c r="U1247" s="2" t="s">
        <v>47</v>
      </c>
      <c r="V1247" s="2"/>
      <c r="W1247" s="2"/>
      <c r="X1247" s="2"/>
      <c r="Y1247" s="2"/>
      <c r="Z1247" s="2"/>
      <c r="AA1247" s="2"/>
      <c r="AB1247" s="2"/>
      <c r="AC1247" s="2"/>
      <c r="AD1247" s="2"/>
    </row>
    <row r="1248" spans="1:30" ht="12" customHeight="1">
      <c r="A1248" s="828" t="s">
        <v>17942</v>
      </c>
      <c r="B1248" s="3" t="s">
        <v>4785</v>
      </c>
      <c r="C1248" s="1" t="s">
        <v>4792</v>
      </c>
      <c r="D1248" s="5">
        <f t="shared" si="19"/>
        <v>37</v>
      </c>
      <c r="E1248" s="2" t="s">
        <v>5</v>
      </c>
      <c r="F1248" s="2" t="s">
        <v>15273</v>
      </c>
      <c r="G1248" s="3"/>
      <c r="H1248" s="1"/>
      <c r="I1248" s="1"/>
      <c r="J1248" s="8" t="s">
        <v>16120</v>
      </c>
      <c r="K1248" s="1" t="s">
        <v>30</v>
      </c>
      <c r="L1248" s="1" t="s">
        <v>6</v>
      </c>
      <c r="M1248" s="825"/>
      <c r="N1248" s="17"/>
      <c r="O1248" s="3" t="s">
        <v>245</v>
      </c>
      <c r="P1248" s="20">
        <v>27482</v>
      </c>
      <c r="Q1248" s="3" t="s">
        <v>4793</v>
      </c>
      <c r="R1248" s="3"/>
      <c r="S1248" s="3"/>
      <c r="T1248" s="3" t="s">
        <v>145</v>
      </c>
      <c r="U1248" s="2"/>
      <c r="V1248" s="2" t="s">
        <v>145</v>
      </c>
      <c r="W1248" s="2"/>
      <c r="X1248" s="2"/>
      <c r="Y1248" s="2"/>
      <c r="Z1248" s="2"/>
      <c r="AA1248" s="2"/>
      <c r="AB1248" s="2"/>
      <c r="AC1248" s="2"/>
      <c r="AD1248" s="2"/>
    </row>
    <row r="1249" spans="1:30" ht="12" customHeight="1">
      <c r="A1249" s="828" t="s">
        <v>17943</v>
      </c>
      <c r="B1249" s="3" t="s">
        <v>4786</v>
      </c>
      <c r="C1249" s="1" t="s">
        <v>4800</v>
      </c>
      <c r="D1249" s="5">
        <f t="shared" si="19"/>
        <v>36</v>
      </c>
      <c r="E1249" s="2" t="s">
        <v>5</v>
      </c>
      <c r="F1249" s="2" t="s">
        <v>15273</v>
      </c>
      <c r="G1249" s="3" t="s">
        <v>4801</v>
      </c>
      <c r="H1249" s="1" t="s">
        <v>373</v>
      </c>
      <c r="I1249" s="1"/>
      <c r="J1249" s="4" t="s">
        <v>16125</v>
      </c>
      <c r="K1249" s="1"/>
      <c r="L1249" s="1" t="s">
        <v>6</v>
      </c>
      <c r="M1249" s="825"/>
      <c r="N1249" s="17">
        <v>2</v>
      </c>
      <c r="O1249" s="3" t="s">
        <v>4803</v>
      </c>
      <c r="P1249" s="20">
        <v>27873</v>
      </c>
      <c r="Q1249" s="3" t="s">
        <v>4804</v>
      </c>
      <c r="R1249" s="3"/>
      <c r="S1249" s="3" t="s">
        <v>5561</v>
      </c>
      <c r="T1249" s="3"/>
      <c r="U1249" s="2"/>
      <c r="V1249" s="2"/>
      <c r="W1249" s="2"/>
      <c r="X1249" s="2"/>
      <c r="Y1249" s="2"/>
      <c r="Z1249" s="2"/>
      <c r="AA1249" s="2"/>
      <c r="AB1249" s="2"/>
      <c r="AC1249" s="2"/>
      <c r="AD1249" s="2"/>
    </row>
    <row r="1250" spans="1:30" ht="12" customHeight="1">
      <c r="A1250" s="828" t="s">
        <v>17944</v>
      </c>
      <c r="B1250" s="3" t="s">
        <v>4787</v>
      </c>
      <c r="C1250" s="1" t="s">
        <v>4797</v>
      </c>
      <c r="D1250" s="5">
        <f t="shared" si="19"/>
        <v>69</v>
      </c>
      <c r="E1250" s="2" t="s">
        <v>5</v>
      </c>
      <c r="F1250" s="2" t="s">
        <v>15273</v>
      </c>
      <c r="G1250" s="3"/>
      <c r="H1250" s="1"/>
      <c r="I1250" s="1"/>
      <c r="J1250" s="4" t="s">
        <v>16116</v>
      </c>
      <c r="K1250" s="1" t="s">
        <v>4993</v>
      </c>
      <c r="L1250" s="1" t="s">
        <v>14</v>
      </c>
      <c r="M1250" s="825">
        <v>6</v>
      </c>
      <c r="N1250" s="17">
        <v>6</v>
      </c>
      <c r="O1250" s="3" t="s">
        <v>317</v>
      </c>
      <c r="P1250" s="20">
        <v>15864</v>
      </c>
      <c r="Q1250" s="3" t="s">
        <v>3162</v>
      </c>
      <c r="R1250" s="3" t="s">
        <v>4798</v>
      </c>
      <c r="S1250" s="3"/>
      <c r="T1250" s="3" t="s">
        <v>47</v>
      </c>
      <c r="U1250" s="2" t="s">
        <v>47</v>
      </c>
      <c r="V1250" s="2"/>
      <c r="W1250" s="2"/>
      <c r="X1250" s="2"/>
      <c r="Y1250" s="2"/>
      <c r="Z1250" s="2"/>
      <c r="AA1250" s="2"/>
      <c r="AB1250" s="2"/>
      <c r="AC1250" s="2"/>
      <c r="AD1250" s="2"/>
    </row>
    <row r="1251" spans="1:30" ht="12" customHeight="1">
      <c r="A1251" s="828" t="s">
        <v>17945</v>
      </c>
      <c r="B1251" s="3" t="s">
        <v>4799</v>
      </c>
      <c r="C1251" s="1" t="s">
        <v>4794</v>
      </c>
      <c r="D1251" s="5">
        <f t="shared" si="19"/>
        <v>51</v>
      </c>
      <c r="E1251" s="2" t="s">
        <v>5</v>
      </c>
      <c r="F1251" s="2"/>
      <c r="G1251" s="3"/>
      <c r="H1251" s="1"/>
      <c r="I1251" s="1"/>
      <c r="J1251" s="4" t="s">
        <v>16117</v>
      </c>
      <c r="K1251" s="1"/>
      <c r="L1251" s="1" t="s">
        <v>6</v>
      </c>
      <c r="M1251" s="825"/>
      <c r="N1251" s="17"/>
      <c r="O1251" s="3" t="s">
        <v>4795</v>
      </c>
      <c r="P1251" s="20">
        <v>22499</v>
      </c>
      <c r="Q1251" s="3" t="s">
        <v>4796</v>
      </c>
      <c r="R1251" s="3"/>
      <c r="S1251" s="3"/>
      <c r="T1251" s="3"/>
      <c r="U1251" s="2"/>
      <c r="V1251" s="2"/>
      <c r="W1251" s="2"/>
      <c r="X1251" s="2"/>
      <c r="Y1251" s="2"/>
      <c r="Z1251" s="2"/>
      <c r="AA1251" s="2"/>
      <c r="AB1251" s="2"/>
      <c r="AC1251" s="2"/>
      <c r="AD1251" s="2"/>
    </row>
    <row r="1252" spans="1:30" ht="12" customHeight="1">
      <c r="A1252" s="828" t="s">
        <v>17946</v>
      </c>
      <c r="B1252" s="3" t="s">
        <v>5705</v>
      </c>
      <c r="C1252" s="1" t="s">
        <v>5706</v>
      </c>
      <c r="D1252" s="5">
        <f t="shared" si="19"/>
        <v>56</v>
      </c>
      <c r="E1252" s="2" t="s">
        <v>5</v>
      </c>
      <c r="F1252" s="2" t="s">
        <v>15273</v>
      </c>
      <c r="G1252" s="3"/>
      <c r="H1252" s="1"/>
      <c r="I1252" s="1"/>
      <c r="J1252" s="4" t="s">
        <v>16121</v>
      </c>
      <c r="K1252" s="1"/>
      <c r="L1252" s="1" t="s">
        <v>6</v>
      </c>
      <c r="M1252" s="825"/>
      <c r="N1252" s="17"/>
      <c r="O1252" s="3" t="s">
        <v>5707</v>
      </c>
      <c r="P1252" s="20">
        <v>20799</v>
      </c>
      <c r="Q1252" s="3" t="s">
        <v>5708</v>
      </c>
      <c r="R1252" s="3"/>
      <c r="S1252" s="3"/>
      <c r="T1252" s="3" t="s">
        <v>69</v>
      </c>
      <c r="U1252" s="2"/>
      <c r="V1252" s="2"/>
      <c r="W1252" s="2"/>
      <c r="X1252" s="2"/>
      <c r="Y1252" s="2"/>
      <c r="Z1252" s="2"/>
      <c r="AA1252" s="2"/>
      <c r="AB1252" s="2"/>
      <c r="AC1252" s="2"/>
      <c r="AD1252" s="2" t="s">
        <v>69</v>
      </c>
    </row>
    <row r="1253" spans="1:30" ht="12" customHeight="1">
      <c r="A1253" s="828" t="s">
        <v>17947</v>
      </c>
      <c r="B1253" s="3" t="s">
        <v>4805</v>
      </c>
      <c r="C1253" s="1" t="s">
        <v>4808</v>
      </c>
      <c r="D1253" s="5">
        <f t="shared" si="19"/>
        <v>59</v>
      </c>
      <c r="E1253" s="2" t="s">
        <v>5</v>
      </c>
      <c r="F1253" s="6" t="s">
        <v>15273</v>
      </c>
      <c r="G1253" s="3" t="s">
        <v>4809</v>
      </c>
      <c r="H1253" s="1"/>
      <c r="I1253" s="1"/>
      <c r="J1253" s="8" t="s">
        <v>16126</v>
      </c>
      <c r="K1253" s="1" t="s">
        <v>44</v>
      </c>
      <c r="L1253" s="1" t="s">
        <v>25</v>
      </c>
      <c r="M1253" s="825">
        <v>1</v>
      </c>
      <c r="N1253" s="17">
        <v>1</v>
      </c>
      <c r="O1253" s="3" t="s">
        <v>302</v>
      </c>
      <c r="P1253" s="20">
        <v>19450</v>
      </c>
      <c r="Q1253" s="3" t="s">
        <v>4810</v>
      </c>
      <c r="R1253" s="3"/>
      <c r="S1253" s="3"/>
      <c r="T1253" s="3"/>
      <c r="U1253" s="2"/>
      <c r="V1253" s="2"/>
      <c r="W1253" s="2"/>
      <c r="X1253" s="2"/>
      <c r="Y1253" s="2"/>
      <c r="Z1253" s="2"/>
      <c r="AA1253" s="2"/>
      <c r="AB1253" s="2"/>
      <c r="AC1253" s="2"/>
      <c r="AD1253" s="2"/>
    </row>
    <row r="1254" spans="1:30" ht="12" customHeight="1">
      <c r="A1254" s="828" t="s">
        <v>17948</v>
      </c>
      <c r="B1254" s="3" t="s">
        <v>4806</v>
      </c>
      <c r="C1254" s="1" t="s">
        <v>4811</v>
      </c>
      <c r="D1254" s="5">
        <f t="shared" si="19"/>
        <v>52</v>
      </c>
      <c r="E1254" s="2" t="s">
        <v>5</v>
      </c>
      <c r="F1254" s="2" t="s">
        <v>15273</v>
      </c>
      <c r="G1254" s="3" t="s">
        <v>4812</v>
      </c>
      <c r="H1254" s="1"/>
      <c r="I1254" s="1"/>
      <c r="J1254" s="4" t="s">
        <v>16120</v>
      </c>
      <c r="K1254" s="1" t="s">
        <v>30</v>
      </c>
      <c r="L1254" s="1" t="s">
        <v>25</v>
      </c>
      <c r="M1254" s="825">
        <v>3</v>
      </c>
      <c r="N1254" s="17">
        <v>3</v>
      </c>
      <c r="O1254" s="3" t="s">
        <v>1742</v>
      </c>
      <c r="P1254" s="20">
        <v>22098</v>
      </c>
      <c r="Q1254" s="3" t="s">
        <v>4813</v>
      </c>
      <c r="R1254" s="3" t="s">
        <v>347</v>
      </c>
      <c r="S1254" s="3" t="s">
        <v>5457</v>
      </c>
      <c r="T1254" s="3" t="s">
        <v>104</v>
      </c>
      <c r="U1254" s="2"/>
      <c r="V1254" s="2"/>
      <c r="W1254" s="2"/>
      <c r="X1254" s="2"/>
      <c r="Y1254" s="2"/>
      <c r="Z1254" s="2"/>
      <c r="AA1254" s="2" t="s">
        <v>104</v>
      </c>
      <c r="AB1254" s="2"/>
      <c r="AC1254" s="2"/>
      <c r="AD1254" s="2"/>
    </row>
    <row r="1255" spans="1:30" ht="12" customHeight="1">
      <c r="A1255" s="828" t="s">
        <v>17949</v>
      </c>
      <c r="B1255" s="3" t="s">
        <v>4807</v>
      </c>
      <c r="C1255" s="1" t="s">
        <v>5753</v>
      </c>
      <c r="D1255" s="5">
        <f t="shared" si="19"/>
        <v>57</v>
      </c>
      <c r="E1255" s="2" t="s">
        <v>5</v>
      </c>
      <c r="F1255" s="2"/>
      <c r="G1255" s="3"/>
      <c r="H1255" s="1"/>
      <c r="I1255" s="1"/>
      <c r="J1255" s="4" t="s">
        <v>16117</v>
      </c>
      <c r="K1255" s="1"/>
      <c r="L1255" s="1" t="s">
        <v>6</v>
      </c>
      <c r="M1255" s="825"/>
      <c r="N1255" s="17"/>
      <c r="O1255" s="3" t="s">
        <v>16078</v>
      </c>
      <c r="P1255" s="20">
        <v>20190</v>
      </c>
      <c r="Q1255" s="3" t="s">
        <v>5754</v>
      </c>
      <c r="R1255" s="3"/>
      <c r="S1255" s="3"/>
      <c r="T1255" s="3" t="s">
        <v>145</v>
      </c>
      <c r="U1255" s="2"/>
      <c r="V1255" s="2" t="s">
        <v>145</v>
      </c>
      <c r="W1255" s="2"/>
      <c r="X1255" s="2"/>
      <c r="Y1255" s="2"/>
      <c r="Z1255" s="2"/>
      <c r="AA1255" s="2"/>
      <c r="AB1255" s="2"/>
      <c r="AC1255" s="2"/>
      <c r="AD1255" s="2"/>
    </row>
    <row r="1256" spans="1:30" ht="12" customHeight="1">
      <c r="A1256" s="828" t="s">
        <v>17950</v>
      </c>
      <c r="B1256" s="3" t="s">
        <v>4814</v>
      </c>
      <c r="C1256" s="1" t="s">
        <v>4816</v>
      </c>
      <c r="D1256" s="5">
        <f t="shared" si="19"/>
        <v>47</v>
      </c>
      <c r="E1256" s="2" t="s">
        <v>5</v>
      </c>
      <c r="F1256" s="2" t="s">
        <v>15273</v>
      </c>
      <c r="G1256" s="3" t="s">
        <v>4817</v>
      </c>
      <c r="H1256" s="1"/>
      <c r="I1256" s="1"/>
      <c r="J1256" s="4" t="s">
        <v>16120</v>
      </c>
      <c r="K1256" s="1" t="s">
        <v>30</v>
      </c>
      <c r="L1256" s="1" t="s">
        <v>25</v>
      </c>
      <c r="M1256" s="825">
        <v>3</v>
      </c>
      <c r="N1256" s="17">
        <v>3</v>
      </c>
      <c r="O1256" s="3" t="s">
        <v>317</v>
      </c>
      <c r="P1256" s="20">
        <v>23957</v>
      </c>
      <c r="Q1256" s="3" t="s">
        <v>4818</v>
      </c>
      <c r="R1256" s="3" t="s">
        <v>4819</v>
      </c>
      <c r="S1256" s="3" t="s">
        <v>5457</v>
      </c>
      <c r="T1256" s="3" t="s">
        <v>47</v>
      </c>
      <c r="U1256" s="2" t="s">
        <v>47</v>
      </c>
      <c r="V1256" s="2"/>
      <c r="W1256" s="2"/>
      <c r="X1256" s="2"/>
      <c r="Y1256" s="2"/>
      <c r="Z1256" s="2"/>
      <c r="AA1256" s="2"/>
      <c r="AB1256" s="2"/>
      <c r="AC1256" s="2"/>
      <c r="AD1256" s="2"/>
    </row>
    <row r="1257" spans="1:30" ht="12" customHeight="1">
      <c r="A1257" s="828" t="s">
        <v>17951</v>
      </c>
      <c r="B1257" s="3" t="s">
        <v>4815</v>
      </c>
      <c r="C1257" s="1" t="s">
        <v>4820</v>
      </c>
      <c r="D1257" s="5">
        <f t="shared" si="19"/>
        <v>67</v>
      </c>
      <c r="E1257" s="2" t="s">
        <v>5</v>
      </c>
      <c r="F1257" s="2"/>
      <c r="G1257" s="3"/>
      <c r="H1257" s="1"/>
      <c r="I1257" s="1"/>
      <c r="J1257" s="4" t="s">
        <v>16117</v>
      </c>
      <c r="K1257" s="1"/>
      <c r="L1257" s="1" t="s">
        <v>6</v>
      </c>
      <c r="M1257" s="825"/>
      <c r="N1257" s="17"/>
      <c r="O1257" s="3" t="s">
        <v>16111</v>
      </c>
      <c r="P1257" s="21">
        <v>16511</v>
      </c>
      <c r="Q1257" s="3" t="s">
        <v>4821</v>
      </c>
      <c r="R1257" s="3"/>
      <c r="S1257" s="3"/>
      <c r="T1257" s="3" t="s">
        <v>148</v>
      </c>
      <c r="U1257" s="2"/>
      <c r="V1257" s="2" t="s">
        <v>145</v>
      </c>
      <c r="W1257" s="2"/>
      <c r="X1257" s="2"/>
      <c r="Y1257" s="2"/>
      <c r="Z1257" s="2"/>
      <c r="AA1257" s="2"/>
      <c r="AB1257" s="2"/>
      <c r="AC1257" s="2"/>
      <c r="AD1257" s="2" t="s">
        <v>69</v>
      </c>
    </row>
    <row r="1258" spans="1:30" ht="12" customHeight="1">
      <c r="A1258" s="828" t="s">
        <v>17952</v>
      </c>
      <c r="B1258" s="3" t="s">
        <v>4822</v>
      </c>
      <c r="C1258" s="1" t="s">
        <v>4825</v>
      </c>
      <c r="D1258" s="5">
        <f t="shared" si="19"/>
        <v>51</v>
      </c>
      <c r="E1258" s="2" t="s">
        <v>5</v>
      </c>
      <c r="F1258" s="6" t="s">
        <v>15273</v>
      </c>
      <c r="G1258" s="3" t="s">
        <v>4826</v>
      </c>
      <c r="H1258" s="1"/>
      <c r="I1258" s="1"/>
      <c r="J1258" s="8" t="s">
        <v>16127</v>
      </c>
      <c r="K1258" s="1" t="s">
        <v>655</v>
      </c>
      <c r="L1258" s="1" t="s">
        <v>25</v>
      </c>
      <c r="M1258" s="825">
        <v>5</v>
      </c>
      <c r="N1258" s="17">
        <v>5</v>
      </c>
      <c r="O1258" s="3" t="s">
        <v>188</v>
      </c>
      <c r="P1258" s="20">
        <v>22587</v>
      </c>
      <c r="Q1258" s="3" t="s">
        <v>4828</v>
      </c>
      <c r="R1258" s="3" t="s">
        <v>4829</v>
      </c>
      <c r="S1258" s="3" t="s">
        <v>736</v>
      </c>
      <c r="T1258" s="3" t="s">
        <v>104</v>
      </c>
      <c r="U1258" s="2"/>
      <c r="V1258" s="2"/>
      <c r="W1258" s="2"/>
      <c r="X1258" s="2"/>
      <c r="Y1258" s="2"/>
      <c r="Z1258" s="2"/>
      <c r="AA1258" s="2" t="s">
        <v>104</v>
      </c>
      <c r="AB1258" s="2"/>
      <c r="AC1258" s="2"/>
      <c r="AD1258" s="2"/>
    </row>
    <row r="1259" spans="1:30" ht="12" customHeight="1">
      <c r="A1259" s="828" t="s">
        <v>17953</v>
      </c>
      <c r="B1259" s="3" t="s">
        <v>4823</v>
      </c>
      <c r="C1259" s="1" t="s">
        <v>4830</v>
      </c>
      <c r="D1259" s="5">
        <f t="shared" si="19"/>
        <v>73</v>
      </c>
      <c r="E1259" s="2" t="s">
        <v>5</v>
      </c>
      <c r="F1259" s="2"/>
      <c r="G1259" s="3"/>
      <c r="H1259" s="1"/>
      <c r="I1259" s="1"/>
      <c r="J1259" s="8" t="s">
        <v>16120</v>
      </c>
      <c r="K1259" s="1" t="s">
        <v>934</v>
      </c>
      <c r="L1259" s="1" t="s">
        <v>14</v>
      </c>
      <c r="M1259" s="825">
        <v>11</v>
      </c>
      <c r="N1259" s="17">
        <v>11</v>
      </c>
      <c r="O1259" s="3" t="s">
        <v>381</v>
      </c>
      <c r="P1259" s="20">
        <v>14376</v>
      </c>
      <c r="Q1259" s="3" t="s">
        <v>4831</v>
      </c>
      <c r="R1259" s="3" t="s">
        <v>4833</v>
      </c>
      <c r="S1259" s="3" t="s">
        <v>5457</v>
      </c>
      <c r="T1259" s="3" t="s">
        <v>3181</v>
      </c>
      <c r="U1259" s="2"/>
      <c r="V1259" s="2"/>
      <c r="W1259" s="2"/>
      <c r="X1259" s="2"/>
      <c r="Y1259" s="2"/>
      <c r="Z1259" s="2"/>
      <c r="AA1259" s="2" t="s">
        <v>104</v>
      </c>
      <c r="AB1259" s="2" t="s">
        <v>147</v>
      </c>
      <c r="AC1259" s="2"/>
      <c r="AD1259" s="2"/>
    </row>
    <row r="1260" spans="1:30" ht="12" customHeight="1">
      <c r="A1260" s="828" t="s">
        <v>17954</v>
      </c>
      <c r="B1260" s="3" t="s">
        <v>4824</v>
      </c>
      <c r="C1260" s="1" t="s">
        <v>6134</v>
      </c>
      <c r="D1260" s="5">
        <f t="shared" si="19"/>
        <v>55</v>
      </c>
      <c r="E1260" s="2" t="s">
        <v>5</v>
      </c>
      <c r="F1260" s="2" t="s">
        <v>15273</v>
      </c>
      <c r="G1260" s="3"/>
      <c r="H1260" s="1"/>
      <c r="I1260" s="1"/>
      <c r="J1260" s="4" t="s">
        <v>16125</v>
      </c>
      <c r="K1260" s="1"/>
      <c r="L1260" s="1" t="s">
        <v>6</v>
      </c>
      <c r="M1260" s="825"/>
      <c r="N1260" s="17"/>
      <c r="O1260" s="3" t="s">
        <v>16079</v>
      </c>
      <c r="P1260" s="20">
        <v>21021</v>
      </c>
      <c r="Q1260" s="3" t="s">
        <v>16080</v>
      </c>
      <c r="R1260" s="3"/>
      <c r="S1260" s="3" t="s">
        <v>5561</v>
      </c>
      <c r="T1260" s="3"/>
      <c r="U1260" s="2"/>
      <c r="V1260" s="2"/>
      <c r="W1260" s="2"/>
      <c r="X1260" s="2"/>
      <c r="Y1260" s="2"/>
      <c r="Z1260" s="2"/>
      <c r="AA1260" s="2"/>
      <c r="AB1260" s="2"/>
      <c r="AC1260" s="2"/>
      <c r="AD1260" s="2"/>
    </row>
    <row r="1261" spans="1:30" ht="12" customHeight="1">
      <c r="A1261" s="828" t="s">
        <v>17955</v>
      </c>
      <c r="B1261" s="3" t="s">
        <v>5530</v>
      </c>
      <c r="C1261" s="1" t="s">
        <v>5531</v>
      </c>
      <c r="D1261" s="5">
        <f t="shared" si="19"/>
        <v>31</v>
      </c>
      <c r="E1261" s="2" t="s">
        <v>5</v>
      </c>
      <c r="F1261" s="2" t="s">
        <v>15273</v>
      </c>
      <c r="G1261" s="3"/>
      <c r="H1261" s="1"/>
      <c r="I1261" s="1"/>
      <c r="J1261" s="4" t="s">
        <v>16116</v>
      </c>
      <c r="K1261" s="1" t="s">
        <v>4997</v>
      </c>
      <c r="L1261" s="1" t="s">
        <v>6</v>
      </c>
      <c r="M1261" s="825"/>
      <c r="N1261" s="17"/>
      <c r="O1261" s="3" t="s">
        <v>452</v>
      </c>
      <c r="P1261" s="21">
        <v>29936</v>
      </c>
      <c r="Q1261" s="3" t="s">
        <v>5532</v>
      </c>
      <c r="R1261" s="3"/>
      <c r="S1261" s="3"/>
      <c r="T1261" s="3"/>
      <c r="U1261" s="2"/>
      <c r="V1261" s="2"/>
      <c r="W1261" s="2"/>
      <c r="X1261" s="2"/>
      <c r="Y1261" s="2"/>
      <c r="Z1261" s="2"/>
      <c r="AA1261" s="2"/>
      <c r="AB1261" s="2"/>
      <c r="AC1261" s="2"/>
      <c r="AD1261" s="2"/>
    </row>
    <row r="1262" spans="1:30" ht="12" customHeight="1">
      <c r="A1262" s="828" t="s">
        <v>17956</v>
      </c>
      <c r="B1262" s="3" t="s">
        <v>6133</v>
      </c>
      <c r="C1262" s="1" t="s">
        <v>4834</v>
      </c>
      <c r="D1262" s="5">
        <f t="shared" si="19"/>
        <v>37</v>
      </c>
      <c r="E1262" s="2" t="s">
        <v>5</v>
      </c>
      <c r="F1262" s="2"/>
      <c r="G1262" s="3"/>
      <c r="H1262" s="1"/>
      <c r="I1262" s="1"/>
      <c r="J1262" s="4" t="s">
        <v>16117</v>
      </c>
      <c r="K1262" s="1"/>
      <c r="L1262" s="1" t="s">
        <v>6</v>
      </c>
      <c r="M1262" s="825"/>
      <c r="N1262" s="17"/>
      <c r="O1262" s="3" t="s">
        <v>4835</v>
      </c>
      <c r="P1262" s="20">
        <v>27486</v>
      </c>
      <c r="Q1262" s="3" t="s">
        <v>4836</v>
      </c>
      <c r="R1262" s="3"/>
      <c r="S1262" s="3"/>
      <c r="T1262" s="3"/>
      <c r="U1262" s="2"/>
      <c r="V1262" s="2"/>
      <c r="W1262" s="2"/>
      <c r="X1262" s="2"/>
      <c r="Y1262" s="2"/>
      <c r="Z1262" s="2"/>
      <c r="AA1262" s="2"/>
      <c r="AB1262" s="2"/>
      <c r="AC1262" s="2"/>
      <c r="AD1262" s="2"/>
    </row>
    <row r="1263" spans="1:30" ht="12" customHeight="1">
      <c r="A1263" s="828" t="s">
        <v>17957</v>
      </c>
      <c r="B1263" s="3" t="s">
        <v>4837</v>
      </c>
      <c r="C1263" s="1" t="s">
        <v>4840</v>
      </c>
      <c r="D1263" s="5">
        <f t="shared" si="19"/>
        <v>54</v>
      </c>
      <c r="E1263" s="2" t="s">
        <v>5</v>
      </c>
      <c r="F1263" s="6" t="s">
        <v>15273</v>
      </c>
      <c r="G1263" s="3" t="s">
        <v>4841</v>
      </c>
      <c r="H1263" s="1"/>
      <c r="I1263" s="1"/>
      <c r="J1263" s="8" t="s">
        <v>16127</v>
      </c>
      <c r="K1263" s="1" t="s">
        <v>276</v>
      </c>
      <c r="L1263" s="1" t="s">
        <v>25</v>
      </c>
      <c r="M1263" s="825">
        <v>1</v>
      </c>
      <c r="N1263" s="17">
        <v>1</v>
      </c>
      <c r="O1263" s="3" t="s">
        <v>4312</v>
      </c>
      <c r="P1263" s="20">
        <v>21286</v>
      </c>
      <c r="Q1263" s="3" t="s">
        <v>16679</v>
      </c>
      <c r="R1263" s="3"/>
      <c r="S1263" s="3" t="s">
        <v>736</v>
      </c>
      <c r="T1263" s="3" t="s">
        <v>635</v>
      </c>
      <c r="U1263" s="2"/>
      <c r="V1263" s="2" t="s">
        <v>145</v>
      </c>
      <c r="W1263" s="2"/>
      <c r="X1263" s="2"/>
      <c r="Y1263" s="2"/>
      <c r="Z1263" s="2"/>
      <c r="AA1263" s="2"/>
      <c r="AB1263" s="2"/>
      <c r="AC1263" s="2" t="s">
        <v>146</v>
      </c>
      <c r="AD1263" s="2"/>
    </row>
    <row r="1264" spans="1:30" ht="12" customHeight="1">
      <c r="A1264" s="828" t="s">
        <v>17958</v>
      </c>
      <c r="B1264" s="3" t="s">
        <v>4838</v>
      </c>
      <c r="C1264" s="1" t="s">
        <v>4845</v>
      </c>
      <c r="D1264" s="5">
        <f t="shared" si="19"/>
        <v>41</v>
      </c>
      <c r="E1264" s="2" t="s">
        <v>5</v>
      </c>
      <c r="F1264" s="2" t="s">
        <v>15273</v>
      </c>
      <c r="G1264" s="3" t="s">
        <v>4846</v>
      </c>
      <c r="H1264" s="1"/>
      <c r="I1264" s="1"/>
      <c r="J1264" s="4" t="s">
        <v>16120</v>
      </c>
      <c r="K1264" s="1" t="s">
        <v>30</v>
      </c>
      <c r="L1264" s="1" t="s">
        <v>25</v>
      </c>
      <c r="M1264" s="825">
        <v>2</v>
      </c>
      <c r="N1264" s="17">
        <v>2</v>
      </c>
      <c r="O1264" s="3" t="s">
        <v>4847</v>
      </c>
      <c r="P1264" s="20">
        <v>26083</v>
      </c>
      <c r="Q1264" s="3" t="s">
        <v>4848</v>
      </c>
      <c r="R1264" s="3" t="s">
        <v>4849</v>
      </c>
      <c r="S1264" s="3" t="s">
        <v>5457</v>
      </c>
      <c r="T1264" s="3" t="s">
        <v>104</v>
      </c>
      <c r="U1264" s="2"/>
      <c r="V1264" s="2"/>
      <c r="W1264" s="2"/>
      <c r="X1264" s="2"/>
      <c r="Y1264" s="2"/>
      <c r="Z1264" s="2"/>
      <c r="AA1264" s="2" t="s">
        <v>104</v>
      </c>
      <c r="AB1264" s="2"/>
      <c r="AC1264" s="2"/>
      <c r="AD1264" s="2"/>
    </row>
    <row r="1265" spans="1:30" ht="12" customHeight="1">
      <c r="A1265" s="828" t="s">
        <v>17959</v>
      </c>
      <c r="B1265" s="3" t="s">
        <v>4839</v>
      </c>
      <c r="C1265" s="1" t="s">
        <v>16113</v>
      </c>
      <c r="D1265" s="5">
        <f t="shared" si="19"/>
        <v>70</v>
      </c>
      <c r="E1265" s="2" t="s">
        <v>5</v>
      </c>
      <c r="F1265" s="2"/>
      <c r="G1265" s="3"/>
      <c r="H1265" s="1"/>
      <c r="I1265" s="1"/>
      <c r="J1265" s="4" t="s">
        <v>16117</v>
      </c>
      <c r="K1265" s="1"/>
      <c r="L1265" s="1" t="s">
        <v>6</v>
      </c>
      <c r="M1265" s="825"/>
      <c r="N1265" s="17"/>
      <c r="O1265" s="3" t="s">
        <v>5479</v>
      </c>
      <c r="P1265" s="20">
        <v>15387</v>
      </c>
      <c r="Q1265" s="3" t="s">
        <v>5802</v>
      </c>
      <c r="R1265" s="3"/>
      <c r="S1265" s="3"/>
      <c r="T1265" s="3" t="s">
        <v>148</v>
      </c>
      <c r="U1265" s="2"/>
      <c r="V1265" s="2" t="s">
        <v>145</v>
      </c>
      <c r="W1265" s="2"/>
      <c r="X1265" s="2"/>
      <c r="Y1265" s="2"/>
      <c r="Z1265" s="2"/>
      <c r="AA1265" s="2"/>
      <c r="AB1265" s="2"/>
      <c r="AC1265" s="2"/>
      <c r="AD1265" s="2" t="s">
        <v>69</v>
      </c>
    </row>
    <row r="1266" spans="1:30" ht="12" customHeight="1">
      <c r="A1266" s="828" t="s">
        <v>17960</v>
      </c>
      <c r="B1266" s="3" t="s">
        <v>4850</v>
      </c>
      <c r="C1266" s="1" t="s">
        <v>4855</v>
      </c>
      <c r="D1266" s="5">
        <f t="shared" si="19"/>
        <v>72</v>
      </c>
      <c r="E1266" s="2" t="s">
        <v>5</v>
      </c>
      <c r="F1266" s="2" t="s">
        <v>15273</v>
      </c>
      <c r="G1266" s="3" t="s">
        <v>4856</v>
      </c>
      <c r="H1266" s="1"/>
      <c r="I1266" s="1"/>
      <c r="J1266" s="4" t="s">
        <v>16120</v>
      </c>
      <c r="K1266" s="1" t="s">
        <v>48</v>
      </c>
      <c r="L1266" s="1" t="s">
        <v>25</v>
      </c>
      <c r="M1266" s="825">
        <v>7</v>
      </c>
      <c r="N1266" s="17">
        <v>7</v>
      </c>
      <c r="O1266" s="3" t="s">
        <v>317</v>
      </c>
      <c r="P1266" s="20">
        <v>14944</v>
      </c>
      <c r="Q1266" s="3" t="s">
        <v>4857</v>
      </c>
      <c r="R1266" s="3" t="s">
        <v>4858</v>
      </c>
      <c r="S1266" s="3" t="s">
        <v>5457</v>
      </c>
      <c r="T1266" s="3" t="s">
        <v>47</v>
      </c>
      <c r="U1266" s="2" t="s">
        <v>47</v>
      </c>
      <c r="V1266" s="2"/>
      <c r="W1266" s="2"/>
      <c r="X1266" s="2"/>
      <c r="Y1266" s="2"/>
      <c r="Z1266" s="2"/>
      <c r="AA1266" s="2"/>
      <c r="AB1266" s="2"/>
      <c r="AC1266" s="2"/>
      <c r="AD1266" s="2"/>
    </row>
    <row r="1267" spans="1:30" ht="12" customHeight="1">
      <c r="A1267" s="828" t="s">
        <v>17961</v>
      </c>
      <c r="B1267" s="3" t="s">
        <v>4851</v>
      </c>
      <c r="C1267" s="1" t="s">
        <v>4861</v>
      </c>
      <c r="D1267" s="5">
        <f t="shared" si="19"/>
        <v>36</v>
      </c>
      <c r="E1267" s="2" t="s">
        <v>5</v>
      </c>
      <c r="F1267" s="2" t="s">
        <v>15273</v>
      </c>
      <c r="G1267" s="3"/>
      <c r="H1267" s="1"/>
      <c r="I1267" s="1"/>
      <c r="J1267" s="4" t="s">
        <v>16116</v>
      </c>
      <c r="K1267" s="1" t="s">
        <v>4997</v>
      </c>
      <c r="L1267" s="1" t="s">
        <v>6</v>
      </c>
      <c r="M1267" s="825"/>
      <c r="N1267" s="17"/>
      <c r="O1267" s="3" t="s">
        <v>381</v>
      </c>
      <c r="P1267" s="21">
        <v>27844</v>
      </c>
      <c r="Q1267" s="3" t="s">
        <v>4862</v>
      </c>
      <c r="R1267" s="3"/>
      <c r="S1267" s="3" t="s">
        <v>469</v>
      </c>
      <c r="T1267" s="3"/>
      <c r="U1267" s="2"/>
      <c r="V1267" s="2"/>
      <c r="W1267" s="2"/>
      <c r="X1267" s="2"/>
      <c r="Y1267" s="2"/>
      <c r="Z1267" s="2"/>
      <c r="AA1267" s="2"/>
      <c r="AB1267" s="2"/>
      <c r="AC1267" s="2"/>
      <c r="AD1267" s="2"/>
    </row>
    <row r="1268" spans="1:30" ht="12" customHeight="1">
      <c r="A1268" s="828" t="s">
        <v>17962</v>
      </c>
      <c r="B1268" s="3" t="s">
        <v>4852</v>
      </c>
      <c r="C1268" s="1" t="s">
        <v>4859</v>
      </c>
      <c r="D1268" s="5">
        <f t="shared" si="19"/>
        <v>62</v>
      </c>
      <c r="E1268" s="2" t="s">
        <v>19</v>
      </c>
      <c r="F1268" s="2"/>
      <c r="G1268" s="3"/>
      <c r="H1268" s="1"/>
      <c r="I1268" s="1"/>
      <c r="J1268" s="4" t="s">
        <v>16117</v>
      </c>
      <c r="K1268" s="1"/>
      <c r="L1268" s="1" t="s">
        <v>6</v>
      </c>
      <c r="M1268" s="825"/>
      <c r="N1268" s="17"/>
      <c r="O1268" s="3" t="s">
        <v>4860</v>
      </c>
      <c r="P1268" s="20">
        <v>18271</v>
      </c>
      <c r="Q1268" s="3" t="s">
        <v>260</v>
      </c>
      <c r="R1268" s="3"/>
      <c r="S1268" s="3"/>
      <c r="T1268" s="3"/>
      <c r="U1268" s="2"/>
      <c r="V1268" s="2"/>
      <c r="W1268" s="2"/>
      <c r="X1268" s="2"/>
      <c r="Y1268" s="2"/>
      <c r="Z1268" s="2"/>
      <c r="AA1268" s="2"/>
      <c r="AB1268" s="2"/>
      <c r="AC1268" s="2"/>
      <c r="AD1268" s="2"/>
    </row>
    <row r="1269" spans="1:30" ht="12" customHeight="1">
      <c r="A1269" s="828" t="s">
        <v>17963</v>
      </c>
      <c r="B1269" s="3" t="s">
        <v>4853</v>
      </c>
      <c r="C1269" s="1" t="s">
        <v>4863</v>
      </c>
      <c r="D1269" s="5">
        <f t="shared" si="19"/>
        <v>54</v>
      </c>
      <c r="E1269" s="2" t="s">
        <v>5</v>
      </c>
      <c r="F1269" s="2"/>
      <c r="G1269" s="3"/>
      <c r="H1269" s="1"/>
      <c r="I1269" s="1"/>
      <c r="J1269" s="4" t="s">
        <v>16119</v>
      </c>
      <c r="K1269" s="1"/>
      <c r="L1269" s="1" t="s">
        <v>6</v>
      </c>
      <c r="M1269" s="825"/>
      <c r="N1269" s="17"/>
      <c r="O1269" s="3" t="s">
        <v>31</v>
      </c>
      <c r="P1269" s="20">
        <v>21466</v>
      </c>
      <c r="Q1269" s="3" t="s">
        <v>4864</v>
      </c>
      <c r="R1269" s="3"/>
      <c r="S1269" s="3" t="s">
        <v>4422</v>
      </c>
      <c r="T1269" s="3" t="s">
        <v>146</v>
      </c>
      <c r="U1269" s="2"/>
      <c r="V1269" s="2"/>
      <c r="W1269" s="2"/>
      <c r="X1269" s="2"/>
      <c r="Y1269" s="2"/>
      <c r="Z1269" s="2"/>
      <c r="AA1269" s="2"/>
      <c r="AB1269" s="2"/>
      <c r="AC1269" s="2" t="s">
        <v>146</v>
      </c>
      <c r="AD1269" s="2"/>
    </row>
    <row r="1270" spans="1:30" ht="12" customHeight="1">
      <c r="A1270" s="828" t="s">
        <v>17964</v>
      </c>
      <c r="B1270" s="3" t="s">
        <v>4854</v>
      </c>
      <c r="C1270" s="1" t="s">
        <v>4865</v>
      </c>
      <c r="D1270" s="5">
        <f t="shared" si="19"/>
        <v>30</v>
      </c>
      <c r="E1270" s="2" t="s">
        <v>5</v>
      </c>
      <c r="F1270" s="2"/>
      <c r="G1270" s="3"/>
      <c r="H1270" s="1"/>
      <c r="I1270" s="1"/>
      <c r="J1270" s="4" t="s">
        <v>16122</v>
      </c>
      <c r="K1270" s="1" t="s">
        <v>22</v>
      </c>
      <c r="L1270" s="1" t="s">
        <v>6</v>
      </c>
      <c r="M1270" s="825"/>
      <c r="N1270" s="17"/>
      <c r="O1270" s="3" t="s">
        <v>4866</v>
      </c>
      <c r="P1270" s="20">
        <v>30052</v>
      </c>
      <c r="Q1270" s="3" t="s">
        <v>1787</v>
      </c>
      <c r="R1270" s="3"/>
      <c r="S1270" s="3"/>
      <c r="T1270" s="3"/>
      <c r="U1270" s="2"/>
      <c r="V1270" s="2"/>
      <c r="W1270" s="2"/>
      <c r="X1270" s="2"/>
      <c r="Y1270" s="2"/>
      <c r="Z1270" s="2"/>
      <c r="AA1270" s="2"/>
      <c r="AB1270" s="2"/>
      <c r="AC1270" s="2"/>
      <c r="AD1270" s="2"/>
    </row>
    <row r="1271" spans="1:30" ht="12" customHeight="1">
      <c r="A1271" s="828" t="s">
        <v>17965</v>
      </c>
      <c r="B1271" s="3" t="s">
        <v>4868</v>
      </c>
      <c r="C1271" s="1" t="s">
        <v>4871</v>
      </c>
      <c r="D1271" s="5">
        <f t="shared" si="19"/>
        <v>62</v>
      </c>
      <c r="E1271" s="2" t="s">
        <v>5</v>
      </c>
      <c r="F1271" s="6" t="s">
        <v>15273</v>
      </c>
      <c r="G1271" s="3" t="s">
        <v>4872</v>
      </c>
      <c r="H1271" s="1"/>
      <c r="I1271" s="1"/>
      <c r="J1271" s="8" t="s">
        <v>16126</v>
      </c>
      <c r="K1271" s="1" t="s">
        <v>45</v>
      </c>
      <c r="L1271" s="1" t="s">
        <v>25</v>
      </c>
      <c r="M1271" s="825">
        <v>1</v>
      </c>
      <c r="N1271" s="17">
        <v>1</v>
      </c>
      <c r="O1271" s="3" t="s">
        <v>7</v>
      </c>
      <c r="P1271" s="20">
        <v>18453</v>
      </c>
      <c r="Q1271" s="3" t="s">
        <v>4873</v>
      </c>
      <c r="R1271" s="3"/>
      <c r="S1271" s="3" t="s">
        <v>736</v>
      </c>
      <c r="T1271" s="3" t="s">
        <v>69</v>
      </c>
      <c r="U1271" s="2"/>
      <c r="V1271" s="2"/>
      <c r="W1271" s="2"/>
      <c r="X1271" s="2"/>
      <c r="Y1271" s="2"/>
      <c r="Z1271" s="2"/>
      <c r="AA1271" s="2"/>
      <c r="AB1271" s="2"/>
      <c r="AC1271" s="2"/>
      <c r="AD1271" s="2" t="s">
        <v>69</v>
      </c>
    </row>
    <row r="1272" spans="1:30" ht="12" customHeight="1">
      <c r="A1272" s="828" t="s">
        <v>17966</v>
      </c>
      <c r="B1272" s="3" t="s">
        <v>4869</v>
      </c>
      <c r="C1272" s="1" t="s">
        <v>4874</v>
      </c>
      <c r="D1272" s="5">
        <f t="shared" si="19"/>
        <v>54</v>
      </c>
      <c r="E1272" s="2" t="s">
        <v>5</v>
      </c>
      <c r="F1272" s="2" t="s">
        <v>15273</v>
      </c>
      <c r="G1272" s="3" t="s">
        <v>4867</v>
      </c>
      <c r="H1272" s="1"/>
      <c r="I1272" s="1"/>
      <c r="J1272" s="8" t="s">
        <v>16120</v>
      </c>
      <c r="K1272" s="1" t="s">
        <v>30</v>
      </c>
      <c r="L1272" s="1" t="s">
        <v>25</v>
      </c>
      <c r="M1272" s="825">
        <v>2</v>
      </c>
      <c r="N1272" s="17">
        <v>2</v>
      </c>
      <c r="O1272" s="3" t="s">
        <v>31</v>
      </c>
      <c r="P1272" s="20">
        <v>21457</v>
      </c>
      <c r="Q1272" s="3" t="s">
        <v>4875</v>
      </c>
      <c r="R1272" s="3"/>
      <c r="S1272" s="3" t="s">
        <v>5457</v>
      </c>
      <c r="T1272" s="3" t="s">
        <v>104</v>
      </c>
      <c r="U1272" s="2"/>
      <c r="V1272" s="2"/>
      <c r="W1272" s="2"/>
      <c r="X1272" s="2"/>
      <c r="Y1272" s="2"/>
      <c r="Z1272" s="2"/>
      <c r="AA1272" s="2" t="s">
        <v>104</v>
      </c>
      <c r="AB1272" s="2"/>
      <c r="AC1272" s="2"/>
      <c r="AD1272" s="2"/>
    </row>
    <row r="1273" spans="1:30" ht="12" customHeight="1">
      <c r="A1273" s="828" t="s">
        <v>17967</v>
      </c>
      <c r="B1273" s="3" t="s">
        <v>4870</v>
      </c>
      <c r="C1273" s="1" t="s">
        <v>4876</v>
      </c>
      <c r="D1273" s="5">
        <f t="shared" si="19"/>
        <v>63</v>
      </c>
      <c r="E1273" s="2" t="s">
        <v>5</v>
      </c>
      <c r="F1273" s="2"/>
      <c r="G1273" s="3"/>
      <c r="H1273" s="1"/>
      <c r="I1273" s="1"/>
      <c r="J1273" s="4" t="s">
        <v>16117</v>
      </c>
      <c r="K1273" s="1"/>
      <c r="L1273" s="1" t="s">
        <v>6</v>
      </c>
      <c r="M1273" s="825"/>
      <c r="N1273" s="17"/>
      <c r="O1273" s="3" t="s">
        <v>4866</v>
      </c>
      <c r="P1273" s="21">
        <v>17925</v>
      </c>
      <c r="Q1273" s="3" t="s">
        <v>53</v>
      </c>
      <c r="R1273" s="3"/>
      <c r="S1273" s="3"/>
      <c r="T1273" s="3"/>
      <c r="U1273" s="2"/>
      <c r="V1273" s="2"/>
      <c r="W1273" s="2"/>
      <c r="X1273" s="2"/>
      <c r="Y1273" s="2"/>
      <c r="Z1273" s="2"/>
      <c r="AA1273" s="2"/>
      <c r="AB1273" s="2"/>
      <c r="AC1273" s="2"/>
      <c r="AD1273" s="2"/>
    </row>
    <row r="1274" spans="1:30" ht="12" customHeight="1">
      <c r="A1274" s="828" t="s">
        <v>17968</v>
      </c>
      <c r="B1274" s="3" t="s">
        <v>4878</v>
      </c>
      <c r="C1274" s="1" t="s">
        <v>4883</v>
      </c>
      <c r="D1274" s="5">
        <f t="shared" si="19"/>
        <v>67</v>
      </c>
      <c r="E1274" s="2" t="s">
        <v>5</v>
      </c>
      <c r="F1274" s="2" t="s">
        <v>15273</v>
      </c>
      <c r="G1274" s="3" t="s">
        <v>4884</v>
      </c>
      <c r="H1274" s="1"/>
      <c r="I1274" s="1"/>
      <c r="J1274" s="4" t="s">
        <v>16120</v>
      </c>
      <c r="K1274" s="1" t="s">
        <v>934</v>
      </c>
      <c r="L1274" s="1" t="s">
        <v>25</v>
      </c>
      <c r="M1274" s="825">
        <v>3</v>
      </c>
      <c r="N1274" s="17">
        <v>5</v>
      </c>
      <c r="O1274" s="3" t="s">
        <v>4885</v>
      </c>
      <c r="P1274" s="20">
        <v>16535</v>
      </c>
      <c r="Q1274" s="3" t="s">
        <v>4886</v>
      </c>
      <c r="R1274" s="3" t="s">
        <v>4887</v>
      </c>
      <c r="S1274" s="3" t="s">
        <v>5457</v>
      </c>
      <c r="T1274" s="3" t="s">
        <v>375</v>
      </c>
      <c r="U1274" s="2"/>
      <c r="V1274" s="2" t="s">
        <v>145</v>
      </c>
      <c r="W1274" s="2"/>
      <c r="X1274" s="2" t="s">
        <v>229</v>
      </c>
      <c r="Y1274" s="2"/>
      <c r="Z1274" s="2"/>
      <c r="AA1274" s="2"/>
      <c r="AB1274" s="2"/>
      <c r="AC1274" s="2"/>
      <c r="AD1274" s="2"/>
    </row>
    <row r="1275" spans="1:30" ht="12" customHeight="1">
      <c r="A1275" s="828" t="s">
        <v>17969</v>
      </c>
      <c r="B1275" s="3" t="s">
        <v>4879</v>
      </c>
      <c r="C1275" s="1" t="s">
        <v>4888</v>
      </c>
      <c r="D1275" s="5">
        <f t="shared" si="19"/>
        <v>67</v>
      </c>
      <c r="E1275" s="2" t="s">
        <v>5</v>
      </c>
      <c r="F1275" s="2"/>
      <c r="G1275" s="3"/>
      <c r="H1275" s="1"/>
      <c r="I1275" s="1"/>
      <c r="J1275" s="4" t="s">
        <v>16117</v>
      </c>
      <c r="K1275" s="1"/>
      <c r="L1275" s="1" t="s">
        <v>6</v>
      </c>
      <c r="M1275" s="825"/>
      <c r="N1275" s="17"/>
      <c r="O1275" s="3" t="s">
        <v>4312</v>
      </c>
      <c r="P1275" s="21">
        <v>16703</v>
      </c>
      <c r="Q1275" s="3" t="s">
        <v>16081</v>
      </c>
      <c r="R1275" s="3"/>
      <c r="S1275" s="3"/>
      <c r="T1275" s="3" t="s">
        <v>145</v>
      </c>
      <c r="U1275" s="2"/>
      <c r="V1275" s="2" t="s">
        <v>145</v>
      </c>
      <c r="W1275" s="2"/>
      <c r="X1275" s="2"/>
      <c r="Y1275" s="2"/>
      <c r="Z1275" s="2"/>
      <c r="AA1275" s="2"/>
      <c r="AB1275" s="2"/>
      <c r="AC1275" s="2"/>
      <c r="AD1275" s="2"/>
    </row>
    <row r="1276" spans="1:30" ht="12" customHeight="1">
      <c r="A1276" s="828" t="s">
        <v>17970</v>
      </c>
      <c r="B1276" s="3" t="s">
        <v>4889</v>
      </c>
      <c r="C1276" s="1" t="s">
        <v>4892</v>
      </c>
      <c r="D1276" s="5">
        <f t="shared" si="19"/>
        <v>39</v>
      </c>
      <c r="E1276" s="2" t="s">
        <v>5</v>
      </c>
      <c r="F1276" s="2" t="s">
        <v>15273</v>
      </c>
      <c r="G1276" s="3"/>
      <c r="H1276" s="1"/>
      <c r="I1276" s="1"/>
      <c r="J1276" s="4" t="s">
        <v>16120</v>
      </c>
      <c r="K1276" s="1" t="s">
        <v>30</v>
      </c>
      <c r="L1276" s="1" t="s">
        <v>6</v>
      </c>
      <c r="M1276" s="825"/>
      <c r="N1276" s="17"/>
      <c r="O1276" s="3" t="s">
        <v>188</v>
      </c>
      <c r="P1276" s="20">
        <v>26674</v>
      </c>
      <c r="Q1276" s="3" t="s">
        <v>4893</v>
      </c>
      <c r="R1276" s="3"/>
      <c r="S1276" s="3" t="s">
        <v>5457</v>
      </c>
      <c r="T1276" s="3" t="s">
        <v>104</v>
      </c>
      <c r="U1276" s="2"/>
      <c r="V1276" s="2"/>
      <c r="W1276" s="2"/>
      <c r="X1276" s="2"/>
      <c r="Y1276" s="2"/>
      <c r="Z1276" s="2"/>
      <c r="AA1276" s="2" t="s">
        <v>104</v>
      </c>
      <c r="AB1276" s="2"/>
      <c r="AC1276" s="2"/>
      <c r="AD1276" s="2"/>
    </row>
    <row r="1277" spans="1:30" ht="12" customHeight="1">
      <c r="A1277" s="828" t="s">
        <v>17971</v>
      </c>
      <c r="B1277" s="3" t="s">
        <v>4890</v>
      </c>
      <c r="C1277" s="1" t="s">
        <v>5783</v>
      </c>
      <c r="D1277" s="5">
        <f t="shared" si="19"/>
        <v>67</v>
      </c>
      <c r="E1277" s="2" t="s">
        <v>5</v>
      </c>
      <c r="F1277" s="2" t="s">
        <v>15273</v>
      </c>
      <c r="G1277" s="3"/>
      <c r="H1277" s="1"/>
      <c r="I1277" s="1"/>
      <c r="J1277" s="4" t="s">
        <v>16116</v>
      </c>
      <c r="K1277" s="1" t="s">
        <v>4997</v>
      </c>
      <c r="L1277" s="1" t="s">
        <v>6</v>
      </c>
      <c r="M1277" s="825"/>
      <c r="N1277" s="17"/>
      <c r="O1277" s="3" t="s">
        <v>31</v>
      </c>
      <c r="P1277" s="20">
        <v>16482</v>
      </c>
      <c r="Q1277" s="3" t="s">
        <v>16623</v>
      </c>
      <c r="R1277" s="3"/>
      <c r="S1277" s="3" t="s">
        <v>469</v>
      </c>
      <c r="T1277" s="3"/>
      <c r="U1277" s="2"/>
      <c r="V1277" s="2"/>
      <c r="W1277" s="2"/>
      <c r="X1277" s="2"/>
      <c r="Y1277" s="2"/>
      <c r="Z1277" s="2"/>
      <c r="AA1277" s="2"/>
      <c r="AB1277" s="2"/>
      <c r="AC1277" s="2"/>
      <c r="AD1277" s="2"/>
    </row>
    <row r="1278" spans="1:30" ht="12" customHeight="1">
      <c r="A1278" s="828" t="s">
        <v>17972</v>
      </c>
      <c r="B1278" s="3" t="s">
        <v>4891</v>
      </c>
      <c r="C1278" s="1" t="s">
        <v>4894</v>
      </c>
      <c r="D1278" s="5">
        <f t="shared" si="19"/>
        <v>64</v>
      </c>
      <c r="E1278" s="2" t="s">
        <v>5</v>
      </c>
      <c r="F1278" s="2" t="s">
        <v>15273</v>
      </c>
      <c r="G1278" s="3" t="s">
        <v>4895</v>
      </c>
      <c r="H1278" s="1"/>
      <c r="I1278" s="1"/>
      <c r="J1278" s="4" t="s">
        <v>16117</v>
      </c>
      <c r="K1278" s="1"/>
      <c r="L1278" s="1" t="s">
        <v>25</v>
      </c>
      <c r="M1278" s="825">
        <v>4</v>
      </c>
      <c r="N1278" s="17">
        <v>4</v>
      </c>
      <c r="O1278" s="3" t="s">
        <v>1678</v>
      </c>
      <c r="P1278" s="20">
        <v>17519</v>
      </c>
      <c r="Q1278" s="3" t="s">
        <v>4896</v>
      </c>
      <c r="R1278" s="3"/>
      <c r="S1278" s="3" t="s">
        <v>16652</v>
      </c>
      <c r="T1278" s="3" t="s">
        <v>69</v>
      </c>
      <c r="U1278" s="2"/>
      <c r="V1278" s="2"/>
      <c r="W1278" s="2"/>
      <c r="X1278" s="2"/>
      <c r="Y1278" s="2"/>
      <c r="Z1278" s="2"/>
      <c r="AA1278" s="2"/>
      <c r="AB1278" s="2"/>
      <c r="AC1278" s="2"/>
      <c r="AD1278" s="2" t="s">
        <v>69</v>
      </c>
    </row>
    <row r="1279" spans="1:30" ht="12" customHeight="1">
      <c r="A1279" s="828" t="s">
        <v>17973</v>
      </c>
      <c r="B1279" s="3" t="s">
        <v>4932</v>
      </c>
      <c r="C1279" s="1" t="s">
        <v>4897</v>
      </c>
      <c r="D1279" s="5">
        <f t="shared" si="19"/>
        <v>51</v>
      </c>
      <c r="E1279" s="2" t="s">
        <v>5</v>
      </c>
      <c r="F1279" s="2"/>
      <c r="G1279" s="3" t="s">
        <v>4898</v>
      </c>
      <c r="H1279" s="1"/>
      <c r="I1279" s="1"/>
      <c r="J1279" s="4" t="s">
        <v>16119</v>
      </c>
      <c r="K1279" s="1"/>
      <c r="L1279" s="1" t="s">
        <v>25</v>
      </c>
      <c r="M1279" s="825">
        <v>4</v>
      </c>
      <c r="N1279" s="17">
        <v>4</v>
      </c>
      <c r="O1279" s="3" t="s">
        <v>4899</v>
      </c>
      <c r="P1279" s="20">
        <v>22507</v>
      </c>
      <c r="Q1279" s="3" t="s">
        <v>4900</v>
      </c>
      <c r="R1279" s="3" t="s">
        <v>4901</v>
      </c>
      <c r="S1279" s="3" t="s">
        <v>16634</v>
      </c>
      <c r="T1279" s="3"/>
      <c r="U1279" s="2"/>
      <c r="V1279" s="2"/>
      <c r="W1279" s="2"/>
      <c r="X1279" s="2"/>
      <c r="Y1279" s="2"/>
      <c r="Z1279" s="2"/>
      <c r="AA1279" s="2"/>
      <c r="AB1279" s="2"/>
      <c r="AC1279" s="2"/>
      <c r="AD1279" s="2"/>
    </row>
    <row r="1280" spans="1:30" ht="12" customHeight="1">
      <c r="A1280" s="828" t="s">
        <v>17974</v>
      </c>
      <c r="B1280" s="3" t="s">
        <v>4902</v>
      </c>
      <c r="C1280" s="1" t="s">
        <v>4905</v>
      </c>
      <c r="D1280" s="5">
        <f t="shared" si="19"/>
        <v>47</v>
      </c>
      <c r="E1280" s="2" t="s">
        <v>5</v>
      </c>
      <c r="F1280" s="2" t="s">
        <v>15273</v>
      </c>
      <c r="G1280" s="3"/>
      <c r="H1280" s="1"/>
      <c r="I1280" s="1"/>
      <c r="J1280" s="8" t="s">
        <v>16120</v>
      </c>
      <c r="K1280" s="1" t="s">
        <v>30</v>
      </c>
      <c r="L1280" s="1" t="s">
        <v>6</v>
      </c>
      <c r="M1280" s="825"/>
      <c r="N1280" s="17"/>
      <c r="O1280" s="3" t="s">
        <v>557</v>
      </c>
      <c r="P1280" s="20">
        <v>23962</v>
      </c>
      <c r="Q1280" s="3" t="s">
        <v>4906</v>
      </c>
      <c r="R1280" s="3"/>
      <c r="S1280" s="3" t="s">
        <v>5457</v>
      </c>
      <c r="T1280" s="3" t="s">
        <v>147</v>
      </c>
      <c r="U1280" s="2"/>
      <c r="V1280" s="2"/>
      <c r="W1280" s="2"/>
      <c r="X1280" s="2"/>
      <c r="Y1280" s="2"/>
      <c r="Z1280" s="2"/>
      <c r="AA1280" s="2"/>
      <c r="AB1280" s="2" t="s">
        <v>147</v>
      </c>
      <c r="AC1280" s="2"/>
      <c r="AD1280" s="2"/>
    </row>
    <row r="1281" spans="1:30" ht="12" customHeight="1">
      <c r="A1281" s="828" t="s">
        <v>17975</v>
      </c>
      <c r="B1281" s="3" t="s">
        <v>4903</v>
      </c>
      <c r="C1281" s="1" t="s">
        <v>5784</v>
      </c>
      <c r="D1281" s="5">
        <f t="shared" ref="D1281:D1344" si="20">DATEDIF(P1281,$P$1505,"Y")</f>
        <v>58</v>
      </c>
      <c r="E1281" s="2" t="s">
        <v>5</v>
      </c>
      <c r="F1281" s="2" t="s">
        <v>15273</v>
      </c>
      <c r="G1281" s="3"/>
      <c r="H1281" s="1"/>
      <c r="I1281" s="1"/>
      <c r="J1281" s="4" t="s">
        <v>16116</v>
      </c>
      <c r="K1281" s="1" t="s">
        <v>4997</v>
      </c>
      <c r="L1281" s="1" t="s">
        <v>6</v>
      </c>
      <c r="M1281" s="825"/>
      <c r="N1281" s="17"/>
      <c r="O1281" s="3" t="s">
        <v>5817</v>
      </c>
      <c r="P1281" s="20">
        <v>20063</v>
      </c>
      <c r="Q1281" s="3" t="s">
        <v>5818</v>
      </c>
      <c r="R1281" s="3"/>
      <c r="S1281" s="3" t="s">
        <v>469</v>
      </c>
      <c r="T1281" s="3"/>
      <c r="U1281" s="2"/>
      <c r="V1281" s="2"/>
      <c r="W1281" s="2"/>
      <c r="X1281" s="2"/>
      <c r="Y1281" s="2"/>
      <c r="Z1281" s="2"/>
      <c r="AA1281" s="2"/>
      <c r="AB1281" s="2"/>
      <c r="AC1281" s="2"/>
      <c r="AD1281" s="2"/>
    </row>
    <row r="1282" spans="1:30" ht="12" customHeight="1">
      <c r="A1282" s="828" t="s">
        <v>17976</v>
      </c>
      <c r="B1282" s="3" t="s">
        <v>4904</v>
      </c>
      <c r="C1282" s="1" t="s">
        <v>4907</v>
      </c>
      <c r="D1282" s="5">
        <f t="shared" si="20"/>
        <v>67</v>
      </c>
      <c r="E1282" s="2" t="s">
        <v>5</v>
      </c>
      <c r="F1282" s="2" t="s">
        <v>15273</v>
      </c>
      <c r="G1282" s="3" t="s">
        <v>4908</v>
      </c>
      <c r="H1282" s="1"/>
      <c r="I1282" s="1"/>
      <c r="J1282" s="4" t="s">
        <v>16121</v>
      </c>
      <c r="K1282" s="1"/>
      <c r="L1282" s="1" t="s">
        <v>25</v>
      </c>
      <c r="M1282" s="825">
        <v>3</v>
      </c>
      <c r="N1282" s="17">
        <v>5</v>
      </c>
      <c r="O1282" s="3" t="s">
        <v>4660</v>
      </c>
      <c r="P1282" s="20">
        <v>16642</v>
      </c>
      <c r="Q1282" s="3" t="s">
        <v>4909</v>
      </c>
      <c r="R1282" s="3" t="s">
        <v>4910</v>
      </c>
      <c r="S1282" s="3" t="s">
        <v>16652</v>
      </c>
      <c r="T1282" s="3" t="s">
        <v>4911</v>
      </c>
      <c r="U1282" s="2"/>
      <c r="V1282" s="2" t="s">
        <v>145</v>
      </c>
      <c r="W1282" s="2"/>
      <c r="X1282" s="2" t="s">
        <v>229</v>
      </c>
      <c r="Y1282" s="2"/>
      <c r="Z1282" s="2"/>
      <c r="AA1282" s="2"/>
      <c r="AB1282" s="2" t="s">
        <v>147</v>
      </c>
      <c r="AC1282" s="2"/>
      <c r="AD1282" s="2"/>
    </row>
    <row r="1283" spans="1:30" ht="12" customHeight="1">
      <c r="A1283" s="828" t="s">
        <v>17977</v>
      </c>
      <c r="B1283" s="3" t="s">
        <v>16082</v>
      </c>
      <c r="C1283" s="1" t="s">
        <v>16083</v>
      </c>
      <c r="D1283" s="5">
        <f t="shared" si="20"/>
        <v>68</v>
      </c>
      <c r="E1283" s="2" t="s">
        <v>5</v>
      </c>
      <c r="F1283" s="2"/>
      <c r="G1283" s="3"/>
      <c r="H1283" s="1"/>
      <c r="I1283" s="1"/>
      <c r="J1283" s="4" t="s">
        <v>16129</v>
      </c>
      <c r="K1283" s="1"/>
      <c r="L1283" s="1" t="s">
        <v>6</v>
      </c>
      <c r="M1283" s="825"/>
      <c r="N1283" s="17"/>
      <c r="O1283" s="3" t="s">
        <v>4070</v>
      </c>
      <c r="P1283" s="20">
        <v>16194</v>
      </c>
      <c r="Q1283" s="3" t="s">
        <v>16084</v>
      </c>
      <c r="R1283" s="3"/>
      <c r="S1283" s="3"/>
      <c r="T1283" s="3"/>
      <c r="U1283" s="2"/>
      <c r="V1283" s="2"/>
      <c r="W1283" s="2"/>
      <c r="X1283" s="2"/>
      <c r="Y1283" s="2"/>
      <c r="Z1283" s="2"/>
      <c r="AA1283" s="2"/>
      <c r="AB1283" s="2"/>
      <c r="AC1283" s="2"/>
      <c r="AD1283" s="2"/>
    </row>
    <row r="1284" spans="1:30" ht="12" customHeight="1">
      <c r="A1284" s="828" t="s">
        <v>17978</v>
      </c>
      <c r="B1284" s="3" t="s">
        <v>4912</v>
      </c>
      <c r="C1284" s="1" t="s">
        <v>4916</v>
      </c>
      <c r="D1284" s="5">
        <f t="shared" si="20"/>
        <v>56</v>
      </c>
      <c r="E1284" s="2" t="s">
        <v>5</v>
      </c>
      <c r="F1284" s="6" t="s">
        <v>15273</v>
      </c>
      <c r="G1284" s="3"/>
      <c r="H1284" s="1"/>
      <c r="I1284" s="1"/>
      <c r="J1284" s="8" t="s">
        <v>16127</v>
      </c>
      <c r="K1284" s="1" t="s">
        <v>44</v>
      </c>
      <c r="L1284" s="1" t="s">
        <v>6</v>
      </c>
      <c r="M1284" s="825"/>
      <c r="N1284" s="17"/>
      <c r="O1284" s="3" t="s">
        <v>5173</v>
      </c>
      <c r="P1284" s="20">
        <v>20642</v>
      </c>
      <c r="Q1284" s="3" t="s">
        <v>5840</v>
      </c>
      <c r="R1284" s="3"/>
      <c r="S1284" s="3" t="s">
        <v>736</v>
      </c>
      <c r="T1284" s="3"/>
      <c r="U1284" s="2"/>
      <c r="V1284" s="2"/>
      <c r="W1284" s="2"/>
      <c r="X1284" s="2"/>
      <c r="Y1284" s="2"/>
      <c r="Z1284" s="2"/>
      <c r="AA1284" s="2"/>
      <c r="AB1284" s="2"/>
      <c r="AC1284" s="2"/>
      <c r="AD1284" s="2"/>
    </row>
    <row r="1285" spans="1:30" ht="12" customHeight="1">
      <c r="A1285" s="828" t="s">
        <v>17979</v>
      </c>
      <c r="B1285" s="3" t="s">
        <v>4913</v>
      </c>
      <c r="C1285" s="1" t="s">
        <v>4917</v>
      </c>
      <c r="D1285" s="5">
        <f t="shared" si="20"/>
        <v>54</v>
      </c>
      <c r="E1285" s="2" t="s">
        <v>19</v>
      </c>
      <c r="F1285" s="2" t="s">
        <v>15273</v>
      </c>
      <c r="G1285" s="3"/>
      <c r="H1285" s="1"/>
      <c r="I1285" s="1"/>
      <c r="J1285" s="4" t="s">
        <v>16120</v>
      </c>
      <c r="K1285" s="1" t="s">
        <v>30</v>
      </c>
      <c r="L1285" s="1" t="s">
        <v>6</v>
      </c>
      <c r="M1285" s="825"/>
      <c r="N1285" s="17"/>
      <c r="O1285" s="3" t="s">
        <v>4918</v>
      </c>
      <c r="P1285" s="20">
        <v>21461</v>
      </c>
      <c r="Q1285" s="3" t="s">
        <v>4919</v>
      </c>
      <c r="R1285" s="3"/>
      <c r="S1285" s="3" t="s">
        <v>5457</v>
      </c>
      <c r="T1285" s="3"/>
      <c r="U1285" s="2"/>
      <c r="V1285" s="2"/>
      <c r="W1285" s="2"/>
      <c r="X1285" s="2"/>
      <c r="Y1285" s="2"/>
      <c r="Z1285" s="2"/>
      <c r="AA1285" s="2"/>
      <c r="AB1285" s="2"/>
      <c r="AC1285" s="2"/>
      <c r="AD1285" s="2"/>
    </row>
    <row r="1286" spans="1:30" ht="12" customHeight="1">
      <c r="A1286" s="828" t="s">
        <v>17980</v>
      </c>
      <c r="B1286" s="3" t="s">
        <v>4914</v>
      </c>
      <c r="C1286" s="1" t="s">
        <v>4920</v>
      </c>
      <c r="D1286" s="5">
        <f t="shared" si="20"/>
        <v>53</v>
      </c>
      <c r="E1286" s="2" t="s">
        <v>5</v>
      </c>
      <c r="F1286" s="2" t="s">
        <v>15273</v>
      </c>
      <c r="G1286" s="3" t="s">
        <v>4921</v>
      </c>
      <c r="H1286" s="1"/>
      <c r="I1286" s="1"/>
      <c r="J1286" s="4" t="s">
        <v>16125</v>
      </c>
      <c r="K1286" s="1"/>
      <c r="L1286" s="1" t="s">
        <v>25</v>
      </c>
      <c r="M1286" s="825">
        <v>1</v>
      </c>
      <c r="N1286" s="17">
        <v>1</v>
      </c>
      <c r="O1286" s="3" t="s">
        <v>4922</v>
      </c>
      <c r="P1286" s="20">
        <v>21836</v>
      </c>
      <c r="Q1286" s="3" t="s">
        <v>4923</v>
      </c>
      <c r="R1286" s="3"/>
      <c r="S1286" s="3" t="s">
        <v>16653</v>
      </c>
      <c r="T1286" s="3" t="s">
        <v>149</v>
      </c>
      <c r="U1286" s="2"/>
      <c r="V1286" s="2" t="s">
        <v>145</v>
      </c>
      <c r="W1286" s="2"/>
      <c r="X1286" s="2"/>
      <c r="Y1286" s="2"/>
      <c r="Z1286" s="2" t="s">
        <v>85</v>
      </c>
      <c r="AA1286" s="2"/>
      <c r="AB1286" s="2"/>
      <c r="AC1286" s="2"/>
      <c r="AD1286" s="2"/>
    </row>
    <row r="1287" spans="1:30" ht="12" customHeight="1">
      <c r="A1287" s="828" t="s">
        <v>17981</v>
      </c>
      <c r="B1287" s="3" t="s">
        <v>4915</v>
      </c>
      <c r="C1287" s="1" t="s">
        <v>5786</v>
      </c>
      <c r="D1287" s="5">
        <f t="shared" si="20"/>
        <v>45</v>
      </c>
      <c r="E1287" s="2" t="s">
        <v>5</v>
      </c>
      <c r="F1287" s="2" t="s">
        <v>15273</v>
      </c>
      <c r="G1287" s="3"/>
      <c r="H1287" s="1"/>
      <c r="I1287" s="1"/>
      <c r="J1287" s="4" t="s">
        <v>16116</v>
      </c>
      <c r="K1287" s="1" t="s">
        <v>4997</v>
      </c>
      <c r="L1287" s="1" t="s">
        <v>6</v>
      </c>
      <c r="M1287" s="825"/>
      <c r="N1287" s="17"/>
      <c r="O1287" s="3" t="s">
        <v>5819</v>
      </c>
      <c r="P1287" s="20">
        <v>24566</v>
      </c>
      <c r="Q1287" s="3" t="s">
        <v>16085</v>
      </c>
      <c r="R1287" s="3"/>
      <c r="S1287" s="3" t="s">
        <v>469</v>
      </c>
      <c r="T1287" s="3"/>
      <c r="U1287" s="2"/>
      <c r="V1287" s="2"/>
      <c r="W1287" s="2"/>
      <c r="X1287" s="2"/>
      <c r="Y1287" s="2"/>
      <c r="Z1287" s="2"/>
      <c r="AA1287" s="2"/>
      <c r="AB1287" s="2"/>
      <c r="AC1287" s="2"/>
      <c r="AD1287" s="2"/>
    </row>
    <row r="1288" spans="1:30" ht="12" customHeight="1">
      <c r="A1288" s="828" t="s">
        <v>17982</v>
      </c>
      <c r="B1288" s="3" t="s">
        <v>5171</v>
      </c>
      <c r="C1288" s="1" t="s">
        <v>5340</v>
      </c>
      <c r="D1288" s="5">
        <f t="shared" si="20"/>
        <v>65</v>
      </c>
      <c r="E1288" s="2" t="s">
        <v>5</v>
      </c>
      <c r="F1288" s="2"/>
      <c r="G1288" s="3"/>
      <c r="H1288" s="1"/>
      <c r="I1288" s="1"/>
      <c r="J1288" s="4" t="s">
        <v>16117</v>
      </c>
      <c r="K1288" s="1"/>
      <c r="L1288" s="1" t="s">
        <v>6</v>
      </c>
      <c r="M1288" s="825"/>
      <c r="N1288" s="17"/>
      <c r="O1288" s="3" t="s">
        <v>5819</v>
      </c>
      <c r="P1288" s="20">
        <v>17508</v>
      </c>
      <c r="Q1288" s="3" t="s">
        <v>5341</v>
      </c>
      <c r="R1288" s="3"/>
      <c r="S1288" s="3"/>
      <c r="T1288" s="3"/>
      <c r="U1288" s="2"/>
      <c r="V1288" s="2"/>
      <c r="W1288" s="2"/>
      <c r="X1288" s="2"/>
      <c r="Y1288" s="2"/>
      <c r="Z1288" s="2"/>
      <c r="AA1288" s="2"/>
      <c r="AB1288" s="2"/>
      <c r="AC1288" s="2"/>
      <c r="AD1288" s="2"/>
    </row>
    <row r="1289" spans="1:30" ht="12" customHeight="1">
      <c r="A1289" s="828" t="s">
        <v>17983</v>
      </c>
      <c r="B1289" s="3" t="s">
        <v>5785</v>
      </c>
      <c r="C1289" s="1" t="s">
        <v>5172</v>
      </c>
      <c r="D1289" s="5">
        <f t="shared" si="20"/>
        <v>48</v>
      </c>
      <c r="E1289" s="2" t="s">
        <v>5</v>
      </c>
      <c r="F1289" s="2"/>
      <c r="G1289" s="3"/>
      <c r="H1289" s="1"/>
      <c r="I1289" s="1"/>
      <c r="J1289" s="4" t="s">
        <v>16122</v>
      </c>
      <c r="K1289" s="1" t="s">
        <v>22</v>
      </c>
      <c r="L1289" s="1" t="s">
        <v>6</v>
      </c>
      <c r="M1289" s="825"/>
      <c r="N1289" s="17"/>
      <c r="O1289" s="3" t="s">
        <v>5173</v>
      </c>
      <c r="P1289" s="20">
        <v>23504</v>
      </c>
      <c r="Q1289" s="3" t="s">
        <v>5170</v>
      </c>
      <c r="R1289" s="3"/>
      <c r="S1289" s="3"/>
      <c r="T1289" s="3"/>
      <c r="U1289" s="2"/>
      <c r="V1289" s="2"/>
      <c r="W1289" s="2"/>
      <c r="X1289" s="2"/>
      <c r="Y1289" s="2"/>
      <c r="Z1289" s="2"/>
      <c r="AA1289" s="2"/>
      <c r="AB1289" s="2"/>
      <c r="AC1289" s="2"/>
      <c r="AD1289" s="2"/>
    </row>
    <row r="1290" spans="1:30" ht="12" customHeight="1">
      <c r="A1290" s="828" t="s">
        <v>17984</v>
      </c>
      <c r="B1290" s="3" t="s">
        <v>4927</v>
      </c>
      <c r="C1290" s="1" t="s">
        <v>4931</v>
      </c>
      <c r="D1290" s="5">
        <f t="shared" si="20"/>
        <v>45</v>
      </c>
      <c r="E1290" s="2" t="s">
        <v>5</v>
      </c>
      <c r="F1290" s="6" t="s">
        <v>15273</v>
      </c>
      <c r="G1290" s="3"/>
      <c r="H1290" s="1"/>
      <c r="I1290" s="1"/>
      <c r="J1290" s="8" t="s">
        <v>16127</v>
      </c>
      <c r="K1290" s="1" t="s">
        <v>44</v>
      </c>
      <c r="L1290" s="1" t="s">
        <v>6</v>
      </c>
      <c r="M1290" s="825"/>
      <c r="N1290" s="17"/>
      <c r="O1290" s="3" t="s">
        <v>5841</v>
      </c>
      <c r="P1290" s="20">
        <v>24799</v>
      </c>
      <c r="Q1290" s="3" t="s">
        <v>5842</v>
      </c>
      <c r="R1290" s="3"/>
      <c r="S1290" s="3"/>
      <c r="T1290" s="3" t="s">
        <v>145</v>
      </c>
      <c r="U1290" s="2"/>
      <c r="V1290" s="2" t="s">
        <v>145</v>
      </c>
      <c r="W1290" s="2"/>
      <c r="X1290" s="2"/>
      <c r="Y1290" s="2"/>
      <c r="Z1290" s="2"/>
      <c r="AA1290" s="2"/>
      <c r="AB1290" s="2"/>
      <c r="AC1290" s="2"/>
      <c r="AD1290" s="2"/>
    </row>
    <row r="1291" spans="1:30" ht="12" customHeight="1">
      <c r="A1291" s="828" t="s">
        <v>17985</v>
      </c>
      <c r="B1291" s="3" t="s">
        <v>4928</v>
      </c>
      <c r="C1291" s="1" t="s">
        <v>4934</v>
      </c>
      <c r="D1291" s="5">
        <f t="shared" si="20"/>
        <v>58</v>
      </c>
      <c r="E1291" s="2" t="s">
        <v>5</v>
      </c>
      <c r="F1291" s="2" t="s">
        <v>15273</v>
      </c>
      <c r="G1291" s="3"/>
      <c r="H1291" s="1"/>
      <c r="I1291" s="1"/>
      <c r="J1291" s="4" t="s">
        <v>16120</v>
      </c>
      <c r="K1291" s="1" t="s">
        <v>13</v>
      </c>
      <c r="L1291" s="1" t="s">
        <v>14</v>
      </c>
      <c r="M1291" s="825">
        <v>2</v>
      </c>
      <c r="N1291" s="17">
        <v>2</v>
      </c>
      <c r="O1291" s="3" t="s">
        <v>450</v>
      </c>
      <c r="P1291" s="20">
        <v>19943</v>
      </c>
      <c r="Q1291" s="3" t="s">
        <v>4938</v>
      </c>
      <c r="R1291" s="3" t="s">
        <v>809</v>
      </c>
      <c r="S1291" s="3" t="s">
        <v>5457</v>
      </c>
      <c r="T1291" s="3" t="s">
        <v>572</v>
      </c>
      <c r="U1291" s="2"/>
      <c r="V1291" s="2" t="s">
        <v>145</v>
      </c>
      <c r="W1291" s="2"/>
      <c r="X1291" s="2"/>
      <c r="Y1291" s="2"/>
      <c r="Z1291" s="2"/>
      <c r="AA1291" s="2" t="s">
        <v>104</v>
      </c>
      <c r="AB1291" s="2"/>
      <c r="AC1291" s="2"/>
      <c r="AD1291" s="2"/>
    </row>
    <row r="1292" spans="1:30" ht="12" customHeight="1">
      <c r="A1292" s="828" t="s">
        <v>17986</v>
      </c>
      <c r="B1292" s="3" t="s">
        <v>4929</v>
      </c>
      <c r="C1292" s="1" t="s">
        <v>5445</v>
      </c>
      <c r="D1292" s="5">
        <f t="shared" si="20"/>
        <v>34</v>
      </c>
      <c r="E1292" s="2" t="s">
        <v>5</v>
      </c>
      <c r="F1292" s="2" t="s">
        <v>15273</v>
      </c>
      <c r="G1292" s="3"/>
      <c r="H1292" s="1"/>
      <c r="I1292" s="1"/>
      <c r="J1292" s="4" t="s">
        <v>16116</v>
      </c>
      <c r="K1292" s="1" t="s">
        <v>4997</v>
      </c>
      <c r="L1292" s="1" t="s">
        <v>6</v>
      </c>
      <c r="M1292" s="825"/>
      <c r="N1292" s="17"/>
      <c r="O1292" s="3" t="s">
        <v>245</v>
      </c>
      <c r="P1292" s="21">
        <v>28712</v>
      </c>
      <c r="Q1292" s="3" t="s">
        <v>16304</v>
      </c>
      <c r="R1292" s="3"/>
      <c r="S1292" s="3" t="s">
        <v>469</v>
      </c>
      <c r="T1292" s="3"/>
      <c r="U1292" s="2"/>
      <c r="V1292" s="2"/>
      <c r="W1292" s="2"/>
      <c r="X1292" s="2"/>
      <c r="Y1292" s="2"/>
      <c r="Z1292" s="2"/>
      <c r="AA1292" s="2"/>
      <c r="AB1292" s="2"/>
      <c r="AC1292" s="2"/>
      <c r="AD1292" s="2"/>
    </row>
    <row r="1293" spans="1:30" ht="12" customHeight="1">
      <c r="A1293" s="828" t="s">
        <v>17987</v>
      </c>
      <c r="B1293" s="3" t="s">
        <v>4930</v>
      </c>
      <c r="C1293" s="1" t="s">
        <v>4939</v>
      </c>
      <c r="D1293" s="5">
        <f t="shared" si="20"/>
        <v>56</v>
      </c>
      <c r="E1293" s="2" t="s">
        <v>5</v>
      </c>
      <c r="F1293" s="2"/>
      <c r="G1293" s="3"/>
      <c r="H1293" s="1"/>
      <c r="I1293" s="1"/>
      <c r="J1293" s="4" t="s">
        <v>16117</v>
      </c>
      <c r="K1293" s="1"/>
      <c r="L1293" s="1" t="s">
        <v>6</v>
      </c>
      <c r="M1293" s="825"/>
      <c r="N1293" s="17"/>
      <c r="O1293" s="3" t="s">
        <v>4940</v>
      </c>
      <c r="P1293" s="21">
        <v>20675</v>
      </c>
      <c r="Q1293" s="3" t="s">
        <v>4941</v>
      </c>
      <c r="R1293" s="3"/>
      <c r="S1293" s="3"/>
      <c r="T1293" s="3"/>
      <c r="U1293" s="2"/>
      <c r="V1293" s="2"/>
      <c r="W1293" s="2"/>
      <c r="X1293" s="2"/>
      <c r="Y1293" s="2"/>
      <c r="Z1293" s="2"/>
      <c r="AA1293" s="2"/>
      <c r="AB1293" s="2"/>
      <c r="AC1293" s="2"/>
      <c r="AD1293" s="2"/>
    </row>
    <row r="1294" spans="1:30" ht="12" customHeight="1">
      <c r="A1294" s="828" t="s">
        <v>17988</v>
      </c>
      <c r="B1294" s="3" t="s">
        <v>5444</v>
      </c>
      <c r="C1294" s="1" t="s">
        <v>4942</v>
      </c>
      <c r="D1294" s="5">
        <f t="shared" si="20"/>
        <v>54</v>
      </c>
      <c r="E1294" s="2" t="s">
        <v>5</v>
      </c>
      <c r="F1294" s="2"/>
      <c r="G1294" s="3" t="s">
        <v>4943</v>
      </c>
      <c r="H1294" s="1"/>
      <c r="I1294" s="1"/>
      <c r="J1294" s="4" t="s">
        <v>16129</v>
      </c>
      <c r="K1294" s="1" t="s">
        <v>4944</v>
      </c>
      <c r="L1294" s="1" t="s">
        <v>25</v>
      </c>
      <c r="M1294" s="825">
        <v>1</v>
      </c>
      <c r="N1294" s="17">
        <v>1</v>
      </c>
      <c r="O1294" s="3" t="s">
        <v>4660</v>
      </c>
      <c r="P1294" s="20">
        <v>21482</v>
      </c>
      <c r="Q1294" s="3" t="s">
        <v>4945</v>
      </c>
      <c r="R1294" s="3"/>
      <c r="S1294" s="3" t="s">
        <v>16652</v>
      </c>
      <c r="T1294" s="3"/>
      <c r="U1294" s="2"/>
      <c r="V1294" s="2"/>
      <c r="W1294" s="2"/>
      <c r="X1294" s="2"/>
      <c r="Y1294" s="2"/>
      <c r="Z1294" s="2"/>
      <c r="AA1294" s="2"/>
      <c r="AB1294" s="2"/>
      <c r="AC1294" s="2"/>
      <c r="AD1294" s="2"/>
    </row>
    <row r="1295" spans="1:30" ht="12" customHeight="1">
      <c r="A1295" s="828" t="s">
        <v>17989</v>
      </c>
      <c r="B1295" s="22" t="s">
        <v>18203</v>
      </c>
      <c r="C1295" s="2" t="s">
        <v>5246</v>
      </c>
      <c r="D1295" s="5">
        <f t="shared" si="20"/>
        <v>55</v>
      </c>
      <c r="E1295" s="2" t="s">
        <v>5</v>
      </c>
      <c r="F1295" s="2" t="s">
        <v>6067</v>
      </c>
      <c r="G1295" s="22"/>
      <c r="H1295" s="2"/>
      <c r="I1295" s="2"/>
      <c r="J1295" s="23" t="s">
        <v>16120</v>
      </c>
      <c r="K1295" s="2" t="s">
        <v>5247</v>
      </c>
      <c r="L1295" s="2" t="s">
        <v>6</v>
      </c>
      <c r="M1295" s="826"/>
      <c r="N1295" s="25"/>
      <c r="O1295" s="22" t="s">
        <v>5248</v>
      </c>
      <c r="P1295" s="21">
        <v>21149</v>
      </c>
      <c r="Q1295" s="22" t="s">
        <v>16136</v>
      </c>
      <c r="R1295" s="22"/>
      <c r="S1295" s="22"/>
      <c r="T1295" s="22" t="s">
        <v>5249</v>
      </c>
      <c r="U1295" s="2"/>
      <c r="V1295" s="2"/>
      <c r="W1295" s="2" t="s">
        <v>75</v>
      </c>
      <c r="X1295" s="2"/>
      <c r="Y1295" s="2"/>
      <c r="Z1295" s="2"/>
      <c r="AA1295" s="2" t="s">
        <v>104</v>
      </c>
      <c r="AB1295" s="2"/>
      <c r="AC1295" s="2"/>
      <c r="AD1295" s="2"/>
    </row>
    <row r="1296" spans="1:30" ht="12" customHeight="1">
      <c r="A1296" s="828" t="s">
        <v>17990</v>
      </c>
      <c r="B1296" s="22" t="s">
        <v>18203</v>
      </c>
      <c r="C1296" s="2" t="s">
        <v>6041</v>
      </c>
      <c r="D1296" s="5">
        <f t="shared" si="20"/>
        <v>63</v>
      </c>
      <c r="E1296" s="2" t="s">
        <v>5</v>
      </c>
      <c r="F1296" s="2" t="s">
        <v>6067</v>
      </c>
      <c r="G1296" s="22"/>
      <c r="H1296" s="2"/>
      <c r="I1296" s="2"/>
      <c r="J1296" s="4" t="s">
        <v>16120</v>
      </c>
      <c r="K1296" s="2" t="s">
        <v>5247</v>
      </c>
      <c r="L1296" s="2" t="s">
        <v>6</v>
      </c>
      <c r="M1296" s="826"/>
      <c r="N1296" s="25"/>
      <c r="O1296" s="22" t="s">
        <v>16133</v>
      </c>
      <c r="P1296" s="21">
        <v>17945</v>
      </c>
      <c r="Q1296" s="22" t="s">
        <v>6043</v>
      </c>
      <c r="R1296" s="22"/>
      <c r="S1296" s="22"/>
      <c r="T1296" s="22" t="s">
        <v>145</v>
      </c>
      <c r="U1296" s="2"/>
      <c r="V1296" s="2" t="s">
        <v>145</v>
      </c>
      <c r="W1296" s="2"/>
      <c r="X1296" s="2"/>
      <c r="Y1296" s="2"/>
      <c r="Z1296" s="2"/>
      <c r="AA1296" s="2"/>
      <c r="AB1296" s="2"/>
      <c r="AC1296" s="2"/>
      <c r="AD1296" s="2"/>
    </row>
    <row r="1297" spans="1:30" ht="12" customHeight="1">
      <c r="A1297" s="828" t="s">
        <v>17991</v>
      </c>
      <c r="B1297" s="22" t="s">
        <v>18203</v>
      </c>
      <c r="C1297" s="2" t="s">
        <v>6045</v>
      </c>
      <c r="D1297" s="5">
        <f t="shared" si="20"/>
        <v>38</v>
      </c>
      <c r="E1297" s="2" t="s">
        <v>5</v>
      </c>
      <c r="F1297" s="2" t="s">
        <v>6067</v>
      </c>
      <c r="G1297" s="22"/>
      <c r="H1297" s="2"/>
      <c r="I1297" s="2"/>
      <c r="J1297" s="4" t="s">
        <v>16120</v>
      </c>
      <c r="K1297" s="2" t="s">
        <v>5247</v>
      </c>
      <c r="L1297" s="2" t="s">
        <v>6</v>
      </c>
      <c r="M1297" s="826"/>
      <c r="N1297" s="25"/>
      <c r="O1297" s="22" t="s">
        <v>23</v>
      </c>
      <c r="P1297" s="21">
        <v>27359</v>
      </c>
      <c r="Q1297" s="22" t="s">
        <v>6047</v>
      </c>
      <c r="R1297" s="22"/>
      <c r="S1297" s="22"/>
      <c r="T1297" s="22"/>
      <c r="U1297" s="2"/>
      <c r="V1297" s="2"/>
      <c r="W1297" s="2"/>
      <c r="X1297" s="2"/>
      <c r="Y1297" s="2"/>
      <c r="Z1297" s="2"/>
      <c r="AA1297" s="2"/>
      <c r="AB1297" s="2"/>
      <c r="AC1297" s="2"/>
      <c r="AD1297" s="2"/>
    </row>
    <row r="1298" spans="1:30" ht="12" customHeight="1">
      <c r="A1298" s="828" t="s">
        <v>17992</v>
      </c>
      <c r="B1298" s="22" t="s">
        <v>18203</v>
      </c>
      <c r="C1298" s="2" t="s">
        <v>6048</v>
      </c>
      <c r="D1298" s="5">
        <f t="shared" si="20"/>
        <v>43</v>
      </c>
      <c r="E1298" s="2" t="s">
        <v>19</v>
      </c>
      <c r="F1298" s="2" t="s">
        <v>6067</v>
      </c>
      <c r="G1298" s="22"/>
      <c r="H1298" s="2"/>
      <c r="I1298" s="2"/>
      <c r="J1298" s="8" t="s">
        <v>16120</v>
      </c>
      <c r="K1298" s="2" t="s">
        <v>5247</v>
      </c>
      <c r="L1298" s="2" t="s">
        <v>6</v>
      </c>
      <c r="M1298" s="826"/>
      <c r="N1298" s="25"/>
      <c r="O1298" s="22" t="s">
        <v>16135</v>
      </c>
      <c r="P1298" s="21">
        <v>25543</v>
      </c>
      <c r="Q1298" s="22" t="s">
        <v>16134</v>
      </c>
      <c r="R1298" s="22"/>
      <c r="S1298" s="22"/>
      <c r="T1298" s="22"/>
      <c r="U1298" s="2"/>
      <c r="V1298" s="2"/>
      <c r="W1298" s="2"/>
      <c r="X1298" s="2"/>
      <c r="Y1298" s="2"/>
      <c r="Z1298" s="2"/>
      <c r="AA1298" s="2"/>
      <c r="AB1298" s="2"/>
      <c r="AC1298" s="2"/>
      <c r="AD1298" s="2"/>
    </row>
    <row r="1299" spans="1:30" ht="12" customHeight="1">
      <c r="A1299" s="828" t="s">
        <v>17993</v>
      </c>
      <c r="B1299" s="22" t="s">
        <v>18203</v>
      </c>
      <c r="C1299" s="6" t="s">
        <v>2076</v>
      </c>
      <c r="D1299" s="5">
        <f t="shared" si="20"/>
        <v>52</v>
      </c>
      <c r="E1299" s="6" t="s">
        <v>5</v>
      </c>
      <c r="F1299" s="2" t="s">
        <v>6067</v>
      </c>
      <c r="G1299" s="12"/>
      <c r="H1299" s="6"/>
      <c r="I1299" s="19"/>
      <c r="J1299" s="8" t="s">
        <v>16118</v>
      </c>
      <c r="K1299" s="6"/>
      <c r="L1299" s="6" t="s">
        <v>6</v>
      </c>
      <c r="M1299" s="6"/>
      <c r="N1299" s="14"/>
      <c r="O1299" s="12" t="s">
        <v>1884</v>
      </c>
      <c r="P1299" s="15">
        <v>22185</v>
      </c>
      <c r="Q1299" s="12" t="s">
        <v>2079</v>
      </c>
      <c r="R1299" s="12"/>
      <c r="S1299" s="12"/>
      <c r="T1299" s="12" t="s">
        <v>145</v>
      </c>
      <c r="U1299" s="6"/>
      <c r="V1299" s="2" t="s">
        <v>145</v>
      </c>
      <c r="W1299" s="2"/>
      <c r="X1299" s="2"/>
      <c r="Y1299" s="2"/>
      <c r="Z1299" s="2"/>
      <c r="AA1299" s="2"/>
      <c r="AB1299" s="2"/>
      <c r="AC1299" s="2"/>
      <c r="AD1299" s="2"/>
    </row>
    <row r="1300" spans="1:30" ht="12" customHeight="1">
      <c r="A1300" s="828" t="s">
        <v>17994</v>
      </c>
      <c r="B1300" s="22" t="s">
        <v>18203</v>
      </c>
      <c r="C1300" s="6" t="s">
        <v>5891</v>
      </c>
      <c r="D1300" s="5">
        <f t="shared" si="20"/>
        <v>48</v>
      </c>
      <c r="E1300" s="6" t="s">
        <v>5</v>
      </c>
      <c r="F1300" s="2" t="s">
        <v>6067</v>
      </c>
      <c r="G1300" s="12"/>
      <c r="H1300" s="6"/>
      <c r="I1300" s="19"/>
      <c r="J1300" s="8" t="s">
        <v>16118</v>
      </c>
      <c r="K1300" s="6"/>
      <c r="L1300" s="6" t="s">
        <v>6</v>
      </c>
      <c r="M1300" s="6"/>
      <c r="N1300" s="14"/>
      <c r="O1300" s="12" t="s">
        <v>23</v>
      </c>
      <c r="P1300" s="15">
        <v>23462</v>
      </c>
      <c r="Q1300" s="12" t="s">
        <v>5892</v>
      </c>
      <c r="R1300" s="12"/>
      <c r="S1300" s="12"/>
      <c r="T1300" s="12"/>
      <c r="U1300" s="6"/>
      <c r="V1300" s="2"/>
      <c r="W1300" s="2"/>
      <c r="X1300" s="2"/>
      <c r="Y1300" s="2"/>
      <c r="Z1300" s="2"/>
      <c r="AA1300" s="2"/>
      <c r="AB1300" s="2"/>
      <c r="AC1300" s="2"/>
      <c r="AD1300" s="2"/>
    </row>
    <row r="1301" spans="1:30" ht="12" customHeight="1">
      <c r="A1301" s="828" t="s">
        <v>17995</v>
      </c>
      <c r="B1301" s="22" t="s">
        <v>18203</v>
      </c>
      <c r="C1301" s="6" t="s">
        <v>15947</v>
      </c>
      <c r="D1301" s="5">
        <f t="shared" si="20"/>
        <v>35</v>
      </c>
      <c r="E1301" s="6" t="s">
        <v>5</v>
      </c>
      <c r="F1301" s="2" t="s">
        <v>6067</v>
      </c>
      <c r="G1301" s="12"/>
      <c r="H1301" s="6"/>
      <c r="I1301" s="19"/>
      <c r="J1301" s="8" t="s">
        <v>16130</v>
      </c>
      <c r="K1301" s="6" t="s">
        <v>4993</v>
      </c>
      <c r="L1301" s="6" t="s">
        <v>6</v>
      </c>
      <c r="M1301" s="6"/>
      <c r="N1301" s="14"/>
      <c r="O1301" s="12" t="s">
        <v>2214</v>
      </c>
      <c r="P1301" s="15">
        <v>28461</v>
      </c>
      <c r="Q1301" s="12" t="s">
        <v>15663</v>
      </c>
      <c r="R1301" s="12"/>
      <c r="S1301" s="12"/>
      <c r="T1301" s="12"/>
      <c r="U1301" s="6"/>
      <c r="V1301" s="2"/>
      <c r="W1301" s="2"/>
      <c r="X1301" s="2"/>
      <c r="Y1301" s="2"/>
      <c r="Z1301" s="2"/>
      <c r="AA1301" s="2"/>
      <c r="AB1301" s="2"/>
      <c r="AC1301" s="2"/>
      <c r="AD1301" s="2"/>
    </row>
    <row r="1302" spans="1:30" ht="12" customHeight="1">
      <c r="A1302" s="828" t="s">
        <v>17996</v>
      </c>
      <c r="B1302" s="22" t="s">
        <v>18203</v>
      </c>
      <c r="C1302" s="2" t="s">
        <v>2081</v>
      </c>
      <c r="D1302" s="5">
        <f t="shared" si="20"/>
        <v>41</v>
      </c>
      <c r="E1302" s="2" t="s">
        <v>5</v>
      </c>
      <c r="F1302" s="2" t="s">
        <v>6067</v>
      </c>
      <c r="G1302" s="22"/>
      <c r="H1302" s="2"/>
      <c r="I1302" s="2"/>
      <c r="J1302" s="23" t="s">
        <v>16117</v>
      </c>
      <c r="K1302" s="2"/>
      <c r="L1302" s="2" t="s">
        <v>6</v>
      </c>
      <c r="M1302" s="826"/>
      <c r="N1302" s="25"/>
      <c r="O1302" s="22" t="s">
        <v>2082</v>
      </c>
      <c r="P1302" s="21">
        <v>26165</v>
      </c>
      <c r="Q1302" s="22" t="s">
        <v>2083</v>
      </c>
      <c r="R1302" s="22"/>
      <c r="S1302" s="22"/>
      <c r="T1302" s="22"/>
      <c r="U1302" s="2"/>
      <c r="V1302" s="2"/>
      <c r="W1302" s="2"/>
      <c r="X1302" s="2"/>
      <c r="Y1302" s="2"/>
      <c r="Z1302" s="2"/>
      <c r="AA1302" s="2"/>
      <c r="AB1302" s="2"/>
      <c r="AC1302" s="2"/>
      <c r="AD1302" s="2"/>
    </row>
    <row r="1303" spans="1:30" ht="12" customHeight="1">
      <c r="A1303" s="828" t="s">
        <v>17997</v>
      </c>
      <c r="B1303" s="22" t="s">
        <v>18203</v>
      </c>
      <c r="C1303" s="2" t="s">
        <v>2313</v>
      </c>
      <c r="D1303" s="5">
        <f t="shared" si="20"/>
        <v>56</v>
      </c>
      <c r="E1303" s="2" t="s">
        <v>5</v>
      </c>
      <c r="F1303" s="2" t="s">
        <v>6067</v>
      </c>
      <c r="G1303" s="22"/>
      <c r="H1303" s="2"/>
      <c r="I1303" s="2"/>
      <c r="J1303" s="23" t="s">
        <v>16121</v>
      </c>
      <c r="K1303" s="2"/>
      <c r="L1303" s="2" t="s">
        <v>6</v>
      </c>
      <c r="M1303" s="826"/>
      <c r="N1303" s="25"/>
      <c r="O1303" s="22" t="s">
        <v>2314</v>
      </c>
      <c r="P1303" s="21">
        <v>20622</v>
      </c>
      <c r="Q1303" s="22" t="s">
        <v>2316</v>
      </c>
      <c r="R1303" s="22"/>
      <c r="S1303" s="22"/>
      <c r="T1303" s="22" t="s">
        <v>69</v>
      </c>
      <c r="U1303" s="2"/>
      <c r="V1303" s="2"/>
      <c r="W1303" s="2"/>
      <c r="X1303" s="2"/>
      <c r="Y1303" s="2"/>
      <c r="Z1303" s="2"/>
      <c r="AA1303" s="2"/>
      <c r="AB1303" s="2"/>
      <c r="AC1303" s="2"/>
      <c r="AD1303" s="2" t="s">
        <v>69</v>
      </c>
    </row>
    <row r="1304" spans="1:30" ht="12" customHeight="1">
      <c r="A1304" s="828" t="s">
        <v>17998</v>
      </c>
      <c r="B1304" s="22" t="s">
        <v>18203</v>
      </c>
      <c r="C1304" s="2" t="s">
        <v>4599</v>
      </c>
      <c r="D1304" s="5">
        <f t="shared" si="20"/>
        <v>41</v>
      </c>
      <c r="E1304" s="2" t="s">
        <v>5</v>
      </c>
      <c r="F1304" s="2" t="s">
        <v>6067</v>
      </c>
      <c r="G1304" s="22"/>
      <c r="H1304" s="2"/>
      <c r="I1304" s="2"/>
      <c r="J1304" s="23" t="s">
        <v>16122</v>
      </c>
      <c r="K1304" s="2" t="s">
        <v>22</v>
      </c>
      <c r="L1304" s="2" t="s">
        <v>6</v>
      </c>
      <c r="M1304" s="826"/>
      <c r="N1304" s="25"/>
      <c r="O1304" s="22" t="s">
        <v>172</v>
      </c>
      <c r="P1304" s="21">
        <v>26021</v>
      </c>
      <c r="Q1304" s="22" t="s">
        <v>4600</v>
      </c>
      <c r="R1304" s="22"/>
      <c r="S1304" s="22"/>
      <c r="T1304" s="22"/>
      <c r="U1304" s="2"/>
      <c r="V1304" s="2"/>
      <c r="W1304" s="2"/>
      <c r="X1304" s="2"/>
      <c r="Y1304" s="2"/>
      <c r="Z1304" s="2"/>
      <c r="AA1304" s="2"/>
      <c r="AB1304" s="2"/>
      <c r="AC1304" s="2"/>
      <c r="AD1304" s="2"/>
    </row>
    <row r="1305" spans="1:30" ht="12" customHeight="1">
      <c r="A1305" s="828" t="s">
        <v>17999</v>
      </c>
      <c r="B1305" s="22" t="s">
        <v>18203</v>
      </c>
      <c r="C1305" s="2" t="s">
        <v>4601</v>
      </c>
      <c r="D1305" s="5">
        <f t="shared" si="20"/>
        <v>42</v>
      </c>
      <c r="E1305" s="2" t="s">
        <v>5</v>
      </c>
      <c r="F1305" s="2" t="s">
        <v>6067</v>
      </c>
      <c r="G1305" s="22"/>
      <c r="H1305" s="2"/>
      <c r="I1305" s="2"/>
      <c r="J1305" s="23" t="s">
        <v>16122</v>
      </c>
      <c r="K1305" s="2" t="s">
        <v>22</v>
      </c>
      <c r="L1305" s="2" t="s">
        <v>6</v>
      </c>
      <c r="M1305" s="826"/>
      <c r="N1305" s="25"/>
      <c r="O1305" s="22" t="s">
        <v>23</v>
      </c>
      <c r="P1305" s="21">
        <v>25680</v>
      </c>
      <c r="Q1305" s="22" t="s">
        <v>4603</v>
      </c>
      <c r="R1305" s="22"/>
      <c r="S1305" s="22"/>
      <c r="T1305" s="22"/>
      <c r="U1305" s="2"/>
      <c r="V1305" s="2"/>
      <c r="W1305" s="2"/>
      <c r="X1305" s="2"/>
      <c r="Y1305" s="2"/>
      <c r="Z1305" s="2"/>
      <c r="AA1305" s="2"/>
      <c r="AB1305" s="2"/>
      <c r="AC1305" s="2"/>
      <c r="AD1305" s="2"/>
    </row>
    <row r="1306" spans="1:30" ht="12" customHeight="1">
      <c r="A1306" s="828" t="s">
        <v>18000</v>
      </c>
      <c r="B1306" s="22" t="s">
        <v>18204</v>
      </c>
      <c r="C1306" s="2" t="s">
        <v>6055</v>
      </c>
      <c r="D1306" s="5">
        <f t="shared" si="20"/>
        <v>65</v>
      </c>
      <c r="E1306" s="2" t="s">
        <v>5</v>
      </c>
      <c r="F1306" s="2" t="s">
        <v>6067</v>
      </c>
      <c r="G1306" s="22"/>
      <c r="H1306" s="2"/>
      <c r="I1306" s="2"/>
      <c r="J1306" s="8" t="s">
        <v>16120</v>
      </c>
      <c r="K1306" s="2" t="s">
        <v>5247</v>
      </c>
      <c r="L1306" s="2" t="s">
        <v>6</v>
      </c>
      <c r="M1306" s="826"/>
      <c r="N1306" s="25"/>
      <c r="O1306" s="22" t="s">
        <v>16154</v>
      </c>
      <c r="P1306" s="21">
        <v>17458</v>
      </c>
      <c r="Q1306" s="22" t="s">
        <v>15252</v>
      </c>
      <c r="R1306" s="22"/>
      <c r="S1306" s="22"/>
      <c r="T1306" s="22"/>
      <c r="U1306" s="2"/>
      <c r="V1306" s="2"/>
      <c r="W1306" s="2"/>
      <c r="X1306" s="2"/>
      <c r="Y1306" s="2"/>
      <c r="Z1306" s="2"/>
      <c r="AA1306" s="2"/>
      <c r="AB1306" s="2"/>
      <c r="AC1306" s="2"/>
      <c r="AD1306" s="2"/>
    </row>
    <row r="1307" spans="1:30" ht="12" customHeight="1">
      <c r="A1307" s="828" t="s">
        <v>18001</v>
      </c>
      <c r="B1307" s="22" t="s">
        <v>18204</v>
      </c>
      <c r="C1307" s="2" t="s">
        <v>6056</v>
      </c>
      <c r="D1307" s="5">
        <f t="shared" si="20"/>
        <v>62</v>
      </c>
      <c r="E1307" s="2" t="s">
        <v>5</v>
      </c>
      <c r="F1307" s="2" t="s">
        <v>6067</v>
      </c>
      <c r="G1307" s="22"/>
      <c r="H1307" s="2"/>
      <c r="I1307" s="2"/>
      <c r="J1307" s="23" t="s">
        <v>16120</v>
      </c>
      <c r="K1307" s="2" t="s">
        <v>5247</v>
      </c>
      <c r="L1307" s="2" t="s">
        <v>6</v>
      </c>
      <c r="M1307" s="826"/>
      <c r="N1307" s="25"/>
      <c r="O1307" s="22" t="s">
        <v>4999</v>
      </c>
      <c r="P1307" s="21">
        <v>18515</v>
      </c>
      <c r="Q1307" s="22" t="s">
        <v>6057</v>
      </c>
      <c r="R1307" s="22"/>
      <c r="S1307" s="22"/>
      <c r="T1307" s="22"/>
      <c r="U1307" s="2"/>
      <c r="V1307" s="2"/>
      <c r="W1307" s="2"/>
      <c r="X1307" s="2"/>
      <c r="Y1307" s="2"/>
      <c r="Z1307" s="2"/>
      <c r="AA1307" s="2"/>
      <c r="AB1307" s="2"/>
      <c r="AC1307" s="2"/>
      <c r="AD1307" s="2"/>
    </row>
    <row r="1308" spans="1:30" ht="12" customHeight="1">
      <c r="A1308" s="828" t="s">
        <v>18002</v>
      </c>
      <c r="B1308" s="22" t="s">
        <v>18204</v>
      </c>
      <c r="C1308" s="2" t="s">
        <v>2086</v>
      </c>
      <c r="D1308" s="5">
        <f t="shared" si="20"/>
        <v>78</v>
      </c>
      <c r="E1308" s="2" t="s">
        <v>5</v>
      </c>
      <c r="F1308" s="2" t="s">
        <v>6067</v>
      </c>
      <c r="G1308" s="22" t="s">
        <v>2087</v>
      </c>
      <c r="H1308" s="2"/>
      <c r="I1308" s="2"/>
      <c r="J1308" s="23" t="s">
        <v>16125</v>
      </c>
      <c r="K1308" s="2"/>
      <c r="L1308" s="2" t="s">
        <v>25</v>
      </c>
      <c r="M1308" s="826">
        <v>1</v>
      </c>
      <c r="N1308" s="25">
        <v>1</v>
      </c>
      <c r="O1308" s="22" t="s">
        <v>31</v>
      </c>
      <c r="P1308" s="21">
        <v>12516</v>
      </c>
      <c r="Q1308" s="22" t="s">
        <v>2088</v>
      </c>
      <c r="R1308" s="22"/>
      <c r="S1308" s="22"/>
      <c r="T1308" s="22" t="s">
        <v>2089</v>
      </c>
      <c r="U1308" s="2"/>
      <c r="V1308" s="2" t="s">
        <v>145</v>
      </c>
      <c r="W1308" s="2" t="s">
        <v>75</v>
      </c>
      <c r="X1308" s="2"/>
      <c r="Y1308" s="2"/>
      <c r="Z1308" s="2"/>
      <c r="AA1308" s="2" t="s">
        <v>104</v>
      </c>
      <c r="AB1308" s="2"/>
      <c r="AC1308" s="2"/>
      <c r="AD1308" s="2"/>
    </row>
    <row r="1309" spans="1:30" ht="12" customHeight="1">
      <c r="A1309" s="828" t="s">
        <v>18003</v>
      </c>
      <c r="B1309" s="22" t="s">
        <v>18204</v>
      </c>
      <c r="C1309" s="2" t="s">
        <v>15635</v>
      </c>
      <c r="D1309" s="5">
        <f t="shared" si="20"/>
        <v>81</v>
      </c>
      <c r="E1309" s="2" t="s">
        <v>5</v>
      </c>
      <c r="F1309" s="2" t="s">
        <v>6067</v>
      </c>
      <c r="G1309" s="22"/>
      <c r="H1309" s="2"/>
      <c r="I1309" s="2"/>
      <c r="J1309" s="23" t="s">
        <v>16125</v>
      </c>
      <c r="K1309" s="2"/>
      <c r="L1309" s="2" t="s">
        <v>6</v>
      </c>
      <c r="M1309" s="826"/>
      <c r="N1309" s="25"/>
      <c r="O1309" s="22" t="s">
        <v>15636</v>
      </c>
      <c r="P1309" s="21">
        <v>11527</v>
      </c>
      <c r="Q1309" s="22" t="s">
        <v>15637</v>
      </c>
      <c r="R1309" s="22"/>
      <c r="S1309" s="22"/>
      <c r="T1309" s="22" t="s">
        <v>371</v>
      </c>
      <c r="U1309" s="2"/>
      <c r="V1309" s="2" t="s">
        <v>145</v>
      </c>
      <c r="W1309" s="2" t="s">
        <v>75</v>
      </c>
      <c r="X1309" s="2"/>
      <c r="Y1309" s="2"/>
      <c r="Z1309" s="2"/>
      <c r="AA1309" s="2"/>
      <c r="AB1309" s="2"/>
      <c r="AC1309" s="2"/>
      <c r="AD1309" s="2"/>
    </row>
    <row r="1310" spans="1:30" ht="12" customHeight="1">
      <c r="A1310" s="828" t="s">
        <v>18004</v>
      </c>
      <c r="B1310" s="22" t="s">
        <v>18204</v>
      </c>
      <c r="C1310" s="2" t="s">
        <v>2094</v>
      </c>
      <c r="D1310" s="5">
        <f t="shared" si="20"/>
        <v>65</v>
      </c>
      <c r="E1310" s="2" t="s">
        <v>5</v>
      </c>
      <c r="F1310" s="2" t="s">
        <v>6067</v>
      </c>
      <c r="G1310" s="22" t="s">
        <v>2095</v>
      </c>
      <c r="H1310" s="2"/>
      <c r="I1310" s="2"/>
      <c r="J1310" s="23" t="s">
        <v>16118</v>
      </c>
      <c r="K1310" s="2"/>
      <c r="L1310" s="2" t="s">
        <v>25</v>
      </c>
      <c r="M1310" s="826">
        <v>6</v>
      </c>
      <c r="N1310" s="25">
        <v>6</v>
      </c>
      <c r="O1310" s="22" t="s">
        <v>77</v>
      </c>
      <c r="P1310" s="21">
        <v>17372</v>
      </c>
      <c r="Q1310" s="22" t="s">
        <v>2097</v>
      </c>
      <c r="R1310" s="22" t="s">
        <v>2101</v>
      </c>
      <c r="S1310" s="22"/>
      <c r="T1310" s="22"/>
      <c r="U1310" s="2"/>
      <c r="V1310" s="2"/>
      <c r="W1310" s="2"/>
      <c r="X1310" s="2"/>
      <c r="Y1310" s="2"/>
      <c r="Z1310" s="2"/>
      <c r="AA1310" s="2"/>
      <c r="AB1310" s="2"/>
      <c r="AC1310" s="2"/>
      <c r="AD1310" s="2"/>
    </row>
    <row r="1311" spans="1:30" ht="12" customHeight="1">
      <c r="A1311" s="828" t="s">
        <v>18005</v>
      </c>
      <c r="B1311" s="22" t="s">
        <v>18204</v>
      </c>
      <c r="C1311" s="6" t="s">
        <v>2098</v>
      </c>
      <c r="D1311" s="5">
        <f t="shared" si="20"/>
        <v>31</v>
      </c>
      <c r="E1311" s="6" t="s">
        <v>5</v>
      </c>
      <c r="F1311" s="2" t="s">
        <v>6067</v>
      </c>
      <c r="G1311" s="12"/>
      <c r="H1311" s="6"/>
      <c r="I1311" s="19"/>
      <c r="J1311" s="8" t="s">
        <v>16118</v>
      </c>
      <c r="K1311" s="6"/>
      <c r="L1311" s="6" t="s">
        <v>6</v>
      </c>
      <c r="M1311" s="6"/>
      <c r="N1311" s="14"/>
      <c r="O1311" s="12" t="s">
        <v>214</v>
      </c>
      <c r="P1311" s="15">
        <v>29741</v>
      </c>
      <c r="Q1311" s="12" t="s">
        <v>2100</v>
      </c>
      <c r="R1311" s="12"/>
      <c r="S1311" s="12"/>
      <c r="T1311" s="22"/>
      <c r="U1311" s="2"/>
      <c r="V1311" s="2"/>
      <c r="W1311" s="2"/>
      <c r="X1311" s="2"/>
      <c r="Y1311" s="2"/>
      <c r="Z1311" s="2"/>
      <c r="AA1311" s="2"/>
      <c r="AB1311" s="2"/>
      <c r="AC1311" s="2"/>
      <c r="AD1311" s="2"/>
    </row>
    <row r="1312" spans="1:30" ht="12" customHeight="1">
      <c r="A1312" s="828" t="s">
        <v>18006</v>
      </c>
      <c r="B1312" s="22" t="s">
        <v>18204</v>
      </c>
      <c r="C1312" s="6" t="s">
        <v>2102</v>
      </c>
      <c r="D1312" s="5">
        <f t="shared" si="20"/>
        <v>53</v>
      </c>
      <c r="E1312" s="6" t="s">
        <v>19</v>
      </c>
      <c r="F1312" s="2" t="s">
        <v>6067</v>
      </c>
      <c r="G1312" s="12" t="s">
        <v>2103</v>
      </c>
      <c r="H1312" s="6"/>
      <c r="I1312" s="19"/>
      <c r="J1312" s="8" t="s">
        <v>16117</v>
      </c>
      <c r="K1312" s="6"/>
      <c r="L1312" s="6" t="s">
        <v>25</v>
      </c>
      <c r="M1312" s="6">
        <v>3</v>
      </c>
      <c r="N1312" s="14">
        <v>3</v>
      </c>
      <c r="O1312" s="12" t="s">
        <v>164</v>
      </c>
      <c r="P1312" s="15">
        <v>21809</v>
      </c>
      <c r="Q1312" s="12" t="s">
        <v>2105</v>
      </c>
      <c r="R1312" s="12"/>
      <c r="S1312" s="12"/>
      <c r="T1312" s="22" t="s">
        <v>148</v>
      </c>
      <c r="U1312" s="2"/>
      <c r="V1312" s="2" t="s">
        <v>145</v>
      </c>
      <c r="W1312" s="2"/>
      <c r="X1312" s="2"/>
      <c r="Y1312" s="2"/>
      <c r="Z1312" s="2"/>
      <c r="AA1312" s="2"/>
      <c r="AB1312" s="2"/>
      <c r="AC1312" s="2"/>
      <c r="AD1312" s="2" t="s">
        <v>69</v>
      </c>
    </row>
    <row r="1313" spans="1:30" ht="12" customHeight="1">
      <c r="A1313" s="828" t="s">
        <v>18007</v>
      </c>
      <c r="B1313" s="22" t="s">
        <v>18204</v>
      </c>
      <c r="C1313" s="6" t="s">
        <v>5483</v>
      </c>
      <c r="D1313" s="5">
        <f t="shared" si="20"/>
        <v>36</v>
      </c>
      <c r="E1313" s="6" t="s">
        <v>19</v>
      </c>
      <c r="F1313" s="2" t="s">
        <v>6067</v>
      </c>
      <c r="G1313" s="12"/>
      <c r="H1313" s="6"/>
      <c r="I1313" s="19"/>
      <c r="J1313" s="8" t="s">
        <v>16117</v>
      </c>
      <c r="K1313" s="6"/>
      <c r="L1313" s="6" t="s">
        <v>6</v>
      </c>
      <c r="M1313" s="6"/>
      <c r="N1313" s="14"/>
      <c r="O1313" s="12" t="s">
        <v>359</v>
      </c>
      <c r="P1313" s="15">
        <v>28036</v>
      </c>
      <c r="Q1313" s="12" t="s">
        <v>5484</v>
      </c>
      <c r="R1313" s="12"/>
      <c r="S1313" s="12"/>
      <c r="T1313" s="22"/>
      <c r="U1313" s="2"/>
      <c r="V1313" s="2"/>
      <c r="W1313" s="2"/>
      <c r="X1313" s="2"/>
      <c r="Y1313" s="2"/>
      <c r="Z1313" s="2"/>
      <c r="AA1313" s="2"/>
      <c r="AB1313" s="2"/>
      <c r="AC1313" s="2"/>
      <c r="AD1313" s="2"/>
    </row>
    <row r="1314" spans="1:30" ht="12" customHeight="1">
      <c r="A1314" s="828" t="s">
        <v>18008</v>
      </c>
      <c r="B1314" s="22" t="s">
        <v>18204</v>
      </c>
      <c r="C1314" s="2" t="s">
        <v>2106</v>
      </c>
      <c r="D1314" s="5">
        <f t="shared" si="20"/>
        <v>64</v>
      </c>
      <c r="E1314" s="2" t="s">
        <v>5</v>
      </c>
      <c r="F1314" s="2" t="s">
        <v>6067</v>
      </c>
      <c r="G1314" s="22"/>
      <c r="H1314" s="2"/>
      <c r="I1314" s="2"/>
      <c r="J1314" s="23" t="s">
        <v>16121</v>
      </c>
      <c r="K1314" s="2"/>
      <c r="L1314" s="2" t="s">
        <v>6</v>
      </c>
      <c r="M1314" s="826"/>
      <c r="N1314" s="25"/>
      <c r="O1314" s="22" t="s">
        <v>16187</v>
      </c>
      <c r="P1314" s="21">
        <v>17728</v>
      </c>
      <c r="Q1314" s="22" t="s">
        <v>2107</v>
      </c>
      <c r="R1314" s="22"/>
      <c r="S1314" s="22"/>
      <c r="T1314" s="22" t="s">
        <v>148</v>
      </c>
      <c r="U1314" s="2"/>
      <c r="V1314" s="2" t="s">
        <v>145</v>
      </c>
      <c r="W1314" s="2"/>
      <c r="X1314" s="2"/>
      <c r="Y1314" s="2"/>
      <c r="Z1314" s="2"/>
      <c r="AA1314" s="2"/>
      <c r="AB1314" s="2"/>
      <c r="AC1314" s="2"/>
      <c r="AD1314" s="2" t="s">
        <v>69</v>
      </c>
    </row>
    <row r="1315" spans="1:30" ht="12" customHeight="1">
      <c r="A1315" s="828" t="s">
        <v>18009</v>
      </c>
      <c r="B1315" s="22" t="s">
        <v>18204</v>
      </c>
      <c r="C1315" s="6" t="s">
        <v>4661</v>
      </c>
      <c r="D1315" s="5">
        <f t="shared" si="20"/>
        <v>64</v>
      </c>
      <c r="E1315" s="6" t="s">
        <v>5</v>
      </c>
      <c r="F1315" s="2" t="s">
        <v>6067</v>
      </c>
      <c r="G1315" s="12"/>
      <c r="H1315" s="6"/>
      <c r="I1315" s="19"/>
      <c r="J1315" s="8" t="s">
        <v>16121</v>
      </c>
      <c r="K1315" s="6"/>
      <c r="L1315" s="6" t="s">
        <v>14</v>
      </c>
      <c r="M1315" s="6">
        <v>2</v>
      </c>
      <c r="N1315" s="14">
        <v>2</v>
      </c>
      <c r="O1315" s="12" t="s">
        <v>4662</v>
      </c>
      <c r="P1315" s="15">
        <v>17828</v>
      </c>
      <c r="Q1315" s="12" t="s">
        <v>4663</v>
      </c>
      <c r="R1315" s="12"/>
      <c r="S1315" s="12"/>
      <c r="T1315" s="22" t="s">
        <v>148</v>
      </c>
      <c r="U1315" s="2"/>
      <c r="V1315" s="2" t="s">
        <v>145</v>
      </c>
      <c r="W1315" s="2"/>
      <c r="X1315" s="2"/>
      <c r="Y1315" s="2"/>
      <c r="Z1315" s="2"/>
      <c r="AA1315" s="2"/>
      <c r="AB1315" s="2"/>
      <c r="AC1315" s="2"/>
      <c r="AD1315" s="2" t="s">
        <v>69</v>
      </c>
    </row>
    <row r="1316" spans="1:30" ht="12" customHeight="1">
      <c r="A1316" s="828" t="s">
        <v>18010</v>
      </c>
      <c r="B1316" s="22" t="s">
        <v>18204</v>
      </c>
      <c r="C1316" s="2" t="s">
        <v>4652</v>
      </c>
      <c r="D1316" s="5">
        <f t="shared" si="20"/>
        <v>37</v>
      </c>
      <c r="E1316" s="2" t="s">
        <v>5</v>
      </c>
      <c r="F1316" s="2" t="s">
        <v>6067</v>
      </c>
      <c r="G1316" s="22"/>
      <c r="H1316" s="2"/>
      <c r="I1316" s="2"/>
      <c r="J1316" s="8" t="s">
        <v>16131</v>
      </c>
      <c r="K1316" s="2"/>
      <c r="L1316" s="2" t="s">
        <v>6</v>
      </c>
      <c r="M1316" s="826"/>
      <c r="N1316" s="25"/>
      <c r="O1316" s="22" t="s">
        <v>188</v>
      </c>
      <c r="P1316" s="21">
        <v>27504</v>
      </c>
      <c r="Q1316" s="22" t="s">
        <v>4653</v>
      </c>
      <c r="R1316" s="22"/>
      <c r="S1316" s="22"/>
      <c r="T1316" s="22"/>
      <c r="U1316" s="2"/>
      <c r="V1316" s="2"/>
      <c r="W1316" s="2"/>
      <c r="X1316" s="2"/>
      <c r="Y1316" s="2"/>
      <c r="Z1316" s="2"/>
      <c r="AA1316" s="2"/>
      <c r="AB1316" s="2"/>
      <c r="AC1316" s="2"/>
      <c r="AD1316" s="2"/>
    </row>
    <row r="1317" spans="1:30" ht="12" customHeight="1">
      <c r="A1317" s="828" t="s">
        <v>18011</v>
      </c>
      <c r="B1317" s="22" t="s">
        <v>18204</v>
      </c>
      <c r="C1317" s="2" t="s">
        <v>4607</v>
      </c>
      <c r="D1317" s="5">
        <f t="shared" si="20"/>
        <v>55</v>
      </c>
      <c r="E1317" s="2" t="s">
        <v>5</v>
      </c>
      <c r="F1317" s="2" t="s">
        <v>6067</v>
      </c>
      <c r="G1317" s="22"/>
      <c r="H1317" s="2"/>
      <c r="I1317" s="2"/>
      <c r="J1317" s="23" t="s">
        <v>16122</v>
      </c>
      <c r="K1317" s="2" t="s">
        <v>22</v>
      </c>
      <c r="L1317" s="2" t="s">
        <v>6</v>
      </c>
      <c r="M1317" s="826"/>
      <c r="N1317" s="25"/>
      <c r="O1317" s="22" t="s">
        <v>182</v>
      </c>
      <c r="P1317" s="21">
        <v>21013</v>
      </c>
      <c r="Q1317" s="22" t="s">
        <v>4608</v>
      </c>
      <c r="R1317" s="22"/>
      <c r="S1317" s="22"/>
      <c r="T1317" s="22"/>
      <c r="U1317" s="2"/>
      <c r="V1317" s="2"/>
      <c r="W1317" s="2"/>
      <c r="X1317" s="2"/>
      <c r="Y1317" s="2"/>
      <c r="Z1317" s="2"/>
      <c r="AA1317" s="2"/>
      <c r="AB1317" s="2"/>
      <c r="AC1317" s="2"/>
      <c r="AD1317" s="2"/>
    </row>
    <row r="1318" spans="1:30" ht="12" customHeight="1">
      <c r="A1318" s="828" t="s">
        <v>18012</v>
      </c>
      <c r="B1318" s="22" t="s">
        <v>18204</v>
      </c>
      <c r="C1318" s="2" t="s">
        <v>4604</v>
      </c>
      <c r="D1318" s="5">
        <f t="shared" si="20"/>
        <v>65</v>
      </c>
      <c r="E1318" s="2" t="s">
        <v>5</v>
      </c>
      <c r="F1318" s="2" t="s">
        <v>6067</v>
      </c>
      <c r="G1318" s="22"/>
      <c r="H1318" s="2"/>
      <c r="I1318" s="2"/>
      <c r="J1318" s="23" t="s">
        <v>16122</v>
      </c>
      <c r="K1318" s="2" t="s">
        <v>22</v>
      </c>
      <c r="L1318" s="2" t="s">
        <v>6</v>
      </c>
      <c r="M1318" s="826"/>
      <c r="N1318" s="25"/>
      <c r="O1318" s="22" t="s">
        <v>159</v>
      </c>
      <c r="P1318" s="21">
        <v>17246</v>
      </c>
      <c r="Q1318" s="22" t="s">
        <v>4606</v>
      </c>
      <c r="R1318" s="22"/>
      <c r="S1318" s="22"/>
      <c r="T1318" s="22"/>
      <c r="U1318" s="2"/>
      <c r="V1318" s="2"/>
      <c r="W1318" s="2"/>
      <c r="X1318" s="2"/>
      <c r="Y1318" s="2"/>
      <c r="Z1318" s="2"/>
      <c r="AA1318" s="2"/>
      <c r="AB1318" s="2"/>
      <c r="AC1318" s="2"/>
      <c r="AD1318" s="2"/>
    </row>
    <row r="1319" spans="1:30" ht="12" customHeight="1">
      <c r="A1319" s="828" t="s">
        <v>18013</v>
      </c>
      <c r="B1319" s="22" t="s">
        <v>18204</v>
      </c>
      <c r="C1319" s="2" t="s">
        <v>358</v>
      </c>
      <c r="D1319" s="5">
        <f t="shared" si="20"/>
        <v>45</v>
      </c>
      <c r="E1319" s="2" t="s">
        <v>5</v>
      </c>
      <c r="F1319" s="2" t="s">
        <v>6067</v>
      </c>
      <c r="G1319" s="22"/>
      <c r="H1319" s="2"/>
      <c r="I1319" s="2"/>
      <c r="J1319" s="23" t="s">
        <v>16122</v>
      </c>
      <c r="K1319" s="2" t="s">
        <v>22</v>
      </c>
      <c r="L1319" s="2" t="s">
        <v>6</v>
      </c>
      <c r="M1319" s="826"/>
      <c r="N1319" s="25"/>
      <c r="O1319" s="22" t="s">
        <v>359</v>
      </c>
      <c r="P1319" s="21">
        <v>24743</v>
      </c>
      <c r="Q1319" s="22" t="s">
        <v>1812</v>
      </c>
      <c r="R1319" s="22"/>
      <c r="S1319" s="22"/>
      <c r="T1319" s="22"/>
      <c r="U1319" s="2"/>
      <c r="V1319" s="2"/>
      <c r="W1319" s="2"/>
      <c r="X1319" s="2"/>
      <c r="Y1319" s="2"/>
      <c r="Z1319" s="2"/>
      <c r="AA1319" s="2"/>
      <c r="AB1319" s="2"/>
      <c r="AC1319" s="2"/>
      <c r="AD1319" s="2"/>
    </row>
    <row r="1320" spans="1:30" ht="12" customHeight="1">
      <c r="A1320" s="828" t="s">
        <v>18014</v>
      </c>
      <c r="B1320" s="22" t="s">
        <v>18205</v>
      </c>
      <c r="C1320" s="2" t="s">
        <v>6058</v>
      </c>
      <c r="D1320" s="5">
        <f t="shared" si="20"/>
        <v>37</v>
      </c>
      <c r="E1320" s="2" t="s">
        <v>5</v>
      </c>
      <c r="F1320" s="2" t="s">
        <v>6067</v>
      </c>
      <c r="G1320" s="22"/>
      <c r="H1320" s="2"/>
      <c r="I1320" s="2"/>
      <c r="J1320" s="4" t="s">
        <v>16120</v>
      </c>
      <c r="K1320" s="2" t="s">
        <v>5247</v>
      </c>
      <c r="L1320" s="2" t="s">
        <v>6</v>
      </c>
      <c r="M1320" s="826"/>
      <c r="N1320" s="25"/>
      <c r="O1320" s="22" t="s">
        <v>317</v>
      </c>
      <c r="P1320" s="21">
        <v>27461</v>
      </c>
      <c r="Q1320" s="22" t="s">
        <v>16189</v>
      </c>
      <c r="R1320" s="22"/>
      <c r="S1320" s="22"/>
      <c r="T1320" s="22"/>
      <c r="U1320" s="2"/>
      <c r="V1320" s="2"/>
      <c r="W1320" s="2"/>
      <c r="X1320" s="2"/>
      <c r="Y1320" s="2"/>
      <c r="Z1320" s="2"/>
      <c r="AA1320" s="2"/>
      <c r="AB1320" s="2"/>
      <c r="AC1320" s="2"/>
      <c r="AD1320" s="2"/>
    </row>
    <row r="1321" spans="1:30" ht="12" customHeight="1">
      <c r="A1321" s="828" t="s">
        <v>18015</v>
      </c>
      <c r="B1321" s="22" t="s">
        <v>18205</v>
      </c>
      <c r="C1321" s="2" t="s">
        <v>6061</v>
      </c>
      <c r="D1321" s="5">
        <f t="shared" si="20"/>
        <v>60</v>
      </c>
      <c r="E1321" s="2" t="s">
        <v>5</v>
      </c>
      <c r="F1321" s="2" t="s">
        <v>6067</v>
      </c>
      <c r="G1321" s="22"/>
      <c r="H1321" s="2"/>
      <c r="I1321" s="2"/>
      <c r="J1321" s="8" t="s">
        <v>16120</v>
      </c>
      <c r="K1321" s="2" t="s">
        <v>5247</v>
      </c>
      <c r="L1321" s="2" t="s">
        <v>6</v>
      </c>
      <c r="M1321" s="826"/>
      <c r="N1321" s="25"/>
      <c r="O1321" s="22" t="s">
        <v>557</v>
      </c>
      <c r="P1321" s="21">
        <v>19038</v>
      </c>
      <c r="Q1321" s="22" t="s">
        <v>6063</v>
      </c>
      <c r="R1321" s="22"/>
      <c r="S1321" s="22"/>
      <c r="T1321" s="22"/>
      <c r="U1321" s="2"/>
      <c r="V1321" s="2"/>
      <c r="W1321" s="2"/>
      <c r="X1321" s="2"/>
      <c r="Y1321" s="2"/>
      <c r="Z1321" s="2"/>
      <c r="AA1321" s="2"/>
      <c r="AB1321" s="2"/>
      <c r="AC1321" s="2"/>
      <c r="AD1321" s="2"/>
    </row>
    <row r="1322" spans="1:30" ht="12" customHeight="1">
      <c r="A1322" s="828" t="s">
        <v>18016</v>
      </c>
      <c r="B1322" s="22" t="s">
        <v>18205</v>
      </c>
      <c r="C1322" s="2" t="s">
        <v>6065</v>
      </c>
      <c r="D1322" s="5">
        <f t="shared" si="20"/>
        <v>50</v>
      </c>
      <c r="E1322" s="2" t="s">
        <v>5</v>
      </c>
      <c r="F1322" s="2" t="s">
        <v>6067</v>
      </c>
      <c r="G1322" s="22"/>
      <c r="H1322" s="2"/>
      <c r="I1322" s="2"/>
      <c r="J1322" s="23" t="s">
        <v>16120</v>
      </c>
      <c r="K1322" s="2" t="s">
        <v>5247</v>
      </c>
      <c r="L1322" s="2" t="s">
        <v>6</v>
      </c>
      <c r="M1322" s="826"/>
      <c r="N1322" s="25"/>
      <c r="O1322" s="22" t="s">
        <v>685</v>
      </c>
      <c r="P1322" s="21">
        <v>22704</v>
      </c>
      <c r="Q1322" s="22" t="s">
        <v>16190</v>
      </c>
      <c r="R1322" s="22"/>
      <c r="S1322" s="22"/>
      <c r="T1322" s="22"/>
      <c r="U1322" s="2"/>
      <c r="V1322" s="2"/>
      <c r="W1322" s="2"/>
      <c r="X1322" s="2"/>
      <c r="Y1322" s="2"/>
      <c r="Z1322" s="2"/>
      <c r="AA1322" s="2"/>
      <c r="AB1322" s="2"/>
      <c r="AC1322" s="2"/>
      <c r="AD1322" s="2"/>
    </row>
    <row r="1323" spans="1:30" ht="12" customHeight="1">
      <c r="A1323" s="828" t="s">
        <v>18017</v>
      </c>
      <c r="B1323" s="22" t="s">
        <v>18205</v>
      </c>
      <c r="C1323" s="2" t="s">
        <v>6068</v>
      </c>
      <c r="D1323" s="5">
        <f t="shared" si="20"/>
        <v>59</v>
      </c>
      <c r="E1323" s="2" t="s">
        <v>5</v>
      </c>
      <c r="F1323" s="2" t="s">
        <v>6067</v>
      </c>
      <c r="G1323" s="22"/>
      <c r="H1323" s="2"/>
      <c r="I1323" s="2"/>
      <c r="J1323" s="8" t="s">
        <v>16120</v>
      </c>
      <c r="K1323" s="2" t="s">
        <v>5247</v>
      </c>
      <c r="L1323" s="2" t="s">
        <v>6</v>
      </c>
      <c r="M1323" s="826"/>
      <c r="N1323" s="25"/>
      <c r="O1323" s="22" t="s">
        <v>2214</v>
      </c>
      <c r="P1323" s="21">
        <v>19572</v>
      </c>
      <c r="Q1323" s="22" t="s">
        <v>6083</v>
      </c>
      <c r="R1323" s="22"/>
      <c r="S1323" s="22"/>
      <c r="T1323" s="22"/>
      <c r="U1323" s="2"/>
      <c r="V1323" s="2"/>
      <c r="W1323" s="2"/>
      <c r="X1323" s="2"/>
      <c r="Y1323" s="2"/>
      <c r="Z1323" s="2"/>
      <c r="AA1323" s="2"/>
      <c r="AB1323" s="2"/>
      <c r="AC1323" s="2"/>
      <c r="AD1323" s="2"/>
    </row>
    <row r="1324" spans="1:30" ht="12" customHeight="1">
      <c r="A1324" s="828" t="s">
        <v>18018</v>
      </c>
      <c r="B1324" s="22" t="s">
        <v>18205</v>
      </c>
      <c r="C1324" s="2" t="s">
        <v>2108</v>
      </c>
      <c r="D1324" s="5">
        <f t="shared" si="20"/>
        <v>55</v>
      </c>
      <c r="E1324" s="2" t="s">
        <v>5</v>
      </c>
      <c r="F1324" s="2" t="s">
        <v>6067</v>
      </c>
      <c r="G1324" s="22" t="s">
        <v>2109</v>
      </c>
      <c r="H1324" s="2"/>
      <c r="I1324" s="2"/>
      <c r="J1324" s="23" t="s">
        <v>16125</v>
      </c>
      <c r="K1324" s="2"/>
      <c r="L1324" s="2" t="s">
        <v>25</v>
      </c>
      <c r="M1324" s="826">
        <v>1</v>
      </c>
      <c r="N1324" s="25">
        <v>1</v>
      </c>
      <c r="O1324" s="22" t="s">
        <v>2110</v>
      </c>
      <c r="P1324" s="21">
        <v>20946</v>
      </c>
      <c r="Q1324" s="22" t="s">
        <v>2111</v>
      </c>
      <c r="R1324" s="12"/>
      <c r="S1324" s="12"/>
      <c r="T1324" s="12" t="s">
        <v>145</v>
      </c>
      <c r="U1324" s="2"/>
      <c r="V1324" s="2" t="s">
        <v>145</v>
      </c>
      <c r="W1324" s="2"/>
      <c r="X1324" s="2"/>
      <c r="Y1324" s="2"/>
      <c r="Z1324" s="2"/>
      <c r="AA1324" s="2"/>
      <c r="AB1324" s="2"/>
      <c r="AC1324" s="2"/>
      <c r="AD1324" s="2"/>
    </row>
    <row r="1325" spans="1:30" ht="12" customHeight="1">
      <c r="A1325" s="828" t="s">
        <v>18019</v>
      </c>
      <c r="B1325" s="22" t="s">
        <v>18205</v>
      </c>
      <c r="C1325" s="2" t="s">
        <v>16193</v>
      </c>
      <c r="D1325" s="5">
        <f t="shared" si="20"/>
        <v>71</v>
      </c>
      <c r="E1325" s="2" t="s">
        <v>5</v>
      </c>
      <c r="F1325" s="2" t="s">
        <v>6067</v>
      </c>
      <c r="G1325" s="22"/>
      <c r="H1325" s="2"/>
      <c r="I1325" s="2"/>
      <c r="J1325" s="23" t="s">
        <v>16125</v>
      </c>
      <c r="K1325" s="2"/>
      <c r="L1325" s="2" t="s">
        <v>6</v>
      </c>
      <c r="M1325" s="826"/>
      <c r="N1325" s="25"/>
      <c r="O1325" s="22" t="s">
        <v>587</v>
      </c>
      <c r="P1325" s="21">
        <v>15150</v>
      </c>
      <c r="Q1325" s="22" t="s">
        <v>16207</v>
      </c>
      <c r="R1325" s="12"/>
      <c r="S1325" s="12"/>
      <c r="T1325" s="12"/>
      <c r="U1325" s="2"/>
      <c r="V1325" s="2"/>
      <c r="W1325" s="2"/>
      <c r="X1325" s="2"/>
      <c r="Y1325" s="2"/>
      <c r="Z1325" s="2"/>
      <c r="AA1325" s="2"/>
      <c r="AB1325" s="2"/>
      <c r="AC1325" s="2"/>
      <c r="AD1325" s="2"/>
    </row>
    <row r="1326" spans="1:30" ht="12" customHeight="1">
      <c r="A1326" s="828" t="s">
        <v>18020</v>
      </c>
      <c r="B1326" s="22" t="s">
        <v>18205</v>
      </c>
      <c r="C1326" s="2" t="s">
        <v>2114</v>
      </c>
      <c r="D1326" s="5">
        <f t="shared" si="20"/>
        <v>54</v>
      </c>
      <c r="E1326" s="2" t="s">
        <v>5</v>
      </c>
      <c r="F1326" s="2" t="s">
        <v>6067</v>
      </c>
      <c r="G1326" s="22" t="s">
        <v>2117</v>
      </c>
      <c r="H1326" s="2"/>
      <c r="I1326" s="2"/>
      <c r="J1326" s="23" t="s">
        <v>16118</v>
      </c>
      <c r="K1326" s="2"/>
      <c r="L1326" s="2" t="s">
        <v>25</v>
      </c>
      <c r="M1326" s="826">
        <v>6</v>
      </c>
      <c r="N1326" s="25">
        <v>6</v>
      </c>
      <c r="O1326" s="22" t="s">
        <v>317</v>
      </c>
      <c r="P1326" s="21">
        <v>21264</v>
      </c>
      <c r="Q1326" s="22" t="s">
        <v>2119</v>
      </c>
      <c r="R1326" s="22" t="s">
        <v>2120</v>
      </c>
      <c r="S1326" s="22"/>
      <c r="T1326" s="22" t="s">
        <v>47</v>
      </c>
      <c r="U1326" s="2" t="s">
        <v>47</v>
      </c>
      <c r="V1326" s="2"/>
      <c r="W1326" s="2"/>
      <c r="X1326" s="2"/>
      <c r="Y1326" s="2"/>
      <c r="Z1326" s="2"/>
      <c r="AA1326" s="2"/>
      <c r="AB1326" s="2"/>
      <c r="AC1326" s="2"/>
      <c r="AD1326" s="2"/>
    </row>
    <row r="1327" spans="1:30" ht="12" customHeight="1">
      <c r="A1327" s="828" t="s">
        <v>18021</v>
      </c>
      <c r="B1327" s="22" t="s">
        <v>18205</v>
      </c>
      <c r="C1327" s="6" t="s">
        <v>2122</v>
      </c>
      <c r="D1327" s="5">
        <f t="shared" si="20"/>
        <v>47</v>
      </c>
      <c r="E1327" s="6" t="s">
        <v>5</v>
      </c>
      <c r="F1327" s="2" t="s">
        <v>6067</v>
      </c>
      <c r="G1327" s="12"/>
      <c r="H1327" s="6"/>
      <c r="I1327" s="19"/>
      <c r="J1327" s="8" t="s">
        <v>16118</v>
      </c>
      <c r="K1327" s="6"/>
      <c r="L1327" s="6" t="s">
        <v>6</v>
      </c>
      <c r="M1327" s="6"/>
      <c r="N1327" s="14"/>
      <c r="O1327" s="12" t="s">
        <v>2123</v>
      </c>
      <c r="P1327" s="15">
        <v>23867</v>
      </c>
      <c r="Q1327" s="12" t="s">
        <v>2124</v>
      </c>
      <c r="R1327" s="12"/>
      <c r="S1327" s="12"/>
      <c r="T1327" s="12"/>
      <c r="U1327" s="2"/>
      <c r="V1327" s="2"/>
      <c r="W1327" s="2"/>
      <c r="X1327" s="2"/>
      <c r="Y1327" s="2"/>
      <c r="Z1327" s="2"/>
      <c r="AA1327" s="2"/>
      <c r="AB1327" s="2"/>
      <c r="AC1327" s="2"/>
      <c r="AD1327" s="2"/>
    </row>
    <row r="1328" spans="1:30" ht="12" customHeight="1">
      <c r="A1328" s="828" t="s">
        <v>18022</v>
      </c>
      <c r="B1328" s="22" t="s">
        <v>18205</v>
      </c>
      <c r="C1328" s="6" t="s">
        <v>2125</v>
      </c>
      <c r="D1328" s="5">
        <f t="shared" si="20"/>
        <v>50</v>
      </c>
      <c r="E1328" s="6" t="s">
        <v>5</v>
      </c>
      <c r="F1328" s="2" t="s">
        <v>6067</v>
      </c>
      <c r="G1328" s="12"/>
      <c r="H1328" s="6"/>
      <c r="I1328" s="19"/>
      <c r="J1328" s="8" t="s">
        <v>16118</v>
      </c>
      <c r="K1328" s="6"/>
      <c r="L1328" s="6" t="s">
        <v>6</v>
      </c>
      <c r="M1328" s="6"/>
      <c r="N1328" s="14"/>
      <c r="O1328" s="12" t="s">
        <v>452</v>
      </c>
      <c r="P1328" s="15">
        <v>22681</v>
      </c>
      <c r="Q1328" s="12" t="s">
        <v>2127</v>
      </c>
      <c r="R1328" s="12"/>
      <c r="S1328" s="12"/>
      <c r="T1328" s="22" t="s">
        <v>145</v>
      </c>
      <c r="U1328" s="2"/>
      <c r="V1328" s="2" t="s">
        <v>145</v>
      </c>
      <c r="W1328" s="2"/>
      <c r="X1328" s="2"/>
      <c r="Y1328" s="2"/>
      <c r="Z1328" s="2"/>
      <c r="AA1328" s="2"/>
      <c r="AB1328" s="2"/>
      <c r="AC1328" s="2"/>
      <c r="AD1328" s="2"/>
    </row>
    <row r="1329" spans="1:30" ht="12" customHeight="1">
      <c r="A1329" s="828" t="s">
        <v>18023</v>
      </c>
      <c r="B1329" s="22" t="s">
        <v>18205</v>
      </c>
      <c r="C1329" s="6" t="s">
        <v>5896</v>
      </c>
      <c r="D1329" s="5">
        <f t="shared" si="20"/>
        <v>47</v>
      </c>
      <c r="E1329" s="6" t="s">
        <v>5</v>
      </c>
      <c r="F1329" s="2" t="s">
        <v>6067</v>
      </c>
      <c r="G1329" s="12"/>
      <c r="H1329" s="6"/>
      <c r="I1329" s="19"/>
      <c r="J1329" s="23" t="s">
        <v>16118</v>
      </c>
      <c r="K1329" s="6"/>
      <c r="L1329" s="6" t="s">
        <v>6</v>
      </c>
      <c r="M1329" s="6"/>
      <c r="N1329" s="14"/>
      <c r="O1329" s="12" t="s">
        <v>2123</v>
      </c>
      <c r="P1329" s="15">
        <v>24003</v>
      </c>
      <c r="Q1329" s="12" t="s">
        <v>16208</v>
      </c>
      <c r="R1329" s="12"/>
      <c r="S1329" s="12"/>
      <c r="T1329" s="22"/>
      <c r="U1329" s="2"/>
      <c r="V1329" s="2"/>
      <c r="W1329" s="2"/>
      <c r="X1329" s="2"/>
      <c r="Y1329" s="2"/>
      <c r="Z1329" s="2"/>
      <c r="AA1329" s="2"/>
      <c r="AB1329" s="2"/>
      <c r="AC1329" s="2"/>
      <c r="AD1329" s="2"/>
    </row>
    <row r="1330" spans="1:30" ht="12" customHeight="1">
      <c r="A1330" s="828" t="s">
        <v>18024</v>
      </c>
      <c r="B1330" s="22" t="s">
        <v>18205</v>
      </c>
      <c r="C1330" s="6" t="s">
        <v>5897</v>
      </c>
      <c r="D1330" s="5">
        <f t="shared" si="20"/>
        <v>38</v>
      </c>
      <c r="E1330" s="6" t="s">
        <v>5</v>
      </c>
      <c r="F1330" s="2" t="s">
        <v>6067</v>
      </c>
      <c r="G1330" s="12"/>
      <c r="H1330" s="6"/>
      <c r="I1330" s="19"/>
      <c r="J1330" s="8" t="s">
        <v>16118</v>
      </c>
      <c r="K1330" s="6"/>
      <c r="L1330" s="6" t="s">
        <v>6</v>
      </c>
      <c r="M1330" s="6"/>
      <c r="N1330" s="14"/>
      <c r="O1330" s="12" t="s">
        <v>2123</v>
      </c>
      <c r="P1330" s="15">
        <v>27325</v>
      </c>
      <c r="Q1330" s="12" t="s">
        <v>16209</v>
      </c>
      <c r="R1330" s="12"/>
      <c r="S1330" s="12"/>
      <c r="T1330" s="22"/>
      <c r="U1330" s="2"/>
      <c r="V1330" s="2"/>
      <c r="W1330" s="2"/>
      <c r="X1330" s="2"/>
      <c r="Y1330" s="2"/>
      <c r="Z1330" s="2"/>
      <c r="AA1330" s="2"/>
      <c r="AB1330" s="2"/>
      <c r="AC1330" s="2"/>
      <c r="AD1330" s="2"/>
    </row>
    <row r="1331" spans="1:30" ht="12" customHeight="1">
      <c r="A1331" s="828" t="s">
        <v>18025</v>
      </c>
      <c r="B1331" s="22" t="s">
        <v>18205</v>
      </c>
      <c r="C1331" s="6" t="s">
        <v>5898</v>
      </c>
      <c r="D1331" s="5">
        <f t="shared" si="20"/>
        <v>40</v>
      </c>
      <c r="E1331" s="6" t="s">
        <v>5</v>
      </c>
      <c r="F1331" s="2" t="s">
        <v>6067</v>
      </c>
      <c r="G1331" s="12"/>
      <c r="H1331" s="6"/>
      <c r="I1331" s="19"/>
      <c r="J1331" s="23" t="s">
        <v>16118</v>
      </c>
      <c r="K1331" s="6"/>
      <c r="L1331" s="6" t="s">
        <v>6</v>
      </c>
      <c r="M1331" s="6"/>
      <c r="N1331" s="14"/>
      <c r="O1331" s="12" t="s">
        <v>16210</v>
      </c>
      <c r="P1331" s="15">
        <v>26615</v>
      </c>
      <c r="Q1331" s="12" t="s">
        <v>16406</v>
      </c>
      <c r="R1331" s="12"/>
      <c r="S1331" s="12"/>
      <c r="T1331" s="22"/>
      <c r="U1331" s="2"/>
      <c r="V1331" s="2"/>
      <c r="W1331" s="2"/>
      <c r="X1331" s="2"/>
      <c r="Y1331" s="2"/>
      <c r="Z1331" s="2"/>
      <c r="AA1331" s="2"/>
      <c r="AB1331" s="2"/>
      <c r="AC1331" s="2"/>
      <c r="AD1331" s="2"/>
    </row>
    <row r="1332" spans="1:30" ht="12" customHeight="1">
      <c r="A1332" s="828" t="s">
        <v>18026</v>
      </c>
      <c r="B1332" s="22" t="s">
        <v>18205</v>
      </c>
      <c r="C1332" s="6" t="s">
        <v>5719</v>
      </c>
      <c r="D1332" s="5">
        <f t="shared" si="20"/>
        <v>42</v>
      </c>
      <c r="E1332" s="6" t="s">
        <v>5</v>
      </c>
      <c r="F1332" s="2" t="s">
        <v>6067</v>
      </c>
      <c r="G1332" s="12"/>
      <c r="H1332" s="6"/>
      <c r="I1332" s="19"/>
      <c r="J1332" s="8" t="s">
        <v>16130</v>
      </c>
      <c r="K1332" s="6" t="s">
        <v>4993</v>
      </c>
      <c r="L1332" s="6" t="s">
        <v>6</v>
      </c>
      <c r="M1332" s="6"/>
      <c r="N1332" s="14"/>
      <c r="O1332" s="12" t="s">
        <v>523</v>
      </c>
      <c r="P1332" s="15">
        <v>25563</v>
      </c>
      <c r="Q1332" s="12" t="s">
        <v>5721</v>
      </c>
      <c r="R1332" s="12"/>
      <c r="S1332" s="12"/>
      <c r="T1332" s="22" t="s">
        <v>104</v>
      </c>
      <c r="U1332" s="2"/>
      <c r="V1332" s="2"/>
      <c r="W1332" s="2"/>
      <c r="X1332" s="2"/>
      <c r="Y1332" s="2"/>
      <c r="Z1332" s="2"/>
      <c r="AA1332" s="2" t="s">
        <v>104</v>
      </c>
      <c r="AB1332" s="2"/>
      <c r="AC1332" s="2"/>
      <c r="AD1332" s="2"/>
    </row>
    <row r="1333" spans="1:30" ht="12" customHeight="1">
      <c r="A1333" s="828" t="s">
        <v>18027</v>
      </c>
      <c r="B1333" s="22" t="s">
        <v>18205</v>
      </c>
      <c r="C1333" s="6" t="s">
        <v>16229</v>
      </c>
      <c r="D1333" s="5">
        <f t="shared" si="20"/>
        <v>30</v>
      </c>
      <c r="E1333" s="6" t="s">
        <v>5</v>
      </c>
      <c r="F1333" s="2" t="s">
        <v>6067</v>
      </c>
      <c r="G1333" s="19"/>
      <c r="H1333" s="6"/>
      <c r="I1333" s="19"/>
      <c r="J1333" s="19" t="s">
        <v>16130</v>
      </c>
      <c r="K1333" s="6" t="s">
        <v>4997</v>
      </c>
      <c r="L1333" s="6" t="s">
        <v>6</v>
      </c>
      <c r="M1333" s="6"/>
      <c r="N1333" s="14"/>
      <c r="O1333" s="12" t="s">
        <v>1273</v>
      </c>
      <c r="P1333" s="15">
        <v>30209</v>
      </c>
      <c r="Q1333" s="12" t="s">
        <v>16405</v>
      </c>
      <c r="R1333" s="12"/>
      <c r="S1333" s="12"/>
      <c r="T1333" s="19"/>
      <c r="U1333" s="2"/>
      <c r="V1333" s="2"/>
      <c r="W1333" s="2"/>
      <c r="X1333" s="2"/>
      <c r="Y1333" s="2"/>
      <c r="Z1333" s="2"/>
      <c r="AA1333" s="2"/>
      <c r="AB1333" s="2"/>
      <c r="AC1333" s="2"/>
      <c r="AD1333" s="22"/>
    </row>
    <row r="1334" spans="1:30" ht="12" customHeight="1">
      <c r="A1334" s="828" t="s">
        <v>18028</v>
      </c>
      <c r="B1334" s="22" t="s">
        <v>18205</v>
      </c>
      <c r="C1334" s="6" t="s">
        <v>5320</v>
      </c>
      <c r="D1334" s="5">
        <f t="shared" si="20"/>
        <v>39</v>
      </c>
      <c r="E1334" s="6" t="s">
        <v>5</v>
      </c>
      <c r="F1334" s="2" t="s">
        <v>6067</v>
      </c>
      <c r="G1334" s="12" t="s">
        <v>5321</v>
      </c>
      <c r="H1334" s="6"/>
      <c r="I1334" s="19"/>
      <c r="J1334" s="8" t="s">
        <v>16128</v>
      </c>
      <c r="K1334" s="6"/>
      <c r="L1334" s="6" t="s">
        <v>25</v>
      </c>
      <c r="M1334" s="6">
        <v>2</v>
      </c>
      <c r="N1334" s="14">
        <v>2</v>
      </c>
      <c r="O1334" s="12" t="s">
        <v>5322</v>
      </c>
      <c r="P1334" s="15">
        <v>26901</v>
      </c>
      <c r="Q1334" s="12" t="s">
        <v>5323</v>
      </c>
      <c r="R1334" s="12" t="s">
        <v>5324</v>
      </c>
      <c r="S1334" s="12"/>
      <c r="T1334" s="22"/>
      <c r="U1334" s="2"/>
      <c r="V1334" s="2"/>
      <c r="W1334" s="2"/>
      <c r="X1334" s="2"/>
      <c r="Y1334" s="2"/>
      <c r="Z1334" s="2"/>
      <c r="AA1334" s="2"/>
      <c r="AB1334" s="2"/>
      <c r="AC1334" s="2"/>
      <c r="AD1334" s="2"/>
    </row>
    <row r="1335" spans="1:30" ht="12" customHeight="1">
      <c r="A1335" s="828" t="s">
        <v>18029</v>
      </c>
      <c r="B1335" s="22" t="s">
        <v>18205</v>
      </c>
      <c r="C1335" s="2" t="s">
        <v>2128</v>
      </c>
      <c r="D1335" s="5">
        <f t="shared" si="20"/>
        <v>50</v>
      </c>
      <c r="E1335" s="2" t="s">
        <v>5</v>
      </c>
      <c r="F1335" s="2" t="s">
        <v>6067</v>
      </c>
      <c r="G1335" s="22" t="s">
        <v>2129</v>
      </c>
      <c r="H1335" s="2"/>
      <c r="I1335" s="2"/>
      <c r="J1335" s="23" t="s">
        <v>16117</v>
      </c>
      <c r="K1335" s="2"/>
      <c r="L1335" s="2" t="s">
        <v>25</v>
      </c>
      <c r="M1335" s="826">
        <v>4</v>
      </c>
      <c r="N1335" s="25">
        <v>4</v>
      </c>
      <c r="O1335" s="22" t="s">
        <v>182</v>
      </c>
      <c r="P1335" s="21">
        <v>22633</v>
      </c>
      <c r="Q1335" s="22" t="s">
        <v>2131</v>
      </c>
      <c r="R1335" s="22"/>
      <c r="S1335" s="22"/>
      <c r="T1335" s="22"/>
      <c r="U1335" s="2"/>
      <c r="V1335" s="2"/>
      <c r="W1335" s="2"/>
      <c r="X1335" s="2"/>
      <c r="Y1335" s="2"/>
      <c r="Z1335" s="2"/>
      <c r="AA1335" s="2"/>
      <c r="AB1335" s="2"/>
      <c r="AC1335" s="2"/>
      <c r="AD1335" s="2"/>
    </row>
    <row r="1336" spans="1:30" ht="12" customHeight="1">
      <c r="A1336" s="828" t="s">
        <v>18030</v>
      </c>
      <c r="B1336" s="22" t="s">
        <v>18205</v>
      </c>
      <c r="C1336" s="6" t="s">
        <v>2132</v>
      </c>
      <c r="D1336" s="5">
        <f t="shared" si="20"/>
        <v>48</v>
      </c>
      <c r="E1336" s="6" t="s">
        <v>19</v>
      </c>
      <c r="F1336" s="2" t="s">
        <v>6067</v>
      </c>
      <c r="G1336" s="12"/>
      <c r="H1336" s="6"/>
      <c r="I1336" s="19"/>
      <c r="J1336" s="8" t="s">
        <v>16117</v>
      </c>
      <c r="K1336" s="6"/>
      <c r="L1336" s="6" t="s">
        <v>6</v>
      </c>
      <c r="M1336" s="6"/>
      <c r="N1336" s="14"/>
      <c r="O1336" s="12" t="s">
        <v>7</v>
      </c>
      <c r="P1336" s="15">
        <v>23556</v>
      </c>
      <c r="Q1336" s="12" t="s">
        <v>2134</v>
      </c>
      <c r="R1336" s="12"/>
      <c r="S1336" s="12"/>
      <c r="T1336" s="22"/>
      <c r="U1336" s="2"/>
      <c r="V1336" s="2"/>
      <c r="W1336" s="2"/>
      <c r="X1336" s="2"/>
      <c r="Y1336" s="2"/>
      <c r="Z1336" s="2"/>
      <c r="AA1336" s="2"/>
      <c r="AB1336" s="2"/>
      <c r="AC1336" s="2"/>
      <c r="AD1336" s="2"/>
    </row>
    <row r="1337" spans="1:30" ht="12" customHeight="1">
      <c r="A1337" s="828" t="s">
        <v>18031</v>
      </c>
      <c r="B1337" s="22" t="s">
        <v>18205</v>
      </c>
      <c r="C1337" s="6" t="s">
        <v>5716</v>
      </c>
      <c r="D1337" s="5">
        <f t="shared" si="20"/>
        <v>64</v>
      </c>
      <c r="E1337" s="6" t="s">
        <v>19</v>
      </c>
      <c r="F1337" s="2" t="s">
        <v>6067</v>
      </c>
      <c r="G1337" s="12"/>
      <c r="H1337" s="6"/>
      <c r="I1337" s="19"/>
      <c r="J1337" s="8" t="s">
        <v>16121</v>
      </c>
      <c r="K1337" s="6"/>
      <c r="L1337" s="6" t="s">
        <v>6</v>
      </c>
      <c r="M1337" s="6"/>
      <c r="N1337" s="14"/>
      <c r="O1337" s="12" t="s">
        <v>5717</v>
      </c>
      <c r="P1337" s="15">
        <v>17744</v>
      </c>
      <c r="Q1337" s="12" t="s">
        <v>5718</v>
      </c>
      <c r="R1337" s="12"/>
      <c r="S1337" s="12"/>
      <c r="T1337" s="22" t="s">
        <v>69</v>
      </c>
      <c r="U1337" s="2"/>
      <c r="V1337" s="2"/>
      <c r="W1337" s="2"/>
      <c r="X1337" s="2"/>
      <c r="Y1337" s="2"/>
      <c r="Z1337" s="2"/>
      <c r="AA1337" s="2"/>
      <c r="AB1337" s="2"/>
      <c r="AC1337" s="2"/>
      <c r="AD1337" s="2" t="s">
        <v>69</v>
      </c>
    </row>
    <row r="1338" spans="1:30" ht="12" customHeight="1">
      <c r="A1338" s="828" t="s">
        <v>18032</v>
      </c>
      <c r="B1338" s="22" t="s">
        <v>18205</v>
      </c>
      <c r="C1338" s="6" t="s">
        <v>5101</v>
      </c>
      <c r="D1338" s="5">
        <f t="shared" si="20"/>
        <v>27</v>
      </c>
      <c r="E1338" s="6" t="s">
        <v>19</v>
      </c>
      <c r="F1338" s="2" t="s">
        <v>6067</v>
      </c>
      <c r="G1338" s="12"/>
      <c r="H1338" s="6"/>
      <c r="I1338" s="19"/>
      <c r="J1338" s="23" t="s">
        <v>16122</v>
      </c>
      <c r="K1338" s="6" t="s">
        <v>22</v>
      </c>
      <c r="L1338" s="6" t="s">
        <v>6</v>
      </c>
      <c r="M1338" s="6"/>
      <c r="N1338" s="14"/>
      <c r="O1338" s="12" t="s">
        <v>188</v>
      </c>
      <c r="P1338" s="15">
        <v>31273</v>
      </c>
      <c r="Q1338" s="12" t="s">
        <v>16244</v>
      </c>
      <c r="R1338" s="12"/>
      <c r="S1338" s="12"/>
      <c r="T1338" s="22"/>
      <c r="U1338" s="2"/>
      <c r="V1338" s="2"/>
      <c r="W1338" s="2"/>
      <c r="X1338" s="2"/>
      <c r="Y1338" s="2"/>
      <c r="Z1338" s="2"/>
      <c r="AA1338" s="2"/>
      <c r="AB1338" s="2"/>
      <c r="AC1338" s="2"/>
      <c r="AD1338" s="2"/>
    </row>
    <row r="1339" spans="1:30" ht="12" customHeight="1">
      <c r="A1339" s="828" t="s">
        <v>18033</v>
      </c>
      <c r="B1339" s="22" t="s">
        <v>18205</v>
      </c>
      <c r="C1339" s="6" t="s">
        <v>5102</v>
      </c>
      <c r="D1339" s="5">
        <f t="shared" si="20"/>
        <v>25</v>
      </c>
      <c r="E1339" s="6" t="s">
        <v>5</v>
      </c>
      <c r="F1339" s="2" t="s">
        <v>6067</v>
      </c>
      <c r="G1339" s="12"/>
      <c r="H1339" s="6"/>
      <c r="I1339" s="19"/>
      <c r="J1339" s="23" t="s">
        <v>16122</v>
      </c>
      <c r="K1339" s="6" t="s">
        <v>22</v>
      </c>
      <c r="L1339" s="6" t="s">
        <v>6</v>
      </c>
      <c r="M1339" s="6"/>
      <c r="N1339" s="14"/>
      <c r="O1339" s="12" t="s">
        <v>188</v>
      </c>
      <c r="P1339" s="15">
        <v>31908</v>
      </c>
      <c r="Q1339" s="12" t="s">
        <v>1296</v>
      </c>
      <c r="R1339" s="12"/>
      <c r="S1339" s="12"/>
      <c r="T1339" s="22"/>
      <c r="U1339" s="2"/>
      <c r="V1339" s="2"/>
      <c r="W1339" s="2"/>
      <c r="X1339" s="2"/>
      <c r="Y1339" s="2"/>
      <c r="Z1339" s="2"/>
      <c r="AA1339" s="2"/>
      <c r="AB1339" s="2"/>
      <c r="AC1339" s="2"/>
      <c r="AD1339" s="2"/>
    </row>
    <row r="1340" spans="1:30" ht="12" customHeight="1">
      <c r="A1340" s="828" t="s">
        <v>18034</v>
      </c>
      <c r="B1340" s="22" t="s">
        <v>18205</v>
      </c>
      <c r="C1340" s="6" t="s">
        <v>5104</v>
      </c>
      <c r="D1340" s="5">
        <f t="shared" si="20"/>
        <v>25</v>
      </c>
      <c r="E1340" s="6" t="s">
        <v>5</v>
      </c>
      <c r="F1340" s="2" t="s">
        <v>6067</v>
      </c>
      <c r="G1340" s="12"/>
      <c r="H1340" s="6"/>
      <c r="I1340" s="19"/>
      <c r="J1340" s="23" t="s">
        <v>16122</v>
      </c>
      <c r="K1340" s="6" t="s">
        <v>22</v>
      </c>
      <c r="L1340" s="6" t="s">
        <v>6</v>
      </c>
      <c r="M1340" s="6"/>
      <c r="N1340" s="14"/>
      <c r="O1340" s="12" t="s">
        <v>188</v>
      </c>
      <c r="P1340" s="15">
        <v>31890</v>
      </c>
      <c r="Q1340" s="12" t="s">
        <v>1296</v>
      </c>
      <c r="R1340" s="12"/>
      <c r="S1340" s="12"/>
      <c r="T1340" s="22"/>
      <c r="U1340" s="2"/>
      <c r="V1340" s="2"/>
      <c r="W1340" s="2"/>
      <c r="X1340" s="2"/>
      <c r="Y1340" s="2"/>
      <c r="Z1340" s="2"/>
      <c r="AA1340" s="2"/>
      <c r="AB1340" s="2"/>
      <c r="AC1340" s="2"/>
      <c r="AD1340" s="2"/>
    </row>
    <row r="1341" spans="1:30" ht="12" customHeight="1">
      <c r="A1341" s="828" t="s">
        <v>18035</v>
      </c>
      <c r="B1341" s="22" t="s">
        <v>18205</v>
      </c>
      <c r="C1341" s="2" t="s">
        <v>4609</v>
      </c>
      <c r="D1341" s="5">
        <f t="shared" si="20"/>
        <v>64</v>
      </c>
      <c r="E1341" s="2" t="s">
        <v>5</v>
      </c>
      <c r="F1341" s="2" t="s">
        <v>6067</v>
      </c>
      <c r="G1341" s="22"/>
      <c r="H1341" s="2"/>
      <c r="I1341" s="2"/>
      <c r="J1341" s="23" t="s">
        <v>16122</v>
      </c>
      <c r="K1341" s="2" t="s">
        <v>22</v>
      </c>
      <c r="L1341" s="2" t="s">
        <v>6</v>
      </c>
      <c r="M1341" s="826"/>
      <c r="N1341" s="25"/>
      <c r="O1341" s="22" t="s">
        <v>95</v>
      </c>
      <c r="P1341" s="21">
        <v>17552</v>
      </c>
      <c r="Q1341" s="22" t="s">
        <v>5105</v>
      </c>
      <c r="R1341" s="22"/>
      <c r="S1341" s="22"/>
      <c r="T1341" s="22"/>
      <c r="U1341" s="2"/>
      <c r="V1341" s="2"/>
      <c r="W1341" s="2"/>
      <c r="X1341" s="2"/>
      <c r="Y1341" s="2"/>
      <c r="Z1341" s="2"/>
      <c r="AA1341" s="2"/>
      <c r="AB1341" s="2"/>
      <c r="AC1341" s="2"/>
      <c r="AD1341" s="2"/>
    </row>
    <row r="1342" spans="1:30" ht="12" customHeight="1">
      <c r="A1342" s="828" t="s">
        <v>18036</v>
      </c>
      <c r="B1342" s="22" t="s">
        <v>18206</v>
      </c>
      <c r="C1342" s="2" t="s">
        <v>15253</v>
      </c>
      <c r="D1342" s="5">
        <f t="shared" si="20"/>
        <v>45</v>
      </c>
      <c r="E1342" s="2" t="s">
        <v>5</v>
      </c>
      <c r="F1342" s="2" t="s">
        <v>6067</v>
      </c>
      <c r="G1342" s="22"/>
      <c r="H1342" s="2"/>
      <c r="I1342" s="2"/>
      <c r="J1342" s="8" t="s">
        <v>16120</v>
      </c>
      <c r="K1342" s="2" t="s">
        <v>5247</v>
      </c>
      <c r="L1342" s="2" t="s">
        <v>6</v>
      </c>
      <c r="M1342" s="826"/>
      <c r="N1342" s="25"/>
      <c r="O1342" s="22" t="s">
        <v>3517</v>
      </c>
      <c r="P1342" s="21">
        <v>24694</v>
      </c>
      <c r="Q1342" s="22" t="s">
        <v>6069</v>
      </c>
      <c r="R1342" s="22"/>
      <c r="S1342" s="22"/>
      <c r="T1342" s="22"/>
      <c r="U1342" s="2"/>
      <c r="V1342" s="2"/>
      <c r="W1342" s="2"/>
      <c r="X1342" s="2"/>
      <c r="Y1342" s="2"/>
      <c r="Z1342" s="2"/>
      <c r="AA1342" s="2"/>
      <c r="AB1342" s="2"/>
      <c r="AC1342" s="2"/>
      <c r="AD1342" s="2"/>
    </row>
    <row r="1343" spans="1:30" ht="12" customHeight="1">
      <c r="A1343" s="828" t="s">
        <v>18037</v>
      </c>
      <c r="B1343" s="22" t="s">
        <v>18206</v>
      </c>
      <c r="C1343" s="2" t="s">
        <v>6070</v>
      </c>
      <c r="D1343" s="5">
        <f t="shared" si="20"/>
        <v>51</v>
      </c>
      <c r="E1343" s="2" t="s">
        <v>5</v>
      </c>
      <c r="F1343" s="2" t="s">
        <v>6067</v>
      </c>
      <c r="G1343" s="22"/>
      <c r="H1343" s="2"/>
      <c r="I1343" s="2"/>
      <c r="J1343" s="23" t="s">
        <v>16120</v>
      </c>
      <c r="K1343" s="2" t="s">
        <v>5247</v>
      </c>
      <c r="L1343" s="2" t="s">
        <v>6</v>
      </c>
      <c r="M1343" s="826"/>
      <c r="N1343" s="25"/>
      <c r="O1343" s="22" t="s">
        <v>83</v>
      </c>
      <c r="P1343" s="21">
        <v>22319</v>
      </c>
      <c r="Q1343" s="22" t="s">
        <v>6072</v>
      </c>
      <c r="R1343" s="22"/>
      <c r="S1343" s="22"/>
      <c r="T1343" s="22"/>
      <c r="U1343" s="2"/>
      <c r="V1343" s="2"/>
      <c r="W1343" s="2"/>
      <c r="X1343" s="2"/>
      <c r="Y1343" s="2"/>
      <c r="Z1343" s="2"/>
      <c r="AA1343" s="2"/>
      <c r="AB1343" s="2"/>
      <c r="AC1343" s="2"/>
      <c r="AD1343" s="2"/>
    </row>
    <row r="1344" spans="1:30" ht="12" customHeight="1">
      <c r="A1344" s="828" t="s">
        <v>18038</v>
      </c>
      <c r="B1344" s="22" t="s">
        <v>18206</v>
      </c>
      <c r="C1344" s="2" t="s">
        <v>15254</v>
      </c>
      <c r="D1344" s="5">
        <f t="shared" si="20"/>
        <v>62</v>
      </c>
      <c r="E1344" s="2" t="s">
        <v>5</v>
      </c>
      <c r="F1344" s="2" t="s">
        <v>6067</v>
      </c>
      <c r="G1344" s="22"/>
      <c r="H1344" s="2"/>
      <c r="I1344" s="2"/>
      <c r="J1344" s="8" t="s">
        <v>16120</v>
      </c>
      <c r="K1344" s="2" t="s">
        <v>5247</v>
      </c>
      <c r="L1344" s="2" t="s">
        <v>6</v>
      </c>
      <c r="M1344" s="826"/>
      <c r="N1344" s="25"/>
      <c r="O1344" s="22" t="s">
        <v>451</v>
      </c>
      <c r="P1344" s="21">
        <v>18541</v>
      </c>
      <c r="Q1344" s="22" t="s">
        <v>16245</v>
      </c>
      <c r="R1344" s="22"/>
      <c r="S1344" s="22"/>
      <c r="T1344" s="22"/>
      <c r="U1344" s="2"/>
      <c r="V1344" s="2"/>
      <c r="W1344" s="2"/>
      <c r="X1344" s="2"/>
      <c r="Y1344" s="2"/>
      <c r="Z1344" s="2"/>
      <c r="AA1344" s="2"/>
      <c r="AB1344" s="2"/>
      <c r="AC1344" s="2"/>
      <c r="AD1344" s="2"/>
    </row>
    <row r="1345" spans="1:30" ht="12" customHeight="1">
      <c r="A1345" s="828" t="s">
        <v>18039</v>
      </c>
      <c r="B1345" s="22" t="s">
        <v>18206</v>
      </c>
      <c r="C1345" s="2" t="s">
        <v>2998</v>
      </c>
      <c r="D1345" s="5">
        <f t="shared" ref="D1345:D1408" si="21">DATEDIF(P1345,$P$1505,"Y")</f>
        <v>42</v>
      </c>
      <c r="E1345" s="2" t="s">
        <v>5</v>
      </c>
      <c r="F1345" s="2" t="s">
        <v>6067</v>
      </c>
      <c r="G1345" s="22" t="s">
        <v>2999</v>
      </c>
      <c r="H1345" s="2"/>
      <c r="I1345" s="2"/>
      <c r="J1345" s="23" t="s">
        <v>16125</v>
      </c>
      <c r="K1345" s="2"/>
      <c r="L1345" s="2" t="s">
        <v>25</v>
      </c>
      <c r="M1345" s="826">
        <v>1</v>
      </c>
      <c r="N1345" s="25">
        <v>1</v>
      </c>
      <c r="O1345" s="22" t="s">
        <v>2996</v>
      </c>
      <c r="P1345" s="21">
        <v>25787</v>
      </c>
      <c r="Q1345" s="22" t="s">
        <v>3000</v>
      </c>
      <c r="R1345" s="22"/>
      <c r="S1345" s="22"/>
      <c r="T1345" s="22"/>
      <c r="U1345" s="2"/>
      <c r="V1345" s="2"/>
      <c r="W1345" s="2"/>
      <c r="X1345" s="2"/>
      <c r="Y1345" s="2"/>
      <c r="Z1345" s="2"/>
      <c r="AA1345" s="2"/>
      <c r="AB1345" s="2"/>
      <c r="AC1345" s="2"/>
      <c r="AD1345" s="2"/>
    </row>
    <row r="1346" spans="1:30" ht="12" customHeight="1">
      <c r="A1346" s="828" t="s">
        <v>18040</v>
      </c>
      <c r="B1346" s="22" t="s">
        <v>18206</v>
      </c>
      <c r="C1346" s="2" t="s">
        <v>2142</v>
      </c>
      <c r="D1346" s="5">
        <f t="shared" si="21"/>
        <v>59</v>
      </c>
      <c r="E1346" s="2" t="s">
        <v>5</v>
      </c>
      <c r="F1346" s="2" t="s">
        <v>6067</v>
      </c>
      <c r="G1346" s="22" t="s">
        <v>2143</v>
      </c>
      <c r="H1346" s="2"/>
      <c r="I1346" s="2"/>
      <c r="J1346" s="8" t="s">
        <v>16118</v>
      </c>
      <c r="K1346" s="2"/>
      <c r="L1346" s="2" t="s">
        <v>25</v>
      </c>
      <c r="M1346" s="826">
        <v>5</v>
      </c>
      <c r="N1346" s="25">
        <v>5</v>
      </c>
      <c r="O1346" s="22" t="s">
        <v>447</v>
      </c>
      <c r="P1346" s="21">
        <v>19633</v>
      </c>
      <c r="Q1346" s="22" t="s">
        <v>727</v>
      </c>
      <c r="R1346" s="22" t="s">
        <v>2146</v>
      </c>
      <c r="S1346" s="22"/>
      <c r="T1346" s="22" t="s">
        <v>147</v>
      </c>
      <c r="U1346" s="2"/>
      <c r="V1346" s="2"/>
      <c r="W1346" s="2"/>
      <c r="X1346" s="2"/>
      <c r="Y1346" s="2"/>
      <c r="Z1346" s="2"/>
      <c r="AA1346" s="2"/>
      <c r="AB1346" s="2" t="s">
        <v>147</v>
      </c>
      <c r="AC1346" s="2"/>
      <c r="AD1346" s="2"/>
    </row>
    <row r="1347" spans="1:30" ht="12" customHeight="1">
      <c r="A1347" s="828" t="s">
        <v>18041</v>
      </c>
      <c r="B1347" s="22" t="s">
        <v>18206</v>
      </c>
      <c r="C1347" s="2" t="s">
        <v>2148</v>
      </c>
      <c r="D1347" s="5">
        <f t="shared" si="21"/>
        <v>56</v>
      </c>
      <c r="E1347" s="2" t="s">
        <v>19</v>
      </c>
      <c r="F1347" s="2" t="s">
        <v>6067</v>
      </c>
      <c r="G1347" s="22" t="s">
        <v>2149</v>
      </c>
      <c r="H1347" s="2"/>
      <c r="I1347" s="2"/>
      <c r="J1347" s="8" t="s">
        <v>16118</v>
      </c>
      <c r="K1347" s="2"/>
      <c r="L1347" s="2" t="s">
        <v>25</v>
      </c>
      <c r="M1347" s="826">
        <v>3</v>
      </c>
      <c r="N1347" s="25">
        <v>3</v>
      </c>
      <c r="O1347" s="22" t="s">
        <v>188</v>
      </c>
      <c r="P1347" s="21">
        <v>20589</v>
      </c>
      <c r="Q1347" s="22" t="s">
        <v>2152</v>
      </c>
      <c r="R1347" s="22" t="s">
        <v>810</v>
      </c>
      <c r="S1347" s="22"/>
      <c r="T1347" s="22"/>
      <c r="U1347" s="2"/>
      <c r="V1347" s="2"/>
      <c r="W1347" s="2"/>
      <c r="X1347" s="2"/>
      <c r="Y1347" s="2"/>
      <c r="Z1347" s="2"/>
      <c r="AA1347" s="2"/>
      <c r="AB1347" s="2"/>
      <c r="AC1347" s="2"/>
      <c r="AD1347" s="2"/>
    </row>
    <row r="1348" spans="1:30" ht="12" customHeight="1">
      <c r="A1348" s="828" t="s">
        <v>18042</v>
      </c>
      <c r="B1348" s="22" t="s">
        <v>18206</v>
      </c>
      <c r="C1348" s="6" t="s">
        <v>2153</v>
      </c>
      <c r="D1348" s="5">
        <f t="shared" si="21"/>
        <v>53</v>
      </c>
      <c r="E1348" s="6" t="s">
        <v>5</v>
      </c>
      <c r="F1348" s="2" t="s">
        <v>6067</v>
      </c>
      <c r="G1348" s="12"/>
      <c r="H1348" s="6"/>
      <c r="I1348" s="19"/>
      <c r="J1348" s="23" t="s">
        <v>16118</v>
      </c>
      <c r="K1348" s="6"/>
      <c r="L1348" s="6" t="s">
        <v>6</v>
      </c>
      <c r="M1348" s="6"/>
      <c r="N1348" s="14"/>
      <c r="O1348" s="12" t="s">
        <v>1884</v>
      </c>
      <c r="P1348" s="15">
        <v>21737</v>
      </c>
      <c r="Q1348" s="12" t="s">
        <v>2154</v>
      </c>
      <c r="R1348" s="12"/>
      <c r="S1348" s="12"/>
      <c r="T1348" s="12"/>
      <c r="U1348" s="2"/>
      <c r="V1348" s="2"/>
      <c r="W1348" s="2"/>
      <c r="X1348" s="2"/>
      <c r="Y1348" s="2"/>
      <c r="Z1348" s="2"/>
      <c r="AA1348" s="2"/>
      <c r="AB1348" s="2"/>
      <c r="AC1348" s="2"/>
      <c r="AD1348" s="2"/>
    </row>
    <row r="1349" spans="1:30" ht="12" customHeight="1">
      <c r="A1349" s="828" t="s">
        <v>18043</v>
      </c>
      <c r="B1349" s="22" t="s">
        <v>18206</v>
      </c>
      <c r="C1349" s="6" t="s">
        <v>5901</v>
      </c>
      <c r="D1349" s="5">
        <f t="shared" si="21"/>
        <v>51</v>
      </c>
      <c r="E1349" s="6" t="s">
        <v>5</v>
      </c>
      <c r="F1349" s="2" t="s">
        <v>6067</v>
      </c>
      <c r="G1349" s="12"/>
      <c r="H1349" s="6"/>
      <c r="I1349" s="19"/>
      <c r="J1349" s="8" t="s">
        <v>16118</v>
      </c>
      <c r="K1349" s="6"/>
      <c r="L1349" s="6" t="s">
        <v>6</v>
      </c>
      <c r="M1349" s="6"/>
      <c r="N1349" s="14"/>
      <c r="O1349" s="12" t="s">
        <v>95</v>
      </c>
      <c r="P1349" s="15">
        <v>22484</v>
      </c>
      <c r="Q1349" s="12" t="s">
        <v>5902</v>
      </c>
      <c r="R1349" s="12"/>
      <c r="S1349" s="12"/>
      <c r="T1349" s="12"/>
      <c r="U1349" s="2"/>
      <c r="V1349" s="2"/>
      <c r="W1349" s="2"/>
      <c r="X1349" s="2"/>
      <c r="Y1349" s="2"/>
      <c r="Z1349" s="2"/>
      <c r="AA1349" s="2"/>
      <c r="AB1349" s="2"/>
      <c r="AC1349" s="2"/>
      <c r="AD1349" s="2"/>
    </row>
    <row r="1350" spans="1:30" ht="12" customHeight="1">
      <c r="A1350" s="828" t="s">
        <v>18044</v>
      </c>
      <c r="B1350" s="22" t="s">
        <v>18206</v>
      </c>
      <c r="C1350" s="6" t="s">
        <v>5903</v>
      </c>
      <c r="D1350" s="5">
        <f t="shared" si="21"/>
        <v>65</v>
      </c>
      <c r="E1350" s="6" t="s">
        <v>5</v>
      </c>
      <c r="F1350" s="2" t="s">
        <v>6067</v>
      </c>
      <c r="G1350" s="12"/>
      <c r="H1350" s="6"/>
      <c r="I1350" s="19"/>
      <c r="J1350" s="23" t="s">
        <v>16118</v>
      </c>
      <c r="K1350" s="6"/>
      <c r="L1350" s="6" t="s">
        <v>6</v>
      </c>
      <c r="M1350" s="6"/>
      <c r="N1350" s="14"/>
      <c r="O1350" s="12" t="s">
        <v>1617</v>
      </c>
      <c r="P1350" s="15">
        <v>17396</v>
      </c>
      <c r="Q1350" s="12" t="s">
        <v>5905</v>
      </c>
      <c r="R1350" s="12"/>
      <c r="S1350" s="12"/>
      <c r="T1350" s="12"/>
      <c r="U1350" s="2"/>
      <c r="V1350" s="2"/>
      <c r="W1350" s="2"/>
      <c r="X1350" s="2"/>
      <c r="Y1350" s="2"/>
      <c r="Z1350" s="2"/>
      <c r="AA1350" s="2"/>
      <c r="AB1350" s="2"/>
      <c r="AC1350" s="2"/>
      <c r="AD1350" s="2"/>
    </row>
    <row r="1351" spans="1:30" ht="12" customHeight="1">
      <c r="A1351" s="828" t="s">
        <v>18045</v>
      </c>
      <c r="B1351" s="22" t="s">
        <v>18206</v>
      </c>
      <c r="C1351" s="6" t="s">
        <v>6011</v>
      </c>
      <c r="D1351" s="5">
        <f t="shared" si="21"/>
        <v>55</v>
      </c>
      <c r="E1351" s="6" t="s">
        <v>5</v>
      </c>
      <c r="F1351" s="2" t="s">
        <v>6067</v>
      </c>
      <c r="G1351" s="19"/>
      <c r="H1351" s="6"/>
      <c r="I1351" s="19"/>
      <c r="J1351" s="19" t="s">
        <v>16130</v>
      </c>
      <c r="K1351" s="6" t="s">
        <v>4993</v>
      </c>
      <c r="L1351" s="6" t="s">
        <v>6</v>
      </c>
      <c r="M1351" s="6"/>
      <c r="N1351" s="14"/>
      <c r="O1351" s="12" t="s">
        <v>317</v>
      </c>
      <c r="P1351" s="15">
        <v>21135</v>
      </c>
      <c r="Q1351" s="12" t="s">
        <v>6013</v>
      </c>
      <c r="R1351" s="12"/>
      <c r="S1351" s="12"/>
      <c r="T1351" s="19" t="s">
        <v>47</v>
      </c>
      <c r="U1351" s="2" t="s">
        <v>47</v>
      </c>
      <c r="V1351" s="2"/>
      <c r="W1351" s="2"/>
      <c r="X1351" s="2"/>
      <c r="Y1351" s="2"/>
      <c r="Z1351" s="2"/>
      <c r="AA1351" s="2"/>
      <c r="AB1351" s="2"/>
      <c r="AC1351" s="2"/>
      <c r="AD1351" s="22"/>
    </row>
    <row r="1352" spans="1:30" ht="12" customHeight="1">
      <c r="A1352" s="828" t="s">
        <v>18046</v>
      </c>
      <c r="B1352" s="22" t="s">
        <v>18206</v>
      </c>
      <c r="C1352" s="6" t="s">
        <v>6004</v>
      </c>
      <c r="D1352" s="5">
        <f t="shared" si="21"/>
        <v>55</v>
      </c>
      <c r="E1352" s="6" t="s">
        <v>5</v>
      </c>
      <c r="F1352" s="2" t="s">
        <v>6067</v>
      </c>
      <c r="G1352" s="19"/>
      <c r="H1352" s="6"/>
      <c r="I1352" s="19"/>
      <c r="J1352" s="19" t="s">
        <v>16130</v>
      </c>
      <c r="K1352" s="6" t="s">
        <v>469</v>
      </c>
      <c r="L1352" s="6" t="s">
        <v>14</v>
      </c>
      <c r="M1352" s="6">
        <v>3</v>
      </c>
      <c r="N1352" s="14">
        <v>3</v>
      </c>
      <c r="O1352" s="12" t="s">
        <v>695</v>
      </c>
      <c r="P1352" s="15">
        <v>20828</v>
      </c>
      <c r="Q1352" s="12" t="s">
        <v>6007</v>
      </c>
      <c r="R1352" s="12" t="s">
        <v>6008</v>
      </c>
      <c r="S1352" s="12"/>
      <c r="T1352" s="19" t="s">
        <v>145</v>
      </c>
      <c r="U1352" s="2"/>
      <c r="V1352" s="2" t="s">
        <v>145</v>
      </c>
      <c r="W1352" s="2"/>
      <c r="X1352" s="2"/>
      <c r="Y1352" s="2"/>
      <c r="Z1352" s="2"/>
      <c r="AA1352" s="2"/>
      <c r="AB1352" s="2"/>
      <c r="AC1352" s="2"/>
      <c r="AD1352" s="22"/>
    </row>
    <row r="1353" spans="1:30" ht="12" customHeight="1">
      <c r="A1353" s="828" t="s">
        <v>18047</v>
      </c>
      <c r="B1353" s="22" t="s">
        <v>18206</v>
      </c>
      <c r="C1353" s="6" t="s">
        <v>6018</v>
      </c>
      <c r="D1353" s="5">
        <f t="shared" si="21"/>
        <v>55</v>
      </c>
      <c r="E1353" s="6" t="s">
        <v>5</v>
      </c>
      <c r="F1353" s="2" t="s">
        <v>6067</v>
      </c>
      <c r="G1353" s="12"/>
      <c r="H1353" s="6"/>
      <c r="I1353" s="19"/>
      <c r="J1353" s="8" t="s">
        <v>16130</v>
      </c>
      <c r="K1353" s="6" t="s">
        <v>5867</v>
      </c>
      <c r="L1353" s="6" t="s">
        <v>6</v>
      </c>
      <c r="M1353" s="6"/>
      <c r="N1353" s="14"/>
      <c r="O1353" s="12" t="s">
        <v>31</v>
      </c>
      <c r="P1353" s="15">
        <v>21148</v>
      </c>
      <c r="Q1353" s="12" t="s">
        <v>6021</v>
      </c>
      <c r="R1353" s="12"/>
      <c r="S1353" s="12"/>
      <c r="T1353" s="19" t="s">
        <v>635</v>
      </c>
      <c r="U1353" s="2"/>
      <c r="V1353" s="2" t="s">
        <v>145</v>
      </c>
      <c r="W1353" s="2"/>
      <c r="X1353" s="2"/>
      <c r="Y1353" s="2"/>
      <c r="Z1353" s="2"/>
      <c r="AA1353" s="2"/>
      <c r="AB1353" s="2"/>
      <c r="AC1353" s="2" t="s">
        <v>146</v>
      </c>
      <c r="AD1353" s="22"/>
    </row>
    <row r="1354" spans="1:30" ht="12" customHeight="1">
      <c r="A1354" s="828" t="s">
        <v>18048</v>
      </c>
      <c r="B1354" s="22" t="s">
        <v>18206</v>
      </c>
      <c r="C1354" s="2" t="s">
        <v>2155</v>
      </c>
      <c r="D1354" s="5">
        <f t="shared" si="21"/>
        <v>58</v>
      </c>
      <c r="E1354" s="2" t="s">
        <v>5</v>
      </c>
      <c r="F1354" s="2" t="s">
        <v>6067</v>
      </c>
      <c r="G1354" s="22" t="s">
        <v>2156</v>
      </c>
      <c r="H1354" s="2"/>
      <c r="I1354" s="2"/>
      <c r="J1354" s="23" t="s">
        <v>16117</v>
      </c>
      <c r="K1354" s="2"/>
      <c r="L1354" s="2" t="s">
        <v>25</v>
      </c>
      <c r="M1354" s="826">
        <v>6</v>
      </c>
      <c r="N1354" s="25">
        <v>6</v>
      </c>
      <c r="O1354" s="22" t="s">
        <v>317</v>
      </c>
      <c r="P1354" s="21">
        <v>19934</v>
      </c>
      <c r="Q1354" s="22" t="s">
        <v>2157</v>
      </c>
      <c r="R1354" s="22" t="s">
        <v>2158</v>
      </c>
      <c r="S1354" s="22"/>
      <c r="T1354" s="22"/>
      <c r="U1354" s="2"/>
      <c r="V1354" s="2"/>
      <c r="W1354" s="2"/>
      <c r="X1354" s="2"/>
      <c r="Y1354" s="2"/>
      <c r="Z1354" s="2"/>
      <c r="AA1354" s="2"/>
      <c r="AB1354" s="2"/>
      <c r="AC1354" s="2"/>
      <c r="AD1354" s="2"/>
    </row>
    <row r="1355" spans="1:30" ht="12" customHeight="1">
      <c r="A1355" s="828" t="s">
        <v>18049</v>
      </c>
      <c r="B1355" s="22" t="s">
        <v>18206</v>
      </c>
      <c r="C1355" s="2" t="s">
        <v>2159</v>
      </c>
      <c r="D1355" s="5">
        <f t="shared" si="21"/>
        <v>55</v>
      </c>
      <c r="E1355" s="2" t="s">
        <v>19</v>
      </c>
      <c r="F1355" s="2" t="s">
        <v>6067</v>
      </c>
      <c r="G1355" s="22"/>
      <c r="H1355" s="2"/>
      <c r="I1355" s="2"/>
      <c r="J1355" s="8" t="s">
        <v>16117</v>
      </c>
      <c r="K1355" s="2"/>
      <c r="L1355" s="2" t="s">
        <v>6</v>
      </c>
      <c r="M1355" s="826"/>
      <c r="N1355" s="25">
        <v>2</v>
      </c>
      <c r="O1355" s="22" t="s">
        <v>1485</v>
      </c>
      <c r="P1355" s="21">
        <v>20839</v>
      </c>
      <c r="Q1355" s="22" t="s">
        <v>2161</v>
      </c>
      <c r="R1355" s="22" t="s">
        <v>374</v>
      </c>
      <c r="S1355" s="22"/>
      <c r="T1355" s="22" t="s">
        <v>229</v>
      </c>
      <c r="U1355" s="2"/>
      <c r="V1355" s="2"/>
      <c r="W1355" s="2"/>
      <c r="X1355" s="2" t="s">
        <v>229</v>
      </c>
      <c r="Y1355" s="2"/>
      <c r="Z1355" s="2"/>
      <c r="AA1355" s="2"/>
      <c r="AB1355" s="2"/>
      <c r="AC1355" s="2"/>
      <c r="AD1355" s="2"/>
    </row>
    <row r="1356" spans="1:30" ht="12" customHeight="1">
      <c r="A1356" s="828" t="s">
        <v>18050</v>
      </c>
      <c r="B1356" s="22" t="s">
        <v>18206</v>
      </c>
      <c r="C1356" s="2" t="s">
        <v>5486</v>
      </c>
      <c r="D1356" s="5">
        <f t="shared" si="21"/>
        <v>57</v>
      </c>
      <c r="E1356" s="2" t="s">
        <v>19</v>
      </c>
      <c r="F1356" s="2" t="s">
        <v>6067</v>
      </c>
      <c r="G1356" s="22"/>
      <c r="H1356" s="2"/>
      <c r="I1356" s="2"/>
      <c r="J1356" s="8" t="s">
        <v>16117</v>
      </c>
      <c r="K1356" s="2"/>
      <c r="L1356" s="2" t="s">
        <v>6</v>
      </c>
      <c r="M1356" s="826"/>
      <c r="N1356" s="25"/>
      <c r="O1356" s="22" t="s">
        <v>5488</v>
      </c>
      <c r="P1356" s="21">
        <v>20342</v>
      </c>
      <c r="Q1356" s="22" t="s">
        <v>5487</v>
      </c>
      <c r="R1356" s="22"/>
      <c r="S1356" s="22"/>
      <c r="T1356" s="22"/>
      <c r="U1356" s="2"/>
      <c r="V1356" s="2"/>
      <c r="W1356" s="2"/>
      <c r="X1356" s="2"/>
      <c r="Y1356" s="2"/>
      <c r="Z1356" s="2"/>
      <c r="AA1356" s="2"/>
      <c r="AB1356" s="2"/>
      <c r="AC1356" s="2"/>
      <c r="AD1356" s="2"/>
    </row>
    <row r="1357" spans="1:30" ht="12" customHeight="1">
      <c r="A1357" s="828" t="s">
        <v>18051</v>
      </c>
      <c r="B1357" s="22" t="s">
        <v>18206</v>
      </c>
      <c r="C1357" s="2" t="s">
        <v>5699</v>
      </c>
      <c r="D1357" s="5">
        <f t="shared" si="21"/>
        <v>45</v>
      </c>
      <c r="E1357" s="2" t="s">
        <v>19</v>
      </c>
      <c r="F1357" s="2" t="s">
        <v>6067</v>
      </c>
      <c r="G1357" s="22"/>
      <c r="H1357" s="2"/>
      <c r="I1357" s="2"/>
      <c r="J1357" s="23" t="s">
        <v>16121</v>
      </c>
      <c r="K1357" s="2"/>
      <c r="L1357" s="2" t="s">
        <v>6</v>
      </c>
      <c r="M1357" s="826"/>
      <c r="N1357" s="25"/>
      <c r="O1357" s="22" t="s">
        <v>5700</v>
      </c>
      <c r="P1357" s="21">
        <v>24712</v>
      </c>
      <c r="Q1357" s="22" t="s">
        <v>5701</v>
      </c>
      <c r="R1357" s="22"/>
      <c r="S1357" s="22"/>
      <c r="T1357" s="22"/>
      <c r="U1357" s="2"/>
      <c r="V1357" s="2"/>
      <c r="W1357" s="2"/>
      <c r="X1357" s="2"/>
      <c r="Y1357" s="2"/>
      <c r="Z1357" s="2"/>
      <c r="AA1357" s="2"/>
      <c r="AB1357" s="2"/>
      <c r="AC1357" s="2"/>
      <c r="AD1357" s="2"/>
    </row>
    <row r="1358" spans="1:30" ht="12" customHeight="1">
      <c r="A1358" s="828" t="s">
        <v>18052</v>
      </c>
      <c r="B1358" s="22" t="s">
        <v>18206</v>
      </c>
      <c r="C1358" s="2" t="s">
        <v>5106</v>
      </c>
      <c r="D1358" s="5">
        <f t="shared" si="21"/>
        <v>50</v>
      </c>
      <c r="E1358" s="2" t="s">
        <v>5</v>
      </c>
      <c r="F1358" s="2" t="s">
        <v>6067</v>
      </c>
      <c r="G1358" s="22"/>
      <c r="H1358" s="2"/>
      <c r="I1358" s="2"/>
      <c r="J1358" s="23" t="s">
        <v>16122</v>
      </c>
      <c r="K1358" s="2" t="s">
        <v>22</v>
      </c>
      <c r="L1358" s="2" t="s">
        <v>6</v>
      </c>
      <c r="M1358" s="826"/>
      <c r="N1358" s="25"/>
      <c r="O1358" s="22" t="s">
        <v>317</v>
      </c>
      <c r="P1358" s="21">
        <v>22899</v>
      </c>
      <c r="Q1358" s="22" t="s">
        <v>5108</v>
      </c>
      <c r="R1358" s="22"/>
      <c r="S1358" s="22"/>
      <c r="T1358" s="22"/>
      <c r="U1358" s="2"/>
      <c r="V1358" s="2"/>
      <c r="W1358" s="2"/>
      <c r="X1358" s="2"/>
      <c r="Y1358" s="2"/>
      <c r="Z1358" s="2"/>
      <c r="AA1358" s="2"/>
      <c r="AB1358" s="2"/>
      <c r="AC1358" s="2"/>
      <c r="AD1358" s="2"/>
    </row>
    <row r="1359" spans="1:30" ht="12" customHeight="1">
      <c r="A1359" s="828" t="s">
        <v>18053</v>
      </c>
      <c r="B1359" s="22" t="s">
        <v>18206</v>
      </c>
      <c r="C1359" s="2" t="s">
        <v>5109</v>
      </c>
      <c r="D1359" s="5">
        <f t="shared" si="21"/>
        <v>62</v>
      </c>
      <c r="E1359" s="2" t="s">
        <v>5</v>
      </c>
      <c r="F1359" s="2" t="s">
        <v>6067</v>
      </c>
      <c r="G1359" s="22"/>
      <c r="H1359" s="2"/>
      <c r="I1359" s="2"/>
      <c r="J1359" s="23" t="s">
        <v>16122</v>
      </c>
      <c r="K1359" s="2" t="s">
        <v>22</v>
      </c>
      <c r="L1359" s="2" t="s">
        <v>6</v>
      </c>
      <c r="M1359" s="826"/>
      <c r="N1359" s="25"/>
      <c r="O1359" s="22" t="s">
        <v>5110</v>
      </c>
      <c r="P1359" s="21">
        <v>18261</v>
      </c>
      <c r="Q1359" s="22" t="s">
        <v>5111</v>
      </c>
      <c r="R1359" s="22"/>
      <c r="S1359" s="22"/>
      <c r="T1359" s="22"/>
      <c r="U1359" s="2"/>
      <c r="V1359" s="2"/>
      <c r="W1359" s="2"/>
      <c r="X1359" s="2"/>
      <c r="Y1359" s="2"/>
      <c r="Z1359" s="2"/>
      <c r="AA1359" s="2"/>
      <c r="AB1359" s="2"/>
      <c r="AC1359" s="2"/>
      <c r="AD1359" s="2"/>
    </row>
    <row r="1360" spans="1:30" ht="12" customHeight="1">
      <c r="A1360" s="828" t="s">
        <v>18054</v>
      </c>
      <c r="B1360" s="22" t="s">
        <v>18206</v>
      </c>
      <c r="C1360" s="2" t="s">
        <v>5112</v>
      </c>
      <c r="D1360" s="5">
        <f t="shared" si="21"/>
        <v>40</v>
      </c>
      <c r="E1360" s="2" t="s">
        <v>5</v>
      </c>
      <c r="F1360" s="2" t="s">
        <v>6067</v>
      </c>
      <c r="G1360" s="22"/>
      <c r="H1360" s="2"/>
      <c r="I1360" s="2"/>
      <c r="J1360" s="23" t="s">
        <v>16122</v>
      </c>
      <c r="K1360" s="2" t="s">
        <v>22</v>
      </c>
      <c r="L1360" s="2" t="s">
        <v>6</v>
      </c>
      <c r="M1360" s="826"/>
      <c r="N1360" s="25"/>
      <c r="O1360" s="22" t="s">
        <v>5113</v>
      </c>
      <c r="P1360" s="21">
        <v>26625</v>
      </c>
      <c r="Q1360" s="22" t="s">
        <v>5114</v>
      </c>
      <c r="R1360" s="22"/>
      <c r="S1360" s="22"/>
      <c r="T1360" s="22"/>
      <c r="U1360" s="2"/>
      <c r="V1360" s="2"/>
      <c r="W1360" s="2"/>
      <c r="X1360" s="2"/>
      <c r="Y1360" s="2"/>
      <c r="Z1360" s="2"/>
      <c r="AA1360" s="2"/>
      <c r="AB1360" s="2"/>
      <c r="AC1360" s="2"/>
      <c r="AD1360" s="2"/>
    </row>
    <row r="1361" spans="1:30" ht="12" customHeight="1">
      <c r="A1361" s="828" t="s">
        <v>18055</v>
      </c>
      <c r="B1361" s="22" t="s">
        <v>18206</v>
      </c>
      <c r="C1361" s="2" t="s">
        <v>5115</v>
      </c>
      <c r="D1361" s="5">
        <f t="shared" si="21"/>
        <v>72</v>
      </c>
      <c r="E1361" s="2" t="s">
        <v>5</v>
      </c>
      <c r="F1361" s="2" t="s">
        <v>6067</v>
      </c>
      <c r="G1361" s="22"/>
      <c r="H1361" s="2"/>
      <c r="I1361" s="2"/>
      <c r="J1361" s="23" t="s">
        <v>16122</v>
      </c>
      <c r="K1361" s="2" t="s">
        <v>22</v>
      </c>
      <c r="L1361" s="2" t="s">
        <v>6</v>
      </c>
      <c r="M1361" s="826"/>
      <c r="N1361" s="25"/>
      <c r="O1361" s="22" t="s">
        <v>1481</v>
      </c>
      <c r="P1361" s="21">
        <v>14697</v>
      </c>
      <c r="Q1361" s="22" t="s">
        <v>5119</v>
      </c>
      <c r="R1361" s="22"/>
      <c r="S1361" s="22"/>
      <c r="T1361" s="22"/>
      <c r="U1361" s="2"/>
      <c r="V1361" s="2"/>
      <c r="W1361" s="2"/>
      <c r="X1361" s="2"/>
      <c r="Y1361" s="2"/>
      <c r="Z1361" s="2"/>
      <c r="AA1361" s="2"/>
      <c r="AB1361" s="2"/>
      <c r="AC1361" s="2"/>
      <c r="AD1361" s="2"/>
    </row>
    <row r="1362" spans="1:30" ht="12" customHeight="1">
      <c r="A1362" s="828" t="s">
        <v>18056</v>
      </c>
      <c r="B1362" s="22" t="s">
        <v>18206</v>
      </c>
      <c r="C1362" s="2" t="s">
        <v>5117</v>
      </c>
      <c r="D1362" s="5">
        <f t="shared" si="21"/>
        <v>27</v>
      </c>
      <c r="E1362" s="2" t="s">
        <v>5</v>
      </c>
      <c r="F1362" s="2" t="s">
        <v>6067</v>
      </c>
      <c r="G1362" s="22"/>
      <c r="H1362" s="2"/>
      <c r="I1362" s="2"/>
      <c r="J1362" s="23" t="s">
        <v>16122</v>
      </c>
      <c r="K1362" s="2" t="s">
        <v>22</v>
      </c>
      <c r="L1362" s="2" t="s">
        <v>6</v>
      </c>
      <c r="M1362" s="826"/>
      <c r="N1362" s="25"/>
      <c r="O1362" s="22" t="s">
        <v>5118</v>
      </c>
      <c r="P1362" s="21">
        <v>31308</v>
      </c>
      <c r="Q1362" s="22" t="s">
        <v>1296</v>
      </c>
      <c r="R1362" s="22"/>
      <c r="S1362" s="22"/>
      <c r="T1362" s="22"/>
      <c r="U1362" s="2"/>
      <c r="V1362" s="2"/>
      <c r="W1362" s="2"/>
      <c r="X1362" s="2"/>
      <c r="Y1362" s="2"/>
      <c r="Z1362" s="2"/>
      <c r="AA1362" s="2"/>
      <c r="AB1362" s="2"/>
      <c r="AC1362" s="2"/>
      <c r="AD1362" s="2"/>
    </row>
    <row r="1363" spans="1:30" ht="12" customHeight="1">
      <c r="A1363" s="828" t="s">
        <v>18057</v>
      </c>
      <c r="B1363" s="22" t="s">
        <v>18207</v>
      </c>
      <c r="C1363" s="2" t="s">
        <v>6205</v>
      </c>
      <c r="D1363" s="5">
        <f t="shared" si="21"/>
        <v>72</v>
      </c>
      <c r="E1363" s="2" t="s">
        <v>5</v>
      </c>
      <c r="F1363" s="2" t="s">
        <v>6067</v>
      </c>
      <c r="G1363" s="22"/>
      <c r="H1363" s="2"/>
      <c r="I1363" s="2"/>
      <c r="J1363" s="8" t="s">
        <v>16126</v>
      </c>
      <c r="K1363" s="2" t="s">
        <v>604</v>
      </c>
      <c r="L1363" s="2" t="s">
        <v>25</v>
      </c>
      <c r="M1363" s="826">
        <v>4</v>
      </c>
      <c r="N1363" s="25">
        <v>4</v>
      </c>
      <c r="O1363" s="22" t="s">
        <v>60</v>
      </c>
      <c r="P1363" s="21">
        <v>14915</v>
      </c>
      <c r="Q1363" s="22" t="s">
        <v>6211</v>
      </c>
      <c r="R1363" s="22" t="s">
        <v>6212</v>
      </c>
      <c r="S1363" s="22"/>
      <c r="T1363" s="22" t="s">
        <v>145</v>
      </c>
      <c r="U1363" s="2"/>
      <c r="V1363" s="2" t="s">
        <v>145</v>
      </c>
      <c r="W1363" s="2"/>
      <c r="X1363" s="2"/>
      <c r="Y1363" s="2"/>
      <c r="Z1363" s="2"/>
      <c r="AA1363" s="2"/>
      <c r="AB1363" s="2"/>
      <c r="AC1363" s="2"/>
      <c r="AD1363" s="2"/>
    </row>
    <row r="1364" spans="1:30" ht="12" customHeight="1">
      <c r="A1364" s="828" t="s">
        <v>18058</v>
      </c>
      <c r="B1364" s="22" t="s">
        <v>18207</v>
      </c>
      <c r="C1364" s="2" t="s">
        <v>6073</v>
      </c>
      <c r="D1364" s="5">
        <f t="shared" si="21"/>
        <v>68</v>
      </c>
      <c r="E1364" s="2" t="s">
        <v>5</v>
      </c>
      <c r="F1364" s="2" t="s">
        <v>6067</v>
      </c>
      <c r="G1364" s="22"/>
      <c r="H1364" s="2"/>
      <c r="I1364" s="2"/>
      <c r="J1364" s="8" t="s">
        <v>16120</v>
      </c>
      <c r="K1364" s="2" t="s">
        <v>5247</v>
      </c>
      <c r="L1364" s="2" t="s">
        <v>6</v>
      </c>
      <c r="M1364" s="826"/>
      <c r="N1364" s="25"/>
      <c r="O1364" s="22" t="s">
        <v>6074</v>
      </c>
      <c r="P1364" s="21">
        <v>16147</v>
      </c>
      <c r="Q1364" s="22" t="s">
        <v>6075</v>
      </c>
      <c r="R1364" s="22"/>
      <c r="S1364" s="22"/>
      <c r="T1364" s="22"/>
      <c r="U1364" s="2"/>
      <c r="V1364" s="2"/>
      <c r="W1364" s="2"/>
      <c r="X1364" s="2"/>
      <c r="Y1364" s="2"/>
      <c r="Z1364" s="2"/>
      <c r="AA1364" s="2"/>
      <c r="AB1364" s="2"/>
      <c r="AC1364" s="2"/>
      <c r="AD1364" s="2"/>
    </row>
    <row r="1365" spans="1:30" ht="12" customHeight="1">
      <c r="A1365" s="828" t="s">
        <v>18059</v>
      </c>
      <c r="B1365" s="22" t="s">
        <v>18207</v>
      </c>
      <c r="C1365" s="2" t="s">
        <v>6076</v>
      </c>
      <c r="D1365" s="5">
        <f t="shared" si="21"/>
        <v>40</v>
      </c>
      <c r="E1365" s="2" t="s">
        <v>5</v>
      </c>
      <c r="F1365" s="2" t="s">
        <v>6067</v>
      </c>
      <c r="G1365" s="22"/>
      <c r="H1365" s="2"/>
      <c r="I1365" s="2"/>
      <c r="J1365" s="4" t="s">
        <v>16120</v>
      </c>
      <c r="K1365" s="2" t="s">
        <v>5247</v>
      </c>
      <c r="L1365" s="2" t="s">
        <v>6</v>
      </c>
      <c r="M1365" s="826"/>
      <c r="N1365" s="25"/>
      <c r="O1365" s="22" t="s">
        <v>188</v>
      </c>
      <c r="P1365" s="21">
        <v>26421</v>
      </c>
      <c r="Q1365" s="22" t="s">
        <v>16321</v>
      </c>
      <c r="R1365" s="22"/>
      <c r="S1365" s="22"/>
      <c r="T1365" s="22"/>
      <c r="U1365" s="2"/>
      <c r="V1365" s="2"/>
      <c r="W1365" s="2"/>
      <c r="X1365" s="2"/>
      <c r="Y1365" s="2"/>
      <c r="Z1365" s="2"/>
      <c r="AA1365" s="2"/>
      <c r="AB1365" s="2"/>
      <c r="AC1365" s="2"/>
      <c r="AD1365" s="2"/>
    </row>
    <row r="1366" spans="1:30" ht="12" customHeight="1">
      <c r="A1366" s="828" t="s">
        <v>18060</v>
      </c>
      <c r="B1366" s="22" t="s">
        <v>18207</v>
      </c>
      <c r="C1366" s="2" t="s">
        <v>6077</v>
      </c>
      <c r="D1366" s="5">
        <f t="shared" si="21"/>
        <v>32</v>
      </c>
      <c r="E1366" s="2" t="s">
        <v>5</v>
      </c>
      <c r="F1366" s="2" t="s">
        <v>6067</v>
      </c>
      <c r="G1366" s="22"/>
      <c r="H1366" s="2"/>
      <c r="I1366" s="2"/>
      <c r="J1366" s="4" t="s">
        <v>16120</v>
      </c>
      <c r="K1366" s="2" t="s">
        <v>5247</v>
      </c>
      <c r="L1366" s="2" t="s">
        <v>6</v>
      </c>
      <c r="M1366" s="826"/>
      <c r="N1366" s="25"/>
      <c r="O1366" s="22" t="s">
        <v>172</v>
      </c>
      <c r="P1366" s="21">
        <v>29563</v>
      </c>
      <c r="Q1366" s="22" t="s">
        <v>6079</v>
      </c>
      <c r="R1366" s="22"/>
      <c r="S1366" s="22"/>
      <c r="T1366" s="22" t="s">
        <v>155</v>
      </c>
      <c r="U1366" s="2"/>
      <c r="V1366" s="2"/>
      <c r="W1366" s="2"/>
      <c r="X1366" s="2"/>
      <c r="Y1366" s="2" t="s">
        <v>155</v>
      </c>
      <c r="Z1366" s="2"/>
      <c r="AA1366" s="2"/>
      <c r="AB1366" s="2"/>
      <c r="AC1366" s="2"/>
      <c r="AD1366" s="2"/>
    </row>
    <row r="1367" spans="1:30" ht="12" customHeight="1">
      <c r="A1367" s="828" t="s">
        <v>18061</v>
      </c>
      <c r="B1367" s="22" t="s">
        <v>18207</v>
      </c>
      <c r="C1367" s="2" t="s">
        <v>6081</v>
      </c>
      <c r="D1367" s="5">
        <f t="shared" si="21"/>
        <v>67</v>
      </c>
      <c r="E1367" s="2" t="s">
        <v>5</v>
      </c>
      <c r="F1367" s="2" t="s">
        <v>6067</v>
      </c>
      <c r="G1367" s="22"/>
      <c r="H1367" s="2"/>
      <c r="I1367" s="2"/>
      <c r="J1367" s="8" t="s">
        <v>16120</v>
      </c>
      <c r="K1367" s="2" t="s">
        <v>5247</v>
      </c>
      <c r="L1367" s="2" t="s">
        <v>6</v>
      </c>
      <c r="M1367" s="826"/>
      <c r="N1367" s="25"/>
      <c r="O1367" s="22" t="s">
        <v>381</v>
      </c>
      <c r="P1367" s="21">
        <v>16766</v>
      </c>
      <c r="Q1367" s="22" t="s">
        <v>16322</v>
      </c>
      <c r="R1367" s="22"/>
      <c r="S1367" s="22"/>
      <c r="T1367" s="22" t="s">
        <v>69</v>
      </c>
      <c r="U1367" s="2"/>
      <c r="V1367" s="2"/>
      <c r="W1367" s="2"/>
      <c r="X1367" s="2"/>
      <c r="Y1367" s="2"/>
      <c r="Z1367" s="2"/>
      <c r="AA1367" s="2"/>
      <c r="AB1367" s="2"/>
      <c r="AC1367" s="2"/>
      <c r="AD1367" s="2" t="s">
        <v>69</v>
      </c>
    </row>
    <row r="1368" spans="1:30" ht="12" customHeight="1">
      <c r="A1368" s="828" t="s">
        <v>18062</v>
      </c>
      <c r="B1368" s="22" t="s">
        <v>18207</v>
      </c>
      <c r="C1368" s="2" t="s">
        <v>6082</v>
      </c>
      <c r="D1368" s="5">
        <f t="shared" si="21"/>
        <v>69</v>
      </c>
      <c r="E1368" s="2" t="s">
        <v>5</v>
      </c>
      <c r="F1368" s="2" t="s">
        <v>6067</v>
      </c>
      <c r="G1368" s="22"/>
      <c r="H1368" s="2"/>
      <c r="I1368" s="2"/>
      <c r="J1368" s="23" t="s">
        <v>16120</v>
      </c>
      <c r="K1368" s="2" t="s">
        <v>5247</v>
      </c>
      <c r="L1368" s="2" t="s">
        <v>6</v>
      </c>
      <c r="M1368" s="826"/>
      <c r="N1368" s="25"/>
      <c r="O1368" s="22" t="s">
        <v>1903</v>
      </c>
      <c r="P1368" s="21">
        <v>16042</v>
      </c>
      <c r="Q1368" s="22" t="s">
        <v>15255</v>
      </c>
      <c r="R1368" s="22"/>
      <c r="S1368" s="22"/>
      <c r="T1368" s="22"/>
      <c r="U1368" s="2"/>
      <c r="V1368" s="2"/>
      <c r="W1368" s="2"/>
      <c r="X1368" s="2"/>
      <c r="Y1368" s="2"/>
      <c r="Z1368" s="2"/>
      <c r="AA1368" s="2"/>
      <c r="AB1368" s="2"/>
      <c r="AC1368" s="2"/>
      <c r="AD1368" s="2"/>
    </row>
    <row r="1369" spans="1:30" ht="12" customHeight="1">
      <c r="A1369" s="828" t="s">
        <v>18063</v>
      </c>
      <c r="B1369" s="22" t="s">
        <v>18207</v>
      </c>
      <c r="C1369" s="2" t="s">
        <v>2164</v>
      </c>
      <c r="D1369" s="5">
        <f t="shared" si="21"/>
        <v>48</v>
      </c>
      <c r="E1369" s="2" t="s">
        <v>5</v>
      </c>
      <c r="F1369" s="2" t="s">
        <v>6067</v>
      </c>
      <c r="G1369" s="22" t="s">
        <v>2165</v>
      </c>
      <c r="H1369" s="2"/>
      <c r="I1369" s="2"/>
      <c r="J1369" s="23" t="s">
        <v>16125</v>
      </c>
      <c r="K1369" s="2"/>
      <c r="L1369" s="2" t="s">
        <v>25</v>
      </c>
      <c r="M1369" s="826">
        <v>1</v>
      </c>
      <c r="N1369" s="25">
        <v>1</v>
      </c>
      <c r="O1369" s="22" t="s">
        <v>172</v>
      </c>
      <c r="P1369" s="21">
        <v>23456</v>
      </c>
      <c r="Q1369" s="22" t="s">
        <v>2167</v>
      </c>
      <c r="R1369" s="22" t="s">
        <v>16694</v>
      </c>
      <c r="S1369" s="22"/>
      <c r="T1369" s="22" t="s">
        <v>85</v>
      </c>
      <c r="U1369" s="2"/>
      <c r="V1369" s="2"/>
      <c r="W1369" s="2"/>
      <c r="X1369" s="2"/>
      <c r="Y1369" s="2"/>
      <c r="Z1369" s="2" t="s">
        <v>85</v>
      </c>
      <c r="AA1369" s="2"/>
      <c r="AB1369" s="2"/>
      <c r="AC1369" s="2"/>
      <c r="AD1369" s="2"/>
    </row>
    <row r="1370" spans="1:30" ht="12" customHeight="1">
      <c r="A1370" s="828" t="s">
        <v>18064</v>
      </c>
      <c r="B1370" s="22" t="s">
        <v>18207</v>
      </c>
      <c r="C1370" s="2" t="s">
        <v>2171</v>
      </c>
      <c r="D1370" s="5">
        <f t="shared" si="21"/>
        <v>53</v>
      </c>
      <c r="E1370" s="2" t="s">
        <v>5</v>
      </c>
      <c r="F1370" s="2" t="s">
        <v>6067</v>
      </c>
      <c r="G1370" s="22" t="s">
        <v>2176</v>
      </c>
      <c r="H1370" s="2"/>
      <c r="I1370" s="2"/>
      <c r="J1370" s="8" t="s">
        <v>16118</v>
      </c>
      <c r="K1370" s="2"/>
      <c r="L1370" s="2" t="s">
        <v>25</v>
      </c>
      <c r="M1370" s="826">
        <v>5</v>
      </c>
      <c r="N1370" s="25">
        <v>5</v>
      </c>
      <c r="O1370" s="22" t="s">
        <v>2123</v>
      </c>
      <c r="P1370" s="21">
        <v>21900</v>
      </c>
      <c r="Q1370" s="22" t="s">
        <v>1295</v>
      </c>
      <c r="R1370" s="22" t="s">
        <v>2174</v>
      </c>
      <c r="S1370" s="22"/>
      <c r="T1370" s="22" t="s">
        <v>155</v>
      </c>
      <c r="U1370" s="2"/>
      <c r="V1370" s="2"/>
      <c r="W1370" s="2"/>
      <c r="X1370" s="2"/>
      <c r="Y1370" s="2" t="s">
        <v>155</v>
      </c>
      <c r="Z1370" s="2"/>
      <c r="AA1370" s="2"/>
      <c r="AB1370" s="2"/>
      <c r="AC1370" s="2"/>
      <c r="AD1370" s="2"/>
    </row>
    <row r="1371" spans="1:30" ht="12" customHeight="1">
      <c r="A1371" s="828" t="s">
        <v>18065</v>
      </c>
      <c r="B1371" s="22" t="s">
        <v>18207</v>
      </c>
      <c r="C1371" s="2" t="s">
        <v>2175</v>
      </c>
      <c r="D1371" s="5">
        <f t="shared" si="21"/>
        <v>60</v>
      </c>
      <c r="E1371" s="2" t="s">
        <v>19</v>
      </c>
      <c r="F1371" s="2" t="s">
        <v>6067</v>
      </c>
      <c r="G1371" s="22" t="s">
        <v>2177</v>
      </c>
      <c r="H1371" s="2"/>
      <c r="I1371" s="2"/>
      <c r="J1371" s="8" t="s">
        <v>16118</v>
      </c>
      <c r="K1371" s="2"/>
      <c r="L1371" s="2" t="s">
        <v>25</v>
      </c>
      <c r="M1371" s="826">
        <v>3</v>
      </c>
      <c r="N1371" s="25">
        <v>3</v>
      </c>
      <c r="O1371" s="22" t="s">
        <v>2123</v>
      </c>
      <c r="P1371" s="21">
        <v>19250</v>
      </c>
      <c r="Q1371" s="22" t="s">
        <v>2179</v>
      </c>
      <c r="R1371" s="22" t="s">
        <v>2178</v>
      </c>
      <c r="S1371" s="22"/>
      <c r="T1371" s="22"/>
      <c r="U1371" s="2"/>
      <c r="V1371" s="2"/>
      <c r="W1371" s="2"/>
      <c r="X1371" s="2"/>
      <c r="Y1371" s="2"/>
      <c r="Z1371" s="2"/>
      <c r="AA1371" s="2"/>
      <c r="AB1371" s="2"/>
      <c r="AC1371" s="2"/>
      <c r="AD1371" s="2"/>
    </row>
    <row r="1372" spans="1:30" ht="12" customHeight="1">
      <c r="A1372" s="828" t="s">
        <v>18066</v>
      </c>
      <c r="B1372" s="22" t="s">
        <v>18207</v>
      </c>
      <c r="C1372" s="2" t="s">
        <v>5908</v>
      </c>
      <c r="D1372" s="5">
        <f t="shared" si="21"/>
        <v>41</v>
      </c>
      <c r="E1372" s="2" t="s">
        <v>5</v>
      </c>
      <c r="F1372" s="2" t="s">
        <v>6067</v>
      </c>
      <c r="G1372" s="22"/>
      <c r="H1372" s="2"/>
      <c r="I1372" s="2"/>
      <c r="J1372" s="23" t="s">
        <v>16118</v>
      </c>
      <c r="K1372" s="2"/>
      <c r="L1372" s="2" t="s">
        <v>6</v>
      </c>
      <c r="M1372" s="826"/>
      <c r="N1372" s="25"/>
      <c r="O1372" s="22" t="s">
        <v>2123</v>
      </c>
      <c r="P1372" s="21">
        <v>26138</v>
      </c>
      <c r="Q1372" s="22" t="s">
        <v>16342</v>
      </c>
      <c r="R1372" s="22"/>
      <c r="S1372" s="22"/>
      <c r="T1372" s="22"/>
      <c r="U1372" s="2"/>
      <c r="V1372" s="2"/>
      <c r="W1372" s="2"/>
      <c r="X1372" s="2"/>
      <c r="Y1372" s="2"/>
      <c r="Z1372" s="2"/>
      <c r="AA1372" s="2"/>
      <c r="AB1372" s="2"/>
      <c r="AC1372" s="2"/>
      <c r="AD1372" s="2"/>
    </row>
    <row r="1373" spans="1:30" ht="12" customHeight="1">
      <c r="A1373" s="828" t="s">
        <v>18067</v>
      </c>
      <c r="B1373" s="22" t="s">
        <v>18207</v>
      </c>
      <c r="C1373" s="2" t="s">
        <v>5909</v>
      </c>
      <c r="D1373" s="5">
        <f t="shared" si="21"/>
        <v>38</v>
      </c>
      <c r="E1373" s="2" t="s">
        <v>5</v>
      </c>
      <c r="F1373" s="2" t="s">
        <v>6067</v>
      </c>
      <c r="G1373" s="22"/>
      <c r="H1373" s="2"/>
      <c r="I1373" s="2"/>
      <c r="J1373" s="8" t="s">
        <v>16118</v>
      </c>
      <c r="K1373" s="2"/>
      <c r="L1373" s="2" t="s">
        <v>6</v>
      </c>
      <c r="M1373" s="826"/>
      <c r="N1373" s="25"/>
      <c r="O1373" s="22" t="s">
        <v>2123</v>
      </c>
      <c r="P1373" s="21">
        <v>27330</v>
      </c>
      <c r="Q1373" s="22" t="s">
        <v>16343</v>
      </c>
      <c r="R1373" s="22"/>
      <c r="S1373" s="22"/>
      <c r="T1373" s="22"/>
      <c r="U1373" s="2"/>
      <c r="V1373" s="2"/>
      <c r="W1373" s="2"/>
      <c r="X1373" s="2"/>
      <c r="Y1373" s="2"/>
      <c r="Z1373" s="2"/>
      <c r="AA1373" s="2"/>
      <c r="AB1373" s="2"/>
      <c r="AC1373" s="2"/>
      <c r="AD1373" s="2"/>
    </row>
    <row r="1374" spans="1:30" ht="12" customHeight="1">
      <c r="A1374" s="828" t="s">
        <v>18068</v>
      </c>
      <c r="B1374" s="22" t="s">
        <v>18207</v>
      </c>
      <c r="C1374" s="2" t="s">
        <v>2498</v>
      </c>
      <c r="D1374" s="5">
        <f t="shared" si="21"/>
        <v>80</v>
      </c>
      <c r="E1374" s="2" t="s">
        <v>5</v>
      </c>
      <c r="F1374" s="2" t="s">
        <v>6067</v>
      </c>
      <c r="G1374" s="22"/>
      <c r="H1374" s="2"/>
      <c r="I1374" s="2"/>
      <c r="J1374" s="23" t="s">
        <v>16130</v>
      </c>
      <c r="K1374" s="2" t="s">
        <v>4993</v>
      </c>
      <c r="L1374" s="2" t="s">
        <v>14</v>
      </c>
      <c r="M1374" s="826">
        <v>8</v>
      </c>
      <c r="N1374" s="25">
        <v>13</v>
      </c>
      <c r="O1374" s="22" t="s">
        <v>447</v>
      </c>
      <c r="P1374" s="21">
        <v>11962</v>
      </c>
      <c r="Q1374" s="22" t="s">
        <v>2499</v>
      </c>
      <c r="R1374" s="22" t="s">
        <v>5403</v>
      </c>
      <c r="S1374" s="22"/>
      <c r="T1374" s="22" t="s">
        <v>2503</v>
      </c>
      <c r="U1374" s="2"/>
      <c r="V1374" s="2"/>
      <c r="W1374" s="2" t="s">
        <v>75</v>
      </c>
      <c r="X1374" s="2" t="s">
        <v>229</v>
      </c>
      <c r="Y1374" s="2"/>
      <c r="Z1374" s="2" t="s">
        <v>85</v>
      </c>
      <c r="AA1374" s="2"/>
      <c r="AB1374" s="2"/>
      <c r="AC1374" s="2"/>
      <c r="AD1374" s="2"/>
    </row>
    <row r="1375" spans="1:30" ht="12" customHeight="1">
      <c r="A1375" s="828" t="s">
        <v>18069</v>
      </c>
      <c r="B1375" s="22" t="s">
        <v>18207</v>
      </c>
      <c r="C1375" s="6" t="s">
        <v>16364</v>
      </c>
      <c r="D1375" s="5">
        <f t="shared" si="21"/>
        <v>50</v>
      </c>
      <c r="E1375" s="6" t="s">
        <v>5</v>
      </c>
      <c r="F1375" s="2" t="s">
        <v>6067</v>
      </c>
      <c r="G1375" s="19"/>
      <c r="H1375" s="6"/>
      <c r="I1375" s="19"/>
      <c r="J1375" s="19" t="s">
        <v>16130</v>
      </c>
      <c r="K1375" s="6" t="s">
        <v>4993</v>
      </c>
      <c r="L1375" s="6" t="s">
        <v>6</v>
      </c>
      <c r="M1375" s="6"/>
      <c r="N1375" s="14"/>
      <c r="O1375" s="12" t="s">
        <v>16365</v>
      </c>
      <c r="P1375" s="15">
        <v>22674</v>
      </c>
      <c r="Q1375" s="12" t="s">
        <v>16366</v>
      </c>
      <c r="R1375" s="12"/>
      <c r="S1375" s="12"/>
      <c r="T1375" s="19"/>
      <c r="U1375" s="2"/>
      <c r="V1375" s="2"/>
      <c r="W1375" s="2"/>
      <c r="X1375" s="2"/>
      <c r="Y1375" s="2"/>
      <c r="Z1375" s="2"/>
      <c r="AA1375" s="2"/>
      <c r="AB1375" s="2"/>
      <c r="AC1375" s="2"/>
      <c r="AD1375" s="22"/>
    </row>
    <row r="1376" spans="1:30" ht="12" customHeight="1">
      <c r="A1376" s="828" t="s">
        <v>18070</v>
      </c>
      <c r="B1376" s="22" t="s">
        <v>18207</v>
      </c>
      <c r="C1376" s="6" t="s">
        <v>6009</v>
      </c>
      <c r="D1376" s="5">
        <f t="shared" si="21"/>
        <v>48</v>
      </c>
      <c r="E1376" s="6" t="s">
        <v>5</v>
      </c>
      <c r="F1376" s="2" t="s">
        <v>6067</v>
      </c>
      <c r="G1376" s="19"/>
      <c r="H1376" s="6"/>
      <c r="I1376" s="19"/>
      <c r="J1376" s="19" t="s">
        <v>16130</v>
      </c>
      <c r="K1376" s="6" t="s">
        <v>4997</v>
      </c>
      <c r="L1376" s="6" t="s">
        <v>6</v>
      </c>
      <c r="M1376" s="6"/>
      <c r="N1376" s="14"/>
      <c r="O1376" s="12" t="s">
        <v>16367</v>
      </c>
      <c r="P1376" s="15">
        <v>23471</v>
      </c>
      <c r="Q1376" s="12" t="s">
        <v>16405</v>
      </c>
      <c r="R1376" s="12"/>
      <c r="S1376" s="12"/>
      <c r="T1376" s="19"/>
      <c r="U1376" s="2"/>
      <c r="V1376" s="2"/>
      <c r="W1376" s="2"/>
      <c r="X1376" s="2"/>
      <c r="Y1376" s="2"/>
      <c r="Z1376" s="2"/>
      <c r="AA1376" s="2"/>
      <c r="AB1376" s="2"/>
      <c r="AC1376" s="2"/>
      <c r="AD1376" s="22"/>
    </row>
    <row r="1377" spans="1:30" ht="12" customHeight="1">
      <c r="A1377" s="828" t="s">
        <v>18071</v>
      </c>
      <c r="B1377" s="22" t="s">
        <v>18207</v>
      </c>
      <c r="C1377" s="2" t="s">
        <v>2180</v>
      </c>
      <c r="D1377" s="5">
        <f t="shared" si="21"/>
        <v>60</v>
      </c>
      <c r="E1377" s="2" t="s">
        <v>5</v>
      </c>
      <c r="F1377" s="2" t="s">
        <v>6067</v>
      </c>
      <c r="G1377" s="22" t="s">
        <v>2181</v>
      </c>
      <c r="H1377" s="2"/>
      <c r="I1377" s="2"/>
      <c r="J1377" s="23" t="s">
        <v>16117</v>
      </c>
      <c r="K1377" s="2"/>
      <c r="L1377" s="2" t="s">
        <v>25</v>
      </c>
      <c r="M1377" s="826">
        <v>2</v>
      </c>
      <c r="N1377" s="25">
        <v>4</v>
      </c>
      <c r="O1377" s="22" t="s">
        <v>317</v>
      </c>
      <c r="P1377" s="21">
        <v>19282</v>
      </c>
      <c r="Q1377" s="22" t="s">
        <v>2183</v>
      </c>
      <c r="R1377" s="22" t="s">
        <v>2182</v>
      </c>
      <c r="S1377" s="22"/>
      <c r="T1377" s="22" t="s">
        <v>229</v>
      </c>
      <c r="U1377" s="2"/>
      <c r="V1377" s="2"/>
      <c r="W1377" s="2"/>
      <c r="X1377" s="2" t="s">
        <v>229</v>
      </c>
      <c r="Y1377" s="2"/>
      <c r="Z1377" s="2"/>
      <c r="AA1377" s="2"/>
      <c r="AB1377" s="2"/>
      <c r="AC1377" s="2"/>
      <c r="AD1377" s="2"/>
    </row>
    <row r="1378" spans="1:30" ht="12" customHeight="1">
      <c r="A1378" s="828" t="s">
        <v>18072</v>
      </c>
      <c r="B1378" s="22" t="s">
        <v>18207</v>
      </c>
      <c r="C1378" s="6" t="s">
        <v>2184</v>
      </c>
      <c r="D1378" s="5">
        <f t="shared" si="21"/>
        <v>40</v>
      </c>
      <c r="E1378" s="6" t="s">
        <v>5</v>
      </c>
      <c r="F1378" s="2" t="s">
        <v>6067</v>
      </c>
      <c r="G1378" s="12"/>
      <c r="H1378" s="6"/>
      <c r="I1378" s="19"/>
      <c r="J1378" s="8" t="s">
        <v>16117</v>
      </c>
      <c r="K1378" s="6"/>
      <c r="L1378" s="6" t="s">
        <v>6</v>
      </c>
      <c r="M1378" s="6"/>
      <c r="N1378" s="14"/>
      <c r="O1378" s="12" t="s">
        <v>317</v>
      </c>
      <c r="P1378" s="15">
        <v>26320</v>
      </c>
      <c r="Q1378" s="12" t="s">
        <v>1857</v>
      </c>
      <c r="R1378" s="22"/>
      <c r="S1378" s="22"/>
      <c r="T1378" s="22"/>
      <c r="U1378" s="2"/>
      <c r="V1378" s="2"/>
      <c r="W1378" s="2"/>
      <c r="X1378" s="2"/>
      <c r="Y1378" s="2"/>
      <c r="Z1378" s="2"/>
      <c r="AA1378" s="2"/>
      <c r="AB1378" s="2"/>
      <c r="AC1378" s="2"/>
      <c r="AD1378" s="2"/>
    </row>
    <row r="1379" spans="1:30" ht="12" customHeight="1">
      <c r="A1379" s="828" t="s">
        <v>18073</v>
      </c>
      <c r="B1379" s="22" t="s">
        <v>18207</v>
      </c>
      <c r="C1379" s="6" t="s">
        <v>5485</v>
      </c>
      <c r="D1379" s="5">
        <f t="shared" si="21"/>
        <v>28</v>
      </c>
      <c r="E1379" s="6" t="s">
        <v>19</v>
      </c>
      <c r="F1379" s="2" t="s">
        <v>6067</v>
      </c>
      <c r="G1379" s="12"/>
      <c r="H1379" s="6"/>
      <c r="I1379" s="19"/>
      <c r="J1379" s="23" t="s">
        <v>16117</v>
      </c>
      <c r="K1379" s="6"/>
      <c r="L1379" s="6" t="s">
        <v>6</v>
      </c>
      <c r="M1379" s="6"/>
      <c r="N1379" s="14"/>
      <c r="O1379" s="12" t="s">
        <v>182</v>
      </c>
      <c r="P1379" s="15">
        <v>30800</v>
      </c>
      <c r="Q1379" s="12" t="s">
        <v>16379</v>
      </c>
      <c r="R1379" s="22"/>
      <c r="S1379" s="22"/>
      <c r="T1379" s="22"/>
      <c r="U1379" s="2"/>
      <c r="V1379" s="2"/>
      <c r="W1379" s="2"/>
      <c r="X1379" s="2"/>
      <c r="Y1379" s="2"/>
      <c r="Z1379" s="2"/>
      <c r="AA1379" s="2"/>
      <c r="AB1379" s="2"/>
      <c r="AC1379" s="2"/>
      <c r="AD1379" s="2"/>
    </row>
    <row r="1380" spans="1:30" ht="12" customHeight="1">
      <c r="A1380" s="828" t="s">
        <v>18074</v>
      </c>
      <c r="B1380" s="22" t="s">
        <v>18207</v>
      </c>
      <c r="C1380" s="6" t="s">
        <v>5953</v>
      </c>
      <c r="D1380" s="5">
        <f t="shared" si="21"/>
        <v>44</v>
      </c>
      <c r="E1380" s="6" t="s">
        <v>5</v>
      </c>
      <c r="F1380" s="2" t="s">
        <v>6067</v>
      </c>
      <c r="G1380" s="12"/>
      <c r="H1380" s="6"/>
      <c r="I1380" s="19"/>
      <c r="J1380" s="23" t="s">
        <v>16121</v>
      </c>
      <c r="K1380" s="6"/>
      <c r="L1380" s="6" t="s">
        <v>6</v>
      </c>
      <c r="M1380" s="6"/>
      <c r="N1380" s="14"/>
      <c r="O1380" s="12" t="s">
        <v>609</v>
      </c>
      <c r="P1380" s="15">
        <v>25166</v>
      </c>
      <c r="Q1380" s="12" t="s">
        <v>5955</v>
      </c>
      <c r="R1380" s="22"/>
      <c r="S1380" s="22"/>
      <c r="T1380" s="22"/>
      <c r="U1380" s="2"/>
      <c r="V1380" s="2"/>
      <c r="W1380" s="2"/>
      <c r="X1380" s="2"/>
      <c r="Y1380" s="2"/>
      <c r="Z1380" s="2"/>
      <c r="AA1380" s="2"/>
      <c r="AB1380" s="2"/>
      <c r="AC1380" s="2"/>
      <c r="AD1380" s="2"/>
    </row>
    <row r="1381" spans="1:30" ht="12" customHeight="1">
      <c r="A1381" s="828" t="s">
        <v>18075</v>
      </c>
      <c r="B1381" s="22" t="s">
        <v>18207</v>
      </c>
      <c r="C1381" s="2" t="s">
        <v>5481</v>
      </c>
      <c r="D1381" s="5">
        <f t="shared" si="21"/>
        <v>38</v>
      </c>
      <c r="E1381" s="2" t="s">
        <v>5</v>
      </c>
      <c r="F1381" s="2" t="s">
        <v>6067</v>
      </c>
      <c r="G1381" s="22"/>
      <c r="H1381" s="2"/>
      <c r="I1381" s="2"/>
      <c r="J1381" s="23" t="s">
        <v>16131</v>
      </c>
      <c r="K1381" s="2"/>
      <c r="L1381" s="2" t="s">
        <v>6</v>
      </c>
      <c r="M1381" s="826"/>
      <c r="N1381" s="25"/>
      <c r="O1381" s="22" t="s">
        <v>31</v>
      </c>
      <c r="P1381" s="21">
        <v>27126</v>
      </c>
      <c r="Q1381" s="22" t="s">
        <v>16380</v>
      </c>
      <c r="R1381" s="22"/>
      <c r="S1381" s="22"/>
      <c r="T1381" s="22"/>
      <c r="U1381" s="2"/>
      <c r="V1381" s="2"/>
      <c r="W1381" s="2"/>
      <c r="X1381" s="2"/>
      <c r="Y1381" s="2"/>
      <c r="Z1381" s="2"/>
      <c r="AA1381" s="2"/>
      <c r="AB1381" s="2"/>
      <c r="AC1381" s="2"/>
      <c r="AD1381" s="2"/>
    </row>
    <row r="1382" spans="1:30" ht="12" customHeight="1">
      <c r="A1382" s="828" t="s">
        <v>18076</v>
      </c>
      <c r="B1382" s="22" t="s">
        <v>18207</v>
      </c>
      <c r="C1382" s="2" t="s">
        <v>5120</v>
      </c>
      <c r="D1382" s="5">
        <f t="shared" si="21"/>
        <v>43</v>
      </c>
      <c r="E1382" s="2" t="s">
        <v>19</v>
      </c>
      <c r="F1382" s="2" t="s">
        <v>6067</v>
      </c>
      <c r="G1382" s="22"/>
      <c r="H1382" s="2"/>
      <c r="I1382" s="2"/>
      <c r="J1382" s="23" t="s">
        <v>16122</v>
      </c>
      <c r="K1382" s="2" t="s">
        <v>22</v>
      </c>
      <c r="L1382" s="2" t="s">
        <v>6</v>
      </c>
      <c r="M1382" s="826"/>
      <c r="N1382" s="25"/>
      <c r="O1382" s="22" t="s">
        <v>1903</v>
      </c>
      <c r="P1382" s="21">
        <v>25517</v>
      </c>
      <c r="Q1382" s="22" t="s">
        <v>5121</v>
      </c>
      <c r="R1382" s="22"/>
      <c r="S1382" s="22"/>
      <c r="T1382" s="22"/>
      <c r="U1382" s="2"/>
      <c r="V1382" s="2"/>
      <c r="W1382" s="2"/>
      <c r="X1382" s="2"/>
      <c r="Y1382" s="2"/>
      <c r="Z1382" s="2"/>
      <c r="AA1382" s="2"/>
      <c r="AB1382" s="2"/>
      <c r="AC1382" s="2"/>
      <c r="AD1382" s="2"/>
    </row>
    <row r="1383" spans="1:30" ht="12" customHeight="1">
      <c r="A1383" s="828" t="s">
        <v>18077</v>
      </c>
      <c r="B1383" s="22" t="s">
        <v>18207</v>
      </c>
      <c r="C1383" s="2" t="s">
        <v>5122</v>
      </c>
      <c r="D1383" s="5">
        <f t="shared" si="21"/>
        <v>30</v>
      </c>
      <c r="E1383" s="2" t="s">
        <v>5</v>
      </c>
      <c r="F1383" s="2" t="s">
        <v>6067</v>
      </c>
      <c r="G1383" s="22"/>
      <c r="H1383" s="2"/>
      <c r="I1383" s="2"/>
      <c r="J1383" s="23" t="s">
        <v>16122</v>
      </c>
      <c r="K1383" s="2" t="s">
        <v>22</v>
      </c>
      <c r="L1383" s="2" t="s">
        <v>6</v>
      </c>
      <c r="M1383" s="826"/>
      <c r="N1383" s="25"/>
      <c r="O1383" s="22" t="s">
        <v>31</v>
      </c>
      <c r="P1383" s="21">
        <v>30162</v>
      </c>
      <c r="Q1383" s="22" t="s">
        <v>1787</v>
      </c>
      <c r="R1383" s="22"/>
      <c r="S1383" s="22"/>
      <c r="T1383" s="22"/>
      <c r="U1383" s="2"/>
      <c r="V1383" s="2"/>
      <c r="W1383" s="2"/>
      <c r="X1383" s="2"/>
      <c r="Y1383" s="2"/>
      <c r="Z1383" s="2"/>
      <c r="AA1383" s="2"/>
      <c r="AB1383" s="2"/>
      <c r="AC1383" s="2"/>
      <c r="AD1383" s="2"/>
    </row>
    <row r="1384" spans="1:30" ht="12" customHeight="1">
      <c r="A1384" s="828" t="s">
        <v>18078</v>
      </c>
      <c r="B1384" s="22" t="s">
        <v>18207</v>
      </c>
      <c r="C1384" s="2" t="s">
        <v>5124</v>
      </c>
      <c r="D1384" s="5">
        <f t="shared" si="21"/>
        <v>62</v>
      </c>
      <c r="E1384" s="2" t="s">
        <v>5</v>
      </c>
      <c r="F1384" s="2" t="s">
        <v>6067</v>
      </c>
      <c r="G1384" s="22"/>
      <c r="H1384" s="2"/>
      <c r="I1384" s="2"/>
      <c r="J1384" s="23" t="s">
        <v>16122</v>
      </c>
      <c r="K1384" s="2" t="s">
        <v>22</v>
      </c>
      <c r="L1384" s="2" t="s">
        <v>6</v>
      </c>
      <c r="M1384" s="826"/>
      <c r="N1384" s="25"/>
      <c r="O1384" s="22" t="s">
        <v>188</v>
      </c>
      <c r="P1384" s="21">
        <v>18527</v>
      </c>
      <c r="Q1384" s="22" t="s">
        <v>5125</v>
      </c>
      <c r="R1384" s="22"/>
      <c r="S1384" s="22"/>
      <c r="T1384" s="22"/>
      <c r="U1384" s="2"/>
      <c r="V1384" s="2"/>
      <c r="W1384" s="2"/>
      <c r="X1384" s="2"/>
      <c r="Y1384" s="2"/>
      <c r="Z1384" s="2"/>
      <c r="AA1384" s="2"/>
      <c r="AB1384" s="2"/>
      <c r="AC1384" s="2"/>
      <c r="AD1384" s="2"/>
    </row>
    <row r="1385" spans="1:30" ht="12" customHeight="1">
      <c r="A1385" s="828" t="s">
        <v>18079</v>
      </c>
      <c r="B1385" s="22" t="s">
        <v>18207</v>
      </c>
      <c r="C1385" s="2" t="s">
        <v>5126</v>
      </c>
      <c r="D1385" s="5">
        <f t="shared" si="21"/>
        <v>65</v>
      </c>
      <c r="E1385" s="2" t="s">
        <v>19</v>
      </c>
      <c r="F1385" s="2" t="s">
        <v>6067</v>
      </c>
      <c r="G1385" s="22"/>
      <c r="H1385" s="2"/>
      <c r="I1385" s="2"/>
      <c r="J1385" s="23" t="s">
        <v>16122</v>
      </c>
      <c r="K1385" s="2" t="s">
        <v>22</v>
      </c>
      <c r="L1385" s="2" t="s">
        <v>6</v>
      </c>
      <c r="M1385" s="826"/>
      <c r="N1385" s="25"/>
      <c r="O1385" s="22" t="s">
        <v>1555</v>
      </c>
      <c r="P1385" s="21">
        <v>17186</v>
      </c>
      <c r="Q1385" s="22" t="s">
        <v>5127</v>
      </c>
      <c r="R1385" s="22"/>
      <c r="S1385" s="22"/>
      <c r="T1385" s="22"/>
      <c r="U1385" s="2"/>
      <c r="V1385" s="2"/>
      <c r="W1385" s="2"/>
      <c r="X1385" s="2"/>
      <c r="Y1385" s="2"/>
      <c r="Z1385" s="2"/>
      <c r="AA1385" s="2"/>
      <c r="AB1385" s="2"/>
      <c r="AC1385" s="2"/>
      <c r="AD1385" s="2"/>
    </row>
    <row r="1386" spans="1:30" ht="12" customHeight="1">
      <c r="A1386" s="828" t="s">
        <v>18080</v>
      </c>
      <c r="B1386" s="22" t="s">
        <v>18208</v>
      </c>
      <c r="C1386" s="2" t="s">
        <v>2504</v>
      </c>
      <c r="D1386" s="5">
        <f t="shared" si="21"/>
        <v>67</v>
      </c>
      <c r="E1386" s="2" t="s">
        <v>5</v>
      </c>
      <c r="F1386" s="2" t="s">
        <v>6067</v>
      </c>
      <c r="G1386" s="22" t="s">
        <v>2505</v>
      </c>
      <c r="H1386" s="2"/>
      <c r="I1386" s="2"/>
      <c r="J1386" s="8" t="s">
        <v>16126</v>
      </c>
      <c r="K1386" s="2" t="s">
        <v>44</v>
      </c>
      <c r="L1386" s="2" t="s">
        <v>25</v>
      </c>
      <c r="M1386" s="826">
        <v>2</v>
      </c>
      <c r="N1386" s="25">
        <v>2</v>
      </c>
      <c r="O1386" s="22" t="s">
        <v>381</v>
      </c>
      <c r="P1386" s="21">
        <v>16654</v>
      </c>
      <c r="Q1386" s="22" t="s">
        <v>2506</v>
      </c>
      <c r="R1386" s="22" t="s">
        <v>2507</v>
      </c>
      <c r="S1386" s="22"/>
      <c r="T1386" s="22" t="s">
        <v>371</v>
      </c>
      <c r="U1386" s="2"/>
      <c r="V1386" s="2" t="s">
        <v>145</v>
      </c>
      <c r="W1386" s="2" t="s">
        <v>75</v>
      </c>
      <c r="X1386" s="2"/>
      <c r="Y1386" s="2"/>
      <c r="Z1386" s="2"/>
      <c r="AA1386" s="2"/>
      <c r="AB1386" s="2"/>
      <c r="AC1386" s="2"/>
      <c r="AD1386" s="2"/>
    </row>
    <row r="1387" spans="1:30" ht="12" customHeight="1">
      <c r="A1387" s="828" t="s">
        <v>18081</v>
      </c>
      <c r="B1387" s="22" t="s">
        <v>18208</v>
      </c>
      <c r="C1387" s="2" t="s">
        <v>6084</v>
      </c>
      <c r="D1387" s="5">
        <f t="shared" si="21"/>
        <v>62</v>
      </c>
      <c r="E1387" s="2" t="s">
        <v>5</v>
      </c>
      <c r="F1387" s="2" t="s">
        <v>6067</v>
      </c>
      <c r="G1387" s="22"/>
      <c r="H1387" s="2"/>
      <c r="I1387" s="2"/>
      <c r="J1387" s="8" t="s">
        <v>16120</v>
      </c>
      <c r="K1387" s="2" t="s">
        <v>5247</v>
      </c>
      <c r="L1387" s="2" t="s">
        <v>6</v>
      </c>
      <c r="M1387" s="826"/>
      <c r="N1387" s="25"/>
      <c r="O1387" s="22" t="s">
        <v>381</v>
      </c>
      <c r="P1387" s="21">
        <v>18406</v>
      </c>
      <c r="Q1387" s="22" t="s">
        <v>6085</v>
      </c>
      <c r="R1387" s="22"/>
      <c r="S1387" s="22"/>
      <c r="T1387" s="22"/>
      <c r="U1387" s="2"/>
      <c r="V1387" s="2"/>
      <c r="W1387" s="2"/>
      <c r="X1387" s="2"/>
      <c r="Y1387" s="2"/>
      <c r="Z1387" s="2"/>
      <c r="AA1387" s="2"/>
      <c r="AB1387" s="2"/>
      <c r="AC1387" s="2"/>
      <c r="AD1387" s="2"/>
    </row>
    <row r="1388" spans="1:30" ht="12" customHeight="1">
      <c r="A1388" s="828" t="s">
        <v>18082</v>
      </c>
      <c r="B1388" s="22" t="s">
        <v>18208</v>
      </c>
      <c r="C1388" s="2" t="s">
        <v>15256</v>
      </c>
      <c r="D1388" s="5">
        <f t="shared" si="21"/>
        <v>52</v>
      </c>
      <c r="E1388" s="2" t="s">
        <v>5</v>
      </c>
      <c r="F1388" s="2" t="s">
        <v>6067</v>
      </c>
      <c r="G1388" s="22"/>
      <c r="H1388" s="2"/>
      <c r="I1388" s="2"/>
      <c r="J1388" s="4" t="s">
        <v>16120</v>
      </c>
      <c r="K1388" s="2" t="s">
        <v>5247</v>
      </c>
      <c r="L1388" s="2" t="s">
        <v>6</v>
      </c>
      <c r="M1388" s="826"/>
      <c r="N1388" s="25"/>
      <c r="O1388" s="22" t="s">
        <v>16381</v>
      </c>
      <c r="P1388" s="21">
        <v>21925</v>
      </c>
      <c r="Q1388" s="22" t="s">
        <v>6086</v>
      </c>
      <c r="R1388" s="22"/>
      <c r="S1388" s="22"/>
      <c r="T1388" s="22"/>
      <c r="U1388" s="2"/>
      <c r="V1388" s="2"/>
      <c r="W1388" s="2"/>
      <c r="X1388" s="2"/>
      <c r="Y1388" s="2"/>
      <c r="Z1388" s="2"/>
      <c r="AA1388" s="2"/>
      <c r="AB1388" s="2"/>
      <c r="AC1388" s="2"/>
      <c r="AD1388" s="2"/>
    </row>
    <row r="1389" spans="1:30" ht="12" customHeight="1">
      <c r="A1389" s="828" t="s">
        <v>18083</v>
      </c>
      <c r="B1389" s="22" t="s">
        <v>18208</v>
      </c>
      <c r="C1389" s="2" t="s">
        <v>6087</v>
      </c>
      <c r="D1389" s="5">
        <f t="shared" si="21"/>
        <v>52</v>
      </c>
      <c r="E1389" s="2" t="s">
        <v>5</v>
      </c>
      <c r="F1389" s="2" t="s">
        <v>6067</v>
      </c>
      <c r="G1389" s="22"/>
      <c r="H1389" s="2"/>
      <c r="I1389" s="2"/>
      <c r="J1389" s="4" t="s">
        <v>16120</v>
      </c>
      <c r="K1389" s="2" t="s">
        <v>5247</v>
      </c>
      <c r="L1389" s="2" t="s">
        <v>6</v>
      </c>
      <c r="M1389" s="826"/>
      <c r="N1389" s="25"/>
      <c r="O1389" s="22" t="s">
        <v>16382</v>
      </c>
      <c r="P1389" s="21">
        <v>21986</v>
      </c>
      <c r="Q1389" s="22" t="s">
        <v>6088</v>
      </c>
      <c r="R1389" s="22"/>
      <c r="S1389" s="22"/>
      <c r="T1389" s="22"/>
      <c r="U1389" s="2"/>
      <c r="V1389" s="2"/>
      <c r="W1389" s="2"/>
      <c r="X1389" s="2"/>
      <c r="Y1389" s="2"/>
      <c r="Z1389" s="2"/>
      <c r="AA1389" s="2"/>
      <c r="AB1389" s="2"/>
      <c r="AC1389" s="2"/>
      <c r="AD1389" s="2"/>
    </row>
    <row r="1390" spans="1:30" ht="12" customHeight="1">
      <c r="A1390" s="828" t="s">
        <v>18084</v>
      </c>
      <c r="B1390" s="22" t="s">
        <v>18208</v>
      </c>
      <c r="C1390" s="2" t="s">
        <v>6089</v>
      </c>
      <c r="D1390" s="5">
        <f t="shared" si="21"/>
        <v>63</v>
      </c>
      <c r="E1390" s="2" t="s">
        <v>5</v>
      </c>
      <c r="F1390" s="2" t="s">
        <v>6067</v>
      </c>
      <c r="G1390" s="22"/>
      <c r="H1390" s="2"/>
      <c r="I1390" s="2"/>
      <c r="J1390" s="8" t="s">
        <v>16120</v>
      </c>
      <c r="K1390" s="2" t="s">
        <v>5247</v>
      </c>
      <c r="L1390" s="2" t="s">
        <v>6</v>
      </c>
      <c r="M1390" s="826"/>
      <c r="N1390" s="25"/>
      <c r="O1390" s="22" t="s">
        <v>570</v>
      </c>
      <c r="P1390" s="21">
        <v>17977</v>
      </c>
      <c r="Q1390" s="22" t="s">
        <v>6091</v>
      </c>
      <c r="R1390" s="22"/>
      <c r="S1390" s="22"/>
      <c r="T1390" s="22"/>
      <c r="U1390" s="2"/>
      <c r="V1390" s="2"/>
      <c r="W1390" s="2"/>
      <c r="X1390" s="2"/>
      <c r="Y1390" s="2"/>
      <c r="Z1390" s="2"/>
      <c r="AA1390" s="2"/>
      <c r="AB1390" s="2"/>
      <c r="AC1390" s="2"/>
      <c r="AD1390" s="2"/>
    </row>
    <row r="1391" spans="1:30" ht="12" customHeight="1">
      <c r="A1391" s="828" t="s">
        <v>18085</v>
      </c>
      <c r="B1391" s="22" t="s">
        <v>18208</v>
      </c>
      <c r="C1391" s="2" t="s">
        <v>6092</v>
      </c>
      <c r="D1391" s="5">
        <f t="shared" si="21"/>
        <v>57</v>
      </c>
      <c r="E1391" s="2" t="s">
        <v>5</v>
      </c>
      <c r="F1391" s="2" t="s">
        <v>6067</v>
      </c>
      <c r="G1391" s="22"/>
      <c r="H1391" s="2"/>
      <c r="I1391" s="2"/>
      <c r="J1391" s="23" t="s">
        <v>16120</v>
      </c>
      <c r="K1391" s="2" t="s">
        <v>5247</v>
      </c>
      <c r="L1391" s="2" t="s">
        <v>6</v>
      </c>
      <c r="M1391" s="826"/>
      <c r="N1391" s="25"/>
      <c r="O1391" s="22" t="s">
        <v>675</v>
      </c>
      <c r="P1391" s="21">
        <v>20236</v>
      </c>
      <c r="Q1391" s="22" t="s">
        <v>16404</v>
      </c>
      <c r="R1391" s="22"/>
      <c r="S1391" s="22"/>
      <c r="T1391" s="22"/>
      <c r="U1391" s="2"/>
      <c r="V1391" s="2"/>
      <c r="W1391" s="2"/>
      <c r="X1391" s="2"/>
      <c r="Y1391" s="2"/>
      <c r="Z1391" s="2"/>
      <c r="AA1391" s="2"/>
      <c r="AB1391" s="2"/>
      <c r="AC1391" s="2"/>
      <c r="AD1391" s="2"/>
    </row>
    <row r="1392" spans="1:30" ht="12" customHeight="1">
      <c r="A1392" s="828" t="s">
        <v>18086</v>
      </c>
      <c r="B1392" s="22" t="s">
        <v>18208</v>
      </c>
      <c r="C1392" s="6" t="s">
        <v>2511</v>
      </c>
      <c r="D1392" s="5">
        <f t="shared" si="21"/>
        <v>68</v>
      </c>
      <c r="E1392" s="6" t="s">
        <v>5</v>
      </c>
      <c r="F1392" s="2" t="s">
        <v>6067</v>
      </c>
      <c r="G1392" s="12" t="s">
        <v>2512</v>
      </c>
      <c r="H1392" s="6"/>
      <c r="I1392" s="19"/>
      <c r="J1392" s="23" t="s">
        <v>16118</v>
      </c>
      <c r="K1392" s="6"/>
      <c r="L1392" s="6" t="s">
        <v>25</v>
      </c>
      <c r="M1392" s="6">
        <v>5</v>
      </c>
      <c r="N1392" s="14">
        <v>5</v>
      </c>
      <c r="O1392" s="12" t="s">
        <v>557</v>
      </c>
      <c r="P1392" s="15">
        <v>16394</v>
      </c>
      <c r="Q1392" s="12" t="s">
        <v>727</v>
      </c>
      <c r="R1392" s="12" t="s">
        <v>2515</v>
      </c>
      <c r="S1392" s="12"/>
      <c r="T1392" s="22" t="s">
        <v>147</v>
      </c>
      <c r="U1392" s="2"/>
      <c r="V1392" s="2"/>
      <c r="W1392" s="2"/>
      <c r="X1392" s="2"/>
      <c r="Y1392" s="2"/>
      <c r="Z1392" s="2"/>
      <c r="AA1392" s="2"/>
      <c r="AB1392" s="2" t="s">
        <v>147</v>
      </c>
      <c r="AC1392" s="2"/>
      <c r="AD1392" s="2"/>
    </row>
    <row r="1393" spans="1:30" ht="12" customHeight="1">
      <c r="A1393" s="828" t="s">
        <v>18087</v>
      </c>
      <c r="B1393" s="22" t="s">
        <v>18208</v>
      </c>
      <c r="C1393" s="6" t="s">
        <v>5911</v>
      </c>
      <c r="D1393" s="5">
        <f t="shared" si="21"/>
        <v>39</v>
      </c>
      <c r="E1393" s="6" t="s">
        <v>5</v>
      </c>
      <c r="F1393" s="2" t="s">
        <v>6067</v>
      </c>
      <c r="G1393" s="12"/>
      <c r="H1393" s="6"/>
      <c r="I1393" s="19"/>
      <c r="J1393" s="8" t="s">
        <v>16118</v>
      </c>
      <c r="K1393" s="6"/>
      <c r="L1393" s="6" t="s">
        <v>6</v>
      </c>
      <c r="M1393" s="6"/>
      <c r="N1393" s="14"/>
      <c r="O1393" s="12" t="s">
        <v>2123</v>
      </c>
      <c r="P1393" s="15">
        <v>26887</v>
      </c>
      <c r="Q1393" s="12" t="s">
        <v>5912</v>
      </c>
      <c r="R1393" s="12"/>
      <c r="S1393" s="12"/>
      <c r="T1393" s="22"/>
      <c r="U1393" s="2"/>
      <c r="V1393" s="2"/>
      <c r="W1393" s="2"/>
      <c r="X1393" s="2"/>
      <c r="Y1393" s="2"/>
      <c r="Z1393" s="2"/>
      <c r="AA1393" s="2"/>
      <c r="AB1393" s="2"/>
      <c r="AC1393" s="2"/>
      <c r="AD1393" s="2"/>
    </row>
    <row r="1394" spans="1:30" ht="12" customHeight="1">
      <c r="A1394" s="828" t="s">
        <v>18088</v>
      </c>
      <c r="B1394" s="22" t="s">
        <v>18208</v>
      </c>
      <c r="C1394" s="6" t="s">
        <v>5866</v>
      </c>
      <c r="D1394" s="5">
        <f t="shared" si="21"/>
        <v>48</v>
      </c>
      <c r="E1394" s="6" t="s">
        <v>5</v>
      </c>
      <c r="F1394" s="2" t="s">
        <v>6067</v>
      </c>
      <c r="G1394" s="12"/>
      <c r="H1394" s="6"/>
      <c r="I1394" s="19"/>
      <c r="J1394" s="8" t="s">
        <v>16130</v>
      </c>
      <c r="K1394" s="6" t="s">
        <v>5867</v>
      </c>
      <c r="L1394" s="6" t="s">
        <v>14</v>
      </c>
      <c r="M1394" s="6">
        <v>3</v>
      </c>
      <c r="N1394" s="14">
        <v>3</v>
      </c>
      <c r="O1394" s="12" t="s">
        <v>452</v>
      </c>
      <c r="P1394" s="15">
        <v>23640</v>
      </c>
      <c r="Q1394" s="12" t="s">
        <v>5868</v>
      </c>
      <c r="R1394" s="12" t="s">
        <v>5869</v>
      </c>
      <c r="S1394" s="12"/>
      <c r="T1394" s="22" t="s">
        <v>5870</v>
      </c>
      <c r="U1394" s="2"/>
      <c r="V1394" s="2"/>
      <c r="W1394" s="2" t="s">
        <v>75</v>
      </c>
      <c r="X1394" s="2"/>
      <c r="Y1394" s="2"/>
      <c r="Z1394" s="2"/>
      <c r="AA1394" s="2"/>
      <c r="AB1394" s="2"/>
      <c r="AC1394" s="2" t="s">
        <v>146</v>
      </c>
      <c r="AD1394" s="2"/>
    </row>
    <row r="1395" spans="1:30" ht="12" customHeight="1">
      <c r="A1395" s="828" t="s">
        <v>18089</v>
      </c>
      <c r="B1395" s="22" t="s">
        <v>18208</v>
      </c>
      <c r="C1395" s="6" t="s">
        <v>15665</v>
      </c>
      <c r="D1395" s="5">
        <f t="shared" si="21"/>
        <v>33</v>
      </c>
      <c r="E1395" s="6" t="s">
        <v>5</v>
      </c>
      <c r="F1395" s="2" t="s">
        <v>6067</v>
      </c>
      <c r="G1395" s="12"/>
      <c r="H1395" s="6"/>
      <c r="I1395" s="19"/>
      <c r="J1395" s="8" t="s">
        <v>16130</v>
      </c>
      <c r="K1395" s="6" t="s">
        <v>4993</v>
      </c>
      <c r="L1395" s="6" t="s">
        <v>6</v>
      </c>
      <c r="M1395" s="6"/>
      <c r="N1395" s="14"/>
      <c r="O1395" s="12" t="s">
        <v>16394</v>
      </c>
      <c r="P1395" s="15">
        <v>29197</v>
      </c>
      <c r="Q1395" s="12" t="s">
        <v>15666</v>
      </c>
      <c r="R1395" s="12"/>
      <c r="S1395" s="12"/>
      <c r="T1395" s="22"/>
      <c r="U1395" s="2"/>
      <c r="V1395" s="2"/>
      <c r="W1395" s="2"/>
      <c r="X1395" s="2"/>
      <c r="Y1395" s="2"/>
      <c r="Z1395" s="2"/>
      <c r="AA1395" s="2"/>
      <c r="AB1395" s="2"/>
      <c r="AC1395" s="2"/>
      <c r="AD1395" s="2"/>
    </row>
    <row r="1396" spans="1:30" ht="12" customHeight="1">
      <c r="A1396" s="828" t="s">
        <v>18090</v>
      </c>
      <c r="B1396" s="22" t="s">
        <v>18208</v>
      </c>
      <c r="C1396" s="2" t="s">
        <v>2534</v>
      </c>
      <c r="D1396" s="5">
        <f t="shared" si="21"/>
        <v>42</v>
      </c>
      <c r="E1396" s="2" t="s">
        <v>5</v>
      </c>
      <c r="F1396" s="2" t="s">
        <v>6067</v>
      </c>
      <c r="G1396" s="22"/>
      <c r="H1396" s="2"/>
      <c r="I1396" s="2"/>
      <c r="J1396" s="8" t="s">
        <v>16117</v>
      </c>
      <c r="K1396" s="2"/>
      <c r="L1396" s="2" t="s">
        <v>6</v>
      </c>
      <c r="M1396" s="826"/>
      <c r="N1396" s="25"/>
      <c r="O1396" s="22" t="s">
        <v>1493</v>
      </c>
      <c r="P1396" s="21">
        <v>25723</v>
      </c>
      <c r="Q1396" s="22" t="s">
        <v>2536</v>
      </c>
      <c r="R1396" s="22"/>
      <c r="S1396" s="22"/>
      <c r="T1396" s="22"/>
      <c r="U1396" s="2"/>
      <c r="V1396" s="2"/>
      <c r="W1396" s="2"/>
      <c r="X1396" s="2"/>
      <c r="Y1396" s="2"/>
      <c r="Z1396" s="2"/>
      <c r="AA1396" s="2"/>
      <c r="AB1396" s="2"/>
      <c r="AC1396" s="2"/>
      <c r="AD1396" s="2"/>
    </row>
    <row r="1397" spans="1:30" ht="12" customHeight="1">
      <c r="A1397" s="828" t="s">
        <v>18091</v>
      </c>
      <c r="B1397" s="22" t="s">
        <v>18208</v>
      </c>
      <c r="C1397" s="2" t="s">
        <v>5489</v>
      </c>
      <c r="D1397" s="5">
        <f t="shared" si="21"/>
        <v>64</v>
      </c>
      <c r="E1397" s="2" t="s">
        <v>19</v>
      </c>
      <c r="F1397" s="2" t="s">
        <v>6067</v>
      </c>
      <c r="G1397" s="22"/>
      <c r="H1397" s="2"/>
      <c r="I1397" s="2"/>
      <c r="J1397" s="8" t="s">
        <v>16117</v>
      </c>
      <c r="K1397" s="2"/>
      <c r="L1397" s="2" t="s">
        <v>6</v>
      </c>
      <c r="M1397" s="826"/>
      <c r="N1397" s="25"/>
      <c r="O1397" s="22" t="s">
        <v>5490</v>
      </c>
      <c r="P1397" s="21">
        <v>17662</v>
      </c>
      <c r="Q1397" s="22" t="s">
        <v>5491</v>
      </c>
      <c r="R1397" s="22"/>
      <c r="S1397" s="22"/>
      <c r="T1397" s="22"/>
      <c r="U1397" s="2"/>
      <c r="V1397" s="2"/>
      <c r="W1397" s="2"/>
      <c r="X1397" s="2"/>
      <c r="Y1397" s="2"/>
      <c r="Z1397" s="2"/>
      <c r="AA1397" s="2"/>
      <c r="AB1397" s="2"/>
      <c r="AC1397" s="2"/>
      <c r="AD1397" s="2"/>
    </row>
    <row r="1398" spans="1:30" ht="12" customHeight="1">
      <c r="A1398" s="828" t="s">
        <v>18092</v>
      </c>
      <c r="B1398" s="22" t="s">
        <v>18208</v>
      </c>
      <c r="C1398" s="2" t="s">
        <v>5956</v>
      </c>
      <c r="D1398" s="5">
        <f t="shared" si="21"/>
        <v>59</v>
      </c>
      <c r="E1398" s="2" t="s">
        <v>5</v>
      </c>
      <c r="F1398" s="2" t="s">
        <v>6067</v>
      </c>
      <c r="G1398" s="22"/>
      <c r="H1398" s="2"/>
      <c r="I1398" s="2"/>
      <c r="J1398" s="8" t="s">
        <v>16121</v>
      </c>
      <c r="K1398" s="2"/>
      <c r="L1398" s="2" t="s">
        <v>6</v>
      </c>
      <c r="M1398" s="826"/>
      <c r="N1398" s="25"/>
      <c r="O1398" s="22" t="s">
        <v>5957</v>
      </c>
      <c r="P1398" s="21">
        <v>19583</v>
      </c>
      <c r="Q1398" s="22" t="s">
        <v>5958</v>
      </c>
      <c r="R1398" s="22"/>
      <c r="S1398" s="22"/>
      <c r="T1398" s="22" t="s">
        <v>148</v>
      </c>
      <c r="U1398" s="2"/>
      <c r="V1398" s="2" t="s">
        <v>145</v>
      </c>
      <c r="W1398" s="2"/>
      <c r="X1398" s="2"/>
      <c r="Y1398" s="2"/>
      <c r="Z1398" s="2"/>
      <c r="AA1398" s="2"/>
      <c r="AB1398" s="2"/>
      <c r="AC1398" s="2"/>
      <c r="AD1398" s="2" t="s">
        <v>69</v>
      </c>
    </row>
    <row r="1399" spans="1:30" ht="12" customHeight="1">
      <c r="A1399" s="828" t="s">
        <v>18093</v>
      </c>
      <c r="B1399" s="22" t="s">
        <v>18208</v>
      </c>
      <c r="C1399" s="2" t="s">
        <v>5128</v>
      </c>
      <c r="D1399" s="5">
        <f t="shared" si="21"/>
        <v>52</v>
      </c>
      <c r="E1399" s="2" t="s">
        <v>5</v>
      </c>
      <c r="F1399" s="2" t="s">
        <v>6067</v>
      </c>
      <c r="G1399" s="22"/>
      <c r="H1399" s="2"/>
      <c r="I1399" s="2"/>
      <c r="J1399" s="23" t="s">
        <v>16122</v>
      </c>
      <c r="K1399" s="2" t="s">
        <v>22</v>
      </c>
      <c r="L1399" s="2" t="s">
        <v>6</v>
      </c>
      <c r="M1399" s="826"/>
      <c r="N1399" s="25"/>
      <c r="O1399" s="22" t="s">
        <v>1580</v>
      </c>
      <c r="P1399" s="21">
        <v>22085</v>
      </c>
      <c r="Q1399" s="22" t="s">
        <v>5130</v>
      </c>
      <c r="R1399" s="22"/>
      <c r="S1399" s="22"/>
      <c r="T1399" s="22"/>
      <c r="U1399" s="2"/>
      <c r="V1399" s="2"/>
      <c r="W1399" s="2"/>
      <c r="X1399" s="2"/>
      <c r="Y1399" s="2"/>
      <c r="Z1399" s="2"/>
      <c r="AA1399" s="2"/>
      <c r="AB1399" s="2"/>
      <c r="AC1399" s="2"/>
      <c r="AD1399" s="2"/>
    </row>
    <row r="1400" spans="1:30" ht="12" customHeight="1">
      <c r="A1400" s="828" t="s">
        <v>18094</v>
      </c>
      <c r="B1400" s="22" t="s">
        <v>18208</v>
      </c>
      <c r="C1400" s="2" t="s">
        <v>4611</v>
      </c>
      <c r="D1400" s="5">
        <f t="shared" si="21"/>
        <v>57</v>
      </c>
      <c r="E1400" s="2" t="s">
        <v>19</v>
      </c>
      <c r="F1400" s="2" t="s">
        <v>6067</v>
      </c>
      <c r="G1400" s="22"/>
      <c r="H1400" s="2"/>
      <c r="I1400" s="2"/>
      <c r="J1400" s="23" t="s">
        <v>16122</v>
      </c>
      <c r="K1400" s="2" t="s">
        <v>22</v>
      </c>
      <c r="L1400" s="2" t="s">
        <v>6</v>
      </c>
      <c r="M1400" s="826"/>
      <c r="N1400" s="25"/>
      <c r="O1400" s="22" t="s">
        <v>4612</v>
      </c>
      <c r="P1400" s="21">
        <v>20176</v>
      </c>
      <c r="Q1400" s="22" t="s">
        <v>4613</v>
      </c>
      <c r="R1400" s="22"/>
      <c r="S1400" s="22"/>
      <c r="T1400" s="22"/>
      <c r="U1400" s="2"/>
      <c r="V1400" s="2"/>
      <c r="W1400" s="2"/>
      <c r="X1400" s="2"/>
      <c r="Y1400" s="2"/>
      <c r="Z1400" s="2"/>
      <c r="AA1400" s="2"/>
      <c r="AB1400" s="2"/>
      <c r="AC1400" s="2"/>
      <c r="AD1400" s="2"/>
    </row>
    <row r="1401" spans="1:30" ht="12" customHeight="1">
      <c r="A1401" s="828" t="s">
        <v>18095</v>
      </c>
      <c r="B1401" s="22" t="s">
        <v>18208</v>
      </c>
      <c r="C1401" s="2" t="s">
        <v>5131</v>
      </c>
      <c r="D1401" s="5">
        <f t="shared" si="21"/>
        <v>32</v>
      </c>
      <c r="E1401" s="2" t="s">
        <v>5</v>
      </c>
      <c r="F1401" s="2" t="s">
        <v>6067</v>
      </c>
      <c r="G1401" s="22"/>
      <c r="H1401" s="2"/>
      <c r="I1401" s="2"/>
      <c r="J1401" s="23" t="s">
        <v>16122</v>
      </c>
      <c r="K1401" s="2" t="s">
        <v>22</v>
      </c>
      <c r="L1401" s="2" t="s">
        <v>6</v>
      </c>
      <c r="M1401" s="826"/>
      <c r="N1401" s="25"/>
      <c r="O1401" s="22" t="s">
        <v>5132</v>
      </c>
      <c r="P1401" s="21">
        <v>29509</v>
      </c>
      <c r="Q1401" s="22" t="s">
        <v>1296</v>
      </c>
      <c r="R1401" s="22"/>
      <c r="S1401" s="22"/>
      <c r="T1401" s="22"/>
      <c r="U1401" s="2"/>
      <c r="V1401" s="2"/>
      <c r="W1401" s="2"/>
      <c r="X1401" s="2"/>
      <c r="Y1401" s="2"/>
      <c r="Z1401" s="2"/>
      <c r="AA1401" s="2"/>
      <c r="AB1401" s="2"/>
      <c r="AC1401" s="2"/>
      <c r="AD1401" s="2"/>
    </row>
    <row r="1402" spans="1:30" ht="12" customHeight="1">
      <c r="A1402" s="828" t="s">
        <v>18096</v>
      </c>
      <c r="B1402" s="22" t="s">
        <v>18209</v>
      </c>
      <c r="C1402" s="2" t="s">
        <v>15257</v>
      </c>
      <c r="D1402" s="5">
        <f t="shared" si="21"/>
        <v>55</v>
      </c>
      <c r="E1402" s="2" t="s">
        <v>5</v>
      </c>
      <c r="F1402" s="2" t="s">
        <v>6067</v>
      </c>
      <c r="G1402" s="22"/>
      <c r="H1402" s="2"/>
      <c r="I1402" s="2"/>
      <c r="J1402" s="4" t="s">
        <v>16120</v>
      </c>
      <c r="K1402" s="2" t="s">
        <v>5247</v>
      </c>
      <c r="L1402" s="2" t="s">
        <v>6</v>
      </c>
      <c r="M1402" s="826"/>
      <c r="N1402" s="25"/>
      <c r="O1402" s="22" t="s">
        <v>2214</v>
      </c>
      <c r="P1402" s="21">
        <v>20841</v>
      </c>
      <c r="Q1402" s="22" t="s">
        <v>16403</v>
      </c>
      <c r="R1402" s="22"/>
      <c r="S1402" s="22"/>
      <c r="T1402" s="22"/>
      <c r="U1402" s="2"/>
      <c r="V1402" s="2"/>
      <c r="W1402" s="2"/>
      <c r="X1402" s="2"/>
      <c r="Y1402" s="2"/>
      <c r="Z1402" s="2"/>
      <c r="AA1402" s="2"/>
      <c r="AB1402" s="2"/>
      <c r="AC1402" s="2"/>
      <c r="AD1402" s="2"/>
    </row>
    <row r="1403" spans="1:30" ht="12" customHeight="1">
      <c r="A1403" s="828" t="s">
        <v>18097</v>
      </c>
      <c r="B1403" s="22" t="s">
        <v>18209</v>
      </c>
      <c r="C1403" s="2" t="s">
        <v>6093</v>
      </c>
      <c r="D1403" s="5">
        <f t="shared" si="21"/>
        <v>61</v>
      </c>
      <c r="E1403" s="2" t="s">
        <v>5</v>
      </c>
      <c r="F1403" s="2" t="s">
        <v>6067</v>
      </c>
      <c r="G1403" s="22"/>
      <c r="H1403" s="2"/>
      <c r="I1403" s="2"/>
      <c r="J1403" s="8" t="s">
        <v>16120</v>
      </c>
      <c r="K1403" s="2" t="s">
        <v>5247</v>
      </c>
      <c r="L1403" s="2" t="s">
        <v>6</v>
      </c>
      <c r="M1403" s="826"/>
      <c r="N1403" s="25"/>
      <c r="O1403" s="22" t="s">
        <v>695</v>
      </c>
      <c r="P1403" s="21">
        <v>18895</v>
      </c>
      <c r="Q1403" s="22" t="s">
        <v>6094</v>
      </c>
      <c r="R1403" s="22"/>
      <c r="S1403" s="22"/>
      <c r="T1403" s="22"/>
      <c r="U1403" s="2"/>
      <c r="V1403" s="2"/>
      <c r="W1403" s="2"/>
      <c r="X1403" s="2"/>
      <c r="Y1403" s="2"/>
      <c r="Z1403" s="2"/>
      <c r="AA1403" s="2"/>
      <c r="AB1403" s="2"/>
      <c r="AC1403" s="2"/>
      <c r="AD1403" s="2"/>
    </row>
    <row r="1404" spans="1:30" ht="12" customHeight="1">
      <c r="A1404" s="828" t="s">
        <v>18098</v>
      </c>
      <c r="B1404" s="22" t="s">
        <v>18209</v>
      </c>
      <c r="C1404" s="2" t="s">
        <v>15258</v>
      </c>
      <c r="D1404" s="5">
        <f t="shared" si="21"/>
        <v>57</v>
      </c>
      <c r="E1404" s="2" t="s">
        <v>5</v>
      </c>
      <c r="F1404" s="2" t="s">
        <v>6067</v>
      </c>
      <c r="G1404" s="22"/>
      <c r="H1404" s="2"/>
      <c r="I1404" s="2"/>
      <c r="J1404" s="23" t="s">
        <v>16120</v>
      </c>
      <c r="K1404" s="2" t="s">
        <v>5247</v>
      </c>
      <c r="L1404" s="2" t="s">
        <v>6</v>
      </c>
      <c r="M1404" s="826"/>
      <c r="N1404" s="25"/>
      <c r="O1404" s="22" t="s">
        <v>5215</v>
      </c>
      <c r="P1404" s="21">
        <v>20150</v>
      </c>
      <c r="Q1404" s="22" t="s">
        <v>6095</v>
      </c>
      <c r="R1404" s="22"/>
      <c r="S1404" s="22"/>
      <c r="T1404" s="22"/>
      <c r="U1404" s="2"/>
      <c r="V1404" s="2"/>
      <c r="W1404" s="2"/>
      <c r="X1404" s="2"/>
      <c r="Y1404" s="2"/>
      <c r="Z1404" s="2"/>
      <c r="AA1404" s="2"/>
      <c r="AB1404" s="2"/>
      <c r="AC1404" s="2"/>
      <c r="AD1404" s="2"/>
    </row>
    <row r="1405" spans="1:30" ht="12" customHeight="1">
      <c r="A1405" s="828" t="s">
        <v>18099</v>
      </c>
      <c r="B1405" s="22" t="s">
        <v>18209</v>
      </c>
      <c r="C1405" s="2" t="s">
        <v>6096</v>
      </c>
      <c r="D1405" s="5">
        <f t="shared" si="21"/>
        <v>33</v>
      </c>
      <c r="E1405" s="2" t="s">
        <v>5</v>
      </c>
      <c r="F1405" s="2" t="s">
        <v>6067</v>
      </c>
      <c r="G1405" s="22"/>
      <c r="H1405" s="2"/>
      <c r="I1405" s="2"/>
      <c r="J1405" s="8" t="s">
        <v>16120</v>
      </c>
      <c r="K1405" s="2" t="s">
        <v>5247</v>
      </c>
      <c r="L1405" s="2" t="s">
        <v>6</v>
      </c>
      <c r="M1405" s="826"/>
      <c r="N1405" s="25"/>
      <c r="O1405" s="22" t="s">
        <v>6098</v>
      </c>
      <c r="P1405" s="21">
        <v>28983</v>
      </c>
      <c r="Q1405" s="22" t="s">
        <v>6097</v>
      </c>
      <c r="R1405" s="22"/>
      <c r="S1405" s="22"/>
      <c r="T1405" s="22"/>
      <c r="U1405" s="2"/>
      <c r="V1405" s="2"/>
      <c r="W1405" s="2"/>
      <c r="X1405" s="2"/>
      <c r="Y1405" s="2"/>
      <c r="Z1405" s="2"/>
      <c r="AA1405" s="2"/>
      <c r="AB1405" s="2"/>
      <c r="AC1405" s="2"/>
      <c r="AD1405" s="2"/>
    </row>
    <row r="1406" spans="1:30" ht="12" customHeight="1">
      <c r="A1406" s="828" t="s">
        <v>18100</v>
      </c>
      <c r="B1406" s="22" t="s">
        <v>18209</v>
      </c>
      <c r="C1406" s="6" t="s">
        <v>3021</v>
      </c>
      <c r="D1406" s="5">
        <f t="shared" si="21"/>
        <v>70</v>
      </c>
      <c r="E1406" s="6" t="s">
        <v>5</v>
      </c>
      <c r="F1406" s="2" t="s">
        <v>6067</v>
      </c>
      <c r="G1406" s="12" t="s">
        <v>3022</v>
      </c>
      <c r="H1406" s="6"/>
      <c r="I1406" s="19"/>
      <c r="J1406" s="8" t="s">
        <v>16125</v>
      </c>
      <c r="K1406" s="6"/>
      <c r="L1406" s="6" t="s">
        <v>25</v>
      </c>
      <c r="M1406" s="6">
        <v>1</v>
      </c>
      <c r="N1406" s="14">
        <v>1</v>
      </c>
      <c r="O1406" s="12" t="s">
        <v>3023</v>
      </c>
      <c r="P1406" s="15">
        <v>15652</v>
      </c>
      <c r="Q1406" s="12" t="s">
        <v>3024</v>
      </c>
      <c r="R1406" s="12" t="s">
        <v>4570</v>
      </c>
      <c r="S1406" s="12"/>
      <c r="T1406" s="12" t="s">
        <v>145</v>
      </c>
      <c r="U1406" s="2"/>
      <c r="V1406" s="2" t="s">
        <v>145</v>
      </c>
      <c r="W1406" s="2"/>
      <c r="X1406" s="2"/>
      <c r="Y1406" s="2"/>
      <c r="Z1406" s="2"/>
      <c r="AA1406" s="2"/>
      <c r="AB1406" s="2"/>
      <c r="AC1406" s="22"/>
      <c r="AD1406" s="22"/>
    </row>
    <row r="1407" spans="1:30" ht="12" customHeight="1">
      <c r="A1407" s="828" t="s">
        <v>18101</v>
      </c>
      <c r="B1407" s="22" t="s">
        <v>18209</v>
      </c>
      <c r="C1407" s="2" t="s">
        <v>3004</v>
      </c>
      <c r="D1407" s="5">
        <f t="shared" si="21"/>
        <v>57</v>
      </c>
      <c r="E1407" s="2" t="s">
        <v>5</v>
      </c>
      <c r="F1407" s="2" t="s">
        <v>6067</v>
      </c>
      <c r="G1407" s="22" t="s">
        <v>3005</v>
      </c>
      <c r="H1407" s="2"/>
      <c r="I1407" s="2"/>
      <c r="J1407" s="8" t="s">
        <v>16118</v>
      </c>
      <c r="K1407" s="2"/>
      <c r="L1407" s="2" t="s">
        <v>25</v>
      </c>
      <c r="M1407" s="826">
        <v>5</v>
      </c>
      <c r="N1407" s="25">
        <v>5</v>
      </c>
      <c r="O1407" s="22" t="s">
        <v>2123</v>
      </c>
      <c r="P1407" s="21">
        <v>20337</v>
      </c>
      <c r="Q1407" s="22" t="s">
        <v>727</v>
      </c>
      <c r="R1407" s="22" t="s">
        <v>3006</v>
      </c>
      <c r="S1407" s="22"/>
      <c r="T1407" s="22" t="s">
        <v>147</v>
      </c>
      <c r="U1407" s="2"/>
      <c r="V1407" s="2"/>
      <c r="W1407" s="2"/>
      <c r="X1407" s="2"/>
      <c r="Y1407" s="2"/>
      <c r="Z1407" s="2"/>
      <c r="AA1407" s="2"/>
      <c r="AB1407" s="2" t="s">
        <v>147</v>
      </c>
      <c r="AC1407" s="22"/>
      <c r="AD1407" s="22"/>
    </row>
    <row r="1408" spans="1:30" ht="12" customHeight="1">
      <c r="A1408" s="828" t="s">
        <v>18102</v>
      </c>
      <c r="B1408" s="22" t="s">
        <v>18209</v>
      </c>
      <c r="C1408" s="6" t="s">
        <v>3008</v>
      </c>
      <c r="D1408" s="5">
        <f t="shared" si="21"/>
        <v>43</v>
      </c>
      <c r="E1408" s="6" t="s">
        <v>5</v>
      </c>
      <c r="F1408" s="2" t="s">
        <v>6067</v>
      </c>
      <c r="G1408" s="12"/>
      <c r="H1408" s="6"/>
      <c r="I1408" s="19"/>
      <c r="J1408" s="23" t="s">
        <v>16118</v>
      </c>
      <c r="K1408" s="6"/>
      <c r="L1408" s="6" t="s">
        <v>14</v>
      </c>
      <c r="M1408" s="6">
        <v>1</v>
      </c>
      <c r="N1408" s="14">
        <v>1</v>
      </c>
      <c r="O1408" s="12" t="s">
        <v>3009</v>
      </c>
      <c r="P1408" s="15">
        <v>25520</v>
      </c>
      <c r="Q1408" s="12" t="s">
        <v>3010</v>
      </c>
      <c r="R1408" s="12" t="s">
        <v>1784</v>
      </c>
      <c r="S1408" s="12"/>
      <c r="T1408" s="12"/>
      <c r="U1408" s="2"/>
      <c r="V1408" s="2"/>
      <c r="W1408" s="2"/>
      <c r="X1408" s="2"/>
      <c r="Y1408" s="2"/>
      <c r="Z1408" s="2"/>
      <c r="AA1408" s="2"/>
      <c r="AB1408" s="2"/>
      <c r="AC1408" s="22"/>
      <c r="AD1408" s="22"/>
    </row>
    <row r="1409" spans="1:30" ht="12" customHeight="1">
      <c r="A1409" s="828" t="s">
        <v>18103</v>
      </c>
      <c r="B1409" s="22" t="s">
        <v>18209</v>
      </c>
      <c r="C1409" s="6" t="s">
        <v>3012</v>
      </c>
      <c r="D1409" s="5">
        <f t="shared" ref="D1409:D1472" si="22">DATEDIF(P1409,$P$1505,"Y")</f>
        <v>49</v>
      </c>
      <c r="E1409" s="6" t="s">
        <v>5</v>
      </c>
      <c r="F1409" s="2" t="s">
        <v>6067</v>
      </c>
      <c r="G1409" s="12"/>
      <c r="H1409" s="6"/>
      <c r="I1409" s="19"/>
      <c r="J1409" s="8" t="s">
        <v>16118</v>
      </c>
      <c r="K1409" s="6"/>
      <c r="L1409" s="6" t="s">
        <v>6</v>
      </c>
      <c r="M1409" s="6"/>
      <c r="N1409" s="14"/>
      <c r="O1409" s="12" t="s">
        <v>1555</v>
      </c>
      <c r="P1409" s="15">
        <v>23261</v>
      </c>
      <c r="Q1409" s="12" t="s">
        <v>16432</v>
      </c>
      <c r="R1409" s="22"/>
      <c r="S1409" s="22"/>
      <c r="T1409" s="22"/>
      <c r="U1409" s="2"/>
      <c r="V1409" s="2"/>
      <c r="W1409" s="2"/>
      <c r="X1409" s="2"/>
      <c r="Y1409" s="2"/>
      <c r="Z1409" s="2"/>
      <c r="AA1409" s="2"/>
      <c r="AB1409" s="2"/>
      <c r="AC1409" s="22"/>
      <c r="AD1409" s="22"/>
    </row>
    <row r="1410" spans="1:30" ht="12" customHeight="1">
      <c r="A1410" s="828" t="s">
        <v>18104</v>
      </c>
      <c r="B1410" s="22" t="s">
        <v>18209</v>
      </c>
      <c r="C1410" s="6" t="s">
        <v>5915</v>
      </c>
      <c r="D1410" s="5">
        <f t="shared" si="22"/>
        <v>43</v>
      </c>
      <c r="E1410" s="6" t="s">
        <v>5</v>
      </c>
      <c r="F1410" s="2" t="s">
        <v>6067</v>
      </c>
      <c r="G1410" s="12"/>
      <c r="H1410" s="6"/>
      <c r="I1410" s="19"/>
      <c r="J1410" s="23" t="s">
        <v>16118</v>
      </c>
      <c r="K1410" s="6"/>
      <c r="L1410" s="6" t="s">
        <v>6</v>
      </c>
      <c r="M1410" s="6"/>
      <c r="N1410" s="14"/>
      <c r="O1410" s="12" t="s">
        <v>5916</v>
      </c>
      <c r="P1410" s="15">
        <v>25448</v>
      </c>
      <c r="Q1410" s="12" t="s">
        <v>16433</v>
      </c>
      <c r="R1410" s="22"/>
      <c r="S1410" s="22"/>
      <c r="T1410" s="22"/>
      <c r="U1410" s="2"/>
      <c r="V1410" s="2"/>
      <c r="W1410" s="2"/>
      <c r="X1410" s="2"/>
      <c r="Y1410" s="2"/>
      <c r="Z1410" s="2"/>
      <c r="AA1410" s="2"/>
      <c r="AB1410" s="2"/>
      <c r="AC1410" s="22"/>
      <c r="AD1410" s="22"/>
    </row>
    <row r="1411" spans="1:30" ht="12" customHeight="1">
      <c r="A1411" s="828" t="s">
        <v>18105</v>
      </c>
      <c r="B1411" s="22" t="s">
        <v>18209</v>
      </c>
      <c r="C1411" s="6" t="s">
        <v>5917</v>
      </c>
      <c r="D1411" s="5">
        <f t="shared" si="22"/>
        <v>32</v>
      </c>
      <c r="E1411" s="6" t="s">
        <v>5</v>
      </c>
      <c r="F1411" s="2" t="s">
        <v>6067</v>
      </c>
      <c r="G1411" s="12"/>
      <c r="H1411" s="6"/>
      <c r="I1411" s="19"/>
      <c r="J1411" s="8" t="s">
        <v>16118</v>
      </c>
      <c r="K1411" s="6"/>
      <c r="L1411" s="6" t="s">
        <v>6</v>
      </c>
      <c r="M1411" s="6"/>
      <c r="N1411" s="14"/>
      <c r="O1411" s="12" t="s">
        <v>2820</v>
      </c>
      <c r="P1411" s="15">
        <v>29244</v>
      </c>
      <c r="Q1411" s="12" t="s">
        <v>16431</v>
      </c>
      <c r="R1411" s="22"/>
      <c r="S1411" s="22"/>
      <c r="T1411" s="22"/>
      <c r="U1411" s="2"/>
      <c r="V1411" s="2"/>
      <c r="W1411" s="2"/>
      <c r="X1411" s="2"/>
      <c r="Y1411" s="2"/>
      <c r="Z1411" s="2"/>
      <c r="AA1411" s="2"/>
      <c r="AB1411" s="2"/>
      <c r="AC1411" s="22"/>
      <c r="AD1411" s="22"/>
    </row>
    <row r="1412" spans="1:30" ht="12" customHeight="1">
      <c r="A1412" s="828" t="s">
        <v>18106</v>
      </c>
      <c r="B1412" s="22" t="s">
        <v>18209</v>
      </c>
      <c r="C1412" s="2" t="s">
        <v>5593</v>
      </c>
      <c r="D1412" s="5">
        <f t="shared" si="22"/>
        <v>69</v>
      </c>
      <c r="E1412" s="2" t="s">
        <v>5</v>
      </c>
      <c r="F1412" s="2" t="s">
        <v>6067</v>
      </c>
      <c r="G1412" s="22" t="s">
        <v>5594</v>
      </c>
      <c r="H1412" s="2" t="s">
        <v>373</v>
      </c>
      <c r="I1412" s="2"/>
      <c r="J1412" s="8" t="s">
        <v>16130</v>
      </c>
      <c r="K1412" s="2" t="s">
        <v>4993</v>
      </c>
      <c r="L1412" s="2" t="s">
        <v>14</v>
      </c>
      <c r="M1412" s="826">
        <v>4</v>
      </c>
      <c r="N1412" s="25">
        <v>12</v>
      </c>
      <c r="O1412" s="22" t="s">
        <v>1742</v>
      </c>
      <c r="P1412" s="21">
        <v>15779</v>
      </c>
      <c r="Q1412" s="22" t="s">
        <v>5597</v>
      </c>
      <c r="R1412" s="22" t="s">
        <v>5598</v>
      </c>
      <c r="S1412" s="22"/>
      <c r="T1412" s="22" t="s">
        <v>1291</v>
      </c>
      <c r="U1412" s="2"/>
      <c r="V1412" s="2"/>
      <c r="W1412" s="2"/>
      <c r="X1412" s="2" t="s">
        <v>229</v>
      </c>
      <c r="Y1412" s="2"/>
      <c r="Z1412" s="2"/>
      <c r="AA1412" s="2" t="s">
        <v>104</v>
      </c>
      <c r="AB1412" s="2"/>
      <c r="AC1412" s="22"/>
      <c r="AD1412" s="22"/>
    </row>
    <row r="1413" spans="1:30" ht="12" customHeight="1">
      <c r="A1413" s="828" t="s">
        <v>18107</v>
      </c>
      <c r="B1413" s="22" t="s">
        <v>18209</v>
      </c>
      <c r="C1413" s="6" t="s">
        <v>6001</v>
      </c>
      <c r="D1413" s="5">
        <f t="shared" si="22"/>
        <v>51</v>
      </c>
      <c r="E1413" s="6" t="s">
        <v>5</v>
      </c>
      <c r="F1413" s="2" t="s">
        <v>6067</v>
      </c>
      <c r="G1413" s="19"/>
      <c r="H1413" s="6"/>
      <c r="I1413" s="19"/>
      <c r="J1413" s="8" t="s">
        <v>16130</v>
      </c>
      <c r="K1413" s="6" t="s">
        <v>276</v>
      </c>
      <c r="L1413" s="6" t="s">
        <v>14</v>
      </c>
      <c r="M1413" s="6">
        <v>1</v>
      </c>
      <c r="N1413" s="14">
        <v>1</v>
      </c>
      <c r="O1413" s="12" t="s">
        <v>6002</v>
      </c>
      <c r="P1413" s="15">
        <v>22312</v>
      </c>
      <c r="Q1413" s="12" t="s">
        <v>6003</v>
      </c>
      <c r="R1413" s="12"/>
      <c r="S1413" s="12"/>
      <c r="T1413" s="19" t="s">
        <v>145</v>
      </c>
      <c r="U1413" s="2"/>
      <c r="V1413" s="2" t="s">
        <v>145</v>
      </c>
      <c r="W1413" s="2"/>
      <c r="X1413" s="2"/>
      <c r="Y1413" s="2"/>
      <c r="Z1413" s="2"/>
      <c r="AA1413" s="2"/>
      <c r="AB1413" s="2"/>
      <c r="AC1413" s="2"/>
      <c r="AD1413" s="22"/>
    </row>
    <row r="1414" spans="1:30" ht="12" customHeight="1">
      <c r="A1414" s="828" t="s">
        <v>18108</v>
      </c>
      <c r="B1414" s="22" t="s">
        <v>18209</v>
      </c>
      <c r="C1414" s="2" t="s">
        <v>15642</v>
      </c>
      <c r="D1414" s="5">
        <f t="shared" si="22"/>
        <v>48</v>
      </c>
      <c r="E1414" s="2" t="s">
        <v>5</v>
      </c>
      <c r="F1414" s="2" t="s">
        <v>6067</v>
      </c>
      <c r="G1414" s="22"/>
      <c r="H1414" s="2"/>
      <c r="I1414" s="2"/>
      <c r="J1414" s="23" t="s">
        <v>16128</v>
      </c>
      <c r="K1414" s="2"/>
      <c r="L1414" s="2" t="s">
        <v>6</v>
      </c>
      <c r="M1414" s="826"/>
      <c r="N1414" s="25">
        <v>2</v>
      </c>
      <c r="O1414" s="22" t="s">
        <v>188</v>
      </c>
      <c r="P1414" s="21">
        <v>23470</v>
      </c>
      <c r="Q1414" s="22" t="s">
        <v>15644</v>
      </c>
      <c r="R1414" s="22" t="s">
        <v>374</v>
      </c>
      <c r="S1414" s="22"/>
      <c r="T1414" s="22" t="s">
        <v>229</v>
      </c>
      <c r="U1414" s="2"/>
      <c r="V1414" s="2"/>
      <c r="W1414" s="2"/>
      <c r="X1414" s="2" t="s">
        <v>229</v>
      </c>
      <c r="Y1414" s="2"/>
      <c r="Z1414" s="2"/>
      <c r="AA1414" s="2"/>
      <c r="AB1414" s="2"/>
      <c r="AC1414" s="22"/>
      <c r="AD1414" s="22"/>
    </row>
    <row r="1415" spans="1:30" ht="12" customHeight="1">
      <c r="A1415" s="828" t="s">
        <v>18109</v>
      </c>
      <c r="B1415" s="22" t="s">
        <v>18209</v>
      </c>
      <c r="C1415" s="2" t="s">
        <v>3014</v>
      </c>
      <c r="D1415" s="5">
        <f t="shared" si="22"/>
        <v>67</v>
      </c>
      <c r="E1415" s="2" t="s">
        <v>5</v>
      </c>
      <c r="F1415" s="2" t="s">
        <v>6067</v>
      </c>
      <c r="G1415" s="22" t="s">
        <v>3015</v>
      </c>
      <c r="H1415" s="2"/>
      <c r="I1415" s="2"/>
      <c r="J1415" s="23" t="s">
        <v>16117</v>
      </c>
      <c r="K1415" s="2"/>
      <c r="L1415" s="2" t="s">
        <v>25</v>
      </c>
      <c r="M1415" s="826">
        <v>5</v>
      </c>
      <c r="N1415" s="25">
        <v>5</v>
      </c>
      <c r="O1415" s="22" t="s">
        <v>3016</v>
      </c>
      <c r="P1415" s="21">
        <v>16752</v>
      </c>
      <c r="Q1415" s="22" t="s">
        <v>3017</v>
      </c>
      <c r="R1415" s="22"/>
      <c r="S1415" s="22"/>
      <c r="T1415" s="22"/>
      <c r="U1415" s="2"/>
      <c r="V1415" s="2"/>
      <c r="W1415" s="2"/>
      <c r="X1415" s="2"/>
      <c r="Y1415" s="2"/>
      <c r="Z1415" s="2"/>
      <c r="AA1415" s="2"/>
      <c r="AB1415" s="2"/>
      <c r="AC1415" s="22"/>
      <c r="AD1415" s="22"/>
    </row>
    <row r="1416" spans="1:30" ht="12" customHeight="1">
      <c r="A1416" s="828" t="s">
        <v>18110</v>
      </c>
      <c r="B1416" s="22" t="s">
        <v>18209</v>
      </c>
      <c r="C1416" s="2" t="s">
        <v>3018</v>
      </c>
      <c r="D1416" s="5">
        <f t="shared" si="22"/>
        <v>47</v>
      </c>
      <c r="E1416" s="2" t="s">
        <v>19</v>
      </c>
      <c r="F1416" s="2" t="s">
        <v>6067</v>
      </c>
      <c r="G1416" s="22"/>
      <c r="H1416" s="2"/>
      <c r="I1416" s="2"/>
      <c r="J1416" s="8" t="s">
        <v>16117</v>
      </c>
      <c r="K1416" s="2"/>
      <c r="L1416" s="2" t="s">
        <v>6</v>
      </c>
      <c r="M1416" s="826"/>
      <c r="N1416" s="25"/>
      <c r="O1416" s="22" t="s">
        <v>3019</v>
      </c>
      <c r="P1416" s="21">
        <v>23872</v>
      </c>
      <c r="Q1416" s="22" t="s">
        <v>3020</v>
      </c>
      <c r="R1416" s="22"/>
      <c r="S1416" s="22"/>
      <c r="T1416" s="22"/>
      <c r="U1416" s="2"/>
      <c r="V1416" s="2"/>
      <c r="W1416" s="2"/>
      <c r="X1416" s="2"/>
      <c r="Y1416" s="2"/>
      <c r="Z1416" s="2"/>
      <c r="AA1416" s="2"/>
      <c r="AB1416" s="2"/>
      <c r="AC1416" s="22"/>
      <c r="AD1416" s="22"/>
    </row>
    <row r="1417" spans="1:30" ht="12" customHeight="1">
      <c r="A1417" s="828" t="s">
        <v>18111</v>
      </c>
      <c r="B1417" s="22" t="s">
        <v>18209</v>
      </c>
      <c r="C1417" s="2" t="s">
        <v>5492</v>
      </c>
      <c r="D1417" s="5">
        <f t="shared" si="22"/>
        <v>57</v>
      </c>
      <c r="E1417" s="2" t="s">
        <v>5</v>
      </c>
      <c r="F1417" s="2" t="s">
        <v>6067</v>
      </c>
      <c r="G1417" s="22"/>
      <c r="H1417" s="2"/>
      <c r="I1417" s="2"/>
      <c r="J1417" s="23" t="s">
        <v>16117</v>
      </c>
      <c r="K1417" s="2"/>
      <c r="L1417" s="2" t="s">
        <v>6</v>
      </c>
      <c r="M1417" s="826"/>
      <c r="N1417" s="25"/>
      <c r="O1417" s="22" t="s">
        <v>2906</v>
      </c>
      <c r="P1417" s="21">
        <v>20126</v>
      </c>
      <c r="Q1417" s="22" t="s">
        <v>5493</v>
      </c>
      <c r="R1417" s="22"/>
      <c r="S1417" s="22"/>
      <c r="T1417" s="22" t="s">
        <v>145</v>
      </c>
      <c r="U1417" s="2"/>
      <c r="V1417" s="2" t="s">
        <v>145</v>
      </c>
      <c r="W1417" s="2"/>
      <c r="X1417" s="2"/>
      <c r="Y1417" s="2"/>
      <c r="Z1417" s="2"/>
      <c r="AA1417" s="2"/>
      <c r="AB1417" s="2"/>
      <c r="AC1417" s="22"/>
      <c r="AD1417" s="22"/>
    </row>
    <row r="1418" spans="1:30" ht="12" customHeight="1">
      <c r="A1418" s="828" t="s">
        <v>18112</v>
      </c>
      <c r="B1418" s="22" t="s">
        <v>18209</v>
      </c>
      <c r="C1418" s="2" t="s">
        <v>5472</v>
      </c>
      <c r="D1418" s="5">
        <f t="shared" si="22"/>
        <v>64</v>
      </c>
      <c r="E1418" s="2" t="s">
        <v>5</v>
      </c>
      <c r="F1418" s="2" t="s">
        <v>6067</v>
      </c>
      <c r="G1418" s="22"/>
      <c r="H1418" s="2"/>
      <c r="I1418" s="2"/>
      <c r="J1418" s="23" t="s">
        <v>16121</v>
      </c>
      <c r="K1418" s="2"/>
      <c r="L1418" s="2" t="s">
        <v>6</v>
      </c>
      <c r="M1418" s="826"/>
      <c r="N1418" s="25"/>
      <c r="O1418" s="22" t="s">
        <v>5473</v>
      </c>
      <c r="P1418" s="21">
        <v>17547</v>
      </c>
      <c r="Q1418" s="22" t="s">
        <v>5474</v>
      </c>
      <c r="R1418" s="22"/>
      <c r="S1418" s="22"/>
      <c r="T1418" s="22"/>
      <c r="U1418" s="2"/>
      <c r="V1418" s="2"/>
      <c r="W1418" s="2"/>
      <c r="X1418" s="2"/>
      <c r="Y1418" s="2"/>
      <c r="Z1418" s="2"/>
      <c r="AA1418" s="2"/>
      <c r="AB1418" s="2"/>
      <c r="AC1418" s="22"/>
      <c r="AD1418" s="22"/>
    </row>
    <row r="1419" spans="1:30" ht="12" customHeight="1">
      <c r="A1419" s="828" t="s">
        <v>18113</v>
      </c>
      <c r="B1419" s="22" t="s">
        <v>18209</v>
      </c>
      <c r="C1419" s="2" t="s">
        <v>5133</v>
      </c>
      <c r="D1419" s="5">
        <f t="shared" si="22"/>
        <v>45</v>
      </c>
      <c r="E1419" s="2" t="s">
        <v>5</v>
      </c>
      <c r="F1419" s="2" t="s">
        <v>6067</v>
      </c>
      <c r="G1419" s="22"/>
      <c r="H1419" s="2"/>
      <c r="I1419" s="2"/>
      <c r="J1419" s="23" t="s">
        <v>16122</v>
      </c>
      <c r="K1419" s="2" t="s">
        <v>22</v>
      </c>
      <c r="L1419" s="2" t="s">
        <v>6</v>
      </c>
      <c r="M1419" s="826"/>
      <c r="N1419" s="25"/>
      <c r="O1419" s="22" t="s">
        <v>5134</v>
      </c>
      <c r="P1419" s="21">
        <v>24765</v>
      </c>
      <c r="Q1419" s="22" t="s">
        <v>5136</v>
      </c>
      <c r="R1419" s="22"/>
      <c r="S1419" s="22"/>
      <c r="T1419" s="22"/>
      <c r="U1419" s="2"/>
      <c r="V1419" s="2"/>
      <c r="W1419" s="2"/>
      <c r="X1419" s="2"/>
      <c r="Y1419" s="2"/>
      <c r="Z1419" s="2"/>
      <c r="AA1419" s="2"/>
      <c r="AB1419" s="2"/>
      <c r="AC1419" s="22"/>
      <c r="AD1419" s="22"/>
    </row>
    <row r="1420" spans="1:30" ht="12" customHeight="1">
      <c r="A1420" s="828" t="s">
        <v>18114</v>
      </c>
      <c r="B1420" s="22" t="s">
        <v>18209</v>
      </c>
      <c r="C1420" s="2" t="s">
        <v>5137</v>
      </c>
      <c r="D1420" s="5">
        <f t="shared" si="22"/>
        <v>70</v>
      </c>
      <c r="E1420" s="2" t="s">
        <v>5</v>
      </c>
      <c r="F1420" s="2" t="s">
        <v>6067</v>
      </c>
      <c r="G1420" s="22"/>
      <c r="H1420" s="2"/>
      <c r="I1420" s="2"/>
      <c r="J1420" s="23" t="s">
        <v>16122</v>
      </c>
      <c r="K1420" s="2" t="s">
        <v>22</v>
      </c>
      <c r="L1420" s="2" t="s">
        <v>6</v>
      </c>
      <c r="M1420" s="826"/>
      <c r="N1420" s="25"/>
      <c r="O1420" s="22" t="s">
        <v>5135</v>
      </c>
      <c r="P1420" s="21">
        <v>15392</v>
      </c>
      <c r="Q1420" s="22" t="s">
        <v>5138</v>
      </c>
      <c r="R1420" s="22"/>
      <c r="S1420" s="22"/>
      <c r="T1420" s="22"/>
      <c r="U1420" s="2"/>
      <c r="V1420" s="2"/>
      <c r="W1420" s="2"/>
      <c r="X1420" s="2"/>
      <c r="Y1420" s="2"/>
      <c r="Z1420" s="2"/>
      <c r="AA1420" s="2"/>
      <c r="AB1420" s="2"/>
      <c r="AC1420" s="22"/>
      <c r="AD1420" s="22"/>
    </row>
    <row r="1421" spans="1:30" ht="12" customHeight="1">
      <c r="A1421" s="828" t="s">
        <v>18115</v>
      </c>
      <c r="B1421" s="22" t="s">
        <v>18209</v>
      </c>
      <c r="C1421" s="2" t="s">
        <v>4618</v>
      </c>
      <c r="D1421" s="5">
        <f t="shared" si="22"/>
        <v>50</v>
      </c>
      <c r="E1421" s="2" t="s">
        <v>19</v>
      </c>
      <c r="F1421" s="2" t="s">
        <v>6067</v>
      </c>
      <c r="G1421" s="22"/>
      <c r="H1421" s="2"/>
      <c r="I1421" s="2"/>
      <c r="J1421" s="23" t="s">
        <v>16122</v>
      </c>
      <c r="K1421" s="2" t="s">
        <v>22</v>
      </c>
      <c r="L1421" s="2" t="s">
        <v>6</v>
      </c>
      <c r="M1421" s="826"/>
      <c r="N1421" s="25"/>
      <c r="O1421" s="22" t="s">
        <v>4619</v>
      </c>
      <c r="P1421" s="21">
        <v>22873</v>
      </c>
      <c r="Q1421" s="22" t="s">
        <v>3165</v>
      </c>
      <c r="R1421" s="22"/>
      <c r="S1421" s="22"/>
      <c r="T1421" s="22"/>
      <c r="U1421" s="2"/>
      <c r="V1421" s="2"/>
      <c r="W1421" s="2"/>
      <c r="X1421" s="2"/>
      <c r="Y1421" s="2"/>
      <c r="Z1421" s="2"/>
      <c r="AA1421" s="2"/>
      <c r="AB1421" s="2"/>
      <c r="AC1421" s="22"/>
      <c r="AD1421" s="22"/>
    </row>
    <row r="1422" spans="1:30" ht="12" customHeight="1">
      <c r="A1422" s="828" t="s">
        <v>18116</v>
      </c>
      <c r="B1422" s="22" t="s">
        <v>18209</v>
      </c>
      <c r="C1422" s="2" t="s">
        <v>4615</v>
      </c>
      <c r="D1422" s="5">
        <f t="shared" si="22"/>
        <v>44</v>
      </c>
      <c r="E1422" s="2" t="s">
        <v>19</v>
      </c>
      <c r="F1422" s="2" t="s">
        <v>6067</v>
      </c>
      <c r="G1422" s="22"/>
      <c r="H1422" s="2"/>
      <c r="I1422" s="2"/>
      <c r="J1422" s="23" t="s">
        <v>16122</v>
      </c>
      <c r="K1422" s="2" t="s">
        <v>22</v>
      </c>
      <c r="L1422" s="2" t="s">
        <v>6</v>
      </c>
      <c r="M1422" s="826"/>
      <c r="N1422" s="25"/>
      <c r="O1422" s="22" t="s">
        <v>2906</v>
      </c>
      <c r="P1422" s="21">
        <v>25147</v>
      </c>
      <c r="Q1422" s="22" t="s">
        <v>4617</v>
      </c>
      <c r="R1422" s="22"/>
      <c r="S1422" s="22"/>
      <c r="T1422" s="22"/>
      <c r="U1422" s="2"/>
      <c r="V1422" s="2"/>
      <c r="W1422" s="2"/>
      <c r="X1422" s="2"/>
      <c r="Y1422" s="2"/>
      <c r="Z1422" s="2"/>
      <c r="AA1422" s="2"/>
      <c r="AB1422" s="2"/>
      <c r="AC1422" s="22"/>
      <c r="AD1422" s="22"/>
    </row>
    <row r="1423" spans="1:30" ht="12" customHeight="1">
      <c r="A1423" s="828" t="s">
        <v>18117</v>
      </c>
      <c r="B1423" s="22" t="s">
        <v>18209</v>
      </c>
      <c r="C1423" s="2" t="s">
        <v>5139</v>
      </c>
      <c r="D1423" s="5">
        <f t="shared" si="22"/>
        <v>56</v>
      </c>
      <c r="E1423" s="2" t="s">
        <v>5</v>
      </c>
      <c r="F1423" s="2" t="s">
        <v>6067</v>
      </c>
      <c r="G1423" s="22"/>
      <c r="H1423" s="2"/>
      <c r="I1423" s="2"/>
      <c r="J1423" s="23" t="s">
        <v>16122</v>
      </c>
      <c r="K1423" s="2" t="s">
        <v>22</v>
      </c>
      <c r="L1423" s="2" t="s">
        <v>6</v>
      </c>
      <c r="M1423" s="826"/>
      <c r="N1423" s="25"/>
      <c r="O1423" s="22" t="s">
        <v>3291</v>
      </c>
      <c r="P1423" s="21">
        <v>20458</v>
      </c>
      <c r="Q1423" s="22" t="s">
        <v>4623</v>
      </c>
      <c r="R1423" s="22"/>
      <c r="S1423" s="22"/>
      <c r="T1423" s="22"/>
      <c r="U1423" s="2"/>
      <c r="V1423" s="2"/>
      <c r="W1423" s="2"/>
      <c r="X1423" s="2"/>
      <c r="Y1423" s="2"/>
      <c r="Z1423" s="2"/>
      <c r="AA1423" s="2"/>
      <c r="AB1423" s="2"/>
      <c r="AC1423" s="22"/>
      <c r="AD1423" s="22"/>
    </row>
    <row r="1424" spans="1:30" ht="12" customHeight="1">
      <c r="A1424" s="828" t="s">
        <v>18118</v>
      </c>
      <c r="B1424" s="22" t="s">
        <v>18210</v>
      </c>
      <c r="C1424" s="2" t="s">
        <v>6100</v>
      </c>
      <c r="D1424" s="5">
        <f t="shared" si="22"/>
        <v>66</v>
      </c>
      <c r="E1424" s="2" t="s">
        <v>5</v>
      </c>
      <c r="F1424" s="2" t="s">
        <v>6067</v>
      </c>
      <c r="G1424" s="22"/>
      <c r="H1424" s="2"/>
      <c r="I1424" s="2"/>
      <c r="J1424" s="8" t="s">
        <v>16120</v>
      </c>
      <c r="K1424" s="2" t="s">
        <v>5247</v>
      </c>
      <c r="L1424" s="2" t="s">
        <v>6</v>
      </c>
      <c r="M1424" s="826"/>
      <c r="N1424" s="25"/>
      <c r="O1424" s="22" t="s">
        <v>16468</v>
      </c>
      <c r="P1424" s="21">
        <v>16803</v>
      </c>
      <c r="Q1424" s="22" t="s">
        <v>16469</v>
      </c>
      <c r="R1424" s="22"/>
      <c r="S1424" s="22"/>
      <c r="T1424" s="22"/>
      <c r="U1424" s="2"/>
      <c r="V1424" s="2"/>
      <c r="W1424" s="2"/>
      <c r="X1424" s="2"/>
      <c r="Y1424" s="2"/>
      <c r="Z1424" s="2"/>
      <c r="AA1424" s="2"/>
      <c r="AB1424" s="2"/>
      <c r="AC1424" s="22"/>
      <c r="AD1424" s="22"/>
    </row>
    <row r="1425" spans="1:30" ht="12" customHeight="1">
      <c r="A1425" s="828" t="s">
        <v>18119</v>
      </c>
      <c r="B1425" s="22" t="s">
        <v>18210</v>
      </c>
      <c r="C1425" s="6" t="s">
        <v>3778</v>
      </c>
      <c r="D1425" s="5">
        <f t="shared" si="22"/>
        <v>67</v>
      </c>
      <c r="E1425" s="6" t="s">
        <v>5</v>
      </c>
      <c r="F1425" s="2" t="s">
        <v>6067</v>
      </c>
      <c r="G1425" s="12" t="s">
        <v>3779</v>
      </c>
      <c r="H1425" s="6"/>
      <c r="I1425" s="19"/>
      <c r="J1425" s="8" t="s">
        <v>16125</v>
      </c>
      <c r="K1425" s="6"/>
      <c r="L1425" s="6" t="s">
        <v>25</v>
      </c>
      <c r="M1425" s="6">
        <v>1</v>
      </c>
      <c r="N1425" s="14">
        <v>1</v>
      </c>
      <c r="O1425" s="12" t="s">
        <v>3009</v>
      </c>
      <c r="P1425" s="15">
        <v>16438</v>
      </c>
      <c r="Q1425" s="12" t="s">
        <v>3781</v>
      </c>
      <c r="R1425" s="12"/>
      <c r="S1425" s="12"/>
      <c r="T1425" s="12"/>
      <c r="U1425" s="2"/>
      <c r="V1425" s="2"/>
      <c r="W1425" s="2"/>
      <c r="X1425" s="2"/>
      <c r="Y1425" s="2"/>
      <c r="Z1425" s="2"/>
      <c r="AA1425" s="2"/>
      <c r="AB1425" s="2"/>
      <c r="AC1425" s="22"/>
      <c r="AD1425" s="22"/>
    </row>
    <row r="1426" spans="1:30" ht="12" customHeight="1">
      <c r="A1426" s="828" t="s">
        <v>18120</v>
      </c>
      <c r="B1426" s="22" t="s">
        <v>18210</v>
      </c>
      <c r="C1426" s="2" t="s">
        <v>5584</v>
      </c>
      <c r="D1426" s="5">
        <f t="shared" si="22"/>
        <v>32</v>
      </c>
      <c r="E1426" s="2" t="s">
        <v>19</v>
      </c>
      <c r="F1426" s="2" t="s">
        <v>6067</v>
      </c>
      <c r="G1426" s="22" t="s">
        <v>5585</v>
      </c>
      <c r="H1426" s="2"/>
      <c r="I1426" s="2"/>
      <c r="J1426" s="23" t="s">
        <v>16125</v>
      </c>
      <c r="K1426" s="2"/>
      <c r="L1426" s="2" t="s">
        <v>25</v>
      </c>
      <c r="M1426" s="826">
        <v>1</v>
      </c>
      <c r="N1426" s="25">
        <v>1</v>
      </c>
      <c r="O1426" s="22" t="s">
        <v>5586</v>
      </c>
      <c r="P1426" s="21">
        <v>29524</v>
      </c>
      <c r="Q1426" s="22" t="s">
        <v>5587</v>
      </c>
      <c r="R1426" s="22"/>
      <c r="S1426" s="22"/>
      <c r="T1426" s="22"/>
      <c r="U1426" s="2"/>
      <c r="V1426" s="2"/>
      <c r="W1426" s="2"/>
      <c r="X1426" s="2"/>
      <c r="Y1426" s="2"/>
      <c r="Z1426" s="2"/>
      <c r="AA1426" s="2"/>
      <c r="AB1426" s="2"/>
      <c r="AC1426" s="2"/>
      <c r="AD1426" s="2"/>
    </row>
    <row r="1427" spans="1:30" ht="12" customHeight="1">
      <c r="A1427" s="828" t="s">
        <v>18121</v>
      </c>
      <c r="B1427" s="22" t="s">
        <v>18210</v>
      </c>
      <c r="C1427" s="6" t="s">
        <v>3786</v>
      </c>
      <c r="D1427" s="5">
        <f t="shared" si="22"/>
        <v>54</v>
      </c>
      <c r="E1427" s="6" t="s">
        <v>5</v>
      </c>
      <c r="F1427" s="2" t="s">
        <v>6067</v>
      </c>
      <c r="G1427" s="12" t="s">
        <v>3787</v>
      </c>
      <c r="H1427" s="6"/>
      <c r="I1427" s="19"/>
      <c r="J1427" s="8" t="s">
        <v>16118</v>
      </c>
      <c r="K1427" s="6"/>
      <c r="L1427" s="6" t="s">
        <v>25</v>
      </c>
      <c r="M1427" s="6">
        <v>2</v>
      </c>
      <c r="N1427" s="14">
        <v>2</v>
      </c>
      <c r="O1427" s="12" t="s">
        <v>1493</v>
      </c>
      <c r="P1427" s="15">
        <v>21361</v>
      </c>
      <c r="Q1427" s="12" t="s">
        <v>3788</v>
      </c>
      <c r="R1427" s="12" t="s">
        <v>3789</v>
      </c>
      <c r="S1427" s="12"/>
      <c r="T1427" s="12" t="s">
        <v>145</v>
      </c>
      <c r="U1427" s="2"/>
      <c r="V1427" s="2" t="s">
        <v>145</v>
      </c>
      <c r="W1427" s="2"/>
      <c r="X1427" s="2"/>
      <c r="Y1427" s="2"/>
      <c r="Z1427" s="2"/>
      <c r="AA1427" s="2"/>
      <c r="AB1427" s="2"/>
      <c r="AC1427" s="22"/>
      <c r="AD1427" s="22"/>
    </row>
    <row r="1428" spans="1:30" ht="12" customHeight="1">
      <c r="A1428" s="828" t="s">
        <v>18122</v>
      </c>
      <c r="B1428" s="22" t="s">
        <v>18210</v>
      </c>
      <c r="C1428" s="2" t="s">
        <v>3790</v>
      </c>
      <c r="D1428" s="5">
        <f t="shared" si="22"/>
        <v>49</v>
      </c>
      <c r="E1428" s="2" t="s">
        <v>19</v>
      </c>
      <c r="F1428" s="2" t="s">
        <v>6067</v>
      </c>
      <c r="G1428" s="22"/>
      <c r="H1428" s="2"/>
      <c r="I1428" s="2"/>
      <c r="J1428" s="23" t="s">
        <v>16118</v>
      </c>
      <c r="K1428" s="2"/>
      <c r="L1428" s="2" t="s">
        <v>6</v>
      </c>
      <c r="M1428" s="826"/>
      <c r="N1428" s="25">
        <v>2</v>
      </c>
      <c r="O1428" s="22" t="s">
        <v>3791</v>
      </c>
      <c r="P1428" s="21">
        <v>23043</v>
      </c>
      <c r="Q1428" s="22" t="s">
        <v>3792</v>
      </c>
      <c r="R1428" s="22" t="s">
        <v>3793</v>
      </c>
      <c r="S1428" s="22"/>
      <c r="T1428" s="22" t="s">
        <v>1569</v>
      </c>
      <c r="U1428" s="2"/>
      <c r="V1428" s="2"/>
      <c r="W1428" s="2"/>
      <c r="X1428" s="2" t="s">
        <v>229</v>
      </c>
      <c r="Y1428" s="2"/>
      <c r="Z1428" s="2" t="s">
        <v>85</v>
      </c>
      <c r="AA1428" s="2"/>
      <c r="AB1428" s="2"/>
      <c r="AC1428" s="22"/>
      <c r="AD1428" s="22"/>
    </row>
    <row r="1429" spans="1:30" ht="12" customHeight="1">
      <c r="A1429" s="828" t="s">
        <v>18123</v>
      </c>
      <c r="B1429" s="22" t="s">
        <v>18210</v>
      </c>
      <c r="C1429" s="6" t="s">
        <v>3797</v>
      </c>
      <c r="D1429" s="5">
        <f t="shared" si="22"/>
        <v>41</v>
      </c>
      <c r="E1429" s="6" t="s">
        <v>5</v>
      </c>
      <c r="F1429" s="2" t="s">
        <v>6067</v>
      </c>
      <c r="G1429" s="12"/>
      <c r="H1429" s="6"/>
      <c r="I1429" s="19"/>
      <c r="J1429" s="8" t="s">
        <v>16118</v>
      </c>
      <c r="K1429" s="6"/>
      <c r="L1429" s="6" t="s">
        <v>6</v>
      </c>
      <c r="M1429" s="6"/>
      <c r="N1429" s="14"/>
      <c r="O1429" s="12" t="s">
        <v>2123</v>
      </c>
      <c r="P1429" s="15">
        <v>26034</v>
      </c>
      <c r="Q1429" s="12" t="s">
        <v>3798</v>
      </c>
      <c r="R1429" s="12"/>
      <c r="S1429" s="12"/>
      <c r="T1429" s="12"/>
      <c r="U1429" s="2"/>
      <c r="V1429" s="2"/>
      <c r="W1429" s="2"/>
      <c r="X1429" s="2"/>
      <c r="Y1429" s="2"/>
      <c r="Z1429" s="2"/>
      <c r="AA1429" s="2"/>
      <c r="AB1429" s="2"/>
      <c r="AC1429" s="22"/>
      <c r="AD1429" s="22"/>
    </row>
    <row r="1430" spans="1:30" ht="12" customHeight="1">
      <c r="A1430" s="828" t="s">
        <v>18124</v>
      </c>
      <c r="B1430" s="22" t="s">
        <v>18210</v>
      </c>
      <c r="C1430" s="2" t="s">
        <v>3799</v>
      </c>
      <c r="D1430" s="5">
        <f t="shared" si="22"/>
        <v>37</v>
      </c>
      <c r="E1430" s="2" t="s">
        <v>5</v>
      </c>
      <c r="F1430" s="2" t="s">
        <v>6067</v>
      </c>
      <c r="G1430" s="22"/>
      <c r="H1430" s="2"/>
      <c r="I1430" s="2"/>
      <c r="J1430" s="23" t="s">
        <v>16118</v>
      </c>
      <c r="K1430" s="2"/>
      <c r="L1430" s="2" t="s">
        <v>6</v>
      </c>
      <c r="M1430" s="826"/>
      <c r="N1430" s="25"/>
      <c r="O1430" s="22" t="s">
        <v>3539</v>
      </c>
      <c r="P1430" s="21">
        <v>27667</v>
      </c>
      <c r="Q1430" s="22" t="s">
        <v>3801</v>
      </c>
      <c r="R1430" s="22"/>
      <c r="S1430" s="22"/>
      <c r="T1430" s="22"/>
      <c r="U1430" s="2"/>
      <c r="V1430" s="2"/>
      <c r="W1430" s="2"/>
      <c r="X1430" s="2"/>
      <c r="Y1430" s="2"/>
      <c r="Z1430" s="2"/>
      <c r="AA1430" s="2"/>
      <c r="AB1430" s="2"/>
      <c r="AC1430" s="22"/>
      <c r="AD1430" s="22"/>
    </row>
    <row r="1431" spans="1:30" ht="12" customHeight="1">
      <c r="A1431" s="828" t="s">
        <v>18125</v>
      </c>
      <c r="B1431" s="22" t="s">
        <v>18210</v>
      </c>
      <c r="C1431" s="2" t="s">
        <v>5921</v>
      </c>
      <c r="D1431" s="5">
        <f t="shared" si="22"/>
        <v>53</v>
      </c>
      <c r="E1431" s="2" t="s">
        <v>5</v>
      </c>
      <c r="F1431" s="2" t="s">
        <v>6067</v>
      </c>
      <c r="G1431" s="22"/>
      <c r="H1431" s="2"/>
      <c r="I1431" s="2"/>
      <c r="J1431" s="8" t="s">
        <v>16118</v>
      </c>
      <c r="K1431" s="2"/>
      <c r="L1431" s="2" t="s">
        <v>6</v>
      </c>
      <c r="M1431" s="826"/>
      <c r="N1431" s="25"/>
      <c r="O1431" s="22" t="s">
        <v>3009</v>
      </c>
      <c r="P1431" s="21">
        <v>21604</v>
      </c>
      <c r="Q1431" s="22" t="s">
        <v>16484</v>
      </c>
      <c r="R1431" s="22"/>
      <c r="S1431" s="22"/>
      <c r="T1431" s="22"/>
      <c r="U1431" s="2"/>
      <c r="V1431" s="2"/>
      <c r="W1431" s="2"/>
      <c r="X1431" s="2"/>
      <c r="Y1431" s="2"/>
      <c r="Z1431" s="2"/>
      <c r="AA1431" s="2"/>
      <c r="AB1431" s="2"/>
      <c r="AC1431" s="22"/>
      <c r="AD1431" s="22"/>
    </row>
    <row r="1432" spans="1:30" ht="12" customHeight="1">
      <c r="A1432" s="828" t="s">
        <v>18126</v>
      </c>
      <c r="B1432" s="22" t="s">
        <v>18210</v>
      </c>
      <c r="C1432" s="2" t="s">
        <v>5922</v>
      </c>
      <c r="D1432" s="5">
        <f t="shared" si="22"/>
        <v>56</v>
      </c>
      <c r="E1432" s="2" t="s">
        <v>5</v>
      </c>
      <c r="F1432" s="2" t="s">
        <v>6067</v>
      </c>
      <c r="G1432" s="22"/>
      <c r="H1432" s="2"/>
      <c r="I1432" s="2"/>
      <c r="J1432" s="8" t="s">
        <v>16118</v>
      </c>
      <c r="K1432" s="2"/>
      <c r="L1432" s="2" t="s">
        <v>6</v>
      </c>
      <c r="M1432" s="826"/>
      <c r="N1432" s="25"/>
      <c r="O1432" s="22" t="s">
        <v>16382</v>
      </c>
      <c r="P1432" s="21">
        <v>20787</v>
      </c>
      <c r="Q1432" s="22" t="s">
        <v>5923</v>
      </c>
      <c r="R1432" s="22"/>
      <c r="S1432" s="22"/>
      <c r="T1432" s="22"/>
      <c r="U1432" s="2"/>
      <c r="V1432" s="2"/>
      <c r="W1432" s="2"/>
      <c r="X1432" s="2"/>
      <c r="Y1432" s="2"/>
      <c r="Z1432" s="2"/>
      <c r="AA1432" s="2"/>
      <c r="AB1432" s="2"/>
      <c r="AC1432" s="22"/>
      <c r="AD1432" s="22"/>
    </row>
    <row r="1433" spans="1:30" ht="12" customHeight="1">
      <c r="A1433" s="828" t="s">
        <v>18127</v>
      </c>
      <c r="B1433" s="22" t="s">
        <v>18210</v>
      </c>
      <c r="C1433" s="2" t="s">
        <v>5924</v>
      </c>
      <c r="D1433" s="5">
        <f t="shared" si="22"/>
        <v>54</v>
      </c>
      <c r="E1433" s="2" t="s">
        <v>5</v>
      </c>
      <c r="F1433" s="2" t="s">
        <v>6067</v>
      </c>
      <c r="G1433" s="22"/>
      <c r="H1433" s="2"/>
      <c r="I1433" s="2"/>
      <c r="J1433" s="23" t="s">
        <v>16118</v>
      </c>
      <c r="K1433" s="2"/>
      <c r="L1433" s="2" t="s">
        <v>6</v>
      </c>
      <c r="M1433" s="826"/>
      <c r="N1433" s="25"/>
      <c r="O1433" s="22" t="s">
        <v>3517</v>
      </c>
      <c r="P1433" s="21">
        <v>21354</v>
      </c>
      <c r="Q1433" s="22" t="s">
        <v>16485</v>
      </c>
      <c r="R1433" s="22"/>
      <c r="S1433" s="22"/>
      <c r="T1433" s="22"/>
      <c r="U1433" s="2"/>
      <c r="V1433" s="2"/>
      <c r="W1433" s="2"/>
      <c r="X1433" s="2"/>
      <c r="Y1433" s="2"/>
      <c r="Z1433" s="2"/>
      <c r="AA1433" s="2"/>
      <c r="AB1433" s="2"/>
      <c r="AC1433" s="22"/>
      <c r="AD1433" s="22"/>
    </row>
    <row r="1434" spans="1:30" ht="12" customHeight="1">
      <c r="A1434" s="828" t="s">
        <v>18128</v>
      </c>
      <c r="B1434" s="22" t="s">
        <v>18210</v>
      </c>
      <c r="C1434" s="2" t="s">
        <v>5806</v>
      </c>
      <c r="D1434" s="5">
        <f t="shared" si="22"/>
        <v>55</v>
      </c>
      <c r="E1434" s="2" t="s">
        <v>5</v>
      </c>
      <c r="F1434" s="2" t="s">
        <v>6067</v>
      </c>
      <c r="G1434" s="22"/>
      <c r="H1434" s="2"/>
      <c r="I1434" s="2"/>
      <c r="J1434" s="19" t="s">
        <v>16130</v>
      </c>
      <c r="K1434" s="2" t="s">
        <v>4997</v>
      </c>
      <c r="L1434" s="2" t="s">
        <v>6</v>
      </c>
      <c r="M1434" s="826"/>
      <c r="N1434" s="25">
        <v>2</v>
      </c>
      <c r="O1434" s="22" t="s">
        <v>188</v>
      </c>
      <c r="P1434" s="21">
        <v>21079</v>
      </c>
      <c r="Q1434" s="22" t="s">
        <v>5808</v>
      </c>
      <c r="R1434" s="22"/>
      <c r="S1434" s="22"/>
      <c r="T1434" s="22" t="s">
        <v>5809</v>
      </c>
      <c r="U1434" s="2"/>
      <c r="V1434" s="2"/>
      <c r="W1434" s="2" t="s">
        <v>75</v>
      </c>
      <c r="X1434" s="2"/>
      <c r="Y1434" s="2"/>
      <c r="Z1434" s="2" t="s">
        <v>85</v>
      </c>
      <c r="AA1434" s="2"/>
      <c r="AB1434" s="2"/>
      <c r="AC1434" s="22"/>
      <c r="AD1434" s="22"/>
    </row>
    <row r="1435" spans="1:30" ht="12" customHeight="1">
      <c r="A1435" s="828" t="s">
        <v>18129</v>
      </c>
      <c r="B1435" s="22" t="s">
        <v>18210</v>
      </c>
      <c r="C1435" s="2" t="s">
        <v>5288</v>
      </c>
      <c r="D1435" s="5">
        <f t="shared" si="22"/>
        <v>64</v>
      </c>
      <c r="E1435" s="2" t="s">
        <v>5</v>
      </c>
      <c r="F1435" s="2" t="s">
        <v>6067</v>
      </c>
      <c r="G1435" s="22"/>
      <c r="H1435" s="2"/>
      <c r="I1435" s="2"/>
      <c r="J1435" s="19" t="s">
        <v>16130</v>
      </c>
      <c r="K1435" s="2" t="s">
        <v>4993</v>
      </c>
      <c r="L1435" s="2" t="s">
        <v>14</v>
      </c>
      <c r="M1435" s="826">
        <v>5</v>
      </c>
      <c r="N1435" s="25">
        <v>5</v>
      </c>
      <c r="O1435" s="22" t="s">
        <v>1493</v>
      </c>
      <c r="P1435" s="21">
        <v>17721</v>
      </c>
      <c r="Q1435" s="22" t="s">
        <v>727</v>
      </c>
      <c r="R1435" s="22" t="s">
        <v>5292</v>
      </c>
      <c r="S1435" s="22"/>
      <c r="T1435" s="22" t="s">
        <v>3181</v>
      </c>
      <c r="U1435" s="2"/>
      <c r="V1435" s="2"/>
      <c r="W1435" s="2"/>
      <c r="X1435" s="2"/>
      <c r="Y1435" s="2"/>
      <c r="Z1435" s="2"/>
      <c r="AA1435" s="2" t="s">
        <v>104</v>
      </c>
      <c r="AB1435" s="2" t="s">
        <v>147</v>
      </c>
      <c r="AC1435" s="22"/>
      <c r="AD1435" s="22"/>
    </row>
    <row r="1436" spans="1:30" ht="12" customHeight="1">
      <c r="A1436" s="828" t="s">
        <v>18130</v>
      </c>
      <c r="B1436" s="22" t="s">
        <v>18210</v>
      </c>
      <c r="C1436" s="6" t="s">
        <v>6015</v>
      </c>
      <c r="D1436" s="5">
        <f t="shared" si="22"/>
        <v>62</v>
      </c>
      <c r="E1436" s="6" t="s">
        <v>5</v>
      </c>
      <c r="F1436" s="2" t="s">
        <v>6067</v>
      </c>
      <c r="G1436" s="19"/>
      <c r="H1436" s="6"/>
      <c r="I1436" s="19"/>
      <c r="J1436" s="19" t="s">
        <v>16130</v>
      </c>
      <c r="K1436" s="6" t="s">
        <v>4993</v>
      </c>
      <c r="L1436" s="6" t="s">
        <v>6</v>
      </c>
      <c r="M1436" s="6"/>
      <c r="N1436" s="14"/>
      <c r="O1436" s="12" t="s">
        <v>6016</v>
      </c>
      <c r="P1436" s="15">
        <v>18360</v>
      </c>
      <c r="Q1436" s="12" t="s">
        <v>6017</v>
      </c>
      <c r="R1436" s="12"/>
      <c r="S1436" s="12"/>
      <c r="T1436" s="19" t="s">
        <v>145</v>
      </c>
      <c r="U1436" s="2"/>
      <c r="V1436" s="2" t="s">
        <v>145</v>
      </c>
      <c r="W1436" s="2"/>
      <c r="X1436" s="2"/>
      <c r="Y1436" s="2"/>
      <c r="Z1436" s="2"/>
      <c r="AA1436" s="2"/>
      <c r="AB1436" s="2"/>
      <c r="AC1436" s="2"/>
      <c r="AD1436" s="22"/>
    </row>
    <row r="1437" spans="1:30" ht="12" customHeight="1">
      <c r="A1437" s="828" t="s">
        <v>18131</v>
      </c>
      <c r="B1437" s="22" t="s">
        <v>18210</v>
      </c>
      <c r="C1437" s="6" t="s">
        <v>15668</v>
      </c>
      <c r="D1437" s="5">
        <f t="shared" si="22"/>
        <v>46</v>
      </c>
      <c r="E1437" s="6" t="s">
        <v>5</v>
      </c>
      <c r="F1437" s="2" t="s">
        <v>6067</v>
      </c>
      <c r="G1437" s="19"/>
      <c r="H1437" s="6"/>
      <c r="I1437" s="19"/>
      <c r="J1437" s="8" t="s">
        <v>16130</v>
      </c>
      <c r="K1437" s="6" t="s">
        <v>4997</v>
      </c>
      <c r="L1437" s="6" t="s">
        <v>6</v>
      </c>
      <c r="M1437" s="6"/>
      <c r="N1437" s="14"/>
      <c r="O1437" s="12" t="s">
        <v>83</v>
      </c>
      <c r="P1437" s="15">
        <v>24424</v>
      </c>
      <c r="Q1437" s="12" t="s">
        <v>16523</v>
      </c>
      <c r="R1437" s="12"/>
      <c r="S1437" s="12"/>
      <c r="T1437" s="19"/>
      <c r="U1437" s="2"/>
      <c r="V1437" s="2"/>
      <c r="W1437" s="2"/>
      <c r="X1437" s="2"/>
      <c r="Y1437" s="2"/>
      <c r="Z1437" s="2"/>
      <c r="AA1437" s="2"/>
      <c r="AB1437" s="2"/>
      <c r="AC1437" s="2"/>
      <c r="AD1437" s="22"/>
    </row>
    <row r="1438" spans="1:30" ht="12" customHeight="1">
      <c r="A1438" s="828" t="s">
        <v>18132</v>
      </c>
      <c r="B1438" s="22" t="s">
        <v>18210</v>
      </c>
      <c r="C1438" s="2" t="s">
        <v>3802</v>
      </c>
      <c r="D1438" s="5">
        <f t="shared" si="22"/>
        <v>52</v>
      </c>
      <c r="E1438" s="2" t="s">
        <v>5</v>
      </c>
      <c r="F1438" s="2" t="s">
        <v>6067</v>
      </c>
      <c r="G1438" s="22" t="s">
        <v>3803</v>
      </c>
      <c r="H1438" s="2"/>
      <c r="I1438" s="2"/>
      <c r="J1438" s="8" t="s">
        <v>16117</v>
      </c>
      <c r="K1438" s="2"/>
      <c r="L1438" s="2" t="s">
        <v>25</v>
      </c>
      <c r="M1438" s="826">
        <v>1</v>
      </c>
      <c r="N1438" s="25">
        <v>3</v>
      </c>
      <c r="O1438" s="22" t="s">
        <v>3804</v>
      </c>
      <c r="P1438" s="21">
        <v>21909</v>
      </c>
      <c r="Q1438" s="22" t="s">
        <v>3805</v>
      </c>
      <c r="R1438" s="22" t="s">
        <v>374</v>
      </c>
      <c r="S1438" s="22"/>
      <c r="T1438" s="22" t="s">
        <v>229</v>
      </c>
      <c r="U1438" s="2"/>
      <c r="V1438" s="2"/>
      <c r="W1438" s="2"/>
      <c r="X1438" s="2" t="s">
        <v>229</v>
      </c>
      <c r="Y1438" s="2"/>
      <c r="Z1438" s="2"/>
      <c r="AA1438" s="2"/>
      <c r="AB1438" s="2"/>
      <c r="AC1438" s="22"/>
      <c r="AD1438" s="22"/>
    </row>
    <row r="1439" spans="1:30" ht="12" customHeight="1">
      <c r="A1439" s="828" t="s">
        <v>18133</v>
      </c>
      <c r="B1439" s="22" t="s">
        <v>18210</v>
      </c>
      <c r="C1439" s="2" t="s">
        <v>3806</v>
      </c>
      <c r="D1439" s="5">
        <f t="shared" si="22"/>
        <v>40</v>
      </c>
      <c r="E1439" s="2" t="s">
        <v>5</v>
      </c>
      <c r="F1439" s="2" t="s">
        <v>6067</v>
      </c>
      <c r="G1439" s="22"/>
      <c r="H1439" s="2"/>
      <c r="I1439" s="2"/>
      <c r="J1439" s="8" t="s">
        <v>16117</v>
      </c>
      <c r="K1439" s="2"/>
      <c r="L1439" s="2" t="s">
        <v>6</v>
      </c>
      <c r="M1439" s="826"/>
      <c r="N1439" s="25"/>
      <c r="O1439" s="22" t="s">
        <v>3607</v>
      </c>
      <c r="P1439" s="21">
        <v>26605</v>
      </c>
      <c r="Q1439" s="22" t="s">
        <v>1857</v>
      </c>
      <c r="R1439" s="22"/>
      <c r="S1439" s="22"/>
      <c r="T1439" s="22"/>
      <c r="U1439" s="2"/>
      <c r="V1439" s="2"/>
      <c r="W1439" s="2"/>
      <c r="X1439" s="2"/>
      <c r="Y1439" s="2"/>
      <c r="Z1439" s="2"/>
      <c r="AA1439" s="2"/>
      <c r="AB1439" s="2"/>
      <c r="AC1439" s="22"/>
      <c r="AD1439" s="22"/>
    </row>
    <row r="1440" spans="1:30" ht="12" customHeight="1">
      <c r="A1440" s="828" t="s">
        <v>18134</v>
      </c>
      <c r="B1440" s="22" t="s">
        <v>18210</v>
      </c>
      <c r="C1440" s="2" t="s">
        <v>5475</v>
      </c>
      <c r="D1440" s="5">
        <f t="shared" si="22"/>
        <v>62</v>
      </c>
      <c r="E1440" s="2" t="s">
        <v>5</v>
      </c>
      <c r="F1440" s="2" t="s">
        <v>6067</v>
      </c>
      <c r="G1440" s="22"/>
      <c r="H1440" s="2"/>
      <c r="I1440" s="2"/>
      <c r="J1440" s="8" t="s">
        <v>16121</v>
      </c>
      <c r="K1440" s="2"/>
      <c r="L1440" s="2" t="s">
        <v>25</v>
      </c>
      <c r="M1440" s="826">
        <v>1</v>
      </c>
      <c r="N1440" s="25">
        <v>1</v>
      </c>
      <c r="O1440" s="22" t="s">
        <v>2306</v>
      </c>
      <c r="P1440" s="21">
        <v>18318</v>
      </c>
      <c r="Q1440" s="22" t="s">
        <v>5477</v>
      </c>
      <c r="R1440" s="22"/>
      <c r="S1440" s="22"/>
      <c r="T1440" s="22" t="s">
        <v>69</v>
      </c>
      <c r="U1440" s="2"/>
      <c r="V1440" s="2"/>
      <c r="W1440" s="2"/>
      <c r="X1440" s="2"/>
      <c r="Y1440" s="2"/>
      <c r="Z1440" s="2"/>
      <c r="AA1440" s="2"/>
      <c r="AB1440" s="2"/>
      <c r="AC1440" s="22"/>
      <c r="AD1440" s="22" t="s">
        <v>69</v>
      </c>
    </row>
    <row r="1441" spans="1:30" ht="12" customHeight="1">
      <c r="A1441" s="828" t="s">
        <v>18135</v>
      </c>
      <c r="B1441" s="22" t="s">
        <v>18210</v>
      </c>
      <c r="C1441" s="2" t="s">
        <v>3809</v>
      </c>
      <c r="D1441" s="5">
        <f t="shared" si="22"/>
        <v>41</v>
      </c>
      <c r="E1441" s="2" t="s">
        <v>5</v>
      </c>
      <c r="F1441" s="2" t="s">
        <v>6067</v>
      </c>
      <c r="G1441" s="22"/>
      <c r="H1441" s="2"/>
      <c r="I1441" s="2"/>
      <c r="J1441" s="23" t="s">
        <v>16122</v>
      </c>
      <c r="K1441" s="2" t="s">
        <v>22</v>
      </c>
      <c r="L1441" s="2" t="s">
        <v>6</v>
      </c>
      <c r="M1441" s="826"/>
      <c r="N1441" s="25"/>
      <c r="O1441" s="22" t="s">
        <v>317</v>
      </c>
      <c r="P1441" s="21">
        <v>26241</v>
      </c>
      <c r="Q1441" s="22" t="s">
        <v>3812</v>
      </c>
      <c r="R1441" s="22"/>
      <c r="S1441" s="22"/>
      <c r="T1441" s="22"/>
      <c r="U1441" s="2"/>
      <c r="V1441" s="2"/>
      <c r="W1441" s="2"/>
      <c r="X1441" s="2"/>
      <c r="Y1441" s="2"/>
      <c r="Z1441" s="2"/>
      <c r="AA1441" s="2"/>
      <c r="AB1441" s="2"/>
      <c r="AC1441" s="2"/>
      <c r="AD1441" s="2"/>
    </row>
    <row r="1442" spans="1:30" ht="12" customHeight="1">
      <c r="A1442" s="828" t="s">
        <v>18136</v>
      </c>
      <c r="B1442" s="22" t="s">
        <v>18210</v>
      </c>
      <c r="C1442" s="2" t="s">
        <v>5141</v>
      </c>
      <c r="D1442" s="5">
        <f t="shared" si="22"/>
        <v>29</v>
      </c>
      <c r="E1442" s="2" t="s">
        <v>19</v>
      </c>
      <c r="F1442" s="2" t="s">
        <v>6067</v>
      </c>
      <c r="G1442" s="22"/>
      <c r="H1442" s="2"/>
      <c r="I1442" s="2"/>
      <c r="J1442" s="23" t="s">
        <v>16122</v>
      </c>
      <c r="K1442" s="2" t="s">
        <v>22</v>
      </c>
      <c r="L1442" s="2" t="s">
        <v>6</v>
      </c>
      <c r="M1442" s="826"/>
      <c r="N1442" s="25"/>
      <c r="O1442" s="22" t="s">
        <v>3539</v>
      </c>
      <c r="P1442" s="21">
        <v>30338</v>
      </c>
      <c r="Q1442" s="22" t="s">
        <v>1296</v>
      </c>
      <c r="R1442" s="22"/>
      <c r="S1442" s="22"/>
      <c r="T1442" s="22"/>
      <c r="U1442" s="2"/>
      <c r="V1442" s="2"/>
      <c r="W1442" s="2"/>
      <c r="X1442" s="2"/>
      <c r="Y1442" s="2"/>
      <c r="Z1442" s="2"/>
      <c r="AA1442" s="2"/>
      <c r="AB1442" s="2"/>
      <c r="AC1442" s="2"/>
      <c r="AD1442" s="2"/>
    </row>
    <row r="1443" spans="1:30" ht="12" customHeight="1">
      <c r="A1443" s="828" t="s">
        <v>18137</v>
      </c>
      <c r="B1443" s="22" t="s">
        <v>18210</v>
      </c>
      <c r="C1443" s="2" t="s">
        <v>4621</v>
      </c>
      <c r="D1443" s="5">
        <f t="shared" si="22"/>
        <v>54</v>
      </c>
      <c r="E1443" s="2" t="s">
        <v>5</v>
      </c>
      <c r="F1443" s="2" t="s">
        <v>6067</v>
      </c>
      <c r="G1443" s="22"/>
      <c r="H1443" s="2"/>
      <c r="I1443" s="2"/>
      <c r="J1443" s="23" t="s">
        <v>16122</v>
      </c>
      <c r="K1443" s="2" t="s">
        <v>22</v>
      </c>
      <c r="L1443" s="2" t="s">
        <v>6</v>
      </c>
      <c r="M1443" s="826"/>
      <c r="N1443" s="25"/>
      <c r="O1443" s="22" t="s">
        <v>2820</v>
      </c>
      <c r="P1443" s="21">
        <v>21444</v>
      </c>
      <c r="Q1443" s="22" t="s">
        <v>4623</v>
      </c>
      <c r="R1443" s="22"/>
      <c r="S1443" s="22"/>
      <c r="T1443" s="22"/>
      <c r="U1443" s="2"/>
      <c r="V1443" s="2"/>
      <c r="W1443" s="2"/>
      <c r="X1443" s="2"/>
      <c r="Y1443" s="2"/>
      <c r="Z1443" s="2"/>
      <c r="AA1443" s="2"/>
      <c r="AB1443" s="2"/>
      <c r="AC1443" s="2"/>
      <c r="AD1443" s="2"/>
    </row>
    <row r="1444" spans="1:30" ht="12" customHeight="1">
      <c r="A1444" s="828" t="s">
        <v>18138</v>
      </c>
      <c r="B1444" s="22" t="s">
        <v>18210</v>
      </c>
      <c r="C1444" s="2" t="s">
        <v>4627</v>
      </c>
      <c r="D1444" s="5">
        <f t="shared" si="22"/>
        <v>41</v>
      </c>
      <c r="E1444" s="2" t="s">
        <v>19</v>
      </c>
      <c r="F1444" s="2" t="s">
        <v>6067</v>
      </c>
      <c r="G1444" s="22"/>
      <c r="H1444" s="2"/>
      <c r="I1444" s="2"/>
      <c r="J1444" s="23" t="s">
        <v>16122</v>
      </c>
      <c r="K1444" s="2" t="s">
        <v>22</v>
      </c>
      <c r="L1444" s="2" t="s">
        <v>6</v>
      </c>
      <c r="M1444" s="826"/>
      <c r="N1444" s="25"/>
      <c r="O1444" s="22" t="s">
        <v>4628</v>
      </c>
      <c r="P1444" s="21">
        <v>25925</v>
      </c>
      <c r="Q1444" s="22" t="s">
        <v>4629</v>
      </c>
      <c r="R1444" s="22"/>
      <c r="S1444" s="22"/>
      <c r="T1444" s="22"/>
      <c r="U1444" s="2"/>
      <c r="V1444" s="2"/>
      <c r="W1444" s="2"/>
      <c r="X1444" s="2"/>
      <c r="Y1444" s="2"/>
      <c r="Z1444" s="2"/>
      <c r="AA1444" s="2"/>
      <c r="AB1444" s="2"/>
      <c r="AC1444" s="2"/>
      <c r="AD1444" s="2"/>
    </row>
    <row r="1445" spans="1:30" ht="12" customHeight="1">
      <c r="A1445" s="828" t="s">
        <v>18139</v>
      </c>
      <c r="B1445" s="22" t="s">
        <v>18210</v>
      </c>
      <c r="C1445" s="2" t="s">
        <v>4630</v>
      </c>
      <c r="D1445" s="5">
        <f t="shared" si="22"/>
        <v>49</v>
      </c>
      <c r="E1445" s="2" t="s">
        <v>19</v>
      </c>
      <c r="F1445" s="2" t="s">
        <v>6067</v>
      </c>
      <c r="G1445" s="22"/>
      <c r="H1445" s="2"/>
      <c r="I1445" s="2"/>
      <c r="J1445" s="23" t="s">
        <v>16122</v>
      </c>
      <c r="K1445" s="2" t="s">
        <v>22</v>
      </c>
      <c r="L1445" s="2" t="s">
        <v>6</v>
      </c>
      <c r="M1445" s="826"/>
      <c r="N1445" s="25"/>
      <c r="O1445" s="22" t="s">
        <v>4631</v>
      </c>
      <c r="P1445" s="21">
        <v>23060</v>
      </c>
      <c r="Q1445" s="22" t="s">
        <v>4614</v>
      </c>
      <c r="R1445" s="22"/>
      <c r="S1445" s="22"/>
      <c r="T1445" s="22"/>
      <c r="U1445" s="2"/>
      <c r="V1445" s="2"/>
      <c r="W1445" s="2"/>
      <c r="X1445" s="2"/>
      <c r="Y1445" s="2"/>
      <c r="Z1445" s="2"/>
      <c r="AA1445" s="2"/>
      <c r="AB1445" s="2"/>
      <c r="AC1445" s="2"/>
      <c r="AD1445" s="2"/>
    </row>
    <row r="1446" spans="1:30" ht="12" customHeight="1">
      <c r="A1446" s="828" t="s">
        <v>18140</v>
      </c>
      <c r="B1446" s="22" t="s">
        <v>18210</v>
      </c>
      <c r="C1446" s="2" t="s">
        <v>4624</v>
      </c>
      <c r="D1446" s="5">
        <f t="shared" si="22"/>
        <v>52</v>
      </c>
      <c r="E1446" s="2" t="s">
        <v>5</v>
      </c>
      <c r="F1446" s="2" t="s">
        <v>6067</v>
      </c>
      <c r="G1446" s="22"/>
      <c r="H1446" s="2"/>
      <c r="I1446" s="2"/>
      <c r="J1446" s="23" t="s">
        <v>16122</v>
      </c>
      <c r="K1446" s="2" t="s">
        <v>22</v>
      </c>
      <c r="L1446" s="2" t="s">
        <v>6</v>
      </c>
      <c r="M1446" s="826"/>
      <c r="N1446" s="25"/>
      <c r="O1446" s="22" t="s">
        <v>3596</v>
      </c>
      <c r="P1446" s="21">
        <v>21958</v>
      </c>
      <c r="Q1446" s="22" t="s">
        <v>4626</v>
      </c>
      <c r="R1446" s="22"/>
      <c r="S1446" s="22"/>
      <c r="T1446" s="22"/>
      <c r="U1446" s="2"/>
      <c r="V1446" s="2"/>
      <c r="W1446" s="2"/>
      <c r="X1446" s="2"/>
      <c r="Y1446" s="2"/>
      <c r="Z1446" s="2"/>
      <c r="AA1446" s="2"/>
      <c r="AB1446" s="2"/>
      <c r="AC1446" s="2"/>
      <c r="AD1446" s="2"/>
    </row>
    <row r="1447" spans="1:30" ht="12" customHeight="1">
      <c r="A1447" s="828" t="s">
        <v>18141</v>
      </c>
      <c r="B1447" s="22" t="s">
        <v>18211</v>
      </c>
      <c r="C1447" s="2" t="s">
        <v>4091</v>
      </c>
      <c r="D1447" s="5">
        <f t="shared" si="22"/>
        <v>42</v>
      </c>
      <c r="E1447" s="2" t="s">
        <v>5</v>
      </c>
      <c r="F1447" s="2" t="s">
        <v>6067</v>
      </c>
      <c r="G1447" s="22" t="s">
        <v>4092</v>
      </c>
      <c r="H1447" s="2"/>
      <c r="I1447" s="2"/>
      <c r="J1447" s="8" t="s">
        <v>16126</v>
      </c>
      <c r="K1447" s="2" t="s">
        <v>737</v>
      </c>
      <c r="L1447" s="2" t="s">
        <v>25</v>
      </c>
      <c r="M1447" s="826">
        <v>1</v>
      </c>
      <c r="N1447" s="25">
        <v>1</v>
      </c>
      <c r="O1447" s="22" t="s">
        <v>267</v>
      </c>
      <c r="P1447" s="21">
        <v>25754</v>
      </c>
      <c r="Q1447" s="22" t="s">
        <v>4094</v>
      </c>
      <c r="R1447" s="22"/>
      <c r="S1447" s="22"/>
      <c r="T1447" s="22" t="s">
        <v>145</v>
      </c>
      <c r="U1447" s="2"/>
      <c r="V1447" s="2" t="s">
        <v>145</v>
      </c>
      <c r="W1447" s="2"/>
      <c r="X1447" s="2"/>
      <c r="Y1447" s="2"/>
      <c r="Z1447" s="2"/>
      <c r="AA1447" s="2"/>
      <c r="AB1447" s="2"/>
      <c r="AC1447" s="2"/>
      <c r="AD1447" s="2"/>
    </row>
    <row r="1448" spans="1:30" ht="12" customHeight="1">
      <c r="A1448" s="828" t="s">
        <v>18142</v>
      </c>
      <c r="B1448" s="22" t="s">
        <v>18211</v>
      </c>
      <c r="C1448" s="2" t="s">
        <v>5935</v>
      </c>
      <c r="D1448" s="5">
        <f t="shared" si="22"/>
        <v>64</v>
      </c>
      <c r="E1448" s="2" t="s">
        <v>5</v>
      </c>
      <c r="F1448" s="2" t="s">
        <v>6067</v>
      </c>
      <c r="G1448" s="22" t="s">
        <v>5939</v>
      </c>
      <c r="H1448" s="2"/>
      <c r="I1448" s="2"/>
      <c r="J1448" s="23" t="s">
        <v>16120</v>
      </c>
      <c r="K1448" s="2" t="s">
        <v>48</v>
      </c>
      <c r="L1448" s="2" t="s">
        <v>25</v>
      </c>
      <c r="M1448" s="826">
        <v>4</v>
      </c>
      <c r="N1448" s="25">
        <v>4</v>
      </c>
      <c r="O1448" s="22" t="s">
        <v>188</v>
      </c>
      <c r="P1448" s="21">
        <v>17753</v>
      </c>
      <c r="Q1448" s="22" t="s">
        <v>5936</v>
      </c>
      <c r="R1448" s="22" t="s">
        <v>5937</v>
      </c>
      <c r="S1448" s="22"/>
      <c r="T1448" s="22" t="s">
        <v>145</v>
      </c>
      <c r="U1448" s="2"/>
      <c r="V1448" s="2" t="s">
        <v>145</v>
      </c>
      <c r="W1448" s="2"/>
      <c r="X1448" s="2"/>
      <c r="Y1448" s="2"/>
      <c r="Z1448" s="2"/>
      <c r="AA1448" s="2"/>
      <c r="AB1448" s="2"/>
      <c r="AC1448" s="2"/>
      <c r="AD1448" s="2"/>
    </row>
    <row r="1449" spans="1:30" ht="12" customHeight="1">
      <c r="A1449" s="828" t="s">
        <v>18143</v>
      </c>
      <c r="B1449" s="22" t="s">
        <v>18211</v>
      </c>
      <c r="C1449" s="2" t="s">
        <v>5261</v>
      </c>
      <c r="D1449" s="5">
        <f t="shared" si="22"/>
        <v>70</v>
      </c>
      <c r="E1449" s="2" t="s">
        <v>5</v>
      </c>
      <c r="F1449" s="2" t="s">
        <v>6067</v>
      </c>
      <c r="G1449" s="22"/>
      <c r="H1449" s="2"/>
      <c r="I1449" s="2"/>
      <c r="J1449" s="8" t="s">
        <v>16120</v>
      </c>
      <c r="K1449" s="2" t="s">
        <v>48</v>
      </c>
      <c r="L1449" s="2" t="s">
        <v>6</v>
      </c>
      <c r="M1449" s="826"/>
      <c r="N1449" s="25">
        <v>6</v>
      </c>
      <c r="O1449" s="22" t="s">
        <v>4999</v>
      </c>
      <c r="P1449" s="21">
        <v>15443</v>
      </c>
      <c r="Q1449" s="22" t="s">
        <v>5264</v>
      </c>
      <c r="R1449" s="22" t="s">
        <v>5267</v>
      </c>
      <c r="S1449" s="22"/>
      <c r="T1449" s="22" t="s">
        <v>375</v>
      </c>
      <c r="U1449" s="2"/>
      <c r="V1449" s="2" t="s">
        <v>145</v>
      </c>
      <c r="W1449" s="2"/>
      <c r="X1449" s="2" t="s">
        <v>229</v>
      </c>
      <c r="Y1449" s="2"/>
      <c r="Z1449" s="2"/>
      <c r="AA1449" s="2"/>
      <c r="AB1449" s="2"/>
      <c r="AC1449" s="2"/>
      <c r="AD1449" s="2"/>
    </row>
    <row r="1450" spans="1:30" ht="12" customHeight="1">
      <c r="A1450" s="828" t="s">
        <v>18144</v>
      </c>
      <c r="B1450" s="22" t="s">
        <v>18211</v>
      </c>
      <c r="C1450" s="2" t="s">
        <v>6106</v>
      </c>
      <c r="D1450" s="5">
        <f t="shared" si="22"/>
        <v>65</v>
      </c>
      <c r="E1450" s="2" t="s">
        <v>5</v>
      </c>
      <c r="F1450" s="2" t="s">
        <v>6067</v>
      </c>
      <c r="G1450" s="22"/>
      <c r="H1450" s="2"/>
      <c r="I1450" s="2"/>
      <c r="J1450" s="4" t="s">
        <v>16120</v>
      </c>
      <c r="K1450" s="2" t="s">
        <v>5247</v>
      </c>
      <c r="L1450" s="2" t="s">
        <v>6</v>
      </c>
      <c r="M1450" s="826"/>
      <c r="N1450" s="25"/>
      <c r="O1450" s="22" t="s">
        <v>16538</v>
      </c>
      <c r="P1450" s="21">
        <v>17207</v>
      </c>
      <c r="Q1450" s="22" t="s">
        <v>16537</v>
      </c>
      <c r="R1450" s="22"/>
      <c r="S1450" s="22"/>
      <c r="T1450" s="22" t="s">
        <v>145</v>
      </c>
      <c r="U1450" s="2"/>
      <c r="V1450" s="2" t="s">
        <v>145</v>
      </c>
      <c r="W1450" s="2"/>
      <c r="X1450" s="2"/>
      <c r="Y1450" s="2"/>
      <c r="Z1450" s="2"/>
      <c r="AA1450" s="2"/>
      <c r="AB1450" s="2"/>
      <c r="AC1450" s="2"/>
      <c r="AD1450" s="2"/>
    </row>
    <row r="1451" spans="1:30" ht="12" customHeight="1">
      <c r="A1451" s="828" t="s">
        <v>18145</v>
      </c>
      <c r="B1451" s="22" t="s">
        <v>18211</v>
      </c>
      <c r="C1451" s="2" t="s">
        <v>6107</v>
      </c>
      <c r="D1451" s="5">
        <f t="shared" si="22"/>
        <v>39</v>
      </c>
      <c r="E1451" s="2" t="s">
        <v>5</v>
      </c>
      <c r="F1451" s="2" t="s">
        <v>6067</v>
      </c>
      <c r="G1451" s="22"/>
      <c r="H1451" s="2"/>
      <c r="I1451" s="2"/>
      <c r="J1451" s="4" t="s">
        <v>16120</v>
      </c>
      <c r="K1451" s="2" t="s">
        <v>5247</v>
      </c>
      <c r="L1451" s="2" t="s">
        <v>6</v>
      </c>
      <c r="M1451" s="826"/>
      <c r="N1451" s="25"/>
      <c r="O1451" s="22" t="s">
        <v>16539</v>
      </c>
      <c r="P1451" s="21">
        <v>26774</v>
      </c>
      <c r="Q1451" s="22" t="s">
        <v>16540</v>
      </c>
      <c r="R1451" s="22"/>
      <c r="S1451" s="22"/>
      <c r="T1451" s="22"/>
      <c r="U1451" s="2"/>
      <c r="V1451" s="2"/>
      <c r="W1451" s="2"/>
      <c r="X1451" s="2"/>
      <c r="Y1451" s="2"/>
      <c r="Z1451" s="2"/>
      <c r="AA1451" s="2"/>
      <c r="AB1451" s="2"/>
      <c r="AC1451" s="2"/>
      <c r="AD1451" s="2"/>
    </row>
    <row r="1452" spans="1:30" ht="12" customHeight="1">
      <c r="A1452" s="828" t="s">
        <v>18146</v>
      </c>
      <c r="B1452" s="22" t="s">
        <v>18211</v>
      </c>
      <c r="C1452" s="2" t="s">
        <v>6108</v>
      </c>
      <c r="D1452" s="5">
        <f t="shared" si="22"/>
        <v>47</v>
      </c>
      <c r="E1452" s="2" t="s">
        <v>5</v>
      </c>
      <c r="F1452" s="2" t="s">
        <v>6067</v>
      </c>
      <c r="G1452" s="22"/>
      <c r="H1452" s="2"/>
      <c r="I1452" s="2"/>
      <c r="J1452" s="8" t="s">
        <v>16120</v>
      </c>
      <c r="K1452" s="2" t="s">
        <v>5247</v>
      </c>
      <c r="L1452" s="2" t="s">
        <v>6</v>
      </c>
      <c r="M1452" s="826"/>
      <c r="N1452" s="25"/>
      <c r="O1452" s="22" t="s">
        <v>695</v>
      </c>
      <c r="P1452" s="21">
        <v>24077</v>
      </c>
      <c r="Q1452" s="22" t="s">
        <v>16541</v>
      </c>
      <c r="R1452" s="22"/>
      <c r="S1452" s="22"/>
      <c r="T1452" s="22"/>
      <c r="U1452" s="2"/>
      <c r="V1452" s="2"/>
      <c r="W1452" s="2"/>
      <c r="X1452" s="2"/>
      <c r="Y1452" s="2"/>
      <c r="Z1452" s="2"/>
      <c r="AA1452" s="2"/>
      <c r="AB1452" s="2"/>
      <c r="AC1452" s="2"/>
      <c r="AD1452" s="2"/>
    </row>
    <row r="1453" spans="1:30" ht="12" customHeight="1">
      <c r="A1453" s="828" t="s">
        <v>18147</v>
      </c>
      <c r="B1453" s="22" t="s">
        <v>18211</v>
      </c>
      <c r="C1453" s="2" t="s">
        <v>6109</v>
      </c>
      <c r="D1453" s="5">
        <f t="shared" si="22"/>
        <v>54</v>
      </c>
      <c r="E1453" s="2" t="s">
        <v>5</v>
      </c>
      <c r="F1453" s="2" t="s">
        <v>6067</v>
      </c>
      <c r="G1453" s="22"/>
      <c r="H1453" s="2"/>
      <c r="I1453" s="2"/>
      <c r="J1453" s="23" t="s">
        <v>16120</v>
      </c>
      <c r="K1453" s="2" t="s">
        <v>5247</v>
      </c>
      <c r="L1453" s="2" t="s">
        <v>6</v>
      </c>
      <c r="M1453" s="826"/>
      <c r="N1453" s="25"/>
      <c r="O1453" s="22" t="s">
        <v>16542</v>
      </c>
      <c r="P1453" s="21">
        <v>21380</v>
      </c>
      <c r="Q1453" s="22" t="s">
        <v>6110</v>
      </c>
      <c r="R1453" s="22"/>
      <c r="S1453" s="22"/>
      <c r="T1453" s="22"/>
      <c r="U1453" s="2"/>
      <c r="V1453" s="2"/>
      <c r="W1453" s="2"/>
      <c r="X1453" s="2"/>
      <c r="Y1453" s="2"/>
      <c r="Z1453" s="2"/>
      <c r="AA1453" s="2"/>
      <c r="AB1453" s="2"/>
      <c r="AC1453" s="2"/>
      <c r="AD1453" s="2"/>
    </row>
    <row r="1454" spans="1:30" ht="12" customHeight="1">
      <c r="A1454" s="828" t="s">
        <v>18148</v>
      </c>
      <c r="B1454" s="22" t="s">
        <v>18211</v>
      </c>
      <c r="C1454" s="2" t="s">
        <v>6112</v>
      </c>
      <c r="D1454" s="5">
        <f t="shared" si="22"/>
        <v>50</v>
      </c>
      <c r="E1454" s="2" t="s">
        <v>5</v>
      </c>
      <c r="F1454" s="2" t="s">
        <v>6067</v>
      </c>
      <c r="G1454" s="22"/>
      <c r="H1454" s="2"/>
      <c r="I1454" s="2"/>
      <c r="J1454" s="8" t="s">
        <v>16120</v>
      </c>
      <c r="K1454" s="2" t="s">
        <v>5247</v>
      </c>
      <c r="L1454" s="2" t="s">
        <v>6</v>
      </c>
      <c r="M1454" s="826"/>
      <c r="N1454" s="25"/>
      <c r="O1454" s="22" t="s">
        <v>83</v>
      </c>
      <c r="P1454" s="21">
        <v>22972</v>
      </c>
      <c r="Q1454" s="22" t="s">
        <v>16543</v>
      </c>
      <c r="R1454" s="22"/>
      <c r="S1454" s="22"/>
      <c r="T1454" s="22" t="s">
        <v>16545</v>
      </c>
      <c r="U1454" s="2"/>
      <c r="V1454" s="2"/>
      <c r="W1454" s="2"/>
      <c r="X1454" s="2"/>
      <c r="Y1454" s="2" t="s">
        <v>16545</v>
      </c>
      <c r="Z1454" s="2"/>
      <c r="AA1454" s="2"/>
      <c r="AB1454" s="2"/>
      <c r="AC1454" s="2"/>
      <c r="AD1454" s="2"/>
    </row>
    <row r="1455" spans="1:30" ht="12" customHeight="1">
      <c r="A1455" s="828" t="s">
        <v>18149</v>
      </c>
      <c r="B1455" s="22" t="s">
        <v>18211</v>
      </c>
      <c r="C1455" s="2" t="s">
        <v>6113</v>
      </c>
      <c r="D1455" s="5">
        <f t="shared" si="22"/>
        <v>39</v>
      </c>
      <c r="E1455" s="2" t="s">
        <v>5</v>
      </c>
      <c r="F1455" s="2" t="s">
        <v>6067</v>
      </c>
      <c r="G1455" s="22"/>
      <c r="H1455" s="2"/>
      <c r="I1455" s="2"/>
      <c r="J1455" s="4" t="s">
        <v>16120</v>
      </c>
      <c r="K1455" s="2" t="s">
        <v>5247</v>
      </c>
      <c r="L1455" s="2" t="s">
        <v>6</v>
      </c>
      <c r="M1455" s="826"/>
      <c r="N1455" s="25"/>
      <c r="O1455" s="22" t="s">
        <v>597</v>
      </c>
      <c r="P1455" s="21">
        <v>26960</v>
      </c>
      <c r="Q1455" s="22" t="s">
        <v>16546</v>
      </c>
      <c r="R1455" s="22"/>
      <c r="S1455" s="22"/>
      <c r="T1455" s="22"/>
      <c r="U1455" s="2"/>
      <c r="V1455" s="2"/>
      <c r="W1455" s="2"/>
      <c r="X1455" s="2"/>
      <c r="Y1455" s="2"/>
      <c r="Z1455" s="2"/>
      <c r="AA1455" s="2"/>
      <c r="AB1455" s="2"/>
      <c r="AC1455" s="2"/>
      <c r="AD1455" s="2"/>
    </row>
    <row r="1456" spans="1:30" ht="12" customHeight="1">
      <c r="A1456" s="828" t="s">
        <v>18150</v>
      </c>
      <c r="B1456" s="22" t="s">
        <v>18211</v>
      </c>
      <c r="C1456" s="2" t="s">
        <v>4101</v>
      </c>
      <c r="D1456" s="5">
        <f t="shared" si="22"/>
        <v>60</v>
      </c>
      <c r="E1456" s="2" t="s">
        <v>5</v>
      </c>
      <c r="F1456" s="2" t="s">
        <v>6067</v>
      </c>
      <c r="G1456" s="22" t="s">
        <v>4102</v>
      </c>
      <c r="H1456" s="2"/>
      <c r="I1456" s="2"/>
      <c r="J1456" s="8" t="s">
        <v>16118</v>
      </c>
      <c r="K1456" s="2"/>
      <c r="L1456" s="2" t="s">
        <v>25</v>
      </c>
      <c r="M1456" s="826">
        <v>6</v>
      </c>
      <c r="N1456" s="25">
        <v>6</v>
      </c>
      <c r="O1456" s="22" t="s">
        <v>4103</v>
      </c>
      <c r="P1456" s="21">
        <v>19029</v>
      </c>
      <c r="Q1456" s="22" t="s">
        <v>3798</v>
      </c>
      <c r="R1456" s="22" t="s">
        <v>4105</v>
      </c>
      <c r="S1456" s="22"/>
      <c r="T1456" s="22"/>
      <c r="U1456" s="2"/>
      <c r="V1456" s="2"/>
      <c r="W1456" s="2"/>
      <c r="X1456" s="2"/>
      <c r="Y1456" s="2"/>
      <c r="Z1456" s="2"/>
      <c r="AA1456" s="2"/>
      <c r="AB1456" s="2"/>
      <c r="AC1456" s="2"/>
      <c r="AD1456" s="2"/>
    </row>
    <row r="1457" spans="1:30" ht="12" customHeight="1">
      <c r="A1457" s="828" t="s">
        <v>18151</v>
      </c>
      <c r="B1457" s="22" t="s">
        <v>18211</v>
      </c>
      <c r="C1457" s="6" t="s">
        <v>4106</v>
      </c>
      <c r="D1457" s="5">
        <f t="shared" si="22"/>
        <v>61</v>
      </c>
      <c r="E1457" s="6" t="s">
        <v>5</v>
      </c>
      <c r="F1457" s="2" t="s">
        <v>6067</v>
      </c>
      <c r="G1457" s="12"/>
      <c r="H1457" s="6"/>
      <c r="I1457" s="19"/>
      <c r="J1457" s="23" t="s">
        <v>16118</v>
      </c>
      <c r="K1457" s="6"/>
      <c r="L1457" s="6" t="s">
        <v>14</v>
      </c>
      <c r="M1457" s="6">
        <v>5</v>
      </c>
      <c r="N1457" s="14">
        <v>5</v>
      </c>
      <c r="O1457" s="12" t="s">
        <v>2123</v>
      </c>
      <c r="P1457" s="15">
        <v>18721</v>
      </c>
      <c r="Q1457" s="12" t="s">
        <v>4107</v>
      </c>
      <c r="R1457" s="12" t="s">
        <v>4108</v>
      </c>
      <c r="S1457" s="12"/>
      <c r="T1457" s="12"/>
      <c r="U1457" s="2"/>
      <c r="V1457" s="2"/>
      <c r="W1457" s="2"/>
      <c r="X1457" s="2"/>
      <c r="Y1457" s="2"/>
      <c r="Z1457" s="2"/>
      <c r="AA1457" s="2"/>
      <c r="AB1457" s="2"/>
      <c r="AC1457" s="2"/>
      <c r="AD1457" s="2"/>
    </row>
    <row r="1458" spans="1:30" ht="12" customHeight="1">
      <c r="A1458" s="828" t="s">
        <v>18152</v>
      </c>
      <c r="B1458" s="22" t="s">
        <v>18211</v>
      </c>
      <c r="C1458" s="6" t="s">
        <v>16547</v>
      </c>
      <c r="D1458" s="5">
        <f t="shared" si="22"/>
        <v>37</v>
      </c>
      <c r="E1458" s="6" t="s">
        <v>5</v>
      </c>
      <c r="F1458" s="2" t="s">
        <v>6067</v>
      </c>
      <c r="G1458" s="12"/>
      <c r="H1458" s="6"/>
      <c r="I1458" s="19"/>
      <c r="J1458" s="8" t="s">
        <v>16118</v>
      </c>
      <c r="K1458" s="6"/>
      <c r="L1458" s="6" t="s">
        <v>6</v>
      </c>
      <c r="M1458" s="6"/>
      <c r="N1458" s="14"/>
      <c r="O1458" s="12" t="s">
        <v>3996</v>
      </c>
      <c r="P1458" s="15">
        <v>27587</v>
      </c>
      <c r="Q1458" s="12" t="s">
        <v>16548</v>
      </c>
      <c r="R1458" s="12"/>
      <c r="S1458" s="12"/>
      <c r="T1458" s="12"/>
      <c r="U1458" s="2"/>
      <c r="V1458" s="2"/>
      <c r="W1458" s="2"/>
      <c r="X1458" s="2"/>
      <c r="Y1458" s="2"/>
      <c r="Z1458" s="2"/>
      <c r="AA1458" s="2"/>
      <c r="AB1458" s="2"/>
      <c r="AC1458" s="2"/>
      <c r="AD1458" s="2"/>
    </row>
    <row r="1459" spans="1:30" ht="12" customHeight="1">
      <c r="A1459" s="828" t="s">
        <v>18153</v>
      </c>
      <c r="B1459" s="22" t="s">
        <v>18211</v>
      </c>
      <c r="C1459" s="6" t="s">
        <v>5927</v>
      </c>
      <c r="D1459" s="5">
        <f t="shared" si="22"/>
        <v>45</v>
      </c>
      <c r="E1459" s="6" t="s">
        <v>5</v>
      </c>
      <c r="F1459" s="2" t="s">
        <v>6067</v>
      </c>
      <c r="G1459" s="12"/>
      <c r="H1459" s="6"/>
      <c r="I1459" s="19"/>
      <c r="J1459" s="8" t="s">
        <v>16118</v>
      </c>
      <c r="K1459" s="6"/>
      <c r="L1459" s="6" t="s">
        <v>6</v>
      </c>
      <c r="M1459" s="6"/>
      <c r="N1459" s="14"/>
      <c r="O1459" s="12" t="s">
        <v>2123</v>
      </c>
      <c r="P1459" s="15">
        <v>24607</v>
      </c>
      <c r="Q1459" s="12" t="s">
        <v>16549</v>
      </c>
      <c r="R1459" s="12"/>
      <c r="S1459" s="12"/>
      <c r="T1459" s="12" t="s">
        <v>16551</v>
      </c>
      <c r="U1459" s="2" t="s">
        <v>16551</v>
      </c>
      <c r="V1459" s="2"/>
      <c r="W1459" s="2"/>
      <c r="X1459" s="2"/>
      <c r="Y1459" s="2"/>
      <c r="Z1459" s="2"/>
      <c r="AA1459" s="2"/>
      <c r="AB1459" s="2"/>
      <c r="AC1459" s="2"/>
      <c r="AD1459" s="2"/>
    </row>
    <row r="1460" spans="1:30" ht="12" customHeight="1">
      <c r="A1460" s="828" t="s">
        <v>18154</v>
      </c>
      <c r="B1460" s="22" t="s">
        <v>18211</v>
      </c>
      <c r="C1460" s="6" t="s">
        <v>15946</v>
      </c>
      <c r="D1460" s="5">
        <f t="shared" si="22"/>
        <v>60</v>
      </c>
      <c r="E1460" s="6" t="s">
        <v>5</v>
      </c>
      <c r="F1460" s="2" t="s">
        <v>6067</v>
      </c>
      <c r="G1460" s="12"/>
      <c r="H1460" s="6"/>
      <c r="I1460" s="19"/>
      <c r="J1460" s="23" t="s">
        <v>16130</v>
      </c>
      <c r="K1460" s="6" t="s">
        <v>4993</v>
      </c>
      <c r="L1460" s="6" t="s">
        <v>6</v>
      </c>
      <c r="M1460" s="6"/>
      <c r="N1460" s="14"/>
      <c r="O1460" s="12" t="s">
        <v>255</v>
      </c>
      <c r="P1460" s="15">
        <v>19211</v>
      </c>
      <c r="Q1460" s="12" t="s">
        <v>15672</v>
      </c>
      <c r="R1460" s="12"/>
      <c r="S1460" s="12"/>
      <c r="T1460" s="12"/>
      <c r="U1460" s="2"/>
      <c r="V1460" s="2"/>
      <c r="W1460" s="2"/>
      <c r="X1460" s="2"/>
      <c r="Y1460" s="2"/>
      <c r="Z1460" s="2"/>
      <c r="AA1460" s="2"/>
      <c r="AB1460" s="2"/>
      <c r="AC1460" s="2"/>
      <c r="AD1460" s="2"/>
    </row>
    <row r="1461" spans="1:30" ht="12" customHeight="1">
      <c r="A1461" s="828" t="s">
        <v>18155</v>
      </c>
      <c r="B1461" s="22" t="s">
        <v>18211</v>
      </c>
      <c r="C1461" s="6" t="s">
        <v>15945</v>
      </c>
      <c r="D1461" s="5">
        <f t="shared" si="22"/>
        <v>45</v>
      </c>
      <c r="E1461" s="6" t="s">
        <v>5</v>
      </c>
      <c r="F1461" s="2" t="s">
        <v>6067</v>
      </c>
      <c r="G1461" s="12"/>
      <c r="H1461" s="6"/>
      <c r="I1461" s="19"/>
      <c r="J1461" s="19" t="s">
        <v>16130</v>
      </c>
      <c r="K1461" s="6" t="s">
        <v>4993</v>
      </c>
      <c r="L1461" s="6" t="s">
        <v>6</v>
      </c>
      <c r="M1461" s="6"/>
      <c r="N1461" s="14"/>
      <c r="O1461" s="12" t="s">
        <v>5841</v>
      </c>
      <c r="P1461" s="15">
        <v>24630</v>
      </c>
      <c r="Q1461" s="12" t="s">
        <v>16284</v>
      </c>
      <c r="R1461" s="12"/>
      <c r="S1461" s="12"/>
      <c r="T1461" s="12"/>
      <c r="U1461" s="2"/>
      <c r="V1461" s="2"/>
      <c r="W1461" s="2"/>
      <c r="X1461" s="2"/>
      <c r="Y1461" s="2"/>
      <c r="Z1461" s="2"/>
      <c r="AA1461" s="2"/>
      <c r="AB1461" s="2"/>
      <c r="AC1461" s="2"/>
      <c r="AD1461" s="2"/>
    </row>
    <row r="1462" spans="1:30" ht="12" customHeight="1">
      <c r="A1462" s="828" t="s">
        <v>18156</v>
      </c>
      <c r="B1462" s="22" t="s">
        <v>18211</v>
      </c>
      <c r="C1462" s="6" t="s">
        <v>15647</v>
      </c>
      <c r="D1462" s="5">
        <f t="shared" si="22"/>
        <v>47</v>
      </c>
      <c r="E1462" s="6" t="s">
        <v>5</v>
      </c>
      <c r="F1462" s="2" t="s">
        <v>6067</v>
      </c>
      <c r="G1462" s="12"/>
      <c r="H1462" s="6"/>
      <c r="I1462" s="19"/>
      <c r="J1462" s="8" t="s">
        <v>16128</v>
      </c>
      <c r="K1462" s="6"/>
      <c r="L1462" s="6" t="s">
        <v>6</v>
      </c>
      <c r="M1462" s="6"/>
      <c r="N1462" s="14"/>
      <c r="O1462" s="12" t="s">
        <v>2551</v>
      </c>
      <c r="P1462" s="15">
        <v>23984</v>
      </c>
      <c r="Q1462" s="12" t="s">
        <v>15649</v>
      </c>
      <c r="R1462" s="12"/>
      <c r="S1462" s="12"/>
      <c r="T1462" s="12" t="s">
        <v>145</v>
      </c>
      <c r="U1462" s="2"/>
      <c r="V1462" s="2" t="s">
        <v>145</v>
      </c>
      <c r="W1462" s="2"/>
      <c r="X1462" s="2"/>
      <c r="Y1462" s="2"/>
      <c r="Z1462" s="2"/>
      <c r="AA1462" s="2"/>
      <c r="AB1462" s="2"/>
      <c r="AC1462" s="2"/>
      <c r="AD1462" s="2"/>
    </row>
    <row r="1463" spans="1:30" ht="12" customHeight="1">
      <c r="A1463" s="828" t="s">
        <v>18157</v>
      </c>
      <c r="B1463" s="22" t="s">
        <v>18211</v>
      </c>
      <c r="C1463" s="2" t="s">
        <v>4109</v>
      </c>
      <c r="D1463" s="5">
        <f t="shared" si="22"/>
        <v>37</v>
      </c>
      <c r="E1463" s="2" t="s">
        <v>19</v>
      </c>
      <c r="F1463" s="2" t="s">
        <v>6067</v>
      </c>
      <c r="G1463" s="22"/>
      <c r="H1463" s="2"/>
      <c r="I1463" s="2"/>
      <c r="J1463" s="23" t="s">
        <v>16117</v>
      </c>
      <c r="K1463" s="2"/>
      <c r="L1463" s="2" t="s">
        <v>6</v>
      </c>
      <c r="M1463" s="826"/>
      <c r="N1463" s="25"/>
      <c r="O1463" s="22" t="s">
        <v>4110</v>
      </c>
      <c r="P1463" s="21">
        <v>27656</v>
      </c>
      <c r="Q1463" s="22" t="s">
        <v>4111</v>
      </c>
      <c r="R1463" s="22"/>
      <c r="S1463" s="22"/>
      <c r="T1463" s="22"/>
      <c r="U1463" s="2"/>
      <c r="V1463" s="2"/>
      <c r="W1463" s="2"/>
      <c r="X1463" s="2"/>
      <c r="Y1463" s="2"/>
      <c r="Z1463" s="2"/>
      <c r="AA1463" s="2"/>
      <c r="AB1463" s="2"/>
      <c r="AC1463" s="2"/>
      <c r="AD1463" s="2"/>
    </row>
    <row r="1464" spans="1:30" ht="12" customHeight="1">
      <c r="A1464" s="828" t="s">
        <v>18158</v>
      </c>
      <c r="B1464" s="22" t="s">
        <v>18211</v>
      </c>
      <c r="C1464" s="2" t="s">
        <v>5495</v>
      </c>
      <c r="D1464" s="5">
        <f t="shared" si="22"/>
        <v>34</v>
      </c>
      <c r="E1464" s="2" t="s">
        <v>5</v>
      </c>
      <c r="F1464" s="2" t="s">
        <v>6067</v>
      </c>
      <c r="G1464" s="22"/>
      <c r="H1464" s="2"/>
      <c r="I1464" s="2"/>
      <c r="J1464" s="8" t="s">
        <v>16117</v>
      </c>
      <c r="K1464" s="2"/>
      <c r="L1464" s="2" t="s">
        <v>6</v>
      </c>
      <c r="M1464" s="826"/>
      <c r="N1464" s="25"/>
      <c r="O1464" s="22" t="s">
        <v>3306</v>
      </c>
      <c r="P1464" s="21">
        <v>28549</v>
      </c>
      <c r="Q1464" s="22" t="s">
        <v>5497</v>
      </c>
      <c r="R1464" s="22"/>
      <c r="S1464" s="22"/>
      <c r="T1464" s="22"/>
      <c r="U1464" s="2"/>
      <c r="V1464" s="2"/>
      <c r="W1464" s="2"/>
      <c r="X1464" s="2"/>
      <c r="Y1464" s="2"/>
      <c r="Z1464" s="2"/>
      <c r="AA1464" s="2"/>
      <c r="AB1464" s="2"/>
      <c r="AC1464" s="2"/>
      <c r="AD1464" s="2"/>
    </row>
    <row r="1465" spans="1:30" ht="12" customHeight="1">
      <c r="A1465" s="828" t="s">
        <v>18159</v>
      </c>
      <c r="B1465" s="22" t="s">
        <v>18211</v>
      </c>
      <c r="C1465" s="6" t="s">
        <v>4112</v>
      </c>
      <c r="D1465" s="5">
        <f t="shared" si="22"/>
        <v>64</v>
      </c>
      <c r="E1465" s="6" t="s">
        <v>5</v>
      </c>
      <c r="F1465" s="2" t="s">
        <v>6067</v>
      </c>
      <c r="G1465" s="12"/>
      <c r="H1465" s="6"/>
      <c r="I1465" s="19"/>
      <c r="J1465" s="23" t="s">
        <v>16121</v>
      </c>
      <c r="K1465" s="6"/>
      <c r="L1465" s="6" t="s">
        <v>14</v>
      </c>
      <c r="M1465" s="6">
        <v>1</v>
      </c>
      <c r="N1465" s="14">
        <v>1</v>
      </c>
      <c r="O1465" s="12" t="s">
        <v>4113</v>
      </c>
      <c r="P1465" s="15">
        <v>17732</v>
      </c>
      <c r="Q1465" s="12" t="s">
        <v>4115</v>
      </c>
      <c r="R1465" s="12"/>
      <c r="S1465" s="12"/>
      <c r="T1465" s="22" t="s">
        <v>69</v>
      </c>
      <c r="U1465" s="2"/>
      <c r="V1465" s="2"/>
      <c r="W1465" s="2"/>
      <c r="X1465" s="2"/>
      <c r="Y1465" s="2"/>
      <c r="Z1465" s="2"/>
      <c r="AA1465" s="2"/>
      <c r="AB1465" s="2"/>
      <c r="AC1465" s="2"/>
      <c r="AD1465" s="2" t="s">
        <v>69</v>
      </c>
    </row>
    <row r="1466" spans="1:30" ht="12" customHeight="1">
      <c r="A1466" s="828" t="s">
        <v>18160</v>
      </c>
      <c r="B1466" s="22" t="s">
        <v>18211</v>
      </c>
      <c r="C1466" s="6" t="s">
        <v>5143</v>
      </c>
      <c r="D1466" s="5">
        <f t="shared" si="22"/>
        <v>46</v>
      </c>
      <c r="E1466" s="6" t="s">
        <v>5</v>
      </c>
      <c r="F1466" s="2" t="s">
        <v>6067</v>
      </c>
      <c r="G1466" s="12"/>
      <c r="H1466" s="6"/>
      <c r="I1466" s="19"/>
      <c r="J1466" s="23" t="s">
        <v>16122</v>
      </c>
      <c r="K1466" s="6" t="s">
        <v>22</v>
      </c>
      <c r="L1466" s="6" t="s">
        <v>6</v>
      </c>
      <c r="M1466" s="6"/>
      <c r="N1466" s="14"/>
      <c r="O1466" s="12" t="s">
        <v>188</v>
      </c>
      <c r="P1466" s="15">
        <v>24405</v>
      </c>
      <c r="Q1466" s="12" t="s">
        <v>5144</v>
      </c>
      <c r="R1466" s="12"/>
      <c r="S1466" s="12"/>
      <c r="T1466" s="22"/>
      <c r="U1466" s="2"/>
      <c r="V1466" s="2"/>
      <c r="W1466" s="2"/>
      <c r="X1466" s="2"/>
      <c r="Y1466" s="2"/>
      <c r="Z1466" s="2"/>
      <c r="AA1466" s="2"/>
      <c r="AB1466" s="2"/>
      <c r="AC1466" s="2"/>
      <c r="AD1466" s="2"/>
    </row>
    <row r="1467" spans="1:30" ht="12" customHeight="1">
      <c r="A1467" s="828" t="s">
        <v>18161</v>
      </c>
      <c r="B1467" s="22" t="s">
        <v>18211</v>
      </c>
      <c r="C1467" s="6" t="s">
        <v>4632</v>
      </c>
      <c r="D1467" s="5">
        <f t="shared" si="22"/>
        <v>51</v>
      </c>
      <c r="E1467" s="6" t="s">
        <v>19</v>
      </c>
      <c r="F1467" s="2" t="s">
        <v>6067</v>
      </c>
      <c r="G1467" s="12"/>
      <c r="H1467" s="6"/>
      <c r="I1467" s="19"/>
      <c r="J1467" s="23" t="s">
        <v>16122</v>
      </c>
      <c r="K1467" s="6" t="s">
        <v>22</v>
      </c>
      <c r="L1467" s="6" t="s">
        <v>6</v>
      </c>
      <c r="M1467" s="6"/>
      <c r="N1467" s="14"/>
      <c r="O1467" s="12" t="s">
        <v>3544</v>
      </c>
      <c r="P1467" s="15">
        <v>22442</v>
      </c>
      <c r="Q1467" s="12" t="s">
        <v>4634</v>
      </c>
      <c r="R1467" s="12"/>
      <c r="S1467" s="12"/>
      <c r="T1467" s="22"/>
      <c r="U1467" s="2"/>
      <c r="V1467" s="2"/>
      <c r="W1467" s="2"/>
      <c r="X1467" s="2"/>
      <c r="Y1467" s="2"/>
      <c r="Z1467" s="2"/>
      <c r="AA1467" s="2"/>
      <c r="AB1467" s="2"/>
      <c r="AC1467" s="2"/>
      <c r="AD1467" s="2"/>
    </row>
    <row r="1468" spans="1:30" ht="12" customHeight="1">
      <c r="A1468" s="828" t="s">
        <v>18162</v>
      </c>
      <c r="B1468" s="22" t="s">
        <v>18211</v>
      </c>
      <c r="C1468" s="6" t="s">
        <v>5145</v>
      </c>
      <c r="D1468" s="5">
        <f t="shared" si="22"/>
        <v>64</v>
      </c>
      <c r="E1468" s="6" t="s">
        <v>5</v>
      </c>
      <c r="F1468" s="2" t="s">
        <v>6067</v>
      </c>
      <c r="G1468" s="12"/>
      <c r="H1468" s="6"/>
      <c r="I1468" s="19"/>
      <c r="J1468" s="23" t="s">
        <v>16122</v>
      </c>
      <c r="K1468" s="6" t="s">
        <v>22</v>
      </c>
      <c r="L1468" s="6" t="s">
        <v>6</v>
      </c>
      <c r="M1468" s="6"/>
      <c r="N1468" s="14"/>
      <c r="O1468" s="12" t="s">
        <v>3235</v>
      </c>
      <c r="P1468" s="15">
        <v>17658</v>
      </c>
      <c r="Q1468" s="12" t="s">
        <v>5146</v>
      </c>
      <c r="R1468" s="12"/>
      <c r="S1468" s="12"/>
      <c r="T1468" s="22"/>
      <c r="U1468" s="2"/>
      <c r="V1468" s="2"/>
      <c r="W1468" s="2"/>
      <c r="X1468" s="2"/>
      <c r="Y1468" s="2"/>
      <c r="Z1468" s="2"/>
      <c r="AA1468" s="2"/>
      <c r="AB1468" s="2"/>
      <c r="AC1468" s="2"/>
      <c r="AD1468" s="2"/>
    </row>
    <row r="1469" spans="1:30" ht="12" customHeight="1">
      <c r="A1469" s="828" t="s">
        <v>18163</v>
      </c>
      <c r="B1469" s="22" t="s">
        <v>18212</v>
      </c>
      <c r="C1469" s="2" t="s">
        <v>5257</v>
      </c>
      <c r="D1469" s="5">
        <f t="shared" si="22"/>
        <v>71</v>
      </c>
      <c r="E1469" s="2" t="s">
        <v>5</v>
      </c>
      <c r="F1469" s="2" t="s">
        <v>6067</v>
      </c>
      <c r="G1469" s="22"/>
      <c r="H1469" s="2"/>
      <c r="I1469" s="2"/>
      <c r="J1469" s="23" t="s">
        <v>16120</v>
      </c>
      <c r="K1469" s="2" t="s">
        <v>5247</v>
      </c>
      <c r="L1469" s="2" t="s">
        <v>14</v>
      </c>
      <c r="M1469" s="826">
        <v>1</v>
      </c>
      <c r="N1469" s="25">
        <v>1</v>
      </c>
      <c r="O1469" s="22" t="s">
        <v>5258</v>
      </c>
      <c r="P1469" s="21">
        <v>15255</v>
      </c>
      <c r="Q1469" s="22" t="s">
        <v>5259</v>
      </c>
      <c r="R1469" s="22"/>
      <c r="S1469" s="22"/>
      <c r="T1469" s="22"/>
      <c r="U1469" s="2"/>
      <c r="V1469" s="2"/>
      <c r="W1469" s="2"/>
      <c r="X1469" s="2"/>
      <c r="Y1469" s="2"/>
      <c r="Z1469" s="2"/>
      <c r="AA1469" s="2"/>
      <c r="AB1469" s="2"/>
      <c r="AC1469" s="22"/>
      <c r="AD1469" s="22"/>
    </row>
    <row r="1470" spans="1:30" ht="12" customHeight="1">
      <c r="A1470" s="828" t="s">
        <v>18164</v>
      </c>
      <c r="B1470" s="22" t="s">
        <v>18212</v>
      </c>
      <c r="C1470" s="6" t="s">
        <v>6114</v>
      </c>
      <c r="D1470" s="5">
        <f t="shared" si="22"/>
        <v>57</v>
      </c>
      <c r="E1470" s="6" t="s">
        <v>5</v>
      </c>
      <c r="F1470" s="2" t="s">
        <v>6067</v>
      </c>
      <c r="G1470" s="12"/>
      <c r="H1470" s="6"/>
      <c r="I1470" s="19"/>
      <c r="J1470" s="8" t="s">
        <v>16120</v>
      </c>
      <c r="K1470" s="6" t="s">
        <v>5247</v>
      </c>
      <c r="L1470" s="6" t="s">
        <v>6</v>
      </c>
      <c r="M1470" s="6"/>
      <c r="N1470" s="14"/>
      <c r="O1470" s="12" t="s">
        <v>16569</v>
      </c>
      <c r="P1470" s="15">
        <v>20210</v>
      </c>
      <c r="Q1470" s="12" t="s">
        <v>16570</v>
      </c>
      <c r="R1470" s="12"/>
      <c r="S1470" s="12"/>
      <c r="T1470" s="22"/>
      <c r="U1470" s="2"/>
      <c r="V1470" s="2"/>
      <c r="W1470" s="2"/>
      <c r="X1470" s="2"/>
      <c r="Y1470" s="2"/>
      <c r="Z1470" s="2"/>
      <c r="AA1470" s="2"/>
      <c r="AB1470" s="2"/>
      <c r="AC1470" s="2"/>
      <c r="AD1470" s="2"/>
    </row>
    <row r="1471" spans="1:30" ht="12" customHeight="1">
      <c r="A1471" s="828" t="s">
        <v>18165</v>
      </c>
      <c r="B1471" s="22" t="s">
        <v>18212</v>
      </c>
      <c r="C1471" s="6" t="s">
        <v>15259</v>
      </c>
      <c r="D1471" s="5">
        <f t="shared" si="22"/>
        <v>45</v>
      </c>
      <c r="E1471" s="6" t="s">
        <v>5</v>
      </c>
      <c r="F1471" s="2" t="s">
        <v>6067</v>
      </c>
      <c r="G1471" s="12"/>
      <c r="H1471" s="6"/>
      <c r="I1471" s="19"/>
      <c r="J1471" s="4" t="s">
        <v>16120</v>
      </c>
      <c r="K1471" s="6" t="s">
        <v>5247</v>
      </c>
      <c r="L1471" s="6" t="s">
        <v>6</v>
      </c>
      <c r="M1471" s="6"/>
      <c r="N1471" s="14"/>
      <c r="O1471" s="12" t="s">
        <v>16571</v>
      </c>
      <c r="P1471" s="15">
        <v>24723</v>
      </c>
      <c r="Q1471" s="12" t="s">
        <v>16572</v>
      </c>
      <c r="R1471" s="12"/>
      <c r="S1471" s="12"/>
      <c r="T1471" s="22"/>
      <c r="U1471" s="2"/>
      <c r="V1471" s="2"/>
      <c r="W1471" s="2"/>
      <c r="X1471" s="2"/>
      <c r="Y1471" s="2"/>
      <c r="Z1471" s="2"/>
      <c r="AA1471" s="2"/>
      <c r="AB1471" s="2"/>
      <c r="AC1471" s="2"/>
      <c r="AD1471" s="2"/>
    </row>
    <row r="1472" spans="1:30" ht="12" customHeight="1">
      <c r="A1472" s="828" t="s">
        <v>18166</v>
      </c>
      <c r="B1472" s="22" t="s">
        <v>18212</v>
      </c>
      <c r="C1472" s="6" t="s">
        <v>15260</v>
      </c>
      <c r="D1472" s="5">
        <f t="shared" si="22"/>
        <v>61</v>
      </c>
      <c r="E1472" s="6" t="s">
        <v>5</v>
      </c>
      <c r="F1472" s="2" t="s">
        <v>6067</v>
      </c>
      <c r="G1472" s="12"/>
      <c r="H1472" s="6"/>
      <c r="I1472" s="19"/>
      <c r="J1472" s="4" t="s">
        <v>16120</v>
      </c>
      <c r="K1472" s="6" t="s">
        <v>5247</v>
      </c>
      <c r="L1472" s="6" t="s">
        <v>6</v>
      </c>
      <c r="M1472" s="6"/>
      <c r="N1472" s="14"/>
      <c r="O1472" s="12" t="s">
        <v>16573</v>
      </c>
      <c r="P1472" s="15">
        <v>18631</v>
      </c>
      <c r="Q1472" s="12" t="s">
        <v>16574</v>
      </c>
      <c r="R1472" s="12"/>
      <c r="S1472" s="12"/>
      <c r="T1472" s="22"/>
      <c r="U1472" s="2"/>
      <c r="V1472" s="2"/>
      <c r="W1472" s="2"/>
      <c r="X1472" s="2"/>
      <c r="Y1472" s="2"/>
      <c r="Z1472" s="2"/>
      <c r="AA1472" s="2"/>
      <c r="AB1472" s="2"/>
      <c r="AC1472" s="2"/>
      <c r="AD1472" s="2"/>
    </row>
    <row r="1473" spans="1:30" ht="12" customHeight="1">
      <c r="A1473" s="828" t="s">
        <v>18167</v>
      </c>
      <c r="B1473" s="22" t="s">
        <v>18212</v>
      </c>
      <c r="C1473" s="6" t="s">
        <v>15261</v>
      </c>
      <c r="D1473" s="5">
        <f t="shared" ref="D1473:D1504" si="23">DATEDIF(P1473,$P$1505,"Y")</f>
        <v>50</v>
      </c>
      <c r="E1473" s="6" t="s">
        <v>19</v>
      </c>
      <c r="F1473" s="2" t="s">
        <v>6067</v>
      </c>
      <c r="G1473" s="12"/>
      <c r="H1473" s="6"/>
      <c r="I1473" s="19"/>
      <c r="J1473" s="8" t="s">
        <v>16120</v>
      </c>
      <c r="K1473" s="6" t="s">
        <v>5247</v>
      </c>
      <c r="L1473" s="6" t="s">
        <v>6</v>
      </c>
      <c r="M1473" s="6"/>
      <c r="N1473" s="14"/>
      <c r="O1473" s="12" t="s">
        <v>6115</v>
      </c>
      <c r="P1473" s="15">
        <v>22687</v>
      </c>
      <c r="Q1473" s="12" t="s">
        <v>6116</v>
      </c>
      <c r="R1473" s="12"/>
      <c r="S1473" s="12"/>
      <c r="T1473" s="22"/>
      <c r="U1473" s="2"/>
      <c r="V1473" s="2"/>
      <c r="W1473" s="2"/>
      <c r="X1473" s="2"/>
      <c r="Y1473" s="2"/>
      <c r="Z1473" s="2"/>
      <c r="AA1473" s="2"/>
      <c r="AB1473" s="2"/>
      <c r="AC1473" s="2"/>
      <c r="AD1473" s="2"/>
    </row>
    <row r="1474" spans="1:30" ht="12" customHeight="1">
      <c r="A1474" s="828" t="s">
        <v>18168</v>
      </c>
      <c r="B1474" s="22" t="s">
        <v>18212</v>
      </c>
      <c r="C1474" s="6" t="s">
        <v>15640</v>
      </c>
      <c r="D1474" s="5">
        <f t="shared" si="23"/>
        <v>49</v>
      </c>
      <c r="E1474" s="6" t="s">
        <v>19</v>
      </c>
      <c r="F1474" s="2" t="s">
        <v>6067</v>
      </c>
      <c r="G1474" s="12"/>
      <c r="H1474" s="6"/>
      <c r="I1474" s="19"/>
      <c r="J1474" s="8" t="s">
        <v>16125</v>
      </c>
      <c r="K1474" s="6"/>
      <c r="L1474" s="6" t="s">
        <v>6</v>
      </c>
      <c r="M1474" s="6"/>
      <c r="N1474" s="14"/>
      <c r="O1474" s="12" t="s">
        <v>16576</v>
      </c>
      <c r="P1474" s="15">
        <v>23350</v>
      </c>
      <c r="Q1474" s="12" t="s">
        <v>16577</v>
      </c>
      <c r="R1474" s="12"/>
      <c r="S1474" s="12"/>
      <c r="T1474" s="22"/>
      <c r="U1474" s="2"/>
      <c r="V1474" s="2"/>
      <c r="W1474" s="2"/>
      <c r="X1474" s="2"/>
      <c r="Y1474" s="2"/>
      <c r="Z1474" s="2"/>
      <c r="AA1474" s="2"/>
      <c r="AB1474" s="2"/>
      <c r="AC1474" s="2"/>
      <c r="AD1474" s="2"/>
    </row>
    <row r="1475" spans="1:30" ht="12" customHeight="1">
      <c r="A1475" s="828" t="s">
        <v>18169</v>
      </c>
      <c r="B1475" s="22" t="s">
        <v>18212</v>
      </c>
      <c r="C1475" s="2" t="s">
        <v>4285</v>
      </c>
      <c r="D1475" s="5">
        <f t="shared" si="23"/>
        <v>61</v>
      </c>
      <c r="E1475" s="2" t="s">
        <v>5</v>
      </c>
      <c r="F1475" s="2" t="s">
        <v>6067</v>
      </c>
      <c r="G1475" s="22" t="s">
        <v>4286</v>
      </c>
      <c r="H1475" s="2"/>
      <c r="I1475" s="2"/>
      <c r="J1475" s="23" t="s">
        <v>16118</v>
      </c>
      <c r="K1475" s="2"/>
      <c r="L1475" s="2" t="s">
        <v>25</v>
      </c>
      <c r="M1475" s="826">
        <v>5</v>
      </c>
      <c r="N1475" s="25">
        <v>5</v>
      </c>
      <c r="O1475" s="22" t="s">
        <v>1884</v>
      </c>
      <c r="P1475" s="21">
        <v>18872</v>
      </c>
      <c r="Q1475" s="22" t="s">
        <v>4287</v>
      </c>
      <c r="R1475" s="22" t="s">
        <v>4288</v>
      </c>
      <c r="S1475" s="22"/>
      <c r="T1475" s="22"/>
      <c r="U1475" s="2"/>
      <c r="V1475" s="2"/>
      <c r="W1475" s="2"/>
      <c r="X1475" s="2"/>
      <c r="Y1475" s="2"/>
      <c r="Z1475" s="2"/>
      <c r="AA1475" s="2"/>
      <c r="AB1475" s="2"/>
      <c r="AC1475" s="2"/>
      <c r="AD1475" s="2"/>
    </row>
    <row r="1476" spans="1:30" ht="12" customHeight="1">
      <c r="A1476" s="828" t="s">
        <v>18170</v>
      </c>
      <c r="B1476" s="22" t="s">
        <v>18212</v>
      </c>
      <c r="C1476" s="2" t="s">
        <v>5929</v>
      </c>
      <c r="D1476" s="5">
        <f t="shared" si="23"/>
        <v>46</v>
      </c>
      <c r="E1476" s="2" t="s">
        <v>5</v>
      </c>
      <c r="F1476" s="2" t="s">
        <v>6067</v>
      </c>
      <c r="G1476" s="22"/>
      <c r="H1476" s="2"/>
      <c r="I1476" s="2"/>
      <c r="J1476" s="8" t="s">
        <v>16118</v>
      </c>
      <c r="K1476" s="2"/>
      <c r="L1476" s="2" t="s">
        <v>6</v>
      </c>
      <c r="M1476" s="826"/>
      <c r="N1476" s="25"/>
      <c r="O1476" s="22" t="s">
        <v>2123</v>
      </c>
      <c r="P1476" s="21">
        <v>24176</v>
      </c>
      <c r="Q1476" s="22" t="s">
        <v>16578</v>
      </c>
      <c r="R1476" s="22"/>
      <c r="S1476" s="22"/>
      <c r="T1476" s="22"/>
      <c r="U1476" s="2"/>
      <c r="V1476" s="2"/>
      <c r="W1476" s="2"/>
      <c r="X1476" s="2"/>
      <c r="Y1476" s="2"/>
      <c r="Z1476" s="2"/>
      <c r="AA1476" s="2"/>
      <c r="AB1476" s="2"/>
      <c r="AC1476" s="2"/>
      <c r="AD1476" s="2"/>
    </row>
    <row r="1477" spans="1:30" ht="12" customHeight="1">
      <c r="A1477" s="828" t="s">
        <v>18171</v>
      </c>
      <c r="B1477" s="22" t="s">
        <v>18212</v>
      </c>
      <c r="C1477" s="2" t="s">
        <v>15674</v>
      </c>
      <c r="D1477" s="5">
        <f t="shared" si="23"/>
        <v>38</v>
      </c>
      <c r="E1477" s="2" t="s">
        <v>5</v>
      </c>
      <c r="F1477" s="2" t="s">
        <v>6067</v>
      </c>
      <c r="G1477" s="22"/>
      <c r="H1477" s="2"/>
      <c r="I1477" s="2"/>
      <c r="J1477" s="19" t="s">
        <v>16130</v>
      </c>
      <c r="K1477" s="2" t="s">
        <v>4993</v>
      </c>
      <c r="L1477" s="2" t="s">
        <v>6</v>
      </c>
      <c r="M1477" s="826"/>
      <c r="N1477" s="25"/>
      <c r="O1477" s="22" t="s">
        <v>16585</v>
      </c>
      <c r="P1477" s="21">
        <v>27058</v>
      </c>
      <c r="Q1477" s="22" t="s">
        <v>16284</v>
      </c>
      <c r="R1477" s="22"/>
      <c r="S1477" s="22"/>
      <c r="T1477" s="22"/>
      <c r="U1477" s="2"/>
      <c r="V1477" s="2"/>
      <c r="W1477" s="2"/>
      <c r="X1477" s="2"/>
      <c r="Y1477" s="2"/>
      <c r="Z1477" s="2"/>
      <c r="AA1477" s="2"/>
      <c r="AB1477" s="2"/>
      <c r="AC1477" s="2"/>
      <c r="AD1477" s="2"/>
    </row>
    <row r="1478" spans="1:30" ht="12" customHeight="1">
      <c r="A1478" s="828" t="s">
        <v>18172</v>
      </c>
      <c r="B1478" s="22" t="s">
        <v>18212</v>
      </c>
      <c r="C1478" s="2" t="s">
        <v>15652</v>
      </c>
      <c r="D1478" s="5">
        <f t="shared" si="23"/>
        <v>30</v>
      </c>
      <c r="E1478" s="2" t="s">
        <v>5</v>
      </c>
      <c r="F1478" s="2" t="s">
        <v>6067</v>
      </c>
      <c r="G1478" s="22"/>
      <c r="H1478" s="2"/>
      <c r="I1478" s="2"/>
      <c r="J1478" s="23" t="s">
        <v>16128</v>
      </c>
      <c r="K1478" s="2"/>
      <c r="L1478" s="2" t="s">
        <v>6</v>
      </c>
      <c r="M1478" s="826"/>
      <c r="N1478" s="25"/>
      <c r="O1478" s="22" t="s">
        <v>188</v>
      </c>
      <c r="P1478" s="21">
        <v>30097</v>
      </c>
      <c r="Q1478" s="22" t="s">
        <v>15653</v>
      </c>
      <c r="R1478" s="22"/>
      <c r="S1478" s="22"/>
      <c r="T1478" s="22"/>
      <c r="U1478" s="2"/>
      <c r="V1478" s="2"/>
      <c r="W1478" s="2"/>
      <c r="X1478" s="2"/>
      <c r="Y1478" s="2"/>
      <c r="Z1478" s="2"/>
      <c r="AA1478" s="2"/>
      <c r="AB1478" s="2"/>
      <c r="AC1478" s="2"/>
      <c r="AD1478" s="2"/>
    </row>
    <row r="1479" spans="1:30" ht="12" customHeight="1">
      <c r="A1479" s="828" t="s">
        <v>18173</v>
      </c>
      <c r="B1479" s="22" t="s">
        <v>18212</v>
      </c>
      <c r="C1479" s="2" t="s">
        <v>4289</v>
      </c>
      <c r="D1479" s="5">
        <f t="shared" si="23"/>
        <v>60</v>
      </c>
      <c r="E1479" s="2" t="s">
        <v>5</v>
      </c>
      <c r="F1479" s="2" t="s">
        <v>6067</v>
      </c>
      <c r="G1479" s="22"/>
      <c r="H1479" s="2"/>
      <c r="I1479" s="2"/>
      <c r="J1479" s="23" t="s">
        <v>16117</v>
      </c>
      <c r="K1479" s="2"/>
      <c r="L1479" s="2" t="s">
        <v>6</v>
      </c>
      <c r="M1479" s="826"/>
      <c r="N1479" s="25"/>
      <c r="O1479" s="22" t="s">
        <v>4290</v>
      </c>
      <c r="P1479" s="21">
        <v>19034</v>
      </c>
      <c r="Q1479" s="22" t="s">
        <v>4291</v>
      </c>
      <c r="R1479" s="22"/>
      <c r="S1479" s="22"/>
      <c r="T1479" s="22" t="s">
        <v>148</v>
      </c>
      <c r="U1479" s="2"/>
      <c r="V1479" s="2" t="s">
        <v>145</v>
      </c>
      <c r="W1479" s="2"/>
      <c r="X1479" s="2"/>
      <c r="Y1479" s="2"/>
      <c r="Z1479" s="2"/>
      <c r="AA1479" s="2"/>
      <c r="AB1479" s="2"/>
      <c r="AC1479" s="2"/>
      <c r="AD1479" s="2" t="s">
        <v>69</v>
      </c>
    </row>
    <row r="1480" spans="1:30" ht="12" customHeight="1">
      <c r="A1480" s="828" t="s">
        <v>18174</v>
      </c>
      <c r="B1480" s="22" t="s">
        <v>18212</v>
      </c>
      <c r="C1480" s="2" t="s">
        <v>5147</v>
      </c>
      <c r="D1480" s="5">
        <f t="shared" si="23"/>
        <v>45</v>
      </c>
      <c r="E1480" s="2" t="s">
        <v>5</v>
      </c>
      <c r="F1480" s="2" t="s">
        <v>6067</v>
      </c>
      <c r="G1480" s="22"/>
      <c r="H1480" s="2"/>
      <c r="I1480" s="2"/>
      <c r="J1480" s="23" t="s">
        <v>16122</v>
      </c>
      <c r="K1480" s="2" t="s">
        <v>22</v>
      </c>
      <c r="L1480" s="2" t="s">
        <v>6</v>
      </c>
      <c r="M1480" s="826"/>
      <c r="N1480" s="25"/>
      <c r="O1480" s="22" t="s">
        <v>31</v>
      </c>
      <c r="P1480" s="21">
        <v>24477</v>
      </c>
      <c r="Q1480" s="22" t="s">
        <v>5148</v>
      </c>
      <c r="R1480" s="22"/>
      <c r="S1480" s="22"/>
      <c r="T1480" s="22"/>
      <c r="U1480" s="2"/>
      <c r="V1480" s="2"/>
      <c r="W1480" s="2"/>
      <c r="X1480" s="2"/>
      <c r="Y1480" s="2"/>
      <c r="Z1480" s="2"/>
      <c r="AA1480" s="2"/>
      <c r="AB1480" s="2"/>
      <c r="AC1480" s="2"/>
      <c r="AD1480" s="2"/>
    </row>
    <row r="1481" spans="1:30" ht="12" customHeight="1">
      <c r="A1481" s="828" t="s">
        <v>18175</v>
      </c>
      <c r="B1481" s="22" t="s">
        <v>18212</v>
      </c>
      <c r="C1481" s="2" t="s">
        <v>5149</v>
      </c>
      <c r="D1481" s="5">
        <f t="shared" si="23"/>
        <v>58</v>
      </c>
      <c r="E1481" s="2" t="s">
        <v>19</v>
      </c>
      <c r="F1481" s="2" t="s">
        <v>6067</v>
      </c>
      <c r="G1481" s="22"/>
      <c r="H1481" s="2"/>
      <c r="I1481" s="2"/>
      <c r="J1481" s="23" t="s">
        <v>16122</v>
      </c>
      <c r="K1481" s="2" t="s">
        <v>22</v>
      </c>
      <c r="L1481" s="2" t="s">
        <v>6</v>
      </c>
      <c r="M1481" s="826"/>
      <c r="N1481" s="25"/>
      <c r="O1481" s="22" t="s">
        <v>5150</v>
      </c>
      <c r="P1481" s="21">
        <v>19819</v>
      </c>
      <c r="Q1481" s="22" t="s">
        <v>5151</v>
      </c>
      <c r="R1481" s="22"/>
      <c r="S1481" s="22"/>
      <c r="T1481" s="22"/>
      <c r="U1481" s="2"/>
      <c r="V1481" s="2"/>
      <c r="W1481" s="2"/>
      <c r="X1481" s="2"/>
      <c r="Y1481" s="2"/>
      <c r="Z1481" s="2"/>
      <c r="AA1481" s="2"/>
      <c r="AB1481" s="2"/>
      <c r="AC1481" s="2"/>
      <c r="AD1481" s="2"/>
    </row>
    <row r="1482" spans="1:30" ht="12" customHeight="1">
      <c r="A1482" s="828" t="s">
        <v>18176</v>
      </c>
      <c r="B1482" s="3" t="s">
        <v>18213</v>
      </c>
      <c r="C1482" s="1" t="s">
        <v>15949</v>
      </c>
      <c r="D1482" s="5">
        <f t="shared" si="23"/>
        <v>67</v>
      </c>
      <c r="E1482" s="2" t="s">
        <v>19</v>
      </c>
      <c r="F1482" s="6" t="s">
        <v>6067</v>
      </c>
      <c r="G1482" s="3"/>
      <c r="H1482" s="1"/>
      <c r="I1482" s="1"/>
      <c r="J1482" s="23" t="s">
        <v>16120</v>
      </c>
      <c r="K1482" s="1" t="s">
        <v>65</v>
      </c>
      <c r="L1482" s="1" t="s">
        <v>14</v>
      </c>
      <c r="M1482" s="825">
        <v>3</v>
      </c>
      <c r="N1482" s="17">
        <v>3</v>
      </c>
      <c r="O1482" s="3" t="s">
        <v>188</v>
      </c>
      <c r="P1482" s="20">
        <v>16712</v>
      </c>
      <c r="Q1482" s="3" t="s">
        <v>15950</v>
      </c>
      <c r="R1482" s="3" t="s">
        <v>15951</v>
      </c>
      <c r="S1482" s="3"/>
      <c r="T1482" s="3"/>
      <c r="U1482" s="2"/>
      <c r="V1482" s="2"/>
      <c r="W1482" s="2"/>
      <c r="X1482" s="2"/>
      <c r="Y1482" s="2"/>
      <c r="Z1482" s="2"/>
      <c r="AA1482" s="2"/>
      <c r="AB1482" s="2"/>
      <c r="AC1482" s="2"/>
      <c r="AD1482" s="2"/>
    </row>
    <row r="1483" spans="1:30" ht="12" customHeight="1">
      <c r="A1483" s="828" t="s">
        <v>18177</v>
      </c>
      <c r="B1483" s="22" t="s">
        <v>18213</v>
      </c>
      <c r="C1483" s="2" t="s">
        <v>4946</v>
      </c>
      <c r="D1483" s="5">
        <f t="shared" si="23"/>
        <v>68</v>
      </c>
      <c r="E1483" s="2" t="s">
        <v>5</v>
      </c>
      <c r="F1483" s="2" t="s">
        <v>6067</v>
      </c>
      <c r="G1483" s="22"/>
      <c r="H1483" s="2"/>
      <c r="I1483" s="2"/>
      <c r="J1483" s="8" t="s">
        <v>16120</v>
      </c>
      <c r="K1483" s="2" t="s">
        <v>13</v>
      </c>
      <c r="L1483" s="2" t="s">
        <v>14</v>
      </c>
      <c r="M1483" s="826">
        <v>4</v>
      </c>
      <c r="N1483" s="25">
        <v>4</v>
      </c>
      <c r="O1483" s="22" t="s">
        <v>4948</v>
      </c>
      <c r="P1483" s="21">
        <v>16166</v>
      </c>
      <c r="Q1483" s="22" t="s">
        <v>4949</v>
      </c>
      <c r="R1483" s="22" t="s">
        <v>4951</v>
      </c>
      <c r="S1483" s="22"/>
      <c r="T1483" s="22" t="s">
        <v>47</v>
      </c>
      <c r="U1483" s="2" t="s">
        <v>47</v>
      </c>
      <c r="V1483" s="2"/>
      <c r="W1483" s="2"/>
      <c r="X1483" s="2"/>
      <c r="Y1483" s="2"/>
      <c r="Z1483" s="2"/>
      <c r="AA1483" s="2"/>
      <c r="AB1483" s="2"/>
      <c r="AC1483" s="2"/>
      <c r="AD1483" s="2"/>
    </row>
    <row r="1484" spans="1:30" ht="12" customHeight="1">
      <c r="A1484" s="828" t="s">
        <v>18178</v>
      </c>
      <c r="B1484" s="3" t="s">
        <v>18213</v>
      </c>
      <c r="C1484" s="2" t="s">
        <v>5963</v>
      </c>
      <c r="D1484" s="5">
        <f t="shared" si="23"/>
        <v>44</v>
      </c>
      <c r="E1484" s="2" t="s">
        <v>5</v>
      </c>
      <c r="F1484" s="2" t="s">
        <v>6067</v>
      </c>
      <c r="G1484" s="22"/>
      <c r="H1484" s="2"/>
      <c r="I1484" s="2"/>
      <c r="J1484" s="4" t="s">
        <v>16120</v>
      </c>
      <c r="K1484" s="2" t="s">
        <v>476</v>
      </c>
      <c r="L1484" s="2" t="s">
        <v>6</v>
      </c>
      <c r="M1484" s="826"/>
      <c r="N1484" s="25"/>
      <c r="O1484" s="22" t="s">
        <v>5965</v>
      </c>
      <c r="P1484" s="21">
        <v>25072</v>
      </c>
      <c r="Q1484" s="22" t="s">
        <v>5966</v>
      </c>
      <c r="R1484" s="22"/>
      <c r="S1484" s="22"/>
      <c r="T1484" s="22"/>
      <c r="U1484" s="2"/>
      <c r="V1484" s="2"/>
      <c r="W1484" s="2"/>
      <c r="X1484" s="2"/>
      <c r="Y1484" s="2"/>
      <c r="Z1484" s="2"/>
      <c r="AA1484" s="2"/>
      <c r="AB1484" s="2"/>
      <c r="AC1484" s="2"/>
      <c r="AD1484" s="2"/>
    </row>
    <row r="1485" spans="1:30" ht="12" customHeight="1">
      <c r="A1485" s="828" t="s">
        <v>18179</v>
      </c>
      <c r="B1485" s="22" t="s">
        <v>18213</v>
      </c>
      <c r="C1485" s="2" t="s">
        <v>6122</v>
      </c>
      <c r="D1485" s="5">
        <f t="shared" si="23"/>
        <v>66</v>
      </c>
      <c r="E1485" s="2" t="s">
        <v>5</v>
      </c>
      <c r="F1485" s="2" t="s">
        <v>6067</v>
      </c>
      <c r="G1485" s="22"/>
      <c r="H1485" s="2"/>
      <c r="I1485" s="2"/>
      <c r="J1485" s="23" t="s">
        <v>16120</v>
      </c>
      <c r="K1485" s="2" t="s">
        <v>5247</v>
      </c>
      <c r="L1485" s="2" t="s">
        <v>6</v>
      </c>
      <c r="M1485" s="826"/>
      <c r="N1485" s="25"/>
      <c r="O1485" s="22" t="s">
        <v>6123</v>
      </c>
      <c r="P1485" s="21">
        <v>17018</v>
      </c>
      <c r="Q1485" s="22" t="s">
        <v>6124</v>
      </c>
      <c r="R1485" s="22"/>
      <c r="S1485" s="22"/>
      <c r="T1485" s="22" t="s">
        <v>145</v>
      </c>
      <c r="U1485" s="2"/>
      <c r="V1485" s="2" t="s">
        <v>145</v>
      </c>
      <c r="W1485" s="2"/>
      <c r="X1485" s="2"/>
      <c r="Y1485" s="2"/>
      <c r="Z1485" s="2"/>
      <c r="AA1485" s="2"/>
      <c r="AB1485" s="2"/>
      <c r="AC1485" s="2"/>
      <c r="AD1485" s="2"/>
    </row>
    <row r="1486" spans="1:30" ht="12" customHeight="1">
      <c r="A1486" s="828" t="s">
        <v>18180</v>
      </c>
      <c r="B1486" s="3" t="s">
        <v>18213</v>
      </c>
      <c r="C1486" s="2" t="s">
        <v>6125</v>
      </c>
      <c r="D1486" s="5">
        <f t="shared" si="23"/>
        <v>63</v>
      </c>
      <c r="E1486" s="2" t="s">
        <v>5</v>
      </c>
      <c r="F1486" s="2" t="s">
        <v>6067</v>
      </c>
      <c r="G1486" s="22"/>
      <c r="H1486" s="2"/>
      <c r="I1486" s="2"/>
      <c r="J1486" s="23" t="s">
        <v>16120</v>
      </c>
      <c r="K1486" s="2" t="s">
        <v>5247</v>
      </c>
      <c r="L1486" s="2" t="s">
        <v>6</v>
      </c>
      <c r="M1486" s="826"/>
      <c r="N1486" s="25"/>
      <c r="O1486" s="22" t="s">
        <v>172</v>
      </c>
      <c r="P1486" s="21">
        <v>18125</v>
      </c>
      <c r="Q1486" s="22" t="s">
        <v>6126</v>
      </c>
      <c r="R1486" s="22"/>
      <c r="S1486" s="22"/>
      <c r="T1486" s="22"/>
      <c r="U1486" s="2"/>
      <c r="V1486" s="2"/>
      <c r="W1486" s="2"/>
      <c r="X1486" s="2"/>
      <c r="Y1486" s="2"/>
      <c r="Z1486" s="2"/>
      <c r="AA1486" s="2"/>
      <c r="AB1486" s="2"/>
      <c r="AC1486" s="2"/>
      <c r="AD1486" s="2"/>
    </row>
    <row r="1487" spans="1:30" ht="12" customHeight="1">
      <c r="A1487" s="828" t="s">
        <v>18181</v>
      </c>
      <c r="B1487" s="22" t="s">
        <v>18213</v>
      </c>
      <c r="C1487" s="2" t="s">
        <v>6127</v>
      </c>
      <c r="D1487" s="5">
        <f t="shared" si="23"/>
        <v>63</v>
      </c>
      <c r="E1487" s="2" t="s">
        <v>5</v>
      </c>
      <c r="F1487" s="2" t="s">
        <v>6067</v>
      </c>
      <c r="G1487" s="22"/>
      <c r="H1487" s="2"/>
      <c r="I1487" s="2"/>
      <c r="J1487" s="23" t="s">
        <v>16120</v>
      </c>
      <c r="K1487" s="2" t="s">
        <v>5247</v>
      </c>
      <c r="L1487" s="2" t="s">
        <v>6</v>
      </c>
      <c r="M1487" s="826"/>
      <c r="N1487" s="25"/>
      <c r="O1487" s="22" t="s">
        <v>6128</v>
      </c>
      <c r="P1487" s="21">
        <v>18207</v>
      </c>
      <c r="Q1487" s="22" t="s">
        <v>6129</v>
      </c>
      <c r="R1487" s="22"/>
      <c r="S1487" s="22"/>
      <c r="T1487" s="22"/>
      <c r="U1487" s="2"/>
      <c r="V1487" s="2"/>
      <c r="W1487" s="2"/>
      <c r="X1487" s="2"/>
      <c r="Y1487" s="2"/>
      <c r="Z1487" s="2"/>
      <c r="AA1487" s="2"/>
      <c r="AB1487" s="2"/>
      <c r="AC1487" s="2"/>
      <c r="AD1487" s="2"/>
    </row>
    <row r="1488" spans="1:30" ht="12" customHeight="1">
      <c r="A1488" s="828" t="s">
        <v>18182</v>
      </c>
      <c r="B1488" s="3" t="s">
        <v>18213</v>
      </c>
      <c r="C1488" s="2" t="s">
        <v>6130</v>
      </c>
      <c r="D1488" s="5">
        <f t="shared" si="23"/>
        <v>60</v>
      </c>
      <c r="E1488" s="2" t="s">
        <v>5</v>
      </c>
      <c r="F1488" s="2" t="s">
        <v>6067</v>
      </c>
      <c r="G1488" s="22"/>
      <c r="H1488" s="2"/>
      <c r="I1488" s="2"/>
      <c r="J1488" s="23" t="s">
        <v>16120</v>
      </c>
      <c r="K1488" s="2" t="s">
        <v>5247</v>
      </c>
      <c r="L1488" s="2" t="s">
        <v>6</v>
      </c>
      <c r="M1488" s="826"/>
      <c r="N1488" s="25"/>
      <c r="O1488" s="22" t="s">
        <v>31</v>
      </c>
      <c r="P1488" s="21">
        <v>19226</v>
      </c>
      <c r="Q1488" s="22" t="s">
        <v>6131</v>
      </c>
      <c r="R1488" s="22"/>
      <c r="S1488" s="22"/>
      <c r="T1488" s="22"/>
      <c r="U1488" s="2"/>
      <c r="V1488" s="2"/>
      <c r="W1488" s="2"/>
      <c r="X1488" s="2"/>
      <c r="Y1488" s="2"/>
      <c r="Z1488" s="2"/>
      <c r="AA1488" s="2"/>
      <c r="AB1488" s="2"/>
      <c r="AC1488" s="2"/>
      <c r="AD1488" s="2"/>
    </row>
    <row r="1489" spans="1:30" ht="12" customHeight="1">
      <c r="A1489" s="828" t="s">
        <v>18183</v>
      </c>
      <c r="B1489" s="22" t="s">
        <v>18213</v>
      </c>
      <c r="C1489" s="2" t="s">
        <v>6132</v>
      </c>
      <c r="D1489" s="5">
        <f t="shared" si="23"/>
        <v>30</v>
      </c>
      <c r="E1489" s="2" t="s">
        <v>5</v>
      </c>
      <c r="F1489" s="2" t="s">
        <v>6067</v>
      </c>
      <c r="G1489" s="22"/>
      <c r="H1489" s="2"/>
      <c r="I1489" s="2"/>
      <c r="J1489" s="23" t="s">
        <v>16120</v>
      </c>
      <c r="K1489" s="2" t="s">
        <v>5247</v>
      </c>
      <c r="L1489" s="2" t="s">
        <v>6</v>
      </c>
      <c r="M1489" s="826"/>
      <c r="N1489" s="25"/>
      <c r="O1489" s="22" t="s">
        <v>3772</v>
      </c>
      <c r="P1489" s="21">
        <v>29983</v>
      </c>
      <c r="Q1489" s="22" t="s">
        <v>16591</v>
      </c>
      <c r="R1489" s="22"/>
      <c r="S1489" s="22"/>
      <c r="T1489" s="22"/>
      <c r="U1489" s="2"/>
      <c r="V1489" s="2"/>
      <c r="W1489" s="2"/>
      <c r="X1489" s="2"/>
      <c r="Y1489" s="2"/>
      <c r="Z1489" s="2"/>
      <c r="AA1489" s="2"/>
      <c r="AB1489" s="2"/>
      <c r="AC1489" s="2"/>
      <c r="AD1489" s="2"/>
    </row>
    <row r="1490" spans="1:30" ht="12" customHeight="1">
      <c r="A1490" s="828" t="s">
        <v>18184</v>
      </c>
      <c r="B1490" s="3" t="s">
        <v>18213</v>
      </c>
      <c r="C1490" s="2" t="s">
        <v>4956</v>
      </c>
      <c r="D1490" s="5">
        <f t="shared" si="23"/>
        <v>56</v>
      </c>
      <c r="E1490" s="2" t="s">
        <v>5</v>
      </c>
      <c r="F1490" s="2" t="s">
        <v>6067</v>
      </c>
      <c r="G1490" s="22" t="s">
        <v>4957</v>
      </c>
      <c r="H1490" s="2"/>
      <c r="I1490" s="2"/>
      <c r="J1490" s="23" t="s">
        <v>16118</v>
      </c>
      <c r="K1490" s="2"/>
      <c r="L1490" s="2" t="s">
        <v>25</v>
      </c>
      <c r="M1490" s="826">
        <v>4</v>
      </c>
      <c r="N1490" s="25">
        <v>4</v>
      </c>
      <c r="O1490" s="22" t="s">
        <v>4736</v>
      </c>
      <c r="P1490" s="21">
        <v>20533</v>
      </c>
      <c r="Q1490" s="22" t="s">
        <v>4959</v>
      </c>
      <c r="R1490" s="22" t="s">
        <v>4960</v>
      </c>
      <c r="S1490" s="22"/>
      <c r="T1490" s="22"/>
      <c r="U1490" s="2"/>
      <c r="V1490" s="2"/>
      <c r="W1490" s="2"/>
      <c r="X1490" s="2"/>
      <c r="Y1490" s="2"/>
      <c r="Z1490" s="2"/>
      <c r="AA1490" s="2"/>
      <c r="AB1490" s="2"/>
      <c r="AC1490" s="2"/>
      <c r="AD1490" s="2"/>
    </row>
    <row r="1491" spans="1:30" ht="12" customHeight="1">
      <c r="A1491" s="828" t="s">
        <v>18185</v>
      </c>
      <c r="B1491" s="22" t="s">
        <v>18213</v>
      </c>
      <c r="C1491" s="2" t="s">
        <v>4961</v>
      </c>
      <c r="D1491" s="5">
        <f t="shared" si="23"/>
        <v>43</v>
      </c>
      <c r="E1491" s="2" t="s">
        <v>5</v>
      </c>
      <c r="F1491" s="2" t="s">
        <v>6067</v>
      </c>
      <c r="G1491" s="22" t="s">
        <v>4962</v>
      </c>
      <c r="H1491" s="2"/>
      <c r="I1491" s="2"/>
      <c r="J1491" s="8" t="s">
        <v>16118</v>
      </c>
      <c r="K1491" s="2"/>
      <c r="L1491" s="2" t="s">
        <v>25</v>
      </c>
      <c r="M1491" s="826">
        <v>1</v>
      </c>
      <c r="N1491" s="25">
        <v>5</v>
      </c>
      <c r="O1491" s="22" t="s">
        <v>4963</v>
      </c>
      <c r="P1491" s="21">
        <v>25359</v>
      </c>
      <c r="Q1491" s="22" t="s">
        <v>4964</v>
      </c>
      <c r="R1491" s="22" t="s">
        <v>4965</v>
      </c>
      <c r="S1491" s="22"/>
      <c r="T1491" s="22" t="s">
        <v>229</v>
      </c>
      <c r="U1491" s="2"/>
      <c r="V1491" s="2"/>
      <c r="W1491" s="2"/>
      <c r="X1491" s="2" t="s">
        <v>229</v>
      </c>
      <c r="Y1491" s="2"/>
      <c r="Z1491" s="2"/>
      <c r="AA1491" s="2"/>
      <c r="AB1491" s="2"/>
      <c r="AC1491" s="2"/>
      <c r="AD1491" s="2"/>
    </row>
    <row r="1492" spans="1:30" ht="12" customHeight="1">
      <c r="A1492" s="828" t="s">
        <v>18186</v>
      </c>
      <c r="B1492" s="3" t="s">
        <v>18213</v>
      </c>
      <c r="C1492" s="6" t="s">
        <v>4967</v>
      </c>
      <c r="D1492" s="5">
        <f t="shared" si="23"/>
        <v>42</v>
      </c>
      <c r="E1492" s="6" t="s">
        <v>5</v>
      </c>
      <c r="F1492" s="2" t="s">
        <v>6067</v>
      </c>
      <c r="G1492" s="12"/>
      <c r="H1492" s="6"/>
      <c r="I1492" s="19"/>
      <c r="J1492" s="8" t="s">
        <v>16118</v>
      </c>
      <c r="K1492" s="6"/>
      <c r="L1492" s="6" t="s">
        <v>6</v>
      </c>
      <c r="M1492" s="6"/>
      <c r="N1492" s="14"/>
      <c r="O1492" s="12" t="s">
        <v>188</v>
      </c>
      <c r="P1492" s="15">
        <v>25696</v>
      </c>
      <c r="Q1492" s="12" t="s">
        <v>4969</v>
      </c>
      <c r="R1492" s="12"/>
      <c r="S1492" s="12"/>
      <c r="T1492" s="12" t="s">
        <v>147</v>
      </c>
      <c r="U1492" s="2"/>
      <c r="V1492" s="2"/>
      <c r="W1492" s="2"/>
      <c r="X1492" s="2"/>
      <c r="Y1492" s="2"/>
      <c r="Z1492" s="2"/>
      <c r="AA1492" s="2"/>
      <c r="AB1492" s="2" t="s">
        <v>147</v>
      </c>
      <c r="AC1492" s="2"/>
      <c r="AD1492" s="2"/>
    </row>
    <row r="1493" spans="1:30" ht="12" customHeight="1">
      <c r="A1493" s="828" t="s">
        <v>18187</v>
      </c>
      <c r="B1493" s="22" t="s">
        <v>18213</v>
      </c>
      <c r="C1493" s="2" t="s">
        <v>4970</v>
      </c>
      <c r="D1493" s="5">
        <f t="shared" si="23"/>
        <v>53</v>
      </c>
      <c r="E1493" s="2" t="s">
        <v>19</v>
      </c>
      <c r="F1493" s="2" t="s">
        <v>6067</v>
      </c>
      <c r="G1493" s="22"/>
      <c r="H1493" s="2"/>
      <c r="I1493" s="2"/>
      <c r="J1493" s="23" t="s">
        <v>16118</v>
      </c>
      <c r="K1493" s="2"/>
      <c r="L1493" s="2" t="s">
        <v>6</v>
      </c>
      <c r="M1493" s="826"/>
      <c r="N1493" s="25"/>
      <c r="O1493" s="22" t="s">
        <v>2123</v>
      </c>
      <c r="P1493" s="21">
        <v>21570</v>
      </c>
      <c r="Q1493" s="22" t="s">
        <v>4971</v>
      </c>
      <c r="R1493" s="22"/>
      <c r="S1493" s="22"/>
      <c r="T1493" s="22" t="s">
        <v>145</v>
      </c>
      <c r="U1493" s="2"/>
      <c r="V1493" s="2" t="s">
        <v>145</v>
      </c>
      <c r="W1493" s="2"/>
      <c r="X1493" s="2"/>
      <c r="Y1493" s="2"/>
      <c r="Z1493" s="2"/>
      <c r="AA1493" s="2"/>
      <c r="AB1493" s="2"/>
      <c r="AC1493" s="2"/>
      <c r="AD1493" s="2"/>
    </row>
    <row r="1494" spans="1:30" ht="12" customHeight="1">
      <c r="A1494" s="828" t="s">
        <v>18188</v>
      </c>
      <c r="B1494" s="3" t="s">
        <v>18213</v>
      </c>
      <c r="C1494" s="2" t="s">
        <v>5932</v>
      </c>
      <c r="D1494" s="5">
        <f t="shared" si="23"/>
        <v>36</v>
      </c>
      <c r="E1494" s="2" t="s">
        <v>5</v>
      </c>
      <c r="F1494" s="2" t="s">
        <v>6067</v>
      </c>
      <c r="G1494" s="22"/>
      <c r="H1494" s="2"/>
      <c r="I1494" s="2"/>
      <c r="J1494" s="8" t="s">
        <v>16118</v>
      </c>
      <c r="K1494" s="2"/>
      <c r="L1494" s="2" t="s">
        <v>6</v>
      </c>
      <c r="M1494" s="826"/>
      <c r="N1494" s="25"/>
      <c r="O1494" s="22" t="s">
        <v>4328</v>
      </c>
      <c r="P1494" s="21">
        <v>27846</v>
      </c>
      <c r="Q1494" s="22" t="s">
        <v>16602</v>
      </c>
      <c r="R1494" s="22"/>
      <c r="S1494" s="22"/>
      <c r="T1494" s="22"/>
      <c r="U1494" s="2"/>
      <c r="V1494" s="2"/>
      <c r="W1494" s="2"/>
      <c r="X1494" s="2"/>
      <c r="Y1494" s="2"/>
      <c r="Z1494" s="2"/>
      <c r="AA1494" s="2"/>
      <c r="AB1494" s="2"/>
      <c r="AC1494" s="2"/>
      <c r="AD1494" s="2"/>
    </row>
    <row r="1495" spans="1:30" ht="12" customHeight="1">
      <c r="A1495" s="828" t="s">
        <v>18189</v>
      </c>
      <c r="B1495" s="22" t="s">
        <v>18213</v>
      </c>
      <c r="C1495" s="2" t="s">
        <v>5934</v>
      </c>
      <c r="D1495" s="5">
        <f t="shared" si="23"/>
        <v>36</v>
      </c>
      <c r="E1495" s="2" t="s">
        <v>5</v>
      </c>
      <c r="F1495" s="2" t="s">
        <v>6067</v>
      </c>
      <c r="G1495" s="22"/>
      <c r="H1495" s="2"/>
      <c r="I1495" s="2"/>
      <c r="J1495" s="23" t="s">
        <v>16118</v>
      </c>
      <c r="K1495" s="2"/>
      <c r="L1495" s="2" t="s">
        <v>6</v>
      </c>
      <c r="M1495" s="826"/>
      <c r="N1495" s="25"/>
      <c r="O1495" s="22" t="s">
        <v>4328</v>
      </c>
      <c r="P1495" s="21">
        <v>27815</v>
      </c>
      <c r="Q1495" s="22" t="s">
        <v>16603</v>
      </c>
      <c r="R1495" s="22"/>
      <c r="S1495" s="22"/>
      <c r="T1495" s="22"/>
      <c r="U1495" s="2"/>
      <c r="V1495" s="2"/>
      <c r="W1495" s="2"/>
      <c r="X1495" s="2"/>
      <c r="Y1495" s="2"/>
      <c r="Z1495" s="2"/>
      <c r="AA1495" s="2"/>
      <c r="AB1495" s="2"/>
      <c r="AC1495" s="2"/>
      <c r="AD1495" s="2"/>
    </row>
    <row r="1496" spans="1:30" ht="12" customHeight="1">
      <c r="A1496" s="828" t="s">
        <v>18190</v>
      </c>
      <c r="B1496" s="3" t="s">
        <v>18213</v>
      </c>
      <c r="C1496" s="6" t="s">
        <v>16624</v>
      </c>
      <c r="D1496" s="5">
        <f t="shared" si="23"/>
        <v>54</v>
      </c>
      <c r="E1496" s="6" t="s">
        <v>5</v>
      </c>
      <c r="F1496" s="2" t="s">
        <v>6067</v>
      </c>
      <c r="G1496" s="19"/>
      <c r="H1496" s="6"/>
      <c r="I1496" s="19"/>
      <c r="J1496" s="8" t="s">
        <v>16130</v>
      </c>
      <c r="K1496" s="6" t="s">
        <v>4997</v>
      </c>
      <c r="L1496" s="6" t="s">
        <v>6</v>
      </c>
      <c r="M1496" s="6"/>
      <c r="N1496" s="14"/>
      <c r="O1496" s="12" t="s">
        <v>4866</v>
      </c>
      <c r="P1496" s="15">
        <v>21451</v>
      </c>
      <c r="Q1496" s="12" t="s">
        <v>16625</v>
      </c>
      <c r="R1496" s="12"/>
      <c r="S1496" s="12"/>
      <c r="T1496" s="19"/>
      <c r="U1496" s="2"/>
      <c r="V1496" s="2"/>
      <c r="W1496" s="2"/>
      <c r="X1496" s="2"/>
      <c r="Y1496" s="2"/>
      <c r="Z1496" s="2"/>
      <c r="AA1496" s="2"/>
      <c r="AB1496" s="2"/>
      <c r="AC1496" s="2"/>
      <c r="AD1496" s="22"/>
    </row>
    <row r="1497" spans="1:30" ht="12" customHeight="1">
      <c r="A1497" s="828" t="s">
        <v>18191</v>
      </c>
      <c r="B1497" s="22" t="s">
        <v>18213</v>
      </c>
      <c r="C1497" s="6" t="s">
        <v>4973</v>
      </c>
      <c r="D1497" s="5">
        <f t="shared" si="23"/>
        <v>51</v>
      </c>
      <c r="E1497" s="6" t="s">
        <v>5</v>
      </c>
      <c r="F1497" s="2" t="s">
        <v>6067</v>
      </c>
      <c r="G1497" s="12"/>
      <c r="H1497" s="6"/>
      <c r="I1497" s="19"/>
      <c r="J1497" s="8" t="s">
        <v>16117</v>
      </c>
      <c r="K1497" s="6"/>
      <c r="L1497" s="6" t="s">
        <v>6</v>
      </c>
      <c r="M1497" s="6"/>
      <c r="N1497" s="14"/>
      <c r="O1497" s="12" t="s">
        <v>4772</v>
      </c>
      <c r="P1497" s="15">
        <v>22401</v>
      </c>
      <c r="Q1497" s="12" t="s">
        <v>4975</v>
      </c>
      <c r="R1497" s="12"/>
      <c r="S1497" s="12"/>
      <c r="T1497" s="12" t="s">
        <v>148</v>
      </c>
      <c r="U1497" s="2"/>
      <c r="V1497" s="2" t="s">
        <v>145</v>
      </c>
      <c r="W1497" s="2"/>
      <c r="X1497" s="2"/>
      <c r="Y1497" s="2"/>
      <c r="Z1497" s="2"/>
      <c r="AA1497" s="2"/>
      <c r="AB1497" s="2"/>
      <c r="AC1497" s="2"/>
      <c r="AD1497" s="2" t="s">
        <v>69</v>
      </c>
    </row>
    <row r="1498" spans="1:30" ht="12" customHeight="1">
      <c r="A1498" s="828" t="s">
        <v>18192</v>
      </c>
      <c r="B1498" s="3" t="s">
        <v>18213</v>
      </c>
      <c r="C1498" s="6" t="s">
        <v>5498</v>
      </c>
      <c r="D1498" s="5">
        <f t="shared" si="23"/>
        <v>46</v>
      </c>
      <c r="E1498" s="6" t="s">
        <v>5</v>
      </c>
      <c r="F1498" s="2" t="s">
        <v>6067</v>
      </c>
      <c r="G1498" s="12"/>
      <c r="H1498" s="6"/>
      <c r="I1498" s="19"/>
      <c r="J1498" s="8" t="s">
        <v>16117</v>
      </c>
      <c r="K1498" s="6"/>
      <c r="L1498" s="6" t="s">
        <v>6</v>
      </c>
      <c r="M1498" s="6"/>
      <c r="N1498" s="14"/>
      <c r="O1498" s="12" t="s">
        <v>4312</v>
      </c>
      <c r="P1498" s="15">
        <v>24159</v>
      </c>
      <c r="Q1498" s="12" t="s">
        <v>727</v>
      </c>
      <c r="R1498" s="12"/>
      <c r="S1498" s="12"/>
      <c r="T1498" s="12" t="s">
        <v>147</v>
      </c>
      <c r="U1498" s="2"/>
      <c r="V1498" s="2"/>
      <c r="W1498" s="2"/>
      <c r="X1498" s="2"/>
      <c r="Y1498" s="2"/>
      <c r="Z1498" s="2"/>
      <c r="AA1498" s="2"/>
      <c r="AB1498" s="2" t="s">
        <v>147</v>
      </c>
      <c r="AC1498" s="2"/>
      <c r="AD1498" s="2"/>
    </row>
    <row r="1499" spans="1:30" ht="12" customHeight="1">
      <c r="A1499" s="828" t="s">
        <v>18193</v>
      </c>
      <c r="B1499" s="22" t="s">
        <v>18213</v>
      </c>
      <c r="C1499" s="2" t="s">
        <v>15618</v>
      </c>
      <c r="D1499" s="5">
        <f t="shared" si="23"/>
        <v>43</v>
      </c>
      <c r="E1499" s="2" t="s">
        <v>5</v>
      </c>
      <c r="F1499" s="2" t="s">
        <v>6067</v>
      </c>
      <c r="G1499" s="22" t="s">
        <v>15622</v>
      </c>
      <c r="H1499" s="2"/>
      <c r="I1499" s="2"/>
      <c r="J1499" s="23" t="s">
        <v>16119</v>
      </c>
      <c r="K1499" s="2"/>
      <c r="L1499" s="2" t="s">
        <v>25</v>
      </c>
      <c r="M1499" s="826">
        <v>1</v>
      </c>
      <c r="N1499" s="25">
        <v>1</v>
      </c>
      <c r="O1499" s="22" t="s">
        <v>15619</v>
      </c>
      <c r="P1499" s="21">
        <v>25217</v>
      </c>
      <c r="Q1499" s="22" t="s">
        <v>15620</v>
      </c>
      <c r="R1499" s="22" t="s">
        <v>15621</v>
      </c>
      <c r="S1499" s="22"/>
      <c r="T1499" s="22"/>
      <c r="U1499" s="2"/>
      <c r="V1499" s="2"/>
      <c r="W1499" s="2"/>
      <c r="X1499" s="2"/>
      <c r="Y1499" s="2"/>
      <c r="Z1499" s="2"/>
      <c r="AA1499" s="2"/>
      <c r="AB1499" s="2"/>
      <c r="AC1499" s="2"/>
      <c r="AD1499" s="22"/>
    </row>
    <row r="1500" spans="1:30" ht="12" customHeight="1">
      <c r="A1500" s="828" t="s">
        <v>18194</v>
      </c>
      <c r="B1500" s="3" t="s">
        <v>18213</v>
      </c>
      <c r="C1500" s="6" t="s">
        <v>5152</v>
      </c>
      <c r="D1500" s="5">
        <f t="shared" si="23"/>
        <v>51</v>
      </c>
      <c r="E1500" s="6" t="s">
        <v>5</v>
      </c>
      <c r="F1500" s="2" t="s">
        <v>6067</v>
      </c>
      <c r="G1500" s="12"/>
      <c r="H1500" s="6"/>
      <c r="I1500" s="19"/>
      <c r="J1500" s="23" t="s">
        <v>16122</v>
      </c>
      <c r="K1500" s="6" t="s">
        <v>22</v>
      </c>
      <c r="L1500" s="6" t="s">
        <v>6</v>
      </c>
      <c r="M1500" s="6"/>
      <c r="N1500" s="14"/>
      <c r="O1500" s="12" t="s">
        <v>1089</v>
      </c>
      <c r="P1500" s="15">
        <v>22545</v>
      </c>
      <c r="Q1500" s="12" t="s">
        <v>5154</v>
      </c>
      <c r="R1500" s="12"/>
      <c r="S1500" s="12"/>
      <c r="T1500" s="12" t="s">
        <v>155</v>
      </c>
      <c r="U1500" s="2"/>
      <c r="V1500" s="2"/>
      <c r="W1500" s="2"/>
      <c r="X1500" s="2"/>
      <c r="Y1500" s="2" t="s">
        <v>155</v>
      </c>
      <c r="Z1500" s="2"/>
      <c r="AA1500" s="2"/>
      <c r="AB1500" s="2"/>
      <c r="AC1500" s="2"/>
      <c r="AD1500" s="2"/>
    </row>
    <row r="1501" spans="1:30" ht="12" customHeight="1">
      <c r="A1501" s="828" t="s">
        <v>18195</v>
      </c>
      <c r="B1501" s="22" t="s">
        <v>18213</v>
      </c>
      <c r="C1501" s="2" t="s">
        <v>16640</v>
      </c>
      <c r="D1501" s="5">
        <f t="shared" si="23"/>
        <v>53</v>
      </c>
      <c r="E1501" s="2" t="s">
        <v>19</v>
      </c>
      <c r="F1501" s="2" t="s">
        <v>6067</v>
      </c>
      <c r="G1501" s="22"/>
      <c r="H1501" s="2"/>
      <c r="I1501" s="2"/>
      <c r="J1501" s="23" t="s">
        <v>16122</v>
      </c>
      <c r="K1501" s="2" t="s">
        <v>22</v>
      </c>
      <c r="L1501" s="2" t="s">
        <v>6</v>
      </c>
      <c r="M1501" s="826"/>
      <c r="N1501" s="25"/>
      <c r="O1501" s="22" t="s">
        <v>2163</v>
      </c>
      <c r="P1501" s="21">
        <v>21854</v>
      </c>
      <c r="Q1501" s="22" t="s">
        <v>5158</v>
      </c>
      <c r="R1501" s="22"/>
      <c r="S1501" s="22"/>
      <c r="T1501" s="22"/>
      <c r="U1501" s="2"/>
      <c r="V1501" s="2"/>
      <c r="W1501" s="2"/>
      <c r="X1501" s="2"/>
      <c r="Y1501" s="2"/>
      <c r="Z1501" s="2"/>
      <c r="AA1501" s="2"/>
      <c r="AB1501" s="2"/>
      <c r="AC1501" s="2"/>
      <c r="AD1501" s="22"/>
    </row>
    <row r="1502" spans="1:30" ht="12" customHeight="1">
      <c r="A1502" s="828" t="s">
        <v>18196</v>
      </c>
      <c r="B1502" s="3" t="s">
        <v>18213</v>
      </c>
      <c r="C1502" s="2" t="s">
        <v>4978</v>
      </c>
      <c r="D1502" s="5">
        <f t="shared" si="23"/>
        <v>34</v>
      </c>
      <c r="E1502" s="2" t="s">
        <v>5</v>
      </c>
      <c r="F1502" s="2" t="s">
        <v>6067</v>
      </c>
      <c r="G1502" s="22"/>
      <c r="H1502" s="2"/>
      <c r="I1502" s="2"/>
      <c r="J1502" s="23" t="s">
        <v>16122</v>
      </c>
      <c r="K1502" s="2" t="s">
        <v>22</v>
      </c>
      <c r="L1502" s="2" t="s">
        <v>6</v>
      </c>
      <c r="M1502" s="826"/>
      <c r="N1502" s="25"/>
      <c r="O1502" s="22" t="s">
        <v>95</v>
      </c>
      <c r="P1502" s="21">
        <v>28595</v>
      </c>
      <c r="Q1502" s="22" t="s">
        <v>4979</v>
      </c>
      <c r="R1502" s="22"/>
      <c r="S1502" s="22"/>
      <c r="T1502" s="22"/>
      <c r="U1502" s="2"/>
      <c r="V1502" s="2"/>
      <c r="W1502" s="2"/>
      <c r="X1502" s="2"/>
      <c r="Y1502" s="2"/>
      <c r="Z1502" s="2"/>
      <c r="AA1502" s="2"/>
      <c r="AB1502" s="2"/>
      <c r="AC1502" s="2"/>
      <c r="AD1502" s="2"/>
    </row>
    <row r="1503" spans="1:30" ht="12" customHeight="1">
      <c r="A1503" s="828" t="s">
        <v>18197</v>
      </c>
      <c r="B1503" s="22" t="s">
        <v>18213</v>
      </c>
      <c r="C1503" s="2" t="s">
        <v>5156</v>
      </c>
      <c r="D1503" s="5">
        <f t="shared" si="23"/>
        <v>58</v>
      </c>
      <c r="E1503" s="2" t="s">
        <v>5</v>
      </c>
      <c r="F1503" s="2" t="s">
        <v>6067</v>
      </c>
      <c r="G1503" s="22"/>
      <c r="H1503" s="2"/>
      <c r="I1503" s="2"/>
      <c r="J1503" s="23" t="s">
        <v>16122</v>
      </c>
      <c r="K1503" s="2" t="s">
        <v>22</v>
      </c>
      <c r="L1503" s="2" t="s">
        <v>6</v>
      </c>
      <c r="M1503" s="826"/>
      <c r="N1503" s="25"/>
      <c r="O1503" s="22" t="s">
        <v>1903</v>
      </c>
      <c r="P1503" s="21">
        <v>19779</v>
      </c>
      <c r="Q1503" s="22" t="s">
        <v>5157</v>
      </c>
      <c r="R1503" s="22"/>
      <c r="S1503" s="22"/>
      <c r="T1503" s="22"/>
      <c r="U1503" s="2"/>
      <c r="V1503" s="2"/>
      <c r="W1503" s="2"/>
      <c r="X1503" s="2"/>
      <c r="Y1503" s="2"/>
      <c r="Z1503" s="2"/>
      <c r="AA1503" s="2"/>
      <c r="AB1503" s="2"/>
      <c r="AC1503" s="2"/>
      <c r="AD1503" s="22"/>
    </row>
    <row r="1504" spans="1:30" ht="12" customHeight="1">
      <c r="A1504" s="828" t="s">
        <v>18198</v>
      </c>
      <c r="B1504" s="3" t="s">
        <v>18213</v>
      </c>
      <c r="C1504" s="6" t="s">
        <v>5159</v>
      </c>
      <c r="D1504" s="5">
        <f t="shared" si="23"/>
        <v>52</v>
      </c>
      <c r="E1504" s="6" t="s">
        <v>5</v>
      </c>
      <c r="F1504" s="2" t="s">
        <v>6067</v>
      </c>
      <c r="G1504" s="19"/>
      <c r="H1504" s="6"/>
      <c r="I1504" s="19"/>
      <c r="J1504" s="19" t="s">
        <v>16122</v>
      </c>
      <c r="K1504" s="6" t="s">
        <v>22</v>
      </c>
      <c r="L1504" s="6" t="s">
        <v>6</v>
      </c>
      <c r="M1504" s="6"/>
      <c r="N1504" s="14"/>
      <c r="O1504" s="12" t="s">
        <v>5153</v>
      </c>
      <c r="P1504" s="15">
        <v>22235</v>
      </c>
      <c r="Q1504" s="12" t="s">
        <v>5160</v>
      </c>
      <c r="R1504" s="12"/>
      <c r="S1504" s="12"/>
      <c r="T1504" s="19"/>
      <c r="U1504" s="2"/>
      <c r="V1504" s="2"/>
      <c r="W1504" s="2"/>
      <c r="X1504" s="2"/>
      <c r="Y1504" s="2"/>
      <c r="Z1504" s="2"/>
      <c r="AA1504" s="2"/>
      <c r="AB1504" s="2"/>
      <c r="AC1504" s="2"/>
      <c r="AD1504" s="22"/>
    </row>
    <row r="1505" spans="15:20" ht="12" customHeight="1">
      <c r="P1505" s="827">
        <f>小選挙区!P1298</f>
        <v>41259</v>
      </c>
    </row>
    <row r="1506" spans="15:20" ht="12" customHeight="1">
      <c r="O1506" s="824" t="s">
        <v>18199</v>
      </c>
      <c r="P1506" s="831">
        <f>AVERAGE(D1:D1504)</f>
        <v>50.410239361702125</v>
      </c>
      <c r="S1506" s="3" t="s">
        <v>5270</v>
      </c>
      <c r="T1506" s="3">
        <f>COUNTIF($U$1:$U$1504,"官")</f>
        <v>114</v>
      </c>
    </row>
    <row r="1507" spans="15:20" ht="12" customHeight="1">
      <c r="O1507" s="824" t="s">
        <v>18200</v>
      </c>
      <c r="P1507" s="824">
        <f>COUNTIF($E$1:$E$1504,"男")</f>
        <v>1279</v>
      </c>
      <c r="S1507" s="3" t="s">
        <v>5271</v>
      </c>
      <c r="T1507" s="3">
        <f>COUNTIF($V$1:$V$1504,"議")</f>
        <v>364</v>
      </c>
    </row>
    <row r="1508" spans="15:20" ht="12" customHeight="1">
      <c r="O1508" s="824" t="s">
        <v>18201</v>
      </c>
      <c r="P1508" s="824">
        <f>COUNTIF($E$1:$E$1504,"女")</f>
        <v>225</v>
      </c>
      <c r="S1508" s="3" t="s">
        <v>5272</v>
      </c>
      <c r="T1508" s="3">
        <f>COUNTIF($W$1:$WU$1504,"首")</f>
        <v>35</v>
      </c>
    </row>
    <row r="1509" spans="15:20" ht="12" customHeight="1">
      <c r="O1509" s="824" t="s">
        <v>18202</v>
      </c>
      <c r="P1509" s="824">
        <f>COUNTIF($F$1:$F$1504,"重")</f>
        <v>907</v>
      </c>
      <c r="S1509" s="3" t="s">
        <v>5273</v>
      </c>
      <c r="T1509" s="3">
        <f>COUNTIF($X$1:$X$1504,"鞍")</f>
        <v>38</v>
      </c>
    </row>
    <row r="1510" spans="15:20" ht="12" customHeight="1">
      <c r="S1510" s="3" t="s">
        <v>5274</v>
      </c>
      <c r="T1510" s="3">
        <f>COUNTIF($Y$1:$Y$1504,"ジ")</f>
        <v>68</v>
      </c>
    </row>
    <row r="1511" spans="15:20" ht="12" customHeight="1">
      <c r="S1511" s="3" t="s">
        <v>5275</v>
      </c>
      <c r="T1511" s="3">
        <f>COUNTIF($Z$1:$Z$1504,"タ")</f>
        <v>28</v>
      </c>
    </row>
    <row r="1512" spans="15:20" ht="12" customHeight="1">
      <c r="S1512" s="3" t="s">
        <v>5276</v>
      </c>
      <c r="T1512" s="3">
        <f>COUNTIF($AA$1:$AA$1504,"二")</f>
        <v>159</v>
      </c>
    </row>
    <row r="1513" spans="15:20" ht="12" customHeight="1">
      <c r="S1513" s="3" t="s">
        <v>5277</v>
      </c>
      <c r="T1513" s="3">
        <f>COUNTIF($AB$1:$AB$1504,"法")</f>
        <v>45</v>
      </c>
    </row>
    <row r="1514" spans="15:20" ht="12" customHeight="1">
      <c r="S1514" s="3" t="s">
        <v>5278</v>
      </c>
      <c r="T1514" s="3">
        <f>COUNTIF($AC$1:$AC$1504,"松")</f>
        <v>55</v>
      </c>
    </row>
    <row r="1515" spans="15:20" ht="12" customHeight="1">
      <c r="S1515" s="3" t="s">
        <v>5279</v>
      </c>
      <c r="T1515" s="3">
        <f>COUNTIF($AD$1:$AD$1504,"労")</f>
        <v>86</v>
      </c>
    </row>
  </sheetData>
  <sortState ref="A1:AD1504">
    <sortCondition ref="A1:A1504"/>
  </sortState>
  <phoneticPr fontId="3"/>
  <conditionalFormatting sqref="S1506:T1515">
    <cfRule type="containsText" dxfId="444" priority="1" operator="containsText" text="？">
      <formula>NOT(ISERROR(SEARCH("？",S1506)))</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Q2064"/>
  <sheetViews>
    <sheetView workbookViewId="0"/>
  </sheetViews>
  <sheetFormatPr defaultRowHeight="11.1" customHeight="1"/>
  <cols>
    <col min="1" max="1" width="11.625" style="29" customWidth="1"/>
    <col min="2" max="2" width="4.125" style="29" customWidth="1"/>
    <col min="3" max="3" width="8.625" style="29" customWidth="1"/>
    <col min="4" max="4" width="6.625" style="29" customWidth="1"/>
    <col min="5" max="5" width="5.625" style="29" customWidth="1"/>
    <col min="6" max="6" width="10.625" style="154" customWidth="1"/>
    <col min="7" max="9" width="2.625" style="154" customWidth="1"/>
    <col min="10" max="10" width="7.625" style="154" customWidth="1"/>
    <col min="11" max="11" width="5.625" style="154" customWidth="1"/>
    <col min="12" max="13" width="2.625" style="154" customWidth="1"/>
    <col min="14" max="14" width="3.625" style="29" customWidth="1"/>
    <col min="15" max="15" width="9" style="29"/>
    <col min="16" max="16" width="10.625" style="29" customWidth="1"/>
    <col min="17" max="16384" width="9" style="29"/>
  </cols>
  <sheetData>
    <row r="1" spans="1:14" ht="11.1" customHeight="1" thickBot="1">
      <c r="A1" s="26" t="s">
        <v>6216</v>
      </c>
      <c r="B1" s="27" t="s">
        <v>6217</v>
      </c>
      <c r="C1" s="27" t="s">
        <v>6218</v>
      </c>
      <c r="D1" s="27" t="s">
        <v>6219</v>
      </c>
      <c r="E1" s="27" t="s">
        <v>6220</v>
      </c>
      <c r="F1" s="27" t="s">
        <v>6221</v>
      </c>
      <c r="G1" s="27" t="s">
        <v>6222</v>
      </c>
      <c r="H1" s="27" t="s">
        <v>6223</v>
      </c>
      <c r="I1" s="27" t="s">
        <v>6224</v>
      </c>
      <c r="J1" s="27" t="s">
        <v>6225</v>
      </c>
      <c r="K1" s="27" t="s">
        <v>6226</v>
      </c>
      <c r="L1" s="27" t="s">
        <v>6227</v>
      </c>
      <c r="M1" s="27" t="s">
        <v>6228</v>
      </c>
      <c r="N1" s="28" t="s">
        <v>6229</v>
      </c>
    </row>
    <row r="2" spans="1:14" ht="11.1" customHeight="1" thickTop="1">
      <c r="A2" s="31" t="s">
        <v>6250</v>
      </c>
      <c r="B2" s="32" t="s">
        <v>6217</v>
      </c>
      <c r="C2" s="33">
        <v>183216</v>
      </c>
      <c r="D2" s="34">
        <v>0.54295070307753857</v>
      </c>
      <c r="E2" s="35" t="s">
        <v>6251</v>
      </c>
      <c r="F2" s="36" t="s">
        <v>6252</v>
      </c>
      <c r="G2" s="36">
        <v>68</v>
      </c>
      <c r="H2" s="36" t="s">
        <v>0</v>
      </c>
      <c r="I2" s="36" t="s">
        <v>6233</v>
      </c>
      <c r="J2" s="36" t="s">
        <v>6253</v>
      </c>
      <c r="K2" s="36" t="s">
        <v>6254</v>
      </c>
      <c r="L2" s="36" t="s">
        <v>6209</v>
      </c>
      <c r="M2" s="36">
        <v>9</v>
      </c>
      <c r="N2" s="37" t="s">
        <v>6213</v>
      </c>
    </row>
    <row r="3" spans="1:14" ht="11.1" customHeight="1">
      <c r="A3" s="31" t="s">
        <v>6255</v>
      </c>
      <c r="B3" s="38" t="s">
        <v>6230</v>
      </c>
      <c r="C3" s="39">
        <v>124343</v>
      </c>
      <c r="D3" s="40">
        <v>0.36848375290788127</v>
      </c>
      <c r="E3" s="41">
        <v>67.866889354641515</v>
      </c>
      <c r="F3" s="42" t="s">
        <v>6256</v>
      </c>
      <c r="G3" s="42">
        <v>38</v>
      </c>
      <c r="H3" s="42" t="s">
        <v>0</v>
      </c>
      <c r="I3" s="42" t="s">
        <v>6233</v>
      </c>
      <c r="J3" s="42" t="s">
        <v>6257</v>
      </c>
      <c r="K3" s="42" t="s">
        <v>6258</v>
      </c>
      <c r="L3" s="42" t="s">
        <v>6036</v>
      </c>
      <c r="M3" s="42" t="s">
        <v>6259</v>
      </c>
      <c r="N3" s="43" t="s">
        <v>6260</v>
      </c>
    </row>
    <row r="4" spans="1:14" ht="11.1" customHeight="1">
      <c r="A4" s="31" t="s">
        <v>6261</v>
      </c>
      <c r="B4" s="38" t="s">
        <v>6231</v>
      </c>
      <c r="C4" s="39">
        <v>25803</v>
      </c>
      <c r="D4" s="40">
        <v>7.6465794425758266E-2</v>
      </c>
      <c r="E4" s="41" t="s">
        <v>6262</v>
      </c>
      <c r="F4" s="42" t="s">
        <v>6263</v>
      </c>
      <c r="G4" s="42">
        <v>40</v>
      </c>
      <c r="H4" s="42" t="s">
        <v>0</v>
      </c>
      <c r="I4" s="42" t="s">
        <v>6259</v>
      </c>
      <c r="J4" s="42" t="s">
        <v>6264</v>
      </c>
      <c r="K4" s="42" t="s">
        <v>6259</v>
      </c>
      <c r="L4" s="42" t="s">
        <v>6036</v>
      </c>
      <c r="M4" s="42" t="s">
        <v>6259</v>
      </c>
      <c r="N4" s="43" t="s">
        <v>6259</v>
      </c>
    </row>
    <row r="5" spans="1:14" ht="11.1" customHeight="1">
      <c r="A5" s="44" t="s">
        <v>6265</v>
      </c>
      <c r="B5" s="45" t="s">
        <v>6231</v>
      </c>
      <c r="C5" s="46">
        <v>4083</v>
      </c>
      <c r="D5" s="47">
        <v>1.2099749588821882E-2</v>
      </c>
      <c r="E5" s="48" t="s">
        <v>6262</v>
      </c>
      <c r="F5" s="49" t="s">
        <v>6266</v>
      </c>
      <c r="G5" s="49">
        <v>59</v>
      </c>
      <c r="H5" s="49" t="s">
        <v>6049</v>
      </c>
      <c r="I5" s="49" t="s">
        <v>6259</v>
      </c>
      <c r="J5" s="49" t="s">
        <v>6267</v>
      </c>
      <c r="K5" s="49" t="s">
        <v>6268</v>
      </c>
      <c r="L5" s="49" t="s">
        <v>6036</v>
      </c>
      <c r="M5" s="49" t="s">
        <v>6259</v>
      </c>
      <c r="N5" s="50" t="s">
        <v>6259</v>
      </c>
    </row>
    <row r="6" spans="1:14" ht="11.1" customHeight="1">
      <c r="A6" s="51" t="s">
        <v>6269</v>
      </c>
      <c r="B6" s="52" t="s">
        <v>6217</v>
      </c>
      <c r="C6" s="53">
        <v>165267</v>
      </c>
      <c r="D6" s="54">
        <v>0.54219677832092128</v>
      </c>
      <c r="E6" s="55" t="s">
        <v>6251</v>
      </c>
      <c r="F6" s="56" t="s">
        <v>6270</v>
      </c>
      <c r="G6" s="56">
        <v>66</v>
      </c>
      <c r="H6" s="56" t="s">
        <v>0</v>
      </c>
      <c r="I6" s="56" t="s">
        <v>6233</v>
      </c>
      <c r="J6" s="56" t="s">
        <v>6253</v>
      </c>
      <c r="K6" s="56" t="s">
        <v>6207</v>
      </c>
      <c r="L6" s="56" t="s">
        <v>6209</v>
      </c>
      <c r="M6" s="56">
        <v>3</v>
      </c>
      <c r="N6" s="57" t="s">
        <v>6213</v>
      </c>
    </row>
    <row r="7" spans="1:14" ht="11.1" customHeight="1">
      <c r="A7" s="31" t="s">
        <v>6271</v>
      </c>
      <c r="B7" s="38" t="s">
        <v>6230</v>
      </c>
      <c r="C7" s="39">
        <v>93870</v>
      </c>
      <c r="D7" s="40">
        <v>0.30796233719366162</v>
      </c>
      <c r="E7" s="41">
        <v>56.798997985078692</v>
      </c>
      <c r="F7" s="42" t="s">
        <v>6272</v>
      </c>
      <c r="G7" s="42">
        <v>58</v>
      </c>
      <c r="H7" s="42" t="s">
        <v>0</v>
      </c>
      <c r="I7" s="42" t="s">
        <v>6233</v>
      </c>
      <c r="J7" s="42" t="s">
        <v>6257</v>
      </c>
      <c r="K7" s="42" t="s">
        <v>6273</v>
      </c>
      <c r="L7" s="42" t="s">
        <v>6209</v>
      </c>
      <c r="M7" s="42">
        <v>3</v>
      </c>
      <c r="N7" s="43" t="s">
        <v>6260</v>
      </c>
    </row>
    <row r="8" spans="1:14" ht="11.1" customHeight="1">
      <c r="A8" s="31" t="s">
        <v>6274</v>
      </c>
      <c r="B8" s="38" t="s">
        <v>6231</v>
      </c>
      <c r="C8" s="39">
        <v>27580</v>
      </c>
      <c r="D8" s="40">
        <v>9.048259571536367E-2</v>
      </c>
      <c r="E8" s="41">
        <v>16.688147059001494</v>
      </c>
      <c r="F8" s="42" t="s">
        <v>6275</v>
      </c>
      <c r="G8" s="42">
        <v>46</v>
      </c>
      <c r="H8" s="42" t="s">
        <v>6049</v>
      </c>
      <c r="I8" s="42" t="s">
        <v>6233</v>
      </c>
      <c r="J8" s="42" t="s">
        <v>6264</v>
      </c>
      <c r="K8" s="42" t="s">
        <v>6259</v>
      </c>
      <c r="L8" s="42" t="s">
        <v>6036</v>
      </c>
      <c r="M8" s="42" t="s">
        <v>6259</v>
      </c>
      <c r="N8" s="43" t="s">
        <v>6259</v>
      </c>
    </row>
    <row r="9" spans="1:14" ht="11.1" customHeight="1">
      <c r="A9" s="31" t="s">
        <v>6276</v>
      </c>
      <c r="B9" s="38" t="s">
        <v>6231</v>
      </c>
      <c r="C9" s="39">
        <v>14311</v>
      </c>
      <c r="D9" s="40">
        <v>4.6950559364850236E-2</v>
      </c>
      <c r="E9" s="41">
        <v>8.6593209775696298</v>
      </c>
      <c r="F9" s="42" t="s">
        <v>6277</v>
      </c>
      <c r="G9" s="42">
        <v>31</v>
      </c>
      <c r="H9" s="42" t="s">
        <v>6049</v>
      </c>
      <c r="I9" s="42" t="s">
        <v>6233</v>
      </c>
      <c r="J9" s="42" t="s">
        <v>6278</v>
      </c>
      <c r="K9" s="42" t="s">
        <v>6259</v>
      </c>
      <c r="L9" s="42" t="s">
        <v>6036</v>
      </c>
      <c r="M9" s="42" t="s">
        <v>6259</v>
      </c>
      <c r="N9" s="43" t="s">
        <v>6259</v>
      </c>
    </row>
    <row r="10" spans="1:14" ht="11.1" customHeight="1">
      <c r="A10" s="44" t="s">
        <v>6279</v>
      </c>
      <c r="B10" s="45" t="s">
        <v>6231</v>
      </c>
      <c r="C10" s="46">
        <v>3782</v>
      </c>
      <c r="D10" s="47">
        <v>1.2407729405203242E-2</v>
      </c>
      <c r="E10" s="48" t="s">
        <v>6262</v>
      </c>
      <c r="F10" s="49" t="s">
        <v>6280</v>
      </c>
      <c r="G10" s="49">
        <v>42</v>
      </c>
      <c r="H10" s="49" t="s">
        <v>6049</v>
      </c>
      <c r="I10" s="49" t="s">
        <v>6259</v>
      </c>
      <c r="J10" s="49" t="s">
        <v>6267</v>
      </c>
      <c r="K10" s="49" t="s">
        <v>6268</v>
      </c>
      <c r="L10" s="49" t="s">
        <v>6036</v>
      </c>
      <c r="M10" s="49" t="s">
        <v>6259</v>
      </c>
      <c r="N10" s="50" t="s">
        <v>6259</v>
      </c>
    </row>
    <row r="11" spans="1:14" ht="11.1" customHeight="1">
      <c r="A11" s="51" t="s">
        <v>6281</v>
      </c>
      <c r="B11" s="52" t="s">
        <v>6217</v>
      </c>
      <c r="C11" s="53">
        <v>186081</v>
      </c>
      <c r="D11" s="54">
        <v>0.60880817149138877</v>
      </c>
      <c r="E11" s="55" t="s">
        <v>6251</v>
      </c>
      <c r="F11" s="56" t="s">
        <v>6282</v>
      </c>
      <c r="G11" s="56">
        <v>63</v>
      </c>
      <c r="H11" s="56" t="s">
        <v>0</v>
      </c>
      <c r="I11" s="56" t="s">
        <v>6233</v>
      </c>
      <c r="J11" s="56" t="s">
        <v>6253</v>
      </c>
      <c r="K11" s="56" t="s">
        <v>24</v>
      </c>
      <c r="L11" s="56" t="s">
        <v>6283</v>
      </c>
      <c r="M11" s="56">
        <v>4</v>
      </c>
      <c r="N11" s="57" t="s">
        <v>6213</v>
      </c>
    </row>
    <row r="12" spans="1:14" ht="11.1" customHeight="1">
      <c r="A12" s="31" t="s">
        <v>6284</v>
      </c>
      <c r="B12" s="38" t="s">
        <v>6230</v>
      </c>
      <c r="C12" s="39">
        <v>112844</v>
      </c>
      <c r="D12" s="40">
        <v>0.36919593781081506</v>
      </c>
      <c r="E12" s="41">
        <v>60.642408413540338</v>
      </c>
      <c r="F12" s="42" t="s">
        <v>6285</v>
      </c>
      <c r="G12" s="42">
        <v>54</v>
      </c>
      <c r="H12" s="42" t="s">
        <v>0</v>
      </c>
      <c r="I12" s="42" t="s">
        <v>6233</v>
      </c>
      <c r="J12" s="42" t="s">
        <v>6257</v>
      </c>
      <c r="K12" s="42" t="s">
        <v>6286</v>
      </c>
      <c r="L12" s="42" t="s">
        <v>6209</v>
      </c>
      <c r="M12" s="42">
        <v>3</v>
      </c>
      <c r="N12" s="43" t="s">
        <v>6260</v>
      </c>
    </row>
    <row r="13" spans="1:14" ht="11.1" customHeight="1">
      <c r="A13" s="44" t="s">
        <v>6287</v>
      </c>
      <c r="B13" s="45" t="s">
        <v>6231</v>
      </c>
      <c r="C13" s="46">
        <v>6723</v>
      </c>
      <c r="D13" s="47">
        <v>2.1995890697796158E-2</v>
      </c>
      <c r="E13" s="48" t="s">
        <v>6262</v>
      </c>
      <c r="F13" s="49" t="s">
        <v>6288</v>
      </c>
      <c r="G13" s="49">
        <v>42</v>
      </c>
      <c r="H13" s="49" t="s">
        <v>0</v>
      </c>
      <c r="I13" s="49" t="s">
        <v>6259</v>
      </c>
      <c r="J13" s="49" t="s">
        <v>6267</v>
      </c>
      <c r="K13" s="49" t="s">
        <v>6268</v>
      </c>
      <c r="L13" s="49" t="s">
        <v>6036</v>
      </c>
      <c r="M13" s="49" t="s">
        <v>6259</v>
      </c>
      <c r="N13" s="50" t="s">
        <v>6259</v>
      </c>
    </row>
    <row r="14" spans="1:14" ht="11.1" customHeight="1">
      <c r="A14" s="51" t="s">
        <v>6289</v>
      </c>
      <c r="B14" s="52" t="s">
        <v>6217</v>
      </c>
      <c r="C14" s="53">
        <v>149697</v>
      </c>
      <c r="D14" s="54">
        <v>0.65470218544581438</v>
      </c>
      <c r="E14" s="55" t="s">
        <v>6251</v>
      </c>
      <c r="F14" s="56" t="s">
        <v>6290</v>
      </c>
      <c r="G14" s="56">
        <v>61</v>
      </c>
      <c r="H14" s="56" t="s">
        <v>0</v>
      </c>
      <c r="I14" s="56" t="s">
        <v>6233</v>
      </c>
      <c r="J14" s="56" t="s">
        <v>6253</v>
      </c>
      <c r="K14" s="56" t="s">
        <v>6254</v>
      </c>
      <c r="L14" s="56" t="s">
        <v>6209</v>
      </c>
      <c r="M14" s="56">
        <v>6</v>
      </c>
      <c r="N14" s="57" t="s">
        <v>6213</v>
      </c>
    </row>
    <row r="15" spans="1:14" ht="11.1" customHeight="1">
      <c r="A15" s="31" t="s">
        <v>6291</v>
      </c>
      <c r="B15" s="38" t="s">
        <v>6230</v>
      </c>
      <c r="C15" s="39">
        <v>75029</v>
      </c>
      <c r="D15" s="40">
        <v>0.32814051231363356</v>
      </c>
      <c r="E15" s="41">
        <v>50.120576898668645</v>
      </c>
      <c r="F15" s="42" t="s">
        <v>6292</v>
      </c>
      <c r="G15" s="42">
        <v>44</v>
      </c>
      <c r="H15" s="42" t="s">
        <v>0</v>
      </c>
      <c r="I15" s="42" t="s">
        <v>6233</v>
      </c>
      <c r="J15" s="42" t="s">
        <v>6257</v>
      </c>
      <c r="K15" s="42" t="s">
        <v>6258</v>
      </c>
      <c r="L15" s="42" t="s">
        <v>6036</v>
      </c>
      <c r="M15" s="42" t="s">
        <v>6259</v>
      </c>
      <c r="N15" s="43" t="s">
        <v>6260</v>
      </c>
    </row>
    <row r="16" spans="1:14" ht="11.1" customHeight="1">
      <c r="A16" s="44" t="s">
        <v>6293</v>
      </c>
      <c r="B16" s="45" t="s">
        <v>6231</v>
      </c>
      <c r="C16" s="46">
        <v>3923</v>
      </c>
      <c r="D16" s="47">
        <v>1.7157302240552112E-2</v>
      </c>
      <c r="E16" s="48" t="s">
        <v>6262</v>
      </c>
      <c r="F16" s="49" t="s">
        <v>6294</v>
      </c>
      <c r="G16" s="49">
        <v>55</v>
      </c>
      <c r="H16" s="49" t="s">
        <v>0</v>
      </c>
      <c r="I16" s="49" t="s">
        <v>6259</v>
      </c>
      <c r="J16" s="49" t="s">
        <v>6267</v>
      </c>
      <c r="K16" s="49" t="s">
        <v>6268</v>
      </c>
      <c r="L16" s="49" t="s">
        <v>6036</v>
      </c>
      <c r="M16" s="49" t="s">
        <v>6259</v>
      </c>
      <c r="N16" s="50" t="s">
        <v>6259</v>
      </c>
    </row>
    <row r="17" spans="1:14" ht="11.1" customHeight="1">
      <c r="A17" s="51" t="s">
        <v>6295</v>
      </c>
      <c r="B17" s="52" t="s">
        <v>6217</v>
      </c>
      <c r="C17" s="53">
        <v>182952</v>
      </c>
      <c r="D17" s="54">
        <v>0.53844252163164397</v>
      </c>
      <c r="E17" s="55" t="s">
        <v>6251</v>
      </c>
      <c r="F17" s="56" t="s">
        <v>6296</v>
      </c>
      <c r="G17" s="56">
        <v>40</v>
      </c>
      <c r="H17" s="56" t="s">
        <v>6049</v>
      </c>
      <c r="I17" s="56" t="s">
        <v>6233</v>
      </c>
      <c r="J17" s="56" t="s">
        <v>6253</v>
      </c>
      <c r="K17" s="56" t="s">
        <v>6254</v>
      </c>
      <c r="L17" s="56" t="s">
        <v>6283</v>
      </c>
      <c r="M17" s="56">
        <v>1</v>
      </c>
      <c r="N17" s="57" t="s">
        <v>6213</v>
      </c>
    </row>
    <row r="18" spans="1:14" ht="11.1" customHeight="1">
      <c r="A18" s="31" t="s">
        <v>6297</v>
      </c>
      <c r="B18" s="38" t="s">
        <v>6232</v>
      </c>
      <c r="C18" s="39">
        <v>151448</v>
      </c>
      <c r="D18" s="40">
        <v>0.44572370357290009</v>
      </c>
      <c r="E18" s="58">
        <v>82.780182780182784</v>
      </c>
      <c r="F18" s="59" t="s">
        <v>6298</v>
      </c>
      <c r="G18" s="59">
        <v>64</v>
      </c>
      <c r="H18" s="59" t="s">
        <v>0</v>
      </c>
      <c r="I18" s="59" t="s">
        <v>6233</v>
      </c>
      <c r="J18" s="59" t="s">
        <v>6257</v>
      </c>
      <c r="K18" s="59" t="s">
        <v>6286</v>
      </c>
      <c r="L18" s="59" t="s">
        <v>6209</v>
      </c>
      <c r="M18" s="59">
        <v>8</v>
      </c>
      <c r="N18" s="43" t="s">
        <v>6260</v>
      </c>
    </row>
    <row r="19" spans="1:14" ht="11.1" customHeight="1">
      <c r="A19" s="44" t="s">
        <v>6299</v>
      </c>
      <c r="B19" s="45" t="s">
        <v>6231</v>
      </c>
      <c r="C19" s="46">
        <v>5380</v>
      </c>
      <c r="D19" s="47">
        <v>1.5833774795455884E-2</v>
      </c>
      <c r="E19" s="48" t="s">
        <v>6262</v>
      </c>
      <c r="F19" s="49" t="s">
        <v>6300</v>
      </c>
      <c r="G19" s="49">
        <v>42</v>
      </c>
      <c r="H19" s="49" t="s">
        <v>0</v>
      </c>
      <c r="I19" s="49" t="s">
        <v>6259</v>
      </c>
      <c r="J19" s="49" t="s">
        <v>6267</v>
      </c>
      <c r="K19" s="49" t="s">
        <v>6268</v>
      </c>
      <c r="L19" s="49" t="s">
        <v>6036</v>
      </c>
      <c r="M19" s="49" t="s">
        <v>6259</v>
      </c>
      <c r="N19" s="50" t="s">
        <v>6259</v>
      </c>
    </row>
    <row r="20" spans="1:14" ht="11.1" customHeight="1">
      <c r="A20" s="51" t="s">
        <v>6301</v>
      </c>
      <c r="B20" s="52" t="s">
        <v>6217</v>
      </c>
      <c r="C20" s="53">
        <v>175879</v>
      </c>
      <c r="D20" s="54">
        <v>0.55433196441009702</v>
      </c>
      <c r="E20" s="55" t="s">
        <v>6251</v>
      </c>
      <c r="F20" s="56" t="s">
        <v>6302</v>
      </c>
      <c r="G20" s="56">
        <v>60</v>
      </c>
      <c r="H20" s="56" t="s">
        <v>0</v>
      </c>
      <c r="I20" s="56" t="s">
        <v>6233</v>
      </c>
      <c r="J20" s="56" t="s">
        <v>6253</v>
      </c>
      <c r="K20" s="56" t="s">
        <v>6254</v>
      </c>
      <c r="L20" s="56" t="s">
        <v>6209</v>
      </c>
      <c r="M20" s="56">
        <v>1</v>
      </c>
      <c r="N20" s="57" t="s">
        <v>6213</v>
      </c>
    </row>
    <row r="21" spans="1:14" ht="11.1" customHeight="1">
      <c r="A21" s="31" t="s">
        <v>6303</v>
      </c>
      <c r="B21" s="38" t="s">
        <v>6230</v>
      </c>
      <c r="C21" s="39">
        <v>119964</v>
      </c>
      <c r="D21" s="40">
        <v>0.37810016988095724</v>
      </c>
      <c r="E21" s="41">
        <v>68.208256812922514</v>
      </c>
      <c r="F21" s="42" t="s">
        <v>6304</v>
      </c>
      <c r="G21" s="42">
        <v>62</v>
      </c>
      <c r="H21" s="42" t="s">
        <v>0</v>
      </c>
      <c r="I21" s="42" t="s">
        <v>6233</v>
      </c>
      <c r="J21" s="42" t="s">
        <v>6257</v>
      </c>
      <c r="K21" s="42" t="s">
        <v>6273</v>
      </c>
      <c r="L21" s="42" t="s">
        <v>6209</v>
      </c>
      <c r="M21" s="42">
        <v>4</v>
      </c>
      <c r="N21" s="43" t="s">
        <v>6260</v>
      </c>
    </row>
    <row r="22" spans="1:14" ht="11.1" customHeight="1">
      <c r="A22" s="31" t="s">
        <v>6305</v>
      </c>
      <c r="B22" s="38" t="s">
        <v>6231</v>
      </c>
      <c r="C22" s="39">
        <v>17884</v>
      </c>
      <c r="D22" s="40">
        <v>5.6366438582833515E-2</v>
      </c>
      <c r="E22" s="41">
        <v>10.168354379999887</v>
      </c>
      <c r="F22" s="42" t="s">
        <v>6306</v>
      </c>
      <c r="G22" s="42">
        <v>59</v>
      </c>
      <c r="H22" s="42" t="s">
        <v>0</v>
      </c>
      <c r="I22" s="42" t="s">
        <v>6233</v>
      </c>
      <c r="J22" s="42" t="s">
        <v>6264</v>
      </c>
      <c r="K22" s="42" t="s">
        <v>6259</v>
      </c>
      <c r="L22" s="42" t="s">
        <v>6036</v>
      </c>
      <c r="M22" s="42" t="s">
        <v>6259</v>
      </c>
      <c r="N22" s="43" t="s">
        <v>6259</v>
      </c>
    </row>
    <row r="23" spans="1:14" ht="11.1" customHeight="1">
      <c r="A23" s="44" t="s">
        <v>6307</v>
      </c>
      <c r="B23" s="45" t="s">
        <v>6231</v>
      </c>
      <c r="C23" s="46">
        <v>3554</v>
      </c>
      <c r="D23" s="47">
        <v>1.1201427126112185E-2</v>
      </c>
      <c r="E23" s="48" t="s">
        <v>6262</v>
      </c>
      <c r="F23" s="49" t="s">
        <v>6308</v>
      </c>
      <c r="G23" s="49">
        <v>42</v>
      </c>
      <c r="H23" s="49" t="s">
        <v>0</v>
      </c>
      <c r="I23" s="49" t="s">
        <v>6259</v>
      </c>
      <c r="J23" s="49" t="s">
        <v>6267</v>
      </c>
      <c r="K23" s="49" t="s">
        <v>6268</v>
      </c>
      <c r="L23" s="49" t="s">
        <v>6036</v>
      </c>
      <c r="M23" s="49" t="s">
        <v>6259</v>
      </c>
      <c r="N23" s="50" t="s">
        <v>6259</v>
      </c>
    </row>
    <row r="24" spans="1:14" ht="11.1" customHeight="1">
      <c r="A24" s="51" t="s">
        <v>6309</v>
      </c>
      <c r="B24" s="60" t="s">
        <v>6217</v>
      </c>
      <c r="C24" s="61">
        <v>100150</v>
      </c>
      <c r="D24" s="62">
        <v>0.49698040363840273</v>
      </c>
      <c r="E24" s="63" t="s">
        <v>6251</v>
      </c>
      <c r="F24" s="64" t="s">
        <v>6310</v>
      </c>
      <c r="G24" s="64">
        <v>60</v>
      </c>
      <c r="H24" s="64" t="s">
        <v>0</v>
      </c>
      <c r="I24" s="64" t="s">
        <v>6233</v>
      </c>
      <c r="J24" s="64" t="s">
        <v>6257</v>
      </c>
      <c r="K24" s="64" t="s">
        <v>6311</v>
      </c>
      <c r="L24" s="64" t="s">
        <v>6036</v>
      </c>
      <c r="M24" s="64" t="s">
        <v>6259</v>
      </c>
      <c r="N24" s="65" t="s">
        <v>6260</v>
      </c>
    </row>
    <row r="25" spans="1:14" ht="11.1" customHeight="1">
      <c r="A25" s="31" t="s">
        <v>6312</v>
      </c>
      <c r="B25" s="38" t="s">
        <v>6232</v>
      </c>
      <c r="C25" s="39">
        <v>99236</v>
      </c>
      <c r="D25" s="40">
        <v>0.49244480614538721</v>
      </c>
      <c r="E25" s="35">
        <v>99.087368946580128</v>
      </c>
      <c r="F25" s="36" t="s">
        <v>6313</v>
      </c>
      <c r="G25" s="36">
        <v>50</v>
      </c>
      <c r="H25" s="36" t="s">
        <v>6049</v>
      </c>
      <c r="I25" s="36" t="s">
        <v>6233</v>
      </c>
      <c r="J25" s="36" t="s">
        <v>6253</v>
      </c>
      <c r="K25" s="36" t="s">
        <v>6053</v>
      </c>
      <c r="L25" s="36" t="s">
        <v>6209</v>
      </c>
      <c r="M25" s="36">
        <v>2</v>
      </c>
      <c r="N25" s="43" t="s">
        <v>6213</v>
      </c>
    </row>
    <row r="26" spans="1:14" ht="11.1" customHeight="1">
      <c r="A26" s="44" t="s">
        <v>6314</v>
      </c>
      <c r="B26" s="45" t="s">
        <v>6231</v>
      </c>
      <c r="C26" s="46">
        <v>2131</v>
      </c>
      <c r="D26" s="47">
        <v>1.0574790216210047E-2</v>
      </c>
      <c r="E26" s="48" t="s">
        <v>6262</v>
      </c>
      <c r="F26" s="49" t="s">
        <v>6315</v>
      </c>
      <c r="G26" s="49">
        <v>50</v>
      </c>
      <c r="H26" s="49" t="s">
        <v>6049</v>
      </c>
      <c r="I26" s="49" t="s">
        <v>6259</v>
      </c>
      <c r="J26" s="49" t="s">
        <v>6267</v>
      </c>
      <c r="K26" s="49" t="s">
        <v>6268</v>
      </c>
      <c r="L26" s="49" t="s">
        <v>6036</v>
      </c>
      <c r="M26" s="49" t="s">
        <v>6259</v>
      </c>
      <c r="N26" s="50" t="s">
        <v>6259</v>
      </c>
    </row>
    <row r="27" spans="1:14" ht="11.1" customHeight="1">
      <c r="A27" s="51" t="s">
        <v>6316</v>
      </c>
      <c r="B27" s="52" t="s">
        <v>6217</v>
      </c>
      <c r="C27" s="53">
        <v>171114</v>
      </c>
      <c r="D27" s="54">
        <v>0.62604591603402537</v>
      </c>
      <c r="E27" s="55" t="s">
        <v>6251</v>
      </c>
      <c r="F27" s="56" t="s">
        <v>6317</v>
      </c>
      <c r="G27" s="56">
        <v>50</v>
      </c>
      <c r="H27" s="56" t="s">
        <v>0</v>
      </c>
      <c r="I27" s="56" t="s">
        <v>6233</v>
      </c>
      <c r="J27" s="56" t="s">
        <v>6253</v>
      </c>
      <c r="K27" s="56" t="s">
        <v>6053</v>
      </c>
      <c r="L27" s="56" t="s">
        <v>6209</v>
      </c>
      <c r="M27" s="56">
        <v>1</v>
      </c>
      <c r="N27" s="57" t="s">
        <v>6213</v>
      </c>
    </row>
    <row r="28" spans="1:14" ht="11.1" customHeight="1">
      <c r="A28" s="31" t="s">
        <v>6318</v>
      </c>
      <c r="B28" s="38" t="s">
        <v>6230</v>
      </c>
      <c r="C28" s="39">
        <v>58046</v>
      </c>
      <c r="D28" s="40">
        <v>0.2123698893258941</v>
      </c>
      <c r="E28" s="41">
        <v>33.922414296901479</v>
      </c>
      <c r="F28" s="42" t="s">
        <v>6319</v>
      </c>
      <c r="G28" s="42">
        <v>63</v>
      </c>
      <c r="H28" s="42" t="s">
        <v>0</v>
      </c>
      <c r="I28" s="42" t="s">
        <v>6233</v>
      </c>
      <c r="J28" s="42" t="s">
        <v>6257</v>
      </c>
      <c r="K28" s="42" t="s">
        <v>6286</v>
      </c>
      <c r="L28" s="42" t="s">
        <v>6036</v>
      </c>
      <c r="M28" s="42" t="s">
        <v>6259</v>
      </c>
      <c r="N28" s="43" t="s">
        <v>6259</v>
      </c>
    </row>
    <row r="29" spans="1:14" ht="11.1" customHeight="1">
      <c r="A29" s="31" t="s">
        <v>6320</v>
      </c>
      <c r="B29" s="38"/>
      <c r="C29" s="39">
        <v>40090</v>
      </c>
      <c r="D29" s="40">
        <v>0.1466752035123022</v>
      </c>
      <c r="E29" s="41" t="s">
        <v>6262</v>
      </c>
      <c r="F29" s="42" t="s">
        <v>6321</v>
      </c>
      <c r="G29" s="42">
        <v>52</v>
      </c>
      <c r="H29" s="42" t="s">
        <v>0</v>
      </c>
      <c r="I29" s="42" t="s">
        <v>6259</v>
      </c>
      <c r="J29" s="42" t="s">
        <v>6322</v>
      </c>
      <c r="K29" s="42" t="s">
        <v>6323</v>
      </c>
      <c r="L29" s="42" t="s">
        <v>6036</v>
      </c>
      <c r="M29" s="42" t="s">
        <v>6259</v>
      </c>
      <c r="N29" s="43" t="s">
        <v>6259</v>
      </c>
    </row>
    <row r="30" spans="1:14" ht="11.1" customHeight="1">
      <c r="A30" s="44" t="s">
        <v>6324</v>
      </c>
      <c r="B30" s="45" t="s">
        <v>6231</v>
      </c>
      <c r="C30" s="46">
        <v>4075</v>
      </c>
      <c r="D30" s="47">
        <v>1.4908991127778286E-2</v>
      </c>
      <c r="E30" s="48" t="s">
        <v>6262</v>
      </c>
      <c r="F30" s="49" t="s">
        <v>6325</v>
      </c>
      <c r="G30" s="49">
        <v>32</v>
      </c>
      <c r="H30" s="49" t="s">
        <v>0</v>
      </c>
      <c r="I30" s="49" t="s">
        <v>6259</v>
      </c>
      <c r="J30" s="49" t="s">
        <v>6267</v>
      </c>
      <c r="K30" s="49" t="s">
        <v>6268</v>
      </c>
      <c r="L30" s="49" t="s">
        <v>6036</v>
      </c>
      <c r="M30" s="49" t="s">
        <v>6259</v>
      </c>
      <c r="N30" s="50" t="s">
        <v>6259</v>
      </c>
    </row>
    <row r="31" spans="1:14" ht="11.1" customHeight="1">
      <c r="A31" s="51" t="s">
        <v>6326</v>
      </c>
      <c r="B31" s="52" t="s">
        <v>6217</v>
      </c>
      <c r="C31" s="53">
        <v>201461</v>
      </c>
      <c r="D31" s="54">
        <v>0.66357815268875286</v>
      </c>
      <c r="E31" s="55" t="s">
        <v>6262</v>
      </c>
      <c r="F31" s="56" t="s">
        <v>6327</v>
      </c>
      <c r="G31" s="56">
        <v>62</v>
      </c>
      <c r="H31" s="56" t="s">
        <v>0</v>
      </c>
      <c r="I31" s="56" t="s">
        <v>6259</v>
      </c>
      <c r="J31" s="56" t="s">
        <v>6253</v>
      </c>
      <c r="K31" s="56" t="s">
        <v>24</v>
      </c>
      <c r="L31" s="56" t="s">
        <v>6209</v>
      </c>
      <c r="M31" s="56">
        <v>7</v>
      </c>
      <c r="N31" s="57" t="s">
        <v>6213</v>
      </c>
    </row>
    <row r="32" spans="1:14" ht="11.1" customHeight="1">
      <c r="A32" s="31" t="s">
        <v>6328</v>
      </c>
      <c r="B32" s="38" t="s">
        <v>6230</v>
      </c>
      <c r="C32" s="39">
        <v>79116</v>
      </c>
      <c r="D32" s="40">
        <v>0.26059460207247742</v>
      </c>
      <c r="E32" s="41">
        <v>39.271124435995056</v>
      </c>
      <c r="F32" s="42" t="s">
        <v>6329</v>
      </c>
      <c r="G32" s="42">
        <v>38</v>
      </c>
      <c r="H32" s="42" t="s">
        <v>0</v>
      </c>
      <c r="I32" s="42" t="s">
        <v>6233</v>
      </c>
      <c r="J32" s="42" t="s">
        <v>6257</v>
      </c>
      <c r="K32" s="42" t="s">
        <v>6258</v>
      </c>
      <c r="L32" s="42" t="s">
        <v>6036</v>
      </c>
      <c r="M32" s="42" t="s">
        <v>6259</v>
      </c>
      <c r="N32" s="43" t="s">
        <v>6260</v>
      </c>
    </row>
    <row r="33" spans="1:14" ht="11.1" customHeight="1">
      <c r="A33" s="31" t="s">
        <v>6330</v>
      </c>
      <c r="B33" s="38" t="s">
        <v>6231</v>
      </c>
      <c r="C33" s="39">
        <v>20286</v>
      </c>
      <c r="D33" s="40">
        <v>6.6818621993557273E-2</v>
      </c>
      <c r="E33" s="41">
        <v>10.069442720923652</v>
      </c>
      <c r="F33" s="42" t="s">
        <v>6331</v>
      </c>
      <c r="G33" s="42">
        <v>66</v>
      </c>
      <c r="H33" s="42" t="s">
        <v>6049</v>
      </c>
      <c r="I33" s="42" t="s">
        <v>6233</v>
      </c>
      <c r="J33" s="42" t="s">
        <v>6264</v>
      </c>
      <c r="K33" s="42" t="s">
        <v>6259</v>
      </c>
      <c r="L33" s="42" t="s">
        <v>6036</v>
      </c>
      <c r="M33" s="42" t="s">
        <v>6259</v>
      </c>
      <c r="N33" s="43" t="s">
        <v>6259</v>
      </c>
    </row>
    <row r="34" spans="1:14" ht="11.1" customHeight="1">
      <c r="A34" s="44" t="s">
        <v>6332</v>
      </c>
      <c r="B34" s="45" t="s">
        <v>6231</v>
      </c>
      <c r="C34" s="46">
        <v>2735</v>
      </c>
      <c r="D34" s="47">
        <v>9.0086232452124184E-3</v>
      </c>
      <c r="E34" s="48" t="s">
        <v>6262</v>
      </c>
      <c r="F34" s="49" t="s">
        <v>6333</v>
      </c>
      <c r="G34" s="49">
        <v>49</v>
      </c>
      <c r="H34" s="49" t="s">
        <v>0</v>
      </c>
      <c r="I34" s="49" t="s">
        <v>6259</v>
      </c>
      <c r="J34" s="49" t="s">
        <v>6267</v>
      </c>
      <c r="K34" s="49" t="s">
        <v>6268</v>
      </c>
      <c r="L34" s="49" t="s">
        <v>6036</v>
      </c>
      <c r="M34" s="49" t="s">
        <v>6259</v>
      </c>
      <c r="N34" s="50" t="s">
        <v>6259</v>
      </c>
    </row>
    <row r="35" spans="1:14" ht="11.1" customHeight="1">
      <c r="A35" s="51" t="s">
        <v>6334</v>
      </c>
      <c r="B35" s="52" t="s">
        <v>6217</v>
      </c>
      <c r="C35" s="53">
        <v>159473</v>
      </c>
      <c r="D35" s="54">
        <v>0.62569347991556612</v>
      </c>
      <c r="E35" s="55" t="s">
        <v>6251</v>
      </c>
      <c r="F35" s="56" t="s">
        <v>6335</v>
      </c>
      <c r="G35" s="56">
        <v>67</v>
      </c>
      <c r="H35" s="56" t="s">
        <v>0</v>
      </c>
      <c r="I35" s="56" t="s">
        <v>6233</v>
      </c>
      <c r="J35" s="56" t="s">
        <v>6253</v>
      </c>
      <c r="K35" s="56" t="s">
        <v>24</v>
      </c>
      <c r="L35" s="56" t="s">
        <v>6209</v>
      </c>
      <c r="M35" s="56">
        <v>6</v>
      </c>
      <c r="N35" s="57" t="s">
        <v>6213</v>
      </c>
    </row>
    <row r="36" spans="1:14" ht="11.1" customHeight="1">
      <c r="A36" s="31" t="s">
        <v>6336</v>
      </c>
      <c r="B36" s="38" t="s">
        <v>6230</v>
      </c>
      <c r="C36" s="39">
        <v>89287</v>
      </c>
      <c r="D36" s="40">
        <v>0.35031819644216355</v>
      </c>
      <c r="E36" s="41">
        <v>55.988788070707891</v>
      </c>
      <c r="F36" s="42" t="s">
        <v>6337</v>
      </c>
      <c r="G36" s="42">
        <v>45</v>
      </c>
      <c r="H36" s="42" t="s">
        <v>6049</v>
      </c>
      <c r="I36" s="42" t="s">
        <v>6233</v>
      </c>
      <c r="J36" s="42" t="s">
        <v>6257</v>
      </c>
      <c r="K36" s="42" t="s">
        <v>6258</v>
      </c>
      <c r="L36" s="42" t="s">
        <v>6209</v>
      </c>
      <c r="M36" s="42">
        <v>1</v>
      </c>
      <c r="N36" s="43" t="s">
        <v>6260</v>
      </c>
    </row>
    <row r="37" spans="1:14" ht="11.1" customHeight="1">
      <c r="A37" s="44" t="s">
        <v>6338</v>
      </c>
      <c r="B37" s="45" t="s">
        <v>6231</v>
      </c>
      <c r="C37" s="46">
        <v>6114</v>
      </c>
      <c r="D37" s="47">
        <v>2.3988323642270298E-2</v>
      </c>
      <c r="E37" s="48" t="s">
        <v>6262</v>
      </c>
      <c r="F37" s="49" t="s">
        <v>6339</v>
      </c>
      <c r="G37" s="49">
        <v>36</v>
      </c>
      <c r="H37" s="49" t="s">
        <v>0</v>
      </c>
      <c r="I37" s="49" t="s">
        <v>6259</v>
      </c>
      <c r="J37" s="49" t="s">
        <v>6267</v>
      </c>
      <c r="K37" s="49" t="s">
        <v>6268</v>
      </c>
      <c r="L37" s="49" t="s">
        <v>6036</v>
      </c>
      <c r="M37" s="49" t="s">
        <v>6259</v>
      </c>
      <c r="N37" s="50" t="s">
        <v>6259</v>
      </c>
    </row>
    <row r="38" spans="1:14" ht="11.1" customHeight="1">
      <c r="A38" s="51" t="s">
        <v>6340</v>
      </c>
      <c r="B38" s="52" t="s">
        <v>6217</v>
      </c>
      <c r="C38" s="53">
        <v>118655</v>
      </c>
      <c r="D38" s="54">
        <v>0.54029133065893187</v>
      </c>
      <c r="E38" s="55" t="s">
        <v>6251</v>
      </c>
      <c r="F38" s="56" t="s">
        <v>6341</v>
      </c>
      <c r="G38" s="56">
        <v>36</v>
      </c>
      <c r="H38" s="56" t="s">
        <v>0</v>
      </c>
      <c r="I38" s="56" t="s">
        <v>6233</v>
      </c>
      <c r="J38" s="56" t="s">
        <v>6253</v>
      </c>
      <c r="K38" s="56" t="s">
        <v>6035</v>
      </c>
      <c r="L38" s="56" t="s">
        <v>6209</v>
      </c>
      <c r="M38" s="56">
        <v>1</v>
      </c>
      <c r="N38" s="57" t="s">
        <v>6213</v>
      </c>
    </row>
    <row r="39" spans="1:14" ht="11.1" customHeight="1">
      <c r="A39" s="31" t="s">
        <v>6342</v>
      </c>
      <c r="B39" s="38" t="s">
        <v>6230</v>
      </c>
      <c r="C39" s="39">
        <v>89818</v>
      </c>
      <c r="D39" s="40">
        <v>0.40898307477244061</v>
      </c>
      <c r="E39" s="41">
        <v>75.696767940668323</v>
      </c>
      <c r="F39" s="42" t="s">
        <v>6343</v>
      </c>
      <c r="G39" s="42">
        <v>56</v>
      </c>
      <c r="H39" s="42" t="s">
        <v>0</v>
      </c>
      <c r="I39" s="42" t="s">
        <v>6233</v>
      </c>
      <c r="J39" s="42" t="s">
        <v>6257</v>
      </c>
      <c r="K39" s="42" t="s">
        <v>6311</v>
      </c>
      <c r="L39" s="42" t="s">
        <v>6209</v>
      </c>
      <c r="M39" s="42">
        <v>8</v>
      </c>
      <c r="N39" s="43" t="s">
        <v>6260</v>
      </c>
    </row>
    <row r="40" spans="1:14" ht="11.1" customHeight="1">
      <c r="A40" s="44" t="s">
        <v>6344</v>
      </c>
      <c r="B40" s="45" t="s">
        <v>6231</v>
      </c>
      <c r="C40" s="46">
        <v>11140</v>
      </c>
      <c r="D40" s="47">
        <v>5.072559456862754E-2</v>
      </c>
      <c r="E40" s="41">
        <v>9.3885634823648392</v>
      </c>
      <c r="F40" s="49" t="s">
        <v>6345</v>
      </c>
      <c r="G40" s="49">
        <v>60</v>
      </c>
      <c r="H40" s="49" t="s">
        <v>6049</v>
      </c>
      <c r="I40" s="49" t="s">
        <v>6233</v>
      </c>
      <c r="J40" s="49" t="s">
        <v>6264</v>
      </c>
      <c r="K40" s="49" t="s">
        <v>6259</v>
      </c>
      <c r="L40" s="49" t="s">
        <v>6036</v>
      </c>
      <c r="M40" s="49" t="s">
        <v>6259</v>
      </c>
      <c r="N40" s="50" t="s">
        <v>6259</v>
      </c>
    </row>
    <row r="41" spans="1:14" ht="11.1" customHeight="1">
      <c r="A41" s="51" t="s">
        <v>6346</v>
      </c>
      <c r="B41" s="52" t="s">
        <v>6217</v>
      </c>
      <c r="C41" s="53">
        <v>127166</v>
      </c>
      <c r="D41" s="54">
        <v>0.52413867009591175</v>
      </c>
      <c r="E41" s="55" t="s">
        <v>6251</v>
      </c>
      <c r="F41" s="56" t="s">
        <v>6347</v>
      </c>
      <c r="G41" s="56">
        <v>50</v>
      </c>
      <c r="H41" s="56" t="s">
        <v>0</v>
      </c>
      <c r="I41" s="56" t="s">
        <v>6233</v>
      </c>
      <c r="J41" s="56" t="s">
        <v>6253</v>
      </c>
      <c r="K41" s="56" t="s">
        <v>6035</v>
      </c>
      <c r="L41" s="56" t="s">
        <v>6209</v>
      </c>
      <c r="M41" s="56">
        <v>2</v>
      </c>
      <c r="N41" s="57" t="s">
        <v>6213</v>
      </c>
    </row>
    <row r="42" spans="1:14" ht="11.1" customHeight="1">
      <c r="A42" s="31" t="s">
        <v>6348</v>
      </c>
      <c r="B42" s="38" t="s">
        <v>6232</v>
      </c>
      <c r="C42" s="39">
        <v>112690</v>
      </c>
      <c r="D42" s="40">
        <v>0.46447310392013819</v>
      </c>
      <c r="E42" s="58">
        <v>88.616454083638715</v>
      </c>
      <c r="F42" s="59" t="s">
        <v>6349</v>
      </c>
      <c r="G42" s="59">
        <v>68</v>
      </c>
      <c r="H42" s="59" t="s">
        <v>0</v>
      </c>
      <c r="I42" s="59" t="s">
        <v>6233</v>
      </c>
      <c r="J42" s="59" t="s">
        <v>6257</v>
      </c>
      <c r="K42" s="59" t="s">
        <v>6350</v>
      </c>
      <c r="L42" s="59" t="s">
        <v>6209</v>
      </c>
      <c r="M42" s="59">
        <v>7</v>
      </c>
      <c r="N42" s="43" t="s">
        <v>6260</v>
      </c>
    </row>
    <row r="43" spans="1:14" ht="11.1" customHeight="1" thickBot="1">
      <c r="A43" s="66" t="s">
        <v>6351</v>
      </c>
      <c r="B43" s="67" t="s">
        <v>6231</v>
      </c>
      <c r="C43" s="68">
        <v>2763</v>
      </c>
      <c r="D43" s="69">
        <v>1.1388225983950144E-2</v>
      </c>
      <c r="E43" s="70" t="s">
        <v>6262</v>
      </c>
      <c r="F43" s="71" t="s">
        <v>6352</v>
      </c>
      <c r="G43" s="71">
        <v>56</v>
      </c>
      <c r="H43" s="71" t="s">
        <v>0</v>
      </c>
      <c r="I43" s="71" t="s">
        <v>6259</v>
      </c>
      <c r="J43" s="71" t="s">
        <v>6267</v>
      </c>
      <c r="K43" s="71" t="s">
        <v>6268</v>
      </c>
      <c r="L43" s="71" t="s">
        <v>6036</v>
      </c>
      <c r="M43" s="71" t="s">
        <v>6259</v>
      </c>
      <c r="N43" s="72" t="s">
        <v>6259</v>
      </c>
    </row>
    <row r="44" spans="1:14" ht="11.1" customHeight="1" thickTop="1">
      <c r="A44" s="31" t="s">
        <v>6353</v>
      </c>
      <c r="B44" s="32" t="s">
        <v>6217</v>
      </c>
      <c r="C44" s="33">
        <v>101290</v>
      </c>
      <c r="D44" s="34">
        <v>0.44466589694849179</v>
      </c>
      <c r="E44" s="35" t="s">
        <v>6251</v>
      </c>
      <c r="F44" s="36" t="s">
        <v>6354</v>
      </c>
      <c r="G44" s="36">
        <v>45</v>
      </c>
      <c r="H44" s="36" t="s">
        <v>0</v>
      </c>
      <c r="I44" s="36" t="s">
        <v>6233</v>
      </c>
      <c r="J44" s="36" t="s">
        <v>6253</v>
      </c>
      <c r="K44" s="36" t="s">
        <v>6053</v>
      </c>
      <c r="L44" s="36" t="s">
        <v>6209</v>
      </c>
      <c r="M44" s="36">
        <v>1</v>
      </c>
      <c r="N44" s="37" t="s">
        <v>6213</v>
      </c>
    </row>
    <row r="45" spans="1:14" ht="11.1" customHeight="1">
      <c r="A45" s="31" t="s">
        <v>6355</v>
      </c>
      <c r="B45" s="38" t="s">
        <v>6230</v>
      </c>
      <c r="C45" s="39">
        <v>68910</v>
      </c>
      <c r="D45" s="40">
        <v>0.30251680283068982</v>
      </c>
      <c r="E45" s="41" t="s">
        <v>6262</v>
      </c>
      <c r="F45" s="42" t="s">
        <v>6356</v>
      </c>
      <c r="G45" s="42">
        <v>42</v>
      </c>
      <c r="H45" s="42" t="s">
        <v>0</v>
      </c>
      <c r="I45" s="42" t="s">
        <v>6259</v>
      </c>
      <c r="J45" s="42" t="s">
        <v>6322</v>
      </c>
      <c r="K45" s="42" t="s">
        <v>6357</v>
      </c>
      <c r="L45" s="42" t="s">
        <v>6036</v>
      </c>
      <c r="M45" s="42" t="s">
        <v>6259</v>
      </c>
      <c r="N45" s="43" t="s">
        <v>6260</v>
      </c>
    </row>
    <row r="46" spans="1:14" ht="11.1" customHeight="1">
      <c r="A46" s="31" t="s">
        <v>6358</v>
      </c>
      <c r="B46" s="38"/>
      <c r="C46" s="39">
        <v>35283</v>
      </c>
      <c r="D46" s="40">
        <v>0.15489334427913551</v>
      </c>
      <c r="E46" s="41" t="s">
        <v>6262</v>
      </c>
      <c r="F46" s="42" t="s">
        <v>6359</v>
      </c>
      <c r="G46" s="42">
        <v>52</v>
      </c>
      <c r="H46" s="42" t="s">
        <v>0</v>
      </c>
      <c r="I46" s="42" t="s">
        <v>6259</v>
      </c>
      <c r="J46" s="42" t="s">
        <v>6322</v>
      </c>
      <c r="K46" s="42" t="s">
        <v>6360</v>
      </c>
      <c r="L46" s="42" t="s">
        <v>6036</v>
      </c>
      <c r="M46" s="42" t="s">
        <v>6259</v>
      </c>
      <c r="N46" s="43" t="s">
        <v>6259</v>
      </c>
    </row>
    <row r="47" spans="1:14" ht="11.1" customHeight="1">
      <c r="A47" s="31" t="s">
        <v>6361</v>
      </c>
      <c r="B47" s="38" t="s">
        <v>6231</v>
      </c>
      <c r="C47" s="39">
        <v>12847</v>
      </c>
      <c r="D47" s="40">
        <v>5.6398684747727065E-2</v>
      </c>
      <c r="E47" s="41">
        <v>12.683384341988351</v>
      </c>
      <c r="F47" s="42" t="s">
        <v>6362</v>
      </c>
      <c r="G47" s="42">
        <v>69</v>
      </c>
      <c r="H47" s="42" t="s">
        <v>0</v>
      </c>
      <c r="I47" s="42" t="s">
        <v>6233</v>
      </c>
      <c r="J47" s="42" t="s">
        <v>6278</v>
      </c>
      <c r="K47" s="42" t="s">
        <v>6259</v>
      </c>
      <c r="L47" s="42" t="s">
        <v>6036</v>
      </c>
      <c r="M47" s="42" t="s">
        <v>6259</v>
      </c>
      <c r="N47" s="43" t="s">
        <v>6259</v>
      </c>
    </row>
    <row r="48" spans="1:14" ht="11.1" customHeight="1">
      <c r="A48" s="31" t="s">
        <v>6363</v>
      </c>
      <c r="B48" s="38" t="s">
        <v>6231</v>
      </c>
      <c r="C48" s="39">
        <v>7976</v>
      </c>
      <c r="D48" s="40">
        <v>3.5014860243470933E-2</v>
      </c>
      <c r="E48" s="41">
        <v>7.8744199822292424</v>
      </c>
      <c r="F48" s="42" t="s">
        <v>6364</v>
      </c>
      <c r="G48" s="42">
        <v>35</v>
      </c>
      <c r="H48" s="42" t="s">
        <v>0</v>
      </c>
      <c r="I48" s="42" t="s">
        <v>6233</v>
      </c>
      <c r="J48" s="42" t="s">
        <v>6264</v>
      </c>
      <c r="K48" s="42" t="s">
        <v>6259</v>
      </c>
      <c r="L48" s="42" t="s">
        <v>6036</v>
      </c>
      <c r="M48" s="42" t="s">
        <v>6259</v>
      </c>
      <c r="N48" s="43" t="s">
        <v>6259</v>
      </c>
    </row>
    <row r="49" spans="1:14" ht="11.1" customHeight="1">
      <c r="A49" s="44" t="s">
        <v>6365</v>
      </c>
      <c r="B49" s="45" t="s">
        <v>6231</v>
      </c>
      <c r="C49" s="46">
        <v>1483</v>
      </c>
      <c r="D49" s="47">
        <v>6.5104109504848786E-3</v>
      </c>
      <c r="E49" s="48" t="s">
        <v>6262</v>
      </c>
      <c r="F49" s="49" t="s">
        <v>6366</v>
      </c>
      <c r="G49" s="49">
        <v>59</v>
      </c>
      <c r="H49" s="49" t="s">
        <v>0</v>
      </c>
      <c r="I49" s="49" t="s">
        <v>6259</v>
      </c>
      <c r="J49" s="49" t="s">
        <v>6267</v>
      </c>
      <c r="K49" s="49" t="s">
        <v>6268</v>
      </c>
      <c r="L49" s="49" t="s">
        <v>6036</v>
      </c>
      <c r="M49" s="49" t="s">
        <v>6259</v>
      </c>
      <c r="N49" s="50" t="s">
        <v>6259</v>
      </c>
    </row>
    <row r="50" spans="1:14" ht="11.1" customHeight="1">
      <c r="A50" s="51" t="s">
        <v>6367</v>
      </c>
      <c r="B50" s="60" t="s">
        <v>6217</v>
      </c>
      <c r="C50" s="61">
        <v>86654</v>
      </c>
      <c r="D50" s="62">
        <v>0.54010221889803045</v>
      </c>
      <c r="E50" s="63" t="s">
        <v>6251</v>
      </c>
      <c r="F50" s="64" t="s">
        <v>6368</v>
      </c>
      <c r="G50" s="64">
        <v>53</v>
      </c>
      <c r="H50" s="64" t="s">
        <v>0</v>
      </c>
      <c r="I50" s="64" t="s">
        <v>6233</v>
      </c>
      <c r="J50" s="64" t="s">
        <v>6257</v>
      </c>
      <c r="K50" s="64" t="s">
        <v>6369</v>
      </c>
      <c r="L50" s="64" t="s">
        <v>6209</v>
      </c>
      <c r="M50" s="64">
        <v>3</v>
      </c>
      <c r="N50" s="65" t="s">
        <v>6260</v>
      </c>
    </row>
    <row r="51" spans="1:14" ht="11.1" customHeight="1">
      <c r="A51" s="31" t="s">
        <v>6370</v>
      </c>
      <c r="B51" s="38" t="s">
        <v>6232</v>
      </c>
      <c r="C51" s="39">
        <v>64334</v>
      </c>
      <c r="D51" s="40">
        <v>0.40098479182248814</v>
      </c>
      <c r="E51" s="35">
        <v>74.24238927227826</v>
      </c>
      <c r="F51" s="36" t="s">
        <v>6371</v>
      </c>
      <c r="G51" s="36">
        <v>38</v>
      </c>
      <c r="H51" s="36" t="s">
        <v>6049</v>
      </c>
      <c r="I51" s="36" t="s">
        <v>6233</v>
      </c>
      <c r="J51" s="36" t="s">
        <v>6253</v>
      </c>
      <c r="K51" s="36" t="s">
        <v>6053</v>
      </c>
      <c r="L51" s="36" t="s">
        <v>6036</v>
      </c>
      <c r="M51" s="36" t="s">
        <v>6259</v>
      </c>
      <c r="N51" s="43" t="s">
        <v>6213</v>
      </c>
    </row>
    <row r="52" spans="1:14" ht="11.1" customHeight="1">
      <c r="A52" s="31" t="s">
        <v>6372</v>
      </c>
      <c r="B52" s="38" t="s">
        <v>6231</v>
      </c>
      <c r="C52" s="39">
        <v>7164</v>
      </c>
      <c r="D52" s="40">
        <v>4.4652206432311145E-2</v>
      </c>
      <c r="E52" s="41" t="s">
        <v>6262</v>
      </c>
      <c r="F52" s="42" t="s">
        <v>6373</v>
      </c>
      <c r="G52" s="42">
        <v>61</v>
      </c>
      <c r="H52" s="42" t="s">
        <v>6049</v>
      </c>
      <c r="I52" s="42" t="s">
        <v>6259</v>
      </c>
      <c r="J52" s="42" t="s">
        <v>6322</v>
      </c>
      <c r="K52" s="42" t="s">
        <v>6259</v>
      </c>
      <c r="L52" s="42" t="s">
        <v>6036</v>
      </c>
      <c r="M52" s="42" t="s">
        <v>6259</v>
      </c>
      <c r="N52" s="43" t="s">
        <v>6259</v>
      </c>
    </row>
    <row r="53" spans="1:14" ht="11.1" customHeight="1">
      <c r="A53" s="44" t="s">
        <v>6374</v>
      </c>
      <c r="B53" s="45" t="s">
        <v>6231</v>
      </c>
      <c r="C53" s="46">
        <v>2288</v>
      </c>
      <c r="D53" s="47">
        <v>1.4260782847170281E-2</v>
      </c>
      <c r="E53" s="48" t="s">
        <v>6262</v>
      </c>
      <c r="F53" s="49" t="s">
        <v>6375</v>
      </c>
      <c r="G53" s="49">
        <v>59</v>
      </c>
      <c r="H53" s="49" t="s">
        <v>0</v>
      </c>
      <c r="I53" s="49" t="s">
        <v>6259</v>
      </c>
      <c r="J53" s="49" t="s">
        <v>6267</v>
      </c>
      <c r="K53" s="49" t="s">
        <v>6268</v>
      </c>
      <c r="L53" s="49" t="s">
        <v>6036</v>
      </c>
      <c r="M53" s="49" t="s">
        <v>6259</v>
      </c>
      <c r="N53" s="50" t="s">
        <v>6259</v>
      </c>
    </row>
    <row r="54" spans="1:14" ht="11.1" customHeight="1">
      <c r="A54" s="51" t="s">
        <v>6376</v>
      </c>
      <c r="B54" s="60" t="s">
        <v>6217</v>
      </c>
      <c r="C54" s="61">
        <v>90176</v>
      </c>
      <c r="D54" s="62">
        <v>0.49483630936049255</v>
      </c>
      <c r="E54" s="63" t="s">
        <v>6251</v>
      </c>
      <c r="F54" s="64" t="s">
        <v>6377</v>
      </c>
      <c r="G54" s="64">
        <v>62</v>
      </c>
      <c r="H54" s="64" t="s">
        <v>0</v>
      </c>
      <c r="I54" s="64" t="s">
        <v>6233</v>
      </c>
      <c r="J54" s="64" t="s">
        <v>6257</v>
      </c>
      <c r="K54" s="64" t="s">
        <v>6369</v>
      </c>
      <c r="L54" s="64" t="s">
        <v>6209</v>
      </c>
      <c r="M54" s="64">
        <v>8</v>
      </c>
      <c r="N54" s="65" t="s">
        <v>6260</v>
      </c>
    </row>
    <row r="55" spans="1:14" ht="11.1" customHeight="1">
      <c r="A55" s="31" t="s">
        <v>6378</v>
      </c>
      <c r="B55" s="38" t="s">
        <v>6232</v>
      </c>
      <c r="C55" s="39">
        <v>89809</v>
      </c>
      <c r="D55" s="40">
        <v>0.49282241513658265</v>
      </c>
      <c r="E55" s="35">
        <v>99.593018097941808</v>
      </c>
      <c r="F55" s="36" t="s">
        <v>6379</v>
      </c>
      <c r="G55" s="36">
        <v>40</v>
      </c>
      <c r="H55" s="36" t="s">
        <v>6049</v>
      </c>
      <c r="I55" s="36" t="s">
        <v>6233</v>
      </c>
      <c r="J55" s="36" t="s">
        <v>6253</v>
      </c>
      <c r="K55" s="36" t="s">
        <v>6207</v>
      </c>
      <c r="L55" s="36" t="s">
        <v>6209</v>
      </c>
      <c r="M55" s="36">
        <v>2</v>
      </c>
      <c r="N55" s="43" t="s">
        <v>6213</v>
      </c>
    </row>
    <row r="56" spans="1:14" ht="11.1" customHeight="1">
      <c r="A56" s="44" t="s">
        <v>6380</v>
      </c>
      <c r="B56" s="45" t="s">
        <v>6231</v>
      </c>
      <c r="C56" s="46">
        <v>2249</v>
      </c>
      <c r="D56" s="47">
        <v>1.2341275502924812E-2</v>
      </c>
      <c r="E56" s="48" t="s">
        <v>6262</v>
      </c>
      <c r="F56" s="49" t="s">
        <v>6381</v>
      </c>
      <c r="G56" s="49">
        <v>62</v>
      </c>
      <c r="H56" s="49" t="s">
        <v>0</v>
      </c>
      <c r="I56" s="49" t="s">
        <v>6259</v>
      </c>
      <c r="J56" s="49" t="s">
        <v>6267</v>
      </c>
      <c r="K56" s="49" t="s">
        <v>6268</v>
      </c>
      <c r="L56" s="49" t="s">
        <v>6036</v>
      </c>
      <c r="M56" s="49" t="s">
        <v>6259</v>
      </c>
      <c r="N56" s="50" t="s">
        <v>6259</v>
      </c>
    </row>
    <row r="57" spans="1:14" ht="11.1" customHeight="1">
      <c r="A57" s="51" t="s">
        <v>6382</v>
      </c>
      <c r="B57" s="60" t="s">
        <v>6217</v>
      </c>
      <c r="C57" s="61">
        <v>112563</v>
      </c>
      <c r="D57" s="62">
        <v>0.52592405702031031</v>
      </c>
      <c r="E57" s="63" t="s">
        <v>6251</v>
      </c>
      <c r="F57" s="64" t="s">
        <v>6383</v>
      </c>
      <c r="G57" s="64">
        <v>44</v>
      </c>
      <c r="H57" s="64" t="s">
        <v>0</v>
      </c>
      <c r="I57" s="64" t="s">
        <v>6233</v>
      </c>
      <c r="J57" s="64" t="s">
        <v>6257</v>
      </c>
      <c r="K57" s="64" t="s">
        <v>6286</v>
      </c>
      <c r="L57" s="64" t="s">
        <v>6209</v>
      </c>
      <c r="M57" s="64">
        <v>4</v>
      </c>
      <c r="N57" s="65" t="s">
        <v>6260</v>
      </c>
    </row>
    <row r="58" spans="1:14" ht="11.1" customHeight="1">
      <c r="A58" s="31" t="s">
        <v>6384</v>
      </c>
      <c r="B58" s="38" t="s">
        <v>6232</v>
      </c>
      <c r="C58" s="39">
        <v>97747</v>
      </c>
      <c r="D58" s="40">
        <v>0.45669979301870306</v>
      </c>
      <c r="E58" s="35">
        <v>86.837593170047001</v>
      </c>
      <c r="F58" s="36" t="s">
        <v>6385</v>
      </c>
      <c r="G58" s="36">
        <v>55</v>
      </c>
      <c r="H58" s="36" t="s">
        <v>0</v>
      </c>
      <c r="I58" s="36" t="s">
        <v>6233</v>
      </c>
      <c r="J58" s="36" t="s">
        <v>6253</v>
      </c>
      <c r="K58" s="36" t="s">
        <v>6213</v>
      </c>
      <c r="L58" s="36" t="s">
        <v>6283</v>
      </c>
      <c r="M58" s="36">
        <v>2</v>
      </c>
      <c r="N58" s="43" t="s">
        <v>6213</v>
      </c>
    </row>
    <row r="59" spans="1:14" ht="11.1" customHeight="1" thickBot="1">
      <c r="A59" s="73" t="s">
        <v>6386</v>
      </c>
      <c r="B59" s="74" t="s">
        <v>6231</v>
      </c>
      <c r="C59" s="75">
        <v>3719</v>
      </c>
      <c r="D59" s="76">
        <v>1.7376149960986596E-2</v>
      </c>
      <c r="E59" s="77" t="s">
        <v>6262</v>
      </c>
      <c r="F59" s="78" t="s">
        <v>6387</v>
      </c>
      <c r="G59" s="78">
        <v>50</v>
      </c>
      <c r="H59" s="78" t="s">
        <v>0</v>
      </c>
      <c r="I59" s="78" t="s">
        <v>6259</v>
      </c>
      <c r="J59" s="78" t="s">
        <v>6267</v>
      </c>
      <c r="K59" s="78" t="s">
        <v>6268</v>
      </c>
      <c r="L59" s="78" t="s">
        <v>6036</v>
      </c>
      <c r="M59" s="78" t="s">
        <v>6259</v>
      </c>
      <c r="N59" s="79" t="s">
        <v>6259</v>
      </c>
    </row>
    <row r="60" spans="1:14" ht="11.1" customHeight="1">
      <c r="A60" s="80" t="s">
        <v>6388</v>
      </c>
      <c r="B60" s="81" t="s">
        <v>6217</v>
      </c>
      <c r="C60" s="82">
        <v>116425</v>
      </c>
      <c r="D60" s="83">
        <v>0.60232704923121494</v>
      </c>
      <c r="E60" s="84" t="s">
        <v>6251</v>
      </c>
      <c r="F60" s="85" t="s">
        <v>6389</v>
      </c>
      <c r="G60" s="85">
        <v>42</v>
      </c>
      <c r="H60" s="85" t="s">
        <v>0</v>
      </c>
      <c r="I60" s="85" t="s">
        <v>6233</v>
      </c>
      <c r="J60" s="85" t="s">
        <v>6253</v>
      </c>
      <c r="K60" s="85" t="s">
        <v>6053</v>
      </c>
      <c r="L60" s="85" t="s">
        <v>6209</v>
      </c>
      <c r="M60" s="85">
        <v>1</v>
      </c>
      <c r="N60" s="86" t="s">
        <v>6213</v>
      </c>
    </row>
    <row r="61" spans="1:14" ht="11.1" customHeight="1">
      <c r="A61" s="31" t="s">
        <v>6390</v>
      </c>
      <c r="B61" s="38" t="s">
        <v>6230</v>
      </c>
      <c r="C61" s="39">
        <v>50585</v>
      </c>
      <c r="D61" s="40">
        <v>0.26170250191420236</v>
      </c>
      <c r="E61" s="41">
        <v>43.448572042087179</v>
      </c>
      <c r="F61" s="42" t="s">
        <v>6391</v>
      </c>
      <c r="G61" s="42">
        <v>51</v>
      </c>
      <c r="H61" s="42" t="s">
        <v>6049</v>
      </c>
      <c r="I61" s="42" t="s">
        <v>6233</v>
      </c>
      <c r="J61" s="42" t="s">
        <v>6257</v>
      </c>
      <c r="K61" s="42" t="s">
        <v>6258</v>
      </c>
      <c r="L61" s="42" t="s">
        <v>6036</v>
      </c>
      <c r="M61" s="42" t="s">
        <v>6259</v>
      </c>
      <c r="N61" s="43" t="s">
        <v>6260</v>
      </c>
    </row>
    <row r="62" spans="1:14" ht="11.1" customHeight="1">
      <c r="A62" s="31" t="s">
        <v>6392</v>
      </c>
      <c r="B62" s="38" t="s">
        <v>6231</v>
      </c>
      <c r="C62" s="39">
        <v>13048</v>
      </c>
      <c r="D62" s="40">
        <v>6.7504087080686212E-2</v>
      </c>
      <c r="E62" s="41">
        <v>11.207214945243718</v>
      </c>
      <c r="F62" s="42" t="s">
        <v>6393</v>
      </c>
      <c r="G62" s="42">
        <v>62</v>
      </c>
      <c r="H62" s="42" t="s">
        <v>0</v>
      </c>
      <c r="I62" s="42" t="s">
        <v>6233</v>
      </c>
      <c r="J62" s="42" t="s">
        <v>6278</v>
      </c>
      <c r="K62" s="42" t="s">
        <v>6259</v>
      </c>
      <c r="L62" s="42" t="s">
        <v>6036</v>
      </c>
      <c r="M62" s="42" t="s">
        <v>6259</v>
      </c>
      <c r="N62" s="43" t="s">
        <v>6259</v>
      </c>
    </row>
    <row r="63" spans="1:14" ht="11.1" customHeight="1">
      <c r="A63" s="31" t="s">
        <v>6394</v>
      </c>
      <c r="B63" s="38" t="s">
        <v>6231</v>
      </c>
      <c r="C63" s="39">
        <v>12187</v>
      </c>
      <c r="D63" s="40">
        <v>6.3049686484696735E-2</v>
      </c>
      <c r="E63" s="41" t="s">
        <v>6262</v>
      </c>
      <c r="F63" s="42" t="s">
        <v>6395</v>
      </c>
      <c r="G63" s="42">
        <v>28</v>
      </c>
      <c r="H63" s="42" t="s">
        <v>6049</v>
      </c>
      <c r="I63" s="42" t="s">
        <v>6259</v>
      </c>
      <c r="J63" s="42" t="s">
        <v>6264</v>
      </c>
      <c r="K63" s="42" t="s">
        <v>6259</v>
      </c>
      <c r="L63" s="42" t="s">
        <v>6036</v>
      </c>
      <c r="M63" s="42" t="s">
        <v>6259</v>
      </c>
      <c r="N63" s="43" t="s">
        <v>6259</v>
      </c>
    </row>
    <row r="64" spans="1:14" ht="11.1" customHeight="1">
      <c r="A64" s="44" t="s">
        <v>6396</v>
      </c>
      <c r="B64" s="45" t="s">
        <v>6231</v>
      </c>
      <c r="C64" s="46">
        <v>1047</v>
      </c>
      <c r="D64" s="47">
        <v>5.4166752891997598E-3</v>
      </c>
      <c r="E64" s="48" t="s">
        <v>6262</v>
      </c>
      <c r="F64" s="49" t="s">
        <v>6397</v>
      </c>
      <c r="G64" s="49">
        <v>52</v>
      </c>
      <c r="H64" s="49" t="s">
        <v>0</v>
      </c>
      <c r="I64" s="49" t="s">
        <v>6259</v>
      </c>
      <c r="J64" s="49" t="s">
        <v>6267</v>
      </c>
      <c r="K64" s="49" t="s">
        <v>6268</v>
      </c>
      <c r="L64" s="49" t="s">
        <v>6036</v>
      </c>
      <c r="M64" s="49" t="s">
        <v>6259</v>
      </c>
      <c r="N64" s="50" t="s">
        <v>6259</v>
      </c>
    </row>
    <row r="65" spans="1:14" ht="11.1" customHeight="1">
      <c r="A65" s="51" t="s">
        <v>6398</v>
      </c>
      <c r="B65" s="52" t="s">
        <v>6217</v>
      </c>
      <c r="C65" s="53">
        <v>115080</v>
      </c>
      <c r="D65" s="54">
        <v>0.5422495723918257</v>
      </c>
      <c r="E65" s="55" t="s">
        <v>6251</v>
      </c>
      <c r="F65" s="56" t="s">
        <v>6399</v>
      </c>
      <c r="G65" s="56">
        <v>45</v>
      </c>
      <c r="H65" s="56" t="s">
        <v>0</v>
      </c>
      <c r="I65" s="56" t="s">
        <v>6233</v>
      </c>
      <c r="J65" s="56" t="s">
        <v>6253</v>
      </c>
      <c r="K65" s="56" t="s">
        <v>6053</v>
      </c>
      <c r="L65" s="56" t="s">
        <v>6036</v>
      </c>
      <c r="M65" s="56" t="s">
        <v>6259</v>
      </c>
      <c r="N65" s="57" t="s">
        <v>6213</v>
      </c>
    </row>
    <row r="66" spans="1:14" ht="11.1" customHeight="1">
      <c r="A66" s="31" t="s">
        <v>6400</v>
      </c>
      <c r="B66" s="38" t="s">
        <v>6230</v>
      </c>
      <c r="C66" s="39">
        <v>94566</v>
      </c>
      <c r="D66" s="40">
        <v>0.44558892129653627</v>
      </c>
      <c r="E66" s="41">
        <v>82.174139728884256</v>
      </c>
      <c r="F66" s="42" t="s">
        <v>6401</v>
      </c>
      <c r="G66" s="42">
        <v>56</v>
      </c>
      <c r="H66" s="42" t="s">
        <v>0</v>
      </c>
      <c r="I66" s="42" t="s">
        <v>6233</v>
      </c>
      <c r="J66" s="42" t="s">
        <v>6257</v>
      </c>
      <c r="K66" s="42" t="s">
        <v>6402</v>
      </c>
      <c r="L66" s="42" t="s">
        <v>6209</v>
      </c>
      <c r="M66" s="42">
        <v>6</v>
      </c>
      <c r="N66" s="43" t="s">
        <v>6260</v>
      </c>
    </row>
    <row r="67" spans="1:14" ht="11.1" customHeight="1">
      <c r="A67" s="44" t="s">
        <v>6403</v>
      </c>
      <c r="B67" s="45" t="s">
        <v>6231</v>
      </c>
      <c r="C67" s="46">
        <v>2581</v>
      </c>
      <c r="D67" s="47">
        <v>1.216150631163801E-2</v>
      </c>
      <c r="E67" s="48" t="s">
        <v>6262</v>
      </c>
      <c r="F67" s="49" t="s">
        <v>6404</v>
      </c>
      <c r="G67" s="49">
        <v>46</v>
      </c>
      <c r="H67" s="49" t="s">
        <v>6049</v>
      </c>
      <c r="I67" s="49" t="s">
        <v>6259</v>
      </c>
      <c r="J67" s="49" t="s">
        <v>6267</v>
      </c>
      <c r="K67" s="49" t="s">
        <v>6268</v>
      </c>
      <c r="L67" s="49" t="s">
        <v>6036</v>
      </c>
      <c r="M67" s="49" t="s">
        <v>6259</v>
      </c>
      <c r="N67" s="50" t="s">
        <v>6259</v>
      </c>
    </row>
    <row r="68" spans="1:14" ht="11.1" customHeight="1">
      <c r="A68" s="51" t="s">
        <v>6405</v>
      </c>
      <c r="B68" s="52" t="s">
        <v>6217</v>
      </c>
      <c r="C68" s="53">
        <v>122746</v>
      </c>
      <c r="D68" s="54">
        <v>0.66989756100223219</v>
      </c>
      <c r="E68" s="55" t="s">
        <v>6251</v>
      </c>
      <c r="F68" s="56" t="s">
        <v>6406</v>
      </c>
      <c r="G68" s="56">
        <v>55</v>
      </c>
      <c r="H68" s="56" t="s">
        <v>0</v>
      </c>
      <c r="I68" s="56" t="s">
        <v>6233</v>
      </c>
      <c r="J68" s="56" t="s">
        <v>6253</v>
      </c>
      <c r="K68" s="56" t="s">
        <v>6035</v>
      </c>
      <c r="L68" s="56" t="s">
        <v>6209</v>
      </c>
      <c r="M68" s="56">
        <v>3</v>
      </c>
      <c r="N68" s="57" t="s">
        <v>6213</v>
      </c>
    </row>
    <row r="69" spans="1:14" ht="11.1" customHeight="1">
      <c r="A69" s="31" t="s">
        <v>6407</v>
      </c>
      <c r="B69" s="38" t="s">
        <v>6230</v>
      </c>
      <c r="C69" s="39">
        <v>57674</v>
      </c>
      <c r="D69" s="40">
        <v>0.31476114849561482</v>
      </c>
      <c r="E69" s="41">
        <v>46.986459843905301</v>
      </c>
      <c r="F69" s="42" t="s">
        <v>6408</v>
      </c>
      <c r="G69" s="42">
        <v>42</v>
      </c>
      <c r="H69" s="42" t="s">
        <v>0</v>
      </c>
      <c r="I69" s="42" t="s">
        <v>6233</v>
      </c>
      <c r="J69" s="42" t="s">
        <v>6257</v>
      </c>
      <c r="K69" s="42" t="s">
        <v>6286</v>
      </c>
      <c r="L69" s="42" t="s">
        <v>6036</v>
      </c>
      <c r="M69" s="42" t="s">
        <v>6259</v>
      </c>
      <c r="N69" s="43" t="s">
        <v>6260</v>
      </c>
    </row>
    <row r="70" spans="1:14" ht="11.1" customHeight="1">
      <c r="A70" s="44" t="s">
        <v>6409</v>
      </c>
      <c r="B70" s="45" t="s">
        <v>6231</v>
      </c>
      <c r="C70" s="46">
        <v>2811</v>
      </c>
      <c r="D70" s="47">
        <v>1.5341290502153019E-2</v>
      </c>
      <c r="E70" s="48" t="s">
        <v>6262</v>
      </c>
      <c r="F70" s="49" t="s">
        <v>6410</v>
      </c>
      <c r="G70" s="49">
        <v>35</v>
      </c>
      <c r="H70" s="49" t="s">
        <v>0</v>
      </c>
      <c r="I70" s="49" t="s">
        <v>6259</v>
      </c>
      <c r="J70" s="49" t="s">
        <v>6267</v>
      </c>
      <c r="K70" s="49" t="s">
        <v>6268</v>
      </c>
      <c r="L70" s="49" t="s">
        <v>6036</v>
      </c>
      <c r="M70" s="49" t="s">
        <v>6259</v>
      </c>
      <c r="N70" s="50" t="s">
        <v>6259</v>
      </c>
    </row>
    <row r="71" spans="1:14" ht="11.1" customHeight="1">
      <c r="A71" s="51" t="s">
        <v>6411</v>
      </c>
      <c r="B71" s="52" t="s">
        <v>6217</v>
      </c>
      <c r="C71" s="53">
        <v>133978</v>
      </c>
      <c r="D71" s="54">
        <v>0.62559476281862714</v>
      </c>
      <c r="E71" s="55" t="s">
        <v>6262</v>
      </c>
      <c r="F71" s="56" t="s">
        <v>6412</v>
      </c>
      <c r="G71" s="56">
        <v>67</v>
      </c>
      <c r="H71" s="56" t="s">
        <v>0</v>
      </c>
      <c r="I71" s="56" t="s">
        <v>6259</v>
      </c>
      <c r="J71" s="56" t="s">
        <v>6253</v>
      </c>
      <c r="K71" s="56" t="s">
        <v>6035</v>
      </c>
      <c r="L71" s="56" t="s">
        <v>6209</v>
      </c>
      <c r="M71" s="56">
        <v>13</v>
      </c>
      <c r="N71" s="57" t="s">
        <v>6213</v>
      </c>
    </row>
    <row r="72" spans="1:14" ht="11.1" customHeight="1">
      <c r="A72" s="31" t="s">
        <v>6413</v>
      </c>
      <c r="B72" s="38" t="s">
        <v>6230</v>
      </c>
      <c r="C72" s="39">
        <v>41690</v>
      </c>
      <c r="D72" s="40">
        <v>0.19466662931159268</v>
      </c>
      <c r="E72" s="41">
        <v>31.117049067757392</v>
      </c>
      <c r="F72" s="42" t="s">
        <v>6414</v>
      </c>
      <c r="G72" s="42">
        <v>55</v>
      </c>
      <c r="H72" s="42" t="s">
        <v>0</v>
      </c>
      <c r="I72" s="42" t="s">
        <v>6233</v>
      </c>
      <c r="J72" s="42" t="s">
        <v>6257</v>
      </c>
      <c r="K72" s="42" t="s">
        <v>6258</v>
      </c>
      <c r="L72" s="42" t="s">
        <v>6283</v>
      </c>
      <c r="M72" s="42">
        <v>1</v>
      </c>
      <c r="N72" s="43" t="s">
        <v>6260</v>
      </c>
    </row>
    <row r="73" spans="1:14" ht="11.1" customHeight="1">
      <c r="A73" s="31" t="s">
        <v>6415</v>
      </c>
      <c r="B73" s="38"/>
      <c r="C73" s="39">
        <v>28925</v>
      </c>
      <c r="D73" s="40">
        <v>0.13506193938205369</v>
      </c>
      <c r="E73" s="41">
        <v>21.589365418202988</v>
      </c>
      <c r="F73" s="42" t="s">
        <v>6416</v>
      </c>
      <c r="G73" s="42">
        <v>65</v>
      </c>
      <c r="H73" s="42" t="s">
        <v>0</v>
      </c>
      <c r="I73" s="42" t="s">
        <v>6233</v>
      </c>
      <c r="J73" s="42" t="s">
        <v>6278</v>
      </c>
      <c r="K73" s="42" t="s">
        <v>6259</v>
      </c>
      <c r="L73" s="42" t="s">
        <v>6036</v>
      </c>
      <c r="M73" s="42" t="s">
        <v>6259</v>
      </c>
      <c r="N73" s="43" t="s">
        <v>6259</v>
      </c>
    </row>
    <row r="74" spans="1:14" ht="11.1" customHeight="1">
      <c r="A74" s="31" t="s">
        <v>6417</v>
      </c>
      <c r="B74" s="38" t="s">
        <v>6231</v>
      </c>
      <c r="C74" s="39">
        <v>8288</v>
      </c>
      <c r="D74" s="40">
        <v>3.869985664990358E-2</v>
      </c>
      <c r="E74" s="41">
        <v>6.1860902536237292</v>
      </c>
      <c r="F74" s="42" t="s">
        <v>6418</v>
      </c>
      <c r="G74" s="42">
        <v>59</v>
      </c>
      <c r="H74" s="42" t="s">
        <v>0</v>
      </c>
      <c r="I74" s="42" t="s">
        <v>6233</v>
      </c>
      <c r="J74" s="42" t="s">
        <v>6264</v>
      </c>
      <c r="K74" s="42" t="s">
        <v>6259</v>
      </c>
      <c r="L74" s="42" t="s">
        <v>6036</v>
      </c>
      <c r="M74" s="42" t="s">
        <v>6259</v>
      </c>
      <c r="N74" s="43" t="s">
        <v>6259</v>
      </c>
    </row>
    <row r="75" spans="1:14" ht="11.1" customHeight="1" thickBot="1">
      <c r="A75" s="73" t="s">
        <v>6419</v>
      </c>
      <c r="B75" s="74" t="s">
        <v>6231</v>
      </c>
      <c r="C75" s="75">
        <v>1280</v>
      </c>
      <c r="D75" s="76">
        <v>5.9768118378229467E-3</v>
      </c>
      <c r="E75" s="77" t="s">
        <v>6262</v>
      </c>
      <c r="F75" s="78" t="s">
        <v>6420</v>
      </c>
      <c r="G75" s="78">
        <v>61</v>
      </c>
      <c r="H75" s="78" t="s">
        <v>0</v>
      </c>
      <c r="I75" s="78" t="s">
        <v>6259</v>
      </c>
      <c r="J75" s="78" t="s">
        <v>6267</v>
      </c>
      <c r="K75" s="78" t="s">
        <v>6268</v>
      </c>
      <c r="L75" s="78" t="s">
        <v>6036</v>
      </c>
      <c r="M75" s="78" t="s">
        <v>6259</v>
      </c>
      <c r="N75" s="79" t="s">
        <v>6259</v>
      </c>
    </row>
    <row r="76" spans="1:14" ht="11.1" customHeight="1">
      <c r="A76" s="80" t="s">
        <v>6421</v>
      </c>
      <c r="B76" s="81" t="s">
        <v>6217</v>
      </c>
      <c r="C76" s="82">
        <v>149980</v>
      </c>
      <c r="D76" s="83">
        <v>0.58526724915027373</v>
      </c>
      <c r="E76" s="84" t="s">
        <v>6251</v>
      </c>
      <c r="F76" s="85" t="s">
        <v>6422</v>
      </c>
      <c r="G76" s="85">
        <v>52</v>
      </c>
      <c r="H76" s="85" t="s">
        <v>6049</v>
      </c>
      <c r="I76" s="85" t="s">
        <v>6233</v>
      </c>
      <c r="J76" s="85" t="s">
        <v>6253</v>
      </c>
      <c r="K76" s="85" t="s">
        <v>6053</v>
      </c>
      <c r="L76" s="85" t="s">
        <v>6209</v>
      </c>
      <c r="M76" s="85">
        <v>1</v>
      </c>
      <c r="N76" s="86" t="s">
        <v>6213</v>
      </c>
    </row>
    <row r="77" spans="1:14" ht="11.1" customHeight="1">
      <c r="A77" s="31" t="s">
        <v>6423</v>
      </c>
      <c r="B77" s="38" t="s">
        <v>6230</v>
      </c>
      <c r="C77" s="39">
        <v>87401</v>
      </c>
      <c r="D77" s="40">
        <v>0.34106509429912707</v>
      </c>
      <c r="E77" s="41">
        <v>58.275103347112946</v>
      </c>
      <c r="F77" s="42" t="s">
        <v>6424</v>
      </c>
      <c r="G77" s="42">
        <v>51</v>
      </c>
      <c r="H77" s="42" t="s">
        <v>0</v>
      </c>
      <c r="I77" s="42" t="s">
        <v>6233</v>
      </c>
      <c r="J77" s="42" t="s">
        <v>6257</v>
      </c>
      <c r="K77" s="42" t="s">
        <v>6286</v>
      </c>
      <c r="L77" s="42" t="s">
        <v>6209</v>
      </c>
      <c r="M77" s="42">
        <v>1</v>
      </c>
      <c r="N77" s="43" t="s">
        <v>6260</v>
      </c>
    </row>
    <row r="78" spans="1:14" ht="11.1" customHeight="1">
      <c r="A78" s="31" t="s">
        <v>6425</v>
      </c>
      <c r="B78" s="38" t="s">
        <v>6231</v>
      </c>
      <c r="C78" s="39">
        <v>14547</v>
      </c>
      <c r="D78" s="40">
        <v>5.6766786727490547E-2</v>
      </c>
      <c r="E78" s="41" t="s">
        <v>6262</v>
      </c>
      <c r="F78" s="42" t="s">
        <v>6426</v>
      </c>
      <c r="G78" s="42">
        <v>50</v>
      </c>
      <c r="H78" s="42" t="s">
        <v>0</v>
      </c>
      <c r="I78" s="42" t="s">
        <v>6259</v>
      </c>
      <c r="J78" s="42" t="s">
        <v>6264</v>
      </c>
      <c r="K78" s="42" t="s">
        <v>6259</v>
      </c>
      <c r="L78" s="42" t="s">
        <v>6036</v>
      </c>
      <c r="M78" s="42" t="s">
        <v>6259</v>
      </c>
      <c r="N78" s="43" t="s">
        <v>6259</v>
      </c>
    </row>
    <row r="79" spans="1:14" ht="11.1" customHeight="1">
      <c r="A79" s="31" t="s">
        <v>6427</v>
      </c>
      <c r="B79" s="38" t="s">
        <v>6231</v>
      </c>
      <c r="C79" s="39">
        <v>2987</v>
      </c>
      <c r="D79" s="40">
        <v>1.1656175978209546E-2</v>
      </c>
      <c r="E79" s="41" t="s">
        <v>6262</v>
      </c>
      <c r="F79" s="42" t="s">
        <v>6428</v>
      </c>
      <c r="G79" s="42">
        <v>26</v>
      </c>
      <c r="H79" s="42" t="s">
        <v>0</v>
      </c>
      <c r="I79" s="42" t="s">
        <v>6259</v>
      </c>
      <c r="J79" s="42" t="s">
        <v>6322</v>
      </c>
      <c r="K79" s="42" t="s">
        <v>6259</v>
      </c>
      <c r="L79" s="42" t="s">
        <v>6036</v>
      </c>
      <c r="M79" s="42" t="s">
        <v>6259</v>
      </c>
      <c r="N79" s="43" t="s">
        <v>6259</v>
      </c>
    </row>
    <row r="80" spans="1:14" ht="11.1" customHeight="1">
      <c r="A80" s="44" t="s">
        <v>6429</v>
      </c>
      <c r="B80" s="45" t="s">
        <v>6231</v>
      </c>
      <c r="C80" s="46">
        <v>1344</v>
      </c>
      <c r="D80" s="47">
        <v>5.2446938448991063E-3</v>
      </c>
      <c r="E80" s="48" t="s">
        <v>6262</v>
      </c>
      <c r="F80" s="49" t="s">
        <v>6430</v>
      </c>
      <c r="G80" s="49">
        <v>58</v>
      </c>
      <c r="H80" s="49" t="s">
        <v>0</v>
      </c>
      <c r="I80" s="49" t="s">
        <v>6259</v>
      </c>
      <c r="J80" s="49" t="s">
        <v>6267</v>
      </c>
      <c r="K80" s="49" t="s">
        <v>6268</v>
      </c>
      <c r="L80" s="49" t="s">
        <v>6036</v>
      </c>
      <c r="M80" s="49" t="s">
        <v>6259</v>
      </c>
      <c r="N80" s="50" t="s">
        <v>6259</v>
      </c>
    </row>
    <row r="81" spans="1:14" ht="11.1" customHeight="1">
      <c r="A81" s="51" t="s">
        <v>6431</v>
      </c>
      <c r="B81" s="52" t="s">
        <v>6217</v>
      </c>
      <c r="C81" s="53">
        <v>158041</v>
      </c>
      <c r="D81" s="54">
        <v>0.58848433846199677</v>
      </c>
      <c r="E81" s="55" t="s">
        <v>6251</v>
      </c>
      <c r="F81" s="56" t="s">
        <v>6432</v>
      </c>
      <c r="G81" s="56">
        <v>40</v>
      </c>
      <c r="H81" s="56" t="s">
        <v>0</v>
      </c>
      <c r="I81" s="56" t="s">
        <v>6233</v>
      </c>
      <c r="J81" s="56" t="s">
        <v>6253</v>
      </c>
      <c r="K81" s="56" t="s">
        <v>6053</v>
      </c>
      <c r="L81" s="56" t="s">
        <v>6036</v>
      </c>
      <c r="M81" s="56" t="s">
        <v>6259</v>
      </c>
      <c r="N81" s="57" t="s">
        <v>6213</v>
      </c>
    </row>
    <row r="82" spans="1:14" ht="11.1" customHeight="1">
      <c r="A82" s="31" t="s">
        <v>6433</v>
      </c>
      <c r="B82" s="38" t="s">
        <v>6230</v>
      </c>
      <c r="C82" s="39">
        <v>98517</v>
      </c>
      <c r="D82" s="40">
        <v>0.36683969079074757</v>
      </c>
      <c r="E82" s="41">
        <v>62.336355755784894</v>
      </c>
      <c r="F82" s="42" t="s">
        <v>6434</v>
      </c>
      <c r="G82" s="42">
        <v>61</v>
      </c>
      <c r="H82" s="42" t="s">
        <v>0</v>
      </c>
      <c r="I82" s="42" t="s">
        <v>6233</v>
      </c>
      <c r="J82" s="42" t="s">
        <v>6257</v>
      </c>
      <c r="K82" s="42" t="s">
        <v>6286</v>
      </c>
      <c r="L82" s="42" t="s">
        <v>6209</v>
      </c>
      <c r="M82" s="42">
        <v>3</v>
      </c>
      <c r="N82" s="43" t="s">
        <v>6260</v>
      </c>
    </row>
    <row r="83" spans="1:14" ht="11.1" customHeight="1">
      <c r="A83" s="31" t="s">
        <v>6435</v>
      </c>
      <c r="B83" s="38" t="s">
        <v>6231</v>
      </c>
      <c r="C83" s="39">
        <v>9912</v>
      </c>
      <c r="D83" s="40">
        <v>3.6908503254442275E-2</v>
      </c>
      <c r="E83" s="41" t="s">
        <v>6262</v>
      </c>
      <c r="F83" s="42" t="s">
        <v>6436</v>
      </c>
      <c r="G83" s="42">
        <v>56</v>
      </c>
      <c r="H83" s="42" t="s">
        <v>0</v>
      </c>
      <c r="I83" s="42" t="s">
        <v>6259</v>
      </c>
      <c r="J83" s="42" t="s">
        <v>6322</v>
      </c>
      <c r="K83" s="42" t="s">
        <v>6259</v>
      </c>
      <c r="L83" s="42" t="s">
        <v>6036</v>
      </c>
      <c r="M83" s="42" t="s">
        <v>6259</v>
      </c>
      <c r="N83" s="43" t="s">
        <v>6259</v>
      </c>
    </row>
    <row r="84" spans="1:14" ht="11.1" customHeight="1">
      <c r="A84" s="44" t="s">
        <v>6437</v>
      </c>
      <c r="B84" s="45" t="s">
        <v>6231</v>
      </c>
      <c r="C84" s="46">
        <v>2086</v>
      </c>
      <c r="D84" s="47">
        <v>7.7674674928134169E-3</v>
      </c>
      <c r="E84" s="48" t="s">
        <v>6262</v>
      </c>
      <c r="F84" s="49" t="s">
        <v>6438</v>
      </c>
      <c r="G84" s="49">
        <v>42</v>
      </c>
      <c r="H84" s="49" t="s">
        <v>0</v>
      </c>
      <c r="I84" s="49" t="s">
        <v>6259</v>
      </c>
      <c r="J84" s="49" t="s">
        <v>6267</v>
      </c>
      <c r="K84" s="49" t="s">
        <v>6268</v>
      </c>
      <c r="L84" s="49" t="s">
        <v>6036</v>
      </c>
      <c r="M84" s="49" t="s">
        <v>6259</v>
      </c>
      <c r="N84" s="50" t="s">
        <v>6259</v>
      </c>
    </row>
    <row r="85" spans="1:14" ht="11.1" customHeight="1">
      <c r="A85" s="51" t="s">
        <v>6439</v>
      </c>
      <c r="B85" s="52" t="s">
        <v>6217</v>
      </c>
      <c r="C85" s="53">
        <v>108718</v>
      </c>
      <c r="D85" s="54">
        <v>0.55044301554351682</v>
      </c>
      <c r="E85" s="55" t="s">
        <v>6251</v>
      </c>
      <c r="F85" s="56" t="s">
        <v>6440</v>
      </c>
      <c r="G85" s="56">
        <v>38</v>
      </c>
      <c r="H85" s="56" t="s">
        <v>0</v>
      </c>
      <c r="I85" s="56" t="s">
        <v>6233</v>
      </c>
      <c r="J85" s="56" t="s">
        <v>6253</v>
      </c>
      <c r="K85" s="56" t="s">
        <v>6207</v>
      </c>
      <c r="L85" s="56" t="s">
        <v>6283</v>
      </c>
      <c r="M85" s="56">
        <v>1</v>
      </c>
      <c r="N85" s="57" t="s">
        <v>6213</v>
      </c>
    </row>
    <row r="86" spans="1:14" ht="11.1" customHeight="1">
      <c r="A86" s="31" t="s">
        <v>6441</v>
      </c>
      <c r="B86" s="38" t="s">
        <v>6230</v>
      </c>
      <c r="C86" s="39">
        <v>85897</v>
      </c>
      <c r="D86" s="40">
        <v>0.43489949875955647</v>
      </c>
      <c r="E86" s="41">
        <v>79.008995750473701</v>
      </c>
      <c r="F86" s="42" t="s">
        <v>6442</v>
      </c>
      <c r="G86" s="42">
        <v>49</v>
      </c>
      <c r="H86" s="42" t="s">
        <v>0</v>
      </c>
      <c r="I86" s="42" t="s">
        <v>6233</v>
      </c>
      <c r="J86" s="42" t="s">
        <v>6257</v>
      </c>
      <c r="K86" s="42" t="s">
        <v>6286</v>
      </c>
      <c r="L86" s="42" t="s">
        <v>6209</v>
      </c>
      <c r="M86" s="42">
        <v>2</v>
      </c>
      <c r="N86" s="43" t="s">
        <v>6260</v>
      </c>
    </row>
    <row r="87" spans="1:14" ht="11.1" customHeight="1">
      <c r="A87" s="44" t="s">
        <v>6443</v>
      </c>
      <c r="B87" s="45" t="s">
        <v>6231</v>
      </c>
      <c r="C87" s="46">
        <v>2895</v>
      </c>
      <c r="D87" s="47">
        <v>1.4657485696926738E-2</v>
      </c>
      <c r="E87" s="48" t="s">
        <v>6262</v>
      </c>
      <c r="F87" s="49" t="s">
        <v>6444</v>
      </c>
      <c r="G87" s="49">
        <v>38</v>
      </c>
      <c r="H87" s="49" t="s">
        <v>0</v>
      </c>
      <c r="I87" s="49" t="s">
        <v>6259</v>
      </c>
      <c r="J87" s="49" t="s">
        <v>6267</v>
      </c>
      <c r="K87" s="49" t="s">
        <v>6268</v>
      </c>
      <c r="L87" s="49" t="s">
        <v>6036</v>
      </c>
      <c r="M87" s="49" t="s">
        <v>6259</v>
      </c>
      <c r="N87" s="50" t="s">
        <v>6259</v>
      </c>
    </row>
    <row r="88" spans="1:14" ht="11.1" customHeight="1">
      <c r="A88" s="51" t="s">
        <v>6445</v>
      </c>
      <c r="B88" s="52" t="s">
        <v>6217</v>
      </c>
      <c r="C88" s="53">
        <v>119926</v>
      </c>
      <c r="D88" s="54">
        <v>0.52867867801676061</v>
      </c>
      <c r="E88" s="55" t="s">
        <v>6251</v>
      </c>
      <c r="F88" s="56" t="s">
        <v>6446</v>
      </c>
      <c r="G88" s="56">
        <v>39</v>
      </c>
      <c r="H88" s="56" t="s">
        <v>0</v>
      </c>
      <c r="I88" s="56" t="s">
        <v>6233</v>
      </c>
      <c r="J88" s="56" t="s">
        <v>6253</v>
      </c>
      <c r="K88" s="56" t="s">
        <v>6053</v>
      </c>
      <c r="L88" s="56" t="s">
        <v>6036</v>
      </c>
      <c r="M88" s="56" t="s">
        <v>6259</v>
      </c>
      <c r="N88" s="57" t="s">
        <v>6213</v>
      </c>
    </row>
    <row r="89" spans="1:14" ht="11.1" customHeight="1">
      <c r="A89" s="31" t="s">
        <v>6447</v>
      </c>
      <c r="B89" s="38" t="s">
        <v>6230</v>
      </c>
      <c r="C89" s="39">
        <v>92610</v>
      </c>
      <c r="D89" s="40">
        <v>0.40825952980281344</v>
      </c>
      <c r="E89" s="41">
        <v>77.222620616046555</v>
      </c>
      <c r="F89" s="42" t="s">
        <v>6448</v>
      </c>
      <c r="G89" s="42">
        <v>56</v>
      </c>
      <c r="H89" s="42" t="s">
        <v>0</v>
      </c>
      <c r="I89" s="42" t="s">
        <v>6233</v>
      </c>
      <c r="J89" s="42" t="s">
        <v>6257</v>
      </c>
      <c r="K89" s="42" t="s">
        <v>6369</v>
      </c>
      <c r="L89" s="42" t="s">
        <v>6209</v>
      </c>
      <c r="M89" s="42">
        <v>3</v>
      </c>
      <c r="N89" s="43" t="s">
        <v>6260</v>
      </c>
    </row>
    <row r="90" spans="1:14" ht="11.1" customHeight="1">
      <c r="A90" s="31" t="s">
        <v>6449</v>
      </c>
      <c r="B90" s="38" t="s">
        <v>6231</v>
      </c>
      <c r="C90" s="39">
        <v>11881</v>
      </c>
      <c r="D90" s="40">
        <v>5.237589324681164E-2</v>
      </c>
      <c r="E90" s="41">
        <v>9.906942614612344</v>
      </c>
      <c r="F90" s="42" t="s">
        <v>6450</v>
      </c>
      <c r="G90" s="42">
        <v>45</v>
      </c>
      <c r="H90" s="42" t="s">
        <v>0</v>
      </c>
      <c r="I90" s="42" t="s">
        <v>6233</v>
      </c>
      <c r="J90" s="42" t="s">
        <v>6264</v>
      </c>
      <c r="K90" s="42" t="s">
        <v>6259</v>
      </c>
      <c r="L90" s="42" t="s">
        <v>6036</v>
      </c>
      <c r="M90" s="42" t="s">
        <v>6259</v>
      </c>
      <c r="N90" s="43" t="s">
        <v>6259</v>
      </c>
    </row>
    <row r="91" spans="1:14" ht="11.1" customHeight="1">
      <c r="A91" s="44" t="s">
        <v>6451</v>
      </c>
      <c r="B91" s="45" t="s">
        <v>6231</v>
      </c>
      <c r="C91" s="46">
        <v>2424</v>
      </c>
      <c r="D91" s="47">
        <v>1.0685898933614294E-2</v>
      </c>
      <c r="E91" s="48" t="s">
        <v>6262</v>
      </c>
      <c r="F91" s="49" t="s">
        <v>6452</v>
      </c>
      <c r="G91" s="49">
        <v>36</v>
      </c>
      <c r="H91" s="49" t="s">
        <v>0</v>
      </c>
      <c r="I91" s="49" t="s">
        <v>6259</v>
      </c>
      <c r="J91" s="49" t="s">
        <v>6267</v>
      </c>
      <c r="K91" s="49" t="s">
        <v>6268</v>
      </c>
      <c r="L91" s="49" t="s">
        <v>6036</v>
      </c>
      <c r="M91" s="49" t="s">
        <v>6259</v>
      </c>
      <c r="N91" s="50" t="s">
        <v>6259</v>
      </c>
    </row>
    <row r="92" spans="1:14" ht="11.1" customHeight="1">
      <c r="A92" s="51" t="s">
        <v>6453</v>
      </c>
      <c r="B92" s="52" t="s">
        <v>6217</v>
      </c>
      <c r="C92" s="53">
        <v>89484</v>
      </c>
      <c r="D92" s="54">
        <v>0.5856781008855465</v>
      </c>
      <c r="E92" s="55" t="s">
        <v>6251</v>
      </c>
      <c r="F92" s="56" t="s">
        <v>6454</v>
      </c>
      <c r="G92" s="56">
        <v>47</v>
      </c>
      <c r="H92" s="56" t="s">
        <v>0</v>
      </c>
      <c r="I92" s="56" t="s">
        <v>6233</v>
      </c>
      <c r="J92" s="56" t="s">
        <v>6253</v>
      </c>
      <c r="K92" s="56" t="s">
        <v>24</v>
      </c>
      <c r="L92" s="56" t="s">
        <v>6209</v>
      </c>
      <c r="M92" s="56">
        <v>4</v>
      </c>
      <c r="N92" s="57" t="s">
        <v>6213</v>
      </c>
    </row>
    <row r="93" spans="1:14" ht="11.1" customHeight="1">
      <c r="A93" s="44" t="s">
        <v>6455</v>
      </c>
      <c r="B93" s="45" t="s">
        <v>6230</v>
      </c>
      <c r="C93" s="46">
        <v>63303</v>
      </c>
      <c r="D93" s="47">
        <v>0.41432189911445344</v>
      </c>
      <c r="E93" s="48">
        <v>70.742255598766263</v>
      </c>
      <c r="F93" s="49" t="s">
        <v>6456</v>
      </c>
      <c r="G93" s="49">
        <v>54</v>
      </c>
      <c r="H93" s="49" t="s">
        <v>0</v>
      </c>
      <c r="I93" s="49" t="s">
        <v>6233</v>
      </c>
      <c r="J93" s="49" t="s">
        <v>6257</v>
      </c>
      <c r="K93" s="49" t="s">
        <v>6402</v>
      </c>
      <c r="L93" s="49" t="s">
        <v>6036</v>
      </c>
      <c r="M93" s="49" t="s">
        <v>6259</v>
      </c>
      <c r="N93" s="50" t="s">
        <v>6260</v>
      </c>
    </row>
    <row r="94" spans="1:14" ht="11.1" customHeight="1">
      <c r="A94" s="51" t="s">
        <v>6457</v>
      </c>
      <c r="B94" s="60" t="s">
        <v>6217</v>
      </c>
      <c r="C94" s="61">
        <v>100832</v>
      </c>
      <c r="D94" s="62">
        <v>0.63692352394969398</v>
      </c>
      <c r="E94" s="63" t="s">
        <v>6251</v>
      </c>
      <c r="F94" s="64" t="s">
        <v>6458</v>
      </c>
      <c r="G94" s="64">
        <v>49</v>
      </c>
      <c r="H94" s="64" t="s">
        <v>0</v>
      </c>
      <c r="I94" s="64" t="s">
        <v>6233</v>
      </c>
      <c r="J94" s="64" t="s">
        <v>6257</v>
      </c>
      <c r="K94" s="64" t="s">
        <v>6402</v>
      </c>
      <c r="L94" s="64" t="s">
        <v>6209</v>
      </c>
      <c r="M94" s="64">
        <v>3</v>
      </c>
      <c r="N94" s="65" t="s">
        <v>6260</v>
      </c>
    </row>
    <row r="95" spans="1:14" ht="11.1" customHeight="1">
      <c r="A95" s="31" t="s">
        <v>6459</v>
      </c>
      <c r="B95" s="38" t="s">
        <v>6230</v>
      </c>
      <c r="C95" s="39">
        <v>54133</v>
      </c>
      <c r="D95" s="40">
        <v>0.34194086323755141</v>
      </c>
      <c r="E95" s="41">
        <v>53.68632973659156</v>
      </c>
      <c r="F95" s="42" t="s">
        <v>6460</v>
      </c>
      <c r="G95" s="42">
        <v>60</v>
      </c>
      <c r="H95" s="42" t="s">
        <v>0</v>
      </c>
      <c r="I95" s="42" t="s">
        <v>6233</v>
      </c>
      <c r="J95" s="42" t="s">
        <v>6278</v>
      </c>
      <c r="K95" s="42" t="s">
        <v>6259</v>
      </c>
      <c r="L95" s="42" t="s">
        <v>6209</v>
      </c>
      <c r="M95" s="42">
        <v>2</v>
      </c>
      <c r="N95" s="43" t="s">
        <v>6213</v>
      </c>
    </row>
    <row r="96" spans="1:14" ht="11.1" customHeight="1" thickBot="1">
      <c r="A96" s="73" t="s">
        <v>6461</v>
      </c>
      <c r="B96" s="74" t="s">
        <v>6231</v>
      </c>
      <c r="C96" s="75">
        <v>3346</v>
      </c>
      <c r="D96" s="76">
        <v>2.1135612812754643E-2</v>
      </c>
      <c r="E96" s="77" t="s">
        <v>6262</v>
      </c>
      <c r="F96" s="78" t="s">
        <v>6462</v>
      </c>
      <c r="G96" s="78">
        <v>61</v>
      </c>
      <c r="H96" s="78" t="s">
        <v>0</v>
      </c>
      <c r="I96" s="78" t="s">
        <v>6259</v>
      </c>
      <c r="J96" s="78" t="s">
        <v>6267</v>
      </c>
      <c r="K96" s="78" t="s">
        <v>6268</v>
      </c>
      <c r="L96" s="78" t="s">
        <v>6036</v>
      </c>
      <c r="M96" s="78" t="s">
        <v>6259</v>
      </c>
      <c r="N96" s="79" t="s">
        <v>6259</v>
      </c>
    </row>
    <row r="97" spans="1:14" ht="11.1" customHeight="1">
      <c r="A97" s="80" t="s">
        <v>6463</v>
      </c>
      <c r="B97" s="81" t="s">
        <v>6217</v>
      </c>
      <c r="C97" s="82">
        <v>93097</v>
      </c>
      <c r="D97" s="83">
        <v>0.51863468223549336</v>
      </c>
      <c r="E97" s="84" t="s">
        <v>6251</v>
      </c>
      <c r="F97" s="85" t="s">
        <v>6464</v>
      </c>
      <c r="G97" s="85">
        <v>32</v>
      </c>
      <c r="H97" s="85" t="s">
        <v>0</v>
      </c>
      <c r="I97" s="85" t="s">
        <v>6233</v>
      </c>
      <c r="J97" s="85" t="s">
        <v>6253</v>
      </c>
      <c r="K97" s="85" t="s">
        <v>6053</v>
      </c>
      <c r="L97" s="85" t="s">
        <v>6209</v>
      </c>
      <c r="M97" s="85">
        <v>2</v>
      </c>
      <c r="N97" s="86" t="s">
        <v>6465</v>
      </c>
    </row>
    <row r="98" spans="1:14" ht="11.1" customHeight="1">
      <c r="A98" s="31" t="s">
        <v>6466</v>
      </c>
      <c r="B98" s="38" t="s">
        <v>6230</v>
      </c>
      <c r="C98" s="39">
        <v>61752</v>
      </c>
      <c r="D98" s="40">
        <v>0.34401461805865052</v>
      </c>
      <c r="E98" s="41">
        <v>66.330816245421445</v>
      </c>
      <c r="F98" s="42" t="s">
        <v>6467</v>
      </c>
      <c r="G98" s="42">
        <v>71</v>
      </c>
      <c r="H98" s="42" t="s">
        <v>0</v>
      </c>
      <c r="I98" s="42" t="s">
        <v>6233</v>
      </c>
      <c r="J98" s="42" t="s">
        <v>6257</v>
      </c>
      <c r="K98" s="42" t="s">
        <v>6402</v>
      </c>
      <c r="L98" s="42" t="s">
        <v>6209</v>
      </c>
      <c r="M98" s="42">
        <v>7</v>
      </c>
      <c r="N98" s="43" t="s">
        <v>6260</v>
      </c>
    </row>
    <row r="99" spans="1:14" ht="11.1" customHeight="1">
      <c r="A99" s="31" t="s">
        <v>6468</v>
      </c>
      <c r="B99" s="38" t="s">
        <v>6231</v>
      </c>
      <c r="C99" s="39">
        <v>15830</v>
      </c>
      <c r="D99" s="40">
        <v>8.8187449861841516E-2</v>
      </c>
      <c r="E99" s="41">
        <v>17.003770261125492</v>
      </c>
      <c r="F99" s="42" t="s">
        <v>6469</v>
      </c>
      <c r="G99" s="42">
        <v>32</v>
      </c>
      <c r="H99" s="42" t="s">
        <v>0</v>
      </c>
      <c r="I99" s="42" t="s">
        <v>6233</v>
      </c>
      <c r="J99" s="42" t="s">
        <v>6264</v>
      </c>
      <c r="K99" s="42" t="s">
        <v>6259</v>
      </c>
      <c r="L99" s="42" t="s">
        <v>6036</v>
      </c>
      <c r="M99" s="42" t="s">
        <v>6259</v>
      </c>
      <c r="N99" s="43" t="s">
        <v>6259</v>
      </c>
    </row>
    <row r="100" spans="1:14" ht="11.1" customHeight="1">
      <c r="A100" s="31" t="s">
        <v>6470</v>
      </c>
      <c r="B100" s="38" t="s">
        <v>6231</v>
      </c>
      <c r="C100" s="39">
        <v>7353</v>
      </c>
      <c r="D100" s="40">
        <v>4.0962875479097959E-2</v>
      </c>
      <c r="E100" s="41" t="s">
        <v>6262</v>
      </c>
      <c r="F100" s="42" t="s">
        <v>6471</v>
      </c>
      <c r="G100" s="42">
        <v>61</v>
      </c>
      <c r="H100" s="42" t="s">
        <v>0</v>
      </c>
      <c r="I100" s="42" t="s">
        <v>6259</v>
      </c>
      <c r="J100" s="42" t="s">
        <v>6322</v>
      </c>
      <c r="K100" s="42" t="s">
        <v>6360</v>
      </c>
      <c r="L100" s="42" t="s">
        <v>6036</v>
      </c>
      <c r="M100" s="42" t="s">
        <v>6259</v>
      </c>
      <c r="N100" s="43" t="s">
        <v>6259</v>
      </c>
    </row>
    <row r="101" spans="1:14" ht="11.1" customHeight="1">
      <c r="A101" s="44" t="s">
        <v>6472</v>
      </c>
      <c r="B101" s="45" t="s">
        <v>6231</v>
      </c>
      <c r="C101" s="46">
        <v>1472</v>
      </c>
      <c r="D101" s="47">
        <v>8.2003743649166592E-3</v>
      </c>
      <c r="E101" s="48" t="s">
        <v>6262</v>
      </c>
      <c r="F101" s="49" t="s">
        <v>6473</v>
      </c>
      <c r="G101" s="49">
        <v>50</v>
      </c>
      <c r="H101" s="49" t="s">
        <v>0</v>
      </c>
      <c r="I101" s="49" t="s">
        <v>6259</v>
      </c>
      <c r="J101" s="49" t="s">
        <v>6267</v>
      </c>
      <c r="K101" s="49" t="s">
        <v>6268</v>
      </c>
      <c r="L101" s="49" t="s">
        <v>6036</v>
      </c>
      <c r="M101" s="49" t="s">
        <v>6259</v>
      </c>
      <c r="N101" s="50" t="s">
        <v>6259</v>
      </c>
    </row>
    <row r="102" spans="1:14" ht="11.1" customHeight="1">
      <c r="A102" s="51" t="s">
        <v>6474</v>
      </c>
      <c r="B102" s="87" t="s">
        <v>6217</v>
      </c>
      <c r="C102" s="88">
        <v>93951</v>
      </c>
      <c r="D102" s="89">
        <v>0.42655171004780779</v>
      </c>
      <c r="E102" s="90" t="s">
        <v>6262</v>
      </c>
      <c r="F102" s="91" t="s">
        <v>6475</v>
      </c>
      <c r="G102" s="91">
        <v>62</v>
      </c>
      <c r="H102" s="91" t="s">
        <v>0</v>
      </c>
      <c r="I102" s="91" t="s">
        <v>6259</v>
      </c>
      <c r="J102" s="91" t="s">
        <v>6322</v>
      </c>
      <c r="K102" s="91" t="s">
        <v>6476</v>
      </c>
      <c r="L102" s="91" t="s">
        <v>6036</v>
      </c>
      <c r="M102" s="91" t="s">
        <v>6259</v>
      </c>
      <c r="N102" s="92" t="s">
        <v>6259</v>
      </c>
    </row>
    <row r="103" spans="1:14" ht="11.1" customHeight="1">
      <c r="A103" s="31" t="s">
        <v>6477</v>
      </c>
      <c r="B103" s="38" t="s">
        <v>6232</v>
      </c>
      <c r="C103" s="39">
        <v>92600</v>
      </c>
      <c r="D103" s="40">
        <v>0.42041796628483996</v>
      </c>
      <c r="E103" s="58">
        <v>98.562016370235554</v>
      </c>
      <c r="F103" s="59" t="s">
        <v>6478</v>
      </c>
      <c r="G103" s="59">
        <v>59</v>
      </c>
      <c r="H103" s="59" t="s">
        <v>0</v>
      </c>
      <c r="I103" s="59" t="s">
        <v>6233</v>
      </c>
      <c r="J103" s="59" t="s">
        <v>6257</v>
      </c>
      <c r="K103" s="59" t="s">
        <v>6273</v>
      </c>
      <c r="L103" s="59" t="s">
        <v>6036</v>
      </c>
      <c r="M103" s="59" t="s">
        <v>6259</v>
      </c>
      <c r="N103" s="43" t="s">
        <v>6260</v>
      </c>
    </row>
    <row r="104" spans="1:14" ht="11.1" customHeight="1">
      <c r="A104" s="31" t="s">
        <v>6479</v>
      </c>
      <c r="B104" s="38"/>
      <c r="C104" s="39">
        <v>23719</v>
      </c>
      <c r="D104" s="40">
        <v>0.10768783738995809</v>
      </c>
      <c r="E104" s="93">
        <v>25.246138944769083</v>
      </c>
      <c r="F104" s="42" t="s">
        <v>6480</v>
      </c>
      <c r="G104" s="42">
        <v>53</v>
      </c>
      <c r="H104" s="42" t="s">
        <v>0</v>
      </c>
      <c r="I104" s="42" t="s">
        <v>6233</v>
      </c>
      <c r="J104" s="42" t="s">
        <v>6278</v>
      </c>
      <c r="K104" s="42" t="s">
        <v>6259</v>
      </c>
      <c r="L104" s="42" t="s">
        <v>6283</v>
      </c>
      <c r="M104" s="42">
        <v>1</v>
      </c>
      <c r="N104" s="43" t="s">
        <v>6481</v>
      </c>
    </row>
    <row r="105" spans="1:14" ht="11.1" customHeight="1">
      <c r="A105" s="31" t="s">
        <v>6482</v>
      </c>
      <c r="B105" s="38" t="s">
        <v>6231</v>
      </c>
      <c r="C105" s="39">
        <v>8645</v>
      </c>
      <c r="D105" s="40">
        <v>3.9249603871840621E-2</v>
      </c>
      <c r="E105" s="93">
        <v>9.2016050920160506</v>
      </c>
      <c r="F105" s="42" t="s">
        <v>6483</v>
      </c>
      <c r="G105" s="42">
        <v>39</v>
      </c>
      <c r="H105" s="42" t="s">
        <v>0</v>
      </c>
      <c r="I105" s="42" t="s">
        <v>6233</v>
      </c>
      <c r="J105" s="42" t="s">
        <v>6484</v>
      </c>
      <c r="K105" s="42" t="s">
        <v>6259</v>
      </c>
      <c r="L105" s="42" t="s">
        <v>6036</v>
      </c>
      <c r="M105" s="42" t="s">
        <v>6259</v>
      </c>
      <c r="N105" s="43" t="s">
        <v>6259</v>
      </c>
    </row>
    <row r="106" spans="1:14" ht="11.1" customHeight="1">
      <c r="A106" s="44" t="s">
        <v>6485</v>
      </c>
      <c r="B106" s="45" t="s">
        <v>6231</v>
      </c>
      <c r="C106" s="46">
        <v>1342</v>
      </c>
      <c r="D106" s="47">
        <v>6.0928824055535126E-3</v>
      </c>
      <c r="E106" s="48" t="s">
        <v>6262</v>
      </c>
      <c r="F106" s="49" t="s">
        <v>6486</v>
      </c>
      <c r="G106" s="49">
        <v>58</v>
      </c>
      <c r="H106" s="49" t="s">
        <v>0</v>
      </c>
      <c r="I106" s="49" t="s">
        <v>6259</v>
      </c>
      <c r="J106" s="49" t="s">
        <v>6267</v>
      </c>
      <c r="K106" s="49" t="s">
        <v>6268</v>
      </c>
      <c r="L106" s="49" t="s">
        <v>6036</v>
      </c>
      <c r="M106" s="49" t="s">
        <v>6259</v>
      </c>
      <c r="N106" s="50" t="s">
        <v>6259</v>
      </c>
    </row>
    <row r="107" spans="1:14" ht="11.1" customHeight="1">
      <c r="A107" s="51" t="s">
        <v>6487</v>
      </c>
      <c r="B107" s="52" t="s">
        <v>6217</v>
      </c>
      <c r="C107" s="53">
        <v>101777</v>
      </c>
      <c r="D107" s="54">
        <v>0.37419940732243573</v>
      </c>
      <c r="E107" s="55" t="s">
        <v>6251</v>
      </c>
      <c r="F107" s="56" t="s">
        <v>6488</v>
      </c>
      <c r="G107" s="56">
        <v>59</v>
      </c>
      <c r="H107" s="56" t="s">
        <v>6049</v>
      </c>
      <c r="I107" s="56" t="s">
        <v>6233</v>
      </c>
      <c r="J107" s="56" t="s">
        <v>6253</v>
      </c>
      <c r="K107" s="56" t="s">
        <v>6053</v>
      </c>
      <c r="L107" s="56" t="s">
        <v>6036</v>
      </c>
      <c r="M107" s="56" t="s">
        <v>6259</v>
      </c>
      <c r="N107" s="57" t="s">
        <v>6465</v>
      </c>
    </row>
    <row r="108" spans="1:14" ht="11.1" customHeight="1">
      <c r="A108" s="31" t="s">
        <v>6489</v>
      </c>
      <c r="B108" s="38" t="s">
        <v>6230</v>
      </c>
      <c r="C108" s="39">
        <v>90575</v>
      </c>
      <c r="D108" s="40">
        <v>0.33301346392829045</v>
      </c>
      <c r="E108" s="41">
        <v>88.99358401210489</v>
      </c>
      <c r="F108" s="42" t="s">
        <v>6490</v>
      </c>
      <c r="G108" s="42">
        <v>45</v>
      </c>
      <c r="H108" s="42" t="s">
        <v>0</v>
      </c>
      <c r="I108" s="42" t="s">
        <v>6233</v>
      </c>
      <c r="J108" s="42" t="s">
        <v>6257</v>
      </c>
      <c r="K108" s="42" t="s">
        <v>6258</v>
      </c>
      <c r="L108" s="42" t="s">
        <v>6209</v>
      </c>
      <c r="M108" s="42">
        <v>2</v>
      </c>
      <c r="N108" s="43" t="s">
        <v>6259</v>
      </c>
    </row>
    <row r="109" spans="1:14" ht="11.1" customHeight="1">
      <c r="A109" s="31" t="s">
        <v>6491</v>
      </c>
      <c r="B109" s="38" t="s">
        <v>6230</v>
      </c>
      <c r="C109" s="39">
        <v>76787</v>
      </c>
      <c r="D109" s="40">
        <v>0.28231967821873183</v>
      </c>
      <c r="E109" s="41" t="s">
        <v>6262</v>
      </c>
      <c r="F109" s="42" t="s">
        <v>6492</v>
      </c>
      <c r="G109" s="42">
        <v>49</v>
      </c>
      <c r="H109" s="42" t="s">
        <v>0</v>
      </c>
      <c r="I109" s="42" t="s">
        <v>6259</v>
      </c>
      <c r="J109" s="42" t="s">
        <v>6322</v>
      </c>
      <c r="K109" s="42" t="s">
        <v>6360</v>
      </c>
      <c r="L109" s="42" t="s">
        <v>6036</v>
      </c>
      <c r="M109" s="42" t="s">
        <v>6259</v>
      </c>
      <c r="N109" s="43" t="s">
        <v>6259</v>
      </c>
    </row>
    <row r="110" spans="1:14" ht="11.1" customHeight="1" thickBot="1">
      <c r="A110" s="73" t="s">
        <v>6493</v>
      </c>
      <c r="B110" s="74" t="s">
        <v>6231</v>
      </c>
      <c r="C110" s="75">
        <v>2847</v>
      </c>
      <c r="D110" s="76">
        <v>1.0467450530542013E-2</v>
      </c>
      <c r="E110" s="77" t="s">
        <v>6262</v>
      </c>
      <c r="F110" s="78" t="s">
        <v>6494</v>
      </c>
      <c r="G110" s="78">
        <v>39</v>
      </c>
      <c r="H110" s="78" t="s">
        <v>0</v>
      </c>
      <c r="I110" s="78" t="s">
        <v>6259</v>
      </c>
      <c r="J110" s="78" t="s">
        <v>6267</v>
      </c>
      <c r="K110" s="78" t="s">
        <v>6268</v>
      </c>
      <c r="L110" s="78" t="s">
        <v>6036</v>
      </c>
      <c r="M110" s="78" t="s">
        <v>6259</v>
      </c>
      <c r="N110" s="79" t="s">
        <v>6259</v>
      </c>
    </row>
    <row r="111" spans="1:14" ht="11.1" customHeight="1">
      <c r="A111" s="80" t="s">
        <v>6495</v>
      </c>
      <c r="B111" s="81" t="s">
        <v>6217</v>
      </c>
      <c r="C111" s="82">
        <v>106202</v>
      </c>
      <c r="D111" s="83">
        <v>0.46234686681004084</v>
      </c>
      <c r="E111" s="84" t="s">
        <v>6251</v>
      </c>
      <c r="F111" s="85" t="s">
        <v>6496</v>
      </c>
      <c r="G111" s="85">
        <v>67</v>
      </c>
      <c r="H111" s="85" t="s">
        <v>0</v>
      </c>
      <c r="I111" s="85" t="s">
        <v>6233</v>
      </c>
      <c r="J111" s="85" t="s">
        <v>6253</v>
      </c>
      <c r="K111" s="85" t="s">
        <v>6207</v>
      </c>
      <c r="L111" s="85" t="s">
        <v>6283</v>
      </c>
      <c r="M111" s="85">
        <v>10</v>
      </c>
      <c r="N111" s="86" t="s">
        <v>6465</v>
      </c>
    </row>
    <row r="112" spans="1:14" ht="11.1" customHeight="1">
      <c r="A112" s="31" t="s">
        <v>6497</v>
      </c>
      <c r="B112" s="38" t="s">
        <v>6232</v>
      </c>
      <c r="C112" s="39">
        <v>104911</v>
      </c>
      <c r="D112" s="40">
        <v>0.45672654134487295</v>
      </c>
      <c r="E112" s="58">
        <v>98.784392007683465</v>
      </c>
      <c r="F112" s="59" t="s">
        <v>6498</v>
      </c>
      <c r="G112" s="59">
        <v>59</v>
      </c>
      <c r="H112" s="59" t="s">
        <v>0</v>
      </c>
      <c r="I112" s="59" t="s">
        <v>6233</v>
      </c>
      <c r="J112" s="59" t="s">
        <v>6257</v>
      </c>
      <c r="K112" s="59" t="s">
        <v>6402</v>
      </c>
      <c r="L112" s="59" t="s">
        <v>6209</v>
      </c>
      <c r="M112" s="59">
        <v>4</v>
      </c>
      <c r="N112" s="43" t="s">
        <v>6260</v>
      </c>
    </row>
    <row r="113" spans="1:14" ht="11.1" customHeight="1">
      <c r="A113" s="31" t="s">
        <v>6499</v>
      </c>
      <c r="B113" s="38" t="s">
        <v>6231</v>
      </c>
      <c r="C113" s="39">
        <v>11419</v>
      </c>
      <c r="D113" s="40">
        <v>4.9712235853410072E-2</v>
      </c>
      <c r="E113" s="41" t="s">
        <v>6262</v>
      </c>
      <c r="F113" s="42" t="s">
        <v>6500</v>
      </c>
      <c r="G113" s="42">
        <v>27</v>
      </c>
      <c r="H113" s="42" t="s">
        <v>6049</v>
      </c>
      <c r="I113" s="42" t="s">
        <v>6259</v>
      </c>
      <c r="J113" s="42" t="s">
        <v>6322</v>
      </c>
      <c r="K113" s="42" t="s">
        <v>6360</v>
      </c>
      <c r="L113" s="42" t="s">
        <v>6036</v>
      </c>
      <c r="M113" s="42" t="s">
        <v>6259</v>
      </c>
      <c r="N113" s="43" t="s">
        <v>6259</v>
      </c>
    </row>
    <row r="114" spans="1:14" ht="11.1" customHeight="1">
      <c r="A114" s="31" t="s">
        <v>6501</v>
      </c>
      <c r="B114" s="38" t="s">
        <v>6231</v>
      </c>
      <c r="C114" s="39">
        <v>6021</v>
      </c>
      <c r="D114" s="40">
        <v>2.6212222793010075E-2</v>
      </c>
      <c r="E114" s="93">
        <v>5.6693847573492029</v>
      </c>
      <c r="F114" s="42" t="s">
        <v>6502</v>
      </c>
      <c r="G114" s="42">
        <v>36</v>
      </c>
      <c r="H114" s="42" t="s">
        <v>0</v>
      </c>
      <c r="I114" s="42" t="s">
        <v>6233</v>
      </c>
      <c r="J114" s="42" t="s">
        <v>6264</v>
      </c>
      <c r="K114" s="42" t="s">
        <v>6259</v>
      </c>
      <c r="L114" s="42" t="s">
        <v>6036</v>
      </c>
      <c r="M114" s="42" t="s">
        <v>6259</v>
      </c>
      <c r="N114" s="43" t="s">
        <v>6259</v>
      </c>
    </row>
    <row r="115" spans="1:14" ht="11.1" customHeight="1">
      <c r="A115" s="44" t="s">
        <v>6503</v>
      </c>
      <c r="B115" s="45" t="s">
        <v>6231</v>
      </c>
      <c r="C115" s="46">
        <v>1149</v>
      </c>
      <c r="D115" s="47">
        <v>5.0021331986660981E-3</v>
      </c>
      <c r="E115" s="48" t="s">
        <v>6262</v>
      </c>
      <c r="F115" s="49" t="s">
        <v>6504</v>
      </c>
      <c r="G115" s="49">
        <v>35</v>
      </c>
      <c r="H115" s="49" t="s">
        <v>0</v>
      </c>
      <c r="I115" s="49" t="s">
        <v>6259</v>
      </c>
      <c r="J115" s="49" t="s">
        <v>6267</v>
      </c>
      <c r="K115" s="49" t="s">
        <v>6268</v>
      </c>
      <c r="L115" s="49" t="s">
        <v>6036</v>
      </c>
      <c r="M115" s="49" t="s">
        <v>6259</v>
      </c>
      <c r="N115" s="50" t="s">
        <v>6259</v>
      </c>
    </row>
    <row r="116" spans="1:14" ht="11.1" customHeight="1">
      <c r="A116" s="51" t="s">
        <v>6505</v>
      </c>
      <c r="B116" s="52" t="s">
        <v>6217</v>
      </c>
      <c r="C116" s="53">
        <v>166287</v>
      </c>
      <c r="D116" s="54">
        <v>0.65534147023933853</v>
      </c>
      <c r="E116" s="55" t="s">
        <v>6251</v>
      </c>
      <c r="F116" s="56" t="s">
        <v>6506</v>
      </c>
      <c r="G116" s="56">
        <v>44</v>
      </c>
      <c r="H116" s="56" t="s">
        <v>0</v>
      </c>
      <c r="I116" s="56" t="s">
        <v>6233</v>
      </c>
      <c r="J116" s="56" t="s">
        <v>6253</v>
      </c>
      <c r="K116" s="56" t="s">
        <v>6053</v>
      </c>
      <c r="L116" s="56" t="s">
        <v>6209</v>
      </c>
      <c r="M116" s="56">
        <v>2</v>
      </c>
      <c r="N116" s="57" t="s">
        <v>6465</v>
      </c>
    </row>
    <row r="117" spans="1:14" ht="11.1" customHeight="1">
      <c r="A117" s="31" t="s">
        <v>6507</v>
      </c>
      <c r="B117" s="38" t="s">
        <v>6230</v>
      </c>
      <c r="C117" s="39">
        <v>80995</v>
      </c>
      <c r="D117" s="40">
        <v>0.31920343972791154</v>
      </c>
      <c r="E117" s="41">
        <v>48.707956725420509</v>
      </c>
      <c r="F117" s="42" t="s">
        <v>6508</v>
      </c>
      <c r="G117" s="42">
        <v>42</v>
      </c>
      <c r="H117" s="42" t="s">
        <v>0</v>
      </c>
      <c r="I117" s="42" t="s">
        <v>6233</v>
      </c>
      <c r="J117" s="42" t="s">
        <v>6257</v>
      </c>
      <c r="K117" s="42" t="s">
        <v>6258</v>
      </c>
      <c r="L117" s="42" t="s">
        <v>6036</v>
      </c>
      <c r="M117" s="42" t="s">
        <v>6259</v>
      </c>
      <c r="N117" s="43" t="s">
        <v>6260</v>
      </c>
    </row>
    <row r="118" spans="1:14" ht="11.1" customHeight="1">
      <c r="A118" s="44" t="s">
        <v>6509</v>
      </c>
      <c r="B118" s="45" t="s">
        <v>6231</v>
      </c>
      <c r="C118" s="46">
        <v>6459</v>
      </c>
      <c r="D118" s="47">
        <v>2.5455090032749931E-2</v>
      </c>
      <c r="E118" s="48" t="s">
        <v>6262</v>
      </c>
      <c r="F118" s="49" t="s">
        <v>6510</v>
      </c>
      <c r="G118" s="49">
        <v>44</v>
      </c>
      <c r="H118" s="49" t="s">
        <v>0</v>
      </c>
      <c r="I118" s="49" t="s">
        <v>6259</v>
      </c>
      <c r="J118" s="49" t="s">
        <v>6267</v>
      </c>
      <c r="K118" s="49" t="s">
        <v>6268</v>
      </c>
      <c r="L118" s="49" t="s">
        <v>6036</v>
      </c>
      <c r="M118" s="49" t="s">
        <v>6259</v>
      </c>
      <c r="N118" s="50" t="s">
        <v>6259</v>
      </c>
    </row>
    <row r="119" spans="1:14" ht="11.1" customHeight="1">
      <c r="A119" s="51" t="s">
        <v>6511</v>
      </c>
      <c r="B119" s="60" t="s">
        <v>6217</v>
      </c>
      <c r="C119" s="61">
        <v>130502</v>
      </c>
      <c r="D119" s="62">
        <v>0.56855441265526085</v>
      </c>
      <c r="E119" s="63" t="s">
        <v>6251</v>
      </c>
      <c r="F119" s="64" t="s">
        <v>6512</v>
      </c>
      <c r="G119" s="64">
        <v>70</v>
      </c>
      <c r="H119" s="64" t="s">
        <v>0</v>
      </c>
      <c r="I119" s="64" t="s">
        <v>6233</v>
      </c>
      <c r="J119" s="64" t="s">
        <v>6257</v>
      </c>
      <c r="K119" s="64" t="s">
        <v>6258</v>
      </c>
      <c r="L119" s="64" t="s">
        <v>6209</v>
      </c>
      <c r="M119" s="64">
        <v>12</v>
      </c>
      <c r="N119" s="65" t="s">
        <v>6260</v>
      </c>
    </row>
    <row r="120" spans="1:14" ht="11.1" customHeight="1">
      <c r="A120" s="31" t="s">
        <v>6513</v>
      </c>
      <c r="B120" s="38" t="s">
        <v>6232</v>
      </c>
      <c r="C120" s="39">
        <v>80362</v>
      </c>
      <c r="D120" s="40">
        <v>0.35011087730304574</v>
      </c>
      <c r="E120" s="94">
        <v>61.579132886852307</v>
      </c>
      <c r="F120" s="95" t="s">
        <v>6514</v>
      </c>
      <c r="G120" s="95">
        <v>61</v>
      </c>
      <c r="H120" s="95" t="s">
        <v>0</v>
      </c>
      <c r="I120" s="95" t="s">
        <v>6233</v>
      </c>
      <c r="J120" s="95" t="s">
        <v>6278</v>
      </c>
      <c r="K120" s="95" t="s">
        <v>6259</v>
      </c>
      <c r="L120" s="95" t="s">
        <v>6036</v>
      </c>
      <c r="M120" s="95" t="s">
        <v>6259</v>
      </c>
      <c r="N120" s="43" t="s">
        <v>6515</v>
      </c>
    </row>
    <row r="121" spans="1:14" ht="11.1" customHeight="1">
      <c r="A121" s="31" t="s">
        <v>6516</v>
      </c>
      <c r="B121" s="38" t="s">
        <v>6231</v>
      </c>
      <c r="C121" s="39">
        <v>13789</v>
      </c>
      <c r="D121" s="40">
        <v>6.0074150557871853E-2</v>
      </c>
      <c r="E121" s="41" t="s">
        <v>6262</v>
      </c>
      <c r="F121" s="42" t="s">
        <v>6517</v>
      </c>
      <c r="G121" s="42">
        <v>31</v>
      </c>
      <c r="H121" s="42" t="s">
        <v>0</v>
      </c>
      <c r="I121" s="42" t="s">
        <v>6259</v>
      </c>
      <c r="J121" s="42" t="s">
        <v>6264</v>
      </c>
      <c r="K121" s="42" t="s">
        <v>6259</v>
      </c>
      <c r="L121" s="42" t="s">
        <v>6036</v>
      </c>
      <c r="M121" s="42" t="s">
        <v>6259</v>
      </c>
      <c r="N121" s="43" t="s">
        <v>6259</v>
      </c>
    </row>
    <row r="122" spans="1:14" ht="11.1" customHeight="1" thickBot="1">
      <c r="A122" s="73" t="s">
        <v>6518</v>
      </c>
      <c r="B122" s="74" t="s">
        <v>6231</v>
      </c>
      <c r="C122" s="75">
        <v>4880</v>
      </c>
      <c r="D122" s="76">
        <v>2.1260559483821499E-2</v>
      </c>
      <c r="E122" s="77" t="s">
        <v>6262</v>
      </c>
      <c r="F122" s="78" t="s">
        <v>6519</v>
      </c>
      <c r="G122" s="78">
        <v>32</v>
      </c>
      <c r="H122" s="78" t="s">
        <v>0</v>
      </c>
      <c r="I122" s="78" t="s">
        <v>6259</v>
      </c>
      <c r="J122" s="78" t="s">
        <v>6267</v>
      </c>
      <c r="K122" s="78" t="s">
        <v>6268</v>
      </c>
      <c r="L122" s="78" t="s">
        <v>6036</v>
      </c>
      <c r="M122" s="78" t="s">
        <v>6259</v>
      </c>
      <c r="N122" s="79" t="s">
        <v>6259</v>
      </c>
    </row>
    <row r="123" spans="1:14" ht="11.1" customHeight="1">
      <c r="A123" s="80" t="s">
        <v>6520</v>
      </c>
      <c r="B123" s="81" t="s">
        <v>6217</v>
      </c>
      <c r="C123" s="82">
        <v>156060</v>
      </c>
      <c r="D123" s="83">
        <v>0.50026125395487198</v>
      </c>
      <c r="E123" s="84" t="s">
        <v>6251</v>
      </c>
      <c r="F123" s="85" t="s">
        <v>6521</v>
      </c>
      <c r="G123" s="85">
        <v>36</v>
      </c>
      <c r="H123" s="85" t="s">
        <v>0</v>
      </c>
      <c r="I123" s="85" t="s">
        <v>6233</v>
      </c>
      <c r="J123" s="85" t="s">
        <v>6253</v>
      </c>
      <c r="K123" s="85" t="s">
        <v>6053</v>
      </c>
      <c r="L123" s="85" t="s">
        <v>6036</v>
      </c>
      <c r="M123" s="85" t="s">
        <v>6259</v>
      </c>
      <c r="N123" s="86" t="s">
        <v>6213</v>
      </c>
    </row>
    <row r="124" spans="1:14" ht="11.1" customHeight="1">
      <c r="A124" s="31" t="s">
        <v>6522</v>
      </c>
      <c r="B124" s="38" t="s">
        <v>6230</v>
      </c>
      <c r="C124" s="39">
        <v>136526</v>
      </c>
      <c r="D124" s="40">
        <v>0.43764364960555463</v>
      </c>
      <c r="E124" s="41">
        <v>87.483019351531468</v>
      </c>
      <c r="F124" s="42" t="s">
        <v>6523</v>
      </c>
      <c r="G124" s="42">
        <v>53</v>
      </c>
      <c r="H124" s="42" t="s">
        <v>0</v>
      </c>
      <c r="I124" s="42" t="s">
        <v>6233</v>
      </c>
      <c r="J124" s="42" t="s">
        <v>6257</v>
      </c>
      <c r="K124" s="42" t="s">
        <v>6286</v>
      </c>
      <c r="L124" s="42" t="s">
        <v>6209</v>
      </c>
      <c r="M124" s="42">
        <v>1</v>
      </c>
      <c r="N124" s="43" t="s">
        <v>6260</v>
      </c>
    </row>
    <row r="125" spans="1:14" ht="11.1" customHeight="1">
      <c r="A125" s="31" t="s">
        <v>6524</v>
      </c>
      <c r="B125" s="38" t="s">
        <v>6231</v>
      </c>
      <c r="C125" s="39">
        <v>15879</v>
      </c>
      <c r="D125" s="40">
        <v>5.0901246005058388E-2</v>
      </c>
      <c r="E125" s="41" t="s">
        <v>6262</v>
      </c>
      <c r="F125" s="42" t="s">
        <v>6525</v>
      </c>
      <c r="G125" s="42">
        <v>54</v>
      </c>
      <c r="H125" s="42" t="s">
        <v>0</v>
      </c>
      <c r="I125" s="42" t="s">
        <v>6259</v>
      </c>
      <c r="J125" s="42" t="s">
        <v>6264</v>
      </c>
      <c r="K125" s="42" t="s">
        <v>6259</v>
      </c>
      <c r="L125" s="42" t="s">
        <v>6036</v>
      </c>
      <c r="M125" s="42" t="s">
        <v>6259</v>
      </c>
      <c r="N125" s="43" t="s">
        <v>6259</v>
      </c>
    </row>
    <row r="126" spans="1:14" ht="11.1" customHeight="1">
      <c r="A126" s="44" t="s">
        <v>6526</v>
      </c>
      <c r="B126" s="45" t="s">
        <v>6231</v>
      </c>
      <c r="C126" s="46">
        <v>3492</v>
      </c>
      <c r="D126" s="47">
        <v>1.1193850434515012E-2</v>
      </c>
      <c r="E126" s="48" t="s">
        <v>6262</v>
      </c>
      <c r="F126" s="49" t="s">
        <v>6527</v>
      </c>
      <c r="G126" s="49">
        <v>40</v>
      </c>
      <c r="H126" s="49" t="s">
        <v>0</v>
      </c>
      <c r="I126" s="49" t="s">
        <v>6259</v>
      </c>
      <c r="J126" s="49" t="s">
        <v>6267</v>
      </c>
      <c r="K126" s="49" t="s">
        <v>6268</v>
      </c>
      <c r="L126" s="49" t="s">
        <v>6036</v>
      </c>
      <c r="M126" s="49" t="s">
        <v>6259</v>
      </c>
      <c r="N126" s="50" t="s">
        <v>6259</v>
      </c>
    </row>
    <row r="127" spans="1:14" ht="11.1" customHeight="1">
      <c r="A127" s="51" t="s">
        <v>6528</v>
      </c>
      <c r="B127" s="52" t="s">
        <v>6217</v>
      </c>
      <c r="C127" s="53">
        <v>131306</v>
      </c>
      <c r="D127" s="54">
        <v>0.53528958536316906</v>
      </c>
      <c r="E127" s="55" t="s">
        <v>6251</v>
      </c>
      <c r="F127" s="56" t="s">
        <v>6529</v>
      </c>
      <c r="G127" s="56">
        <v>30</v>
      </c>
      <c r="H127" s="56" t="s">
        <v>6049</v>
      </c>
      <c r="I127" s="56" t="s">
        <v>6233</v>
      </c>
      <c r="J127" s="56" t="s">
        <v>6253</v>
      </c>
      <c r="K127" s="56" t="s">
        <v>6053</v>
      </c>
      <c r="L127" s="56" t="s">
        <v>6209</v>
      </c>
      <c r="M127" s="56">
        <v>1</v>
      </c>
      <c r="N127" s="57" t="s">
        <v>6213</v>
      </c>
    </row>
    <row r="128" spans="1:14" ht="11.1" customHeight="1">
      <c r="A128" s="31" t="s">
        <v>6530</v>
      </c>
      <c r="B128" s="38" t="s">
        <v>6230</v>
      </c>
      <c r="C128" s="39">
        <v>111596</v>
      </c>
      <c r="D128" s="40">
        <v>0.45493866668840882</v>
      </c>
      <c r="E128" s="41">
        <v>84.989261724521342</v>
      </c>
      <c r="F128" s="42" t="s">
        <v>6531</v>
      </c>
      <c r="G128" s="42">
        <v>58</v>
      </c>
      <c r="H128" s="42" t="s">
        <v>0</v>
      </c>
      <c r="I128" s="42" t="s">
        <v>6233</v>
      </c>
      <c r="J128" s="42" t="s">
        <v>6257</v>
      </c>
      <c r="K128" s="42" t="s">
        <v>6402</v>
      </c>
      <c r="L128" s="42" t="s">
        <v>6209</v>
      </c>
      <c r="M128" s="42">
        <v>5</v>
      </c>
      <c r="N128" s="43" t="s">
        <v>6050</v>
      </c>
    </row>
    <row r="129" spans="1:14" ht="11.1" customHeight="1">
      <c r="A129" s="44" t="s">
        <v>6532</v>
      </c>
      <c r="B129" s="45" t="s">
        <v>6231</v>
      </c>
      <c r="C129" s="46">
        <v>2397</v>
      </c>
      <c r="D129" s="47">
        <v>9.7717479484221298E-3</v>
      </c>
      <c r="E129" s="48" t="s">
        <v>6262</v>
      </c>
      <c r="F129" s="49" t="s">
        <v>6533</v>
      </c>
      <c r="G129" s="49">
        <v>41</v>
      </c>
      <c r="H129" s="49" t="s">
        <v>0</v>
      </c>
      <c r="I129" s="49" t="s">
        <v>6259</v>
      </c>
      <c r="J129" s="49" t="s">
        <v>6267</v>
      </c>
      <c r="K129" s="49" t="s">
        <v>6268</v>
      </c>
      <c r="L129" s="49" t="s">
        <v>6036</v>
      </c>
      <c r="M129" s="49" t="s">
        <v>6259</v>
      </c>
      <c r="N129" s="50" t="s">
        <v>6259</v>
      </c>
    </row>
    <row r="130" spans="1:14" ht="11.1" customHeight="1">
      <c r="A130" s="51" t="s">
        <v>6534</v>
      </c>
      <c r="B130" s="52" t="s">
        <v>6217</v>
      </c>
      <c r="C130" s="53">
        <v>159826</v>
      </c>
      <c r="D130" s="54">
        <v>0.73759945358217494</v>
      </c>
      <c r="E130" s="55" t="s">
        <v>6251</v>
      </c>
      <c r="F130" s="56" t="s">
        <v>6535</v>
      </c>
      <c r="G130" s="56">
        <v>45</v>
      </c>
      <c r="H130" s="56" t="s">
        <v>0</v>
      </c>
      <c r="I130" s="56" t="s">
        <v>6233</v>
      </c>
      <c r="J130" s="56" t="s">
        <v>6253</v>
      </c>
      <c r="K130" s="56" t="s">
        <v>24</v>
      </c>
      <c r="L130" s="56" t="s">
        <v>6209</v>
      </c>
      <c r="M130" s="56">
        <v>5</v>
      </c>
      <c r="N130" s="57" t="s">
        <v>6213</v>
      </c>
    </row>
    <row r="131" spans="1:14" ht="11.1" customHeight="1">
      <c r="A131" s="44" t="s">
        <v>6536</v>
      </c>
      <c r="B131" s="45" t="s">
        <v>6232</v>
      </c>
      <c r="C131" s="46">
        <v>56858</v>
      </c>
      <c r="D131" s="47">
        <v>0.26240054641782501</v>
      </c>
      <c r="E131" s="96">
        <v>35.574937744797467</v>
      </c>
      <c r="F131" s="97" t="s">
        <v>6537</v>
      </c>
      <c r="G131" s="97">
        <v>61</v>
      </c>
      <c r="H131" s="97" t="s">
        <v>0</v>
      </c>
      <c r="I131" s="97" t="s">
        <v>6233</v>
      </c>
      <c r="J131" s="97" t="s">
        <v>6257</v>
      </c>
      <c r="K131" s="97" t="s">
        <v>6286</v>
      </c>
      <c r="L131" s="97" t="s">
        <v>6209</v>
      </c>
      <c r="M131" s="97">
        <v>3</v>
      </c>
      <c r="N131" s="50" t="s">
        <v>6050</v>
      </c>
    </row>
    <row r="132" spans="1:14" ht="11.1" customHeight="1">
      <c r="A132" s="51" t="s">
        <v>6538</v>
      </c>
      <c r="B132" s="52" t="s">
        <v>6217</v>
      </c>
      <c r="C132" s="53">
        <v>91695</v>
      </c>
      <c r="D132" s="54">
        <v>0.49403835067321111</v>
      </c>
      <c r="E132" s="55" t="s">
        <v>6251</v>
      </c>
      <c r="F132" s="56" t="s">
        <v>6539</v>
      </c>
      <c r="G132" s="56">
        <v>77</v>
      </c>
      <c r="H132" s="56" t="s">
        <v>0</v>
      </c>
      <c r="I132" s="56" t="s">
        <v>6233</v>
      </c>
      <c r="J132" s="56" t="s">
        <v>6253</v>
      </c>
      <c r="K132" s="56" t="s">
        <v>6207</v>
      </c>
      <c r="L132" s="56" t="s">
        <v>6209</v>
      </c>
      <c r="M132" s="56">
        <v>13</v>
      </c>
      <c r="N132" s="57" t="s">
        <v>6213</v>
      </c>
    </row>
    <row r="133" spans="1:14" ht="11.1" customHeight="1">
      <c r="A133" s="31" t="s">
        <v>6540</v>
      </c>
      <c r="B133" s="38" t="s">
        <v>6230</v>
      </c>
      <c r="C133" s="39">
        <v>49349</v>
      </c>
      <c r="D133" s="40">
        <v>0.26588471091523302</v>
      </c>
      <c r="E133" s="41">
        <v>53.818637875565734</v>
      </c>
      <c r="F133" s="42" t="s">
        <v>6541</v>
      </c>
      <c r="G133" s="42">
        <v>57</v>
      </c>
      <c r="H133" s="42" t="s">
        <v>0</v>
      </c>
      <c r="I133" s="42" t="s">
        <v>6233</v>
      </c>
      <c r="J133" s="42" t="s">
        <v>6257</v>
      </c>
      <c r="K133" s="42" t="s">
        <v>6273</v>
      </c>
      <c r="L133" s="42" t="s">
        <v>6209</v>
      </c>
      <c r="M133" s="42">
        <v>1</v>
      </c>
      <c r="N133" s="43" t="s">
        <v>6260</v>
      </c>
    </row>
    <row r="134" spans="1:14" ht="11.1" customHeight="1">
      <c r="A134" s="31" t="s">
        <v>6542</v>
      </c>
      <c r="B134" s="38" t="s">
        <v>6230</v>
      </c>
      <c r="C134" s="39">
        <v>42824</v>
      </c>
      <c r="D134" s="40">
        <v>0.23072902916439927</v>
      </c>
      <c r="E134" s="41">
        <v>46.702655542832218</v>
      </c>
      <c r="F134" s="42" t="s">
        <v>6543</v>
      </c>
      <c r="G134" s="42">
        <v>41</v>
      </c>
      <c r="H134" s="42" t="s">
        <v>0</v>
      </c>
      <c r="I134" s="42" t="s">
        <v>6233</v>
      </c>
      <c r="J134" s="42" t="s">
        <v>6484</v>
      </c>
      <c r="K134" s="42" t="s">
        <v>6259</v>
      </c>
      <c r="L134" s="42" t="s">
        <v>6036</v>
      </c>
      <c r="M134" s="42" t="s">
        <v>6259</v>
      </c>
      <c r="N134" s="43" t="s">
        <v>6259</v>
      </c>
    </row>
    <row r="135" spans="1:14" ht="11.1" customHeight="1">
      <c r="A135" s="44" t="s">
        <v>6544</v>
      </c>
      <c r="B135" s="45" t="s">
        <v>6231</v>
      </c>
      <c r="C135" s="46">
        <v>1735</v>
      </c>
      <c r="D135" s="47">
        <v>9.3479092471565658E-3</v>
      </c>
      <c r="E135" s="48" t="s">
        <v>6262</v>
      </c>
      <c r="F135" s="49" t="s">
        <v>6545</v>
      </c>
      <c r="G135" s="49">
        <v>56</v>
      </c>
      <c r="H135" s="49" t="s">
        <v>0</v>
      </c>
      <c r="I135" s="49" t="s">
        <v>6259</v>
      </c>
      <c r="J135" s="49" t="s">
        <v>6267</v>
      </c>
      <c r="K135" s="49" t="s">
        <v>6268</v>
      </c>
      <c r="L135" s="49" t="s">
        <v>6036</v>
      </c>
      <c r="M135" s="49" t="s">
        <v>6259</v>
      </c>
      <c r="N135" s="50" t="s">
        <v>6259</v>
      </c>
    </row>
    <row r="136" spans="1:14" ht="11.1" customHeight="1">
      <c r="A136" s="51" t="s">
        <v>6546</v>
      </c>
      <c r="B136" s="52" t="s">
        <v>6217</v>
      </c>
      <c r="C136" s="53">
        <v>135692</v>
      </c>
      <c r="D136" s="54">
        <v>0.59045298289891646</v>
      </c>
      <c r="E136" s="55" t="s">
        <v>6251</v>
      </c>
      <c r="F136" s="56" t="s">
        <v>6547</v>
      </c>
      <c r="G136" s="56">
        <v>60</v>
      </c>
      <c r="H136" s="56" t="s">
        <v>0</v>
      </c>
      <c r="I136" s="56" t="s">
        <v>6233</v>
      </c>
      <c r="J136" s="56" t="s">
        <v>6253</v>
      </c>
      <c r="K136" s="56" t="s">
        <v>6053</v>
      </c>
      <c r="L136" s="56" t="s">
        <v>6209</v>
      </c>
      <c r="M136" s="56">
        <v>2</v>
      </c>
      <c r="N136" s="57" t="s">
        <v>6213</v>
      </c>
    </row>
    <row r="137" spans="1:14" ht="11.1" customHeight="1">
      <c r="A137" s="31" t="s">
        <v>6548</v>
      </c>
      <c r="B137" s="38" t="s">
        <v>6230</v>
      </c>
      <c r="C137" s="39">
        <v>88968</v>
      </c>
      <c r="D137" s="40">
        <v>0.3871372002958966</v>
      </c>
      <c r="E137" s="41">
        <v>65.566135070601064</v>
      </c>
      <c r="F137" s="42" t="s">
        <v>6549</v>
      </c>
      <c r="G137" s="42">
        <v>64</v>
      </c>
      <c r="H137" s="42" t="s">
        <v>0</v>
      </c>
      <c r="I137" s="42" t="s">
        <v>6233</v>
      </c>
      <c r="J137" s="42" t="s">
        <v>6257</v>
      </c>
      <c r="K137" s="42" t="s">
        <v>6286</v>
      </c>
      <c r="L137" s="42" t="s">
        <v>6209</v>
      </c>
      <c r="M137" s="42">
        <v>6</v>
      </c>
      <c r="N137" s="43" t="s">
        <v>6050</v>
      </c>
    </row>
    <row r="138" spans="1:14" ht="11.1" customHeight="1" thickBot="1">
      <c r="A138" s="66" t="s">
        <v>6550</v>
      </c>
      <c r="B138" s="67" t="s">
        <v>6231</v>
      </c>
      <c r="C138" s="68">
        <v>5150</v>
      </c>
      <c r="D138" s="69">
        <v>2.2409816805186892E-2</v>
      </c>
      <c r="E138" s="70" t="s">
        <v>6262</v>
      </c>
      <c r="F138" s="71" t="s">
        <v>6551</v>
      </c>
      <c r="G138" s="71">
        <v>40</v>
      </c>
      <c r="H138" s="71" t="s">
        <v>0</v>
      </c>
      <c r="I138" s="71" t="s">
        <v>6259</v>
      </c>
      <c r="J138" s="71" t="s">
        <v>6267</v>
      </c>
      <c r="K138" s="71" t="s">
        <v>6268</v>
      </c>
      <c r="L138" s="71" t="s">
        <v>6036</v>
      </c>
      <c r="M138" s="71" t="s">
        <v>6259</v>
      </c>
      <c r="N138" s="72" t="s">
        <v>6259</v>
      </c>
    </row>
    <row r="139" spans="1:14" ht="11.1" customHeight="1" thickTop="1">
      <c r="A139" s="31" t="s">
        <v>6552</v>
      </c>
      <c r="B139" s="32" t="s">
        <v>6217</v>
      </c>
      <c r="C139" s="33">
        <v>151165</v>
      </c>
      <c r="D139" s="34">
        <v>0.57100281034691169</v>
      </c>
      <c r="E139" s="35" t="s">
        <v>6251</v>
      </c>
      <c r="F139" s="36" t="s">
        <v>6553</v>
      </c>
      <c r="G139" s="36">
        <v>39</v>
      </c>
      <c r="H139" s="36" t="s">
        <v>0</v>
      </c>
      <c r="I139" s="36" t="s">
        <v>6233</v>
      </c>
      <c r="J139" s="36" t="s">
        <v>6253</v>
      </c>
      <c r="K139" s="36" t="s">
        <v>6053</v>
      </c>
      <c r="L139" s="36" t="s">
        <v>6036</v>
      </c>
      <c r="M139" s="36" t="s">
        <v>6259</v>
      </c>
      <c r="N139" s="37" t="s">
        <v>6213</v>
      </c>
    </row>
    <row r="140" spans="1:14" ht="11.1" customHeight="1">
      <c r="A140" s="31" t="s">
        <v>6554</v>
      </c>
      <c r="B140" s="38" t="s">
        <v>6230</v>
      </c>
      <c r="C140" s="39">
        <v>92528</v>
      </c>
      <c r="D140" s="40">
        <v>0.34951045569926265</v>
      </c>
      <c r="E140" s="41">
        <v>61.209936162471472</v>
      </c>
      <c r="F140" s="42" t="s">
        <v>6555</v>
      </c>
      <c r="G140" s="42">
        <v>50</v>
      </c>
      <c r="H140" s="42" t="s">
        <v>0</v>
      </c>
      <c r="I140" s="42" t="s">
        <v>6233</v>
      </c>
      <c r="J140" s="42" t="s">
        <v>6257</v>
      </c>
      <c r="K140" s="42" t="s">
        <v>6369</v>
      </c>
      <c r="L140" s="42" t="s">
        <v>6209</v>
      </c>
      <c r="M140" s="42">
        <v>6</v>
      </c>
      <c r="N140" s="43" t="s">
        <v>6260</v>
      </c>
    </row>
    <row r="141" spans="1:14" ht="11.1" customHeight="1">
      <c r="A141" s="31" t="s">
        <v>6556</v>
      </c>
      <c r="B141" s="38" t="s">
        <v>6231</v>
      </c>
      <c r="C141" s="39">
        <v>15776</v>
      </c>
      <c r="D141" s="40">
        <v>5.9591442040372297E-2</v>
      </c>
      <c r="E141" s="41">
        <v>10.436278239010353</v>
      </c>
      <c r="F141" s="42" t="s">
        <v>6557</v>
      </c>
      <c r="G141" s="42">
        <v>58</v>
      </c>
      <c r="H141" s="42" t="s">
        <v>0</v>
      </c>
      <c r="I141" s="42" t="s">
        <v>6233</v>
      </c>
      <c r="J141" s="42" t="s">
        <v>6264</v>
      </c>
      <c r="K141" s="42" t="s">
        <v>6259</v>
      </c>
      <c r="L141" s="42" t="s">
        <v>6036</v>
      </c>
      <c r="M141" s="42" t="s">
        <v>6259</v>
      </c>
      <c r="N141" s="43" t="s">
        <v>6259</v>
      </c>
    </row>
    <row r="142" spans="1:14" ht="11.1" customHeight="1">
      <c r="A142" s="44" t="s">
        <v>6558</v>
      </c>
      <c r="B142" s="45" t="s">
        <v>6231</v>
      </c>
      <c r="C142" s="46">
        <v>5267</v>
      </c>
      <c r="D142" s="47">
        <v>1.9895291913453402E-2</v>
      </c>
      <c r="E142" s="48" t="s">
        <v>6262</v>
      </c>
      <c r="F142" s="49" t="s">
        <v>6559</v>
      </c>
      <c r="G142" s="49">
        <v>34</v>
      </c>
      <c r="H142" s="49" t="s">
        <v>0</v>
      </c>
      <c r="I142" s="49" t="s">
        <v>6259</v>
      </c>
      <c r="J142" s="49" t="s">
        <v>6267</v>
      </c>
      <c r="K142" s="49" t="s">
        <v>6268</v>
      </c>
      <c r="L142" s="49" t="s">
        <v>6036</v>
      </c>
      <c r="M142" s="49" t="s">
        <v>6259</v>
      </c>
      <c r="N142" s="50" t="s">
        <v>6259</v>
      </c>
    </row>
    <row r="143" spans="1:14" ht="11.1" customHeight="1">
      <c r="A143" s="51" t="s">
        <v>6560</v>
      </c>
      <c r="B143" s="52" t="s">
        <v>6217</v>
      </c>
      <c r="C143" s="53">
        <v>114455</v>
      </c>
      <c r="D143" s="54">
        <v>0.49068826258070602</v>
      </c>
      <c r="E143" s="55" t="s">
        <v>6251</v>
      </c>
      <c r="F143" s="56" t="s">
        <v>6561</v>
      </c>
      <c r="G143" s="56">
        <v>62</v>
      </c>
      <c r="H143" s="56" t="s">
        <v>0</v>
      </c>
      <c r="I143" s="56" t="s">
        <v>6233</v>
      </c>
      <c r="J143" s="56" t="s">
        <v>6253</v>
      </c>
      <c r="K143" s="56" t="s">
        <v>6053</v>
      </c>
      <c r="L143" s="56" t="s">
        <v>6036</v>
      </c>
      <c r="M143" s="56" t="s">
        <v>6259</v>
      </c>
      <c r="N143" s="57" t="s">
        <v>6213</v>
      </c>
    </row>
    <row r="144" spans="1:14" ht="11.1" customHeight="1">
      <c r="A144" s="31" t="s">
        <v>6562</v>
      </c>
      <c r="B144" s="38" t="s">
        <v>6232</v>
      </c>
      <c r="C144" s="39">
        <v>111674</v>
      </c>
      <c r="D144" s="40">
        <v>0.47876563745959339</v>
      </c>
      <c r="E144" s="58">
        <v>97.570224105543659</v>
      </c>
      <c r="F144" s="59" t="s">
        <v>6563</v>
      </c>
      <c r="G144" s="59">
        <v>65</v>
      </c>
      <c r="H144" s="59" t="s">
        <v>0</v>
      </c>
      <c r="I144" s="59" t="s">
        <v>6233</v>
      </c>
      <c r="J144" s="59" t="s">
        <v>6257</v>
      </c>
      <c r="K144" s="59" t="s">
        <v>6273</v>
      </c>
      <c r="L144" s="59" t="s">
        <v>6209</v>
      </c>
      <c r="M144" s="59">
        <v>8</v>
      </c>
      <c r="N144" s="43" t="s">
        <v>6260</v>
      </c>
    </row>
    <row r="145" spans="1:14" ht="11.1" customHeight="1">
      <c r="A145" s="44" t="s">
        <v>6564</v>
      </c>
      <c r="B145" s="45" t="s">
        <v>6231</v>
      </c>
      <c r="C145" s="46">
        <v>7125</v>
      </c>
      <c r="D145" s="47">
        <v>3.0546099959700583E-2</v>
      </c>
      <c r="E145" s="48" t="s">
        <v>6262</v>
      </c>
      <c r="F145" s="49" t="s">
        <v>6565</v>
      </c>
      <c r="G145" s="49">
        <v>45</v>
      </c>
      <c r="H145" s="49" t="s">
        <v>0</v>
      </c>
      <c r="I145" s="49" t="s">
        <v>6259</v>
      </c>
      <c r="J145" s="49" t="s">
        <v>6267</v>
      </c>
      <c r="K145" s="49" t="s">
        <v>6268</v>
      </c>
      <c r="L145" s="49" t="s">
        <v>6036</v>
      </c>
      <c r="M145" s="49" t="s">
        <v>6259</v>
      </c>
      <c r="N145" s="50" t="s">
        <v>6259</v>
      </c>
    </row>
    <row r="146" spans="1:14" ht="11.1" customHeight="1">
      <c r="A146" s="51" t="s">
        <v>6566</v>
      </c>
      <c r="B146" s="52" t="s">
        <v>6217</v>
      </c>
      <c r="C146" s="53">
        <v>146983</v>
      </c>
      <c r="D146" s="54">
        <v>0.57139136282883096</v>
      </c>
      <c r="E146" s="55" t="s">
        <v>6251</v>
      </c>
      <c r="F146" s="56" t="s">
        <v>6567</v>
      </c>
      <c r="G146" s="56">
        <v>52</v>
      </c>
      <c r="H146" s="56" t="s">
        <v>0</v>
      </c>
      <c r="I146" s="56" t="s">
        <v>6233</v>
      </c>
      <c r="J146" s="56" t="s">
        <v>6253</v>
      </c>
      <c r="K146" s="56" t="s">
        <v>6053</v>
      </c>
      <c r="L146" s="56" t="s">
        <v>6283</v>
      </c>
      <c r="M146" s="56">
        <v>2</v>
      </c>
      <c r="N146" s="57" t="s">
        <v>6213</v>
      </c>
    </row>
    <row r="147" spans="1:14" ht="11.1" customHeight="1">
      <c r="A147" s="31" t="s">
        <v>6568</v>
      </c>
      <c r="B147" s="38" t="s">
        <v>6230</v>
      </c>
      <c r="C147" s="39">
        <v>103228</v>
      </c>
      <c r="D147" s="40">
        <v>0.40129530355275483</v>
      </c>
      <c r="E147" s="41">
        <v>70.231251233135808</v>
      </c>
      <c r="F147" s="42" t="s">
        <v>6569</v>
      </c>
      <c r="G147" s="42">
        <v>49</v>
      </c>
      <c r="H147" s="42" t="s">
        <v>0</v>
      </c>
      <c r="I147" s="42" t="s">
        <v>6233</v>
      </c>
      <c r="J147" s="42" t="s">
        <v>6257</v>
      </c>
      <c r="K147" s="42" t="s">
        <v>6402</v>
      </c>
      <c r="L147" s="42" t="s">
        <v>6209</v>
      </c>
      <c r="M147" s="42">
        <v>2</v>
      </c>
      <c r="N147" s="43" t="s">
        <v>6260</v>
      </c>
    </row>
    <row r="148" spans="1:14" ht="11.1" customHeight="1">
      <c r="A148" s="44" t="s">
        <v>6570</v>
      </c>
      <c r="B148" s="45" t="s">
        <v>6231</v>
      </c>
      <c r="C148" s="46">
        <v>7026</v>
      </c>
      <c r="D148" s="47">
        <v>2.7313333618414148E-2</v>
      </c>
      <c r="E148" s="48" t="s">
        <v>6262</v>
      </c>
      <c r="F148" s="49" t="s">
        <v>6571</v>
      </c>
      <c r="G148" s="49">
        <v>51</v>
      </c>
      <c r="H148" s="49" t="s">
        <v>0</v>
      </c>
      <c r="I148" s="49" t="s">
        <v>6259</v>
      </c>
      <c r="J148" s="49" t="s">
        <v>6267</v>
      </c>
      <c r="K148" s="49" t="s">
        <v>6268</v>
      </c>
      <c r="L148" s="49" t="s">
        <v>6036</v>
      </c>
      <c r="M148" s="49" t="s">
        <v>6259</v>
      </c>
      <c r="N148" s="50" t="s">
        <v>6259</v>
      </c>
    </row>
    <row r="149" spans="1:14" ht="11.1" customHeight="1">
      <c r="A149" s="51" t="s">
        <v>6572</v>
      </c>
      <c r="B149" s="60" t="s">
        <v>6217</v>
      </c>
      <c r="C149" s="61">
        <v>104236</v>
      </c>
      <c r="D149" s="62">
        <v>0.5073298938966222</v>
      </c>
      <c r="E149" s="63" t="s">
        <v>6251</v>
      </c>
      <c r="F149" s="64" t="s">
        <v>6573</v>
      </c>
      <c r="G149" s="64">
        <v>53</v>
      </c>
      <c r="H149" s="64" t="s">
        <v>0</v>
      </c>
      <c r="I149" s="64" t="s">
        <v>6233</v>
      </c>
      <c r="J149" s="64" t="s">
        <v>6257</v>
      </c>
      <c r="K149" s="64" t="s">
        <v>6258</v>
      </c>
      <c r="L149" s="64" t="s">
        <v>6209</v>
      </c>
      <c r="M149" s="64">
        <v>3</v>
      </c>
      <c r="N149" s="65" t="s">
        <v>6260</v>
      </c>
    </row>
    <row r="150" spans="1:14" ht="11.1" customHeight="1">
      <c r="A150" s="31" t="s">
        <v>6574</v>
      </c>
      <c r="B150" s="38" t="s">
        <v>6232</v>
      </c>
      <c r="C150" s="39">
        <v>97256</v>
      </c>
      <c r="D150" s="40">
        <v>0.47335734449527889</v>
      </c>
      <c r="E150" s="35">
        <v>93.303657085843668</v>
      </c>
      <c r="F150" s="36" t="s">
        <v>6575</v>
      </c>
      <c r="G150" s="36">
        <v>50</v>
      </c>
      <c r="H150" s="36" t="s">
        <v>0</v>
      </c>
      <c r="I150" s="36" t="s">
        <v>6233</v>
      </c>
      <c r="J150" s="36" t="s">
        <v>6253</v>
      </c>
      <c r="K150" s="36" t="s">
        <v>6053</v>
      </c>
      <c r="L150" s="36" t="s">
        <v>6036</v>
      </c>
      <c r="M150" s="36" t="s">
        <v>6259</v>
      </c>
      <c r="N150" s="43" t="s">
        <v>6213</v>
      </c>
    </row>
    <row r="151" spans="1:14" ht="11.1" customHeight="1">
      <c r="A151" s="44" t="s">
        <v>6576</v>
      </c>
      <c r="B151" s="45" t="s">
        <v>6231</v>
      </c>
      <c r="C151" s="46">
        <v>3968</v>
      </c>
      <c r="D151" s="47">
        <v>1.9312761608098899E-2</v>
      </c>
      <c r="E151" s="48" t="s">
        <v>6262</v>
      </c>
      <c r="F151" s="49" t="s">
        <v>6577</v>
      </c>
      <c r="G151" s="49">
        <v>42</v>
      </c>
      <c r="H151" s="49" t="s">
        <v>0</v>
      </c>
      <c r="I151" s="49" t="s">
        <v>6259</v>
      </c>
      <c r="J151" s="49" t="s">
        <v>6267</v>
      </c>
      <c r="K151" s="49" t="s">
        <v>6268</v>
      </c>
      <c r="L151" s="49" t="s">
        <v>6036</v>
      </c>
      <c r="M151" s="49" t="s">
        <v>6259</v>
      </c>
      <c r="N151" s="50" t="s">
        <v>6259</v>
      </c>
    </row>
    <row r="152" spans="1:14" ht="11.1" customHeight="1">
      <c r="A152" s="51" t="s">
        <v>6578</v>
      </c>
      <c r="B152" s="52" t="s">
        <v>6217</v>
      </c>
      <c r="C152" s="53">
        <v>91855</v>
      </c>
      <c r="D152" s="54">
        <v>0.61273839462607316</v>
      </c>
      <c r="E152" s="55" t="s">
        <v>6251</v>
      </c>
      <c r="F152" s="56" t="s">
        <v>6579</v>
      </c>
      <c r="G152" s="56">
        <v>61</v>
      </c>
      <c r="H152" s="56" t="s">
        <v>0</v>
      </c>
      <c r="I152" s="56" t="s">
        <v>6233</v>
      </c>
      <c r="J152" s="56" t="s">
        <v>6253</v>
      </c>
      <c r="K152" s="56" t="s">
        <v>6254</v>
      </c>
      <c r="L152" s="56" t="s">
        <v>6209</v>
      </c>
      <c r="M152" s="56">
        <v>6</v>
      </c>
      <c r="N152" s="57" t="s">
        <v>6213</v>
      </c>
    </row>
    <row r="153" spans="1:14" ht="11.1" customHeight="1">
      <c r="A153" s="31" t="s">
        <v>6580</v>
      </c>
      <c r="B153" s="38" t="s">
        <v>6230</v>
      </c>
      <c r="C153" s="39">
        <v>54541</v>
      </c>
      <c r="D153" s="40">
        <v>0.36382738861576025</v>
      </c>
      <c r="E153" s="41">
        <v>59.377279407762231</v>
      </c>
      <c r="F153" s="42" t="s">
        <v>6581</v>
      </c>
      <c r="G153" s="42">
        <v>50</v>
      </c>
      <c r="H153" s="42" t="s">
        <v>0</v>
      </c>
      <c r="I153" s="42" t="s">
        <v>6233</v>
      </c>
      <c r="J153" s="42" t="s">
        <v>6257</v>
      </c>
      <c r="K153" s="42" t="s">
        <v>6286</v>
      </c>
      <c r="L153" s="42" t="s">
        <v>6209</v>
      </c>
      <c r="M153" s="42">
        <v>1</v>
      </c>
      <c r="N153" s="43" t="s">
        <v>6259</v>
      </c>
    </row>
    <row r="154" spans="1:14" ht="11.1" customHeight="1">
      <c r="A154" s="44" t="s">
        <v>6582</v>
      </c>
      <c r="B154" s="45" t="s">
        <v>6231</v>
      </c>
      <c r="C154" s="46">
        <v>3513</v>
      </c>
      <c r="D154" s="47">
        <v>2.3434216758166621E-2</v>
      </c>
      <c r="E154" s="48" t="s">
        <v>6262</v>
      </c>
      <c r="F154" s="49" t="s">
        <v>6583</v>
      </c>
      <c r="G154" s="49">
        <v>33</v>
      </c>
      <c r="H154" s="49" t="s">
        <v>0</v>
      </c>
      <c r="I154" s="49" t="s">
        <v>6259</v>
      </c>
      <c r="J154" s="49" t="s">
        <v>6267</v>
      </c>
      <c r="K154" s="49" t="s">
        <v>6268</v>
      </c>
      <c r="L154" s="49" t="s">
        <v>6036</v>
      </c>
      <c r="M154" s="49" t="s">
        <v>6259</v>
      </c>
      <c r="N154" s="50" t="s">
        <v>6259</v>
      </c>
    </row>
    <row r="155" spans="1:14" ht="11.1" customHeight="1">
      <c r="A155" s="51" t="s">
        <v>6584</v>
      </c>
      <c r="B155" s="52" t="s">
        <v>6217</v>
      </c>
      <c r="C155" s="53">
        <v>147865</v>
      </c>
      <c r="D155" s="54">
        <v>0.54331970119529227</v>
      </c>
      <c r="E155" s="55" t="s">
        <v>6251</v>
      </c>
      <c r="F155" s="56" t="s">
        <v>6585</v>
      </c>
      <c r="G155" s="56">
        <v>59</v>
      </c>
      <c r="H155" s="56" t="s">
        <v>6049</v>
      </c>
      <c r="I155" s="56" t="s">
        <v>6233</v>
      </c>
      <c r="J155" s="56" t="s">
        <v>6253</v>
      </c>
      <c r="K155" s="56" t="s">
        <v>6053</v>
      </c>
      <c r="L155" s="56" t="s">
        <v>6036</v>
      </c>
      <c r="M155" s="56" t="s">
        <v>6259</v>
      </c>
      <c r="N155" s="57" t="s">
        <v>6213</v>
      </c>
    </row>
    <row r="156" spans="1:14" ht="11.1" customHeight="1">
      <c r="A156" s="31" t="s">
        <v>6586</v>
      </c>
      <c r="B156" s="38" t="s">
        <v>6230</v>
      </c>
      <c r="C156" s="39">
        <v>114204</v>
      </c>
      <c r="D156" s="40">
        <v>0.41963468809594673</v>
      </c>
      <c r="E156" s="41">
        <v>77.23531599770061</v>
      </c>
      <c r="F156" s="42" t="s">
        <v>6587</v>
      </c>
      <c r="G156" s="42">
        <v>65</v>
      </c>
      <c r="H156" s="42" t="s">
        <v>0</v>
      </c>
      <c r="I156" s="42" t="s">
        <v>6233</v>
      </c>
      <c r="J156" s="42" t="s">
        <v>6257</v>
      </c>
      <c r="K156" s="42" t="s">
        <v>6402</v>
      </c>
      <c r="L156" s="42" t="s">
        <v>6209</v>
      </c>
      <c r="M156" s="42">
        <v>10</v>
      </c>
      <c r="N156" s="43" t="s">
        <v>6260</v>
      </c>
    </row>
    <row r="157" spans="1:14" ht="11.1" customHeight="1">
      <c r="A157" s="44" t="s">
        <v>6588</v>
      </c>
      <c r="B157" s="45" t="s">
        <v>6231</v>
      </c>
      <c r="C157" s="46">
        <v>10082</v>
      </c>
      <c r="D157" s="47">
        <v>3.7045610708760945E-2</v>
      </c>
      <c r="E157" s="48" t="s">
        <v>6262</v>
      </c>
      <c r="F157" s="49" t="s">
        <v>6589</v>
      </c>
      <c r="G157" s="49">
        <v>35</v>
      </c>
      <c r="H157" s="49" t="s">
        <v>0</v>
      </c>
      <c r="I157" s="49" t="s">
        <v>6259</v>
      </c>
      <c r="J157" s="49" t="s">
        <v>6267</v>
      </c>
      <c r="K157" s="49" t="s">
        <v>6268</v>
      </c>
      <c r="L157" s="49" t="s">
        <v>6036</v>
      </c>
      <c r="M157" s="49" t="s">
        <v>6259</v>
      </c>
      <c r="N157" s="50" t="s">
        <v>6259</v>
      </c>
    </row>
    <row r="158" spans="1:14" ht="11.1" customHeight="1">
      <c r="A158" s="51" t="s">
        <v>6590</v>
      </c>
      <c r="B158" s="87" t="s">
        <v>6217</v>
      </c>
      <c r="C158" s="88">
        <v>78999</v>
      </c>
      <c r="D158" s="89">
        <v>0.36989399359466596</v>
      </c>
      <c r="E158" s="90" t="s">
        <v>6262</v>
      </c>
      <c r="F158" s="91" t="s">
        <v>6591</v>
      </c>
      <c r="G158" s="91">
        <v>60</v>
      </c>
      <c r="H158" s="91" t="s">
        <v>0</v>
      </c>
      <c r="I158" s="91" t="s">
        <v>6259</v>
      </c>
      <c r="J158" s="91" t="s">
        <v>6322</v>
      </c>
      <c r="K158" s="91" t="s">
        <v>6323</v>
      </c>
      <c r="L158" s="91" t="s">
        <v>6209</v>
      </c>
      <c r="M158" s="91">
        <v>10</v>
      </c>
      <c r="N158" s="92" t="s">
        <v>6259</v>
      </c>
    </row>
    <row r="159" spans="1:14" ht="11.1" customHeight="1">
      <c r="A159" s="31" t="s">
        <v>6592</v>
      </c>
      <c r="B159" s="38" t="s">
        <v>6232</v>
      </c>
      <c r="C159" s="39">
        <v>67331</v>
      </c>
      <c r="D159" s="40">
        <v>0.31526136384919373</v>
      </c>
      <c r="E159" s="35">
        <v>85.230192787250473</v>
      </c>
      <c r="F159" s="36" t="s">
        <v>6593</v>
      </c>
      <c r="G159" s="36">
        <v>59</v>
      </c>
      <c r="H159" s="36" t="s">
        <v>0</v>
      </c>
      <c r="I159" s="36" t="s">
        <v>6233</v>
      </c>
      <c r="J159" s="36" t="s">
        <v>6253</v>
      </c>
      <c r="K159" s="36" t="s">
        <v>6053</v>
      </c>
      <c r="L159" s="36" t="s">
        <v>6036</v>
      </c>
      <c r="M159" s="36" t="s">
        <v>6259</v>
      </c>
      <c r="N159" s="43" t="s">
        <v>6259</v>
      </c>
    </row>
    <row r="160" spans="1:14" ht="11.1" customHeight="1">
      <c r="A160" s="31" t="s">
        <v>6594</v>
      </c>
      <c r="B160" s="38" t="s">
        <v>6232</v>
      </c>
      <c r="C160" s="39">
        <v>64180</v>
      </c>
      <c r="D160" s="40">
        <v>0.30050755717041561</v>
      </c>
      <c r="E160" s="58">
        <v>81.241534702970924</v>
      </c>
      <c r="F160" s="59" t="s">
        <v>6595</v>
      </c>
      <c r="G160" s="59">
        <v>55</v>
      </c>
      <c r="H160" s="59" t="s">
        <v>6049</v>
      </c>
      <c r="I160" s="59" t="s">
        <v>6233</v>
      </c>
      <c r="J160" s="59" t="s">
        <v>6257</v>
      </c>
      <c r="K160" s="59" t="s">
        <v>6596</v>
      </c>
      <c r="L160" s="59" t="s">
        <v>6209</v>
      </c>
      <c r="M160" s="59">
        <v>1</v>
      </c>
      <c r="N160" s="43" t="s">
        <v>6259</v>
      </c>
    </row>
    <row r="161" spans="1:14" ht="11.1" customHeight="1" thickBot="1">
      <c r="A161" s="73" t="s">
        <v>6597</v>
      </c>
      <c r="B161" s="74" t="s">
        <v>6231</v>
      </c>
      <c r="C161" s="75">
        <v>3062</v>
      </c>
      <c r="D161" s="76">
        <v>1.4337085385724721E-2</v>
      </c>
      <c r="E161" s="77" t="s">
        <v>6262</v>
      </c>
      <c r="F161" s="78" t="s">
        <v>6598</v>
      </c>
      <c r="G161" s="78">
        <v>60</v>
      </c>
      <c r="H161" s="78" t="s">
        <v>0</v>
      </c>
      <c r="I161" s="78" t="s">
        <v>6259</v>
      </c>
      <c r="J161" s="78" t="s">
        <v>6267</v>
      </c>
      <c r="K161" s="78" t="s">
        <v>6268</v>
      </c>
      <c r="L161" s="78" t="s">
        <v>6036</v>
      </c>
      <c r="M161" s="78" t="s">
        <v>6259</v>
      </c>
      <c r="N161" s="79" t="s">
        <v>6259</v>
      </c>
    </row>
    <row r="162" spans="1:14" ht="11.1" customHeight="1">
      <c r="A162" s="80" t="s">
        <v>6599</v>
      </c>
      <c r="B162" s="81" t="s">
        <v>6217</v>
      </c>
      <c r="C162" s="82">
        <v>145702</v>
      </c>
      <c r="D162" s="83">
        <v>0.53988498421497277</v>
      </c>
      <c r="E162" s="84" t="s">
        <v>6251</v>
      </c>
      <c r="F162" s="85" t="s">
        <v>6600</v>
      </c>
      <c r="G162" s="85">
        <v>47</v>
      </c>
      <c r="H162" s="85" t="s">
        <v>0</v>
      </c>
      <c r="I162" s="85" t="s">
        <v>6233</v>
      </c>
      <c r="J162" s="85" t="s">
        <v>6253</v>
      </c>
      <c r="K162" s="85" t="s">
        <v>6053</v>
      </c>
      <c r="L162" s="85" t="s">
        <v>6036</v>
      </c>
      <c r="M162" s="85" t="s">
        <v>6259</v>
      </c>
      <c r="N162" s="86" t="s">
        <v>6213</v>
      </c>
    </row>
    <row r="163" spans="1:14" ht="11.1" customHeight="1">
      <c r="A163" s="31" t="s">
        <v>6601</v>
      </c>
      <c r="B163" s="38" t="s">
        <v>6230</v>
      </c>
      <c r="C163" s="39">
        <v>111455</v>
      </c>
      <c r="D163" s="40">
        <v>0.41298596392417258</v>
      </c>
      <c r="E163" s="41">
        <v>76.495175083389384</v>
      </c>
      <c r="F163" s="42" t="s">
        <v>6602</v>
      </c>
      <c r="G163" s="42">
        <v>55</v>
      </c>
      <c r="H163" s="42" t="s">
        <v>0</v>
      </c>
      <c r="I163" s="42" t="s">
        <v>6233</v>
      </c>
      <c r="J163" s="42" t="s">
        <v>6257</v>
      </c>
      <c r="K163" s="42" t="s">
        <v>6273</v>
      </c>
      <c r="L163" s="42" t="s">
        <v>6209</v>
      </c>
      <c r="M163" s="42">
        <v>9</v>
      </c>
      <c r="N163" s="43" t="s">
        <v>6260</v>
      </c>
    </row>
    <row r="164" spans="1:14" ht="11.1" customHeight="1">
      <c r="A164" s="31" t="s">
        <v>6603</v>
      </c>
      <c r="B164" s="38" t="s">
        <v>6231</v>
      </c>
      <c r="C164" s="39">
        <v>8883</v>
      </c>
      <c r="D164" s="40">
        <v>3.2915116572055314E-2</v>
      </c>
      <c r="E164" s="41">
        <v>6.0966905052778957</v>
      </c>
      <c r="F164" s="42" t="s">
        <v>6604</v>
      </c>
      <c r="G164" s="42">
        <v>48</v>
      </c>
      <c r="H164" s="42" t="s">
        <v>0</v>
      </c>
      <c r="I164" s="42" t="s">
        <v>6233</v>
      </c>
      <c r="J164" s="42" t="s">
        <v>6264</v>
      </c>
      <c r="K164" s="42" t="s">
        <v>6259</v>
      </c>
      <c r="L164" s="42" t="s">
        <v>6036</v>
      </c>
      <c r="M164" s="42" t="s">
        <v>6259</v>
      </c>
      <c r="N164" s="43" t="s">
        <v>6259</v>
      </c>
    </row>
    <row r="165" spans="1:14" ht="11.1" customHeight="1">
      <c r="A165" s="44" t="s">
        <v>6605</v>
      </c>
      <c r="B165" s="45" t="s">
        <v>6231</v>
      </c>
      <c r="C165" s="46">
        <v>3836</v>
      </c>
      <c r="D165" s="47">
        <v>1.4213935288799301E-2</v>
      </c>
      <c r="E165" s="48" t="s">
        <v>6262</v>
      </c>
      <c r="F165" s="49" t="s">
        <v>6606</v>
      </c>
      <c r="G165" s="49">
        <v>59</v>
      </c>
      <c r="H165" s="49" t="s">
        <v>0</v>
      </c>
      <c r="I165" s="49" t="s">
        <v>6259</v>
      </c>
      <c r="J165" s="49" t="s">
        <v>6267</v>
      </c>
      <c r="K165" s="49" t="s">
        <v>6268</v>
      </c>
      <c r="L165" s="49" t="s">
        <v>6036</v>
      </c>
      <c r="M165" s="49" t="s">
        <v>6259</v>
      </c>
      <c r="N165" s="50" t="s">
        <v>6259</v>
      </c>
    </row>
    <row r="166" spans="1:14" ht="11.1" customHeight="1">
      <c r="A166" s="51" t="s">
        <v>6607</v>
      </c>
      <c r="B166" s="52" t="s">
        <v>6217</v>
      </c>
      <c r="C166" s="53">
        <v>115046</v>
      </c>
      <c r="D166" s="54">
        <v>0.62937514360427582</v>
      </c>
      <c r="E166" s="55" t="s">
        <v>6251</v>
      </c>
      <c r="F166" s="56" t="s">
        <v>6608</v>
      </c>
      <c r="G166" s="56">
        <v>61</v>
      </c>
      <c r="H166" s="56" t="s">
        <v>0</v>
      </c>
      <c r="I166" s="56" t="s">
        <v>6233</v>
      </c>
      <c r="J166" s="56" t="s">
        <v>6253</v>
      </c>
      <c r="K166" s="56" t="s">
        <v>6053</v>
      </c>
      <c r="L166" s="56" t="s">
        <v>6209</v>
      </c>
      <c r="M166" s="56">
        <v>1</v>
      </c>
      <c r="N166" s="57" t="s">
        <v>6213</v>
      </c>
    </row>
    <row r="167" spans="1:14" ht="11.1" customHeight="1">
      <c r="A167" s="31" t="s">
        <v>6609</v>
      </c>
      <c r="B167" s="38" t="s">
        <v>6230</v>
      </c>
      <c r="C167" s="39">
        <v>65222</v>
      </c>
      <c r="D167" s="40">
        <v>0.35680602207949935</v>
      </c>
      <c r="E167" s="41">
        <v>56.692105766389098</v>
      </c>
      <c r="F167" s="42" t="s">
        <v>6610</v>
      </c>
      <c r="G167" s="42">
        <v>66</v>
      </c>
      <c r="H167" s="42" t="s">
        <v>0</v>
      </c>
      <c r="I167" s="42" t="s">
        <v>6233</v>
      </c>
      <c r="J167" s="42" t="s">
        <v>6257</v>
      </c>
      <c r="K167" s="42" t="s">
        <v>6311</v>
      </c>
      <c r="L167" s="42" t="s">
        <v>6209</v>
      </c>
      <c r="M167" s="42">
        <v>4</v>
      </c>
      <c r="N167" s="43" t="s">
        <v>6260</v>
      </c>
    </row>
    <row r="168" spans="1:14" ht="11.1" customHeight="1">
      <c r="A168" s="44" t="s">
        <v>6611</v>
      </c>
      <c r="B168" s="45" t="s">
        <v>6231</v>
      </c>
      <c r="C168" s="46">
        <v>2526</v>
      </c>
      <c r="D168" s="47">
        <v>1.3818834316224821E-2</v>
      </c>
      <c r="E168" s="48" t="s">
        <v>6262</v>
      </c>
      <c r="F168" s="49" t="s">
        <v>6612</v>
      </c>
      <c r="G168" s="49">
        <v>62</v>
      </c>
      <c r="H168" s="49" t="s">
        <v>0</v>
      </c>
      <c r="I168" s="49" t="s">
        <v>6259</v>
      </c>
      <c r="J168" s="49" t="s">
        <v>6267</v>
      </c>
      <c r="K168" s="49" t="s">
        <v>6268</v>
      </c>
      <c r="L168" s="49" t="s">
        <v>6036</v>
      </c>
      <c r="M168" s="49" t="s">
        <v>6259</v>
      </c>
      <c r="N168" s="50" t="s">
        <v>6259</v>
      </c>
    </row>
    <row r="169" spans="1:14" ht="11.1" customHeight="1">
      <c r="A169" s="51" t="s">
        <v>6613</v>
      </c>
      <c r="B169" s="98" t="s">
        <v>6217</v>
      </c>
      <c r="C169" s="99">
        <v>142482</v>
      </c>
      <c r="D169" s="100">
        <v>0.95301860794884485</v>
      </c>
      <c r="E169" s="101" t="s">
        <v>6251</v>
      </c>
      <c r="F169" s="102" t="s">
        <v>6614</v>
      </c>
      <c r="G169" s="102">
        <v>57</v>
      </c>
      <c r="H169" s="102" t="s">
        <v>0</v>
      </c>
      <c r="I169" s="102" t="s">
        <v>6233</v>
      </c>
      <c r="J169" s="102" t="s">
        <v>6484</v>
      </c>
      <c r="K169" s="102" t="s">
        <v>6259</v>
      </c>
      <c r="L169" s="102" t="s">
        <v>6209</v>
      </c>
      <c r="M169" s="102">
        <v>4</v>
      </c>
      <c r="N169" s="103" t="s">
        <v>6259</v>
      </c>
    </row>
    <row r="170" spans="1:14" ht="11.1" customHeight="1">
      <c r="A170" s="44" t="s">
        <v>6615</v>
      </c>
      <c r="B170" s="45" t="s">
        <v>6231</v>
      </c>
      <c r="C170" s="46">
        <v>7024</v>
      </c>
      <c r="D170" s="47">
        <v>4.6981392051155139E-2</v>
      </c>
      <c r="E170" s="48" t="s">
        <v>6262</v>
      </c>
      <c r="F170" s="49" t="s">
        <v>6616</v>
      </c>
      <c r="G170" s="49">
        <v>53</v>
      </c>
      <c r="H170" s="49" t="s">
        <v>0</v>
      </c>
      <c r="I170" s="49" t="s">
        <v>6259</v>
      </c>
      <c r="J170" s="49" t="s">
        <v>6267</v>
      </c>
      <c r="K170" s="49" t="s">
        <v>6268</v>
      </c>
      <c r="L170" s="49" t="s">
        <v>6036</v>
      </c>
      <c r="M170" s="49" t="s">
        <v>6259</v>
      </c>
      <c r="N170" s="50" t="s">
        <v>6259</v>
      </c>
    </row>
    <row r="171" spans="1:14" ht="11.1" customHeight="1">
      <c r="A171" s="51" t="s">
        <v>6617</v>
      </c>
      <c r="B171" s="52" t="s">
        <v>6217</v>
      </c>
      <c r="C171" s="53">
        <v>139878</v>
      </c>
      <c r="D171" s="54">
        <v>0.51454867829579987</v>
      </c>
      <c r="E171" s="55" t="s">
        <v>6251</v>
      </c>
      <c r="F171" s="56" t="s">
        <v>6618</v>
      </c>
      <c r="G171" s="56">
        <v>66</v>
      </c>
      <c r="H171" s="56" t="s">
        <v>0</v>
      </c>
      <c r="I171" s="56" t="s">
        <v>6233</v>
      </c>
      <c r="J171" s="56" t="s">
        <v>6253</v>
      </c>
      <c r="K171" s="56" t="s">
        <v>6035</v>
      </c>
      <c r="L171" s="56" t="s">
        <v>6209</v>
      </c>
      <c r="M171" s="56">
        <v>4</v>
      </c>
      <c r="N171" s="57" t="s">
        <v>6213</v>
      </c>
    </row>
    <row r="172" spans="1:14" ht="11.1" customHeight="1">
      <c r="A172" s="31" t="s">
        <v>6619</v>
      </c>
      <c r="B172" s="38" t="s">
        <v>6232</v>
      </c>
      <c r="C172" s="39">
        <v>109287</v>
      </c>
      <c r="D172" s="40">
        <v>0.40201805433958931</v>
      </c>
      <c r="E172" s="58">
        <v>78.130227769913787</v>
      </c>
      <c r="F172" s="59" t="s">
        <v>6620</v>
      </c>
      <c r="G172" s="59">
        <v>57</v>
      </c>
      <c r="H172" s="59" t="s">
        <v>0</v>
      </c>
      <c r="I172" s="59" t="s">
        <v>6233</v>
      </c>
      <c r="J172" s="59" t="s">
        <v>6257</v>
      </c>
      <c r="K172" s="59" t="s">
        <v>6402</v>
      </c>
      <c r="L172" s="59" t="s">
        <v>6209</v>
      </c>
      <c r="M172" s="59">
        <v>4</v>
      </c>
      <c r="N172" s="43" t="s">
        <v>6260</v>
      </c>
    </row>
    <row r="173" spans="1:14" ht="11.1" customHeight="1">
      <c r="A173" s="31" t="s">
        <v>6621</v>
      </c>
      <c r="B173" s="38" t="s">
        <v>6231</v>
      </c>
      <c r="C173" s="39">
        <v>20176</v>
      </c>
      <c r="D173" s="40">
        <v>7.4218491351721191E-2</v>
      </c>
      <c r="E173" s="41" t="s">
        <v>6262</v>
      </c>
      <c r="F173" s="42" t="s">
        <v>6622</v>
      </c>
      <c r="G173" s="42">
        <v>39</v>
      </c>
      <c r="H173" s="42" t="s">
        <v>0</v>
      </c>
      <c r="I173" s="42" t="s">
        <v>6259</v>
      </c>
      <c r="J173" s="42" t="s">
        <v>6322</v>
      </c>
      <c r="K173" s="42" t="s">
        <v>6360</v>
      </c>
      <c r="L173" s="42" t="s">
        <v>6036</v>
      </c>
      <c r="M173" s="42" t="s">
        <v>6259</v>
      </c>
      <c r="N173" s="43" t="s">
        <v>6259</v>
      </c>
    </row>
    <row r="174" spans="1:14" ht="11.1" customHeight="1">
      <c r="A174" s="44" t="s">
        <v>6623</v>
      </c>
      <c r="B174" s="45" t="s">
        <v>6231</v>
      </c>
      <c r="C174" s="46">
        <v>2505</v>
      </c>
      <c r="D174" s="47">
        <v>9.2147760128896503E-3</v>
      </c>
      <c r="E174" s="48" t="s">
        <v>6262</v>
      </c>
      <c r="F174" s="49" t="s">
        <v>6624</v>
      </c>
      <c r="G174" s="49">
        <v>35</v>
      </c>
      <c r="H174" s="49" t="s">
        <v>0</v>
      </c>
      <c r="I174" s="49" t="s">
        <v>6259</v>
      </c>
      <c r="J174" s="49" t="s">
        <v>6267</v>
      </c>
      <c r="K174" s="49" t="s">
        <v>6268</v>
      </c>
      <c r="L174" s="49" t="s">
        <v>6036</v>
      </c>
      <c r="M174" s="49" t="s">
        <v>6259</v>
      </c>
      <c r="N174" s="50" t="s">
        <v>6259</v>
      </c>
    </row>
    <row r="175" spans="1:14" ht="11.1" customHeight="1">
      <c r="A175" s="51" t="s">
        <v>6625</v>
      </c>
      <c r="B175" s="60" t="s">
        <v>6217</v>
      </c>
      <c r="C175" s="61">
        <v>101383</v>
      </c>
      <c r="D175" s="62">
        <v>0.51673029189453668</v>
      </c>
      <c r="E175" s="63" t="s">
        <v>6251</v>
      </c>
      <c r="F175" s="64" t="s">
        <v>6626</v>
      </c>
      <c r="G175" s="64">
        <v>53</v>
      </c>
      <c r="H175" s="64" t="s">
        <v>0</v>
      </c>
      <c r="I175" s="64" t="s">
        <v>6233</v>
      </c>
      <c r="J175" s="64" t="s">
        <v>6257</v>
      </c>
      <c r="K175" s="64" t="s">
        <v>6273</v>
      </c>
      <c r="L175" s="64" t="s">
        <v>6209</v>
      </c>
      <c r="M175" s="64">
        <v>5</v>
      </c>
      <c r="N175" s="65" t="s">
        <v>6260</v>
      </c>
    </row>
    <row r="176" spans="1:14" ht="11.1" customHeight="1">
      <c r="A176" s="31" t="s">
        <v>6627</v>
      </c>
      <c r="B176" s="38" t="s">
        <v>6232</v>
      </c>
      <c r="C176" s="39">
        <v>92592</v>
      </c>
      <c r="D176" s="40">
        <v>0.47192420018246595</v>
      </c>
      <c r="E176" s="35">
        <v>91.328921022262108</v>
      </c>
      <c r="F176" s="36" t="s">
        <v>6628</v>
      </c>
      <c r="G176" s="36">
        <v>42</v>
      </c>
      <c r="H176" s="36" t="s">
        <v>0</v>
      </c>
      <c r="I176" s="36" t="s">
        <v>6233</v>
      </c>
      <c r="J176" s="36" t="s">
        <v>6253</v>
      </c>
      <c r="K176" s="36" t="s">
        <v>6053</v>
      </c>
      <c r="L176" s="36" t="s">
        <v>6036</v>
      </c>
      <c r="M176" s="36" t="s">
        <v>6259</v>
      </c>
      <c r="N176" s="43" t="s">
        <v>6213</v>
      </c>
    </row>
    <row r="177" spans="1:14" ht="11.1" customHeight="1" thickBot="1">
      <c r="A177" s="73" t="s">
        <v>6629</v>
      </c>
      <c r="B177" s="74" t="s">
        <v>6231</v>
      </c>
      <c r="C177" s="75">
        <v>2226</v>
      </c>
      <c r="D177" s="76">
        <v>1.1345507922997334E-2</v>
      </c>
      <c r="E177" s="77" t="s">
        <v>6262</v>
      </c>
      <c r="F177" s="78" t="s">
        <v>6630</v>
      </c>
      <c r="G177" s="78">
        <v>50</v>
      </c>
      <c r="H177" s="78" t="s">
        <v>0</v>
      </c>
      <c r="I177" s="78" t="s">
        <v>6259</v>
      </c>
      <c r="J177" s="78" t="s">
        <v>6267</v>
      </c>
      <c r="K177" s="78" t="s">
        <v>6268</v>
      </c>
      <c r="L177" s="78" t="s">
        <v>6036</v>
      </c>
      <c r="M177" s="78" t="s">
        <v>6259</v>
      </c>
      <c r="N177" s="79" t="s">
        <v>6259</v>
      </c>
    </row>
    <row r="178" spans="1:14" ht="11.1" customHeight="1">
      <c r="A178" s="80" t="s">
        <v>6631</v>
      </c>
      <c r="B178" s="81" t="s">
        <v>6217</v>
      </c>
      <c r="C178" s="82">
        <v>122711</v>
      </c>
      <c r="D178" s="83">
        <v>0.48001486465341886</v>
      </c>
      <c r="E178" s="84" t="s">
        <v>6251</v>
      </c>
      <c r="F178" s="85" t="s">
        <v>6632</v>
      </c>
      <c r="G178" s="85">
        <v>39</v>
      </c>
      <c r="H178" s="85" t="s">
        <v>0</v>
      </c>
      <c r="I178" s="85" t="s">
        <v>6233</v>
      </c>
      <c r="J178" s="85" t="s">
        <v>6253</v>
      </c>
      <c r="K178" s="85" t="s">
        <v>6053</v>
      </c>
      <c r="L178" s="85" t="s">
        <v>6036</v>
      </c>
      <c r="M178" s="85" t="s">
        <v>6259</v>
      </c>
      <c r="N178" s="86" t="s">
        <v>6213</v>
      </c>
    </row>
    <row r="179" spans="1:14" ht="11.1" customHeight="1">
      <c r="A179" s="31" t="s">
        <v>6633</v>
      </c>
      <c r="B179" s="38" t="s">
        <v>6230</v>
      </c>
      <c r="C179" s="39">
        <v>109846</v>
      </c>
      <c r="D179" s="40">
        <v>0.42969018932874353</v>
      </c>
      <c r="E179" s="41" t="s">
        <v>6262</v>
      </c>
      <c r="F179" s="42" t="s">
        <v>6634</v>
      </c>
      <c r="G179" s="42">
        <v>76</v>
      </c>
      <c r="H179" s="42" t="s">
        <v>0</v>
      </c>
      <c r="I179" s="42" t="s">
        <v>6259</v>
      </c>
      <c r="J179" s="42" t="s">
        <v>6257</v>
      </c>
      <c r="K179" s="42" t="s">
        <v>6286</v>
      </c>
      <c r="L179" s="42" t="s">
        <v>6209</v>
      </c>
      <c r="M179" s="42">
        <v>8</v>
      </c>
      <c r="N179" s="43" t="s">
        <v>6260</v>
      </c>
    </row>
    <row r="180" spans="1:14" ht="11.1" customHeight="1">
      <c r="A180" s="31" t="s">
        <v>6635</v>
      </c>
      <c r="B180" s="38" t="s">
        <v>6231</v>
      </c>
      <c r="C180" s="39">
        <v>15783</v>
      </c>
      <c r="D180" s="40">
        <v>6.1739164450007822E-2</v>
      </c>
      <c r="E180" s="41">
        <v>12.861927618550904</v>
      </c>
      <c r="F180" s="42" t="s">
        <v>6636</v>
      </c>
      <c r="G180" s="42">
        <v>43</v>
      </c>
      <c r="H180" s="42" t="s">
        <v>0</v>
      </c>
      <c r="I180" s="42" t="s">
        <v>6233</v>
      </c>
      <c r="J180" s="42" t="s">
        <v>6264</v>
      </c>
      <c r="K180" s="42" t="s">
        <v>6259</v>
      </c>
      <c r="L180" s="42" t="s">
        <v>6036</v>
      </c>
      <c r="M180" s="42" t="s">
        <v>6259</v>
      </c>
      <c r="N180" s="43" t="s">
        <v>6259</v>
      </c>
    </row>
    <row r="181" spans="1:14" ht="11.1" customHeight="1">
      <c r="A181" s="31" t="s">
        <v>6637</v>
      </c>
      <c r="B181" s="38" t="s">
        <v>6231</v>
      </c>
      <c r="C181" s="39">
        <v>5505</v>
      </c>
      <c r="D181" s="40">
        <v>2.1534188702863402E-2</v>
      </c>
      <c r="E181" s="41" t="s">
        <v>6262</v>
      </c>
      <c r="F181" s="42" t="s">
        <v>6638</v>
      </c>
      <c r="G181" s="42">
        <v>57</v>
      </c>
      <c r="H181" s="42" t="s">
        <v>0</v>
      </c>
      <c r="I181" s="42" t="s">
        <v>6259</v>
      </c>
      <c r="J181" s="42" t="s">
        <v>6322</v>
      </c>
      <c r="K181" s="42" t="s">
        <v>6259</v>
      </c>
      <c r="L181" s="42" t="s">
        <v>6036</v>
      </c>
      <c r="M181" s="42" t="s">
        <v>6259</v>
      </c>
      <c r="N181" s="43" t="s">
        <v>6259</v>
      </c>
    </row>
    <row r="182" spans="1:14" ht="11.1" customHeight="1">
      <c r="A182" s="44" t="s">
        <v>6639</v>
      </c>
      <c r="B182" s="45" t="s">
        <v>6231</v>
      </c>
      <c r="C182" s="46">
        <v>1795</v>
      </c>
      <c r="D182" s="47">
        <v>7.0215928649663591E-3</v>
      </c>
      <c r="E182" s="48" t="s">
        <v>6262</v>
      </c>
      <c r="F182" s="49" t="s">
        <v>6640</v>
      </c>
      <c r="G182" s="49">
        <v>45</v>
      </c>
      <c r="H182" s="49" t="s">
        <v>0</v>
      </c>
      <c r="I182" s="49" t="s">
        <v>6259</v>
      </c>
      <c r="J182" s="49" t="s">
        <v>6267</v>
      </c>
      <c r="K182" s="49" t="s">
        <v>6268</v>
      </c>
      <c r="L182" s="49" t="s">
        <v>6036</v>
      </c>
      <c r="M182" s="49" t="s">
        <v>6259</v>
      </c>
      <c r="N182" s="50" t="s">
        <v>6259</v>
      </c>
    </row>
    <row r="183" spans="1:14" ht="11.1" customHeight="1">
      <c r="A183" s="51" t="s">
        <v>6641</v>
      </c>
      <c r="B183" s="52" t="s">
        <v>6217</v>
      </c>
      <c r="C183" s="53">
        <v>114622</v>
      </c>
      <c r="D183" s="54">
        <v>0.51875486522203518</v>
      </c>
      <c r="E183" s="55" t="s">
        <v>6251</v>
      </c>
      <c r="F183" s="56" t="s">
        <v>6642</v>
      </c>
      <c r="G183" s="56">
        <v>37</v>
      </c>
      <c r="H183" s="56" t="s">
        <v>0</v>
      </c>
      <c r="I183" s="56" t="s">
        <v>6233</v>
      </c>
      <c r="J183" s="56" t="s">
        <v>6253</v>
      </c>
      <c r="K183" s="56" t="s">
        <v>6053</v>
      </c>
      <c r="L183" s="56" t="s">
        <v>6209</v>
      </c>
      <c r="M183" s="56">
        <v>1</v>
      </c>
      <c r="N183" s="57" t="s">
        <v>6213</v>
      </c>
    </row>
    <row r="184" spans="1:14" ht="11.1" customHeight="1">
      <c r="A184" s="31" t="s">
        <v>6643</v>
      </c>
      <c r="B184" s="38" t="s">
        <v>6230</v>
      </c>
      <c r="C184" s="39">
        <v>90962</v>
      </c>
      <c r="D184" s="40">
        <v>0.41167472256919929</v>
      </c>
      <c r="E184" s="41" t="s">
        <v>6262</v>
      </c>
      <c r="F184" s="42" t="s">
        <v>6644</v>
      </c>
      <c r="G184" s="42">
        <v>73</v>
      </c>
      <c r="H184" s="42" t="s">
        <v>0</v>
      </c>
      <c r="I184" s="42" t="s">
        <v>6259</v>
      </c>
      <c r="J184" s="42" t="s">
        <v>6257</v>
      </c>
      <c r="K184" s="42" t="s">
        <v>6273</v>
      </c>
      <c r="L184" s="42" t="s">
        <v>6209</v>
      </c>
      <c r="M184" s="42">
        <v>7</v>
      </c>
      <c r="N184" s="43" t="s">
        <v>6260</v>
      </c>
    </row>
    <row r="185" spans="1:14" ht="11.1" customHeight="1">
      <c r="A185" s="31" t="s">
        <v>6645</v>
      </c>
      <c r="B185" s="38" t="s">
        <v>6231</v>
      </c>
      <c r="C185" s="39">
        <v>12885</v>
      </c>
      <c r="D185" s="40">
        <v>5.8314777602780643E-2</v>
      </c>
      <c r="E185" s="41" t="s">
        <v>6262</v>
      </c>
      <c r="F185" s="42" t="s">
        <v>6646</v>
      </c>
      <c r="G185" s="42">
        <v>33</v>
      </c>
      <c r="H185" s="42" t="s">
        <v>6049</v>
      </c>
      <c r="I185" s="42" t="s">
        <v>6259</v>
      </c>
      <c r="J185" s="42" t="s">
        <v>6322</v>
      </c>
      <c r="K185" s="42" t="s">
        <v>6259</v>
      </c>
      <c r="L185" s="42" t="s">
        <v>6036</v>
      </c>
      <c r="M185" s="42" t="s">
        <v>6259</v>
      </c>
      <c r="N185" s="43" t="s">
        <v>6259</v>
      </c>
    </row>
    <row r="186" spans="1:14" ht="11.1" customHeight="1">
      <c r="A186" s="44" t="s">
        <v>6647</v>
      </c>
      <c r="B186" s="45" t="s">
        <v>6231</v>
      </c>
      <c r="C186" s="46">
        <v>2487</v>
      </c>
      <c r="D186" s="47">
        <v>1.1255634605984902E-2</v>
      </c>
      <c r="E186" s="48" t="s">
        <v>6262</v>
      </c>
      <c r="F186" s="49" t="s">
        <v>6648</v>
      </c>
      <c r="G186" s="49">
        <v>45</v>
      </c>
      <c r="H186" s="49" t="s">
        <v>0</v>
      </c>
      <c r="I186" s="49" t="s">
        <v>6259</v>
      </c>
      <c r="J186" s="49" t="s">
        <v>6267</v>
      </c>
      <c r="K186" s="49" t="s">
        <v>6268</v>
      </c>
      <c r="L186" s="49" t="s">
        <v>6036</v>
      </c>
      <c r="M186" s="49" t="s">
        <v>6259</v>
      </c>
      <c r="N186" s="50" t="s">
        <v>6259</v>
      </c>
    </row>
    <row r="187" spans="1:14" ht="11.1" customHeight="1">
      <c r="A187" s="51" t="s">
        <v>6649</v>
      </c>
      <c r="B187" s="52" t="s">
        <v>6217</v>
      </c>
      <c r="C187" s="53">
        <v>109173</v>
      </c>
      <c r="D187" s="54">
        <v>0.53993916763520367</v>
      </c>
      <c r="E187" s="55" t="s">
        <v>6251</v>
      </c>
      <c r="F187" s="56" t="s">
        <v>6650</v>
      </c>
      <c r="G187" s="56">
        <v>43</v>
      </c>
      <c r="H187" s="56" t="s">
        <v>0</v>
      </c>
      <c r="I187" s="56" t="s">
        <v>6233</v>
      </c>
      <c r="J187" s="56" t="s">
        <v>6253</v>
      </c>
      <c r="K187" s="56" t="s">
        <v>6053</v>
      </c>
      <c r="L187" s="56" t="s">
        <v>6036</v>
      </c>
      <c r="M187" s="56" t="s">
        <v>6259</v>
      </c>
      <c r="N187" s="57" t="s">
        <v>6213</v>
      </c>
    </row>
    <row r="188" spans="1:14" ht="11.1" customHeight="1">
      <c r="A188" s="31" t="s">
        <v>6651</v>
      </c>
      <c r="B188" s="38" t="s">
        <v>6230</v>
      </c>
      <c r="C188" s="39">
        <v>89436</v>
      </c>
      <c r="D188" s="40">
        <v>0.44232547788026411</v>
      </c>
      <c r="E188" s="41" t="s">
        <v>6262</v>
      </c>
      <c r="F188" s="42" t="s">
        <v>6652</v>
      </c>
      <c r="G188" s="42">
        <v>75</v>
      </c>
      <c r="H188" s="42" t="s">
        <v>0</v>
      </c>
      <c r="I188" s="42" t="s">
        <v>6259</v>
      </c>
      <c r="J188" s="42" t="s">
        <v>6257</v>
      </c>
      <c r="K188" s="42" t="s">
        <v>6311</v>
      </c>
      <c r="L188" s="42" t="s">
        <v>6209</v>
      </c>
      <c r="M188" s="42">
        <v>7</v>
      </c>
      <c r="N188" s="43" t="s">
        <v>6260</v>
      </c>
    </row>
    <row r="189" spans="1:14" ht="11.1" customHeight="1">
      <c r="A189" s="44" t="s">
        <v>6653</v>
      </c>
      <c r="B189" s="45" t="s">
        <v>6231</v>
      </c>
      <c r="C189" s="46">
        <v>3586</v>
      </c>
      <c r="D189" s="47">
        <v>1.773535448453226E-2</v>
      </c>
      <c r="E189" s="48" t="s">
        <v>6262</v>
      </c>
      <c r="F189" s="49" t="s">
        <v>6654</v>
      </c>
      <c r="G189" s="49">
        <v>47</v>
      </c>
      <c r="H189" s="49" t="s">
        <v>0</v>
      </c>
      <c r="I189" s="49" t="s">
        <v>6259</v>
      </c>
      <c r="J189" s="49" t="s">
        <v>6267</v>
      </c>
      <c r="K189" s="49" t="s">
        <v>6268</v>
      </c>
      <c r="L189" s="49" t="s">
        <v>6036</v>
      </c>
      <c r="M189" s="49" t="s">
        <v>6259</v>
      </c>
      <c r="N189" s="50" t="s">
        <v>6259</v>
      </c>
    </row>
    <row r="190" spans="1:14" ht="11.1" customHeight="1">
      <c r="A190" s="51" t="s">
        <v>6655</v>
      </c>
      <c r="B190" s="60" t="s">
        <v>6217</v>
      </c>
      <c r="C190" s="61">
        <v>103852</v>
      </c>
      <c r="D190" s="62">
        <v>0.51907572811651859</v>
      </c>
      <c r="E190" s="63" t="s">
        <v>6262</v>
      </c>
      <c r="F190" s="64" t="s">
        <v>6656</v>
      </c>
      <c r="G190" s="64">
        <v>73</v>
      </c>
      <c r="H190" s="64" t="s">
        <v>0</v>
      </c>
      <c r="I190" s="64" t="s">
        <v>6259</v>
      </c>
      <c r="J190" s="64" t="s">
        <v>6257</v>
      </c>
      <c r="K190" s="64" t="s">
        <v>6258</v>
      </c>
      <c r="L190" s="64" t="s">
        <v>6209</v>
      </c>
      <c r="M190" s="64">
        <v>6</v>
      </c>
      <c r="N190" s="65" t="s">
        <v>6260</v>
      </c>
    </row>
    <row r="191" spans="1:14" ht="11.1" customHeight="1">
      <c r="A191" s="31" t="s">
        <v>6657</v>
      </c>
      <c r="B191" s="38" t="s">
        <v>6232</v>
      </c>
      <c r="C191" s="39">
        <v>91904</v>
      </c>
      <c r="D191" s="40">
        <v>0.45935692829045688</v>
      </c>
      <c r="E191" s="35">
        <v>88.495166198051066</v>
      </c>
      <c r="F191" s="36" t="s">
        <v>6658</v>
      </c>
      <c r="G191" s="36">
        <v>44</v>
      </c>
      <c r="H191" s="36" t="s">
        <v>6049</v>
      </c>
      <c r="I191" s="36" t="s">
        <v>6233</v>
      </c>
      <c r="J191" s="36" t="s">
        <v>6253</v>
      </c>
      <c r="K191" s="36" t="s">
        <v>6053</v>
      </c>
      <c r="L191" s="36" t="s">
        <v>6036</v>
      </c>
      <c r="M191" s="36" t="s">
        <v>6259</v>
      </c>
      <c r="N191" s="43" t="s">
        <v>6213</v>
      </c>
    </row>
    <row r="192" spans="1:14" ht="11.1" customHeight="1">
      <c r="A192" s="44" t="s">
        <v>6659</v>
      </c>
      <c r="B192" s="45" t="s">
        <v>6231</v>
      </c>
      <c r="C192" s="46">
        <v>4315</v>
      </c>
      <c r="D192" s="47">
        <v>2.1567343593024476E-2</v>
      </c>
      <c r="E192" s="48" t="s">
        <v>6262</v>
      </c>
      <c r="F192" s="49" t="s">
        <v>6660</v>
      </c>
      <c r="G192" s="49">
        <v>38</v>
      </c>
      <c r="H192" s="49" t="s">
        <v>0</v>
      </c>
      <c r="I192" s="49" t="s">
        <v>6259</v>
      </c>
      <c r="J192" s="49" t="s">
        <v>6267</v>
      </c>
      <c r="K192" s="49" t="s">
        <v>6268</v>
      </c>
      <c r="L192" s="49" t="s">
        <v>6036</v>
      </c>
      <c r="M192" s="49" t="s">
        <v>6259</v>
      </c>
      <c r="N192" s="50" t="s">
        <v>6259</v>
      </c>
    </row>
    <row r="193" spans="1:14" ht="11.1" customHeight="1">
      <c r="A193" s="51" t="s">
        <v>6661</v>
      </c>
      <c r="B193" s="60" t="s">
        <v>6217</v>
      </c>
      <c r="C193" s="61">
        <v>152708</v>
      </c>
      <c r="D193" s="62">
        <v>0.70973499037934207</v>
      </c>
      <c r="E193" s="63" t="s">
        <v>6251</v>
      </c>
      <c r="F193" s="64" t="s">
        <v>6662</v>
      </c>
      <c r="G193" s="64">
        <v>35</v>
      </c>
      <c r="H193" s="64" t="s">
        <v>6049</v>
      </c>
      <c r="I193" s="64" t="s">
        <v>6233</v>
      </c>
      <c r="J193" s="64" t="s">
        <v>6257</v>
      </c>
      <c r="K193" s="64" t="s">
        <v>6273</v>
      </c>
      <c r="L193" s="64" t="s">
        <v>6209</v>
      </c>
      <c r="M193" s="64">
        <v>3</v>
      </c>
      <c r="N193" s="65" t="s">
        <v>6260</v>
      </c>
    </row>
    <row r="194" spans="1:14" ht="11.1" customHeight="1">
      <c r="A194" s="31" t="s">
        <v>6663</v>
      </c>
      <c r="B194" s="38" t="s">
        <v>6230</v>
      </c>
      <c r="C194" s="39">
        <v>53048</v>
      </c>
      <c r="D194" s="40">
        <v>0.24654911183201494</v>
      </c>
      <c r="E194" s="41">
        <v>34.738193152945492</v>
      </c>
      <c r="F194" s="42" t="s">
        <v>6664</v>
      </c>
      <c r="G194" s="42">
        <v>72</v>
      </c>
      <c r="H194" s="42" t="s">
        <v>0</v>
      </c>
      <c r="I194" s="42" t="s">
        <v>6233</v>
      </c>
      <c r="J194" s="42" t="s">
        <v>6278</v>
      </c>
      <c r="K194" s="42" t="s">
        <v>6259</v>
      </c>
      <c r="L194" s="42" t="s">
        <v>6036</v>
      </c>
      <c r="M194" s="42" t="s">
        <v>6259</v>
      </c>
      <c r="N194" s="43" t="s">
        <v>6259</v>
      </c>
    </row>
    <row r="195" spans="1:14" ht="11.1" customHeight="1" thickBot="1">
      <c r="A195" s="73" t="s">
        <v>6665</v>
      </c>
      <c r="B195" s="74" t="s">
        <v>6231</v>
      </c>
      <c r="C195" s="75">
        <v>9406</v>
      </c>
      <c r="D195" s="76">
        <v>4.3715897788642974E-2</v>
      </c>
      <c r="E195" s="77" t="s">
        <v>6262</v>
      </c>
      <c r="F195" s="78" t="s">
        <v>6666</v>
      </c>
      <c r="G195" s="78">
        <v>37</v>
      </c>
      <c r="H195" s="78" t="s">
        <v>0</v>
      </c>
      <c r="I195" s="78" t="s">
        <v>6259</v>
      </c>
      <c r="J195" s="78" t="s">
        <v>6267</v>
      </c>
      <c r="K195" s="78" t="s">
        <v>6268</v>
      </c>
      <c r="L195" s="78" t="s">
        <v>6036</v>
      </c>
      <c r="M195" s="78" t="s">
        <v>6259</v>
      </c>
      <c r="N195" s="79" t="s">
        <v>6259</v>
      </c>
    </row>
    <row r="196" spans="1:14" ht="11.1" customHeight="1">
      <c r="A196" s="80" t="s">
        <v>6667</v>
      </c>
      <c r="B196" s="81" t="s">
        <v>6217</v>
      </c>
      <c r="C196" s="82">
        <v>163973</v>
      </c>
      <c r="D196" s="83">
        <v>0.60911444693330952</v>
      </c>
      <c r="E196" s="84" t="s">
        <v>6251</v>
      </c>
      <c r="F196" s="85" t="s">
        <v>6668</v>
      </c>
      <c r="G196" s="85">
        <v>48</v>
      </c>
      <c r="H196" s="85" t="s">
        <v>0</v>
      </c>
      <c r="I196" s="85" t="s">
        <v>6233</v>
      </c>
      <c r="J196" s="85" t="s">
        <v>6253</v>
      </c>
      <c r="K196" s="85" t="s">
        <v>6207</v>
      </c>
      <c r="L196" s="85" t="s">
        <v>6209</v>
      </c>
      <c r="M196" s="85">
        <v>3</v>
      </c>
      <c r="N196" s="86" t="s">
        <v>6213</v>
      </c>
    </row>
    <row r="197" spans="1:14" ht="11.1" customHeight="1">
      <c r="A197" s="31" t="s">
        <v>6669</v>
      </c>
      <c r="B197" s="38" t="s">
        <v>6230</v>
      </c>
      <c r="C197" s="39">
        <v>77988</v>
      </c>
      <c r="D197" s="40">
        <v>0.28970389934583707</v>
      </c>
      <c r="E197" s="41">
        <v>47.561488781689668</v>
      </c>
      <c r="F197" s="42" t="s">
        <v>6670</v>
      </c>
      <c r="G197" s="42">
        <v>65</v>
      </c>
      <c r="H197" s="42" t="s">
        <v>0</v>
      </c>
      <c r="I197" s="42" t="s">
        <v>6233</v>
      </c>
      <c r="J197" s="42" t="s">
        <v>6257</v>
      </c>
      <c r="K197" s="42" t="s">
        <v>6671</v>
      </c>
      <c r="L197" s="42" t="s">
        <v>6209</v>
      </c>
      <c r="M197" s="42">
        <v>2</v>
      </c>
      <c r="N197" s="43" t="s">
        <v>6260</v>
      </c>
    </row>
    <row r="198" spans="1:14" ht="11.1" customHeight="1">
      <c r="A198" s="31" t="s">
        <v>6672</v>
      </c>
      <c r="B198" s="38" t="s">
        <v>6231</v>
      </c>
      <c r="C198" s="39">
        <v>23623</v>
      </c>
      <c r="D198" s="40">
        <v>8.775292627387174E-2</v>
      </c>
      <c r="E198" s="41">
        <v>14.406640117580332</v>
      </c>
      <c r="F198" s="42" t="s">
        <v>6673</v>
      </c>
      <c r="G198" s="42">
        <v>49</v>
      </c>
      <c r="H198" s="42" t="s">
        <v>0</v>
      </c>
      <c r="I198" s="42" t="s">
        <v>6233</v>
      </c>
      <c r="J198" s="42" t="s">
        <v>6264</v>
      </c>
      <c r="K198" s="42" t="s">
        <v>6259</v>
      </c>
      <c r="L198" s="42" t="s">
        <v>6036</v>
      </c>
      <c r="M198" s="42" t="s">
        <v>6259</v>
      </c>
      <c r="N198" s="43" t="s">
        <v>6259</v>
      </c>
    </row>
    <row r="199" spans="1:14" ht="11.1" customHeight="1">
      <c r="A199" s="44" t="s">
        <v>6674</v>
      </c>
      <c r="B199" s="45" t="s">
        <v>6231</v>
      </c>
      <c r="C199" s="46">
        <v>3615</v>
      </c>
      <c r="D199" s="47">
        <v>1.3428727446981601E-2</v>
      </c>
      <c r="E199" s="48" t="s">
        <v>6262</v>
      </c>
      <c r="F199" s="49" t="s">
        <v>6675</v>
      </c>
      <c r="G199" s="49">
        <v>48</v>
      </c>
      <c r="H199" s="49" t="s">
        <v>0</v>
      </c>
      <c r="I199" s="49" t="s">
        <v>6259</v>
      </c>
      <c r="J199" s="49" t="s">
        <v>6267</v>
      </c>
      <c r="K199" s="49" t="s">
        <v>6268</v>
      </c>
      <c r="L199" s="49" t="s">
        <v>6036</v>
      </c>
      <c r="M199" s="49" t="s">
        <v>6259</v>
      </c>
      <c r="N199" s="50" t="s">
        <v>6259</v>
      </c>
    </row>
    <row r="200" spans="1:14" ht="11.1" customHeight="1">
      <c r="A200" s="51" t="s">
        <v>6676</v>
      </c>
      <c r="B200" s="52" t="s">
        <v>6217</v>
      </c>
      <c r="C200" s="53">
        <v>140892</v>
      </c>
      <c r="D200" s="54">
        <v>0.50023255566246405</v>
      </c>
      <c r="E200" s="55" t="s">
        <v>6251</v>
      </c>
      <c r="F200" s="56" t="s">
        <v>6677</v>
      </c>
      <c r="G200" s="56">
        <v>54</v>
      </c>
      <c r="H200" s="56" t="s">
        <v>0</v>
      </c>
      <c r="I200" s="56" t="s">
        <v>6233</v>
      </c>
      <c r="J200" s="56" t="s">
        <v>6253</v>
      </c>
      <c r="K200" s="56" t="s">
        <v>6207</v>
      </c>
      <c r="L200" s="56" t="s">
        <v>6283</v>
      </c>
      <c r="M200" s="56">
        <v>3</v>
      </c>
      <c r="N200" s="57" t="s">
        <v>6213</v>
      </c>
    </row>
    <row r="201" spans="1:14" ht="11.1" customHeight="1">
      <c r="A201" s="31" t="s">
        <v>6678</v>
      </c>
      <c r="B201" s="38" t="s">
        <v>6232</v>
      </c>
      <c r="C201" s="39">
        <v>112920</v>
      </c>
      <c r="D201" s="40">
        <v>0.40091886115184289</v>
      </c>
      <c r="E201" s="58">
        <v>80.146495187803424</v>
      </c>
      <c r="F201" s="59" t="s">
        <v>6679</v>
      </c>
      <c r="G201" s="59">
        <v>51</v>
      </c>
      <c r="H201" s="59" t="s">
        <v>0</v>
      </c>
      <c r="I201" s="59" t="s">
        <v>6233</v>
      </c>
      <c r="J201" s="59" t="s">
        <v>6257</v>
      </c>
      <c r="K201" s="59" t="s">
        <v>6273</v>
      </c>
      <c r="L201" s="59" t="s">
        <v>6209</v>
      </c>
      <c r="M201" s="59">
        <v>3</v>
      </c>
      <c r="N201" s="43" t="s">
        <v>6260</v>
      </c>
    </row>
    <row r="202" spans="1:14" ht="11.1" customHeight="1">
      <c r="A202" s="31" t="s">
        <v>6680</v>
      </c>
      <c r="B202" s="38" t="s">
        <v>6231</v>
      </c>
      <c r="C202" s="39">
        <v>23357</v>
      </c>
      <c r="D202" s="40">
        <v>8.2928284094257829E-2</v>
      </c>
      <c r="E202" s="41" t="s">
        <v>6262</v>
      </c>
      <c r="F202" s="42" t="s">
        <v>6681</v>
      </c>
      <c r="G202" s="42">
        <v>57</v>
      </c>
      <c r="H202" s="42" t="s">
        <v>0</v>
      </c>
      <c r="I202" s="42" t="s">
        <v>6259</v>
      </c>
      <c r="J202" s="42" t="s">
        <v>6264</v>
      </c>
      <c r="K202" s="42" t="s">
        <v>6259</v>
      </c>
      <c r="L202" s="42" t="s">
        <v>6036</v>
      </c>
      <c r="M202" s="42" t="s">
        <v>6259</v>
      </c>
      <c r="N202" s="43" t="s">
        <v>6259</v>
      </c>
    </row>
    <row r="203" spans="1:14" ht="11.1" customHeight="1">
      <c r="A203" s="44" t="s">
        <v>6682</v>
      </c>
      <c r="B203" s="45" t="s">
        <v>6231</v>
      </c>
      <c r="C203" s="46">
        <v>4484</v>
      </c>
      <c r="D203" s="47">
        <v>1.5920299091435205E-2</v>
      </c>
      <c r="E203" s="48" t="s">
        <v>6262</v>
      </c>
      <c r="F203" s="49" t="s">
        <v>6683</v>
      </c>
      <c r="G203" s="49">
        <v>30</v>
      </c>
      <c r="H203" s="49" t="s">
        <v>0</v>
      </c>
      <c r="I203" s="49" t="s">
        <v>6259</v>
      </c>
      <c r="J203" s="49" t="s">
        <v>6267</v>
      </c>
      <c r="K203" s="49" t="s">
        <v>6268</v>
      </c>
      <c r="L203" s="49" t="s">
        <v>6036</v>
      </c>
      <c r="M203" s="49" t="s">
        <v>6259</v>
      </c>
      <c r="N203" s="50" t="s">
        <v>6259</v>
      </c>
    </row>
    <row r="204" spans="1:14" ht="11.1" customHeight="1">
      <c r="A204" s="51" t="s">
        <v>6684</v>
      </c>
      <c r="B204" s="52" t="s">
        <v>6217</v>
      </c>
      <c r="C204" s="53">
        <v>167432</v>
      </c>
      <c r="D204" s="54">
        <v>0.60012545027688668</v>
      </c>
      <c r="E204" s="55" t="s">
        <v>6251</v>
      </c>
      <c r="F204" s="56" t="s">
        <v>6685</v>
      </c>
      <c r="G204" s="56">
        <v>66</v>
      </c>
      <c r="H204" s="56" t="s">
        <v>0</v>
      </c>
      <c r="I204" s="56" t="s">
        <v>6233</v>
      </c>
      <c r="J204" s="56" t="s">
        <v>6253</v>
      </c>
      <c r="K204" s="56" t="s">
        <v>6254</v>
      </c>
      <c r="L204" s="56" t="s">
        <v>6209</v>
      </c>
      <c r="M204" s="56">
        <v>6</v>
      </c>
      <c r="N204" s="57" t="s">
        <v>6213</v>
      </c>
    </row>
    <row r="205" spans="1:14" ht="11.1" customHeight="1">
      <c r="A205" s="31" t="s">
        <v>6686</v>
      </c>
      <c r="B205" s="38" t="s">
        <v>6230</v>
      </c>
      <c r="C205" s="39">
        <v>103369</v>
      </c>
      <c r="D205" s="40">
        <v>0.37050484775712828</v>
      </c>
      <c r="E205" s="41">
        <v>61.737899565196614</v>
      </c>
      <c r="F205" s="42" t="s">
        <v>6687</v>
      </c>
      <c r="G205" s="42">
        <v>68</v>
      </c>
      <c r="H205" s="42" t="s">
        <v>0</v>
      </c>
      <c r="I205" s="42" t="s">
        <v>6233</v>
      </c>
      <c r="J205" s="42" t="s">
        <v>6257</v>
      </c>
      <c r="K205" s="42" t="s">
        <v>6402</v>
      </c>
      <c r="L205" s="42" t="s">
        <v>6209</v>
      </c>
      <c r="M205" s="42">
        <v>4</v>
      </c>
      <c r="N205" s="43" t="s">
        <v>6260</v>
      </c>
    </row>
    <row r="206" spans="1:14" ht="11.1" customHeight="1">
      <c r="A206" s="44" t="s">
        <v>6688</v>
      </c>
      <c r="B206" s="45" t="s">
        <v>6231</v>
      </c>
      <c r="C206" s="46">
        <v>8194</v>
      </c>
      <c r="D206" s="47">
        <v>2.9369701965985054E-2</v>
      </c>
      <c r="E206" s="48" t="s">
        <v>6262</v>
      </c>
      <c r="F206" s="49" t="s">
        <v>6689</v>
      </c>
      <c r="G206" s="49">
        <v>50</v>
      </c>
      <c r="H206" s="49" t="s">
        <v>0</v>
      </c>
      <c r="I206" s="49" t="s">
        <v>6259</v>
      </c>
      <c r="J206" s="49" t="s">
        <v>6267</v>
      </c>
      <c r="K206" s="49" t="s">
        <v>6268</v>
      </c>
      <c r="L206" s="49" t="s">
        <v>6036</v>
      </c>
      <c r="M206" s="49" t="s">
        <v>6259</v>
      </c>
      <c r="N206" s="50" t="s">
        <v>6259</v>
      </c>
    </row>
    <row r="207" spans="1:14" ht="11.1" customHeight="1">
      <c r="A207" s="51" t="s">
        <v>6690</v>
      </c>
      <c r="B207" s="52" t="s">
        <v>6217</v>
      </c>
      <c r="C207" s="53">
        <v>121137</v>
      </c>
      <c r="D207" s="54">
        <v>0.54247815748109074</v>
      </c>
      <c r="E207" s="55" t="s">
        <v>6251</v>
      </c>
      <c r="F207" s="56" t="s">
        <v>6691</v>
      </c>
      <c r="G207" s="56">
        <v>47</v>
      </c>
      <c r="H207" s="56" t="s">
        <v>0</v>
      </c>
      <c r="I207" s="56" t="s">
        <v>6233</v>
      </c>
      <c r="J207" s="56" t="s">
        <v>6253</v>
      </c>
      <c r="K207" s="56" t="s">
        <v>6053</v>
      </c>
      <c r="L207" s="56" t="s">
        <v>6209</v>
      </c>
      <c r="M207" s="56">
        <v>2</v>
      </c>
      <c r="N207" s="57" t="s">
        <v>6213</v>
      </c>
    </row>
    <row r="208" spans="1:14" ht="11.1" customHeight="1">
      <c r="A208" s="31" t="s">
        <v>6692</v>
      </c>
      <c r="B208" s="38" t="s">
        <v>6230</v>
      </c>
      <c r="C208" s="39">
        <v>74889</v>
      </c>
      <c r="D208" s="40">
        <v>0.3353694307734334</v>
      </c>
      <c r="E208" s="41">
        <v>61.821739022759353</v>
      </c>
      <c r="F208" s="42" t="s">
        <v>6693</v>
      </c>
      <c r="G208" s="42">
        <v>63</v>
      </c>
      <c r="H208" s="42" t="s">
        <v>0</v>
      </c>
      <c r="I208" s="42" t="s">
        <v>6233</v>
      </c>
      <c r="J208" s="42" t="s">
        <v>6257</v>
      </c>
      <c r="K208" s="42" t="s">
        <v>6286</v>
      </c>
      <c r="L208" s="42" t="s">
        <v>6209</v>
      </c>
      <c r="M208" s="42">
        <v>2</v>
      </c>
      <c r="N208" s="43" t="s">
        <v>6260</v>
      </c>
    </row>
    <row r="209" spans="1:14" ht="11.1" customHeight="1">
      <c r="A209" s="31" t="s">
        <v>6694</v>
      </c>
      <c r="B209" s="38"/>
      <c r="C209" s="39">
        <v>23966</v>
      </c>
      <c r="D209" s="40">
        <v>0.10732502474216647</v>
      </c>
      <c r="E209" s="41">
        <v>19.784211264931443</v>
      </c>
      <c r="F209" s="42" t="s">
        <v>6695</v>
      </c>
      <c r="G209" s="42">
        <v>53</v>
      </c>
      <c r="H209" s="42" t="s">
        <v>6049</v>
      </c>
      <c r="I209" s="42" t="s">
        <v>6233</v>
      </c>
      <c r="J209" s="42" t="s">
        <v>6264</v>
      </c>
      <c r="K209" s="42" t="s">
        <v>6259</v>
      </c>
      <c r="L209" s="42" t="s">
        <v>6036</v>
      </c>
      <c r="M209" s="42" t="s">
        <v>6259</v>
      </c>
      <c r="N209" s="43" t="s">
        <v>6259</v>
      </c>
    </row>
    <row r="210" spans="1:14" ht="11.1" customHeight="1">
      <c r="A210" s="44" t="s">
        <v>6696</v>
      </c>
      <c r="B210" s="45" t="s">
        <v>6231</v>
      </c>
      <c r="C210" s="46">
        <v>3311</v>
      </c>
      <c r="D210" s="47">
        <v>1.4827387003309404E-2</v>
      </c>
      <c r="E210" s="48" t="s">
        <v>6262</v>
      </c>
      <c r="F210" s="49" t="s">
        <v>6697</v>
      </c>
      <c r="G210" s="49">
        <v>51</v>
      </c>
      <c r="H210" s="49" t="s">
        <v>0</v>
      </c>
      <c r="I210" s="49" t="s">
        <v>6259</v>
      </c>
      <c r="J210" s="49" t="s">
        <v>6267</v>
      </c>
      <c r="K210" s="49" t="s">
        <v>6268</v>
      </c>
      <c r="L210" s="49" t="s">
        <v>6036</v>
      </c>
      <c r="M210" s="49" t="s">
        <v>6259</v>
      </c>
      <c r="N210" s="50" t="s">
        <v>6259</v>
      </c>
    </row>
    <row r="211" spans="1:14" ht="11.1" customHeight="1">
      <c r="A211" s="51" t="s">
        <v>6698</v>
      </c>
      <c r="B211" s="52" t="s">
        <v>6217</v>
      </c>
      <c r="C211" s="53">
        <v>130920</v>
      </c>
      <c r="D211" s="54">
        <v>0.59150691492005258</v>
      </c>
      <c r="E211" s="55" t="s">
        <v>6251</v>
      </c>
      <c r="F211" s="56" t="s">
        <v>6699</v>
      </c>
      <c r="G211" s="56">
        <v>45</v>
      </c>
      <c r="H211" s="56" t="s">
        <v>0</v>
      </c>
      <c r="I211" s="56" t="s">
        <v>6233</v>
      </c>
      <c r="J211" s="56" t="s">
        <v>6253</v>
      </c>
      <c r="K211" s="56" t="s">
        <v>24</v>
      </c>
      <c r="L211" s="56" t="s">
        <v>6209</v>
      </c>
      <c r="M211" s="56">
        <v>5</v>
      </c>
      <c r="N211" s="57" t="s">
        <v>6213</v>
      </c>
    </row>
    <row r="212" spans="1:14" ht="11.1" customHeight="1">
      <c r="A212" s="31" t="s">
        <v>6700</v>
      </c>
      <c r="B212" s="38" t="s">
        <v>6230</v>
      </c>
      <c r="C212" s="39">
        <v>85139</v>
      </c>
      <c r="D212" s="40">
        <v>0.38466473594086736</v>
      </c>
      <c r="E212" s="41">
        <v>65.031316834708221</v>
      </c>
      <c r="F212" s="42" t="s">
        <v>6701</v>
      </c>
      <c r="G212" s="42">
        <v>38</v>
      </c>
      <c r="H212" s="42" t="s">
        <v>0</v>
      </c>
      <c r="I212" s="42" t="s">
        <v>6233</v>
      </c>
      <c r="J212" s="42" t="s">
        <v>6257</v>
      </c>
      <c r="K212" s="42" t="s">
        <v>6258</v>
      </c>
      <c r="L212" s="42" t="s">
        <v>6209</v>
      </c>
      <c r="M212" s="42">
        <v>1</v>
      </c>
      <c r="N212" s="43" t="s">
        <v>6260</v>
      </c>
    </row>
    <row r="213" spans="1:14" ht="11.1" customHeight="1">
      <c r="A213" s="44" t="s">
        <v>6702</v>
      </c>
      <c r="B213" s="45" t="s">
        <v>6231</v>
      </c>
      <c r="C213" s="46">
        <v>5274</v>
      </c>
      <c r="D213" s="47">
        <v>2.3828349139080027E-2</v>
      </c>
      <c r="E213" s="48" t="s">
        <v>6262</v>
      </c>
      <c r="F213" s="49" t="s">
        <v>6703</v>
      </c>
      <c r="G213" s="49">
        <v>55</v>
      </c>
      <c r="H213" s="49" t="s">
        <v>6049</v>
      </c>
      <c r="I213" s="49" t="s">
        <v>6259</v>
      </c>
      <c r="J213" s="49" t="s">
        <v>6267</v>
      </c>
      <c r="K213" s="49" t="s">
        <v>6268</v>
      </c>
      <c r="L213" s="49" t="s">
        <v>6036</v>
      </c>
      <c r="M213" s="49" t="s">
        <v>6259</v>
      </c>
      <c r="N213" s="50" t="s">
        <v>6259</v>
      </c>
    </row>
    <row r="214" spans="1:14" ht="11.1" customHeight="1">
      <c r="A214" s="51" t="s">
        <v>6704</v>
      </c>
      <c r="B214" s="52" t="s">
        <v>6217</v>
      </c>
      <c r="C214" s="53">
        <v>186993</v>
      </c>
      <c r="D214" s="54">
        <v>0.67563573560336165</v>
      </c>
      <c r="E214" s="55" t="s">
        <v>6251</v>
      </c>
      <c r="F214" s="56" t="s">
        <v>6705</v>
      </c>
      <c r="G214" s="56">
        <v>52</v>
      </c>
      <c r="H214" s="56" t="s">
        <v>0</v>
      </c>
      <c r="I214" s="56" t="s">
        <v>6233</v>
      </c>
      <c r="J214" s="56" t="s">
        <v>6253</v>
      </c>
      <c r="K214" s="56" t="s">
        <v>6053</v>
      </c>
      <c r="L214" s="56" t="s">
        <v>6209</v>
      </c>
      <c r="M214" s="56">
        <v>3</v>
      </c>
      <c r="N214" s="57" t="s">
        <v>6213</v>
      </c>
    </row>
    <row r="215" spans="1:14" ht="11.1" customHeight="1">
      <c r="A215" s="31" t="s">
        <v>6706</v>
      </c>
      <c r="B215" s="38" t="s">
        <v>6230</v>
      </c>
      <c r="C215" s="39">
        <v>84654</v>
      </c>
      <c r="D215" s="40">
        <v>0.30586849540767291</v>
      </c>
      <c r="E215" s="41">
        <v>45.271213360927952</v>
      </c>
      <c r="F215" s="42" t="s">
        <v>6707</v>
      </c>
      <c r="G215" s="42">
        <v>40</v>
      </c>
      <c r="H215" s="42" t="s">
        <v>0</v>
      </c>
      <c r="I215" s="42" t="s">
        <v>6233</v>
      </c>
      <c r="J215" s="42" t="s">
        <v>6257</v>
      </c>
      <c r="K215" s="42" t="s">
        <v>6286</v>
      </c>
      <c r="L215" s="42" t="s">
        <v>6209</v>
      </c>
      <c r="M215" s="42">
        <v>1</v>
      </c>
      <c r="N215" s="43" t="s">
        <v>6259</v>
      </c>
    </row>
    <row r="216" spans="1:14" ht="11.1" customHeight="1">
      <c r="A216" s="44" t="s">
        <v>6708</v>
      </c>
      <c r="B216" s="45" t="s">
        <v>6231</v>
      </c>
      <c r="C216" s="46">
        <v>5119</v>
      </c>
      <c r="D216" s="47">
        <v>1.8495768988965409E-2</v>
      </c>
      <c r="E216" s="48" t="s">
        <v>6262</v>
      </c>
      <c r="F216" s="49" t="s">
        <v>6709</v>
      </c>
      <c r="G216" s="49">
        <v>42</v>
      </c>
      <c r="H216" s="49" t="s">
        <v>0</v>
      </c>
      <c r="I216" s="49" t="s">
        <v>6259</v>
      </c>
      <c r="J216" s="49" t="s">
        <v>6267</v>
      </c>
      <c r="K216" s="49" t="s">
        <v>6268</v>
      </c>
      <c r="L216" s="49" t="s">
        <v>6036</v>
      </c>
      <c r="M216" s="49" t="s">
        <v>6259</v>
      </c>
      <c r="N216" s="50" t="s">
        <v>6259</v>
      </c>
    </row>
    <row r="217" spans="1:14" ht="11.1" customHeight="1">
      <c r="A217" s="51" t="s">
        <v>6710</v>
      </c>
      <c r="B217" s="52" t="s">
        <v>6217</v>
      </c>
      <c r="C217" s="53">
        <v>142556</v>
      </c>
      <c r="D217" s="54">
        <v>0.54940167646208693</v>
      </c>
      <c r="E217" s="55" t="s">
        <v>6251</v>
      </c>
      <c r="F217" s="56" t="s">
        <v>6711</v>
      </c>
      <c r="G217" s="56">
        <v>44</v>
      </c>
      <c r="H217" s="56" t="s">
        <v>6049</v>
      </c>
      <c r="I217" s="56" t="s">
        <v>6233</v>
      </c>
      <c r="J217" s="56" t="s">
        <v>6253</v>
      </c>
      <c r="K217" s="56" t="s">
        <v>6035</v>
      </c>
      <c r="L217" s="56" t="s">
        <v>6209</v>
      </c>
      <c r="M217" s="56">
        <v>2</v>
      </c>
      <c r="N217" s="57" t="s">
        <v>6213</v>
      </c>
    </row>
    <row r="218" spans="1:14" ht="11.1" customHeight="1">
      <c r="A218" s="31" t="s">
        <v>6712</v>
      </c>
      <c r="B218" s="38" t="s">
        <v>6230</v>
      </c>
      <c r="C218" s="39">
        <v>89627</v>
      </c>
      <c r="D218" s="40">
        <v>0.34541670681183156</v>
      </c>
      <c r="E218" s="41" t="s">
        <v>6262</v>
      </c>
      <c r="F218" s="42" t="s">
        <v>6713</v>
      </c>
      <c r="G218" s="42">
        <v>73</v>
      </c>
      <c r="H218" s="42" t="s">
        <v>0</v>
      </c>
      <c r="I218" s="42" t="s">
        <v>6259</v>
      </c>
      <c r="J218" s="42" t="s">
        <v>6257</v>
      </c>
      <c r="K218" s="42" t="s">
        <v>6311</v>
      </c>
      <c r="L218" s="42" t="s">
        <v>6209</v>
      </c>
      <c r="M218" s="42">
        <v>4</v>
      </c>
      <c r="N218" s="43" t="s">
        <v>6260</v>
      </c>
    </row>
    <row r="219" spans="1:14" ht="11.1" customHeight="1">
      <c r="A219" s="31" t="s">
        <v>6714</v>
      </c>
      <c r="B219" s="38" t="s">
        <v>6231</v>
      </c>
      <c r="C219" s="39">
        <v>21983</v>
      </c>
      <c r="D219" s="40">
        <v>8.4721071394161282E-2</v>
      </c>
      <c r="E219" s="41" t="s">
        <v>6262</v>
      </c>
      <c r="F219" s="42" t="s">
        <v>6715</v>
      </c>
      <c r="G219" s="42">
        <v>59</v>
      </c>
      <c r="H219" s="42" t="s">
        <v>6049</v>
      </c>
      <c r="I219" s="42" t="s">
        <v>6259</v>
      </c>
      <c r="J219" s="42" t="s">
        <v>6264</v>
      </c>
      <c r="K219" s="42" t="s">
        <v>6259</v>
      </c>
      <c r="L219" s="42" t="s">
        <v>6036</v>
      </c>
      <c r="M219" s="42" t="s">
        <v>6259</v>
      </c>
      <c r="N219" s="43" t="s">
        <v>6259</v>
      </c>
    </row>
    <row r="220" spans="1:14" ht="11.1" customHeight="1">
      <c r="A220" s="31" t="s">
        <v>6716</v>
      </c>
      <c r="B220" s="38" t="s">
        <v>6231</v>
      </c>
      <c r="C220" s="39">
        <v>2740</v>
      </c>
      <c r="D220" s="40">
        <v>1.055978417959341E-2</v>
      </c>
      <c r="E220" s="41" t="s">
        <v>6262</v>
      </c>
      <c r="F220" s="42" t="s">
        <v>6717</v>
      </c>
      <c r="G220" s="42">
        <v>37</v>
      </c>
      <c r="H220" s="42" t="s">
        <v>0</v>
      </c>
      <c r="I220" s="42" t="s">
        <v>6259</v>
      </c>
      <c r="J220" s="42" t="s">
        <v>6322</v>
      </c>
      <c r="K220" s="42" t="s">
        <v>6259</v>
      </c>
      <c r="L220" s="42" t="s">
        <v>6036</v>
      </c>
      <c r="M220" s="42" t="s">
        <v>6259</v>
      </c>
      <c r="N220" s="43" t="s">
        <v>6259</v>
      </c>
    </row>
    <row r="221" spans="1:14" ht="11.1" customHeight="1">
      <c r="A221" s="44" t="s">
        <v>6718</v>
      </c>
      <c r="B221" s="45" t="s">
        <v>6231</v>
      </c>
      <c r="C221" s="46">
        <v>2569</v>
      </c>
      <c r="D221" s="47">
        <v>9.9007611523268136E-3</v>
      </c>
      <c r="E221" s="48" t="s">
        <v>6262</v>
      </c>
      <c r="F221" s="49" t="s">
        <v>6719</v>
      </c>
      <c r="G221" s="49">
        <v>30</v>
      </c>
      <c r="H221" s="49" t="s">
        <v>0</v>
      </c>
      <c r="I221" s="49" t="s">
        <v>6259</v>
      </c>
      <c r="J221" s="49" t="s">
        <v>6267</v>
      </c>
      <c r="K221" s="49" t="s">
        <v>6268</v>
      </c>
      <c r="L221" s="49" t="s">
        <v>6036</v>
      </c>
      <c r="M221" s="49" t="s">
        <v>6259</v>
      </c>
      <c r="N221" s="50" t="s">
        <v>6259</v>
      </c>
    </row>
    <row r="222" spans="1:14" ht="11.1" customHeight="1">
      <c r="A222" s="51" t="s">
        <v>6720</v>
      </c>
      <c r="B222" s="52" t="s">
        <v>6217</v>
      </c>
      <c r="C222" s="53">
        <v>114657</v>
      </c>
      <c r="D222" s="54">
        <v>0.49076947441862456</v>
      </c>
      <c r="E222" s="55" t="s">
        <v>6251</v>
      </c>
      <c r="F222" s="56" t="s">
        <v>6721</v>
      </c>
      <c r="G222" s="56">
        <v>37</v>
      </c>
      <c r="H222" s="56" t="s">
        <v>0</v>
      </c>
      <c r="I222" s="56" t="s">
        <v>6233</v>
      </c>
      <c r="J222" s="56" t="s">
        <v>6253</v>
      </c>
      <c r="K222" s="56" t="s">
        <v>6053</v>
      </c>
      <c r="L222" s="56" t="s">
        <v>6036</v>
      </c>
      <c r="M222" s="56" t="s">
        <v>6259</v>
      </c>
      <c r="N222" s="57" t="s">
        <v>6213</v>
      </c>
    </row>
    <row r="223" spans="1:14" ht="11.1" customHeight="1">
      <c r="A223" s="31" t="s">
        <v>6722</v>
      </c>
      <c r="B223" s="38" t="s">
        <v>6232</v>
      </c>
      <c r="C223" s="39">
        <v>91376</v>
      </c>
      <c r="D223" s="40">
        <v>0.39111917714990135</v>
      </c>
      <c r="E223" s="58">
        <v>79.695090574496106</v>
      </c>
      <c r="F223" s="59" t="s">
        <v>6723</v>
      </c>
      <c r="G223" s="59">
        <v>43</v>
      </c>
      <c r="H223" s="59" t="s">
        <v>0</v>
      </c>
      <c r="I223" s="59" t="s">
        <v>6233</v>
      </c>
      <c r="J223" s="59" t="s">
        <v>6257</v>
      </c>
      <c r="K223" s="59" t="s">
        <v>6286</v>
      </c>
      <c r="L223" s="59" t="s">
        <v>6209</v>
      </c>
      <c r="M223" s="59">
        <v>2</v>
      </c>
      <c r="N223" s="43" t="s">
        <v>6260</v>
      </c>
    </row>
    <row r="224" spans="1:14" ht="11.1" customHeight="1">
      <c r="A224" s="31" t="s">
        <v>6724</v>
      </c>
      <c r="B224" s="38" t="s">
        <v>6233</v>
      </c>
      <c r="C224" s="39">
        <v>24918</v>
      </c>
      <c r="D224" s="40">
        <v>0.10665719287582343</v>
      </c>
      <c r="E224" s="104">
        <v>21.73264606609278</v>
      </c>
      <c r="F224" s="105" t="s">
        <v>6725</v>
      </c>
      <c r="G224" s="105">
        <v>47</v>
      </c>
      <c r="H224" s="105" t="s">
        <v>0</v>
      </c>
      <c r="I224" s="105" t="s">
        <v>6233</v>
      </c>
      <c r="J224" s="105" t="s">
        <v>6264</v>
      </c>
      <c r="K224" s="105" t="s">
        <v>6259</v>
      </c>
      <c r="L224" s="105" t="s">
        <v>6209</v>
      </c>
      <c r="M224" s="105">
        <v>3</v>
      </c>
      <c r="N224" s="43" t="s">
        <v>6259</v>
      </c>
    </row>
    <row r="225" spans="1:14" ht="11.1" customHeight="1">
      <c r="A225" s="44" t="s">
        <v>6726</v>
      </c>
      <c r="B225" s="45" t="s">
        <v>6231</v>
      </c>
      <c r="C225" s="46">
        <v>2676</v>
      </c>
      <c r="D225" s="47">
        <v>1.1454155555650674E-2</v>
      </c>
      <c r="E225" s="48" t="s">
        <v>6262</v>
      </c>
      <c r="F225" s="49" t="s">
        <v>6727</v>
      </c>
      <c r="G225" s="49">
        <v>40</v>
      </c>
      <c r="H225" s="49" t="s">
        <v>0</v>
      </c>
      <c r="I225" s="49" t="s">
        <v>6259</v>
      </c>
      <c r="J225" s="49" t="s">
        <v>6267</v>
      </c>
      <c r="K225" s="49" t="s">
        <v>6268</v>
      </c>
      <c r="L225" s="49" t="s">
        <v>6036</v>
      </c>
      <c r="M225" s="49" t="s">
        <v>6259</v>
      </c>
      <c r="N225" s="50" t="s">
        <v>6259</v>
      </c>
    </row>
    <row r="226" spans="1:14" ht="11.1" customHeight="1">
      <c r="A226" s="51" t="s">
        <v>6728</v>
      </c>
      <c r="B226" s="52" t="s">
        <v>6217</v>
      </c>
      <c r="C226" s="53">
        <v>151057</v>
      </c>
      <c r="D226" s="54">
        <v>0.56685842517853058</v>
      </c>
      <c r="E226" s="55" t="s">
        <v>6251</v>
      </c>
      <c r="F226" s="56" t="s">
        <v>6729</v>
      </c>
      <c r="G226" s="56">
        <v>60</v>
      </c>
      <c r="H226" s="56" t="s">
        <v>0</v>
      </c>
      <c r="I226" s="56" t="s">
        <v>6233</v>
      </c>
      <c r="J226" s="56" t="s">
        <v>6253</v>
      </c>
      <c r="K226" s="56" t="s">
        <v>24</v>
      </c>
      <c r="L226" s="56" t="s">
        <v>6283</v>
      </c>
      <c r="M226" s="56">
        <v>3</v>
      </c>
      <c r="N226" s="57" t="s">
        <v>6213</v>
      </c>
    </row>
    <row r="227" spans="1:14" ht="11.1" customHeight="1">
      <c r="A227" s="31" t="s">
        <v>6730</v>
      </c>
      <c r="B227" s="38" t="s">
        <v>6230</v>
      </c>
      <c r="C227" s="39">
        <v>109918</v>
      </c>
      <c r="D227" s="40">
        <v>0.41247968898345472</v>
      </c>
      <c r="E227" s="41">
        <v>72.765909557319418</v>
      </c>
      <c r="F227" s="42" t="s">
        <v>6731</v>
      </c>
      <c r="G227" s="42">
        <v>36</v>
      </c>
      <c r="H227" s="42" t="s">
        <v>0</v>
      </c>
      <c r="I227" s="42" t="s">
        <v>6233</v>
      </c>
      <c r="J227" s="42" t="s">
        <v>6257</v>
      </c>
      <c r="K227" s="42" t="s">
        <v>6286</v>
      </c>
      <c r="L227" s="42" t="s">
        <v>6209</v>
      </c>
      <c r="M227" s="42">
        <v>1</v>
      </c>
      <c r="N227" s="43" t="s">
        <v>6260</v>
      </c>
    </row>
    <row r="228" spans="1:14" ht="11.1" customHeight="1">
      <c r="A228" s="44" t="s">
        <v>6732</v>
      </c>
      <c r="B228" s="45" t="s">
        <v>6231</v>
      </c>
      <c r="C228" s="46">
        <v>5506</v>
      </c>
      <c r="D228" s="47">
        <v>2.0661885838014718E-2</v>
      </c>
      <c r="E228" s="48" t="s">
        <v>6262</v>
      </c>
      <c r="F228" s="49" t="s">
        <v>6733</v>
      </c>
      <c r="G228" s="49">
        <v>51</v>
      </c>
      <c r="H228" s="49" t="s">
        <v>0</v>
      </c>
      <c r="I228" s="49" t="s">
        <v>6259</v>
      </c>
      <c r="J228" s="49" t="s">
        <v>6267</v>
      </c>
      <c r="K228" s="49" t="s">
        <v>6268</v>
      </c>
      <c r="L228" s="49" t="s">
        <v>6036</v>
      </c>
      <c r="M228" s="49" t="s">
        <v>6259</v>
      </c>
      <c r="N228" s="50" t="s">
        <v>6259</v>
      </c>
    </row>
    <row r="229" spans="1:14" ht="11.1" customHeight="1">
      <c r="A229" s="51" t="s">
        <v>6734</v>
      </c>
      <c r="B229" s="52" t="s">
        <v>6217</v>
      </c>
      <c r="C229" s="53">
        <v>123089</v>
      </c>
      <c r="D229" s="54">
        <v>0.55130111524163572</v>
      </c>
      <c r="E229" s="55" t="s">
        <v>6251</v>
      </c>
      <c r="F229" s="56" t="s">
        <v>6735</v>
      </c>
      <c r="G229" s="56">
        <v>59</v>
      </c>
      <c r="H229" s="56" t="s">
        <v>0</v>
      </c>
      <c r="I229" s="56" t="s">
        <v>6233</v>
      </c>
      <c r="J229" s="56" t="s">
        <v>6253</v>
      </c>
      <c r="K229" s="56" t="s">
        <v>6053</v>
      </c>
      <c r="L229" s="56" t="s">
        <v>6283</v>
      </c>
      <c r="M229" s="56">
        <v>1</v>
      </c>
      <c r="N229" s="57" t="s">
        <v>6213</v>
      </c>
    </row>
    <row r="230" spans="1:14" ht="11.1" customHeight="1">
      <c r="A230" s="31" t="s">
        <v>6736</v>
      </c>
      <c r="B230" s="38" t="s">
        <v>6230</v>
      </c>
      <c r="C230" s="39">
        <v>94779</v>
      </c>
      <c r="D230" s="40">
        <v>0.42450396381063288</v>
      </c>
      <c r="E230" s="41">
        <v>77.000381837532188</v>
      </c>
      <c r="F230" s="42" t="s">
        <v>6737</v>
      </c>
      <c r="G230" s="42">
        <v>60</v>
      </c>
      <c r="H230" s="42" t="s">
        <v>0</v>
      </c>
      <c r="I230" s="42" t="s">
        <v>6233</v>
      </c>
      <c r="J230" s="42" t="s">
        <v>6257</v>
      </c>
      <c r="K230" s="42" t="s">
        <v>6273</v>
      </c>
      <c r="L230" s="42" t="s">
        <v>6209</v>
      </c>
      <c r="M230" s="42">
        <v>4</v>
      </c>
      <c r="N230" s="43" t="s">
        <v>6260</v>
      </c>
    </row>
    <row r="231" spans="1:14" ht="11.1" customHeight="1">
      <c r="A231" s="44" t="s">
        <v>6738</v>
      </c>
      <c r="B231" s="45" t="s">
        <v>6231</v>
      </c>
      <c r="C231" s="46">
        <v>5402</v>
      </c>
      <c r="D231" s="47">
        <v>2.4194920947731447E-2</v>
      </c>
      <c r="E231" s="48" t="s">
        <v>6262</v>
      </c>
      <c r="F231" s="49" t="s">
        <v>6739</v>
      </c>
      <c r="G231" s="49">
        <v>40</v>
      </c>
      <c r="H231" s="49" t="s">
        <v>0</v>
      </c>
      <c r="I231" s="49" t="s">
        <v>6259</v>
      </c>
      <c r="J231" s="49" t="s">
        <v>6267</v>
      </c>
      <c r="K231" s="49" t="s">
        <v>6268</v>
      </c>
      <c r="L231" s="49" t="s">
        <v>6036</v>
      </c>
      <c r="M231" s="49" t="s">
        <v>6259</v>
      </c>
      <c r="N231" s="50" t="s">
        <v>6259</v>
      </c>
    </row>
    <row r="232" spans="1:14" ht="11.1" customHeight="1">
      <c r="A232" s="51" t="s">
        <v>6740</v>
      </c>
      <c r="B232" s="87" t="s">
        <v>6217</v>
      </c>
      <c r="C232" s="88">
        <v>171000</v>
      </c>
      <c r="D232" s="89">
        <v>0.70666413204287926</v>
      </c>
      <c r="E232" s="90" t="s">
        <v>6262</v>
      </c>
      <c r="F232" s="91" t="s">
        <v>6741</v>
      </c>
      <c r="G232" s="91">
        <v>56</v>
      </c>
      <c r="H232" s="91" t="s">
        <v>0</v>
      </c>
      <c r="I232" s="91" t="s">
        <v>6259</v>
      </c>
      <c r="J232" s="91" t="s">
        <v>6322</v>
      </c>
      <c r="K232" s="91" t="s">
        <v>6360</v>
      </c>
      <c r="L232" s="91" t="s">
        <v>6283</v>
      </c>
      <c r="M232" s="91">
        <v>2</v>
      </c>
      <c r="N232" s="92" t="s">
        <v>6259</v>
      </c>
    </row>
    <row r="233" spans="1:14" ht="11.1" customHeight="1">
      <c r="A233" s="31" t="s">
        <v>6742</v>
      </c>
      <c r="B233" s="38" t="s">
        <v>6230</v>
      </c>
      <c r="C233" s="39">
        <v>62034</v>
      </c>
      <c r="D233" s="40">
        <v>0.25635791091899396</v>
      </c>
      <c r="E233" s="41">
        <v>36.277192982456143</v>
      </c>
      <c r="F233" s="42" t="s">
        <v>6743</v>
      </c>
      <c r="G233" s="42">
        <v>51</v>
      </c>
      <c r="H233" s="42" t="s">
        <v>0</v>
      </c>
      <c r="I233" s="42" t="s">
        <v>6233</v>
      </c>
      <c r="J233" s="42" t="s">
        <v>6257</v>
      </c>
      <c r="K233" s="42" t="s">
        <v>6286</v>
      </c>
      <c r="L233" s="42" t="s">
        <v>6209</v>
      </c>
      <c r="M233" s="42">
        <v>1</v>
      </c>
      <c r="N233" s="43" t="s">
        <v>6259</v>
      </c>
    </row>
    <row r="234" spans="1:14" ht="11.1" customHeight="1">
      <c r="A234" s="44" t="s">
        <v>6744</v>
      </c>
      <c r="B234" s="45" t="s">
        <v>6231</v>
      </c>
      <c r="C234" s="46">
        <v>8948</v>
      </c>
      <c r="D234" s="47">
        <v>3.6977957038126806E-2</v>
      </c>
      <c r="E234" s="48" t="s">
        <v>6262</v>
      </c>
      <c r="F234" s="49" t="s">
        <v>6745</v>
      </c>
      <c r="G234" s="49">
        <v>54</v>
      </c>
      <c r="H234" s="49" t="s">
        <v>0</v>
      </c>
      <c r="I234" s="49" t="s">
        <v>6259</v>
      </c>
      <c r="J234" s="49" t="s">
        <v>6267</v>
      </c>
      <c r="K234" s="49" t="s">
        <v>6268</v>
      </c>
      <c r="L234" s="49" t="s">
        <v>6036</v>
      </c>
      <c r="M234" s="49" t="s">
        <v>6259</v>
      </c>
      <c r="N234" s="50" t="s">
        <v>6259</v>
      </c>
    </row>
    <row r="235" spans="1:14" ht="11.1" customHeight="1">
      <c r="A235" s="51" t="s">
        <v>6746</v>
      </c>
      <c r="B235" s="52" t="s">
        <v>6217</v>
      </c>
      <c r="C235" s="53">
        <v>138727</v>
      </c>
      <c r="D235" s="54">
        <v>0.57151626259089128</v>
      </c>
      <c r="E235" s="55" t="s">
        <v>6251</v>
      </c>
      <c r="F235" s="56" t="s">
        <v>6747</v>
      </c>
      <c r="G235" s="56">
        <v>44</v>
      </c>
      <c r="H235" s="56" t="s">
        <v>0</v>
      </c>
      <c r="I235" s="56" t="s">
        <v>6233</v>
      </c>
      <c r="J235" s="56" t="s">
        <v>6253</v>
      </c>
      <c r="K235" s="56" t="s">
        <v>24</v>
      </c>
      <c r="L235" s="56" t="s">
        <v>6283</v>
      </c>
      <c r="M235" s="56">
        <v>1</v>
      </c>
      <c r="N235" s="57" t="s">
        <v>6213</v>
      </c>
    </row>
    <row r="236" spans="1:14" ht="11.1" customHeight="1">
      <c r="A236" s="31" t="s">
        <v>6748</v>
      </c>
      <c r="B236" s="38" t="s">
        <v>6230</v>
      </c>
      <c r="C236" s="39">
        <v>99256</v>
      </c>
      <c r="D236" s="40">
        <v>0.40890683255401983</v>
      </c>
      <c r="E236" s="41">
        <v>71.547716017790336</v>
      </c>
      <c r="F236" s="42" t="s">
        <v>6749</v>
      </c>
      <c r="G236" s="42">
        <v>69</v>
      </c>
      <c r="H236" s="42" t="s">
        <v>0</v>
      </c>
      <c r="I236" s="42" t="s">
        <v>6233</v>
      </c>
      <c r="J236" s="42" t="s">
        <v>6257</v>
      </c>
      <c r="K236" s="42" t="s">
        <v>6311</v>
      </c>
      <c r="L236" s="42" t="s">
        <v>6209</v>
      </c>
      <c r="M236" s="42">
        <v>4</v>
      </c>
      <c r="N236" s="43" t="s">
        <v>6260</v>
      </c>
    </row>
    <row r="237" spans="1:14" ht="11.1" customHeight="1">
      <c r="A237" s="44" t="s">
        <v>6750</v>
      </c>
      <c r="B237" s="45" t="s">
        <v>6231</v>
      </c>
      <c r="C237" s="46">
        <v>4752</v>
      </c>
      <c r="D237" s="47">
        <v>1.9576904855088884E-2</v>
      </c>
      <c r="E237" s="48" t="s">
        <v>6262</v>
      </c>
      <c r="F237" s="49" t="s">
        <v>6751</v>
      </c>
      <c r="G237" s="49">
        <v>55</v>
      </c>
      <c r="H237" s="49" t="s">
        <v>0</v>
      </c>
      <c r="I237" s="49" t="s">
        <v>6259</v>
      </c>
      <c r="J237" s="49" t="s">
        <v>6267</v>
      </c>
      <c r="K237" s="49" t="s">
        <v>6268</v>
      </c>
      <c r="L237" s="49" t="s">
        <v>6036</v>
      </c>
      <c r="M237" s="49" t="s">
        <v>6259</v>
      </c>
      <c r="N237" s="50" t="s">
        <v>6259</v>
      </c>
    </row>
    <row r="238" spans="1:14" ht="11.1" customHeight="1">
      <c r="A238" s="51" t="s">
        <v>6752</v>
      </c>
      <c r="B238" s="52" t="s">
        <v>6217</v>
      </c>
      <c r="C238" s="53">
        <v>121840</v>
      </c>
      <c r="D238" s="54">
        <v>0.51475527577684366</v>
      </c>
      <c r="E238" s="55" t="s">
        <v>6251</v>
      </c>
      <c r="F238" s="56" t="s">
        <v>6753</v>
      </c>
      <c r="G238" s="56">
        <v>34</v>
      </c>
      <c r="H238" s="56" t="s">
        <v>0</v>
      </c>
      <c r="I238" s="56" t="s">
        <v>6233</v>
      </c>
      <c r="J238" s="56" t="s">
        <v>6253</v>
      </c>
      <c r="K238" s="56" t="s">
        <v>6053</v>
      </c>
      <c r="L238" s="56" t="s">
        <v>6036</v>
      </c>
      <c r="M238" s="56" t="s">
        <v>6259</v>
      </c>
      <c r="N238" s="57" t="s">
        <v>6259</v>
      </c>
    </row>
    <row r="239" spans="1:14" ht="11.1" customHeight="1">
      <c r="A239" s="31" t="s">
        <v>6754</v>
      </c>
      <c r="B239" s="38" t="s">
        <v>6230</v>
      </c>
      <c r="C239" s="39">
        <v>85457</v>
      </c>
      <c r="D239" s="40">
        <v>0.3610426920720759</v>
      </c>
      <c r="E239" s="41">
        <v>70.138706500328297</v>
      </c>
      <c r="F239" s="42" t="s">
        <v>6755</v>
      </c>
      <c r="G239" s="42">
        <v>57</v>
      </c>
      <c r="H239" s="42" t="s">
        <v>6049</v>
      </c>
      <c r="I239" s="42" t="s">
        <v>6233</v>
      </c>
      <c r="J239" s="42" t="s">
        <v>6257</v>
      </c>
      <c r="K239" s="42" t="s">
        <v>6258</v>
      </c>
      <c r="L239" s="42" t="s">
        <v>6209</v>
      </c>
      <c r="M239" s="42">
        <v>4</v>
      </c>
      <c r="N239" s="43" t="s">
        <v>6260</v>
      </c>
    </row>
    <row r="240" spans="1:14" ht="11.1" customHeight="1">
      <c r="A240" s="31" t="s">
        <v>6756</v>
      </c>
      <c r="B240" s="38" t="s">
        <v>6231</v>
      </c>
      <c r="C240" s="39">
        <v>13699</v>
      </c>
      <c r="D240" s="40">
        <v>5.7876169754325184E-2</v>
      </c>
      <c r="E240" s="41">
        <v>11.243434011818779</v>
      </c>
      <c r="F240" s="42" t="s">
        <v>6757</v>
      </c>
      <c r="G240" s="42">
        <v>60</v>
      </c>
      <c r="H240" s="42" t="s">
        <v>0</v>
      </c>
      <c r="I240" s="42" t="s">
        <v>6233</v>
      </c>
      <c r="J240" s="42" t="s">
        <v>6278</v>
      </c>
      <c r="K240" s="42" t="s">
        <v>6259</v>
      </c>
      <c r="L240" s="42" t="s">
        <v>6209</v>
      </c>
      <c r="M240" s="42">
        <v>2</v>
      </c>
      <c r="N240" s="43" t="s">
        <v>6259</v>
      </c>
    </row>
    <row r="241" spans="1:14" ht="11.1" customHeight="1">
      <c r="A241" s="31" t="s">
        <v>6758</v>
      </c>
      <c r="B241" s="38" t="s">
        <v>6231</v>
      </c>
      <c r="C241" s="39">
        <v>12612</v>
      </c>
      <c r="D241" s="40">
        <v>5.3283761803164409E-2</v>
      </c>
      <c r="E241" s="41" t="s">
        <v>6262</v>
      </c>
      <c r="F241" s="42" t="s">
        <v>6759</v>
      </c>
      <c r="G241" s="42">
        <v>61</v>
      </c>
      <c r="H241" s="42" t="s">
        <v>6049</v>
      </c>
      <c r="I241" s="42" t="s">
        <v>6259</v>
      </c>
      <c r="J241" s="42" t="s">
        <v>6322</v>
      </c>
      <c r="K241" s="42" t="s">
        <v>6760</v>
      </c>
      <c r="L241" s="42" t="s">
        <v>6283</v>
      </c>
      <c r="M241" s="42">
        <v>4</v>
      </c>
      <c r="N241" s="43" t="s">
        <v>6259</v>
      </c>
    </row>
    <row r="242" spans="1:14" ht="11.1" customHeight="1">
      <c r="A242" s="44" t="s">
        <v>6761</v>
      </c>
      <c r="B242" s="45" t="s">
        <v>6231</v>
      </c>
      <c r="C242" s="46">
        <v>3087</v>
      </c>
      <c r="D242" s="47">
        <v>1.3042100593590908E-2</v>
      </c>
      <c r="E242" s="48" t="s">
        <v>6262</v>
      </c>
      <c r="F242" s="49" t="s">
        <v>6762</v>
      </c>
      <c r="G242" s="49">
        <v>40</v>
      </c>
      <c r="H242" s="49" t="s">
        <v>6049</v>
      </c>
      <c r="I242" s="49" t="s">
        <v>6259</v>
      </c>
      <c r="J242" s="49" t="s">
        <v>6267</v>
      </c>
      <c r="K242" s="49" t="s">
        <v>6268</v>
      </c>
      <c r="L242" s="49" t="s">
        <v>6036</v>
      </c>
      <c r="M242" s="49" t="s">
        <v>6259</v>
      </c>
      <c r="N242" s="50" t="s">
        <v>6259</v>
      </c>
    </row>
    <row r="243" spans="1:14" ht="11.1" customHeight="1">
      <c r="A243" s="51" t="s">
        <v>6763</v>
      </c>
      <c r="B243" s="52" t="s">
        <v>6217</v>
      </c>
      <c r="C243" s="53">
        <v>146148</v>
      </c>
      <c r="D243" s="54">
        <v>0.57175048412651841</v>
      </c>
      <c r="E243" s="55" t="s">
        <v>6251</v>
      </c>
      <c r="F243" s="56" t="s">
        <v>6764</v>
      </c>
      <c r="G243" s="56">
        <v>42</v>
      </c>
      <c r="H243" s="56" t="s">
        <v>0</v>
      </c>
      <c r="I243" s="56" t="s">
        <v>6233</v>
      </c>
      <c r="J243" s="56" t="s">
        <v>6253</v>
      </c>
      <c r="K243" s="56" t="s">
        <v>6053</v>
      </c>
      <c r="L243" s="56" t="s">
        <v>6283</v>
      </c>
      <c r="M243" s="56">
        <v>1</v>
      </c>
      <c r="N243" s="57" t="s">
        <v>6213</v>
      </c>
    </row>
    <row r="244" spans="1:14" ht="11.1" customHeight="1">
      <c r="A244" s="31" t="s">
        <v>6765</v>
      </c>
      <c r="B244" s="38" t="s">
        <v>6230</v>
      </c>
      <c r="C244" s="39">
        <v>100474</v>
      </c>
      <c r="D244" s="40">
        <v>0.39306769946990594</v>
      </c>
      <c r="E244" s="41">
        <v>68.748118345786466</v>
      </c>
      <c r="F244" s="42" t="s">
        <v>6766</v>
      </c>
      <c r="G244" s="42">
        <v>56</v>
      </c>
      <c r="H244" s="42" t="s">
        <v>0</v>
      </c>
      <c r="I244" s="42" t="s">
        <v>6233</v>
      </c>
      <c r="J244" s="42" t="s">
        <v>6257</v>
      </c>
      <c r="K244" s="42" t="s">
        <v>6286</v>
      </c>
      <c r="L244" s="42" t="s">
        <v>6209</v>
      </c>
      <c r="M244" s="42">
        <v>3</v>
      </c>
      <c r="N244" s="43" t="s">
        <v>6260</v>
      </c>
    </row>
    <row r="245" spans="1:14" ht="11.1" customHeight="1">
      <c r="A245" s="44" t="s">
        <v>6767</v>
      </c>
      <c r="B245" s="45" t="s">
        <v>6231</v>
      </c>
      <c r="C245" s="46">
        <v>8993</v>
      </c>
      <c r="D245" s="47">
        <v>3.5181816403575691E-2</v>
      </c>
      <c r="E245" s="48" t="s">
        <v>6262</v>
      </c>
      <c r="F245" s="49" t="s">
        <v>6768</v>
      </c>
      <c r="G245" s="49">
        <v>46</v>
      </c>
      <c r="H245" s="49" t="s">
        <v>6049</v>
      </c>
      <c r="I245" s="49" t="s">
        <v>6259</v>
      </c>
      <c r="J245" s="49" t="s">
        <v>6267</v>
      </c>
      <c r="K245" s="49" t="s">
        <v>6268</v>
      </c>
      <c r="L245" s="49" t="s">
        <v>6036</v>
      </c>
      <c r="M245" s="49" t="s">
        <v>6259</v>
      </c>
      <c r="N245" s="50" t="s">
        <v>6259</v>
      </c>
    </row>
    <row r="246" spans="1:14" ht="11.1" customHeight="1">
      <c r="A246" s="51" t="s">
        <v>6769</v>
      </c>
      <c r="B246" s="52" t="s">
        <v>6217</v>
      </c>
      <c r="C246" s="53">
        <v>120751</v>
      </c>
      <c r="D246" s="54">
        <v>0.5212693396878022</v>
      </c>
      <c r="E246" s="55" t="s">
        <v>6251</v>
      </c>
      <c r="F246" s="56" t="s">
        <v>6770</v>
      </c>
      <c r="G246" s="56">
        <v>39</v>
      </c>
      <c r="H246" s="56" t="s">
        <v>0</v>
      </c>
      <c r="I246" s="56" t="s">
        <v>6233</v>
      </c>
      <c r="J246" s="56" t="s">
        <v>6253</v>
      </c>
      <c r="K246" s="56" t="s">
        <v>6035</v>
      </c>
      <c r="L246" s="56" t="s">
        <v>6209</v>
      </c>
      <c r="M246" s="56">
        <v>2</v>
      </c>
      <c r="N246" s="57" t="s">
        <v>6259</v>
      </c>
    </row>
    <row r="247" spans="1:14" ht="11.1" customHeight="1">
      <c r="A247" s="31" t="s">
        <v>6771</v>
      </c>
      <c r="B247" s="38" t="s">
        <v>6230</v>
      </c>
      <c r="C247" s="39">
        <v>85826</v>
      </c>
      <c r="D247" s="40">
        <v>0.37050179582815307</v>
      </c>
      <c r="E247" s="41">
        <v>71.076844084106966</v>
      </c>
      <c r="F247" s="42" t="s">
        <v>6772</v>
      </c>
      <c r="G247" s="42">
        <v>45</v>
      </c>
      <c r="H247" s="42" t="s">
        <v>0</v>
      </c>
      <c r="I247" s="42" t="s">
        <v>6233</v>
      </c>
      <c r="J247" s="42" t="s">
        <v>6257</v>
      </c>
      <c r="K247" s="42" t="s">
        <v>6258</v>
      </c>
      <c r="L247" s="42" t="s">
        <v>6209</v>
      </c>
      <c r="M247" s="42">
        <v>1</v>
      </c>
      <c r="N247" s="43" t="s">
        <v>6260</v>
      </c>
    </row>
    <row r="248" spans="1:14" ht="11.1" customHeight="1">
      <c r="A248" s="31" t="s">
        <v>6773</v>
      </c>
      <c r="B248" s="38" t="s">
        <v>6231</v>
      </c>
      <c r="C248" s="39">
        <v>22168</v>
      </c>
      <c r="D248" s="40">
        <v>9.569691946401436E-2</v>
      </c>
      <c r="E248" s="41" t="s">
        <v>6262</v>
      </c>
      <c r="F248" s="42" t="s">
        <v>6774</v>
      </c>
      <c r="G248" s="42">
        <v>37</v>
      </c>
      <c r="H248" s="42" t="s">
        <v>6049</v>
      </c>
      <c r="I248" s="42" t="s">
        <v>6259</v>
      </c>
      <c r="J248" s="42" t="s">
        <v>6264</v>
      </c>
      <c r="K248" s="42" t="s">
        <v>6259</v>
      </c>
      <c r="L248" s="42" t="s">
        <v>6036</v>
      </c>
      <c r="M248" s="42" t="s">
        <v>6259</v>
      </c>
      <c r="N248" s="43" t="s">
        <v>6259</v>
      </c>
    </row>
    <row r="249" spans="1:14" ht="11.1" customHeight="1" thickBot="1">
      <c r="A249" s="66" t="s">
        <v>6775</v>
      </c>
      <c r="B249" s="67" t="s">
        <v>6231</v>
      </c>
      <c r="C249" s="68">
        <v>2903</v>
      </c>
      <c r="D249" s="69">
        <v>1.2531945020030391E-2</v>
      </c>
      <c r="E249" s="70" t="s">
        <v>6262</v>
      </c>
      <c r="F249" s="71" t="s">
        <v>6776</v>
      </c>
      <c r="G249" s="71">
        <v>48</v>
      </c>
      <c r="H249" s="71" t="s">
        <v>0</v>
      </c>
      <c r="I249" s="71" t="s">
        <v>6259</v>
      </c>
      <c r="J249" s="71" t="s">
        <v>6267</v>
      </c>
      <c r="K249" s="71" t="s">
        <v>6268</v>
      </c>
      <c r="L249" s="71" t="s">
        <v>6036</v>
      </c>
      <c r="M249" s="71" t="s">
        <v>6259</v>
      </c>
      <c r="N249" s="72" t="s">
        <v>6259</v>
      </c>
    </row>
    <row r="250" spans="1:14" ht="11.1" customHeight="1" thickTop="1">
      <c r="A250" s="31" t="s">
        <v>6777</v>
      </c>
      <c r="B250" s="32" t="s">
        <v>6217</v>
      </c>
      <c r="C250" s="33">
        <v>142694</v>
      </c>
      <c r="D250" s="34">
        <v>0.56692544239525144</v>
      </c>
      <c r="E250" s="35" t="s">
        <v>6251</v>
      </c>
      <c r="F250" s="36" t="s">
        <v>6778</v>
      </c>
      <c r="G250" s="36">
        <v>47</v>
      </c>
      <c r="H250" s="36" t="s">
        <v>0</v>
      </c>
      <c r="I250" s="36" t="s">
        <v>6233</v>
      </c>
      <c r="J250" s="36" t="s">
        <v>6253</v>
      </c>
      <c r="K250" s="36" t="s">
        <v>6053</v>
      </c>
      <c r="L250" s="36" t="s">
        <v>6209</v>
      </c>
      <c r="M250" s="36">
        <v>2</v>
      </c>
      <c r="N250" s="37" t="s">
        <v>6779</v>
      </c>
    </row>
    <row r="251" spans="1:14" ht="11.1" customHeight="1">
      <c r="A251" s="31" t="s">
        <v>6780</v>
      </c>
      <c r="B251" s="38" t="s">
        <v>6230</v>
      </c>
      <c r="C251" s="39">
        <v>94820</v>
      </c>
      <c r="D251" s="40">
        <v>0.37672130887015393</v>
      </c>
      <c r="E251" s="41">
        <v>66.449885769548828</v>
      </c>
      <c r="F251" s="42" t="s">
        <v>6781</v>
      </c>
      <c r="G251" s="42">
        <v>34</v>
      </c>
      <c r="H251" s="42" t="s">
        <v>0</v>
      </c>
      <c r="I251" s="42" t="s">
        <v>6233</v>
      </c>
      <c r="J251" s="42" t="s">
        <v>6257</v>
      </c>
      <c r="K251" s="42" t="s">
        <v>6369</v>
      </c>
      <c r="L251" s="42" t="s">
        <v>6036</v>
      </c>
      <c r="M251" s="42" t="s">
        <v>6259</v>
      </c>
      <c r="N251" s="43" t="s">
        <v>6260</v>
      </c>
    </row>
    <row r="252" spans="1:14" ht="11.1" customHeight="1">
      <c r="A252" s="31" t="s">
        <v>6782</v>
      </c>
      <c r="B252" s="38" t="s">
        <v>6231</v>
      </c>
      <c r="C252" s="39">
        <v>12540</v>
      </c>
      <c r="D252" s="40">
        <v>4.9821611613918265E-2</v>
      </c>
      <c r="E252" s="41" t="s">
        <v>6262</v>
      </c>
      <c r="F252" s="42" t="s">
        <v>6783</v>
      </c>
      <c r="G252" s="42">
        <v>51</v>
      </c>
      <c r="H252" s="42" t="s">
        <v>0</v>
      </c>
      <c r="I252" s="42" t="s">
        <v>6259</v>
      </c>
      <c r="J252" s="42" t="s">
        <v>6264</v>
      </c>
      <c r="K252" s="42" t="s">
        <v>6259</v>
      </c>
      <c r="L252" s="42" t="s">
        <v>6036</v>
      </c>
      <c r="M252" s="42" t="s">
        <v>6259</v>
      </c>
      <c r="N252" s="43" t="s">
        <v>6259</v>
      </c>
    </row>
    <row r="253" spans="1:14" ht="11.1" customHeight="1">
      <c r="A253" s="44" t="s">
        <v>6784</v>
      </c>
      <c r="B253" s="45" t="s">
        <v>6231</v>
      </c>
      <c r="C253" s="46">
        <v>1644</v>
      </c>
      <c r="D253" s="47">
        <v>6.5316371206763663E-3</v>
      </c>
      <c r="E253" s="48" t="s">
        <v>6262</v>
      </c>
      <c r="F253" s="49" t="s">
        <v>6785</v>
      </c>
      <c r="G253" s="49">
        <v>45</v>
      </c>
      <c r="H253" s="49" t="s">
        <v>0</v>
      </c>
      <c r="I253" s="49" t="s">
        <v>6259</v>
      </c>
      <c r="J253" s="49" t="s">
        <v>6267</v>
      </c>
      <c r="K253" s="49" t="s">
        <v>6268</v>
      </c>
      <c r="L253" s="49" t="s">
        <v>6036</v>
      </c>
      <c r="M253" s="49" t="s">
        <v>6259</v>
      </c>
      <c r="N253" s="50" t="s">
        <v>6259</v>
      </c>
    </row>
    <row r="254" spans="1:14" ht="11.1" customHeight="1">
      <c r="A254" s="51" t="s">
        <v>6786</v>
      </c>
      <c r="B254" s="52" t="s">
        <v>6217</v>
      </c>
      <c r="C254" s="53">
        <v>153745</v>
      </c>
      <c r="D254" s="54">
        <v>0.57094421461516176</v>
      </c>
      <c r="E254" s="55" t="s">
        <v>6251</v>
      </c>
      <c r="F254" s="56" t="s">
        <v>6787</v>
      </c>
      <c r="G254" s="56">
        <v>50</v>
      </c>
      <c r="H254" s="56" t="s">
        <v>0</v>
      </c>
      <c r="I254" s="56" t="s">
        <v>6233</v>
      </c>
      <c r="J254" s="56" t="s">
        <v>6253</v>
      </c>
      <c r="K254" s="56" t="s">
        <v>6035</v>
      </c>
      <c r="L254" s="56" t="s">
        <v>6036</v>
      </c>
      <c r="M254" s="56" t="s">
        <v>6259</v>
      </c>
      <c r="N254" s="57" t="s">
        <v>6213</v>
      </c>
    </row>
    <row r="255" spans="1:14" ht="11.1" customHeight="1">
      <c r="A255" s="31" t="s">
        <v>6788</v>
      </c>
      <c r="B255" s="38" t="s">
        <v>6230</v>
      </c>
      <c r="C255" s="39">
        <v>89311</v>
      </c>
      <c r="D255" s="40">
        <v>0.3316634606100668</v>
      </c>
      <c r="E255" s="41">
        <v>58.09034440144395</v>
      </c>
      <c r="F255" s="42" t="s">
        <v>6789</v>
      </c>
      <c r="G255" s="42">
        <v>63</v>
      </c>
      <c r="H255" s="42" t="s">
        <v>6049</v>
      </c>
      <c r="I255" s="42" t="s">
        <v>6233</v>
      </c>
      <c r="J255" s="42" t="s">
        <v>6257</v>
      </c>
      <c r="K255" s="42" t="s">
        <v>6258</v>
      </c>
      <c r="L255" s="42" t="s">
        <v>6209</v>
      </c>
      <c r="M255" s="42">
        <v>2</v>
      </c>
      <c r="N255" s="43" t="s">
        <v>6260</v>
      </c>
    </row>
    <row r="256" spans="1:14" ht="11.1" customHeight="1">
      <c r="A256" s="31" t="s">
        <v>6790</v>
      </c>
      <c r="B256" s="38" t="s">
        <v>6231</v>
      </c>
      <c r="C256" s="39">
        <v>22052</v>
      </c>
      <c r="D256" s="40">
        <v>8.1891845723070983E-2</v>
      </c>
      <c r="E256" s="41">
        <v>14.343230674168266</v>
      </c>
      <c r="F256" s="42" t="s">
        <v>6791</v>
      </c>
      <c r="G256" s="42">
        <v>48</v>
      </c>
      <c r="H256" s="42" t="s">
        <v>0</v>
      </c>
      <c r="I256" s="42" t="s">
        <v>6233</v>
      </c>
      <c r="J256" s="42" t="s">
        <v>6264</v>
      </c>
      <c r="K256" s="42" t="s">
        <v>6259</v>
      </c>
      <c r="L256" s="42" t="s">
        <v>6036</v>
      </c>
      <c r="M256" s="42" t="s">
        <v>6259</v>
      </c>
      <c r="N256" s="43" t="s">
        <v>6259</v>
      </c>
    </row>
    <row r="257" spans="1:14" ht="11.1" customHeight="1">
      <c r="A257" s="44" t="s">
        <v>6792</v>
      </c>
      <c r="B257" s="45" t="s">
        <v>6231</v>
      </c>
      <c r="C257" s="46">
        <v>4174</v>
      </c>
      <c r="D257" s="47">
        <v>1.5500479051700447E-2</v>
      </c>
      <c r="E257" s="48" t="s">
        <v>6262</v>
      </c>
      <c r="F257" s="49" t="s">
        <v>6793</v>
      </c>
      <c r="G257" s="49">
        <v>35</v>
      </c>
      <c r="H257" s="49" t="s">
        <v>0</v>
      </c>
      <c r="I257" s="49" t="s">
        <v>6259</v>
      </c>
      <c r="J257" s="49" t="s">
        <v>6267</v>
      </c>
      <c r="K257" s="49" t="s">
        <v>6268</v>
      </c>
      <c r="L257" s="49" t="s">
        <v>6036</v>
      </c>
      <c r="M257" s="49" t="s">
        <v>6259</v>
      </c>
      <c r="N257" s="50" t="s">
        <v>6259</v>
      </c>
    </row>
    <row r="258" spans="1:14" ht="11.1" customHeight="1">
      <c r="A258" s="51" t="s">
        <v>6794</v>
      </c>
      <c r="B258" s="52" t="s">
        <v>6217</v>
      </c>
      <c r="C258" s="53">
        <v>112035</v>
      </c>
      <c r="D258" s="54">
        <v>0.55456831434200238</v>
      </c>
      <c r="E258" s="55" t="s">
        <v>6251</v>
      </c>
      <c r="F258" s="56" t="s">
        <v>6795</v>
      </c>
      <c r="G258" s="56">
        <v>51</v>
      </c>
      <c r="H258" s="56" t="s">
        <v>0</v>
      </c>
      <c r="I258" s="56" t="s">
        <v>6233</v>
      </c>
      <c r="J258" s="56" t="s">
        <v>6253</v>
      </c>
      <c r="K258" s="56" t="s">
        <v>6035</v>
      </c>
      <c r="L258" s="56" t="s">
        <v>6283</v>
      </c>
      <c r="M258" s="56">
        <v>1</v>
      </c>
      <c r="N258" s="57" t="s">
        <v>6213</v>
      </c>
    </row>
    <row r="259" spans="1:14" ht="11.1" customHeight="1">
      <c r="A259" s="31" t="s">
        <v>6796</v>
      </c>
      <c r="B259" s="38" t="s">
        <v>6232</v>
      </c>
      <c r="C259" s="39">
        <v>85777</v>
      </c>
      <c r="D259" s="40">
        <v>0.42459237112789694</v>
      </c>
      <c r="E259" s="58">
        <v>76.562681304949351</v>
      </c>
      <c r="F259" s="59" t="s">
        <v>6797</v>
      </c>
      <c r="G259" s="59">
        <v>46</v>
      </c>
      <c r="H259" s="59" t="s">
        <v>0</v>
      </c>
      <c r="I259" s="59" t="s">
        <v>6233</v>
      </c>
      <c r="J259" s="59" t="s">
        <v>6257</v>
      </c>
      <c r="K259" s="59" t="s">
        <v>6286</v>
      </c>
      <c r="L259" s="59" t="s">
        <v>6209</v>
      </c>
      <c r="M259" s="59">
        <v>3</v>
      </c>
      <c r="N259" s="43" t="s">
        <v>6260</v>
      </c>
    </row>
    <row r="260" spans="1:14" ht="11.1" customHeight="1">
      <c r="A260" s="44" t="s">
        <v>6798</v>
      </c>
      <c r="B260" s="45" t="s">
        <v>6231</v>
      </c>
      <c r="C260" s="46">
        <v>4210</v>
      </c>
      <c r="D260" s="47">
        <v>2.0839314530100683E-2</v>
      </c>
      <c r="E260" s="48" t="s">
        <v>6262</v>
      </c>
      <c r="F260" s="49" t="s">
        <v>6799</v>
      </c>
      <c r="G260" s="49">
        <v>27</v>
      </c>
      <c r="H260" s="49" t="s">
        <v>0</v>
      </c>
      <c r="I260" s="49" t="s">
        <v>6259</v>
      </c>
      <c r="J260" s="49" t="s">
        <v>6267</v>
      </c>
      <c r="K260" s="49" t="s">
        <v>6268</v>
      </c>
      <c r="L260" s="49" t="s">
        <v>6036</v>
      </c>
      <c r="M260" s="49" t="s">
        <v>6259</v>
      </c>
      <c r="N260" s="50" t="s">
        <v>6259</v>
      </c>
    </row>
    <row r="261" spans="1:14" ht="11.1" customHeight="1">
      <c r="A261" s="51" t="s">
        <v>6800</v>
      </c>
      <c r="B261" s="52" t="s">
        <v>6217</v>
      </c>
      <c r="C261" s="53">
        <v>162153</v>
      </c>
      <c r="D261" s="54">
        <v>0.53637810069762593</v>
      </c>
      <c r="E261" s="55" t="s">
        <v>6251</v>
      </c>
      <c r="F261" s="56" t="s">
        <v>6801</v>
      </c>
      <c r="G261" s="56">
        <v>52</v>
      </c>
      <c r="H261" s="56" t="s">
        <v>0</v>
      </c>
      <c r="I261" s="56" t="s">
        <v>6233</v>
      </c>
      <c r="J261" s="56" t="s">
        <v>6253</v>
      </c>
      <c r="K261" s="56" t="s">
        <v>6207</v>
      </c>
      <c r="L261" s="56" t="s">
        <v>6209</v>
      </c>
      <c r="M261" s="56">
        <v>4</v>
      </c>
      <c r="N261" s="57" t="s">
        <v>6213</v>
      </c>
    </row>
    <row r="262" spans="1:14" ht="11.1" customHeight="1">
      <c r="A262" s="31" t="s">
        <v>6802</v>
      </c>
      <c r="B262" s="38" t="s">
        <v>6230</v>
      </c>
      <c r="C262" s="39">
        <v>85425</v>
      </c>
      <c r="D262" s="40">
        <v>0.28257324410954282</v>
      </c>
      <c r="E262" s="41">
        <v>52.681726517548242</v>
      </c>
      <c r="F262" s="42" t="s">
        <v>6803</v>
      </c>
      <c r="G262" s="42">
        <v>40</v>
      </c>
      <c r="H262" s="42" t="s">
        <v>0</v>
      </c>
      <c r="I262" s="42" t="s">
        <v>6233</v>
      </c>
      <c r="J262" s="42" t="s">
        <v>6257</v>
      </c>
      <c r="K262" s="42" t="s">
        <v>6258</v>
      </c>
      <c r="L262" s="42" t="s">
        <v>6209</v>
      </c>
      <c r="M262" s="42">
        <v>1</v>
      </c>
      <c r="N262" s="43" t="s">
        <v>6260</v>
      </c>
    </row>
    <row r="263" spans="1:14" ht="11.1" customHeight="1">
      <c r="A263" s="31" t="s">
        <v>6804</v>
      </c>
      <c r="B263" s="38" t="s">
        <v>6231</v>
      </c>
      <c r="C263" s="39">
        <v>28280</v>
      </c>
      <c r="D263" s="40">
        <v>9.3546050259500982E-2</v>
      </c>
      <c r="E263" s="41">
        <v>17.440318711340524</v>
      </c>
      <c r="F263" s="42" t="s">
        <v>6805</v>
      </c>
      <c r="G263" s="42">
        <v>58</v>
      </c>
      <c r="H263" s="42" t="s">
        <v>6049</v>
      </c>
      <c r="I263" s="42" t="s">
        <v>6233</v>
      </c>
      <c r="J263" s="42" t="s">
        <v>6484</v>
      </c>
      <c r="K263" s="42" t="s">
        <v>6259</v>
      </c>
      <c r="L263" s="42" t="s">
        <v>6036</v>
      </c>
      <c r="M263" s="42" t="s">
        <v>6259</v>
      </c>
      <c r="N263" s="43" t="s">
        <v>6259</v>
      </c>
    </row>
    <row r="264" spans="1:14" ht="11.1" customHeight="1">
      <c r="A264" s="31" t="s">
        <v>6806</v>
      </c>
      <c r="B264" s="38" t="s">
        <v>6231</v>
      </c>
      <c r="C264" s="39">
        <v>23050</v>
      </c>
      <c r="D264" s="40">
        <v>7.6245985094819571E-2</v>
      </c>
      <c r="E264" s="41">
        <v>14.214969812461071</v>
      </c>
      <c r="F264" s="42" t="s">
        <v>6807</v>
      </c>
      <c r="G264" s="42">
        <v>34</v>
      </c>
      <c r="H264" s="42" t="s">
        <v>6049</v>
      </c>
      <c r="I264" s="42" t="s">
        <v>6233</v>
      </c>
      <c r="J264" s="42" t="s">
        <v>6264</v>
      </c>
      <c r="K264" s="42" t="s">
        <v>6259</v>
      </c>
      <c r="L264" s="42" t="s">
        <v>6036</v>
      </c>
      <c r="M264" s="42" t="s">
        <v>6259</v>
      </c>
      <c r="N264" s="43" t="s">
        <v>6259</v>
      </c>
    </row>
    <row r="265" spans="1:14" ht="11.1" customHeight="1">
      <c r="A265" s="44" t="s">
        <v>6808</v>
      </c>
      <c r="B265" s="45" t="s">
        <v>6231</v>
      </c>
      <c r="C265" s="46">
        <v>3403</v>
      </c>
      <c r="D265" s="47">
        <v>1.1256619838510673E-2</v>
      </c>
      <c r="E265" s="48" t="s">
        <v>6262</v>
      </c>
      <c r="F265" s="49" t="s">
        <v>6809</v>
      </c>
      <c r="G265" s="49">
        <v>41</v>
      </c>
      <c r="H265" s="49" t="s">
        <v>0</v>
      </c>
      <c r="I265" s="49" t="s">
        <v>6259</v>
      </c>
      <c r="J265" s="49" t="s">
        <v>6267</v>
      </c>
      <c r="K265" s="49" t="s">
        <v>6268</v>
      </c>
      <c r="L265" s="49" t="s">
        <v>6036</v>
      </c>
      <c r="M265" s="49" t="s">
        <v>6259</v>
      </c>
      <c r="N265" s="50" t="s">
        <v>6259</v>
      </c>
    </row>
    <row r="266" spans="1:14" ht="11.1" customHeight="1">
      <c r="A266" s="51" t="s">
        <v>6810</v>
      </c>
      <c r="B266" s="52" t="s">
        <v>6217</v>
      </c>
      <c r="C266" s="53">
        <v>127588</v>
      </c>
      <c r="D266" s="54">
        <v>0.49754712713602722</v>
      </c>
      <c r="E266" s="55" t="s">
        <v>6251</v>
      </c>
      <c r="F266" s="56" t="s">
        <v>6811</v>
      </c>
      <c r="G266" s="56">
        <v>35</v>
      </c>
      <c r="H266" s="56" t="s">
        <v>0</v>
      </c>
      <c r="I266" s="56" t="s">
        <v>6233</v>
      </c>
      <c r="J266" s="56" t="s">
        <v>6253</v>
      </c>
      <c r="K266" s="56" t="s">
        <v>6053</v>
      </c>
      <c r="L266" s="56" t="s">
        <v>6283</v>
      </c>
      <c r="M266" s="56">
        <v>1</v>
      </c>
      <c r="N266" s="57" t="s">
        <v>6213</v>
      </c>
    </row>
    <row r="267" spans="1:14" ht="11.1" customHeight="1">
      <c r="A267" s="31" t="s">
        <v>6812</v>
      </c>
      <c r="B267" s="38" t="s">
        <v>6230</v>
      </c>
      <c r="C267" s="39">
        <v>83422</v>
      </c>
      <c r="D267" s="40">
        <v>0.32531567576842385</v>
      </c>
      <c r="E267" s="41">
        <v>65.383891902059759</v>
      </c>
      <c r="F267" s="42" t="s">
        <v>6813</v>
      </c>
      <c r="G267" s="42">
        <v>37</v>
      </c>
      <c r="H267" s="42" t="s">
        <v>0</v>
      </c>
      <c r="I267" s="42" t="s">
        <v>6233</v>
      </c>
      <c r="J267" s="42" t="s">
        <v>6257</v>
      </c>
      <c r="K267" s="42" t="s">
        <v>6596</v>
      </c>
      <c r="L267" s="42" t="s">
        <v>6209</v>
      </c>
      <c r="M267" s="42">
        <v>1</v>
      </c>
      <c r="N267" s="43" t="s">
        <v>6260</v>
      </c>
    </row>
    <row r="268" spans="1:14" ht="11.1" customHeight="1">
      <c r="A268" s="31" t="s">
        <v>6814</v>
      </c>
      <c r="B268" s="38"/>
      <c r="C268" s="39">
        <v>42379</v>
      </c>
      <c r="D268" s="40">
        <v>0.16526279666502883</v>
      </c>
      <c r="E268" s="41">
        <v>33.215506160453963</v>
      </c>
      <c r="F268" s="42" t="s">
        <v>6815</v>
      </c>
      <c r="G268" s="42">
        <v>52</v>
      </c>
      <c r="H268" s="42" t="s">
        <v>0</v>
      </c>
      <c r="I268" s="42" t="s">
        <v>6233</v>
      </c>
      <c r="J268" s="42" t="s">
        <v>6484</v>
      </c>
      <c r="K268" s="42" t="s">
        <v>6259</v>
      </c>
      <c r="L268" s="42" t="s">
        <v>6283</v>
      </c>
      <c r="M268" s="42">
        <v>3</v>
      </c>
      <c r="N268" s="43" t="s">
        <v>6259</v>
      </c>
    </row>
    <row r="269" spans="1:14" ht="11.1" customHeight="1">
      <c r="A269" s="44" t="s">
        <v>6816</v>
      </c>
      <c r="B269" s="45" t="s">
        <v>6231</v>
      </c>
      <c r="C269" s="46">
        <v>3045</v>
      </c>
      <c r="D269" s="47">
        <v>1.1874400430520134E-2</v>
      </c>
      <c r="E269" s="48" t="s">
        <v>6262</v>
      </c>
      <c r="F269" s="49" t="s">
        <v>6817</v>
      </c>
      <c r="G269" s="49">
        <v>40</v>
      </c>
      <c r="H269" s="49" t="s">
        <v>0</v>
      </c>
      <c r="I269" s="49" t="s">
        <v>6259</v>
      </c>
      <c r="J269" s="49" t="s">
        <v>6267</v>
      </c>
      <c r="K269" s="49" t="s">
        <v>6268</v>
      </c>
      <c r="L269" s="49" t="s">
        <v>6036</v>
      </c>
      <c r="M269" s="49" t="s">
        <v>6259</v>
      </c>
      <c r="N269" s="50" t="s">
        <v>6259</v>
      </c>
    </row>
    <row r="270" spans="1:14" ht="11.1" customHeight="1">
      <c r="A270" s="51" t="s">
        <v>6818</v>
      </c>
      <c r="B270" s="52" t="s">
        <v>6217</v>
      </c>
      <c r="C270" s="53">
        <v>108270</v>
      </c>
      <c r="D270" s="54">
        <v>0.49388291321126532</v>
      </c>
      <c r="E270" s="55" t="s">
        <v>6251</v>
      </c>
      <c r="F270" s="56" t="s">
        <v>6819</v>
      </c>
      <c r="G270" s="56">
        <v>61</v>
      </c>
      <c r="H270" s="56" t="s">
        <v>0</v>
      </c>
      <c r="I270" s="56" t="s">
        <v>6233</v>
      </c>
      <c r="J270" s="56" t="s">
        <v>6253</v>
      </c>
      <c r="K270" s="56" t="s">
        <v>24</v>
      </c>
      <c r="L270" s="56" t="s">
        <v>6283</v>
      </c>
      <c r="M270" s="56">
        <v>3</v>
      </c>
      <c r="N270" s="57" t="s">
        <v>6779</v>
      </c>
    </row>
    <row r="271" spans="1:14" ht="11.1" customHeight="1">
      <c r="A271" s="31" t="s">
        <v>6820</v>
      </c>
      <c r="B271" s="38" t="s">
        <v>6230</v>
      </c>
      <c r="C271" s="39">
        <v>72401</v>
      </c>
      <c r="D271" s="40">
        <v>0.33026338597403543</v>
      </c>
      <c r="E271" s="41">
        <v>66.870785997968042</v>
      </c>
      <c r="F271" s="42" t="s">
        <v>6821</v>
      </c>
      <c r="G271" s="42">
        <v>59</v>
      </c>
      <c r="H271" s="42" t="s">
        <v>0</v>
      </c>
      <c r="I271" s="42" t="s">
        <v>6233</v>
      </c>
      <c r="J271" s="42" t="s">
        <v>6257</v>
      </c>
      <c r="K271" s="42" t="s">
        <v>6273</v>
      </c>
      <c r="L271" s="42" t="s">
        <v>6209</v>
      </c>
      <c r="M271" s="42">
        <v>4</v>
      </c>
      <c r="N271" s="43" t="s">
        <v>6260</v>
      </c>
    </row>
    <row r="272" spans="1:14" ht="11.1" customHeight="1">
      <c r="A272" s="31" t="s">
        <v>6822</v>
      </c>
      <c r="B272" s="38" t="s">
        <v>6231</v>
      </c>
      <c r="C272" s="39">
        <v>15063</v>
      </c>
      <c r="D272" s="40">
        <v>6.8711169499411556E-2</v>
      </c>
      <c r="E272" s="41">
        <v>13.912441119423663</v>
      </c>
      <c r="F272" s="42" t="s">
        <v>6823</v>
      </c>
      <c r="G272" s="42">
        <v>47</v>
      </c>
      <c r="H272" s="42" t="s">
        <v>6049</v>
      </c>
      <c r="I272" s="42" t="s">
        <v>6233</v>
      </c>
      <c r="J272" s="42" t="s">
        <v>6484</v>
      </c>
      <c r="K272" s="42" t="s">
        <v>6259</v>
      </c>
      <c r="L272" s="42" t="s">
        <v>6036</v>
      </c>
      <c r="M272" s="42" t="s">
        <v>6259</v>
      </c>
      <c r="N272" s="43" t="s">
        <v>6259</v>
      </c>
    </row>
    <row r="273" spans="1:14" ht="11.1" customHeight="1">
      <c r="A273" s="31" t="s">
        <v>6824</v>
      </c>
      <c r="B273" s="38" t="s">
        <v>6231</v>
      </c>
      <c r="C273" s="39">
        <v>12427</v>
      </c>
      <c r="D273" s="40">
        <v>5.668682887666384E-2</v>
      </c>
      <c r="E273" s="41" t="s">
        <v>6262</v>
      </c>
      <c r="F273" s="42" t="s">
        <v>6825</v>
      </c>
      <c r="G273" s="42">
        <v>57</v>
      </c>
      <c r="H273" s="42" t="s">
        <v>0</v>
      </c>
      <c r="I273" s="42" t="s">
        <v>6259</v>
      </c>
      <c r="J273" s="42" t="s">
        <v>6264</v>
      </c>
      <c r="K273" s="42" t="s">
        <v>6259</v>
      </c>
      <c r="L273" s="42" t="s">
        <v>6036</v>
      </c>
      <c r="M273" s="42" t="s">
        <v>6259</v>
      </c>
      <c r="N273" s="43" t="s">
        <v>6259</v>
      </c>
    </row>
    <row r="274" spans="1:14" ht="11.1" customHeight="1">
      <c r="A274" s="31" t="s">
        <v>6826</v>
      </c>
      <c r="B274" s="38" t="s">
        <v>6231</v>
      </c>
      <c r="C274" s="39">
        <v>9204</v>
      </c>
      <c r="D274" s="40">
        <v>4.1984837288228369E-2</v>
      </c>
      <c r="E274" s="41" t="s">
        <v>6262</v>
      </c>
      <c r="F274" s="42" t="s">
        <v>6827</v>
      </c>
      <c r="G274" s="42">
        <v>44</v>
      </c>
      <c r="H274" s="42" t="s">
        <v>0</v>
      </c>
      <c r="I274" s="42" t="s">
        <v>6259</v>
      </c>
      <c r="J274" s="42" t="s">
        <v>6322</v>
      </c>
      <c r="K274" s="42" t="s">
        <v>6360</v>
      </c>
      <c r="L274" s="42" t="s">
        <v>6283</v>
      </c>
      <c r="M274" s="42">
        <v>1</v>
      </c>
      <c r="N274" s="43" t="s">
        <v>6259</v>
      </c>
    </row>
    <row r="275" spans="1:14" ht="11.1" customHeight="1">
      <c r="A275" s="44" t="s">
        <v>6828</v>
      </c>
      <c r="B275" s="45" t="s">
        <v>6231</v>
      </c>
      <c r="C275" s="46">
        <v>1857</v>
      </c>
      <c r="D275" s="47">
        <v>8.4708651503954888E-3</v>
      </c>
      <c r="E275" s="48" t="s">
        <v>6262</v>
      </c>
      <c r="F275" s="49" t="s">
        <v>6829</v>
      </c>
      <c r="G275" s="49">
        <v>50</v>
      </c>
      <c r="H275" s="49" t="s">
        <v>6049</v>
      </c>
      <c r="I275" s="49" t="s">
        <v>6259</v>
      </c>
      <c r="J275" s="49" t="s">
        <v>6267</v>
      </c>
      <c r="K275" s="49" t="s">
        <v>6268</v>
      </c>
      <c r="L275" s="49" t="s">
        <v>6036</v>
      </c>
      <c r="M275" s="49" t="s">
        <v>6259</v>
      </c>
      <c r="N275" s="50" t="s">
        <v>6259</v>
      </c>
    </row>
    <row r="276" spans="1:14" ht="11.1" customHeight="1">
      <c r="A276" s="51" t="s">
        <v>6830</v>
      </c>
      <c r="B276" s="52" t="s">
        <v>6217</v>
      </c>
      <c r="C276" s="53">
        <v>125647</v>
      </c>
      <c r="D276" s="54">
        <v>0.49054990532336462</v>
      </c>
      <c r="E276" s="55" t="s">
        <v>6251</v>
      </c>
      <c r="F276" s="56" t="s">
        <v>6831</v>
      </c>
      <c r="G276" s="56">
        <v>55</v>
      </c>
      <c r="H276" s="56" t="s">
        <v>0</v>
      </c>
      <c r="I276" s="56" t="s">
        <v>6233</v>
      </c>
      <c r="J276" s="56" t="s">
        <v>6253</v>
      </c>
      <c r="K276" s="56" t="s">
        <v>6053</v>
      </c>
      <c r="L276" s="56" t="s">
        <v>6209</v>
      </c>
      <c r="M276" s="56">
        <v>2</v>
      </c>
      <c r="N276" s="57" t="s">
        <v>6213</v>
      </c>
    </row>
    <row r="277" spans="1:14" ht="11.1" customHeight="1">
      <c r="A277" s="31" t="s">
        <v>6832</v>
      </c>
      <c r="B277" s="38" t="s">
        <v>6232</v>
      </c>
      <c r="C277" s="39">
        <v>104262</v>
      </c>
      <c r="D277" s="40">
        <v>0.40705877759775116</v>
      </c>
      <c r="E277" s="58">
        <v>82.980095028134372</v>
      </c>
      <c r="F277" s="59" t="s">
        <v>6833</v>
      </c>
      <c r="G277" s="59">
        <v>50</v>
      </c>
      <c r="H277" s="59" t="s">
        <v>0</v>
      </c>
      <c r="I277" s="59" t="s">
        <v>6233</v>
      </c>
      <c r="J277" s="59" t="s">
        <v>6257</v>
      </c>
      <c r="K277" s="59" t="s">
        <v>6258</v>
      </c>
      <c r="L277" s="59" t="s">
        <v>6036</v>
      </c>
      <c r="M277" s="59" t="s">
        <v>6259</v>
      </c>
      <c r="N277" s="43" t="s">
        <v>6260</v>
      </c>
    </row>
    <row r="278" spans="1:14" ht="11.1" customHeight="1">
      <c r="A278" s="31" t="s">
        <v>6834</v>
      </c>
      <c r="B278" s="38" t="s">
        <v>6231</v>
      </c>
      <c r="C278" s="39">
        <v>23086</v>
      </c>
      <c r="D278" s="40">
        <v>9.0132156870400382E-2</v>
      </c>
      <c r="E278" s="93">
        <v>18.373697740495196</v>
      </c>
      <c r="F278" s="42" t="s">
        <v>6835</v>
      </c>
      <c r="G278" s="42">
        <v>42</v>
      </c>
      <c r="H278" s="42" t="s">
        <v>6049</v>
      </c>
      <c r="I278" s="42" t="s">
        <v>6233</v>
      </c>
      <c r="J278" s="42" t="s">
        <v>6278</v>
      </c>
      <c r="K278" s="42" t="s">
        <v>6259</v>
      </c>
      <c r="L278" s="42" t="s">
        <v>6036</v>
      </c>
      <c r="M278" s="42" t="s">
        <v>6259</v>
      </c>
      <c r="N278" s="43" t="s">
        <v>6259</v>
      </c>
    </row>
    <row r="279" spans="1:14" ht="11.1" customHeight="1">
      <c r="A279" s="44" t="s">
        <v>6836</v>
      </c>
      <c r="B279" s="45" t="s">
        <v>6231</v>
      </c>
      <c r="C279" s="46">
        <v>3140</v>
      </c>
      <c r="D279" s="47">
        <v>1.2259160208483808E-2</v>
      </c>
      <c r="E279" s="48" t="s">
        <v>6262</v>
      </c>
      <c r="F279" s="49" t="s">
        <v>6837</v>
      </c>
      <c r="G279" s="49">
        <v>54</v>
      </c>
      <c r="H279" s="49" t="s">
        <v>0</v>
      </c>
      <c r="I279" s="49" t="s">
        <v>6259</v>
      </c>
      <c r="J279" s="49" t="s">
        <v>6267</v>
      </c>
      <c r="K279" s="49" t="s">
        <v>6268</v>
      </c>
      <c r="L279" s="49" t="s">
        <v>6036</v>
      </c>
      <c r="M279" s="49" t="s">
        <v>6259</v>
      </c>
      <c r="N279" s="50" t="s">
        <v>6259</v>
      </c>
    </row>
    <row r="280" spans="1:14" ht="11.1" customHeight="1">
      <c r="A280" s="51" t="s">
        <v>6838</v>
      </c>
      <c r="B280" s="52" t="s">
        <v>6217</v>
      </c>
      <c r="C280" s="53">
        <v>138923</v>
      </c>
      <c r="D280" s="54">
        <v>0.53563772362739048</v>
      </c>
      <c r="E280" s="55" t="s">
        <v>6251</v>
      </c>
      <c r="F280" s="56" t="s">
        <v>6839</v>
      </c>
      <c r="G280" s="56">
        <v>65</v>
      </c>
      <c r="H280" s="56" t="s">
        <v>0</v>
      </c>
      <c r="I280" s="56" t="s">
        <v>6233</v>
      </c>
      <c r="J280" s="56" t="s">
        <v>6253</v>
      </c>
      <c r="K280" s="56" t="s">
        <v>6207</v>
      </c>
      <c r="L280" s="56" t="s">
        <v>6283</v>
      </c>
      <c r="M280" s="56">
        <v>3</v>
      </c>
      <c r="N280" s="57" t="s">
        <v>6779</v>
      </c>
    </row>
    <row r="281" spans="1:14" ht="11.1" customHeight="1">
      <c r="A281" s="31" t="s">
        <v>6840</v>
      </c>
      <c r="B281" s="38" t="s">
        <v>6230</v>
      </c>
      <c r="C281" s="39">
        <v>97007</v>
      </c>
      <c r="D281" s="40">
        <v>0.37402452190006169</v>
      </c>
      <c r="E281" s="41">
        <v>69.827890270149652</v>
      </c>
      <c r="F281" s="42" t="s">
        <v>6841</v>
      </c>
      <c r="G281" s="42">
        <v>59</v>
      </c>
      <c r="H281" s="42" t="s">
        <v>0</v>
      </c>
      <c r="I281" s="42" t="s">
        <v>6233</v>
      </c>
      <c r="J281" s="42" t="s">
        <v>6257</v>
      </c>
      <c r="K281" s="42" t="s">
        <v>6273</v>
      </c>
      <c r="L281" s="42" t="s">
        <v>6209</v>
      </c>
      <c r="M281" s="42">
        <v>4</v>
      </c>
      <c r="N281" s="43" t="s">
        <v>6260</v>
      </c>
    </row>
    <row r="282" spans="1:14" ht="11.1" customHeight="1">
      <c r="A282" s="31" t="s">
        <v>6842</v>
      </c>
      <c r="B282" s="38" t="s">
        <v>6231</v>
      </c>
      <c r="C282" s="39">
        <v>19378</v>
      </c>
      <c r="D282" s="40">
        <v>7.4714682294879708E-2</v>
      </c>
      <c r="E282" s="41">
        <v>13.948734190882719</v>
      </c>
      <c r="F282" s="42" t="s">
        <v>6843</v>
      </c>
      <c r="G282" s="42">
        <v>56</v>
      </c>
      <c r="H282" s="42" t="s">
        <v>0</v>
      </c>
      <c r="I282" s="42" t="s">
        <v>6233</v>
      </c>
      <c r="J282" s="42" t="s">
        <v>6264</v>
      </c>
      <c r="K282" s="42" t="s">
        <v>6259</v>
      </c>
      <c r="L282" s="42" t="s">
        <v>6036</v>
      </c>
      <c r="M282" s="42" t="s">
        <v>6259</v>
      </c>
      <c r="N282" s="43" t="s">
        <v>6259</v>
      </c>
    </row>
    <row r="283" spans="1:14" ht="11.1" customHeight="1">
      <c r="A283" s="44" t="s">
        <v>6844</v>
      </c>
      <c r="B283" s="45" t="s">
        <v>6231</v>
      </c>
      <c r="C283" s="46">
        <v>4052</v>
      </c>
      <c r="D283" s="47">
        <v>1.5623072177668106E-2</v>
      </c>
      <c r="E283" s="48" t="s">
        <v>6262</v>
      </c>
      <c r="F283" s="49" t="s">
        <v>6845</v>
      </c>
      <c r="G283" s="49">
        <v>59</v>
      </c>
      <c r="H283" s="49" t="s">
        <v>6049</v>
      </c>
      <c r="I283" s="49" t="s">
        <v>6259</v>
      </c>
      <c r="J283" s="49" t="s">
        <v>6267</v>
      </c>
      <c r="K283" s="49" t="s">
        <v>6268</v>
      </c>
      <c r="L283" s="49" t="s">
        <v>6036</v>
      </c>
      <c r="M283" s="49" t="s">
        <v>6259</v>
      </c>
      <c r="N283" s="50" t="s">
        <v>6259</v>
      </c>
    </row>
    <row r="284" spans="1:14" ht="11.1" customHeight="1">
      <c r="A284" s="51" t="s">
        <v>6846</v>
      </c>
      <c r="B284" s="52" t="s">
        <v>6217</v>
      </c>
      <c r="C284" s="53">
        <v>136932</v>
      </c>
      <c r="D284" s="54">
        <v>0.5454936579769265</v>
      </c>
      <c r="E284" s="55" t="s">
        <v>6251</v>
      </c>
      <c r="F284" s="56" t="s">
        <v>6847</v>
      </c>
      <c r="G284" s="56">
        <v>45</v>
      </c>
      <c r="H284" s="56" t="s">
        <v>0</v>
      </c>
      <c r="I284" s="56" t="s">
        <v>6233</v>
      </c>
      <c r="J284" s="56" t="s">
        <v>6253</v>
      </c>
      <c r="K284" s="56" t="s">
        <v>6053</v>
      </c>
      <c r="L284" s="56" t="s">
        <v>6036</v>
      </c>
      <c r="M284" s="56" t="s">
        <v>6259</v>
      </c>
      <c r="N284" s="57" t="s">
        <v>6779</v>
      </c>
    </row>
    <row r="285" spans="1:14" ht="11.1" customHeight="1">
      <c r="A285" s="31" t="s">
        <v>6848</v>
      </c>
      <c r="B285" s="38" t="s">
        <v>6230</v>
      </c>
      <c r="C285" s="39">
        <v>101734</v>
      </c>
      <c r="D285" s="40">
        <v>0.40527598954681626</v>
      </c>
      <c r="E285" s="41">
        <v>74.295270645283793</v>
      </c>
      <c r="F285" s="42" t="s">
        <v>6849</v>
      </c>
      <c r="G285" s="42">
        <v>43</v>
      </c>
      <c r="H285" s="42" t="s">
        <v>0</v>
      </c>
      <c r="I285" s="42" t="s">
        <v>6233</v>
      </c>
      <c r="J285" s="42" t="s">
        <v>6257</v>
      </c>
      <c r="K285" s="42" t="s">
        <v>6258</v>
      </c>
      <c r="L285" s="42" t="s">
        <v>6209</v>
      </c>
      <c r="M285" s="42">
        <v>4</v>
      </c>
      <c r="N285" s="43" t="s">
        <v>6260</v>
      </c>
    </row>
    <row r="286" spans="1:14" ht="11.1" customHeight="1">
      <c r="A286" s="31" t="s">
        <v>6850</v>
      </c>
      <c r="B286" s="38" t="s">
        <v>6231</v>
      </c>
      <c r="C286" s="39">
        <v>7651</v>
      </c>
      <c r="D286" s="40">
        <v>3.0479157371406718E-2</v>
      </c>
      <c r="E286" s="41" t="s">
        <v>6262</v>
      </c>
      <c r="F286" s="42" t="s">
        <v>6851</v>
      </c>
      <c r="G286" s="42">
        <v>69</v>
      </c>
      <c r="H286" s="42" t="s">
        <v>0</v>
      </c>
      <c r="I286" s="42" t="s">
        <v>6259</v>
      </c>
      <c r="J286" s="42" t="s">
        <v>6322</v>
      </c>
      <c r="K286" s="42" t="s">
        <v>6259</v>
      </c>
      <c r="L286" s="42" t="s">
        <v>6036</v>
      </c>
      <c r="M286" s="42" t="s">
        <v>6259</v>
      </c>
      <c r="N286" s="43" t="s">
        <v>6259</v>
      </c>
    </row>
    <row r="287" spans="1:14" ht="11.1" customHeight="1">
      <c r="A287" s="44" t="s">
        <v>6852</v>
      </c>
      <c r="B287" s="45" t="s">
        <v>6231</v>
      </c>
      <c r="C287" s="46">
        <v>4707</v>
      </c>
      <c r="D287" s="47">
        <v>1.8751195104850533E-2</v>
      </c>
      <c r="E287" s="48" t="s">
        <v>6262</v>
      </c>
      <c r="F287" s="49" t="s">
        <v>6853</v>
      </c>
      <c r="G287" s="49">
        <v>55</v>
      </c>
      <c r="H287" s="49" t="s">
        <v>6049</v>
      </c>
      <c r="I287" s="49" t="s">
        <v>6259</v>
      </c>
      <c r="J287" s="49" t="s">
        <v>6267</v>
      </c>
      <c r="K287" s="49" t="s">
        <v>6268</v>
      </c>
      <c r="L287" s="49" t="s">
        <v>6036</v>
      </c>
      <c r="M287" s="49" t="s">
        <v>6259</v>
      </c>
      <c r="N287" s="50" t="s">
        <v>6259</v>
      </c>
    </row>
    <row r="288" spans="1:14" ht="11.1" customHeight="1">
      <c r="A288" s="51" t="s">
        <v>6854</v>
      </c>
      <c r="B288" s="52" t="s">
        <v>6217</v>
      </c>
      <c r="C288" s="53">
        <v>118564</v>
      </c>
      <c r="D288" s="54">
        <v>0.51669303211355011</v>
      </c>
      <c r="E288" s="55" t="s">
        <v>6251</v>
      </c>
      <c r="F288" s="56" t="s">
        <v>6855</v>
      </c>
      <c r="G288" s="56">
        <v>46</v>
      </c>
      <c r="H288" s="56" t="s">
        <v>0</v>
      </c>
      <c r="I288" s="56" t="s">
        <v>6233</v>
      </c>
      <c r="J288" s="56" t="s">
        <v>6253</v>
      </c>
      <c r="K288" s="56" t="s">
        <v>6053</v>
      </c>
      <c r="L288" s="56" t="s">
        <v>6036</v>
      </c>
      <c r="M288" s="56" t="s">
        <v>6259</v>
      </c>
      <c r="N288" s="57" t="s">
        <v>6213</v>
      </c>
    </row>
    <row r="289" spans="1:14" ht="11.1" customHeight="1">
      <c r="A289" s="31" t="s">
        <v>6856</v>
      </c>
      <c r="B289" s="38" t="s">
        <v>6232</v>
      </c>
      <c r="C289" s="39">
        <v>107745</v>
      </c>
      <c r="D289" s="40">
        <v>0.46954464040581001</v>
      </c>
      <c r="E289" s="58">
        <v>90.874970480078275</v>
      </c>
      <c r="F289" s="59" t="s">
        <v>6857</v>
      </c>
      <c r="G289" s="59">
        <v>62</v>
      </c>
      <c r="H289" s="59" t="s">
        <v>0</v>
      </c>
      <c r="I289" s="59" t="s">
        <v>6233</v>
      </c>
      <c r="J289" s="59" t="s">
        <v>6257</v>
      </c>
      <c r="K289" s="59" t="s">
        <v>6350</v>
      </c>
      <c r="L289" s="59" t="s">
        <v>6209</v>
      </c>
      <c r="M289" s="59">
        <v>5</v>
      </c>
      <c r="N289" s="43" t="s">
        <v>6260</v>
      </c>
    </row>
    <row r="290" spans="1:14" ht="11.1" customHeight="1">
      <c r="A290" s="44" t="s">
        <v>6858</v>
      </c>
      <c r="B290" s="45" t="s">
        <v>6231</v>
      </c>
      <c r="C290" s="46">
        <v>3158</v>
      </c>
      <c r="D290" s="47">
        <v>1.3762327480639918E-2</v>
      </c>
      <c r="E290" s="48" t="s">
        <v>6262</v>
      </c>
      <c r="F290" s="49" t="s">
        <v>6859</v>
      </c>
      <c r="G290" s="49">
        <v>38</v>
      </c>
      <c r="H290" s="49" t="s">
        <v>0</v>
      </c>
      <c r="I290" s="49" t="s">
        <v>6259</v>
      </c>
      <c r="J290" s="49" t="s">
        <v>6267</v>
      </c>
      <c r="K290" s="49" t="s">
        <v>6268</v>
      </c>
      <c r="L290" s="49" t="s">
        <v>6036</v>
      </c>
      <c r="M290" s="49" t="s">
        <v>6259</v>
      </c>
      <c r="N290" s="50" t="s">
        <v>6259</v>
      </c>
    </row>
    <row r="291" spans="1:14" ht="11.1" customHeight="1">
      <c r="A291" s="51" t="s">
        <v>6860</v>
      </c>
      <c r="B291" s="60" t="s">
        <v>6217</v>
      </c>
      <c r="C291" s="61">
        <v>116937</v>
      </c>
      <c r="D291" s="62">
        <v>0.49732279178167249</v>
      </c>
      <c r="E291" s="63" t="s">
        <v>6251</v>
      </c>
      <c r="F291" s="64" t="s">
        <v>6861</v>
      </c>
      <c r="G291" s="64">
        <v>60</v>
      </c>
      <c r="H291" s="64" t="s">
        <v>0</v>
      </c>
      <c r="I291" s="64" t="s">
        <v>6233</v>
      </c>
      <c r="J291" s="64" t="s">
        <v>6257</v>
      </c>
      <c r="K291" s="64" t="s">
        <v>6596</v>
      </c>
      <c r="L291" s="64" t="s">
        <v>6209</v>
      </c>
      <c r="M291" s="64">
        <v>6</v>
      </c>
      <c r="N291" s="65" t="s">
        <v>6260</v>
      </c>
    </row>
    <row r="292" spans="1:14" ht="11.1" customHeight="1">
      <c r="A292" s="31" t="s">
        <v>6862</v>
      </c>
      <c r="B292" s="38" t="s">
        <v>6232</v>
      </c>
      <c r="C292" s="39">
        <v>112707</v>
      </c>
      <c r="D292" s="40">
        <v>0.47933297325343527</v>
      </c>
      <c r="E292" s="35">
        <v>96.382667590240899</v>
      </c>
      <c r="F292" s="36" t="s">
        <v>6863</v>
      </c>
      <c r="G292" s="36">
        <v>51</v>
      </c>
      <c r="H292" s="36" t="s">
        <v>0</v>
      </c>
      <c r="I292" s="36" t="s">
        <v>6233</v>
      </c>
      <c r="J292" s="36" t="s">
        <v>6253</v>
      </c>
      <c r="K292" s="36" t="s">
        <v>6053</v>
      </c>
      <c r="L292" s="36" t="s">
        <v>6036</v>
      </c>
      <c r="M292" s="36" t="s">
        <v>6259</v>
      </c>
      <c r="N292" s="43" t="s">
        <v>6213</v>
      </c>
    </row>
    <row r="293" spans="1:14" ht="11.1" customHeight="1">
      <c r="A293" s="44" t="s">
        <v>6864</v>
      </c>
      <c r="B293" s="45" t="s">
        <v>6231</v>
      </c>
      <c r="C293" s="46">
        <v>5489</v>
      </c>
      <c r="D293" s="47">
        <v>2.334423496489221E-2</v>
      </c>
      <c r="E293" s="48" t="s">
        <v>6262</v>
      </c>
      <c r="F293" s="49" t="s">
        <v>6865</v>
      </c>
      <c r="G293" s="49">
        <v>36</v>
      </c>
      <c r="H293" s="49" t="s">
        <v>0</v>
      </c>
      <c r="I293" s="49" t="s">
        <v>6259</v>
      </c>
      <c r="J293" s="49" t="s">
        <v>6267</v>
      </c>
      <c r="K293" s="49" t="s">
        <v>6268</v>
      </c>
      <c r="L293" s="49" t="s">
        <v>6036</v>
      </c>
      <c r="M293" s="49" t="s">
        <v>6259</v>
      </c>
      <c r="N293" s="50" t="s">
        <v>6259</v>
      </c>
    </row>
    <row r="294" spans="1:14" ht="11.1" customHeight="1">
      <c r="A294" s="51" t="s">
        <v>6866</v>
      </c>
      <c r="B294" s="60" t="s">
        <v>6217</v>
      </c>
      <c r="C294" s="61">
        <v>134298</v>
      </c>
      <c r="D294" s="62">
        <v>0.5310194301440061</v>
      </c>
      <c r="E294" s="63" t="s">
        <v>6251</v>
      </c>
      <c r="F294" s="64" t="s">
        <v>6867</v>
      </c>
      <c r="G294" s="64">
        <v>53</v>
      </c>
      <c r="H294" s="64" t="s">
        <v>0</v>
      </c>
      <c r="I294" s="64" t="s">
        <v>6233</v>
      </c>
      <c r="J294" s="64" t="s">
        <v>6257</v>
      </c>
      <c r="K294" s="64" t="s">
        <v>6258</v>
      </c>
      <c r="L294" s="64" t="s">
        <v>6209</v>
      </c>
      <c r="M294" s="64">
        <v>5</v>
      </c>
      <c r="N294" s="65" t="s">
        <v>6260</v>
      </c>
    </row>
    <row r="295" spans="1:14" ht="11.1" customHeight="1">
      <c r="A295" s="31" t="s">
        <v>6868</v>
      </c>
      <c r="B295" s="38" t="s">
        <v>6232</v>
      </c>
      <c r="C295" s="39">
        <v>114921</v>
      </c>
      <c r="D295" s="40">
        <v>0.45440203079404995</v>
      </c>
      <c r="E295" s="35">
        <v>85.571639190457049</v>
      </c>
      <c r="F295" s="36" t="s">
        <v>6869</v>
      </c>
      <c r="G295" s="36">
        <v>39</v>
      </c>
      <c r="H295" s="36" t="s">
        <v>0</v>
      </c>
      <c r="I295" s="36" t="s">
        <v>6233</v>
      </c>
      <c r="J295" s="36" t="s">
        <v>6253</v>
      </c>
      <c r="K295" s="36" t="s">
        <v>6053</v>
      </c>
      <c r="L295" s="36" t="s">
        <v>6036</v>
      </c>
      <c r="M295" s="36" t="s">
        <v>6259</v>
      </c>
      <c r="N295" s="43" t="s">
        <v>6779</v>
      </c>
    </row>
    <row r="296" spans="1:14" ht="11.1" customHeight="1">
      <c r="A296" s="44" t="s">
        <v>6870</v>
      </c>
      <c r="B296" s="45" t="s">
        <v>6231</v>
      </c>
      <c r="C296" s="46">
        <v>3687</v>
      </c>
      <c r="D296" s="47">
        <v>1.4578539061943964E-2</v>
      </c>
      <c r="E296" s="48" t="s">
        <v>6262</v>
      </c>
      <c r="F296" s="49" t="s">
        <v>6871</v>
      </c>
      <c r="G296" s="49">
        <v>29</v>
      </c>
      <c r="H296" s="49" t="s">
        <v>0</v>
      </c>
      <c r="I296" s="49" t="s">
        <v>6259</v>
      </c>
      <c r="J296" s="49" t="s">
        <v>6267</v>
      </c>
      <c r="K296" s="49" t="s">
        <v>6268</v>
      </c>
      <c r="L296" s="49" t="s">
        <v>6036</v>
      </c>
      <c r="M296" s="49" t="s">
        <v>6259</v>
      </c>
      <c r="N296" s="50" t="s">
        <v>6259</v>
      </c>
    </row>
    <row r="297" spans="1:14" ht="11.1" customHeight="1">
      <c r="A297" s="51" t="s">
        <v>6872</v>
      </c>
      <c r="B297" s="52" t="s">
        <v>6217</v>
      </c>
      <c r="C297" s="53">
        <v>118062</v>
      </c>
      <c r="D297" s="54">
        <v>0.57019632464804038</v>
      </c>
      <c r="E297" s="55" t="s">
        <v>6251</v>
      </c>
      <c r="F297" s="56" t="s">
        <v>6873</v>
      </c>
      <c r="G297" s="56">
        <v>63</v>
      </c>
      <c r="H297" s="56" t="s">
        <v>0</v>
      </c>
      <c r="I297" s="56" t="s">
        <v>6233</v>
      </c>
      <c r="J297" s="56" t="s">
        <v>6253</v>
      </c>
      <c r="K297" s="56" t="s">
        <v>6053</v>
      </c>
      <c r="L297" s="56" t="s">
        <v>6283</v>
      </c>
      <c r="M297" s="56">
        <v>1</v>
      </c>
      <c r="N297" s="57" t="s">
        <v>6779</v>
      </c>
    </row>
    <row r="298" spans="1:14" ht="11.1" customHeight="1">
      <c r="A298" s="31" t="s">
        <v>6874</v>
      </c>
      <c r="B298" s="38" t="s">
        <v>6230</v>
      </c>
      <c r="C298" s="39">
        <v>80573</v>
      </c>
      <c r="D298" s="40">
        <v>0.38913815169882399</v>
      </c>
      <c r="E298" s="41">
        <v>68.246345140688788</v>
      </c>
      <c r="F298" s="42" t="s">
        <v>6875</v>
      </c>
      <c r="G298" s="42">
        <v>65</v>
      </c>
      <c r="H298" s="42" t="s">
        <v>0</v>
      </c>
      <c r="I298" s="42" t="s">
        <v>6233</v>
      </c>
      <c r="J298" s="42" t="s">
        <v>6257</v>
      </c>
      <c r="K298" s="42" t="s">
        <v>6402</v>
      </c>
      <c r="L298" s="42" t="s">
        <v>6209</v>
      </c>
      <c r="M298" s="42">
        <v>5</v>
      </c>
      <c r="N298" s="43" t="s">
        <v>6260</v>
      </c>
    </row>
    <row r="299" spans="1:14" ht="11.1" customHeight="1">
      <c r="A299" s="31" t="s">
        <v>6876</v>
      </c>
      <c r="B299" s="38" t="s">
        <v>6231</v>
      </c>
      <c r="C299" s="39">
        <v>4293</v>
      </c>
      <c r="D299" s="40">
        <v>2.0733621501533409E-2</v>
      </c>
      <c r="E299" s="41" t="s">
        <v>6262</v>
      </c>
      <c r="F299" s="42" t="s">
        <v>6877</v>
      </c>
      <c r="G299" s="42">
        <v>42</v>
      </c>
      <c r="H299" s="42" t="s">
        <v>0</v>
      </c>
      <c r="I299" s="42" t="s">
        <v>6259</v>
      </c>
      <c r="J299" s="42" t="s">
        <v>6267</v>
      </c>
      <c r="K299" s="42" t="s">
        <v>6268</v>
      </c>
      <c r="L299" s="42" t="s">
        <v>6036</v>
      </c>
      <c r="M299" s="42" t="s">
        <v>6259</v>
      </c>
      <c r="N299" s="43" t="s">
        <v>6259</v>
      </c>
    </row>
    <row r="300" spans="1:14" ht="11.1" customHeight="1" thickBot="1">
      <c r="A300" s="73" t="s">
        <v>6878</v>
      </c>
      <c r="B300" s="74" t="s">
        <v>6231</v>
      </c>
      <c r="C300" s="75">
        <v>4127</v>
      </c>
      <c r="D300" s="76">
        <v>1.9931902151602232E-2</v>
      </c>
      <c r="E300" s="77" t="s">
        <v>6262</v>
      </c>
      <c r="F300" s="78" t="s">
        <v>6879</v>
      </c>
      <c r="G300" s="78">
        <v>60</v>
      </c>
      <c r="H300" s="78" t="s">
        <v>0</v>
      </c>
      <c r="I300" s="78" t="s">
        <v>6259</v>
      </c>
      <c r="J300" s="78" t="s">
        <v>6322</v>
      </c>
      <c r="K300" s="78" t="s">
        <v>6259</v>
      </c>
      <c r="L300" s="78" t="s">
        <v>6036</v>
      </c>
      <c r="M300" s="78" t="s">
        <v>6259</v>
      </c>
      <c r="N300" s="79" t="s">
        <v>6259</v>
      </c>
    </row>
    <row r="301" spans="1:14" ht="11.1" customHeight="1">
      <c r="A301" s="80" t="s">
        <v>6880</v>
      </c>
      <c r="B301" s="81" t="s">
        <v>6217</v>
      </c>
      <c r="C301" s="82">
        <v>135211</v>
      </c>
      <c r="D301" s="83">
        <v>0.48087332579362541</v>
      </c>
      <c r="E301" s="84" t="s">
        <v>6251</v>
      </c>
      <c r="F301" s="85" t="s">
        <v>6881</v>
      </c>
      <c r="G301" s="85">
        <v>48</v>
      </c>
      <c r="H301" s="85" t="s">
        <v>6049</v>
      </c>
      <c r="I301" s="85" t="s">
        <v>6233</v>
      </c>
      <c r="J301" s="85" t="s">
        <v>6253</v>
      </c>
      <c r="K301" s="85" t="s">
        <v>6053</v>
      </c>
      <c r="L301" s="85" t="s">
        <v>6036</v>
      </c>
      <c r="M301" s="85" t="s">
        <v>6259</v>
      </c>
      <c r="N301" s="86" t="s">
        <v>6779</v>
      </c>
    </row>
    <row r="302" spans="1:14" ht="11.1" customHeight="1">
      <c r="A302" s="31" t="s">
        <v>6882</v>
      </c>
      <c r="B302" s="38" t="s">
        <v>6232</v>
      </c>
      <c r="C302" s="39">
        <v>117840</v>
      </c>
      <c r="D302" s="40">
        <v>0.41909395471907473</v>
      </c>
      <c r="E302" s="58">
        <v>87.152672489664297</v>
      </c>
      <c r="F302" s="59" t="s">
        <v>6883</v>
      </c>
      <c r="G302" s="59">
        <v>59</v>
      </c>
      <c r="H302" s="59" t="s">
        <v>0</v>
      </c>
      <c r="I302" s="59" t="s">
        <v>6233</v>
      </c>
      <c r="J302" s="59" t="s">
        <v>6257</v>
      </c>
      <c r="K302" s="59" t="s">
        <v>6596</v>
      </c>
      <c r="L302" s="59" t="s">
        <v>6209</v>
      </c>
      <c r="M302" s="59">
        <v>3</v>
      </c>
      <c r="N302" s="43" t="s">
        <v>6260</v>
      </c>
    </row>
    <row r="303" spans="1:14" ht="11.1" customHeight="1">
      <c r="A303" s="31" t="s">
        <v>6884</v>
      </c>
      <c r="B303" s="38" t="s">
        <v>6231</v>
      </c>
      <c r="C303" s="39">
        <v>18898</v>
      </c>
      <c r="D303" s="40">
        <v>6.7210094673125206E-2</v>
      </c>
      <c r="E303" s="41" t="s">
        <v>6262</v>
      </c>
      <c r="F303" s="42" t="s">
        <v>6885</v>
      </c>
      <c r="G303" s="42">
        <v>35</v>
      </c>
      <c r="H303" s="42" t="s">
        <v>6049</v>
      </c>
      <c r="I303" s="42" t="s">
        <v>6259</v>
      </c>
      <c r="J303" s="42" t="s">
        <v>6264</v>
      </c>
      <c r="K303" s="42" t="s">
        <v>6259</v>
      </c>
      <c r="L303" s="42" t="s">
        <v>6036</v>
      </c>
      <c r="M303" s="42" t="s">
        <v>6259</v>
      </c>
      <c r="N303" s="43" t="s">
        <v>6259</v>
      </c>
    </row>
    <row r="304" spans="1:14" ht="11.1" customHeight="1">
      <c r="A304" s="44" t="s">
        <v>6886</v>
      </c>
      <c r="B304" s="45" t="s">
        <v>6231</v>
      </c>
      <c r="C304" s="46">
        <v>9229</v>
      </c>
      <c r="D304" s="47">
        <v>3.2822624814174653E-2</v>
      </c>
      <c r="E304" s="48" t="s">
        <v>6262</v>
      </c>
      <c r="F304" s="49" t="s">
        <v>6887</v>
      </c>
      <c r="G304" s="49">
        <v>37</v>
      </c>
      <c r="H304" s="49" t="s">
        <v>0</v>
      </c>
      <c r="I304" s="49" t="s">
        <v>6259</v>
      </c>
      <c r="J304" s="49" t="s">
        <v>6322</v>
      </c>
      <c r="K304" s="49" t="s">
        <v>6259</v>
      </c>
      <c r="L304" s="49" t="s">
        <v>6036</v>
      </c>
      <c r="M304" s="49" t="s">
        <v>6259</v>
      </c>
      <c r="N304" s="50" t="s">
        <v>6259</v>
      </c>
    </row>
    <row r="305" spans="1:14" ht="11.1" customHeight="1">
      <c r="A305" s="51" t="s">
        <v>6888</v>
      </c>
      <c r="B305" s="60" t="s">
        <v>6217</v>
      </c>
      <c r="C305" s="61">
        <v>132270</v>
      </c>
      <c r="D305" s="62">
        <v>0.46515308167872893</v>
      </c>
      <c r="E305" s="63" t="s">
        <v>6251</v>
      </c>
      <c r="F305" s="64" t="s">
        <v>6889</v>
      </c>
      <c r="G305" s="64">
        <v>60</v>
      </c>
      <c r="H305" s="64" t="s">
        <v>0</v>
      </c>
      <c r="I305" s="64" t="s">
        <v>6233</v>
      </c>
      <c r="J305" s="64" t="s">
        <v>6257</v>
      </c>
      <c r="K305" s="64" t="s">
        <v>6402</v>
      </c>
      <c r="L305" s="64" t="s">
        <v>6209</v>
      </c>
      <c r="M305" s="64">
        <v>4</v>
      </c>
      <c r="N305" s="65" t="s">
        <v>6260</v>
      </c>
    </row>
    <row r="306" spans="1:14" ht="11.1" customHeight="1">
      <c r="A306" s="31" t="s">
        <v>6890</v>
      </c>
      <c r="B306" s="38" t="s">
        <v>6232</v>
      </c>
      <c r="C306" s="39">
        <v>131722</v>
      </c>
      <c r="D306" s="40">
        <v>0.46322593350635466</v>
      </c>
      <c r="E306" s="35">
        <v>99.585695925001886</v>
      </c>
      <c r="F306" s="36" t="s">
        <v>6891</v>
      </c>
      <c r="G306" s="36">
        <v>33</v>
      </c>
      <c r="H306" s="36" t="s">
        <v>0</v>
      </c>
      <c r="I306" s="36" t="s">
        <v>6233</v>
      </c>
      <c r="J306" s="36" t="s">
        <v>6253</v>
      </c>
      <c r="K306" s="36" t="s">
        <v>6053</v>
      </c>
      <c r="L306" s="36" t="s">
        <v>6036</v>
      </c>
      <c r="M306" s="36" t="s">
        <v>6259</v>
      </c>
      <c r="N306" s="43" t="s">
        <v>6779</v>
      </c>
    </row>
    <row r="307" spans="1:14" ht="11.1" customHeight="1">
      <c r="A307" s="44" t="s">
        <v>6892</v>
      </c>
      <c r="B307" s="45" t="s">
        <v>6231</v>
      </c>
      <c r="C307" s="46">
        <v>20366</v>
      </c>
      <c r="D307" s="47">
        <v>7.1620984814916411E-2</v>
      </c>
      <c r="E307" s="48" t="s">
        <v>6262</v>
      </c>
      <c r="F307" s="49" t="s">
        <v>6893</v>
      </c>
      <c r="G307" s="49">
        <v>53</v>
      </c>
      <c r="H307" s="49" t="s">
        <v>0</v>
      </c>
      <c r="I307" s="49" t="s">
        <v>6259</v>
      </c>
      <c r="J307" s="49" t="s">
        <v>6264</v>
      </c>
      <c r="K307" s="49" t="s">
        <v>6259</v>
      </c>
      <c r="L307" s="49" t="s">
        <v>6036</v>
      </c>
      <c r="M307" s="49" t="s">
        <v>6259</v>
      </c>
      <c r="N307" s="50" t="s">
        <v>6259</v>
      </c>
    </row>
    <row r="308" spans="1:14" ht="11.1" customHeight="1">
      <c r="A308" s="51" t="s">
        <v>6894</v>
      </c>
      <c r="B308" s="52" t="s">
        <v>6217</v>
      </c>
      <c r="C308" s="53">
        <v>125856</v>
      </c>
      <c r="D308" s="54">
        <v>0.48451810359762082</v>
      </c>
      <c r="E308" s="55" t="s">
        <v>6251</v>
      </c>
      <c r="F308" s="56" t="s">
        <v>6895</v>
      </c>
      <c r="G308" s="56">
        <v>44</v>
      </c>
      <c r="H308" s="56" t="s">
        <v>6049</v>
      </c>
      <c r="I308" s="56" t="s">
        <v>6233</v>
      </c>
      <c r="J308" s="56" t="s">
        <v>6253</v>
      </c>
      <c r="K308" s="56" t="s">
        <v>6053</v>
      </c>
      <c r="L308" s="56" t="s">
        <v>6036</v>
      </c>
      <c r="M308" s="56" t="s">
        <v>6259</v>
      </c>
      <c r="N308" s="57" t="s">
        <v>6779</v>
      </c>
    </row>
    <row r="309" spans="1:14" ht="11.1" customHeight="1">
      <c r="A309" s="31" t="s">
        <v>6896</v>
      </c>
      <c r="B309" s="38" t="s">
        <v>6230</v>
      </c>
      <c r="C309" s="39">
        <v>89588</v>
      </c>
      <c r="D309" s="40">
        <v>0.34489422725260344</v>
      </c>
      <c r="E309" s="41">
        <v>71.182939232138324</v>
      </c>
      <c r="F309" s="42" t="s">
        <v>6897</v>
      </c>
      <c r="G309" s="42">
        <v>44</v>
      </c>
      <c r="H309" s="42" t="s">
        <v>0</v>
      </c>
      <c r="I309" s="42" t="s">
        <v>6233</v>
      </c>
      <c r="J309" s="42" t="s">
        <v>6257</v>
      </c>
      <c r="K309" s="42" t="s">
        <v>6258</v>
      </c>
      <c r="L309" s="42" t="s">
        <v>6209</v>
      </c>
      <c r="M309" s="42">
        <v>5</v>
      </c>
      <c r="N309" s="43" t="s">
        <v>6260</v>
      </c>
    </row>
    <row r="310" spans="1:14" ht="11.1" customHeight="1">
      <c r="A310" s="31" t="s">
        <v>6898</v>
      </c>
      <c r="B310" s="38" t="s">
        <v>6231</v>
      </c>
      <c r="C310" s="39">
        <v>20407</v>
      </c>
      <c r="D310" s="40">
        <v>7.8562491578602914E-2</v>
      </c>
      <c r="E310" s="41">
        <v>16.214562674802949</v>
      </c>
      <c r="F310" s="42" t="s">
        <v>6899</v>
      </c>
      <c r="G310" s="42">
        <v>40</v>
      </c>
      <c r="H310" s="42" t="s">
        <v>0</v>
      </c>
      <c r="I310" s="42" t="s">
        <v>6233</v>
      </c>
      <c r="J310" s="42" t="s">
        <v>6484</v>
      </c>
      <c r="K310" s="42" t="s">
        <v>6259</v>
      </c>
      <c r="L310" s="42" t="s">
        <v>6036</v>
      </c>
      <c r="M310" s="42" t="s">
        <v>6259</v>
      </c>
      <c r="N310" s="43" t="s">
        <v>6259</v>
      </c>
    </row>
    <row r="311" spans="1:14" ht="11.1" customHeight="1">
      <c r="A311" s="31" t="s">
        <v>6900</v>
      </c>
      <c r="B311" s="38" t="s">
        <v>6231</v>
      </c>
      <c r="C311" s="39">
        <v>19419</v>
      </c>
      <c r="D311" s="40">
        <v>7.4758907432003238E-2</v>
      </c>
      <c r="E311" s="41">
        <v>15.429538520213578</v>
      </c>
      <c r="F311" s="42" t="s">
        <v>6901</v>
      </c>
      <c r="G311" s="42">
        <v>37</v>
      </c>
      <c r="H311" s="42" t="s">
        <v>0</v>
      </c>
      <c r="I311" s="42" t="s">
        <v>6233</v>
      </c>
      <c r="J311" s="42" t="s">
        <v>6264</v>
      </c>
      <c r="K311" s="42" t="s">
        <v>6259</v>
      </c>
      <c r="L311" s="42" t="s">
        <v>6036</v>
      </c>
      <c r="M311" s="42" t="s">
        <v>6259</v>
      </c>
      <c r="N311" s="43" t="s">
        <v>6259</v>
      </c>
    </row>
    <row r="312" spans="1:14" ht="11.1" customHeight="1">
      <c r="A312" s="31" t="s">
        <v>6902</v>
      </c>
      <c r="B312" s="38" t="s">
        <v>6231</v>
      </c>
      <c r="C312" s="39">
        <v>2279</v>
      </c>
      <c r="D312" s="40">
        <v>8.7736520952435941E-3</v>
      </c>
      <c r="E312" s="41" t="s">
        <v>6262</v>
      </c>
      <c r="F312" s="42" t="s">
        <v>6903</v>
      </c>
      <c r="G312" s="42">
        <v>57</v>
      </c>
      <c r="H312" s="42" t="s">
        <v>0</v>
      </c>
      <c r="I312" s="42" t="s">
        <v>6259</v>
      </c>
      <c r="J312" s="42" t="s">
        <v>6322</v>
      </c>
      <c r="K312" s="42" t="s">
        <v>6259</v>
      </c>
      <c r="L312" s="42" t="s">
        <v>6036</v>
      </c>
      <c r="M312" s="42" t="s">
        <v>6259</v>
      </c>
      <c r="N312" s="43" t="s">
        <v>6259</v>
      </c>
    </row>
    <row r="313" spans="1:14" ht="11.1" customHeight="1">
      <c r="A313" s="44" t="s">
        <v>6904</v>
      </c>
      <c r="B313" s="45" t="s">
        <v>6231</v>
      </c>
      <c r="C313" s="46">
        <v>2206</v>
      </c>
      <c r="D313" s="47">
        <v>8.4926180439260073E-3</v>
      </c>
      <c r="E313" s="48" t="s">
        <v>6262</v>
      </c>
      <c r="F313" s="49" t="s">
        <v>6905</v>
      </c>
      <c r="G313" s="49">
        <v>44</v>
      </c>
      <c r="H313" s="49" t="s">
        <v>0</v>
      </c>
      <c r="I313" s="49" t="s">
        <v>6259</v>
      </c>
      <c r="J313" s="49" t="s">
        <v>6267</v>
      </c>
      <c r="K313" s="49" t="s">
        <v>6268</v>
      </c>
      <c r="L313" s="49" t="s">
        <v>6036</v>
      </c>
      <c r="M313" s="49" t="s">
        <v>6259</v>
      </c>
      <c r="N313" s="50" t="s">
        <v>6259</v>
      </c>
    </row>
    <row r="314" spans="1:14" ht="11.1" customHeight="1">
      <c r="A314" s="51" t="s">
        <v>6906</v>
      </c>
      <c r="B314" s="52" t="s">
        <v>6217</v>
      </c>
      <c r="C314" s="53">
        <v>89082</v>
      </c>
      <c r="D314" s="54">
        <v>0.37973323784799928</v>
      </c>
      <c r="E314" s="55" t="s">
        <v>6251</v>
      </c>
      <c r="F314" s="56" t="s">
        <v>6907</v>
      </c>
      <c r="G314" s="56">
        <v>42</v>
      </c>
      <c r="H314" s="56" t="s">
        <v>0</v>
      </c>
      <c r="I314" s="56" t="s">
        <v>6233</v>
      </c>
      <c r="J314" s="56" t="s">
        <v>6253</v>
      </c>
      <c r="K314" s="56" t="s">
        <v>6053</v>
      </c>
      <c r="L314" s="56" t="s">
        <v>6036</v>
      </c>
      <c r="M314" s="56" t="s">
        <v>6259</v>
      </c>
      <c r="N314" s="57" t="s">
        <v>6213</v>
      </c>
    </row>
    <row r="315" spans="1:14" ht="11.1" customHeight="1">
      <c r="A315" s="31" t="s">
        <v>6908</v>
      </c>
      <c r="B315" s="38" t="s">
        <v>6232</v>
      </c>
      <c r="C315" s="39">
        <v>70728</v>
      </c>
      <c r="D315" s="40">
        <v>0.30149494226121204</v>
      </c>
      <c r="E315" s="106">
        <v>79.396511079679399</v>
      </c>
      <c r="F315" s="107" t="s">
        <v>6909</v>
      </c>
      <c r="G315" s="107">
        <v>45</v>
      </c>
      <c r="H315" s="107" t="s">
        <v>0</v>
      </c>
      <c r="I315" s="107" t="s">
        <v>6233</v>
      </c>
      <c r="J315" s="107" t="s">
        <v>6484</v>
      </c>
      <c r="K315" s="107" t="s">
        <v>6259</v>
      </c>
      <c r="L315" s="107" t="s">
        <v>6036</v>
      </c>
      <c r="M315" s="107" t="s">
        <v>6259</v>
      </c>
      <c r="N315" s="43" t="s">
        <v>6259</v>
      </c>
    </row>
    <row r="316" spans="1:14" ht="11.1" customHeight="1">
      <c r="A316" s="31" t="s">
        <v>6910</v>
      </c>
      <c r="B316" s="38" t="s">
        <v>6230</v>
      </c>
      <c r="C316" s="39">
        <v>64006</v>
      </c>
      <c r="D316" s="40">
        <v>0.27284081657011566</v>
      </c>
      <c r="E316" s="93">
        <v>71.85065445320042</v>
      </c>
      <c r="F316" s="42" t="s">
        <v>6911</v>
      </c>
      <c r="G316" s="42">
        <v>36</v>
      </c>
      <c r="H316" s="42" t="s">
        <v>0</v>
      </c>
      <c r="I316" s="42" t="s">
        <v>6233</v>
      </c>
      <c r="J316" s="42" t="s">
        <v>6257</v>
      </c>
      <c r="K316" s="42" t="s">
        <v>6402</v>
      </c>
      <c r="L316" s="42" t="s">
        <v>6209</v>
      </c>
      <c r="M316" s="42">
        <v>1</v>
      </c>
      <c r="N316" s="43" t="s">
        <v>6260</v>
      </c>
    </row>
    <row r="317" spans="1:14" ht="11.1" customHeight="1">
      <c r="A317" s="31" t="s">
        <v>6912</v>
      </c>
      <c r="B317" s="38" t="s">
        <v>6231</v>
      </c>
      <c r="C317" s="39">
        <v>7270</v>
      </c>
      <c r="D317" s="40">
        <v>3.099010618480675E-2</v>
      </c>
      <c r="E317" s="41" t="s">
        <v>6262</v>
      </c>
      <c r="F317" s="42" t="s">
        <v>6913</v>
      </c>
      <c r="G317" s="42">
        <v>27</v>
      </c>
      <c r="H317" s="42" t="s">
        <v>0</v>
      </c>
      <c r="I317" s="42" t="s">
        <v>6259</v>
      </c>
      <c r="J317" s="42" t="s">
        <v>6322</v>
      </c>
      <c r="K317" s="42" t="s">
        <v>6259</v>
      </c>
      <c r="L317" s="42" t="s">
        <v>6036</v>
      </c>
      <c r="M317" s="42" t="s">
        <v>6259</v>
      </c>
      <c r="N317" s="43" t="s">
        <v>6259</v>
      </c>
    </row>
    <row r="318" spans="1:14" ht="11.1" customHeight="1">
      <c r="A318" s="44" t="s">
        <v>6914</v>
      </c>
      <c r="B318" s="45" t="s">
        <v>6231</v>
      </c>
      <c r="C318" s="46">
        <v>3505</v>
      </c>
      <c r="D318" s="47">
        <v>1.4940897135866252E-2</v>
      </c>
      <c r="E318" s="48" t="s">
        <v>6262</v>
      </c>
      <c r="F318" s="49" t="s">
        <v>6915</v>
      </c>
      <c r="G318" s="49">
        <v>49</v>
      </c>
      <c r="H318" s="49" t="s">
        <v>6049</v>
      </c>
      <c r="I318" s="49" t="s">
        <v>6259</v>
      </c>
      <c r="J318" s="49" t="s">
        <v>6267</v>
      </c>
      <c r="K318" s="49" t="s">
        <v>6268</v>
      </c>
      <c r="L318" s="49" t="s">
        <v>6036</v>
      </c>
      <c r="M318" s="49" t="s">
        <v>6259</v>
      </c>
      <c r="N318" s="50" t="s">
        <v>6259</v>
      </c>
    </row>
    <row r="319" spans="1:14" ht="11.1" customHeight="1">
      <c r="A319" s="51" t="s">
        <v>6916</v>
      </c>
      <c r="B319" s="52" t="s">
        <v>6217</v>
      </c>
      <c r="C319" s="53">
        <v>156328</v>
      </c>
      <c r="D319" s="54">
        <v>0.50937598769635806</v>
      </c>
      <c r="E319" s="55" t="s">
        <v>6251</v>
      </c>
      <c r="F319" s="56" t="s">
        <v>6917</v>
      </c>
      <c r="G319" s="56">
        <v>71</v>
      </c>
      <c r="H319" s="56" t="s">
        <v>0</v>
      </c>
      <c r="I319" s="56" t="s">
        <v>6233</v>
      </c>
      <c r="J319" s="56" t="s">
        <v>6253</v>
      </c>
      <c r="K319" s="56" t="s">
        <v>6918</v>
      </c>
      <c r="L319" s="56" t="s">
        <v>6283</v>
      </c>
      <c r="M319" s="56">
        <v>5</v>
      </c>
      <c r="N319" s="57" t="s">
        <v>6779</v>
      </c>
    </row>
    <row r="320" spans="1:14" ht="11.1" customHeight="1">
      <c r="A320" s="31" t="s">
        <v>6919</v>
      </c>
      <c r="B320" s="38" t="s">
        <v>6230</v>
      </c>
      <c r="C320" s="39">
        <v>116468</v>
      </c>
      <c r="D320" s="40">
        <v>0.37949697133603344</v>
      </c>
      <c r="E320" s="41">
        <v>74.502328437643925</v>
      </c>
      <c r="F320" s="42" t="s">
        <v>6920</v>
      </c>
      <c r="G320" s="42">
        <v>43</v>
      </c>
      <c r="H320" s="42" t="s">
        <v>0</v>
      </c>
      <c r="I320" s="42" t="s">
        <v>6233</v>
      </c>
      <c r="J320" s="42" t="s">
        <v>6257</v>
      </c>
      <c r="K320" s="42" t="s">
        <v>6258</v>
      </c>
      <c r="L320" s="42" t="s">
        <v>6209</v>
      </c>
      <c r="M320" s="42">
        <v>1</v>
      </c>
      <c r="N320" s="43" t="s">
        <v>6260</v>
      </c>
    </row>
    <row r="321" spans="1:14" ht="11.1" customHeight="1">
      <c r="A321" s="31" t="s">
        <v>6921</v>
      </c>
      <c r="B321" s="38" t="s">
        <v>6231</v>
      </c>
      <c r="C321" s="39">
        <v>29657</v>
      </c>
      <c r="D321" s="40">
        <v>9.6633767892577743E-2</v>
      </c>
      <c r="E321" s="41" t="s">
        <v>6262</v>
      </c>
      <c r="F321" s="42" t="s">
        <v>6922</v>
      </c>
      <c r="G321" s="42">
        <v>62</v>
      </c>
      <c r="H321" s="42" t="s">
        <v>0</v>
      </c>
      <c r="I321" s="42" t="s">
        <v>6259</v>
      </c>
      <c r="J321" s="42" t="s">
        <v>6264</v>
      </c>
      <c r="K321" s="42" t="s">
        <v>6259</v>
      </c>
      <c r="L321" s="42" t="s">
        <v>6036</v>
      </c>
      <c r="M321" s="42" t="s">
        <v>6259</v>
      </c>
      <c r="N321" s="43" t="s">
        <v>6259</v>
      </c>
    </row>
    <row r="322" spans="1:14" ht="11.1" customHeight="1">
      <c r="A322" s="44" t="s">
        <v>6923</v>
      </c>
      <c r="B322" s="45" t="s">
        <v>6231</v>
      </c>
      <c r="C322" s="46">
        <v>4448</v>
      </c>
      <c r="D322" s="47">
        <v>1.449327307503071E-2</v>
      </c>
      <c r="E322" s="48" t="s">
        <v>6262</v>
      </c>
      <c r="F322" s="49" t="s">
        <v>6924</v>
      </c>
      <c r="G322" s="49">
        <v>40</v>
      </c>
      <c r="H322" s="49" t="s">
        <v>0</v>
      </c>
      <c r="I322" s="49" t="s">
        <v>6259</v>
      </c>
      <c r="J322" s="49" t="s">
        <v>6267</v>
      </c>
      <c r="K322" s="49" t="s">
        <v>6268</v>
      </c>
      <c r="L322" s="49" t="s">
        <v>6036</v>
      </c>
      <c r="M322" s="49" t="s">
        <v>6259</v>
      </c>
      <c r="N322" s="50" t="s">
        <v>6259</v>
      </c>
    </row>
    <row r="323" spans="1:14" ht="11.1" customHeight="1">
      <c r="A323" s="51" t="s">
        <v>6925</v>
      </c>
      <c r="B323" s="52" t="s">
        <v>6217</v>
      </c>
      <c r="C323" s="53">
        <v>132192</v>
      </c>
      <c r="D323" s="54">
        <v>0.51761444396151723</v>
      </c>
      <c r="E323" s="55" t="s">
        <v>6251</v>
      </c>
      <c r="F323" s="56" t="s">
        <v>6926</v>
      </c>
      <c r="G323" s="56">
        <v>68</v>
      </c>
      <c r="H323" s="56" t="s">
        <v>0</v>
      </c>
      <c r="I323" s="56" t="s">
        <v>6233</v>
      </c>
      <c r="J323" s="56" t="s">
        <v>6253</v>
      </c>
      <c r="K323" s="56" t="s">
        <v>6254</v>
      </c>
      <c r="L323" s="56" t="s">
        <v>6209</v>
      </c>
      <c r="M323" s="56">
        <v>5</v>
      </c>
      <c r="N323" s="57" t="s">
        <v>6779</v>
      </c>
    </row>
    <row r="324" spans="1:14" ht="11.1" customHeight="1">
      <c r="A324" s="31" t="s">
        <v>6927</v>
      </c>
      <c r="B324" s="38" t="s">
        <v>6230</v>
      </c>
      <c r="C324" s="39">
        <v>94941</v>
      </c>
      <c r="D324" s="40">
        <v>0.3717534565189301</v>
      </c>
      <c r="E324" s="41" t="s">
        <v>6262</v>
      </c>
      <c r="F324" s="42" t="s">
        <v>6928</v>
      </c>
      <c r="G324" s="42">
        <v>51</v>
      </c>
      <c r="H324" s="42" t="s">
        <v>0</v>
      </c>
      <c r="I324" s="42" t="s">
        <v>6259</v>
      </c>
      <c r="J324" s="42" t="s">
        <v>6929</v>
      </c>
      <c r="K324" s="42" t="s">
        <v>6259</v>
      </c>
      <c r="L324" s="42" t="s">
        <v>6209</v>
      </c>
      <c r="M324" s="42">
        <v>5</v>
      </c>
      <c r="N324" s="43" t="s">
        <v>6930</v>
      </c>
    </row>
    <row r="325" spans="1:14" ht="11.1" customHeight="1">
      <c r="A325" s="31" t="s">
        <v>6931</v>
      </c>
      <c r="B325" s="38" t="s">
        <v>6231</v>
      </c>
      <c r="C325" s="39">
        <v>22464</v>
      </c>
      <c r="D325" s="40">
        <v>8.7960624464048676E-2</v>
      </c>
      <c r="E325" s="41">
        <v>16.993464052287582</v>
      </c>
      <c r="F325" s="42" t="s">
        <v>6932</v>
      </c>
      <c r="G325" s="42">
        <v>53</v>
      </c>
      <c r="H325" s="42" t="s">
        <v>6049</v>
      </c>
      <c r="I325" s="42" t="s">
        <v>6233</v>
      </c>
      <c r="J325" s="42" t="s">
        <v>6264</v>
      </c>
      <c r="K325" s="42" t="s">
        <v>6259</v>
      </c>
      <c r="L325" s="42" t="s">
        <v>6036</v>
      </c>
      <c r="M325" s="42" t="s">
        <v>6259</v>
      </c>
      <c r="N325" s="43" t="s">
        <v>6259</v>
      </c>
    </row>
    <row r="326" spans="1:14" ht="11.1" customHeight="1">
      <c r="A326" s="44" t="s">
        <v>6933</v>
      </c>
      <c r="B326" s="45" t="s">
        <v>6231</v>
      </c>
      <c r="C326" s="46">
        <v>5790</v>
      </c>
      <c r="D326" s="47">
        <v>2.2671475055504001E-2</v>
      </c>
      <c r="E326" s="48" t="s">
        <v>6262</v>
      </c>
      <c r="F326" s="49" t="s">
        <v>6934</v>
      </c>
      <c r="G326" s="49">
        <v>47</v>
      </c>
      <c r="H326" s="49" t="s">
        <v>0</v>
      </c>
      <c r="I326" s="49" t="s">
        <v>6259</v>
      </c>
      <c r="J326" s="49" t="s">
        <v>6267</v>
      </c>
      <c r="K326" s="49" t="s">
        <v>6268</v>
      </c>
      <c r="L326" s="49" t="s">
        <v>6036</v>
      </c>
      <c r="M326" s="49" t="s">
        <v>6259</v>
      </c>
      <c r="N326" s="50" t="s">
        <v>6259</v>
      </c>
    </row>
    <row r="327" spans="1:14" ht="11.1" customHeight="1">
      <c r="A327" s="51" t="s">
        <v>6935</v>
      </c>
      <c r="B327" s="52" t="s">
        <v>6217</v>
      </c>
      <c r="C327" s="53">
        <v>157070</v>
      </c>
      <c r="D327" s="54">
        <v>0.57190190973802546</v>
      </c>
      <c r="E327" s="55" t="s">
        <v>6251</v>
      </c>
      <c r="F327" s="56" t="s">
        <v>6936</v>
      </c>
      <c r="G327" s="56">
        <v>64</v>
      </c>
      <c r="H327" s="56" t="s">
        <v>0</v>
      </c>
      <c r="I327" s="56" t="s">
        <v>6233</v>
      </c>
      <c r="J327" s="56" t="s">
        <v>6253</v>
      </c>
      <c r="K327" s="56" t="s">
        <v>6053</v>
      </c>
      <c r="L327" s="56" t="s">
        <v>6283</v>
      </c>
      <c r="M327" s="56">
        <v>2</v>
      </c>
      <c r="N327" s="57" t="s">
        <v>6779</v>
      </c>
    </row>
    <row r="328" spans="1:14" ht="11.1" customHeight="1">
      <c r="A328" s="31" t="s">
        <v>6937</v>
      </c>
      <c r="B328" s="38" t="s">
        <v>6230</v>
      </c>
      <c r="C328" s="39">
        <v>109844</v>
      </c>
      <c r="D328" s="40">
        <v>0.39994902510513575</v>
      </c>
      <c r="E328" s="41">
        <v>69.933150824473159</v>
      </c>
      <c r="F328" s="42" t="s">
        <v>6938</v>
      </c>
      <c r="G328" s="42">
        <v>32</v>
      </c>
      <c r="H328" s="42" t="s">
        <v>0</v>
      </c>
      <c r="I328" s="42" t="s">
        <v>6233</v>
      </c>
      <c r="J328" s="42" t="s">
        <v>6257</v>
      </c>
      <c r="K328" s="42" t="s">
        <v>6596</v>
      </c>
      <c r="L328" s="42" t="s">
        <v>6209</v>
      </c>
      <c r="M328" s="42">
        <v>1</v>
      </c>
      <c r="N328" s="43" t="s">
        <v>6260</v>
      </c>
    </row>
    <row r="329" spans="1:14" ht="11.1" customHeight="1">
      <c r="A329" s="44" t="s">
        <v>6939</v>
      </c>
      <c r="B329" s="45" t="s">
        <v>6231</v>
      </c>
      <c r="C329" s="46">
        <v>7731</v>
      </c>
      <c r="D329" s="47">
        <v>2.8149065156838828E-2</v>
      </c>
      <c r="E329" s="48" t="s">
        <v>6262</v>
      </c>
      <c r="F329" s="49" t="s">
        <v>6940</v>
      </c>
      <c r="G329" s="49">
        <v>49</v>
      </c>
      <c r="H329" s="49" t="s">
        <v>0</v>
      </c>
      <c r="I329" s="49" t="s">
        <v>6259</v>
      </c>
      <c r="J329" s="49" t="s">
        <v>6267</v>
      </c>
      <c r="K329" s="49" t="s">
        <v>6268</v>
      </c>
      <c r="L329" s="49" t="s">
        <v>6036</v>
      </c>
      <c r="M329" s="49" t="s">
        <v>6259</v>
      </c>
      <c r="N329" s="50" t="s">
        <v>6259</v>
      </c>
    </row>
    <row r="330" spans="1:14" ht="11.1" customHeight="1">
      <c r="A330" s="51" t="s">
        <v>6941</v>
      </c>
      <c r="B330" s="98" t="s">
        <v>6217</v>
      </c>
      <c r="C330" s="99">
        <v>128753</v>
      </c>
      <c r="D330" s="100">
        <v>0.49138052766360207</v>
      </c>
      <c r="E330" s="101" t="s">
        <v>6251</v>
      </c>
      <c r="F330" s="102" t="s">
        <v>6942</v>
      </c>
      <c r="G330" s="102">
        <v>53</v>
      </c>
      <c r="H330" s="102" t="s">
        <v>0</v>
      </c>
      <c r="I330" s="102" t="s">
        <v>6233</v>
      </c>
      <c r="J330" s="102" t="s">
        <v>6484</v>
      </c>
      <c r="K330" s="102" t="s">
        <v>6259</v>
      </c>
      <c r="L330" s="102" t="s">
        <v>6209</v>
      </c>
      <c r="M330" s="102">
        <v>2</v>
      </c>
      <c r="N330" s="103" t="s">
        <v>6259</v>
      </c>
    </row>
    <row r="331" spans="1:14" ht="11.1" customHeight="1">
      <c r="A331" s="31" t="s">
        <v>6943</v>
      </c>
      <c r="B331" s="38" t="s">
        <v>6232</v>
      </c>
      <c r="C331" s="39">
        <v>74544</v>
      </c>
      <c r="D331" s="40">
        <v>0.28449410929574886</v>
      </c>
      <c r="E331" s="35">
        <v>57.896903373125284</v>
      </c>
      <c r="F331" s="36" t="s">
        <v>6944</v>
      </c>
      <c r="G331" s="36">
        <v>46</v>
      </c>
      <c r="H331" s="36" t="s">
        <v>0</v>
      </c>
      <c r="I331" s="36" t="s">
        <v>6233</v>
      </c>
      <c r="J331" s="36" t="s">
        <v>6253</v>
      </c>
      <c r="K331" s="36" t="s">
        <v>6053</v>
      </c>
      <c r="L331" s="36" t="s">
        <v>6036</v>
      </c>
      <c r="M331" s="36" t="s">
        <v>6259</v>
      </c>
      <c r="N331" s="43" t="s">
        <v>6213</v>
      </c>
    </row>
    <row r="332" spans="1:14" ht="11.1" customHeight="1">
      <c r="A332" s="31" t="s">
        <v>6945</v>
      </c>
      <c r="B332" s="38" t="s">
        <v>6230</v>
      </c>
      <c r="C332" s="39">
        <v>54480</v>
      </c>
      <c r="D332" s="40">
        <v>0.20792067871904374</v>
      </c>
      <c r="E332" s="41">
        <v>42.313577159367163</v>
      </c>
      <c r="F332" s="42" t="s">
        <v>6946</v>
      </c>
      <c r="G332" s="42">
        <v>45</v>
      </c>
      <c r="H332" s="42" t="s">
        <v>0</v>
      </c>
      <c r="I332" s="42" t="s">
        <v>6233</v>
      </c>
      <c r="J332" s="42" t="s">
        <v>6257</v>
      </c>
      <c r="K332" s="42" t="s">
        <v>6350</v>
      </c>
      <c r="L332" s="42" t="s">
        <v>6209</v>
      </c>
      <c r="M332" s="42">
        <v>1</v>
      </c>
      <c r="N332" s="43" t="s">
        <v>6260</v>
      </c>
    </row>
    <row r="333" spans="1:14" ht="11.1" customHeight="1">
      <c r="A333" s="44" t="s">
        <v>6947</v>
      </c>
      <c r="B333" s="45" t="s">
        <v>6231</v>
      </c>
      <c r="C333" s="46">
        <v>4246</v>
      </c>
      <c r="D333" s="47">
        <v>1.6204684321605354E-2</v>
      </c>
      <c r="E333" s="48" t="s">
        <v>6262</v>
      </c>
      <c r="F333" s="49" t="s">
        <v>6948</v>
      </c>
      <c r="G333" s="49">
        <v>39</v>
      </c>
      <c r="H333" s="49" t="s">
        <v>0</v>
      </c>
      <c r="I333" s="49" t="s">
        <v>6259</v>
      </c>
      <c r="J333" s="49" t="s">
        <v>6267</v>
      </c>
      <c r="K333" s="49" t="s">
        <v>6268</v>
      </c>
      <c r="L333" s="49" t="s">
        <v>6036</v>
      </c>
      <c r="M333" s="49" t="s">
        <v>6259</v>
      </c>
      <c r="N333" s="50" t="s">
        <v>6259</v>
      </c>
    </row>
    <row r="334" spans="1:14" ht="11.1" customHeight="1">
      <c r="A334" s="51" t="s">
        <v>6949</v>
      </c>
      <c r="B334" s="52" t="s">
        <v>6217</v>
      </c>
      <c r="C334" s="53">
        <v>127219</v>
      </c>
      <c r="D334" s="54">
        <v>0.6354278008091504</v>
      </c>
      <c r="E334" s="55" t="s">
        <v>6251</v>
      </c>
      <c r="F334" s="56" t="s">
        <v>6950</v>
      </c>
      <c r="G334" s="56">
        <v>44</v>
      </c>
      <c r="H334" s="56" t="s">
        <v>0</v>
      </c>
      <c r="I334" s="56" t="s">
        <v>6233</v>
      </c>
      <c r="J334" s="56" t="s">
        <v>6253</v>
      </c>
      <c r="K334" s="56" t="s">
        <v>6053</v>
      </c>
      <c r="L334" s="56" t="s">
        <v>6209</v>
      </c>
      <c r="M334" s="56">
        <v>2</v>
      </c>
      <c r="N334" s="57" t="s">
        <v>6213</v>
      </c>
    </row>
    <row r="335" spans="1:14" ht="11.1" customHeight="1">
      <c r="A335" s="31" t="s">
        <v>6951</v>
      </c>
      <c r="B335" s="38" t="s">
        <v>6230</v>
      </c>
      <c r="C335" s="39">
        <v>49274</v>
      </c>
      <c r="D335" s="40">
        <v>0.24611158283802007</v>
      </c>
      <c r="E335" s="41">
        <v>38.731635997767626</v>
      </c>
      <c r="F335" s="42" t="s">
        <v>6952</v>
      </c>
      <c r="G335" s="42">
        <v>40</v>
      </c>
      <c r="H335" s="42" t="s">
        <v>0</v>
      </c>
      <c r="I335" s="42" t="s">
        <v>6233</v>
      </c>
      <c r="J335" s="42" t="s">
        <v>6257</v>
      </c>
      <c r="K335" s="42" t="s">
        <v>6258</v>
      </c>
      <c r="L335" s="42" t="s">
        <v>6036</v>
      </c>
      <c r="M335" s="42" t="s">
        <v>6259</v>
      </c>
      <c r="N335" s="43" t="s">
        <v>6260</v>
      </c>
    </row>
    <row r="336" spans="1:14" ht="11.1" customHeight="1">
      <c r="A336" s="31" t="s">
        <v>6953</v>
      </c>
      <c r="B336" s="38" t="s">
        <v>6231</v>
      </c>
      <c r="C336" s="39">
        <v>16239</v>
      </c>
      <c r="D336" s="40">
        <v>8.1109834673592729E-2</v>
      </c>
      <c r="E336" s="41" t="s">
        <v>6262</v>
      </c>
      <c r="F336" s="42" t="s">
        <v>6954</v>
      </c>
      <c r="G336" s="42">
        <v>65</v>
      </c>
      <c r="H336" s="42" t="s">
        <v>0</v>
      </c>
      <c r="I336" s="42" t="s">
        <v>6259</v>
      </c>
      <c r="J336" s="42" t="s">
        <v>6264</v>
      </c>
      <c r="K336" s="42" t="s">
        <v>6259</v>
      </c>
      <c r="L336" s="42" t="s">
        <v>6036</v>
      </c>
      <c r="M336" s="42" t="s">
        <v>6259</v>
      </c>
      <c r="N336" s="43" t="s">
        <v>6259</v>
      </c>
    </row>
    <row r="337" spans="1:14" ht="11.1" customHeight="1">
      <c r="A337" s="31" t="s">
        <v>6955</v>
      </c>
      <c r="B337" s="38" t="s">
        <v>6231</v>
      </c>
      <c r="C337" s="39">
        <v>4423</v>
      </c>
      <c r="D337" s="40">
        <v>2.2091803606213475E-2</v>
      </c>
      <c r="E337" s="41" t="s">
        <v>6262</v>
      </c>
      <c r="F337" s="42" t="s">
        <v>6956</v>
      </c>
      <c r="G337" s="42">
        <v>29</v>
      </c>
      <c r="H337" s="42" t="s">
        <v>0</v>
      </c>
      <c r="I337" s="42" t="s">
        <v>6259</v>
      </c>
      <c r="J337" s="42" t="s">
        <v>6322</v>
      </c>
      <c r="K337" s="42" t="s">
        <v>6259</v>
      </c>
      <c r="L337" s="42" t="s">
        <v>6036</v>
      </c>
      <c r="M337" s="42" t="s">
        <v>6259</v>
      </c>
      <c r="N337" s="43" t="s">
        <v>6259</v>
      </c>
    </row>
    <row r="338" spans="1:14" ht="11.1" customHeight="1">
      <c r="A338" s="44" t="s">
        <v>6957</v>
      </c>
      <c r="B338" s="45" t="s">
        <v>6231</v>
      </c>
      <c r="C338" s="46">
        <v>3055</v>
      </c>
      <c r="D338" s="47">
        <v>1.5258978073023325E-2</v>
      </c>
      <c r="E338" s="48" t="s">
        <v>6262</v>
      </c>
      <c r="F338" s="49" t="s">
        <v>6958</v>
      </c>
      <c r="G338" s="49">
        <v>32</v>
      </c>
      <c r="H338" s="49" t="s">
        <v>0</v>
      </c>
      <c r="I338" s="49" t="s">
        <v>6259</v>
      </c>
      <c r="J338" s="49" t="s">
        <v>6267</v>
      </c>
      <c r="K338" s="49" t="s">
        <v>6268</v>
      </c>
      <c r="L338" s="49" t="s">
        <v>6036</v>
      </c>
      <c r="M338" s="49" t="s">
        <v>6259</v>
      </c>
      <c r="N338" s="50" t="s">
        <v>6259</v>
      </c>
    </row>
    <row r="339" spans="1:14" ht="11.1" customHeight="1">
      <c r="A339" s="51" t="s">
        <v>6959</v>
      </c>
      <c r="B339" s="52" t="s">
        <v>6217</v>
      </c>
      <c r="C339" s="53">
        <v>152921</v>
      </c>
      <c r="D339" s="54">
        <v>0.49259120866377615</v>
      </c>
      <c r="E339" s="55" t="s">
        <v>6251</v>
      </c>
      <c r="F339" s="56" t="s">
        <v>6960</v>
      </c>
      <c r="G339" s="56">
        <v>62</v>
      </c>
      <c r="H339" s="56" t="s">
        <v>0</v>
      </c>
      <c r="I339" s="56" t="s">
        <v>6233</v>
      </c>
      <c r="J339" s="56" t="s">
        <v>6253</v>
      </c>
      <c r="K339" s="56" t="s">
        <v>6918</v>
      </c>
      <c r="L339" s="56" t="s">
        <v>6283</v>
      </c>
      <c r="M339" s="56">
        <v>3</v>
      </c>
      <c r="N339" s="57" t="s">
        <v>6213</v>
      </c>
    </row>
    <row r="340" spans="1:14" ht="11.1" customHeight="1">
      <c r="A340" s="31" t="s">
        <v>6961</v>
      </c>
      <c r="B340" s="38" t="s">
        <v>6232</v>
      </c>
      <c r="C340" s="39">
        <v>118641</v>
      </c>
      <c r="D340" s="40">
        <v>0.38216800561779657</v>
      </c>
      <c r="E340" s="58">
        <v>77.583196552468266</v>
      </c>
      <c r="F340" s="59" t="s">
        <v>6962</v>
      </c>
      <c r="G340" s="59">
        <v>60</v>
      </c>
      <c r="H340" s="59" t="s">
        <v>0</v>
      </c>
      <c r="I340" s="59" t="s">
        <v>6233</v>
      </c>
      <c r="J340" s="59" t="s">
        <v>6257</v>
      </c>
      <c r="K340" s="59" t="s">
        <v>6350</v>
      </c>
      <c r="L340" s="59" t="s">
        <v>6209</v>
      </c>
      <c r="M340" s="59">
        <v>4</v>
      </c>
      <c r="N340" s="43" t="s">
        <v>6260</v>
      </c>
    </row>
    <row r="341" spans="1:14" ht="11.1" customHeight="1">
      <c r="A341" s="31" t="s">
        <v>6963</v>
      </c>
      <c r="B341" s="38"/>
      <c r="C341" s="39">
        <v>33134</v>
      </c>
      <c r="D341" s="40">
        <v>0.10673169223236546</v>
      </c>
      <c r="E341" s="41">
        <v>21.667396891205264</v>
      </c>
      <c r="F341" s="42" t="s">
        <v>6964</v>
      </c>
      <c r="G341" s="42">
        <v>62</v>
      </c>
      <c r="H341" s="42" t="s">
        <v>0</v>
      </c>
      <c r="I341" s="42" t="s">
        <v>6233</v>
      </c>
      <c r="J341" s="42" t="s">
        <v>6264</v>
      </c>
      <c r="K341" s="42" t="s">
        <v>6259</v>
      </c>
      <c r="L341" s="42" t="s">
        <v>6036</v>
      </c>
      <c r="M341" s="42" t="s">
        <v>6259</v>
      </c>
      <c r="N341" s="43" t="s">
        <v>6259</v>
      </c>
    </row>
    <row r="342" spans="1:14" ht="11.1" customHeight="1">
      <c r="A342" s="44" t="s">
        <v>6965</v>
      </c>
      <c r="B342" s="45" t="s">
        <v>6231</v>
      </c>
      <c r="C342" s="46">
        <v>5746</v>
      </c>
      <c r="D342" s="47">
        <v>1.850909348606181E-2</v>
      </c>
      <c r="E342" s="48" t="s">
        <v>6262</v>
      </c>
      <c r="F342" s="49" t="s">
        <v>6966</v>
      </c>
      <c r="G342" s="49">
        <v>53</v>
      </c>
      <c r="H342" s="49" t="s">
        <v>0</v>
      </c>
      <c r="I342" s="49" t="s">
        <v>6259</v>
      </c>
      <c r="J342" s="49" t="s">
        <v>6267</v>
      </c>
      <c r="K342" s="49" t="s">
        <v>6268</v>
      </c>
      <c r="L342" s="49" t="s">
        <v>6036</v>
      </c>
      <c r="M342" s="49" t="s">
        <v>6259</v>
      </c>
      <c r="N342" s="50" t="s">
        <v>6259</v>
      </c>
    </row>
    <row r="343" spans="1:14" ht="11.1" customHeight="1">
      <c r="A343" s="51" t="s">
        <v>6967</v>
      </c>
      <c r="B343" s="60" t="s">
        <v>6217</v>
      </c>
      <c r="C343" s="61">
        <v>150893</v>
      </c>
      <c r="D343" s="62">
        <v>0.57085083040139217</v>
      </c>
      <c r="E343" s="63" t="s">
        <v>6251</v>
      </c>
      <c r="F343" s="64" t="s">
        <v>6968</v>
      </c>
      <c r="G343" s="64">
        <v>28</v>
      </c>
      <c r="H343" s="64" t="s">
        <v>0</v>
      </c>
      <c r="I343" s="64" t="s">
        <v>6233</v>
      </c>
      <c r="J343" s="64" t="s">
        <v>6257</v>
      </c>
      <c r="K343" s="64" t="s">
        <v>6258</v>
      </c>
      <c r="L343" s="64" t="s">
        <v>6036</v>
      </c>
      <c r="M343" s="64" t="s">
        <v>6259</v>
      </c>
      <c r="N343" s="65" t="s">
        <v>6259</v>
      </c>
    </row>
    <row r="344" spans="1:14" ht="11.1" customHeight="1">
      <c r="A344" s="31" t="s">
        <v>6969</v>
      </c>
      <c r="B344" s="38" t="s">
        <v>6232</v>
      </c>
      <c r="C344" s="39">
        <v>96631</v>
      </c>
      <c r="D344" s="40">
        <v>0.36556955321000267</v>
      </c>
      <c r="E344" s="35">
        <v>64.039418660905412</v>
      </c>
      <c r="F344" s="36" t="s">
        <v>6970</v>
      </c>
      <c r="G344" s="36">
        <v>27</v>
      </c>
      <c r="H344" s="36" t="s">
        <v>0</v>
      </c>
      <c r="I344" s="36" t="s">
        <v>6233</v>
      </c>
      <c r="J344" s="36" t="s">
        <v>6253</v>
      </c>
      <c r="K344" s="36" t="s">
        <v>6053</v>
      </c>
      <c r="L344" s="36" t="s">
        <v>6036</v>
      </c>
      <c r="M344" s="36" t="s">
        <v>6259</v>
      </c>
      <c r="N344" s="43" t="s">
        <v>6213</v>
      </c>
    </row>
    <row r="345" spans="1:14" ht="11.1" customHeight="1">
      <c r="A345" s="31" t="s">
        <v>6971</v>
      </c>
      <c r="B345" s="38" t="s">
        <v>6231</v>
      </c>
      <c r="C345" s="39">
        <v>12601</v>
      </c>
      <c r="D345" s="40">
        <v>4.7671471266976885E-2</v>
      </c>
      <c r="E345" s="41" t="s">
        <v>6262</v>
      </c>
      <c r="F345" s="42" t="s">
        <v>6972</v>
      </c>
      <c r="G345" s="42">
        <v>68</v>
      </c>
      <c r="H345" s="42" t="s">
        <v>6049</v>
      </c>
      <c r="I345" s="42" t="s">
        <v>6259</v>
      </c>
      <c r="J345" s="42" t="s">
        <v>6264</v>
      </c>
      <c r="K345" s="42" t="s">
        <v>6259</v>
      </c>
      <c r="L345" s="42" t="s">
        <v>6036</v>
      </c>
      <c r="M345" s="42" t="s">
        <v>6259</v>
      </c>
      <c r="N345" s="43" t="s">
        <v>6259</v>
      </c>
    </row>
    <row r="346" spans="1:14" ht="11.1" customHeight="1">
      <c r="A346" s="31" t="s">
        <v>6973</v>
      </c>
      <c r="B346" s="38" t="s">
        <v>6231</v>
      </c>
      <c r="C346" s="39">
        <v>2375</v>
      </c>
      <c r="D346" s="40">
        <v>8.9849808950932548E-3</v>
      </c>
      <c r="E346" s="41" t="s">
        <v>6262</v>
      </c>
      <c r="F346" s="42" t="s">
        <v>6974</v>
      </c>
      <c r="G346" s="42">
        <v>35</v>
      </c>
      <c r="H346" s="42" t="s">
        <v>0</v>
      </c>
      <c r="I346" s="42" t="s">
        <v>6259</v>
      </c>
      <c r="J346" s="42" t="s">
        <v>6267</v>
      </c>
      <c r="K346" s="42" t="s">
        <v>6268</v>
      </c>
      <c r="L346" s="42" t="s">
        <v>6036</v>
      </c>
      <c r="M346" s="42" t="s">
        <v>6259</v>
      </c>
      <c r="N346" s="43" t="s">
        <v>6259</v>
      </c>
    </row>
    <row r="347" spans="1:14" ht="11.1" customHeight="1">
      <c r="A347" s="44" t="s">
        <v>6975</v>
      </c>
      <c r="B347" s="45" t="s">
        <v>6231</v>
      </c>
      <c r="C347" s="46">
        <v>1830</v>
      </c>
      <c r="D347" s="47">
        <v>6.9231642265350129E-3</v>
      </c>
      <c r="E347" s="48" t="s">
        <v>6262</v>
      </c>
      <c r="F347" s="49" t="s">
        <v>6976</v>
      </c>
      <c r="G347" s="49">
        <v>50</v>
      </c>
      <c r="H347" s="49" t="s">
        <v>0</v>
      </c>
      <c r="I347" s="49" t="s">
        <v>6259</v>
      </c>
      <c r="J347" s="49" t="s">
        <v>6322</v>
      </c>
      <c r="K347" s="49" t="s">
        <v>6259</v>
      </c>
      <c r="L347" s="49" t="s">
        <v>6036</v>
      </c>
      <c r="M347" s="49" t="s">
        <v>6259</v>
      </c>
      <c r="N347" s="50" t="s">
        <v>6259</v>
      </c>
    </row>
    <row r="348" spans="1:14" ht="11.1" customHeight="1">
      <c r="A348" s="51" t="s">
        <v>6977</v>
      </c>
      <c r="B348" s="52" t="s">
        <v>6217</v>
      </c>
      <c r="C348" s="53">
        <v>110532</v>
      </c>
      <c r="D348" s="54">
        <v>0.45884843704595457</v>
      </c>
      <c r="E348" s="55" t="s">
        <v>6251</v>
      </c>
      <c r="F348" s="56" t="s">
        <v>6978</v>
      </c>
      <c r="G348" s="56">
        <v>44</v>
      </c>
      <c r="H348" s="56" t="s">
        <v>0</v>
      </c>
      <c r="I348" s="56" t="s">
        <v>6233</v>
      </c>
      <c r="J348" s="56" t="s">
        <v>6253</v>
      </c>
      <c r="K348" s="56" t="s">
        <v>6035</v>
      </c>
      <c r="L348" s="56" t="s">
        <v>6283</v>
      </c>
      <c r="M348" s="56">
        <v>2</v>
      </c>
      <c r="N348" s="57" t="s">
        <v>6259</v>
      </c>
    </row>
    <row r="349" spans="1:14" ht="11.1" customHeight="1">
      <c r="A349" s="31" t="s">
        <v>6979</v>
      </c>
      <c r="B349" s="38" t="s">
        <v>6230</v>
      </c>
      <c r="C349" s="39">
        <v>69524</v>
      </c>
      <c r="D349" s="40">
        <v>0.28861305990286024</v>
      </c>
      <c r="E349" s="41">
        <v>62.899431838743531</v>
      </c>
      <c r="F349" s="42" t="s">
        <v>6980</v>
      </c>
      <c r="G349" s="42">
        <v>61</v>
      </c>
      <c r="H349" s="42" t="s">
        <v>0</v>
      </c>
      <c r="I349" s="42" t="s">
        <v>6233</v>
      </c>
      <c r="J349" s="42" t="s">
        <v>6257</v>
      </c>
      <c r="K349" s="42" t="s">
        <v>6596</v>
      </c>
      <c r="L349" s="42" t="s">
        <v>6209</v>
      </c>
      <c r="M349" s="42">
        <v>3</v>
      </c>
      <c r="N349" s="43" t="s">
        <v>6260</v>
      </c>
    </row>
    <row r="350" spans="1:14" ht="11.1" customHeight="1">
      <c r="A350" s="31" t="s">
        <v>6981</v>
      </c>
      <c r="B350" s="38" t="s">
        <v>6232</v>
      </c>
      <c r="C350" s="39">
        <v>47538</v>
      </c>
      <c r="D350" s="40">
        <v>0.19734318568641288</v>
      </c>
      <c r="E350" s="94">
        <v>43.00835957007925</v>
      </c>
      <c r="F350" s="95" t="s">
        <v>6982</v>
      </c>
      <c r="G350" s="95">
        <v>61</v>
      </c>
      <c r="H350" s="95" t="s">
        <v>6049</v>
      </c>
      <c r="I350" s="95" t="s">
        <v>6233</v>
      </c>
      <c r="J350" s="95" t="s">
        <v>6278</v>
      </c>
      <c r="K350" s="95" t="s">
        <v>6259</v>
      </c>
      <c r="L350" s="95" t="s">
        <v>6209</v>
      </c>
      <c r="M350" s="95">
        <v>3</v>
      </c>
      <c r="N350" s="43" t="s">
        <v>6213</v>
      </c>
    </row>
    <row r="351" spans="1:14" ht="11.1" customHeight="1">
      <c r="A351" s="31" t="s">
        <v>6983</v>
      </c>
      <c r="B351" s="38" t="s">
        <v>6231</v>
      </c>
      <c r="C351" s="39">
        <v>11240</v>
      </c>
      <c r="D351" s="40">
        <v>4.6660301382373696E-2</v>
      </c>
      <c r="E351" s="41" t="s">
        <v>6262</v>
      </c>
      <c r="F351" s="42" t="s">
        <v>6984</v>
      </c>
      <c r="G351" s="42">
        <v>61</v>
      </c>
      <c r="H351" s="42" t="s">
        <v>6049</v>
      </c>
      <c r="I351" s="42" t="s">
        <v>6259</v>
      </c>
      <c r="J351" s="42" t="s">
        <v>6264</v>
      </c>
      <c r="K351" s="42" t="s">
        <v>6259</v>
      </c>
      <c r="L351" s="42" t="s">
        <v>6036</v>
      </c>
      <c r="M351" s="42" t="s">
        <v>6259</v>
      </c>
      <c r="N351" s="43" t="s">
        <v>6259</v>
      </c>
    </row>
    <row r="352" spans="1:14" ht="11.1" customHeight="1">
      <c r="A352" s="44" t="s">
        <v>6985</v>
      </c>
      <c r="B352" s="45" t="s">
        <v>6231</v>
      </c>
      <c r="C352" s="46">
        <v>2056</v>
      </c>
      <c r="D352" s="47">
        <v>8.5350159823986051E-3</v>
      </c>
      <c r="E352" s="48" t="s">
        <v>6262</v>
      </c>
      <c r="F352" s="49" t="s">
        <v>6986</v>
      </c>
      <c r="G352" s="49">
        <v>45</v>
      </c>
      <c r="H352" s="49" t="s">
        <v>0</v>
      </c>
      <c r="I352" s="49" t="s">
        <v>6259</v>
      </c>
      <c r="J352" s="49" t="s">
        <v>6267</v>
      </c>
      <c r="K352" s="49" t="s">
        <v>6268</v>
      </c>
      <c r="L352" s="49" t="s">
        <v>6036</v>
      </c>
      <c r="M352" s="49" t="s">
        <v>6259</v>
      </c>
      <c r="N352" s="50" t="s">
        <v>6259</v>
      </c>
    </row>
    <row r="353" spans="1:14" ht="11.1" customHeight="1">
      <c r="A353" s="51" t="s">
        <v>6987</v>
      </c>
      <c r="B353" s="52" t="s">
        <v>6217</v>
      </c>
      <c r="C353" s="53">
        <v>138104</v>
      </c>
      <c r="D353" s="54">
        <v>0.46099667197415023</v>
      </c>
      <c r="E353" s="55" t="s">
        <v>6251</v>
      </c>
      <c r="F353" s="56" t="s">
        <v>6988</v>
      </c>
      <c r="G353" s="56">
        <v>40</v>
      </c>
      <c r="H353" s="56" t="s">
        <v>0</v>
      </c>
      <c r="I353" s="56" t="s">
        <v>6233</v>
      </c>
      <c r="J353" s="56" t="s">
        <v>6253</v>
      </c>
      <c r="K353" s="56" t="s">
        <v>6053</v>
      </c>
      <c r="L353" s="56" t="s">
        <v>6036</v>
      </c>
      <c r="M353" s="56" t="s">
        <v>6259</v>
      </c>
      <c r="N353" s="57" t="s">
        <v>6213</v>
      </c>
    </row>
    <row r="354" spans="1:14" ht="11.1" customHeight="1">
      <c r="A354" s="31" t="s">
        <v>6989</v>
      </c>
      <c r="B354" s="38" t="s">
        <v>6232</v>
      </c>
      <c r="C354" s="39">
        <v>136164</v>
      </c>
      <c r="D354" s="40">
        <v>0.45452087443295047</v>
      </c>
      <c r="E354" s="58">
        <v>98.595261542026293</v>
      </c>
      <c r="F354" s="59" t="s">
        <v>6990</v>
      </c>
      <c r="G354" s="59">
        <v>60</v>
      </c>
      <c r="H354" s="59" t="s">
        <v>0</v>
      </c>
      <c r="I354" s="59" t="s">
        <v>6233</v>
      </c>
      <c r="J354" s="59" t="s">
        <v>6257</v>
      </c>
      <c r="K354" s="59" t="s">
        <v>6350</v>
      </c>
      <c r="L354" s="59" t="s">
        <v>6209</v>
      </c>
      <c r="M354" s="59">
        <v>8</v>
      </c>
      <c r="N354" s="43" t="s">
        <v>6260</v>
      </c>
    </row>
    <row r="355" spans="1:14" ht="11.1" customHeight="1">
      <c r="A355" s="31" t="s">
        <v>6991</v>
      </c>
      <c r="B355" s="38" t="s">
        <v>6231</v>
      </c>
      <c r="C355" s="39">
        <v>18721</v>
      </c>
      <c r="D355" s="40">
        <v>6.2491446272577668E-2</v>
      </c>
      <c r="E355" s="41" t="s">
        <v>6262</v>
      </c>
      <c r="F355" s="42" t="s">
        <v>6992</v>
      </c>
      <c r="G355" s="42">
        <v>60</v>
      </c>
      <c r="H355" s="42" t="s">
        <v>0</v>
      </c>
      <c r="I355" s="42" t="s">
        <v>6259</v>
      </c>
      <c r="J355" s="42" t="s">
        <v>6264</v>
      </c>
      <c r="K355" s="42" t="s">
        <v>6259</v>
      </c>
      <c r="L355" s="42" t="s">
        <v>6036</v>
      </c>
      <c r="M355" s="42" t="s">
        <v>6259</v>
      </c>
      <c r="N355" s="43" t="s">
        <v>6259</v>
      </c>
    </row>
    <row r="356" spans="1:14" ht="11.1" customHeight="1">
      <c r="A356" s="44" t="s">
        <v>6993</v>
      </c>
      <c r="B356" s="45" t="s">
        <v>6231</v>
      </c>
      <c r="C356" s="46">
        <v>6588</v>
      </c>
      <c r="D356" s="47">
        <v>2.1991007320321655E-2</v>
      </c>
      <c r="E356" s="48" t="s">
        <v>6262</v>
      </c>
      <c r="F356" s="49" t="s">
        <v>6994</v>
      </c>
      <c r="G356" s="49">
        <v>38</v>
      </c>
      <c r="H356" s="49" t="s">
        <v>0</v>
      </c>
      <c r="I356" s="49" t="s">
        <v>6259</v>
      </c>
      <c r="J356" s="49" t="s">
        <v>6267</v>
      </c>
      <c r="K356" s="49" t="s">
        <v>6268</v>
      </c>
      <c r="L356" s="49" t="s">
        <v>6036</v>
      </c>
      <c r="M356" s="49" t="s">
        <v>6259</v>
      </c>
      <c r="N356" s="50" t="s">
        <v>6259</v>
      </c>
    </row>
    <row r="357" spans="1:14" ht="11.1" customHeight="1">
      <c r="A357" s="51" t="s">
        <v>6995</v>
      </c>
      <c r="B357" s="52" t="s">
        <v>6217</v>
      </c>
      <c r="C357" s="53">
        <v>157644</v>
      </c>
      <c r="D357" s="54">
        <v>0.55397460721301339</v>
      </c>
      <c r="E357" s="55" t="s">
        <v>6251</v>
      </c>
      <c r="F357" s="56" t="s">
        <v>6996</v>
      </c>
      <c r="G357" s="56">
        <v>39</v>
      </c>
      <c r="H357" s="56" t="s">
        <v>0</v>
      </c>
      <c r="I357" s="56" t="s">
        <v>6233</v>
      </c>
      <c r="J357" s="56" t="s">
        <v>6253</v>
      </c>
      <c r="K357" s="56" t="s">
        <v>6053</v>
      </c>
      <c r="L357" s="56" t="s">
        <v>6036</v>
      </c>
      <c r="M357" s="56" t="s">
        <v>6259</v>
      </c>
      <c r="N357" s="57" t="s">
        <v>6213</v>
      </c>
    </row>
    <row r="358" spans="1:14" ht="11.1" customHeight="1">
      <c r="A358" s="31" t="s">
        <v>6997</v>
      </c>
      <c r="B358" s="38" t="s">
        <v>6230</v>
      </c>
      <c r="C358" s="39">
        <v>104631</v>
      </c>
      <c r="D358" s="40">
        <v>0.36768235471889066</v>
      </c>
      <c r="E358" s="41">
        <v>66.371698256831849</v>
      </c>
      <c r="F358" s="42" t="s">
        <v>6998</v>
      </c>
      <c r="G358" s="42">
        <v>41</v>
      </c>
      <c r="H358" s="42" t="s">
        <v>0</v>
      </c>
      <c r="I358" s="42" t="s">
        <v>6233</v>
      </c>
      <c r="J358" s="42" t="s">
        <v>6257</v>
      </c>
      <c r="K358" s="42" t="s">
        <v>6596</v>
      </c>
      <c r="L358" s="42" t="s">
        <v>6209</v>
      </c>
      <c r="M358" s="42">
        <v>1</v>
      </c>
      <c r="N358" s="43" t="s">
        <v>6260</v>
      </c>
    </row>
    <row r="359" spans="1:14" ht="11.1" customHeight="1">
      <c r="A359" s="31" t="s">
        <v>6999</v>
      </c>
      <c r="B359" s="38" t="s">
        <v>6231</v>
      </c>
      <c r="C359" s="39">
        <v>17844</v>
      </c>
      <c r="D359" s="40">
        <v>6.2705354413165174E-2</v>
      </c>
      <c r="E359" s="41" t="s">
        <v>6262</v>
      </c>
      <c r="F359" s="42" t="s">
        <v>7000</v>
      </c>
      <c r="G359" s="42">
        <v>67</v>
      </c>
      <c r="H359" s="42" t="s">
        <v>6049</v>
      </c>
      <c r="I359" s="42" t="s">
        <v>6259</v>
      </c>
      <c r="J359" s="42" t="s">
        <v>6264</v>
      </c>
      <c r="K359" s="42" t="s">
        <v>6259</v>
      </c>
      <c r="L359" s="42" t="s">
        <v>6036</v>
      </c>
      <c r="M359" s="42" t="s">
        <v>6259</v>
      </c>
      <c r="N359" s="43" t="s">
        <v>6259</v>
      </c>
    </row>
    <row r="360" spans="1:14" ht="11.1" customHeight="1">
      <c r="A360" s="31" t="s">
        <v>7001</v>
      </c>
      <c r="B360" s="38" t="s">
        <v>6231</v>
      </c>
      <c r="C360" s="39">
        <v>2713</v>
      </c>
      <c r="D360" s="40">
        <v>9.5337159001858945E-3</v>
      </c>
      <c r="E360" s="41" t="s">
        <v>6262</v>
      </c>
      <c r="F360" s="42" t="s">
        <v>7002</v>
      </c>
      <c r="G360" s="42">
        <v>32</v>
      </c>
      <c r="H360" s="42" t="s">
        <v>0</v>
      </c>
      <c r="I360" s="42" t="s">
        <v>6259</v>
      </c>
      <c r="J360" s="42" t="s">
        <v>6267</v>
      </c>
      <c r="K360" s="42" t="s">
        <v>6268</v>
      </c>
      <c r="L360" s="42" t="s">
        <v>6036</v>
      </c>
      <c r="M360" s="42" t="s">
        <v>6259</v>
      </c>
      <c r="N360" s="43" t="s">
        <v>6259</v>
      </c>
    </row>
    <row r="361" spans="1:14" ht="11.1" customHeight="1">
      <c r="A361" s="44" t="s">
        <v>7003</v>
      </c>
      <c r="B361" s="45" t="s">
        <v>6231</v>
      </c>
      <c r="C361" s="46">
        <v>1737</v>
      </c>
      <c r="D361" s="47">
        <v>6.1039677547448951E-3</v>
      </c>
      <c r="E361" s="48" t="s">
        <v>6262</v>
      </c>
      <c r="F361" s="49" t="s">
        <v>7004</v>
      </c>
      <c r="G361" s="49">
        <v>57</v>
      </c>
      <c r="H361" s="49" t="s">
        <v>0</v>
      </c>
      <c r="I361" s="49" t="s">
        <v>6259</v>
      </c>
      <c r="J361" s="49" t="s">
        <v>6322</v>
      </c>
      <c r="K361" s="49" t="s">
        <v>6259</v>
      </c>
      <c r="L361" s="49" t="s">
        <v>6036</v>
      </c>
      <c r="M361" s="49" t="s">
        <v>6259</v>
      </c>
      <c r="N361" s="50" t="s">
        <v>6259</v>
      </c>
    </row>
    <row r="362" spans="1:14" ht="11.1" customHeight="1">
      <c r="A362" s="51" t="s">
        <v>7005</v>
      </c>
      <c r="B362" s="60" t="s">
        <v>6217</v>
      </c>
      <c r="C362" s="61">
        <v>163470</v>
      </c>
      <c r="D362" s="62">
        <v>0.53245649178693921</v>
      </c>
      <c r="E362" s="63" t="s">
        <v>6251</v>
      </c>
      <c r="F362" s="64" t="s">
        <v>7006</v>
      </c>
      <c r="G362" s="64">
        <v>46</v>
      </c>
      <c r="H362" s="64" t="s">
        <v>0</v>
      </c>
      <c r="I362" s="64" t="s">
        <v>6233</v>
      </c>
      <c r="J362" s="64" t="s">
        <v>6257</v>
      </c>
      <c r="K362" s="64" t="s">
        <v>6596</v>
      </c>
      <c r="L362" s="64" t="s">
        <v>6209</v>
      </c>
      <c r="M362" s="64">
        <v>4</v>
      </c>
      <c r="N362" s="65" t="s">
        <v>6260</v>
      </c>
    </row>
    <row r="363" spans="1:14" ht="11.1" customHeight="1">
      <c r="A363" s="31" t="s">
        <v>7007</v>
      </c>
      <c r="B363" s="38" t="s">
        <v>6232</v>
      </c>
      <c r="C363" s="39">
        <v>124414</v>
      </c>
      <c r="D363" s="40">
        <v>0.40524280888958375</v>
      </c>
      <c r="E363" s="35">
        <v>76.108154401419227</v>
      </c>
      <c r="F363" s="36" t="s">
        <v>7008</v>
      </c>
      <c r="G363" s="36">
        <v>46</v>
      </c>
      <c r="H363" s="36" t="s">
        <v>0</v>
      </c>
      <c r="I363" s="36" t="s">
        <v>6233</v>
      </c>
      <c r="J363" s="36" t="s">
        <v>6253</v>
      </c>
      <c r="K363" s="36" t="s">
        <v>24</v>
      </c>
      <c r="L363" s="36" t="s">
        <v>6036</v>
      </c>
      <c r="M363" s="36" t="s">
        <v>6259</v>
      </c>
      <c r="N363" s="43" t="s">
        <v>6213</v>
      </c>
    </row>
    <row r="364" spans="1:14" ht="11.1" customHeight="1">
      <c r="A364" s="31" t="s">
        <v>7009</v>
      </c>
      <c r="B364" s="38" t="s">
        <v>6231</v>
      </c>
      <c r="C364" s="39">
        <v>15786</v>
      </c>
      <c r="D364" s="40">
        <v>5.1418353088325826E-2</v>
      </c>
      <c r="E364" s="41" t="s">
        <v>6262</v>
      </c>
      <c r="F364" s="42" t="s">
        <v>7010</v>
      </c>
      <c r="G364" s="42">
        <v>32</v>
      </c>
      <c r="H364" s="42" t="s">
        <v>0</v>
      </c>
      <c r="I364" s="42" t="s">
        <v>6259</v>
      </c>
      <c r="J364" s="42" t="s">
        <v>6264</v>
      </c>
      <c r="K364" s="42" t="s">
        <v>6259</v>
      </c>
      <c r="L364" s="42" t="s">
        <v>6036</v>
      </c>
      <c r="M364" s="42" t="s">
        <v>6259</v>
      </c>
      <c r="N364" s="43" t="s">
        <v>6259</v>
      </c>
    </row>
    <row r="365" spans="1:14" ht="11.1" customHeight="1">
      <c r="A365" s="44" t="s">
        <v>7011</v>
      </c>
      <c r="B365" s="45" t="s">
        <v>6231</v>
      </c>
      <c r="C365" s="46">
        <v>3341</v>
      </c>
      <c r="D365" s="47">
        <v>1.0882346235151184E-2</v>
      </c>
      <c r="E365" s="48" t="s">
        <v>6262</v>
      </c>
      <c r="F365" s="49" t="s">
        <v>7012</v>
      </c>
      <c r="G365" s="49">
        <v>35</v>
      </c>
      <c r="H365" s="49" t="s">
        <v>0</v>
      </c>
      <c r="I365" s="49" t="s">
        <v>6259</v>
      </c>
      <c r="J365" s="49" t="s">
        <v>6267</v>
      </c>
      <c r="K365" s="49" t="s">
        <v>6268</v>
      </c>
      <c r="L365" s="49" t="s">
        <v>6036</v>
      </c>
      <c r="M365" s="49" t="s">
        <v>6259</v>
      </c>
      <c r="N365" s="50" t="s">
        <v>6259</v>
      </c>
    </row>
    <row r="366" spans="1:14" ht="11.1" customHeight="1">
      <c r="A366" s="51" t="s">
        <v>7013</v>
      </c>
      <c r="B366" s="52" t="s">
        <v>6217</v>
      </c>
      <c r="C366" s="53">
        <v>167721</v>
      </c>
      <c r="D366" s="54">
        <v>0.58802431738819472</v>
      </c>
      <c r="E366" s="55" t="s">
        <v>6251</v>
      </c>
      <c r="F366" s="56" t="s">
        <v>7014</v>
      </c>
      <c r="G366" s="56">
        <v>40</v>
      </c>
      <c r="H366" s="56" t="s">
        <v>0</v>
      </c>
      <c r="I366" s="56" t="s">
        <v>6233</v>
      </c>
      <c r="J366" s="56" t="s">
        <v>6253</v>
      </c>
      <c r="K366" s="56" t="s">
        <v>6053</v>
      </c>
      <c r="L366" s="56" t="s">
        <v>6036</v>
      </c>
      <c r="M366" s="56" t="s">
        <v>6259</v>
      </c>
      <c r="N366" s="57" t="s">
        <v>6213</v>
      </c>
    </row>
    <row r="367" spans="1:14" ht="11.1" customHeight="1">
      <c r="A367" s="31" t="s">
        <v>7015</v>
      </c>
      <c r="B367" s="38"/>
      <c r="C367" s="39">
        <v>113341</v>
      </c>
      <c r="D367" s="40">
        <v>0.39736982343949401</v>
      </c>
      <c r="E367" s="41">
        <v>67.577107219728006</v>
      </c>
      <c r="F367" s="42" t="s">
        <v>7016</v>
      </c>
      <c r="G367" s="42">
        <v>38</v>
      </c>
      <c r="H367" s="42" t="s">
        <v>0</v>
      </c>
      <c r="I367" s="42" t="s">
        <v>6233</v>
      </c>
      <c r="J367" s="42" t="s">
        <v>6257</v>
      </c>
      <c r="K367" s="42" t="s">
        <v>6350</v>
      </c>
      <c r="L367" s="42" t="s">
        <v>6209</v>
      </c>
      <c r="M367" s="42">
        <v>1</v>
      </c>
      <c r="N367" s="43" t="s">
        <v>6260</v>
      </c>
    </row>
    <row r="368" spans="1:14" ht="11.1" customHeight="1">
      <c r="A368" s="44" t="s">
        <v>7017</v>
      </c>
      <c r="B368" s="45"/>
      <c r="C368" s="46">
        <v>4166</v>
      </c>
      <c r="D368" s="47">
        <v>1.4605859172311273E-2</v>
      </c>
      <c r="E368" s="48" t="s">
        <v>6262</v>
      </c>
      <c r="F368" s="49" t="s">
        <v>7018</v>
      </c>
      <c r="G368" s="49">
        <v>35</v>
      </c>
      <c r="H368" s="49" t="s">
        <v>0</v>
      </c>
      <c r="I368" s="49" t="s">
        <v>6259</v>
      </c>
      <c r="J368" s="49" t="s">
        <v>6267</v>
      </c>
      <c r="K368" s="49" t="s">
        <v>6268</v>
      </c>
      <c r="L368" s="49" t="s">
        <v>6036</v>
      </c>
      <c r="M368" s="49" t="s">
        <v>6259</v>
      </c>
      <c r="N368" s="50" t="s">
        <v>6259</v>
      </c>
    </row>
    <row r="369" spans="1:14" ht="11.1" customHeight="1">
      <c r="A369" s="51" t="s">
        <v>7019</v>
      </c>
      <c r="B369" s="52" t="s">
        <v>6217</v>
      </c>
      <c r="C369" s="53">
        <v>139678</v>
      </c>
      <c r="D369" s="54">
        <v>0.47775702724704305</v>
      </c>
      <c r="E369" s="55" t="s">
        <v>6251</v>
      </c>
      <c r="F369" s="56" t="s">
        <v>7020</v>
      </c>
      <c r="G369" s="56">
        <v>34</v>
      </c>
      <c r="H369" s="56" t="s">
        <v>0</v>
      </c>
      <c r="I369" s="56" t="s">
        <v>6233</v>
      </c>
      <c r="J369" s="56" t="s">
        <v>6253</v>
      </c>
      <c r="K369" s="56" t="s">
        <v>6053</v>
      </c>
      <c r="L369" s="56" t="s">
        <v>6036</v>
      </c>
      <c r="M369" s="56" t="s">
        <v>6259</v>
      </c>
      <c r="N369" s="57" t="s">
        <v>6213</v>
      </c>
    </row>
    <row r="370" spans="1:14" ht="11.1" customHeight="1">
      <c r="A370" s="31" t="s">
        <v>7021</v>
      </c>
      <c r="B370" s="38" t="s">
        <v>6230</v>
      </c>
      <c r="C370" s="39">
        <v>105806</v>
      </c>
      <c r="D370" s="40">
        <v>0.36190065740417704</v>
      </c>
      <c r="E370" s="41">
        <v>75.749939145749508</v>
      </c>
      <c r="F370" s="42" t="s">
        <v>7022</v>
      </c>
      <c r="G370" s="42">
        <v>32</v>
      </c>
      <c r="H370" s="42" t="s">
        <v>6049</v>
      </c>
      <c r="I370" s="42" t="s">
        <v>6233</v>
      </c>
      <c r="J370" s="42" t="s">
        <v>6257</v>
      </c>
      <c r="K370" s="42" t="s">
        <v>6258</v>
      </c>
      <c r="L370" s="42" t="s">
        <v>6036</v>
      </c>
      <c r="M370" s="42" t="s">
        <v>6259</v>
      </c>
      <c r="N370" s="43" t="s">
        <v>6260</v>
      </c>
    </row>
    <row r="371" spans="1:14" ht="11.1" customHeight="1">
      <c r="A371" s="31" t="s">
        <v>7023</v>
      </c>
      <c r="B371" s="38"/>
      <c r="C371" s="39">
        <v>42811</v>
      </c>
      <c r="D371" s="40">
        <v>0.14643147878315238</v>
      </c>
      <c r="E371" s="41" t="s">
        <v>6262</v>
      </c>
      <c r="F371" s="42" t="s">
        <v>7024</v>
      </c>
      <c r="G371" s="42">
        <v>46</v>
      </c>
      <c r="H371" s="42" t="s">
        <v>0</v>
      </c>
      <c r="I371" s="42" t="s">
        <v>6259</v>
      </c>
      <c r="J371" s="42" t="s">
        <v>6322</v>
      </c>
      <c r="K371" s="42" t="s">
        <v>7025</v>
      </c>
      <c r="L371" s="42" t="s">
        <v>6036</v>
      </c>
      <c r="M371" s="42" t="s">
        <v>6259</v>
      </c>
      <c r="N371" s="43" t="s">
        <v>6259</v>
      </c>
    </row>
    <row r="372" spans="1:14" ht="11.1" customHeight="1">
      <c r="A372" s="44" t="s">
        <v>7026</v>
      </c>
      <c r="B372" s="45" t="s">
        <v>6231</v>
      </c>
      <c r="C372" s="46">
        <v>4067</v>
      </c>
      <c r="D372" s="47">
        <v>1.3910836565627544E-2</v>
      </c>
      <c r="E372" s="48" t="s">
        <v>6262</v>
      </c>
      <c r="F372" s="49" t="s">
        <v>7027</v>
      </c>
      <c r="G372" s="49">
        <v>48</v>
      </c>
      <c r="H372" s="49" t="s">
        <v>6049</v>
      </c>
      <c r="I372" s="49" t="s">
        <v>6259</v>
      </c>
      <c r="J372" s="49" t="s">
        <v>6267</v>
      </c>
      <c r="K372" s="49" t="s">
        <v>6268</v>
      </c>
      <c r="L372" s="49" t="s">
        <v>6036</v>
      </c>
      <c r="M372" s="49" t="s">
        <v>6259</v>
      </c>
      <c r="N372" s="50" t="s">
        <v>6259</v>
      </c>
    </row>
    <row r="373" spans="1:14" ht="11.1" customHeight="1">
      <c r="A373" s="51" t="s">
        <v>7028</v>
      </c>
      <c r="B373" s="52" t="s">
        <v>6217</v>
      </c>
      <c r="C373" s="53">
        <v>110239</v>
      </c>
      <c r="D373" s="54">
        <v>0.48815902509011361</v>
      </c>
      <c r="E373" s="55" t="s">
        <v>6251</v>
      </c>
      <c r="F373" s="56" t="s">
        <v>7029</v>
      </c>
      <c r="G373" s="56">
        <v>43</v>
      </c>
      <c r="H373" s="56" t="s">
        <v>0</v>
      </c>
      <c r="I373" s="56" t="s">
        <v>6233</v>
      </c>
      <c r="J373" s="56" t="s">
        <v>6253</v>
      </c>
      <c r="K373" s="56" t="s">
        <v>6035</v>
      </c>
      <c r="L373" s="56" t="s">
        <v>6283</v>
      </c>
      <c r="M373" s="56">
        <v>2</v>
      </c>
      <c r="N373" s="57" t="s">
        <v>6213</v>
      </c>
    </row>
    <row r="374" spans="1:14" ht="11.1" customHeight="1">
      <c r="A374" s="31" t="s">
        <v>7030</v>
      </c>
      <c r="B374" s="38" t="s">
        <v>6230</v>
      </c>
      <c r="C374" s="39">
        <v>82221</v>
      </c>
      <c r="D374" s="40">
        <v>0.36409005163267294</v>
      </c>
      <c r="E374" s="41">
        <v>74.584312266983559</v>
      </c>
      <c r="F374" s="42" t="s">
        <v>7031</v>
      </c>
      <c r="G374" s="42">
        <v>40</v>
      </c>
      <c r="H374" s="42" t="s">
        <v>0</v>
      </c>
      <c r="I374" s="42" t="s">
        <v>6233</v>
      </c>
      <c r="J374" s="42" t="s">
        <v>6257</v>
      </c>
      <c r="K374" s="42" t="s">
        <v>6350</v>
      </c>
      <c r="L374" s="42" t="s">
        <v>6209</v>
      </c>
      <c r="M374" s="42">
        <v>2</v>
      </c>
      <c r="N374" s="43" t="s">
        <v>6260</v>
      </c>
    </row>
    <row r="375" spans="1:14" ht="11.1" customHeight="1">
      <c r="A375" s="31" t="s">
        <v>7032</v>
      </c>
      <c r="B375" s="38" t="s">
        <v>6231</v>
      </c>
      <c r="C375" s="39">
        <v>15832</v>
      </c>
      <c r="D375" s="40">
        <v>7.0107073587629409E-2</v>
      </c>
      <c r="E375" s="41">
        <v>14.361523598726404</v>
      </c>
      <c r="F375" s="42" t="s">
        <v>7033</v>
      </c>
      <c r="G375" s="42">
        <v>50</v>
      </c>
      <c r="H375" s="42" t="s">
        <v>0</v>
      </c>
      <c r="I375" s="42" t="s">
        <v>6233</v>
      </c>
      <c r="J375" s="42" t="s">
        <v>6264</v>
      </c>
      <c r="K375" s="42" t="s">
        <v>6259</v>
      </c>
      <c r="L375" s="42" t="s">
        <v>6036</v>
      </c>
      <c r="M375" s="42" t="s">
        <v>6259</v>
      </c>
      <c r="N375" s="43" t="s">
        <v>6259</v>
      </c>
    </row>
    <row r="376" spans="1:14" ht="11.1" customHeight="1">
      <c r="A376" s="31" t="s">
        <v>7034</v>
      </c>
      <c r="B376" s="38" t="s">
        <v>6231</v>
      </c>
      <c r="C376" s="39">
        <v>14325</v>
      </c>
      <c r="D376" s="40">
        <v>6.3433794160105569E-2</v>
      </c>
      <c r="E376" s="41" t="s">
        <v>6262</v>
      </c>
      <c r="F376" s="42" t="s">
        <v>7035</v>
      </c>
      <c r="G376" s="42">
        <v>30</v>
      </c>
      <c r="H376" s="42" t="s">
        <v>0</v>
      </c>
      <c r="I376" s="42" t="s">
        <v>6259</v>
      </c>
      <c r="J376" s="42" t="s">
        <v>6484</v>
      </c>
      <c r="K376" s="42" t="s">
        <v>6259</v>
      </c>
      <c r="L376" s="42" t="s">
        <v>6036</v>
      </c>
      <c r="M376" s="42" t="s">
        <v>6259</v>
      </c>
      <c r="N376" s="43" t="s">
        <v>6259</v>
      </c>
    </row>
    <row r="377" spans="1:14" ht="11.1" customHeight="1" thickBot="1">
      <c r="A377" s="73" t="s">
        <v>7036</v>
      </c>
      <c r="B377" s="74" t="s">
        <v>6231</v>
      </c>
      <c r="C377" s="75">
        <v>3209</v>
      </c>
      <c r="D377" s="76">
        <v>1.4210055529478448E-2</v>
      </c>
      <c r="E377" s="77" t="s">
        <v>6262</v>
      </c>
      <c r="F377" s="78" t="s">
        <v>7037</v>
      </c>
      <c r="G377" s="78">
        <v>36</v>
      </c>
      <c r="H377" s="78" t="s">
        <v>6049</v>
      </c>
      <c r="I377" s="78" t="s">
        <v>6259</v>
      </c>
      <c r="J377" s="78" t="s">
        <v>6267</v>
      </c>
      <c r="K377" s="78" t="s">
        <v>6268</v>
      </c>
      <c r="L377" s="78" t="s">
        <v>6036</v>
      </c>
      <c r="M377" s="78" t="s">
        <v>6259</v>
      </c>
      <c r="N377" s="79" t="s">
        <v>6259</v>
      </c>
    </row>
    <row r="378" spans="1:14" ht="11.1" customHeight="1">
      <c r="A378" s="80" t="s">
        <v>7038</v>
      </c>
      <c r="B378" s="81" t="s">
        <v>6217</v>
      </c>
      <c r="C378" s="82">
        <v>91422</v>
      </c>
      <c r="D378" s="83">
        <v>0.60243155085499656</v>
      </c>
      <c r="E378" s="84" t="s">
        <v>6251</v>
      </c>
      <c r="F378" s="85" t="s">
        <v>7039</v>
      </c>
      <c r="G378" s="85">
        <v>55</v>
      </c>
      <c r="H378" s="85" t="s">
        <v>0</v>
      </c>
      <c r="I378" s="85" t="s">
        <v>6233</v>
      </c>
      <c r="J378" s="85" t="s">
        <v>6253</v>
      </c>
      <c r="K378" s="85" t="s">
        <v>24</v>
      </c>
      <c r="L378" s="85" t="s">
        <v>6209</v>
      </c>
      <c r="M378" s="85">
        <v>5</v>
      </c>
      <c r="N378" s="86" t="s">
        <v>6213</v>
      </c>
    </row>
    <row r="379" spans="1:14" ht="11.1" customHeight="1">
      <c r="A379" s="31" t="s">
        <v>7040</v>
      </c>
      <c r="B379" s="38" t="s">
        <v>6230</v>
      </c>
      <c r="C379" s="39">
        <v>46881</v>
      </c>
      <c r="D379" s="40">
        <v>0.30892557082138972</v>
      </c>
      <c r="E379" s="41">
        <v>51.279779484150424</v>
      </c>
      <c r="F379" s="42" t="s">
        <v>7041</v>
      </c>
      <c r="G379" s="42">
        <v>48</v>
      </c>
      <c r="H379" s="42" t="s">
        <v>0</v>
      </c>
      <c r="I379" s="42" t="s">
        <v>6233</v>
      </c>
      <c r="J379" s="42" t="s">
        <v>6257</v>
      </c>
      <c r="K379" s="42" t="s">
        <v>6286</v>
      </c>
      <c r="L379" s="42" t="s">
        <v>6209</v>
      </c>
      <c r="M379" s="42">
        <v>1</v>
      </c>
      <c r="N379" s="43" t="s">
        <v>6260</v>
      </c>
    </row>
    <row r="380" spans="1:14" ht="11.1" customHeight="1">
      <c r="A380" s="31" t="s">
        <v>7042</v>
      </c>
      <c r="B380" s="38" t="s">
        <v>6231</v>
      </c>
      <c r="C380" s="39">
        <v>11972</v>
      </c>
      <c r="D380" s="40">
        <v>7.8890316628776644E-2</v>
      </c>
      <c r="E380" s="41">
        <v>13.095316225853733</v>
      </c>
      <c r="F380" s="42" t="s">
        <v>7043</v>
      </c>
      <c r="G380" s="42">
        <v>57</v>
      </c>
      <c r="H380" s="42" t="s">
        <v>6049</v>
      </c>
      <c r="I380" s="42" t="s">
        <v>6233</v>
      </c>
      <c r="J380" s="42" t="s">
        <v>6264</v>
      </c>
      <c r="K380" s="42" t="s">
        <v>6259</v>
      </c>
      <c r="L380" s="42" t="s">
        <v>6036</v>
      </c>
      <c r="M380" s="42" t="s">
        <v>6259</v>
      </c>
      <c r="N380" s="43" t="s">
        <v>6259</v>
      </c>
    </row>
    <row r="381" spans="1:14" ht="11.1" customHeight="1">
      <c r="A381" s="44" t="s">
        <v>7044</v>
      </c>
      <c r="B381" s="45" t="s">
        <v>6231</v>
      </c>
      <c r="C381" s="46">
        <v>1480</v>
      </c>
      <c r="D381" s="47">
        <v>9.7525616948370732E-3</v>
      </c>
      <c r="E381" s="48" t="s">
        <v>6262</v>
      </c>
      <c r="F381" s="49" t="s">
        <v>7045</v>
      </c>
      <c r="G381" s="49">
        <v>48</v>
      </c>
      <c r="H381" s="49" t="s">
        <v>0</v>
      </c>
      <c r="I381" s="49" t="s">
        <v>6259</v>
      </c>
      <c r="J381" s="49" t="s">
        <v>6267</v>
      </c>
      <c r="K381" s="49" t="s">
        <v>6268</v>
      </c>
      <c r="L381" s="49" t="s">
        <v>6036</v>
      </c>
      <c r="M381" s="49" t="s">
        <v>6259</v>
      </c>
      <c r="N381" s="50" t="s">
        <v>6259</v>
      </c>
    </row>
    <row r="382" spans="1:14" ht="11.1" customHeight="1">
      <c r="A382" s="51" t="s">
        <v>7046</v>
      </c>
      <c r="B382" s="52" t="s">
        <v>6217</v>
      </c>
      <c r="C382" s="53">
        <v>66868</v>
      </c>
      <c r="D382" s="54">
        <v>0.37551946447424578</v>
      </c>
      <c r="E382" s="55" t="s">
        <v>6251</v>
      </c>
      <c r="F382" s="56" t="s">
        <v>7047</v>
      </c>
      <c r="G382" s="56">
        <v>38</v>
      </c>
      <c r="H382" s="56" t="s">
        <v>0</v>
      </c>
      <c r="I382" s="56" t="s">
        <v>6233</v>
      </c>
      <c r="J382" s="56" t="s">
        <v>6253</v>
      </c>
      <c r="K382" s="56" t="s">
        <v>6053</v>
      </c>
      <c r="L382" s="56" t="s">
        <v>6036</v>
      </c>
      <c r="M382" s="56" t="s">
        <v>6259</v>
      </c>
      <c r="N382" s="57" t="s">
        <v>6259</v>
      </c>
    </row>
    <row r="383" spans="1:14" ht="11.1" customHeight="1">
      <c r="A383" s="31" t="s">
        <v>7048</v>
      </c>
      <c r="B383" s="38" t="s">
        <v>6230</v>
      </c>
      <c r="C383" s="39">
        <v>57213</v>
      </c>
      <c r="D383" s="40">
        <v>0.32129860502729296</v>
      </c>
      <c r="E383" s="41" t="s">
        <v>6262</v>
      </c>
      <c r="F383" s="42" t="s">
        <v>7049</v>
      </c>
      <c r="G383" s="42">
        <v>41</v>
      </c>
      <c r="H383" s="42" t="s">
        <v>0</v>
      </c>
      <c r="I383" s="42" t="s">
        <v>6259</v>
      </c>
      <c r="J383" s="42" t="s">
        <v>6322</v>
      </c>
      <c r="K383" s="42" t="s">
        <v>6360</v>
      </c>
      <c r="L383" s="42" t="s">
        <v>6209</v>
      </c>
      <c r="M383" s="42">
        <v>1</v>
      </c>
      <c r="N383" s="43" t="s">
        <v>6259</v>
      </c>
    </row>
    <row r="384" spans="1:14" ht="11.1" customHeight="1">
      <c r="A384" s="31" t="s">
        <v>7050</v>
      </c>
      <c r="B384" s="38" t="s">
        <v>6230</v>
      </c>
      <c r="C384" s="39">
        <v>52773</v>
      </c>
      <c r="D384" s="40">
        <v>0.29636431026349486</v>
      </c>
      <c r="E384" s="41" t="s">
        <v>6262</v>
      </c>
      <c r="F384" s="42" t="s">
        <v>7051</v>
      </c>
      <c r="G384" s="42">
        <v>79</v>
      </c>
      <c r="H384" s="42" t="s">
        <v>0</v>
      </c>
      <c r="I384" s="42" t="s">
        <v>6259</v>
      </c>
      <c r="J384" s="42" t="s">
        <v>6257</v>
      </c>
      <c r="K384" s="42" t="s">
        <v>6402</v>
      </c>
      <c r="L384" s="42" t="s">
        <v>6209</v>
      </c>
      <c r="M384" s="42">
        <v>10</v>
      </c>
      <c r="N384" s="43" t="s">
        <v>6260</v>
      </c>
    </row>
    <row r="385" spans="1:14" ht="11.1" customHeight="1">
      <c r="A385" s="44" t="s">
        <v>7052</v>
      </c>
      <c r="B385" s="45" t="s">
        <v>6231</v>
      </c>
      <c r="C385" s="46">
        <v>1214</v>
      </c>
      <c r="D385" s="47">
        <v>6.8176202349664169E-3</v>
      </c>
      <c r="E385" s="48" t="s">
        <v>6262</v>
      </c>
      <c r="F385" s="49" t="s">
        <v>7053</v>
      </c>
      <c r="G385" s="49">
        <v>69</v>
      </c>
      <c r="H385" s="49" t="s">
        <v>0</v>
      </c>
      <c r="I385" s="49" t="s">
        <v>6259</v>
      </c>
      <c r="J385" s="49" t="s">
        <v>6267</v>
      </c>
      <c r="K385" s="49" t="s">
        <v>6268</v>
      </c>
      <c r="L385" s="49" t="s">
        <v>6036</v>
      </c>
      <c r="M385" s="49" t="s">
        <v>6259</v>
      </c>
      <c r="N385" s="50" t="s">
        <v>6259</v>
      </c>
    </row>
    <row r="386" spans="1:14" ht="11.1" customHeight="1">
      <c r="A386" s="51" t="s">
        <v>7054</v>
      </c>
      <c r="B386" s="52" t="s">
        <v>6217</v>
      </c>
      <c r="C386" s="53">
        <v>112894</v>
      </c>
      <c r="D386" s="54">
        <v>0.62660753634128341</v>
      </c>
      <c r="E386" s="55" t="s">
        <v>6251</v>
      </c>
      <c r="F386" s="56" t="s">
        <v>7055</v>
      </c>
      <c r="G386" s="56">
        <v>52</v>
      </c>
      <c r="H386" s="56" t="s">
        <v>0</v>
      </c>
      <c r="I386" s="56" t="s">
        <v>6233</v>
      </c>
      <c r="J386" s="56" t="s">
        <v>6253</v>
      </c>
      <c r="K386" s="56" t="s">
        <v>6207</v>
      </c>
      <c r="L386" s="56" t="s">
        <v>6209</v>
      </c>
      <c r="M386" s="56">
        <v>2</v>
      </c>
      <c r="N386" s="57" t="s">
        <v>6213</v>
      </c>
    </row>
    <row r="387" spans="1:14" ht="11.1" customHeight="1">
      <c r="A387" s="31" t="s">
        <v>7056</v>
      </c>
      <c r="B387" s="38" t="s">
        <v>6230</v>
      </c>
      <c r="C387" s="39">
        <v>63611</v>
      </c>
      <c r="D387" s="40">
        <v>0.35306687684204102</v>
      </c>
      <c r="E387" s="41">
        <v>56.345775683384417</v>
      </c>
      <c r="F387" s="42" t="s">
        <v>7057</v>
      </c>
      <c r="G387" s="42">
        <v>56</v>
      </c>
      <c r="H387" s="42" t="s">
        <v>0</v>
      </c>
      <c r="I387" s="42" t="s">
        <v>6233</v>
      </c>
      <c r="J387" s="42" t="s">
        <v>6257</v>
      </c>
      <c r="K387" s="42" t="s">
        <v>6258</v>
      </c>
      <c r="L387" s="42" t="s">
        <v>6209</v>
      </c>
      <c r="M387" s="42">
        <v>1</v>
      </c>
      <c r="N387" s="43" t="s">
        <v>6259</v>
      </c>
    </row>
    <row r="388" spans="1:14" ht="11.1" customHeight="1" thickBot="1">
      <c r="A388" s="66" t="s">
        <v>7058</v>
      </c>
      <c r="B388" s="67" t="s">
        <v>6231</v>
      </c>
      <c r="C388" s="68">
        <v>3662</v>
      </c>
      <c r="D388" s="69">
        <v>2.032558681667564E-2</v>
      </c>
      <c r="E388" s="70" t="s">
        <v>6262</v>
      </c>
      <c r="F388" s="71" t="s">
        <v>7059</v>
      </c>
      <c r="G388" s="71">
        <v>47</v>
      </c>
      <c r="H388" s="71" t="s">
        <v>0</v>
      </c>
      <c r="I388" s="71" t="s">
        <v>6259</v>
      </c>
      <c r="J388" s="71" t="s">
        <v>6267</v>
      </c>
      <c r="K388" s="71" t="s">
        <v>6268</v>
      </c>
      <c r="L388" s="71" t="s">
        <v>6036</v>
      </c>
      <c r="M388" s="71" t="s">
        <v>6259</v>
      </c>
      <c r="N388" s="72" t="s">
        <v>6259</v>
      </c>
    </row>
    <row r="389" spans="1:14" ht="11.1" customHeight="1" thickTop="1">
      <c r="A389" s="31" t="s">
        <v>7060</v>
      </c>
      <c r="B389" s="32" t="s">
        <v>6217</v>
      </c>
      <c r="C389" s="33">
        <v>141742</v>
      </c>
      <c r="D389" s="34">
        <v>0.47428668944263569</v>
      </c>
      <c r="E389" s="35" t="s">
        <v>6251</v>
      </c>
      <c r="F389" s="36" t="s">
        <v>7061</v>
      </c>
      <c r="G389" s="36">
        <v>60</v>
      </c>
      <c r="H389" s="36" t="s">
        <v>0</v>
      </c>
      <c r="I389" s="36" t="s">
        <v>6233</v>
      </c>
      <c r="J389" s="36" t="s">
        <v>6253</v>
      </c>
      <c r="K389" s="36" t="s">
        <v>7062</v>
      </c>
      <c r="L389" s="36" t="s">
        <v>6283</v>
      </c>
      <c r="M389" s="36">
        <v>4</v>
      </c>
      <c r="N389" s="37" t="s">
        <v>6213</v>
      </c>
    </row>
    <row r="390" spans="1:14" ht="11.1" customHeight="1">
      <c r="A390" s="31" t="s">
        <v>7063</v>
      </c>
      <c r="B390" s="38" t="s">
        <v>6232</v>
      </c>
      <c r="C390" s="39">
        <v>130030</v>
      </c>
      <c r="D390" s="40">
        <v>0.4350968536370724</v>
      </c>
      <c r="E390" s="58">
        <v>91.737099801046966</v>
      </c>
      <c r="F390" s="59" t="s">
        <v>7064</v>
      </c>
      <c r="G390" s="59">
        <v>71</v>
      </c>
      <c r="H390" s="59" t="s">
        <v>0</v>
      </c>
      <c r="I390" s="59" t="s">
        <v>6233</v>
      </c>
      <c r="J390" s="59" t="s">
        <v>6257</v>
      </c>
      <c r="K390" s="59" t="s">
        <v>6258</v>
      </c>
      <c r="L390" s="59" t="s">
        <v>6209</v>
      </c>
      <c r="M390" s="59">
        <v>9</v>
      </c>
      <c r="N390" s="43" t="s">
        <v>6260</v>
      </c>
    </row>
    <row r="391" spans="1:14" ht="11.1" customHeight="1">
      <c r="A391" s="31" t="s">
        <v>7065</v>
      </c>
      <c r="B391" s="38" t="s">
        <v>6231</v>
      </c>
      <c r="C391" s="39">
        <v>19288</v>
      </c>
      <c r="D391" s="40">
        <v>6.4540091616948805E-2</v>
      </c>
      <c r="E391" s="41" t="s">
        <v>6262</v>
      </c>
      <c r="F391" s="42" t="s">
        <v>7066</v>
      </c>
      <c r="G391" s="42">
        <v>33</v>
      </c>
      <c r="H391" s="42" t="s">
        <v>0</v>
      </c>
      <c r="I391" s="42" t="s">
        <v>6259</v>
      </c>
      <c r="J391" s="42" t="s">
        <v>6264</v>
      </c>
      <c r="K391" s="42" t="s">
        <v>6259</v>
      </c>
      <c r="L391" s="42" t="s">
        <v>6036</v>
      </c>
      <c r="M391" s="42" t="s">
        <v>6259</v>
      </c>
      <c r="N391" s="43" t="s">
        <v>6259</v>
      </c>
    </row>
    <row r="392" spans="1:14" ht="11.1" customHeight="1">
      <c r="A392" s="31" t="s">
        <v>7067</v>
      </c>
      <c r="B392" s="38" t="s">
        <v>6231</v>
      </c>
      <c r="C392" s="39">
        <v>2718</v>
      </c>
      <c r="D392" s="40">
        <v>9.0947723462705739E-3</v>
      </c>
      <c r="E392" s="41" t="s">
        <v>6262</v>
      </c>
      <c r="F392" s="42" t="s">
        <v>7068</v>
      </c>
      <c r="G392" s="42">
        <v>47</v>
      </c>
      <c r="H392" s="42" t="s">
        <v>6049</v>
      </c>
      <c r="I392" s="42" t="s">
        <v>6259</v>
      </c>
      <c r="J392" s="42" t="s">
        <v>6267</v>
      </c>
      <c r="K392" s="42" t="s">
        <v>6268</v>
      </c>
      <c r="L392" s="42" t="s">
        <v>6036</v>
      </c>
      <c r="M392" s="42" t="s">
        <v>6259</v>
      </c>
      <c r="N392" s="43" t="s">
        <v>6259</v>
      </c>
    </row>
    <row r="393" spans="1:14" ht="11.1" customHeight="1">
      <c r="A393" s="31" t="s">
        <v>7069</v>
      </c>
      <c r="B393" s="38" t="s">
        <v>6231</v>
      </c>
      <c r="C393" s="39">
        <v>1418</v>
      </c>
      <c r="D393" s="40">
        <v>4.7448076479071647E-3</v>
      </c>
      <c r="E393" s="41" t="s">
        <v>6262</v>
      </c>
      <c r="F393" s="42" t="s">
        <v>6172</v>
      </c>
      <c r="G393" s="42">
        <v>43</v>
      </c>
      <c r="H393" s="42" t="s">
        <v>0</v>
      </c>
      <c r="I393" s="42" t="s">
        <v>6259</v>
      </c>
      <c r="J393" s="42" t="s">
        <v>6322</v>
      </c>
      <c r="K393" s="42" t="s">
        <v>6259</v>
      </c>
      <c r="L393" s="42" t="s">
        <v>6036</v>
      </c>
      <c r="M393" s="42" t="s">
        <v>6259</v>
      </c>
      <c r="N393" s="43" t="s">
        <v>6259</v>
      </c>
    </row>
    <row r="394" spans="1:14" ht="11.1" customHeight="1">
      <c r="A394" s="31" t="s">
        <v>7070</v>
      </c>
      <c r="B394" s="38" t="s">
        <v>6231</v>
      </c>
      <c r="C394" s="39">
        <v>1300</v>
      </c>
      <c r="D394" s="40">
        <v>4.3499646983634092E-3</v>
      </c>
      <c r="E394" s="41" t="s">
        <v>6262</v>
      </c>
      <c r="F394" s="42" t="s">
        <v>7071</v>
      </c>
      <c r="G394" s="42">
        <v>39</v>
      </c>
      <c r="H394" s="42" t="s">
        <v>0</v>
      </c>
      <c r="I394" s="42" t="s">
        <v>6259</v>
      </c>
      <c r="J394" s="42" t="s">
        <v>6322</v>
      </c>
      <c r="K394" s="42" t="s">
        <v>6259</v>
      </c>
      <c r="L394" s="42" t="s">
        <v>6036</v>
      </c>
      <c r="M394" s="42" t="s">
        <v>6259</v>
      </c>
      <c r="N394" s="43" t="s">
        <v>6259</v>
      </c>
    </row>
    <row r="395" spans="1:14" ht="11.1" customHeight="1">
      <c r="A395" s="31" t="s">
        <v>7072</v>
      </c>
      <c r="B395" s="38" t="s">
        <v>6231</v>
      </c>
      <c r="C395" s="39">
        <v>987</v>
      </c>
      <c r="D395" s="40">
        <v>3.3026270440651424E-3</v>
      </c>
      <c r="E395" s="41" t="s">
        <v>6262</v>
      </c>
      <c r="F395" s="42" t="s">
        <v>7073</v>
      </c>
      <c r="G395" s="42">
        <v>60</v>
      </c>
      <c r="H395" s="42" t="s">
        <v>0</v>
      </c>
      <c r="I395" s="42" t="s">
        <v>6259</v>
      </c>
      <c r="J395" s="42" t="s">
        <v>6267</v>
      </c>
      <c r="K395" s="42" t="s">
        <v>7074</v>
      </c>
      <c r="L395" s="42" t="s">
        <v>6036</v>
      </c>
      <c r="M395" s="42" t="s">
        <v>6259</v>
      </c>
      <c r="N395" s="43" t="s">
        <v>6259</v>
      </c>
    </row>
    <row r="396" spans="1:14" ht="11.1" customHeight="1">
      <c r="A396" s="31" t="s">
        <v>7075</v>
      </c>
      <c r="B396" s="38" t="s">
        <v>6231</v>
      </c>
      <c r="C396" s="39">
        <v>718</v>
      </c>
      <c r="D396" s="40">
        <v>2.4025189641730216E-3</v>
      </c>
      <c r="E396" s="41" t="s">
        <v>6262</v>
      </c>
      <c r="F396" s="42" t="s">
        <v>7076</v>
      </c>
      <c r="G396" s="42">
        <v>65</v>
      </c>
      <c r="H396" s="42" t="s">
        <v>0</v>
      </c>
      <c r="I396" s="42" t="s">
        <v>6259</v>
      </c>
      <c r="J396" s="42" t="s">
        <v>6267</v>
      </c>
      <c r="K396" s="42" t="s">
        <v>7077</v>
      </c>
      <c r="L396" s="42" t="s">
        <v>6036</v>
      </c>
      <c r="M396" s="42" t="s">
        <v>6259</v>
      </c>
      <c r="N396" s="43" t="s">
        <v>6259</v>
      </c>
    </row>
    <row r="397" spans="1:14" ht="11.1" customHeight="1">
      <c r="A397" s="44" t="s">
        <v>7078</v>
      </c>
      <c r="B397" s="45" t="s">
        <v>6231</v>
      </c>
      <c r="C397" s="46">
        <v>652</v>
      </c>
      <c r="D397" s="47">
        <v>2.1816746025638024E-3</v>
      </c>
      <c r="E397" s="48" t="s">
        <v>6262</v>
      </c>
      <c r="F397" s="49" t="s">
        <v>7079</v>
      </c>
      <c r="G397" s="49">
        <v>38</v>
      </c>
      <c r="H397" s="49" t="s">
        <v>0</v>
      </c>
      <c r="I397" s="49" t="s">
        <v>6259</v>
      </c>
      <c r="J397" s="49" t="s">
        <v>6322</v>
      </c>
      <c r="K397" s="49" t="s">
        <v>6259</v>
      </c>
      <c r="L397" s="49" t="s">
        <v>6036</v>
      </c>
      <c r="M397" s="49" t="s">
        <v>6259</v>
      </c>
      <c r="N397" s="50" t="s">
        <v>6259</v>
      </c>
    </row>
    <row r="398" spans="1:14" ht="11.1" customHeight="1">
      <c r="A398" s="51" t="s">
        <v>7080</v>
      </c>
      <c r="B398" s="52" t="s">
        <v>6217</v>
      </c>
      <c r="C398" s="53">
        <v>138603</v>
      </c>
      <c r="D398" s="54">
        <v>0.51028462662773955</v>
      </c>
      <c r="E398" s="55" t="s">
        <v>6251</v>
      </c>
      <c r="F398" s="56" t="s">
        <v>7081</v>
      </c>
      <c r="G398" s="56">
        <v>64</v>
      </c>
      <c r="H398" s="56" t="s">
        <v>0</v>
      </c>
      <c r="I398" s="56" t="s">
        <v>6233</v>
      </c>
      <c r="J398" s="56" t="s">
        <v>6253</v>
      </c>
      <c r="K398" s="56" t="s">
        <v>6207</v>
      </c>
      <c r="L398" s="56" t="s">
        <v>6283</v>
      </c>
      <c r="M398" s="56">
        <v>3</v>
      </c>
      <c r="N398" s="57" t="s">
        <v>6213</v>
      </c>
    </row>
    <row r="399" spans="1:14" ht="11.1" customHeight="1">
      <c r="A399" s="31" t="s">
        <v>7082</v>
      </c>
      <c r="B399" s="38" t="s">
        <v>6230</v>
      </c>
      <c r="C399" s="39">
        <v>98593</v>
      </c>
      <c r="D399" s="40">
        <v>0.36298270739528532</v>
      </c>
      <c r="E399" s="41" t="s">
        <v>6262</v>
      </c>
      <c r="F399" s="42" t="s">
        <v>7083</v>
      </c>
      <c r="G399" s="42">
        <v>73</v>
      </c>
      <c r="H399" s="42" t="s">
        <v>0</v>
      </c>
      <c r="I399" s="42" t="s">
        <v>6259</v>
      </c>
      <c r="J399" s="42" t="s">
        <v>6257</v>
      </c>
      <c r="K399" s="42" t="s">
        <v>6350</v>
      </c>
      <c r="L399" s="42" t="s">
        <v>6209</v>
      </c>
      <c r="M399" s="42">
        <v>9</v>
      </c>
      <c r="N399" s="43" t="s">
        <v>6260</v>
      </c>
    </row>
    <row r="400" spans="1:14" ht="11.1" customHeight="1">
      <c r="A400" s="31" t="s">
        <v>7084</v>
      </c>
      <c r="B400" s="38" t="s">
        <v>6231</v>
      </c>
      <c r="C400" s="39">
        <v>26172</v>
      </c>
      <c r="D400" s="40">
        <v>9.6355556864578695E-2</v>
      </c>
      <c r="E400" s="41" t="s">
        <v>6262</v>
      </c>
      <c r="F400" s="42" t="s">
        <v>7085</v>
      </c>
      <c r="G400" s="42">
        <v>65</v>
      </c>
      <c r="H400" s="42" t="s">
        <v>0</v>
      </c>
      <c r="I400" s="42" t="s">
        <v>6259</v>
      </c>
      <c r="J400" s="42" t="s">
        <v>6264</v>
      </c>
      <c r="K400" s="42" t="s">
        <v>6259</v>
      </c>
      <c r="L400" s="42" t="s">
        <v>6036</v>
      </c>
      <c r="M400" s="42" t="s">
        <v>6259</v>
      </c>
      <c r="N400" s="43" t="s">
        <v>6259</v>
      </c>
    </row>
    <row r="401" spans="1:14" ht="11.1" customHeight="1">
      <c r="A401" s="31" t="s">
        <v>7086</v>
      </c>
      <c r="B401" s="38" t="s">
        <v>6231</v>
      </c>
      <c r="C401" s="39">
        <v>4579</v>
      </c>
      <c r="D401" s="40">
        <v>1.685817266096996E-2</v>
      </c>
      <c r="E401" s="41" t="s">
        <v>6262</v>
      </c>
      <c r="F401" s="42" t="s">
        <v>7087</v>
      </c>
      <c r="G401" s="42">
        <v>57</v>
      </c>
      <c r="H401" s="42" t="s">
        <v>6049</v>
      </c>
      <c r="I401" s="42" t="s">
        <v>6259</v>
      </c>
      <c r="J401" s="42" t="s">
        <v>6322</v>
      </c>
      <c r="K401" s="42" t="s">
        <v>6259</v>
      </c>
      <c r="L401" s="42" t="s">
        <v>6036</v>
      </c>
      <c r="M401" s="42" t="s">
        <v>6259</v>
      </c>
      <c r="N401" s="43" t="s">
        <v>6259</v>
      </c>
    </row>
    <row r="402" spans="1:14" ht="11.1" customHeight="1">
      <c r="A402" s="31" t="s">
        <v>7088</v>
      </c>
      <c r="B402" s="38" t="s">
        <v>6231</v>
      </c>
      <c r="C402" s="39">
        <v>1924</v>
      </c>
      <c r="D402" s="40">
        <v>7.0834514522179967E-3</v>
      </c>
      <c r="E402" s="41" t="s">
        <v>6262</v>
      </c>
      <c r="F402" s="42" t="s">
        <v>7089</v>
      </c>
      <c r="G402" s="42">
        <v>46</v>
      </c>
      <c r="H402" s="42" t="s">
        <v>0</v>
      </c>
      <c r="I402" s="42" t="s">
        <v>6259</v>
      </c>
      <c r="J402" s="42" t="s">
        <v>6267</v>
      </c>
      <c r="K402" s="42" t="s">
        <v>6268</v>
      </c>
      <c r="L402" s="42" t="s">
        <v>6036</v>
      </c>
      <c r="M402" s="42" t="s">
        <v>6259</v>
      </c>
      <c r="N402" s="43" t="s">
        <v>6259</v>
      </c>
    </row>
    <row r="403" spans="1:14" ht="11.1" customHeight="1">
      <c r="A403" s="44" t="s">
        <v>7090</v>
      </c>
      <c r="B403" s="38" t="s">
        <v>6231</v>
      </c>
      <c r="C403" s="46">
        <v>1748</v>
      </c>
      <c r="D403" s="47">
        <v>6.4354849992084504E-3</v>
      </c>
      <c r="E403" s="48" t="s">
        <v>6262</v>
      </c>
      <c r="F403" s="49" t="s">
        <v>7091</v>
      </c>
      <c r="G403" s="49">
        <v>41</v>
      </c>
      <c r="H403" s="49" t="s">
        <v>0</v>
      </c>
      <c r="I403" s="49" t="s">
        <v>6259</v>
      </c>
      <c r="J403" s="49" t="s">
        <v>6322</v>
      </c>
      <c r="K403" s="49" t="s">
        <v>6259</v>
      </c>
      <c r="L403" s="49" t="s">
        <v>6036</v>
      </c>
      <c r="M403" s="49" t="s">
        <v>6259</v>
      </c>
      <c r="N403" s="50" t="s">
        <v>6259</v>
      </c>
    </row>
    <row r="404" spans="1:14" ht="11.1" customHeight="1">
      <c r="A404" s="51" t="s">
        <v>7092</v>
      </c>
      <c r="B404" s="52" t="s">
        <v>6217</v>
      </c>
      <c r="C404" s="53">
        <v>163791</v>
      </c>
      <c r="D404" s="54">
        <v>0.52210792735989497</v>
      </c>
      <c r="E404" s="55" t="s">
        <v>6251</v>
      </c>
      <c r="F404" s="56" t="s">
        <v>7093</v>
      </c>
      <c r="G404" s="56">
        <v>53</v>
      </c>
      <c r="H404" s="56" t="s">
        <v>0</v>
      </c>
      <c r="I404" s="56" t="s">
        <v>6233</v>
      </c>
      <c r="J404" s="56" t="s">
        <v>6253</v>
      </c>
      <c r="K404" s="56" t="s">
        <v>6207</v>
      </c>
      <c r="L404" s="56" t="s">
        <v>6209</v>
      </c>
      <c r="M404" s="56">
        <v>3</v>
      </c>
      <c r="N404" s="57" t="s">
        <v>6779</v>
      </c>
    </row>
    <row r="405" spans="1:14" ht="11.1" customHeight="1">
      <c r="A405" s="31" t="s">
        <v>7094</v>
      </c>
      <c r="B405" s="38" t="s">
        <v>6230</v>
      </c>
      <c r="C405" s="39">
        <v>121699</v>
      </c>
      <c r="D405" s="40">
        <v>0.3879334801776157</v>
      </c>
      <c r="E405" s="41">
        <v>74.301396291615532</v>
      </c>
      <c r="F405" s="42" t="s">
        <v>7095</v>
      </c>
      <c r="G405" s="42">
        <v>45</v>
      </c>
      <c r="H405" s="42" t="s">
        <v>0</v>
      </c>
      <c r="I405" s="42" t="s">
        <v>6233</v>
      </c>
      <c r="J405" s="42" t="s">
        <v>6257</v>
      </c>
      <c r="K405" s="42" t="s">
        <v>6258</v>
      </c>
      <c r="L405" s="42" t="s">
        <v>6209</v>
      </c>
      <c r="M405" s="42">
        <v>1</v>
      </c>
      <c r="N405" s="43" t="s">
        <v>6260</v>
      </c>
    </row>
    <row r="406" spans="1:14" ht="11.1" customHeight="1">
      <c r="A406" s="44" t="s">
        <v>7096</v>
      </c>
      <c r="B406" s="45" t="s">
        <v>6231</v>
      </c>
      <c r="C406" s="46">
        <v>28221</v>
      </c>
      <c r="D406" s="47">
        <v>8.9958592462489356E-2</v>
      </c>
      <c r="E406" s="48" t="s">
        <v>6262</v>
      </c>
      <c r="F406" s="49" t="s">
        <v>7097</v>
      </c>
      <c r="G406" s="49">
        <v>66</v>
      </c>
      <c r="H406" s="49" t="s">
        <v>0</v>
      </c>
      <c r="I406" s="49" t="s">
        <v>6259</v>
      </c>
      <c r="J406" s="49" t="s">
        <v>6264</v>
      </c>
      <c r="K406" s="49" t="s">
        <v>6259</v>
      </c>
      <c r="L406" s="49" t="s">
        <v>6036</v>
      </c>
      <c r="M406" s="49" t="s">
        <v>6259</v>
      </c>
      <c r="N406" s="50" t="s">
        <v>6259</v>
      </c>
    </row>
    <row r="407" spans="1:14" ht="11.1" customHeight="1">
      <c r="A407" s="51" t="s">
        <v>7098</v>
      </c>
      <c r="B407" s="52" t="s">
        <v>6217</v>
      </c>
      <c r="C407" s="53">
        <v>100067</v>
      </c>
      <c r="D407" s="54">
        <v>0.37520153579650695</v>
      </c>
      <c r="E407" s="55" t="s">
        <v>6251</v>
      </c>
      <c r="F407" s="56" t="s">
        <v>7099</v>
      </c>
      <c r="G407" s="56">
        <v>36</v>
      </c>
      <c r="H407" s="56" t="s">
        <v>0</v>
      </c>
      <c r="I407" s="56" t="s">
        <v>6233</v>
      </c>
      <c r="J407" s="56" t="s">
        <v>6253</v>
      </c>
      <c r="K407" s="56" t="s">
        <v>6053</v>
      </c>
      <c r="L407" s="56" t="s">
        <v>6036</v>
      </c>
      <c r="M407" s="56" t="s">
        <v>6259</v>
      </c>
      <c r="N407" s="57" t="s">
        <v>6779</v>
      </c>
    </row>
    <row r="408" spans="1:14" ht="11.1" customHeight="1">
      <c r="A408" s="31" t="s">
        <v>7100</v>
      </c>
      <c r="B408" s="38" t="s">
        <v>6232</v>
      </c>
      <c r="C408" s="39">
        <v>93583</v>
      </c>
      <c r="D408" s="40">
        <v>0.35088975710718329</v>
      </c>
      <c r="E408" s="58">
        <v>93.520341371281248</v>
      </c>
      <c r="F408" s="59" t="s">
        <v>7101</v>
      </c>
      <c r="G408" s="59">
        <v>42</v>
      </c>
      <c r="H408" s="59" t="s">
        <v>0</v>
      </c>
      <c r="I408" s="59" t="s">
        <v>6233</v>
      </c>
      <c r="J408" s="59" t="s">
        <v>6257</v>
      </c>
      <c r="K408" s="59" t="s">
        <v>6350</v>
      </c>
      <c r="L408" s="59" t="s">
        <v>6209</v>
      </c>
      <c r="M408" s="59">
        <v>1</v>
      </c>
      <c r="N408" s="43" t="s">
        <v>6260</v>
      </c>
    </row>
    <row r="409" spans="1:14" ht="11.1" customHeight="1">
      <c r="A409" s="31" t="s">
        <v>7102</v>
      </c>
      <c r="B409" s="38" t="s">
        <v>6230</v>
      </c>
      <c r="C409" s="39">
        <v>46107</v>
      </c>
      <c r="D409" s="40">
        <v>0.17287834361947041</v>
      </c>
      <c r="E409" s="41" t="s">
        <v>6262</v>
      </c>
      <c r="F409" s="42" t="s">
        <v>7103</v>
      </c>
      <c r="G409" s="42">
        <v>42</v>
      </c>
      <c r="H409" s="42" t="s">
        <v>0</v>
      </c>
      <c r="I409" s="42" t="s">
        <v>6259</v>
      </c>
      <c r="J409" s="42" t="s">
        <v>6322</v>
      </c>
      <c r="K409" s="42" t="s">
        <v>6360</v>
      </c>
      <c r="L409" s="42" t="s">
        <v>6283</v>
      </c>
      <c r="M409" s="42">
        <v>2</v>
      </c>
      <c r="N409" s="43" t="s">
        <v>6259</v>
      </c>
    </row>
    <row r="410" spans="1:14" ht="11.1" customHeight="1">
      <c r="A410" s="31" t="s">
        <v>7104</v>
      </c>
      <c r="B410" s="38" t="s">
        <v>6231</v>
      </c>
      <c r="C410" s="39">
        <v>23622</v>
      </c>
      <c r="D410" s="40">
        <v>8.8570764373720481E-2</v>
      </c>
      <c r="E410" s="41" t="s">
        <v>6262</v>
      </c>
      <c r="F410" s="42" t="s">
        <v>7105</v>
      </c>
      <c r="G410" s="42">
        <v>76</v>
      </c>
      <c r="H410" s="42" t="s">
        <v>0</v>
      </c>
      <c r="I410" s="42" t="s">
        <v>6259</v>
      </c>
      <c r="J410" s="42" t="s">
        <v>6264</v>
      </c>
      <c r="K410" s="42" t="s">
        <v>6259</v>
      </c>
      <c r="L410" s="42" t="s">
        <v>6036</v>
      </c>
      <c r="M410" s="42" t="s">
        <v>6259</v>
      </c>
      <c r="N410" s="43" t="s">
        <v>6259</v>
      </c>
    </row>
    <row r="411" spans="1:14" ht="11.1" customHeight="1">
      <c r="A411" s="44" t="s">
        <v>7106</v>
      </c>
      <c r="B411" s="45" t="s">
        <v>6231</v>
      </c>
      <c r="C411" s="46">
        <v>3323</v>
      </c>
      <c r="D411" s="47">
        <v>1.2459599103118836E-2</v>
      </c>
      <c r="E411" s="48" t="s">
        <v>6262</v>
      </c>
      <c r="F411" s="49" t="s">
        <v>7107</v>
      </c>
      <c r="G411" s="49">
        <v>52</v>
      </c>
      <c r="H411" s="49" t="s">
        <v>6049</v>
      </c>
      <c r="I411" s="49" t="s">
        <v>6259</v>
      </c>
      <c r="J411" s="49" t="s">
        <v>6267</v>
      </c>
      <c r="K411" s="49" t="s">
        <v>6268</v>
      </c>
      <c r="L411" s="49" t="s">
        <v>6036</v>
      </c>
      <c r="M411" s="49" t="s">
        <v>6259</v>
      </c>
      <c r="N411" s="50" t="s">
        <v>6259</v>
      </c>
    </row>
    <row r="412" spans="1:14" ht="11.1" customHeight="1">
      <c r="A412" s="51" t="s">
        <v>7108</v>
      </c>
      <c r="B412" s="52" t="s">
        <v>6217</v>
      </c>
      <c r="C412" s="53">
        <v>149623</v>
      </c>
      <c r="D412" s="54">
        <v>0.5031661639141386</v>
      </c>
      <c r="E412" s="55" t="s">
        <v>6251</v>
      </c>
      <c r="F412" s="56" t="s">
        <v>7109</v>
      </c>
      <c r="G412" s="56">
        <v>42</v>
      </c>
      <c r="H412" s="56" t="s">
        <v>0</v>
      </c>
      <c r="I412" s="56" t="s">
        <v>6233</v>
      </c>
      <c r="J412" s="56" t="s">
        <v>6253</v>
      </c>
      <c r="K412" s="56" t="s">
        <v>6053</v>
      </c>
      <c r="L412" s="56" t="s">
        <v>6283</v>
      </c>
      <c r="M412" s="56">
        <v>2</v>
      </c>
      <c r="N412" s="57" t="s">
        <v>6779</v>
      </c>
    </row>
    <row r="413" spans="1:14" ht="11.1" customHeight="1">
      <c r="A413" s="31" t="s">
        <v>7110</v>
      </c>
      <c r="B413" s="38" t="s">
        <v>6230</v>
      </c>
      <c r="C413" s="39">
        <v>121244</v>
      </c>
      <c r="D413" s="40">
        <v>0.40773061880597117</v>
      </c>
      <c r="E413" s="41">
        <v>81.032996263943375</v>
      </c>
      <c r="F413" s="42" t="s">
        <v>7111</v>
      </c>
      <c r="G413" s="42">
        <v>48</v>
      </c>
      <c r="H413" s="42" t="s">
        <v>6049</v>
      </c>
      <c r="I413" s="42" t="s">
        <v>6233</v>
      </c>
      <c r="J413" s="42" t="s">
        <v>6257</v>
      </c>
      <c r="K413" s="42" t="s">
        <v>6258</v>
      </c>
      <c r="L413" s="42" t="s">
        <v>6209</v>
      </c>
      <c r="M413" s="42">
        <v>1</v>
      </c>
      <c r="N413" s="43" t="s">
        <v>6260</v>
      </c>
    </row>
    <row r="414" spans="1:14" ht="11.1" customHeight="1">
      <c r="A414" s="31" t="s">
        <v>7112</v>
      </c>
      <c r="B414" s="38" t="s">
        <v>6231</v>
      </c>
      <c r="C414" s="39">
        <v>22864</v>
      </c>
      <c r="D414" s="40">
        <v>7.6889189307344896E-2</v>
      </c>
      <c r="E414" s="41" t="s">
        <v>6262</v>
      </c>
      <c r="F414" s="42" t="s">
        <v>7113</v>
      </c>
      <c r="G414" s="42">
        <v>47</v>
      </c>
      <c r="H414" s="42" t="s">
        <v>0</v>
      </c>
      <c r="I414" s="42" t="s">
        <v>6259</v>
      </c>
      <c r="J414" s="42" t="s">
        <v>6264</v>
      </c>
      <c r="K414" s="42" t="s">
        <v>6259</v>
      </c>
      <c r="L414" s="42" t="s">
        <v>6036</v>
      </c>
      <c r="M414" s="42" t="s">
        <v>6259</v>
      </c>
      <c r="N414" s="43" t="s">
        <v>6259</v>
      </c>
    </row>
    <row r="415" spans="1:14" ht="11.1" customHeight="1">
      <c r="A415" s="44" t="s">
        <v>7114</v>
      </c>
      <c r="B415" s="45" t="s">
        <v>6231</v>
      </c>
      <c r="C415" s="46">
        <v>3632</v>
      </c>
      <c r="D415" s="47">
        <v>1.221402797254534E-2</v>
      </c>
      <c r="E415" s="48" t="s">
        <v>6262</v>
      </c>
      <c r="F415" s="49" t="s">
        <v>7115</v>
      </c>
      <c r="G415" s="49">
        <v>31</v>
      </c>
      <c r="H415" s="49" t="s">
        <v>0</v>
      </c>
      <c r="I415" s="49" t="s">
        <v>6259</v>
      </c>
      <c r="J415" s="49" t="s">
        <v>6267</v>
      </c>
      <c r="K415" s="49" t="s">
        <v>6268</v>
      </c>
      <c r="L415" s="49" t="s">
        <v>6036</v>
      </c>
      <c r="M415" s="49" t="s">
        <v>6259</v>
      </c>
      <c r="N415" s="50" t="s">
        <v>6259</v>
      </c>
    </row>
    <row r="416" spans="1:14" ht="11.1" customHeight="1">
      <c r="A416" s="51" t="s">
        <v>7116</v>
      </c>
      <c r="B416" s="52" t="s">
        <v>6217</v>
      </c>
      <c r="C416" s="53">
        <v>174367</v>
      </c>
      <c r="D416" s="54">
        <v>0.56356132151699079</v>
      </c>
      <c r="E416" s="55" t="s">
        <v>6251</v>
      </c>
      <c r="F416" s="56" t="s">
        <v>7117</v>
      </c>
      <c r="G416" s="56">
        <v>60</v>
      </c>
      <c r="H416" s="56" t="s">
        <v>6049</v>
      </c>
      <c r="I416" s="56" t="s">
        <v>6233</v>
      </c>
      <c r="J416" s="56" t="s">
        <v>6253</v>
      </c>
      <c r="K416" s="56" t="s">
        <v>6053</v>
      </c>
      <c r="L416" s="56" t="s">
        <v>6209</v>
      </c>
      <c r="M416" s="56">
        <v>3</v>
      </c>
      <c r="N416" s="57" t="s">
        <v>7118</v>
      </c>
    </row>
    <row r="417" spans="1:14" ht="11.1" customHeight="1">
      <c r="A417" s="31" t="s">
        <v>7119</v>
      </c>
      <c r="B417" s="38" t="s">
        <v>6230</v>
      </c>
      <c r="C417" s="39">
        <v>102944</v>
      </c>
      <c r="D417" s="40">
        <v>0.33271924551231086</v>
      </c>
      <c r="E417" s="41">
        <v>59.038694248338274</v>
      </c>
      <c r="F417" s="42" t="s">
        <v>7120</v>
      </c>
      <c r="G417" s="42">
        <v>45</v>
      </c>
      <c r="H417" s="42" t="s">
        <v>0</v>
      </c>
      <c r="I417" s="42" t="s">
        <v>6233</v>
      </c>
      <c r="J417" s="42" t="s">
        <v>6257</v>
      </c>
      <c r="K417" s="42" t="s">
        <v>6286</v>
      </c>
      <c r="L417" s="42" t="s">
        <v>6209</v>
      </c>
      <c r="M417" s="42">
        <v>1</v>
      </c>
      <c r="N417" s="43" t="s">
        <v>6260</v>
      </c>
    </row>
    <row r="418" spans="1:14" ht="11.1" customHeight="1">
      <c r="A418" s="31" t="s">
        <v>7121</v>
      </c>
      <c r="B418" s="38" t="s">
        <v>6231</v>
      </c>
      <c r="C418" s="39">
        <v>27105</v>
      </c>
      <c r="D418" s="40">
        <v>8.7604475730602899E-2</v>
      </c>
      <c r="E418" s="41" t="s">
        <v>6262</v>
      </c>
      <c r="F418" s="42" t="s">
        <v>7122</v>
      </c>
      <c r="G418" s="42">
        <v>30</v>
      </c>
      <c r="H418" s="42" t="s">
        <v>0</v>
      </c>
      <c r="I418" s="42" t="s">
        <v>6259</v>
      </c>
      <c r="J418" s="42" t="s">
        <v>6264</v>
      </c>
      <c r="K418" s="42" t="s">
        <v>6259</v>
      </c>
      <c r="L418" s="42" t="s">
        <v>6036</v>
      </c>
      <c r="M418" s="42" t="s">
        <v>6259</v>
      </c>
      <c r="N418" s="43" t="s">
        <v>6259</v>
      </c>
    </row>
    <row r="419" spans="1:14" ht="11.1" customHeight="1">
      <c r="A419" s="44" t="s">
        <v>7123</v>
      </c>
      <c r="B419" s="45" t="s">
        <v>6231</v>
      </c>
      <c r="C419" s="46">
        <v>4986</v>
      </c>
      <c r="D419" s="47">
        <v>1.6114957240095412E-2</v>
      </c>
      <c r="E419" s="48" t="s">
        <v>6262</v>
      </c>
      <c r="F419" s="49" t="s">
        <v>7124</v>
      </c>
      <c r="G419" s="49">
        <v>48</v>
      </c>
      <c r="H419" s="49" t="s">
        <v>6049</v>
      </c>
      <c r="I419" s="49" t="s">
        <v>6259</v>
      </c>
      <c r="J419" s="49" t="s">
        <v>6267</v>
      </c>
      <c r="K419" s="49" t="s">
        <v>6268</v>
      </c>
      <c r="L419" s="49" t="s">
        <v>6036</v>
      </c>
      <c r="M419" s="49" t="s">
        <v>6259</v>
      </c>
      <c r="N419" s="50" t="s">
        <v>6259</v>
      </c>
    </row>
    <row r="420" spans="1:14" ht="11.1" customHeight="1">
      <c r="A420" s="51" t="s">
        <v>7125</v>
      </c>
      <c r="B420" s="52" t="s">
        <v>6217</v>
      </c>
      <c r="C420" s="53">
        <v>167905</v>
      </c>
      <c r="D420" s="54">
        <v>0.6125795800726026</v>
      </c>
      <c r="E420" s="55" t="s">
        <v>6251</v>
      </c>
      <c r="F420" s="56" t="s">
        <v>7126</v>
      </c>
      <c r="G420" s="56">
        <v>49</v>
      </c>
      <c r="H420" s="56" t="s">
        <v>0</v>
      </c>
      <c r="I420" s="56" t="s">
        <v>6233</v>
      </c>
      <c r="J420" s="56" t="s">
        <v>6253</v>
      </c>
      <c r="K420" s="56" t="s">
        <v>24</v>
      </c>
      <c r="L420" s="56" t="s">
        <v>6209</v>
      </c>
      <c r="M420" s="56">
        <v>3</v>
      </c>
      <c r="N420" s="57" t="s">
        <v>6259</v>
      </c>
    </row>
    <row r="421" spans="1:14" ht="11.1" customHeight="1">
      <c r="A421" s="31" t="s">
        <v>7127</v>
      </c>
      <c r="B421" s="38" t="s">
        <v>6230</v>
      </c>
      <c r="C421" s="39">
        <v>79686</v>
      </c>
      <c r="D421" s="40">
        <v>0.29072401904449185</v>
      </c>
      <c r="E421" s="41">
        <v>47.458979780232873</v>
      </c>
      <c r="F421" s="42" t="s">
        <v>7128</v>
      </c>
      <c r="G421" s="42">
        <v>60</v>
      </c>
      <c r="H421" s="42" t="s">
        <v>0</v>
      </c>
      <c r="I421" s="42" t="s">
        <v>6233</v>
      </c>
      <c r="J421" s="42" t="s">
        <v>6257</v>
      </c>
      <c r="K421" s="42" t="s">
        <v>6286</v>
      </c>
      <c r="L421" s="42" t="s">
        <v>6209</v>
      </c>
      <c r="M421" s="42">
        <v>1</v>
      </c>
      <c r="N421" s="43" t="s">
        <v>6260</v>
      </c>
    </row>
    <row r="422" spans="1:14" ht="11.1" customHeight="1">
      <c r="A422" s="31" t="s">
        <v>7129</v>
      </c>
      <c r="B422" s="38" t="s">
        <v>6231</v>
      </c>
      <c r="C422" s="39">
        <v>24103</v>
      </c>
      <c r="D422" s="40">
        <v>8.7936664295226105E-2</v>
      </c>
      <c r="E422" s="41" t="s">
        <v>6262</v>
      </c>
      <c r="F422" s="42" t="s">
        <v>7130</v>
      </c>
      <c r="G422" s="42">
        <v>33</v>
      </c>
      <c r="H422" s="42" t="s">
        <v>0</v>
      </c>
      <c r="I422" s="42" t="s">
        <v>6259</v>
      </c>
      <c r="J422" s="42" t="s">
        <v>6264</v>
      </c>
      <c r="K422" s="42" t="s">
        <v>6259</v>
      </c>
      <c r="L422" s="42" t="s">
        <v>6036</v>
      </c>
      <c r="M422" s="42" t="s">
        <v>6259</v>
      </c>
      <c r="N422" s="43" t="s">
        <v>6259</v>
      </c>
    </row>
    <row r="423" spans="1:14" ht="11.1" customHeight="1">
      <c r="A423" s="44" t="s">
        <v>7131</v>
      </c>
      <c r="B423" s="45" t="s">
        <v>6231</v>
      </c>
      <c r="C423" s="46">
        <v>2401</v>
      </c>
      <c r="D423" s="47">
        <v>8.7597365876794543E-3</v>
      </c>
      <c r="E423" s="48" t="s">
        <v>6262</v>
      </c>
      <c r="F423" s="49" t="s">
        <v>7132</v>
      </c>
      <c r="G423" s="49">
        <v>49</v>
      </c>
      <c r="H423" s="49" t="s">
        <v>0</v>
      </c>
      <c r="I423" s="49" t="s">
        <v>6259</v>
      </c>
      <c r="J423" s="49" t="s">
        <v>6267</v>
      </c>
      <c r="K423" s="49" t="s">
        <v>6268</v>
      </c>
      <c r="L423" s="49" t="s">
        <v>6036</v>
      </c>
      <c r="M423" s="49" t="s">
        <v>6259</v>
      </c>
      <c r="N423" s="50" t="s">
        <v>6259</v>
      </c>
    </row>
    <row r="424" spans="1:14" ht="11.1" customHeight="1">
      <c r="A424" s="51" t="s">
        <v>7133</v>
      </c>
      <c r="B424" s="60" t="s">
        <v>6217</v>
      </c>
      <c r="C424" s="61">
        <v>147514</v>
      </c>
      <c r="D424" s="62">
        <v>0.49948194247868516</v>
      </c>
      <c r="E424" s="63" t="s">
        <v>6251</v>
      </c>
      <c r="F424" s="64" t="s">
        <v>7134</v>
      </c>
      <c r="G424" s="64">
        <v>52</v>
      </c>
      <c r="H424" s="64" t="s">
        <v>0</v>
      </c>
      <c r="I424" s="64" t="s">
        <v>6233</v>
      </c>
      <c r="J424" s="64" t="s">
        <v>6257</v>
      </c>
      <c r="K424" s="64" t="s">
        <v>6350</v>
      </c>
      <c r="L424" s="64" t="s">
        <v>6209</v>
      </c>
      <c r="M424" s="64">
        <v>6</v>
      </c>
      <c r="N424" s="65" t="s">
        <v>6260</v>
      </c>
    </row>
    <row r="425" spans="1:14" ht="11.1" customHeight="1">
      <c r="A425" s="31" t="s">
        <v>7135</v>
      </c>
      <c r="B425" s="38" t="s">
        <v>6230</v>
      </c>
      <c r="C425" s="39">
        <v>116723</v>
      </c>
      <c r="D425" s="40">
        <v>0.39522371281328939</v>
      </c>
      <c r="E425" s="41">
        <v>79.126726954729719</v>
      </c>
      <c r="F425" s="42" t="s">
        <v>7136</v>
      </c>
      <c r="G425" s="42">
        <v>53</v>
      </c>
      <c r="H425" s="42" t="s">
        <v>0</v>
      </c>
      <c r="I425" s="42" t="s">
        <v>6233</v>
      </c>
      <c r="J425" s="42" t="s">
        <v>6278</v>
      </c>
      <c r="K425" s="42" t="s">
        <v>6259</v>
      </c>
      <c r="L425" s="42" t="s">
        <v>6209</v>
      </c>
      <c r="M425" s="42">
        <v>3</v>
      </c>
      <c r="N425" s="43" t="s">
        <v>7137</v>
      </c>
    </row>
    <row r="426" spans="1:14" ht="11.1" customHeight="1">
      <c r="A426" s="31" t="s">
        <v>7138</v>
      </c>
      <c r="B426" s="38" t="s">
        <v>6231</v>
      </c>
      <c r="C426" s="39">
        <v>24965</v>
      </c>
      <c r="D426" s="40">
        <v>8.4531411892975417E-2</v>
      </c>
      <c r="E426" s="41" t="s">
        <v>6262</v>
      </c>
      <c r="F426" s="42" t="s">
        <v>7139</v>
      </c>
      <c r="G426" s="42">
        <v>58</v>
      </c>
      <c r="H426" s="42" t="s">
        <v>0</v>
      </c>
      <c r="I426" s="42" t="s">
        <v>6259</v>
      </c>
      <c r="J426" s="42" t="s">
        <v>6264</v>
      </c>
      <c r="K426" s="42" t="s">
        <v>6259</v>
      </c>
      <c r="L426" s="42" t="s">
        <v>6036</v>
      </c>
      <c r="M426" s="42" t="s">
        <v>6259</v>
      </c>
      <c r="N426" s="43" t="s">
        <v>6259</v>
      </c>
    </row>
    <row r="427" spans="1:14" ht="11.1" customHeight="1">
      <c r="A427" s="44" t="s">
        <v>7140</v>
      </c>
      <c r="B427" s="45" t="s">
        <v>6231</v>
      </c>
      <c r="C427" s="46">
        <v>6132</v>
      </c>
      <c r="D427" s="47">
        <v>2.0762932815050077E-2</v>
      </c>
      <c r="E427" s="48" t="s">
        <v>6262</v>
      </c>
      <c r="F427" s="49" t="s">
        <v>7141</v>
      </c>
      <c r="G427" s="49">
        <v>44</v>
      </c>
      <c r="H427" s="49" t="s">
        <v>0</v>
      </c>
      <c r="I427" s="49" t="s">
        <v>6259</v>
      </c>
      <c r="J427" s="49" t="s">
        <v>6267</v>
      </c>
      <c r="K427" s="49" t="s">
        <v>6268</v>
      </c>
      <c r="L427" s="49" t="s">
        <v>6036</v>
      </c>
      <c r="M427" s="49" t="s">
        <v>6259</v>
      </c>
      <c r="N427" s="50" t="s">
        <v>6259</v>
      </c>
    </row>
    <row r="428" spans="1:14" ht="11.1" customHeight="1">
      <c r="A428" s="51" t="s">
        <v>7142</v>
      </c>
      <c r="B428" s="52" t="s">
        <v>6217</v>
      </c>
      <c r="C428" s="53">
        <v>140109</v>
      </c>
      <c r="D428" s="54">
        <v>0.47242350164376634</v>
      </c>
      <c r="E428" s="55" t="s">
        <v>6251</v>
      </c>
      <c r="F428" s="56" t="s">
        <v>7143</v>
      </c>
      <c r="G428" s="56">
        <v>43</v>
      </c>
      <c r="H428" s="56" t="s">
        <v>0</v>
      </c>
      <c r="I428" s="56" t="s">
        <v>6233</v>
      </c>
      <c r="J428" s="56" t="s">
        <v>6253</v>
      </c>
      <c r="K428" s="56" t="s">
        <v>6053</v>
      </c>
      <c r="L428" s="56" t="s">
        <v>6036</v>
      </c>
      <c r="M428" s="56" t="s">
        <v>6259</v>
      </c>
      <c r="N428" s="57" t="s">
        <v>6779</v>
      </c>
    </row>
    <row r="429" spans="1:14" ht="11.1" customHeight="1">
      <c r="A429" s="31" t="s">
        <v>7144</v>
      </c>
      <c r="B429" s="38" t="s">
        <v>6232</v>
      </c>
      <c r="C429" s="39">
        <v>126026</v>
      </c>
      <c r="D429" s="40">
        <v>0.42493804265362894</v>
      </c>
      <c r="E429" s="58">
        <v>89.948540065234923</v>
      </c>
      <c r="F429" s="59" t="s">
        <v>7145</v>
      </c>
      <c r="G429" s="59">
        <v>47</v>
      </c>
      <c r="H429" s="59" t="s">
        <v>0</v>
      </c>
      <c r="I429" s="59" t="s">
        <v>6233</v>
      </c>
      <c r="J429" s="59" t="s">
        <v>6257</v>
      </c>
      <c r="K429" s="59" t="s">
        <v>6258</v>
      </c>
      <c r="L429" s="59" t="s">
        <v>6209</v>
      </c>
      <c r="M429" s="59">
        <v>2</v>
      </c>
      <c r="N429" s="43" t="s">
        <v>6260</v>
      </c>
    </row>
    <row r="430" spans="1:14" ht="11.1" customHeight="1">
      <c r="A430" s="31" t="s">
        <v>7146</v>
      </c>
      <c r="B430" s="38" t="s">
        <v>6231</v>
      </c>
      <c r="C430" s="39">
        <v>26796</v>
      </c>
      <c r="D430" s="40">
        <v>9.0351513107982798E-2</v>
      </c>
      <c r="E430" s="41" t="s">
        <v>6262</v>
      </c>
      <c r="F430" s="42" t="s">
        <v>7147</v>
      </c>
      <c r="G430" s="42">
        <v>54</v>
      </c>
      <c r="H430" s="42" t="s">
        <v>0</v>
      </c>
      <c r="I430" s="42" t="s">
        <v>6259</v>
      </c>
      <c r="J430" s="42" t="s">
        <v>6264</v>
      </c>
      <c r="K430" s="42" t="s">
        <v>6259</v>
      </c>
      <c r="L430" s="42" t="s">
        <v>6036</v>
      </c>
      <c r="M430" s="42" t="s">
        <v>6259</v>
      </c>
      <c r="N430" s="43" t="s">
        <v>6259</v>
      </c>
    </row>
    <row r="431" spans="1:14" ht="11.1" customHeight="1">
      <c r="A431" s="44" t="s">
        <v>7148</v>
      </c>
      <c r="B431" s="45" t="s">
        <v>6231</v>
      </c>
      <c r="C431" s="46">
        <v>3644</v>
      </c>
      <c r="D431" s="47">
        <v>1.2286942594621934E-2</v>
      </c>
      <c r="E431" s="48" t="s">
        <v>6262</v>
      </c>
      <c r="F431" s="49" t="s">
        <v>7149</v>
      </c>
      <c r="G431" s="49">
        <v>35</v>
      </c>
      <c r="H431" s="49" t="s">
        <v>0</v>
      </c>
      <c r="I431" s="49" t="s">
        <v>6259</v>
      </c>
      <c r="J431" s="49" t="s">
        <v>6267</v>
      </c>
      <c r="K431" s="49" t="s">
        <v>6268</v>
      </c>
      <c r="L431" s="49" t="s">
        <v>6036</v>
      </c>
      <c r="M431" s="49" t="s">
        <v>6259</v>
      </c>
      <c r="N431" s="50" t="s">
        <v>6259</v>
      </c>
    </row>
    <row r="432" spans="1:14" ht="11.1" customHeight="1">
      <c r="A432" s="51" t="s">
        <v>7150</v>
      </c>
      <c r="B432" s="52" t="s">
        <v>6217</v>
      </c>
      <c r="C432" s="53">
        <v>105512</v>
      </c>
      <c r="D432" s="54">
        <v>0.47242134295679739</v>
      </c>
      <c r="E432" s="55" t="s">
        <v>6251</v>
      </c>
      <c r="F432" s="56" t="s">
        <v>7151</v>
      </c>
      <c r="G432" s="56">
        <v>49</v>
      </c>
      <c r="H432" s="56" t="s">
        <v>6049</v>
      </c>
      <c r="I432" s="56" t="s">
        <v>6233</v>
      </c>
      <c r="J432" s="56" t="s">
        <v>6253</v>
      </c>
      <c r="K432" s="56" t="s">
        <v>6053</v>
      </c>
      <c r="L432" s="56" t="s">
        <v>6036</v>
      </c>
      <c r="M432" s="56" t="s">
        <v>6259</v>
      </c>
      <c r="N432" s="57" t="s">
        <v>6779</v>
      </c>
    </row>
    <row r="433" spans="1:14" ht="11.1" customHeight="1">
      <c r="A433" s="31" t="s">
        <v>7152</v>
      </c>
      <c r="B433" s="38" t="s">
        <v>6232</v>
      </c>
      <c r="C433" s="39">
        <v>96739</v>
      </c>
      <c r="D433" s="40">
        <v>0.4331409536005158</v>
      </c>
      <c r="E433" s="58">
        <v>91.685305936765488</v>
      </c>
      <c r="F433" s="59" t="s">
        <v>7153</v>
      </c>
      <c r="G433" s="59">
        <v>57</v>
      </c>
      <c r="H433" s="59" t="s">
        <v>6049</v>
      </c>
      <c r="I433" s="59" t="s">
        <v>6233</v>
      </c>
      <c r="J433" s="59" t="s">
        <v>6257</v>
      </c>
      <c r="K433" s="59" t="s">
        <v>6286</v>
      </c>
      <c r="L433" s="59" t="s">
        <v>6209</v>
      </c>
      <c r="M433" s="59">
        <v>5</v>
      </c>
      <c r="N433" s="43" t="s">
        <v>6260</v>
      </c>
    </row>
    <row r="434" spans="1:14" ht="11.1" customHeight="1">
      <c r="A434" s="44" t="s">
        <v>7154</v>
      </c>
      <c r="B434" s="45" t="s">
        <v>6231</v>
      </c>
      <c r="C434" s="46">
        <v>21092</v>
      </c>
      <c r="D434" s="47">
        <v>9.4437703442686816E-2</v>
      </c>
      <c r="E434" s="48" t="s">
        <v>6262</v>
      </c>
      <c r="F434" s="49" t="s">
        <v>7155</v>
      </c>
      <c r="G434" s="49">
        <v>60</v>
      </c>
      <c r="H434" s="49" t="s">
        <v>6049</v>
      </c>
      <c r="I434" s="49" t="s">
        <v>6259</v>
      </c>
      <c r="J434" s="49" t="s">
        <v>6264</v>
      </c>
      <c r="K434" s="49" t="s">
        <v>6259</v>
      </c>
      <c r="L434" s="49" t="s">
        <v>6036</v>
      </c>
      <c r="M434" s="49" t="s">
        <v>6259</v>
      </c>
      <c r="N434" s="50" t="s">
        <v>6259</v>
      </c>
    </row>
    <row r="435" spans="1:14" ht="11.1" customHeight="1">
      <c r="A435" s="51" t="s">
        <v>7156</v>
      </c>
      <c r="B435" s="60" t="s">
        <v>6217</v>
      </c>
      <c r="C435" s="61">
        <v>117472</v>
      </c>
      <c r="D435" s="62">
        <v>0.42382653245300717</v>
      </c>
      <c r="E435" s="63" t="s">
        <v>6251</v>
      </c>
      <c r="F435" s="64" t="s">
        <v>7157</v>
      </c>
      <c r="G435" s="64">
        <v>55</v>
      </c>
      <c r="H435" s="64" t="s">
        <v>0</v>
      </c>
      <c r="I435" s="64" t="s">
        <v>6233</v>
      </c>
      <c r="J435" s="64" t="s">
        <v>6257</v>
      </c>
      <c r="K435" s="64" t="s">
        <v>6286</v>
      </c>
      <c r="L435" s="64" t="s">
        <v>6209</v>
      </c>
      <c r="M435" s="64">
        <v>4</v>
      </c>
      <c r="N435" s="65" t="s">
        <v>6260</v>
      </c>
    </row>
    <row r="436" spans="1:14" ht="11.1" customHeight="1">
      <c r="A436" s="31" t="s">
        <v>7158</v>
      </c>
      <c r="B436" s="38" t="s">
        <v>6230</v>
      </c>
      <c r="C436" s="39">
        <v>113998</v>
      </c>
      <c r="D436" s="40">
        <v>0.41129270844608001</v>
      </c>
      <c r="E436" s="41">
        <v>97.042699536910916</v>
      </c>
      <c r="F436" s="42" t="s">
        <v>7159</v>
      </c>
      <c r="G436" s="42">
        <v>57</v>
      </c>
      <c r="H436" s="42" t="s">
        <v>0</v>
      </c>
      <c r="I436" s="42" t="s">
        <v>6233</v>
      </c>
      <c r="J436" s="42" t="s">
        <v>7160</v>
      </c>
      <c r="K436" s="42" t="s">
        <v>6259</v>
      </c>
      <c r="L436" s="42" t="s">
        <v>6036</v>
      </c>
      <c r="M436" s="42" t="s">
        <v>6259</v>
      </c>
      <c r="N436" s="43" t="s">
        <v>7161</v>
      </c>
    </row>
    <row r="437" spans="1:14" ht="11.1" customHeight="1">
      <c r="A437" s="31" t="s">
        <v>7162</v>
      </c>
      <c r="B437" s="38"/>
      <c r="C437" s="39">
        <v>36487</v>
      </c>
      <c r="D437" s="40">
        <v>0.13164123101345745</v>
      </c>
      <c r="E437" s="41">
        <v>31.060167529283575</v>
      </c>
      <c r="F437" s="42" t="s">
        <v>7163</v>
      </c>
      <c r="G437" s="42">
        <v>57</v>
      </c>
      <c r="H437" s="42" t="s">
        <v>0</v>
      </c>
      <c r="I437" s="42" t="s">
        <v>6233</v>
      </c>
      <c r="J437" s="42" t="s">
        <v>6264</v>
      </c>
      <c r="K437" s="42" t="s">
        <v>6259</v>
      </c>
      <c r="L437" s="42" t="s">
        <v>6036</v>
      </c>
      <c r="M437" s="42" t="s">
        <v>6259</v>
      </c>
      <c r="N437" s="43" t="s">
        <v>6259</v>
      </c>
    </row>
    <row r="438" spans="1:14" ht="11.1" customHeight="1">
      <c r="A438" s="31" t="s">
        <v>7164</v>
      </c>
      <c r="B438" s="38" t="s">
        <v>6231</v>
      </c>
      <c r="C438" s="39">
        <v>6853</v>
      </c>
      <c r="D438" s="40">
        <v>2.472489807699246E-2</v>
      </c>
      <c r="E438" s="41" t="s">
        <v>6262</v>
      </c>
      <c r="F438" s="42" t="s">
        <v>7165</v>
      </c>
      <c r="G438" s="42">
        <v>38</v>
      </c>
      <c r="H438" s="42" t="s">
        <v>0</v>
      </c>
      <c r="I438" s="42" t="s">
        <v>6259</v>
      </c>
      <c r="J438" s="42" t="s">
        <v>6267</v>
      </c>
      <c r="K438" s="42" t="s">
        <v>6268</v>
      </c>
      <c r="L438" s="42" t="s">
        <v>6036</v>
      </c>
      <c r="M438" s="42" t="s">
        <v>6259</v>
      </c>
      <c r="N438" s="43" t="s">
        <v>6259</v>
      </c>
    </row>
    <row r="439" spans="1:14" ht="11.1" customHeight="1">
      <c r="A439" s="44" t="s">
        <v>7166</v>
      </c>
      <c r="B439" s="45" t="s">
        <v>6231</v>
      </c>
      <c r="C439" s="46">
        <v>2360</v>
      </c>
      <c r="D439" s="47">
        <v>8.5146300104628932E-3</v>
      </c>
      <c r="E439" s="48" t="s">
        <v>6262</v>
      </c>
      <c r="F439" s="49" t="s">
        <v>7167</v>
      </c>
      <c r="G439" s="49">
        <v>67</v>
      </c>
      <c r="H439" s="49" t="s">
        <v>0</v>
      </c>
      <c r="I439" s="49" t="s">
        <v>6259</v>
      </c>
      <c r="J439" s="49" t="s">
        <v>6267</v>
      </c>
      <c r="K439" s="49" t="s">
        <v>7168</v>
      </c>
      <c r="L439" s="49" t="s">
        <v>6036</v>
      </c>
      <c r="M439" s="49" t="s">
        <v>6259</v>
      </c>
      <c r="N439" s="50" t="s">
        <v>6259</v>
      </c>
    </row>
    <row r="440" spans="1:14" ht="11.1" customHeight="1">
      <c r="A440" s="51" t="s">
        <v>7169</v>
      </c>
      <c r="B440" s="52" t="s">
        <v>6217</v>
      </c>
      <c r="C440" s="53">
        <v>118753</v>
      </c>
      <c r="D440" s="54">
        <v>0.45201355054811204</v>
      </c>
      <c r="E440" s="55" t="s">
        <v>6251</v>
      </c>
      <c r="F440" s="56" t="s">
        <v>7170</v>
      </c>
      <c r="G440" s="56">
        <v>44</v>
      </c>
      <c r="H440" s="56" t="s">
        <v>6049</v>
      </c>
      <c r="I440" s="56" t="s">
        <v>6233</v>
      </c>
      <c r="J440" s="56" t="s">
        <v>6253</v>
      </c>
      <c r="K440" s="56" t="s">
        <v>6053</v>
      </c>
      <c r="L440" s="56" t="s">
        <v>6283</v>
      </c>
      <c r="M440" s="56">
        <v>1</v>
      </c>
      <c r="N440" s="57" t="s">
        <v>6213</v>
      </c>
    </row>
    <row r="441" spans="1:14" ht="11.1" customHeight="1">
      <c r="A441" s="31" t="s">
        <v>7171</v>
      </c>
      <c r="B441" s="38" t="s">
        <v>6230</v>
      </c>
      <c r="C441" s="39">
        <v>108679</v>
      </c>
      <c r="D441" s="40">
        <v>0.41366854445797807</v>
      </c>
      <c r="E441" s="41" t="s">
        <v>6262</v>
      </c>
      <c r="F441" s="42" t="s">
        <v>7172</v>
      </c>
      <c r="G441" s="42">
        <v>63</v>
      </c>
      <c r="H441" s="42" t="s">
        <v>0</v>
      </c>
      <c r="I441" s="42" t="s">
        <v>6259</v>
      </c>
      <c r="J441" s="42" t="s">
        <v>6929</v>
      </c>
      <c r="K441" s="42" t="s">
        <v>6259</v>
      </c>
      <c r="L441" s="42" t="s">
        <v>6209</v>
      </c>
      <c r="M441" s="42">
        <v>5</v>
      </c>
      <c r="N441" s="43" t="s">
        <v>6930</v>
      </c>
    </row>
    <row r="442" spans="1:14" ht="11.1" customHeight="1">
      <c r="A442" s="31" t="s">
        <v>7173</v>
      </c>
      <c r="B442" s="38"/>
      <c r="C442" s="39">
        <v>31475</v>
      </c>
      <c r="D442" s="40">
        <v>0.1198043544457978</v>
      </c>
      <c r="E442" s="41" t="s">
        <v>6262</v>
      </c>
      <c r="F442" s="42" t="s">
        <v>7174</v>
      </c>
      <c r="G442" s="42">
        <v>26</v>
      </c>
      <c r="H442" s="42" t="s">
        <v>6049</v>
      </c>
      <c r="I442" s="42" t="s">
        <v>6259</v>
      </c>
      <c r="J442" s="42" t="s">
        <v>6264</v>
      </c>
      <c r="K442" s="42" t="s">
        <v>6259</v>
      </c>
      <c r="L442" s="42" t="s">
        <v>6036</v>
      </c>
      <c r="M442" s="42" t="s">
        <v>6259</v>
      </c>
      <c r="N442" s="43" t="s">
        <v>6259</v>
      </c>
    </row>
    <row r="443" spans="1:14" ht="11.1" customHeight="1">
      <c r="A443" s="44" t="s">
        <v>7175</v>
      </c>
      <c r="B443" s="45" t="s">
        <v>6231</v>
      </c>
      <c r="C443" s="46">
        <v>3813</v>
      </c>
      <c r="D443" s="47">
        <v>1.4513550548112059E-2</v>
      </c>
      <c r="E443" s="48" t="s">
        <v>6262</v>
      </c>
      <c r="F443" s="49" t="s">
        <v>7176</v>
      </c>
      <c r="G443" s="49">
        <v>33</v>
      </c>
      <c r="H443" s="49" t="s">
        <v>0</v>
      </c>
      <c r="I443" s="49" t="s">
        <v>6259</v>
      </c>
      <c r="J443" s="49" t="s">
        <v>6267</v>
      </c>
      <c r="K443" s="49" t="s">
        <v>6268</v>
      </c>
      <c r="L443" s="49" t="s">
        <v>6036</v>
      </c>
      <c r="M443" s="49" t="s">
        <v>6259</v>
      </c>
      <c r="N443" s="50" t="s">
        <v>6259</v>
      </c>
    </row>
    <row r="444" spans="1:14" ht="11.1" customHeight="1">
      <c r="A444" s="51" t="s">
        <v>7177</v>
      </c>
      <c r="B444" s="52" t="s">
        <v>6217</v>
      </c>
      <c r="C444" s="53">
        <v>114653</v>
      </c>
      <c r="D444" s="54">
        <v>0.44895937347038667</v>
      </c>
      <c r="E444" s="55" t="s">
        <v>6251</v>
      </c>
      <c r="F444" s="56" t="s">
        <v>7178</v>
      </c>
      <c r="G444" s="56">
        <v>37</v>
      </c>
      <c r="H444" s="56" t="s">
        <v>0</v>
      </c>
      <c r="I444" s="56" t="s">
        <v>6233</v>
      </c>
      <c r="J444" s="56" t="s">
        <v>6253</v>
      </c>
      <c r="K444" s="56" t="s">
        <v>6053</v>
      </c>
      <c r="L444" s="56" t="s">
        <v>6036</v>
      </c>
      <c r="M444" s="56" t="s">
        <v>6259</v>
      </c>
      <c r="N444" s="57" t="s">
        <v>6779</v>
      </c>
    </row>
    <row r="445" spans="1:14" ht="11.1" customHeight="1">
      <c r="A445" s="31" t="s">
        <v>7179</v>
      </c>
      <c r="B445" s="38" t="s">
        <v>6232</v>
      </c>
      <c r="C445" s="39">
        <v>111590</v>
      </c>
      <c r="D445" s="40">
        <v>0.4369652471855115</v>
      </c>
      <c r="E445" s="58">
        <v>97.328460659555347</v>
      </c>
      <c r="F445" s="59" t="s">
        <v>7180</v>
      </c>
      <c r="G445" s="59">
        <v>60</v>
      </c>
      <c r="H445" s="59" t="s">
        <v>0</v>
      </c>
      <c r="I445" s="59" t="s">
        <v>6233</v>
      </c>
      <c r="J445" s="59" t="s">
        <v>6257</v>
      </c>
      <c r="K445" s="59" t="s">
        <v>6273</v>
      </c>
      <c r="L445" s="59" t="s">
        <v>6209</v>
      </c>
      <c r="M445" s="59">
        <v>5</v>
      </c>
      <c r="N445" s="43" t="s">
        <v>6260</v>
      </c>
    </row>
    <row r="446" spans="1:14" ht="11.1" customHeight="1">
      <c r="A446" s="31" t="s">
        <v>7181</v>
      </c>
      <c r="B446" s="38"/>
      <c r="C446" s="39">
        <v>26259</v>
      </c>
      <c r="D446" s="40">
        <v>0.10282525697503671</v>
      </c>
      <c r="E446" s="41" t="s">
        <v>6262</v>
      </c>
      <c r="F446" s="42" t="s">
        <v>7182</v>
      </c>
      <c r="G446" s="42">
        <v>69</v>
      </c>
      <c r="H446" s="42" t="s">
        <v>0</v>
      </c>
      <c r="I446" s="42" t="s">
        <v>6259</v>
      </c>
      <c r="J446" s="42" t="s">
        <v>6264</v>
      </c>
      <c r="K446" s="42" t="s">
        <v>6259</v>
      </c>
      <c r="L446" s="42" t="s">
        <v>6036</v>
      </c>
      <c r="M446" s="42" t="s">
        <v>6259</v>
      </c>
      <c r="N446" s="43" t="s">
        <v>6259</v>
      </c>
    </row>
    <row r="447" spans="1:14" ht="11.1" customHeight="1">
      <c r="A447" s="44" t="s">
        <v>7183</v>
      </c>
      <c r="B447" s="45" t="s">
        <v>6231</v>
      </c>
      <c r="C447" s="46">
        <v>2873</v>
      </c>
      <c r="D447" s="47">
        <v>1.1250122369065101E-2</v>
      </c>
      <c r="E447" s="48" t="s">
        <v>6262</v>
      </c>
      <c r="F447" s="49" t="s">
        <v>7184</v>
      </c>
      <c r="G447" s="49">
        <v>49</v>
      </c>
      <c r="H447" s="49" t="s">
        <v>0</v>
      </c>
      <c r="I447" s="49" t="s">
        <v>6259</v>
      </c>
      <c r="J447" s="49" t="s">
        <v>6267</v>
      </c>
      <c r="K447" s="49" t="s">
        <v>6268</v>
      </c>
      <c r="L447" s="49" t="s">
        <v>6036</v>
      </c>
      <c r="M447" s="49" t="s">
        <v>6259</v>
      </c>
      <c r="N447" s="50" t="s">
        <v>6259</v>
      </c>
    </row>
    <row r="448" spans="1:14" ht="11.1" customHeight="1">
      <c r="A448" s="51" t="s">
        <v>7185</v>
      </c>
      <c r="B448" s="52" t="s">
        <v>6217</v>
      </c>
      <c r="C448" s="53">
        <v>110624</v>
      </c>
      <c r="D448" s="54">
        <v>0.47803710249640252</v>
      </c>
      <c r="E448" s="55" t="s">
        <v>6251</v>
      </c>
      <c r="F448" s="56" t="s">
        <v>7186</v>
      </c>
      <c r="G448" s="56">
        <v>38</v>
      </c>
      <c r="H448" s="56" t="s">
        <v>0</v>
      </c>
      <c r="I448" s="56" t="s">
        <v>6233</v>
      </c>
      <c r="J448" s="56" t="s">
        <v>6253</v>
      </c>
      <c r="K448" s="56" t="s">
        <v>6053</v>
      </c>
      <c r="L448" s="56" t="s">
        <v>6036</v>
      </c>
      <c r="M448" s="56" t="s">
        <v>6259</v>
      </c>
      <c r="N448" s="57" t="s">
        <v>6213</v>
      </c>
    </row>
    <row r="449" spans="1:14" ht="11.1" customHeight="1">
      <c r="A449" s="31" t="s">
        <v>7187</v>
      </c>
      <c r="B449" s="38" t="s">
        <v>6230</v>
      </c>
      <c r="C449" s="39">
        <v>93675</v>
      </c>
      <c r="D449" s="40">
        <v>0.40479575477609298</v>
      </c>
      <c r="E449" s="41">
        <v>84.678731559155338</v>
      </c>
      <c r="F449" s="42" t="s">
        <v>7188</v>
      </c>
      <c r="G449" s="42">
        <v>53</v>
      </c>
      <c r="H449" s="42" t="s">
        <v>6049</v>
      </c>
      <c r="I449" s="42" t="s">
        <v>6233</v>
      </c>
      <c r="J449" s="42" t="s">
        <v>6257</v>
      </c>
      <c r="K449" s="42" t="s">
        <v>6286</v>
      </c>
      <c r="L449" s="42" t="s">
        <v>6209</v>
      </c>
      <c r="M449" s="42">
        <v>3</v>
      </c>
      <c r="N449" s="43" t="s">
        <v>6260</v>
      </c>
    </row>
    <row r="450" spans="1:14" ht="11.1" customHeight="1">
      <c r="A450" s="31" t="s">
        <v>7189</v>
      </c>
      <c r="B450" s="38"/>
      <c r="C450" s="39">
        <v>23705</v>
      </c>
      <c r="D450" s="40">
        <v>0.10243590463802811</v>
      </c>
      <c r="E450" s="41" t="s">
        <v>6262</v>
      </c>
      <c r="F450" s="42" t="s">
        <v>7190</v>
      </c>
      <c r="G450" s="42">
        <v>65</v>
      </c>
      <c r="H450" s="42" t="s">
        <v>0</v>
      </c>
      <c r="I450" s="42" t="s">
        <v>6259</v>
      </c>
      <c r="J450" s="42" t="s">
        <v>6264</v>
      </c>
      <c r="K450" s="42" t="s">
        <v>6259</v>
      </c>
      <c r="L450" s="42" t="s">
        <v>6036</v>
      </c>
      <c r="M450" s="42" t="s">
        <v>6259</v>
      </c>
      <c r="N450" s="43" t="s">
        <v>6259</v>
      </c>
    </row>
    <row r="451" spans="1:14" ht="11.1" customHeight="1">
      <c r="A451" s="44" t="s">
        <v>7191</v>
      </c>
      <c r="B451" s="45" t="s">
        <v>6231</v>
      </c>
      <c r="C451" s="46">
        <v>3409</v>
      </c>
      <c r="D451" s="47">
        <v>1.4731238089476391E-2</v>
      </c>
      <c r="E451" s="48" t="s">
        <v>6262</v>
      </c>
      <c r="F451" s="49" t="s">
        <v>7192</v>
      </c>
      <c r="G451" s="49">
        <v>40</v>
      </c>
      <c r="H451" s="49" t="s">
        <v>0</v>
      </c>
      <c r="I451" s="49" t="s">
        <v>6259</v>
      </c>
      <c r="J451" s="49" t="s">
        <v>6267</v>
      </c>
      <c r="K451" s="49" t="s">
        <v>6268</v>
      </c>
      <c r="L451" s="49" t="s">
        <v>6036</v>
      </c>
      <c r="M451" s="49" t="s">
        <v>6259</v>
      </c>
      <c r="N451" s="50" t="s">
        <v>6259</v>
      </c>
    </row>
    <row r="452" spans="1:14" ht="11.1" customHeight="1">
      <c r="A452" s="51" t="s">
        <v>7193</v>
      </c>
      <c r="B452" s="52" t="s">
        <v>6217</v>
      </c>
      <c r="C452" s="53">
        <v>105131</v>
      </c>
      <c r="D452" s="54">
        <v>0.42389481154137704</v>
      </c>
      <c r="E452" s="55" t="s">
        <v>6251</v>
      </c>
      <c r="F452" s="56" t="s">
        <v>7194</v>
      </c>
      <c r="G452" s="56">
        <v>58</v>
      </c>
      <c r="H452" s="56" t="s">
        <v>0</v>
      </c>
      <c r="I452" s="56" t="s">
        <v>6233</v>
      </c>
      <c r="J452" s="56" t="s">
        <v>6253</v>
      </c>
      <c r="K452" s="56" t="s">
        <v>6035</v>
      </c>
      <c r="L452" s="56" t="s">
        <v>6283</v>
      </c>
      <c r="M452" s="56">
        <v>4</v>
      </c>
      <c r="N452" s="57" t="s">
        <v>6779</v>
      </c>
    </row>
    <row r="453" spans="1:14" ht="11.1" customHeight="1">
      <c r="A453" s="31" t="s">
        <v>7195</v>
      </c>
      <c r="B453" s="38" t="s">
        <v>6230</v>
      </c>
      <c r="C453" s="39">
        <v>80054</v>
      </c>
      <c r="D453" s="40">
        <v>0.32278276857571409</v>
      </c>
      <c r="E453" s="41">
        <v>76.146902436008403</v>
      </c>
      <c r="F453" s="42" t="s">
        <v>7196</v>
      </c>
      <c r="G453" s="42">
        <v>70</v>
      </c>
      <c r="H453" s="42" t="s">
        <v>0</v>
      </c>
      <c r="I453" s="42" t="s">
        <v>6233</v>
      </c>
      <c r="J453" s="42" t="s">
        <v>6257</v>
      </c>
      <c r="K453" s="42" t="s">
        <v>6350</v>
      </c>
      <c r="L453" s="42" t="s">
        <v>6209</v>
      </c>
      <c r="M453" s="42">
        <v>3</v>
      </c>
      <c r="N453" s="43" t="s">
        <v>6260</v>
      </c>
    </row>
    <row r="454" spans="1:14" ht="11.1" customHeight="1">
      <c r="A454" s="31" t="s">
        <v>7197</v>
      </c>
      <c r="B454" s="38" t="s">
        <v>6233</v>
      </c>
      <c r="C454" s="39">
        <v>38808</v>
      </c>
      <c r="D454" s="40">
        <v>0.15647629953389353</v>
      </c>
      <c r="E454" s="106">
        <v>36.913945458523173</v>
      </c>
      <c r="F454" s="107" t="s">
        <v>7198</v>
      </c>
      <c r="G454" s="107">
        <v>38</v>
      </c>
      <c r="H454" s="107" t="s">
        <v>0</v>
      </c>
      <c r="I454" s="107" t="s">
        <v>6233</v>
      </c>
      <c r="J454" s="107" t="s">
        <v>6484</v>
      </c>
      <c r="K454" s="107" t="s">
        <v>6259</v>
      </c>
      <c r="L454" s="107" t="s">
        <v>6036</v>
      </c>
      <c r="M454" s="107" t="s">
        <v>6259</v>
      </c>
      <c r="N454" s="43" t="s">
        <v>6259</v>
      </c>
    </row>
    <row r="455" spans="1:14" ht="11.1" customHeight="1">
      <c r="A455" s="31" t="s">
        <v>7199</v>
      </c>
      <c r="B455" s="38" t="s">
        <v>6231</v>
      </c>
      <c r="C455" s="39">
        <v>22176</v>
      </c>
      <c r="D455" s="40">
        <v>8.9415028305082009E-2</v>
      </c>
      <c r="E455" s="41" t="s">
        <v>6262</v>
      </c>
      <c r="F455" s="42" t="s">
        <v>7200</v>
      </c>
      <c r="G455" s="42">
        <v>61</v>
      </c>
      <c r="H455" s="42" t="s">
        <v>0</v>
      </c>
      <c r="I455" s="42" t="s">
        <v>6259</v>
      </c>
      <c r="J455" s="42" t="s">
        <v>6264</v>
      </c>
      <c r="K455" s="42" t="s">
        <v>6259</v>
      </c>
      <c r="L455" s="42" t="s">
        <v>6036</v>
      </c>
      <c r="M455" s="42" t="s">
        <v>6259</v>
      </c>
      <c r="N455" s="43" t="s">
        <v>6259</v>
      </c>
    </row>
    <row r="456" spans="1:14" ht="11.1" customHeight="1">
      <c r="A456" s="44" t="s">
        <v>7201</v>
      </c>
      <c r="B456" s="45" t="s">
        <v>6231</v>
      </c>
      <c r="C456" s="46">
        <v>1843</v>
      </c>
      <c r="D456" s="47">
        <v>7.4310920439333581E-3</v>
      </c>
      <c r="E456" s="48" t="s">
        <v>6262</v>
      </c>
      <c r="F456" s="49" t="s">
        <v>7202</v>
      </c>
      <c r="G456" s="49">
        <v>36</v>
      </c>
      <c r="H456" s="49" t="s">
        <v>0</v>
      </c>
      <c r="I456" s="49" t="s">
        <v>6259</v>
      </c>
      <c r="J456" s="49" t="s">
        <v>6267</v>
      </c>
      <c r="K456" s="49" t="s">
        <v>6268</v>
      </c>
      <c r="L456" s="49" t="s">
        <v>6036</v>
      </c>
      <c r="M456" s="49" t="s">
        <v>6259</v>
      </c>
      <c r="N456" s="50" t="s">
        <v>6259</v>
      </c>
    </row>
    <row r="457" spans="1:14" ht="11.1" customHeight="1">
      <c r="A457" s="51" t="s">
        <v>7203</v>
      </c>
      <c r="B457" s="52" t="s">
        <v>6217</v>
      </c>
      <c r="C457" s="53">
        <v>128400</v>
      </c>
      <c r="D457" s="54">
        <v>0.47348275328008493</v>
      </c>
      <c r="E457" s="55" t="s">
        <v>6251</v>
      </c>
      <c r="F457" s="56" t="s">
        <v>7204</v>
      </c>
      <c r="G457" s="56">
        <v>40</v>
      </c>
      <c r="H457" s="56" t="s">
        <v>0</v>
      </c>
      <c r="I457" s="56" t="s">
        <v>6233</v>
      </c>
      <c r="J457" s="56" t="s">
        <v>6253</v>
      </c>
      <c r="K457" s="56" t="s">
        <v>6053</v>
      </c>
      <c r="L457" s="56" t="s">
        <v>6036</v>
      </c>
      <c r="M457" s="56" t="s">
        <v>6259</v>
      </c>
      <c r="N457" s="57" t="s">
        <v>6779</v>
      </c>
    </row>
    <row r="458" spans="1:14" ht="11.1" customHeight="1">
      <c r="A458" s="31" t="s">
        <v>7205</v>
      </c>
      <c r="B458" s="38" t="s">
        <v>6230</v>
      </c>
      <c r="C458" s="39">
        <v>113634</v>
      </c>
      <c r="D458" s="40">
        <v>0.4190322366528752</v>
      </c>
      <c r="E458" s="41" t="s">
        <v>6262</v>
      </c>
      <c r="F458" s="42" t="s">
        <v>7206</v>
      </c>
      <c r="G458" s="42">
        <v>75</v>
      </c>
      <c r="H458" s="42" t="s">
        <v>0</v>
      </c>
      <c r="I458" s="42" t="s">
        <v>6259</v>
      </c>
      <c r="J458" s="42" t="s">
        <v>6257</v>
      </c>
      <c r="K458" s="42" t="s">
        <v>6258</v>
      </c>
      <c r="L458" s="42" t="s">
        <v>6209</v>
      </c>
      <c r="M458" s="42">
        <v>9</v>
      </c>
      <c r="N458" s="43" t="s">
        <v>6260</v>
      </c>
    </row>
    <row r="459" spans="1:14" ht="11.1" customHeight="1">
      <c r="A459" s="31" t="s">
        <v>7207</v>
      </c>
      <c r="B459" s="38" t="s">
        <v>6231</v>
      </c>
      <c r="C459" s="39">
        <v>23385</v>
      </c>
      <c r="D459" s="40">
        <v>8.623359957519304E-2</v>
      </c>
      <c r="E459" s="41" t="s">
        <v>6262</v>
      </c>
      <c r="F459" s="42" t="s">
        <v>7208</v>
      </c>
      <c r="G459" s="42">
        <v>57</v>
      </c>
      <c r="H459" s="42" t="s">
        <v>0</v>
      </c>
      <c r="I459" s="42" t="s">
        <v>6259</v>
      </c>
      <c r="J459" s="42" t="s">
        <v>6264</v>
      </c>
      <c r="K459" s="42" t="s">
        <v>6259</v>
      </c>
      <c r="L459" s="42" t="s">
        <v>6036</v>
      </c>
      <c r="M459" s="42" t="s">
        <v>6259</v>
      </c>
      <c r="N459" s="43" t="s">
        <v>6259</v>
      </c>
    </row>
    <row r="460" spans="1:14" ht="11.1" customHeight="1">
      <c r="A460" s="44" t="s">
        <v>7209</v>
      </c>
      <c r="B460" s="45" t="s">
        <v>6231</v>
      </c>
      <c r="C460" s="46">
        <v>5763</v>
      </c>
      <c r="D460" s="47">
        <v>2.1251410491846805E-2</v>
      </c>
      <c r="E460" s="48" t="s">
        <v>6262</v>
      </c>
      <c r="F460" s="49" t="s">
        <v>7210</v>
      </c>
      <c r="G460" s="49">
        <v>38</v>
      </c>
      <c r="H460" s="49" t="s">
        <v>0</v>
      </c>
      <c r="I460" s="49" t="s">
        <v>6259</v>
      </c>
      <c r="J460" s="49" t="s">
        <v>6267</v>
      </c>
      <c r="K460" s="49" t="s">
        <v>6268</v>
      </c>
      <c r="L460" s="49" t="s">
        <v>6036</v>
      </c>
      <c r="M460" s="49" t="s">
        <v>6259</v>
      </c>
      <c r="N460" s="50" t="s">
        <v>6259</v>
      </c>
    </row>
    <row r="461" spans="1:14" ht="11.1" customHeight="1">
      <c r="A461" s="51" t="s">
        <v>7211</v>
      </c>
      <c r="B461" s="60" t="s">
        <v>6217</v>
      </c>
      <c r="C461" s="61">
        <v>138512</v>
      </c>
      <c r="D461" s="62">
        <v>0.51369423562615202</v>
      </c>
      <c r="E461" s="63" t="s">
        <v>6251</v>
      </c>
      <c r="F461" s="64" t="s">
        <v>7212</v>
      </c>
      <c r="G461" s="64">
        <v>63</v>
      </c>
      <c r="H461" s="64" t="s">
        <v>0</v>
      </c>
      <c r="I461" s="64" t="s">
        <v>6233</v>
      </c>
      <c r="J461" s="64" t="s">
        <v>6257</v>
      </c>
      <c r="K461" s="64" t="s">
        <v>6350</v>
      </c>
      <c r="L461" s="64" t="s">
        <v>6209</v>
      </c>
      <c r="M461" s="64">
        <v>4</v>
      </c>
      <c r="N461" s="65" t="s">
        <v>6259</v>
      </c>
    </row>
    <row r="462" spans="1:14" ht="11.1" customHeight="1">
      <c r="A462" s="31" t="s">
        <v>7213</v>
      </c>
      <c r="B462" s="38" t="s">
        <v>6232</v>
      </c>
      <c r="C462" s="39">
        <v>106892</v>
      </c>
      <c r="D462" s="40">
        <v>0.39642633298595531</v>
      </c>
      <c r="E462" s="35">
        <v>77.171652997574213</v>
      </c>
      <c r="F462" s="36" t="s">
        <v>7214</v>
      </c>
      <c r="G462" s="36">
        <v>38</v>
      </c>
      <c r="H462" s="36" t="s">
        <v>6049</v>
      </c>
      <c r="I462" s="36" t="s">
        <v>6233</v>
      </c>
      <c r="J462" s="36" t="s">
        <v>6253</v>
      </c>
      <c r="K462" s="36" t="s">
        <v>6053</v>
      </c>
      <c r="L462" s="36" t="s">
        <v>6036</v>
      </c>
      <c r="M462" s="36" t="s">
        <v>6259</v>
      </c>
      <c r="N462" s="43" t="s">
        <v>6779</v>
      </c>
    </row>
    <row r="463" spans="1:14" ht="11.1" customHeight="1">
      <c r="A463" s="31" t="s">
        <v>7215</v>
      </c>
      <c r="B463" s="38" t="s">
        <v>6231</v>
      </c>
      <c r="C463" s="39">
        <v>21448</v>
      </c>
      <c r="D463" s="40">
        <v>7.9543389494843103E-2</v>
      </c>
      <c r="E463" s="41" t="s">
        <v>6262</v>
      </c>
      <c r="F463" s="42" t="s">
        <v>7216</v>
      </c>
      <c r="G463" s="42">
        <v>50</v>
      </c>
      <c r="H463" s="42" t="s">
        <v>0</v>
      </c>
      <c r="I463" s="42" t="s">
        <v>6259</v>
      </c>
      <c r="J463" s="42" t="s">
        <v>6264</v>
      </c>
      <c r="K463" s="42" t="s">
        <v>6259</v>
      </c>
      <c r="L463" s="42" t="s">
        <v>6036</v>
      </c>
      <c r="M463" s="42" t="s">
        <v>6259</v>
      </c>
      <c r="N463" s="43" t="s">
        <v>6259</v>
      </c>
    </row>
    <row r="464" spans="1:14" ht="11.1" customHeight="1">
      <c r="A464" s="44" t="s">
        <v>7217</v>
      </c>
      <c r="B464" s="45" t="s">
        <v>6231</v>
      </c>
      <c r="C464" s="46">
        <v>2787</v>
      </c>
      <c r="D464" s="47">
        <v>1.0336041893049597E-2</v>
      </c>
      <c r="E464" s="48" t="s">
        <v>6262</v>
      </c>
      <c r="F464" s="49" t="s">
        <v>7218</v>
      </c>
      <c r="G464" s="49">
        <v>28</v>
      </c>
      <c r="H464" s="49" t="s">
        <v>0</v>
      </c>
      <c r="I464" s="49" t="s">
        <v>6259</v>
      </c>
      <c r="J464" s="49" t="s">
        <v>6267</v>
      </c>
      <c r="K464" s="49" t="s">
        <v>6268</v>
      </c>
      <c r="L464" s="49" t="s">
        <v>6036</v>
      </c>
      <c r="M464" s="49" t="s">
        <v>6259</v>
      </c>
      <c r="N464" s="50" t="s">
        <v>6259</v>
      </c>
    </row>
    <row r="465" spans="1:14" ht="11.1" customHeight="1">
      <c r="A465" s="51" t="s">
        <v>7219</v>
      </c>
      <c r="B465" s="52" t="s">
        <v>6217</v>
      </c>
      <c r="C465" s="53">
        <v>163446</v>
      </c>
      <c r="D465" s="54">
        <v>0.59464749583427323</v>
      </c>
      <c r="E465" s="55" t="s">
        <v>6251</v>
      </c>
      <c r="F465" s="56" t="s">
        <v>7220</v>
      </c>
      <c r="G465" s="56">
        <v>62</v>
      </c>
      <c r="H465" s="56" t="s">
        <v>0</v>
      </c>
      <c r="I465" s="56" t="s">
        <v>6233</v>
      </c>
      <c r="J465" s="56" t="s">
        <v>6253</v>
      </c>
      <c r="K465" s="56" t="s">
        <v>24</v>
      </c>
      <c r="L465" s="56" t="s">
        <v>6209</v>
      </c>
      <c r="M465" s="56">
        <v>9</v>
      </c>
      <c r="N465" s="57" t="s">
        <v>6779</v>
      </c>
    </row>
    <row r="466" spans="1:14" ht="11.1" customHeight="1">
      <c r="A466" s="31" t="s">
        <v>7221</v>
      </c>
      <c r="B466" s="38" t="s">
        <v>6230</v>
      </c>
      <c r="C466" s="39">
        <v>88325</v>
      </c>
      <c r="D466" s="40">
        <v>0.32134307397894218</v>
      </c>
      <c r="E466" s="41">
        <v>54.03925455502123</v>
      </c>
      <c r="F466" s="42" t="s">
        <v>7222</v>
      </c>
      <c r="G466" s="42">
        <v>67</v>
      </c>
      <c r="H466" s="42" t="s">
        <v>0</v>
      </c>
      <c r="I466" s="42" t="s">
        <v>6233</v>
      </c>
      <c r="J466" s="42" t="s">
        <v>6257</v>
      </c>
      <c r="K466" s="42" t="s">
        <v>6258</v>
      </c>
      <c r="L466" s="42" t="s">
        <v>6209</v>
      </c>
      <c r="M466" s="42">
        <v>1</v>
      </c>
      <c r="N466" s="43" t="s">
        <v>6260</v>
      </c>
    </row>
    <row r="467" spans="1:14" ht="11.1" customHeight="1">
      <c r="A467" s="31" t="s">
        <v>7223</v>
      </c>
      <c r="B467" s="38" t="s">
        <v>6231</v>
      </c>
      <c r="C467" s="39">
        <v>21004</v>
      </c>
      <c r="D467" s="40">
        <v>7.6416529021836418E-2</v>
      </c>
      <c r="E467" s="41" t="s">
        <v>6262</v>
      </c>
      <c r="F467" s="42" t="s">
        <v>7224</v>
      </c>
      <c r="G467" s="42">
        <v>31</v>
      </c>
      <c r="H467" s="42" t="s">
        <v>0</v>
      </c>
      <c r="I467" s="42" t="s">
        <v>6259</v>
      </c>
      <c r="J467" s="42" t="s">
        <v>6264</v>
      </c>
      <c r="K467" s="42" t="s">
        <v>6259</v>
      </c>
      <c r="L467" s="42" t="s">
        <v>6036</v>
      </c>
      <c r="M467" s="42" t="s">
        <v>6259</v>
      </c>
      <c r="N467" s="43" t="s">
        <v>6259</v>
      </c>
    </row>
    <row r="468" spans="1:14" ht="11.1" customHeight="1">
      <c r="A468" s="44" t="s">
        <v>7225</v>
      </c>
      <c r="B468" s="45" t="s">
        <v>6231</v>
      </c>
      <c r="C468" s="46">
        <v>2087</v>
      </c>
      <c r="D468" s="47">
        <v>7.5929011649482287E-3</v>
      </c>
      <c r="E468" s="48" t="s">
        <v>6262</v>
      </c>
      <c r="F468" s="49" t="s">
        <v>7226</v>
      </c>
      <c r="G468" s="49">
        <v>62</v>
      </c>
      <c r="H468" s="49" t="s">
        <v>0</v>
      </c>
      <c r="I468" s="49" t="s">
        <v>6259</v>
      </c>
      <c r="J468" s="49" t="s">
        <v>6267</v>
      </c>
      <c r="K468" s="49" t="s">
        <v>6268</v>
      </c>
      <c r="L468" s="49" t="s">
        <v>6036</v>
      </c>
      <c r="M468" s="49" t="s">
        <v>6259</v>
      </c>
      <c r="N468" s="50" t="s">
        <v>6259</v>
      </c>
    </row>
    <row r="469" spans="1:14" ht="11.1" customHeight="1">
      <c r="A469" s="51" t="s">
        <v>7227</v>
      </c>
      <c r="B469" s="52" t="s">
        <v>6217</v>
      </c>
      <c r="C469" s="53">
        <v>170437</v>
      </c>
      <c r="D469" s="54">
        <v>0.55038266541802561</v>
      </c>
      <c r="E469" s="55" t="s">
        <v>6251</v>
      </c>
      <c r="F469" s="56" t="s">
        <v>7228</v>
      </c>
      <c r="G469" s="56">
        <v>52</v>
      </c>
      <c r="H469" s="56" t="s">
        <v>0</v>
      </c>
      <c r="I469" s="56" t="s">
        <v>6233</v>
      </c>
      <c r="J469" s="56" t="s">
        <v>6253</v>
      </c>
      <c r="K469" s="56" t="s">
        <v>24</v>
      </c>
      <c r="L469" s="56" t="s">
        <v>6209</v>
      </c>
      <c r="M469" s="56">
        <v>4</v>
      </c>
      <c r="N469" s="57" t="s">
        <v>6779</v>
      </c>
    </row>
    <row r="470" spans="1:14" ht="11.1" customHeight="1">
      <c r="A470" s="31" t="s">
        <v>7229</v>
      </c>
      <c r="B470" s="38" t="s">
        <v>6230</v>
      </c>
      <c r="C470" s="39">
        <v>105721</v>
      </c>
      <c r="D470" s="40">
        <v>0.34139890851551652</v>
      </c>
      <c r="E470" s="41">
        <v>62.029371556645565</v>
      </c>
      <c r="F470" s="42" t="s">
        <v>7230</v>
      </c>
      <c r="G470" s="42">
        <v>35</v>
      </c>
      <c r="H470" s="42" t="s">
        <v>0</v>
      </c>
      <c r="I470" s="42" t="s">
        <v>6233</v>
      </c>
      <c r="J470" s="42" t="s">
        <v>6257</v>
      </c>
      <c r="K470" s="42" t="s">
        <v>6311</v>
      </c>
      <c r="L470" s="42" t="s">
        <v>6209</v>
      </c>
      <c r="M470" s="42">
        <v>1</v>
      </c>
      <c r="N470" s="43" t="s">
        <v>6260</v>
      </c>
    </row>
    <row r="471" spans="1:14" ht="11.1" customHeight="1">
      <c r="A471" s="31" t="s">
        <v>7231</v>
      </c>
      <c r="B471" s="38" t="s">
        <v>6231</v>
      </c>
      <c r="C471" s="39">
        <v>27860</v>
      </c>
      <c r="D471" s="40">
        <v>8.996673878645009E-2</v>
      </c>
      <c r="E471" s="41" t="s">
        <v>6262</v>
      </c>
      <c r="F471" s="42" t="s">
        <v>7232</v>
      </c>
      <c r="G471" s="42">
        <v>58</v>
      </c>
      <c r="H471" s="42" t="s">
        <v>0</v>
      </c>
      <c r="I471" s="42" t="s">
        <v>6259</v>
      </c>
      <c r="J471" s="42" t="s">
        <v>6264</v>
      </c>
      <c r="K471" s="42" t="s">
        <v>6259</v>
      </c>
      <c r="L471" s="42" t="s">
        <v>6036</v>
      </c>
      <c r="M471" s="42" t="s">
        <v>6259</v>
      </c>
      <c r="N471" s="43" t="s">
        <v>6259</v>
      </c>
    </row>
    <row r="472" spans="1:14" ht="11.1" customHeight="1">
      <c r="A472" s="31" t="s">
        <v>7233</v>
      </c>
      <c r="B472" s="38" t="s">
        <v>6231</v>
      </c>
      <c r="C472" s="39">
        <v>2912</v>
      </c>
      <c r="D472" s="40">
        <v>9.4035586269254363E-3</v>
      </c>
      <c r="E472" s="41" t="s">
        <v>6262</v>
      </c>
      <c r="F472" s="42" t="s">
        <v>7234</v>
      </c>
      <c r="G472" s="42">
        <v>67</v>
      </c>
      <c r="H472" s="42" t="s">
        <v>6049</v>
      </c>
      <c r="I472" s="42" t="s">
        <v>6259</v>
      </c>
      <c r="J472" s="42" t="s">
        <v>6322</v>
      </c>
      <c r="K472" s="42" t="s">
        <v>6259</v>
      </c>
      <c r="L472" s="42" t="s">
        <v>6036</v>
      </c>
      <c r="M472" s="42" t="s">
        <v>6259</v>
      </c>
      <c r="N472" s="43" t="s">
        <v>6259</v>
      </c>
    </row>
    <row r="473" spans="1:14" ht="11.1" customHeight="1">
      <c r="A473" s="44" t="s">
        <v>7235</v>
      </c>
      <c r="B473" s="45" t="s">
        <v>6231</v>
      </c>
      <c r="C473" s="46">
        <v>2740</v>
      </c>
      <c r="D473" s="47">
        <v>8.8481286530823142E-3</v>
      </c>
      <c r="E473" s="48" t="s">
        <v>6262</v>
      </c>
      <c r="F473" s="49" t="s">
        <v>7236</v>
      </c>
      <c r="G473" s="49">
        <v>43</v>
      </c>
      <c r="H473" s="49" t="s">
        <v>0</v>
      </c>
      <c r="I473" s="49" t="s">
        <v>6259</v>
      </c>
      <c r="J473" s="49" t="s">
        <v>6267</v>
      </c>
      <c r="K473" s="49" t="s">
        <v>6268</v>
      </c>
      <c r="L473" s="49" t="s">
        <v>6036</v>
      </c>
      <c r="M473" s="49" t="s">
        <v>6259</v>
      </c>
      <c r="N473" s="50" t="s">
        <v>6259</v>
      </c>
    </row>
    <row r="474" spans="1:14" ht="11.1" customHeight="1">
      <c r="A474" s="51" t="s">
        <v>7237</v>
      </c>
      <c r="B474" s="52" t="s">
        <v>6217</v>
      </c>
      <c r="C474" s="53">
        <v>136294</v>
      </c>
      <c r="D474" s="54">
        <v>0.5122929407210004</v>
      </c>
      <c r="E474" s="55" t="s">
        <v>6251</v>
      </c>
      <c r="F474" s="56" t="s">
        <v>7238</v>
      </c>
      <c r="G474" s="56">
        <v>45</v>
      </c>
      <c r="H474" s="56" t="s">
        <v>0</v>
      </c>
      <c r="I474" s="56" t="s">
        <v>6233</v>
      </c>
      <c r="J474" s="56" t="s">
        <v>6253</v>
      </c>
      <c r="K474" s="56" t="s">
        <v>6053</v>
      </c>
      <c r="L474" s="56" t="s">
        <v>6209</v>
      </c>
      <c r="M474" s="56">
        <v>3</v>
      </c>
      <c r="N474" s="57" t="s">
        <v>6779</v>
      </c>
    </row>
    <row r="475" spans="1:14" ht="11.1" customHeight="1">
      <c r="A475" s="31" t="s">
        <v>7239</v>
      </c>
      <c r="B475" s="38" t="s">
        <v>6230</v>
      </c>
      <c r="C475" s="39">
        <v>95718</v>
      </c>
      <c r="D475" s="40">
        <v>0.35977853537156967</v>
      </c>
      <c r="E475" s="41">
        <v>70.229063641833093</v>
      </c>
      <c r="F475" s="42" t="s">
        <v>7240</v>
      </c>
      <c r="G475" s="42">
        <v>39</v>
      </c>
      <c r="H475" s="42" t="s">
        <v>0</v>
      </c>
      <c r="I475" s="42" t="s">
        <v>6233</v>
      </c>
      <c r="J475" s="42" t="s">
        <v>6257</v>
      </c>
      <c r="K475" s="42" t="s">
        <v>6402</v>
      </c>
      <c r="L475" s="42" t="s">
        <v>6209</v>
      </c>
      <c r="M475" s="42">
        <v>1</v>
      </c>
      <c r="N475" s="43" t="s">
        <v>6260</v>
      </c>
    </row>
    <row r="476" spans="1:14" ht="11.1" customHeight="1">
      <c r="A476" s="31" t="s">
        <v>7241</v>
      </c>
      <c r="B476" s="38"/>
      <c r="C476" s="39">
        <v>31475</v>
      </c>
      <c r="D476" s="40">
        <v>0.11830616394847526</v>
      </c>
      <c r="E476" s="41">
        <v>23.093459726767136</v>
      </c>
      <c r="F476" s="42" t="s">
        <v>7242</v>
      </c>
      <c r="G476" s="42">
        <v>54</v>
      </c>
      <c r="H476" s="42" t="s">
        <v>6049</v>
      </c>
      <c r="I476" s="42" t="s">
        <v>6233</v>
      </c>
      <c r="J476" s="42" t="s">
        <v>6264</v>
      </c>
      <c r="K476" s="42" t="s">
        <v>6259</v>
      </c>
      <c r="L476" s="42" t="s">
        <v>6036</v>
      </c>
      <c r="M476" s="42" t="s">
        <v>6259</v>
      </c>
      <c r="N476" s="43" t="s">
        <v>6259</v>
      </c>
    </row>
    <row r="477" spans="1:14" ht="11.1" customHeight="1">
      <c r="A477" s="44" t="s">
        <v>7243</v>
      </c>
      <c r="B477" s="45" t="s">
        <v>6231</v>
      </c>
      <c r="C477" s="46">
        <v>2560</v>
      </c>
      <c r="D477" s="47">
        <v>9.622359958954621E-3</v>
      </c>
      <c r="E477" s="48" t="s">
        <v>6262</v>
      </c>
      <c r="F477" s="49" t="s">
        <v>7244</v>
      </c>
      <c r="G477" s="49">
        <v>33</v>
      </c>
      <c r="H477" s="49" t="s">
        <v>0</v>
      </c>
      <c r="I477" s="49" t="s">
        <v>6259</v>
      </c>
      <c r="J477" s="49" t="s">
        <v>6267</v>
      </c>
      <c r="K477" s="49" t="s">
        <v>6268</v>
      </c>
      <c r="L477" s="49" t="s">
        <v>6036</v>
      </c>
      <c r="M477" s="49" t="s">
        <v>6259</v>
      </c>
      <c r="N477" s="50" t="s">
        <v>6259</v>
      </c>
    </row>
    <row r="478" spans="1:14" ht="11.1" customHeight="1">
      <c r="A478" s="51" t="s">
        <v>7245</v>
      </c>
      <c r="B478" s="52" t="s">
        <v>6217</v>
      </c>
      <c r="C478" s="53">
        <v>142418</v>
      </c>
      <c r="D478" s="54">
        <v>0.5761782042827609</v>
      </c>
      <c r="E478" s="55" t="s">
        <v>6251</v>
      </c>
      <c r="F478" s="56" t="s">
        <v>7246</v>
      </c>
      <c r="G478" s="56">
        <v>47</v>
      </c>
      <c r="H478" s="56" t="s">
        <v>0</v>
      </c>
      <c r="I478" s="56" t="s">
        <v>6233</v>
      </c>
      <c r="J478" s="56" t="s">
        <v>6253</v>
      </c>
      <c r="K478" s="56" t="s">
        <v>6053</v>
      </c>
      <c r="L478" s="56" t="s">
        <v>6209</v>
      </c>
      <c r="M478" s="56">
        <v>2</v>
      </c>
      <c r="N478" s="57" t="s">
        <v>6779</v>
      </c>
    </row>
    <row r="479" spans="1:14" ht="11.1" customHeight="1">
      <c r="A479" s="31" t="s">
        <v>7247</v>
      </c>
      <c r="B479" s="38" t="s">
        <v>6230</v>
      </c>
      <c r="C479" s="39">
        <v>79628</v>
      </c>
      <c r="D479" s="40">
        <v>0.32214971457700353</v>
      </c>
      <c r="E479" s="41">
        <v>55.911471864511512</v>
      </c>
      <c r="F479" s="42" t="s">
        <v>7248</v>
      </c>
      <c r="G479" s="42">
        <v>63</v>
      </c>
      <c r="H479" s="42" t="s">
        <v>0</v>
      </c>
      <c r="I479" s="42" t="s">
        <v>6233</v>
      </c>
      <c r="J479" s="42" t="s">
        <v>6257</v>
      </c>
      <c r="K479" s="42" t="s">
        <v>6286</v>
      </c>
      <c r="L479" s="42" t="s">
        <v>6209</v>
      </c>
      <c r="M479" s="42">
        <v>1</v>
      </c>
      <c r="N479" s="43" t="s">
        <v>6260</v>
      </c>
    </row>
    <row r="480" spans="1:14" ht="11.1" customHeight="1">
      <c r="A480" s="31" t="s">
        <v>7249</v>
      </c>
      <c r="B480" s="38" t="s">
        <v>6231</v>
      </c>
      <c r="C480" s="39">
        <v>21155</v>
      </c>
      <c r="D480" s="40">
        <v>8.5586442104241087E-2</v>
      </c>
      <c r="E480" s="41" t="s">
        <v>6262</v>
      </c>
      <c r="F480" s="42" t="s">
        <v>7250</v>
      </c>
      <c r="G480" s="42">
        <v>56</v>
      </c>
      <c r="H480" s="42" t="s">
        <v>0</v>
      </c>
      <c r="I480" s="42" t="s">
        <v>6259</v>
      </c>
      <c r="J480" s="42" t="s">
        <v>6264</v>
      </c>
      <c r="K480" s="42" t="s">
        <v>6259</v>
      </c>
      <c r="L480" s="42" t="s">
        <v>6036</v>
      </c>
      <c r="M480" s="42" t="s">
        <v>6259</v>
      </c>
      <c r="N480" s="43" t="s">
        <v>6259</v>
      </c>
    </row>
    <row r="481" spans="1:14" ht="11.1" customHeight="1">
      <c r="A481" s="44" t="s">
        <v>7251</v>
      </c>
      <c r="B481" s="45" t="s">
        <v>6231</v>
      </c>
      <c r="C481" s="46">
        <v>3976</v>
      </c>
      <c r="D481" s="47">
        <v>1.6085639035994449E-2</v>
      </c>
      <c r="E481" s="48" t="s">
        <v>6262</v>
      </c>
      <c r="F481" s="49" t="s">
        <v>7252</v>
      </c>
      <c r="G481" s="49">
        <v>45</v>
      </c>
      <c r="H481" s="49" t="s">
        <v>0</v>
      </c>
      <c r="I481" s="49" t="s">
        <v>6259</v>
      </c>
      <c r="J481" s="49" t="s">
        <v>6267</v>
      </c>
      <c r="K481" s="49" t="s">
        <v>6268</v>
      </c>
      <c r="L481" s="49" t="s">
        <v>6036</v>
      </c>
      <c r="M481" s="49" t="s">
        <v>6259</v>
      </c>
      <c r="N481" s="50" t="s">
        <v>6259</v>
      </c>
    </row>
    <row r="482" spans="1:14" ht="11.1" customHeight="1">
      <c r="A482" s="51" t="s">
        <v>7253</v>
      </c>
      <c r="B482" s="52" t="s">
        <v>6217</v>
      </c>
      <c r="C482" s="53">
        <v>154904</v>
      </c>
      <c r="D482" s="54">
        <v>0.50576604108712409</v>
      </c>
      <c r="E482" s="55" t="s">
        <v>6251</v>
      </c>
      <c r="F482" s="56" t="s">
        <v>7254</v>
      </c>
      <c r="G482" s="56">
        <v>42</v>
      </c>
      <c r="H482" s="56" t="s">
        <v>0</v>
      </c>
      <c r="I482" s="56" t="s">
        <v>6233</v>
      </c>
      <c r="J482" s="56" t="s">
        <v>6253</v>
      </c>
      <c r="K482" s="56" t="s">
        <v>7062</v>
      </c>
      <c r="L482" s="56" t="s">
        <v>6283</v>
      </c>
      <c r="M482" s="56">
        <v>2</v>
      </c>
      <c r="N482" s="57" t="s">
        <v>6779</v>
      </c>
    </row>
    <row r="483" spans="1:14" ht="11.1" customHeight="1">
      <c r="A483" s="31" t="s">
        <v>7255</v>
      </c>
      <c r="B483" s="38" t="s">
        <v>6230</v>
      </c>
      <c r="C483" s="39">
        <v>117315</v>
      </c>
      <c r="D483" s="40">
        <v>0.38303686870665676</v>
      </c>
      <c r="E483" s="41">
        <v>75.7340029954036</v>
      </c>
      <c r="F483" s="42" t="s">
        <v>7256</v>
      </c>
      <c r="G483" s="42">
        <v>48</v>
      </c>
      <c r="H483" s="42" t="s">
        <v>0</v>
      </c>
      <c r="I483" s="42" t="s">
        <v>6233</v>
      </c>
      <c r="J483" s="42" t="s">
        <v>6257</v>
      </c>
      <c r="K483" s="42" t="s">
        <v>6273</v>
      </c>
      <c r="L483" s="42" t="s">
        <v>6209</v>
      </c>
      <c r="M483" s="42">
        <v>5</v>
      </c>
      <c r="N483" s="43" t="s">
        <v>6260</v>
      </c>
    </row>
    <row r="484" spans="1:14" ht="11.1" customHeight="1">
      <c r="A484" s="31" t="s">
        <v>7257</v>
      </c>
      <c r="B484" s="38" t="s">
        <v>6231</v>
      </c>
      <c r="C484" s="39">
        <v>28556</v>
      </c>
      <c r="D484" s="40">
        <v>9.3236166072431403E-2</v>
      </c>
      <c r="E484" s="41" t="s">
        <v>6262</v>
      </c>
      <c r="F484" s="42" t="s">
        <v>7258</v>
      </c>
      <c r="G484" s="42">
        <v>35</v>
      </c>
      <c r="H484" s="42" t="s">
        <v>0</v>
      </c>
      <c r="I484" s="42" t="s">
        <v>6259</v>
      </c>
      <c r="J484" s="42" t="s">
        <v>6264</v>
      </c>
      <c r="K484" s="42" t="s">
        <v>6259</v>
      </c>
      <c r="L484" s="42" t="s">
        <v>6036</v>
      </c>
      <c r="M484" s="42" t="s">
        <v>6259</v>
      </c>
      <c r="N484" s="43" t="s">
        <v>6259</v>
      </c>
    </row>
    <row r="485" spans="1:14" ht="11.1" customHeight="1">
      <c r="A485" s="44" t="s">
        <v>7259</v>
      </c>
      <c r="B485" s="45" t="s">
        <v>6231</v>
      </c>
      <c r="C485" s="46">
        <v>5501</v>
      </c>
      <c r="D485" s="47">
        <v>1.7960924133787824E-2</v>
      </c>
      <c r="E485" s="48" t="s">
        <v>6262</v>
      </c>
      <c r="F485" s="49" t="s">
        <v>7260</v>
      </c>
      <c r="G485" s="49">
        <v>36</v>
      </c>
      <c r="H485" s="49" t="s">
        <v>6049</v>
      </c>
      <c r="I485" s="49" t="s">
        <v>6259</v>
      </c>
      <c r="J485" s="49" t="s">
        <v>6267</v>
      </c>
      <c r="K485" s="49" t="s">
        <v>6268</v>
      </c>
      <c r="L485" s="49" t="s">
        <v>6036</v>
      </c>
      <c r="M485" s="49" t="s">
        <v>6259</v>
      </c>
      <c r="N485" s="50" t="s">
        <v>6259</v>
      </c>
    </row>
    <row r="486" spans="1:14" ht="11.1" customHeight="1">
      <c r="A486" s="51" t="s">
        <v>7261</v>
      </c>
      <c r="B486" s="52" t="s">
        <v>6217</v>
      </c>
      <c r="C486" s="53">
        <v>168346</v>
      </c>
      <c r="D486" s="54">
        <v>0.54400274027493234</v>
      </c>
      <c r="E486" s="55" t="s">
        <v>6251</v>
      </c>
      <c r="F486" s="56" t="s">
        <v>7262</v>
      </c>
      <c r="G486" s="56">
        <v>41</v>
      </c>
      <c r="H486" s="56" t="s">
        <v>6049</v>
      </c>
      <c r="I486" s="56" t="s">
        <v>6233</v>
      </c>
      <c r="J486" s="56" t="s">
        <v>6253</v>
      </c>
      <c r="K486" s="56" t="s">
        <v>24</v>
      </c>
      <c r="L486" s="56" t="s">
        <v>6036</v>
      </c>
      <c r="M486" s="56" t="s">
        <v>6259</v>
      </c>
      <c r="N486" s="57" t="s">
        <v>6779</v>
      </c>
    </row>
    <row r="487" spans="1:14" ht="11.1" customHeight="1">
      <c r="A487" s="31" t="s">
        <v>7263</v>
      </c>
      <c r="B487" s="38" t="s">
        <v>6230</v>
      </c>
      <c r="C487" s="39">
        <v>108528</v>
      </c>
      <c r="D487" s="40">
        <v>0.35070348803391738</v>
      </c>
      <c r="E487" s="41">
        <v>64.467228208570447</v>
      </c>
      <c r="F487" s="42" t="s">
        <v>7264</v>
      </c>
      <c r="G487" s="42">
        <v>67</v>
      </c>
      <c r="H487" s="42" t="s">
        <v>0</v>
      </c>
      <c r="I487" s="42" t="s">
        <v>6233</v>
      </c>
      <c r="J487" s="42" t="s">
        <v>6257</v>
      </c>
      <c r="K487" s="42" t="s">
        <v>6286</v>
      </c>
      <c r="L487" s="42" t="s">
        <v>6209</v>
      </c>
      <c r="M487" s="42">
        <v>9</v>
      </c>
      <c r="N487" s="43" t="s">
        <v>6260</v>
      </c>
    </row>
    <row r="488" spans="1:14" ht="11.1" customHeight="1">
      <c r="A488" s="31" t="s">
        <v>7265</v>
      </c>
      <c r="B488" s="38" t="s">
        <v>6231</v>
      </c>
      <c r="C488" s="39">
        <v>27699</v>
      </c>
      <c r="D488" s="40">
        <v>8.9508107723826821E-2</v>
      </c>
      <c r="E488" s="41" t="s">
        <v>6262</v>
      </c>
      <c r="F488" s="42" t="s">
        <v>7266</v>
      </c>
      <c r="G488" s="42">
        <v>48</v>
      </c>
      <c r="H488" s="42" t="s">
        <v>0</v>
      </c>
      <c r="I488" s="42" t="s">
        <v>6259</v>
      </c>
      <c r="J488" s="42" t="s">
        <v>6264</v>
      </c>
      <c r="K488" s="42" t="s">
        <v>6259</v>
      </c>
      <c r="L488" s="42" t="s">
        <v>6036</v>
      </c>
      <c r="M488" s="42" t="s">
        <v>6259</v>
      </c>
      <c r="N488" s="43" t="s">
        <v>6259</v>
      </c>
    </row>
    <row r="489" spans="1:14" ht="11.1" customHeight="1">
      <c r="A489" s="44" t="s">
        <v>7267</v>
      </c>
      <c r="B489" s="45" t="s">
        <v>6231</v>
      </c>
      <c r="C489" s="46">
        <v>4885</v>
      </c>
      <c r="D489" s="47">
        <v>1.5785663967323515E-2</v>
      </c>
      <c r="E489" s="48" t="s">
        <v>6262</v>
      </c>
      <c r="F489" s="49" t="s">
        <v>7268</v>
      </c>
      <c r="G489" s="49">
        <v>30</v>
      </c>
      <c r="H489" s="49" t="s">
        <v>0</v>
      </c>
      <c r="I489" s="49" t="s">
        <v>6259</v>
      </c>
      <c r="J489" s="49" t="s">
        <v>6267</v>
      </c>
      <c r="K489" s="49" t="s">
        <v>6268</v>
      </c>
      <c r="L489" s="49" t="s">
        <v>6036</v>
      </c>
      <c r="M489" s="49" t="s">
        <v>6259</v>
      </c>
      <c r="N489" s="50" t="s">
        <v>6259</v>
      </c>
    </row>
    <row r="490" spans="1:14" ht="11.1" customHeight="1">
      <c r="A490" s="51" t="s">
        <v>7269</v>
      </c>
      <c r="B490" s="52" t="s">
        <v>6217</v>
      </c>
      <c r="C490" s="53">
        <v>148719</v>
      </c>
      <c r="D490" s="54">
        <v>0.49451020815322205</v>
      </c>
      <c r="E490" s="55" t="s">
        <v>6251</v>
      </c>
      <c r="F490" s="56" t="s">
        <v>7270</v>
      </c>
      <c r="G490" s="56">
        <v>53</v>
      </c>
      <c r="H490" s="56" t="s">
        <v>0</v>
      </c>
      <c r="I490" s="56" t="s">
        <v>6233</v>
      </c>
      <c r="J490" s="56" t="s">
        <v>6253</v>
      </c>
      <c r="K490" s="56" t="s">
        <v>24</v>
      </c>
      <c r="L490" s="56" t="s">
        <v>6283</v>
      </c>
      <c r="M490" s="56">
        <v>2</v>
      </c>
      <c r="N490" s="57" t="s">
        <v>6779</v>
      </c>
    </row>
    <row r="491" spans="1:14" ht="11.1" customHeight="1">
      <c r="A491" s="31" t="s">
        <v>7271</v>
      </c>
      <c r="B491" s="38" t="s">
        <v>6230</v>
      </c>
      <c r="C491" s="39">
        <v>121867</v>
      </c>
      <c r="D491" s="40">
        <v>0.40522378133936293</v>
      </c>
      <c r="E491" s="41">
        <v>81.944472461487777</v>
      </c>
      <c r="F491" s="42" t="s">
        <v>7272</v>
      </c>
      <c r="G491" s="42">
        <v>45</v>
      </c>
      <c r="H491" s="42" t="s">
        <v>0</v>
      </c>
      <c r="I491" s="42" t="s">
        <v>6233</v>
      </c>
      <c r="J491" s="42" t="s">
        <v>6257</v>
      </c>
      <c r="K491" s="42" t="s">
        <v>6286</v>
      </c>
      <c r="L491" s="42" t="s">
        <v>6209</v>
      </c>
      <c r="M491" s="42">
        <v>2</v>
      </c>
      <c r="N491" s="43" t="s">
        <v>6260</v>
      </c>
    </row>
    <row r="492" spans="1:14" ht="11.1" customHeight="1">
      <c r="A492" s="31" t="s">
        <v>7273</v>
      </c>
      <c r="B492" s="38" t="s">
        <v>6231</v>
      </c>
      <c r="C492" s="39">
        <v>26392</v>
      </c>
      <c r="D492" s="40">
        <v>8.7756866396222655E-2</v>
      </c>
      <c r="E492" s="41" t="s">
        <v>6262</v>
      </c>
      <c r="F492" s="42" t="s">
        <v>7274</v>
      </c>
      <c r="G492" s="42">
        <v>37</v>
      </c>
      <c r="H492" s="42" t="s">
        <v>0</v>
      </c>
      <c r="I492" s="42" t="s">
        <v>6259</v>
      </c>
      <c r="J492" s="42" t="s">
        <v>6264</v>
      </c>
      <c r="K492" s="42" t="s">
        <v>6259</v>
      </c>
      <c r="L492" s="42" t="s">
        <v>6036</v>
      </c>
      <c r="M492" s="42" t="s">
        <v>6259</v>
      </c>
      <c r="N492" s="43" t="s">
        <v>6259</v>
      </c>
    </row>
    <row r="493" spans="1:14" ht="11.1" customHeight="1">
      <c r="A493" s="44" t="s">
        <v>7275</v>
      </c>
      <c r="B493" s="45" t="s">
        <v>6231</v>
      </c>
      <c r="C493" s="46">
        <v>3762</v>
      </c>
      <c r="D493" s="47">
        <v>1.2509144111192392E-2</v>
      </c>
      <c r="E493" s="48" t="s">
        <v>6262</v>
      </c>
      <c r="F493" s="49" t="s">
        <v>7276</v>
      </c>
      <c r="G493" s="49">
        <v>55</v>
      </c>
      <c r="H493" s="49" t="s">
        <v>6049</v>
      </c>
      <c r="I493" s="49" t="s">
        <v>6259</v>
      </c>
      <c r="J493" s="49" t="s">
        <v>6267</v>
      </c>
      <c r="K493" s="49" t="s">
        <v>6268</v>
      </c>
      <c r="L493" s="49" t="s">
        <v>6036</v>
      </c>
      <c r="M493" s="49" t="s">
        <v>6259</v>
      </c>
      <c r="N493" s="50" t="s">
        <v>6259</v>
      </c>
    </row>
    <row r="494" spans="1:14" ht="11.1" customHeight="1">
      <c r="A494" s="51" t="s">
        <v>7277</v>
      </c>
      <c r="B494" s="60" t="s">
        <v>6217</v>
      </c>
      <c r="C494" s="61">
        <v>106201</v>
      </c>
      <c r="D494" s="62">
        <v>0.52531842801671902</v>
      </c>
      <c r="E494" s="63" t="s">
        <v>6251</v>
      </c>
      <c r="F494" s="64" t="s">
        <v>7278</v>
      </c>
      <c r="G494" s="64">
        <v>39</v>
      </c>
      <c r="H494" s="64" t="s">
        <v>0</v>
      </c>
      <c r="I494" s="64" t="s">
        <v>6233</v>
      </c>
      <c r="J494" s="64" t="s">
        <v>6257</v>
      </c>
      <c r="K494" s="64" t="s">
        <v>6596</v>
      </c>
      <c r="L494" s="64" t="s">
        <v>6209</v>
      </c>
      <c r="M494" s="64">
        <v>2</v>
      </c>
      <c r="N494" s="65" t="s">
        <v>6260</v>
      </c>
    </row>
    <row r="495" spans="1:14" ht="11.1" customHeight="1">
      <c r="A495" s="31" t="s">
        <v>7279</v>
      </c>
      <c r="B495" s="38" t="s">
        <v>6230</v>
      </c>
      <c r="C495" s="39">
        <v>48373</v>
      </c>
      <c r="D495" s="40">
        <v>0.23927484975144064</v>
      </c>
      <c r="E495" s="41">
        <v>45.548535324526135</v>
      </c>
      <c r="F495" s="42" t="s">
        <v>6185</v>
      </c>
      <c r="G495" s="42">
        <v>53</v>
      </c>
      <c r="H495" s="42" t="s">
        <v>0</v>
      </c>
      <c r="I495" s="42" t="s">
        <v>6233</v>
      </c>
      <c r="J495" s="42" t="s">
        <v>7280</v>
      </c>
      <c r="K495" s="42" t="s">
        <v>6259</v>
      </c>
      <c r="L495" s="42" t="s">
        <v>6036</v>
      </c>
      <c r="M495" s="42" t="s">
        <v>6259</v>
      </c>
      <c r="N495" s="43" t="s">
        <v>7281</v>
      </c>
    </row>
    <row r="496" spans="1:14" ht="11.1" customHeight="1">
      <c r="A496" s="31" t="s">
        <v>7282</v>
      </c>
      <c r="B496" s="38"/>
      <c r="C496" s="39">
        <v>21044</v>
      </c>
      <c r="D496" s="40">
        <v>0.10409319120520368</v>
      </c>
      <c r="E496" s="41" t="s">
        <v>6262</v>
      </c>
      <c r="F496" s="42" t="s">
        <v>7283</v>
      </c>
      <c r="G496" s="42">
        <v>52</v>
      </c>
      <c r="H496" s="42" t="s">
        <v>0</v>
      </c>
      <c r="I496" s="42" t="s">
        <v>6259</v>
      </c>
      <c r="J496" s="42" t="s">
        <v>6264</v>
      </c>
      <c r="K496" s="42" t="s">
        <v>6259</v>
      </c>
      <c r="L496" s="42" t="s">
        <v>6036</v>
      </c>
      <c r="M496" s="42" t="s">
        <v>6259</v>
      </c>
      <c r="N496" s="43" t="s">
        <v>6259</v>
      </c>
    </row>
    <row r="497" spans="1:14" ht="11.1" customHeight="1">
      <c r="A497" s="31" t="s">
        <v>7284</v>
      </c>
      <c r="B497" s="38" t="s">
        <v>6231</v>
      </c>
      <c r="C497" s="39">
        <v>19874</v>
      </c>
      <c r="D497" s="40">
        <v>9.8305839289689112E-2</v>
      </c>
      <c r="E497" s="41" t="s">
        <v>6262</v>
      </c>
      <c r="F497" s="42" t="s">
        <v>7285</v>
      </c>
      <c r="G497" s="42">
        <v>49</v>
      </c>
      <c r="H497" s="42" t="s">
        <v>0</v>
      </c>
      <c r="I497" s="42" t="s">
        <v>6259</v>
      </c>
      <c r="J497" s="42" t="s">
        <v>6322</v>
      </c>
      <c r="K497" s="42" t="s">
        <v>6259</v>
      </c>
      <c r="L497" s="42" t="s">
        <v>6036</v>
      </c>
      <c r="M497" s="42" t="s">
        <v>6259</v>
      </c>
      <c r="N497" s="43" t="s">
        <v>6259</v>
      </c>
    </row>
    <row r="498" spans="1:14" ht="11.1" customHeight="1" thickBot="1">
      <c r="A498" s="66" t="s">
        <v>7286</v>
      </c>
      <c r="B498" s="67" t="s">
        <v>6231</v>
      </c>
      <c r="C498" s="68">
        <v>6673</v>
      </c>
      <c r="D498" s="69">
        <v>3.3007691736947543E-2</v>
      </c>
      <c r="E498" s="70" t="s">
        <v>6262</v>
      </c>
      <c r="F498" s="71" t="s">
        <v>7287</v>
      </c>
      <c r="G498" s="71">
        <v>41</v>
      </c>
      <c r="H498" s="71" t="s">
        <v>0</v>
      </c>
      <c r="I498" s="71" t="s">
        <v>6259</v>
      </c>
      <c r="J498" s="71" t="s">
        <v>6267</v>
      </c>
      <c r="K498" s="71" t="s">
        <v>6268</v>
      </c>
      <c r="L498" s="71" t="s">
        <v>6036</v>
      </c>
      <c r="M498" s="71" t="s">
        <v>6259</v>
      </c>
      <c r="N498" s="72" t="s">
        <v>6259</v>
      </c>
    </row>
    <row r="499" spans="1:14" ht="11.1" customHeight="1" thickTop="1">
      <c r="A499" s="31" t="s">
        <v>7288</v>
      </c>
      <c r="B499" s="32" t="s">
        <v>6217</v>
      </c>
      <c r="C499" s="33">
        <v>169389</v>
      </c>
      <c r="D499" s="34">
        <v>0.60147217566684652</v>
      </c>
      <c r="E499" s="35" t="s">
        <v>6251</v>
      </c>
      <c r="F499" s="36" t="s">
        <v>7289</v>
      </c>
      <c r="G499" s="36">
        <v>42</v>
      </c>
      <c r="H499" s="36" t="s">
        <v>6049</v>
      </c>
      <c r="I499" s="36" t="s">
        <v>6233</v>
      </c>
      <c r="J499" s="36" t="s">
        <v>6253</v>
      </c>
      <c r="K499" s="36" t="s">
        <v>6053</v>
      </c>
      <c r="L499" s="36" t="s">
        <v>6209</v>
      </c>
      <c r="M499" s="36">
        <v>2</v>
      </c>
      <c r="N499" s="37" t="s">
        <v>6213</v>
      </c>
    </row>
    <row r="500" spans="1:14" ht="11.1" customHeight="1">
      <c r="A500" s="31" t="s">
        <v>7290</v>
      </c>
      <c r="B500" s="38" t="s">
        <v>6230</v>
      </c>
      <c r="C500" s="39">
        <v>90626</v>
      </c>
      <c r="D500" s="40">
        <v>0.32179785813709061</v>
      </c>
      <c r="E500" s="41">
        <v>53.501703180253735</v>
      </c>
      <c r="F500" s="42" t="s">
        <v>7291</v>
      </c>
      <c r="G500" s="42">
        <v>69</v>
      </c>
      <c r="H500" s="42" t="s">
        <v>0</v>
      </c>
      <c r="I500" s="42" t="s">
        <v>6233</v>
      </c>
      <c r="J500" s="42" t="s">
        <v>6257</v>
      </c>
      <c r="K500" s="42" t="s">
        <v>6311</v>
      </c>
      <c r="L500" s="42" t="s">
        <v>6209</v>
      </c>
      <c r="M500" s="42">
        <v>3</v>
      </c>
      <c r="N500" s="43" t="s">
        <v>6050</v>
      </c>
    </row>
    <row r="501" spans="1:14" ht="11.1" customHeight="1">
      <c r="A501" s="31" t="s">
        <v>7292</v>
      </c>
      <c r="B501" s="38" t="s">
        <v>6231</v>
      </c>
      <c r="C501" s="39">
        <v>17919</v>
      </c>
      <c r="D501" s="40">
        <v>6.3627389711104168E-2</v>
      </c>
      <c r="E501" s="41">
        <v>10.578609000584454</v>
      </c>
      <c r="F501" s="42" t="s">
        <v>7293</v>
      </c>
      <c r="G501" s="42">
        <v>45</v>
      </c>
      <c r="H501" s="42" t="s">
        <v>0</v>
      </c>
      <c r="I501" s="42" t="s">
        <v>6233</v>
      </c>
      <c r="J501" s="42" t="s">
        <v>6264</v>
      </c>
      <c r="K501" s="42" t="s">
        <v>6259</v>
      </c>
      <c r="L501" s="42" t="s">
        <v>6036</v>
      </c>
      <c r="M501" s="42" t="s">
        <v>6259</v>
      </c>
      <c r="N501" s="43" t="s">
        <v>6259</v>
      </c>
    </row>
    <row r="502" spans="1:14" ht="11.1" customHeight="1">
      <c r="A502" s="44" t="s">
        <v>7294</v>
      </c>
      <c r="B502" s="45" t="s">
        <v>6231</v>
      </c>
      <c r="C502" s="46">
        <v>3690</v>
      </c>
      <c r="D502" s="47">
        <v>1.3102576484958668E-2</v>
      </c>
      <c r="E502" s="48" t="s">
        <v>6262</v>
      </c>
      <c r="F502" s="49" t="s">
        <v>7295</v>
      </c>
      <c r="G502" s="49">
        <v>49</v>
      </c>
      <c r="H502" s="49" t="s">
        <v>0</v>
      </c>
      <c r="I502" s="49" t="s">
        <v>6259</v>
      </c>
      <c r="J502" s="49" t="s">
        <v>6267</v>
      </c>
      <c r="K502" s="49" t="s">
        <v>6268</v>
      </c>
      <c r="L502" s="49" t="s">
        <v>6036</v>
      </c>
      <c r="M502" s="49" t="s">
        <v>6259</v>
      </c>
      <c r="N502" s="50" t="s">
        <v>6259</v>
      </c>
    </row>
    <row r="503" spans="1:14" ht="11.1" customHeight="1">
      <c r="A503" s="51" t="s">
        <v>7296</v>
      </c>
      <c r="B503" s="52" t="s">
        <v>6217</v>
      </c>
      <c r="C503" s="53">
        <v>122686</v>
      </c>
      <c r="D503" s="54">
        <v>0.52258177186936949</v>
      </c>
      <c r="E503" s="55" t="s">
        <v>6251</v>
      </c>
      <c r="F503" s="56" t="s">
        <v>7297</v>
      </c>
      <c r="G503" s="56">
        <v>32</v>
      </c>
      <c r="H503" s="56" t="s">
        <v>0</v>
      </c>
      <c r="I503" s="56" t="s">
        <v>6233</v>
      </c>
      <c r="J503" s="56" t="s">
        <v>6253</v>
      </c>
      <c r="K503" s="56" t="s">
        <v>6053</v>
      </c>
      <c r="L503" s="56" t="s">
        <v>6209</v>
      </c>
      <c r="M503" s="56">
        <v>1</v>
      </c>
      <c r="N503" s="57" t="s">
        <v>6213</v>
      </c>
    </row>
    <row r="504" spans="1:14" ht="11.1" customHeight="1">
      <c r="A504" s="31" t="s">
        <v>7298</v>
      </c>
      <c r="B504" s="38" t="s">
        <v>6230</v>
      </c>
      <c r="C504" s="39">
        <v>86960</v>
      </c>
      <c r="D504" s="40">
        <v>0.37040665505241321</v>
      </c>
      <c r="E504" s="41">
        <v>70.880133022512751</v>
      </c>
      <c r="F504" s="42" t="s">
        <v>7299</v>
      </c>
      <c r="G504" s="42">
        <v>55</v>
      </c>
      <c r="H504" s="42" t="s">
        <v>0</v>
      </c>
      <c r="I504" s="42" t="s">
        <v>6233</v>
      </c>
      <c r="J504" s="42" t="s">
        <v>6257</v>
      </c>
      <c r="K504" s="42" t="s">
        <v>6402</v>
      </c>
      <c r="L504" s="42" t="s">
        <v>6209</v>
      </c>
      <c r="M504" s="42">
        <v>3</v>
      </c>
      <c r="N504" s="43" t="s">
        <v>6050</v>
      </c>
    </row>
    <row r="505" spans="1:14" ht="11.1" customHeight="1">
      <c r="A505" s="31" t="s">
        <v>7300</v>
      </c>
      <c r="B505" s="38" t="s">
        <v>6231</v>
      </c>
      <c r="C505" s="39">
        <v>22866</v>
      </c>
      <c r="D505" s="40">
        <v>9.7397867691219886E-2</v>
      </c>
      <c r="E505" s="41">
        <v>18.637823386531469</v>
      </c>
      <c r="F505" s="42" t="s">
        <v>7301</v>
      </c>
      <c r="G505" s="42">
        <v>57</v>
      </c>
      <c r="H505" s="42" t="s">
        <v>0</v>
      </c>
      <c r="I505" s="42" t="s">
        <v>6233</v>
      </c>
      <c r="J505" s="42" t="s">
        <v>6278</v>
      </c>
      <c r="K505" s="42" t="s">
        <v>6259</v>
      </c>
      <c r="L505" s="42" t="s">
        <v>6036</v>
      </c>
      <c r="M505" s="42" t="s">
        <v>6259</v>
      </c>
      <c r="N505" s="43" t="s">
        <v>6259</v>
      </c>
    </row>
    <row r="506" spans="1:14" ht="11.1" customHeight="1">
      <c r="A506" s="44" t="s">
        <v>7302</v>
      </c>
      <c r="B506" s="45" t="s">
        <v>6231</v>
      </c>
      <c r="C506" s="46">
        <v>2257</v>
      </c>
      <c r="D506" s="47">
        <v>9.6137053869974308E-3</v>
      </c>
      <c r="E506" s="48" t="s">
        <v>6262</v>
      </c>
      <c r="F506" s="49" t="s">
        <v>7303</v>
      </c>
      <c r="G506" s="49">
        <v>49</v>
      </c>
      <c r="H506" s="49" t="s">
        <v>0</v>
      </c>
      <c r="I506" s="49" t="s">
        <v>6259</v>
      </c>
      <c r="J506" s="49" t="s">
        <v>6267</v>
      </c>
      <c r="K506" s="49" t="s">
        <v>6268</v>
      </c>
      <c r="L506" s="49" t="s">
        <v>6036</v>
      </c>
      <c r="M506" s="49" t="s">
        <v>6259</v>
      </c>
      <c r="N506" s="50" t="s">
        <v>6259</v>
      </c>
    </row>
    <row r="507" spans="1:14" ht="11.1" customHeight="1">
      <c r="A507" s="51" t="s">
        <v>7304</v>
      </c>
      <c r="B507" s="52" t="s">
        <v>6217</v>
      </c>
      <c r="C507" s="53">
        <v>154985</v>
      </c>
      <c r="D507" s="54">
        <v>0.66032269471818539</v>
      </c>
      <c r="E507" s="55" t="s">
        <v>6251</v>
      </c>
      <c r="F507" s="56" t="s">
        <v>7305</v>
      </c>
      <c r="G507" s="56">
        <v>42</v>
      </c>
      <c r="H507" s="56" t="s">
        <v>0</v>
      </c>
      <c r="I507" s="56" t="s">
        <v>6233</v>
      </c>
      <c r="J507" s="56" t="s">
        <v>6253</v>
      </c>
      <c r="K507" s="56" t="s">
        <v>6053</v>
      </c>
      <c r="L507" s="56" t="s">
        <v>6036</v>
      </c>
      <c r="M507" s="56" t="s">
        <v>6259</v>
      </c>
      <c r="N507" s="57" t="s">
        <v>6213</v>
      </c>
    </row>
    <row r="508" spans="1:14" ht="11.1" customHeight="1">
      <c r="A508" s="31" t="s">
        <v>7306</v>
      </c>
      <c r="B508" s="38" t="s">
        <v>6230</v>
      </c>
      <c r="C508" s="39">
        <v>77058</v>
      </c>
      <c r="D508" s="40">
        <v>0.3283101345910503</v>
      </c>
      <c r="E508" s="41">
        <v>49.719650288737618</v>
      </c>
      <c r="F508" s="42" t="s">
        <v>7307</v>
      </c>
      <c r="G508" s="42">
        <v>65</v>
      </c>
      <c r="H508" s="42" t="s">
        <v>0</v>
      </c>
      <c r="I508" s="42" t="s">
        <v>6233</v>
      </c>
      <c r="J508" s="42" t="s">
        <v>6257</v>
      </c>
      <c r="K508" s="42" t="s">
        <v>6350</v>
      </c>
      <c r="L508" s="42" t="s">
        <v>6209</v>
      </c>
      <c r="M508" s="42">
        <v>5</v>
      </c>
      <c r="N508" s="43" t="s">
        <v>6050</v>
      </c>
    </row>
    <row r="509" spans="1:14" ht="11.1" customHeight="1">
      <c r="A509" s="44" t="s">
        <v>7308</v>
      </c>
      <c r="B509" s="45" t="s">
        <v>6231</v>
      </c>
      <c r="C509" s="46">
        <v>2668</v>
      </c>
      <c r="D509" s="47">
        <v>1.1367170690764386E-2</v>
      </c>
      <c r="E509" s="48" t="s">
        <v>6262</v>
      </c>
      <c r="F509" s="49" t="s">
        <v>7309</v>
      </c>
      <c r="G509" s="49">
        <v>36</v>
      </c>
      <c r="H509" s="49" t="s">
        <v>0</v>
      </c>
      <c r="I509" s="49" t="s">
        <v>6259</v>
      </c>
      <c r="J509" s="49" t="s">
        <v>6267</v>
      </c>
      <c r="K509" s="49" t="s">
        <v>6268</v>
      </c>
      <c r="L509" s="49" t="s">
        <v>6036</v>
      </c>
      <c r="M509" s="49" t="s">
        <v>6259</v>
      </c>
      <c r="N509" s="50" t="s">
        <v>6259</v>
      </c>
    </row>
    <row r="510" spans="1:14" ht="11.1" customHeight="1">
      <c r="A510" s="51" t="s">
        <v>7310</v>
      </c>
      <c r="B510" s="52" t="s">
        <v>6217</v>
      </c>
      <c r="C510" s="53">
        <v>144230</v>
      </c>
      <c r="D510" s="54">
        <v>0.62514086582638395</v>
      </c>
      <c r="E510" s="55" t="s">
        <v>6251</v>
      </c>
      <c r="F510" s="56" t="s">
        <v>7311</v>
      </c>
      <c r="G510" s="56">
        <v>39</v>
      </c>
      <c r="H510" s="56" t="s">
        <v>6049</v>
      </c>
      <c r="I510" s="56" t="s">
        <v>6233</v>
      </c>
      <c r="J510" s="56" t="s">
        <v>6253</v>
      </c>
      <c r="K510" s="56" t="s">
        <v>6035</v>
      </c>
      <c r="L510" s="56" t="s">
        <v>6209</v>
      </c>
      <c r="M510" s="56">
        <v>2</v>
      </c>
      <c r="N510" s="57" t="s">
        <v>6213</v>
      </c>
    </row>
    <row r="511" spans="1:14" ht="11.1" customHeight="1">
      <c r="A511" s="31" t="s">
        <v>7312</v>
      </c>
      <c r="B511" s="38" t="s">
        <v>6230</v>
      </c>
      <c r="C511" s="39">
        <v>82826</v>
      </c>
      <c r="D511" s="40">
        <v>0.35899547495622325</v>
      </c>
      <c r="E511" s="41">
        <v>57.42633294044235</v>
      </c>
      <c r="F511" s="42" t="s">
        <v>7313</v>
      </c>
      <c r="G511" s="42">
        <v>38</v>
      </c>
      <c r="H511" s="42" t="s">
        <v>0</v>
      </c>
      <c r="I511" s="42" t="s">
        <v>6233</v>
      </c>
      <c r="J511" s="42" t="s">
        <v>6257</v>
      </c>
      <c r="K511" s="42" t="s">
        <v>6402</v>
      </c>
      <c r="L511" s="42" t="s">
        <v>6036</v>
      </c>
      <c r="M511" s="42" t="s">
        <v>6259</v>
      </c>
      <c r="N511" s="43" t="s">
        <v>6050</v>
      </c>
    </row>
    <row r="512" spans="1:14" ht="11.1" customHeight="1">
      <c r="A512" s="44" t="s">
        <v>7314</v>
      </c>
      <c r="B512" s="45" t="s">
        <v>6231</v>
      </c>
      <c r="C512" s="46">
        <v>3660</v>
      </c>
      <c r="D512" s="47">
        <v>1.5863659217392811E-2</v>
      </c>
      <c r="E512" s="48" t="s">
        <v>6262</v>
      </c>
      <c r="F512" s="49" t="s">
        <v>7315</v>
      </c>
      <c r="G512" s="49">
        <v>38</v>
      </c>
      <c r="H512" s="49" t="s">
        <v>0</v>
      </c>
      <c r="I512" s="49" t="s">
        <v>6259</v>
      </c>
      <c r="J512" s="49" t="s">
        <v>6267</v>
      </c>
      <c r="K512" s="49" t="s">
        <v>6268</v>
      </c>
      <c r="L512" s="49" t="s">
        <v>6036</v>
      </c>
      <c r="M512" s="49" t="s">
        <v>6259</v>
      </c>
      <c r="N512" s="50" t="s">
        <v>6259</v>
      </c>
    </row>
    <row r="513" spans="1:14" ht="11.1" customHeight="1">
      <c r="A513" s="51" t="s">
        <v>7316</v>
      </c>
      <c r="B513" s="52" t="s">
        <v>6217</v>
      </c>
      <c r="C513" s="53">
        <v>103202</v>
      </c>
      <c r="D513" s="54">
        <v>0.49112471089875986</v>
      </c>
      <c r="E513" s="55" t="s">
        <v>6262</v>
      </c>
      <c r="F513" s="56" t="s">
        <v>7317</v>
      </c>
      <c r="G513" s="56">
        <v>65</v>
      </c>
      <c r="H513" s="56" t="s">
        <v>6049</v>
      </c>
      <c r="I513" s="56" t="s">
        <v>6259</v>
      </c>
      <c r="J513" s="56" t="s">
        <v>6253</v>
      </c>
      <c r="K513" s="56" t="s">
        <v>6053</v>
      </c>
      <c r="L513" s="56" t="s">
        <v>6209</v>
      </c>
      <c r="M513" s="56">
        <v>5</v>
      </c>
      <c r="N513" s="57" t="s">
        <v>6259</v>
      </c>
    </row>
    <row r="514" spans="1:14" ht="11.1" customHeight="1">
      <c r="A514" s="31" t="s">
        <v>7318</v>
      </c>
      <c r="B514" s="38" t="s">
        <v>6230</v>
      </c>
      <c r="C514" s="39">
        <v>86453</v>
      </c>
      <c r="D514" s="40">
        <v>0.41141842824102715</v>
      </c>
      <c r="E514" s="41">
        <v>83.770663359237219</v>
      </c>
      <c r="F514" s="42" t="s">
        <v>7319</v>
      </c>
      <c r="G514" s="42">
        <v>41</v>
      </c>
      <c r="H514" s="42" t="s">
        <v>0</v>
      </c>
      <c r="I514" s="42" t="s">
        <v>6233</v>
      </c>
      <c r="J514" s="42" t="s">
        <v>6257</v>
      </c>
      <c r="K514" s="42" t="s">
        <v>6258</v>
      </c>
      <c r="L514" s="42" t="s">
        <v>6036</v>
      </c>
      <c r="M514" s="42" t="s">
        <v>6259</v>
      </c>
      <c r="N514" s="43" t="s">
        <v>6050</v>
      </c>
    </row>
    <row r="515" spans="1:14" ht="11.1" customHeight="1">
      <c r="A515" s="31" t="s">
        <v>7320</v>
      </c>
      <c r="B515" s="38" t="s">
        <v>6231</v>
      </c>
      <c r="C515" s="39">
        <v>17698</v>
      </c>
      <c r="D515" s="40">
        <v>8.4222448532840943E-2</v>
      </c>
      <c r="E515" s="41">
        <v>17.148892463324355</v>
      </c>
      <c r="F515" s="42" t="s">
        <v>7321</v>
      </c>
      <c r="G515" s="42">
        <v>57</v>
      </c>
      <c r="H515" s="42" t="s">
        <v>0</v>
      </c>
      <c r="I515" s="42" t="s">
        <v>6233</v>
      </c>
      <c r="J515" s="42" t="s">
        <v>6278</v>
      </c>
      <c r="K515" s="42" t="s">
        <v>6259</v>
      </c>
      <c r="L515" s="42" t="s">
        <v>6036</v>
      </c>
      <c r="M515" s="42" t="s">
        <v>6259</v>
      </c>
      <c r="N515" s="43" t="s">
        <v>6259</v>
      </c>
    </row>
    <row r="516" spans="1:14" ht="11.1" customHeight="1">
      <c r="A516" s="31" t="s">
        <v>7322</v>
      </c>
      <c r="B516" s="38" t="s">
        <v>6231</v>
      </c>
      <c r="C516" s="39">
        <v>1458</v>
      </c>
      <c r="D516" s="40">
        <v>6.938429763864962E-3</v>
      </c>
      <c r="E516" s="41" t="s">
        <v>6262</v>
      </c>
      <c r="F516" s="42" t="s">
        <v>7323</v>
      </c>
      <c r="G516" s="42">
        <v>58</v>
      </c>
      <c r="H516" s="42" t="s">
        <v>0</v>
      </c>
      <c r="I516" s="42" t="s">
        <v>6259</v>
      </c>
      <c r="J516" s="42" t="s">
        <v>6322</v>
      </c>
      <c r="K516" s="42" t="s">
        <v>6259</v>
      </c>
      <c r="L516" s="42" t="s">
        <v>6036</v>
      </c>
      <c r="M516" s="42" t="s">
        <v>6259</v>
      </c>
      <c r="N516" s="43" t="s">
        <v>6259</v>
      </c>
    </row>
    <row r="517" spans="1:14" ht="11.1" customHeight="1">
      <c r="A517" s="44" t="s">
        <v>7324</v>
      </c>
      <c r="B517" s="45" t="s">
        <v>6231</v>
      </c>
      <c r="C517" s="46">
        <v>1323</v>
      </c>
      <c r="D517" s="47">
        <v>6.2959825635070955E-3</v>
      </c>
      <c r="E517" s="48" t="s">
        <v>6262</v>
      </c>
      <c r="F517" s="49" t="s">
        <v>7325</v>
      </c>
      <c r="G517" s="49">
        <v>39</v>
      </c>
      <c r="H517" s="49" t="s">
        <v>0</v>
      </c>
      <c r="I517" s="49" t="s">
        <v>6259</v>
      </c>
      <c r="J517" s="49" t="s">
        <v>6267</v>
      </c>
      <c r="K517" s="49" t="s">
        <v>6268</v>
      </c>
      <c r="L517" s="49" t="s">
        <v>6036</v>
      </c>
      <c r="M517" s="49" t="s">
        <v>6259</v>
      </c>
      <c r="N517" s="50" t="s">
        <v>6259</v>
      </c>
    </row>
    <row r="518" spans="1:14" ht="11.1" customHeight="1">
      <c r="A518" s="51" t="s">
        <v>7326</v>
      </c>
      <c r="B518" s="52" t="s">
        <v>6217</v>
      </c>
      <c r="C518" s="53">
        <v>124894</v>
      </c>
      <c r="D518" s="54">
        <v>0.5535492678083892</v>
      </c>
      <c r="E518" s="55" t="s">
        <v>6251</v>
      </c>
      <c r="F518" s="56" t="s">
        <v>7327</v>
      </c>
      <c r="G518" s="56">
        <v>64</v>
      </c>
      <c r="H518" s="56" t="s">
        <v>0</v>
      </c>
      <c r="I518" s="56" t="s">
        <v>6233</v>
      </c>
      <c r="J518" s="56" t="s">
        <v>6253</v>
      </c>
      <c r="K518" s="56" t="s">
        <v>6254</v>
      </c>
      <c r="L518" s="56" t="s">
        <v>6209</v>
      </c>
      <c r="M518" s="56">
        <v>4</v>
      </c>
      <c r="N518" s="57" t="s">
        <v>6213</v>
      </c>
    </row>
    <row r="519" spans="1:14" ht="11.1" customHeight="1">
      <c r="A519" s="31" t="s">
        <v>7328</v>
      </c>
      <c r="B519" s="38" t="s">
        <v>6230</v>
      </c>
      <c r="C519" s="39">
        <v>89672</v>
      </c>
      <c r="D519" s="40">
        <v>0.39743998865368935</v>
      </c>
      <c r="E519" s="41">
        <v>71.798485115377844</v>
      </c>
      <c r="F519" s="42" t="s">
        <v>7329</v>
      </c>
      <c r="G519" s="42">
        <v>48</v>
      </c>
      <c r="H519" s="42" t="s">
        <v>0</v>
      </c>
      <c r="I519" s="42" t="s">
        <v>6233</v>
      </c>
      <c r="J519" s="42" t="s">
        <v>6257</v>
      </c>
      <c r="K519" s="42" t="s">
        <v>6286</v>
      </c>
      <c r="L519" s="42" t="s">
        <v>6209</v>
      </c>
      <c r="M519" s="42">
        <v>1</v>
      </c>
      <c r="N519" s="43" t="s">
        <v>6050</v>
      </c>
    </row>
    <row r="520" spans="1:14" ht="11.1" customHeight="1">
      <c r="A520" s="31" t="s">
        <v>7330</v>
      </c>
      <c r="B520" s="38" t="s">
        <v>6231</v>
      </c>
      <c r="C520" s="39">
        <v>9222</v>
      </c>
      <c r="D520" s="40">
        <v>4.0873311349856396E-2</v>
      </c>
      <c r="E520" s="41" t="s">
        <v>6262</v>
      </c>
      <c r="F520" s="42" t="s">
        <v>7331</v>
      </c>
      <c r="G520" s="42">
        <v>61</v>
      </c>
      <c r="H520" s="42" t="s">
        <v>0</v>
      </c>
      <c r="I520" s="42" t="s">
        <v>6259</v>
      </c>
      <c r="J520" s="42" t="s">
        <v>6264</v>
      </c>
      <c r="K520" s="42" t="s">
        <v>6259</v>
      </c>
      <c r="L520" s="42" t="s">
        <v>6036</v>
      </c>
      <c r="M520" s="42" t="s">
        <v>6259</v>
      </c>
      <c r="N520" s="43" t="s">
        <v>6259</v>
      </c>
    </row>
    <row r="521" spans="1:14" ht="11.1" customHeight="1" thickBot="1">
      <c r="A521" s="73" t="s">
        <v>7332</v>
      </c>
      <c r="B521" s="74" t="s">
        <v>6231</v>
      </c>
      <c r="C521" s="75">
        <v>1836</v>
      </c>
      <c r="D521" s="76">
        <v>8.1374321880651E-3</v>
      </c>
      <c r="E521" s="77" t="s">
        <v>6262</v>
      </c>
      <c r="F521" s="78" t="s">
        <v>7333</v>
      </c>
      <c r="G521" s="78">
        <v>32</v>
      </c>
      <c r="H521" s="78" t="s">
        <v>0</v>
      </c>
      <c r="I521" s="78" t="s">
        <v>6259</v>
      </c>
      <c r="J521" s="78" t="s">
        <v>6267</v>
      </c>
      <c r="K521" s="78" t="s">
        <v>6268</v>
      </c>
      <c r="L521" s="78" t="s">
        <v>6036</v>
      </c>
      <c r="M521" s="78" t="s">
        <v>6259</v>
      </c>
      <c r="N521" s="79" t="s">
        <v>6259</v>
      </c>
    </row>
    <row r="522" spans="1:14" ht="11.1" customHeight="1">
      <c r="A522" s="80" t="s">
        <v>7334</v>
      </c>
      <c r="B522" s="81" t="s">
        <v>6217</v>
      </c>
      <c r="C522" s="82">
        <v>90377</v>
      </c>
      <c r="D522" s="83">
        <v>0.49911362695015876</v>
      </c>
      <c r="E522" s="84" t="s">
        <v>6251</v>
      </c>
      <c r="F522" s="85" t="s">
        <v>7335</v>
      </c>
      <c r="G522" s="85">
        <v>36</v>
      </c>
      <c r="H522" s="85" t="s">
        <v>0</v>
      </c>
      <c r="I522" s="85" t="s">
        <v>6233</v>
      </c>
      <c r="J522" s="85" t="s">
        <v>6253</v>
      </c>
      <c r="K522" s="85" t="s">
        <v>6053</v>
      </c>
      <c r="L522" s="85" t="s">
        <v>6209</v>
      </c>
      <c r="M522" s="85">
        <v>2</v>
      </c>
      <c r="N522" s="86" t="s">
        <v>6465</v>
      </c>
    </row>
    <row r="523" spans="1:14" ht="11.1" customHeight="1">
      <c r="A523" s="31" t="s">
        <v>7336</v>
      </c>
      <c r="B523" s="38" t="s">
        <v>6232</v>
      </c>
      <c r="C523" s="39">
        <v>82040</v>
      </c>
      <c r="D523" s="40">
        <v>0.45307193152008834</v>
      </c>
      <c r="E523" s="58">
        <v>90.77530787700411</v>
      </c>
      <c r="F523" s="59" t="s">
        <v>7337</v>
      </c>
      <c r="G523" s="59">
        <v>65</v>
      </c>
      <c r="H523" s="59" t="s">
        <v>0</v>
      </c>
      <c r="I523" s="59" t="s">
        <v>6233</v>
      </c>
      <c r="J523" s="59" t="s">
        <v>6257</v>
      </c>
      <c r="K523" s="59" t="s">
        <v>6286</v>
      </c>
      <c r="L523" s="59" t="s">
        <v>6209</v>
      </c>
      <c r="M523" s="59">
        <v>6</v>
      </c>
      <c r="N523" s="43" t="s">
        <v>6260</v>
      </c>
    </row>
    <row r="524" spans="1:14" ht="11.1" customHeight="1">
      <c r="A524" s="31" t="s">
        <v>7338</v>
      </c>
      <c r="B524" s="38" t="s">
        <v>6231</v>
      </c>
      <c r="C524" s="39">
        <v>6974</v>
      </c>
      <c r="D524" s="40">
        <v>3.8514427723319068E-2</v>
      </c>
      <c r="E524" s="41">
        <v>7.7165650552684868</v>
      </c>
      <c r="F524" s="42" t="s">
        <v>7339</v>
      </c>
      <c r="G524" s="42">
        <v>28</v>
      </c>
      <c r="H524" s="42" t="s">
        <v>6049</v>
      </c>
      <c r="I524" s="42" t="s">
        <v>6233</v>
      </c>
      <c r="J524" s="42" t="s">
        <v>6264</v>
      </c>
      <c r="K524" s="42" t="s">
        <v>6259</v>
      </c>
      <c r="L524" s="42" t="s">
        <v>6036</v>
      </c>
      <c r="M524" s="42" t="s">
        <v>6259</v>
      </c>
      <c r="N524" s="43" t="s">
        <v>6259</v>
      </c>
    </row>
    <row r="525" spans="1:14" ht="11.1" customHeight="1">
      <c r="A525" s="44" t="s">
        <v>7340</v>
      </c>
      <c r="B525" s="45" t="s">
        <v>6231</v>
      </c>
      <c r="C525" s="46">
        <v>1684</v>
      </c>
      <c r="D525" s="47">
        <v>9.3000138064337975E-3</v>
      </c>
      <c r="E525" s="48" t="s">
        <v>6262</v>
      </c>
      <c r="F525" s="49" t="s">
        <v>7341</v>
      </c>
      <c r="G525" s="49">
        <v>54</v>
      </c>
      <c r="H525" s="49" t="s">
        <v>6049</v>
      </c>
      <c r="I525" s="49" t="s">
        <v>6259</v>
      </c>
      <c r="J525" s="49" t="s">
        <v>6267</v>
      </c>
      <c r="K525" s="49" t="s">
        <v>6268</v>
      </c>
      <c r="L525" s="49" t="s">
        <v>6036</v>
      </c>
      <c r="M525" s="49" t="s">
        <v>6259</v>
      </c>
      <c r="N525" s="50" t="s">
        <v>6259</v>
      </c>
    </row>
    <row r="526" spans="1:14" ht="11.1" customHeight="1">
      <c r="A526" s="51" t="s">
        <v>7342</v>
      </c>
      <c r="B526" s="60" t="s">
        <v>6217</v>
      </c>
      <c r="C526" s="61">
        <v>105828</v>
      </c>
      <c r="D526" s="62">
        <v>0.57828244191383793</v>
      </c>
      <c r="E526" s="63" t="s">
        <v>6251</v>
      </c>
      <c r="F526" s="64" t="s">
        <v>7343</v>
      </c>
      <c r="G526" s="64">
        <v>58</v>
      </c>
      <c r="H526" s="64" t="s">
        <v>0</v>
      </c>
      <c r="I526" s="64" t="s">
        <v>6233</v>
      </c>
      <c r="J526" s="64" t="s">
        <v>6257</v>
      </c>
      <c r="K526" s="64" t="s">
        <v>6402</v>
      </c>
      <c r="L526" s="64" t="s">
        <v>6209</v>
      </c>
      <c r="M526" s="64">
        <v>4</v>
      </c>
      <c r="N526" s="65" t="s">
        <v>6260</v>
      </c>
    </row>
    <row r="527" spans="1:14" ht="11.1" customHeight="1">
      <c r="A527" s="31" t="s">
        <v>7344</v>
      </c>
      <c r="B527" s="38" t="s">
        <v>6230</v>
      </c>
      <c r="C527" s="39">
        <v>73597</v>
      </c>
      <c r="D527" s="40">
        <v>0.40216060851128937</v>
      </c>
      <c r="E527" s="41">
        <v>69.543977019314354</v>
      </c>
      <c r="F527" s="42" t="s">
        <v>7345</v>
      </c>
      <c r="G527" s="42">
        <v>61</v>
      </c>
      <c r="H527" s="42" t="s">
        <v>0</v>
      </c>
      <c r="I527" s="42" t="s">
        <v>6233</v>
      </c>
      <c r="J527" s="42" t="s">
        <v>6278</v>
      </c>
      <c r="K527" s="42" t="s">
        <v>6259</v>
      </c>
      <c r="L527" s="42" t="s">
        <v>6036</v>
      </c>
      <c r="M527" s="42" t="s">
        <v>6259</v>
      </c>
      <c r="N527" s="43" t="s">
        <v>6515</v>
      </c>
    </row>
    <row r="528" spans="1:14" ht="11.1" customHeight="1">
      <c r="A528" s="44" t="s">
        <v>7346</v>
      </c>
      <c r="B528" s="45" t="s">
        <v>6231</v>
      </c>
      <c r="C528" s="46">
        <v>3579</v>
      </c>
      <c r="D528" s="47">
        <v>1.9556949574872681E-2</v>
      </c>
      <c r="E528" s="48" t="s">
        <v>6262</v>
      </c>
      <c r="F528" s="49" t="s">
        <v>7347</v>
      </c>
      <c r="G528" s="49">
        <v>41</v>
      </c>
      <c r="H528" s="49" t="s">
        <v>0</v>
      </c>
      <c r="I528" s="49" t="s">
        <v>6259</v>
      </c>
      <c r="J528" s="49" t="s">
        <v>6267</v>
      </c>
      <c r="K528" s="49" t="s">
        <v>6268</v>
      </c>
      <c r="L528" s="49" t="s">
        <v>6036</v>
      </c>
      <c r="M528" s="49" t="s">
        <v>6259</v>
      </c>
      <c r="N528" s="50" t="s">
        <v>6259</v>
      </c>
    </row>
    <row r="529" spans="1:14" ht="11.1" customHeight="1">
      <c r="A529" s="51" t="s">
        <v>7348</v>
      </c>
      <c r="B529" s="60" t="s">
        <v>6217</v>
      </c>
      <c r="C529" s="61">
        <v>134315</v>
      </c>
      <c r="D529" s="62">
        <v>0.4587276595890013</v>
      </c>
      <c r="E529" s="63" t="s">
        <v>6251</v>
      </c>
      <c r="F529" s="64" t="s">
        <v>7349</v>
      </c>
      <c r="G529" s="64">
        <v>48</v>
      </c>
      <c r="H529" s="64" t="s">
        <v>0</v>
      </c>
      <c r="I529" s="64" t="s">
        <v>6233</v>
      </c>
      <c r="J529" s="64" t="s">
        <v>6257</v>
      </c>
      <c r="K529" s="64" t="s">
        <v>6258</v>
      </c>
      <c r="L529" s="64" t="s">
        <v>6036</v>
      </c>
      <c r="M529" s="64" t="s">
        <v>6259</v>
      </c>
      <c r="N529" s="65" t="s">
        <v>6259</v>
      </c>
    </row>
    <row r="530" spans="1:14" ht="11.1" customHeight="1">
      <c r="A530" s="31" t="s">
        <v>7350</v>
      </c>
      <c r="B530" s="38" t="s">
        <v>6230</v>
      </c>
      <c r="C530" s="39">
        <v>105483</v>
      </c>
      <c r="D530" s="40">
        <v>0.36025737792820328</v>
      </c>
      <c r="E530" s="41" t="s">
        <v>6262</v>
      </c>
      <c r="F530" s="42" t="s">
        <v>7351</v>
      </c>
      <c r="G530" s="42">
        <v>53</v>
      </c>
      <c r="H530" s="42" t="s">
        <v>0</v>
      </c>
      <c r="I530" s="42" t="s">
        <v>6259</v>
      </c>
      <c r="J530" s="42" t="s">
        <v>6322</v>
      </c>
      <c r="K530" s="42" t="s">
        <v>7352</v>
      </c>
      <c r="L530" s="42" t="s">
        <v>6036</v>
      </c>
      <c r="M530" s="42" t="s">
        <v>6259</v>
      </c>
      <c r="N530" s="43" t="s">
        <v>7281</v>
      </c>
    </row>
    <row r="531" spans="1:14" ht="11.1" customHeight="1">
      <c r="A531" s="31" t="s">
        <v>7353</v>
      </c>
      <c r="B531" s="38" t="s">
        <v>6230</v>
      </c>
      <c r="C531" s="39">
        <v>50752</v>
      </c>
      <c r="D531" s="40">
        <v>0.17333392532078321</v>
      </c>
      <c r="E531" s="41" t="s">
        <v>6262</v>
      </c>
      <c r="F531" s="42" t="s">
        <v>7354</v>
      </c>
      <c r="G531" s="42">
        <v>48</v>
      </c>
      <c r="H531" s="42" t="s">
        <v>0</v>
      </c>
      <c r="I531" s="42" t="s">
        <v>6259</v>
      </c>
      <c r="J531" s="42" t="s">
        <v>6322</v>
      </c>
      <c r="K531" s="42" t="s">
        <v>7355</v>
      </c>
      <c r="L531" s="42" t="s">
        <v>6036</v>
      </c>
      <c r="M531" s="42" t="s">
        <v>6259</v>
      </c>
      <c r="N531" s="43" t="s">
        <v>6154</v>
      </c>
    </row>
    <row r="532" spans="1:14" ht="11.1" customHeight="1" thickBot="1">
      <c r="A532" s="73" t="s">
        <v>7356</v>
      </c>
      <c r="B532" s="74" t="s">
        <v>6231</v>
      </c>
      <c r="C532" s="75">
        <v>2249</v>
      </c>
      <c r="D532" s="76">
        <v>7.6810371620121658E-3</v>
      </c>
      <c r="E532" s="77" t="s">
        <v>6262</v>
      </c>
      <c r="F532" s="78" t="s">
        <v>7357</v>
      </c>
      <c r="G532" s="78">
        <v>32</v>
      </c>
      <c r="H532" s="78" t="s">
        <v>0</v>
      </c>
      <c r="I532" s="78" t="s">
        <v>6259</v>
      </c>
      <c r="J532" s="78" t="s">
        <v>6267</v>
      </c>
      <c r="K532" s="78" t="s">
        <v>6268</v>
      </c>
      <c r="L532" s="78" t="s">
        <v>6036</v>
      </c>
      <c r="M532" s="78" t="s">
        <v>6259</v>
      </c>
      <c r="N532" s="79" t="s">
        <v>6259</v>
      </c>
    </row>
    <row r="533" spans="1:14" ht="11.1" customHeight="1">
      <c r="A533" s="80" t="s">
        <v>7358</v>
      </c>
      <c r="B533" s="81" t="s">
        <v>6217</v>
      </c>
      <c r="C533" s="82">
        <v>125667</v>
      </c>
      <c r="D533" s="83">
        <v>0.49174150378587778</v>
      </c>
      <c r="E533" s="84" t="s">
        <v>6251</v>
      </c>
      <c r="F533" s="85" t="s">
        <v>7359</v>
      </c>
      <c r="G533" s="85">
        <v>50</v>
      </c>
      <c r="H533" s="85" t="s">
        <v>0</v>
      </c>
      <c r="I533" s="85" t="s">
        <v>6233</v>
      </c>
      <c r="J533" s="85" t="s">
        <v>6253</v>
      </c>
      <c r="K533" s="85" t="s">
        <v>6053</v>
      </c>
      <c r="L533" s="85" t="s">
        <v>6283</v>
      </c>
      <c r="M533" s="85">
        <v>3</v>
      </c>
      <c r="N533" s="86" t="s">
        <v>6213</v>
      </c>
    </row>
    <row r="534" spans="1:14" ht="11.1" customHeight="1">
      <c r="A534" s="31" t="s">
        <v>7360</v>
      </c>
      <c r="B534" s="38" t="s">
        <v>6232</v>
      </c>
      <c r="C534" s="39">
        <v>117168</v>
      </c>
      <c r="D534" s="40">
        <v>0.45848447496624994</v>
      </c>
      <c r="E534" s="58">
        <v>93.236887965814418</v>
      </c>
      <c r="F534" s="59" t="s">
        <v>7361</v>
      </c>
      <c r="G534" s="59">
        <v>48</v>
      </c>
      <c r="H534" s="59" t="s">
        <v>0</v>
      </c>
      <c r="I534" s="59" t="s">
        <v>6233</v>
      </c>
      <c r="J534" s="59" t="s">
        <v>6257</v>
      </c>
      <c r="K534" s="59" t="s">
        <v>6286</v>
      </c>
      <c r="L534" s="59" t="s">
        <v>6209</v>
      </c>
      <c r="M534" s="59">
        <v>3</v>
      </c>
      <c r="N534" s="43" t="s">
        <v>6260</v>
      </c>
    </row>
    <row r="535" spans="1:14" ht="11.1" customHeight="1">
      <c r="A535" s="31" t="s">
        <v>7362</v>
      </c>
      <c r="B535" s="38" t="s">
        <v>6231</v>
      </c>
      <c r="C535" s="39">
        <v>10982</v>
      </c>
      <c r="D535" s="40">
        <v>4.2973136898123689E-2</v>
      </c>
      <c r="E535" s="41">
        <v>8.7389688621515589</v>
      </c>
      <c r="F535" s="42" t="s">
        <v>7363</v>
      </c>
      <c r="G535" s="42">
        <v>41</v>
      </c>
      <c r="H535" s="42" t="s">
        <v>0</v>
      </c>
      <c r="I535" s="42" t="s">
        <v>6233</v>
      </c>
      <c r="J535" s="42" t="s">
        <v>6264</v>
      </c>
      <c r="K535" s="42" t="s">
        <v>6259</v>
      </c>
      <c r="L535" s="42" t="s">
        <v>6036</v>
      </c>
      <c r="M535" s="42" t="s">
        <v>6259</v>
      </c>
      <c r="N535" s="43" t="s">
        <v>6259</v>
      </c>
    </row>
    <row r="536" spans="1:14" ht="11.1" customHeight="1">
      <c r="A536" s="44" t="s">
        <v>7364</v>
      </c>
      <c r="B536" s="45" t="s">
        <v>6231</v>
      </c>
      <c r="C536" s="46">
        <v>1738</v>
      </c>
      <c r="D536" s="47">
        <v>6.8008843497485861E-3</v>
      </c>
      <c r="E536" s="48" t="s">
        <v>6262</v>
      </c>
      <c r="F536" s="49" t="s">
        <v>7365</v>
      </c>
      <c r="G536" s="49">
        <v>45</v>
      </c>
      <c r="H536" s="49" t="s">
        <v>0</v>
      </c>
      <c r="I536" s="49" t="s">
        <v>6259</v>
      </c>
      <c r="J536" s="49" t="s">
        <v>6267</v>
      </c>
      <c r="K536" s="49" t="s">
        <v>6268</v>
      </c>
      <c r="L536" s="49" t="s">
        <v>6036</v>
      </c>
      <c r="M536" s="49" t="s">
        <v>6259</v>
      </c>
      <c r="N536" s="50" t="s">
        <v>6259</v>
      </c>
    </row>
    <row r="537" spans="1:14" ht="11.1" customHeight="1">
      <c r="A537" s="51" t="s">
        <v>7366</v>
      </c>
      <c r="B537" s="60" t="s">
        <v>6217</v>
      </c>
      <c r="C537" s="61">
        <v>123490</v>
      </c>
      <c r="D537" s="62">
        <v>0.50203676751579407</v>
      </c>
      <c r="E537" s="63" t="s">
        <v>6251</v>
      </c>
      <c r="F537" s="64" t="s">
        <v>7367</v>
      </c>
      <c r="G537" s="64">
        <v>72</v>
      </c>
      <c r="H537" s="64" t="s">
        <v>0</v>
      </c>
      <c r="I537" s="64" t="s">
        <v>6233</v>
      </c>
      <c r="J537" s="64" t="s">
        <v>6257</v>
      </c>
      <c r="K537" s="64" t="s">
        <v>6286</v>
      </c>
      <c r="L537" s="64" t="s">
        <v>6209</v>
      </c>
      <c r="M537" s="64">
        <v>13</v>
      </c>
      <c r="N537" s="65" t="s">
        <v>6260</v>
      </c>
    </row>
    <row r="538" spans="1:14" ht="11.1" customHeight="1">
      <c r="A538" s="31" t="s">
        <v>7368</v>
      </c>
      <c r="B538" s="38" t="s">
        <v>6232</v>
      </c>
      <c r="C538" s="39">
        <v>119021</v>
      </c>
      <c r="D538" s="40">
        <v>0.48386847604257294</v>
      </c>
      <c r="E538" s="35">
        <v>96.381083488541577</v>
      </c>
      <c r="F538" s="36" t="s">
        <v>7369</v>
      </c>
      <c r="G538" s="36">
        <v>33</v>
      </c>
      <c r="H538" s="36" t="s">
        <v>6049</v>
      </c>
      <c r="I538" s="36" t="s">
        <v>6233</v>
      </c>
      <c r="J538" s="36" t="s">
        <v>6253</v>
      </c>
      <c r="K538" s="36" t="s">
        <v>6053</v>
      </c>
      <c r="L538" s="36" t="s">
        <v>6036</v>
      </c>
      <c r="M538" s="36" t="s">
        <v>6259</v>
      </c>
      <c r="N538" s="43" t="s">
        <v>6213</v>
      </c>
    </row>
    <row r="539" spans="1:14" ht="11.1" customHeight="1">
      <c r="A539" s="44" t="s">
        <v>7370</v>
      </c>
      <c r="B539" s="45" t="s">
        <v>6231</v>
      </c>
      <c r="C539" s="46">
        <v>3467</v>
      </c>
      <c r="D539" s="47">
        <v>1.4094756441632992E-2</v>
      </c>
      <c r="E539" s="48" t="s">
        <v>6262</v>
      </c>
      <c r="F539" s="49" t="s">
        <v>7371</v>
      </c>
      <c r="G539" s="49">
        <v>49</v>
      </c>
      <c r="H539" s="49" t="s">
        <v>0</v>
      </c>
      <c r="I539" s="49" t="s">
        <v>6259</v>
      </c>
      <c r="J539" s="49" t="s">
        <v>6267</v>
      </c>
      <c r="K539" s="49" t="s">
        <v>6268</v>
      </c>
      <c r="L539" s="49" t="s">
        <v>6036</v>
      </c>
      <c r="M539" s="49" t="s">
        <v>6259</v>
      </c>
      <c r="N539" s="50" t="s">
        <v>6259</v>
      </c>
    </row>
    <row r="540" spans="1:14" ht="11.1" customHeight="1">
      <c r="A540" s="51" t="s">
        <v>7372</v>
      </c>
      <c r="B540" s="52" t="s">
        <v>6217</v>
      </c>
      <c r="C540" s="53">
        <v>100832</v>
      </c>
      <c r="D540" s="54">
        <v>0.49895835910631664</v>
      </c>
      <c r="E540" s="55" t="s">
        <v>6251</v>
      </c>
      <c r="F540" s="56" t="s">
        <v>7373</v>
      </c>
      <c r="G540" s="56">
        <v>35</v>
      </c>
      <c r="H540" s="56" t="s">
        <v>0</v>
      </c>
      <c r="I540" s="56" t="s">
        <v>6233</v>
      </c>
      <c r="J540" s="56" t="s">
        <v>6253</v>
      </c>
      <c r="K540" s="56" t="s">
        <v>6053</v>
      </c>
      <c r="L540" s="56" t="s">
        <v>6036</v>
      </c>
      <c r="M540" s="56" t="s">
        <v>6259</v>
      </c>
      <c r="N540" s="57" t="s">
        <v>6213</v>
      </c>
    </row>
    <row r="541" spans="1:14" ht="11.1" customHeight="1">
      <c r="A541" s="31" t="s">
        <v>7374</v>
      </c>
      <c r="B541" s="38" t="s">
        <v>6232</v>
      </c>
      <c r="C541" s="39">
        <v>98599</v>
      </c>
      <c r="D541" s="40">
        <v>0.48790855333151889</v>
      </c>
      <c r="E541" s="58">
        <v>97.785425261821644</v>
      </c>
      <c r="F541" s="59" t="s">
        <v>7375</v>
      </c>
      <c r="G541" s="59">
        <v>63</v>
      </c>
      <c r="H541" s="59" t="s">
        <v>0</v>
      </c>
      <c r="I541" s="59" t="s">
        <v>6233</v>
      </c>
      <c r="J541" s="59" t="s">
        <v>6257</v>
      </c>
      <c r="K541" s="59" t="s">
        <v>6286</v>
      </c>
      <c r="L541" s="59" t="s">
        <v>6209</v>
      </c>
      <c r="M541" s="59">
        <v>1</v>
      </c>
      <c r="N541" s="43" t="s">
        <v>6260</v>
      </c>
    </row>
    <row r="542" spans="1:14" ht="11.1" customHeight="1" thickBot="1">
      <c r="A542" s="73" t="s">
        <v>7376</v>
      </c>
      <c r="B542" s="74" t="s">
        <v>6231</v>
      </c>
      <c r="C542" s="75">
        <v>2654</v>
      </c>
      <c r="D542" s="76">
        <v>1.3133087562164436E-2</v>
      </c>
      <c r="E542" s="77" t="s">
        <v>6262</v>
      </c>
      <c r="F542" s="78" t="s">
        <v>7377</v>
      </c>
      <c r="G542" s="78">
        <v>54</v>
      </c>
      <c r="H542" s="78" t="s">
        <v>0</v>
      </c>
      <c r="I542" s="78" t="s">
        <v>6259</v>
      </c>
      <c r="J542" s="78" t="s">
        <v>6267</v>
      </c>
      <c r="K542" s="78" t="s">
        <v>6268</v>
      </c>
      <c r="L542" s="78" t="s">
        <v>6036</v>
      </c>
      <c r="M542" s="78" t="s">
        <v>6259</v>
      </c>
      <c r="N542" s="79" t="s">
        <v>6259</v>
      </c>
    </row>
    <row r="543" spans="1:14" ht="11.1" customHeight="1">
      <c r="A543" s="80" t="s">
        <v>7378</v>
      </c>
      <c r="B543" s="108" t="s">
        <v>6217</v>
      </c>
      <c r="C543" s="109">
        <v>78969</v>
      </c>
      <c r="D543" s="110">
        <v>0.49971524033715542</v>
      </c>
      <c r="E543" s="111" t="s">
        <v>6251</v>
      </c>
      <c r="F543" s="112" t="s">
        <v>7379</v>
      </c>
      <c r="G543" s="112">
        <v>50</v>
      </c>
      <c r="H543" s="112" t="s">
        <v>6049</v>
      </c>
      <c r="I543" s="112" t="s">
        <v>6233</v>
      </c>
      <c r="J543" s="112" t="s">
        <v>6257</v>
      </c>
      <c r="K543" s="112" t="s">
        <v>6286</v>
      </c>
      <c r="L543" s="112" t="s">
        <v>6209</v>
      </c>
      <c r="M543" s="112">
        <v>1</v>
      </c>
      <c r="N543" s="113" t="s">
        <v>6260</v>
      </c>
    </row>
    <row r="544" spans="1:14" ht="11.1" customHeight="1">
      <c r="A544" s="31" t="s">
        <v>7380</v>
      </c>
      <c r="B544" s="38" t="s">
        <v>6232</v>
      </c>
      <c r="C544" s="39">
        <v>72119</v>
      </c>
      <c r="D544" s="40">
        <v>0.45636849165970589</v>
      </c>
      <c r="E544" s="35">
        <v>91.325710088769014</v>
      </c>
      <c r="F544" s="36" t="s">
        <v>7381</v>
      </c>
      <c r="G544" s="36">
        <v>52</v>
      </c>
      <c r="H544" s="36" t="s">
        <v>0</v>
      </c>
      <c r="I544" s="36" t="s">
        <v>6233</v>
      </c>
      <c r="J544" s="36" t="s">
        <v>6253</v>
      </c>
      <c r="K544" s="36" t="s">
        <v>6207</v>
      </c>
      <c r="L544" s="36" t="s">
        <v>6209</v>
      </c>
      <c r="M544" s="36">
        <v>3</v>
      </c>
      <c r="N544" s="43" t="s">
        <v>6213</v>
      </c>
    </row>
    <row r="545" spans="1:14" ht="11.1" customHeight="1">
      <c r="A545" s="44" t="s">
        <v>7382</v>
      </c>
      <c r="B545" s="45" t="s">
        <v>6231</v>
      </c>
      <c r="C545" s="46">
        <v>6940</v>
      </c>
      <c r="D545" s="47">
        <v>4.3916268003138685E-2</v>
      </c>
      <c r="E545" s="41">
        <v>8.7882586837873085</v>
      </c>
      <c r="F545" s="49" t="s">
        <v>7383</v>
      </c>
      <c r="G545" s="49">
        <v>51</v>
      </c>
      <c r="H545" s="49" t="s">
        <v>6049</v>
      </c>
      <c r="I545" s="49" t="s">
        <v>6233</v>
      </c>
      <c r="J545" s="49" t="s">
        <v>6264</v>
      </c>
      <c r="K545" s="49" t="s">
        <v>6259</v>
      </c>
      <c r="L545" s="49" t="s">
        <v>6036</v>
      </c>
      <c r="M545" s="49" t="s">
        <v>6259</v>
      </c>
      <c r="N545" s="50" t="s">
        <v>6259</v>
      </c>
    </row>
    <row r="546" spans="1:14" ht="11.1" customHeight="1">
      <c r="A546" s="51" t="s">
        <v>7384</v>
      </c>
      <c r="B546" s="60" t="s">
        <v>6217</v>
      </c>
      <c r="C546" s="61">
        <v>80033</v>
      </c>
      <c r="D546" s="62">
        <v>0.49730942261327765</v>
      </c>
      <c r="E546" s="63" t="s">
        <v>6251</v>
      </c>
      <c r="F546" s="64" t="s">
        <v>7385</v>
      </c>
      <c r="G546" s="64">
        <v>57</v>
      </c>
      <c r="H546" s="64" t="s">
        <v>0</v>
      </c>
      <c r="I546" s="64" t="s">
        <v>6233</v>
      </c>
      <c r="J546" s="64" t="s">
        <v>6257</v>
      </c>
      <c r="K546" s="64" t="s">
        <v>6286</v>
      </c>
      <c r="L546" s="64" t="s">
        <v>6209</v>
      </c>
      <c r="M546" s="64">
        <v>4</v>
      </c>
      <c r="N546" s="65" t="s">
        <v>6260</v>
      </c>
    </row>
    <row r="547" spans="1:14" ht="11.1" customHeight="1">
      <c r="A547" s="31" t="s">
        <v>7386</v>
      </c>
      <c r="B547" s="38" t="s">
        <v>6232</v>
      </c>
      <c r="C547" s="39">
        <v>78496</v>
      </c>
      <c r="D547" s="40">
        <v>0.48775880496110158</v>
      </c>
      <c r="E547" s="35">
        <v>98.0795421888471</v>
      </c>
      <c r="F547" s="36" t="s">
        <v>7387</v>
      </c>
      <c r="G547" s="36">
        <v>34</v>
      </c>
      <c r="H547" s="36" t="s">
        <v>0</v>
      </c>
      <c r="I547" s="36" t="s">
        <v>6233</v>
      </c>
      <c r="J547" s="36" t="s">
        <v>6253</v>
      </c>
      <c r="K547" s="36" t="s">
        <v>6213</v>
      </c>
      <c r="L547" s="36" t="s">
        <v>6209</v>
      </c>
      <c r="M547" s="36">
        <v>1</v>
      </c>
      <c r="N547" s="43" t="s">
        <v>6213</v>
      </c>
    </row>
    <row r="548" spans="1:14" ht="11.1" customHeight="1">
      <c r="A548" s="44" t="s">
        <v>7388</v>
      </c>
      <c r="B548" s="45" t="s">
        <v>6231</v>
      </c>
      <c r="C548" s="46">
        <v>2403</v>
      </c>
      <c r="D548" s="47">
        <v>1.4931772425620759E-2</v>
      </c>
      <c r="E548" s="48" t="s">
        <v>6262</v>
      </c>
      <c r="F548" s="49" t="s">
        <v>7389</v>
      </c>
      <c r="G548" s="49">
        <v>47</v>
      </c>
      <c r="H548" s="49" t="s">
        <v>0</v>
      </c>
      <c r="I548" s="49" t="s">
        <v>6259</v>
      </c>
      <c r="J548" s="49" t="s">
        <v>6267</v>
      </c>
      <c r="K548" s="49" t="s">
        <v>6268</v>
      </c>
      <c r="L548" s="49" t="s">
        <v>6036</v>
      </c>
      <c r="M548" s="49" t="s">
        <v>6259</v>
      </c>
      <c r="N548" s="50" t="s">
        <v>6259</v>
      </c>
    </row>
    <row r="549" spans="1:14" ht="11.1" customHeight="1">
      <c r="A549" s="51" t="s">
        <v>7390</v>
      </c>
      <c r="B549" s="60" t="s">
        <v>6217</v>
      </c>
      <c r="C549" s="61">
        <v>80724</v>
      </c>
      <c r="D549" s="62">
        <v>0.50788976972442434</v>
      </c>
      <c r="E549" s="63" t="s">
        <v>6251</v>
      </c>
      <c r="F549" s="64" t="s">
        <v>7391</v>
      </c>
      <c r="G549" s="64">
        <v>53</v>
      </c>
      <c r="H549" s="64" t="s">
        <v>0</v>
      </c>
      <c r="I549" s="64" t="s">
        <v>6233</v>
      </c>
      <c r="J549" s="64" t="s">
        <v>6257</v>
      </c>
      <c r="K549" s="64" t="s">
        <v>6286</v>
      </c>
      <c r="L549" s="64" t="s">
        <v>6209</v>
      </c>
      <c r="M549" s="64">
        <v>3</v>
      </c>
      <c r="N549" s="65" t="s">
        <v>6260</v>
      </c>
    </row>
    <row r="550" spans="1:14" ht="11.1" customHeight="1">
      <c r="A550" s="31" t="s">
        <v>7392</v>
      </c>
      <c r="B550" s="38" t="s">
        <v>6232</v>
      </c>
      <c r="C550" s="39">
        <v>74158</v>
      </c>
      <c r="D550" s="40">
        <v>0.46657858311312445</v>
      </c>
      <c r="E550" s="35">
        <v>91.86611168921263</v>
      </c>
      <c r="F550" s="36" t="s">
        <v>7393</v>
      </c>
      <c r="G550" s="36">
        <v>65</v>
      </c>
      <c r="H550" s="36" t="s">
        <v>0</v>
      </c>
      <c r="I550" s="36" t="s">
        <v>6233</v>
      </c>
      <c r="J550" s="36" t="s">
        <v>6253</v>
      </c>
      <c r="K550" s="36" t="s">
        <v>7394</v>
      </c>
      <c r="L550" s="36" t="s">
        <v>6283</v>
      </c>
      <c r="M550" s="36">
        <v>2</v>
      </c>
      <c r="N550" s="43" t="s">
        <v>6213</v>
      </c>
    </row>
    <row r="551" spans="1:14" ht="11.1" customHeight="1" thickBot="1">
      <c r="A551" s="73" t="s">
        <v>7395</v>
      </c>
      <c r="B551" s="74" t="s">
        <v>6231</v>
      </c>
      <c r="C551" s="75">
        <v>4058</v>
      </c>
      <c r="D551" s="76">
        <v>2.5531647162451241E-2</v>
      </c>
      <c r="E551" s="77" t="s">
        <v>6262</v>
      </c>
      <c r="F551" s="78" t="s">
        <v>7396</v>
      </c>
      <c r="G551" s="78">
        <v>42</v>
      </c>
      <c r="H551" s="78" t="s">
        <v>0</v>
      </c>
      <c r="I551" s="78" t="s">
        <v>6259</v>
      </c>
      <c r="J551" s="78" t="s">
        <v>6267</v>
      </c>
      <c r="K551" s="78" t="s">
        <v>6268</v>
      </c>
      <c r="L551" s="78" t="s">
        <v>6036</v>
      </c>
      <c r="M551" s="78" t="s">
        <v>6259</v>
      </c>
      <c r="N551" s="79" t="s">
        <v>6259</v>
      </c>
    </row>
    <row r="552" spans="1:14" ht="11.1" customHeight="1">
      <c r="A552" s="80" t="s">
        <v>7397</v>
      </c>
      <c r="B552" s="81" t="s">
        <v>6217</v>
      </c>
      <c r="C552" s="82">
        <v>161543</v>
      </c>
      <c r="D552" s="83">
        <v>0.51269494677643568</v>
      </c>
      <c r="E552" s="84" t="s">
        <v>6251</v>
      </c>
      <c r="F552" s="85" t="s">
        <v>7398</v>
      </c>
      <c r="G552" s="85">
        <v>61</v>
      </c>
      <c r="H552" s="85" t="s">
        <v>0</v>
      </c>
      <c r="I552" s="85" t="s">
        <v>6233</v>
      </c>
      <c r="J552" s="85" t="s">
        <v>6253</v>
      </c>
      <c r="K552" s="85" t="s">
        <v>6053</v>
      </c>
      <c r="L552" s="85" t="s">
        <v>6209</v>
      </c>
      <c r="M552" s="85">
        <v>2</v>
      </c>
      <c r="N552" s="86" t="s">
        <v>6213</v>
      </c>
    </row>
    <row r="553" spans="1:14" ht="11.1" customHeight="1">
      <c r="A553" s="31" t="s">
        <v>7399</v>
      </c>
      <c r="B553" s="38" t="s">
        <v>6230</v>
      </c>
      <c r="C553" s="39">
        <v>124136</v>
      </c>
      <c r="D553" s="40">
        <v>0.39397497825990363</v>
      </c>
      <c r="E553" s="41">
        <v>76.843936289409015</v>
      </c>
      <c r="F553" s="42" t="s">
        <v>7400</v>
      </c>
      <c r="G553" s="42">
        <v>63</v>
      </c>
      <c r="H553" s="42" t="s">
        <v>0</v>
      </c>
      <c r="I553" s="42" t="s">
        <v>6233</v>
      </c>
      <c r="J553" s="42" t="s">
        <v>6257</v>
      </c>
      <c r="K553" s="42" t="s">
        <v>6273</v>
      </c>
      <c r="L553" s="42" t="s">
        <v>6209</v>
      </c>
      <c r="M553" s="42">
        <v>6</v>
      </c>
      <c r="N553" s="43" t="s">
        <v>6260</v>
      </c>
    </row>
    <row r="554" spans="1:14" ht="11.1" customHeight="1">
      <c r="A554" s="31" t="s">
        <v>7401</v>
      </c>
      <c r="B554" s="38" t="s">
        <v>6231</v>
      </c>
      <c r="C554" s="39">
        <v>26872</v>
      </c>
      <c r="D554" s="40">
        <v>8.5284652444094625E-2</v>
      </c>
      <c r="E554" s="41">
        <v>16.634580266554416</v>
      </c>
      <c r="F554" s="42" t="s">
        <v>7402</v>
      </c>
      <c r="G554" s="42">
        <v>48</v>
      </c>
      <c r="H554" s="42" t="s">
        <v>0</v>
      </c>
      <c r="I554" s="42" t="s">
        <v>6233</v>
      </c>
      <c r="J554" s="42" t="s">
        <v>6264</v>
      </c>
      <c r="K554" s="42" t="s">
        <v>6259</v>
      </c>
      <c r="L554" s="42" t="s">
        <v>6036</v>
      </c>
      <c r="M554" s="42" t="s">
        <v>6259</v>
      </c>
      <c r="N554" s="43" t="s">
        <v>6259</v>
      </c>
    </row>
    <row r="555" spans="1:14" ht="11.1" customHeight="1">
      <c r="A555" s="44" t="s">
        <v>7403</v>
      </c>
      <c r="B555" s="45" t="s">
        <v>6231</v>
      </c>
      <c r="C555" s="46">
        <v>2535</v>
      </c>
      <c r="D555" s="47">
        <v>8.0454225195660863E-3</v>
      </c>
      <c r="E555" s="48" t="s">
        <v>6262</v>
      </c>
      <c r="F555" s="49" t="s">
        <v>7404</v>
      </c>
      <c r="G555" s="49">
        <v>31</v>
      </c>
      <c r="H555" s="49" t="s">
        <v>0</v>
      </c>
      <c r="I555" s="49" t="s">
        <v>6259</v>
      </c>
      <c r="J555" s="49" t="s">
        <v>6267</v>
      </c>
      <c r="K555" s="49" t="s">
        <v>6268</v>
      </c>
      <c r="L555" s="49" t="s">
        <v>6036</v>
      </c>
      <c r="M555" s="49" t="s">
        <v>6259</v>
      </c>
      <c r="N555" s="50" t="s">
        <v>6259</v>
      </c>
    </row>
    <row r="556" spans="1:14" ht="11.1" customHeight="1">
      <c r="A556" s="51" t="s">
        <v>7405</v>
      </c>
      <c r="B556" s="52" t="s">
        <v>6217</v>
      </c>
      <c r="C556" s="53">
        <v>158666</v>
      </c>
      <c r="D556" s="54">
        <v>0.55894879608264492</v>
      </c>
      <c r="E556" s="55" t="s">
        <v>6251</v>
      </c>
      <c r="F556" s="56" t="s">
        <v>7406</v>
      </c>
      <c r="G556" s="56">
        <v>53</v>
      </c>
      <c r="H556" s="56" t="s">
        <v>0</v>
      </c>
      <c r="I556" s="56" t="s">
        <v>6233</v>
      </c>
      <c r="J556" s="56" t="s">
        <v>6253</v>
      </c>
      <c r="K556" s="56" t="s">
        <v>6207</v>
      </c>
      <c r="L556" s="56" t="s">
        <v>6209</v>
      </c>
      <c r="M556" s="56">
        <v>2</v>
      </c>
      <c r="N556" s="57" t="s">
        <v>6213</v>
      </c>
    </row>
    <row r="557" spans="1:14" ht="11.1" customHeight="1">
      <c r="A557" s="31" t="s">
        <v>7407</v>
      </c>
      <c r="B557" s="38" t="s">
        <v>6230</v>
      </c>
      <c r="C557" s="39">
        <v>79267</v>
      </c>
      <c r="D557" s="40">
        <v>0.27924189315343562</v>
      </c>
      <c r="E557" s="41">
        <v>49.958403186568013</v>
      </c>
      <c r="F557" s="42" t="s">
        <v>7408</v>
      </c>
      <c r="G557" s="42">
        <v>53</v>
      </c>
      <c r="H557" s="42" t="s">
        <v>0</v>
      </c>
      <c r="I557" s="42" t="s">
        <v>6233</v>
      </c>
      <c r="J557" s="42" t="s">
        <v>6257</v>
      </c>
      <c r="K557" s="42" t="s">
        <v>6258</v>
      </c>
      <c r="L557" s="42" t="s">
        <v>6036</v>
      </c>
      <c r="M557" s="42" t="s">
        <v>6259</v>
      </c>
      <c r="N557" s="43" t="s">
        <v>6260</v>
      </c>
    </row>
    <row r="558" spans="1:14" ht="11.1" customHeight="1">
      <c r="A558" s="31" t="s">
        <v>7409</v>
      </c>
      <c r="B558" s="38" t="s">
        <v>6231</v>
      </c>
      <c r="C558" s="39">
        <v>18603</v>
      </c>
      <c r="D558" s="40">
        <v>6.5534673172106456E-2</v>
      </c>
      <c r="E558" s="41">
        <v>11.724629095080232</v>
      </c>
      <c r="F558" s="42" t="s">
        <v>7410</v>
      </c>
      <c r="G558" s="42">
        <v>51</v>
      </c>
      <c r="H558" s="42" t="s">
        <v>0</v>
      </c>
      <c r="I558" s="42" t="s">
        <v>6233</v>
      </c>
      <c r="J558" s="42" t="s">
        <v>6278</v>
      </c>
      <c r="K558" s="42" t="s">
        <v>6259</v>
      </c>
      <c r="L558" s="42" t="s">
        <v>6036</v>
      </c>
      <c r="M558" s="42" t="s">
        <v>6259</v>
      </c>
      <c r="N558" s="43" t="s">
        <v>6259</v>
      </c>
    </row>
    <row r="559" spans="1:14" ht="11.1" customHeight="1">
      <c r="A559" s="31" t="s">
        <v>7411</v>
      </c>
      <c r="B559" s="38" t="s">
        <v>6231</v>
      </c>
      <c r="C559" s="39">
        <v>18529</v>
      </c>
      <c r="D559" s="40">
        <v>6.5273985873566656E-2</v>
      </c>
      <c r="E559" s="41" t="s">
        <v>6262</v>
      </c>
      <c r="F559" s="42" t="s">
        <v>7412</v>
      </c>
      <c r="G559" s="42">
        <v>43</v>
      </c>
      <c r="H559" s="42" t="s">
        <v>0</v>
      </c>
      <c r="I559" s="42" t="s">
        <v>6259</v>
      </c>
      <c r="J559" s="42" t="s">
        <v>6264</v>
      </c>
      <c r="K559" s="42" t="s">
        <v>6259</v>
      </c>
      <c r="L559" s="42" t="s">
        <v>6036</v>
      </c>
      <c r="M559" s="42" t="s">
        <v>6259</v>
      </c>
      <c r="N559" s="43" t="s">
        <v>6259</v>
      </c>
    </row>
    <row r="560" spans="1:14" ht="11.1" customHeight="1">
      <c r="A560" s="31" t="s">
        <v>7413</v>
      </c>
      <c r="B560" s="38" t="s">
        <v>6231</v>
      </c>
      <c r="C560" s="39">
        <v>6682</v>
      </c>
      <c r="D560" s="40">
        <v>2.3539358497877513E-2</v>
      </c>
      <c r="E560" s="41" t="s">
        <v>6262</v>
      </c>
      <c r="F560" s="42" t="s">
        <v>7414</v>
      </c>
      <c r="G560" s="42">
        <v>37</v>
      </c>
      <c r="H560" s="42" t="s">
        <v>0</v>
      </c>
      <c r="I560" s="42" t="s">
        <v>6259</v>
      </c>
      <c r="J560" s="42" t="s">
        <v>6322</v>
      </c>
      <c r="K560" s="42" t="s">
        <v>6259</v>
      </c>
      <c r="L560" s="42" t="s">
        <v>6036</v>
      </c>
      <c r="M560" s="42" t="s">
        <v>6259</v>
      </c>
      <c r="N560" s="43" t="s">
        <v>6259</v>
      </c>
    </row>
    <row r="561" spans="1:14" ht="11.1" customHeight="1">
      <c r="A561" s="44" t="s">
        <v>7415</v>
      </c>
      <c r="B561" s="38" t="s">
        <v>6231</v>
      </c>
      <c r="C561" s="46">
        <v>2118</v>
      </c>
      <c r="D561" s="47">
        <v>7.4612932203688377E-3</v>
      </c>
      <c r="E561" s="48" t="s">
        <v>6262</v>
      </c>
      <c r="F561" s="49" t="s">
        <v>7416</v>
      </c>
      <c r="G561" s="49">
        <v>53</v>
      </c>
      <c r="H561" s="49" t="s">
        <v>6049</v>
      </c>
      <c r="I561" s="49" t="s">
        <v>6259</v>
      </c>
      <c r="J561" s="49" t="s">
        <v>6267</v>
      </c>
      <c r="K561" s="49" t="s">
        <v>6268</v>
      </c>
      <c r="L561" s="49" t="s">
        <v>6036</v>
      </c>
      <c r="M561" s="49" t="s">
        <v>6259</v>
      </c>
      <c r="N561" s="50" t="s">
        <v>6259</v>
      </c>
    </row>
    <row r="562" spans="1:14" ht="11.1" customHeight="1">
      <c r="A562" s="51" t="s">
        <v>7417</v>
      </c>
      <c r="B562" s="52" t="s">
        <v>6217</v>
      </c>
      <c r="C562" s="53">
        <v>138614</v>
      </c>
      <c r="D562" s="54">
        <v>0.47517414436156208</v>
      </c>
      <c r="E562" s="55" t="s">
        <v>6251</v>
      </c>
      <c r="F562" s="56" t="s">
        <v>7418</v>
      </c>
      <c r="G562" s="56">
        <v>74</v>
      </c>
      <c r="H562" s="56" t="s">
        <v>0</v>
      </c>
      <c r="I562" s="56" t="s">
        <v>6233</v>
      </c>
      <c r="J562" s="56" t="s">
        <v>6253</v>
      </c>
      <c r="K562" s="56" t="s">
        <v>6207</v>
      </c>
      <c r="L562" s="56" t="s">
        <v>6209</v>
      </c>
      <c r="M562" s="56">
        <v>13</v>
      </c>
      <c r="N562" s="57" t="s">
        <v>6213</v>
      </c>
    </row>
    <row r="563" spans="1:14" ht="11.1" customHeight="1">
      <c r="A563" s="31" t="s">
        <v>7419</v>
      </c>
      <c r="B563" s="38" t="s">
        <v>6230</v>
      </c>
      <c r="C563" s="39">
        <v>106574</v>
      </c>
      <c r="D563" s="40">
        <v>0.36533978718736287</v>
      </c>
      <c r="E563" s="41">
        <v>76.885451685976889</v>
      </c>
      <c r="F563" s="42" t="s">
        <v>7420</v>
      </c>
      <c r="G563" s="42">
        <v>66</v>
      </c>
      <c r="H563" s="42" t="s">
        <v>0</v>
      </c>
      <c r="I563" s="42" t="s">
        <v>6233</v>
      </c>
      <c r="J563" s="42" t="s">
        <v>6257</v>
      </c>
      <c r="K563" s="42" t="s">
        <v>6273</v>
      </c>
      <c r="L563" s="42" t="s">
        <v>6283</v>
      </c>
      <c r="M563" s="42">
        <v>2</v>
      </c>
      <c r="N563" s="43" t="s">
        <v>6260</v>
      </c>
    </row>
    <row r="564" spans="1:14" ht="11.1" customHeight="1">
      <c r="A564" s="31" t="s">
        <v>7421</v>
      </c>
      <c r="B564" s="38"/>
      <c r="C564" s="39">
        <v>40948</v>
      </c>
      <c r="D564" s="40">
        <v>0.14037132514260642</v>
      </c>
      <c r="E564" s="41" t="s">
        <v>6262</v>
      </c>
      <c r="F564" s="42" t="s">
        <v>7422</v>
      </c>
      <c r="G564" s="42">
        <v>55</v>
      </c>
      <c r="H564" s="42" t="s">
        <v>0</v>
      </c>
      <c r="I564" s="42" t="s">
        <v>6259</v>
      </c>
      <c r="J564" s="42" t="s">
        <v>6264</v>
      </c>
      <c r="K564" s="42" t="s">
        <v>6259</v>
      </c>
      <c r="L564" s="42" t="s">
        <v>6036</v>
      </c>
      <c r="M564" s="42" t="s">
        <v>6259</v>
      </c>
      <c r="N564" s="43" t="s">
        <v>6259</v>
      </c>
    </row>
    <row r="565" spans="1:14" ht="11.1" customHeight="1">
      <c r="A565" s="44" t="s">
        <v>7423</v>
      </c>
      <c r="B565" s="45" t="s">
        <v>6231</v>
      </c>
      <c r="C565" s="46">
        <v>5576</v>
      </c>
      <c r="D565" s="47">
        <v>1.9114743308468626E-2</v>
      </c>
      <c r="E565" s="48" t="s">
        <v>6262</v>
      </c>
      <c r="F565" s="49" t="s">
        <v>7424</v>
      </c>
      <c r="G565" s="49">
        <v>52</v>
      </c>
      <c r="H565" s="49" t="s">
        <v>0</v>
      </c>
      <c r="I565" s="49" t="s">
        <v>6259</v>
      </c>
      <c r="J565" s="49" t="s">
        <v>6267</v>
      </c>
      <c r="K565" s="49" t="s">
        <v>6268</v>
      </c>
      <c r="L565" s="49" t="s">
        <v>6036</v>
      </c>
      <c r="M565" s="49" t="s">
        <v>6259</v>
      </c>
      <c r="N565" s="50" t="s">
        <v>6259</v>
      </c>
    </row>
    <row r="566" spans="1:14" ht="11.1" customHeight="1">
      <c r="A566" s="51" t="s">
        <v>7425</v>
      </c>
      <c r="B566" s="52" t="s">
        <v>6217</v>
      </c>
      <c r="C566" s="53">
        <v>106262</v>
      </c>
      <c r="D566" s="54">
        <v>0.56273003129749566</v>
      </c>
      <c r="E566" s="55" t="s">
        <v>6251</v>
      </c>
      <c r="F566" s="56" t="s">
        <v>7426</v>
      </c>
      <c r="G566" s="56">
        <v>49</v>
      </c>
      <c r="H566" s="56" t="s">
        <v>0</v>
      </c>
      <c r="I566" s="56" t="s">
        <v>6233</v>
      </c>
      <c r="J566" s="56" t="s">
        <v>6253</v>
      </c>
      <c r="K566" s="56" t="s">
        <v>6053</v>
      </c>
      <c r="L566" s="56" t="s">
        <v>6036</v>
      </c>
      <c r="M566" s="56" t="s">
        <v>6259</v>
      </c>
      <c r="N566" s="57" t="s">
        <v>6213</v>
      </c>
    </row>
    <row r="567" spans="1:14" ht="11.1" customHeight="1">
      <c r="A567" s="31" t="s">
        <v>7427</v>
      </c>
      <c r="B567" s="38" t="s">
        <v>6230</v>
      </c>
      <c r="C567" s="39">
        <v>63118</v>
      </c>
      <c r="D567" s="40">
        <v>0.33425301721627049</v>
      </c>
      <c r="E567" s="41">
        <v>59.398467937738793</v>
      </c>
      <c r="F567" s="42" t="s">
        <v>7428</v>
      </c>
      <c r="G567" s="42">
        <v>53</v>
      </c>
      <c r="H567" s="42" t="s">
        <v>0</v>
      </c>
      <c r="I567" s="42" t="s">
        <v>6233</v>
      </c>
      <c r="J567" s="42" t="s">
        <v>6257</v>
      </c>
      <c r="K567" s="42" t="s">
        <v>6258</v>
      </c>
      <c r="L567" s="42" t="s">
        <v>6209</v>
      </c>
      <c r="M567" s="42">
        <v>3</v>
      </c>
      <c r="N567" s="43" t="s">
        <v>6260</v>
      </c>
    </row>
    <row r="568" spans="1:14" ht="11.1" customHeight="1">
      <c r="A568" s="31" t="s">
        <v>7429</v>
      </c>
      <c r="B568" s="38" t="s">
        <v>6231</v>
      </c>
      <c r="C568" s="39">
        <v>16575</v>
      </c>
      <c r="D568" s="40">
        <v>8.7775971360937968E-2</v>
      </c>
      <c r="E568" s="41" t="s">
        <v>6262</v>
      </c>
      <c r="F568" s="42" t="s">
        <v>7430</v>
      </c>
      <c r="G568" s="42">
        <v>55</v>
      </c>
      <c r="H568" s="42" t="s">
        <v>0</v>
      </c>
      <c r="I568" s="42" t="s">
        <v>6259</v>
      </c>
      <c r="J568" s="42" t="s">
        <v>6264</v>
      </c>
      <c r="K568" s="42" t="s">
        <v>6259</v>
      </c>
      <c r="L568" s="42" t="s">
        <v>6036</v>
      </c>
      <c r="M568" s="42" t="s">
        <v>6259</v>
      </c>
      <c r="N568" s="43" t="s">
        <v>6259</v>
      </c>
    </row>
    <row r="569" spans="1:14" ht="11.1" customHeight="1">
      <c r="A569" s="44" t="s">
        <v>7431</v>
      </c>
      <c r="B569" s="45" t="s">
        <v>6231</v>
      </c>
      <c r="C569" s="46">
        <v>2878</v>
      </c>
      <c r="D569" s="47">
        <v>1.5240980125295896E-2</v>
      </c>
      <c r="E569" s="48" t="s">
        <v>6262</v>
      </c>
      <c r="F569" s="49" t="s">
        <v>7432</v>
      </c>
      <c r="G569" s="49">
        <v>48</v>
      </c>
      <c r="H569" s="49" t="s">
        <v>0</v>
      </c>
      <c r="I569" s="49" t="s">
        <v>6259</v>
      </c>
      <c r="J569" s="49" t="s">
        <v>6267</v>
      </c>
      <c r="K569" s="49" t="s">
        <v>6268</v>
      </c>
      <c r="L569" s="49" t="s">
        <v>6036</v>
      </c>
      <c r="M569" s="49" t="s">
        <v>6259</v>
      </c>
      <c r="N569" s="50" t="s">
        <v>6259</v>
      </c>
    </row>
    <row r="570" spans="1:14" ht="11.1" customHeight="1">
      <c r="A570" s="51" t="s">
        <v>7433</v>
      </c>
      <c r="B570" s="52" t="s">
        <v>6217</v>
      </c>
      <c r="C570" s="53">
        <v>107300</v>
      </c>
      <c r="D570" s="54">
        <v>0.46911410446423496</v>
      </c>
      <c r="E570" s="55" t="s">
        <v>6251</v>
      </c>
      <c r="F570" s="56" t="s">
        <v>7434</v>
      </c>
      <c r="G570" s="56">
        <v>40</v>
      </c>
      <c r="H570" s="56" t="s">
        <v>0</v>
      </c>
      <c r="I570" s="56" t="s">
        <v>6233</v>
      </c>
      <c r="J570" s="56" t="s">
        <v>6253</v>
      </c>
      <c r="K570" s="56" t="s">
        <v>6053</v>
      </c>
      <c r="L570" s="56" t="s">
        <v>6036</v>
      </c>
      <c r="M570" s="56" t="s">
        <v>6259</v>
      </c>
      <c r="N570" s="57" t="s">
        <v>6213</v>
      </c>
    </row>
    <row r="571" spans="1:14" ht="11.1" customHeight="1">
      <c r="A571" s="31" t="s">
        <v>7435</v>
      </c>
      <c r="B571" s="38" t="s">
        <v>6230</v>
      </c>
      <c r="C571" s="39">
        <v>91836</v>
      </c>
      <c r="D571" s="40">
        <v>0.40150571199979013</v>
      </c>
      <c r="E571" s="41">
        <v>85.588070829450146</v>
      </c>
      <c r="F571" s="42" t="s">
        <v>7436</v>
      </c>
      <c r="G571" s="42">
        <v>51</v>
      </c>
      <c r="H571" s="42" t="s">
        <v>0</v>
      </c>
      <c r="I571" s="42" t="s">
        <v>6233</v>
      </c>
      <c r="J571" s="42" t="s">
        <v>6257</v>
      </c>
      <c r="K571" s="42" t="s">
        <v>6286</v>
      </c>
      <c r="L571" s="42" t="s">
        <v>6209</v>
      </c>
      <c r="M571" s="42">
        <v>2</v>
      </c>
      <c r="N571" s="43" t="s">
        <v>6260</v>
      </c>
    </row>
    <row r="572" spans="1:14" ht="11.1" customHeight="1">
      <c r="A572" s="31" t="s">
        <v>7437</v>
      </c>
      <c r="B572" s="38" t="s">
        <v>6231</v>
      </c>
      <c r="C572" s="39">
        <v>14841</v>
      </c>
      <c r="D572" s="40">
        <v>6.4884645147751274E-2</v>
      </c>
      <c r="E572" s="41" t="s">
        <v>6262</v>
      </c>
      <c r="F572" s="42" t="s">
        <v>7438</v>
      </c>
      <c r="G572" s="42">
        <v>65</v>
      </c>
      <c r="H572" s="42" t="s">
        <v>0</v>
      </c>
      <c r="I572" s="42" t="s">
        <v>6259</v>
      </c>
      <c r="J572" s="42" t="s">
        <v>6264</v>
      </c>
      <c r="K572" s="42" t="s">
        <v>6259</v>
      </c>
      <c r="L572" s="42" t="s">
        <v>6036</v>
      </c>
      <c r="M572" s="42" t="s">
        <v>6259</v>
      </c>
      <c r="N572" s="43" t="s">
        <v>6259</v>
      </c>
    </row>
    <row r="573" spans="1:14" ht="11.1" customHeight="1">
      <c r="A573" s="31" t="s">
        <v>7439</v>
      </c>
      <c r="B573" s="38" t="s">
        <v>6231</v>
      </c>
      <c r="C573" s="39">
        <v>13576</v>
      </c>
      <c r="D573" s="40">
        <v>5.9354082779184102E-2</v>
      </c>
      <c r="E573" s="41">
        <v>12.65237651444548</v>
      </c>
      <c r="F573" s="42" t="s">
        <v>7440</v>
      </c>
      <c r="G573" s="42">
        <v>37</v>
      </c>
      <c r="H573" s="42" t="s">
        <v>6049</v>
      </c>
      <c r="I573" s="42" t="s">
        <v>6233</v>
      </c>
      <c r="J573" s="42" t="s">
        <v>6278</v>
      </c>
      <c r="K573" s="42" t="s">
        <v>6259</v>
      </c>
      <c r="L573" s="42" t="s">
        <v>6036</v>
      </c>
      <c r="M573" s="42" t="s">
        <v>6259</v>
      </c>
      <c r="N573" s="43" t="s">
        <v>6259</v>
      </c>
    </row>
    <row r="574" spans="1:14" ht="11.1" customHeight="1" thickBot="1">
      <c r="A574" s="66" t="s">
        <v>7441</v>
      </c>
      <c r="B574" s="67" t="s">
        <v>6231</v>
      </c>
      <c r="C574" s="68">
        <v>1176</v>
      </c>
      <c r="D574" s="69">
        <v>5.1414556090395181E-3</v>
      </c>
      <c r="E574" s="70" t="s">
        <v>6262</v>
      </c>
      <c r="F574" s="71" t="s">
        <v>7442</v>
      </c>
      <c r="G574" s="71">
        <v>47</v>
      </c>
      <c r="H574" s="71" t="s">
        <v>0</v>
      </c>
      <c r="I574" s="71" t="s">
        <v>6259</v>
      </c>
      <c r="J574" s="71" t="s">
        <v>6267</v>
      </c>
      <c r="K574" s="71" t="s">
        <v>6268</v>
      </c>
      <c r="L574" s="71" t="s">
        <v>6036</v>
      </c>
      <c r="M574" s="71" t="s">
        <v>6259</v>
      </c>
      <c r="N574" s="72" t="s">
        <v>6259</v>
      </c>
    </row>
    <row r="575" spans="1:14" ht="11.1" customHeight="1" thickTop="1">
      <c r="A575" s="31" t="s">
        <v>7443</v>
      </c>
      <c r="B575" s="32" t="s">
        <v>6217</v>
      </c>
      <c r="C575" s="33">
        <v>111987</v>
      </c>
      <c r="D575" s="34">
        <v>0.50032837861384016</v>
      </c>
      <c r="E575" s="35" t="s">
        <v>6251</v>
      </c>
      <c r="F575" s="36" t="s">
        <v>7444</v>
      </c>
      <c r="G575" s="36">
        <v>30</v>
      </c>
      <c r="H575" s="36" t="s">
        <v>0</v>
      </c>
      <c r="I575" s="36" t="s">
        <v>6233</v>
      </c>
      <c r="J575" s="36" t="s">
        <v>6253</v>
      </c>
      <c r="K575" s="36" t="s">
        <v>6053</v>
      </c>
      <c r="L575" s="36" t="s">
        <v>6036</v>
      </c>
      <c r="M575" s="36" t="s">
        <v>6259</v>
      </c>
      <c r="N575" s="37" t="s">
        <v>6259</v>
      </c>
    </row>
    <row r="576" spans="1:14" ht="11.1" customHeight="1">
      <c r="A576" s="31" t="s">
        <v>7445</v>
      </c>
      <c r="B576" s="38" t="s">
        <v>6232</v>
      </c>
      <c r="C576" s="39">
        <v>99500</v>
      </c>
      <c r="D576" s="40">
        <v>0.44453975615095587</v>
      </c>
      <c r="E576" s="58">
        <v>88.849598614124858</v>
      </c>
      <c r="F576" s="59" t="s">
        <v>7446</v>
      </c>
      <c r="G576" s="59">
        <v>48</v>
      </c>
      <c r="H576" s="59" t="s">
        <v>6049</v>
      </c>
      <c r="I576" s="59" t="s">
        <v>6233</v>
      </c>
      <c r="J576" s="59" t="s">
        <v>6257</v>
      </c>
      <c r="K576" s="59" t="s">
        <v>6258</v>
      </c>
      <c r="L576" s="59" t="s">
        <v>6209</v>
      </c>
      <c r="M576" s="59">
        <v>5</v>
      </c>
      <c r="N576" s="43" t="s">
        <v>6260</v>
      </c>
    </row>
    <row r="577" spans="1:14" ht="11.1" customHeight="1">
      <c r="A577" s="31" t="s">
        <v>7447</v>
      </c>
      <c r="B577" s="38" t="s">
        <v>6231</v>
      </c>
      <c r="C577" s="39">
        <v>9832</v>
      </c>
      <c r="D577" s="40">
        <v>4.3926782738454254E-2</v>
      </c>
      <c r="E577" s="41">
        <v>8.7795904881816647</v>
      </c>
      <c r="F577" s="42" t="s">
        <v>7448</v>
      </c>
      <c r="G577" s="42">
        <v>45</v>
      </c>
      <c r="H577" s="42" t="s">
        <v>0</v>
      </c>
      <c r="I577" s="42" t="s">
        <v>6233</v>
      </c>
      <c r="J577" s="42" t="s">
        <v>6264</v>
      </c>
      <c r="K577" s="42" t="s">
        <v>6259</v>
      </c>
      <c r="L577" s="42" t="s">
        <v>6036</v>
      </c>
      <c r="M577" s="42" t="s">
        <v>6259</v>
      </c>
      <c r="N577" s="43" t="s">
        <v>6259</v>
      </c>
    </row>
    <row r="578" spans="1:14" ht="11.1" customHeight="1">
      <c r="A578" s="44" t="s">
        <v>7449</v>
      </c>
      <c r="B578" s="45" t="s">
        <v>6231</v>
      </c>
      <c r="C578" s="46">
        <v>2508</v>
      </c>
      <c r="D578" s="47">
        <v>1.1205082496749721E-2</v>
      </c>
      <c r="E578" s="48" t="s">
        <v>6262</v>
      </c>
      <c r="F578" s="49" t="s">
        <v>7450</v>
      </c>
      <c r="G578" s="49">
        <v>25</v>
      </c>
      <c r="H578" s="49" t="s">
        <v>6049</v>
      </c>
      <c r="I578" s="49" t="s">
        <v>6259</v>
      </c>
      <c r="J578" s="49" t="s">
        <v>6267</v>
      </c>
      <c r="K578" s="49" t="s">
        <v>6268</v>
      </c>
      <c r="L578" s="49" t="s">
        <v>6036</v>
      </c>
      <c r="M578" s="49" t="s">
        <v>6259</v>
      </c>
      <c r="N578" s="50" t="s">
        <v>6259</v>
      </c>
    </row>
    <row r="579" spans="1:14" ht="11.1" customHeight="1">
      <c r="A579" s="51" t="s">
        <v>7451</v>
      </c>
      <c r="B579" s="60" t="s">
        <v>6217</v>
      </c>
      <c r="C579" s="61">
        <v>118198</v>
      </c>
      <c r="D579" s="62">
        <v>0.54194903208649325</v>
      </c>
      <c r="E579" s="63" t="s">
        <v>6251</v>
      </c>
      <c r="F579" s="64" t="s">
        <v>7452</v>
      </c>
      <c r="G579" s="64">
        <v>46</v>
      </c>
      <c r="H579" s="64" t="s">
        <v>0</v>
      </c>
      <c r="I579" s="64" t="s">
        <v>6233</v>
      </c>
      <c r="J579" s="64" t="s">
        <v>6257</v>
      </c>
      <c r="K579" s="64" t="s">
        <v>6258</v>
      </c>
      <c r="L579" s="64" t="s">
        <v>6209</v>
      </c>
      <c r="M579" s="64">
        <v>4</v>
      </c>
      <c r="N579" s="65" t="s">
        <v>6260</v>
      </c>
    </row>
    <row r="580" spans="1:14" ht="11.1" customHeight="1">
      <c r="A580" s="31" t="s">
        <v>7453</v>
      </c>
      <c r="B580" s="38" t="s">
        <v>6232</v>
      </c>
      <c r="C580" s="39">
        <v>95750</v>
      </c>
      <c r="D580" s="40">
        <v>0.43902282460178454</v>
      </c>
      <c r="E580" s="35">
        <v>81.00813888559874</v>
      </c>
      <c r="F580" s="36" t="s">
        <v>7454</v>
      </c>
      <c r="G580" s="36">
        <v>56</v>
      </c>
      <c r="H580" s="36" t="s">
        <v>0</v>
      </c>
      <c r="I580" s="36" t="s">
        <v>6233</v>
      </c>
      <c r="J580" s="36" t="s">
        <v>6253</v>
      </c>
      <c r="K580" s="36" t="s">
        <v>6053</v>
      </c>
      <c r="L580" s="36" t="s">
        <v>6036</v>
      </c>
      <c r="M580" s="36" t="s">
        <v>6259</v>
      </c>
      <c r="N580" s="43" t="s">
        <v>6213</v>
      </c>
    </row>
    <row r="581" spans="1:14" ht="11.1" customHeight="1">
      <c r="A581" s="44" t="s">
        <v>7455</v>
      </c>
      <c r="B581" s="45" t="s">
        <v>6231</v>
      </c>
      <c r="C581" s="46">
        <v>4150</v>
      </c>
      <c r="D581" s="47">
        <v>1.9028143311722253E-2</v>
      </c>
      <c r="E581" s="48" t="s">
        <v>6262</v>
      </c>
      <c r="F581" s="49" t="s">
        <v>7456</v>
      </c>
      <c r="G581" s="49">
        <v>49</v>
      </c>
      <c r="H581" s="49" t="s">
        <v>0</v>
      </c>
      <c r="I581" s="49" t="s">
        <v>6259</v>
      </c>
      <c r="J581" s="49" t="s">
        <v>6267</v>
      </c>
      <c r="K581" s="49" t="s">
        <v>6268</v>
      </c>
      <c r="L581" s="49" t="s">
        <v>6036</v>
      </c>
      <c r="M581" s="49" t="s">
        <v>6259</v>
      </c>
      <c r="N581" s="50" t="s">
        <v>6259</v>
      </c>
    </row>
    <row r="582" spans="1:14" ht="11.1" customHeight="1">
      <c r="A582" s="51" t="s">
        <v>7457</v>
      </c>
      <c r="B582" s="52" t="s">
        <v>6217</v>
      </c>
      <c r="C582" s="53">
        <v>165017</v>
      </c>
      <c r="D582" s="54">
        <v>0.57355123717897472</v>
      </c>
      <c r="E582" s="55" t="s">
        <v>6251</v>
      </c>
      <c r="F582" s="56" t="s">
        <v>7458</v>
      </c>
      <c r="G582" s="56">
        <v>42</v>
      </c>
      <c r="H582" s="56" t="s">
        <v>0</v>
      </c>
      <c r="I582" s="56" t="s">
        <v>6233</v>
      </c>
      <c r="J582" s="56" t="s">
        <v>6253</v>
      </c>
      <c r="K582" s="56" t="s">
        <v>6053</v>
      </c>
      <c r="L582" s="56" t="s">
        <v>6209</v>
      </c>
      <c r="M582" s="56">
        <v>2</v>
      </c>
      <c r="N582" s="57" t="s">
        <v>6213</v>
      </c>
    </row>
    <row r="583" spans="1:14" ht="11.1" customHeight="1">
      <c r="A583" s="31" t="s">
        <v>7459</v>
      </c>
      <c r="B583" s="38" t="s">
        <v>6230</v>
      </c>
      <c r="C583" s="39">
        <v>116353</v>
      </c>
      <c r="D583" s="40">
        <v>0.40440928570683776</v>
      </c>
      <c r="E583" s="41">
        <v>70.50970506069072</v>
      </c>
      <c r="F583" s="42" t="s">
        <v>7460</v>
      </c>
      <c r="G583" s="42">
        <v>53</v>
      </c>
      <c r="H583" s="42" t="s">
        <v>0</v>
      </c>
      <c r="I583" s="42" t="s">
        <v>6233</v>
      </c>
      <c r="J583" s="42" t="s">
        <v>6257</v>
      </c>
      <c r="K583" s="42" t="s">
        <v>6596</v>
      </c>
      <c r="L583" s="42" t="s">
        <v>6209</v>
      </c>
      <c r="M583" s="42">
        <v>1</v>
      </c>
      <c r="N583" s="43" t="s">
        <v>6260</v>
      </c>
    </row>
    <row r="584" spans="1:14" ht="11.1" customHeight="1">
      <c r="A584" s="44" t="s">
        <v>7461</v>
      </c>
      <c r="B584" s="45" t="s">
        <v>6231</v>
      </c>
      <c r="C584" s="46">
        <v>6341</v>
      </c>
      <c r="D584" s="47">
        <v>2.2039477114187501E-2</v>
      </c>
      <c r="E584" s="48" t="s">
        <v>6262</v>
      </c>
      <c r="F584" s="49" t="s">
        <v>7462</v>
      </c>
      <c r="G584" s="49">
        <v>45</v>
      </c>
      <c r="H584" s="49" t="s">
        <v>0</v>
      </c>
      <c r="I584" s="49" t="s">
        <v>6259</v>
      </c>
      <c r="J584" s="49" t="s">
        <v>6267</v>
      </c>
      <c r="K584" s="49" t="s">
        <v>6268</v>
      </c>
      <c r="L584" s="49" t="s">
        <v>6036</v>
      </c>
      <c r="M584" s="49" t="s">
        <v>6259</v>
      </c>
      <c r="N584" s="50" t="s">
        <v>6259</v>
      </c>
    </row>
    <row r="585" spans="1:14" ht="11.1" customHeight="1">
      <c r="A585" s="51" t="s">
        <v>7463</v>
      </c>
      <c r="B585" s="60" t="s">
        <v>6217</v>
      </c>
      <c r="C585" s="61">
        <v>141679</v>
      </c>
      <c r="D585" s="62">
        <v>0.52890954567514092</v>
      </c>
      <c r="E585" s="63" t="s">
        <v>6251</v>
      </c>
      <c r="F585" s="64" t="s">
        <v>7464</v>
      </c>
      <c r="G585" s="64">
        <v>66</v>
      </c>
      <c r="H585" s="64" t="s">
        <v>0</v>
      </c>
      <c r="I585" s="64" t="s">
        <v>6233</v>
      </c>
      <c r="J585" s="64" t="s">
        <v>6257</v>
      </c>
      <c r="K585" s="64" t="s">
        <v>6402</v>
      </c>
      <c r="L585" s="64" t="s">
        <v>6209</v>
      </c>
      <c r="M585" s="64">
        <v>7</v>
      </c>
      <c r="N585" s="65" t="s">
        <v>6260</v>
      </c>
    </row>
    <row r="586" spans="1:14" ht="11.1" customHeight="1">
      <c r="A586" s="31" t="s">
        <v>7465</v>
      </c>
      <c r="B586" s="38" t="s">
        <v>6232</v>
      </c>
      <c r="C586" s="39">
        <v>120525</v>
      </c>
      <c r="D586" s="40">
        <v>0.4499384029566581</v>
      </c>
      <c r="E586" s="35">
        <v>85.069064575554606</v>
      </c>
      <c r="F586" s="36" t="s">
        <v>7466</v>
      </c>
      <c r="G586" s="36">
        <v>47</v>
      </c>
      <c r="H586" s="36" t="s">
        <v>0</v>
      </c>
      <c r="I586" s="36" t="s">
        <v>6233</v>
      </c>
      <c r="J586" s="36" t="s">
        <v>6253</v>
      </c>
      <c r="K586" s="36" t="s">
        <v>6053</v>
      </c>
      <c r="L586" s="36" t="s">
        <v>6036</v>
      </c>
      <c r="M586" s="36" t="s">
        <v>6259</v>
      </c>
      <c r="N586" s="43" t="s">
        <v>6213</v>
      </c>
    </row>
    <row r="587" spans="1:14" ht="11.1" customHeight="1">
      <c r="A587" s="44" t="s">
        <v>7467</v>
      </c>
      <c r="B587" s="45" t="s">
        <v>6231</v>
      </c>
      <c r="C587" s="46">
        <v>5666</v>
      </c>
      <c r="D587" s="47">
        <v>2.1152051368200992E-2</v>
      </c>
      <c r="E587" s="48" t="s">
        <v>6262</v>
      </c>
      <c r="F587" s="49" t="s">
        <v>7468</v>
      </c>
      <c r="G587" s="49">
        <v>47</v>
      </c>
      <c r="H587" s="49" t="s">
        <v>0</v>
      </c>
      <c r="I587" s="49" t="s">
        <v>6259</v>
      </c>
      <c r="J587" s="49" t="s">
        <v>6267</v>
      </c>
      <c r="K587" s="49" t="s">
        <v>6268</v>
      </c>
      <c r="L587" s="49" t="s">
        <v>6036</v>
      </c>
      <c r="M587" s="49" t="s">
        <v>6259</v>
      </c>
      <c r="N587" s="50" t="s">
        <v>6259</v>
      </c>
    </row>
    <row r="588" spans="1:14" ht="11.1" customHeight="1">
      <c r="A588" s="51" t="s">
        <v>7469</v>
      </c>
      <c r="B588" s="52" t="s">
        <v>6217</v>
      </c>
      <c r="C588" s="53">
        <v>114676</v>
      </c>
      <c r="D588" s="54">
        <v>0.53187512464808662</v>
      </c>
      <c r="E588" s="55" t="s">
        <v>6251</v>
      </c>
      <c r="F588" s="56" t="s">
        <v>7470</v>
      </c>
      <c r="G588" s="56">
        <v>46</v>
      </c>
      <c r="H588" s="56" t="s">
        <v>0</v>
      </c>
      <c r="I588" s="56" t="s">
        <v>6233</v>
      </c>
      <c r="J588" s="56" t="s">
        <v>6253</v>
      </c>
      <c r="K588" s="56" t="s">
        <v>6053</v>
      </c>
      <c r="L588" s="56" t="s">
        <v>6036</v>
      </c>
      <c r="M588" s="56" t="s">
        <v>6259</v>
      </c>
      <c r="N588" s="57" t="s">
        <v>6259</v>
      </c>
    </row>
    <row r="589" spans="1:14" ht="11.1" customHeight="1" thickBot="1">
      <c r="A589" s="73" t="s">
        <v>7471</v>
      </c>
      <c r="B589" s="74" t="s">
        <v>6232</v>
      </c>
      <c r="C589" s="75">
        <v>100931</v>
      </c>
      <c r="D589" s="76">
        <v>0.46812487535191344</v>
      </c>
      <c r="E589" s="114">
        <v>88.014056995360846</v>
      </c>
      <c r="F589" s="115" t="s">
        <v>7472</v>
      </c>
      <c r="G589" s="115">
        <v>56</v>
      </c>
      <c r="H589" s="115" t="s">
        <v>0</v>
      </c>
      <c r="I589" s="115" t="s">
        <v>6233</v>
      </c>
      <c r="J589" s="115" t="s">
        <v>6257</v>
      </c>
      <c r="K589" s="115" t="s">
        <v>6311</v>
      </c>
      <c r="L589" s="115" t="s">
        <v>6209</v>
      </c>
      <c r="M589" s="115">
        <v>6</v>
      </c>
      <c r="N589" s="79" t="s">
        <v>6260</v>
      </c>
    </row>
    <row r="590" spans="1:14" ht="11.1" customHeight="1">
      <c r="A590" s="80" t="s">
        <v>7473</v>
      </c>
      <c r="B590" s="81" t="s">
        <v>6217</v>
      </c>
      <c r="C590" s="82">
        <v>120904</v>
      </c>
      <c r="D590" s="83">
        <v>0.47292968092971222</v>
      </c>
      <c r="E590" s="84" t="s">
        <v>6251</v>
      </c>
      <c r="F590" s="85" t="s">
        <v>7474</v>
      </c>
      <c r="G590" s="85">
        <v>64</v>
      </c>
      <c r="H590" s="85" t="s">
        <v>0</v>
      </c>
      <c r="I590" s="85" t="s">
        <v>6233</v>
      </c>
      <c r="J590" s="85" t="s">
        <v>6253</v>
      </c>
      <c r="K590" s="85" t="s">
        <v>7062</v>
      </c>
      <c r="L590" s="85" t="s">
        <v>6283</v>
      </c>
      <c r="M590" s="85">
        <v>3</v>
      </c>
      <c r="N590" s="86" t="s">
        <v>6213</v>
      </c>
    </row>
    <row r="591" spans="1:14" ht="11.1" customHeight="1">
      <c r="A591" s="31" t="s">
        <v>7475</v>
      </c>
      <c r="B591" s="38" t="s">
        <v>6230</v>
      </c>
      <c r="C591" s="39">
        <v>96096</v>
      </c>
      <c r="D591" s="40">
        <v>0.37589038095200844</v>
      </c>
      <c r="E591" s="41">
        <v>79.481241315423802</v>
      </c>
      <c r="F591" s="42" t="s">
        <v>7476</v>
      </c>
      <c r="G591" s="42">
        <v>56</v>
      </c>
      <c r="H591" s="42" t="s">
        <v>6049</v>
      </c>
      <c r="I591" s="42" t="s">
        <v>6233</v>
      </c>
      <c r="J591" s="42" t="s">
        <v>6257</v>
      </c>
      <c r="K591" s="42" t="s">
        <v>6402</v>
      </c>
      <c r="L591" s="42" t="s">
        <v>6209</v>
      </c>
      <c r="M591" s="42">
        <v>3</v>
      </c>
      <c r="N591" s="43" t="s">
        <v>6260</v>
      </c>
    </row>
    <row r="592" spans="1:14" ht="11.1" customHeight="1">
      <c r="A592" s="31" t="s">
        <v>7477</v>
      </c>
      <c r="B592" s="38" t="s">
        <v>6231</v>
      </c>
      <c r="C592" s="39">
        <v>21285</v>
      </c>
      <c r="D592" s="40">
        <v>8.3258686714988123E-2</v>
      </c>
      <c r="E592" s="41">
        <v>17.604876596307815</v>
      </c>
      <c r="F592" s="42" t="s">
        <v>7478</v>
      </c>
      <c r="G592" s="42">
        <v>36</v>
      </c>
      <c r="H592" s="42" t="s">
        <v>0</v>
      </c>
      <c r="I592" s="42" t="s">
        <v>6233</v>
      </c>
      <c r="J592" s="42" t="s">
        <v>6484</v>
      </c>
      <c r="K592" s="42" t="s">
        <v>6259</v>
      </c>
      <c r="L592" s="42" t="s">
        <v>6036</v>
      </c>
      <c r="M592" s="42" t="s">
        <v>6259</v>
      </c>
      <c r="N592" s="43" t="s">
        <v>6259</v>
      </c>
    </row>
    <row r="593" spans="1:14" ht="11.1" customHeight="1">
      <c r="A593" s="31" t="s">
        <v>7479</v>
      </c>
      <c r="B593" s="38" t="s">
        <v>6231</v>
      </c>
      <c r="C593" s="39">
        <v>14293</v>
      </c>
      <c r="D593" s="40">
        <v>5.5908687301730105E-2</v>
      </c>
      <c r="E593" s="41" t="s">
        <v>6262</v>
      </c>
      <c r="F593" s="42" t="s">
        <v>7480</v>
      </c>
      <c r="G593" s="42">
        <v>49</v>
      </c>
      <c r="H593" s="42" t="s">
        <v>0</v>
      </c>
      <c r="I593" s="42" t="s">
        <v>6259</v>
      </c>
      <c r="J593" s="42" t="s">
        <v>6264</v>
      </c>
      <c r="K593" s="42" t="s">
        <v>6259</v>
      </c>
      <c r="L593" s="42" t="s">
        <v>6036</v>
      </c>
      <c r="M593" s="42" t="s">
        <v>6259</v>
      </c>
      <c r="N593" s="43" t="s">
        <v>6259</v>
      </c>
    </row>
    <row r="594" spans="1:14" ht="11.1" customHeight="1">
      <c r="A594" s="44" t="s">
        <v>7481</v>
      </c>
      <c r="B594" s="45" t="s">
        <v>6231</v>
      </c>
      <c r="C594" s="46">
        <v>3071</v>
      </c>
      <c r="D594" s="47">
        <v>1.2012564101561124E-2</v>
      </c>
      <c r="E594" s="48" t="s">
        <v>6262</v>
      </c>
      <c r="F594" s="49" t="s">
        <v>7482</v>
      </c>
      <c r="G594" s="49">
        <v>35</v>
      </c>
      <c r="H594" s="49" t="s">
        <v>0</v>
      </c>
      <c r="I594" s="49" t="s">
        <v>6259</v>
      </c>
      <c r="J594" s="49" t="s">
        <v>6267</v>
      </c>
      <c r="K594" s="49" t="s">
        <v>6268</v>
      </c>
      <c r="L594" s="49" t="s">
        <v>6036</v>
      </c>
      <c r="M594" s="49" t="s">
        <v>6259</v>
      </c>
      <c r="N594" s="50" t="s">
        <v>6259</v>
      </c>
    </row>
    <row r="595" spans="1:14" ht="11.1" customHeight="1">
      <c r="A595" s="51" t="s">
        <v>7483</v>
      </c>
      <c r="B595" s="52" t="s">
        <v>6217</v>
      </c>
      <c r="C595" s="53">
        <v>165151</v>
      </c>
      <c r="D595" s="54">
        <v>0.58358893537626511</v>
      </c>
      <c r="E595" s="55" t="s">
        <v>6251</v>
      </c>
      <c r="F595" s="56" t="s">
        <v>7484</v>
      </c>
      <c r="G595" s="56">
        <v>37</v>
      </c>
      <c r="H595" s="56" t="s">
        <v>0</v>
      </c>
      <c r="I595" s="56" t="s">
        <v>6233</v>
      </c>
      <c r="J595" s="56" t="s">
        <v>6253</v>
      </c>
      <c r="K595" s="56" t="s">
        <v>6053</v>
      </c>
      <c r="L595" s="56" t="s">
        <v>6283</v>
      </c>
      <c r="M595" s="56">
        <v>2</v>
      </c>
      <c r="N595" s="57" t="s">
        <v>6213</v>
      </c>
    </row>
    <row r="596" spans="1:14" ht="11.1" customHeight="1">
      <c r="A596" s="31" t="s">
        <v>7485</v>
      </c>
      <c r="B596" s="38" t="s">
        <v>6230</v>
      </c>
      <c r="C596" s="39">
        <v>112889</v>
      </c>
      <c r="D596" s="40">
        <v>0.39891233674450161</v>
      </c>
      <c r="E596" s="41">
        <v>68.355020556944851</v>
      </c>
      <c r="F596" s="42" t="s">
        <v>7486</v>
      </c>
      <c r="G596" s="42">
        <v>57</v>
      </c>
      <c r="H596" s="42" t="s">
        <v>0</v>
      </c>
      <c r="I596" s="42" t="s">
        <v>6233</v>
      </c>
      <c r="J596" s="42" t="s">
        <v>6257</v>
      </c>
      <c r="K596" s="42" t="s">
        <v>6402</v>
      </c>
      <c r="L596" s="42" t="s">
        <v>6209</v>
      </c>
      <c r="M596" s="42">
        <v>2</v>
      </c>
      <c r="N596" s="43" t="s">
        <v>6260</v>
      </c>
    </row>
    <row r="597" spans="1:14" ht="11.1" customHeight="1">
      <c r="A597" s="44" t="s">
        <v>7487</v>
      </c>
      <c r="B597" s="45" t="s">
        <v>6231</v>
      </c>
      <c r="C597" s="46">
        <v>4952</v>
      </c>
      <c r="D597" s="47">
        <v>1.7498727879233334E-2</v>
      </c>
      <c r="E597" s="48" t="s">
        <v>6262</v>
      </c>
      <c r="F597" s="49" t="s">
        <v>7488</v>
      </c>
      <c r="G597" s="49">
        <v>41</v>
      </c>
      <c r="H597" s="49" t="s">
        <v>0</v>
      </c>
      <c r="I597" s="49" t="s">
        <v>6259</v>
      </c>
      <c r="J597" s="49" t="s">
        <v>6267</v>
      </c>
      <c r="K597" s="49" t="s">
        <v>6268</v>
      </c>
      <c r="L597" s="49" t="s">
        <v>6036</v>
      </c>
      <c r="M597" s="49" t="s">
        <v>6259</v>
      </c>
      <c r="N597" s="50" t="s">
        <v>6259</v>
      </c>
    </row>
    <row r="598" spans="1:14" ht="11.1" customHeight="1">
      <c r="A598" s="51" t="s">
        <v>7489</v>
      </c>
      <c r="B598" s="52" t="s">
        <v>6217</v>
      </c>
      <c r="C598" s="53">
        <v>154035</v>
      </c>
      <c r="D598" s="54">
        <v>0.57375553138549096</v>
      </c>
      <c r="E598" s="55" t="s">
        <v>6251</v>
      </c>
      <c r="F598" s="56" t="s">
        <v>7490</v>
      </c>
      <c r="G598" s="56">
        <v>33</v>
      </c>
      <c r="H598" s="56" t="s">
        <v>0</v>
      </c>
      <c r="I598" s="56" t="s">
        <v>6233</v>
      </c>
      <c r="J598" s="56" t="s">
        <v>6253</v>
      </c>
      <c r="K598" s="56" t="s">
        <v>6053</v>
      </c>
      <c r="L598" s="56" t="s">
        <v>6036</v>
      </c>
      <c r="M598" s="56" t="s">
        <v>6259</v>
      </c>
      <c r="N598" s="57" t="s">
        <v>6213</v>
      </c>
    </row>
    <row r="599" spans="1:14" ht="11.1" customHeight="1">
      <c r="A599" s="31" t="s">
        <v>7491</v>
      </c>
      <c r="B599" s="38" t="s">
        <v>6230</v>
      </c>
      <c r="C599" s="39">
        <v>109120</v>
      </c>
      <c r="D599" s="40">
        <v>0.4064544005244573</v>
      </c>
      <c r="E599" s="41" t="s">
        <v>6262</v>
      </c>
      <c r="F599" s="42" t="s">
        <v>7492</v>
      </c>
      <c r="G599" s="42">
        <v>74</v>
      </c>
      <c r="H599" s="42" t="s">
        <v>0</v>
      </c>
      <c r="I599" s="42" t="s">
        <v>6259</v>
      </c>
      <c r="J599" s="42" t="s">
        <v>6257</v>
      </c>
      <c r="K599" s="42" t="s">
        <v>6402</v>
      </c>
      <c r="L599" s="42" t="s">
        <v>6209</v>
      </c>
      <c r="M599" s="42">
        <v>8</v>
      </c>
      <c r="N599" s="43" t="s">
        <v>6260</v>
      </c>
    </row>
    <row r="600" spans="1:14" ht="11.1" customHeight="1">
      <c r="A600" s="44" t="s">
        <v>7493</v>
      </c>
      <c r="B600" s="45" t="s">
        <v>6231</v>
      </c>
      <c r="C600" s="46">
        <v>5313</v>
      </c>
      <c r="D600" s="47">
        <v>1.97900680900517E-2</v>
      </c>
      <c r="E600" s="48" t="s">
        <v>6262</v>
      </c>
      <c r="F600" s="49" t="s">
        <v>7494</v>
      </c>
      <c r="G600" s="49">
        <v>46</v>
      </c>
      <c r="H600" s="49" t="s">
        <v>0</v>
      </c>
      <c r="I600" s="49" t="s">
        <v>6259</v>
      </c>
      <c r="J600" s="49" t="s">
        <v>6267</v>
      </c>
      <c r="K600" s="49" t="s">
        <v>6268</v>
      </c>
      <c r="L600" s="49" t="s">
        <v>6036</v>
      </c>
      <c r="M600" s="49" t="s">
        <v>6259</v>
      </c>
      <c r="N600" s="50" t="s">
        <v>6259</v>
      </c>
    </row>
    <row r="601" spans="1:14" ht="11.1" customHeight="1">
      <c r="A601" s="51" t="s">
        <v>7495</v>
      </c>
      <c r="B601" s="52" t="s">
        <v>6217</v>
      </c>
      <c r="C601" s="53">
        <v>123719</v>
      </c>
      <c r="D601" s="54">
        <v>0.54595319732934411</v>
      </c>
      <c r="E601" s="55" t="s">
        <v>6251</v>
      </c>
      <c r="F601" s="56" t="s">
        <v>7496</v>
      </c>
      <c r="G601" s="56">
        <v>41</v>
      </c>
      <c r="H601" s="56" t="s">
        <v>0</v>
      </c>
      <c r="I601" s="56" t="s">
        <v>6233</v>
      </c>
      <c r="J601" s="56" t="s">
        <v>6253</v>
      </c>
      <c r="K601" s="56" t="s">
        <v>6053</v>
      </c>
      <c r="L601" s="56" t="s">
        <v>6209</v>
      </c>
      <c r="M601" s="56">
        <v>2</v>
      </c>
      <c r="N601" s="57" t="s">
        <v>6213</v>
      </c>
    </row>
    <row r="602" spans="1:14" ht="11.1" customHeight="1">
      <c r="A602" s="31" t="s">
        <v>7497</v>
      </c>
      <c r="B602" s="38" t="s">
        <v>6230</v>
      </c>
      <c r="C602" s="39">
        <v>100352</v>
      </c>
      <c r="D602" s="40">
        <v>0.44283816760880979</v>
      </c>
      <c r="E602" s="41">
        <v>81.112844429715722</v>
      </c>
      <c r="F602" s="42" t="s">
        <v>7498</v>
      </c>
      <c r="G602" s="42">
        <v>62</v>
      </c>
      <c r="H602" s="42" t="s">
        <v>0</v>
      </c>
      <c r="I602" s="42" t="s">
        <v>6233</v>
      </c>
      <c r="J602" s="42" t="s">
        <v>6257</v>
      </c>
      <c r="K602" s="42" t="s">
        <v>6402</v>
      </c>
      <c r="L602" s="42" t="s">
        <v>6209</v>
      </c>
      <c r="M602" s="42">
        <v>4</v>
      </c>
      <c r="N602" s="43" t="s">
        <v>6260</v>
      </c>
    </row>
    <row r="603" spans="1:14" ht="11.1" customHeight="1">
      <c r="A603" s="44" t="s">
        <v>7499</v>
      </c>
      <c r="B603" s="45" t="s">
        <v>6231</v>
      </c>
      <c r="C603" s="46">
        <v>2540</v>
      </c>
      <c r="D603" s="47">
        <v>1.1208635061846071E-2</v>
      </c>
      <c r="E603" s="48" t="s">
        <v>6262</v>
      </c>
      <c r="F603" s="49" t="s">
        <v>7500</v>
      </c>
      <c r="G603" s="49">
        <v>47</v>
      </c>
      <c r="H603" s="49" t="s">
        <v>0</v>
      </c>
      <c r="I603" s="49" t="s">
        <v>6259</v>
      </c>
      <c r="J603" s="49" t="s">
        <v>6267</v>
      </c>
      <c r="K603" s="49" t="s">
        <v>6268</v>
      </c>
      <c r="L603" s="49" t="s">
        <v>6036</v>
      </c>
      <c r="M603" s="49" t="s">
        <v>6259</v>
      </c>
      <c r="N603" s="50" t="s">
        <v>6259</v>
      </c>
    </row>
    <row r="604" spans="1:14" ht="11.1" customHeight="1">
      <c r="A604" s="51" t="s">
        <v>7501</v>
      </c>
      <c r="B604" s="52" t="s">
        <v>6217</v>
      </c>
      <c r="C604" s="53">
        <v>184328</v>
      </c>
      <c r="D604" s="54">
        <v>0.59039748886967103</v>
      </c>
      <c r="E604" s="55" t="s">
        <v>6251</v>
      </c>
      <c r="F604" s="56" t="s">
        <v>7502</v>
      </c>
      <c r="G604" s="56">
        <v>38</v>
      </c>
      <c r="H604" s="56" t="s">
        <v>0</v>
      </c>
      <c r="I604" s="56" t="s">
        <v>6233</v>
      </c>
      <c r="J604" s="56" t="s">
        <v>6253</v>
      </c>
      <c r="K604" s="56" t="s">
        <v>6053</v>
      </c>
      <c r="L604" s="56" t="s">
        <v>6209</v>
      </c>
      <c r="M604" s="56">
        <v>3</v>
      </c>
      <c r="N604" s="57" t="s">
        <v>6213</v>
      </c>
    </row>
    <row r="605" spans="1:14" ht="11.1" customHeight="1">
      <c r="A605" s="31" t="s">
        <v>7503</v>
      </c>
      <c r="B605" s="38" t="s">
        <v>6230</v>
      </c>
      <c r="C605" s="39">
        <v>121813</v>
      </c>
      <c r="D605" s="40">
        <v>0.39016367188751161</v>
      </c>
      <c r="E605" s="41">
        <v>66.084913849225288</v>
      </c>
      <c r="F605" s="42" t="s">
        <v>7504</v>
      </c>
      <c r="G605" s="42">
        <v>64</v>
      </c>
      <c r="H605" s="42" t="s">
        <v>0</v>
      </c>
      <c r="I605" s="42" t="s">
        <v>6233</v>
      </c>
      <c r="J605" s="42" t="s">
        <v>6257</v>
      </c>
      <c r="K605" s="42" t="s">
        <v>6273</v>
      </c>
      <c r="L605" s="42" t="s">
        <v>6209</v>
      </c>
      <c r="M605" s="42">
        <v>7</v>
      </c>
      <c r="N605" s="43" t="s">
        <v>6260</v>
      </c>
    </row>
    <row r="606" spans="1:14" ht="11.1" customHeight="1">
      <c r="A606" s="44" t="s">
        <v>7505</v>
      </c>
      <c r="B606" s="45" t="s">
        <v>6231</v>
      </c>
      <c r="C606" s="46">
        <v>6069</v>
      </c>
      <c r="D606" s="47">
        <v>1.9438839242817335E-2</v>
      </c>
      <c r="E606" s="48" t="s">
        <v>6262</v>
      </c>
      <c r="F606" s="49" t="s">
        <v>7506</v>
      </c>
      <c r="G606" s="49">
        <v>34</v>
      </c>
      <c r="H606" s="49" t="s">
        <v>0</v>
      </c>
      <c r="I606" s="49" t="s">
        <v>6259</v>
      </c>
      <c r="J606" s="49" t="s">
        <v>6267</v>
      </c>
      <c r="K606" s="49" t="s">
        <v>6268</v>
      </c>
      <c r="L606" s="49" t="s">
        <v>6036</v>
      </c>
      <c r="M606" s="49" t="s">
        <v>6259</v>
      </c>
      <c r="N606" s="50" t="s">
        <v>6259</v>
      </c>
    </row>
    <row r="607" spans="1:14" ht="11.1" customHeight="1">
      <c r="A607" s="51" t="s">
        <v>7507</v>
      </c>
      <c r="B607" s="52" t="s">
        <v>6217</v>
      </c>
      <c r="C607" s="53">
        <v>197688</v>
      </c>
      <c r="D607" s="54">
        <v>0.66525105750042901</v>
      </c>
      <c r="E607" s="55" t="s">
        <v>6251</v>
      </c>
      <c r="F607" s="56" t="s">
        <v>7508</v>
      </c>
      <c r="G607" s="56">
        <v>47</v>
      </c>
      <c r="H607" s="56" t="s">
        <v>0</v>
      </c>
      <c r="I607" s="56" t="s">
        <v>6233</v>
      </c>
      <c r="J607" s="56" t="s">
        <v>6253</v>
      </c>
      <c r="K607" s="56" t="s">
        <v>6918</v>
      </c>
      <c r="L607" s="56" t="s">
        <v>6209</v>
      </c>
      <c r="M607" s="56">
        <v>4</v>
      </c>
      <c r="N607" s="57" t="s">
        <v>6213</v>
      </c>
    </row>
    <row r="608" spans="1:14" ht="11.1" customHeight="1">
      <c r="A608" s="31" t="s">
        <v>7509</v>
      </c>
      <c r="B608" s="38" t="s">
        <v>6230</v>
      </c>
      <c r="C608" s="39">
        <v>93644</v>
      </c>
      <c r="D608" s="40">
        <v>0.31512671496787958</v>
      </c>
      <c r="E608" s="41">
        <v>47.369592489174863</v>
      </c>
      <c r="F608" s="42" t="s">
        <v>7510</v>
      </c>
      <c r="G608" s="42">
        <v>70</v>
      </c>
      <c r="H608" s="42" t="s">
        <v>0</v>
      </c>
      <c r="I608" s="42" t="s">
        <v>6233</v>
      </c>
      <c r="J608" s="42" t="s">
        <v>6257</v>
      </c>
      <c r="K608" s="42" t="s">
        <v>6273</v>
      </c>
      <c r="L608" s="42" t="s">
        <v>6209</v>
      </c>
      <c r="M608" s="42">
        <v>3</v>
      </c>
      <c r="N608" s="43" t="s">
        <v>6260</v>
      </c>
    </row>
    <row r="609" spans="1:14" ht="11.1" customHeight="1">
      <c r="A609" s="44" t="s">
        <v>7511</v>
      </c>
      <c r="B609" s="45" t="s">
        <v>6231</v>
      </c>
      <c r="C609" s="46">
        <v>5831</v>
      </c>
      <c r="D609" s="47">
        <v>1.962222753169136E-2</v>
      </c>
      <c r="E609" s="48" t="s">
        <v>6262</v>
      </c>
      <c r="F609" s="49" t="s">
        <v>7512</v>
      </c>
      <c r="G609" s="49">
        <v>54</v>
      </c>
      <c r="H609" s="49" t="s">
        <v>0</v>
      </c>
      <c r="I609" s="49" t="s">
        <v>6259</v>
      </c>
      <c r="J609" s="49" t="s">
        <v>6267</v>
      </c>
      <c r="K609" s="49" t="s">
        <v>6268</v>
      </c>
      <c r="L609" s="49" t="s">
        <v>6036</v>
      </c>
      <c r="M609" s="49" t="s">
        <v>6259</v>
      </c>
      <c r="N609" s="50" t="s">
        <v>6259</v>
      </c>
    </row>
    <row r="610" spans="1:14" ht="11.1" customHeight="1">
      <c r="A610" s="51" t="s">
        <v>7513</v>
      </c>
      <c r="B610" s="87" t="s">
        <v>6217</v>
      </c>
      <c r="C610" s="88">
        <v>129376</v>
      </c>
      <c r="D610" s="89">
        <v>0.52087090955939186</v>
      </c>
      <c r="E610" s="90" t="s">
        <v>6262</v>
      </c>
      <c r="F610" s="91" t="s">
        <v>7514</v>
      </c>
      <c r="G610" s="91">
        <v>44</v>
      </c>
      <c r="H610" s="91" t="s">
        <v>0</v>
      </c>
      <c r="I610" s="91" t="s">
        <v>6259</v>
      </c>
      <c r="J610" s="91" t="s">
        <v>6322</v>
      </c>
      <c r="K610" s="91" t="s">
        <v>6360</v>
      </c>
      <c r="L610" s="91" t="s">
        <v>6283</v>
      </c>
      <c r="M610" s="91">
        <v>1</v>
      </c>
      <c r="N610" s="92" t="s">
        <v>6259</v>
      </c>
    </row>
    <row r="611" spans="1:14" ht="11.1" customHeight="1">
      <c r="A611" s="31" t="s">
        <v>7515</v>
      </c>
      <c r="B611" s="38" t="s">
        <v>6232</v>
      </c>
      <c r="C611" s="39">
        <v>63116</v>
      </c>
      <c r="D611" s="40">
        <v>0.25410654470497296</v>
      </c>
      <c r="E611" s="35">
        <v>48.784936928023747</v>
      </c>
      <c r="F611" s="36" t="s">
        <v>7516</v>
      </c>
      <c r="G611" s="36">
        <v>35</v>
      </c>
      <c r="H611" s="36" t="s">
        <v>0</v>
      </c>
      <c r="I611" s="36" t="s">
        <v>6233</v>
      </c>
      <c r="J611" s="36" t="s">
        <v>6253</v>
      </c>
      <c r="K611" s="36" t="s">
        <v>6053</v>
      </c>
      <c r="L611" s="36" t="s">
        <v>6036</v>
      </c>
      <c r="M611" s="36" t="s">
        <v>6259</v>
      </c>
      <c r="N611" s="43" t="s">
        <v>6259</v>
      </c>
    </row>
    <row r="612" spans="1:14" ht="11.1" customHeight="1">
      <c r="A612" s="31" t="s">
        <v>7517</v>
      </c>
      <c r="B612" s="38" t="s">
        <v>6230</v>
      </c>
      <c r="C612" s="39">
        <v>54128</v>
      </c>
      <c r="D612" s="40">
        <v>0.2179206390105643</v>
      </c>
      <c r="E612" s="41">
        <v>41.837744249319812</v>
      </c>
      <c r="F612" s="42" t="s">
        <v>7518</v>
      </c>
      <c r="G612" s="42">
        <v>50</v>
      </c>
      <c r="H612" s="42" t="s">
        <v>6049</v>
      </c>
      <c r="I612" s="42" t="s">
        <v>6233</v>
      </c>
      <c r="J612" s="42" t="s">
        <v>6257</v>
      </c>
      <c r="K612" s="42" t="s">
        <v>6258</v>
      </c>
      <c r="L612" s="42" t="s">
        <v>6209</v>
      </c>
      <c r="M612" s="42">
        <v>1</v>
      </c>
      <c r="N612" s="43" t="s">
        <v>6260</v>
      </c>
    </row>
    <row r="613" spans="1:14" ht="11.1" customHeight="1">
      <c r="A613" s="44" t="s">
        <v>7519</v>
      </c>
      <c r="B613" s="45" t="s">
        <v>6231</v>
      </c>
      <c r="C613" s="46">
        <v>1764</v>
      </c>
      <c r="D613" s="47">
        <v>7.1019067250708582E-3</v>
      </c>
      <c r="E613" s="48" t="s">
        <v>6262</v>
      </c>
      <c r="F613" s="49" t="s">
        <v>7520</v>
      </c>
      <c r="G613" s="49">
        <v>51</v>
      </c>
      <c r="H613" s="49" t="s">
        <v>0</v>
      </c>
      <c r="I613" s="49" t="s">
        <v>6259</v>
      </c>
      <c r="J613" s="49" t="s">
        <v>6267</v>
      </c>
      <c r="K613" s="49" t="s">
        <v>6268</v>
      </c>
      <c r="L613" s="49" t="s">
        <v>6036</v>
      </c>
      <c r="M613" s="49" t="s">
        <v>6259</v>
      </c>
      <c r="N613" s="50" t="s">
        <v>6259</v>
      </c>
    </row>
    <row r="614" spans="1:14" ht="11.1" customHeight="1">
      <c r="A614" s="51" t="s">
        <v>7521</v>
      </c>
      <c r="B614" s="52" t="s">
        <v>6217</v>
      </c>
      <c r="C614" s="53">
        <v>123547</v>
      </c>
      <c r="D614" s="54">
        <v>0.48896390958994107</v>
      </c>
      <c r="E614" s="55" t="s">
        <v>6251</v>
      </c>
      <c r="F614" s="56" t="s">
        <v>7522</v>
      </c>
      <c r="G614" s="56">
        <v>38</v>
      </c>
      <c r="H614" s="56" t="s">
        <v>0</v>
      </c>
      <c r="I614" s="56" t="s">
        <v>6233</v>
      </c>
      <c r="J614" s="56" t="s">
        <v>6253</v>
      </c>
      <c r="K614" s="56" t="s">
        <v>6053</v>
      </c>
      <c r="L614" s="56" t="s">
        <v>6036</v>
      </c>
      <c r="M614" s="56" t="s">
        <v>6259</v>
      </c>
      <c r="N614" s="57" t="s">
        <v>6213</v>
      </c>
    </row>
    <row r="615" spans="1:14" ht="11.1" customHeight="1">
      <c r="A615" s="31" t="s">
        <v>7523</v>
      </c>
      <c r="B615" s="38" t="s">
        <v>6232</v>
      </c>
      <c r="C615" s="39">
        <v>114677</v>
      </c>
      <c r="D615" s="40">
        <v>0.45385897075643822</v>
      </c>
      <c r="E615" s="58">
        <v>92.820546027018054</v>
      </c>
      <c r="F615" s="59" t="s">
        <v>7524</v>
      </c>
      <c r="G615" s="59">
        <v>59</v>
      </c>
      <c r="H615" s="59" t="s">
        <v>0</v>
      </c>
      <c r="I615" s="59" t="s">
        <v>6233</v>
      </c>
      <c r="J615" s="59" t="s">
        <v>6257</v>
      </c>
      <c r="K615" s="59" t="s">
        <v>6286</v>
      </c>
      <c r="L615" s="59" t="s">
        <v>6209</v>
      </c>
      <c r="M615" s="59">
        <v>5</v>
      </c>
      <c r="N615" s="43" t="s">
        <v>6260</v>
      </c>
    </row>
    <row r="616" spans="1:14" ht="11.1" customHeight="1">
      <c r="A616" s="31" t="s">
        <v>7525</v>
      </c>
      <c r="B616" s="38" t="s">
        <v>6231</v>
      </c>
      <c r="C616" s="39">
        <v>12117</v>
      </c>
      <c r="D616" s="40">
        <v>4.7955641921708467E-2</v>
      </c>
      <c r="E616" s="41">
        <v>9.8076035840611269</v>
      </c>
      <c r="F616" s="42" t="s">
        <v>7526</v>
      </c>
      <c r="G616" s="42">
        <v>55</v>
      </c>
      <c r="H616" s="42" t="s">
        <v>0</v>
      </c>
      <c r="I616" s="42" t="s">
        <v>6233</v>
      </c>
      <c r="J616" s="42" t="s">
        <v>6264</v>
      </c>
      <c r="K616" s="42" t="s">
        <v>6259</v>
      </c>
      <c r="L616" s="42" t="s">
        <v>6283</v>
      </c>
      <c r="M616" s="42">
        <v>1</v>
      </c>
      <c r="N616" s="43" t="s">
        <v>6259</v>
      </c>
    </row>
    <row r="617" spans="1:14" ht="11.1" customHeight="1" thickBot="1">
      <c r="A617" s="73" t="s">
        <v>7527</v>
      </c>
      <c r="B617" s="74" t="s">
        <v>6231</v>
      </c>
      <c r="C617" s="75">
        <v>2330</v>
      </c>
      <c r="D617" s="76">
        <v>9.2214777319122501E-3</v>
      </c>
      <c r="E617" s="77" t="s">
        <v>6262</v>
      </c>
      <c r="F617" s="78" t="s">
        <v>7528</v>
      </c>
      <c r="G617" s="78">
        <v>54</v>
      </c>
      <c r="H617" s="78" t="s">
        <v>0</v>
      </c>
      <c r="I617" s="78" t="s">
        <v>6259</v>
      </c>
      <c r="J617" s="78" t="s">
        <v>6267</v>
      </c>
      <c r="K617" s="78" t="s">
        <v>6268</v>
      </c>
      <c r="L617" s="78" t="s">
        <v>6036</v>
      </c>
      <c r="M617" s="78" t="s">
        <v>6259</v>
      </c>
      <c r="N617" s="79" t="s">
        <v>6259</v>
      </c>
    </row>
    <row r="618" spans="1:14" ht="11.1" customHeight="1">
      <c r="A618" s="80" t="s">
        <v>7529</v>
      </c>
      <c r="B618" s="81" t="s">
        <v>6217</v>
      </c>
      <c r="C618" s="82">
        <v>122348</v>
      </c>
      <c r="D618" s="83">
        <v>0.54387041136567715</v>
      </c>
      <c r="E618" s="84" t="s">
        <v>6251</v>
      </c>
      <c r="F618" s="85" t="s">
        <v>7530</v>
      </c>
      <c r="G618" s="85">
        <v>46</v>
      </c>
      <c r="H618" s="85" t="s">
        <v>6049</v>
      </c>
      <c r="I618" s="85" t="s">
        <v>6233</v>
      </c>
      <c r="J618" s="85" t="s">
        <v>6253</v>
      </c>
      <c r="K618" s="85" t="s">
        <v>6053</v>
      </c>
      <c r="L618" s="85" t="s">
        <v>6036</v>
      </c>
      <c r="M618" s="85" t="s">
        <v>6259</v>
      </c>
      <c r="N618" s="86" t="s">
        <v>6213</v>
      </c>
    </row>
    <row r="619" spans="1:14" ht="11.1" customHeight="1">
      <c r="A619" s="31" t="s">
        <v>7531</v>
      </c>
      <c r="B619" s="38" t="s">
        <v>6230</v>
      </c>
      <c r="C619" s="39">
        <v>78691</v>
      </c>
      <c r="D619" s="40">
        <v>0.34980307435165675</v>
      </c>
      <c r="E619" s="41">
        <v>64.317357047111514</v>
      </c>
      <c r="F619" s="42" t="s">
        <v>7532</v>
      </c>
      <c r="G619" s="42">
        <v>36</v>
      </c>
      <c r="H619" s="42" t="s">
        <v>0</v>
      </c>
      <c r="I619" s="42" t="s">
        <v>6233</v>
      </c>
      <c r="J619" s="42" t="s">
        <v>6257</v>
      </c>
      <c r="K619" s="42" t="s">
        <v>6350</v>
      </c>
      <c r="L619" s="42" t="s">
        <v>6209</v>
      </c>
      <c r="M619" s="42">
        <v>1</v>
      </c>
      <c r="N619" s="43" t="s">
        <v>6260</v>
      </c>
    </row>
    <row r="620" spans="1:14" ht="11.1" customHeight="1">
      <c r="A620" s="31" t="s">
        <v>7533</v>
      </c>
      <c r="B620" s="38" t="s">
        <v>6231</v>
      </c>
      <c r="C620" s="39">
        <v>14485</v>
      </c>
      <c r="D620" s="40">
        <v>6.4389797206589675E-2</v>
      </c>
      <c r="E620" s="41" t="s">
        <v>6262</v>
      </c>
      <c r="F620" s="42" t="s">
        <v>7534</v>
      </c>
      <c r="G620" s="42">
        <v>59</v>
      </c>
      <c r="H620" s="42" t="s">
        <v>6049</v>
      </c>
      <c r="I620" s="42" t="s">
        <v>6259</v>
      </c>
      <c r="J620" s="42" t="s">
        <v>6264</v>
      </c>
      <c r="K620" s="42" t="s">
        <v>6259</v>
      </c>
      <c r="L620" s="42" t="s">
        <v>6036</v>
      </c>
      <c r="M620" s="42" t="s">
        <v>6259</v>
      </c>
      <c r="N620" s="43" t="s">
        <v>6259</v>
      </c>
    </row>
    <row r="621" spans="1:14" ht="11.1" customHeight="1">
      <c r="A621" s="31" t="s">
        <v>7535</v>
      </c>
      <c r="B621" s="38" t="s">
        <v>6231</v>
      </c>
      <c r="C621" s="39">
        <v>6082</v>
      </c>
      <c r="D621" s="40">
        <v>2.7036157860578419E-2</v>
      </c>
      <c r="E621" s="41">
        <v>4.9710661392094684</v>
      </c>
      <c r="F621" s="42" t="s">
        <v>7536</v>
      </c>
      <c r="G621" s="42">
        <v>61</v>
      </c>
      <c r="H621" s="42" t="s">
        <v>0</v>
      </c>
      <c r="I621" s="42" t="s">
        <v>6233</v>
      </c>
      <c r="J621" s="42" t="s">
        <v>6278</v>
      </c>
      <c r="K621" s="42" t="s">
        <v>6259</v>
      </c>
      <c r="L621" s="42" t="s">
        <v>6036</v>
      </c>
      <c r="M621" s="42" t="s">
        <v>6259</v>
      </c>
      <c r="N621" s="43" t="s">
        <v>6259</v>
      </c>
    </row>
    <row r="622" spans="1:14" ht="11.1" customHeight="1">
      <c r="A622" s="44" t="s">
        <v>7537</v>
      </c>
      <c r="B622" s="45" t="s">
        <v>6231</v>
      </c>
      <c r="C622" s="46">
        <v>3352</v>
      </c>
      <c r="D622" s="47">
        <v>1.4900559215498004E-2</v>
      </c>
      <c r="E622" s="48" t="s">
        <v>6262</v>
      </c>
      <c r="F622" s="49" t="s">
        <v>7538</v>
      </c>
      <c r="G622" s="49">
        <v>42</v>
      </c>
      <c r="H622" s="49" t="s">
        <v>0</v>
      </c>
      <c r="I622" s="49" t="s">
        <v>6259</v>
      </c>
      <c r="J622" s="49" t="s">
        <v>6267</v>
      </c>
      <c r="K622" s="49" t="s">
        <v>6268</v>
      </c>
      <c r="L622" s="49" t="s">
        <v>6036</v>
      </c>
      <c r="M622" s="49" t="s">
        <v>6259</v>
      </c>
      <c r="N622" s="50" t="s">
        <v>6259</v>
      </c>
    </row>
    <row r="623" spans="1:14" ht="11.1" customHeight="1">
      <c r="A623" s="51" t="s">
        <v>7539</v>
      </c>
      <c r="B623" s="52" t="s">
        <v>6217</v>
      </c>
      <c r="C623" s="53">
        <v>162237</v>
      </c>
      <c r="D623" s="54">
        <v>0.66611511884281704</v>
      </c>
      <c r="E623" s="55" t="s">
        <v>6251</v>
      </c>
      <c r="F623" s="56" t="s">
        <v>7540</v>
      </c>
      <c r="G623" s="56">
        <v>43</v>
      </c>
      <c r="H623" s="56" t="s">
        <v>0</v>
      </c>
      <c r="I623" s="56" t="s">
        <v>6233</v>
      </c>
      <c r="J623" s="56" t="s">
        <v>6253</v>
      </c>
      <c r="K623" s="56" t="s">
        <v>6053</v>
      </c>
      <c r="L623" s="56" t="s">
        <v>6209</v>
      </c>
      <c r="M623" s="56">
        <v>4</v>
      </c>
      <c r="N623" s="57" t="s">
        <v>6213</v>
      </c>
    </row>
    <row r="624" spans="1:14" ht="11.1" customHeight="1">
      <c r="A624" s="31" t="s">
        <v>7541</v>
      </c>
      <c r="B624" s="38" t="s">
        <v>6230</v>
      </c>
      <c r="C624" s="39">
        <v>58225</v>
      </c>
      <c r="D624" s="40">
        <v>0.23906108221073508</v>
      </c>
      <c r="E624" s="41">
        <v>35.888853960563864</v>
      </c>
      <c r="F624" s="42" t="s">
        <v>7542</v>
      </c>
      <c r="G624" s="42">
        <v>47</v>
      </c>
      <c r="H624" s="42" t="s">
        <v>6049</v>
      </c>
      <c r="I624" s="42" t="s">
        <v>6233</v>
      </c>
      <c r="J624" s="42" t="s">
        <v>6257</v>
      </c>
      <c r="K624" s="42" t="s">
        <v>6258</v>
      </c>
      <c r="L624" s="42" t="s">
        <v>6036</v>
      </c>
      <c r="M624" s="42" t="s">
        <v>6259</v>
      </c>
      <c r="N624" s="43" t="s">
        <v>6260</v>
      </c>
    </row>
    <row r="625" spans="1:14" ht="11.1" customHeight="1">
      <c r="A625" s="31" t="s">
        <v>7543</v>
      </c>
      <c r="B625" s="38" t="s">
        <v>6231</v>
      </c>
      <c r="C625" s="39">
        <v>18908</v>
      </c>
      <c r="D625" s="40">
        <v>7.76327512656175E-2</v>
      </c>
      <c r="E625" s="41" t="s">
        <v>6262</v>
      </c>
      <c r="F625" s="42" t="s">
        <v>7544</v>
      </c>
      <c r="G625" s="42">
        <v>53</v>
      </c>
      <c r="H625" s="42" t="s">
        <v>6049</v>
      </c>
      <c r="I625" s="42" t="s">
        <v>6259</v>
      </c>
      <c r="J625" s="42" t="s">
        <v>6264</v>
      </c>
      <c r="K625" s="42" t="s">
        <v>6259</v>
      </c>
      <c r="L625" s="42" t="s">
        <v>6036</v>
      </c>
      <c r="M625" s="42" t="s">
        <v>6259</v>
      </c>
      <c r="N625" s="43" t="s">
        <v>6259</v>
      </c>
    </row>
    <row r="626" spans="1:14" ht="11.1" customHeight="1">
      <c r="A626" s="44" t="s">
        <v>7545</v>
      </c>
      <c r="B626" s="45" t="s">
        <v>6231</v>
      </c>
      <c r="C626" s="46">
        <v>4187</v>
      </c>
      <c r="D626" s="47">
        <v>1.7191047680830358E-2</v>
      </c>
      <c r="E626" s="48" t="s">
        <v>6262</v>
      </c>
      <c r="F626" s="49" t="s">
        <v>7546</v>
      </c>
      <c r="G626" s="49">
        <v>67</v>
      </c>
      <c r="H626" s="49" t="s">
        <v>0</v>
      </c>
      <c r="I626" s="49" t="s">
        <v>6259</v>
      </c>
      <c r="J626" s="49" t="s">
        <v>6267</v>
      </c>
      <c r="K626" s="49" t="s">
        <v>6268</v>
      </c>
      <c r="L626" s="49" t="s">
        <v>6036</v>
      </c>
      <c r="M626" s="49" t="s">
        <v>6259</v>
      </c>
      <c r="N626" s="50" t="s">
        <v>6259</v>
      </c>
    </row>
    <row r="627" spans="1:14" ht="11.1" customHeight="1">
      <c r="A627" s="51" t="s">
        <v>7547</v>
      </c>
      <c r="B627" s="52" t="s">
        <v>6217</v>
      </c>
      <c r="C627" s="53">
        <v>153735</v>
      </c>
      <c r="D627" s="54">
        <v>0.62175694312441609</v>
      </c>
      <c r="E627" s="55" t="s">
        <v>6251</v>
      </c>
      <c r="F627" s="56" t="s">
        <v>7548</v>
      </c>
      <c r="G627" s="56">
        <v>51</v>
      </c>
      <c r="H627" s="56" t="s">
        <v>0</v>
      </c>
      <c r="I627" s="56" t="s">
        <v>6233</v>
      </c>
      <c r="J627" s="56" t="s">
        <v>6253</v>
      </c>
      <c r="K627" s="56" t="s">
        <v>24</v>
      </c>
      <c r="L627" s="56" t="s">
        <v>6209</v>
      </c>
      <c r="M627" s="56">
        <v>4</v>
      </c>
      <c r="N627" s="57" t="s">
        <v>6213</v>
      </c>
    </row>
    <row r="628" spans="1:14" ht="11.1" customHeight="1">
      <c r="A628" s="31" t="s">
        <v>7549</v>
      </c>
      <c r="B628" s="38" t="s">
        <v>6230</v>
      </c>
      <c r="C628" s="39">
        <v>68636</v>
      </c>
      <c r="D628" s="40">
        <v>0.27758746901022813</v>
      </c>
      <c r="E628" s="41">
        <v>44.645656486811724</v>
      </c>
      <c r="F628" s="42" t="s">
        <v>7550</v>
      </c>
      <c r="G628" s="42">
        <v>52</v>
      </c>
      <c r="H628" s="42" t="s">
        <v>0</v>
      </c>
      <c r="I628" s="42" t="s">
        <v>6233</v>
      </c>
      <c r="J628" s="42" t="s">
        <v>6257</v>
      </c>
      <c r="K628" s="42" t="s">
        <v>6273</v>
      </c>
      <c r="L628" s="42" t="s">
        <v>6209</v>
      </c>
      <c r="M628" s="42">
        <v>1</v>
      </c>
      <c r="N628" s="43" t="s">
        <v>6260</v>
      </c>
    </row>
    <row r="629" spans="1:14" ht="11.1" customHeight="1">
      <c r="A629" s="31" t="s">
        <v>7551</v>
      </c>
      <c r="B629" s="38" t="s">
        <v>6231</v>
      </c>
      <c r="C629" s="39">
        <v>21611</v>
      </c>
      <c r="D629" s="40">
        <v>8.7402278582377188E-2</v>
      </c>
      <c r="E629" s="41" t="s">
        <v>6262</v>
      </c>
      <c r="F629" s="42" t="s">
        <v>7552</v>
      </c>
      <c r="G629" s="42">
        <v>36</v>
      </c>
      <c r="H629" s="42" t="s">
        <v>6049</v>
      </c>
      <c r="I629" s="42" t="s">
        <v>6259</v>
      </c>
      <c r="J629" s="42" t="s">
        <v>6264</v>
      </c>
      <c r="K629" s="42" t="s">
        <v>6259</v>
      </c>
      <c r="L629" s="42" t="s">
        <v>6036</v>
      </c>
      <c r="M629" s="42" t="s">
        <v>6259</v>
      </c>
      <c r="N629" s="43" t="s">
        <v>6259</v>
      </c>
    </row>
    <row r="630" spans="1:14" ht="11.1" customHeight="1">
      <c r="A630" s="44" t="s">
        <v>7553</v>
      </c>
      <c r="B630" s="45" t="s">
        <v>6231</v>
      </c>
      <c r="C630" s="46">
        <v>3277</v>
      </c>
      <c r="D630" s="47">
        <v>1.3253309282978578E-2</v>
      </c>
      <c r="E630" s="48" t="s">
        <v>6262</v>
      </c>
      <c r="F630" s="49" t="s">
        <v>7554</v>
      </c>
      <c r="G630" s="49">
        <v>32</v>
      </c>
      <c r="H630" s="49" t="s">
        <v>0</v>
      </c>
      <c r="I630" s="49" t="s">
        <v>6259</v>
      </c>
      <c r="J630" s="49" t="s">
        <v>6267</v>
      </c>
      <c r="K630" s="49" t="s">
        <v>6268</v>
      </c>
      <c r="L630" s="49" t="s">
        <v>6036</v>
      </c>
      <c r="M630" s="49" t="s">
        <v>6259</v>
      </c>
      <c r="N630" s="50" t="s">
        <v>6259</v>
      </c>
    </row>
    <row r="631" spans="1:14" ht="11.1" customHeight="1">
      <c r="A631" s="51" t="s">
        <v>7555</v>
      </c>
      <c r="B631" s="52" t="s">
        <v>6217</v>
      </c>
      <c r="C631" s="53">
        <v>129382</v>
      </c>
      <c r="D631" s="54">
        <v>0.57334674578239042</v>
      </c>
      <c r="E631" s="55" t="s">
        <v>6251</v>
      </c>
      <c r="F631" s="56" t="s">
        <v>7556</v>
      </c>
      <c r="G631" s="56">
        <v>51</v>
      </c>
      <c r="H631" s="56" t="s">
        <v>0</v>
      </c>
      <c r="I631" s="56" t="s">
        <v>6233</v>
      </c>
      <c r="J631" s="56" t="s">
        <v>6253</v>
      </c>
      <c r="K631" s="56" t="s">
        <v>6053</v>
      </c>
      <c r="L631" s="56" t="s">
        <v>6209</v>
      </c>
      <c r="M631" s="56">
        <v>3</v>
      </c>
      <c r="N631" s="57" t="s">
        <v>6213</v>
      </c>
    </row>
    <row r="632" spans="1:14" ht="11.1" customHeight="1">
      <c r="A632" s="31" t="s">
        <v>7557</v>
      </c>
      <c r="B632" s="38" t="s">
        <v>6230</v>
      </c>
      <c r="C632" s="39">
        <v>64367</v>
      </c>
      <c r="D632" s="40">
        <v>0.28523759089962375</v>
      </c>
      <c r="E632" s="41">
        <v>49.74957876675272</v>
      </c>
      <c r="F632" s="42" t="s">
        <v>7558</v>
      </c>
      <c r="G632" s="42">
        <v>59</v>
      </c>
      <c r="H632" s="42" t="s">
        <v>6049</v>
      </c>
      <c r="I632" s="42" t="s">
        <v>6233</v>
      </c>
      <c r="J632" s="42" t="s">
        <v>6257</v>
      </c>
      <c r="K632" s="42" t="s">
        <v>6671</v>
      </c>
      <c r="L632" s="42" t="s">
        <v>6209</v>
      </c>
      <c r="M632" s="42">
        <v>1</v>
      </c>
      <c r="N632" s="43" t="s">
        <v>6260</v>
      </c>
    </row>
    <row r="633" spans="1:14" ht="11.1" customHeight="1">
      <c r="A633" s="31" t="s">
        <v>7559</v>
      </c>
      <c r="B633" s="38"/>
      <c r="C633" s="39">
        <v>28826</v>
      </c>
      <c r="D633" s="40">
        <v>0.12774028299085796</v>
      </c>
      <c r="E633" s="41">
        <v>22.279760708599341</v>
      </c>
      <c r="F633" s="42" t="s">
        <v>7560</v>
      </c>
      <c r="G633" s="42">
        <v>62</v>
      </c>
      <c r="H633" s="42" t="s">
        <v>6049</v>
      </c>
      <c r="I633" s="42" t="s">
        <v>6233</v>
      </c>
      <c r="J633" s="42" t="s">
        <v>6264</v>
      </c>
      <c r="K633" s="42" t="s">
        <v>6259</v>
      </c>
      <c r="L633" s="42" t="s">
        <v>6283</v>
      </c>
      <c r="M633" s="42">
        <v>2</v>
      </c>
      <c r="N633" s="43" t="s">
        <v>6259</v>
      </c>
    </row>
    <row r="634" spans="1:14" ht="11.1" customHeight="1">
      <c r="A634" s="44" t="s">
        <v>7561</v>
      </c>
      <c r="B634" s="45" t="s">
        <v>6231</v>
      </c>
      <c r="C634" s="46">
        <v>3086</v>
      </c>
      <c r="D634" s="47">
        <v>1.367538032712786E-2</v>
      </c>
      <c r="E634" s="48" t="s">
        <v>6262</v>
      </c>
      <c r="F634" s="49" t="s">
        <v>7562</v>
      </c>
      <c r="G634" s="49">
        <v>54</v>
      </c>
      <c r="H634" s="49" t="s">
        <v>0</v>
      </c>
      <c r="I634" s="49" t="s">
        <v>6259</v>
      </c>
      <c r="J634" s="49" t="s">
        <v>6267</v>
      </c>
      <c r="K634" s="49" t="s">
        <v>6268</v>
      </c>
      <c r="L634" s="49" t="s">
        <v>6036</v>
      </c>
      <c r="M634" s="49" t="s">
        <v>6259</v>
      </c>
      <c r="N634" s="50" t="s">
        <v>6259</v>
      </c>
    </row>
    <row r="635" spans="1:14" ht="11.1" customHeight="1">
      <c r="A635" s="51" t="s">
        <v>7563</v>
      </c>
      <c r="B635" s="52" t="s">
        <v>6217</v>
      </c>
      <c r="C635" s="53">
        <v>158235</v>
      </c>
      <c r="D635" s="54">
        <v>0.61994350437429724</v>
      </c>
      <c r="E635" s="55" t="s">
        <v>6251</v>
      </c>
      <c r="F635" s="56" t="s">
        <v>7564</v>
      </c>
      <c r="G635" s="56">
        <v>61</v>
      </c>
      <c r="H635" s="56" t="s">
        <v>0</v>
      </c>
      <c r="I635" s="56" t="s">
        <v>6233</v>
      </c>
      <c r="J635" s="56" t="s">
        <v>6253</v>
      </c>
      <c r="K635" s="56" t="s">
        <v>6254</v>
      </c>
      <c r="L635" s="56" t="s">
        <v>6209</v>
      </c>
      <c r="M635" s="56">
        <v>6</v>
      </c>
      <c r="N635" s="57" t="s">
        <v>6213</v>
      </c>
    </row>
    <row r="636" spans="1:14" ht="11.1" customHeight="1">
      <c r="A636" s="31" t="s">
        <v>7565</v>
      </c>
      <c r="B636" s="38" t="s">
        <v>6230</v>
      </c>
      <c r="C636" s="39">
        <v>88964</v>
      </c>
      <c r="D636" s="40">
        <v>0.34854901837870877</v>
      </c>
      <c r="E636" s="41">
        <v>56.222706733655642</v>
      </c>
      <c r="F636" s="42" t="s">
        <v>7566</v>
      </c>
      <c r="G636" s="42">
        <v>45</v>
      </c>
      <c r="H636" s="42" t="s">
        <v>0</v>
      </c>
      <c r="I636" s="42" t="s">
        <v>6233</v>
      </c>
      <c r="J636" s="42" t="s">
        <v>6257</v>
      </c>
      <c r="K636" s="42" t="s">
        <v>6258</v>
      </c>
      <c r="L636" s="42" t="s">
        <v>6036</v>
      </c>
      <c r="M636" s="42" t="s">
        <v>6259</v>
      </c>
      <c r="N636" s="43" t="s">
        <v>6260</v>
      </c>
    </row>
    <row r="637" spans="1:14" ht="11.1" customHeight="1">
      <c r="A637" s="44" t="s">
        <v>7567</v>
      </c>
      <c r="B637" s="45" t="s">
        <v>6231</v>
      </c>
      <c r="C637" s="46">
        <v>8042</v>
      </c>
      <c r="D637" s="47">
        <v>3.1507477246994015E-2</v>
      </c>
      <c r="E637" s="48" t="s">
        <v>6262</v>
      </c>
      <c r="F637" s="49" t="s">
        <v>7568</v>
      </c>
      <c r="G637" s="49">
        <v>64</v>
      </c>
      <c r="H637" s="49" t="s">
        <v>6049</v>
      </c>
      <c r="I637" s="49" t="s">
        <v>6259</v>
      </c>
      <c r="J637" s="49" t="s">
        <v>6267</v>
      </c>
      <c r="K637" s="49" t="s">
        <v>6268</v>
      </c>
      <c r="L637" s="49" t="s">
        <v>6036</v>
      </c>
      <c r="M637" s="49" t="s">
        <v>6259</v>
      </c>
      <c r="N637" s="50" t="s">
        <v>6259</v>
      </c>
    </row>
    <row r="638" spans="1:14" ht="11.1" customHeight="1">
      <c r="A638" s="51" t="s">
        <v>7569</v>
      </c>
      <c r="B638" s="52" t="s">
        <v>6217</v>
      </c>
      <c r="C638" s="53">
        <v>167697</v>
      </c>
      <c r="D638" s="54">
        <v>0.58862119074194974</v>
      </c>
      <c r="E638" s="55" t="s">
        <v>6251</v>
      </c>
      <c r="F638" s="56" t="s">
        <v>7570</v>
      </c>
      <c r="G638" s="56">
        <v>63</v>
      </c>
      <c r="H638" s="56" t="s">
        <v>0</v>
      </c>
      <c r="I638" s="56" t="s">
        <v>6233</v>
      </c>
      <c r="J638" s="56" t="s">
        <v>6253</v>
      </c>
      <c r="K638" s="56" t="s">
        <v>6053</v>
      </c>
      <c r="L638" s="56" t="s">
        <v>6036</v>
      </c>
      <c r="M638" s="56" t="s">
        <v>6259</v>
      </c>
      <c r="N638" s="57" t="s">
        <v>6213</v>
      </c>
    </row>
    <row r="639" spans="1:14" ht="11.1" customHeight="1">
      <c r="A639" s="31" t="s">
        <v>7571</v>
      </c>
      <c r="B639" s="38" t="s">
        <v>6230</v>
      </c>
      <c r="C639" s="39">
        <v>102252</v>
      </c>
      <c r="D639" s="40">
        <v>0.35890739843733549</v>
      </c>
      <c r="E639" s="41">
        <v>60.974257142346019</v>
      </c>
      <c r="F639" s="42" t="s">
        <v>7572</v>
      </c>
      <c r="G639" s="42">
        <v>36</v>
      </c>
      <c r="H639" s="42" t="s">
        <v>0</v>
      </c>
      <c r="I639" s="42" t="s">
        <v>6233</v>
      </c>
      <c r="J639" s="42" t="s">
        <v>6257</v>
      </c>
      <c r="K639" s="42" t="s">
        <v>6369</v>
      </c>
      <c r="L639" s="42" t="s">
        <v>6209</v>
      </c>
      <c r="M639" s="42">
        <v>1</v>
      </c>
      <c r="N639" s="43" t="s">
        <v>6260</v>
      </c>
    </row>
    <row r="640" spans="1:14" ht="11.1" customHeight="1">
      <c r="A640" s="31" t="s">
        <v>7573</v>
      </c>
      <c r="B640" s="38" t="s">
        <v>6231</v>
      </c>
      <c r="C640" s="39">
        <v>6736</v>
      </c>
      <c r="D640" s="40">
        <v>2.3643549621267964E-2</v>
      </c>
      <c r="E640" s="41" t="s">
        <v>6262</v>
      </c>
      <c r="F640" s="42" t="s">
        <v>7574</v>
      </c>
      <c r="G640" s="42">
        <v>46</v>
      </c>
      <c r="H640" s="42" t="s">
        <v>0</v>
      </c>
      <c r="I640" s="42" t="s">
        <v>6259</v>
      </c>
      <c r="J640" s="42" t="s">
        <v>6322</v>
      </c>
      <c r="K640" s="42" t="s">
        <v>6259</v>
      </c>
      <c r="L640" s="42" t="s">
        <v>6036</v>
      </c>
      <c r="M640" s="42" t="s">
        <v>6259</v>
      </c>
      <c r="N640" s="43" t="s">
        <v>6259</v>
      </c>
    </row>
    <row r="641" spans="1:14" ht="11.1" customHeight="1">
      <c r="A641" s="31" t="s">
        <v>7575</v>
      </c>
      <c r="B641" s="38" t="s">
        <v>6231</v>
      </c>
      <c r="C641" s="39">
        <v>5970</v>
      </c>
      <c r="D641" s="40">
        <v>2.0954868058041826E-2</v>
      </c>
      <c r="E641" s="41" t="s">
        <v>6262</v>
      </c>
      <c r="F641" s="42" t="s">
        <v>7576</v>
      </c>
      <c r="G641" s="42">
        <v>49</v>
      </c>
      <c r="H641" s="42" t="s">
        <v>6049</v>
      </c>
      <c r="I641" s="42" t="s">
        <v>6259</v>
      </c>
      <c r="J641" s="42" t="s">
        <v>6267</v>
      </c>
      <c r="K641" s="42" t="s">
        <v>6268</v>
      </c>
      <c r="L641" s="42" t="s">
        <v>6036</v>
      </c>
      <c r="M641" s="42" t="s">
        <v>6259</v>
      </c>
      <c r="N641" s="43" t="s">
        <v>6259</v>
      </c>
    </row>
    <row r="642" spans="1:14" ht="11.1" customHeight="1">
      <c r="A642" s="44" t="s">
        <v>7577</v>
      </c>
      <c r="B642" s="45" t="s">
        <v>6231</v>
      </c>
      <c r="C642" s="46">
        <v>2243</v>
      </c>
      <c r="D642" s="47">
        <v>7.8729931414049936E-3</v>
      </c>
      <c r="E642" s="48" t="s">
        <v>6262</v>
      </c>
      <c r="F642" s="49" t="s">
        <v>7578</v>
      </c>
      <c r="G642" s="49">
        <v>36</v>
      </c>
      <c r="H642" s="49" t="s">
        <v>0</v>
      </c>
      <c r="I642" s="49" t="s">
        <v>6259</v>
      </c>
      <c r="J642" s="49" t="s">
        <v>6322</v>
      </c>
      <c r="K642" s="49" t="s">
        <v>6259</v>
      </c>
      <c r="L642" s="49" t="s">
        <v>6036</v>
      </c>
      <c r="M642" s="49" t="s">
        <v>6259</v>
      </c>
      <c r="N642" s="50" t="s">
        <v>6259</v>
      </c>
    </row>
    <row r="643" spans="1:14" ht="11.1" customHeight="1">
      <c r="A643" s="51" t="s">
        <v>7579</v>
      </c>
      <c r="B643" s="52" t="s">
        <v>6217</v>
      </c>
      <c r="C643" s="53">
        <v>182028</v>
      </c>
      <c r="D643" s="54">
        <v>0.61115419868857079</v>
      </c>
      <c r="E643" s="55" t="s">
        <v>6251</v>
      </c>
      <c r="F643" s="56" t="s">
        <v>7580</v>
      </c>
      <c r="G643" s="56">
        <v>35</v>
      </c>
      <c r="H643" s="56" t="s">
        <v>6049</v>
      </c>
      <c r="I643" s="56" t="s">
        <v>6233</v>
      </c>
      <c r="J643" s="56" t="s">
        <v>6253</v>
      </c>
      <c r="K643" s="56" t="s">
        <v>6053</v>
      </c>
      <c r="L643" s="56" t="s">
        <v>6036</v>
      </c>
      <c r="M643" s="56" t="s">
        <v>6259</v>
      </c>
      <c r="N643" s="57" t="s">
        <v>6213</v>
      </c>
    </row>
    <row r="644" spans="1:14" ht="11.1" customHeight="1">
      <c r="A644" s="31" t="s">
        <v>7581</v>
      </c>
      <c r="B644" s="38" t="s">
        <v>6230</v>
      </c>
      <c r="C644" s="39">
        <v>108783</v>
      </c>
      <c r="D644" s="40">
        <v>0.36523604717921859</v>
      </c>
      <c r="E644" s="41">
        <v>59.76168501549212</v>
      </c>
      <c r="F644" s="42" t="s">
        <v>7582</v>
      </c>
      <c r="G644" s="42">
        <v>51</v>
      </c>
      <c r="H644" s="42" t="s">
        <v>0</v>
      </c>
      <c r="I644" s="42" t="s">
        <v>6233</v>
      </c>
      <c r="J644" s="42" t="s">
        <v>6257</v>
      </c>
      <c r="K644" s="42" t="s">
        <v>6286</v>
      </c>
      <c r="L644" s="42" t="s">
        <v>6209</v>
      </c>
      <c r="M644" s="42">
        <v>2</v>
      </c>
      <c r="N644" s="43" t="s">
        <v>6260</v>
      </c>
    </row>
    <row r="645" spans="1:14" ht="11.1" customHeight="1">
      <c r="A645" s="44" t="s">
        <v>7583</v>
      </c>
      <c r="B645" s="45" t="s">
        <v>6231</v>
      </c>
      <c r="C645" s="46">
        <v>7032</v>
      </c>
      <c r="D645" s="47">
        <v>2.3609754132210593E-2</v>
      </c>
      <c r="E645" s="48" t="s">
        <v>6262</v>
      </c>
      <c r="F645" s="49" t="s">
        <v>7584</v>
      </c>
      <c r="G645" s="49">
        <v>47</v>
      </c>
      <c r="H645" s="49" t="s">
        <v>6049</v>
      </c>
      <c r="I645" s="49" t="s">
        <v>6259</v>
      </c>
      <c r="J645" s="49" t="s">
        <v>6267</v>
      </c>
      <c r="K645" s="49" t="s">
        <v>6268</v>
      </c>
      <c r="L645" s="49" t="s">
        <v>6036</v>
      </c>
      <c r="M645" s="49" t="s">
        <v>6259</v>
      </c>
      <c r="N645" s="50" t="s">
        <v>6259</v>
      </c>
    </row>
    <row r="646" spans="1:14" ht="11.1" customHeight="1">
      <c r="A646" s="51" t="s">
        <v>7585</v>
      </c>
      <c r="B646" s="52" t="s">
        <v>6217</v>
      </c>
      <c r="C646" s="53">
        <v>172839</v>
      </c>
      <c r="D646" s="54">
        <v>0.60153900768459745</v>
      </c>
      <c r="E646" s="55" t="s">
        <v>6251</v>
      </c>
      <c r="F646" s="56" t="s">
        <v>7586</v>
      </c>
      <c r="G646" s="56">
        <v>48</v>
      </c>
      <c r="H646" s="56" t="s">
        <v>0</v>
      </c>
      <c r="I646" s="56" t="s">
        <v>6233</v>
      </c>
      <c r="J646" s="56" t="s">
        <v>6253</v>
      </c>
      <c r="K646" s="56" t="s">
        <v>6207</v>
      </c>
      <c r="L646" s="56" t="s">
        <v>6209</v>
      </c>
      <c r="M646" s="56">
        <v>3</v>
      </c>
      <c r="N646" s="57" t="s">
        <v>6213</v>
      </c>
    </row>
    <row r="647" spans="1:14" ht="11.1" customHeight="1">
      <c r="A647" s="31" t="s">
        <v>7587</v>
      </c>
      <c r="B647" s="38" t="s">
        <v>6230</v>
      </c>
      <c r="C647" s="39">
        <v>109582</v>
      </c>
      <c r="D647" s="40">
        <v>0.38138294910346365</v>
      </c>
      <c r="E647" s="41">
        <v>63.401199960657024</v>
      </c>
      <c r="F647" s="42" t="s">
        <v>7588</v>
      </c>
      <c r="G647" s="42">
        <v>45</v>
      </c>
      <c r="H647" s="42" t="s">
        <v>0</v>
      </c>
      <c r="I647" s="42" t="s">
        <v>6233</v>
      </c>
      <c r="J647" s="42" t="s">
        <v>6257</v>
      </c>
      <c r="K647" s="42" t="s">
        <v>6671</v>
      </c>
      <c r="L647" s="42" t="s">
        <v>6209</v>
      </c>
      <c r="M647" s="42">
        <v>1</v>
      </c>
      <c r="N647" s="43" t="s">
        <v>6260</v>
      </c>
    </row>
    <row r="648" spans="1:14" ht="11.1" customHeight="1">
      <c r="A648" s="44" t="s">
        <v>7589</v>
      </c>
      <c r="B648" s="45" t="s">
        <v>6231</v>
      </c>
      <c r="C648" s="46">
        <v>4907</v>
      </c>
      <c r="D648" s="47">
        <v>1.7078043211938967E-2</v>
      </c>
      <c r="E648" s="48" t="s">
        <v>6262</v>
      </c>
      <c r="F648" s="49" t="s">
        <v>7590</v>
      </c>
      <c r="G648" s="49">
        <v>43</v>
      </c>
      <c r="H648" s="49" t="s">
        <v>0</v>
      </c>
      <c r="I648" s="49" t="s">
        <v>6259</v>
      </c>
      <c r="J648" s="49" t="s">
        <v>6267</v>
      </c>
      <c r="K648" s="49" t="s">
        <v>6268</v>
      </c>
      <c r="L648" s="49" t="s">
        <v>6036</v>
      </c>
      <c r="M648" s="49" t="s">
        <v>6259</v>
      </c>
      <c r="N648" s="50" t="s">
        <v>6259</v>
      </c>
    </row>
    <row r="649" spans="1:14" ht="11.1" customHeight="1">
      <c r="A649" s="51" t="s">
        <v>7591</v>
      </c>
      <c r="B649" s="52" t="s">
        <v>6217</v>
      </c>
      <c r="C649" s="53">
        <v>180609</v>
      </c>
      <c r="D649" s="54">
        <v>0.62417144160520877</v>
      </c>
      <c r="E649" s="55" t="s">
        <v>6251</v>
      </c>
      <c r="F649" s="56" t="s">
        <v>7592</v>
      </c>
      <c r="G649" s="56">
        <v>38</v>
      </c>
      <c r="H649" s="56" t="s">
        <v>0</v>
      </c>
      <c r="I649" s="56" t="s">
        <v>6233</v>
      </c>
      <c r="J649" s="56" t="s">
        <v>6253</v>
      </c>
      <c r="K649" s="56" t="s">
        <v>6053</v>
      </c>
      <c r="L649" s="56" t="s">
        <v>6209</v>
      </c>
      <c r="M649" s="56">
        <v>2</v>
      </c>
      <c r="N649" s="57" t="s">
        <v>6213</v>
      </c>
    </row>
    <row r="650" spans="1:14" ht="11.1" customHeight="1">
      <c r="A650" s="31" t="s">
        <v>7593</v>
      </c>
      <c r="B650" s="38" t="s">
        <v>6230</v>
      </c>
      <c r="C650" s="39">
        <v>100549</v>
      </c>
      <c r="D650" s="40">
        <v>0.3474899605333186</v>
      </c>
      <c r="E650" s="41" t="s">
        <v>6262</v>
      </c>
      <c r="F650" s="42" t="s">
        <v>7594</v>
      </c>
      <c r="G650" s="42">
        <v>78</v>
      </c>
      <c r="H650" s="42" t="s">
        <v>0</v>
      </c>
      <c r="I650" s="42" t="s">
        <v>6259</v>
      </c>
      <c r="J650" s="42" t="s">
        <v>6257</v>
      </c>
      <c r="K650" s="42" t="s">
        <v>6671</v>
      </c>
      <c r="L650" s="42" t="s">
        <v>6209</v>
      </c>
      <c r="M650" s="42">
        <v>16</v>
      </c>
      <c r="N650" s="43" t="s">
        <v>6260</v>
      </c>
    </row>
    <row r="651" spans="1:14" ht="11.1" customHeight="1">
      <c r="A651" s="44" t="s">
        <v>7595</v>
      </c>
      <c r="B651" s="45" t="s">
        <v>6231</v>
      </c>
      <c r="C651" s="46">
        <v>8200</v>
      </c>
      <c r="D651" s="47">
        <v>2.833859786147264E-2</v>
      </c>
      <c r="E651" s="48" t="s">
        <v>6262</v>
      </c>
      <c r="F651" s="49" t="s">
        <v>7596</v>
      </c>
      <c r="G651" s="49">
        <v>55</v>
      </c>
      <c r="H651" s="49" t="s">
        <v>6049</v>
      </c>
      <c r="I651" s="49" t="s">
        <v>6259</v>
      </c>
      <c r="J651" s="49" t="s">
        <v>6267</v>
      </c>
      <c r="K651" s="49" t="s">
        <v>6268</v>
      </c>
      <c r="L651" s="49" t="s">
        <v>6036</v>
      </c>
      <c r="M651" s="49" t="s">
        <v>6259</v>
      </c>
      <c r="N651" s="50" t="s">
        <v>6259</v>
      </c>
    </row>
    <row r="652" spans="1:14" ht="11.1" customHeight="1">
      <c r="A652" s="51" t="s">
        <v>7597</v>
      </c>
      <c r="B652" s="52" t="s">
        <v>6217</v>
      </c>
      <c r="C652" s="53">
        <v>172401</v>
      </c>
      <c r="D652" s="54">
        <v>0.60711845784354468</v>
      </c>
      <c r="E652" s="55" t="s">
        <v>6251</v>
      </c>
      <c r="F652" s="56" t="s">
        <v>7598</v>
      </c>
      <c r="G652" s="56">
        <v>48</v>
      </c>
      <c r="H652" s="56" t="s">
        <v>0</v>
      </c>
      <c r="I652" s="56" t="s">
        <v>6233</v>
      </c>
      <c r="J652" s="56" t="s">
        <v>6253</v>
      </c>
      <c r="K652" s="56" t="s">
        <v>6053</v>
      </c>
      <c r="L652" s="56" t="s">
        <v>6036</v>
      </c>
      <c r="M652" s="56" t="s">
        <v>6259</v>
      </c>
      <c r="N652" s="57" t="s">
        <v>6213</v>
      </c>
    </row>
    <row r="653" spans="1:14" ht="11.1" customHeight="1">
      <c r="A653" s="31" t="s">
        <v>7599</v>
      </c>
      <c r="B653" s="38" t="s">
        <v>6230</v>
      </c>
      <c r="C653" s="39">
        <v>103704</v>
      </c>
      <c r="D653" s="40">
        <v>0.36519865054267059</v>
      </c>
      <c r="E653" s="41">
        <v>60.152783336523569</v>
      </c>
      <c r="F653" s="42" t="s">
        <v>7600</v>
      </c>
      <c r="G653" s="42">
        <v>65</v>
      </c>
      <c r="H653" s="42" t="s">
        <v>0</v>
      </c>
      <c r="I653" s="42" t="s">
        <v>6233</v>
      </c>
      <c r="J653" s="42" t="s">
        <v>6257</v>
      </c>
      <c r="K653" s="42" t="s">
        <v>6671</v>
      </c>
      <c r="L653" s="42" t="s">
        <v>6209</v>
      </c>
      <c r="M653" s="42">
        <v>4</v>
      </c>
      <c r="N653" s="43" t="s">
        <v>6260</v>
      </c>
    </row>
    <row r="654" spans="1:14" ht="11.1" customHeight="1">
      <c r="A654" s="44" t="s">
        <v>7601</v>
      </c>
      <c r="B654" s="45" t="s">
        <v>6231</v>
      </c>
      <c r="C654" s="46">
        <v>7861</v>
      </c>
      <c r="D654" s="40">
        <v>2.768289161378475E-2</v>
      </c>
      <c r="E654" s="48" t="s">
        <v>6262</v>
      </c>
      <c r="F654" s="49" t="s">
        <v>7602</v>
      </c>
      <c r="G654" s="49">
        <v>36</v>
      </c>
      <c r="H654" s="49" t="s">
        <v>0</v>
      </c>
      <c r="I654" s="49" t="s">
        <v>6259</v>
      </c>
      <c r="J654" s="49" t="s">
        <v>6267</v>
      </c>
      <c r="K654" s="49" t="s">
        <v>6268</v>
      </c>
      <c r="L654" s="49" t="s">
        <v>6036</v>
      </c>
      <c r="M654" s="49" t="s">
        <v>6259</v>
      </c>
      <c r="N654" s="50" t="s">
        <v>6259</v>
      </c>
    </row>
    <row r="655" spans="1:14" ht="11.1" customHeight="1">
      <c r="A655" s="51" t="s">
        <v>7603</v>
      </c>
      <c r="B655" s="52" t="s">
        <v>6217</v>
      </c>
      <c r="C655" s="53">
        <v>177350</v>
      </c>
      <c r="D655" s="54">
        <v>0.64022959459947293</v>
      </c>
      <c r="E655" s="55" t="s">
        <v>6251</v>
      </c>
      <c r="F655" s="56" t="s">
        <v>7604</v>
      </c>
      <c r="G655" s="56">
        <v>44</v>
      </c>
      <c r="H655" s="56" t="s">
        <v>0</v>
      </c>
      <c r="I655" s="56" t="s">
        <v>6233</v>
      </c>
      <c r="J655" s="56" t="s">
        <v>6253</v>
      </c>
      <c r="K655" s="56" t="s">
        <v>6918</v>
      </c>
      <c r="L655" s="56" t="s">
        <v>6209</v>
      </c>
      <c r="M655" s="56">
        <v>2</v>
      </c>
      <c r="N655" s="57" t="s">
        <v>6213</v>
      </c>
    </row>
    <row r="656" spans="1:14" ht="11.1" customHeight="1">
      <c r="A656" s="31" t="s">
        <v>7605</v>
      </c>
      <c r="B656" s="38" t="s">
        <v>6230</v>
      </c>
      <c r="C656" s="39">
        <v>91334</v>
      </c>
      <c r="D656" s="40">
        <v>0.32971372874625465</v>
      </c>
      <c r="E656" s="41">
        <v>51.499295179024529</v>
      </c>
      <c r="F656" s="42" t="s">
        <v>7606</v>
      </c>
      <c r="G656" s="42">
        <v>49</v>
      </c>
      <c r="H656" s="42" t="s">
        <v>0</v>
      </c>
      <c r="I656" s="42" t="s">
        <v>6233</v>
      </c>
      <c r="J656" s="42" t="s">
        <v>6257</v>
      </c>
      <c r="K656" s="42" t="s">
        <v>6402</v>
      </c>
      <c r="L656" s="42" t="s">
        <v>6209</v>
      </c>
      <c r="M656" s="42">
        <v>1</v>
      </c>
      <c r="N656" s="43" t="s">
        <v>6260</v>
      </c>
    </row>
    <row r="657" spans="1:14" ht="11.1" customHeight="1">
      <c r="A657" s="44" t="s">
        <v>7607</v>
      </c>
      <c r="B657" s="45" t="s">
        <v>6231</v>
      </c>
      <c r="C657" s="46">
        <v>8326</v>
      </c>
      <c r="D657" s="47">
        <v>3.0056676654272408E-2</v>
      </c>
      <c r="E657" s="48" t="s">
        <v>6262</v>
      </c>
      <c r="F657" s="49" t="s">
        <v>7608</v>
      </c>
      <c r="G657" s="49">
        <v>35</v>
      </c>
      <c r="H657" s="49" t="s">
        <v>6049</v>
      </c>
      <c r="I657" s="49" t="s">
        <v>6259</v>
      </c>
      <c r="J657" s="49" t="s">
        <v>6267</v>
      </c>
      <c r="K657" s="49" t="s">
        <v>6268</v>
      </c>
      <c r="L657" s="49" t="s">
        <v>6036</v>
      </c>
      <c r="M657" s="49" t="s">
        <v>6259</v>
      </c>
      <c r="N657" s="50" t="s">
        <v>6259</v>
      </c>
    </row>
    <row r="658" spans="1:14" ht="11.1" customHeight="1">
      <c r="A658" s="51" t="s">
        <v>7609</v>
      </c>
      <c r="B658" s="52" t="s">
        <v>6217</v>
      </c>
      <c r="C658" s="53">
        <v>180972</v>
      </c>
      <c r="D658" s="54">
        <v>0.55361403766381556</v>
      </c>
      <c r="E658" s="55" t="s">
        <v>6251</v>
      </c>
      <c r="F658" s="56" t="s">
        <v>7610</v>
      </c>
      <c r="G658" s="56">
        <v>47</v>
      </c>
      <c r="H658" s="56" t="s">
        <v>0</v>
      </c>
      <c r="I658" s="56" t="s">
        <v>6233</v>
      </c>
      <c r="J658" s="56" t="s">
        <v>6253</v>
      </c>
      <c r="K658" s="56" t="s">
        <v>6053</v>
      </c>
      <c r="L658" s="56" t="s">
        <v>6283</v>
      </c>
      <c r="M658" s="56">
        <v>1</v>
      </c>
      <c r="N658" s="57" t="s">
        <v>6213</v>
      </c>
    </row>
    <row r="659" spans="1:14" ht="11.1" customHeight="1">
      <c r="A659" s="31" t="s">
        <v>7611</v>
      </c>
      <c r="B659" s="38" t="s">
        <v>6230</v>
      </c>
      <c r="C659" s="39">
        <v>122198</v>
      </c>
      <c r="D659" s="40">
        <v>0.37381765231330227</v>
      </c>
      <c r="E659" s="41" t="s">
        <v>6262</v>
      </c>
      <c r="F659" s="42" t="s">
        <v>7612</v>
      </c>
      <c r="G659" s="42">
        <v>75</v>
      </c>
      <c r="H659" s="42" t="s">
        <v>0</v>
      </c>
      <c r="I659" s="42" t="s">
        <v>6259</v>
      </c>
      <c r="J659" s="42" t="s">
        <v>6257</v>
      </c>
      <c r="K659" s="42" t="s">
        <v>6286</v>
      </c>
      <c r="L659" s="42" t="s">
        <v>6209</v>
      </c>
      <c r="M659" s="42">
        <v>6</v>
      </c>
      <c r="N659" s="43" t="s">
        <v>6260</v>
      </c>
    </row>
    <row r="660" spans="1:14" ht="11.1" customHeight="1">
      <c r="A660" s="31" t="s">
        <v>6197</v>
      </c>
      <c r="B660" s="38" t="s">
        <v>6231</v>
      </c>
      <c r="C660" s="39">
        <v>20551</v>
      </c>
      <c r="D660" s="40">
        <v>6.2867858497607773E-2</v>
      </c>
      <c r="E660" s="41">
        <v>11.355900360276728</v>
      </c>
      <c r="F660" s="42" t="s">
        <v>7613</v>
      </c>
      <c r="G660" s="42">
        <v>63</v>
      </c>
      <c r="H660" s="42" t="s">
        <v>6049</v>
      </c>
      <c r="I660" s="42" t="s">
        <v>6233</v>
      </c>
      <c r="J660" s="42" t="s">
        <v>6264</v>
      </c>
      <c r="K660" s="42" t="s">
        <v>6259</v>
      </c>
      <c r="L660" s="42" t="s">
        <v>6036</v>
      </c>
      <c r="M660" s="42" t="s">
        <v>6259</v>
      </c>
      <c r="N660" s="43" t="s">
        <v>6259</v>
      </c>
    </row>
    <row r="661" spans="1:14" ht="11.1" customHeight="1">
      <c r="A661" s="44" t="s">
        <v>6198</v>
      </c>
      <c r="B661" s="45" t="s">
        <v>6231</v>
      </c>
      <c r="C661" s="46">
        <v>3171</v>
      </c>
      <c r="D661" s="47">
        <v>9.7004515252744027E-3</v>
      </c>
      <c r="E661" s="48" t="s">
        <v>6262</v>
      </c>
      <c r="F661" s="49" t="s">
        <v>7614</v>
      </c>
      <c r="G661" s="49">
        <v>46</v>
      </c>
      <c r="H661" s="49" t="s">
        <v>0</v>
      </c>
      <c r="I661" s="49" t="s">
        <v>6259</v>
      </c>
      <c r="J661" s="49" t="s">
        <v>6267</v>
      </c>
      <c r="K661" s="49" t="s">
        <v>6268</v>
      </c>
      <c r="L661" s="49" t="s">
        <v>6036</v>
      </c>
      <c r="M661" s="49" t="s">
        <v>6259</v>
      </c>
      <c r="N661" s="50" t="s">
        <v>6259</v>
      </c>
    </row>
    <row r="662" spans="1:14" ht="11.1" customHeight="1">
      <c r="A662" s="51" t="s">
        <v>7615</v>
      </c>
      <c r="B662" s="52" t="s">
        <v>6217</v>
      </c>
      <c r="C662" s="53">
        <v>154779</v>
      </c>
      <c r="D662" s="54">
        <v>0.53794261166951662</v>
      </c>
      <c r="E662" s="55" t="s">
        <v>6251</v>
      </c>
      <c r="F662" s="56" t="s">
        <v>7616</v>
      </c>
      <c r="G662" s="56">
        <v>38</v>
      </c>
      <c r="H662" s="56" t="s">
        <v>0</v>
      </c>
      <c r="I662" s="56" t="s">
        <v>6233</v>
      </c>
      <c r="J662" s="56" t="s">
        <v>6253</v>
      </c>
      <c r="K662" s="56" t="s">
        <v>6053</v>
      </c>
      <c r="L662" s="56" t="s">
        <v>6036</v>
      </c>
      <c r="M662" s="56" t="s">
        <v>6259</v>
      </c>
      <c r="N662" s="57" t="s">
        <v>6213</v>
      </c>
    </row>
    <row r="663" spans="1:14" ht="11.1" customHeight="1">
      <c r="A663" s="31" t="s">
        <v>7617</v>
      </c>
      <c r="B663" s="38" t="s">
        <v>6232</v>
      </c>
      <c r="C663" s="39">
        <v>128995</v>
      </c>
      <c r="D663" s="40">
        <v>0.44832895413660312</v>
      </c>
      <c r="E663" s="58">
        <v>83.341409364319446</v>
      </c>
      <c r="F663" s="59" t="s">
        <v>7618</v>
      </c>
      <c r="G663" s="59">
        <v>49</v>
      </c>
      <c r="H663" s="59" t="s">
        <v>0</v>
      </c>
      <c r="I663" s="59" t="s">
        <v>6233</v>
      </c>
      <c r="J663" s="59" t="s">
        <v>6257</v>
      </c>
      <c r="K663" s="59" t="s">
        <v>6273</v>
      </c>
      <c r="L663" s="59" t="s">
        <v>6209</v>
      </c>
      <c r="M663" s="59">
        <v>4</v>
      </c>
      <c r="N663" s="43" t="s">
        <v>6260</v>
      </c>
    </row>
    <row r="664" spans="1:14" ht="11.1" customHeight="1">
      <c r="A664" s="44" t="s">
        <v>7619</v>
      </c>
      <c r="B664" s="45" t="s">
        <v>6231</v>
      </c>
      <c r="C664" s="46">
        <v>3950</v>
      </c>
      <c r="D664" s="47">
        <v>1.3728434193880246E-2</v>
      </c>
      <c r="E664" s="48" t="s">
        <v>6262</v>
      </c>
      <c r="F664" s="49" t="s">
        <v>7620</v>
      </c>
      <c r="G664" s="49">
        <v>46</v>
      </c>
      <c r="H664" s="49" t="s">
        <v>0</v>
      </c>
      <c r="I664" s="49" t="s">
        <v>6259</v>
      </c>
      <c r="J664" s="49" t="s">
        <v>6267</v>
      </c>
      <c r="K664" s="49" t="s">
        <v>6268</v>
      </c>
      <c r="L664" s="49" t="s">
        <v>6036</v>
      </c>
      <c r="M664" s="49" t="s">
        <v>6259</v>
      </c>
      <c r="N664" s="50" t="s">
        <v>6259</v>
      </c>
    </row>
    <row r="665" spans="1:14" ht="11.1" customHeight="1">
      <c r="A665" s="51" t="s">
        <v>7621</v>
      </c>
      <c r="B665" s="52" t="s">
        <v>6217</v>
      </c>
      <c r="C665" s="53">
        <v>117085</v>
      </c>
      <c r="D665" s="54">
        <v>0.60680580244930116</v>
      </c>
      <c r="E665" s="55" t="s">
        <v>6251</v>
      </c>
      <c r="F665" s="56" t="s">
        <v>7622</v>
      </c>
      <c r="G665" s="56">
        <v>65</v>
      </c>
      <c r="H665" s="56" t="s">
        <v>0</v>
      </c>
      <c r="I665" s="56" t="s">
        <v>6233</v>
      </c>
      <c r="J665" s="56" t="s">
        <v>6253</v>
      </c>
      <c r="K665" s="56" t="s">
        <v>6053</v>
      </c>
      <c r="L665" s="56" t="s">
        <v>6209</v>
      </c>
      <c r="M665" s="56">
        <v>2</v>
      </c>
      <c r="N665" s="57" t="s">
        <v>6213</v>
      </c>
    </row>
    <row r="666" spans="1:14" ht="11.1" customHeight="1">
      <c r="A666" s="31" t="s">
        <v>7623</v>
      </c>
      <c r="B666" s="38" t="s">
        <v>6230</v>
      </c>
      <c r="C666" s="39">
        <v>70564</v>
      </c>
      <c r="D666" s="40">
        <v>0.36570563816058832</v>
      </c>
      <c r="E666" s="41">
        <v>60.267327155485333</v>
      </c>
      <c r="F666" s="42" t="s">
        <v>7624</v>
      </c>
      <c r="G666" s="42">
        <v>58</v>
      </c>
      <c r="H666" s="42" t="s">
        <v>0</v>
      </c>
      <c r="I666" s="42" t="s">
        <v>6233</v>
      </c>
      <c r="J666" s="42" t="s">
        <v>6257</v>
      </c>
      <c r="K666" s="42" t="s">
        <v>6286</v>
      </c>
      <c r="L666" s="42" t="s">
        <v>6209</v>
      </c>
      <c r="M666" s="42">
        <v>1</v>
      </c>
      <c r="N666" s="43" t="s">
        <v>6260</v>
      </c>
    </row>
    <row r="667" spans="1:14" ht="11.1" customHeight="1">
      <c r="A667" s="44" t="s">
        <v>7625</v>
      </c>
      <c r="B667" s="45" t="s">
        <v>6231</v>
      </c>
      <c r="C667" s="46">
        <v>5304</v>
      </c>
      <c r="D667" s="47">
        <v>2.7488559390110544E-2</v>
      </c>
      <c r="E667" s="48" t="s">
        <v>6262</v>
      </c>
      <c r="F667" s="49" t="s">
        <v>7626</v>
      </c>
      <c r="G667" s="49">
        <v>36</v>
      </c>
      <c r="H667" s="49" t="s">
        <v>0</v>
      </c>
      <c r="I667" s="49" t="s">
        <v>6259</v>
      </c>
      <c r="J667" s="49" t="s">
        <v>6267</v>
      </c>
      <c r="K667" s="49" t="s">
        <v>6268</v>
      </c>
      <c r="L667" s="49" t="s">
        <v>6036</v>
      </c>
      <c r="M667" s="49" t="s">
        <v>6259</v>
      </c>
      <c r="N667" s="50" t="s">
        <v>6259</v>
      </c>
    </row>
    <row r="668" spans="1:14" ht="11.1" customHeight="1">
      <c r="A668" s="51" t="s">
        <v>7627</v>
      </c>
      <c r="B668" s="52" t="s">
        <v>6217</v>
      </c>
      <c r="C668" s="53">
        <v>127059</v>
      </c>
      <c r="D668" s="54">
        <v>0.52888801938078067</v>
      </c>
      <c r="E668" s="55" t="s">
        <v>6251</v>
      </c>
      <c r="F668" s="56" t="s">
        <v>7628</v>
      </c>
      <c r="G668" s="56">
        <v>43</v>
      </c>
      <c r="H668" s="56" t="s">
        <v>0</v>
      </c>
      <c r="I668" s="56" t="s">
        <v>6233</v>
      </c>
      <c r="J668" s="56" t="s">
        <v>6253</v>
      </c>
      <c r="K668" s="56" t="s">
        <v>6053</v>
      </c>
      <c r="L668" s="56" t="s">
        <v>6036</v>
      </c>
      <c r="M668" s="56" t="s">
        <v>6259</v>
      </c>
      <c r="N668" s="57" t="s">
        <v>6213</v>
      </c>
    </row>
    <row r="669" spans="1:14" ht="11.1" customHeight="1">
      <c r="A669" s="31" t="s">
        <v>7629</v>
      </c>
      <c r="B669" s="38" t="s">
        <v>6230</v>
      </c>
      <c r="C669" s="39">
        <v>94803</v>
      </c>
      <c r="D669" s="40">
        <v>0.39462116734238545</v>
      </c>
      <c r="E669" s="41">
        <v>74.613368592543623</v>
      </c>
      <c r="F669" s="42" t="s">
        <v>7630</v>
      </c>
      <c r="G669" s="42">
        <v>62</v>
      </c>
      <c r="H669" s="42" t="s">
        <v>0</v>
      </c>
      <c r="I669" s="42" t="s">
        <v>6233</v>
      </c>
      <c r="J669" s="42" t="s">
        <v>6257</v>
      </c>
      <c r="K669" s="42" t="s">
        <v>6286</v>
      </c>
      <c r="L669" s="42" t="s">
        <v>6209</v>
      </c>
      <c r="M669" s="42">
        <v>3</v>
      </c>
      <c r="N669" s="43" t="s">
        <v>6260</v>
      </c>
    </row>
    <row r="670" spans="1:14" ht="11.1" customHeight="1">
      <c r="A670" s="31" t="s">
        <v>7631</v>
      </c>
      <c r="B670" s="38" t="s">
        <v>6231</v>
      </c>
      <c r="C670" s="39">
        <v>14595</v>
      </c>
      <c r="D670" s="40">
        <v>6.0752254014768685E-2</v>
      </c>
      <c r="E670" s="41" t="s">
        <v>6262</v>
      </c>
      <c r="F670" s="42" t="s">
        <v>7632</v>
      </c>
      <c r="G670" s="42">
        <v>38</v>
      </c>
      <c r="H670" s="42" t="s">
        <v>0</v>
      </c>
      <c r="I670" s="42" t="s">
        <v>6259</v>
      </c>
      <c r="J670" s="42" t="s">
        <v>6264</v>
      </c>
      <c r="K670" s="42" t="s">
        <v>6259</v>
      </c>
      <c r="L670" s="42" t="s">
        <v>6036</v>
      </c>
      <c r="M670" s="42" t="s">
        <v>6259</v>
      </c>
      <c r="N670" s="43" t="s">
        <v>6259</v>
      </c>
    </row>
    <row r="671" spans="1:14" ht="11.1" customHeight="1" thickBot="1">
      <c r="A671" s="73" t="s">
        <v>7633</v>
      </c>
      <c r="B671" s="74" t="s">
        <v>6231</v>
      </c>
      <c r="C671" s="75">
        <v>3781</v>
      </c>
      <c r="D671" s="76">
        <v>1.5738559262065119E-2</v>
      </c>
      <c r="E671" s="77" t="s">
        <v>6262</v>
      </c>
      <c r="F671" s="78" t="s">
        <v>7634</v>
      </c>
      <c r="G671" s="78">
        <v>37</v>
      </c>
      <c r="H671" s="78" t="s">
        <v>0</v>
      </c>
      <c r="I671" s="78" t="s">
        <v>6259</v>
      </c>
      <c r="J671" s="78" t="s">
        <v>6267</v>
      </c>
      <c r="K671" s="78" t="s">
        <v>6268</v>
      </c>
      <c r="L671" s="78" t="s">
        <v>6036</v>
      </c>
      <c r="M671" s="78" t="s">
        <v>6259</v>
      </c>
      <c r="N671" s="79" t="s">
        <v>6259</v>
      </c>
    </row>
    <row r="672" spans="1:14" ht="11.1" customHeight="1">
      <c r="A672" s="80" t="s">
        <v>7635</v>
      </c>
      <c r="B672" s="81" t="s">
        <v>6217</v>
      </c>
      <c r="C672" s="82">
        <v>118413</v>
      </c>
      <c r="D672" s="83">
        <v>0.53548317076148744</v>
      </c>
      <c r="E672" s="84" t="s">
        <v>6251</v>
      </c>
      <c r="F672" s="85" t="s">
        <v>7636</v>
      </c>
      <c r="G672" s="85">
        <v>67</v>
      </c>
      <c r="H672" s="85" t="s">
        <v>0</v>
      </c>
      <c r="I672" s="85" t="s">
        <v>6233</v>
      </c>
      <c r="J672" s="85" t="s">
        <v>6253</v>
      </c>
      <c r="K672" s="85" t="s">
        <v>6035</v>
      </c>
      <c r="L672" s="85" t="s">
        <v>6209</v>
      </c>
      <c r="M672" s="85">
        <v>10</v>
      </c>
      <c r="N672" s="86" t="s">
        <v>6213</v>
      </c>
    </row>
    <row r="673" spans="1:14" ht="11.1" customHeight="1">
      <c r="A673" s="31" t="s">
        <v>7637</v>
      </c>
      <c r="B673" s="38" t="s">
        <v>6232</v>
      </c>
      <c r="C673" s="116">
        <v>98380</v>
      </c>
      <c r="D673" s="117">
        <v>0.44489063142995394</v>
      </c>
      <c r="E673" s="58">
        <v>83.082094026838263</v>
      </c>
      <c r="F673" s="59" t="s">
        <v>7638</v>
      </c>
      <c r="G673" s="59">
        <v>61</v>
      </c>
      <c r="H673" s="59" t="s">
        <v>0</v>
      </c>
      <c r="I673" s="59" t="s">
        <v>6233</v>
      </c>
      <c r="J673" s="59" t="s">
        <v>6257</v>
      </c>
      <c r="K673" s="59" t="s">
        <v>6402</v>
      </c>
      <c r="L673" s="59" t="s">
        <v>6209</v>
      </c>
      <c r="M673" s="59">
        <v>8</v>
      </c>
      <c r="N673" s="43" t="s">
        <v>6260</v>
      </c>
    </row>
    <row r="674" spans="1:14" ht="11.1" customHeight="1">
      <c r="A674" s="44" t="s">
        <v>7639</v>
      </c>
      <c r="B674" s="45" t="s">
        <v>6231</v>
      </c>
      <c r="C674" s="46">
        <v>4340</v>
      </c>
      <c r="D674" s="47">
        <v>1.9626197808558649E-2</v>
      </c>
      <c r="E674" s="48" t="s">
        <v>6262</v>
      </c>
      <c r="F674" s="49" t="s">
        <v>7640</v>
      </c>
      <c r="G674" s="49">
        <v>48</v>
      </c>
      <c r="H674" s="49" t="s">
        <v>0</v>
      </c>
      <c r="I674" s="49" t="s">
        <v>6259</v>
      </c>
      <c r="J674" s="49" t="s">
        <v>6267</v>
      </c>
      <c r="K674" s="49" t="s">
        <v>6268</v>
      </c>
      <c r="L674" s="49" t="s">
        <v>6036</v>
      </c>
      <c r="M674" s="49" t="s">
        <v>6259</v>
      </c>
      <c r="N674" s="50" t="s">
        <v>6259</v>
      </c>
    </row>
    <row r="675" spans="1:14" ht="11.1" customHeight="1">
      <c r="A675" s="51" t="s">
        <v>7641</v>
      </c>
      <c r="B675" s="52" t="s">
        <v>6217</v>
      </c>
      <c r="C675" s="53">
        <v>138207</v>
      </c>
      <c r="D675" s="54">
        <v>0.61796109993293091</v>
      </c>
      <c r="E675" s="55" t="s">
        <v>6251</v>
      </c>
      <c r="F675" s="56" t="s">
        <v>7642</v>
      </c>
      <c r="G675" s="56">
        <v>59</v>
      </c>
      <c r="H675" s="56" t="s">
        <v>0</v>
      </c>
      <c r="I675" s="56" t="s">
        <v>6233</v>
      </c>
      <c r="J675" s="56" t="s">
        <v>6253</v>
      </c>
      <c r="K675" s="56" t="s">
        <v>6207</v>
      </c>
      <c r="L675" s="56" t="s">
        <v>6209</v>
      </c>
      <c r="M675" s="56">
        <v>4</v>
      </c>
      <c r="N675" s="57" t="s">
        <v>6213</v>
      </c>
    </row>
    <row r="676" spans="1:14" ht="11.1" customHeight="1">
      <c r="A676" s="31" t="s">
        <v>7643</v>
      </c>
      <c r="B676" s="38" t="s">
        <v>6230</v>
      </c>
      <c r="C676" s="39">
        <v>71626</v>
      </c>
      <c r="D676" s="40">
        <v>0.32025933378046056</v>
      </c>
      <c r="E676" s="41">
        <v>51.825160809510372</v>
      </c>
      <c r="F676" s="42" t="s">
        <v>7644</v>
      </c>
      <c r="G676" s="42">
        <v>35</v>
      </c>
      <c r="H676" s="42" t="s">
        <v>0</v>
      </c>
      <c r="I676" s="42" t="s">
        <v>6233</v>
      </c>
      <c r="J676" s="42" t="s">
        <v>6257</v>
      </c>
      <c r="K676" s="42" t="s">
        <v>6258</v>
      </c>
      <c r="L676" s="42" t="s">
        <v>6036</v>
      </c>
      <c r="M676" s="42" t="s">
        <v>6259</v>
      </c>
      <c r="N676" s="43" t="s">
        <v>6260</v>
      </c>
    </row>
    <row r="677" spans="1:14" ht="11.1" customHeight="1">
      <c r="A677" s="31" t="s">
        <v>7645</v>
      </c>
      <c r="B677" s="38" t="s">
        <v>6231</v>
      </c>
      <c r="C677" s="39">
        <v>11533</v>
      </c>
      <c r="D677" s="40">
        <v>5.156718086295551E-2</v>
      </c>
      <c r="E677" s="41">
        <v>8.344729282887263</v>
      </c>
      <c r="F677" s="42" t="s">
        <v>7646</v>
      </c>
      <c r="G677" s="42">
        <v>35</v>
      </c>
      <c r="H677" s="42" t="s">
        <v>0</v>
      </c>
      <c r="I677" s="42" t="s">
        <v>6233</v>
      </c>
      <c r="J677" s="42" t="s">
        <v>6264</v>
      </c>
      <c r="K677" s="42" t="s">
        <v>6259</v>
      </c>
      <c r="L677" s="42" t="s">
        <v>6036</v>
      </c>
      <c r="M677" s="42" t="s">
        <v>6259</v>
      </c>
      <c r="N677" s="43" t="s">
        <v>6259</v>
      </c>
    </row>
    <row r="678" spans="1:14" ht="11.1" customHeight="1">
      <c r="A678" s="44" t="s">
        <v>7647</v>
      </c>
      <c r="B678" s="45" t="s">
        <v>6231</v>
      </c>
      <c r="C678" s="46">
        <v>2284</v>
      </c>
      <c r="D678" s="47">
        <v>1.0212385423653028E-2</v>
      </c>
      <c r="E678" s="48" t="s">
        <v>6262</v>
      </c>
      <c r="F678" s="49" t="s">
        <v>7648</v>
      </c>
      <c r="G678" s="49">
        <v>50</v>
      </c>
      <c r="H678" s="49" t="s">
        <v>6049</v>
      </c>
      <c r="I678" s="49" t="s">
        <v>6259</v>
      </c>
      <c r="J678" s="49" t="s">
        <v>6267</v>
      </c>
      <c r="K678" s="49" t="s">
        <v>6268</v>
      </c>
      <c r="L678" s="49" t="s">
        <v>6036</v>
      </c>
      <c r="M678" s="49" t="s">
        <v>6259</v>
      </c>
      <c r="N678" s="50" t="s">
        <v>6259</v>
      </c>
    </row>
    <row r="679" spans="1:14" ht="11.1" customHeight="1">
      <c r="A679" s="51" t="s">
        <v>7649</v>
      </c>
      <c r="B679" s="52" t="s">
        <v>6217</v>
      </c>
      <c r="C679" s="53">
        <v>173931</v>
      </c>
      <c r="D679" s="54">
        <v>0.72202895903558439</v>
      </c>
      <c r="E679" s="55" t="s">
        <v>6251</v>
      </c>
      <c r="F679" s="56" t="s">
        <v>7650</v>
      </c>
      <c r="G679" s="56">
        <v>56</v>
      </c>
      <c r="H679" s="56" t="s">
        <v>0</v>
      </c>
      <c r="I679" s="56" t="s">
        <v>6233</v>
      </c>
      <c r="J679" s="56" t="s">
        <v>6253</v>
      </c>
      <c r="K679" s="56" t="s">
        <v>6207</v>
      </c>
      <c r="L679" s="56" t="s">
        <v>6209</v>
      </c>
      <c r="M679" s="56">
        <v>6</v>
      </c>
      <c r="N679" s="57" t="s">
        <v>6213</v>
      </c>
    </row>
    <row r="680" spans="1:14" ht="11.1" customHeight="1">
      <c r="A680" s="31" t="s">
        <v>7651</v>
      </c>
      <c r="B680" s="38" t="s">
        <v>6230</v>
      </c>
      <c r="C680" s="39">
        <v>62993</v>
      </c>
      <c r="D680" s="40">
        <v>0.26149892898062205</v>
      </c>
      <c r="E680" s="41">
        <v>36.217235570427356</v>
      </c>
      <c r="F680" s="42" t="s">
        <v>7652</v>
      </c>
      <c r="G680" s="42">
        <v>60</v>
      </c>
      <c r="H680" s="42" t="s">
        <v>0</v>
      </c>
      <c r="I680" s="42" t="s">
        <v>6233</v>
      </c>
      <c r="J680" s="42" t="s">
        <v>6257</v>
      </c>
      <c r="K680" s="42" t="s">
        <v>6273</v>
      </c>
      <c r="L680" s="42" t="s">
        <v>6209</v>
      </c>
      <c r="M680" s="42">
        <v>2</v>
      </c>
      <c r="N680" s="43" t="s">
        <v>6260</v>
      </c>
    </row>
    <row r="681" spans="1:14" ht="11.1" customHeight="1">
      <c r="A681" s="44" t="s">
        <v>7653</v>
      </c>
      <c r="B681" s="45" t="s">
        <v>6231</v>
      </c>
      <c r="C681" s="46">
        <v>3968</v>
      </c>
      <c r="D681" s="47">
        <v>1.6472111983793569E-2</v>
      </c>
      <c r="E681" s="48" t="s">
        <v>6262</v>
      </c>
      <c r="F681" s="49" t="s">
        <v>7654</v>
      </c>
      <c r="G681" s="49">
        <v>52</v>
      </c>
      <c r="H681" s="49" t="s">
        <v>6049</v>
      </c>
      <c r="I681" s="49" t="s">
        <v>6259</v>
      </c>
      <c r="J681" s="49" t="s">
        <v>6267</v>
      </c>
      <c r="K681" s="49" t="s">
        <v>6268</v>
      </c>
      <c r="L681" s="49" t="s">
        <v>6036</v>
      </c>
      <c r="M681" s="49" t="s">
        <v>6259</v>
      </c>
      <c r="N681" s="50" t="s">
        <v>6259</v>
      </c>
    </row>
    <row r="682" spans="1:14" ht="11.1" customHeight="1">
      <c r="A682" s="51" t="s">
        <v>7655</v>
      </c>
      <c r="B682" s="52" t="s">
        <v>6217</v>
      </c>
      <c r="C682" s="53">
        <v>87824</v>
      </c>
      <c r="D682" s="54">
        <v>0.50350580478715778</v>
      </c>
      <c r="E682" s="55" t="s">
        <v>6251</v>
      </c>
      <c r="F682" s="56" t="s">
        <v>7656</v>
      </c>
      <c r="G682" s="56">
        <v>59</v>
      </c>
      <c r="H682" s="56" t="s">
        <v>0</v>
      </c>
      <c r="I682" s="56" t="s">
        <v>6233</v>
      </c>
      <c r="J682" s="56" t="s">
        <v>6253</v>
      </c>
      <c r="K682" s="56" t="s">
        <v>6053</v>
      </c>
      <c r="L682" s="56" t="s">
        <v>6209</v>
      </c>
      <c r="M682" s="56">
        <v>1</v>
      </c>
      <c r="N682" s="57" t="s">
        <v>6213</v>
      </c>
    </row>
    <row r="683" spans="1:14" ht="11.1" customHeight="1">
      <c r="A683" s="31" t="s">
        <v>7657</v>
      </c>
      <c r="B683" s="38" t="s">
        <v>6232</v>
      </c>
      <c r="C683" s="116">
        <v>84583</v>
      </c>
      <c r="D683" s="117">
        <v>0.48492475275906549</v>
      </c>
      <c r="E683" s="58">
        <v>96.309664784113679</v>
      </c>
      <c r="F683" s="59" t="s">
        <v>7658</v>
      </c>
      <c r="G683" s="59">
        <v>44</v>
      </c>
      <c r="H683" s="59" t="s">
        <v>0</v>
      </c>
      <c r="I683" s="59" t="s">
        <v>6233</v>
      </c>
      <c r="J683" s="59" t="s">
        <v>6257</v>
      </c>
      <c r="K683" s="59" t="s">
        <v>6273</v>
      </c>
      <c r="L683" s="59" t="s">
        <v>6209</v>
      </c>
      <c r="M683" s="59">
        <v>4</v>
      </c>
      <c r="N683" s="43" t="s">
        <v>6260</v>
      </c>
    </row>
    <row r="684" spans="1:14" ht="11.1" customHeight="1">
      <c r="A684" s="44" t="s">
        <v>7659</v>
      </c>
      <c r="B684" s="45" t="s">
        <v>6231</v>
      </c>
      <c r="C684" s="46">
        <v>2018</v>
      </c>
      <c r="D684" s="47">
        <v>1.1569442453776694E-2</v>
      </c>
      <c r="E684" s="48" t="s">
        <v>6262</v>
      </c>
      <c r="F684" s="49" t="s">
        <v>7660</v>
      </c>
      <c r="G684" s="49">
        <v>36</v>
      </c>
      <c r="H684" s="49" t="s">
        <v>0</v>
      </c>
      <c r="I684" s="49" t="s">
        <v>6259</v>
      </c>
      <c r="J684" s="49" t="s">
        <v>6267</v>
      </c>
      <c r="K684" s="49" t="s">
        <v>6268</v>
      </c>
      <c r="L684" s="49" t="s">
        <v>6036</v>
      </c>
      <c r="M684" s="49" t="s">
        <v>6259</v>
      </c>
      <c r="N684" s="50" t="s">
        <v>6259</v>
      </c>
    </row>
    <row r="685" spans="1:14" ht="11.1" customHeight="1">
      <c r="A685" s="51" t="s">
        <v>7661</v>
      </c>
      <c r="B685" s="60" t="s">
        <v>6217</v>
      </c>
      <c r="C685" s="61">
        <v>105188</v>
      </c>
      <c r="D685" s="62">
        <v>0.49901087797033106</v>
      </c>
      <c r="E685" s="63" t="s">
        <v>6262</v>
      </c>
      <c r="F685" s="64" t="s">
        <v>7662</v>
      </c>
      <c r="G685" s="64">
        <v>58</v>
      </c>
      <c r="H685" s="64" t="s">
        <v>0</v>
      </c>
      <c r="I685" s="64" t="s">
        <v>6259</v>
      </c>
      <c r="J685" s="64" t="s">
        <v>6257</v>
      </c>
      <c r="K685" s="64" t="s">
        <v>6402</v>
      </c>
      <c r="L685" s="64" t="s">
        <v>6209</v>
      </c>
      <c r="M685" s="64">
        <v>2</v>
      </c>
      <c r="N685" s="65" t="s">
        <v>6260</v>
      </c>
    </row>
    <row r="686" spans="1:14" ht="11.1" customHeight="1">
      <c r="A686" s="31" t="s">
        <v>7663</v>
      </c>
      <c r="B686" s="38" t="s">
        <v>6232</v>
      </c>
      <c r="C686" s="116">
        <v>102377</v>
      </c>
      <c r="D686" s="117">
        <v>0.48567552053436308</v>
      </c>
      <c r="E686" s="35">
        <v>97.327641936342545</v>
      </c>
      <c r="F686" s="36" t="s">
        <v>7664</v>
      </c>
      <c r="G686" s="36">
        <v>32</v>
      </c>
      <c r="H686" s="36" t="s">
        <v>0</v>
      </c>
      <c r="I686" s="36" t="s">
        <v>6233</v>
      </c>
      <c r="J686" s="36" t="s">
        <v>6253</v>
      </c>
      <c r="K686" s="36" t="s">
        <v>6053</v>
      </c>
      <c r="L686" s="36" t="s">
        <v>6036</v>
      </c>
      <c r="M686" s="36" t="s">
        <v>6259</v>
      </c>
      <c r="N686" s="43" t="s">
        <v>6213</v>
      </c>
    </row>
    <row r="687" spans="1:14" ht="11.1" customHeight="1" thickBot="1">
      <c r="A687" s="66" t="s">
        <v>7665</v>
      </c>
      <c r="B687" s="67" t="s">
        <v>6231</v>
      </c>
      <c r="C687" s="68">
        <v>3228</v>
      </c>
      <c r="D687" s="69">
        <v>1.5313601495305822E-2</v>
      </c>
      <c r="E687" s="70" t="s">
        <v>6262</v>
      </c>
      <c r="F687" s="71" t="s">
        <v>7666</v>
      </c>
      <c r="G687" s="71">
        <v>58</v>
      </c>
      <c r="H687" s="71" t="s">
        <v>0</v>
      </c>
      <c r="I687" s="71" t="s">
        <v>6259</v>
      </c>
      <c r="J687" s="71" t="s">
        <v>6267</v>
      </c>
      <c r="K687" s="71" t="s">
        <v>6268</v>
      </c>
      <c r="L687" s="71" t="s">
        <v>6036</v>
      </c>
      <c r="M687" s="71" t="s">
        <v>6259</v>
      </c>
      <c r="N687" s="72" t="s">
        <v>6259</v>
      </c>
    </row>
    <row r="688" spans="1:14" ht="11.1" customHeight="1" thickTop="1">
      <c r="A688" s="31" t="s">
        <v>7667</v>
      </c>
      <c r="B688" s="32" t="s">
        <v>6217</v>
      </c>
      <c r="C688" s="33">
        <v>112590</v>
      </c>
      <c r="D688" s="34">
        <v>0.51930501040085975</v>
      </c>
      <c r="E688" s="35" t="s">
        <v>6251</v>
      </c>
      <c r="F688" s="36" t="s">
        <v>7668</v>
      </c>
      <c r="G688" s="36">
        <v>64</v>
      </c>
      <c r="H688" s="36" t="s">
        <v>0</v>
      </c>
      <c r="I688" s="36" t="s">
        <v>6233</v>
      </c>
      <c r="J688" s="36" t="s">
        <v>6253</v>
      </c>
      <c r="K688" s="36" t="s">
        <v>6918</v>
      </c>
      <c r="L688" s="36" t="s">
        <v>6209</v>
      </c>
      <c r="M688" s="36">
        <v>7</v>
      </c>
      <c r="N688" s="37" t="s">
        <v>6213</v>
      </c>
    </row>
    <row r="689" spans="1:14" ht="11.1" customHeight="1">
      <c r="A689" s="31" t="s">
        <v>7669</v>
      </c>
      <c r="B689" s="38" t="s">
        <v>6230</v>
      </c>
      <c r="C689" s="39">
        <v>82262</v>
      </c>
      <c r="D689" s="40">
        <v>0.37942151847939892</v>
      </c>
      <c r="E689" s="41">
        <v>73.063327116084906</v>
      </c>
      <c r="F689" s="42" t="s">
        <v>7670</v>
      </c>
      <c r="G689" s="42">
        <v>44</v>
      </c>
      <c r="H689" s="42" t="s">
        <v>0</v>
      </c>
      <c r="I689" s="42" t="s">
        <v>6233</v>
      </c>
      <c r="J689" s="42" t="s">
        <v>6257</v>
      </c>
      <c r="K689" s="42" t="s">
        <v>6350</v>
      </c>
      <c r="L689" s="42" t="s">
        <v>6209</v>
      </c>
      <c r="M689" s="42">
        <v>1</v>
      </c>
      <c r="N689" s="43" t="s">
        <v>6260</v>
      </c>
    </row>
    <row r="690" spans="1:14" ht="11.1" customHeight="1">
      <c r="A690" s="31" t="s">
        <v>7671</v>
      </c>
      <c r="B690" s="38" t="s">
        <v>6231</v>
      </c>
      <c r="C690" s="39">
        <v>19920</v>
      </c>
      <c r="D690" s="40">
        <v>9.1878104691225912E-2</v>
      </c>
      <c r="E690" s="41">
        <v>17.692512656541435</v>
      </c>
      <c r="F690" s="42" t="s">
        <v>7672</v>
      </c>
      <c r="G690" s="42">
        <v>53</v>
      </c>
      <c r="H690" s="42" t="s">
        <v>0</v>
      </c>
      <c r="I690" s="42" t="s">
        <v>6233</v>
      </c>
      <c r="J690" s="42" t="s">
        <v>6264</v>
      </c>
      <c r="K690" s="42" t="s">
        <v>6259</v>
      </c>
      <c r="L690" s="42" t="s">
        <v>6036</v>
      </c>
      <c r="M690" s="42" t="s">
        <v>6259</v>
      </c>
      <c r="N690" s="43" t="s">
        <v>6259</v>
      </c>
    </row>
    <row r="691" spans="1:14" ht="11.1" customHeight="1">
      <c r="A691" s="44" t="s">
        <v>7673</v>
      </c>
      <c r="B691" s="45" t="s">
        <v>6231</v>
      </c>
      <c r="C691" s="46">
        <v>2037</v>
      </c>
      <c r="D691" s="47">
        <v>9.3953664285154215E-3</v>
      </c>
      <c r="E691" s="48" t="s">
        <v>6262</v>
      </c>
      <c r="F691" s="49" t="s">
        <v>7674</v>
      </c>
      <c r="G691" s="49">
        <v>58</v>
      </c>
      <c r="H691" s="49" t="s">
        <v>0</v>
      </c>
      <c r="I691" s="49" t="s">
        <v>6259</v>
      </c>
      <c r="J691" s="49" t="s">
        <v>6267</v>
      </c>
      <c r="K691" s="49" t="s">
        <v>6268</v>
      </c>
      <c r="L691" s="49" t="s">
        <v>6036</v>
      </c>
      <c r="M691" s="49" t="s">
        <v>6259</v>
      </c>
      <c r="N691" s="50" t="s">
        <v>6259</v>
      </c>
    </row>
    <row r="692" spans="1:14" ht="11.1" customHeight="1">
      <c r="A692" s="51" t="s">
        <v>7675</v>
      </c>
      <c r="B692" s="52" t="s">
        <v>6217</v>
      </c>
      <c r="C692" s="53">
        <v>109885</v>
      </c>
      <c r="D692" s="54">
        <v>0.61030608334397862</v>
      </c>
      <c r="E692" s="55" t="s">
        <v>6251</v>
      </c>
      <c r="F692" s="56" t="s">
        <v>7676</v>
      </c>
      <c r="G692" s="56">
        <v>47</v>
      </c>
      <c r="H692" s="56" t="s">
        <v>0</v>
      </c>
      <c r="I692" s="56" t="s">
        <v>6233</v>
      </c>
      <c r="J692" s="56" t="s">
        <v>6253</v>
      </c>
      <c r="K692" s="56" t="s">
        <v>24</v>
      </c>
      <c r="L692" s="56" t="s">
        <v>6209</v>
      </c>
      <c r="M692" s="56">
        <v>2</v>
      </c>
      <c r="N692" s="57" t="s">
        <v>6213</v>
      </c>
    </row>
    <row r="693" spans="1:14" ht="11.1" customHeight="1">
      <c r="A693" s="31" t="s">
        <v>7677</v>
      </c>
      <c r="B693" s="38" t="s">
        <v>6230</v>
      </c>
      <c r="C693" s="39">
        <v>66959</v>
      </c>
      <c r="D693" s="40">
        <v>0.37189320684924659</v>
      </c>
      <c r="E693" s="41">
        <v>60.935523501842837</v>
      </c>
      <c r="F693" s="42" t="s">
        <v>7678</v>
      </c>
      <c r="G693" s="42">
        <v>59</v>
      </c>
      <c r="H693" s="42" t="s">
        <v>0</v>
      </c>
      <c r="I693" s="42" t="s">
        <v>6233</v>
      </c>
      <c r="J693" s="42" t="s">
        <v>6257</v>
      </c>
      <c r="K693" s="42" t="s">
        <v>6402</v>
      </c>
      <c r="L693" s="42" t="s">
        <v>6209</v>
      </c>
      <c r="M693" s="42">
        <v>1</v>
      </c>
      <c r="N693" s="43" t="s">
        <v>6260</v>
      </c>
    </row>
    <row r="694" spans="1:14" ht="11.1" customHeight="1">
      <c r="A694" s="44" t="s">
        <v>7679</v>
      </c>
      <c r="B694" s="45" t="s">
        <v>6231</v>
      </c>
      <c r="C694" s="46">
        <v>3205</v>
      </c>
      <c r="D694" s="47">
        <v>1.7800709806774822E-2</v>
      </c>
      <c r="E694" s="48" t="s">
        <v>6262</v>
      </c>
      <c r="F694" s="49" t="s">
        <v>7680</v>
      </c>
      <c r="G694" s="49">
        <v>49</v>
      </c>
      <c r="H694" s="49" t="s">
        <v>0</v>
      </c>
      <c r="I694" s="49" t="s">
        <v>6259</v>
      </c>
      <c r="J694" s="49" t="s">
        <v>6267</v>
      </c>
      <c r="K694" s="49" t="s">
        <v>6268</v>
      </c>
      <c r="L694" s="49" t="s">
        <v>6036</v>
      </c>
      <c r="M694" s="49" t="s">
        <v>6259</v>
      </c>
      <c r="N694" s="50" t="s">
        <v>6259</v>
      </c>
    </row>
    <row r="695" spans="1:14" ht="11.1" customHeight="1">
      <c r="A695" s="51" t="s">
        <v>7681</v>
      </c>
      <c r="B695" s="52" t="s">
        <v>6217</v>
      </c>
      <c r="C695" s="53">
        <v>103445</v>
      </c>
      <c r="D695" s="54">
        <v>0.60842484163720956</v>
      </c>
      <c r="E695" s="55" t="s">
        <v>6251</v>
      </c>
      <c r="F695" s="56" t="s">
        <v>7682</v>
      </c>
      <c r="G695" s="56">
        <v>38</v>
      </c>
      <c r="H695" s="56" t="s">
        <v>0</v>
      </c>
      <c r="I695" s="56" t="s">
        <v>6233</v>
      </c>
      <c r="J695" s="56" t="s">
        <v>6253</v>
      </c>
      <c r="K695" s="56" t="s">
        <v>6918</v>
      </c>
      <c r="L695" s="56" t="s">
        <v>6209</v>
      </c>
      <c r="M695" s="56">
        <v>2</v>
      </c>
      <c r="N695" s="57" t="s">
        <v>6213</v>
      </c>
    </row>
    <row r="696" spans="1:14" ht="11.1" customHeight="1">
      <c r="A696" s="31" t="s">
        <v>7683</v>
      </c>
      <c r="B696" s="38" t="s">
        <v>6230</v>
      </c>
      <c r="C696" s="39">
        <v>54894</v>
      </c>
      <c r="D696" s="40">
        <v>0.32286599890601747</v>
      </c>
      <c r="E696" s="41">
        <v>53.065880419546616</v>
      </c>
      <c r="F696" s="42" t="s">
        <v>7684</v>
      </c>
      <c r="G696" s="42">
        <v>61</v>
      </c>
      <c r="H696" s="42" t="s">
        <v>0</v>
      </c>
      <c r="I696" s="42" t="s">
        <v>6233</v>
      </c>
      <c r="J696" s="42" t="s">
        <v>6257</v>
      </c>
      <c r="K696" s="42" t="s">
        <v>6311</v>
      </c>
      <c r="L696" s="42" t="s">
        <v>6209</v>
      </c>
      <c r="M696" s="42">
        <v>2</v>
      </c>
      <c r="N696" s="43" t="s">
        <v>6260</v>
      </c>
    </row>
    <row r="697" spans="1:14" ht="11.1" customHeight="1">
      <c r="A697" s="31" t="s">
        <v>7685</v>
      </c>
      <c r="B697" s="38" t="s">
        <v>6231</v>
      </c>
      <c r="C697" s="39">
        <v>9957</v>
      </c>
      <c r="D697" s="40">
        <v>5.8563353938631109E-2</v>
      </c>
      <c r="E697" s="41" t="s">
        <v>6262</v>
      </c>
      <c r="F697" s="42" t="s">
        <v>7686</v>
      </c>
      <c r="G697" s="42">
        <v>54</v>
      </c>
      <c r="H697" s="42" t="s">
        <v>6049</v>
      </c>
      <c r="I697" s="42" t="s">
        <v>6259</v>
      </c>
      <c r="J697" s="42" t="s">
        <v>6264</v>
      </c>
      <c r="K697" s="42" t="s">
        <v>6259</v>
      </c>
      <c r="L697" s="42" t="s">
        <v>6036</v>
      </c>
      <c r="M697" s="42" t="s">
        <v>6259</v>
      </c>
      <c r="N697" s="43" t="s">
        <v>6259</v>
      </c>
    </row>
    <row r="698" spans="1:14" ht="11.1" customHeight="1">
      <c r="A698" s="44" t="s">
        <v>7687</v>
      </c>
      <c r="B698" s="45" t="s">
        <v>6231</v>
      </c>
      <c r="C698" s="46">
        <v>1725</v>
      </c>
      <c r="D698" s="47">
        <v>1.0145805518141877E-2</v>
      </c>
      <c r="E698" s="48" t="s">
        <v>6262</v>
      </c>
      <c r="F698" s="49" t="s">
        <v>7688</v>
      </c>
      <c r="G698" s="49">
        <v>47</v>
      </c>
      <c r="H698" s="49" t="s">
        <v>0</v>
      </c>
      <c r="I698" s="49" t="s">
        <v>6259</v>
      </c>
      <c r="J698" s="49" t="s">
        <v>6267</v>
      </c>
      <c r="K698" s="49" t="s">
        <v>6268</v>
      </c>
      <c r="L698" s="49" t="s">
        <v>6036</v>
      </c>
      <c r="M698" s="49" t="s">
        <v>6259</v>
      </c>
      <c r="N698" s="50" t="s">
        <v>6259</v>
      </c>
    </row>
    <row r="699" spans="1:14" ht="11.1" customHeight="1">
      <c r="A699" s="51" t="s">
        <v>7689</v>
      </c>
      <c r="B699" s="52" t="s">
        <v>6217</v>
      </c>
      <c r="C699" s="53">
        <v>113801</v>
      </c>
      <c r="D699" s="54">
        <v>0.570422499912282</v>
      </c>
      <c r="E699" s="55" t="s">
        <v>6251</v>
      </c>
      <c r="F699" s="56" t="s">
        <v>7690</v>
      </c>
      <c r="G699" s="56">
        <v>65</v>
      </c>
      <c r="H699" s="56" t="s">
        <v>0</v>
      </c>
      <c r="I699" s="56" t="s">
        <v>6233</v>
      </c>
      <c r="J699" s="56" t="s">
        <v>6253</v>
      </c>
      <c r="K699" s="56" t="s">
        <v>24</v>
      </c>
      <c r="L699" s="56" t="s">
        <v>6209</v>
      </c>
      <c r="M699" s="56">
        <v>2</v>
      </c>
      <c r="N699" s="57" t="s">
        <v>6213</v>
      </c>
    </row>
    <row r="700" spans="1:14" ht="11.1" customHeight="1">
      <c r="A700" s="31" t="s">
        <v>7691</v>
      </c>
      <c r="B700" s="38" t="s">
        <v>6230</v>
      </c>
      <c r="C700" s="39">
        <v>61311</v>
      </c>
      <c r="D700" s="40">
        <v>0.30731868693703857</v>
      </c>
      <c r="E700" s="41">
        <v>53.875624994507959</v>
      </c>
      <c r="F700" s="42" t="s">
        <v>7692</v>
      </c>
      <c r="G700" s="42">
        <v>30</v>
      </c>
      <c r="H700" s="42" t="s">
        <v>0</v>
      </c>
      <c r="I700" s="42" t="s">
        <v>6233</v>
      </c>
      <c r="J700" s="42" t="s">
        <v>6257</v>
      </c>
      <c r="K700" s="42" t="s">
        <v>6258</v>
      </c>
      <c r="L700" s="42" t="s">
        <v>6036</v>
      </c>
      <c r="M700" s="42" t="s">
        <v>6259</v>
      </c>
      <c r="N700" s="43" t="s">
        <v>6260</v>
      </c>
    </row>
    <row r="701" spans="1:14" ht="11.1" customHeight="1">
      <c r="A701" s="31" t="s">
        <v>7693</v>
      </c>
      <c r="B701" s="38" t="s">
        <v>6231</v>
      </c>
      <c r="C701" s="39">
        <v>19420</v>
      </c>
      <c r="D701" s="40">
        <v>9.7341894608101137E-2</v>
      </c>
      <c r="E701" s="41" t="s">
        <v>6262</v>
      </c>
      <c r="F701" s="42" t="s">
        <v>7694</v>
      </c>
      <c r="G701" s="42">
        <v>50</v>
      </c>
      <c r="H701" s="42" t="s">
        <v>0</v>
      </c>
      <c r="I701" s="42" t="s">
        <v>6259</v>
      </c>
      <c r="J701" s="42" t="s">
        <v>6264</v>
      </c>
      <c r="K701" s="42" t="s">
        <v>6259</v>
      </c>
      <c r="L701" s="42" t="s">
        <v>6036</v>
      </c>
      <c r="M701" s="42" t="s">
        <v>6259</v>
      </c>
      <c r="N701" s="43" t="s">
        <v>6259</v>
      </c>
    </row>
    <row r="702" spans="1:14" ht="11.1" customHeight="1" thickBot="1">
      <c r="A702" s="73" t="s">
        <v>7695</v>
      </c>
      <c r="B702" s="74" t="s">
        <v>6231</v>
      </c>
      <c r="C702" s="75">
        <v>4971</v>
      </c>
      <c r="D702" s="76">
        <v>2.4916918542578308E-2</v>
      </c>
      <c r="E702" s="77" t="s">
        <v>6262</v>
      </c>
      <c r="F702" s="78" t="s">
        <v>7696</v>
      </c>
      <c r="G702" s="78">
        <v>30</v>
      </c>
      <c r="H702" s="78" t="s">
        <v>0</v>
      </c>
      <c r="I702" s="78" t="s">
        <v>6259</v>
      </c>
      <c r="J702" s="78" t="s">
        <v>6267</v>
      </c>
      <c r="K702" s="78" t="s">
        <v>6268</v>
      </c>
      <c r="L702" s="78" t="s">
        <v>6036</v>
      </c>
      <c r="M702" s="78" t="s">
        <v>6259</v>
      </c>
      <c r="N702" s="79" t="s">
        <v>6259</v>
      </c>
    </row>
    <row r="703" spans="1:14" ht="11.1" customHeight="1">
      <c r="A703" s="80" t="s">
        <v>7697</v>
      </c>
      <c r="B703" s="81" t="s">
        <v>6217</v>
      </c>
      <c r="C703" s="82">
        <v>105818</v>
      </c>
      <c r="D703" s="83">
        <v>0.43030840300595335</v>
      </c>
      <c r="E703" s="84" t="s">
        <v>6251</v>
      </c>
      <c r="F703" s="85" t="s">
        <v>7698</v>
      </c>
      <c r="G703" s="85">
        <v>50</v>
      </c>
      <c r="H703" s="85" t="s">
        <v>0</v>
      </c>
      <c r="I703" s="85" t="s">
        <v>6233</v>
      </c>
      <c r="J703" s="85" t="s">
        <v>6253</v>
      </c>
      <c r="K703" s="85" t="s">
        <v>6053</v>
      </c>
      <c r="L703" s="85" t="s">
        <v>6036</v>
      </c>
      <c r="M703" s="85" t="s">
        <v>6259</v>
      </c>
      <c r="N703" s="86" t="s">
        <v>6213</v>
      </c>
    </row>
    <row r="704" spans="1:14" ht="11.1" customHeight="1">
      <c r="A704" s="31" t="s">
        <v>7699</v>
      </c>
      <c r="B704" s="38" t="s">
        <v>6232</v>
      </c>
      <c r="C704" s="116">
        <v>81913</v>
      </c>
      <c r="D704" s="117">
        <v>0.33309883210254077</v>
      </c>
      <c r="E704" s="58">
        <v>77.409325445576371</v>
      </c>
      <c r="F704" s="59" t="s">
        <v>7700</v>
      </c>
      <c r="G704" s="59">
        <v>71</v>
      </c>
      <c r="H704" s="59" t="s">
        <v>0</v>
      </c>
      <c r="I704" s="59" t="s">
        <v>6233</v>
      </c>
      <c r="J704" s="59" t="s">
        <v>6257</v>
      </c>
      <c r="K704" s="59" t="s">
        <v>6311</v>
      </c>
      <c r="L704" s="59" t="s">
        <v>6209</v>
      </c>
      <c r="M704" s="59">
        <v>8</v>
      </c>
      <c r="N704" s="43" t="s">
        <v>6260</v>
      </c>
    </row>
    <row r="705" spans="1:14" ht="11.1" customHeight="1">
      <c r="A705" s="31" t="s">
        <v>7701</v>
      </c>
      <c r="B705" s="38" t="s">
        <v>6232</v>
      </c>
      <c r="C705" s="116">
        <v>54605</v>
      </c>
      <c r="D705" s="117">
        <v>0.22205097758547773</v>
      </c>
      <c r="E705" s="104">
        <v>51.602751894762704</v>
      </c>
      <c r="F705" s="105" t="s">
        <v>7702</v>
      </c>
      <c r="G705" s="105">
        <v>62</v>
      </c>
      <c r="H705" s="105" t="s">
        <v>0</v>
      </c>
      <c r="I705" s="105" t="s">
        <v>6233</v>
      </c>
      <c r="J705" s="105" t="s">
        <v>6264</v>
      </c>
      <c r="K705" s="105" t="s">
        <v>6259</v>
      </c>
      <c r="L705" s="105" t="s">
        <v>6209</v>
      </c>
      <c r="M705" s="105">
        <v>5</v>
      </c>
      <c r="N705" s="43" t="s">
        <v>6259</v>
      </c>
    </row>
    <row r="706" spans="1:14" ht="11.1" customHeight="1">
      <c r="A706" s="44" t="s">
        <v>7703</v>
      </c>
      <c r="B706" s="45" t="s">
        <v>6231</v>
      </c>
      <c r="C706" s="46">
        <v>3576</v>
      </c>
      <c r="D706" s="47">
        <v>1.4541787306028172E-2</v>
      </c>
      <c r="E706" s="48" t="s">
        <v>6262</v>
      </c>
      <c r="F706" s="49" t="s">
        <v>7704</v>
      </c>
      <c r="G706" s="49">
        <v>53</v>
      </c>
      <c r="H706" s="49" t="s">
        <v>6049</v>
      </c>
      <c r="I706" s="49" t="s">
        <v>6259</v>
      </c>
      <c r="J706" s="49" t="s">
        <v>6267</v>
      </c>
      <c r="K706" s="49" t="s">
        <v>6268</v>
      </c>
      <c r="L706" s="49" t="s">
        <v>6036</v>
      </c>
      <c r="M706" s="49" t="s">
        <v>6259</v>
      </c>
      <c r="N706" s="50" t="s">
        <v>6259</v>
      </c>
    </row>
    <row r="707" spans="1:14" ht="11.1" customHeight="1">
      <c r="A707" s="51" t="s">
        <v>7705</v>
      </c>
      <c r="B707" s="52" t="s">
        <v>6217</v>
      </c>
      <c r="C707" s="53">
        <v>101151</v>
      </c>
      <c r="D707" s="54">
        <v>0.57520855724448539</v>
      </c>
      <c r="E707" s="55" t="s">
        <v>6251</v>
      </c>
      <c r="F707" s="56" t="s">
        <v>7706</v>
      </c>
      <c r="G707" s="56">
        <v>47</v>
      </c>
      <c r="H707" s="56" t="s">
        <v>0</v>
      </c>
      <c r="I707" s="56" t="s">
        <v>6233</v>
      </c>
      <c r="J707" s="56" t="s">
        <v>6253</v>
      </c>
      <c r="K707" s="56" t="s">
        <v>24</v>
      </c>
      <c r="L707" s="56" t="s">
        <v>6209</v>
      </c>
      <c r="M707" s="56">
        <v>5</v>
      </c>
      <c r="N707" s="57" t="s">
        <v>6213</v>
      </c>
    </row>
    <row r="708" spans="1:14" ht="11.1" customHeight="1">
      <c r="A708" s="31" t="s">
        <v>7707</v>
      </c>
      <c r="B708" s="38" t="s">
        <v>6230</v>
      </c>
      <c r="C708" s="39">
        <v>42771</v>
      </c>
      <c r="D708" s="40">
        <v>0.24322295579780609</v>
      </c>
      <c r="E708" s="41">
        <v>42.284307619301835</v>
      </c>
      <c r="F708" s="42" t="s">
        <v>7708</v>
      </c>
      <c r="G708" s="42">
        <v>34</v>
      </c>
      <c r="H708" s="42" t="s">
        <v>0</v>
      </c>
      <c r="I708" s="42" t="s">
        <v>6233</v>
      </c>
      <c r="J708" s="42" t="s">
        <v>6257</v>
      </c>
      <c r="K708" s="42" t="s">
        <v>6311</v>
      </c>
      <c r="L708" s="42" t="s">
        <v>6209</v>
      </c>
      <c r="M708" s="42">
        <v>1</v>
      </c>
      <c r="N708" s="43" t="s">
        <v>6260</v>
      </c>
    </row>
    <row r="709" spans="1:14" ht="11.1" customHeight="1">
      <c r="A709" s="31" t="s">
        <v>7709</v>
      </c>
      <c r="B709" s="38"/>
      <c r="C709" s="39">
        <v>25856</v>
      </c>
      <c r="D709" s="40">
        <v>0.14703356819125282</v>
      </c>
      <c r="E709" s="41">
        <v>25.561783867682969</v>
      </c>
      <c r="F709" s="42" t="s">
        <v>7710</v>
      </c>
      <c r="G709" s="42">
        <v>42</v>
      </c>
      <c r="H709" s="42" t="s">
        <v>0</v>
      </c>
      <c r="I709" s="42" t="s">
        <v>6233</v>
      </c>
      <c r="J709" s="42" t="s">
        <v>6264</v>
      </c>
      <c r="K709" s="42" t="s">
        <v>6259</v>
      </c>
      <c r="L709" s="42" t="s">
        <v>6036</v>
      </c>
      <c r="M709" s="42" t="s">
        <v>6259</v>
      </c>
      <c r="N709" s="43" t="s">
        <v>6259</v>
      </c>
    </row>
    <row r="710" spans="1:14" ht="11.1" customHeight="1">
      <c r="A710" s="31" t="s">
        <v>7711</v>
      </c>
      <c r="B710" s="38" t="s">
        <v>6231</v>
      </c>
      <c r="C710" s="39">
        <v>5028</v>
      </c>
      <c r="D710" s="40">
        <v>2.8592387873824999E-2</v>
      </c>
      <c r="E710" s="41">
        <v>4.970786250259513</v>
      </c>
      <c r="F710" s="42" t="s">
        <v>7712</v>
      </c>
      <c r="G710" s="42">
        <v>60</v>
      </c>
      <c r="H710" s="42" t="s">
        <v>0</v>
      </c>
      <c r="I710" s="42" t="s">
        <v>6233</v>
      </c>
      <c r="J710" s="42" t="s">
        <v>6278</v>
      </c>
      <c r="K710" s="42" t="s">
        <v>6259</v>
      </c>
      <c r="L710" s="42" t="s">
        <v>6036</v>
      </c>
      <c r="M710" s="42" t="s">
        <v>6259</v>
      </c>
      <c r="N710" s="43" t="s">
        <v>6259</v>
      </c>
    </row>
    <row r="711" spans="1:14" ht="11.1" customHeight="1">
      <c r="A711" s="44" t="s">
        <v>7713</v>
      </c>
      <c r="B711" s="45" t="s">
        <v>6231</v>
      </c>
      <c r="C711" s="46">
        <v>1045</v>
      </c>
      <c r="D711" s="47">
        <v>5.942530892630693E-3</v>
      </c>
      <c r="E711" s="48" t="s">
        <v>6262</v>
      </c>
      <c r="F711" s="49" t="s">
        <v>7714</v>
      </c>
      <c r="G711" s="49">
        <v>41</v>
      </c>
      <c r="H711" s="49" t="s">
        <v>0</v>
      </c>
      <c r="I711" s="49" t="s">
        <v>6259</v>
      </c>
      <c r="J711" s="49" t="s">
        <v>6267</v>
      </c>
      <c r="K711" s="49" t="s">
        <v>6268</v>
      </c>
      <c r="L711" s="49" t="s">
        <v>6036</v>
      </c>
      <c r="M711" s="49" t="s">
        <v>6259</v>
      </c>
      <c r="N711" s="50" t="s">
        <v>6259</v>
      </c>
    </row>
    <row r="712" spans="1:14" ht="11.1" customHeight="1">
      <c r="A712" s="51" t="s">
        <v>7715</v>
      </c>
      <c r="B712" s="52" t="s">
        <v>6217</v>
      </c>
      <c r="C712" s="53">
        <v>121834</v>
      </c>
      <c r="D712" s="54">
        <v>0.54584147237504699</v>
      </c>
      <c r="E712" s="55" t="s">
        <v>6251</v>
      </c>
      <c r="F712" s="56" t="s">
        <v>7716</v>
      </c>
      <c r="G712" s="56">
        <v>35</v>
      </c>
      <c r="H712" s="56" t="s">
        <v>0</v>
      </c>
      <c r="I712" s="56" t="s">
        <v>6233</v>
      </c>
      <c r="J712" s="56" t="s">
        <v>6253</v>
      </c>
      <c r="K712" s="56" t="s">
        <v>6053</v>
      </c>
      <c r="L712" s="56" t="s">
        <v>6209</v>
      </c>
      <c r="M712" s="56">
        <v>2</v>
      </c>
      <c r="N712" s="57" t="s">
        <v>6213</v>
      </c>
    </row>
    <row r="713" spans="1:14" ht="11.1" customHeight="1">
      <c r="A713" s="31" t="s">
        <v>7717</v>
      </c>
      <c r="B713" s="38" t="s">
        <v>6230</v>
      </c>
      <c r="C713" s="39">
        <v>68043</v>
      </c>
      <c r="D713" s="40">
        <v>0.30484668733535242</v>
      </c>
      <c r="E713" s="41">
        <v>55.848942003053338</v>
      </c>
      <c r="F713" s="42" t="s">
        <v>7718</v>
      </c>
      <c r="G713" s="42">
        <v>63</v>
      </c>
      <c r="H713" s="42" t="s">
        <v>0</v>
      </c>
      <c r="I713" s="42" t="s">
        <v>6233</v>
      </c>
      <c r="J713" s="42" t="s">
        <v>6257</v>
      </c>
      <c r="K713" s="42" t="s">
        <v>6402</v>
      </c>
      <c r="L713" s="42" t="s">
        <v>6209</v>
      </c>
      <c r="M713" s="42">
        <v>1</v>
      </c>
      <c r="N713" s="43" t="s">
        <v>6260</v>
      </c>
    </row>
    <row r="714" spans="1:14" ht="11.1" customHeight="1">
      <c r="A714" s="31" t="s">
        <v>7719</v>
      </c>
      <c r="B714" s="38"/>
      <c r="C714" s="39">
        <v>30583</v>
      </c>
      <c r="D714" s="40">
        <v>0.13701815379652693</v>
      </c>
      <c r="E714" s="41" t="s">
        <v>6262</v>
      </c>
      <c r="F714" s="42" t="s">
        <v>7720</v>
      </c>
      <c r="G714" s="42">
        <v>59</v>
      </c>
      <c r="H714" s="42" t="s">
        <v>6049</v>
      </c>
      <c r="I714" s="42" t="s">
        <v>6259</v>
      </c>
      <c r="J714" s="42" t="s">
        <v>6264</v>
      </c>
      <c r="K714" s="42" t="s">
        <v>6259</v>
      </c>
      <c r="L714" s="42" t="s">
        <v>6036</v>
      </c>
      <c r="M714" s="42" t="s">
        <v>6259</v>
      </c>
      <c r="N714" s="43" t="s">
        <v>6259</v>
      </c>
    </row>
    <row r="715" spans="1:14" ht="11.1" customHeight="1">
      <c r="A715" s="44" t="s">
        <v>7721</v>
      </c>
      <c r="B715" s="45" t="s">
        <v>6231</v>
      </c>
      <c r="C715" s="46">
        <v>2744</v>
      </c>
      <c r="D715" s="47">
        <v>1.2293686493073601E-2</v>
      </c>
      <c r="E715" s="48" t="s">
        <v>6262</v>
      </c>
      <c r="F715" s="49" t="s">
        <v>7722</v>
      </c>
      <c r="G715" s="49">
        <v>33</v>
      </c>
      <c r="H715" s="49" t="s">
        <v>0</v>
      </c>
      <c r="I715" s="49" t="s">
        <v>6259</v>
      </c>
      <c r="J715" s="49" t="s">
        <v>6267</v>
      </c>
      <c r="K715" s="49" t="s">
        <v>6268</v>
      </c>
      <c r="L715" s="49" t="s">
        <v>6036</v>
      </c>
      <c r="M715" s="49" t="s">
        <v>6259</v>
      </c>
      <c r="N715" s="50" t="s">
        <v>6259</v>
      </c>
    </row>
    <row r="716" spans="1:14" ht="11.1" customHeight="1">
      <c r="A716" s="51" t="s">
        <v>7723</v>
      </c>
      <c r="B716" s="52" t="s">
        <v>6217</v>
      </c>
      <c r="C716" s="53">
        <v>109865</v>
      </c>
      <c r="D716" s="54">
        <v>0.41242628206331389</v>
      </c>
      <c r="E716" s="55" t="s">
        <v>6251</v>
      </c>
      <c r="F716" s="56" t="s">
        <v>7724</v>
      </c>
      <c r="G716" s="56">
        <v>42</v>
      </c>
      <c r="H716" s="56" t="s">
        <v>0</v>
      </c>
      <c r="I716" s="56" t="s">
        <v>6233</v>
      </c>
      <c r="J716" s="56" t="s">
        <v>6253</v>
      </c>
      <c r="K716" s="56" t="s">
        <v>6053</v>
      </c>
      <c r="L716" s="56" t="s">
        <v>6209</v>
      </c>
      <c r="M716" s="56">
        <v>1</v>
      </c>
      <c r="N716" s="57" t="s">
        <v>6259</v>
      </c>
    </row>
    <row r="717" spans="1:14" ht="11.1" customHeight="1">
      <c r="A717" s="31" t="s">
        <v>7725</v>
      </c>
      <c r="B717" s="38" t="s">
        <v>6230</v>
      </c>
      <c r="C717" s="39">
        <v>89257</v>
      </c>
      <c r="D717" s="40">
        <v>0.33506514957561745</v>
      </c>
      <c r="E717" s="41" t="s">
        <v>6262</v>
      </c>
      <c r="F717" s="42" t="s">
        <v>7726</v>
      </c>
      <c r="G717" s="42">
        <v>65</v>
      </c>
      <c r="H717" s="42" t="s">
        <v>0</v>
      </c>
      <c r="I717" s="42" t="s">
        <v>6259</v>
      </c>
      <c r="J717" s="42" t="s">
        <v>6322</v>
      </c>
      <c r="K717" s="42" t="s">
        <v>6323</v>
      </c>
      <c r="L717" s="42" t="s">
        <v>6283</v>
      </c>
      <c r="M717" s="42">
        <v>1</v>
      </c>
      <c r="N717" s="43" t="s">
        <v>6259</v>
      </c>
    </row>
    <row r="718" spans="1:14" ht="11.1" customHeight="1">
      <c r="A718" s="31" t="s">
        <v>7727</v>
      </c>
      <c r="B718" s="38"/>
      <c r="C718" s="39">
        <v>35314</v>
      </c>
      <c r="D718" s="40">
        <v>0.13256652914744338</v>
      </c>
      <c r="E718" s="41">
        <v>32.143084694852774</v>
      </c>
      <c r="F718" s="42" t="s">
        <v>7728</v>
      </c>
      <c r="G718" s="42">
        <v>57</v>
      </c>
      <c r="H718" s="42" t="s">
        <v>0</v>
      </c>
      <c r="I718" s="42" t="s">
        <v>6233</v>
      </c>
      <c r="J718" s="42" t="s">
        <v>6257</v>
      </c>
      <c r="K718" s="42" t="s">
        <v>6258</v>
      </c>
      <c r="L718" s="42" t="s">
        <v>6209</v>
      </c>
      <c r="M718" s="42">
        <v>1</v>
      </c>
      <c r="N718" s="43" t="s">
        <v>6259</v>
      </c>
    </row>
    <row r="719" spans="1:14" ht="11.1" customHeight="1">
      <c r="A719" s="31" t="s">
        <v>7729</v>
      </c>
      <c r="B719" s="38"/>
      <c r="C719" s="39">
        <v>30410</v>
      </c>
      <c r="D719" s="40">
        <v>0.11415722238697834</v>
      </c>
      <c r="E719" s="41" t="s">
        <v>6262</v>
      </c>
      <c r="F719" s="42" t="s">
        <v>7730</v>
      </c>
      <c r="G719" s="42">
        <v>35</v>
      </c>
      <c r="H719" s="42" t="s">
        <v>0</v>
      </c>
      <c r="I719" s="42" t="s">
        <v>6259</v>
      </c>
      <c r="J719" s="42" t="s">
        <v>6264</v>
      </c>
      <c r="K719" s="42" t="s">
        <v>6259</v>
      </c>
      <c r="L719" s="42" t="s">
        <v>6036</v>
      </c>
      <c r="M719" s="42" t="s">
        <v>6259</v>
      </c>
      <c r="N719" s="43" t="s">
        <v>6259</v>
      </c>
    </row>
    <row r="720" spans="1:14" ht="11.1" customHeight="1">
      <c r="A720" s="44" t="s">
        <v>7731</v>
      </c>
      <c r="B720" s="45" t="s">
        <v>6231</v>
      </c>
      <c r="C720" s="46">
        <v>1541</v>
      </c>
      <c r="D720" s="47">
        <v>5.7848168266469461E-3</v>
      </c>
      <c r="E720" s="48" t="s">
        <v>6262</v>
      </c>
      <c r="F720" s="49" t="s">
        <v>7732</v>
      </c>
      <c r="G720" s="49">
        <v>60</v>
      </c>
      <c r="H720" s="49" t="s">
        <v>0</v>
      </c>
      <c r="I720" s="49" t="s">
        <v>6259</v>
      </c>
      <c r="J720" s="49" t="s">
        <v>6267</v>
      </c>
      <c r="K720" s="49" t="s">
        <v>6268</v>
      </c>
      <c r="L720" s="49" t="s">
        <v>6036</v>
      </c>
      <c r="M720" s="49" t="s">
        <v>6259</v>
      </c>
      <c r="N720" s="50" t="s">
        <v>6259</v>
      </c>
    </row>
    <row r="721" spans="1:14" ht="11.1" customHeight="1">
      <c r="A721" s="51" t="s">
        <v>7733</v>
      </c>
      <c r="B721" s="60" t="s">
        <v>6217</v>
      </c>
      <c r="C721" s="61">
        <v>87998</v>
      </c>
      <c r="D721" s="62">
        <v>0.46527785121345105</v>
      </c>
      <c r="E721" s="63" t="s">
        <v>6251</v>
      </c>
      <c r="F721" s="64" t="s">
        <v>7734</v>
      </c>
      <c r="G721" s="64">
        <v>64</v>
      </c>
      <c r="H721" s="64" t="s">
        <v>0</v>
      </c>
      <c r="I721" s="64" t="s">
        <v>6233</v>
      </c>
      <c r="J721" s="64" t="s">
        <v>6257</v>
      </c>
      <c r="K721" s="64" t="s">
        <v>6402</v>
      </c>
      <c r="L721" s="64" t="s">
        <v>6209</v>
      </c>
      <c r="M721" s="64">
        <v>9</v>
      </c>
      <c r="N721" s="65" t="s">
        <v>6260</v>
      </c>
    </row>
    <row r="722" spans="1:14" ht="11.1" customHeight="1">
      <c r="A722" s="31" t="s">
        <v>7735</v>
      </c>
      <c r="B722" s="38" t="s">
        <v>6232</v>
      </c>
      <c r="C722" s="116">
        <v>80966</v>
      </c>
      <c r="D722" s="117">
        <v>0.4280970760852324</v>
      </c>
      <c r="E722" s="35">
        <v>92.008909293393032</v>
      </c>
      <c r="F722" s="36" t="s">
        <v>7736</v>
      </c>
      <c r="G722" s="36">
        <v>35</v>
      </c>
      <c r="H722" s="36" t="s">
        <v>6049</v>
      </c>
      <c r="I722" s="36" t="s">
        <v>6233</v>
      </c>
      <c r="J722" s="36" t="s">
        <v>6253</v>
      </c>
      <c r="K722" s="36" t="s">
        <v>6053</v>
      </c>
      <c r="L722" s="36" t="s">
        <v>6036</v>
      </c>
      <c r="M722" s="36" t="s">
        <v>6259</v>
      </c>
      <c r="N722" s="43" t="s">
        <v>6213</v>
      </c>
    </row>
    <row r="723" spans="1:14" ht="11.1" customHeight="1">
      <c r="A723" s="31" t="s">
        <v>6199</v>
      </c>
      <c r="B723" s="38" t="s">
        <v>6231</v>
      </c>
      <c r="C723" s="39">
        <v>17941</v>
      </c>
      <c r="D723" s="40">
        <v>9.4860677840638716E-2</v>
      </c>
      <c r="E723" s="41" t="s">
        <v>6262</v>
      </c>
      <c r="F723" s="42" t="s">
        <v>7737</v>
      </c>
      <c r="G723" s="42">
        <v>58</v>
      </c>
      <c r="H723" s="42" t="s">
        <v>6049</v>
      </c>
      <c r="I723" s="42" t="s">
        <v>6259</v>
      </c>
      <c r="J723" s="42" t="s">
        <v>6264</v>
      </c>
      <c r="K723" s="42" t="s">
        <v>6259</v>
      </c>
      <c r="L723" s="42" t="s">
        <v>6036</v>
      </c>
      <c r="M723" s="42" t="s">
        <v>6259</v>
      </c>
      <c r="N723" s="43" t="s">
        <v>6259</v>
      </c>
    </row>
    <row r="724" spans="1:14" ht="11.1" customHeight="1">
      <c r="A724" s="44" t="s">
        <v>6200</v>
      </c>
      <c r="B724" s="45" t="s">
        <v>6231</v>
      </c>
      <c r="C724" s="46">
        <v>2225</v>
      </c>
      <c r="D724" s="47">
        <v>1.1764394860677841E-2</v>
      </c>
      <c r="E724" s="48" t="s">
        <v>6262</v>
      </c>
      <c r="F724" s="49" t="s">
        <v>7738</v>
      </c>
      <c r="G724" s="49">
        <v>30</v>
      </c>
      <c r="H724" s="49" t="s">
        <v>0</v>
      </c>
      <c r="I724" s="49" t="s">
        <v>6259</v>
      </c>
      <c r="J724" s="49" t="s">
        <v>6267</v>
      </c>
      <c r="K724" s="49" t="s">
        <v>6268</v>
      </c>
      <c r="L724" s="49" t="s">
        <v>6036</v>
      </c>
      <c r="M724" s="49" t="s">
        <v>6259</v>
      </c>
      <c r="N724" s="50" t="s">
        <v>6259</v>
      </c>
    </row>
    <row r="725" spans="1:14" ht="11.1" customHeight="1">
      <c r="A725" s="51" t="s">
        <v>7739</v>
      </c>
      <c r="B725" s="52" t="s">
        <v>6217</v>
      </c>
      <c r="C725" s="53">
        <v>176022</v>
      </c>
      <c r="D725" s="54">
        <v>0.57387562148504356</v>
      </c>
      <c r="E725" s="55" t="s">
        <v>6251</v>
      </c>
      <c r="F725" s="56" t="s">
        <v>7740</v>
      </c>
      <c r="G725" s="56">
        <v>47</v>
      </c>
      <c r="H725" s="56" t="s">
        <v>0</v>
      </c>
      <c r="I725" s="56" t="s">
        <v>6233</v>
      </c>
      <c r="J725" s="56" t="s">
        <v>6253</v>
      </c>
      <c r="K725" s="56" t="s">
        <v>24</v>
      </c>
      <c r="L725" s="56" t="s">
        <v>6209</v>
      </c>
      <c r="M725" s="56">
        <v>3</v>
      </c>
      <c r="N725" s="57" t="s">
        <v>6213</v>
      </c>
    </row>
    <row r="726" spans="1:14" ht="11.1" customHeight="1">
      <c r="A726" s="31" t="s">
        <v>7741</v>
      </c>
      <c r="B726" s="38" t="s">
        <v>6230</v>
      </c>
      <c r="C726" s="39">
        <v>91944</v>
      </c>
      <c r="D726" s="40">
        <v>0.29976037166843261</v>
      </c>
      <c r="E726" s="41">
        <v>52.234379793434911</v>
      </c>
      <c r="F726" s="42" t="s">
        <v>7742</v>
      </c>
      <c r="G726" s="42">
        <v>46</v>
      </c>
      <c r="H726" s="42" t="s">
        <v>6049</v>
      </c>
      <c r="I726" s="42" t="s">
        <v>6233</v>
      </c>
      <c r="J726" s="42" t="s">
        <v>6257</v>
      </c>
      <c r="K726" s="42" t="s">
        <v>6402</v>
      </c>
      <c r="L726" s="42" t="s">
        <v>6209</v>
      </c>
      <c r="M726" s="42">
        <v>1</v>
      </c>
      <c r="N726" s="43" t="s">
        <v>6260</v>
      </c>
    </row>
    <row r="727" spans="1:14" ht="11.1" customHeight="1">
      <c r="A727" s="31" t="s">
        <v>7743</v>
      </c>
      <c r="B727" s="38"/>
      <c r="C727" s="39">
        <v>32322</v>
      </c>
      <c r="D727" s="40">
        <v>0.10537778140027712</v>
      </c>
      <c r="E727" s="41" t="s">
        <v>6262</v>
      </c>
      <c r="F727" s="42" t="s">
        <v>7744</v>
      </c>
      <c r="G727" s="42">
        <v>53</v>
      </c>
      <c r="H727" s="42" t="s">
        <v>0</v>
      </c>
      <c r="I727" s="42" t="s">
        <v>6259</v>
      </c>
      <c r="J727" s="42" t="s">
        <v>6264</v>
      </c>
      <c r="K727" s="42" t="s">
        <v>6259</v>
      </c>
      <c r="L727" s="42" t="s">
        <v>6036</v>
      </c>
      <c r="M727" s="42" t="s">
        <v>6259</v>
      </c>
      <c r="N727" s="43" t="s">
        <v>6259</v>
      </c>
    </row>
    <row r="728" spans="1:14" ht="11.1" customHeight="1" thickBot="1">
      <c r="A728" s="73" t="s">
        <v>7745</v>
      </c>
      <c r="B728" s="74" t="s">
        <v>6231</v>
      </c>
      <c r="C728" s="75">
        <v>6437</v>
      </c>
      <c r="D728" s="76">
        <v>2.0986225446246638E-2</v>
      </c>
      <c r="E728" s="77" t="s">
        <v>6262</v>
      </c>
      <c r="F728" s="78" t="s">
        <v>7746</v>
      </c>
      <c r="G728" s="78">
        <v>46</v>
      </c>
      <c r="H728" s="78" t="s">
        <v>6049</v>
      </c>
      <c r="I728" s="78" t="s">
        <v>6259</v>
      </c>
      <c r="J728" s="78" t="s">
        <v>6267</v>
      </c>
      <c r="K728" s="78" t="s">
        <v>6268</v>
      </c>
      <c r="L728" s="78" t="s">
        <v>6036</v>
      </c>
      <c r="M728" s="78" t="s">
        <v>6259</v>
      </c>
      <c r="N728" s="79" t="s">
        <v>6259</v>
      </c>
    </row>
    <row r="729" spans="1:14" ht="11.1" customHeight="1">
      <c r="A729" s="80" t="s">
        <v>7747</v>
      </c>
      <c r="B729" s="81" t="s">
        <v>6217</v>
      </c>
      <c r="C729" s="82">
        <v>117313</v>
      </c>
      <c r="D729" s="83">
        <v>0.50781550981537993</v>
      </c>
      <c r="E729" s="84" t="s">
        <v>6251</v>
      </c>
      <c r="F729" s="85" t="s">
        <v>7748</v>
      </c>
      <c r="G729" s="85">
        <v>38</v>
      </c>
      <c r="H729" s="85" t="s">
        <v>0</v>
      </c>
      <c r="I729" s="85" t="s">
        <v>6233</v>
      </c>
      <c r="J729" s="85" t="s">
        <v>6253</v>
      </c>
      <c r="K729" s="85" t="s">
        <v>6053</v>
      </c>
      <c r="L729" s="85" t="s">
        <v>6036</v>
      </c>
      <c r="M729" s="85" t="s">
        <v>6259</v>
      </c>
      <c r="N729" s="86" t="s">
        <v>6213</v>
      </c>
    </row>
    <row r="730" spans="1:14" ht="11.1" customHeight="1">
      <c r="A730" s="31" t="s">
        <v>7749</v>
      </c>
      <c r="B730" s="38" t="s">
        <v>6230</v>
      </c>
      <c r="C730" s="39">
        <v>78335</v>
      </c>
      <c r="D730" s="40">
        <v>0.33909053524662902</v>
      </c>
      <c r="E730" s="41">
        <v>66.774355783246534</v>
      </c>
      <c r="F730" s="42" t="s">
        <v>7750</v>
      </c>
      <c r="G730" s="42">
        <v>72</v>
      </c>
      <c r="H730" s="42" t="s">
        <v>0</v>
      </c>
      <c r="I730" s="42" t="s">
        <v>6233</v>
      </c>
      <c r="J730" s="42" t="s">
        <v>6257</v>
      </c>
      <c r="K730" s="42" t="s">
        <v>6596</v>
      </c>
      <c r="L730" s="42" t="s">
        <v>6209</v>
      </c>
      <c r="M730" s="42">
        <v>9</v>
      </c>
      <c r="N730" s="43" t="s">
        <v>6260</v>
      </c>
    </row>
    <row r="731" spans="1:14" ht="11.1" customHeight="1">
      <c r="A731" s="31" t="s">
        <v>7751</v>
      </c>
      <c r="B731" s="38" t="s">
        <v>6231</v>
      </c>
      <c r="C731" s="39">
        <v>20438</v>
      </c>
      <c r="D731" s="40">
        <v>8.8470445642057874E-2</v>
      </c>
      <c r="E731" s="41" t="s">
        <v>6262</v>
      </c>
      <c r="F731" s="42" t="s">
        <v>7752</v>
      </c>
      <c r="G731" s="42">
        <v>66</v>
      </c>
      <c r="H731" s="42" t="s">
        <v>6049</v>
      </c>
      <c r="I731" s="42" t="s">
        <v>6259</v>
      </c>
      <c r="J731" s="42" t="s">
        <v>6264</v>
      </c>
      <c r="K731" s="42" t="s">
        <v>6259</v>
      </c>
      <c r="L731" s="42" t="s">
        <v>6036</v>
      </c>
      <c r="M731" s="42" t="s">
        <v>6259</v>
      </c>
      <c r="N731" s="43" t="s">
        <v>6259</v>
      </c>
    </row>
    <row r="732" spans="1:14" ht="11.1" customHeight="1">
      <c r="A732" s="31" t="s">
        <v>7753</v>
      </c>
      <c r="B732" s="38" t="s">
        <v>6231</v>
      </c>
      <c r="C732" s="39">
        <v>11374</v>
      </c>
      <c r="D732" s="40">
        <v>4.9234898166785709E-2</v>
      </c>
      <c r="E732" s="41" t="s">
        <v>6262</v>
      </c>
      <c r="F732" s="42" t="s">
        <v>7754</v>
      </c>
      <c r="G732" s="42">
        <v>41</v>
      </c>
      <c r="H732" s="42" t="s">
        <v>6049</v>
      </c>
      <c r="I732" s="42" t="s">
        <v>6259</v>
      </c>
      <c r="J732" s="42" t="s">
        <v>6322</v>
      </c>
      <c r="K732" s="42" t="s">
        <v>6360</v>
      </c>
      <c r="L732" s="42" t="s">
        <v>6036</v>
      </c>
      <c r="M732" s="42" t="s">
        <v>6259</v>
      </c>
      <c r="N732" s="43" t="s">
        <v>6259</v>
      </c>
    </row>
    <row r="733" spans="1:14" ht="11.1" customHeight="1">
      <c r="A733" s="44" t="s">
        <v>7755</v>
      </c>
      <c r="B733" s="45" t="s">
        <v>6231</v>
      </c>
      <c r="C733" s="46">
        <v>3555</v>
      </c>
      <c r="D733" s="47">
        <v>1.5388611129147458E-2</v>
      </c>
      <c r="E733" s="48" t="s">
        <v>6262</v>
      </c>
      <c r="F733" s="49" t="s">
        <v>7756</v>
      </c>
      <c r="G733" s="49">
        <v>42</v>
      </c>
      <c r="H733" s="49" t="s">
        <v>6049</v>
      </c>
      <c r="I733" s="49" t="s">
        <v>6259</v>
      </c>
      <c r="J733" s="49" t="s">
        <v>6267</v>
      </c>
      <c r="K733" s="49" t="s">
        <v>6268</v>
      </c>
      <c r="L733" s="49" t="s">
        <v>6036</v>
      </c>
      <c r="M733" s="49" t="s">
        <v>6259</v>
      </c>
      <c r="N733" s="50" t="s">
        <v>6259</v>
      </c>
    </row>
    <row r="734" spans="1:14" ht="11.1" customHeight="1">
      <c r="A734" s="51" t="s">
        <v>7757</v>
      </c>
      <c r="B734" s="52" t="s">
        <v>6217</v>
      </c>
      <c r="C734" s="53">
        <v>91952</v>
      </c>
      <c r="D734" s="54">
        <v>0.40123750387265406</v>
      </c>
      <c r="E734" s="55" t="s">
        <v>6251</v>
      </c>
      <c r="F734" s="56" t="s">
        <v>7758</v>
      </c>
      <c r="G734" s="56">
        <v>41</v>
      </c>
      <c r="H734" s="56" t="s">
        <v>0</v>
      </c>
      <c r="I734" s="56" t="s">
        <v>6233</v>
      </c>
      <c r="J734" s="56" t="s">
        <v>6253</v>
      </c>
      <c r="K734" s="56" t="s">
        <v>6053</v>
      </c>
      <c r="L734" s="56" t="s">
        <v>6036</v>
      </c>
      <c r="M734" s="56" t="s">
        <v>6259</v>
      </c>
      <c r="N734" s="57" t="s">
        <v>6259</v>
      </c>
    </row>
    <row r="735" spans="1:14" ht="11.1" customHeight="1">
      <c r="A735" s="31" t="s">
        <v>7759</v>
      </c>
      <c r="B735" s="38" t="s">
        <v>6230</v>
      </c>
      <c r="C735" s="39">
        <v>72888</v>
      </c>
      <c r="D735" s="40">
        <v>0.31805071322287726</v>
      </c>
      <c r="E735" s="41" t="s">
        <v>6262</v>
      </c>
      <c r="F735" s="42" t="s">
        <v>7760</v>
      </c>
      <c r="G735" s="42">
        <v>58</v>
      </c>
      <c r="H735" s="42" t="s">
        <v>0</v>
      </c>
      <c r="I735" s="42" t="s">
        <v>6259</v>
      </c>
      <c r="J735" s="42" t="s">
        <v>6322</v>
      </c>
      <c r="K735" s="42" t="s">
        <v>6323</v>
      </c>
      <c r="L735" s="42" t="s">
        <v>6283</v>
      </c>
      <c r="M735" s="42">
        <v>2</v>
      </c>
      <c r="N735" s="43" t="s">
        <v>6259</v>
      </c>
    </row>
    <row r="736" spans="1:14" ht="11.1" customHeight="1">
      <c r="A736" s="31" t="s">
        <v>7761</v>
      </c>
      <c r="B736" s="38"/>
      <c r="C736" s="39">
        <v>35417</v>
      </c>
      <c r="D736" s="40">
        <v>0.15454398680461315</v>
      </c>
      <c r="E736" s="41">
        <v>38.516834870367148</v>
      </c>
      <c r="F736" s="42" t="s">
        <v>7762</v>
      </c>
      <c r="G736" s="42">
        <v>39</v>
      </c>
      <c r="H736" s="42" t="s">
        <v>6049</v>
      </c>
      <c r="I736" s="42" t="s">
        <v>6233</v>
      </c>
      <c r="J736" s="42" t="s">
        <v>6257</v>
      </c>
      <c r="K736" s="42" t="s">
        <v>6671</v>
      </c>
      <c r="L736" s="42" t="s">
        <v>6209</v>
      </c>
      <c r="M736" s="42">
        <v>1</v>
      </c>
      <c r="N736" s="43" t="s">
        <v>6259</v>
      </c>
    </row>
    <row r="737" spans="1:14" ht="11.1" customHeight="1">
      <c r="A737" s="31" t="s">
        <v>7763</v>
      </c>
      <c r="B737" s="38"/>
      <c r="C737" s="39">
        <v>23629</v>
      </c>
      <c r="D737" s="40">
        <v>0.10310641398780823</v>
      </c>
      <c r="E737" s="41" t="s">
        <v>6262</v>
      </c>
      <c r="F737" s="42" t="s">
        <v>7764</v>
      </c>
      <c r="G737" s="42">
        <v>64</v>
      </c>
      <c r="H737" s="42" t="s">
        <v>0</v>
      </c>
      <c r="I737" s="42" t="s">
        <v>6259</v>
      </c>
      <c r="J737" s="42" t="s">
        <v>6264</v>
      </c>
      <c r="K737" s="42" t="s">
        <v>6259</v>
      </c>
      <c r="L737" s="42" t="s">
        <v>6036</v>
      </c>
      <c r="M737" s="42" t="s">
        <v>6259</v>
      </c>
      <c r="N737" s="43" t="s">
        <v>6259</v>
      </c>
    </row>
    <row r="738" spans="1:14" ht="11.1" customHeight="1">
      <c r="A738" s="44" t="s">
        <v>7765</v>
      </c>
      <c r="B738" s="45" t="s">
        <v>6231</v>
      </c>
      <c r="C738" s="46">
        <v>5285</v>
      </c>
      <c r="D738" s="47">
        <v>2.3061382112047335E-2</v>
      </c>
      <c r="E738" s="48" t="s">
        <v>6262</v>
      </c>
      <c r="F738" s="49" t="s">
        <v>7766</v>
      </c>
      <c r="G738" s="49">
        <v>38</v>
      </c>
      <c r="H738" s="49" t="s">
        <v>6049</v>
      </c>
      <c r="I738" s="49" t="s">
        <v>6259</v>
      </c>
      <c r="J738" s="49" t="s">
        <v>6267</v>
      </c>
      <c r="K738" s="49" t="s">
        <v>6268</v>
      </c>
      <c r="L738" s="49" t="s">
        <v>6036</v>
      </c>
      <c r="M738" s="49" t="s">
        <v>6259</v>
      </c>
      <c r="N738" s="50" t="s">
        <v>6259</v>
      </c>
    </row>
    <row r="739" spans="1:14" ht="11.1" customHeight="1">
      <c r="A739" s="51" t="s">
        <v>7767</v>
      </c>
      <c r="B739" s="52" t="s">
        <v>6217</v>
      </c>
      <c r="C739" s="53">
        <v>109518</v>
      </c>
      <c r="D739" s="54">
        <v>0.44674055370407384</v>
      </c>
      <c r="E739" s="55" t="s">
        <v>6251</v>
      </c>
      <c r="F739" s="56" t="s">
        <v>7768</v>
      </c>
      <c r="G739" s="56">
        <v>40</v>
      </c>
      <c r="H739" s="56" t="s">
        <v>0</v>
      </c>
      <c r="I739" s="56" t="s">
        <v>6233</v>
      </c>
      <c r="J739" s="56" t="s">
        <v>6253</v>
      </c>
      <c r="K739" s="56" t="s">
        <v>6053</v>
      </c>
      <c r="L739" s="56" t="s">
        <v>6036</v>
      </c>
      <c r="M739" s="56" t="s">
        <v>6259</v>
      </c>
      <c r="N739" s="57" t="s">
        <v>6213</v>
      </c>
    </row>
    <row r="740" spans="1:14" ht="11.1" customHeight="1">
      <c r="A740" s="31" t="s">
        <v>7769</v>
      </c>
      <c r="B740" s="38" t="s">
        <v>6230</v>
      </c>
      <c r="C740" s="39">
        <v>97121</v>
      </c>
      <c r="D740" s="40">
        <v>0.39617130806162781</v>
      </c>
      <c r="E740" s="41" t="s">
        <v>6262</v>
      </c>
      <c r="F740" s="42" t="s">
        <v>7770</v>
      </c>
      <c r="G740" s="42">
        <v>69</v>
      </c>
      <c r="H740" s="42" t="s">
        <v>0</v>
      </c>
      <c r="I740" s="42" t="s">
        <v>6259</v>
      </c>
      <c r="J740" s="42" t="s">
        <v>6929</v>
      </c>
      <c r="K740" s="42" t="s">
        <v>6259</v>
      </c>
      <c r="L740" s="42" t="s">
        <v>6209</v>
      </c>
      <c r="M740" s="42">
        <v>5</v>
      </c>
      <c r="N740" s="43" t="s">
        <v>6930</v>
      </c>
    </row>
    <row r="741" spans="1:14" ht="11.1" customHeight="1">
      <c r="A741" s="31" t="s">
        <v>7771</v>
      </c>
      <c r="B741" s="38"/>
      <c r="C741" s="39">
        <v>32432</v>
      </c>
      <c r="D741" s="40">
        <v>0.13229505321253604</v>
      </c>
      <c r="E741" s="41" t="s">
        <v>6262</v>
      </c>
      <c r="F741" s="42" t="s">
        <v>7772</v>
      </c>
      <c r="G741" s="42">
        <v>63</v>
      </c>
      <c r="H741" s="42" t="s">
        <v>6049</v>
      </c>
      <c r="I741" s="42" t="s">
        <v>6259</v>
      </c>
      <c r="J741" s="42" t="s">
        <v>6264</v>
      </c>
      <c r="K741" s="42" t="s">
        <v>6259</v>
      </c>
      <c r="L741" s="42" t="s">
        <v>6036</v>
      </c>
      <c r="M741" s="42" t="s">
        <v>6259</v>
      </c>
      <c r="N741" s="43" t="s">
        <v>6259</v>
      </c>
    </row>
    <row r="742" spans="1:14" ht="11.1" customHeight="1">
      <c r="A742" s="44" t="s">
        <v>7773</v>
      </c>
      <c r="B742" s="45" t="s">
        <v>6231</v>
      </c>
      <c r="C742" s="46">
        <v>6078</v>
      </c>
      <c r="D742" s="47">
        <v>2.4793085021762275E-2</v>
      </c>
      <c r="E742" s="48" t="s">
        <v>6262</v>
      </c>
      <c r="F742" s="49" t="s">
        <v>7774</v>
      </c>
      <c r="G742" s="49">
        <v>42</v>
      </c>
      <c r="H742" s="49" t="s">
        <v>0</v>
      </c>
      <c r="I742" s="49" t="s">
        <v>6259</v>
      </c>
      <c r="J742" s="49" t="s">
        <v>6267</v>
      </c>
      <c r="K742" s="49" t="s">
        <v>6268</v>
      </c>
      <c r="L742" s="49" t="s">
        <v>6036</v>
      </c>
      <c r="M742" s="49" t="s">
        <v>6259</v>
      </c>
      <c r="N742" s="50" t="s">
        <v>6259</v>
      </c>
    </row>
    <row r="743" spans="1:14" ht="11.1" customHeight="1">
      <c r="A743" s="51" t="s">
        <v>7775</v>
      </c>
      <c r="B743" s="52" t="s">
        <v>6217</v>
      </c>
      <c r="C743" s="53">
        <v>135411</v>
      </c>
      <c r="D743" s="54">
        <v>0.50805162645856006</v>
      </c>
      <c r="E743" s="55" t="s">
        <v>6251</v>
      </c>
      <c r="F743" s="56" t="s">
        <v>7776</v>
      </c>
      <c r="G743" s="56">
        <v>47</v>
      </c>
      <c r="H743" s="56" t="s">
        <v>0</v>
      </c>
      <c r="I743" s="56" t="s">
        <v>6233</v>
      </c>
      <c r="J743" s="56" t="s">
        <v>6253</v>
      </c>
      <c r="K743" s="56" t="s">
        <v>6918</v>
      </c>
      <c r="L743" s="56" t="s">
        <v>6283</v>
      </c>
      <c r="M743" s="56">
        <v>3</v>
      </c>
      <c r="N743" s="57" t="s">
        <v>6213</v>
      </c>
    </row>
    <row r="744" spans="1:14" ht="11.1" customHeight="1">
      <c r="A744" s="31" t="s">
        <v>7777</v>
      </c>
      <c r="B744" s="38" t="s">
        <v>6230</v>
      </c>
      <c r="C744" s="39">
        <v>98576</v>
      </c>
      <c r="D744" s="40">
        <v>0.36984954789329533</v>
      </c>
      <c r="E744" s="41">
        <v>72.79763091624757</v>
      </c>
      <c r="F744" s="42" t="s">
        <v>7778</v>
      </c>
      <c r="G744" s="42">
        <v>38</v>
      </c>
      <c r="H744" s="42" t="s">
        <v>0</v>
      </c>
      <c r="I744" s="42" t="s">
        <v>6233</v>
      </c>
      <c r="J744" s="42" t="s">
        <v>6257</v>
      </c>
      <c r="K744" s="42" t="s">
        <v>6286</v>
      </c>
      <c r="L744" s="42" t="s">
        <v>6209</v>
      </c>
      <c r="M744" s="42">
        <v>2</v>
      </c>
      <c r="N744" s="43" t="s">
        <v>6260</v>
      </c>
    </row>
    <row r="745" spans="1:14" ht="11.1" customHeight="1">
      <c r="A745" s="31" t="s">
        <v>7779</v>
      </c>
      <c r="B745" s="38"/>
      <c r="C745" s="39">
        <v>28432</v>
      </c>
      <c r="D745" s="40">
        <v>0.10667467076876899</v>
      </c>
      <c r="E745" s="41" t="s">
        <v>6262</v>
      </c>
      <c r="F745" s="42" t="s">
        <v>7780</v>
      </c>
      <c r="G745" s="42">
        <v>59</v>
      </c>
      <c r="H745" s="42" t="s">
        <v>0</v>
      </c>
      <c r="I745" s="42" t="s">
        <v>6259</v>
      </c>
      <c r="J745" s="42" t="s">
        <v>6264</v>
      </c>
      <c r="K745" s="42" t="s">
        <v>6259</v>
      </c>
      <c r="L745" s="42" t="s">
        <v>6036</v>
      </c>
      <c r="M745" s="42" t="s">
        <v>6259</v>
      </c>
      <c r="N745" s="43" t="s">
        <v>6259</v>
      </c>
    </row>
    <row r="746" spans="1:14" ht="11.1" customHeight="1">
      <c r="A746" s="44" t="s">
        <v>7781</v>
      </c>
      <c r="B746" s="45" t="s">
        <v>6231</v>
      </c>
      <c r="C746" s="46">
        <v>4111</v>
      </c>
      <c r="D746" s="47">
        <v>1.5424154879375681E-2</v>
      </c>
      <c r="E746" s="48" t="s">
        <v>6262</v>
      </c>
      <c r="F746" s="49" t="s">
        <v>7782</v>
      </c>
      <c r="G746" s="49">
        <v>40</v>
      </c>
      <c r="H746" s="49" t="s">
        <v>0</v>
      </c>
      <c r="I746" s="49" t="s">
        <v>6259</v>
      </c>
      <c r="J746" s="49" t="s">
        <v>6267</v>
      </c>
      <c r="K746" s="49" t="s">
        <v>6268</v>
      </c>
      <c r="L746" s="49" t="s">
        <v>6036</v>
      </c>
      <c r="M746" s="49" t="s">
        <v>6259</v>
      </c>
      <c r="N746" s="50" t="s">
        <v>6259</v>
      </c>
    </row>
    <row r="747" spans="1:14" ht="11.1" customHeight="1">
      <c r="A747" s="51" t="s">
        <v>7783</v>
      </c>
      <c r="B747" s="52" t="s">
        <v>6217</v>
      </c>
      <c r="C747" s="53">
        <v>121210</v>
      </c>
      <c r="D747" s="54">
        <v>0.46739314855089231</v>
      </c>
      <c r="E747" s="55" t="s">
        <v>6251</v>
      </c>
      <c r="F747" s="56" t="s">
        <v>7784</v>
      </c>
      <c r="G747" s="56">
        <v>61</v>
      </c>
      <c r="H747" s="56" t="s">
        <v>0</v>
      </c>
      <c r="I747" s="56" t="s">
        <v>6233</v>
      </c>
      <c r="J747" s="56" t="s">
        <v>6253</v>
      </c>
      <c r="K747" s="56" t="s">
        <v>6254</v>
      </c>
      <c r="L747" s="56" t="s">
        <v>6283</v>
      </c>
      <c r="M747" s="56">
        <v>1</v>
      </c>
      <c r="N747" s="57" t="s">
        <v>6213</v>
      </c>
    </row>
    <row r="748" spans="1:14" ht="11.1" customHeight="1">
      <c r="A748" s="31" t="s">
        <v>7785</v>
      </c>
      <c r="B748" s="38" t="s">
        <v>6230</v>
      </c>
      <c r="C748" s="39">
        <v>97604</v>
      </c>
      <c r="D748" s="40">
        <v>0.3763669736091188</v>
      </c>
      <c r="E748" s="41" t="s">
        <v>6262</v>
      </c>
      <c r="F748" s="42" t="s">
        <v>7786</v>
      </c>
      <c r="G748" s="42">
        <v>60</v>
      </c>
      <c r="H748" s="42" t="s">
        <v>0</v>
      </c>
      <c r="I748" s="42" t="s">
        <v>6259</v>
      </c>
      <c r="J748" s="42" t="s">
        <v>6929</v>
      </c>
      <c r="K748" s="42" t="s">
        <v>6259</v>
      </c>
      <c r="L748" s="42" t="s">
        <v>6209</v>
      </c>
      <c r="M748" s="42">
        <v>5</v>
      </c>
      <c r="N748" s="43" t="s">
        <v>6930</v>
      </c>
    </row>
    <row r="749" spans="1:14" ht="11.1" customHeight="1">
      <c r="A749" s="31" t="s">
        <v>7787</v>
      </c>
      <c r="B749" s="38"/>
      <c r="C749" s="39">
        <v>35405</v>
      </c>
      <c r="D749" s="40">
        <v>0.13652383816883376</v>
      </c>
      <c r="E749" s="41" t="s">
        <v>6262</v>
      </c>
      <c r="F749" s="42" t="s">
        <v>7788</v>
      </c>
      <c r="G749" s="42">
        <v>73</v>
      </c>
      <c r="H749" s="42" t="s">
        <v>0</v>
      </c>
      <c r="I749" s="42" t="s">
        <v>6259</v>
      </c>
      <c r="J749" s="42" t="s">
        <v>6264</v>
      </c>
      <c r="K749" s="42" t="s">
        <v>6259</v>
      </c>
      <c r="L749" s="42" t="s">
        <v>6036</v>
      </c>
      <c r="M749" s="42" t="s">
        <v>6259</v>
      </c>
      <c r="N749" s="43" t="s">
        <v>6259</v>
      </c>
    </row>
    <row r="750" spans="1:14" ht="11.1" customHeight="1">
      <c r="A750" s="44" t="s">
        <v>7789</v>
      </c>
      <c r="B750" s="45" t="s">
        <v>6231</v>
      </c>
      <c r="C750" s="46">
        <v>5113</v>
      </c>
      <c r="D750" s="47">
        <v>1.9716039671155122E-2</v>
      </c>
      <c r="E750" s="48" t="s">
        <v>6262</v>
      </c>
      <c r="F750" s="49" t="s">
        <v>7790</v>
      </c>
      <c r="G750" s="49">
        <v>37</v>
      </c>
      <c r="H750" s="49" t="s">
        <v>0</v>
      </c>
      <c r="I750" s="49" t="s">
        <v>6259</v>
      </c>
      <c r="J750" s="49" t="s">
        <v>6267</v>
      </c>
      <c r="K750" s="49" t="s">
        <v>6268</v>
      </c>
      <c r="L750" s="49" t="s">
        <v>6036</v>
      </c>
      <c r="M750" s="49" t="s">
        <v>6259</v>
      </c>
      <c r="N750" s="50" t="s">
        <v>6259</v>
      </c>
    </row>
    <row r="751" spans="1:14" ht="11.1" customHeight="1">
      <c r="A751" s="51" t="s">
        <v>7791</v>
      </c>
      <c r="B751" s="52" t="s">
        <v>6217</v>
      </c>
      <c r="C751" s="53">
        <v>109143</v>
      </c>
      <c r="D751" s="54">
        <v>0.43301091820865206</v>
      </c>
      <c r="E751" s="55" t="s">
        <v>6251</v>
      </c>
      <c r="F751" s="56" t="s">
        <v>7792</v>
      </c>
      <c r="G751" s="56">
        <v>57</v>
      </c>
      <c r="H751" s="56" t="s">
        <v>0</v>
      </c>
      <c r="I751" s="56" t="s">
        <v>6233</v>
      </c>
      <c r="J751" s="56" t="s">
        <v>6253</v>
      </c>
      <c r="K751" s="56" t="s">
        <v>6035</v>
      </c>
      <c r="L751" s="56" t="s">
        <v>6036</v>
      </c>
      <c r="M751" s="56" t="s">
        <v>6259</v>
      </c>
      <c r="N751" s="57" t="s">
        <v>6213</v>
      </c>
    </row>
    <row r="752" spans="1:14" ht="11.1" customHeight="1">
      <c r="A752" s="31" t="s">
        <v>7793</v>
      </c>
      <c r="B752" s="38" t="s">
        <v>6230</v>
      </c>
      <c r="C752" s="39">
        <v>107336</v>
      </c>
      <c r="D752" s="40">
        <v>0.4258418764084172</v>
      </c>
      <c r="E752" s="41" t="s">
        <v>6262</v>
      </c>
      <c r="F752" s="42" t="s">
        <v>7794</v>
      </c>
      <c r="G752" s="42">
        <v>51</v>
      </c>
      <c r="H752" s="42" t="s">
        <v>0</v>
      </c>
      <c r="I752" s="42" t="s">
        <v>6259</v>
      </c>
      <c r="J752" s="42" t="s">
        <v>6929</v>
      </c>
      <c r="K752" s="42" t="s">
        <v>6259</v>
      </c>
      <c r="L752" s="42" t="s">
        <v>6209</v>
      </c>
      <c r="M752" s="42">
        <v>5</v>
      </c>
      <c r="N752" s="43" t="s">
        <v>6930</v>
      </c>
    </row>
    <row r="753" spans="1:14" ht="11.1" customHeight="1">
      <c r="A753" s="31" t="s">
        <v>7795</v>
      </c>
      <c r="B753" s="38"/>
      <c r="C753" s="39">
        <v>26490</v>
      </c>
      <c r="D753" s="40">
        <v>0.1050956930205986</v>
      </c>
      <c r="E753" s="41" t="s">
        <v>6262</v>
      </c>
      <c r="F753" s="42" t="s">
        <v>7796</v>
      </c>
      <c r="G753" s="42">
        <v>70</v>
      </c>
      <c r="H753" s="42" t="s">
        <v>0</v>
      </c>
      <c r="I753" s="42" t="s">
        <v>6259</v>
      </c>
      <c r="J753" s="42" t="s">
        <v>6264</v>
      </c>
      <c r="K753" s="42" t="s">
        <v>6259</v>
      </c>
      <c r="L753" s="42" t="s">
        <v>6036</v>
      </c>
      <c r="M753" s="42" t="s">
        <v>6259</v>
      </c>
      <c r="N753" s="43" t="s">
        <v>6259</v>
      </c>
    </row>
    <row r="754" spans="1:14" ht="11.1" customHeight="1">
      <c r="A754" s="44" t="s">
        <v>7797</v>
      </c>
      <c r="B754" s="45" t="s">
        <v>6231</v>
      </c>
      <c r="C754" s="46">
        <v>9087</v>
      </c>
      <c r="D754" s="47">
        <v>3.6051512362332179E-2</v>
      </c>
      <c r="E754" s="48" t="s">
        <v>6262</v>
      </c>
      <c r="F754" s="49" t="s">
        <v>7798</v>
      </c>
      <c r="G754" s="49">
        <v>44</v>
      </c>
      <c r="H754" s="49" t="s">
        <v>6049</v>
      </c>
      <c r="I754" s="49" t="s">
        <v>6259</v>
      </c>
      <c r="J754" s="49" t="s">
        <v>6267</v>
      </c>
      <c r="K754" s="49" t="s">
        <v>6268</v>
      </c>
      <c r="L754" s="49" t="s">
        <v>6036</v>
      </c>
      <c r="M754" s="49" t="s">
        <v>6259</v>
      </c>
      <c r="N754" s="50" t="s">
        <v>6259</v>
      </c>
    </row>
    <row r="755" spans="1:14" ht="11.1" customHeight="1">
      <c r="A755" s="51" t="s">
        <v>7799</v>
      </c>
      <c r="B755" s="52" t="s">
        <v>6217</v>
      </c>
      <c r="C755" s="53">
        <v>124982</v>
      </c>
      <c r="D755" s="54">
        <v>0.52876918650894378</v>
      </c>
      <c r="E755" s="55" t="s">
        <v>6251</v>
      </c>
      <c r="F755" s="56" t="s">
        <v>7800</v>
      </c>
      <c r="G755" s="56">
        <v>59</v>
      </c>
      <c r="H755" s="56" t="s">
        <v>0</v>
      </c>
      <c r="I755" s="56" t="s">
        <v>6233</v>
      </c>
      <c r="J755" s="56" t="s">
        <v>6253</v>
      </c>
      <c r="K755" s="56" t="s">
        <v>6207</v>
      </c>
      <c r="L755" s="56" t="s">
        <v>6209</v>
      </c>
      <c r="M755" s="56">
        <v>5</v>
      </c>
      <c r="N755" s="57" t="s">
        <v>6465</v>
      </c>
    </row>
    <row r="756" spans="1:14" ht="11.1" customHeight="1">
      <c r="A756" s="31" t="s">
        <v>7801</v>
      </c>
      <c r="B756" s="38" t="s">
        <v>6230</v>
      </c>
      <c r="C756" s="39">
        <v>79289</v>
      </c>
      <c r="D756" s="40">
        <v>0.33545294545700699</v>
      </c>
      <c r="E756" s="41">
        <v>63.440335408298793</v>
      </c>
      <c r="F756" s="42" t="s">
        <v>7802</v>
      </c>
      <c r="G756" s="42">
        <v>47</v>
      </c>
      <c r="H756" s="42" t="s">
        <v>6049</v>
      </c>
      <c r="I756" s="42" t="s">
        <v>6233</v>
      </c>
      <c r="J756" s="42" t="s">
        <v>6257</v>
      </c>
      <c r="K756" s="42" t="s">
        <v>6273</v>
      </c>
      <c r="L756" s="42" t="s">
        <v>6209</v>
      </c>
      <c r="M756" s="42">
        <v>1</v>
      </c>
      <c r="N756" s="43" t="s">
        <v>6260</v>
      </c>
    </row>
    <row r="757" spans="1:14" ht="11.1" customHeight="1">
      <c r="A757" s="31" t="s">
        <v>7803</v>
      </c>
      <c r="B757" s="38"/>
      <c r="C757" s="39">
        <v>29030</v>
      </c>
      <c r="D757" s="40">
        <v>0.12281904181685874</v>
      </c>
      <c r="E757" s="41">
        <v>23.22734473764222</v>
      </c>
      <c r="F757" s="42" t="s">
        <v>7804</v>
      </c>
      <c r="G757" s="42">
        <v>42</v>
      </c>
      <c r="H757" s="42" t="s">
        <v>0</v>
      </c>
      <c r="I757" s="42" t="s">
        <v>6233</v>
      </c>
      <c r="J757" s="42" t="s">
        <v>6264</v>
      </c>
      <c r="K757" s="42" t="s">
        <v>6259</v>
      </c>
      <c r="L757" s="42" t="s">
        <v>6036</v>
      </c>
      <c r="M757" s="42" t="s">
        <v>6259</v>
      </c>
      <c r="N757" s="43" t="s">
        <v>6259</v>
      </c>
    </row>
    <row r="758" spans="1:14" ht="11.1" customHeight="1">
      <c r="A758" s="44" t="s">
        <v>7805</v>
      </c>
      <c r="B758" s="45" t="s">
        <v>6231</v>
      </c>
      <c r="C758" s="46">
        <v>3063</v>
      </c>
      <c r="D758" s="47">
        <v>1.2958826217190435E-2</v>
      </c>
      <c r="E758" s="48" t="s">
        <v>6262</v>
      </c>
      <c r="F758" s="49" t="s">
        <v>7806</v>
      </c>
      <c r="G758" s="49">
        <v>35</v>
      </c>
      <c r="H758" s="49" t="s">
        <v>0</v>
      </c>
      <c r="I758" s="49" t="s">
        <v>6259</v>
      </c>
      <c r="J758" s="49" t="s">
        <v>6267</v>
      </c>
      <c r="K758" s="49" t="s">
        <v>6268</v>
      </c>
      <c r="L758" s="49" t="s">
        <v>6036</v>
      </c>
      <c r="M758" s="49" t="s">
        <v>6259</v>
      </c>
      <c r="N758" s="50" t="s">
        <v>6259</v>
      </c>
    </row>
    <row r="759" spans="1:14" ht="11.1" customHeight="1">
      <c r="A759" s="51" t="s">
        <v>7807</v>
      </c>
      <c r="B759" s="52" t="s">
        <v>6217</v>
      </c>
      <c r="C759" s="53">
        <v>114851</v>
      </c>
      <c r="D759" s="54">
        <v>0.53303042679191337</v>
      </c>
      <c r="E759" s="55" t="s">
        <v>6251</v>
      </c>
      <c r="F759" s="56" t="s">
        <v>7808</v>
      </c>
      <c r="G759" s="56">
        <v>68</v>
      </c>
      <c r="H759" s="56" t="s">
        <v>0</v>
      </c>
      <c r="I759" s="56" t="s">
        <v>6233</v>
      </c>
      <c r="J759" s="56" t="s">
        <v>6253</v>
      </c>
      <c r="K759" s="56" t="s">
        <v>6918</v>
      </c>
      <c r="L759" s="56" t="s">
        <v>6283</v>
      </c>
      <c r="M759" s="56">
        <v>10</v>
      </c>
      <c r="N759" s="57" t="s">
        <v>6213</v>
      </c>
    </row>
    <row r="760" spans="1:14" ht="11.1" customHeight="1">
      <c r="A760" s="31" t="s">
        <v>7809</v>
      </c>
      <c r="B760" s="38" t="s">
        <v>6230</v>
      </c>
      <c r="C760" s="39">
        <v>77405</v>
      </c>
      <c r="D760" s="40">
        <v>0.35924127944752815</v>
      </c>
      <c r="E760" s="41">
        <v>67.396017448694394</v>
      </c>
      <c r="F760" s="42" t="s">
        <v>7810</v>
      </c>
      <c r="G760" s="42">
        <v>44</v>
      </c>
      <c r="H760" s="42" t="s">
        <v>0</v>
      </c>
      <c r="I760" s="42" t="s">
        <v>6233</v>
      </c>
      <c r="J760" s="42" t="s">
        <v>6257</v>
      </c>
      <c r="K760" s="42" t="s">
        <v>6273</v>
      </c>
      <c r="L760" s="42" t="s">
        <v>6209</v>
      </c>
      <c r="M760" s="42">
        <v>1</v>
      </c>
      <c r="N760" s="43" t="s">
        <v>6260</v>
      </c>
    </row>
    <row r="761" spans="1:14" ht="11.1" customHeight="1">
      <c r="A761" s="31" t="s">
        <v>7811</v>
      </c>
      <c r="B761" s="38" t="s">
        <v>6231</v>
      </c>
      <c r="C761" s="39">
        <v>19498</v>
      </c>
      <c r="D761" s="40">
        <v>9.0491395474037908E-2</v>
      </c>
      <c r="E761" s="41" t="s">
        <v>6262</v>
      </c>
      <c r="F761" s="42" t="s">
        <v>7812</v>
      </c>
      <c r="G761" s="42">
        <v>65</v>
      </c>
      <c r="H761" s="42" t="s">
        <v>0</v>
      </c>
      <c r="I761" s="42" t="s">
        <v>6259</v>
      </c>
      <c r="J761" s="42" t="s">
        <v>6264</v>
      </c>
      <c r="K761" s="42" t="s">
        <v>6259</v>
      </c>
      <c r="L761" s="42" t="s">
        <v>6036</v>
      </c>
      <c r="M761" s="42" t="s">
        <v>6259</v>
      </c>
      <c r="N761" s="43" t="s">
        <v>6259</v>
      </c>
    </row>
    <row r="762" spans="1:14" ht="11.1" customHeight="1">
      <c r="A762" s="44" t="s">
        <v>7813</v>
      </c>
      <c r="B762" s="45" t="s">
        <v>6231</v>
      </c>
      <c r="C762" s="46">
        <v>3714</v>
      </c>
      <c r="D762" s="47">
        <v>1.7236898286520506E-2</v>
      </c>
      <c r="E762" s="48" t="s">
        <v>6262</v>
      </c>
      <c r="F762" s="49" t="s">
        <v>7814</v>
      </c>
      <c r="G762" s="49">
        <v>46</v>
      </c>
      <c r="H762" s="49" t="s">
        <v>0</v>
      </c>
      <c r="I762" s="49" t="s">
        <v>6259</v>
      </c>
      <c r="J762" s="49" t="s">
        <v>6267</v>
      </c>
      <c r="K762" s="49" t="s">
        <v>6268</v>
      </c>
      <c r="L762" s="49" t="s">
        <v>6036</v>
      </c>
      <c r="M762" s="49" t="s">
        <v>6259</v>
      </c>
      <c r="N762" s="50" t="s">
        <v>6259</v>
      </c>
    </row>
    <row r="763" spans="1:14" ht="11.1" customHeight="1">
      <c r="A763" s="51" t="s">
        <v>7815</v>
      </c>
      <c r="B763" s="52" t="s">
        <v>6217</v>
      </c>
      <c r="C763" s="53">
        <v>150452</v>
      </c>
      <c r="D763" s="54">
        <v>0.50999813562481988</v>
      </c>
      <c r="E763" s="55" t="s">
        <v>6251</v>
      </c>
      <c r="F763" s="56" t="s">
        <v>7816</v>
      </c>
      <c r="G763" s="56">
        <v>46</v>
      </c>
      <c r="H763" s="56" t="s">
        <v>0</v>
      </c>
      <c r="I763" s="56" t="s">
        <v>6233</v>
      </c>
      <c r="J763" s="56" t="s">
        <v>6253</v>
      </c>
      <c r="K763" s="56" t="s">
        <v>24</v>
      </c>
      <c r="L763" s="56" t="s">
        <v>6283</v>
      </c>
      <c r="M763" s="56">
        <v>2</v>
      </c>
      <c r="N763" s="57" t="s">
        <v>6213</v>
      </c>
    </row>
    <row r="764" spans="1:14" ht="11.1" customHeight="1">
      <c r="A764" s="31" t="s">
        <v>7817</v>
      </c>
      <c r="B764" s="38" t="s">
        <v>6230</v>
      </c>
      <c r="C764" s="39">
        <v>97902</v>
      </c>
      <c r="D764" s="40">
        <v>0.33186556160065084</v>
      </c>
      <c r="E764" s="41">
        <v>65.071916624571287</v>
      </c>
      <c r="F764" s="42" t="s">
        <v>7818</v>
      </c>
      <c r="G764" s="42">
        <v>61</v>
      </c>
      <c r="H764" s="42" t="s">
        <v>0</v>
      </c>
      <c r="I764" s="42" t="s">
        <v>6233</v>
      </c>
      <c r="J764" s="42" t="s">
        <v>6257</v>
      </c>
      <c r="K764" s="42" t="s">
        <v>6273</v>
      </c>
      <c r="L764" s="42" t="s">
        <v>6209</v>
      </c>
      <c r="M764" s="42">
        <v>1</v>
      </c>
      <c r="N764" s="43" t="s">
        <v>6260</v>
      </c>
    </row>
    <row r="765" spans="1:14" ht="11.1" customHeight="1">
      <c r="A765" s="31" t="s">
        <v>7819</v>
      </c>
      <c r="B765" s="38" t="s">
        <v>6231</v>
      </c>
      <c r="C765" s="39">
        <v>24281</v>
      </c>
      <c r="D765" s="40">
        <v>8.230707954102473E-2</v>
      </c>
      <c r="E765" s="41" t="s">
        <v>6262</v>
      </c>
      <c r="F765" s="42" t="s">
        <v>7820</v>
      </c>
      <c r="G765" s="42">
        <v>63</v>
      </c>
      <c r="H765" s="42" t="s">
        <v>0</v>
      </c>
      <c r="I765" s="42" t="s">
        <v>6259</v>
      </c>
      <c r="J765" s="42" t="s">
        <v>6264</v>
      </c>
      <c r="K765" s="42" t="s">
        <v>6259</v>
      </c>
      <c r="L765" s="42" t="s">
        <v>6036</v>
      </c>
      <c r="M765" s="42" t="s">
        <v>6259</v>
      </c>
      <c r="N765" s="43" t="s">
        <v>6259</v>
      </c>
    </row>
    <row r="766" spans="1:14" ht="11.1" customHeight="1">
      <c r="A766" s="31" t="s">
        <v>7821</v>
      </c>
      <c r="B766" s="38" t="s">
        <v>6231</v>
      </c>
      <c r="C766" s="39">
        <v>16736</v>
      </c>
      <c r="D766" s="40">
        <v>5.6731241843358586E-2</v>
      </c>
      <c r="E766" s="41">
        <v>11.123813575093717</v>
      </c>
      <c r="F766" s="42" t="s">
        <v>7822</v>
      </c>
      <c r="G766" s="42">
        <v>42</v>
      </c>
      <c r="H766" s="42" t="s">
        <v>0</v>
      </c>
      <c r="I766" s="42" t="s">
        <v>6233</v>
      </c>
      <c r="J766" s="42" t="s">
        <v>6484</v>
      </c>
      <c r="K766" s="42" t="s">
        <v>6259</v>
      </c>
      <c r="L766" s="42" t="s">
        <v>6036</v>
      </c>
      <c r="M766" s="42" t="s">
        <v>6259</v>
      </c>
      <c r="N766" s="43" t="s">
        <v>6259</v>
      </c>
    </row>
    <row r="767" spans="1:14" ht="11.1" customHeight="1">
      <c r="A767" s="44" t="s">
        <v>7823</v>
      </c>
      <c r="B767" s="45" t="s">
        <v>6231</v>
      </c>
      <c r="C767" s="46">
        <v>5634</v>
      </c>
      <c r="D767" s="47">
        <v>1.9097981390145929E-2</v>
      </c>
      <c r="E767" s="48" t="s">
        <v>6262</v>
      </c>
      <c r="F767" s="49" t="s">
        <v>7824</v>
      </c>
      <c r="G767" s="49">
        <v>35</v>
      </c>
      <c r="H767" s="49" t="s">
        <v>6049</v>
      </c>
      <c r="I767" s="49" t="s">
        <v>6259</v>
      </c>
      <c r="J767" s="49" t="s">
        <v>6267</v>
      </c>
      <c r="K767" s="49" t="s">
        <v>6268</v>
      </c>
      <c r="L767" s="49" t="s">
        <v>6036</v>
      </c>
      <c r="M767" s="49" t="s">
        <v>6259</v>
      </c>
      <c r="N767" s="50" t="s">
        <v>6259</v>
      </c>
    </row>
    <row r="768" spans="1:14" ht="11.1" customHeight="1">
      <c r="A768" s="51" t="s">
        <v>7825</v>
      </c>
      <c r="B768" s="118" t="s">
        <v>6217</v>
      </c>
      <c r="C768" s="119">
        <v>109693</v>
      </c>
      <c r="D768" s="120">
        <v>0.50529511209791467</v>
      </c>
      <c r="E768" s="121" t="s">
        <v>6251</v>
      </c>
      <c r="F768" s="122" t="s">
        <v>7826</v>
      </c>
      <c r="G768" s="122">
        <v>49</v>
      </c>
      <c r="H768" s="122" t="s">
        <v>6049</v>
      </c>
      <c r="I768" s="122" t="s">
        <v>6233</v>
      </c>
      <c r="J768" s="122" t="s">
        <v>6278</v>
      </c>
      <c r="K768" s="122" t="s">
        <v>6259</v>
      </c>
      <c r="L768" s="122" t="s">
        <v>6209</v>
      </c>
      <c r="M768" s="122">
        <v>3</v>
      </c>
      <c r="N768" s="123" t="s">
        <v>6515</v>
      </c>
    </row>
    <row r="769" spans="1:14" ht="11.1" customHeight="1">
      <c r="A769" s="31" t="s">
        <v>7827</v>
      </c>
      <c r="B769" s="38" t="s">
        <v>6232</v>
      </c>
      <c r="C769" s="39">
        <v>85106</v>
      </c>
      <c r="D769" s="40">
        <v>0.39203637251424545</v>
      </c>
      <c r="E769" s="58">
        <v>77.585625336165478</v>
      </c>
      <c r="F769" s="59" t="s">
        <v>7828</v>
      </c>
      <c r="G769" s="59">
        <v>38</v>
      </c>
      <c r="H769" s="59" t="s">
        <v>0</v>
      </c>
      <c r="I769" s="59" t="s">
        <v>6233</v>
      </c>
      <c r="J769" s="59" t="s">
        <v>6257</v>
      </c>
      <c r="K769" s="59" t="s">
        <v>6311</v>
      </c>
      <c r="L769" s="59" t="s">
        <v>6209</v>
      </c>
      <c r="M769" s="59">
        <v>2</v>
      </c>
      <c r="N769" s="43" t="s">
        <v>6260</v>
      </c>
    </row>
    <row r="770" spans="1:14" ht="11.1" customHeight="1">
      <c r="A770" s="31" t="s">
        <v>7829</v>
      </c>
      <c r="B770" s="38" t="s">
        <v>6231</v>
      </c>
      <c r="C770" s="39">
        <v>18425</v>
      </c>
      <c r="D770" s="40">
        <v>8.4873806354134523E-2</v>
      </c>
      <c r="E770" s="41" t="s">
        <v>6262</v>
      </c>
      <c r="F770" s="42" t="s">
        <v>7830</v>
      </c>
      <c r="G770" s="42">
        <v>48</v>
      </c>
      <c r="H770" s="42" t="s">
        <v>0</v>
      </c>
      <c r="I770" s="42" t="s">
        <v>6259</v>
      </c>
      <c r="J770" s="42" t="s">
        <v>6264</v>
      </c>
      <c r="K770" s="42" t="s">
        <v>6259</v>
      </c>
      <c r="L770" s="42" t="s">
        <v>6036</v>
      </c>
      <c r="M770" s="42" t="s">
        <v>6259</v>
      </c>
      <c r="N770" s="43" t="s">
        <v>6259</v>
      </c>
    </row>
    <row r="771" spans="1:14" ht="11.1" customHeight="1">
      <c r="A771" s="44" t="s">
        <v>7831</v>
      </c>
      <c r="B771" s="45" t="s">
        <v>6231</v>
      </c>
      <c r="C771" s="46">
        <v>3863</v>
      </c>
      <c r="D771" s="47">
        <v>1.7794709033705381E-2</v>
      </c>
      <c r="E771" s="48" t="s">
        <v>6262</v>
      </c>
      <c r="F771" s="49" t="s">
        <v>7832</v>
      </c>
      <c r="G771" s="49">
        <v>54</v>
      </c>
      <c r="H771" s="49" t="s">
        <v>0</v>
      </c>
      <c r="I771" s="49" t="s">
        <v>6259</v>
      </c>
      <c r="J771" s="49" t="s">
        <v>6267</v>
      </c>
      <c r="K771" s="49" t="s">
        <v>6268</v>
      </c>
      <c r="L771" s="49" t="s">
        <v>6036</v>
      </c>
      <c r="M771" s="49" t="s">
        <v>6259</v>
      </c>
      <c r="N771" s="50" t="s">
        <v>6259</v>
      </c>
    </row>
    <row r="772" spans="1:14" ht="11.1" customHeight="1">
      <c r="A772" s="51" t="s">
        <v>7833</v>
      </c>
      <c r="B772" s="52" t="s">
        <v>6217</v>
      </c>
      <c r="C772" s="53">
        <v>156002</v>
      </c>
      <c r="D772" s="54">
        <v>0.59535476583012759</v>
      </c>
      <c r="E772" s="55" t="s">
        <v>6251</v>
      </c>
      <c r="F772" s="56" t="s">
        <v>7834</v>
      </c>
      <c r="G772" s="56">
        <v>60</v>
      </c>
      <c r="H772" s="56" t="s">
        <v>0</v>
      </c>
      <c r="I772" s="56" t="s">
        <v>6233</v>
      </c>
      <c r="J772" s="56" t="s">
        <v>6253</v>
      </c>
      <c r="K772" s="56" t="s">
        <v>6254</v>
      </c>
      <c r="L772" s="56" t="s">
        <v>6209</v>
      </c>
      <c r="M772" s="56">
        <v>4</v>
      </c>
      <c r="N772" s="57" t="s">
        <v>6465</v>
      </c>
    </row>
    <row r="773" spans="1:14" ht="11.1" customHeight="1">
      <c r="A773" s="31" t="s">
        <v>7835</v>
      </c>
      <c r="B773" s="38" t="s">
        <v>6230</v>
      </c>
      <c r="C773" s="39">
        <v>70309</v>
      </c>
      <c r="D773" s="40">
        <v>0.26832218965622517</v>
      </c>
      <c r="E773" s="41">
        <v>45.069293983410468</v>
      </c>
      <c r="F773" s="42" t="s">
        <v>7836</v>
      </c>
      <c r="G773" s="42">
        <v>63</v>
      </c>
      <c r="H773" s="42" t="s">
        <v>6049</v>
      </c>
      <c r="I773" s="42" t="s">
        <v>6233</v>
      </c>
      <c r="J773" s="42" t="s">
        <v>6257</v>
      </c>
      <c r="K773" s="42" t="s">
        <v>6671</v>
      </c>
      <c r="L773" s="42" t="s">
        <v>6209</v>
      </c>
      <c r="M773" s="42">
        <v>1</v>
      </c>
      <c r="N773" s="43" t="s">
        <v>6259</v>
      </c>
    </row>
    <row r="774" spans="1:14" ht="11.1" customHeight="1">
      <c r="A774" s="31" t="s">
        <v>7837</v>
      </c>
      <c r="B774" s="38"/>
      <c r="C774" s="39">
        <v>30680</v>
      </c>
      <c r="D774" s="40">
        <v>0.11708493619099958</v>
      </c>
      <c r="E774" s="41" t="s">
        <v>6262</v>
      </c>
      <c r="F774" s="42" t="s">
        <v>7838</v>
      </c>
      <c r="G774" s="42">
        <v>55</v>
      </c>
      <c r="H774" s="42" t="s">
        <v>6049</v>
      </c>
      <c r="I774" s="42" t="s">
        <v>6259</v>
      </c>
      <c r="J774" s="42" t="s">
        <v>6264</v>
      </c>
      <c r="K774" s="42" t="s">
        <v>6259</v>
      </c>
      <c r="L774" s="42" t="s">
        <v>6036</v>
      </c>
      <c r="M774" s="42" t="s">
        <v>6259</v>
      </c>
      <c r="N774" s="43" t="s">
        <v>6259</v>
      </c>
    </row>
    <row r="775" spans="1:14" ht="11.1" customHeight="1">
      <c r="A775" s="44" t="s">
        <v>7839</v>
      </c>
      <c r="B775" s="45" t="s">
        <v>6231</v>
      </c>
      <c r="C775" s="46">
        <v>5041</v>
      </c>
      <c r="D775" s="47">
        <v>1.9238108322647617E-2</v>
      </c>
      <c r="E775" s="48" t="s">
        <v>6262</v>
      </c>
      <c r="F775" s="49" t="s">
        <v>7840</v>
      </c>
      <c r="G775" s="49">
        <v>37</v>
      </c>
      <c r="H775" s="49" t="s">
        <v>0</v>
      </c>
      <c r="I775" s="49" t="s">
        <v>6259</v>
      </c>
      <c r="J775" s="49" t="s">
        <v>6267</v>
      </c>
      <c r="K775" s="49" t="s">
        <v>6268</v>
      </c>
      <c r="L775" s="49" t="s">
        <v>6036</v>
      </c>
      <c r="M775" s="49" t="s">
        <v>6259</v>
      </c>
      <c r="N775" s="50" t="s">
        <v>6259</v>
      </c>
    </row>
    <row r="776" spans="1:14" ht="11.1" customHeight="1">
      <c r="A776" s="51" t="s">
        <v>7841</v>
      </c>
      <c r="B776" s="52" t="s">
        <v>6217</v>
      </c>
      <c r="C776" s="53">
        <v>119048</v>
      </c>
      <c r="D776" s="54">
        <v>0.53183942244976368</v>
      </c>
      <c r="E776" s="55" t="s">
        <v>6251</v>
      </c>
      <c r="F776" s="56" t="s">
        <v>7842</v>
      </c>
      <c r="G776" s="56">
        <v>50</v>
      </c>
      <c r="H776" s="56" t="s">
        <v>0</v>
      </c>
      <c r="I776" s="56" t="s">
        <v>6233</v>
      </c>
      <c r="J776" s="56" t="s">
        <v>6253</v>
      </c>
      <c r="K776" s="56" t="s">
        <v>6207</v>
      </c>
      <c r="L776" s="56" t="s">
        <v>6283</v>
      </c>
      <c r="M776" s="56">
        <v>4</v>
      </c>
      <c r="N776" s="57" t="s">
        <v>6213</v>
      </c>
    </row>
    <row r="777" spans="1:14" ht="11.1" customHeight="1">
      <c r="A777" s="31" t="s">
        <v>7843</v>
      </c>
      <c r="B777" s="38" t="s">
        <v>6230</v>
      </c>
      <c r="C777" s="39">
        <v>80847</v>
      </c>
      <c r="D777" s="40">
        <v>0.36117886723671161</v>
      </c>
      <c r="E777" s="41">
        <v>67.911262683959407</v>
      </c>
      <c r="F777" s="42" t="s">
        <v>7844</v>
      </c>
      <c r="G777" s="42">
        <v>57</v>
      </c>
      <c r="H777" s="42" t="s">
        <v>0</v>
      </c>
      <c r="I777" s="42" t="s">
        <v>6233</v>
      </c>
      <c r="J777" s="42" t="s">
        <v>6257</v>
      </c>
      <c r="K777" s="42" t="s">
        <v>6369</v>
      </c>
      <c r="L777" s="42" t="s">
        <v>6209</v>
      </c>
      <c r="M777" s="42">
        <v>3</v>
      </c>
      <c r="N777" s="43" t="s">
        <v>6260</v>
      </c>
    </row>
    <row r="778" spans="1:14" ht="11.1" customHeight="1">
      <c r="A778" s="31" t="s">
        <v>7845</v>
      </c>
      <c r="B778" s="38" t="s">
        <v>6231</v>
      </c>
      <c r="C778" s="39">
        <v>19053</v>
      </c>
      <c r="D778" s="40">
        <v>8.511807435601898E-2</v>
      </c>
      <c r="E778" s="41" t="s">
        <v>6262</v>
      </c>
      <c r="F778" s="42" t="s">
        <v>7846</v>
      </c>
      <c r="G778" s="42">
        <v>58</v>
      </c>
      <c r="H778" s="42" t="s">
        <v>6049</v>
      </c>
      <c r="I778" s="42" t="s">
        <v>6259</v>
      </c>
      <c r="J778" s="42" t="s">
        <v>6264</v>
      </c>
      <c r="K778" s="42" t="s">
        <v>6259</v>
      </c>
      <c r="L778" s="42" t="s">
        <v>6036</v>
      </c>
      <c r="M778" s="42" t="s">
        <v>6259</v>
      </c>
      <c r="N778" s="43" t="s">
        <v>6259</v>
      </c>
    </row>
    <row r="779" spans="1:14" ht="11.1" customHeight="1">
      <c r="A779" s="44" t="s">
        <v>7847</v>
      </c>
      <c r="B779" s="45" t="s">
        <v>6231</v>
      </c>
      <c r="C779" s="46">
        <v>4894</v>
      </c>
      <c r="D779" s="47">
        <v>2.1863635957505741E-2</v>
      </c>
      <c r="E779" s="48" t="s">
        <v>6262</v>
      </c>
      <c r="F779" s="49" t="s">
        <v>7848</v>
      </c>
      <c r="G779" s="49">
        <v>49</v>
      </c>
      <c r="H779" s="49" t="s">
        <v>6049</v>
      </c>
      <c r="I779" s="49" t="s">
        <v>6259</v>
      </c>
      <c r="J779" s="49" t="s">
        <v>6267</v>
      </c>
      <c r="K779" s="49" t="s">
        <v>6268</v>
      </c>
      <c r="L779" s="49" t="s">
        <v>6036</v>
      </c>
      <c r="M779" s="49" t="s">
        <v>6259</v>
      </c>
      <c r="N779" s="50" t="s">
        <v>6259</v>
      </c>
    </row>
    <row r="780" spans="1:14" ht="11.1" customHeight="1">
      <c r="A780" s="51" t="s">
        <v>7849</v>
      </c>
      <c r="B780" s="60" t="s">
        <v>6217</v>
      </c>
      <c r="C780" s="61">
        <v>107807</v>
      </c>
      <c r="D780" s="62">
        <v>0.43454444319042934</v>
      </c>
      <c r="E780" s="63" t="s">
        <v>6251</v>
      </c>
      <c r="F780" s="64" t="s">
        <v>7850</v>
      </c>
      <c r="G780" s="64">
        <v>69</v>
      </c>
      <c r="H780" s="64" t="s">
        <v>0</v>
      </c>
      <c r="I780" s="64" t="s">
        <v>6233</v>
      </c>
      <c r="J780" s="64" t="s">
        <v>6257</v>
      </c>
      <c r="K780" s="64" t="s">
        <v>6402</v>
      </c>
      <c r="L780" s="64" t="s">
        <v>6209</v>
      </c>
      <c r="M780" s="64">
        <v>4</v>
      </c>
      <c r="N780" s="65" t="s">
        <v>6260</v>
      </c>
    </row>
    <row r="781" spans="1:14" ht="11.1" customHeight="1">
      <c r="A781" s="31" t="s">
        <v>7851</v>
      </c>
      <c r="B781" s="38" t="s">
        <v>6230</v>
      </c>
      <c r="C781" s="39">
        <v>90453</v>
      </c>
      <c r="D781" s="40">
        <v>0.36459458587943183</v>
      </c>
      <c r="E781" s="41">
        <v>83.902715037056964</v>
      </c>
      <c r="F781" s="42" t="s">
        <v>7852</v>
      </c>
      <c r="G781" s="42">
        <v>46</v>
      </c>
      <c r="H781" s="42" t="s">
        <v>6049</v>
      </c>
      <c r="I781" s="42" t="s">
        <v>6233</v>
      </c>
      <c r="J781" s="42" t="s">
        <v>7280</v>
      </c>
      <c r="K781" s="42" t="s">
        <v>6259</v>
      </c>
      <c r="L781" s="42" t="s">
        <v>6036</v>
      </c>
      <c r="M781" s="42" t="s">
        <v>6259</v>
      </c>
      <c r="N781" s="43" t="s">
        <v>7853</v>
      </c>
    </row>
    <row r="782" spans="1:14" ht="11.1" customHeight="1">
      <c r="A782" s="31" t="s">
        <v>7854</v>
      </c>
      <c r="B782" s="38" t="s">
        <v>6232</v>
      </c>
      <c r="C782" s="39">
        <v>45716</v>
      </c>
      <c r="D782" s="40">
        <v>0.18427035132128403</v>
      </c>
      <c r="E782" s="104">
        <v>42.405409667275777</v>
      </c>
      <c r="F782" s="105" t="s">
        <v>7855</v>
      </c>
      <c r="G782" s="105">
        <v>66</v>
      </c>
      <c r="H782" s="105" t="s">
        <v>0</v>
      </c>
      <c r="I782" s="105" t="s">
        <v>6233</v>
      </c>
      <c r="J782" s="105" t="s">
        <v>6264</v>
      </c>
      <c r="K782" s="105" t="s">
        <v>6259</v>
      </c>
      <c r="L782" s="105" t="s">
        <v>6209</v>
      </c>
      <c r="M782" s="105">
        <v>6</v>
      </c>
      <c r="N782" s="43" t="s">
        <v>6259</v>
      </c>
    </row>
    <row r="783" spans="1:14" ht="11.1" customHeight="1">
      <c r="A783" s="44" t="s">
        <v>7856</v>
      </c>
      <c r="B783" s="45" t="s">
        <v>6231</v>
      </c>
      <c r="C783" s="46">
        <v>4116</v>
      </c>
      <c r="D783" s="47">
        <v>1.659061960885478E-2</v>
      </c>
      <c r="E783" s="48" t="s">
        <v>6262</v>
      </c>
      <c r="F783" s="49" t="s">
        <v>7857</v>
      </c>
      <c r="G783" s="49">
        <v>29</v>
      </c>
      <c r="H783" s="49" t="s">
        <v>0</v>
      </c>
      <c r="I783" s="49" t="s">
        <v>6259</v>
      </c>
      <c r="J783" s="49" t="s">
        <v>6267</v>
      </c>
      <c r="K783" s="49" t="s">
        <v>6268</v>
      </c>
      <c r="L783" s="49" t="s">
        <v>6036</v>
      </c>
      <c r="M783" s="49" t="s">
        <v>6259</v>
      </c>
      <c r="N783" s="50" t="s">
        <v>6259</v>
      </c>
    </row>
    <row r="784" spans="1:14" ht="11.1" customHeight="1">
      <c r="A784" s="51" t="s">
        <v>7858</v>
      </c>
      <c r="B784" s="52" t="s">
        <v>6217</v>
      </c>
      <c r="C784" s="53">
        <v>136798</v>
      </c>
      <c r="D784" s="54">
        <v>0.48368938767139757</v>
      </c>
      <c r="E784" s="55" t="s">
        <v>6251</v>
      </c>
      <c r="F784" s="56" t="s">
        <v>7859</v>
      </c>
      <c r="G784" s="56">
        <v>46</v>
      </c>
      <c r="H784" s="56" t="s">
        <v>0</v>
      </c>
      <c r="I784" s="56" t="s">
        <v>6233</v>
      </c>
      <c r="J784" s="56" t="s">
        <v>6253</v>
      </c>
      <c r="K784" s="56" t="s">
        <v>6053</v>
      </c>
      <c r="L784" s="56" t="s">
        <v>6036</v>
      </c>
      <c r="M784" s="56" t="s">
        <v>6259</v>
      </c>
      <c r="N784" s="57" t="s">
        <v>6213</v>
      </c>
    </row>
    <row r="785" spans="1:14" ht="11.1" customHeight="1">
      <c r="A785" s="31" t="s">
        <v>7860</v>
      </c>
      <c r="B785" s="38" t="s">
        <v>6232</v>
      </c>
      <c r="C785" s="39">
        <v>104859</v>
      </c>
      <c r="D785" s="40">
        <v>0.37075970044763135</v>
      </c>
      <c r="E785" s="58">
        <v>76.652436439129232</v>
      </c>
      <c r="F785" s="59" t="s">
        <v>7861</v>
      </c>
      <c r="G785" s="59">
        <v>62</v>
      </c>
      <c r="H785" s="59" t="s">
        <v>0</v>
      </c>
      <c r="I785" s="59" t="s">
        <v>6233</v>
      </c>
      <c r="J785" s="59" t="s">
        <v>6257</v>
      </c>
      <c r="K785" s="59" t="s">
        <v>6286</v>
      </c>
      <c r="L785" s="59" t="s">
        <v>6209</v>
      </c>
      <c r="M785" s="59">
        <v>4</v>
      </c>
      <c r="N785" s="43" t="s">
        <v>6260</v>
      </c>
    </row>
    <row r="786" spans="1:14" ht="11.1" customHeight="1">
      <c r="A786" s="31" t="s">
        <v>7862</v>
      </c>
      <c r="B786" s="38" t="s">
        <v>6231</v>
      </c>
      <c r="C786" s="39">
        <v>27855</v>
      </c>
      <c r="D786" s="40">
        <v>9.8489509302670933E-2</v>
      </c>
      <c r="E786" s="41" t="s">
        <v>6262</v>
      </c>
      <c r="F786" s="42" t="s">
        <v>7863</v>
      </c>
      <c r="G786" s="42">
        <v>61</v>
      </c>
      <c r="H786" s="42" t="s">
        <v>0</v>
      </c>
      <c r="I786" s="42" t="s">
        <v>6259</v>
      </c>
      <c r="J786" s="42" t="s">
        <v>6264</v>
      </c>
      <c r="K786" s="42" t="s">
        <v>6259</v>
      </c>
      <c r="L786" s="42" t="s">
        <v>6036</v>
      </c>
      <c r="M786" s="42" t="s">
        <v>6259</v>
      </c>
      <c r="N786" s="43" t="s">
        <v>6259</v>
      </c>
    </row>
    <row r="787" spans="1:14" ht="11.1" customHeight="1">
      <c r="A787" s="31" t="s">
        <v>7864</v>
      </c>
      <c r="B787" s="38" t="s">
        <v>6231</v>
      </c>
      <c r="C787" s="39">
        <v>10167</v>
      </c>
      <c r="D787" s="40">
        <v>3.5948405711012578E-2</v>
      </c>
      <c r="E787" s="41" t="s">
        <v>6262</v>
      </c>
      <c r="F787" s="42" t="s">
        <v>7865</v>
      </c>
      <c r="G787" s="42">
        <v>59</v>
      </c>
      <c r="H787" s="42" t="s">
        <v>0</v>
      </c>
      <c r="I787" s="42" t="s">
        <v>6259</v>
      </c>
      <c r="J787" s="42" t="s">
        <v>6322</v>
      </c>
      <c r="K787" s="42" t="s">
        <v>6360</v>
      </c>
      <c r="L787" s="42" t="s">
        <v>6036</v>
      </c>
      <c r="M787" s="42" t="s">
        <v>6259</v>
      </c>
      <c r="N787" s="43" t="s">
        <v>6259</v>
      </c>
    </row>
    <row r="788" spans="1:14" ht="11.1" customHeight="1">
      <c r="A788" s="44" t="s">
        <v>7866</v>
      </c>
      <c r="B788" s="45" t="s">
        <v>6231</v>
      </c>
      <c r="C788" s="46">
        <v>3143</v>
      </c>
      <c r="D788" s="47">
        <v>1.1112996867287553E-2</v>
      </c>
      <c r="E788" s="48" t="s">
        <v>6262</v>
      </c>
      <c r="F788" s="49" t="s">
        <v>7867</v>
      </c>
      <c r="G788" s="49">
        <v>59</v>
      </c>
      <c r="H788" s="49" t="s">
        <v>0</v>
      </c>
      <c r="I788" s="49" t="s">
        <v>6259</v>
      </c>
      <c r="J788" s="49" t="s">
        <v>6267</v>
      </c>
      <c r="K788" s="49" t="s">
        <v>6268</v>
      </c>
      <c r="L788" s="49" t="s">
        <v>6036</v>
      </c>
      <c r="M788" s="49" t="s">
        <v>6259</v>
      </c>
      <c r="N788" s="50" t="s">
        <v>6259</v>
      </c>
    </row>
    <row r="789" spans="1:14" ht="11.1" customHeight="1">
      <c r="A789" s="51" t="s">
        <v>7868</v>
      </c>
      <c r="B789" s="52" t="s">
        <v>6217</v>
      </c>
      <c r="C789" s="53">
        <v>123651</v>
      </c>
      <c r="D789" s="54">
        <v>0.46778141373635729</v>
      </c>
      <c r="E789" s="55" t="s">
        <v>6251</v>
      </c>
      <c r="F789" s="56" t="s">
        <v>7869</v>
      </c>
      <c r="G789" s="56">
        <v>38</v>
      </c>
      <c r="H789" s="56" t="s">
        <v>0</v>
      </c>
      <c r="I789" s="56" t="s">
        <v>6233</v>
      </c>
      <c r="J789" s="56" t="s">
        <v>6253</v>
      </c>
      <c r="K789" s="56" t="s">
        <v>6035</v>
      </c>
      <c r="L789" s="56" t="s">
        <v>6036</v>
      </c>
      <c r="M789" s="56" t="s">
        <v>6259</v>
      </c>
      <c r="N789" s="57" t="s">
        <v>6213</v>
      </c>
    </row>
    <row r="790" spans="1:14" ht="11.1" customHeight="1">
      <c r="A790" s="31" t="s">
        <v>7870</v>
      </c>
      <c r="B790" s="38" t="s">
        <v>6232</v>
      </c>
      <c r="C790" s="39">
        <v>107896</v>
      </c>
      <c r="D790" s="40">
        <v>0.40817901526472089</v>
      </c>
      <c r="E790" s="58">
        <v>87.258493663617756</v>
      </c>
      <c r="F790" s="59" t="s">
        <v>7871</v>
      </c>
      <c r="G790" s="59">
        <v>68</v>
      </c>
      <c r="H790" s="59" t="s">
        <v>0</v>
      </c>
      <c r="I790" s="59" t="s">
        <v>6233</v>
      </c>
      <c r="J790" s="59" t="s">
        <v>6257</v>
      </c>
      <c r="K790" s="59" t="s">
        <v>6402</v>
      </c>
      <c r="L790" s="59" t="s">
        <v>6209</v>
      </c>
      <c r="M790" s="59">
        <v>4</v>
      </c>
      <c r="N790" s="43" t="s">
        <v>6260</v>
      </c>
    </row>
    <row r="791" spans="1:14" ht="11.1" customHeight="1">
      <c r="A791" s="31" t="s">
        <v>7872</v>
      </c>
      <c r="B791" s="38" t="s">
        <v>6231</v>
      </c>
      <c r="C791" s="39">
        <v>26134</v>
      </c>
      <c r="D791" s="40">
        <v>9.8866968051903828E-2</v>
      </c>
      <c r="E791" s="41" t="s">
        <v>6262</v>
      </c>
      <c r="F791" s="42" t="s">
        <v>7873</v>
      </c>
      <c r="G791" s="42">
        <v>66</v>
      </c>
      <c r="H791" s="42" t="s">
        <v>0</v>
      </c>
      <c r="I791" s="42" t="s">
        <v>6259</v>
      </c>
      <c r="J791" s="42" t="s">
        <v>6264</v>
      </c>
      <c r="K791" s="42" t="s">
        <v>6259</v>
      </c>
      <c r="L791" s="42" t="s">
        <v>6036</v>
      </c>
      <c r="M791" s="42" t="s">
        <v>6259</v>
      </c>
      <c r="N791" s="43" t="s">
        <v>6259</v>
      </c>
    </row>
    <row r="792" spans="1:14" ht="11.1" customHeight="1">
      <c r="A792" s="44" t="s">
        <v>7874</v>
      </c>
      <c r="B792" s="45" t="s">
        <v>6231</v>
      </c>
      <c r="C792" s="46">
        <v>6654</v>
      </c>
      <c r="D792" s="47">
        <v>2.5172602947017987E-2</v>
      </c>
      <c r="E792" s="48" t="s">
        <v>6262</v>
      </c>
      <c r="F792" s="49" t="s">
        <v>7875</v>
      </c>
      <c r="G792" s="49">
        <v>52</v>
      </c>
      <c r="H792" s="49" t="s">
        <v>0</v>
      </c>
      <c r="I792" s="49" t="s">
        <v>6259</v>
      </c>
      <c r="J792" s="49" t="s">
        <v>6267</v>
      </c>
      <c r="K792" s="49" t="s">
        <v>6268</v>
      </c>
      <c r="L792" s="49" t="s">
        <v>6036</v>
      </c>
      <c r="M792" s="49" t="s">
        <v>6259</v>
      </c>
      <c r="N792" s="50" t="s">
        <v>6259</v>
      </c>
    </row>
    <row r="793" spans="1:14" ht="11.1" customHeight="1">
      <c r="A793" s="51" t="s">
        <v>7876</v>
      </c>
      <c r="B793" s="52" t="s">
        <v>6217</v>
      </c>
      <c r="C793" s="53">
        <v>100548</v>
      </c>
      <c r="D793" s="54">
        <v>0.48047250189946911</v>
      </c>
      <c r="E793" s="55" t="s">
        <v>6251</v>
      </c>
      <c r="F793" s="56" t="s">
        <v>7877</v>
      </c>
      <c r="G793" s="56">
        <v>38</v>
      </c>
      <c r="H793" s="56" t="s">
        <v>0</v>
      </c>
      <c r="I793" s="56" t="s">
        <v>6233</v>
      </c>
      <c r="J793" s="56" t="s">
        <v>6253</v>
      </c>
      <c r="K793" s="56" t="s">
        <v>6053</v>
      </c>
      <c r="L793" s="56" t="s">
        <v>6036</v>
      </c>
      <c r="M793" s="56" t="s">
        <v>6259</v>
      </c>
      <c r="N793" s="57" t="s">
        <v>6213</v>
      </c>
    </row>
    <row r="794" spans="1:14" ht="11.1" customHeight="1">
      <c r="A794" s="31" t="s">
        <v>7878</v>
      </c>
      <c r="B794" s="38" t="s">
        <v>6230</v>
      </c>
      <c r="C794" s="39">
        <v>84883</v>
      </c>
      <c r="D794" s="40">
        <v>0.40561669430254838</v>
      </c>
      <c r="E794" s="41" t="s">
        <v>6262</v>
      </c>
      <c r="F794" s="42" t="s">
        <v>7879</v>
      </c>
      <c r="G794" s="42">
        <v>56</v>
      </c>
      <c r="H794" s="42" t="s">
        <v>0</v>
      </c>
      <c r="I794" s="42" t="s">
        <v>6259</v>
      </c>
      <c r="J794" s="42" t="s">
        <v>6929</v>
      </c>
      <c r="K794" s="42" t="s">
        <v>6259</v>
      </c>
      <c r="L794" s="42" t="s">
        <v>6209</v>
      </c>
      <c r="M794" s="42">
        <v>6</v>
      </c>
      <c r="N794" s="43" t="s">
        <v>6930</v>
      </c>
    </row>
    <row r="795" spans="1:14" ht="11.1" customHeight="1">
      <c r="A795" s="31" t="s">
        <v>7880</v>
      </c>
      <c r="B795" s="38" t="s">
        <v>6231</v>
      </c>
      <c r="C795" s="39">
        <v>19379</v>
      </c>
      <c r="D795" s="40">
        <v>9.2603300058776025E-2</v>
      </c>
      <c r="E795" s="41" t="s">
        <v>6262</v>
      </c>
      <c r="F795" s="42" t="s">
        <v>7881</v>
      </c>
      <c r="G795" s="42">
        <v>64</v>
      </c>
      <c r="H795" s="42" t="s">
        <v>0</v>
      </c>
      <c r="I795" s="42" t="s">
        <v>6259</v>
      </c>
      <c r="J795" s="42" t="s">
        <v>6264</v>
      </c>
      <c r="K795" s="42" t="s">
        <v>6259</v>
      </c>
      <c r="L795" s="42" t="s">
        <v>6036</v>
      </c>
      <c r="M795" s="42" t="s">
        <v>6259</v>
      </c>
      <c r="N795" s="43" t="s">
        <v>6259</v>
      </c>
    </row>
    <row r="796" spans="1:14" ht="11.1" customHeight="1">
      <c r="A796" s="44" t="s">
        <v>7882</v>
      </c>
      <c r="B796" s="45" t="s">
        <v>6231</v>
      </c>
      <c r="C796" s="46">
        <v>4459</v>
      </c>
      <c r="D796" s="47">
        <v>2.1307503739206476E-2</v>
      </c>
      <c r="E796" s="48" t="s">
        <v>6262</v>
      </c>
      <c r="F796" s="49" t="s">
        <v>7883</v>
      </c>
      <c r="G796" s="49">
        <v>49</v>
      </c>
      <c r="H796" s="49" t="s">
        <v>0</v>
      </c>
      <c r="I796" s="49" t="s">
        <v>6259</v>
      </c>
      <c r="J796" s="49" t="s">
        <v>6267</v>
      </c>
      <c r="K796" s="49" t="s">
        <v>6268</v>
      </c>
      <c r="L796" s="49" t="s">
        <v>6036</v>
      </c>
      <c r="M796" s="49" t="s">
        <v>6259</v>
      </c>
      <c r="N796" s="50" t="s">
        <v>6259</v>
      </c>
    </row>
    <row r="797" spans="1:14" ht="11.1" customHeight="1">
      <c r="A797" s="51" t="s">
        <v>7884</v>
      </c>
      <c r="B797" s="52" t="s">
        <v>6217</v>
      </c>
      <c r="C797" s="53">
        <v>92666</v>
      </c>
      <c r="D797" s="54">
        <v>0.43114502396128973</v>
      </c>
      <c r="E797" s="55" t="s">
        <v>6251</v>
      </c>
      <c r="F797" s="56" t="s">
        <v>7885</v>
      </c>
      <c r="G797" s="56">
        <v>61</v>
      </c>
      <c r="H797" s="56" t="s">
        <v>0</v>
      </c>
      <c r="I797" s="56" t="s">
        <v>6233</v>
      </c>
      <c r="J797" s="56" t="s">
        <v>6253</v>
      </c>
      <c r="K797" s="56" t="s">
        <v>6053</v>
      </c>
      <c r="L797" s="56" t="s">
        <v>6283</v>
      </c>
      <c r="M797" s="56">
        <v>1</v>
      </c>
      <c r="N797" s="57" t="s">
        <v>6213</v>
      </c>
    </row>
    <row r="798" spans="1:14" ht="11.1" customHeight="1">
      <c r="A798" s="31" t="s">
        <v>7886</v>
      </c>
      <c r="B798" s="38" t="s">
        <v>6230</v>
      </c>
      <c r="C798" s="39">
        <v>65054</v>
      </c>
      <c r="D798" s="40">
        <v>0.30267528962918161</v>
      </c>
      <c r="E798" s="41">
        <v>70.202663328513154</v>
      </c>
      <c r="F798" s="42" t="s">
        <v>7887</v>
      </c>
      <c r="G798" s="42">
        <v>70</v>
      </c>
      <c r="H798" s="42" t="s">
        <v>6049</v>
      </c>
      <c r="I798" s="42" t="s">
        <v>6233</v>
      </c>
      <c r="J798" s="42" t="s">
        <v>6257</v>
      </c>
      <c r="K798" s="42" t="s">
        <v>6273</v>
      </c>
      <c r="L798" s="42" t="s">
        <v>6209</v>
      </c>
      <c r="M798" s="42">
        <v>2</v>
      </c>
      <c r="N798" s="43" t="s">
        <v>6260</v>
      </c>
    </row>
    <row r="799" spans="1:14" ht="11.1" customHeight="1">
      <c r="A799" s="31" t="s">
        <v>7888</v>
      </c>
      <c r="B799" s="38" t="s">
        <v>6230</v>
      </c>
      <c r="C799" s="39">
        <v>36650</v>
      </c>
      <c r="D799" s="40">
        <v>0.17052063462522682</v>
      </c>
      <c r="E799" s="41">
        <v>39.550644249239205</v>
      </c>
      <c r="F799" s="42" t="s">
        <v>7889</v>
      </c>
      <c r="G799" s="42">
        <v>61</v>
      </c>
      <c r="H799" s="42" t="s">
        <v>0</v>
      </c>
      <c r="I799" s="42" t="s">
        <v>6233</v>
      </c>
      <c r="J799" s="42" t="s">
        <v>7890</v>
      </c>
      <c r="K799" s="42" t="s">
        <v>6259</v>
      </c>
      <c r="L799" s="42" t="s">
        <v>6209</v>
      </c>
      <c r="M799" s="42">
        <v>5</v>
      </c>
      <c r="N799" s="43" t="s">
        <v>6259</v>
      </c>
    </row>
    <row r="800" spans="1:14" ht="11.1" customHeight="1">
      <c r="A800" s="44" t="s">
        <v>7891</v>
      </c>
      <c r="B800" s="45" t="s">
        <v>6231</v>
      </c>
      <c r="C800" s="46">
        <v>20560</v>
      </c>
      <c r="D800" s="47">
        <v>9.5659051784301868E-2</v>
      </c>
      <c r="E800" s="48" t="s">
        <v>6262</v>
      </c>
      <c r="F800" s="49" t="s">
        <v>7892</v>
      </c>
      <c r="G800" s="49">
        <v>62</v>
      </c>
      <c r="H800" s="49" t="s">
        <v>0</v>
      </c>
      <c r="I800" s="49" t="s">
        <v>6259</v>
      </c>
      <c r="J800" s="49" t="s">
        <v>6264</v>
      </c>
      <c r="K800" s="49" t="s">
        <v>6259</v>
      </c>
      <c r="L800" s="49" t="s">
        <v>6036</v>
      </c>
      <c r="M800" s="49" t="s">
        <v>6259</v>
      </c>
      <c r="N800" s="50" t="s">
        <v>6259</v>
      </c>
    </row>
    <row r="801" spans="1:14" ht="11.1" customHeight="1">
      <c r="A801" s="51" t="s">
        <v>7893</v>
      </c>
      <c r="B801" s="52" t="s">
        <v>6217</v>
      </c>
      <c r="C801" s="53">
        <v>132399</v>
      </c>
      <c r="D801" s="54">
        <v>0.48595170543176253</v>
      </c>
      <c r="E801" s="55" t="s">
        <v>6251</v>
      </c>
      <c r="F801" s="56" t="s">
        <v>7894</v>
      </c>
      <c r="G801" s="56">
        <v>58</v>
      </c>
      <c r="H801" s="56" t="s">
        <v>0</v>
      </c>
      <c r="I801" s="56" t="s">
        <v>6233</v>
      </c>
      <c r="J801" s="56" t="s">
        <v>6253</v>
      </c>
      <c r="K801" s="56" t="s">
        <v>6254</v>
      </c>
      <c r="L801" s="56" t="s">
        <v>6283</v>
      </c>
      <c r="M801" s="56">
        <v>1</v>
      </c>
      <c r="N801" s="57" t="s">
        <v>6213</v>
      </c>
    </row>
    <row r="802" spans="1:14" ht="11.1" customHeight="1">
      <c r="A802" s="31" t="s">
        <v>7895</v>
      </c>
      <c r="B802" s="38" t="s">
        <v>6230</v>
      </c>
      <c r="C802" s="39">
        <v>104699</v>
      </c>
      <c r="D802" s="40">
        <v>0.3842827937295607</v>
      </c>
      <c r="E802" s="41" t="s">
        <v>6262</v>
      </c>
      <c r="F802" s="42" t="s">
        <v>7896</v>
      </c>
      <c r="G802" s="42">
        <v>85</v>
      </c>
      <c r="H802" s="42" t="s">
        <v>0</v>
      </c>
      <c r="I802" s="42" t="s">
        <v>6259</v>
      </c>
      <c r="J802" s="42" t="s">
        <v>6257</v>
      </c>
      <c r="K802" s="42" t="s">
        <v>6258</v>
      </c>
      <c r="L802" s="42" t="s">
        <v>6209</v>
      </c>
      <c r="M802" s="42">
        <v>7</v>
      </c>
      <c r="N802" s="43" t="s">
        <v>6260</v>
      </c>
    </row>
    <row r="803" spans="1:14" ht="11.1" customHeight="1">
      <c r="A803" s="31" t="s">
        <v>7897</v>
      </c>
      <c r="B803" s="38"/>
      <c r="C803" s="39">
        <v>27440</v>
      </c>
      <c r="D803" s="40">
        <v>0.10071461866817397</v>
      </c>
      <c r="E803" s="41" t="s">
        <v>6262</v>
      </c>
      <c r="F803" s="42" t="s">
        <v>7898</v>
      </c>
      <c r="G803" s="42">
        <v>41</v>
      </c>
      <c r="H803" s="42" t="s">
        <v>0</v>
      </c>
      <c r="I803" s="42" t="s">
        <v>6259</v>
      </c>
      <c r="J803" s="42" t="s">
        <v>6264</v>
      </c>
      <c r="K803" s="42" t="s">
        <v>6259</v>
      </c>
      <c r="L803" s="42" t="s">
        <v>6036</v>
      </c>
      <c r="M803" s="42" t="s">
        <v>6259</v>
      </c>
      <c r="N803" s="43" t="s">
        <v>6259</v>
      </c>
    </row>
    <row r="804" spans="1:14" ht="11.1" customHeight="1">
      <c r="A804" s="44" t="s">
        <v>7899</v>
      </c>
      <c r="B804" s="45" t="s">
        <v>6231</v>
      </c>
      <c r="C804" s="46">
        <v>7915</v>
      </c>
      <c r="D804" s="47">
        <v>2.9050882170502803E-2</v>
      </c>
      <c r="E804" s="48" t="s">
        <v>6262</v>
      </c>
      <c r="F804" s="49" t="s">
        <v>7900</v>
      </c>
      <c r="G804" s="49">
        <v>45</v>
      </c>
      <c r="H804" s="49" t="s">
        <v>0</v>
      </c>
      <c r="I804" s="49" t="s">
        <v>6259</v>
      </c>
      <c r="J804" s="49" t="s">
        <v>6267</v>
      </c>
      <c r="K804" s="49" t="s">
        <v>6268</v>
      </c>
      <c r="L804" s="49" t="s">
        <v>6036</v>
      </c>
      <c r="M804" s="49" t="s">
        <v>6259</v>
      </c>
      <c r="N804" s="50" t="s">
        <v>6259</v>
      </c>
    </row>
    <row r="805" spans="1:14" ht="11.1" customHeight="1">
      <c r="A805" s="51" t="s">
        <v>7901</v>
      </c>
      <c r="B805" s="52" t="s">
        <v>6217</v>
      </c>
      <c r="C805" s="53">
        <v>110313</v>
      </c>
      <c r="D805" s="54">
        <v>0.55597387281139432</v>
      </c>
      <c r="E805" s="55" t="s">
        <v>6251</v>
      </c>
      <c r="F805" s="56" t="s">
        <v>7902</v>
      </c>
      <c r="G805" s="56">
        <v>40</v>
      </c>
      <c r="H805" s="56" t="s">
        <v>0</v>
      </c>
      <c r="I805" s="56" t="s">
        <v>6233</v>
      </c>
      <c r="J805" s="56" t="s">
        <v>6253</v>
      </c>
      <c r="K805" s="56" t="s">
        <v>6053</v>
      </c>
      <c r="L805" s="56" t="s">
        <v>6209</v>
      </c>
      <c r="M805" s="56">
        <v>2</v>
      </c>
      <c r="N805" s="57" t="s">
        <v>6465</v>
      </c>
    </row>
    <row r="806" spans="1:14" ht="11.1" customHeight="1">
      <c r="A806" s="31" t="s">
        <v>7903</v>
      </c>
      <c r="B806" s="38" t="s">
        <v>6230</v>
      </c>
      <c r="C806" s="39">
        <v>70879</v>
      </c>
      <c r="D806" s="40">
        <v>0.35722781658552322</v>
      </c>
      <c r="E806" s="41">
        <v>64.252626616989843</v>
      </c>
      <c r="F806" s="42" t="s">
        <v>7904</v>
      </c>
      <c r="G806" s="42">
        <v>62</v>
      </c>
      <c r="H806" s="42" t="s">
        <v>0</v>
      </c>
      <c r="I806" s="42" t="s">
        <v>6233</v>
      </c>
      <c r="J806" s="42" t="s">
        <v>6257</v>
      </c>
      <c r="K806" s="42" t="s">
        <v>6671</v>
      </c>
      <c r="L806" s="42" t="s">
        <v>6209</v>
      </c>
      <c r="M806" s="42">
        <v>3</v>
      </c>
      <c r="N806" s="43" t="s">
        <v>6260</v>
      </c>
    </row>
    <row r="807" spans="1:14" ht="11.1" customHeight="1">
      <c r="A807" s="31" t="s">
        <v>7905</v>
      </c>
      <c r="B807" s="38" t="s">
        <v>6231</v>
      </c>
      <c r="C807" s="39">
        <v>14735</v>
      </c>
      <c r="D807" s="40">
        <v>7.4263912828731848E-2</v>
      </c>
      <c r="E807" s="41" t="s">
        <v>6262</v>
      </c>
      <c r="F807" s="42" t="s">
        <v>7906</v>
      </c>
      <c r="G807" s="42">
        <v>68</v>
      </c>
      <c r="H807" s="42" t="s">
        <v>0</v>
      </c>
      <c r="I807" s="42" t="s">
        <v>6259</v>
      </c>
      <c r="J807" s="42" t="s">
        <v>6264</v>
      </c>
      <c r="K807" s="42" t="s">
        <v>6259</v>
      </c>
      <c r="L807" s="42" t="s">
        <v>6036</v>
      </c>
      <c r="M807" s="42" t="s">
        <v>6259</v>
      </c>
      <c r="N807" s="43" t="s">
        <v>6259</v>
      </c>
    </row>
    <row r="808" spans="1:14" ht="11.1" customHeight="1" thickBot="1">
      <c r="A808" s="73" t="s">
        <v>7907</v>
      </c>
      <c r="B808" s="74" t="s">
        <v>6231</v>
      </c>
      <c r="C808" s="75">
        <v>2487</v>
      </c>
      <c r="D808" s="76">
        <v>1.25343977743506E-2</v>
      </c>
      <c r="E808" s="77" t="s">
        <v>6262</v>
      </c>
      <c r="F808" s="78" t="s">
        <v>7908</v>
      </c>
      <c r="G808" s="78">
        <v>36</v>
      </c>
      <c r="H808" s="78" t="s">
        <v>0</v>
      </c>
      <c r="I808" s="78" t="s">
        <v>6259</v>
      </c>
      <c r="J808" s="78" t="s">
        <v>6267</v>
      </c>
      <c r="K808" s="78" t="s">
        <v>6268</v>
      </c>
      <c r="L808" s="78" t="s">
        <v>6036</v>
      </c>
      <c r="M808" s="78" t="s">
        <v>6259</v>
      </c>
      <c r="N808" s="79" t="s">
        <v>6259</v>
      </c>
    </row>
    <row r="809" spans="1:14" ht="11.1" customHeight="1">
      <c r="A809" s="80" t="s">
        <v>7909</v>
      </c>
      <c r="B809" s="81" t="s">
        <v>6217</v>
      </c>
      <c r="C809" s="82">
        <v>111183</v>
      </c>
      <c r="D809" s="83">
        <v>0.48642228084681916</v>
      </c>
      <c r="E809" s="84" t="s">
        <v>6251</v>
      </c>
      <c r="F809" s="85" t="s">
        <v>7910</v>
      </c>
      <c r="G809" s="85">
        <v>43</v>
      </c>
      <c r="H809" s="85" t="s">
        <v>6049</v>
      </c>
      <c r="I809" s="85" t="s">
        <v>6233</v>
      </c>
      <c r="J809" s="85" t="s">
        <v>6253</v>
      </c>
      <c r="K809" s="85" t="s">
        <v>6053</v>
      </c>
      <c r="L809" s="85" t="s">
        <v>6036</v>
      </c>
      <c r="M809" s="85" t="s">
        <v>6259</v>
      </c>
      <c r="N809" s="86" t="s">
        <v>6213</v>
      </c>
    </row>
    <row r="810" spans="1:14" ht="11.1" customHeight="1">
      <c r="A810" s="31" t="s">
        <v>7911</v>
      </c>
      <c r="B810" s="38" t="s">
        <v>6230</v>
      </c>
      <c r="C810" s="39">
        <v>73767</v>
      </c>
      <c r="D810" s="40">
        <v>0.32272840624220711</v>
      </c>
      <c r="E810" s="41">
        <v>66.347373249507569</v>
      </c>
      <c r="F810" s="42" t="s">
        <v>7912</v>
      </c>
      <c r="G810" s="42">
        <v>55</v>
      </c>
      <c r="H810" s="42" t="s">
        <v>0</v>
      </c>
      <c r="I810" s="42" t="s">
        <v>6233</v>
      </c>
      <c r="J810" s="42" t="s">
        <v>6257</v>
      </c>
      <c r="K810" s="42" t="s">
        <v>6402</v>
      </c>
      <c r="L810" s="42" t="s">
        <v>6209</v>
      </c>
      <c r="M810" s="42">
        <v>1</v>
      </c>
      <c r="N810" s="43" t="s">
        <v>6260</v>
      </c>
    </row>
    <row r="811" spans="1:14" ht="11.1" customHeight="1">
      <c r="A811" s="31" t="s">
        <v>7913</v>
      </c>
      <c r="B811" s="38" t="s">
        <v>6231</v>
      </c>
      <c r="C811" s="39">
        <v>20760</v>
      </c>
      <c r="D811" s="40">
        <v>9.0824375582417877E-2</v>
      </c>
      <c r="E811" s="41" t="s">
        <v>6262</v>
      </c>
      <c r="F811" s="42" t="s">
        <v>7914</v>
      </c>
      <c r="G811" s="42">
        <v>39</v>
      </c>
      <c r="H811" s="42" t="s">
        <v>0</v>
      </c>
      <c r="I811" s="42" t="s">
        <v>6259</v>
      </c>
      <c r="J811" s="42" t="s">
        <v>6264</v>
      </c>
      <c r="K811" s="42" t="s">
        <v>6259</v>
      </c>
      <c r="L811" s="42" t="s">
        <v>6036</v>
      </c>
      <c r="M811" s="42" t="s">
        <v>6259</v>
      </c>
      <c r="N811" s="43" t="s">
        <v>6259</v>
      </c>
    </row>
    <row r="812" spans="1:14" ht="11.1" customHeight="1">
      <c r="A812" s="31" t="s">
        <v>7915</v>
      </c>
      <c r="B812" s="38" t="s">
        <v>6231</v>
      </c>
      <c r="C812" s="39">
        <v>19995</v>
      </c>
      <c r="D812" s="40">
        <v>8.7477523592025305E-2</v>
      </c>
      <c r="E812" s="41" t="s">
        <v>6262</v>
      </c>
      <c r="F812" s="42" t="s">
        <v>7916</v>
      </c>
      <c r="G812" s="42">
        <v>59</v>
      </c>
      <c r="H812" s="42" t="s">
        <v>6049</v>
      </c>
      <c r="I812" s="42" t="s">
        <v>6259</v>
      </c>
      <c r="J812" s="42" t="s">
        <v>6322</v>
      </c>
      <c r="K812" s="42" t="s">
        <v>7917</v>
      </c>
      <c r="L812" s="42" t="s">
        <v>6036</v>
      </c>
      <c r="M812" s="42" t="s">
        <v>6259</v>
      </c>
      <c r="N812" s="43" t="s">
        <v>7918</v>
      </c>
    </row>
    <row r="813" spans="1:14" ht="11.1" customHeight="1">
      <c r="A813" s="44" t="s">
        <v>7919</v>
      </c>
      <c r="B813" s="45" t="s">
        <v>6231</v>
      </c>
      <c r="C813" s="46">
        <v>2868</v>
      </c>
      <c r="D813" s="47">
        <v>1.2547413736530561E-2</v>
      </c>
      <c r="E813" s="48" t="s">
        <v>6262</v>
      </c>
      <c r="F813" s="49" t="s">
        <v>7920</v>
      </c>
      <c r="G813" s="49">
        <v>52</v>
      </c>
      <c r="H813" s="49" t="s">
        <v>0</v>
      </c>
      <c r="I813" s="49" t="s">
        <v>6259</v>
      </c>
      <c r="J813" s="49" t="s">
        <v>6267</v>
      </c>
      <c r="K813" s="49" t="s">
        <v>6268</v>
      </c>
      <c r="L813" s="49" t="s">
        <v>6036</v>
      </c>
      <c r="M813" s="49" t="s">
        <v>6259</v>
      </c>
      <c r="N813" s="50" t="s">
        <v>6259</v>
      </c>
    </row>
    <row r="814" spans="1:14" ht="11.1" customHeight="1">
      <c r="A814" s="51" t="s">
        <v>7921</v>
      </c>
      <c r="B814" s="52" t="s">
        <v>6217</v>
      </c>
      <c r="C814" s="53">
        <v>111208</v>
      </c>
      <c r="D814" s="54">
        <v>0.48939428611663643</v>
      </c>
      <c r="E814" s="55" t="s">
        <v>6251</v>
      </c>
      <c r="F814" s="56" t="s">
        <v>7922</v>
      </c>
      <c r="G814" s="56">
        <v>52</v>
      </c>
      <c r="H814" s="56" t="s">
        <v>0</v>
      </c>
      <c r="I814" s="56" t="s">
        <v>6233</v>
      </c>
      <c r="J814" s="56" t="s">
        <v>6253</v>
      </c>
      <c r="K814" s="56" t="s">
        <v>6918</v>
      </c>
      <c r="L814" s="56" t="s">
        <v>6036</v>
      </c>
      <c r="M814" s="56" t="s">
        <v>6259</v>
      </c>
      <c r="N814" s="57" t="s">
        <v>6213</v>
      </c>
    </row>
    <row r="815" spans="1:14" ht="11.1" customHeight="1">
      <c r="A815" s="31" t="s">
        <v>7923</v>
      </c>
      <c r="B815" s="38" t="s">
        <v>6230</v>
      </c>
      <c r="C815" s="39">
        <v>88502</v>
      </c>
      <c r="D815" s="40">
        <v>0.38947173863296308</v>
      </c>
      <c r="E815" s="41" t="s">
        <v>6262</v>
      </c>
      <c r="F815" s="42" t="s">
        <v>7924</v>
      </c>
      <c r="G815" s="42">
        <v>51</v>
      </c>
      <c r="H815" s="42" t="s">
        <v>0</v>
      </c>
      <c r="I815" s="42" t="s">
        <v>6259</v>
      </c>
      <c r="J815" s="42" t="s">
        <v>6929</v>
      </c>
      <c r="K815" s="42" t="s">
        <v>6259</v>
      </c>
      <c r="L815" s="42" t="s">
        <v>6209</v>
      </c>
      <c r="M815" s="42">
        <v>5</v>
      </c>
      <c r="N815" s="43" t="s">
        <v>6930</v>
      </c>
    </row>
    <row r="816" spans="1:14" ht="11.1" customHeight="1">
      <c r="A816" s="31" t="s">
        <v>7925</v>
      </c>
      <c r="B816" s="38"/>
      <c r="C816" s="39">
        <v>23041</v>
      </c>
      <c r="D816" s="40">
        <v>0.10139678572057244</v>
      </c>
      <c r="E816" s="41" t="s">
        <v>6262</v>
      </c>
      <c r="F816" s="42" t="s">
        <v>7926</v>
      </c>
      <c r="G816" s="42">
        <v>63</v>
      </c>
      <c r="H816" s="42" t="s">
        <v>6049</v>
      </c>
      <c r="I816" s="42" t="s">
        <v>6259</v>
      </c>
      <c r="J816" s="42" t="s">
        <v>6264</v>
      </c>
      <c r="K816" s="42" t="s">
        <v>6259</v>
      </c>
      <c r="L816" s="42" t="s">
        <v>6036</v>
      </c>
      <c r="M816" s="42" t="s">
        <v>6259</v>
      </c>
      <c r="N816" s="43" t="s">
        <v>6259</v>
      </c>
    </row>
    <row r="817" spans="1:14" ht="11.1" customHeight="1">
      <c r="A817" s="44" t="s">
        <v>7927</v>
      </c>
      <c r="B817" s="45" t="s">
        <v>6231</v>
      </c>
      <c r="C817" s="46">
        <v>4485</v>
      </c>
      <c r="D817" s="47">
        <v>1.973718952982802E-2</v>
      </c>
      <c r="E817" s="48" t="s">
        <v>6262</v>
      </c>
      <c r="F817" s="49" t="s">
        <v>7928</v>
      </c>
      <c r="G817" s="49">
        <v>45</v>
      </c>
      <c r="H817" s="49" t="s">
        <v>0</v>
      </c>
      <c r="I817" s="49" t="s">
        <v>6259</v>
      </c>
      <c r="J817" s="49" t="s">
        <v>6267</v>
      </c>
      <c r="K817" s="49" t="s">
        <v>6268</v>
      </c>
      <c r="L817" s="49" t="s">
        <v>6036</v>
      </c>
      <c r="M817" s="49" t="s">
        <v>6259</v>
      </c>
      <c r="N817" s="50" t="s">
        <v>6259</v>
      </c>
    </row>
    <row r="818" spans="1:14" ht="11.1" customHeight="1">
      <c r="A818" s="51" t="s">
        <v>7929</v>
      </c>
      <c r="B818" s="52" t="s">
        <v>6217</v>
      </c>
      <c r="C818" s="53">
        <v>102350</v>
      </c>
      <c r="D818" s="54">
        <v>0.49975097899434578</v>
      </c>
      <c r="E818" s="55" t="s">
        <v>6251</v>
      </c>
      <c r="F818" s="56" t="s">
        <v>7930</v>
      </c>
      <c r="G818" s="56">
        <v>70</v>
      </c>
      <c r="H818" s="56" t="s">
        <v>0</v>
      </c>
      <c r="I818" s="56" t="s">
        <v>6233</v>
      </c>
      <c r="J818" s="56" t="s">
        <v>6253</v>
      </c>
      <c r="K818" s="56" t="s">
        <v>7931</v>
      </c>
      <c r="L818" s="56" t="s">
        <v>6209</v>
      </c>
      <c r="M818" s="56">
        <v>6</v>
      </c>
      <c r="N818" s="57" t="s">
        <v>6213</v>
      </c>
    </row>
    <row r="819" spans="1:14" ht="11.1" customHeight="1">
      <c r="A819" s="31" t="s">
        <v>7932</v>
      </c>
      <c r="B819" s="38" t="s">
        <v>6230</v>
      </c>
      <c r="C819" s="39">
        <v>67833</v>
      </c>
      <c r="D819" s="40">
        <v>0.33121258581459168</v>
      </c>
      <c r="E819" s="41">
        <v>66.275525158768929</v>
      </c>
      <c r="F819" s="42" t="s">
        <v>7933</v>
      </c>
      <c r="G819" s="42">
        <v>44</v>
      </c>
      <c r="H819" s="42" t="s">
        <v>0</v>
      </c>
      <c r="I819" s="42" t="s">
        <v>6233</v>
      </c>
      <c r="J819" s="42" t="s">
        <v>6257</v>
      </c>
      <c r="K819" s="42" t="s">
        <v>6286</v>
      </c>
      <c r="L819" s="42" t="s">
        <v>6209</v>
      </c>
      <c r="M819" s="42">
        <v>1</v>
      </c>
      <c r="N819" s="43" t="s">
        <v>6260</v>
      </c>
    </row>
    <row r="820" spans="1:14" ht="11.1" customHeight="1">
      <c r="A820" s="31" t="s">
        <v>7934</v>
      </c>
      <c r="B820" s="38" t="s">
        <v>6231</v>
      </c>
      <c r="C820" s="39">
        <v>18703</v>
      </c>
      <c r="D820" s="40">
        <v>9.1322350367672195E-2</v>
      </c>
      <c r="E820" s="41">
        <v>18.273571079628724</v>
      </c>
      <c r="F820" s="42" t="s">
        <v>7935</v>
      </c>
      <c r="G820" s="42">
        <v>44</v>
      </c>
      <c r="H820" s="42" t="s">
        <v>0</v>
      </c>
      <c r="I820" s="42" t="s">
        <v>6233</v>
      </c>
      <c r="J820" s="42" t="s">
        <v>6264</v>
      </c>
      <c r="K820" s="42" t="s">
        <v>6259</v>
      </c>
      <c r="L820" s="42" t="s">
        <v>6036</v>
      </c>
      <c r="M820" s="42" t="s">
        <v>6259</v>
      </c>
      <c r="N820" s="43" t="s">
        <v>6259</v>
      </c>
    </row>
    <row r="821" spans="1:14" ht="11.1" customHeight="1">
      <c r="A821" s="31" t="s">
        <v>7936</v>
      </c>
      <c r="B821" s="38" t="s">
        <v>6231</v>
      </c>
      <c r="C821" s="39">
        <v>11011</v>
      </c>
      <c r="D821" s="40">
        <v>5.3764123397232452E-2</v>
      </c>
      <c r="E821" s="41" t="s">
        <v>6262</v>
      </c>
      <c r="F821" s="42" t="s">
        <v>7937</v>
      </c>
      <c r="G821" s="42">
        <v>53</v>
      </c>
      <c r="H821" s="42" t="s">
        <v>0</v>
      </c>
      <c r="I821" s="42" t="s">
        <v>6259</v>
      </c>
      <c r="J821" s="42" t="s">
        <v>6322</v>
      </c>
      <c r="K821" s="42" t="s">
        <v>6259</v>
      </c>
      <c r="L821" s="42" t="s">
        <v>6036</v>
      </c>
      <c r="M821" s="42" t="s">
        <v>6259</v>
      </c>
      <c r="N821" s="43" t="s">
        <v>6259</v>
      </c>
    </row>
    <row r="822" spans="1:14" ht="11.1" customHeight="1">
      <c r="A822" s="31" t="s">
        <v>7938</v>
      </c>
      <c r="B822" s="38" t="s">
        <v>6231</v>
      </c>
      <c r="C822" s="39">
        <v>2866</v>
      </c>
      <c r="D822" s="40">
        <v>1.3994003964805031E-2</v>
      </c>
      <c r="E822" s="41" t="s">
        <v>6262</v>
      </c>
      <c r="F822" s="42" t="s">
        <v>7939</v>
      </c>
      <c r="G822" s="42">
        <v>53</v>
      </c>
      <c r="H822" s="42" t="s">
        <v>0</v>
      </c>
      <c r="I822" s="42" t="s">
        <v>6259</v>
      </c>
      <c r="J822" s="42" t="s">
        <v>6322</v>
      </c>
      <c r="K822" s="42" t="s">
        <v>6259</v>
      </c>
      <c r="L822" s="42" t="s">
        <v>6036</v>
      </c>
      <c r="M822" s="42" t="s">
        <v>6259</v>
      </c>
      <c r="N822" s="43" t="s">
        <v>6259</v>
      </c>
    </row>
    <row r="823" spans="1:14" ht="11.1" customHeight="1">
      <c r="A823" s="44" t="s">
        <v>7940</v>
      </c>
      <c r="B823" s="45" t="s">
        <v>6231</v>
      </c>
      <c r="C823" s="46">
        <v>2039</v>
      </c>
      <c r="D823" s="47">
        <v>9.9559574613529173E-3</v>
      </c>
      <c r="E823" s="48" t="s">
        <v>6262</v>
      </c>
      <c r="F823" s="49" t="s">
        <v>7941</v>
      </c>
      <c r="G823" s="49">
        <v>52</v>
      </c>
      <c r="H823" s="49" t="s">
        <v>0</v>
      </c>
      <c r="I823" s="49" t="s">
        <v>6259</v>
      </c>
      <c r="J823" s="49" t="s">
        <v>6267</v>
      </c>
      <c r="K823" s="49" t="s">
        <v>6268</v>
      </c>
      <c r="L823" s="49" t="s">
        <v>6036</v>
      </c>
      <c r="M823" s="49" t="s">
        <v>6259</v>
      </c>
      <c r="N823" s="50" t="s">
        <v>6259</v>
      </c>
    </row>
    <row r="824" spans="1:14" ht="11.1" customHeight="1">
      <c r="A824" s="51" t="s">
        <v>7942</v>
      </c>
      <c r="B824" s="52" t="s">
        <v>6217</v>
      </c>
      <c r="C824" s="53">
        <v>142684</v>
      </c>
      <c r="D824" s="54">
        <v>0.51571908772183472</v>
      </c>
      <c r="E824" s="55" t="s">
        <v>6251</v>
      </c>
      <c r="F824" s="56" t="s">
        <v>7943</v>
      </c>
      <c r="G824" s="56">
        <v>45</v>
      </c>
      <c r="H824" s="56" t="s">
        <v>0</v>
      </c>
      <c r="I824" s="56" t="s">
        <v>6233</v>
      </c>
      <c r="J824" s="56" t="s">
        <v>6253</v>
      </c>
      <c r="K824" s="56" t="s">
        <v>6053</v>
      </c>
      <c r="L824" s="56" t="s">
        <v>6036</v>
      </c>
      <c r="M824" s="56" t="s">
        <v>6259</v>
      </c>
      <c r="N824" s="57" t="s">
        <v>6213</v>
      </c>
    </row>
    <row r="825" spans="1:14" ht="11.1" customHeight="1">
      <c r="A825" s="31" t="s">
        <v>7944</v>
      </c>
      <c r="B825" s="38" t="s">
        <v>6230</v>
      </c>
      <c r="C825" s="39">
        <v>103336</v>
      </c>
      <c r="D825" s="40">
        <v>0.37349911446850037</v>
      </c>
      <c r="E825" s="41" t="s">
        <v>6262</v>
      </c>
      <c r="F825" s="42" t="s">
        <v>7945</v>
      </c>
      <c r="G825" s="42">
        <v>77</v>
      </c>
      <c r="H825" s="42" t="s">
        <v>0</v>
      </c>
      <c r="I825" s="42" t="s">
        <v>6259</v>
      </c>
      <c r="J825" s="42" t="s">
        <v>6257</v>
      </c>
      <c r="K825" s="42" t="s">
        <v>6671</v>
      </c>
      <c r="L825" s="42" t="s">
        <v>6209</v>
      </c>
      <c r="M825" s="42">
        <v>7</v>
      </c>
      <c r="N825" s="43" t="s">
        <v>6260</v>
      </c>
    </row>
    <row r="826" spans="1:14" ht="11.1" customHeight="1">
      <c r="A826" s="31" t="s">
        <v>7946</v>
      </c>
      <c r="B826" s="38" t="s">
        <v>6231</v>
      </c>
      <c r="C826" s="39">
        <v>20924</v>
      </c>
      <c r="D826" s="40">
        <v>7.5628004481873706E-2</v>
      </c>
      <c r="E826" s="41" t="s">
        <v>6262</v>
      </c>
      <c r="F826" s="42" t="s">
        <v>7947</v>
      </c>
      <c r="G826" s="42">
        <v>58</v>
      </c>
      <c r="H826" s="42" t="s">
        <v>0</v>
      </c>
      <c r="I826" s="42" t="s">
        <v>6259</v>
      </c>
      <c r="J826" s="42" t="s">
        <v>6322</v>
      </c>
      <c r="K826" s="42" t="s">
        <v>6360</v>
      </c>
      <c r="L826" s="42" t="s">
        <v>6036</v>
      </c>
      <c r="M826" s="42" t="s">
        <v>6259</v>
      </c>
      <c r="N826" s="43" t="s">
        <v>6259</v>
      </c>
    </row>
    <row r="827" spans="1:14" ht="11.1" customHeight="1">
      <c r="A827" s="31" t="s">
        <v>7948</v>
      </c>
      <c r="B827" s="38" t="s">
        <v>6231</v>
      </c>
      <c r="C827" s="39">
        <v>5299</v>
      </c>
      <c r="D827" s="40">
        <v>1.9152781291791664E-2</v>
      </c>
      <c r="E827" s="41" t="s">
        <v>6262</v>
      </c>
      <c r="F827" s="42" t="s">
        <v>7949</v>
      </c>
      <c r="G827" s="42">
        <v>32</v>
      </c>
      <c r="H827" s="42" t="s">
        <v>0</v>
      </c>
      <c r="I827" s="42" t="s">
        <v>6259</v>
      </c>
      <c r="J827" s="42" t="s">
        <v>6267</v>
      </c>
      <c r="K827" s="42" t="s">
        <v>6268</v>
      </c>
      <c r="L827" s="42" t="s">
        <v>6036</v>
      </c>
      <c r="M827" s="42" t="s">
        <v>6259</v>
      </c>
      <c r="N827" s="43" t="s">
        <v>6259</v>
      </c>
    </row>
    <row r="828" spans="1:14" ht="11.1" customHeight="1">
      <c r="A828" s="44" t="s">
        <v>7950</v>
      </c>
      <c r="B828" s="45" t="s">
        <v>6231</v>
      </c>
      <c r="C828" s="46">
        <v>4427</v>
      </c>
      <c r="D828" s="47">
        <v>1.6001012035999566E-2</v>
      </c>
      <c r="E828" s="48" t="s">
        <v>6262</v>
      </c>
      <c r="F828" s="49" t="s">
        <v>7951</v>
      </c>
      <c r="G828" s="49">
        <v>61</v>
      </c>
      <c r="H828" s="49" t="s">
        <v>0</v>
      </c>
      <c r="I828" s="49" t="s">
        <v>6259</v>
      </c>
      <c r="J828" s="49" t="s">
        <v>6322</v>
      </c>
      <c r="K828" s="49" t="s">
        <v>6259</v>
      </c>
      <c r="L828" s="49" t="s">
        <v>6036</v>
      </c>
      <c r="M828" s="49" t="s">
        <v>6259</v>
      </c>
      <c r="N828" s="50" t="s">
        <v>6259</v>
      </c>
    </row>
    <row r="829" spans="1:14" ht="11.1" customHeight="1">
      <c r="A829" s="51" t="s">
        <v>7952</v>
      </c>
      <c r="B829" s="52" t="s">
        <v>6217</v>
      </c>
      <c r="C829" s="53">
        <v>142631</v>
      </c>
      <c r="D829" s="54">
        <v>0.54956576017015113</v>
      </c>
      <c r="E829" s="55" t="s">
        <v>6251</v>
      </c>
      <c r="F829" s="56" t="s">
        <v>7953</v>
      </c>
      <c r="G829" s="56">
        <v>52</v>
      </c>
      <c r="H829" s="56" t="s">
        <v>0</v>
      </c>
      <c r="I829" s="56" t="s">
        <v>6233</v>
      </c>
      <c r="J829" s="56" t="s">
        <v>6253</v>
      </c>
      <c r="K829" s="56" t="s">
        <v>6035</v>
      </c>
      <c r="L829" s="56" t="s">
        <v>6283</v>
      </c>
      <c r="M829" s="56">
        <v>1</v>
      </c>
      <c r="N829" s="57" t="s">
        <v>6213</v>
      </c>
    </row>
    <row r="830" spans="1:14" ht="11.1" customHeight="1">
      <c r="A830" s="31" t="s">
        <v>7954</v>
      </c>
      <c r="B830" s="38" t="s">
        <v>6232</v>
      </c>
      <c r="C830" s="39">
        <v>109497</v>
      </c>
      <c r="D830" s="40">
        <v>0.4218984795826366</v>
      </c>
      <c r="E830" s="58">
        <v>76.769426001360159</v>
      </c>
      <c r="F830" s="59" t="s">
        <v>7955</v>
      </c>
      <c r="G830" s="59">
        <v>57</v>
      </c>
      <c r="H830" s="59" t="s">
        <v>0</v>
      </c>
      <c r="I830" s="59" t="s">
        <v>6233</v>
      </c>
      <c r="J830" s="59" t="s">
        <v>6257</v>
      </c>
      <c r="K830" s="59" t="s">
        <v>6311</v>
      </c>
      <c r="L830" s="59" t="s">
        <v>6209</v>
      </c>
      <c r="M830" s="59">
        <v>2</v>
      </c>
      <c r="N830" s="43" t="s">
        <v>6260</v>
      </c>
    </row>
    <row r="831" spans="1:14" ht="11.1" customHeight="1">
      <c r="A831" s="44" t="s">
        <v>7956</v>
      </c>
      <c r="B831" s="45" t="s">
        <v>6231</v>
      </c>
      <c r="C831" s="46">
        <v>7406</v>
      </c>
      <c r="D831" s="47">
        <v>2.853576024721231E-2</v>
      </c>
      <c r="E831" s="48" t="s">
        <v>6262</v>
      </c>
      <c r="F831" s="49" t="s">
        <v>7957</v>
      </c>
      <c r="G831" s="49">
        <v>51</v>
      </c>
      <c r="H831" s="49" t="s">
        <v>6049</v>
      </c>
      <c r="I831" s="49" t="s">
        <v>6259</v>
      </c>
      <c r="J831" s="49" t="s">
        <v>6267</v>
      </c>
      <c r="K831" s="49" t="s">
        <v>6268</v>
      </c>
      <c r="L831" s="49" t="s">
        <v>6036</v>
      </c>
      <c r="M831" s="49" t="s">
        <v>6259</v>
      </c>
      <c r="N831" s="50" t="s">
        <v>6259</v>
      </c>
    </row>
    <row r="832" spans="1:14" ht="11.1" customHeight="1">
      <c r="A832" s="51" t="s">
        <v>7958</v>
      </c>
      <c r="B832" s="52" t="s">
        <v>6217</v>
      </c>
      <c r="C832" s="53">
        <v>172889</v>
      </c>
      <c r="D832" s="54">
        <v>0.55573984962889389</v>
      </c>
      <c r="E832" s="55" t="s">
        <v>6251</v>
      </c>
      <c r="F832" s="56" t="s">
        <v>7959</v>
      </c>
      <c r="G832" s="56">
        <v>45</v>
      </c>
      <c r="H832" s="56" t="s">
        <v>0</v>
      </c>
      <c r="I832" s="56" t="s">
        <v>6233</v>
      </c>
      <c r="J832" s="56" t="s">
        <v>6253</v>
      </c>
      <c r="K832" s="56" t="s">
        <v>6207</v>
      </c>
      <c r="L832" s="56" t="s">
        <v>6209</v>
      </c>
      <c r="M832" s="56">
        <v>2</v>
      </c>
      <c r="N832" s="57" t="s">
        <v>6213</v>
      </c>
    </row>
    <row r="833" spans="1:14" ht="11.1" customHeight="1">
      <c r="A833" s="31" t="s">
        <v>7960</v>
      </c>
      <c r="B833" s="38" t="s">
        <v>6230</v>
      </c>
      <c r="C833" s="39">
        <v>104014</v>
      </c>
      <c r="D833" s="40">
        <v>0.33434587925952358</v>
      </c>
      <c r="E833" s="41">
        <v>60.162300666901885</v>
      </c>
      <c r="F833" s="42" t="s">
        <v>7961</v>
      </c>
      <c r="G833" s="42">
        <v>50</v>
      </c>
      <c r="H833" s="42" t="s">
        <v>0</v>
      </c>
      <c r="I833" s="42" t="s">
        <v>6233</v>
      </c>
      <c r="J833" s="42" t="s">
        <v>6257</v>
      </c>
      <c r="K833" s="42" t="s">
        <v>6286</v>
      </c>
      <c r="L833" s="42" t="s">
        <v>6209</v>
      </c>
      <c r="M833" s="42">
        <v>1</v>
      </c>
      <c r="N833" s="43" t="s">
        <v>6260</v>
      </c>
    </row>
    <row r="834" spans="1:14" ht="11.1" customHeight="1">
      <c r="A834" s="31" t="s">
        <v>7962</v>
      </c>
      <c r="B834" s="38" t="s">
        <v>6231</v>
      </c>
      <c r="C834" s="39">
        <v>28098</v>
      </c>
      <c r="D834" s="40">
        <v>9.0319096616167951E-2</v>
      </c>
      <c r="E834" s="41" t="s">
        <v>6262</v>
      </c>
      <c r="F834" s="42" t="s">
        <v>7963</v>
      </c>
      <c r="G834" s="42">
        <v>46</v>
      </c>
      <c r="H834" s="42" t="s">
        <v>6049</v>
      </c>
      <c r="I834" s="42" t="s">
        <v>6259</v>
      </c>
      <c r="J834" s="42" t="s">
        <v>6264</v>
      </c>
      <c r="K834" s="42" t="s">
        <v>6259</v>
      </c>
      <c r="L834" s="42" t="s">
        <v>6036</v>
      </c>
      <c r="M834" s="42" t="s">
        <v>6259</v>
      </c>
      <c r="N834" s="43" t="s">
        <v>6259</v>
      </c>
    </row>
    <row r="835" spans="1:14" ht="11.1" customHeight="1">
      <c r="A835" s="44" t="s">
        <v>7964</v>
      </c>
      <c r="B835" s="45" t="s">
        <v>6231</v>
      </c>
      <c r="C835" s="46">
        <v>6096</v>
      </c>
      <c r="D835" s="47">
        <v>1.9595174495414612E-2</v>
      </c>
      <c r="E835" s="48" t="s">
        <v>6262</v>
      </c>
      <c r="F835" s="49" t="s">
        <v>7965</v>
      </c>
      <c r="G835" s="49">
        <v>38</v>
      </c>
      <c r="H835" s="49" t="s">
        <v>0</v>
      </c>
      <c r="I835" s="49" t="s">
        <v>6259</v>
      </c>
      <c r="J835" s="49" t="s">
        <v>6267</v>
      </c>
      <c r="K835" s="49" t="s">
        <v>6268</v>
      </c>
      <c r="L835" s="49" t="s">
        <v>6036</v>
      </c>
      <c r="M835" s="49" t="s">
        <v>6259</v>
      </c>
      <c r="N835" s="50" t="s">
        <v>6259</v>
      </c>
    </row>
    <row r="836" spans="1:14" ht="11.1" customHeight="1">
      <c r="A836" s="51" t="s">
        <v>7966</v>
      </c>
      <c r="B836" s="52" t="s">
        <v>6217</v>
      </c>
      <c r="C836" s="53">
        <v>176017</v>
      </c>
      <c r="D836" s="54">
        <v>0.58636760365378338</v>
      </c>
      <c r="E836" s="55" t="s">
        <v>6251</v>
      </c>
      <c r="F836" s="56" t="s">
        <v>7967</v>
      </c>
      <c r="G836" s="56">
        <v>38</v>
      </c>
      <c r="H836" s="56" t="s">
        <v>0</v>
      </c>
      <c r="I836" s="56" t="s">
        <v>6233</v>
      </c>
      <c r="J836" s="56" t="s">
        <v>6253</v>
      </c>
      <c r="K836" s="56" t="s">
        <v>6207</v>
      </c>
      <c r="L836" s="56" t="s">
        <v>6036</v>
      </c>
      <c r="M836" s="56" t="s">
        <v>6259</v>
      </c>
      <c r="N836" s="57" t="s">
        <v>6213</v>
      </c>
    </row>
    <row r="837" spans="1:14" ht="11.1" customHeight="1">
      <c r="A837" s="31" t="s">
        <v>7968</v>
      </c>
      <c r="B837" s="38" t="s">
        <v>6230</v>
      </c>
      <c r="C837" s="39">
        <v>90661</v>
      </c>
      <c r="D837" s="40">
        <v>0.30202010780126726</v>
      </c>
      <c r="E837" s="41">
        <v>51.506956714408268</v>
      </c>
      <c r="F837" s="42" t="s">
        <v>7969</v>
      </c>
      <c r="G837" s="42">
        <v>67</v>
      </c>
      <c r="H837" s="42" t="s">
        <v>0</v>
      </c>
      <c r="I837" s="42" t="s">
        <v>6233</v>
      </c>
      <c r="J837" s="42" t="s">
        <v>6257</v>
      </c>
      <c r="K837" s="42" t="s">
        <v>6350</v>
      </c>
      <c r="L837" s="42" t="s">
        <v>6209</v>
      </c>
      <c r="M837" s="42">
        <v>2</v>
      </c>
      <c r="N837" s="43" t="s">
        <v>6260</v>
      </c>
    </row>
    <row r="838" spans="1:14" ht="11.1" customHeight="1">
      <c r="A838" s="31" t="s">
        <v>7970</v>
      </c>
      <c r="B838" s="38" t="s">
        <v>6231</v>
      </c>
      <c r="C838" s="39">
        <v>26745</v>
      </c>
      <c r="D838" s="40">
        <v>8.9095948457935517E-2</v>
      </c>
      <c r="E838" s="41" t="s">
        <v>6262</v>
      </c>
      <c r="F838" s="42" t="s">
        <v>7971</v>
      </c>
      <c r="G838" s="42">
        <v>53</v>
      </c>
      <c r="H838" s="42" t="s">
        <v>0</v>
      </c>
      <c r="I838" s="42" t="s">
        <v>6259</v>
      </c>
      <c r="J838" s="42" t="s">
        <v>6264</v>
      </c>
      <c r="K838" s="42" t="s">
        <v>6259</v>
      </c>
      <c r="L838" s="42" t="s">
        <v>6036</v>
      </c>
      <c r="M838" s="42" t="s">
        <v>6259</v>
      </c>
      <c r="N838" s="43" t="s">
        <v>6259</v>
      </c>
    </row>
    <row r="839" spans="1:14" ht="11.1" customHeight="1">
      <c r="A839" s="44" t="s">
        <v>7972</v>
      </c>
      <c r="B839" s="45" t="s">
        <v>6231</v>
      </c>
      <c r="C839" s="46">
        <v>6759</v>
      </c>
      <c r="D839" s="47">
        <v>2.2516340087013878E-2</v>
      </c>
      <c r="E839" s="48" t="s">
        <v>6262</v>
      </c>
      <c r="F839" s="49" t="s">
        <v>7973</v>
      </c>
      <c r="G839" s="49">
        <v>49</v>
      </c>
      <c r="H839" s="49" t="s">
        <v>6049</v>
      </c>
      <c r="I839" s="49" t="s">
        <v>6259</v>
      </c>
      <c r="J839" s="49" t="s">
        <v>6267</v>
      </c>
      <c r="K839" s="49" t="s">
        <v>6268</v>
      </c>
      <c r="L839" s="49" t="s">
        <v>6036</v>
      </c>
      <c r="M839" s="49" t="s">
        <v>6259</v>
      </c>
      <c r="N839" s="50" t="s">
        <v>6259</v>
      </c>
    </row>
    <row r="840" spans="1:14" ht="11.1" customHeight="1">
      <c r="A840" s="51" t="s">
        <v>7974</v>
      </c>
      <c r="B840" s="124" t="s">
        <v>6217</v>
      </c>
      <c r="C840" s="125">
        <v>106225</v>
      </c>
      <c r="D840" s="126">
        <v>0.42190950542554373</v>
      </c>
      <c r="E840" s="127" t="s">
        <v>6251</v>
      </c>
      <c r="F840" s="128" t="s">
        <v>7975</v>
      </c>
      <c r="G840" s="128">
        <v>53</v>
      </c>
      <c r="H840" s="128" t="s">
        <v>0</v>
      </c>
      <c r="I840" s="128" t="s">
        <v>6233</v>
      </c>
      <c r="J840" s="128" t="s">
        <v>7160</v>
      </c>
      <c r="K840" s="128" t="s">
        <v>6259</v>
      </c>
      <c r="L840" s="128" t="s">
        <v>6036</v>
      </c>
      <c r="M840" s="128" t="s">
        <v>6259</v>
      </c>
      <c r="N840" s="129" t="s">
        <v>6481</v>
      </c>
    </row>
    <row r="841" spans="1:14" ht="11.1" customHeight="1">
      <c r="A841" s="31" t="s">
        <v>7976</v>
      </c>
      <c r="B841" s="38" t="s">
        <v>6230</v>
      </c>
      <c r="C841" s="39">
        <v>103918</v>
      </c>
      <c r="D841" s="40">
        <v>0.41274645314014269</v>
      </c>
      <c r="E841" s="41" t="s">
        <v>6262</v>
      </c>
      <c r="F841" s="42" t="s">
        <v>7977</v>
      </c>
      <c r="G841" s="42">
        <v>73</v>
      </c>
      <c r="H841" s="42" t="s">
        <v>0</v>
      </c>
      <c r="I841" s="42" t="s">
        <v>6259</v>
      </c>
      <c r="J841" s="42" t="s">
        <v>6929</v>
      </c>
      <c r="K841" s="42" t="s">
        <v>6259</v>
      </c>
      <c r="L841" s="42" t="s">
        <v>6209</v>
      </c>
      <c r="M841" s="42">
        <v>7</v>
      </c>
      <c r="N841" s="43" t="s">
        <v>6930</v>
      </c>
    </row>
    <row r="842" spans="1:14" ht="11.1" customHeight="1">
      <c r="A842" s="31" t="s">
        <v>7978</v>
      </c>
      <c r="B842" s="38" t="s">
        <v>6231</v>
      </c>
      <c r="C842" s="39">
        <v>20327</v>
      </c>
      <c r="D842" s="40">
        <v>8.0735745039162421E-2</v>
      </c>
      <c r="E842" s="41" t="s">
        <v>6262</v>
      </c>
      <c r="F842" s="42" t="s">
        <v>7979</v>
      </c>
      <c r="G842" s="42">
        <v>55</v>
      </c>
      <c r="H842" s="42" t="s">
        <v>6049</v>
      </c>
      <c r="I842" s="42" t="s">
        <v>6259</v>
      </c>
      <c r="J842" s="42" t="s">
        <v>6264</v>
      </c>
      <c r="K842" s="42" t="s">
        <v>6259</v>
      </c>
      <c r="L842" s="42" t="s">
        <v>6036</v>
      </c>
      <c r="M842" s="42" t="s">
        <v>6259</v>
      </c>
      <c r="N842" s="43" t="s">
        <v>6259</v>
      </c>
    </row>
    <row r="843" spans="1:14" ht="11.1" customHeight="1">
      <c r="A843" s="31" t="s">
        <v>7980</v>
      </c>
      <c r="B843" s="38" t="s">
        <v>6231</v>
      </c>
      <c r="C843" s="39">
        <v>18770</v>
      </c>
      <c r="D843" s="40">
        <v>7.4551578412214228E-2</v>
      </c>
      <c r="E843" s="41">
        <v>17.670040009413981</v>
      </c>
      <c r="F843" s="42" t="s">
        <v>7981</v>
      </c>
      <c r="G843" s="42">
        <v>32</v>
      </c>
      <c r="H843" s="42" t="s">
        <v>6049</v>
      </c>
      <c r="I843" s="42" t="s">
        <v>6233</v>
      </c>
      <c r="J843" s="42" t="s">
        <v>6278</v>
      </c>
      <c r="K843" s="42" t="s">
        <v>6259</v>
      </c>
      <c r="L843" s="42" t="s">
        <v>6036</v>
      </c>
      <c r="M843" s="42" t="s">
        <v>6259</v>
      </c>
      <c r="N843" s="43" t="s">
        <v>6259</v>
      </c>
    </row>
    <row r="844" spans="1:14" ht="11.1" customHeight="1">
      <c r="A844" s="44" t="s">
        <v>7982</v>
      </c>
      <c r="B844" s="45" t="s">
        <v>6231</v>
      </c>
      <c r="C844" s="46">
        <v>2532</v>
      </c>
      <c r="D844" s="47">
        <v>1.0056717982936943E-2</v>
      </c>
      <c r="E844" s="48" t="s">
        <v>6262</v>
      </c>
      <c r="F844" s="49" t="s">
        <v>7983</v>
      </c>
      <c r="G844" s="49">
        <v>43</v>
      </c>
      <c r="H844" s="49" t="s">
        <v>0</v>
      </c>
      <c r="I844" s="49" t="s">
        <v>6259</v>
      </c>
      <c r="J844" s="49" t="s">
        <v>6267</v>
      </c>
      <c r="K844" s="49" t="s">
        <v>6268</v>
      </c>
      <c r="L844" s="49" t="s">
        <v>6036</v>
      </c>
      <c r="M844" s="49" t="s">
        <v>6259</v>
      </c>
      <c r="N844" s="50" t="s">
        <v>6259</v>
      </c>
    </row>
    <row r="845" spans="1:14" ht="11.1" customHeight="1">
      <c r="A845" s="51" t="s">
        <v>7984</v>
      </c>
      <c r="B845" s="60" t="s">
        <v>6217</v>
      </c>
      <c r="C845" s="61">
        <v>137190</v>
      </c>
      <c r="D845" s="62">
        <v>0.60646113856790473</v>
      </c>
      <c r="E845" s="63" t="s">
        <v>6251</v>
      </c>
      <c r="F845" s="64" t="s">
        <v>7985</v>
      </c>
      <c r="G845" s="64">
        <v>46</v>
      </c>
      <c r="H845" s="64" t="s">
        <v>0</v>
      </c>
      <c r="I845" s="64" t="s">
        <v>6233</v>
      </c>
      <c r="J845" s="64" t="s">
        <v>6257</v>
      </c>
      <c r="K845" s="64" t="s">
        <v>6286</v>
      </c>
      <c r="L845" s="64" t="s">
        <v>6209</v>
      </c>
      <c r="M845" s="64">
        <v>2</v>
      </c>
      <c r="N845" s="65" t="s">
        <v>6260</v>
      </c>
    </row>
    <row r="846" spans="1:14" ht="11.1" customHeight="1">
      <c r="A846" s="31" t="s">
        <v>7986</v>
      </c>
      <c r="B846" s="38" t="s">
        <v>6230</v>
      </c>
      <c r="C846" s="39">
        <v>76991</v>
      </c>
      <c r="D846" s="40">
        <v>0.34034586718770721</v>
      </c>
      <c r="E846" s="41">
        <v>56.119979590349153</v>
      </c>
      <c r="F846" s="42" t="s">
        <v>7987</v>
      </c>
      <c r="G846" s="42">
        <v>77</v>
      </c>
      <c r="H846" s="42" t="s">
        <v>0</v>
      </c>
      <c r="I846" s="42" t="s">
        <v>6233</v>
      </c>
      <c r="J846" s="42" t="s">
        <v>7280</v>
      </c>
      <c r="K846" s="42" t="s">
        <v>6259</v>
      </c>
      <c r="L846" s="42" t="s">
        <v>6283</v>
      </c>
      <c r="M846" s="42">
        <v>3</v>
      </c>
      <c r="N846" s="43" t="s">
        <v>6481</v>
      </c>
    </row>
    <row r="847" spans="1:14" ht="11.1" customHeight="1">
      <c r="A847" s="44" t="s">
        <v>7988</v>
      </c>
      <c r="B847" s="45" t="s">
        <v>6231</v>
      </c>
      <c r="C847" s="46">
        <v>12033</v>
      </c>
      <c r="D847" s="47">
        <v>5.3192994244388059E-2</v>
      </c>
      <c r="E847" s="48" t="s">
        <v>6262</v>
      </c>
      <c r="F847" s="49" t="s">
        <v>7989</v>
      </c>
      <c r="G847" s="49">
        <v>40</v>
      </c>
      <c r="H847" s="49" t="s">
        <v>0</v>
      </c>
      <c r="I847" s="49" t="s">
        <v>6259</v>
      </c>
      <c r="J847" s="49" t="s">
        <v>6267</v>
      </c>
      <c r="K847" s="49" t="s">
        <v>6268</v>
      </c>
      <c r="L847" s="49" t="s">
        <v>6036</v>
      </c>
      <c r="M847" s="49" t="s">
        <v>6259</v>
      </c>
      <c r="N847" s="50" t="s">
        <v>6259</v>
      </c>
    </row>
    <row r="848" spans="1:14" ht="11.1" customHeight="1">
      <c r="A848" s="51" t="s">
        <v>7990</v>
      </c>
      <c r="B848" s="52" t="s">
        <v>6217</v>
      </c>
      <c r="C848" s="53">
        <v>132231</v>
      </c>
      <c r="D848" s="54">
        <v>0.57983082731494273</v>
      </c>
      <c r="E848" s="55" t="s">
        <v>6251</v>
      </c>
      <c r="F848" s="56" t="s">
        <v>7991</v>
      </c>
      <c r="G848" s="56">
        <v>34</v>
      </c>
      <c r="H848" s="56" t="s">
        <v>0</v>
      </c>
      <c r="I848" s="56" t="s">
        <v>6233</v>
      </c>
      <c r="J848" s="56" t="s">
        <v>6253</v>
      </c>
      <c r="K848" s="56" t="s">
        <v>6053</v>
      </c>
      <c r="L848" s="56" t="s">
        <v>6036</v>
      </c>
      <c r="M848" s="56" t="s">
        <v>6259</v>
      </c>
      <c r="N848" s="57" t="s">
        <v>6213</v>
      </c>
    </row>
    <row r="849" spans="1:14" ht="11.1" customHeight="1">
      <c r="A849" s="31" t="s">
        <v>7992</v>
      </c>
      <c r="B849" s="38" t="s">
        <v>6230</v>
      </c>
      <c r="C849" s="39">
        <v>92032</v>
      </c>
      <c r="D849" s="40">
        <v>0.40355885306356909</v>
      </c>
      <c r="E849" s="41">
        <v>69.599413148202771</v>
      </c>
      <c r="F849" s="42" t="s">
        <v>7993</v>
      </c>
      <c r="G849" s="42">
        <v>61</v>
      </c>
      <c r="H849" s="42" t="s">
        <v>0</v>
      </c>
      <c r="I849" s="42" t="s">
        <v>6233</v>
      </c>
      <c r="J849" s="42" t="s">
        <v>6257</v>
      </c>
      <c r="K849" s="42" t="s">
        <v>6350</v>
      </c>
      <c r="L849" s="42" t="s">
        <v>6209</v>
      </c>
      <c r="M849" s="42">
        <v>6</v>
      </c>
      <c r="N849" s="43" t="s">
        <v>6260</v>
      </c>
    </row>
    <row r="850" spans="1:14" ht="11.1" customHeight="1">
      <c r="A850" s="44" t="s">
        <v>7994</v>
      </c>
      <c r="B850" s="45" t="s">
        <v>6231</v>
      </c>
      <c r="C850" s="46">
        <v>3788</v>
      </c>
      <c r="D850" s="47">
        <v>1.6610319621488175E-2</v>
      </c>
      <c r="E850" s="48" t="s">
        <v>6262</v>
      </c>
      <c r="F850" s="49" t="s">
        <v>7995</v>
      </c>
      <c r="G850" s="49">
        <v>45</v>
      </c>
      <c r="H850" s="49" t="s">
        <v>0</v>
      </c>
      <c r="I850" s="49" t="s">
        <v>6259</v>
      </c>
      <c r="J850" s="49" t="s">
        <v>6267</v>
      </c>
      <c r="K850" s="49" t="s">
        <v>6268</v>
      </c>
      <c r="L850" s="49" t="s">
        <v>6036</v>
      </c>
      <c r="M850" s="49" t="s">
        <v>6259</v>
      </c>
      <c r="N850" s="50" t="s">
        <v>6259</v>
      </c>
    </row>
    <row r="851" spans="1:14" ht="11.1" customHeight="1">
      <c r="A851" s="51" t="s">
        <v>7996</v>
      </c>
      <c r="B851" s="52" t="s">
        <v>6217</v>
      </c>
      <c r="C851" s="53">
        <v>146058</v>
      </c>
      <c r="D851" s="54">
        <v>0.61298337208423914</v>
      </c>
      <c r="E851" s="55" t="s">
        <v>6251</v>
      </c>
      <c r="F851" s="56" t="s">
        <v>7997</v>
      </c>
      <c r="G851" s="56">
        <v>50</v>
      </c>
      <c r="H851" s="56" t="s">
        <v>0</v>
      </c>
      <c r="I851" s="56" t="s">
        <v>6233</v>
      </c>
      <c r="J851" s="56" t="s">
        <v>6253</v>
      </c>
      <c r="K851" s="56" t="s">
        <v>6207</v>
      </c>
      <c r="L851" s="56" t="s">
        <v>6209</v>
      </c>
      <c r="M851" s="56">
        <v>3</v>
      </c>
      <c r="N851" s="57" t="s">
        <v>6213</v>
      </c>
    </row>
    <row r="852" spans="1:14" ht="11.1" customHeight="1">
      <c r="A852" s="31" t="s">
        <v>7998</v>
      </c>
      <c r="B852" s="38" t="s">
        <v>6230</v>
      </c>
      <c r="C852" s="39">
        <v>86203</v>
      </c>
      <c r="D852" s="40">
        <v>0.36178097484408706</v>
      </c>
      <c r="E852" s="41">
        <v>59.019704500951676</v>
      </c>
      <c r="F852" s="42" t="s">
        <v>7999</v>
      </c>
      <c r="G852" s="42">
        <v>57</v>
      </c>
      <c r="H852" s="42" t="s">
        <v>0</v>
      </c>
      <c r="I852" s="42" t="s">
        <v>6233</v>
      </c>
      <c r="J852" s="42" t="s">
        <v>6257</v>
      </c>
      <c r="K852" s="42" t="s">
        <v>6273</v>
      </c>
      <c r="L852" s="42" t="s">
        <v>6209</v>
      </c>
      <c r="M852" s="42">
        <v>2</v>
      </c>
      <c r="N852" s="43" t="s">
        <v>6260</v>
      </c>
    </row>
    <row r="853" spans="1:14" ht="11.1" customHeight="1">
      <c r="A853" s="44" t="s">
        <v>8000</v>
      </c>
      <c r="B853" s="45" t="s">
        <v>6231</v>
      </c>
      <c r="C853" s="46">
        <v>6013</v>
      </c>
      <c r="D853" s="47">
        <v>2.5235653071673789E-2</v>
      </c>
      <c r="E853" s="48" t="s">
        <v>6262</v>
      </c>
      <c r="F853" s="49" t="s">
        <v>8001</v>
      </c>
      <c r="G853" s="49">
        <v>40</v>
      </c>
      <c r="H853" s="49" t="s">
        <v>6049</v>
      </c>
      <c r="I853" s="49" t="s">
        <v>6259</v>
      </c>
      <c r="J853" s="49" t="s">
        <v>6267</v>
      </c>
      <c r="K853" s="49" t="s">
        <v>6268</v>
      </c>
      <c r="L853" s="49" t="s">
        <v>6036</v>
      </c>
      <c r="M853" s="49" t="s">
        <v>6259</v>
      </c>
      <c r="N853" s="50" t="s">
        <v>6259</v>
      </c>
    </row>
    <row r="854" spans="1:14" ht="11.1" customHeight="1">
      <c r="A854" s="51" t="s">
        <v>8002</v>
      </c>
      <c r="B854" s="52" t="s">
        <v>6217</v>
      </c>
      <c r="C854" s="53">
        <v>123325</v>
      </c>
      <c r="D854" s="54">
        <v>0.55928436996893494</v>
      </c>
      <c r="E854" s="55" t="s">
        <v>6251</v>
      </c>
      <c r="F854" s="56" t="s">
        <v>8003</v>
      </c>
      <c r="G854" s="56">
        <v>54</v>
      </c>
      <c r="H854" s="56" t="s">
        <v>0</v>
      </c>
      <c r="I854" s="56" t="s">
        <v>6233</v>
      </c>
      <c r="J854" s="56" t="s">
        <v>6253</v>
      </c>
      <c r="K854" s="56" t="s">
        <v>6053</v>
      </c>
      <c r="L854" s="56" t="s">
        <v>6209</v>
      </c>
      <c r="M854" s="56">
        <v>2</v>
      </c>
      <c r="N854" s="57" t="s">
        <v>6213</v>
      </c>
    </row>
    <row r="855" spans="1:14" ht="11.1" customHeight="1">
      <c r="A855" s="31" t="s">
        <v>8004</v>
      </c>
      <c r="B855" s="38" t="s">
        <v>6230</v>
      </c>
      <c r="C855" s="39">
        <v>94032</v>
      </c>
      <c r="D855" s="40">
        <v>0.42643930976621847</v>
      </c>
      <c r="E855" s="41">
        <v>76.247314007703224</v>
      </c>
      <c r="F855" s="42" t="s">
        <v>8005</v>
      </c>
      <c r="G855" s="42">
        <v>58</v>
      </c>
      <c r="H855" s="42" t="s">
        <v>0</v>
      </c>
      <c r="I855" s="42" t="s">
        <v>6233</v>
      </c>
      <c r="J855" s="42" t="s">
        <v>6257</v>
      </c>
      <c r="K855" s="42" t="s">
        <v>6369</v>
      </c>
      <c r="L855" s="42" t="s">
        <v>6209</v>
      </c>
      <c r="M855" s="42">
        <v>3</v>
      </c>
      <c r="N855" s="43" t="s">
        <v>6260</v>
      </c>
    </row>
    <row r="856" spans="1:14" ht="11.1" customHeight="1" thickBot="1">
      <c r="A856" s="73" t="s">
        <v>8006</v>
      </c>
      <c r="B856" s="74" t="s">
        <v>6231</v>
      </c>
      <c r="C856" s="75">
        <v>3148</v>
      </c>
      <c r="D856" s="76">
        <v>1.4276320264846602E-2</v>
      </c>
      <c r="E856" s="77" t="s">
        <v>6262</v>
      </c>
      <c r="F856" s="78" t="s">
        <v>8007</v>
      </c>
      <c r="G856" s="78">
        <v>32</v>
      </c>
      <c r="H856" s="78" t="s">
        <v>0</v>
      </c>
      <c r="I856" s="78" t="s">
        <v>6259</v>
      </c>
      <c r="J856" s="78" t="s">
        <v>6267</v>
      </c>
      <c r="K856" s="78" t="s">
        <v>6268</v>
      </c>
      <c r="L856" s="78" t="s">
        <v>6036</v>
      </c>
      <c r="M856" s="78" t="s">
        <v>6259</v>
      </c>
      <c r="N856" s="79" t="s">
        <v>6259</v>
      </c>
    </row>
    <row r="857" spans="1:14" ht="11.1" customHeight="1">
      <c r="A857" s="80" t="s">
        <v>8008</v>
      </c>
      <c r="B857" s="81" t="s">
        <v>6217</v>
      </c>
      <c r="C857" s="82">
        <v>120812</v>
      </c>
      <c r="D857" s="83">
        <v>0.60665344347083783</v>
      </c>
      <c r="E857" s="84" t="s">
        <v>6251</v>
      </c>
      <c r="F857" s="85" t="s">
        <v>8009</v>
      </c>
      <c r="G857" s="85">
        <v>49</v>
      </c>
      <c r="H857" s="85" t="s">
        <v>0</v>
      </c>
      <c r="I857" s="85" t="s">
        <v>6233</v>
      </c>
      <c r="J857" s="85" t="s">
        <v>6253</v>
      </c>
      <c r="K857" s="85" t="s">
        <v>6053</v>
      </c>
      <c r="L857" s="85" t="s">
        <v>6209</v>
      </c>
      <c r="M857" s="85">
        <v>2</v>
      </c>
      <c r="N857" s="86" t="s">
        <v>6259</v>
      </c>
    </row>
    <row r="858" spans="1:14" ht="11.1" customHeight="1">
      <c r="A858" s="31" t="s">
        <v>8010</v>
      </c>
      <c r="B858" s="38" t="s">
        <v>6230</v>
      </c>
      <c r="C858" s="39">
        <v>61464</v>
      </c>
      <c r="D858" s="40">
        <v>0.30863943357854828</v>
      </c>
      <c r="E858" s="41">
        <v>50.8757408204483</v>
      </c>
      <c r="F858" s="42" t="s">
        <v>8011</v>
      </c>
      <c r="G858" s="42">
        <v>66</v>
      </c>
      <c r="H858" s="42" t="s">
        <v>0</v>
      </c>
      <c r="I858" s="42" t="s">
        <v>6233</v>
      </c>
      <c r="J858" s="42" t="s">
        <v>6257</v>
      </c>
      <c r="K858" s="42" t="s">
        <v>6273</v>
      </c>
      <c r="L858" s="42" t="s">
        <v>6283</v>
      </c>
      <c r="M858" s="42">
        <v>2</v>
      </c>
      <c r="N858" s="43" t="s">
        <v>6260</v>
      </c>
    </row>
    <row r="859" spans="1:14" ht="11.1" customHeight="1">
      <c r="A859" s="31" t="s">
        <v>8012</v>
      </c>
      <c r="B859" s="38" t="s">
        <v>6231</v>
      </c>
      <c r="C859" s="39">
        <v>14732</v>
      </c>
      <c r="D859" s="40">
        <v>7.3976248462175806E-2</v>
      </c>
      <c r="E859" s="41" t="s">
        <v>6262</v>
      </c>
      <c r="F859" s="42" t="s">
        <v>8013</v>
      </c>
      <c r="G859" s="42">
        <v>45</v>
      </c>
      <c r="H859" s="42" t="s">
        <v>6049</v>
      </c>
      <c r="I859" s="42" t="s">
        <v>6259</v>
      </c>
      <c r="J859" s="42" t="s">
        <v>6264</v>
      </c>
      <c r="K859" s="42" t="s">
        <v>6259</v>
      </c>
      <c r="L859" s="42" t="s">
        <v>6036</v>
      </c>
      <c r="M859" s="42" t="s">
        <v>6259</v>
      </c>
      <c r="N859" s="43" t="s">
        <v>6259</v>
      </c>
    </row>
    <row r="860" spans="1:14" ht="11.1" customHeight="1">
      <c r="A860" s="44" t="s">
        <v>8014</v>
      </c>
      <c r="B860" s="45" t="s">
        <v>6231</v>
      </c>
      <c r="C860" s="46">
        <v>2137</v>
      </c>
      <c r="D860" s="47">
        <v>1.0730874488438073E-2</v>
      </c>
      <c r="E860" s="48" t="s">
        <v>6262</v>
      </c>
      <c r="F860" s="49" t="s">
        <v>8015</v>
      </c>
      <c r="G860" s="49">
        <v>49</v>
      </c>
      <c r="H860" s="49" t="s">
        <v>6049</v>
      </c>
      <c r="I860" s="49" t="s">
        <v>6259</v>
      </c>
      <c r="J860" s="49" t="s">
        <v>6267</v>
      </c>
      <c r="K860" s="49" t="s">
        <v>6268</v>
      </c>
      <c r="L860" s="49" t="s">
        <v>6036</v>
      </c>
      <c r="M860" s="49" t="s">
        <v>6259</v>
      </c>
      <c r="N860" s="50" t="s">
        <v>6259</v>
      </c>
    </row>
    <row r="861" spans="1:14" ht="11.1" customHeight="1">
      <c r="A861" s="51" t="s">
        <v>8016</v>
      </c>
      <c r="B861" s="52" t="s">
        <v>6217</v>
      </c>
      <c r="C861" s="53">
        <v>98728</v>
      </c>
      <c r="D861" s="54">
        <v>0.4652504194077397</v>
      </c>
      <c r="E861" s="55" t="s">
        <v>6251</v>
      </c>
      <c r="F861" s="56" t="s">
        <v>8017</v>
      </c>
      <c r="G861" s="56">
        <v>70</v>
      </c>
      <c r="H861" s="56" t="s">
        <v>0</v>
      </c>
      <c r="I861" s="56" t="s">
        <v>6233</v>
      </c>
      <c r="J861" s="56" t="s">
        <v>6253</v>
      </c>
      <c r="K861" s="56" t="s">
        <v>8018</v>
      </c>
      <c r="L861" s="56" t="s">
        <v>6209</v>
      </c>
      <c r="M861" s="56">
        <v>4</v>
      </c>
      <c r="N861" s="57" t="s">
        <v>6213</v>
      </c>
    </row>
    <row r="862" spans="1:14" ht="11.1" customHeight="1">
      <c r="A862" s="31" t="s">
        <v>8019</v>
      </c>
      <c r="B862" s="38" t="s">
        <v>6232</v>
      </c>
      <c r="C862" s="39">
        <v>94879</v>
      </c>
      <c r="D862" s="40">
        <v>0.44711221277638497</v>
      </c>
      <c r="E862" s="58">
        <v>96.101409934365122</v>
      </c>
      <c r="F862" s="59" t="s">
        <v>8020</v>
      </c>
      <c r="G862" s="59">
        <v>48</v>
      </c>
      <c r="H862" s="59" t="s">
        <v>6049</v>
      </c>
      <c r="I862" s="59" t="s">
        <v>6233</v>
      </c>
      <c r="J862" s="59" t="s">
        <v>6257</v>
      </c>
      <c r="K862" s="59" t="s">
        <v>6286</v>
      </c>
      <c r="L862" s="59" t="s">
        <v>6209</v>
      </c>
      <c r="M862" s="59">
        <v>4</v>
      </c>
      <c r="N862" s="43" t="s">
        <v>6260</v>
      </c>
    </row>
    <row r="863" spans="1:14" ht="11.1" customHeight="1">
      <c r="A863" s="31" t="s">
        <v>8021</v>
      </c>
      <c r="B863" s="38" t="s">
        <v>6231</v>
      </c>
      <c r="C863" s="39">
        <v>15626</v>
      </c>
      <c r="D863" s="40">
        <v>7.3636689223577315E-2</v>
      </c>
      <c r="E863" s="41" t="s">
        <v>6262</v>
      </c>
      <c r="F863" s="42" t="s">
        <v>8022</v>
      </c>
      <c r="G863" s="42">
        <v>74</v>
      </c>
      <c r="H863" s="42" t="s">
        <v>6049</v>
      </c>
      <c r="I863" s="42" t="s">
        <v>6259</v>
      </c>
      <c r="J863" s="42" t="s">
        <v>6264</v>
      </c>
      <c r="K863" s="42" t="s">
        <v>6259</v>
      </c>
      <c r="L863" s="42" t="s">
        <v>6036</v>
      </c>
      <c r="M863" s="42" t="s">
        <v>6259</v>
      </c>
      <c r="N863" s="43" t="s">
        <v>6259</v>
      </c>
    </row>
    <row r="864" spans="1:14" ht="11.1" customHeight="1">
      <c r="A864" s="44" t="s">
        <v>8023</v>
      </c>
      <c r="B864" s="45" t="s">
        <v>6231</v>
      </c>
      <c r="C864" s="46">
        <v>2971</v>
      </c>
      <c r="D864" s="47">
        <v>1.4000678592297977E-2</v>
      </c>
      <c r="E864" s="48" t="s">
        <v>6262</v>
      </c>
      <c r="F864" s="49" t="s">
        <v>8024</v>
      </c>
      <c r="G864" s="49">
        <v>54</v>
      </c>
      <c r="H864" s="49" t="s">
        <v>6049</v>
      </c>
      <c r="I864" s="49" t="s">
        <v>6259</v>
      </c>
      <c r="J864" s="49" t="s">
        <v>6267</v>
      </c>
      <c r="K864" s="49" t="s">
        <v>6268</v>
      </c>
      <c r="L864" s="49" t="s">
        <v>6036</v>
      </c>
      <c r="M864" s="49" t="s">
        <v>6259</v>
      </c>
      <c r="N864" s="50" t="s">
        <v>6259</v>
      </c>
    </row>
    <row r="865" spans="1:14" ht="11.1" customHeight="1">
      <c r="A865" s="51" t="s">
        <v>8025</v>
      </c>
      <c r="B865" s="52" t="s">
        <v>6217</v>
      </c>
      <c r="C865" s="53">
        <v>111949</v>
      </c>
      <c r="D865" s="54">
        <v>0.54719240620173226</v>
      </c>
      <c r="E865" s="55" t="s">
        <v>6251</v>
      </c>
      <c r="F865" s="56" t="s">
        <v>8026</v>
      </c>
      <c r="G865" s="56">
        <v>45</v>
      </c>
      <c r="H865" s="56" t="s">
        <v>0</v>
      </c>
      <c r="I865" s="56" t="s">
        <v>6233</v>
      </c>
      <c r="J865" s="56" t="s">
        <v>6253</v>
      </c>
      <c r="K865" s="56" t="s">
        <v>6053</v>
      </c>
      <c r="L865" s="56" t="s">
        <v>6036</v>
      </c>
      <c r="M865" s="56" t="s">
        <v>6259</v>
      </c>
      <c r="N865" s="57" t="s">
        <v>6213</v>
      </c>
    </row>
    <row r="866" spans="1:14" ht="11.1" customHeight="1">
      <c r="A866" s="31" t="s">
        <v>8027</v>
      </c>
      <c r="B866" s="38" t="s">
        <v>6230</v>
      </c>
      <c r="C866" s="39">
        <v>75600</v>
      </c>
      <c r="D866" s="40">
        <v>0.3695231391870491</v>
      </c>
      <c r="E866" s="41">
        <v>67.530750609652614</v>
      </c>
      <c r="F866" s="42" t="s">
        <v>8028</v>
      </c>
      <c r="G866" s="42">
        <v>65</v>
      </c>
      <c r="H866" s="42" t="s">
        <v>0</v>
      </c>
      <c r="I866" s="42" t="s">
        <v>6233</v>
      </c>
      <c r="J866" s="42" t="s">
        <v>6257</v>
      </c>
      <c r="K866" s="42" t="s">
        <v>6286</v>
      </c>
      <c r="L866" s="42" t="s">
        <v>6209</v>
      </c>
      <c r="M866" s="42">
        <v>2</v>
      </c>
      <c r="N866" s="43" t="s">
        <v>6260</v>
      </c>
    </row>
    <row r="867" spans="1:14" ht="11.1" customHeight="1">
      <c r="A867" s="31" t="s">
        <v>8029</v>
      </c>
      <c r="B867" s="38" t="s">
        <v>6231</v>
      </c>
      <c r="C867" s="39">
        <v>14525</v>
      </c>
      <c r="D867" s="40">
        <v>7.0996343871585821E-2</v>
      </c>
      <c r="E867" s="41">
        <v>19.212962962962962</v>
      </c>
      <c r="F867" s="42" t="s">
        <v>8030</v>
      </c>
      <c r="G867" s="42">
        <v>56</v>
      </c>
      <c r="H867" s="42" t="s">
        <v>0</v>
      </c>
      <c r="I867" s="42" t="s">
        <v>6233</v>
      </c>
      <c r="J867" s="42" t="s">
        <v>6264</v>
      </c>
      <c r="K867" s="42" t="s">
        <v>6259</v>
      </c>
      <c r="L867" s="42" t="s">
        <v>6036</v>
      </c>
      <c r="M867" s="42" t="s">
        <v>6259</v>
      </c>
      <c r="N867" s="43" t="s">
        <v>6259</v>
      </c>
    </row>
    <row r="868" spans="1:14" ht="11.1" customHeight="1">
      <c r="A868" s="44" t="s">
        <v>8031</v>
      </c>
      <c r="B868" s="45" t="s">
        <v>6231</v>
      </c>
      <c r="C868" s="46">
        <v>2514</v>
      </c>
      <c r="D868" s="47">
        <v>1.2288110739632823E-2</v>
      </c>
      <c r="E868" s="48" t="s">
        <v>6262</v>
      </c>
      <c r="F868" s="49" t="s">
        <v>8032</v>
      </c>
      <c r="G868" s="49">
        <v>27</v>
      </c>
      <c r="H868" s="49" t="s">
        <v>0</v>
      </c>
      <c r="I868" s="49" t="s">
        <v>6259</v>
      </c>
      <c r="J868" s="49" t="s">
        <v>6267</v>
      </c>
      <c r="K868" s="49" t="s">
        <v>6268</v>
      </c>
      <c r="L868" s="49" t="s">
        <v>6036</v>
      </c>
      <c r="M868" s="49" t="s">
        <v>6259</v>
      </c>
      <c r="N868" s="50" t="s">
        <v>6259</v>
      </c>
    </row>
    <row r="869" spans="1:14" ht="11.1" customHeight="1">
      <c r="A869" s="51" t="s">
        <v>8033</v>
      </c>
      <c r="B869" s="60" t="s">
        <v>6217</v>
      </c>
      <c r="C869" s="61">
        <v>95638</v>
      </c>
      <c r="D869" s="62">
        <v>0.49653446584047639</v>
      </c>
      <c r="E869" s="63" t="s">
        <v>6251</v>
      </c>
      <c r="F869" s="64" t="s">
        <v>8034</v>
      </c>
      <c r="G869" s="64">
        <v>65</v>
      </c>
      <c r="H869" s="64" t="s">
        <v>0</v>
      </c>
      <c r="I869" s="64" t="s">
        <v>6233</v>
      </c>
      <c r="J869" s="64" t="s">
        <v>6257</v>
      </c>
      <c r="K869" s="64" t="s">
        <v>6350</v>
      </c>
      <c r="L869" s="64" t="s">
        <v>6209</v>
      </c>
      <c r="M869" s="64">
        <v>5</v>
      </c>
      <c r="N869" s="65" t="s">
        <v>6260</v>
      </c>
    </row>
    <row r="870" spans="1:14" ht="11.1" customHeight="1">
      <c r="A870" s="31" t="s">
        <v>8035</v>
      </c>
      <c r="B870" s="38" t="s">
        <v>6232</v>
      </c>
      <c r="C870" s="39">
        <v>93803</v>
      </c>
      <c r="D870" s="40">
        <v>0.48700749178395836</v>
      </c>
      <c r="E870" s="35">
        <v>98.081306593613419</v>
      </c>
      <c r="F870" s="36" t="s">
        <v>8036</v>
      </c>
      <c r="G870" s="36">
        <v>53</v>
      </c>
      <c r="H870" s="36" t="s">
        <v>0</v>
      </c>
      <c r="I870" s="36" t="s">
        <v>6233</v>
      </c>
      <c r="J870" s="36" t="s">
        <v>6253</v>
      </c>
      <c r="K870" s="36" t="s">
        <v>6053</v>
      </c>
      <c r="L870" s="36" t="s">
        <v>6036</v>
      </c>
      <c r="M870" s="36" t="s">
        <v>6259</v>
      </c>
      <c r="N870" s="43" t="s">
        <v>6213</v>
      </c>
    </row>
    <row r="871" spans="1:14" ht="11.1" customHeight="1" thickBot="1">
      <c r="A871" s="73" t="s">
        <v>8037</v>
      </c>
      <c r="B871" s="74" t="s">
        <v>6231</v>
      </c>
      <c r="C871" s="75">
        <v>3170</v>
      </c>
      <c r="D871" s="76">
        <v>1.6458042375565259E-2</v>
      </c>
      <c r="E871" s="77" t="s">
        <v>6262</v>
      </c>
      <c r="F871" s="78" t="s">
        <v>8038</v>
      </c>
      <c r="G871" s="78">
        <v>52</v>
      </c>
      <c r="H871" s="78" t="s">
        <v>0</v>
      </c>
      <c r="I871" s="78" t="s">
        <v>6259</v>
      </c>
      <c r="J871" s="78" t="s">
        <v>6267</v>
      </c>
      <c r="K871" s="78" t="s">
        <v>6268</v>
      </c>
      <c r="L871" s="78" t="s">
        <v>6036</v>
      </c>
      <c r="M871" s="78" t="s">
        <v>6259</v>
      </c>
      <c r="N871" s="79" t="s">
        <v>6259</v>
      </c>
    </row>
    <row r="872" spans="1:14" ht="11.1" customHeight="1">
      <c r="A872" s="80" t="s">
        <v>8039</v>
      </c>
      <c r="B872" s="81" t="s">
        <v>6217</v>
      </c>
      <c r="C872" s="82">
        <v>120309</v>
      </c>
      <c r="D872" s="83">
        <v>0.58147537735073929</v>
      </c>
      <c r="E872" s="84" t="s">
        <v>6251</v>
      </c>
      <c r="F872" s="85" t="s">
        <v>8040</v>
      </c>
      <c r="G872" s="85">
        <v>53</v>
      </c>
      <c r="H872" s="85" t="s">
        <v>0</v>
      </c>
      <c r="I872" s="85" t="s">
        <v>6233</v>
      </c>
      <c r="J872" s="85" t="s">
        <v>6253</v>
      </c>
      <c r="K872" s="85" t="s">
        <v>6053</v>
      </c>
      <c r="L872" s="85" t="s">
        <v>6036</v>
      </c>
      <c r="M872" s="85" t="s">
        <v>6259</v>
      </c>
      <c r="N872" s="86" t="s">
        <v>6213</v>
      </c>
    </row>
    <row r="873" spans="1:14" ht="11.1" customHeight="1">
      <c r="A873" s="31" t="s">
        <v>8041</v>
      </c>
      <c r="B873" s="38" t="s">
        <v>6230</v>
      </c>
      <c r="C873" s="39">
        <v>72109</v>
      </c>
      <c r="D873" s="40">
        <v>0.34851597125222933</v>
      </c>
      <c r="E873" s="41">
        <v>59.93649685393445</v>
      </c>
      <c r="F873" s="42" t="s">
        <v>8042</v>
      </c>
      <c r="G873" s="42">
        <v>42</v>
      </c>
      <c r="H873" s="42" t="s">
        <v>0</v>
      </c>
      <c r="I873" s="42" t="s">
        <v>6233</v>
      </c>
      <c r="J873" s="42" t="s">
        <v>6257</v>
      </c>
      <c r="K873" s="42" t="s">
        <v>6286</v>
      </c>
      <c r="L873" s="42" t="s">
        <v>6209</v>
      </c>
      <c r="M873" s="42">
        <v>3</v>
      </c>
      <c r="N873" s="43" t="s">
        <v>6260</v>
      </c>
    </row>
    <row r="874" spans="1:14" ht="11.1" customHeight="1">
      <c r="A874" s="31" t="s">
        <v>8043</v>
      </c>
      <c r="B874" s="38" t="s">
        <v>6231</v>
      </c>
      <c r="C874" s="39">
        <v>12529</v>
      </c>
      <c r="D874" s="40">
        <v>6.0554946037515163E-2</v>
      </c>
      <c r="E874" s="41">
        <v>10.414017238943055</v>
      </c>
      <c r="F874" s="42" t="s">
        <v>8044</v>
      </c>
      <c r="G874" s="42">
        <v>48</v>
      </c>
      <c r="H874" s="42" t="s">
        <v>0</v>
      </c>
      <c r="I874" s="42" t="s">
        <v>6233</v>
      </c>
      <c r="J874" s="42" t="s">
        <v>6264</v>
      </c>
      <c r="K874" s="42" t="s">
        <v>6259</v>
      </c>
      <c r="L874" s="42" t="s">
        <v>6036</v>
      </c>
      <c r="M874" s="42" t="s">
        <v>6259</v>
      </c>
      <c r="N874" s="43" t="s">
        <v>6259</v>
      </c>
    </row>
    <row r="875" spans="1:14" ht="11.1" customHeight="1">
      <c r="A875" s="44" t="s">
        <v>8045</v>
      </c>
      <c r="B875" s="45" t="s">
        <v>6231</v>
      </c>
      <c r="C875" s="46">
        <v>1956</v>
      </c>
      <c r="D875" s="47">
        <v>9.453705359516295E-3</v>
      </c>
      <c r="E875" s="48" t="s">
        <v>6262</v>
      </c>
      <c r="F875" s="49" t="s">
        <v>8046</v>
      </c>
      <c r="G875" s="49">
        <v>57</v>
      </c>
      <c r="H875" s="49" t="s">
        <v>0</v>
      </c>
      <c r="I875" s="49" t="s">
        <v>6259</v>
      </c>
      <c r="J875" s="49" t="s">
        <v>6267</v>
      </c>
      <c r="K875" s="49" t="s">
        <v>6268</v>
      </c>
      <c r="L875" s="49" t="s">
        <v>6036</v>
      </c>
      <c r="M875" s="49" t="s">
        <v>6259</v>
      </c>
      <c r="N875" s="50" t="s">
        <v>6259</v>
      </c>
    </row>
    <row r="876" spans="1:14" ht="11.1" customHeight="1">
      <c r="A876" s="51" t="s">
        <v>8047</v>
      </c>
      <c r="B876" s="52" t="s">
        <v>6217</v>
      </c>
      <c r="C876" s="53">
        <v>90134</v>
      </c>
      <c r="D876" s="54">
        <v>0.54770730284505909</v>
      </c>
      <c r="E876" s="55" t="s">
        <v>6251</v>
      </c>
      <c r="F876" s="56" t="s">
        <v>8048</v>
      </c>
      <c r="G876" s="56">
        <v>46</v>
      </c>
      <c r="H876" s="56" t="s">
        <v>0</v>
      </c>
      <c r="I876" s="56" t="s">
        <v>6233</v>
      </c>
      <c r="J876" s="56" t="s">
        <v>6253</v>
      </c>
      <c r="K876" s="56" t="s">
        <v>6053</v>
      </c>
      <c r="L876" s="56" t="s">
        <v>6036</v>
      </c>
      <c r="M876" s="56" t="s">
        <v>6259</v>
      </c>
      <c r="N876" s="57" t="s">
        <v>6213</v>
      </c>
    </row>
    <row r="877" spans="1:14" ht="11.1" customHeight="1">
      <c r="A877" s="31" t="s">
        <v>8049</v>
      </c>
      <c r="B877" s="38" t="s">
        <v>6232</v>
      </c>
      <c r="C877" s="39">
        <v>71343</v>
      </c>
      <c r="D877" s="40">
        <v>0.43352211270857893</v>
      </c>
      <c r="E877" s="58">
        <v>79.152151241484901</v>
      </c>
      <c r="F877" s="59" t="s">
        <v>8050</v>
      </c>
      <c r="G877" s="59">
        <v>57</v>
      </c>
      <c r="H877" s="59" t="s">
        <v>0</v>
      </c>
      <c r="I877" s="59" t="s">
        <v>6233</v>
      </c>
      <c r="J877" s="59" t="s">
        <v>6257</v>
      </c>
      <c r="K877" s="59" t="s">
        <v>6350</v>
      </c>
      <c r="L877" s="59" t="s">
        <v>6209</v>
      </c>
      <c r="M877" s="59">
        <v>3</v>
      </c>
      <c r="N877" s="43" t="s">
        <v>6260</v>
      </c>
    </row>
    <row r="878" spans="1:14" ht="11.1" customHeight="1">
      <c r="A878" s="44" t="s">
        <v>8051</v>
      </c>
      <c r="B878" s="45" t="s">
        <v>6231</v>
      </c>
      <c r="C878" s="46">
        <v>3089</v>
      </c>
      <c r="D878" s="47">
        <v>1.8770584446361947E-2</v>
      </c>
      <c r="E878" s="48" t="s">
        <v>6262</v>
      </c>
      <c r="F878" s="49" t="s">
        <v>8052</v>
      </c>
      <c r="G878" s="49">
        <v>48</v>
      </c>
      <c r="H878" s="49" t="s">
        <v>6049</v>
      </c>
      <c r="I878" s="49" t="s">
        <v>6259</v>
      </c>
      <c r="J878" s="49" t="s">
        <v>6267</v>
      </c>
      <c r="K878" s="49" t="s">
        <v>6268</v>
      </c>
      <c r="L878" s="49" t="s">
        <v>6036</v>
      </c>
      <c r="M878" s="49" t="s">
        <v>6259</v>
      </c>
      <c r="N878" s="50" t="s">
        <v>6259</v>
      </c>
    </row>
    <row r="879" spans="1:14" ht="11.1" customHeight="1">
      <c r="A879" s="51" t="s">
        <v>8053</v>
      </c>
      <c r="B879" s="60" t="s">
        <v>6217</v>
      </c>
      <c r="C879" s="61">
        <v>117237</v>
      </c>
      <c r="D879" s="62">
        <v>0.52056053602589547</v>
      </c>
      <c r="E879" s="63" t="s">
        <v>6251</v>
      </c>
      <c r="F879" s="64" t="s">
        <v>8054</v>
      </c>
      <c r="G879" s="64">
        <v>70</v>
      </c>
      <c r="H879" s="64" t="s">
        <v>0</v>
      </c>
      <c r="I879" s="64" t="s">
        <v>6233</v>
      </c>
      <c r="J879" s="64" t="s">
        <v>6257</v>
      </c>
      <c r="K879" s="64" t="s">
        <v>6671</v>
      </c>
      <c r="L879" s="64" t="s">
        <v>6209</v>
      </c>
      <c r="M879" s="64">
        <v>8</v>
      </c>
      <c r="N879" s="65" t="s">
        <v>6260</v>
      </c>
    </row>
    <row r="880" spans="1:14" ht="11.1" customHeight="1">
      <c r="A880" s="31" t="s">
        <v>8055</v>
      </c>
      <c r="B880" s="38" t="s">
        <v>6232</v>
      </c>
      <c r="C880" s="39">
        <v>102342</v>
      </c>
      <c r="D880" s="40">
        <v>0.4544231460883697</v>
      </c>
      <c r="E880" s="35">
        <v>87.294966606105575</v>
      </c>
      <c r="F880" s="36" t="s">
        <v>8056</v>
      </c>
      <c r="G880" s="36">
        <v>54</v>
      </c>
      <c r="H880" s="36" t="s">
        <v>0</v>
      </c>
      <c r="I880" s="36" t="s">
        <v>6233</v>
      </c>
      <c r="J880" s="36" t="s">
        <v>6253</v>
      </c>
      <c r="K880" s="36" t="s">
        <v>6254</v>
      </c>
      <c r="L880" s="36" t="s">
        <v>6036</v>
      </c>
      <c r="M880" s="36" t="s">
        <v>6259</v>
      </c>
      <c r="N880" s="43" t="s">
        <v>6213</v>
      </c>
    </row>
    <row r="881" spans="1:14" ht="11.1" customHeight="1" thickBot="1">
      <c r="A881" s="66" t="s">
        <v>8057</v>
      </c>
      <c r="B881" s="67" t="s">
        <v>6231</v>
      </c>
      <c r="C881" s="68">
        <v>5634</v>
      </c>
      <c r="D881" s="69">
        <v>2.5016317885734839E-2</v>
      </c>
      <c r="E881" s="70" t="s">
        <v>6262</v>
      </c>
      <c r="F881" s="71" t="s">
        <v>8058</v>
      </c>
      <c r="G881" s="71">
        <v>26</v>
      </c>
      <c r="H881" s="71" t="s">
        <v>6049</v>
      </c>
      <c r="I881" s="71" t="s">
        <v>6259</v>
      </c>
      <c r="J881" s="71" t="s">
        <v>6267</v>
      </c>
      <c r="K881" s="71" t="s">
        <v>6268</v>
      </c>
      <c r="L881" s="71" t="s">
        <v>6036</v>
      </c>
      <c r="M881" s="71" t="s">
        <v>6259</v>
      </c>
      <c r="N881" s="72" t="s">
        <v>6259</v>
      </c>
    </row>
    <row r="882" spans="1:14" ht="11.1" customHeight="1" thickTop="1">
      <c r="A882" s="31" t="s">
        <v>8059</v>
      </c>
      <c r="B882" s="130" t="s">
        <v>6217</v>
      </c>
      <c r="C882" s="131">
        <v>118121</v>
      </c>
      <c r="D882" s="132">
        <v>0.61974217852327163</v>
      </c>
      <c r="E882" s="58" t="s">
        <v>6251</v>
      </c>
      <c r="F882" s="59" t="s">
        <v>8060</v>
      </c>
      <c r="G882" s="59">
        <v>52</v>
      </c>
      <c r="H882" s="59" t="s">
        <v>0</v>
      </c>
      <c r="I882" s="59" t="s">
        <v>6233</v>
      </c>
      <c r="J882" s="59" t="s">
        <v>6257</v>
      </c>
      <c r="K882" s="59" t="s">
        <v>6273</v>
      </c>
      <c r="L882" s="59" t="s">
        <v>6209</v>
      </c>
      <c r="M882" s="59">
        <v>7</v>
      </c>
      <c r="N882" s="133" t="s">
        <v>6260</v>
      </c>
    </row>
    <row r="883" spans="1:14" ht="11.1" customHeight="1">
      <c r="A883" s="31" t="s">
        <v>8061</v>
      </c>
      <c r="B883" s="38" t="s">
        <v>6230</v>
      </c>
      <c r="C883" s="39">
        <v>63383</v>
      </c>
      <c r="D883" s="40">
        <v>0.33254983027015117</v>
      </c>
      <c r="E883" s="41">
        <v>53.659383174879999</v>
      </c>
      <c r="F883" s="42" t="s">
        <v>8062</v>
      </c>
      <c r="G883" s="42">
        <v>49</v>
      </c>
      <c r="H883" s="42" t="s">
        <v>0</v>
      </c>
      <c r="I883" s="42" t="s">
        <v>6233</v>
      </c>
      <c r="J883" s="42" t="s">
        <v>6253</v>
      </c>
      <c r="K883" s="42" t="s">
        <v>6053</v>
      </c>
      <c r="L883" s="42" t="s">
        <v>6036</v>
      </c>
      <c r="M883" s="42" t="s">
        <v>6259</v>
      </c>
      <c r="N883" s="43" t="s">
        <v>6213</v>
      </c>
    </row>
    <row r="884" spans="1:14" ht="11.1" customHeight="1">
      <c r="A884" s="31" t="s">
        <v>8063</v>
      </c>
      <c r="B884" s="38" t="s">
        <v>6231</v>
      </c>
      <c r="C884" s="39">
        <v>7336</v>
      </c>
      <c r="D884" s="40">
        <v>3.848958797882443E-2</v>
      </c>
      <c r="E884" s="41">
        <v>6.2105806757477504</v>
      </c>
      <c r="F884" s="42" t="s">
        <v>8064</v>
      </c>
      <c r="G884" s="42">
        <v>52</v>
      </c>
      <c r="H884" s="42" t="s">
        <v>0</v>
      </c>
      <c r="I884" s="42" t="s">
        <v>6233</v>
      </c>
      <c r="J884" s="42" t="s">
        <v>6264</v>
      </c>
      <c r="K884" s="42" t="s">
        <v>6259</v>
      </c>
      <c r="L884" s="42" t="s">
        <v>6036</v>
      </c>
      <c r="M884" s="42" t="s">
        <v>6259</v>
      </c>
      <c r="N884" s="43" t="s">
        <v>6259</v>
      </c>
    </row>
    <row r="885" spans="1:14" ht="11.1" customHeight="1">
      <c r="A885" s="44" t="s">
        <v>8065</v>
      </c>
      <c r="B885" s="45" t="s">
        <v>6231</v>
      </c>
      <c r="C885" s="46">
        <v>1757</v>
      </c>
      <c r="D885" s="47">
        <v>9.2184032277527975E-3</v>
      </c>
      <c r="E885" s="48" t="s">
        <v>6262</v>
      </c>
      <c r="F885" s="49" t="s">
        <v>8066</v>
      </c>
      <c r="G885" s="49">
        <v>40</v>
      </c>
      <c r="H885" s="49" t="s">
        <v>0</v>
      </c>
      <c r="I885" s="49" t="s">
        <v>6259</v>
      </c>
      <c r="J885" s="49" t="s">
        <v>6267</v>
      </c>
      <c r="K885" s="49" t="s">
        <v>6268</v>
      </c>
      <c r="L885" s="49" t="s">
        <v>6036</v>
      </c>
      <c r="M885" s="49" t="s">
        <v>6259</v>
      </c>
      <c r="N885" s="50" t="s">
        <v>6259</v>
      </c>
    </row>
    <row r="886" spans="1:14" ht="11.1" customHeight="1">
      <c r="A886" s="51" t="s">
        <v>8067</v>
      </c>
      <c r="B886" s="60" t="s">
        <v>6217</v>
      </c>
      <c r="C886" s="61">
        <v>84659</v>
      </c>
      <c r="D886" s="62">
        <v>0.49573705599212997</v>
      </c>
      <c r="E886" s="63" t="s">
        <v>6251</v>
      </c>
      <c r="F886" s="64" t="s">
        <v>8068</v>
      </c>
      <c r="G886" s="64">
        <v>48</v>
      </c>
      <c r="H886" s="64" t="s">
        <v>0</v>
      </c>
      <c r="I886" s="64" t="s">
        <v>6233</v>
      </c>
      <c r="J886" s="64" t="s">
        <v>6257</v>
      </c>
      <c r="K886" s="64" t="s">
        <v>6258</v>
      </c>
      <c r="L886" s="64" t="s">
        <v>6209</v>
      </c>
      <c r="M886" s="64">
        <v>1</v>
      </c>
      <c r="N886" s="65" t="s">
        <v>6260</v>
      </c>
    </row>
    <row r="887" spans="1:14" ht="11.1" customHeight="1">
      <c r="A887" s="31" t="s">
        <v>8069</v>
      </c>
      <c r="B887" s="38" t="s">
        <v>6232</v>
      </c>
      <c r="C887" s="39">
        <v>84033</v>
      </c>
      <c r="D887" s="40">
        <v>0.49207139260074717</v>
      </c>
      <c r="E887" s="35">
        <v>99.260562964362919</v>
      </c>
      <c r="F887" s="36" t="s">
        <v>8070</v>
      </c>
      <c r="G887" s="36">
        <v>46</v>
      </c>
      <c r="H887" s="36" t="s">
        <v>0</v>
      </c>
      <c r="I887" s="36" t="s">
        <v>6233</v>
      </c>
      <c r="J887" s="36" t="s">
        <v>6253</v>
      </c>
      <c r="K887" s="36" t="s">
        <v>6053</v>
      </c>
      <c r="L887" s="36" t="s">
        <v>6036</v>
      </c>
      <c r="M887" s="36" t="s">
        <v>6259</v>
      </c>
      <c r="N887" s="43" t="s">
        <v>6213</v>
      </c>
    </row>
    <row r="888" spans="1:14" ht="11.1" customHeight="1" thickBot="1">
      <c r="A888" s="73" t="s">
        <v>8071</v>
      </c>
      <c r="B888" s="74" t="s">
        <v>6231</v>
      </c>
      <c r="C888" s="75">
        <v>2082</v>
      </c>
      <c r="D888" s="76">
        <v>1.2191551407122863E-2</v>
      </c>
      <c r="E888" s="77" t="s">
        <v>6262</v>
      </c>
      <c r="F888" s="78" t="s">
        <v>8072</v>
      </c>
      <c r="G888" s="78">
        <v>33</v>
      </c>
      <c r="H888" s="78" t="s">
        <v>0</v>
      </c>
      <c r="I888" s="78" t="s">
        <v>6259</v>
      </c>
      <c r="J888" s="78" t="s">
        <v>6267</v>
      </c>
      <c r="K888" s="78" t="s">
        <v>6268</v>
      </c>
      <c r="L888" s="78" t="s">
        <v>6036</v>
      </c>
      <c r="M888" s="78" t="s">
        <v>6259</v>
      </c>
      <c r="N888" s="79" t="s">
        <v>6259</v>
      </c>
    </row>
    <row r="889" spans="1:14" ht="11.1" customHeight="1">
      <c r="A889" s="80" t="s">
        <v>8073</v>
      </c>
      <c r="B889" s="108" t="s">
        <v>6217</v>
      </c>
      <c r="C889" s="109">
        <v>122595</v>
      </c>
      <c r="D889" s="110">
        <v>0.57189306189851985</v>
      </c>
      <c r="E889" s="111" t="s">
        <v>6251</v>
      </c>
      <c r="F889" s="112" t="s">
        <v>8074</v>
      </c>
      <c r="G889" s="112">
        <v>65</v>
      </c>
      <c r="H889" s="112" t="s">
        <v>0</v>
      </c>
      <c r="I889" s="112" t="s">
        <v>6233</v>
      </c>
      <c r="J889" s="112" t="s">
        <v>6257</v>
      </c>
      <c r="K889" s="112" t="s">
        <v>6286</v>
      </c>
      <c r="L889" s="112" t="s">
        <v>6209</v>
      </c>
      <c r="M889" s="112">
        <v>6</v>
      </c>
      <c r="N889" s="113" t="s">
        <v>6260</v>
      </c>
    </row>
    <row r="890" spans="1:14" ht="11.1" customHeight="1">
      <c r="A890" s="31" t="s">
        <v>8075</v>
      </c>
      <c r="B890" s="38" t="s">
        <v>6232</v>
      </c>
      <c r="C890" s="39">
        <v>80789</v>
      </c>
      <c r="D890" s="40">
        <v>0.37687237307981175</v>
      </c>
      <c r="E890" s="35">
        <v>65.899098658183448</v>
      </c>
      <c r="F890" s="36" t="s">
        <v>8076</v>
      </c>
      <c r="G890" s="36">
        <v>48</v>
      </c>
      <c r="H890" s="36" t="s">
        <v>0</v>
      </c>
      <c r="I890" s="36" t="s">
        <v>6233</v>
      </c>
      <c r="J890" s="36" t="s">
        <v>6253</v>
      </c>
      <c r="K890" s="36" t="s">
        <v>6254</v>
      </c>
      <c r="L890" s="36" t="s">
        <v>6036</v>
      </c>
      <c r="M890" s="36" t="s">
        <v>6259</v>
      </c>
      <c r="N890" s="43" t="s">
        <v>6213</v>
      </c>
    </row>
    <row r="891" spans="1:14" ht="11.1" customHeight="1">
      <c r="A891" s="31" t="s">
        <v>8077</v>
      </c>
      <c r="B891" s="38" t="s">
        <v>6231</v>
      </c>
      <c r="C891" s="39">
        <v>8923</v>
      </c>
      <c r="D891" s="40">
        <v>4.1624876963338574E-2</v>
      </c>
      <c r="E891" s="93">
        <v>7.2784371303886779</v>
      </c>
      <c r="F891" s="42" t="s">
        <v>8078</v>
      </c>
      <c r="G891" s="42">
        <v>31</v>
      </c>
      <c r="H891" s="42" t="s">
        <v>0</v>
      </c>
      <c r="I891" s="42" t="s">
        <v>6233</v>
      </c>
      <c r="J891" s="42" t="s">
        <v>6264</v>
      </c>
      <c r="K891" s="42" t="s">
        <v>6259</v>
      </c>
      <c r="L891" s="42" t="s">
        <v>6036</v>
      </c>
      <c r="M891" s="42" t="s">
        <v>6259</v>
      </c>
      <c r="N891" s="43" t="s">
        <v>6259</v>
      </c>
    </row>
    <row r="892" spans="1:14" ht="11.1" customHeight="1">
      <c r="A892" s="44" t="s">
        <v>8079</v>
      </c>
      <c r="B892" s="45" t="s">
        <v>6231</v>
      </c>
      <c r="C892" s="46">
        <v>2060</v>
      </c>
      <c r="D892" s="47">
        <v>9.6096880583298738E-3</v>
      </c>
      <c r="E892" s="48" t="s">
        <v>6262</v>
      </c>
      <c r="F892" s="49" t="s">
        <v>8080</v>
      </c>
      <c r="G892" s="49">
        <v>29</v>
      </c>
      <c r="H892" s="49" t="s">
        <v>0</v>
      </c>
      <c r="I892" s="49" t="s">
        <v>6259</v>
      </c>
      <c r="J892" s="49" t="s">
        <v>6267</v>
      </c>
      <c r="K892" s="49" t="s">
        <v>6268</v>
      </c>
      <c r="L892" s="49" t="s">
        <v>6036</v>
      </c>
      <c r="M892" s="49" t="s">
        <v>6259</v>
      </c>
      <c r="N892" s="50" t="s">
        <v>6259</v>
      </c>
    </row>
    <row r="893" spans="1:14" ht="11.1" customHeight="1">
      <c r="A893" s="51" t="s">
        <v>8081</v>
      </c>
      <c r="B893" s="60" t="s">
        <v>6217</v>
      </c>
      <c r="C893" s="61">
        <v>135296</v>
      </c>
      <c r="D893" s="62">
        <v>0.54906194072552994</v>
      </c>
      <c r="E893" s="63" t="s">
        <v>6251</v>
      </c>
      <c r="F893" s="64" t="s">
        <v>8082</v>
      </c>
      <c r="G893" s="64">
        <v>62</v>
      </c>
      <c r="H893" s="64" t="s">
        <v>0</v>
      </c>
      <c r="I893" s="64" t="s">
        <v>6233</v>
      </c>
      <c r="J893" s="64" t="s">
        <v>6257</v>
      </c>
      <c r="K893" s="64" t="s">
        <v>6273</v>
      </c>
      <c r="L893" s="64" t="s">
        <v>6209</v>
      </c>
      <c r="M893" s="64">
        <v>3</v>
      </c>
      <c r="N893" s="65" t="s">
        <v>6260</v>
      </c>
    </row>
    <row r="894" spans="1:14" ht="11.1" customHeight="1">
      <c r="A894" s="31" t="s">
        <v>8083</v>
      </c>
      <c r="B894" s="38" t="s">
        <v>6230</v>
      </c>
      <c r="C894" s="39">
        <v>108192</v>
      </c>
      <c r="D894" s="40">
        <v>0.43906774399077969</v>
      </c>
      <c r="E894" s="41">
        <v>79.966887417218544</v>
      </c>
      <c r="F894" s="42" t="s">
        <v>8084</v>
      </c>
      <c r="G894" s="42">
        <v>69</v>
      </c>
      <c r="H894" s="42" t="s">
        <v>0</v>
      </c>
      <c r="I894" s="42" t="s">
        <v>6233</v>
      </c>
      <c r="J894" s="42" t="s">
        <v>7280</v>
      </c>
      <c r="K894" s="42" t="s">
        <v>6259</v>
      </c>
      <c r="L894" s="42" t="s">
        <v>6209</v>
      </c>
      <c r="M894" s="42">
        <v>5</v>
      </c>
      <c r="N894" s="43" t="s">
        <v>7281</v>
      </c>
    </row>
    <row r="895" spans="1:14" ht="11.1" customHeight="1" thickBot="1">
      <c r="A895" s="73" t="s">
        <v>8085</v>
      </c>
      <c r="B895" s="74" t="s">
        <v>6231</v>
      </c>
      <c r="C895" s="75">
        <v>2925</v>
      </c>
      <c r="D895" s="76">
        <v>1.187031528369039E-2</v>
      </c>
      <c r="E895" s="77" t="s">
        <v>6262</v>
      </c>
      <c r="F895" s="78" t="s">
        <v>8086</v>
      </c>
      <c r="G895" s="78">
        <v>41</v>
      </c>
      <c r="H895" s="78" t="s">
        <v>0</v>
      </c>
      <c r="I895" s="78" t="s">
        <v>6259</v>
      </c>
      <c r="J895" s="78" t="s">
        <v>6267</v>
      </c>
      <c r="K895" s="78" t="s">
        <v>6268</v>
      </c>
      <c r="L895" s="78" t="s">
        <v>6036</v>
      </c>
      <c r="M895" s="78" t="s">
        <v>6259</v>
      </c>
      <c r="N895" s="79" t="s">
        <v>6259</v>
      </c>
    </row>
    <row r="896" spans="1:14" ht="11.1" customHeight="1">
      <c r="A896" s="80" t="s">
        <v>8087</v>
      </c>
      <c r="B896" s="108" t="s">
        <v>6217</v>
      </c>
      <c r="C896" s="109">
        <v>110345</v>
      </c>
      <c r="D896" s="110">
        <v>0.48292296515444605</v>
      </c>
      <c r="E896" s="111" t="s">
        <v>6251</v>
      </c>
      <c r="F896" s="112" t="s">
        <v>8088</v>
      </c>
      <c r="G896" s="112">
        <v>55</v>
      </c>
      <c r="H896" s="112" t="s">
        <v>0</v>
      </c>
      <c r="I896" s="112" t="s">
        <v>6233</v>
      </c>
      <c r="J896" s="112" t="s">
        <v>6257</v>
      </c>
      <c r="K896" s="112" t="s">
        <v>6402</v>
      </c>
      <c r="L896" s="112" t="s">
        <v>6209</v>
      </c>
      <c r="M896" s="112">
        <v>7</v>
      </c>
      <c r="N896" s="113" t="s">
        <v>6260</v>
      </c>
    </row>
    <row r="897" spans="1:14" ht="11.1" customHeight="1">
      <c r="A897" s="31" t="s">
        <v>8089</v>
      </c>
      <c r="B897" s="38" t="s">
        <v>6232</v>
      </c>
      <c r="C897" s="39">
        <v>106269</v>
      </c>
      <c r="D897" s="40">
        <v>0.4650844223480704</v>
      </c>
      <c r="E897" s="35">
        <v>96.306130771670666</v>
      </c>
      <c r="F897" s="36" t="s">
        <v>8090</v>
      </c>
      <c r="G897" s="36">
        <v>39</v>
      </c>
      <c r="H897" s="36" t="s">
        <v>0</v>
      </c>
      <c r="I897" s="36" t="s">
        <v>6233</v>
      </c>
      <c r="J897" s="36" t="s">
        <v>6253</v>
      </c>
      <c r="K897" s="36" t="s">
        <v>6053</v>
      </c>
      <c r="L897" s="36" t="s">
        <v>6036</v>
      </c>
      <c r="M897" s="36" t="s">
        <v>6259</v>
      </c>
      <c r="N897" s="43" t="s">
        <v>6213</v>
      </c>
    </row>
    <row r="898" spans="1:14" ht="11.1" customHeight="1">
      <c r="A898" s="31" t="s">
        <v>8091</v>
      </c>
      <c r="B898" s="38" t="s">
        <v>6231</v>
      </c>
      <c r="C898" s="39">
        <v>9877</v>
      </c>
      <c r="D898" s="40">
        <v>4.3226517982966728E-2</v>
      </c>
      <c r="E898" s="93">
        <v>8.9510172640355243</v>
      </c>
      <c r="F898" s="42" t="s">
        <v>8092</v>
      </c>
      <c r="G898" s="42">
        <v>33</v>
      </c>
      <c r="H898" s="42" t="s">
        <v>0</v>
      </c>
      <c r="I898" s="42" t="s">
        <v>6233</v>
      </c>
      <c r="J898" s="42" t="s">
        <v>6264</v>
      </c>
      <c r="K898" s="42" t="s">
        <v>6259</v>
      </c>
      <c r="L898" s="42" t="s">
        <v>6036</v>
      </c>
      <c r="M898" s="42" t="s">
        <v>6259</v>
      </c>
      <c r="N898" s="43" t="s">
        <v>6259</v>
      </c>
    </row>
    <row r="899" spans="1:14" ht="11.1" customHeight="1">
      <c r="A899" s="44" t="s">
        <v>8093</v>
      </c>
      <c r="B899" s="45" t="s">
        <v>6231</v>
      </c>
      <c r="C899" s="46">
        <v>2003</v>
      </c>
      <c r="D899" s="47">
        <v>8.7660945145167923E-3</v>
      </c>
      <c r="E899" s="48" t="s">
        <v>6262</v>
      </c>
      <c r="F899" s="49" t="s">
        <v>8094</v>
      </c>
      <c r="G899" s="49">
        <v>47</v>
      </c>
      <c r="H899" s="49" t="s">
        <v>6049</v>
      </c>
      <c r="I899" s="49" t="s">
        <v>6259</v>
      </c>
      <c r="J899" s="49" t="s">
        <v>6267</v>
      </c>
      <c r="K899" s="49" t="s">
        <v>6268</v>
      </c>
      <c r="L899" s="49" t="s">
        <v>6036</v>
      </c>
      <c r="M899" s="49" t="s">
        <v>6259</v>
      </c>
      <c r="N899" s="50" t="s">
        <v>6259</v>
      </c>
    </row>
    <row r="900" spans="1:14" ht="11.1" customHeight="1">
      <c r="A900" s="51" t="s">
        <v>8095</v>
      </c>
      <c r="B900" s="52" t="s">
        <v>6217</v>
      </c>
      <c r="C900" s="53">
        <v>102525</v>
      </c>
      <c r="D900" s="54">
        <v>0.52885830569325443</v>
      </c>
      <c r="E900" s="55" t="s">
        <v>6251</v>
      </c>
      <c r="F900" s="56" t="s">
        <v>8096</v>
      </c>
      <c r="G900" s="56">
        <v>37</v>
      </c>
      <c r="H900" s="56" t="s">
        <v>0</v>
      </c>
      <c r="I900" s="56" t="s">
        <v>6233</v>
      </c>
      <c r="J900" s="56" t="s">
        <v>6253</v>
      </c>
      <c r="K900" s="56" t="s">
        <v>6053</v>
      </c>
      <c r="L900" s="56" t="s">
        <v>6209</v>
      </c>
      <c r="M900" s="56">
        <v>2</v>
      </c>
      <c r="N900" s="57" t="s">
        <v>6259</v>
      </c>
    </row>
    <row r="901" spans="1:14" ht="11.1" customHeight="1">
      <c r="A901" s="31" t="s">
        <v>8097</v>
      </c>
      <c r="B901" s="38" t="s">
        <v>6230</v>
      </c>
      <c r="C901" s="39">
        <v>64349</v>
      </c>
      <c r="D901" s="40">
        <v>0.33193370507734926</v>
      </c>
      <c r="E901" s="41">
        <v>62.76420385271885</v>
      </c>
      <c r="F901" s="42" t="s">
        <v>8098</v>
      </c>
      <c r="G901" s="42">
        <v>53</v>
      </c>
      <c r="H901" s="42" t="s">
        <v>0</v>
      </c>
      <c r="I901" s="42" t="s">
        <v>6233</v>
      </c>
      <c r="J901" s="42" t="s">
        <v>6257</v>
      </c>
      <c r="K901" s="42" t="s">
        <v>6402</v>
      </c>
      <c r="L901" s="42" t="s">
        <v>6209</v>
      </c>
      <c r="M901" s="42">
        <v>1</v>
      </c>
      <c r="N901" s="43" t="s">
        <v>6260</v>
      </c>
    </row>
    <row r="902" spans="1:14" ht="11.1" customHeight="1">
      <c r="A902" s="31" t="s">
        <v>8099</v>
      </c>
      <c r="B902" s="38"/>
      <c r="C902" s="39">
        <v>19577</v>
      </c>
      <c r="D902" s="40">
        <v>0.10098472616978144</v>
      </c>
      <c r="E902" s="41" t="s">
        <v>6262</v>
      </c>
      <c r="F902" s="42" t="s">
        <v>8100</v>
      </c>
      <c r="G902" s="42">
        <v>69</v>
      </c>
      <c r="H902" s="42" t="s">
        <v>0</v>
      </c>
      <c r="I902" s="42" t="s">
        <v>6259</v>
      </c>
      <c r="J902" s="42" t="s">
        <v>6322</v>
      </c>
      <c r="K902" s="42" t="s">
        <v>6323</v>
      </c>
      <c r="L902" s="42" t="s">
        <v>6283</v>
      </c>
      <c r="M902" s="42">
        <v>4</v>
      </c>
      <c r="N902" s="43" t="s">
        <v>6259</v>
      </c>
    </row>
    <row r="903" spans="1:14" ht="11.1" customHeight="1">
      <c r="A903" s="31" t="s">
        <v>8101</v>
      </c>
      <c r="B903" s="38" t="s">
        <v>6231</v>
      </c>
      <c r="C903" s="39">
        <v>6026</v>
      </c>
      <c r="D903" s="40">
        <v>3.1084127287076824E-2</v>
      </c>
      <c r="E903" s="41">
        <v>5.8775908315045111</v>
      </c>
      <c r="F903" s="42" t="s">
        <v>8102</v>
      </c>
      <c r="G903" s="42">
        <v>42</v>
      </c>
      <c r="H903" s="42" t="s">
        <v>0</v>
      </c>
      <c r="I903" s="42" t="s">
        <v>6233</v>
      </c>
      <c r="J903" s="42" t="s">
        <v>7280</v>
      </c>
      <c r="K903" s="42" t="s">
        <v>6259</v>
      </c>
      <c r="L903" s="42" t="s">
        <v>6036</v>
      </c>
      <c r="M903" s="42" t="s">
        <v>6259</v>
      </c>
      <c r="N903" s="43" t="s">
        <v>6259</v>
      </c>
    </row>
    <row r="904" spans="1:14" ht="11.1" customHeight="1">
      <c r="A904" s="44" t="s">
        <v>8103</v>
      </c>
      <c r="B904" s="45" t="s">
        <v>6231</v>
      </c>
      <c r="C904" s="46">
        <v>1384</v>
      </c>
      <c r="D904" s="47">
        <v>7.1391357725380557E-3</v>
      </c>
      <c r="E904" s="48" t="s">
        <v>6262</v>
      </c>
      <c r="F904" s="49" t="s">
        <v>8104</v>
      </c>
      <c r="G904" s="49">
        <v>49</v>
      </c>
      <c r="H904" s="49" t="s">
        <v>0</v>
      </c>
      <c r="I904" s="49" t="s">
        <v>6259</v>
      </c>
      <c r="J904" s="49" t="s">
        <v>6267</v>
      </c>
      <c r="K904" s="49" t="s">
        <v>6268</v>
      </c>
      <c r="L904" s="49" t="s">
        <v>6036</v>
      </c>
      <c r="M904" s="49" t="s">
        <v>6259</v>
      </c>
      <c r="N904" s="50" t="s">
        <v>6259</v>
      </c>
    </row>
    <row r="905" spans="1:14" ht="11.1" customHeight="1">
      <c r="A905" s="51" t="s">
        <v>8105</v>
      </c>
      <c r="B905" s="87" t="s">
        <v>6217</v>
      </c>
      <c r="C905" s="88">
        <v>95871</v>
      </c>
      <c r="D905" s="89">
        <v>0.46606515218543237</v>
      </c>
      <c r="E905" s="90" t="s">
        <v>6262</v>
      </c>
      <c r="F905" s="91" t="s">
        <v>8106</v>
      </c>
      <c r="G905" s="91">
        <v>70</v>
      </c>
      <c r="H905" s="91" t="s">
        <v>0</v>
      </c>
      <c r="I905" s="91" t="s">
        <v>6259</v>
      </c>
      <c r="J905" s="91" t="s">
        <v>6322</v>
      </c>
      <c r="K905" s="91" t="s">
        <v>6360</v>
      </c>
      <c r="L905" s="91" t="s">
        <v>6209</v>
      </c>
      <c r="M905" s="91">
        <v>9</v>
      </c>
      <c r="N905" s="92" t="s">
        <v>6259</v>
      </c>
    </row>
    <row r="906" spans="1:14" ht="11.1" customHeight="1">
      <c r="A906" s="31" t="s">
        <v>8107</v>
      </c>
      <c r="B906" s="38" t="s">
        <v>6230</v>
      </c>
      <c r="C906" s="39">
        <v>54595</v>
      </c>
      <c r="D906" s="40">
        <v>0.26540692162972829</v>
      </c>
      <c r="E906" s="41">
        <v>56.946313275130123</v>
      </c>
      <c r="F906" s="42" t="s">
        <v>8108</v>
      </c>
      <c r="G906" s="42">
        <v>33</v>
      </c>
      <c r="H906" s="42" t="s">
        <v>0</v>
      </c>
      <c r="I906" s="42" t="s">
        <v>6233</v>
      </c>
      <c r="J906" s="42" t="s">
        <v>6253</v>
      </c>
      <c r="K906" s="42" t="s">
        <v>6053</v>
      </c>
      <c r="L906" s="42" t="s">
        <v>6036</v>
      </c>
      <c r="M906" s="42" t="s">
        <v>6259</v>
      </c>
      <c r="N906" s="43" t="s">
        <v>6259</v>
      </c>
    </row>
    <row r="907" spans="1:14" ht="11.1" customHeight="1">
      <c r="A907" s="31" t="s">
        <v>8109</v>
      </c>
      <c r="B907" s="38" t="s">
        <v>6232</v>
      </c>
      <c r="C907" s="39">
        <v>52626</v>
      </c>
      <c r="D907" s="40">
        <v>0.2558348687184922</v>
      </c>
      <c r="E907" s="58">
        <v>54.892511812748381</v>
      </c>
      <c r="F907" s="59" t="s">
        <v>8110</v>
      </c>
      <c r="G907" s="59">
        <v>50</v>
      </c>
      <c r="H907" s="59" t="s">
        <v>6049</v>
      </c>
      <c r="I907" s="59" t="s">
        <v>6233</v>
      </c>
      <c r="J907" s="59" t="s">
        <v>6257</v>
      </c>
      <c r="K907" s="59" t="s">
        <v>6258</v>
      </c>
      <c r="L907" s="59" t="s">
        <v>6209</v>
      </c>
      <c r="M907" s="59">
        <v>1</v>
      </c>
      <c r="N907" s="43" t="s">
        <v>6260</v>
      </c>
    </row>
    <row r="908" spans="1:14" ht="11.1" customHeight="1">
      <c r="A908" s="44" t="s">
        <v>8111</v>
      </c>
      <c r="B908" s="45" t="s">
        <v>6231</v>
      </c>
      <c r="C908" s="46">
        <v>2611</v>
      </c>
      <c r="D908" s="47">
        <v>1.2693057466347113E-2</v>
      </c>
      <c r="E908" s="48" t="s">
        <v>6262</v>
      </c>
      <c r="F908" s="49" t="s">
        <v>8112</v>
      </c>
      <c r="G908" s="49">
        <v>39</v>
      </c>
      <c r="H908" s="49" t="s">
        <v>0</v>
      </c>
      <c r="I908" s="49" t="s">
        <v>6259</v>
      </c>
      <c r="J908" s="49" t="s">
        <v>6267</v>
      </c>
      <c r="K908" s="49" t="s">
        <v>6268</v>
      </c>
      <c r="L908" s="49" t="s">
        <v>6036</v>
      </c>
      <c r="M908" s="49" t="s">
        <v>6259</v>
      </c>
      <c r="N908" s="50" t="s">
        <v>6259</v>
      </c>
    </row>
    <row r="909" spans="1:14" ht="11.1" customHeight="1">
      <c r="A909" s="51" t="s">
        <v>8113</v>
      </c>
      <c r="B909" s="52" t="s">
        <v>6217</v>
      </c>
      <c r="C909" s="53">
        <v>134319</v>
      </c>
      <c r="D909" s="54">
        <v>0.57027919773109381</v>
      </c>
      <c r="E909" s="55" t="s">
        <v>6251</v>
      </c>
      <c r="F909" s="56" t="s">
        <v>8114</v>
      </c>
      <c r="G909" s="56">
        <v>37</v>
      </c>
      <c r="H909" s="56" t="s">
        <v>0</v>
      </c>
      <c r="I909" s="56" t="s">
        <v>6233</v>
      </c>
      <c r="J909" s="56" t="s">
        <v>6253</v>
      </c>
      <c r="K909" s="56" t="s">
        <v>6053</v>
      </c>
      <c r="L909" s="56" t="s">
        <v>6209</v>
      </c>
      <c r="M909" s="56">
        <v>1</v>
      </c>
      <c r="N909" s="57" t="s">
        <v>6213</v>
      </c>
    </row>
    <row r="910" spans="1:14" ht="11.1" customHeight="1">
      <c r="A910" s="31" t="s">
        <v>8115</v>
      </c>
      <c r="B910" s="38" t="s">
        <v>6230</v>
      </c>
      <c r="C910" s="39">
        <v>97284</v>
      </c>
      <c r="D910" s="40">
        <v>0.41303941714926212</v>
      </c>
      <c r="E910" s="41">
        <v>72.42757912134546</v>
      </c>
      <c r="F910" s="42" t="s">
        <v>8116</v>
      </c>
      <c r="G910" s="42">
        <v>35</v>
      </c>
      <c r="H910" s="42" t="s">
        <v>0</v>
      </c>
      <c r="I910" s="42" t="s">
        <v>6233</v>
      </c>
      <c r="J910" s="42" t="s">
        <v>6257</v>
      </c>
      <c r="K910" s="42" t="s">
        <v>6273</v>
      </c>
      <c r="L910" s="42" t="s">
        <v>6209</v>
      </c>
      <c r="M910" s="42">
        <v>1</v>
      </c>
      <c r="N910" s="43" t="s">
        <v>6260</v>
      </c>
    </row>
    <row r="911" spans="1:14" ht="11.1" customHeight="1">
      <c r="A911" s="44" t="s">
        <v>8117</v>
      </c>
      <c r="B911" s="45" t="s">
        <v>6231</v>
      </c>
      <c r="C911" s="46">
        <v>3929</v>
      </c>
      <c r="D911" s="47">
        <v>1.6681385119644041E-2</v>
      </c>
      <c r="E911" s="48" t="s">
        <v>6262</v>
      </c>
      <c r="F911" s="49" t="s">
        <v>8118</v>
      </c>
      <c r="G911" s="49">
        <v>46</v>
      </c>
      <c r="H911" s="49" t="s">
        <v>6049</v>
      </c>
      <c r="I911" s="49" t="s">
        <v>6259</v>
      </c>
      <c r="J911" s="49" t="s">
        <v>6267</v>
      </c>
      <c r="K911" s="49" t="s">
        <v>6268</v>
      </c>
      <c r="L911" s="49" t="s">
        <v>6036</v>
      </c>
      <c r="M911" s="49" t="s">
        <v>6259</v>
      </c>
      <c r="N911" s="50" t="s">
        <v>6259</v>
      </c>
    </row>
    <row r="912" spans="1:14" ht="11.1" customHeight="1">
      <c r="A912" s="51" t="s">
        <v>8119</v>
      </c>
      <c r="B912" s="60" t="s">
        <v>6217</v>
      </c>
      <c r="C912" s="61">
        <v>105172</v>
      </c>
      <c r="D912" s="62">
        <v>0.53089018449811964</v>
      </c>
      <c r="E912" s="63" t="s">
        <v>6251</v>
      </c>
      <c r="F912" s="64" t="s">
        <v>8120</v>
      </c>
      <c r="G912" s="64">
        <v>53</v>
      </c>
      <c r="H912" s="64" t="s">
        <v>0</v>
      </c>
      <c r="I912" s="64" t="s">
        <v>6233</v>
      </c>
      <c r="J912" s="64" t="s">
        <v>6257</v>
      </c>
      <c r="K912" s="64" t="s">
        <v>6273</v>
      </c>
      <c r="L912" s="64" t="s">
        <v>6209</v>
      </c>
      <c r="M912" s="64">
        <v>2</v>
      </c>
      <c r="N912" s="65" t="s">
        <v>6260</v>
      </c>
    </row>
    <row r="913" spans="1:14" ht="11.1" customHeight="1">
      <c r="A913" s="31" t="s">
        <v>8121</v>
      </c>
      <c r="B913" s="38" t="s">
        <v>6232</v>
      </c>
      <c r="C913" s="39">
        <v>89895</v>
      </c>
      <c r="D913" s="40">
        <v>0.45377451351555992</v>
      </c>
      <c r="E913" s="35">
        <v>85.47427071844217</v>
      </c>
      <c r="F913" s="36" t="s">
        <v>8122</v>
      </c>
      <c r="G913" s="36">
        <v>43</v>
      </c>
      <c r="H913" s="36" t="s">
        <v>0</v>
      </c>
      <c r="I913" s="36" t="s">
        <v>6233</v>
      </c>
      <c r="J913" s="36" t="s">
        <v>6253</v>
      </c>
      <c r="K913" s="36" t="s">
        <v>6053</v>
      </c>
      <c r="L913" s="36" t="s">
        <v>6036</v>
      </c>
      <c r="M913" s="36" t="s">
        <v>6259</v>
      </c>
      <c r="N913" s="43" t="s">
        <v>6213</v>
      </c>
    </row>
    <row r="914" spans="1:14" ht="11.1" customHeight="1" thickBot="1">
      <c r="A914" s="73" t="s">
        <v>8123</v>
      </c>
      <c r="B914" s="74" t="s">
        <v>6231</v>
      </c>
      <c r="C914" s="75">
        <v>3038</v>
      </c>
      <c r="D914" s="76">
        <v>1.5335301986320386E-2</v>
      </c>
      <c r="E914" s="77" t="s">
        <v>6262</v>
      </c>
      <c r="F914" s="78" t="s">
        <v>8124</v>
      </c>
      <c r="G914" s="78">
        <v>58</v>
      </c>
      <c r="H914" s="78" t="s">
        <v>0</v>
      </c>
      <c r="I914" s="78" t="s">
        <v>6259</v>
      </c>
      <c r="J914" s="78" t="s">
        <v>6267</v>
      </c>
      <c r="K914" s="78" t="s">
        <v>6268</v>
      </c>
      <c r="L914" s="78" t="s">
        <v>6036</v>
      </c>
      <c r="M914" s="78" t="s">
        <v>6259</v>
      </c>
      <c r="N914" s="79" t="s">
        <v>6259</v>
      </c>
    </row>
    <row r="915" spans="1:14" ht="11.1" customHeight="1">
      <c r="A915" s="80" t="s">
        <v>8125</v>
      </c>
      <c r="B915" s="108" t="s">
        <v>6217</v>
      </c>
      <c r="C915" s="109">
        <v>95475</v>
      </c>
      <c r="D915" s="110">
        <v>0.47335855268050592</v>
      </c>
      <c r="E915" s="111" t="s">
        <v>6251</v>
      </c>
      <c r="F915" s="112" t="s">
        <v>8126</v>
      </c>
      <c r="G915" s="112">
        <v>52</v>
      </c>
      <c r="H915" s="112" t="s">
        <v>0</v>
      </c>
      <c r="I915" s="112" t="s">
        <v>6233</v>
      </c>
      <c r="J915" s="112" t="s">
        <v>6257</v>
      </c>
      <c r="K915" s="112" t="s">
        <v>6402</v>
      </c>
      <c r="L915" s="112" t="s">
        <v>6209</v>
      </c>
      <c r="M915" s="112">
        <v>5</v>
      </c>
      <c r="N915" s="113" t="s">
        <v>6260</v>
      </c>
    </row>
    <row r="916" spans="1:14" ht="11.1" customHeight="1">
      <c r="A916" s="31" t="s">
        <v>8127</v>
      </c>
      <c r="B916" s="38" t="s">
        <v>6232</v>
      </c>
      <c r="C916" s="39">
        <v>87557</v>
      </c>
      <c r="D916" s="40">
        <v>0.43410164752078612</v>
      </c>
      <c r="E916" s="35">
        <v>91.706729510343024</v>
      </c>
      <c r="F916" s="36" t="s">
        <v>8128</v>
      </c>
      <c r="G916" s="36">
        <v>40</v>
      </c>
      <c r="H916" s="36" t="s">
        <v>0</v>
      </c>
      <c r="I916" s="36" t="s">
        <v>6233</v>
      </c>
      <c r="J916" s="36" t="s">
        <v>6253</v>
      </c>
      <c r="K916" s="36" t="s">
        <v>6207</v>
      </c>
      <c r="L916" s="36" t="s">
        <v>6036</v>
      </c>
      <c r="M916" s="36" t="s">
        <v>6259</v>
      </c>
      <c r="N916" s="43" t="s">
        <v>6213</v>
      </c>
    </row>
    <row r="917" spans="1:14" ht="11.1" customHeight="1">
      <c r="A917" s="31" t="s">
        <v>8129</v>
      </c>
      <c r="B917" s="38" t="s">
        <v>6231</v>
      </c>
      <c r="C917" s="39">
        <v>8945</v>
      </c>
      <c r="D917" s="40">
        <v>4.434870126972637E-2</v>
      </c>
      <c r="E917" s="93">
        <v>9.3689447499345384</v>
      </c>
      <c r="F917" s="42" t="s">
        <v>8130</v>
      </c>
      <c r="G917" s="42">
        <v>54</v>
      </c>
      <c r="H917" s="42" t="s">
        <v>0</v>
      </c>
      <c r="I917" s="42" t="s">
        <v>6233</v>
      </c>
      <c r="J917" s="42" t="s">
        <v>6264</v>
      </c>
      <c r="K917" s="42" t="s">
        <v>6259</v>
      </c>
      <c r="L917" s="42" t="s">
        <v>6036</v>
      </c>
      <c r="M917" s="42" t="s">
        <v>6259</v>
      </c>
      <c r="N917" s="43" t="s">
        <v>6259</v>
      </c>
    </row>
    <row r="918" spans="1:14" ht="11.1" customHeight="1">
      <c r="A918" s="31" t="s">
        <v>8131</v>
      </c>
      <c r="B918" s="38" t="s">
        <v>6231</v>
      </c>
      <c r="C918" s="39">
        <v>5438</v>
      </c>
      <c r="D918" s="40">
        <v>2.6961233930103076E-2</v>
      </c>
      <c r="E918" s="93">
        <v>5.6957318669808847</v>
      </c>
      <c r="F918" s="42" t="s">
        <v>8132</v>
      </c>
      <c r="G918" s="42">
        <v>49</v>
      </c>
      <c r="H918" s="42" t="s">
        <v>0</v>
      </c>
      <c r="I918" s="42" t="s">
        <v>6233</v>
      </c>
      <c r="J918" s="42" t="s">
        <v>6278</v>
      </c>
      <c r="K918" s="42" t="s">
        <v>6259</v>
      </c>
      <c r="L918" s="42" t="s">
        <v>6036</v>
      </c>
      <c r="M918" s="42" t="s">
        <v>6259</v>
      </c>
      <c r="N918" s="43" t="s">
        <v>6259</v>
      </c>
    </row>
    <row r="919" spans="1:14" ht="11.1" customHeight="1">
      <c r="A919" s="31" t="s">
        <v>8133</v>
      </c>
      <c r="B919" s="38" t="s">
        <v>6231</v>
      </c>
      <c r="C919" s="39">
        <v>2889</v>
      </c>
      <c r="D919" s="40">
        <v>1.4323465396113974E-2</v>
      </c>
      <c r="E919" s="41" t="s">
        <v>6262</v>
      </c>
      <c r="F919" s="42" t="s">
        <v>8134</v>
      </c>
      <c r="G919" s="42">
        <v>57</v>
      </c>
      <c r="H919" s="42" t="s">
        <v>0</v>
      </c>
      <c r="I919" s="42" t="s">
        <v>6259</v>
      </c>
      <c r="J919" s="42" t="s">
        <v>6322</v>
      </c>
      <c r="K919" s="42" t="s">
        <v>6259</v>
      </c>
      <c r="L919" s="42" t="s">
        <v>6036</v>
      </c>
      <c r="M919" s="42" t="s">
        <v>6259</v>
      </c>
      <c r="N919" s="43" t="s">
        <v>6259</v>
      </c>
    </row>
    <row r="920" spans="1:14" ht="11.1" customHeight="1">
      <c r="A920" s="44" t="s">
        <v>8135</v>
      </c>
      <c r="B920" s="45" t="s">
        <v>6231</v>
      </c>
      <c r="C920" s="46">
        <v>1393</v>
      </c>
      <c r="D920" s="47">
        <v>6.9063992027645427E-3</v>
      </c>
      <c r="E920" s="48" t="s">
        <v>6262</v>
      </c>
      <c r="F920" s="49" t="s">
        <v>8136</v>
      </c>
      <c r="G920" s="49">
        <v>47</v>
      </c>
      <c r="H920" s="49" t="s">
        <v>0</v>
      </c>
      <c r="I920" s="49" t="s">
        <v>6259</v>
      </c>
      <c r="J920" s="49" t="s">
        <v>6267</v>
      </c>
      <c r="K920" s="49" t="s">
        <v>6268</v>
      </c>
      <c r="L920" s="49" t="s">
        <v>6036</v>
      </c>
      <c r="M920" s="49" t="s">
        <v>6259</v>
      </c>
      <c r="N920" s="50" t="s">
        <v>6259</v>
      </c>
    </row>
    <row r="921" spans="1:14" ht="11.1" customHeight="1">
      <c r="A921" s="51" t="s">
        <v>8137</v>
      </c>
      <c r="B921" s="52" t="s">
        <v>6217</v>
      </c>
      <c r="C921" s="53">
        <v>149227</v>
      </c>
      <c r="D921" s="54">
        <v>0.56328442604077411</v>
      </c>
      <c r="E921" s="55" t="s">
        <v>6251</v>
      </c>
      <c r="F921" s="56" t="s">
        <v>8138</v>
      </c>
      <c r="G921" s="56">
        <v>38</v>
      </c>
      <c r="H921" s="56" t="s">
        <v>0</v>
      </c>
      <c r="I921" s="56" t="s">
        <v>6233</v>
      </c>
      <c r="J921" s="56" t="s">
        <v>6253</v>
      </c>
      <c r="K921" s="56" t="s">
        <v>6053</v>
      </c>
      <c r="L921" s="56" t="s">
        <v>6209</v>
      </c>
      <c r="M921" s="56">
        <v>2</v>
      </c>
      <c r="N921" s="57" t="s">
        <v>6213</v>
      </c>
    </row>
    <row r="922" spans="1:14" ht="11.1" customHeight="1">
      <c r="A922" s="31" t="s">
        <v>8139</v>
      </c>
      <c r="B922" s="38" t="s">
        <v>6230</v>
      </c>
      <c r="C922" s="39">
        <v>110238</v>
      </c>
      <c r="D922" s="40">
        <v>0.41611336124081338</v>
      </c>
      <c r="E922" s="41">
        <v>73.872690598886265</v>
      </c>
      <c r="F922" s="42" t="s">
        <v>8140</v>
      </c>
      <c r="G922" s="42">
        <v>61</v>
      </c>
      <c r="H922" s="42" t="s">
        <v>0</v>
      </c>
      <c r="I922" s="42" t="s">
        <v>6233</v>
      </c>
      <c r="J922" s="42" t="s">
        <v>6257</v>
      </c>
      <c r="K922" s="42" t="s">
        <v>6273</v>
      </c>
      <c r="L922" s="42" t="s">
        <v>6209</v>
      </c>
      <c r="M922" s="42">
        <v>1</v>
      </c>
      <c r="N922" s="43" t="s">
        <v>6260</v>
      </c>
    </row>
    <row r="923" spans="1:14" ht="11.1" customHeight="1">
      <c r="A923" s="44" t="s">
        <v>8141</v>
      </c>
      <c r="B923" s="45" t="s">
        <v>6231</v>
      </c>
      <c r="C923" s="46">
        <v>5458</v>
      </c>
      <c r="D923" s="47">
        <v>2.0602212718412519E-2</v>
      </c>
      <c r="E923" s="48" t="s">
        <v>6262</v>
      </c>
      <c r="F923" s="49" t="s">
        <v>8142</v>
      </c>
      <c r="G923" s="49">
        <v>45</v>
      </c>
      <c r="H923" s="49" t="s">
        <v>6049</v>
      </c>
      <c r="I923" s="49" t="s">
        <v>6259</v>
      </c>
      <c r="J923" s="49" t="s">
        <v>6267</v>
      </c>
      <c r="K923" s="49" t="s">
        <v>6268</v>
      </c>
      <c r="L923" s="49" t="s">
        <v>6036</v>
      </c>
      <c r="M923" s="49" t="s">
        <v>6259</v>
      </c>
      <c r="N923" s="50" t="s">
        <v>6259</v>
      </c>
    </row>
    <row r="924" spans="1:14" ht="11.1" customHeight="1">
      <c r="A924" s="51" t="s">
        <v>8143</v>
      </c>
      <c r="B924" s="52" t="s">
        <v>6217</v>
      </c>
      <c r="C924" s="53">
        <v>133994</v>
      </c>
      <c r="D924" s="54">
        <v>0.56805039765308374</v>
      </c>
      <c r="E924" s="55" t="s">
        <v>6251</v>
      </c>
      <c r="F924" s="56" t="s">
        <v>8144</v>
      </c>
      <c r="G924" s="56">
        <v>39</v>
      </c>
      <c r="H924" s="56" t="s">
        <v>0</v>
      </c>
      <c r="I924" s="56" t="s">
        <v>6233</v>
      </c>
      <c r="J924" s="56" t="s">
        <v>6253</v>
      </c>
      <c r="K924" s="56" t="s">
        <v>6053</v>
      </c>
      <c r="L924" s="56" t="s">
        <v>6036</v>
      </c>
      <c r="M924" s="56" t="s">
        <v>6259</v>
      </c>
      <c r="N924" s="57" t="s">
        <v>6213</v>
      </c>
    </row>
    <row r="925" spans="1:14" ht="11.1" customHeight="1">
      <c r="A925" s="31" t="s">
        <v>8145</v>
      </c>
      <c r="B925" s="38" t="s">
        <v>6230</v>
      </c>
      <c r="C925" s="39">
        <v>96065</v>
      </c>
      <c r="D925" s="40">
        <v>0.40725526106052129</v>
      </c>
      <c r="E925" s="41">
        <v>71.693508664567076</v>
      </c>
      <c r="F925" s="42" t="s">
        <v>8146</v>
      </c>
      <c r="G925" s="42">
        <v>64</v>
      </c>
      <c r="H925" s="42" t="s">
        <v>0</v>
      </c>
      <c r="I925" s="42" t="s">
        <v>6233</v>
      </c>
      <c r="J925" s="42" t="s">
        <v>6257</v>
      </c>
      <c r="K925" s="42" t="s">
        <v>6311</v>
      </c>
      <c r="L925" s="42" t="s">
        <v>6209</v>
      </c>
      <c r="M925" s="42">
        <v>3</v>
      </c>
      <c r="N925" s="43" t="s">
        <v>6260</v>
      </c>
    </row>
    <row r="926" spans="1:14" ht="11.1" customHeight="1">
      <c r="A926" s="44" t="s">
        <v>8147</v>
      </c>
      <c r="B926" s="45" t="s">
        <v>6231</v>
      </c>
      <c r="C926" s="46">
        <v>5825</v>
      </c>
      <c r="D926" s="47">
        <v>2.4694341286395007E-2</v>
      </c>
      <c r="E926" s="48" t="s">
        <v>6262</v>
      </c>
      <c r="F926" s="49" t="s">
        <v>8148</v>
      </c>
      <c r="G926" s="49">
        <v>46</v>
      </c>
      <c r="H926" s="49" t="s">
        <v>6049</v>
      </c>
      <c r="I926" s="49" t="s">
        <v>6259</v>
      </c>
      <c r="J926" s="49" t="s">
        <v>6267</v>
      </c>
      <c r="K926" s="49" t="s">
        <v>6268</v>
      </c>
      <c r="L926" s="49" t="s">
        <v>6036</v>
      </c>
      <c r="M926" s="49" t="s">
        <v>6259</v>
      </c>
      <c r="N926" s="50" t="s">
        <v>6259</v>
      </c>
    </row>
    <row r="927" spans="1:14" ht="11.1" customHeight="1">
      <c r="A927" s="51" t="s">
        <v>8149</v>
      </c>
      <c r="B927" s="52" t="s">
        <v>6217</v>
      </c>
      <c r="C927" s="53">
        <v>102435</v>
      </c>
      <c r="D927" s="54">
        <v>0.50278794899231349</v>
      </c>
      <c r="E927" s="55" t="s">
        <v>6251</v>
      </c>
      <c r="F927" s="56" t="s">
        <v>8150</v>
      </c>
      <c r="G927" s="56">
        <v>45</v>
      </c>
      <c r="H927" s="56" t="s">
        <v>0</v>
      </c>
      <c r="I927" s="56" t="s">
        <v>6233</v>
      </c>
      <c r="J927" s="56" t="s">
        <v>6253</v>
      </c>
      <c r="K927" s="56" t="s">
        <v>6035</v>
      </c>
      <c r="L927" s="56" t="s">
        <v>6036</v>
      </c>
      <c r="M927" s="56" t="s">
        <v>6259</v>
      </c>
      <c r="N927" s="57" t="s">
        <v>6213</v>
      </c>
    </row>
    <row r="928" spans="1:14" ht="11.1" customHeight="1">
      <c r="A928" s="31" t="s">
        <v>8151</v>
      </c>
      <c r="B928" s="38" t="s">
        <v>6232</v>
      </c>
      <c r="C928" s="39">
        <v>97296</v>
      </c>
      <c r="D928" s="40">
        <v>0.47756388231713903</v>
      </c>
      <c r="E928" s="58">
        <v>94.983160052716357</v>
      </c>
      <c r="F928" s="59" t="s">
        <v>8152</v>
      </c>
      <c r="G928" s="59">
        <v>65</v>
      </c>
      <c r="H928" s="59" t="s">
        <v>0</v>
      </c>
      <c r="I928" s="59" t="s">
        <v>6233</v>
      </c>
      <c r="J928" s="59" t="s">
        <v>6257</v>
      </c>
      <c r="K928" s="59" t="s">
        <v>6286</v>
      </c>
      <c r="L928" s="59" t="s">
        <v>6209</v>
      </c>
      <c r="M928" s="59">
        <v>9</v>
      </c>
      <c r="N928" s="43" t="s">
        <v>6260</v>
      </c>
    </row>
    <row r="929" spans="1:14" ht="11.1" customHeight="1">
      <c r="A929" s="44" t="s">
        <v>8153</v>
      </c>
      <c r="B929" s="45" t="s">
        <v>6231</v>
      </c>
      <c r="C929" s="46">
        <v>4003</v>
      </c>
      <c r="D929" s="47">
        <v>1.9648168690547477E-2</v>
      </c>
      <c r="E929" s="48" t="s">
        <v>6262</v>
      </c>
      <c r="F929" s="49" t="s">
        <v>8154</v>
      </c>
      <c r="G929" s="49">
        <v>54</v>
      </c>
      <c r="H929" s="49" t="s">
        <v>6049</v>
      </c>
      <c r="I929" s="49" t="s">
        <v>6259</v>
      </c>
      <c r="J929" s="49" t="s">
        <v>6267</v>
      </c>
      <c r="K929" s="49" t="s">
        <v>6268</v>
      </c>
      <c r="L929" s="49" t="s">
        <v>6036</v>
      </c>
      <c r="M929" s="49" t="s">
        <v>6259</v>
      </c>
      <c r="N929" s="50" t="s">
        <v>6259</v>
      </c>
    </row>
    <row r="930" spans="1:14" ht="11.1" customHeight="1">
      <c r="A930" s="51" t="s">
        <v>8155</v>
      </c>
      <c r="B930" s="52" t="s">
        <v>6217</v>
      </c>
      <c r="C930" s="53">
        <v>99770</v>
      </c>
      <c r="D930" s="54">
        <v>0.50876584634526933</v>
      </c>
      <c r="E930" s="55" t="s">
        <v>6251</v>
      </c>
      <c r="F930" s="56" t="s">
        <v>8156</v>
      </c>
      <c r="G930" s="56">
        <v>50</v>
      </c>
      <c r="H930" s="56" t="s">
        <v>0</v>
      </c>
      <c r="I930" s="56" t="s">
        <v>6233</v>
      </c>
      <c r="J930" s="56" t="s">
        <v>6253</v>
      </c>
      <c r="K930" s="56" t="s">
        <v>6053</v>
      </c>
      <c r="L930" s="56" t="s">
        <v>6209</v>
      </c>
      <c r="M930" s="56">
        <v>1</v>
      </c>
      <c r="N930" s="57" t="s">
        <v>6213</v>
      </c>
    </row>
    <row r="931" spans="1:14" ht="11.1" customHeight="1">
      <c r="A931" s="31" t="s">
        <v>8157</v>
      </c>
      <c r="B931" s="38" t="s">
        <v>6230</v>
      </c>
      <c r="C931" s="39">
        <v>93594</v>
      </c>
      <c r="D931" s="40">
        <v>0.47727203190176543</v>
      </c>
      <c r="E931" s="41">
        <v>93.809762453643373</v>
      </c>
      <c r="F931" s="42" t="s">
        <v>8158</v>
      </c>
      <c r="G931" s="42">
        <v>51</v>
      </c>
      <c r="H931" s="42" t="s">
        <v>0</v>
      </c>
      <c r="I931" s="42" t="s">
        <v>6233</v>
      </c>
      <c r="J931" s="42" t="s">
        <v>6257</v>
      </c>
      <c r="K931" s="42" t="s">
        <v>6402</v>
      </c>
      <c r="L931" s="42" t="s">
        <v>6209</v>
      </c>
      <c r="M931" s="42">
        <v>2</v>
      </c>
      <c r="N931" s="43" t="s">
        <v>6260</v>
      </c>
    </row>
    <row r="932" spans="1:14" ht="11.1" customHeight="1">
      <c r="A932" s="44" t="s">
        <v>8159</v>
      </c>
      <c r="B932" s="45" t="s">
        <v>6231</v>
      </c>
      <c r="C932" s="46">
        <v>2738</v>
      </c>
      <c r="D932" s="47">
        <v>1.3962121752965293E-2</v>
      </c>
      <c r="E932" s="48" t="s">
        <v>6262</v>
      </c>
      <c r="F932" s="49" t="s">
        <v>8160</v>
      </c>
      <c r="G932" s="49">
        <v>50</v>
      </c>
      <c r="H932" s="49" t="s">
        <v>0</v>
      </c>
      <c r="I932" s="49" t="s">
        <v>6259</v>
      </c>
      <c r="J932" s="49" t="s">
        <v>6267</v>
      </c>
      <c r="K932" s="49" t="s">
        <v>6268</v>
      </c>
      <c r="L932" s="49" t="s">
        <v>6036</v>
      </c>
      <c r="M932" s="49" t="s">
        <v>6259</v>
      </c>
      <c r="N932" s="50" t="s">
        <v>6259</v>
      </c>
    </row>
    <row r="933" spans="1:14" ht="11.1" customHeight="1">
      <c r="A933" s="51" t="s">
        <v>8161</v>
      </c>
      <c r="B933" s="134" t="s">
        <v>6217</v>
      </c>
      <c r="C933" s="135">
        <v>137287</v>
      </c>
      <c r="D933" s="136">
        <v>0.60169524953214093</v>
      </c>
      <c r="E933" s="137" t="s">
        <v>6251</v>
      </c>
      <c r="F933" s="138" t="s">
        <v>8162</v>
      </c>
      <c r="G933" s="138">
        <v>72</v>
      </c>
      <c r="H933" s="138" t="s">
        <v>0</v>
      </c>
      <c r="I933" s="138" t="s">
        <v>6233</v>
      </c>
      <c r="J933" s="138" t="s">
        <v>7280</v>
      </c>
      <c r="K933" s="138" t="s">
        <v>6259</v>
      </c>
      <c r="L933" s="138" t="s">
        <v>6209</v>
      </c>
      <c r="M933" s="138">
        <v>10</v>
      </c>
      <c r="N933" s="139" t="s">
        <v>6481</v>
      </c>
    </row>
    <row r="934" spans="1:14" ht="11.1" customHeight="1">
      <c r="A934" s="31" t="s">
        <v>8163</v>
      </c>
      <c r="B934" s="38" t="s">
        <v>6230</v>
      </c>
      <c r="C934" s="39">
        <v>69808</v>
      </c>
      <c r="D934" s="40">
        <v>0.30595134265691359</v>
      </c>
      <c r="E934" s="41">
        <v>50.848223065548815</v>
      </c>
      <c r="F934" s="42" t="s">
        <v>8164</v>
      </c>
      <c r="G934" s="42">
        <v>58</v>
      </c>
      <c r="H934" s="42" t="s">
        <v>0</v>
      </c>
      <c r="I934" s="42" t="s">
        <v>6233</v>
      </c>
      <c r="J934" s="42" t="s">
        <v>6257</v>
      </c>
      <c r="K934" s="42" t="s">
        <v>6402</v>
      </c>
      <c r="L934" s="42" t="s">
        <v>6036</v>
      </c>
      <c r="M934" s="42" t="s">
        <v>6259</v>
      </c>
      <c r="N934" s="43" t="s">
        <v>6260</v>
      </c>
    </row>
    <row r="935" spans="1:14" ht="11.1" customHeight="1">
      <c r="A935" s="31" t="s">
        <v>8165</v>
      </c>
      <c r="B935" s="38" t="s">
        <v>6231</v>
      </c>
      <c r="C935" s="39">
        <v>17383</v>
      </c>
      <c r="D935" s="40">
        <v>7.61854255873987E-2</v>
      </c>
      <c r="E935" s="41" t="s">
        <v>6262</v>
      </c>
      <c r="F935" s="42" t="s">
        <v>8166</v>
      </c>
      <c r="G935" s="42">
        <v>52</v>
      </c>
      <c r="H935" s="42" t="s">
        <v>6049</v>
      </c>
      <c r="I935" s="42" t="s">
        <v>6259</v>
      </c>
      <c r="J935" s="42" t="s">
        <v>6264</v>
      </c>
      <c r="K935" s="42" t="s">
        <v>6259</v>
      </c>
      <c r="L935" s="42" t="s">
        <v>6036</v>
      </c>
      <c r="M935" s="42" t="s">
        <v>6259</v>
      </c>
      <c r="N935" s="43" t="s">
        <v>6259</v>
      </c>
    </row>
    <row r="936" spans="1:14" ht="11.1" customHeight="1">
      <c r="A936" s="44" t="s">
        <v>8167</v>
      </c>
      <c r="B936" s="45" t="s">
        <v>6231</v>
      </c>
      <c r="C936" s="46">
        <v>3689</v>
      </c>
      <c r="D936" s="47">
        <v>1.616798222354679E-2</v>
      </c>
      <c r="E936" s="48" t="s">
        <v>6262</v>
      </c>
      <c r="F936" s="49" t="s">
        <v>8168</v>
      </c>
      <c r="G936" s="49">
        <v>58</v>
      </c>
      <c r="H936" s="49" t="s">
        <v>6049</v>
      </c>
      <c r="I936" s="49" t="s">
        <v>6259</v>
      </c>
      <c r="J936" s="49" t="s">
        <v>6267</v>
      </c>
      <c r="K936" s="49" t="s">
        <v>6268</v>
      </c>
      <c r="L936" s="49" t="s">
        <v>6036</v>
      </c>
      <c r="M936" s="49" t="s">
        <v>6259</v>
      </c>
      <c r="N936" s="50" t="s">
        <v>6259</v>
      </c>
    </row>
    <row r="937" spans="1:14" ht="11.1" customHeight="1">
      <c r="A937" s="51" t="s">
        <v>8169</v>
      </c>
      <c r="B937" s="52" t="s">
        <v>6217</v>
      </c>
      <c r="C937" s="53">
        <v>133871</v>
      </c>
      <c r="D937" s="54">
        <v>0.53748128043810806</v>
      </c>
      <c r="E937" s="55" t="s">
        <v>6251</v>
      </c>
      <c r="F937" s="56" t="s">
        <v>8170</v>
      </c>
      <c r="G937" s="56">
        <v>46</v>
      </c>
      <c r="H937" s="56" t="s">
        <v>0</v>
      </c>
      <c r="I937" s="56" t="s">
        <v>6233</v>
      </c>
      <c r="J937" s="56" t="s">
        <v>6253</v>
      </c>
      <c r="K937" s="56" t="s">
        <v>6053</v>
      </c>
      <c r="L937" s="56" t="s">
        <v>6209</v>
      </c>
      <c r="M937" s="56">
        <v>2</v>
      </c>
      <c r="N937" s="57" t="s">
        <v>6213</v>
      </c>
    </row>
    <row r="938" spans="1:14" ht="11.1" customHeight="1">
      <c r="A938" s="31" t="s">
        <v>8171</v>
      </c>
      <c r="B938" s="38" t="s">
        <v>6230</v>
      </c>
      <c r="C938" s="39">
        <v>111321</v>
      </c>
      <c r="D938" s="40">
        <v>0.44694484705164389</v>
      </c>
      <c r="E938" s="41">
        <v>83.155425745680546</v>
      </c>
      <c r="F938" s="42" t="s">
        <v>8172</v>
      </c>
      <c r="G938" s="42">
        <v>59</v>
      </c>
      <c r="H938" s="42" t="s">
        <v>0</v>
      </c>
      <c r="I938" s="42" t="s">
        <v>6233</v>
      </c>
      <c r="J938" s="42" t="s">
        <v>6257</v>
      </c>
      <c r="K938" s="42" t="s">
        <v>6402</v>
      </c>
      <c r="L938" s="42" t="s">
        <v>6209</v>
      </c>
      <c r="M938" s="42">
        <v>3</v>
      </c>
      <c r="N938" s="43" t="s">
        <v>6260</v>
      </c>
    </row>
    <row r="939" spans="1:14" ht="11.1" customHeight="1" thickBot="1">
      <c r="A939" s="73" t="s">
        <v>8173</v>
      </c>
      <c r="B939" s="74" t="s">
        <v>6231</v>
      </c>
      <c r="C939" s="75">
        <v>3879</v>
      </c>
      <c r="D939" s="76">
        <v>1.5573872510248082E-2</v>
      </c>
      <c r="E939" s="77" t="s">
        <v>6262</v>
      </c>
      <c r="F939" s="78" t="s">
        <v>8174</v>
      </c>
      <c r="G939" s="78">
        <v>50</v>
      </c>
      <c r="H939" s="78" t="s">
        <v>0</v>
      </c>
      <c r="I939" s="78" t="s">
        <v>6259</v>
      </c>
      <c r="J939" s="78" t="s">
        <v>6267</v>
      </c>
      <c r="K939" s="78" t="s">
        <v>6268</v>
      </c>
      <c r="L939" s="78" t="s">
        <v>6036</v>
      </c>
      <c r="M939" s="78" t="s">
        <v>6259</v>
      </c>
      <c r="N939" s="79" t="s">
        <v>6259</v>
      </c>
    </row>
    <row r="940" spans="1:14" ht="11.1" customHeight="1">
      <c r="A940" s="80" t="s">
        <v>8175</v>
      </c>
      <c r="B940" s="108" t="s">
        <v>6217</v>
      </c>
      <c r="C940" s="109">
        <v>142103</v>
      </c>
      <c r="D940" s="110">
        <v>0.56987315476882727</v>
      </c>
      <c r="E940" s="111" t="s">
        <v>6251</v>
      </c>
      <c r="F940" s="112" t="s">
        <v>8176</v>
      </c>
      <c r="G940" s="112">
        <v>67</v>
      </c>
      <c r="H940" s="112" t="s">
        <v>0</v>
      </c>
      <c r="I940" s="112" t="s">
        <v>6233</v>
      </c>
      <c r="J940" s="112" t="s">
        <v>6257</v>
      </c>
      <c r="K940" s="112" t="s">
        <v>6369</v>
      </c>
      <c r="L940" s="112" t="s">
        <v>6209</v>
      </c>
      <c r="M940" s="112">
        <v>9</v>
      </c>
      <c r="N940" s="113" t="s">
        <v>6260</v>
      </c>
    </row>
    <row r="941" spans="1:14" ht="11.1" customHeight="1">
      <c r="A941" s="31" t="s">
        <v>8177</v>
      </c>
      <c r="B941" s="38" t="s">
        <v>6232</v>
      </c>
      <c r="C941" s="39">
        <v>94253</v>
      </c>
      <c r="D941" s="40">
        <v>0.37798114365232455</v>
      </c>
      <c r="E941" s="35">
        <v>66.327241507920306</v>
      </c>
      <c r="F941" s="36" t="s">
        <v>8178</v>
      </c>
      <c r="G941" s="36">
        <v>35</v>
      </c>
      <c r="H941" s="36" t="s">
        <v>0</v>
      </c>
      <c r="I941" s="36" t="s">
        <v>6233</v>
      </c>
      <c r="J941" s="36" t="s">
        <v>6253</v>
      </c>
      <c r="K941" s="36" t="s">
        <v>6053</v>
      </c>
      <c r="L941" s="36" t="s">
        <v>6036</v>
      </c>
      <c r="M941" s="36" t="s">
        <v>6259</v>
      </c>
      <c r="N941" s="43" t="s">
        <v>6213</v>
      </c>
    </row>
    <row r="942" spans="1:14" ht="11.1" customHeight="1">
      <c r="A942" s="31" t="s">
        <v>8179</v>
      </c>
      <c r="B942" s="38" t="s">
        <v>6231</v>
      </c>
      <c r="C942" s="39">
        <v>10114</v>
      </c>
      <c r="D942" s="40">
        <v>4.055999582930634E-2</v>
      </c>
      <c r="E942" s="93">
        <v>7.1173726100082337</v>
      </c>
      <c r="F942" s="42" t="s">
        <v>8180</v>
      </c>
      <c r="G942" s="42">
        <v>56</v>
      </c>
      <c r="H942" s="42" t="s">
        <v>0</v>
      </c>
      <c r="I942" s="42" t="s">
        <v>6233</v>
      </c>
      <c r="J942" s="42" t="s">
        <v>6264</v>
      </c>
      <c r="K942" s="42" t="s">
        <v>6259</v>
      </c>
      <c r="L942" s="42" t="s">
        <v>6036</v>
      </c>
      <c r="M942" s="42" t="s">
        <v>6259</v>
      </c>
      <c r="N942" s="43" t="s">
        <v>6259</v>
      </c>
    </row>
    <row r="943" spans="1:14" ht="11.1" customHeight="1">
      <c r="A943" s="44" t="s">
        <v>8181</v>
      </c>
      <c r="B943" s="45" t="s">
        <v>6231</v>
      </c>
      <c r="C943" s="46">
        <v>2889</v>
      </c>
      <c r="D943" s="47">
        <v>1.1585705749541824E-2</v>
      </c>
      <c r="E943" s="48" t="s">
        <v>6262</v>
      </c>
      <c r="F943" s="49" t="s">
        <v>8182</v>
      </c>
      <c r="G943" s="49">
        <v>45</v>
      </c>
      <c r="H943" s="49" t="s">
        <v>0</v>
      </c>
      <c r="I943" s="49" t="s">
        <v>6259</v>
      </c>
      <c r="J943" s="49" t="s">
        <v>6267</v>
      </c>
      <c r="K943" s="49" t="s">
        <v>6268</v>
      </c>
      <c r="L943" s="49" t="s">
        <v>6036</v>
      </c>
      <c r="M943" s="49" t="s">
        <v>6259</v>
      </c>
      <c r="N943" s="50" t="s">
        <v>6259</v>
      </c>
    </row>
    <row r="944" spans="1:14" ht="11.1" customHeight="1">
      <c r="A944" s="51" t="s">
        <v>8183</v>
      </c>
      <c r="B944" s="52" t="s">
        <v>6217</v>
      </c>
      <c r="C944" s="53">
        <v>117571</v>
      </c>
      <c r="D944" s="54">
        <v>0.51650273031995042</v>
      </c>
      <c r="E944" s="55" t="s">
        <v>6251</v>
      </c>
      <c r="F944" s="56" t="s">
        <v>8184</v>
      </c>
      <c r="G944" s="56">
        <v>55</v>
      </c>
      <c r="H944" s="56" t="s">
        <v>0</v>
      </c>
      <c r="I944" s="56" t="s">
        <v>6233</v>
      </c>
      <c r="J944" s="56" t="s">
        <v>6253</v>
      </c>
      <c r="K944" s="56" t="s">
        <v>6053</v>
      </c>
      <c r="L944" s="56" t="s">
        <v>6209</v>
      </c>
      <c r="M944" s="56">
        <v>4</v>
      </c>
      <c r="N944" s="57" t="s">
        <v>6213</v>
      </c>
    </row>
    <row r="945" spans="1:14" ht="11.1" customHeight="1">
      <c r="A945" s="31" t="s">
        <v>8185</v>
      </c>
      <c r="B945" s="38" t="s">
        <v>6230</v>
      </c>
      <c r="C945" s="39">
        <v>105940</v>
      </c>
      <c r="D945" s="40">
        <v>0.46540642888208444</v>
      </c>
      <c r="E945" s="41">
        <v>90.107254339930762</v>
      </c>
      <c r="F945" s="42" t="s">
        <v>8186</v>
      </c>
      <c r="G945" s="42">
        <v>60</v>
      </c>
      <c r="H945" s="42" t="s">
        <v>0</v>
      </c>
      <c r="I945" s="42" t="s">
        <v>6233</v>
      </c>
      <c r="J945" s="42" t="s">
        <v>6257</v>
      </c>
      <c r="K945" s="42" t="s">
        <v>6258</v>
      </c>
      <c r="L945" s="42" t="s">
        <v>6036</v>
      </c>
      <c r="M945" s="42" t="s">
        <v>6259</v>
      </c>
      <c r="N945" s="43" t="s">
        <v>6260</v>
      </c>
    </row>
    <row r="946" spans="1:14" ht="11.1" customHeight="1">
      <c r="A946" s="44" t="s">
        <v>8187</v>
      </c>
      <c r="B946" s="45" t="s">
        <v>6231</v>
      </c>
      <c r="C946" s="46">
        <v>4118</v>
      </c>
      <c r="D946" s="47">
        <v>1.8090840797965111E-2</v>
      </c>
      <c r="E946" s="48" t="s">
        <v>6262</v>
      </c>
      <c r="F946" s="49" t="s">
        <v>8188</v>
      </c>
      <c r="G946" s="49">
        <v>47</v>
      </c>
      <c r="H946" s="49" t="s">
        <v>6049</v>
      </c>
      <c r="I946" s="49" t="s">
        <v>6259</v>
      </c>
      <c r="J946" s="49" t="s">
        <v>6267</v>
      </c>
      <c r="K946" s="49" t="s">
        <v>6268</v>
      </c>
      <c r="L946" s="49" t="s">
        <v>6036</v>
      </c>
      <c r="M946" s="49" t="s">
        <v>6259</v>
      </c>
      <c r="N946" s="50" t="s">
        <v>6259</v>
      </c>
    </row>
    <row r="947" spans="1:14" ht="11.1" customHeight="1">
      <c r="A947" s="51" t="s">
        <v>8189</v>
      </c>
      <c r="B947" s="60" t="s">
        <v>6217</v>
      </c>
      <c r="C947" s="61">
        <v>115757</v>
      </c>
      <c r="D947" s="62">
        <v>0.60078577508356001</v>
      </c>
      <c r="E947" s="63" t="s">
        <v>6251</v>
      </c>
      <c r="F947" s="64" t="s">
        <v>8190</v>
      </c>
      <c r="G947" s="64">
        <v>66</v>
      </c>
      <c r="H947" s="64" t="s">
        <v>0</v>
      </c>
      <c r="I947" s="64" t="s">
        <v>6233</v>
      </c>
      <c r="J947" s="64" t="s">
        <v>6257</v>
      </c>
      <c r="K947" s="64" t="s">
        <v>6311</v>
      </c>
      <c r="L947" s="64" t="s">
        <v>6209</v>
      </c>
      <c r="M947" s="64">
        <v>6</v>
      </c>
      <c r="N947" s="65" t="s">
        <v>6260</v>
      </c>
    </row>
    <row r="948" spans="1:14" ht="11.1" customHeight="1">
      <c r="A948" s="31" t="s">
        <v>8191</v>
      </c>
      <c r="B948" s="38" t="s">
        <v>6230</v>
      </c>
      <c r="C948" s="39">
        <v>73760</v>
      </c>
      <c r="D948" s="40">
        <v>0.38281882538562145</v>
      </c>
      <c r="E948" s="41">
        <v>63.719688658137308</v>
      </c>
      <c r="F948" s="42" t="s">
        <v>8192</v>
      </c>
      <c r="G948" s="42">
        <v>39</v>
      </c>
      <c r="H948" s="42" t="s">
        <v>0</v>
      </c>
      <c r="I948" s="42" t="s">
        <v>6233</v>
      </c>
      <c r="J948" s="42" t="s">
        <v>6253</v>
      </c>
      <c r="K948" s="42" t="s">
        <v>6035</v>
      </c>
      <c r="L948" s="42" t="s">
        <v>6036</v>
      </c>
      <c r="M948" s="42" t="s">
        <v>6259</v>
      </c>
      <c r="N948" s="43" t="s">
        <v>6213</v>
      </c>
    </row>
    <row r="949" spans="1:14" ht="11.1" customHeight="1">
      <c r="A949" s="44" t="s">
        <v>8193</v>
      </c>
      <c r="B949" s="45" t="s">
        <v>6231</v>
      </c>
      <c r="C949" s="46">
        <v>3159</v>
      </c>
      <c r="D949" s="47">
        <v>1.6395399530818575E-2</v>
      </c>
      <c r="E949" s="48" t="s">
        <v>6262</v>
      </c>
      <c r="F949" s="49" t="s">
        <v>8194</v>
      </c>
      <c r="G949" s="49">
        <v>46</v>
      </c>
      <c r="H949" s="49" t="s">
        <v>0</v>
      </c>
      <c r="I949" s="49" t="s">
        <v>6259</v>
      </c>
      <c r="J949" s="49" t="s">
        <v>6267</v>
      </c>
      <c r="K949" s="49" t="s">
        <v>6268</v>
      </c>
      <c r="L949" s="49" t="s">
        <v>6036</v>
      </c>
      <c r="M949" s="49" t="s">
        <v>6259</v>
      </c>
      <c r="N949" s="50" t="s">
        <v>6259</v>
      </c>
    </row>
    <row r="950" spans="1:14" ht="11.1" customHeight="1">
      <c r="A950" s="51" t="s">
        <v>8195</v>
      </c>
      <c r="B950" s="60" t="s">
        <v>6217</v>
      </c>
      <c r="C950" s="61">
        <v>121365</v>
      </c>
      <c r="D950" s="62">
        <v>0.64253381687270028</v>
      </c>
      <c r="E950" s="63" t="s">
        <v>6251</v>
      </c>
      <c r="F950" s="64" t="s">
        <v>8196</v>
      </c>
      <c r="G950" s="64">
        <v>54</v>
      </c>
      <c r="H950" s="64" t="s">
        <v>0</v>
      </c>
      <c r="I950" s="64" t="s">
        <v>6233</v>
      </c>
      <c r="J950" s="64" t="s">
        <v>6257</v>
      </c>
      <c r="K950" s="64" t="s">
        <v>6286</v>
      </c>
      <c r="L950" s="64" t="s">
        <v>6209</v>
      </c>
      <c r="M950" s="64">
        <v>5</v>
      </c>
      <c r="N950" s="65" t="s">
        <v>6260</v>
      </c>
    </row>
    <row r="951" spans="1:14" ht="11.1" customHeight="1">
      <c r="A951" s="31" t="s">
        <v>8197</v>
      </c>
      <c r="B951" s="38" t="s">
        <v>6230</v>
      </c>
      <c r="C951" s="39">
        <v>58795</v>
      </c>
      <c r="D951" s="40">
        <v>0.31127405564232202</v>
      </c>
      <c r="E951" s="41">
        <v>48.444774028756228</v>
      </c>
      <c r="F951" s="42" t="s">
        <v>8198</v>
      </c>
      <c r="G951" s="42">
        <v>50</v>
      </c>
      <c r="H951" s="42" t="s">
        <v>6049</v>
      </c>
      <c r="I951" s="42" t="s">
        <v>6233</v>
      </c>
      <c r="J951" s="42" t="s">
        <v>6253</v>
      </c>
      <c r="K951" s="42" t="s">
        <v>6053</v>
      </c>
      <c r="L951" s="42" t="s">
        <v>6036</v>
      </c>
      <c r="M951" s="42" t="s">
        <v>6259</v>
      </c>
      <c r="N951" s="43" t="s">
        <v>6213</v>
      </c>
    </row>
    <row r="952" spans="1:14" ht="11.1" customHeight="1" thickBot="1">
      <c r="A952" s="66" t="s">
        <v>8199</v>
      </c>
      <c r="B952" s="67" t="s">
        <v>6231</v>
      </c>
      <c r="C952" s="68">
        <v>8725</v>
      </c>
      <c r="D952" s="69">
        <v>4.6192127484977634E-2</v>
      </c>
      <c r="E952" s="70" t="s">
        <v>6262</v>
      </c>
      <c r="F952" s="71" t="s">
        <v>8200</v>
      </c>
      <c r="G952" s="71">
        <v>54</v>
      </c>
      <c r="H952" s="71" t="s">
        <v>0</v>
      </c>
      <c r="I952" s="71" t="s">
        <v>6259</v>
      </c>
      <c r="J952" s="71" t="s">
        <v>6264</v>
      </c>
      <c r="K952" s="71" t="s">
        <v>6259</v>
      </c>
      <c r="L952" s="71" t="s">
        <v>6036</v>
      </c>
      <c r="M952" s="71" t="s">
        <v>6259</v>
      </c>
      <c r="N952" s="72" t="s">
        <v>6259</v>
      </c>
    </row>
    <row r="953" spans="1:14" ht="11.1" customHeight="1" thickTop="1">
      <c r="A953" s="31" t="s">
        <v>8201</v>
      </c>
      <c r="B953" s="32" t="s">
        <v>6217</v>
      </c>
      <c r="C953" s="33">
        <v>76764</v>
      </c>
      <c r="D953" s="34">
        <v>0.56226240963325935</v>
      </c>
      <c r="E953" s="35" t="s">
        <v>6251</v>
      </c>
      <c r="F953" s="36" t="s">
        <v>8202</v>
      </c>
      <c r="G953" s="36">
        <v>63</v>
      </c>
      <c r="H953" s="36" t="s">
        <v>0</v>
      </c>
      <c r="I953" s="36" t="s">
        <v>6233</v>
      </c>
      <c r="J953" s="36" t="s">
        <v>6253</v>
      </c>
      <c r="K953" s="36" t="s">
        <v>6254</v>
      </c>
      <c r="L953" s="36" t="s">
        <v>6209</v>
      </c>
      <c r="M953" s="36">
        <v>5</v>
      </c>
      <c r="N953" s="37" t="s">
        <v>6213</v>
      </c>
    </row>
    <row r="954" spans="1:14" ht="11.1" customHeight="1">
      <c r="A954" s="31" t="s">
        <v>8203</v>
      </c>
      <c r="B954" s="38" t="s">
        <v>6230</v>
      </c>
      <c r="C954" s="39">
        <v>39780</v>
      </c>
      <c r="D954" s="40">
        <v>0.29137093761673516</v>
      </c>
      <c r="E954" s="41">
        <v>51.821166171642957</v>
      </c>
      <c r="F954" s="42" t="s">
        <v>8204</v>
      </c>
      <c r="G954" s="42">
        <v>65</v>
      </c>
      <c r="H954" s="42" t="s">
        <v>0</v>
      </c>
      <c r="I954" s="42" t="s">
        <v>6233</v>
      </c>
      <c r="J954" s="42" t="s">
        <v>6257</v>
      </c>
      <c r="K954" s="42" t="s">
        <v>6273</v>
      </c>
      <c r="L954" s="42" t="s">
        <v>6209</v>
      </c>
      <c r="M954" s="42">
        <v>2</v>
      </c>
      <c r="N954" s="43" t="s">
        <v>6260</v>
      </c>
    </row>
    <row r="955" spans="1:14" ht="11.1" customHeight="1">
      <c r="A955" s="31" t="s">
        <v>8205</v>
      </c>
      <c r="B955" s="38" t="s">
        <v>6231</v>
      </c>
      <c r="C955" s="39">
        <v>10275</v>
      </c>
      <c r="D955" s="40">
        <v>7.5259838713221561E-2</v>
      </c>
      <c r="E955" s="41" t="s">
        <v>6262</v>
      </c>
      <c r="F955" s="42" t="s">
        <v>8206</v>
      </c>
      <c r="G955" s="42">
        <v>32</v>
      </c>
      <c r="H955" s="42" t="s">
        <v>0</v>
      </c>
      <c r="I955" s="42" t="s">
        <v>6259</v>
      </c>
      <c r="J955" s="42" t="s">
        <v>6322</v>
      </c>
      <c r="K955" s="42" t="s">
        <v>6360</v>
      </c>
      <c r="L955" s="42" t="s">
        <v>6036</v>
      </c>
      <c r="M955" s="42" t="s">
        <v>6259</v>
      </c>
      <c r="N955" s="43" t="s">
        <v>6259</v>
      </c>
    </row>
    <row r="956" spans="1:14" ht="11.1" customHeight="1">
      <c r="A956" s="31" t="s">
        <v>8207</v>
      </c>
      <c r="B956" s="38" t="s">
        <v>6231</v>
      </c>
      <c r="C956" s="39">
        <v>8313</v>
      </c>
      <c r="D956" s="40">
        <v>6.0889054912215169E-2</v>
      </c>
      <c r="E956" s="41">
        <v>10.829294982022823</v>
      </c>
      <c r="F956" s="42" t="s">
        <v>8208</v>
      </c>
      <c r="G956" s="42">
        <v>61</v>
      </c>
      <c r="H956" s="42" t="s">
        <v>0</v>
      </c>
      <c r="I956" s="42" t="s">
        <v>6233</v>
      </c>
      <c r="J956" s="42" t="s">
        <v>6264</v>
      </c>
      <c r="K956" s="42" t="s">
        <v>6259</v>
      </c>
      <c r="L956" s="42" t="s">
        <v>6036</v>
      </c>
      <c r="M956" s="42" t="s">
        <v>6259</v>
      </c>
      <c r="N956" s="43" t="s">
        <v>6259</v>
      </c>
    </row>
    <row r="957" spans="1:14" ht="11.1" customHeight="1">
      <c r="A957" s="44" t="s">
        <v>8209</v>
      </c>
      <c r="B957" s="45" t="s">
        <v>6231</v>
      </c>
      <c r="C957" s="46">
        <v>1395</v>
      </c>
      <c r="D957" s="47">
        <v>1.0217759124568767E-2</v>
      </c>
      <c r="E957" s="48" t="s">
        <v>6262</v>
      </c>
      <c r="F957" s="49" t="s">
        <v>8210</v>
      </c>
      <c r="G957" s="49">
        <v>27</v>
      </c>
      <c r="H957" s="49" t="s">
        <v>0</v>
      </c>
      <c r="I957" s="49" t="s">
        <v>6259</v>
      </c>
      <c r="J957" s="49" t="s">
        <v>6267</v>
      </c>
      <c r="K957" s="49" t="s">
        <v>6268</v>
      </c>
      <c r="L957" s="49" t="s">
        <v>6036</v>
      </c>
      <c r="M957" s="49" t="s">
        <v>6259</v>
      </c>
      <c r="N957" s="50" t="s">
        <v>6259</v>
      </c>
    </row>
    <row r="958" spans="1:14" ht="11.1" customHeight="1">
      <c r="A958" s="51" t="s">
        <v>8211</v>
      </c>
      <c r="B958" s="52" t="s">
        <v>6217</v>
      </c>
      <c r="C958" s="53">
        <v>85290</v>
      </c>
      <c r="D958" s="54">
        <v>0.54724293248809786</v>
      </c>
      <c r="E958" s="55" t="s">
        <v>6251</v>
      </c>
      <c r="F958" s="56" t="s">
        <v>8212</v>
      </c>
      <c r="G958" s="56">
        <v>37</v>
      </c>
      <c r="H958" s="56" t="s">
        <v>6049</v>
      </c>
      <c r="I958" s="56" t="s">
        <v>6233</v>
      </c>
      <c r="J958" s="56" t="s">
        <v>6253</v>
      </c>
      <c r="K958" s="56" t="s">
        <v>6254</v>
      </c>
      <c r="L958" s="56" t="s">
        <v>6209</v>
      </c>
      <c r="M958" s="56">
        <v>2</v>
      </c>
      <c r="N958" s="57" t="s">
        <v>6259</v>
      </c>
    </row>
    <row r="959" spans="1:14" ht="11.1" customHeight="1">
      <c r="A959" s="31" t="s">
        <v>8213</v>
      </c>
      <c r="B959" s="38" t="s">
        <v>6232</v>
      </c>
      <c r="C959" s="39">
        <v>68430</v>
      </c>
      <c r="D959" s="40">
        <v>0.4390647657422973</v>
      </c>
      <c r="E959" s="58">
        <v>80.232149138234263</v>
      </c>
      <c r="F959" s="59" t="s">
        <v>8214</v>
      </c>
      <c r="G959" s="59">
        <v>59</v>
      </c>
      <c r="H959" s="59" t="s">
        <v>0</v>
      </c>
      <c r="I959" s="59" t="s">
        <v>6233</v>
      </c>
      <c r="J959" s="59" t="s">
        <v>6257</v>
      </c>
      <c r="K959" s="59" t="s">
        <v>6596</v>
      </c>
      <c r="L959" s="59" t="s">
        <v>6209</v>
      </c>
      <c r="M959" s="59">
        <v>6</v>
      </c>
      <c r="N959" s="43" t="s">
        <v>6260</v>
      </c>
    </row>
    <row r="960" spans="1:14" ht="11.1" customHeight="1">
      <c r="A960" s="44" t="s">
        <v>8215</v>
      </c>
      <c r="B960" s="45" t="s">
        <v>6231</v>
      </c>
      <c r="C960" s="46">
        <v>2134</v>
      </c>
      <c r="D960" s="47">
        <v>1.3692301769604887E-2</v>
      </c>
      <c r="E960" s="48" t="s">
        <v>6262</v>
      </c>
      <c r="F960" s="49" t="s">
        <v>8216</v>
      </c>
      <c r="G960" s="49">
        <v>47</v>
      </c>
      <c r="H960" s="49" t="s">
        <v>0</v>
      </c>
      <c r="I960" s="49" t="s">
        <v>6259</v>
      </c>
      <c r="J960" s="49" t="s">
        <v>6267</v>
      </c>
      <c r="K960" s="49" t="s">
        <v>6268</v>
      </c>
      <c r="L960" s="49" t="s">
        <v>6036</v>
      </c>
      <c r="M960" s="49" t="s">
        <v>6259</v>
      </c>
      <c r="N960" s="50" t="s">
        <v>6259</v>
      </c>
    </row>
    <row r="961" spans="1:14" ht="11.1" customHeight="1">
      <c r="A961" s="51" t="s">
        <v>8217</v>
      </c>
      <c r="B961" s="60" t="s">
        <v>6217</v>
      </c>
      <c r="C961" s="61">
        <v>81581</v>
      </c>
      <c r="D961" s="62">
        <v>0.49781544807722816</v>
      </c>
      <c r="E961" s="63" t="s">
        <v>6251</v>
      </c>
      <c r="F961" s="64" t="s">
        <v>8218</v>
      </c>
      <c r="G961" s="64">
        <v>40</v>
      </c>
      <c r="H961" s="64" t="s">
        <v>0</v>
      </c>
      <c r="I961" s="64" t="s">
        <v>6233</v>
      </c>
      <c r="J961" s="64" t="s">
        <v>6257</v>
      </c>
      <c r="K961" s="64" t="s">
        <v>6258</v>
      </c>
      <c r="L961" s="64" t="s">
        <v>6209</v>
      </c>
      <c r="M961" s="64">
        <v>3</v>
      </c>
      <c r="N961" s="65" t="s">
        <v>6260</v>
      </c>
    </row>
    <row r="962" spans="1:14" ht="11.1" customHeight="1">
      <c r="A962" s="31" t="s">
        <v>8219</v>
      </c>
      <c r="B962" s="38" t="s">
        <v>6232</v>
      </c>
      <c r="C962" s="39">
        <v>80359</v>
      </c>
      <c r="D962" s="40">
        <v>0.49035868145815792</v>
      </c>
      <c r="E962" s="35">
        <v>98.502102205170317</v>
      </c>
      <c r="F962" s="36" t="s">
        <v>8220</v>
      </c>
      <c r="G962" s="36">
        <v>43</v>
      </c>
      <c r="H962" s="36" t="s">
        <v>0</v>
      </c>
      <c r="I962" s="36" t="s">
        <v>6233</v>
      </c>
      <c r="J962" s="36" t="s">
        <v>6253</v>
      </c>
      <c r="K962" s="36" t="s">
        <v>6053</v>
      </c>
      <c r="L962" s="36" t="s">
        <v>6036</v>
      </c>
      <c r="M962" s="36" t="s">
        <v>6259</v>
      </c>
      <c r="N962" s="43" t="s">
        <v>6213</v>
      </c>
    </row>
    <row r="963" spans="1:14" ht="11.1" customHeight="1" thickBot="1">
      <c r="A963" s="73" t="s">
        <v>8221</v>
      </c>
      <c r="B963" s="74" t="s">
        <v>6231</v>
      </c>
      <c r="C963" s="75">
        <v>1938</v>
      </c>
      <c r="D963" s="76">
        <v>1.1825870464613921E-2</v>
      </c>
      <c r="E963" s="77" t="s">
        <v>6262</v>
      </c>
      <c r="F963" s="78" t="s">
        <v>8222</v>
      </c>
      <c r="G963" s="78">
        <v>27</v>
      </c>
      <c r="H963" s="78" t="s">
        <v>6049</v>
      </c>
      <c r="I963" s="78" t="s">
        <v>6259</v>
      </c>
      <c r="J963" s="78" t="s">
        <v>6267</v>
      </c>
      <c r="K963" s="78" t="s">
        <v>6268</v>
      </c>
      <c r="L963" s="78" t="s">
        <v>6036</v>
      </c>
      <c r="M963" s="78" t="s">
        <v>6259</v>
      </c>
      <c r="N963" s="79" t="s">
        <v>6259</v>
      </c>
    </row>
    <row r="964" spans="1:14" ht="11.1" customHeight="1">
      <c r="A964" s="80" t="s">
        <v>8223</v>
      </c>
      <c r="B964" s="81" t="s">
        <v>6217</v>
      </c>
      <c r="C964" s="82">
        <v>109618</v>
      </c>
      <c r="D964" s="83">
        <v>0.52245073040535706</v>
      </c>
      <c r="E964" s="84" t="s">
        <v>6251</v>
      </c>
      <c r="F964" s="85" t="s">
        <v>8224</v>
      </c>
      <c r="G964" s="85">
        <v>38</v>
      </c>
      <c r="H964" s="85" t="s">
        <v>0</v>
      </c>
      <c r="I964" s="85" t="s">
        <v>6233</v>
      </c>
      <c r="J964" s="85" t="s">
        <v>6253</v>
      </c>
      <c r="K964" s="85" t="s">
        <v>6053</v>
      </c>
      <c r="L964" s="85" t="s">
        <v>6209</v>
      </c>
      <c r="M964" s="85">
        <v>1</v>
      </c>
      <c r="N964" s="86" t="s">
        <v>6465</v>
      </c>
    </row>
    <row r="965" spans="1:14" ht="11.1" customHeight="1">
      <c r="A965" s="31" t="s">
        <v>8225</v>
      </c>
      <c r="B965" s="38" t="s">
        <v>6232</v>
      </c>
      <c r="C965" s="39">
        <v>91403</v>
      </c>
      <c r="D965" s="40">
        <v>0.43563615566093938</v>
      </c>
      <c r="E965" s="58">
        <v>83.383203488478173</v>
      </c>
      <c r="F965" s="59" t="s">
        <v>8226</v>
      </c>
      <c r="G965" s="59">
        <v>51</v>
      </c>
      <c r="H965" s="59" t="s">
        <v>0</v>
      </c>
      <c r="I965" s="59" t="s">
        <v>6233</v>
      </c>
      <c r="J965" s="59" t="s">
        <v>6257</v>
      </c>
      <c r="K965" s="59" t="s">
        <v>6402</v>
      </c>
      <c r="L965" s="59" t="s">
        <v>6209</v>
      </c>
      <c r="M965" s="59">
        <v>3</v>
      </c>
      <c r="N965" s="43" t="s">
        <v>6260</v>
      </c>
    </row>
    <row r="966" spans="1:14" ht="11.1" customHeight="1">
      <c r="A966" s="31" t="s">
        <v>8227</v>
      </c>
      <c r="B966" s="38" t="s">
        <v>6231</v>
      </c>
      <c r="C966" s="39">
        <v>6378</v>
      </c>
      <c r="D966" s="40">
        <v>3.0398207945094489E-2</v>
      </c>
      <c r="E966" s="41" t="s">
        <v>6262</v>
      </c>
      <c r="F966" s="42" t="s">
        <v>8228</v>
      </c>
      <c r="G966" s="42">
        <v>50</v>
      </c>
      <c r="H966" s="42" t="s">
        <v>0</v>
      </c>
      <c r="I966" s="42" t="s">
        <v>6259</v>
      </c>
      <c r="J966" s="42" t="s">
        <v>6264</v>
      </c>
      <c r="K966" s="42" t="s">
        <v>6259</v>
      </c>
      <c r="L966" s="42" t="s">
        <v>6036</v>
      </c>
      <c r="M966" s="42" t="s">
        <v>6259</v>
      </c>
      <c r="N966" s="43" t="s">
        <v>6259</v>
      </c>
    </row>
    <row r="967" spans="1:14" ht="11.1" customHeight="1">
      <c r="A967" s="44" t="s">
        <v>8229</v>
      </c>
      <c r="B967" s="45" t="s">
        <v>6231</v>
      </c>
      <c r="C967" s="46">
        <v>2416</v>
      </c>
      <c r="D967" s="47">
        <v>1.1514905988609013E-2</v>
      </c>
      <c r="E967" s="48" t="s">
        <v>6262</v>
      </c>
      <c r="F967" s="49" t="s">
        <v>8230</v>
      </c>
      <c r="G967" s="49">
        <v>47</v>
      </c>
      <c r="H967" s="49" t="s">
        <v>6049</v>
      </c>
      <c r="I967" s="49" t="s">
        <v>6259</v>
      </c>
      <c r="J967" s="49" t="s">
        <v>6267</v>
      </c>
      <c r="K967" s="49" t="s">
        <v>6268</v>
      </c>
      <c r="L967" s="49" t="s">
        <v>6036</v>
      </c>
      <c r="M967" s="49" t="s">
        <v>6259</v>
      </c>
      <c r="N967" s="50" t="s">
        <v>6259</v>
      </c>
    </row>
    <row r="968" spans="1:14" ht="11.1" customHeight="1">
      <c r="A968" s="51" t="s">
        <v>8231</v>
      </c>
      <c r="B968" s="52" t="s">
        <v>6217</v>
      </c>
      <c r="C968" s="53">
        <v>109863</v>
      </c>
      <c r="D968" s="54">
        <v>0.57168503543663551</v>
      </c>
      <c r="E968" s="55" t="s">
        <v>6251</v>
      </c>
      <c r="F968" s="56" t="s">
        <v>8232</v>
      </c>
      <c r="G968" s="56">
        <v>40</v>
      </c>
      <c r="H968" s="56" t="s">
        <v>0</v>
      </c>
      <c r="I968" s="56" t="s">
        <v>6233</v>
      </c>
      <c r="J968" s="56" t="s">
        <v>6253</v>
      </c>
      <c r="K968" s="56" t="s">
        <v>6053</v>
      </c>
      <c r="L968" s="56" t="s">
        <v>6036</v>
      </c>
      <c r="M968" s="56" t="s">
        <v>6259</v>
      </c>
      <c r="N968" s="57" t="s">
        <v>6465</v>
      </c>
    </row>
    <row r="969" spans="1:14" ht="11.1" customHeight="1">
      <c r="A969" s="31" t="s">
        <v>8233</v>
      </c>
      <c r="B969" s="38" t="s">
        <v>6230</v>
      </c>
      <c r="C969" s="39">
        <v>79463</v>
      </c>
      <c r="D969" s="40">
        <v>0.4134950617669404</v>
      </c>
      <c r="E969" s="41">
        <v>72.32917360712888</v>
      </c>
      <c r="F969" s="42" t="s">
        <v>8234</v>
      </c>
      <c r="G969" s="42">
        <v>61</v>
      </c>
      <c r="H969" s="42" t="s">
        <v>0</v>
      </c>
      <c r="I969" s="42" t="s">
        <v>6233</v>
      </c>
      <c r="J969" s="42" t="s">
        <v>6257</v>
      </c>
      <c r="K969" s="42" t="s">
        <v>6350</v>
      </c>
      <c r="L969" s="42" t="s">
        <v>6209</v>
      </c>
      <c r="M969" s="42">
        <v>7</v>
      </c>
      <c r="N969" s="43" t="s">
        <v>6260</v>
      </c>
    </row>
    <row r="970" spans="1:14" ht="11.1" customHeight="1">
      <c r="A970" s="44" t="s">
        <v>8235</v>
      </c>
      <c r="B970" s="45" t="s">
        <v>6231</v>
      </c>
      <c r="C970" s="46">
        <v>2848</v>
      </c>
      <c r="D970" s="47">
        <v>1.4819902796424074E-2</v>
      </c>
      <c r="E970" s="48" t="s">
        <v>6262</v>
      </c>
      <c r="F970" s="49" t="s">
        <v>8236</v>
      </c>
      <c r="G970" s="49">
        <v>50</v>
      </c>
      <c r="H970" s="49" t="s">
        <v>6049</v>
      </c>
      <c r="I970" s="49" t="s">
        <v>6259</v>
      </c>
      <c r="J970" s="49" t="s">
        <v>6267</v>
      </c>
      <c r="K970" s="49" t="s">
        <v>6268</v>
      </c>
      <c r="L970" s="49" t="s">
        <v>6036</v>
      </c>
      <c r="M970" s="49" t="s">
        <v>6259</v>
      </c>
      <c r="N970" s="50" t="s">
        <v>6259</v>
      </c>
    </row>
    <row r="971" spans="1:14" ht="11.1" customHeight="1">
      <c r="A971" s="51" t="s">
        <v>8237</v>
      </c>
      <c r="B971" s="60" t="s">
        <v>6217</v>
      </c>
      <c r="C971" s="61">
        <v>73379</v>
      </c>
      <c r="D971" s="62">
        <v>0.43323394833948342</v>
      </c>
      <c r="E971" s="63" t="s">
        <v>6262</v>
      </c>
      <c r="F971" s="64" t="s">
        <v>8238</v>
      </c>
      <c r="G971" s="64">
        <v>73</v>
      </c>
      <c r="H971" s="64" t="s">
        <v>0</v>
      </c>
      <c r="I971" s="64" t="s">
        <v>6259</v>
      </c>
      <c r="J971" s="64" t="s">
        <v>6257</v>
      </c>
      <c r="K971" s="64" t="s">
        <v>6350</v>
      </c>
      <c r="L971" s="64" t="s">
        <v>6209</v>
      </c>
      <c r="M971" s="64">
        <v>7</v>
      </c>
      <c r="N971" s="65" t="s">
        <v>6260</v>
      </c>
    </row>
    <row r="972" spans="1:14" ht="11.1" customHeight="1">
      <c r="A972" s="31" t="s">
        <v>8239</v>
      </c>
      <c r="B972" s="38" t="s">
        <v>6230</v>
      </c>
      <c r="C972" s="39">
        <v>53822</v>
      </c>
      <c r="D972" s="40">
        <v>0.31776826568265681</v>
      </c>
      <c r="E972" s="41">
        <v>73.347960588179177</v>
      </c>
      <c r="F972" s="42" t="s">
        <v>8240</v>
      </c>
      <c r="G972" s="42">
        <v>50</v>
      </c>
      <c r="H972" s="42" t="s">
        <v>0</v>
      </c>
      <c r="I972" s="42" t="s">
        <v>6233</v>
      </c>
      <c r="J972" s="42" t="s">
        <v>6278</v>
      </c>
      <c r="K972" s="42" t="s">
        <v>6259</v>
      </c>
      <c r="L972" s="42" t="s">
        <v>6036</v>
      </c>
      <c r="M972" s="42" t="s">
        <v>6259</v>
      </c>
      <c r="N972" s="43" t="s">
        <v>6481</v>
      </c>
    </row>
    <row r="973" spans="1:14" ht="11.1" customHeight="1">
      <c r="A973" s="31" t="s">
        <v>8241</v>
      </c>
      <c r="B973" s="38" t="s">
        <v>6230</v>
      </c>
      <c r="C973" s="39">
        <v>32963</v>
      </c>
      <c r="D973" s="40">
        <v>0.19461549815498155</v>
      </c>
      <c r="E973" s="41" t="s">
        <v>6262</v>
      </c>
      <c r="F973" s="42" t="s">
        <v>8242</v>
      </c>
      <c r="G973" s="42">
        <v>46</v>
      </c>
      <c r="H973" s="42" t="s">
        <v>0</v>
      </c>
      <c r="I973" s="42" t="s">
        <v>6259</v>
      </c>
      <c r="J973" s="42" t="s">
        <v>6322</v>
      </c>
      <c r="K973" s="42" t="s">
        <v>6360</v>
      </c>
      <c r="L973" s="42" t="s">
        <v>6036</v>
      </c>
      <c r="M973" s="42" t="s">
        <v>6259</v>
      </c>
      <c r="N973" s="43" t="s">
        <v>6259</v>
      </c>
    </row>
    <row r="974" spans="1:14" ht="11.1" customHeight="1">
      <c r="A974" s="31" t="s">
        <v>8243</v>
      </c>
      <c r="B974" s="38" t="s">
        <v>6231</v>
      </c>
      <c r="C974" s="39">
        <v>7325</v>
      </c>
      <c r="D974" s="40">
        <v>4.3247232472324725E-2</v>
      </c>
      <c r="E974" s="41">
        <v>9.9824200384306145</v>
      </c>
      <c r="F974" s="42" t="s">
        <v>8244</v>
      </c>
      <c r="G974" s="42">
        <v>61</v>
      </c>
      <c r="H974" s="42" t="s">
        <v>6049</v>
      </c>
      <c r="I974" s="42" t="s">
        <v>6233</v>
      </c>
      <c r="J974" s="42" t="s">
        <v>6264</v>
      </c>
      <c r="K974" s="42" t="s">
        <v>6259</v>
      </c>
      <c r="L974" s="42" t="s">
        <v>6036</v>
      </c>
      <c r="M974" s="42" t="s">
        <v>6259</v>
      </c>
      <c r="N974" s="43" t="s">
        <v>6259</v>
      </c>
    </row>
    <row r="975" spans="1:14" ht="11.1" customHeight="1" thickBot="1">
      <c r="A975" s="73" t="s">
        <v>8245</v>
      </c>
      <c r="B975" s="74" t="s">
        <v>6231</v>
      </c>
      <c r="C975" s="75">
        <v>1886</v>
      </c>
      <c r="D975" s="76">
        <v>1.1135055350553506E-2</v>
      </c>
      <c r="E975" s="77" t="s">
        <v>6262</v>
      </c>
      <c r="F975" s="78" t="s">
        <v>8246</v>
      </c>
      <c r="G975" s="78">
        <v>49</v>
      </c>
      <c r="H975" s="78" t="s">
        <v>6049</v>
      </c>
      <c r="I975" s="78" t="s">
        <v>6259</v>
      </c>
      <c r="J975" s="78" t="s">
        <v>6267</v>
      </c>
      <c r="K975" s="78" t="s">
        <v>6268</v>
      </c>
      <c r="L975" s="78" t="s">
        <v>6036</v>
      </c>
      <c r="M975" s="78" t="s">
        <v>6259</v>
      </c>
      <c r="N975" s="79" t="s">
        <v>6259</v>
      </c>
    </row>
    <row r="976" spans="1:14" ht="11.1" customHeight="1">
      <c r="A976" s="80" t="s">
        <v>8247</v>
      </c>
      <c r="B976" s="108" t="s">
        <v>6217</v>
      </c>
      <c r="C976" s="109">
        <v>130330</v>
      </c>
      <c r="D976" s="110">
        <v>0.48599587576583597</v>
      </c>
      <c r="E976" s="111" t="s">
        <v>6251</v>
      </c>
      <c r="F976" s="112" t="s">
        <v>8248</v>
      </c>
      <c r="G976" s="112">
        <v>58</v>
      </c>
      <c r="H976" s="112" t="s">
        <v>0</v>
      </c>
      <c r="I976" s="112" t="s">
        <v>6233</v>
      </c>
      <c r="J976" s="112" t="s">
        <v>6257</v>
      </c>
      <c r="K976" s="112" t="s">
        <v>6402</v>
      </c>
      <c r="L976" s="112" t="s">
        <v>6209</v>
      </c>
      <c r="M976" s="112">
        <v>4</v>
      </c>
      <c r="N976" s="113" t="s">
        <v>6260</v>
      </c>
    </row>
    <row r="977" spans="1:14" ht="11.1" customHeight="1">
      <c r="A977" s="31" t="s">
        <v>8249</v>
      </c>
      <c r="B977" s="38" t="s">
        <v>6232</v>
      </c>
      <c r="C977" s="39">
        <v>127562</v>
      </c>
      <c r="D977" s="40">
        <v>0.47567410346383465</v>
      </c>
      <c r="E977" s="35">
        <v>97.876160515614217</v>
      </c>
      <c r="F977" s="36" t="s">
        <v>8250</v>
      </c>
      <c r="G977" s="36">
        <v>49</v>
      </c>
      <c r="H977" s="36" t="s">
        <v>6049</v>
      </c>
      <c r="I977" s="36" t="s">
        <v>6233</v>
      </c>
      <c r="J977" s="36" t="s">
        <v>6253</v>
      </c>
      <c r="K977" s="36" t="s">
        <v>6053</v>
      </c>
      <c r="L977" s="36" t="s">
        <v>6036</v>
      </c>
      <c r="M977" s="36" t="s">
        <v>6259</v>
      </c>
      <c r="N977" s="43" t="s">
        <v>6465</v>
      </c>
    </row>
    <row r="978" spans="1:14" ht="11.1" customHeight="1">
      <c r="A978" s="31" t="s">
        <v>8251</v>
      </c>
      <c r="B978" s="38" t="s">
        <v>6231</v>
      </c>
      <c r="C978" s="39">
        <v>8035</v>
      </c>
      <c r="D978" s="40">
        <v>2.996222559486298E-2</v>
      </c>
      <c r="E978" s="93">
        <v>6.2988977908781614</v>
      </c>
      <c r="F978" s="42" t="s">
        <v>8252</v>
      </c>
      <c r="G978" s="42">
        <v>42</v>
      </c>
      <c r="H978" s="42" t="s">
        <v>0</v>
      </c>
      <c r="I978" s="42" t="s">
        <v>6233</v>
      </c>
      <c r="J978" s="42" t="s">
        <v>6264</v>
      </c>
      <c r="K978" s="42" t="s">
        <v>6259</v>
      </c>
      <c r="L978" s="42" t="s">
        <v>6036</v>
      </c>
      <c r="M978" s="42" t="s">
        <v>6259</v>
      </c>
      <c r="N978" s="43" t="s">
        <v>6259</v>
      </c>
    </row>
    <row r="979" spans="1:14" ht="11.1" customHeight="1">
      <c r="A979" s="31" t="s">
        <v>8253</v>
      </c>
      <c r="B979" s="38" t="s">
        <v>6231</v>
      </c>
      <c r="C979" s="39">
        <v>1666</v>
      </c>
      <c r="D979" s="40">
        <v>6.2124539939068732E-3</v>
      </c>
      <c r="E979" s="41" t="s">
        <v>6262</v>
      </c>
      <c r="F979" s="42" t="s">
        <v>8254</v>
      </c>
      <c r="G979" s="42">
        <v>46</v>
      </c>
      <c r="H979" s="42" t="s">
        <v>0</v>
      </c>
      <c r="I979" s="42" t="s">
        <v>6259</v>
      </c>
      <c r="J979" s="42" t="s">
        <v>6267</v>
      </c>
      <c r="K979" s="42" t="s">
        <v>6268</v>
      </c>
      <c r="L979" s="42" t="s">
        <v>6036</v>
      </c>
      <c r="M979" s="42" t="s">
        <v>6259</v>
      </c>
      <c r="N979" s="43" t="s">
        <v>6259</v>
      </c>
    </row>
    <row r="980" spans="1:14" ht="11.1" customHeight="1">
      <c r="A980" s="44" t="s">
        <v>8255</v>
      </c>
      <c r="B980" s="45" t="s">
        <v>6231</v>
      </c>
      <c r="C980" s="46">
        <v>578</v>
      </c>
      <c r="D980" s="47">
        <v>2.1553411815595272E-3</v>
      </c>
      <c r="E980" s="48" t="s">
        <v>6262</v>
      </c>
      <c r="F980" s="49" t="s">
        <v>8256</v>
      </c>
      <c r="G980" s="49">
        <v>48</v>
      </c>
      <c r="H980" s="49" t="s">
        <v>0</v>
      </c>
      <c r="I980" s="49" t="s">
        <v>6259</v>
      </c>
      <c r="J980" s="49" t="s">
        <v>6322</v>
      </c>
      <c r="K980" s="49" t="s">
        <v>6259</v>
      </c>
      <c r="L980" s="49" t="s">
        <v>6036</v>
      </c>
      <c r="M980" s="49" t="s">
        <v>6259</v>
      </c>
      <c r="N980" s="50" t="s">
        <v>6259</v>
      </c>
    </row>
    <row r="981" spans="1:14" ht="11.1" customHeight="1">
      <c r="A981" s="51" t="s">
        <v>8257</v>
      </c>
      <c r="B981" s="60" t="s">
        <v>6217</v>
      </c>
      <c r="C981" s="61">
        <v>94843</v>
      </c>
      <c r="D981" s="62">
        <v>0.47990426506231371</v>
      </c>
      <c r="E981" s="63" t="s">
        <v>6251</v>
      </c>
      <c r="F981" s="64" t="s">
        <v>8258</v>
      </c>
      <c r="G981" s="64">
        <v>57</v>
      </c>
      <c r="H981" s="64" t="s">
        <v>0</v>
      </c>
      <c r="I981" s="64" t="s">
        <v>6233</v>
      </c>
      <c r="J981" s="64" t="s">
        <v>6257</v>
      </c>
      <c r="K981" s="64" t="s">
        <v>6369</v>
      </c>
      <c r="L981" s="64" t="s">
        <v>6209</v>
      </c>
      <c r="M981" s="64">
        <v>7</v>
      </c>
      <c r="N981" s="65" t="s">
        <v>6260</v>
      </c>
    </row>
    <row r="982" spans="1:14" ht="11.1" customHeight="1">
      <c r="A982" s="31" t="s">
        <v>8259</v>
      </c>
      <c r="B982" s="38" t="s">
        <v>6230</v>
      </c>
      <c r="C982" s="39">
        <v>85299</v>
      </c>
      <c r="D982" s="40">
        <v>0.43161175738378477</v>
      </c>
      <c r="E982" s="41">
        <v>89.937053867971272</v>
      </c>
      <c r="F982" s="42" t="s">
        <v>8260</v>
      </c>
      <c r="G982" s="42">
        <v>51</v>
      </c>
      <c r="H982" s="42" t="s">
        <v>6049</v>
      </c>
      <c r="I982" s="42" t="s">
        <v>6233</v>
      </c>
      <c r="J982" s="42" t="s">
        <v>6278</v>
      </c>
      <c r="K982" s="42" t="s">
        <v>6259</v>
      </c>
      <c r="L982" s="42" t="s">
        <v>6036</v>
      </c>
      <c r="M982" s="42" t="s">
        <v>6259</v>
      </c>
      <c r="N982" s="43" t="s">
        <v>6515</v>
      </c>
    </row>
    <row r="983" spans="1:14" ht="11.1" customHeight="1">
      <c r="A983" s="31" t="s">
        <v>8261</v>
      </c>
      <c r="B983" s="38" t="s">
        <v>6231</v>
      </c>
      <c r="C983" s="39">
        <v>12002</v>
      </c>
      <c r="D983" s="40">
        <v>6.0729953599927139E-2</v>
      </c>
      <c r="E983" s="41" t="s">
        <v>6262</v>
      </c>
      <c r="F983" s="42" t="s">
        <v>8262</v>
      </c>
      <c r="G983" s="42">
        <v>40</v>
      </c>
      <c r="H983" s="42" t="s">
        <v>0</v>
      </c>
      <c r="I983" s="42" t="s">
        <v>6259</v>
      </c>
      <c r="J983" s="42" t="s">
        <v>6322</v>
      </c>
      <c r="K983" s="42" t="s">
        <v>6323</v>
      </c>
      <c r="L983" s="42" t="s">
        <v>6036</v>
      </c>
      <c r="M983" s="42" t="s">
        <v>6259</v>
      </c>
      <c r="N983" s="43" t="s">
        <v>6259</v>
      </c>
    </row>
    <row r="984" spans="1:14" ht="11.1" customHeight="1">
      <c r="A984" s="44" t="s">
        <v>8263</v>
      </c>
      <c r="B984" s="45" t="s">
        <v>6231</v>
      </c>
      <c r="C984" s="46">
        <v>5485</v>
      </c>
      <c r="D984" s="47">
        <v>2.7754023953974367E-2</v>
      </c>
      <c r="E984" s="48" t="s">
        <v>6262</v>
      </c>
      <c r="F984" s="49" t="s">
        <v>8264</v>
      </c>
      <c r="G984" s="49">
        <v>49</v>
      </c>
      <c r="H984" s="49" t="s">
        <v>0</v>
      </c>
      <c r="I984" s="49" t="s">
        <v>6259</v>
      </c>
      <c r="J984" s="49" t="s">
        <v>6267</v>
      </c>
      <c r="K984" s="49" t="s">
        <v>6268</v>
      </c>
      <c r="L984" s="49" t="s">
        <v>6036</v>
      </c>
      <c r="M984" s="49" t="s">
        <v>6259</v>
      </c>
      <c r="N984" s="50" t="s">
        <v>6259</v>
      </c>
    </row>
    <row r="985" spans="1:14" ht="11.1" customHeight="1">
      <c r="A985" s="51" t="s">
        <v>8265</v>
      </c>
      <c r="B985" s="52" t="s">
        <v>6217</v>
      </c>
      <c r="C985" s="53">
        <v>103431</v>
      </c>
      <c r="D985" s="54">
        <v>0.55545053729371519</v>
      </c>
      <c r="E985" s="55" t="s">
        <v>6251</v>
      </c>
      <c r="F985" s="56" t="s">
        <v>8266</v>
      </c>
      <c r="G985" s="56">
        <v>46</v>
      </c>
      <c r="H985" s="56" t="s">
        <v>0</v>
      </c>
      <c r="I985" s="56" t="s">
        <v>6233</v>
      </c>
      <c r="J985" s="56" t="s">
        <v>6253</v>
      </c>
      <c r="K985" s="56" t="s">
        <v>6053</v>
      </c>
      <c r="L985" s="56" t="s">
        <v>6036</v>
      </c>
      <c r="M985" s="56" t="s">
        <v>6259</v>
      </c>
      <c r="N985" s="57" t="s">
        <v>6465</v>
      </c>
    </row>
    <row r="986" spans="1:14" ht="11.1" customHeight="1">
      <c r="A986" s="31" t="s">
        <v>8267</v>
      </c>
      <c r="B986" s="38" t="s">
        <v>6230</v>
      </c>
      <c r="C986" s="39">
        <v>79924</v>
      </c>
      <c r="D986" s="40">
        <v>0.42921202292023564</v>
      </c>
      <c r="E986" s="41">
        <v>77.27277121946031</v>
      </c>
      <c r="F986" s="42" t="s">
        <v>8268</v>
      </c>
      <c r="G986" s="42">
        <v>53</v>
      </c>
      <c r="H986" s="42" t="s">
        <v>0</v>
      </c>
      <c r="I986" s="42" t="s">
        <v>6233</v>
      </c>
      <c r="J986" s="42" t="s">
        <v>6257</v>
      </c>
      <c r="K986" s="42" t="s">
        <v>6258</v>
      </c>
      <c r="L986" s="42" t="s">
        <v>6036</v>
      </c>
      <c r="M986" s="42" t="s">
        <v>6259</v>
      </c>
      <c r="N986" s="43" t="s">
        <v>6260</v>
      </c>
    </row>
    <row r="987" spans="1:14" ht="11.1" customHeight="1">
      <c r="A987" s="44" t="s">
        <v>8269</v>
      </c>
      <c r="B987" s="45" t="s">
        <v>6231</v>
      </c>
      <c r="C987" s="46">
        <v>2856</v>
      </c>
      <c r="D987" s="47">
        <v>1.5337439786049159E-2</v>
      </c>
      <c r="E987" s="48" t="s">
        <v>6262</v>
      </c>
      <c r="F987" s="49" t="s">
        <v>8270</v>
      </c>
      <c r="G987" s="49">
        <v>47</v>
      </c>
      <c r="H987" s="49" t="s">
        <v>0</v>
      </c>
      <c r="I987" s="49" t="s">
        <v>6259</v>
      </c>
      <c r="J987" s="49" t="s">
        <v>6267</v>
      </c>
      <c r="K987" s="49" t="s">
        <v>6268</v>
      </c>
      <c r="L987" s="49" t="s">
        <v>6036</v>
      </c>
      <c r="M987" s="49" t="s">
        <v>6259</v>
      </c>
      <c r="N987" s="50" t="s">
        <v>6259</v>
      </c>
    </row>
    <row r="988" spans="1:14" ht="11.1" customHeight="1">
      <c r="A988" s="51" t="s">
        <v>8271</v>
      </c>
      <c r="B988" s="60" t="s">
        <v>6217</v>
      </c>
      <c r="C988" s="61">
        <v>73085</v>
      </c>
      <c r="D988" s="62">
        <v>0.395470901761316</v>
      </c>
      <c r="E988" s="63" t="s">
        <v>6251</v>
      </c>
      <c r="F988" s="64" t="s">
        <v>8272</v>
      </c>
      <c r="G988" s="64">
        <v>61</v>
      </c>
      <c r="H988" s="64" t="s">
        <v>0</v>
      </c>
      <c r="I988" s="64" t="s">
        <v>6233</v>
      </c>
      <c r="J988" s="64" t="s">
        <v>6257</v>
      </c>
      <c r="K988" s="64" t="s">
        <v>6402</v>
      </c>
      <c r="L988" s="64" t="s">
        <v>6209</v>
      </c>
      <c r="M988" s="64">
        <v>5</v>
      </c>
      <c r="N988" s="65" t="s">
        <v>6260</v>
      </c>
    </row>
    <row r="989" spans="1:14" ht="11.1" customHeight="1">
      <c r="A989" s="31" t="s">
        <v>8273</v>
      </c>
      <c r="B989" s="38" t="s">
        <v>6232</v>
      </c>
      <c r="C989" s="39">
        <v>65578</v>
      </c>
      <c r="D989" s="40">
        <v>0.35484970644733638</v>
      </c>
      <c r="E989" s="35">
        <v>89.728398440172398</v>
      </c>
      <c r="F989" s="36" t="s">
        <v>8274</v>
      </c>
      <c r="G989" s="36">
        <v>37</v>
      </c>
      <c r="H989" s="36" t="s">
        <v>0</v>
      </c>
      <c r="I989" s="36" t="s">
        <v>6233</v>
      </c>
      <c r="J989" s="36" t="s">
        <v>6253</v>
      </c>
      <c r="K989" s="36" t="s">
        <v>6053</v>
      </c>
      <c r="L989" s="36" t="s">
        <v>6036</v>
      </c>
      <c r="M989" s="36" t="s">
        <v>6259</v>
      </c>
      <c r="N989" s="43" t="s">
        <v>6465</v>
      </c>
    </row>
    <row r="990" spans="1:14" ht="11.1" customHeight="1">
      <c r="A990" s="31" t="s">
        <v>8275</v>
      </c>
      <c r="B990" s="38" t="s">
        <v>6231</v>
      </c>
      <c r="C990" s="39">
        <v>44777</v>
      </c>
      <c r="D990" s="40">
        <v>0.242293227997078</v>
      </c>
      <c r="E990" s="41" t="s">
        <v>6262</v>
      </c>
      <c r="F990" s="42" t="s">
        <v>8276</v>
      </c>
      <c r="G990" s="42">
        <v>43</v>
      </c>
      <c r="H990" s="42" t="s">
        <v>0</v>
      </c>
      <c r="I990" s="42" t="s">
        <v>6259</v>
      </c>
      <c r="J990" s="42" t="s">
        <v>6322</v>
      </c>
      <c r="K990" s="42" t="s">
        <v>7355</v>
      </c>
      <c r="L990" s="42" t="s">
        <v>6036</v>
      </c>
      <c r="M990" s="42" t="s">
        <v>6259</v>
      </c>
      <c r="N990" s="43" t="s">
        <v>6154</v>
      </c>
    </row>
    <row r="991" spans="1:14" ht="11.1" customHeight="1" thickBot="1">
      <c r="A991" s="73" t="s">
        <v>8277</v>
      </c>
      <c r="B991" s="74" t="s">
        <v>6231</v>
      </c>
      <c r="C991" s="75">
        <v>1365</v>
      </c>
      <c r="D991" s="76">
        <v>7.3861637942696356E-3</v>
      </c>
      <c r="E991" s="77" t="s">
        <v>6262</v>
      </c>
      <c r="F991" s="78" t="s">
        <v>8278</v>
      </c>
      <c r="G991" s="78">
        <v>55</v>
      </c>
      <c r="H991" s="78" t="s">
        <v>6049</v>
      </c>
      <c r="I991" s="78" t="s">
        <v>6259</v>
      </c>
      <c r="J991" s="78" t="s">
        <v>6267</v>
      </c>
      <c r="K991" s="78" t="s">
        <v>6268</v>
      </c>
      <c r="L991" s="78" t="s">
        <v>6036</v>
      </c>
      <c r="M991" s="78" t="s">
        <v>6259</v>
      </c>
      <c r="N991" s="79" t="s">
        <v>6259</v>
      </c>
    </row>
    <row r="992" spans="1:14" ht="11.1" customHeight="1">
      <c r="A992" s="80" t="s">
        <v>8279</v>
      </c>
      <c r="B992" s="108" t="s">
        <v>6217</v>
      </c>
      <c r="C992" s="109">
        <v>44068</v>
      </c>
      <c r="D992" s="110">
        <v>0.32528991016660147</v>
      </c>
      <c r="E992" s="111" t="s">
        <v>6251</v>
      </c>
      <c r="F992" s="112" t="s">
        <v>8280</v>
      </c>
      <c r="G992" s="112">
        <v>55</v>
      </c>
      <c r="H992" s="112" t="s">
        <v>0</v>
      </c>
      <c r="I992" s="112" t="s">
        <v>6233</v>
      </c>
      <c r="J992" s="112" t="s">
        <v>6257</v>
      </c>
      <c r="K992" s="112" t="s">
        <v>6402</v>
      </c>
      <c r="L992" s="112" t="s">
        <v>6209</v>
      </c>
      <c r="M992" s="112">
        <v>3</v>
      </c>
      <c r="N992" s="113" t="s">
        <v>6260</v>
      </c>
    </row>
    <row r="993" spans="1:14" ht="11.1" customHeight="1">
      <c r="A993" s="31" t="s">
        <v>8281</v>
      </c>
      <c r="B993" s="38" t="s">
        <v>6230</v>
      </c>
      <c r="C993" s="39">
        <v>39326</v>
      </c>
      <c r="D993" s="40">
        <v>0.29028662537922684</v>
      </c>
      <c r="E993" s="41" t="s">
        <v>6262</v>
      </c>
      <c r="F993" s="42" t="s">
        <v>8282</v>
      </c>
      <c r="G993" s="42">
        <v>62</v>
      </c>
      <c r="H993" s="42" t="s">
        <v>0</v>
      </c>
      <c r="I993" s="42" t="s">
        <v>6259</v>
      </c>
      <c r="J993" s="42" t="s">
        <v>6322</v>
      </c>
      <c r="K993" s="42" t="s">
        <v>6259</v>
      </c>
      <c r="L993" s="42" t="s">
        <v>6036</v>
      </c>
      <c r="M993" s="42" t="s">
        <v>6259</v>
      </c>
      <c r="N993" s="43" t="s">
        <v>6259</v>
      </c>
    </row>
    <row r="994" spans="1:14" ht="11.1" customHeight="1">
      <c r="A994" s="31" t="s">
        <v>8283</v>
      </c>
      <c r="B994" s="38" t="s">
        <v>6230</v>
      </c>
      <c r="C994" s="39">
        <v>38117</v>
      </c>
      <c r="D994" s="40">
        <v>0.28136233788282539</v>
      </c>
      <c r="E994" s="41">
        <v>86.495870019061456</v>
      </c>
      <c r="F994" s="42" t="s">
        <v>8284</v>
      </c>
      <c r="G994" s="42">
        <v>50</v>
      </c>
      <c r="H994" s="42" t="s">
        <v>6049</v>
      </c>
      <c r="I994" s="42" t="s">
        <v>6233</v>
      </c>
      <c r="J994" s="42" t="s">
        <v>6253</v>
      </c>
      <c r="K994" s="42" t="s">
        <v>6053</v>
      </c>
      <c r="L994" s="42" t="s">
        <v>6036</v>
      </c>
      <c r="M994" s="42" t="s">
        <v>6259</v>
      </c>
      <c r="N994" s="43" t="s">
        <v>6213</v>
      </c>
    </row>
    <row r="995" spans="1:14" ht="11.1" customHeight="1">
      <c r="A995" s="31" t="s">
        <v>8285</v>
      </c>
      <c r="B995" s="38" t="s">
        <v>6231</v>
      </c>
      <c r="C995" s="39">
        <v>13072</v>
      </c>
      <c r="D995" s="40">
        <v>9.64915518221343E-2</v>
      </c>
      <c r="E995" s="41" t="s">
        <v>6262</v>
      </c>
      <c r="F995" s="42" t="s">
        <v>8286</v>
      </c>
      <c r="G995" s="42">
        <v>50</v>
      </c>
      <c r="H995" s="42" t="s">
        <v>0</v>
      </c>
      <c r="I995" s="42" t="s">
        <v>6259</v>
      </c>
      <c r="J995" s="42" t="s">
        <v>6264</v>
      </c>
      <c r="K995" s="42" t="s">
        <v>6259</v>
      </c>
      <c r="L995" s="42" t="s">
        <v>6283</v>
      </c>
      <c r="M995" s="42">
        <v>2</v>
      </c>
      <c r="N995" s="43" t="s">
        <v>6259</v>
      </c>
    </row>
    <row r="996" spans="1:14" ht="11.1" customHeight="1">
      <c r="A996" s="44" t="s">
        <v>8287</v>
      </c>
      <c r="B996" s="45" t="s">
        <v>6231</v>
      </c>
      <c r="C996" s="46">
        <v>890</v>
      </c>
      <c r="D996" s="47">
        <v>6.5695747492120204E-3</v>
      </c>
      <c r="E996" s="48" t="s">
        <v>6262</v>
      </c>
      <c r="F996" s="49" t="s">
        <v>8288</v>
      </c>
      <c r="G996" s="49">
        <v>49</v>
      </c>
      <c r="H996" s="49" t="s">
        <v>6049</v>
      </c>
      <c r="I996" s="49" t="s">
        <v>6259</v>
      </c>
      <c r="J996" s="49" t="s">
        <v>6267</v>
      </c>
      <c r="K996" s="49" t="s">
        <v>6268</v>
      </c>
      <c r="L996" s="49" t="s">
        <v>6036</v>
      </c>
      <c r="M996" s="49" t="s">
        <v>6259</v>
      </c>
      <c r="N996" s="50" t="s">
        <v>6259</v>
      </c>
    </row>
    <row r="997" spans="1:14" ht="11.1" customHeight="1">
      <c r="A997" s="51" t="s">
        <v>8289</v>
      </c>
      <c r="B997" s="60" t="s">
        <v>6217</v>
      </c>
      <c r="C997" s="61">
        <v>75554</v>
      </c>
      <c r="D997" s="62">
        <v>0.53416570632693028</v>
      </c>
      <c r="E997" s="63" t="s">
        <v>6251</v>
      </c>
      <c r="F997" s="64" t="s">
        <v>8290</v>
      </c>
      <c r="G997" s="64">
        <v>51</v>
      </c>
      <c r="H997" s="64" t="s">
        <v>0</v>
      </c>
      <c r="I997" s="64" t="s">
        <v>6233</v>
      </c>
      <c r="J997" s="64" t="s">
        <v>6257</v>
      </c>
      <c r="K997" s="64" t="s">
        <v>6402</v>
      </c>
      <c r="L997" s="64" t="s">
        <v>6209</v>
      </c>
      <c r="M997" s="64">
        <v>6</v>
      </c>
      <c r="N997" s="65" t="s">
        <v>6260</v>
      </c>
    </row>
    <row r="998" spans="1:14" ht="11.1" customHeight="1">
      <c r="A998" s="31" t="s">
        <v>8291</v>
      </c>
      <c r="B998" s="38" t="s">
        <v>6230</v>
      </c>
      <c r="C998" s="39">
        <v>49842</v>
      </c>
      <c r="D998" s="40">
        <v>0.35238223171171423</v>
      </c>
      <c r="E998" s="41">
        <v>65.968711120523068</v>
      </c>
      <c r="F998" s="42" t="s">
        <v>8292</v>
      </c>
      <c r="G998" s="42">
        <v>36</v>
      </c>
      <c r="H998" s="42" t="s">
        <v>6049</v>
      </c>
      <c r="I998" s="42" t="s">
        <v>6233</v>
      </c>
      <c r="J998" s="42" t="s">
        <v>6253</v>
      </c>
      <c r="K998" s="42" t="s">
        <v>6053</v>
      </c>
      <c r="L998" s="42" t="s">
        <v>6036</v>
      </c>
      <c r="M998" s="42" t="s">
        <v>6259</v>
      </c>
      <c r="N998" s="43" t="s">
        <v>6213</v>
      </c>
    </row>
    <row r="999" spans="1:14" ht="11.1" customHeight="1">
      <c r="A999" s="31" t="s">
        <v>8293</v>
      </c>
      <c r="B999" s="38"/>
      <c r="C999" s="39">
        <v>14225</v>
      </c>
      <c r="D999" s="40">
        <v>0.10057054785319881</v>
      </c>
      <c r="E999" s="41" t="s">
        <v>6262</v>
      </c>
      <c r="F999" s="42" t="s">
        <v>8294</v>
      </c>
      <c r="G999" s="42">
        <v>59</v>
      </c>
      <c r="H999" s="42" t="s">
        <v>0</v>
      </c>
      <c r="I999" s="42" t="s">
        <v>6259</v>
      </c>
      <c r="J999" s="42" t="s">
        <v>6264</v>
      </c>
      <c r="K999" s="42" t="s">
        <v>6259</v>
      </c>
      <c r="L999" s="42" t="s">
        <v>6036</v>
      </c>
      <c r="M999" s="42" t="s">
        <v>6259</v>
      </c>
      <c r="N999" s="43" t="s">
        <v>6259</v>
      </c>
    </row>
    <row r="1000" spans="1:14" ht="11.1" customHeight="1">
      <c r="A1000" s="44" t="s">
        <v>8295</v>
      </c>
      <c r="B1000" s="45" t="s">
        <v>6231</v>
      </c>
      <c r="C1000" s="46">
        <v>1822</v>
      </c>
      <c r="D1000" s="47">
        <v>1.2881514108156642E-2</v>
      </c>
      <c r="E1000" s="48" t="s">
        <v>6262</v>
      </c>
      <c r="F1000" s="49" t="s">
        <v>8296</v>
      </c>
      <c r="G1000" s="49">
        <v>41</v>
      </c>
      <c r="H1000" s="49" t="s">
        <v>6049</v>
      </c>
      <c r="I1000" s="49" t="s">
        <v>6259</v>
      </c>
      <c r="J1000" s="49" t="s">
        <v>6267</v>
      </c>
      <c r="K1000" s="49" t="s">
        <v>6268</v>
      </c>
      <c r="L1000" s="49" t="s">
        <v>6036</v>
      </c>
      <c r="M1000" s="49" t="s">
        <v>6259</v>
      </c>
      <c r="N1000" s="50" t="s">
        <v>6259</v>
      </c>
    </row>
    <row r="1001" spans="1:14" ht="11.1" customHeight="1">
      <c r="A1001" s="51" t="s">
        <v>8297</v>
      </c>
      <c r="B1001" s="60" t="s">
        <v>6217</v>
      </c>
      <c r="C1001" s="61">
        <v>74489</v>
      </c>
      <c r="D1001" s="62">
        <v>0.49421779314096909</v>
      </c>
      <c r="E1001" s="63" t="s">
        <v>6251</v>
      </c>
      <c r="F1001" s="64" t="s">
        <v>8298</v>
      </c>
      <c r="G1001" s="64">
        <v>57</v>
      </c>
      <c r="H1001" s="64" t="s">
        <v>0</v>
      </c>
      <c r="I1001" s="64" t="s">
        <v>6233</v>
      </c>
      <c r="J1001" s="64" t="s">
        <v>6257</v>
      </c>
      <c r="K1001" s="64" t="s">
        <v>6369</v>
      </c>
      <c r="L1001" s="64" t="s">
        <v>6209</v>
      </c>
      <c r="M1001" s="64">
        <v>6</v>
      </c>
      <c r="N1001" s="65" t="s">
        <v>6260</v>
      </c>
    </row>
    <row r="1002" spans="1:14" ht="11.1" customHeight="1">
      <c r="A1002" s="31" t="s">
        <v>8299</v>
      </c>
      <c r="B1002" s="38" t="s">
        <v>6230</v>
      </c>
      <c r="C1002" s="39">
        <v>64777</v>
      </c>
      <c r="D1002" s="40">
        <v>0.42978085336482641</v>
      </c>
      <c r="E1002" s="41">
        <v>86.96183329082146</v>
      </c>
      <c r="F1002" s="42" t="s">
        <v>8300</v>
      </c>
      <c r="G1002" s="42">
        <v>31</v>
      </c>
      <c r="H1002" s="42" t="s">
        <v>6049</v>
      </c>
      <c r="I1002" s="42" t="s">
        <v>6233</v>
      </c>
      <c r="J1002" s="42" t="s">
        <v>6253</v>
      </c>
      <c r="K1002" s="42" t="s">
        <v>6053</v>
      </c>
      <c r="L1002" s="42" t="s">
        <v>6036</v>
      </c>
      <c r="M1002" s="42" t="s">
        <v>6259</v>
      </c>
      <c r="N1002" s="43" t="s">
        <v>6213</v>
      </c>
    </row>
    <row r="1003" spans="1:14" ht="11.1" customHeight="1">
      <c r="A1003" s="31" t="s">
        <v>8301</v>
      </c>
      <c r="B1003" s="38" t="s">
        <v>6231</v>
      </c>
      <c r="C1003" s="39">
        <v>10376</v>
      </c>
      <c r="D1003" s="40">
        <v>6.8842430716356706E-2</v>
      </c>
      <c r="E1003" s="41" t="s">
        <v>6262</v>
      </c>
      <c r="F1003" s="42" t="s">
        <v>8302</v>
      </c>
      <c r="G1003" s="42">
        <v>45</v>
      </c>
      <c r="H1003" s="42" t="s">
        <v>0</v>
      </c>
      <c r="I1003" s="42" t="s">
        <v>6259</v>
      </c>
      <c r="J1003" s="42" t="s">
        <v>6264</v>
      </c>
      <c r="K1003" s="42" t="s">
        <v>6259</v>
      </c>
      <c r="L1003" s="42" t="s">
        <v>6036</v>
      </c>
      <c r="M1003" s="42" t="s">
        <v>6259</v>
      </c>
      <c r="N1003" s="43" t="s">
        <v>6259</v>
      </c>
    </row>
    <row r="1004" spans="1:14" ht="11.1" customHeight="1" thickBot="1">
      <c r="A1004" s="66" t="s">
        <v>8303</v>
      </c>
      <c r="B1004" s="67" t="s">
        <v>6231</v>
      </c>
      <c r="C1004" s="68">
        <v>1079</v>
      </c>
      <c r="D1004" s="69">
        <v>7.1589227778478112E-3</v>
      </c>
      <c r="E1004" s="70" t="s">
        <v>6262</v>
      </c>
      <c r="F1004" s="71" t="s">
        <v>8304</v>
      </c>
      <c r="G1004" s="71">
        <v>32</v>
      </c>
      <c r="H1004" s="71" t="s">
        <v>0</v>
      </c>
      <c r="I1004" s="71" t="s">
        <v>6259</v>
      </c>
      <c r="J1004" s="71" t="s">
        <v>6267</v>
      </c>
      <c r="K1004" s="71" t="s">
        <v>6268</v>
      </c>
      <c r="L1004" s="71" t="s">
        <v>6036</v>
      </c>
      <c r="M1004" s="71" t="s">
        <v>6259</v>
      </c>
      <c r="N1004" s="72" t="s">
        <v>6259</v>
      </c>
    </row>
    <row r="1005" spans="1:14" ht="11.1" customHeight="1" thickTop="1">
      <c r="A1005" s="31" t="s">
        <v>8305</v>
      </c>
      <c r="B1005" s="32" t="s">
        <v>6217</v>
      </c>
      <c r="C1005" s="33">
        <v>123441</v>
      </c>
      <c r="D1005" s="34">
        <v>0.52777825283896562</v>
      </c>
      <c r="E1005" s="35" t="s">
        <v>6251</v>
      </c>
      <c r="F1005" s="36" t="s">
        <v>8306</v>
      </c>
      <c r="G1005" s="36">
        <v>58</v>
      </c>
      <c r="H1005" s="36" t="s">
        <v>0</v>
      </c>
      <c r="I1005" s="36" t="s">
        <v>6233</v>
      </c>
      <c r="J1005" s="36" t="s">
        <v>6253</v>
      </c>
      <c r="K1005" s="36" t="s">
        <v>6254</v>
      </c>
      <c r="L1005" s="36" t="s">
        <v>6209</v>
      </c>
      <c r="M1005" s="36">
        <v>6</v>
      </c>
      <c r="N1005" s="37" t="s">
        <v>6213</v>
      </c>
    </row>
    <row r="1006" spans="1:14" ht="11.1" customHeight="1">
      <c r="A1006" s="31" t="s">
        <v>8307</v>
      </c>
      <c r="B1006" s="38" t="s">
        <v>6230</v>
      </c>
      <c r="C1006" s="39">
        <v>88648</v>
      </c>
      <c r="D1006" s="40">
        <v>0.37901901764947327</v>
      </c>
      <c r="E1006" s="41">
        <v>71.814065018915926</v>
      </c>
      <c r="F1006" s="42" t="s">
        <v>8308</v>
      </c>
      <c r="G1006" s="42">
        <v>46</v>
      </c>
      <c r="H1006" s="42" t="s">
        <v>0</v>
      </c>
      <c r="I1006" s="42" t="s">
        <v>6233</v>
      </c>
      <c r="J1006" s="42" t="s">
        <v>6257</v>
      </c>
      <c r="K1006" s="42" t="s">
        <v>6596</v>
      </c>
      <c r="L1006" s="42" t="s">
        <v>6209</v>
      </c>
      <c r="M1006" s="42">
        <v>1</v>
      </c>
      <c r="N1006" s="43" t="s">
        <v>6259</v>
      </c>
    </row>
    <row r="1007" spans="1:14" ht="11.1" customHeight="1">
      <c r="A1007" s="31" t="s">
        <v>8309</v>
      </c>
      <c r="B1007" s="38" t="s">
        <v>6231</v>
      </c>
      <c r="C1007" s="39">
        <v>18046</v>
      </c>
      <c r="D1007" s="40">
        <v>7.7156587768504578E-2</v>
      </c>
      <c r="E1007" s="41">
        <v>14.61912978669972</v>
      </c>
      <c r="F1007" s="42" t="s">
        <v>8310</v>
      </c>
      <c r="G1007" s="42">
        <v>53</v>
      </c>
      <c r="H1007" s="42" t="s">
        <v>0</v>
      </c>
      <c r="I1007" s="42" t="s">
        <v>6233</v>
      </c>
      <c r="J1007" s="42" t="s">
        <v>6264</v>
      </c>
      <c r="K1007" s="42" t="s">
        <v>6259</v>
      </c>
      <c r="L1007" s="42" t="s">
        <v>6036</v>
      </c>
      <c r="M1007" s="42" t="s">
        <v>6259</v>
      </c>
      <c r="N1007" s="43" t="s">
        <v>6259</v>
      </c>
    </row>
    <row r="1008" spans="1:14" ht="11.1" customHeight="1">
      <c r="A1008" s="44" t="s">
        <v>8311</v>
      </c>
      <c r="B1008" s="45" t="s">
        <v>6231</v>
      </c>
      <c r="C1008" s="46">
        <v>3753</v>
      </c>
      <c r="D1008" s="47">
        <v>1.6046141743056505E-2</v>
      </c>
      <c r="E1008" s="48" t="s">
        <v>6262</v>
      </c>
      <c r="F1008" s="49" t="s">
        <v>8312</v>
      </c>
      <c r="G1008" s="49">
        <v>51</v>
      </c>
      <c r="H1008" s="49" t="s">
        <v>0</v>
      </c>
      <c r="I1008" s="49" t="s">
        <v>6259</v>
      </c>
      <c r="J1008" s="49" t="s">
        <v>6267</v>
      </c>
      <c r="K1008" s="49" t="s">
        <v>6268</v>
      </c>
      <c r="L1008" s="49" t="s">
        <v>6036</v>
      </c>
      <c r="M1008" s="49" t="s">
        <v>6259</v>
      </c>
      <c r="N1008" s="50" t="s">
        <v>6259</v>
      </c>
    </row>
    <row r="1009" spans="1:14" ht="11.1" customHeight="1">
      <c r="A1009" s="51" t="s">
        <v>8313</v>
      </c>
      <c r="B1009" s="52" t="s">
        <v>6217</v>
      </c>
      <c r="C1009" s="53">
        <v>156431</v>
      </c>
      <c r="D1009" s="54">
        <v>0.55955745058341266</v>
      </c>
      <c r="E1009" s="55" t="s">
        <v>6251</v>
      </c>
      <c r="F1009" s="56" t="s">
        <v>8314</v>
      </c>
      <c r="G1009" s="56">
        <v>39</v>
      </c>
      <c r="H1009" s="56" t="s">
        <v>0</v>
      </c>
      <c r="I1009" s="56" t="s">
        <v>6233</v>
      </c>
      <c r="J1009" s="56" t="s">
        <v>6253</v>
      </c>
      <c r="K1009" s="56" t="s">
        <v>6053</v>
      </c>
      <c r="L1009" s="56" t="s">
        <v>6036</v>
      </c>
      <c r="M1009" s="56" t="s">
        <v>6259</v>
      </c>
      <c r="N1009" s="57" t="s">
        <v>6213</v>
      </c>
    </row>
    <row r="1010" spans="1:14" ht="11.1" customHeight="1">
      <c r="A1010" s="31" t="s">
        <v>8315</v>
      </c>
      <c r="B1010" s="38" t="s">
        <v>6230</v>
      </c>
      <c r="C1010" s="39">
        <v>103270</v>
      </c>
      <c r="D1010" s="40">
        <v>0.36939927457952082</v>
      </c>
      <c r="E1010" s="41">
        <v>66.016326687165588</v>
      </c>
      <c r="F1010" s="42" t="s">
        <v>8316</v>
      </c>
      <c r="G1010" s="42">
        <v>72</v>
      </c>
      <c r="H1010" s="42" t="s">
        <v>0</v>
      </c>
      <c r="I1010" s="42" t="s">
        <v>6233</v>
      </c>
      <c r="J1010" s="42" t="s">
        <v>6257</v>
      </c>
      <c r="K1010" s="42" t="s">
        <v>6350</v>
      </c>
      <c r="L1010" s="42" t="s">
        <v>6209</v>
      </c>
      <c r="M1010" s="42">
        <v>12</v>
      </c>
      <c r="N1010" s="43" t="s">
        <v>6260</v>
      </c>
    </row>
    <row r="1011" spans="1:14" ht="11.1" customHeight="1">
      <c r="A1011" s="31" t="s">
        <v>8317</v>
      </c>
      <c r="B1011" s="38" t="s">
        <v>6231</v>
      </c>
      <c r="C1011" s="39">
        <v>16818</v>
      </c>
      <c r="D1011" s="40">
        <v>6.0158390625335345E-2</v>
      </c>
      <c r="E1011" s="41">
        <v>10.751065965185928</v>
      </c>
      <c r="F1011" s="42" t="s">
        <v>8318</v>
      </c>
      <c r="G1011" s="42">
        <v>29</v>
      </c>
      <c r="H1011" s="42" t="s">
        <v>6049</v>
      </c>
      <c r="I1011" s="42" t="s">
        <v>6233</v>
      </c>
      <c r="J1011" s="42" t="s">
        <v>6264</v>
      </c>
      <c r="K1011" s="42" t="s">
        <v>6259</v>
      </c>
      <c r="L1011" s="42" t="s">
        <v>6036</v>
      </c>
      <c r="M1011" s="42" t="s">
        <v>6259</v>
      </c>
      <c r="N1011" s="43" t="s">
        <v>6259</v>
      </c>
    </row>
    <row r="1012" spans="1:14" ht="11.1" customHeight="1">
      <c r="A1012" s="44" t="s">
        <v>8319</v>
      </c>
      <c r="B1012" s="45" t="s">
        <v>6231</v>
      </c>
      <c r="C1012" s="46">
        <v>3043</v>
      </c>
      <c r="D1012" s="47">
        <v>1.0884884211731208E-2</v>
      </c>
      <c r="E1012" s="48" t="s">
        <v>6262</v>
      </c>
      <c r="F1012" s="49" t="s">
        <v>8320</v>
      </c>
      <c r="G1012" s="49">
        <v>55</v>
      </c>
      <c r="H1012" s="49" t="s">
        <v>0</v>
      </c>
      <c r="I1012" s="49" t="s">
        <v>6259</v>
      </c>
      <c r="J1012" s="49" t="s">
        <v>6267</v>
      </c>
      <c r="K1012" s="49" t="s">
        <v>6268</v>
      </c>
      <c r="L1012" s="49" t="s">
        <v>6036</v>
      </c>
      <c r="M1012" s="49" t="s">
        <v>6259</v>
      </c>
      <c r="N1012" s="50" t="s">
        <v>6259</v>
      </c>
    </row>
    <row r="1013" spans="1:14" ht="11.1" customHeight="1">
      <c r="A1013" s="51" t="s">
        <v>8321</v>
      </c>
      <c r="B1013" s="52" t="s">
        <v>6217</v>
      </c>
      <c r="C1013" s="53">
        <v>142489</v>
      </c>
      <c r="D1013" s="54">
        <v>0.52844162587153243</v>
      </c>
      <c r="E1013" s="55" t="s">
        <v>6251</v>
      </c>
      <c r="F1013" s="56" t="s">
        <v>8322</v>
      </c>
      <c r="G1013" s="56">
        <v>60</v>
      </c>
      <c r="H1013" s="56" t="s">
        <v>6049</v>
      </c>
      <c r="I1013" s="56" t="s">
        <v>6233</v>
      </c>
      <c r="J1013" s="56" t="s">
        <v>6253</v>
      </c>
      <c r="K1013" s="56" t="s">
        <v>6254</v>
      </c>
      <c r="L1013" s="56" t="s">
        <v>6283</v>
      </c>
      <c r="M1013" s="56">
        <v>1</v>
      </c>
      <c r="N1013" s="57" t="s">
        <v>6779</v>
      </c>
    </row>
    <row r="1014" spans="1:14" ht="11.1" customHeight="1">
      <c r="A1014" s="31" t="s">
        <v>8323</v>
      </c>
      <c r="B1014" s="38" t="s">
        <v>6230</v>
      </c>
      <c r="C1014" s="39">
        <v>108236</v>
      </c>
      <c r="D1014" s="40">
        <v>0.40140928645601542</v>
      </c>
      <c r="E1014" s="41">
        <v>75.960951371684828</v>
      </c>
      <c r="F1014" s="42" t="s">
        <v>8324</v>
      </c>
      <c r="G1014" s="42">
        <v>63</v>
      </c>
      <c r="H1014" s="42" t="s">
        <v>0</v>
      </c>
      <c r="I1014" s="42" t="s">
        <v>6233</v>
      </c>
      <c r="J1014" s="42" t="s">
        <v>6257</v>
      </c>
      <c r="K1014" s="42" t="s">
        <v>6402</v>
      </c>
      <c r="L1014" s="42" t="s">
        <v>6209</v>
      </c>
      <c r="M1014" s="42">
        <v>8</v>
      </c>
      <c r="N1014" s="43" t="s">
        <v>6260</v>
      </c>
    </row>
    <row r="1015" spans="1:14" ht="11.1" customHeight="1">
      <c r="A1015" s="31" t="s">
        <v>8325</v>
      </c>
      <c r="B1015" s="38" t="s">
        <v>6231</v>
      </c>
      <c r="C1015" s="39">
        <v>14551</v>
      </c>
      <c r="D1015" s="40">
        <v>5.396454531968551E-2</v>
      </c>
      <c r="E1015" s="41" t="s">
        <v>6262</v>
      </c>
      <c r="F1015" s="42" t="s">
        <v>8326</v>
      </c>
      <c r="G1015" s="42">
        <v>27</v>
      </c>
      <c r="H1015" s="42" t="s">
        <v>0</v>
      </c>
      <c r="I1015" s="42" t="s">
        <v>6259</v>
      </c>
      <c r="J1015" s="42" t="s">
        <v>6264</v>
      </c>
      <c r="K1015" s="42" t="s">
        <v>6259</v>
      </c>
      <c r="L1015" s="42" t="s">
        <v>6036</v>
      </c>
      <c r="M1015" s="42" t="s">
        <v>6259</v>
      </c>
      <c r="N1015" s="43" t="s">
        <v>6259</v>
      </c>
    </row>
    <row r="1016" spans="1:14" ht="11.1" customHeight="1">
      <c r="A1016" s="44" t="s">
        <v>8327</v>
      </c>
      <c r="B1016" s="45" t="s">
        <v>6231</v>
      </c>
      <c r="C1016" s="46">
        <v>4364</v>
      </c>
      <c r="D1016" s="47">
        <v>1.6184542352766652E-2</v>
      </c>
      <c r="E1016" s="48" t="s">
        <v>6262</v>
      </c>
      <c r="F1016" s="49" t="s">
        <v>8328</v>
      </c>
      <c r="G1016" s="49">
        <v>49</v>
      </c>
      <c r="H1016" s="49" t="s">
        <v>0</v>
      </c>
      <c r="I1016" s="49" t="s">
        <v>6259</v>
      </c>
      <c r="J1016" s="49" t="s">
        <v>6267</v>
      </c>
      <c r="K1016" s="49" t="s">
        <v>6268</v>
      </c>
      <c r="L1016" s="49" t="s">
        <v>6036</v>
      </c>
      <c r="M1016" s="49" t="s">
        <v>6259</v>
      </c>
      <c r="N1016" s="50" t="s">
        <v>6259</v>
      </c>
    </row>
    <row r="1017" spans="1:14" ht="11.1" customHeight="1">
      <c r="A1017" s="51" t="s">
        <v>8329</v>
      </c>
      <c r="B1017" s="52" t="s">
        <v>6217</v>
      </c>
      <c r="C1017" s="53">
        <v>119500</v>
      </c>
      <c r="D1017" s="54">
        <v>0.51717944612028854</v>
      </c>
      <c r="E1017" s="55" t="s">
        <v>6251</v>
      </c>
      <c r="F1017" s="56" t="s">
        <v>8330</v>
      </c>
      <c r="G1017" s="56">
        <v>56</v>
      </c>
      <c r="H1017" s="56" t="s">
        <v>0</v>
      </c>
      <c r="I1017" s="56" t="s">
        <v>6233</v>
      </c>
      <c r="J1017" s="56" t="s">
        <v>6253</v>
      </c>
      <c r="K1017" s="56" t="s">
        <v>6207</v>
      </c>
      <c r="L1017" s="56" t="s">
        <v>6283</v>
      </c>
      <c r="M1017" s="56">
        <v>1</v>
      </c>
      <c r="N1017" s="57" t="s">
        <v>6213</v>
      </c>
    </row>
    <row r="1018" spans="1:14" ht="11.1" customHeight="1">
      <c r="A1018" s="31" t="s">
        <v>8331</v>
      </c>
      <c r="B1018" s="38" t="s">
        <v>6230</v>
      </c>
      <c r="C1018" s="39">
        <v>106124</v>
      </c>
      <c r="D1018" s="40">
        <v>0.45928997104660674</v>
      </c>
      <c r="E1018" s="41">
        <v>88.806694560669456</v>
      </c>
      <c r="F1018" s="42" t="s">
        <v>8332</v>
      </c>
      <c r="G1018" s="42">
        <v>68</v>
      </c>
      <c r="H1018" s="42" t="s">
        <v>0</v>
      </c>
      <c r="I1018" s="42" t="s">
        <v>6233</v>
      </c>
      <c r="J1018" s="42" t="s">
        <v>6257</v>
      </c>
      <c r="K1018" s="42" t="s">
        <v>6350</v>
      </c>
      <c r="L1018" s="42" t="s">
        <v>6209</v>
      </c>
      <c r="M1018" s="42">
        <v>4</v>
      </c>
      <c r="N1018" s="43" t="s">
        <v>6260</v>
      </c>
    </row>
    <row r="1019" spans="1:14" ht="11.1" customHeight="1">
      <c r="A1019" s="44" t="s">
        <v>8333</v>
      </c>
      <c r="B1019" s="45" t="s">
        <v>6231</v>
      </c>
      <c r="C1019" s="46">
        <v>5437</v>
      </c>
      <c r="D1019" s="47">
        <v>2.3530582833104677E-2</v>
      </c>
      <c r="E1019" s="48" t="s">
        <v>6262</v>
      </c>
      <c r="F1019" s="49" t="s">
        <v>8334</v>
      </c>
      <c r="G1019" s="49">
        <v>28</v>
      </c>
      <c r="H1019" s="49" t="s">
        <v>0</v>
      </c>
      <c r="I1019" s="49" t="s">
        <v>6259</v>
      </c>
      <c r="J1019" s="49" t="s">
        <v>6267</v>
      </c>
      <c r="K1019" s="49" t="s">
        <v>6268</v>
      </c>
      <c r="L1019" s="49" t="s">
        <v>6036</v>
      </c>
      <c r="M1019" s="49" t="s">
        <v>6259</v>
      </c>
      <c r="N1019" s="50" t="s">
        <v>6259</v>
      </c>
    </row>
    <row r="1020" spans="1:14" ht="11.1" customHeight="1">
      <c r="A1020" s="51" t="s">
        <v>8335</v>
      </c>
      <c r="B1020" s="52" t="s">
        <v>6217</v>
      </c>
      <c r="C1020" s="53">
        <v>148502</v>
      </c>
      <c r="D1020" s="54">
        <v>0.53148800320678002</v>
      </c>
      <c r="E1020" s="55" t="s">
        <v>6251</v>
      </c>
      <c r="F1020" s="56" t="s">
        <v>8336</v>
      </c>
      <c r="G1020" s="56">
        <v>34</v>
      </c>
      <c r="H1020" s="56" t="s">
        <v>0</v>
      </c>
      <c r="I1020" s="56" t="s">
        <v>6233</v>
      </c>
      <c r="J1020" s="56" t="s">
        <v>6253</v>
      </c>
      <c r="K1020" s="56" t="s">
        <v>6053</v>
      </c>
      <c r="L1020" s="56" t="s">
        <v>6209</v>
      </c>
      <c r="M1020" s="56">
        <v>2</v>
      </c>
      <c r="N1020" s="57" t="s">
        <v>6213</v>
      </c>
    </row>
    <row r="1021" spans="1:14" ht="11.1" customHeight="1">
      <c r="A1021" s="31" t="s">
        <v>8337</v>
      </c>
      <c r="B1021" s="38" t="s">
        <v>6230</v>
      </c>
      <c r="C1021" s="39">
        <v>125767</v>
      </c>
      <c r="D1021" s="40">
        <v>0.45011953845272862</v>
      </c>
      <c r="E1021" s="41">
        <v>84.690441879570642</v>
      </c>
      <c r="F1021" s="42" t="s">
        <v>8338</v>
      </c>
      <c r="G1021" s="42">
        <v>64</v>
      </c>
      <c r="H1021" s="42" t="s">
        <v>0</v>
      </c>
      <c r="I1021" s="42" t="s">
        <v>6233</v>
      </c>
      <c r="J1021" s="42" t="s">
        <v>6257</v>
      </c>
      <c r="K1021" s="42" t="s">
        <v>6350</v>
      </c>
      <c r="L1021" s="42" t="s">
        <v>6209</v>
      </c>
      <c r="M1021" s="42">
        <v>5</v>
      </c>
      <c r="N1021" s="43" t="s">
        <v>6260</v>
      </c>
    </row>
    <row r="1022" spans="1:14" ht="11.1" customHeight="1">
      <c r="A1022" s="44" t="s">
        <v>8339</v>
      </c>
      <c r="B1022" s="45" t="s">
        <v>6231</v>
      </c>
      <c r="C1022" s="46">
        <v>5139</v>
      </c>
      <c r="D1022" s="47">
        <v>1.8392458340491323E-2</v>
      </c>
      <c r="E1022" s="48" t="s">
        <v>6262</v>
      </c>
      <c r="F1022" s="49" t="s">
        <v>8340</v>
      </c>
      <c r="G1022" s="49">
        <v>49</v>
      </c>
      <c r="H1022" s="49" t="s">
        <v>0</v>
      </c>
      <c r="I1022" s="49" t="s">
        <v>6259</v>
      </c>
      <c r="J1022" s="49" t="s">
        <v>6267</v>
      </c>
      <c r="K1022" s="49" t="s">
        <v>6268</v>
      </c>
      <c r="L1022" s="49" t="s">
        <v>6036</v>
      </c>
      <c r="M1022" s="49" t="s">
        <v>6259</v>
      </c>
      <c r="N1022" s="50" t="s">
        <v>6259</v>
      </c>
    </row>
    <row r="1023" spans="1:14" ht="11.1" customHeight="1">
      <c r="A1023" s="51" t="s">
        <v>8341</v>
      </c>
      <c r="B1023" s="60" t="s">
        <v>6217</v>
      </c>
      <c r="C1023" s="61">
        <v>138327</v>
      </c>
      <c r="D1023" s="62">
        <v>0.52748849323322033</v>
      </c>
      <c r="E1023" s="63" t="s">
        <v>6251</v>
      </c>
      <c r="F1023" s="64" t="s">
        <v>8342</v>
      </c>
      <c r="G1023" s="64">
        <v>60</v>
      </c>
      <c r="H1023" s="64" t="s">
        <v>0</v>
      </c>
      <c r="I1023" s="64" t="s">
        <v>6233</v>
      </c>
      <c r="J1023" s="64" t="s">
        <v>6257</v>
      </c>
      <c r="K1023" s="64" t="s">
        <v>6273</v>
      </c>
      <c r="L1023" s="64" t="s">
        <v>6209</v>
      </c>
      <c r="M1023" s="64">
        <v>10</v>
      </c>
      <c r="N1023" s="65" t="s">
        <v>6260</v>
      </c>
    </row>
    <row r="1024" spans="1:14" ht="11.1" customHeight="1">
      <c r="A1024" s="31" t="s">
        <v>8343</v>
      </c>
      <c r="B1024" s="38" t="s">
        <v>6232</v>
      </c>
      <c r="C1024" s="39">
        <v>119481</v>
      </c>
      <c r="D1024" s="40">
        <v>0.45562220434187395</v>
      </c>
      <c r="E1024" s="35">
        <v>86.375761781864711</v>
      </c>
      <c r="F1024" s="36" t="s">
        <v>8344</v>
      </c>
      <c r="G1024" s="36">
        <v>62</v>
      </c>
      <c r="H1024" s="36" t="s">
        <v>0</v>
      </c>
      <c r="I1024" s="36" t="s">
        <v>6233</v>
      </c>
      <c r="J1024" s="36" t="s">
        <v>6253</v>
      </c>
      <c r="K1024" s="36" t="s">
        <v>6207</v>
      </c>
      <c r="L1024" s="36" t="s">
        <v>6209</v>
      </c>
      <c r="M1024" s="36">
        <v>6</v>
      </c>
      <c r="N1024" s="43" t="s">
        <v>6213</v>
      </c>
    </row>
    <row r="1025" spans="1:14" ht="11.1" customHeight="1">
      <c r="A1025" s="44" t="s">
        <v>8345</v>
      </c>
      <c r="B1025" s="45" t="s">
        <v>6231</v>
      </c>
      <c r="C1025" s="46">
        <v>4429</v>
      </c>
      <c r="D1025" s="47">
        <v>1.6889302424905717E-2</v>
      </c>
      <c r="E1025" s="48" t="s">
        <v>6262</v>
      </c>
      <c r="F1025" s="49" t="s">
        <v>8346</v>
      </c>
      <c r="G1025" s="49">
        <v>46</v>
      </c>
      <c r="H1025" s="49" t="s">
        <v>0</v>
      </c>
      <c r="I1025" s="49" t="s">
        <v>6259</v>
      </c>
      <c r="J1025" s="49" t="s">
        <v>6267</v>
      </c>
      <c r="K1025" s="49" t="s">
        <v>6268</v>
      </c>
      <c r="L1025" s="49" t="s">
        <v>6036</v>
      </c>
      <c r="M1025" s="49" t="s">
        <v>6259</v>
      </c>
      <c r="N1025" s="50" t="s">
        <v>6259</v>
      </c>
    </row>
    <row r="1026" spans="1:14" ht="11.1" customHeight="1">
      <c r="A1026" s="51" t="s">
        <v>8347</v>
      </c>
      <c r="B1026" s="60" t="s">
        <v>6217</v>
      </c>
      <c r="C1026" s="61">
        <v>128137</v>
      </c>
      <c r="D1026" s="62">
        <v>0.55026302793464021</v>
      </c>
      <c r="E1026" s="63" t="s">
        <v>6262</v>
      </c>
      <c r="F1026" s="64" t="s">
        <v>8348</v>
      </c>
      <c r="G1026" s="64">
        <v>69</v>
      </c>
      <c r="H1026" s="64" t="s">
        <v>0</v>
      </c>
      <c r="I1026" s="64" t="s">
        <v>6259</v>
      </c>
      <c r="J1026" s="64" t="s">
        <v>6257</v>
      </c>
      <c r="K1026" s="64" t="s">
        <v>6402</v>
      </c>
      <c r="L1026" s="64" t="s">
        <v>6209</v>
      </c>
      <c r="M1026" s="64">
        <v>9</v>
      </c>
      <c r="N1026" s="65" t="s">
        <v>6259</v>
      </c>
    </row>
    <row r="1027" spans="1:14" ht="11.1" customHeight="1">
      <c r="A1027" s="44" t="s">
        <v>8349</v>
      </c>
      <c r="B1027" s="45" t="s">
        <v>6232</v>
      </c>
      <c r="C1027" s="46">
        <v>104728</v>
      </c>
      <c r="D1027" s="47">
        <v>0.44973697206535973</v>
      </c>
      <c r="E1027" s="140">
        <v>81.7312719979397</v>
      </c>
      <c r="F1027" s="141" t="s">
        <v>8350</v>
      </c>
      <c r="G1027" s="141">
        <v>51</v>
      </c>
      <c r="H1027" s="141" t="s">
        <v>0</v>
      </c>
      <c r="I1027" s="141" t="s">
        <v>6233</v>
      </c>
      <c r="J1027" s="141" t="s">
        <v>6253</v>
      </c>
      <c r="K1027" s="141" t="s">
        <v>6053</v>
      </c>
      <c r="L1027" s="141" t="s">
        <v>6036</v>
      </c>
      <c r="M1027" s="141" t="s">
        <v>6259</v>
      </c>
      <c r="N1027" s="50" t="s">
        <v>6213</v>
      </c>
    </row>
    <row r="1028" spans="1:14" ht="11.1" customHeight="1">
      <c r="A1028" s="51" t="s">
        <v>8351</v>
      </c>
      <c r="B1028" s="60" t="s">
        <v>6217</v>
      </c>
      <c r="C1028" s="61">
        <v>165327</v>
      </c>
      <c r="D1028" s="62">
        <v>0.62211711050653062</v>
      </c>
      <c r="E1028" s="63" t="s">
        <v>6262</v>
      </c>
      <c r="F1028" s="64" t="s">
        <v>8352</v>
      </c>
      <c r="G1028" s="64">
        <v>68</v>
      </c>
      <c r="H1028" s="64" t="s">
        <v>0</v>
      </c>
      <c r="I1028" s="64" t="s">
        <v>6259</v>
      </c>
      <c r="J1028" s="64" t="s">
        <v>6257</v>
      </c>
      <c r="K1028" s="64" t="s">
        <v>6596</v>
      </c>
      <c r="L1028" s="64" t="s">
        <v>6209</v>
      </c>
      <c r="M1028" s="64">
        <v>9</v>
      </c>
      <c r="N1028" s="65" t="s">
        <v>6259</v>
      </c>
    </row>
    <row r="1029" spans="1:14" ht="11.1" customHeight="1">
      <c r="A1029" s="31" t="s">
        <v>8353</v>
      </c>
      <c r="B1029" s="38" t="s">
        <v>6232</v>
      </c>
      <c r="C1029" s="39">
        <v>96327</v>
      </c>
      <c r="D1029" s="40">
        <v>0.36247361231839065</v>
      </c>
      <c r="E1029" s="35">
        <v>58.264530294507246</v>
      </c>
      <c r="F1029" s="36" t="s">
        <v>8354</v>
      </c>
      <c r="G1029" s="36">
        <v>37</v>
      </c>
      <c r="H1029" s="36" t="s">
        <v>0</v>
      </c>
      <c r="I1029" s="36" t="s">
        <v>6233</v>
      </c>
      <c r="J1029" s="36" t="s">
        <v>6253</v>
      </c>
      <c r="K1029" s="36" t="s">
        <v>6053</v>
      </c>
      <c r="L1029" s="36" t="s">
        <v>6036</v>
      </c>
      <c r="M1029" s="36" t="s">
        <v>6259</v>
      </c>
      <c r="N1029" s="43" t="s">
        <v>6213</v>
      </c>
    </row>
    <row r="1030" spans="1:14" ht="11.1" customHeight="1">
      <c r="A1030" s="44" t="s">
        <v>8355</v>
      </c>
      <c r="B1030" s="45" t="s">
        <v>6231</v>
      </c>
      <c r="C1030" s="46">
        <v>4095</v>
      </c>
      <c r="D1030" s="47">
        <v>1.540927717507874E-2</v>
      </c>
      <c r="E1030" s="48" t="s">
        <v>6262</v>
      </c>
      <c r="F1030" s="49" t="s">
        <v>8356</v>
      </c>
      <c r="G1030" s="49">
        <v>46</v>
      </c>
      <c r="H1030" s="49" t="s">
        <v>6049</v>
      </c>
      <c r="I1030" s="49" t="s">
        <v>6259</v>
      </c>
      <c r="J1030" s="49" t="s">
        <v>6267</v>
      </c>
      <c r="K1030" s="49" t="s">
        <v>6268</v>
      </c>
      <c r="L1030" s="49" t="s">
        <v>6036</v>
      </c>
      <c r="M1030" s="49" t="s">
        <v>6259</v>
      </c>
      <c r="N1030" s="50" t="s">
        <v>6259</v>
      </c>
    </row>
    <row r="1031" spans="1:14" ht="11.1" customHeight="1">
      <c r="A1031" s="51" t="s">
        <v>8357</v>
      </c>
      <c r="B1031" s="52" t="s">
        <v>6217</v>
      </c>
      <c r="C1031" s="53">
        <v>122815</v>
      </c>
      <c r="D1031" s="54">
        <v>0.47636132325391067</v>
      </c>
      <c r="E1031" s="55" t="s">
        <v>6251</v>
      </c>
      <c r="F1031" s="56" t="s">
        <v>8358</v>
      </c>
      <c r="G1031" s="56">
        <v>36</v>
      </c>
      <c r="H1031" s="56" t="s">
        <v>0</v>
      </c>
      <c r="I1031" s="56" t="s">
        <v>6233</v>
      </c>
      <c r="J1031" s="56" t="s">
        <v>6253</v>
      </c>
      <c r="K1031" s="56" t="s">
        <v>6053</v>
      </c>
      <c r="L1031" s="56" t="s">
        <v>6036</v>
      </c>
      <c r="M1031" s="56" t="s">
        <v>6259</v>
      </c>
      <c r="N1031" s="57" t="s">
        <v>6213</v>
      </c>
    </row>
    <row r="1032" spans="1:14" ht="11.1" customHeight="1">
      <c r="A1032" s="31" t="s">
        <v>8359</v>
      </c>
      <c r="B1032" s="38" t="s">
        <v>6230</v>
      </c>
      <c r="C1032" s="39">
        <v>109807</v>
      </c>
      <c r="D1032" s="40">
        <v>0.42590732257901859</v>
      </c>
      <c r="E1032" s="41">
        <v>89.408459878679309</v>
      </c>
      <c r="F1032" s="42" t="s">
        <v>8360</v>
      </c>
      <c r="G1032" s="42">
        <v>62</v>
      </c>
      <c r="H1032" s="42" t="s">
        <v>0</v>
      </c>
      <c r="I1032" s="42" t="s">
        <v>6233</v>
      </c>
      <c r="J1032" s="42" t="s">
        <v>6257</v>
      </c>
      <c r="K1032" s="42" t="s">
        <v>6273</v>
      </c>
      <c r="L1032" s="42" t="s">
        <v>6209</v>
      </c>
      <c r="M1032" s="42">
        <v>5</v>
      </c>
      <c r="N1032" s="43" t="s">
        <v>6260</v>
      </c>
    </row>
    <row r="1033" spans="1:14" ht="11.1" customHeight="1">
      <c r="A1033" s="31" t="s">
        <v>8361</v>
      </c>
      <c r="B1033" s="38" t="s">
        <v>6231</v>
      </c>
      <c r="C1033" s="39">
        <v>22382</v>
      </c>
      <c r="D1033" s="40">
        <v>8.6812841567145943E-2</v>
      </c>
      <c r="E1033" s="41" t="s">
        <v>6262</v>
      </c>
      <c r="F1033" s="42" t="s">
        <v>8362</v>
      </c>
      <c r="G1033" s="42">
        <v>67</v>
      </c>
      <c r="H1033" s="42" t="s">
        <v>0</v>
      </c>
      <c r="I1033" s="42" t="s">
        <v>6259</v>
      </c>
      <c r="J1033" s="42" t="s">
        <v>6264</v>
      </c>
      <c r="K1033" s="42" t="s">
        <v>6259</v>
      </c>
      <c r="L1033" s="42" t="s">
        <v>6036</v>
      </c>
      <c r="M1033" s="42" t="s">
        <v>6259</v>
      </c>
      <c r="N1033" s="43" t="s">
        <v>6259</v>
      </c>
    </row>
    <row r="1034" spans="1:14" ht="11.1" customHeight="1">
      <c r="A1034" s="44" t="s">
        <v>8363</v>
      </c>
      <c r="B1034" s="45" t="s">
        <v>6231</v>
      </c>
      <c r="C1034" s="46">
        <v>2815</v>
      </c>
      <c r="D1034" s="47">
        <v>1.0918512599924754E-2</v>
      </c>
      <c r="E1034" s="48" t="s">
        <v>6262</v>
      </c>
      <c r="F1034" s="49" t="s">
        <v>8364</v>
      </c>
      <c r="G1034" s="49">
        <v>38</v>
      </c>
      <c r="H1034" s="49" t="s">
        <v>6049</v>
      </c>
      <c r="I1034" s="49" t="s">
        <v>6259</v>
      </c>
      <c r="J1034" s="49" t="s">
        <v>6267</v>
      </c>
      <c r="K1034" s="49" t="s">
        <v>6268</v>
      </c>
      <c r="L1034" s="49" t="s">
        <v>6036</v>
      </c>
      <c r="M1034" s="49" t="s">
        <v>6259</v>
      </c>
      <c r="N1034" s="50" t="s">
        <v>6259</v>
      </c>
    </row>
    <row r="1035" spans="1:14" ht="11.1" customHeight="1">
      <c r="A1035" s="51" t="s">
        <v>8365</v>
      </c>
      <c r="B1035" s="52" t="s">
        <v>6217</v>
      </c>
      <c r="C1035" s="53">
        <v>123312</v>
      </c>
      <c r="D1035" s="54">
        <v>0.48062861508239657</v>
      </c>
      <c r="E1035" s="55" t="s">
        <v>6251</v>
      </c>
      <c r="F1035" s="56" t="s">
        <v>8366</v>
      </c>
      <c r="G1035" s="56">
        <v>36</v>
      </c>
      <c r="H1035" s="56" t="s">
        <v>0</v>
      </c>
      <c r="I1035" s="56" t="s">
        <v>6233</v>
      </c>
      <c r="J1035" s="56" t="s">
        <v>6253</v>
      </c>
      <c r="K1035" s="56" t="s">
        <v>6053</v>
      </c>
      <c r="L1035" s="56" t="s">
        <v>6283</v>
      </c>
      <c r="M1035" s="56">
        <v>1</v>
      </c>
      <c r="N1035" s="57" t="s">
        <v>6213</v>
      </c>
    </row>
    <row r="1036" spans="1:14" ht="11.1" customHeight="1">
      <c r="A1036" s="31" t="s">
        <v>8367</v>
      </c>
      <c r="B1036" s="38" t="s">
        <v>6230</v>
      </c>
      <c r="C1036" s="39">
        <v>106365</v>
      </c>
      <c r="D1036" s="40">
        <v>0.41457492087744191</v>
      </c>
      <c r="E1036" s="41">
        <v>86.256811989100811</v>
      </c>
      <c r="F1036" s="42" t="s">
        <v>8368</v>
      </c>
      <c r="G1036" s="42">
        <v>63</v>
      </c>
      <c r="H1036" s="42" t="s">
        <v>6049</v>
      </c>
      <c r="I1036" s="42" t="s">
        <v>6233</v>
      </c>
      <c r="J1036" s="42" t="s">
        <v>6257</v>
      </c>
      <c r="K1036" s="42" t="s">
        <v>6311</v>
      </c>
      <c r="L1036" s="42" t="s">
        <v>6209</v>
      </c>
      <c r="M1036" s="42">
        <v>3</v>
      </c>
      <c r="N1036" s="43" t="s">
        <v>6260</v>
      </c>
    </row>
    <row r="1037" spans="1:14" ht="11.1" customHeight="1">
      <c r="A1037" s="31" t="s">
        <v>8369</v>
      </c>
      <c r="B1037" s="38" t="s">
        <v>6231</v>
      </c>
      <c r="C1037" s="39">
        <v>22980</v>
      </c>
      <c r="D1037" s="40">
        <v>8.9568294850407695E-2</v>
      </c>
      <c r="E1037" s="41">
        <v>18.63565589723628</v>
      </c>
      <c r="F1037" s="42" t="s">
        <v>8370</v>
      </c>
      <c r="G1037" s="42">
        <v>61</v>
      </c>
      <c r="H1037" s="42" t="s">
        <v>0</v>
      </c>
      <c r="I1037" s="42" t="s">
        <v>6233</v>
      </c>
      <c r="J1037" s="42" t="s">
        <v>6264</v>
      </c>
      <c r="K1037" s="42" t="s">
        <v>6259</v>
      </c>
      <c r="L1037" s="42" t="s">
        <v>6036</v>
      </c>
      <c r="M1037" s="42" t="s">
        <v>6259</v>
      </c>
      <c r="N1037" s="43" t="s">
        <v>6259</v>
      </c>
    </row>
    <row r="1038" spans="1:14" ht="11.1" customHeight="1">
      <c r="A1038" s="44" t="s">
        <v>8371</v>
      </c>
      <c r="B1038" s="45" t="s">
        <v>6231</v>
      </c>
      <c r="C1038" s="46">
        <v>3907</v>
      </c>
      <c r="D1038" s="47">
        <v>1.5228169189753823E-2</v>
      </c>
      <c r="E1038" s="48" t="s">
        <v>6262</v>
      </c>
      <c r="F1038" s="49" t="s">
        <v>8372</v>
      </c>
      <c r="G1038" s="49">
        <v>49</v>
      </c>
      <c r="H1038" s="49" t="s">
        <v>0</v>
      </c>
      <c r="I1038" s="49" t="s">
        <v>6259</v>
      </c>
      <c r="J1038" s="49" t="s">
        <v>6267</v>
      </c>
      <c r="K1038" s="49" t="s">
        <v>6268</v>
      </c>
      <c r="L1038" s="49" t="s">
        <v>6036</v>
      </c>
      <c r="M1038" s="49" t="s">
        <v>6259</v>
      </c>
      <c r="N1038" s="50" t="s">
        <v>6259</v>
      </c>
    </row>
    <row r="1039" spans="1:14" ht="11.1" customHeight="1">
      <c r="A1039" s="51" t="s">
        <v>8373</v>
      </c>
      <c r="B1039" s="60" t="s">
        <v>6217</v>
      </c>
      <c r="C1039" s="61">
        <v>106334</v>
      </c>
      <c r="D1039" s="62">
        <v>0.57433443338392487</v>
      </c>
      <c r="E1039" s="63" t="s">
        <v>6251</v>
      </c>
      <c r="F1039" s="64" t="s">
        <v>8374</v>
      </c>
      <c r="G1039" s="64">
        <v>41</v>
      </c>
      <c r="H1039" s="64" t="s">
        <v>0</v>
      </c>
      <c r="I1039" s="64" t="s">
        <v>6233</v>
      </c>
      <c r="J1039" s="64" t="s">
        <v>6257</v>
      </c>
      <c r="K1039" s="64" t="s">
        <v>6350</v>
      </c>
      <c r="L1039" s="64" t="s">
        <v>6209</v>
      </c>
      <c r="M1039" s="64">
        <v>2</v>
      </c>
      <c r="N1039" s="65" t="s">
        <v>6260</v>
      </c>
    </row>
    <row r="1040" spans="1:14" ht="11.1" customHeight="1">
      <c r="A1040" s="31" t="s">
        <v>8375</v>
      </c>
      <c r="B1040" s="38" t="s">
        <v>6230</v>
      </c>
      <c r="C1040" s="39">
        <v>61192</v>
      </c>
      <c r="D1040" s="40">
        <v>0.33051209065425102</v>
      </c>
      <c r="E1040" s="41">
        <v>57.546974627118324</v>
      </c>
      <c r="F1040" s="42" t="s">
        <v>8376</v>
      </c>
      <c r="G1040" s="42">
        <v>33</v>
      </c>
      <c r="H1040" s="42" t="s">
        <v>6049</v>
      </c>
      <c r="I1040" s="42" t="s">
        <v>6233</v>
      </c>
      <c r="J1040" s="42" t="s">
        <v>6278</v>
      </c>
      <c r="K1040" s="42" t="s">
        <v>6259</v>
      </c>
      <c r="L1040" s="42" t="s">
        <v>6036</v>
      </c>
      <c r="M1040" s="42" t="s">
        <v>6259</v>
      </c>
      <c r="N1040" s="43" t="s">
        <v>6481</v>
      </c>
    </row>
    <row r="1041" spans="1:14" ht="11.1" customHeight="1">
      <c r="A1041" s="31" t="s">
        <v>8377</v>
      </c>
      <c r="B1041" s="38" t="s">
        <v>6231</v>
      </c>
      <c r="C1041" s="39">
        <v>14475</v>
      </c>
      <c r="D1041" s="40">
        <v>7.8182810044128054E-2</v>
      </c>
      <c r="E1041" s="41" t="s">
        <v>6262</v>
      </c>
      <c r="F1041" s="42" t="s">
        <v>8378</v>
      </c>
      <c r="G1041" s="42">
        <v>55</v>
      </c>
      <c r="H1041" s="42" t="s">
        <v>6049</v>
      </c>
      <c r="I1041" s="42" t="s">
        <v>6259</v>
      </c>
      <c r="J1041" s="42" t="s">
        <v>6264</v>
      </c>
      <c r="K1041" s="42" t="s">
        <v>6259</v>
      </c>
      <c r="L1041" s="42" t="s">
        <v>6036</v>
      </c>
      <c r="M1041" s="42" t="s">
        <v>6259</v>
      </c>
      <c r="N1041" s="43" t="s">
        <v>6259</v>
      </c>
    </row>
    <row r="1042" spans="1:14" ht="11.1" customHeight="1" thickBot="1">
      <c r="A1042" s="73" t="s">
        <v>8379</v>
      </c>
      <c r="B1042" s="74" t="s">
        <v>6231</v>
      </c>
      <c r="C1042" s="75">
        <v>3142</v>
      </c>
      <c r="D1042" s="76">
        <v>1.697066591769605E-2</v>
      </c>
      <c r="E1042" s="77" t="s">
        <v>6262</v>
      </c>
      <c r="F1042" s="78" t="s">
        <v>8380</v>
      </c>
      <c r="G1042" s="78">
        <v>41</v>
      </c>
      <c r="H1042" s="78" t="s">
        <v>0</v>
      </c>
      <c r="I1042" s="78" t="s">
        <v>6259</v>
      </c>
      <c r="J1042" s="78" t="s">
        <v>6267</v>
      </c>
      <c r="K1042" s="78" t="s">
        <v>6268</v>
      </c>
      <c r="L1042" s="78" t="s">
        <v>6036</v>
      </c>
      <c r="M1042" s="78" t="s">
        <v>6259</v>
      </c>
      <c r="N1042" s="79" t="s">
        <v>6259</v>
      </c>
    </row>
    <row r="1043" spans="1:14" ht="11.1" customHeight="1">
      <c r="A1043" s="80" t="s">
        <v>8381</v>
      </c>
      <c r="B1043" s="81" t="s">
        <v>6217</v>
      </c>
      <c r="C1043" s="82">
        <v>96618</v>
      </c>
      <c r="D1043" s="83">
        <v>0.55635980444659427</v>
      </c>
      <c r="E1043" s="84" t="s">
        <v>6251</v>
      </c>
      <c r="F1043" s="85" t="s">
        <v>8382</v>
      </c>
      <c r="G1043" s="85">
        <v>50</v>
      </c>
      <c r="H1043" s="85" t="s">
        <v>0</v>
      </c>
      <c r="I1043" s="85" t="s">
        <v>6233</v>
      </c>
      <c r="J1043" s="85" t="s">
        <v>6253</v>
      </c>
      <c r="K1043" s="85" t="s">
        <v>6207</v>
      </c>
      <c r="L1043" s="85" t="s">
        <v>6209</v>
      </c>
      <c r="M1043" s="85">
        <v>4</v>
      </c>
      <c r="N1043" s="86" t="s">
        <v>6465</v>
      </c>
    </row>
    <row r="1044" spans="1:14" ht="11.1" customHeight="1">
      <c r="A1044" s="31" t="s">
        <v>8383</v>
      </c>
      <c r="B1044" s="38" t="s">
        <v>6230</v>
      </c>
      <c r="C1044" s="39">
        <v>75475</v>
      </c>
      <c r="D1044" s="40">
        <v>0.43461111015138687</v>
      </c>
      <c r="E1044" s="41">
        <v>78.116914032581917</v>
      </c>
      <c r="F1044" s="42" t="s">
        <v>8384</v>
      </c>
      <c r="G1044" s="42">
        <v>36</v>
      </c>
      <c r="H1044" s="42" t="s">
        <v>0</v>
      </c>
      <c r="I1044" s="42" t="s">
        <v>6233</v>
      </c>
      <c r="J1044" s="42" t="s">
        <v>6257</v>
      </c>
      <c r="K1044" s="42" t="s">
        <v>6273</v>
      </c>
      <c r="L1044" s="42" t="s">
        <v>6209</v>
      </c>
      <c r="M1044" s="42">
        <v>1</v>
      </c>
      <c r="N1044" s="43" t="s">
        <v>6260</v>
      </c>
    </row>
    <row r="1045" spans="1:14" ht="11.1" customHeight="1">
      <c r="A1045" s="31" t="s">
        <v>8385</v>
      </c>
      <c r="B1045" s="38" t="s">
        <v>6231</v>
      </c>
      <c r="C1045" s="39">
        <v>1568</v>
      </c>
      <c r="D1045" s="40">
        <v>9.0290854020188757E-3</v>
      </c>
      <c r="E1045" s="41" t="s">
        <v>6262</v>
      </c>
      <c r="F1045" s="42" t="s">
        <v>8386</v>
      </c>
      <c r="G1045" s="42">
        <v>35</v>
      </c>
      <c r="H1045" s="42" t="s">
        <v>0</v>
      </c>
      <c r="I1045" s="42" t="s">
        <v>6259</v>
      </c>
      <c r="J1045" s="42" t="s">
        <v>6267</v>
      </c>
      <c r="K1045" s="42" t="s">
        <v>6268</v>
      </c>
      <c r="L1045" s="42" t="s">
        <v>6036</v>
      </c>
      <c r="M1045" s="42" t="s">
        <v>6259</v>
      </c>
      <c r="N1045" s="43" t="s">
        <v>6259</v>
      </c>
    </row>
    <row r="1046" spans="1:14" ht="11.1" customHeight="1">
      <c r="A1046" s="51" t="s">
        <v>8387</v>
      </c>
      <c r="B1046" s="52" t="s">
        <v>6217</v>
      </c>
      <c r="C1046" s="53">
        <v>86098</v>
      </c>
      <c r="D1046" s="54">
        <v>0.51414069031410481</v>
      </c>
      <c r="E1046" s="55" t="s">
        <v>6251</v>
      </c>
      <c r="F1046" s="56" t="s">
        <v>8388</v>
      </c>
      <c r="G1046" s="56">
        <v>43</v>
      </c>
      <c r="H1046" s="56" t="s">
        <v>0</v>
      </c>
      <c r="I1046" s="56" t="s">
        <v>6233</v>
      </c>
      <c r="J1046" s="56" t="s">
        <v>6253</v>
      </c>
      <c r="K1046" s="56" t="s">
        <v>6053</v>
      </c>
      <c r="L1046" s="56" t="s">
        <v>6209</v>
      </c>
      <c r="M1046" s="56">
        <v>1</v>
      </c>
      <c r="N1046" s="57" t="s">
        <v>6254</v>
      </c>
    </row>
    <row r="1047" spans="1:14" ht="11.1" customHeight="1">
      <c r="A1047" s="31" t="s">
        <v>8389</v>
      </c>
      <c r="B1047" s="38" t="s">
        <v>6232</v>
      </c>
      <c r="C1047" s="39">
        <v>79243</v>
      </c>
      <c r="D1047" s="40">
        <v>0.47320554162187983</v>
      </c>
      <c r="E1047" s="58">
        <v>92.038142581709209</v>
      </c>
      <c r="F1047" s="59" t="s">
        <v>8390</v>
      </c>
      <c r="G1047" s="59">
        <v>62</v>
      </c>
      <c r="H1047" s="59" t="s">
        <v>0</v>
      </c>
      <c r="I1047" s="59" t="s">
        <v>6233</v>
      </c>
      <c r="J1047" s="59" t="s">
        <v>6257</v>
      </c>
      <c r="K1047" s="59" t="s">
        <v>6258</v>
      </c>
      <c r="L1047" s="59" t="s">
        <v>6209</v>
      </c>
      <c r="M1047" s="59">
        <v>4</v>
      </c>
      <c r="N1047" s="43" t="s">
        <v>6260</v>
      </c>
    </row>
    <row r="1048" spans="1:14" ht="11.1" customHeight="1">
      <c r="A1048" s="44" t="s">
        <v>8391</v>
      </c>
      <c r="B1048" s="45" t="s">
        <v>6231</v>
      </c>
      <c r="C1048" s="46">
        <v>2119</v>
      </c>
      <c r="D1048" s="47">
        <v>1.2653768064015287E-2</v>
      </c>
      <c r="E1048" s="48" t="s">
        <v>6262</v>
      </c>
      <c r="F1048" s="49" t="s">
        <v>8392</v>
      </c>
      <c r="G1048" s="49">
        <v>36</v>
      </c>
      <c r="H1048" s="49" t="s">
        <v>0</v>
      </c>
      <c r="I1048" s="49" t="s">
        <v>6259</v>
      </c>
      <c r="J1048" s="49" t="s">
        <v>6267</v>
      </c>
      <c r="K1048" s="49" t="s">
        <v>6268</v>
      </c>
      <c r="L1048" s="49" t="s">
        <v>6036</v>
      </c>
      <c r="M1048" s="49" t="s">
        <v>6259</v>
      </c>
      <c r="N1048" s="50" t="s">
        <v>6259</v>
      </c>
    </row>
    <row r="1049" spans="1:14" ht="11.1" customHeight="1">
      <c r="A1049" s="51" t="s">
        <v>8393</v>
      </c>
      <c r="B1049" s="60" t="s">
        <v>6217</v>
      </c>
      <c r="C1049" s="61">
        <v>93681</v>
      </c>
      <c r="D1049" s="62">
        <v>0.58211904480802334</v>
      </c>
      <c r="E1049" s="63" t="s">
        <v>6262</v>
      </c>
      <c r="F1049" s="64" t="s">
        <v>8394</v>
      </c>
      <c r="G1049" s="64">
        <v>74</v>
      </c>
      <c r="H1049" s="64" t="s">
        <v>0</v>
      </c>
      <c r="I1049" s="64" t="s">
        <v>6259</v>
      </c>
      <c r="J1049" s="64" t="s">
        <v>6257</v>
      </c>
      <c r="K1049" s="64" t="s">
        <v>6258</v>
      </c>
      <c r="L1049" s="64" t="s">
        <v>6209</v>
      </c>
      <c r="M1049" s="64">
        <v>10</v>
      </c>
      <c r="N1049" s="65" t="s">
        <v>6260</v>
      </c>
    </row>
    <row r="1050" spans="1:14" ht="11.1" customHeight="1">
      <c r="A1050" s="31" t="s">
        <v>8395</v>
      </c>
      <c r="B1050" s="38" t="s">
        <v>6230</v>
      </c>
      <c r="C1050" s="39">
        <v>30346</v>
      </c>
      <c r="D1050" s="40">
        <v>0.18856528574357956</v>
      </c>
      <c r="E1050" s="41">
        <v>32.392907846841943</v>
      </c>
      <c r="F1050" s="42" t="s">
        <v>8396</v>
      </c>
      <c r="G1050" s="42">
        <v>55</v>
      </c>
      <c r="H1050" s="42" t="s">
        <v>0</v>
      </c>
      <c r="I1050" s="42" t="s">
        <v>6233</v>
      </c>
      <c r="J1050" s="42" t="s">
        <v>6278</v>
      </c>
      <c r="K1050" s="42" t="s">
        <v>6259</v>
      </c>
      <c r="L1050" s="42" t="s">
        <v>6036</v>
      </c>
      <c r="M1050" s="42" t="s">
        <v>6259</v>
      </c>
      <c r="N1050" s="43" t="s">
        <v>6481</v>
      </c>
    </row>
    <row r="1051" spans="1:14" ht="11.1" customHeight="1">
      <c r="A1051" s="31" t="s">
        <v>8397</v>
      </c>
      <c r="B1051" s="38"/>
      <c r="C1051" s="39">
        <v>24529</v>
      </c>
      <c r="D1051" s="40">
        <v>0.15241935984987354</v>
      </c>
      <c r="E1051" s="41">
        <v>26.183537750450999</v>
      </c>
      <c r="F1051" s="42" t="s">
        <v>8398</v>
      </c>
      <c r="G1051" s="42">
        <v>56</v>
      </c>
      <c r="H1051" s="42" t="s">
        <v>6049</v>
      </c>
      <c r="I1051" s="42" t="s">
        <v>6233</v>
      </c>
      <c r="J1051" s="42" t="s">
        <v>6484</v>
      </c>
      <c r="K1051" s="42" t="s">
        <v>6259</v>
      </c>
      <c r="L1051" s="42" t="s">
        <v>6209</v>
      </c>
      <c r="M1051" s="42">
        <v>1</v>
      </c>
      <c r="N1051" s="43" t="s">
        <v>6259</v>
      </c>
    </row>
    <row r="1052" spans="1:14" ht="11.1" customHeight="1">
      <c r="A1052" s="31" t="s">
        <v>8399</v>
      </c>
      <c r="B1052" s="38" t="s">
        <v>6231</v>
      </c>
      <c r="C1052" s="39">
        <v>10142</v>
      </c>
      <c r="D1052" s="40">
        <v>6.3020797733189998E-2</v>
      </c>
      <c r="E1052" s="41">
        <v>10.82610134392246</v>
      </c>
      <c r="F1052" s="42" t="s">
        <v>8400</v>
      </c>
      <c r="G1052" s="42">
        <v>30</v>
      </c>
      <c r="H1052" s="42" t="s">
        <v>0</v>
      </c>
      <c r="I1052" s="42" t="s">
        <v>6233</v>
      </c>
      <c r="J1052" s="42" t="s">
        <v>6264</v>
      </c>
      <c r="K1052" s="42" t="s">
        <v>6259</v>
      </c>
      <c r="L1052" s="42" t="s">
        <v>6036</v>
      </c>
      <c r="M1052" s="42" t="s">
        <v>6259</v>
      </c>
      <c r="N1052" s="43" t="s">
        <v>6259</v>
      </c>
    </row>
    <row r="1053" spans="1:14" ht="11.1" customHeight="1" thickBot="1">
      <c r="A1053" s="73" t="s">
        <v>8401</v>
      </c>
      <c r="B1053" s="74" t="s">
        <v>6231</v>
      </c>
      <c r="C1053" s="75">
        <v>2233</v>
      </c>
      <c r="D1053" s="76">
        <v>1.387551186533359E-2</v>
      </c>
      <c r="E1053" s="77" t="s">
        <v>6262</v>
      </c>
      <c r="F1053" s="78" t="s">
        <v>8402</v>
      </c>
      <c r="G1053" s="78">
        <v>48</v>
      </c>
      <c r="H1053" s="78" t="s">
        <v>6049</v>
      </c>
      <c r="I1053" s="78" t="s">
        <v>6259</v>
      </c>
      <c r="J1053" s="78" t="s">
        <v>6267</v>
      </c>
      <c r="K1053" s="78" t="s">
        <v>6268</v>
      </c>
      <c r="L1053" s="78" t="s">
        <v>6036</v>
      </c>
      <c r="M1053" s="78" t="s">
        <v>6259</v>
      </c>
      <c r="N1053" s="79" t="s">
        <v>6259</v>
      </c>
    </row>
    <row r="1054" spans="1:14" ht="11.1" customHeight="1">
      <c r="A1054" s="80" t="s">
        <v>8403</v>
      </c>
      <c r="B1054" s="81" t="s">
        <v>6217</v>
      </c>
      <c r="C1054" s="82">
        <v>129044</v>
      </c>
      <c r="D1054" s="83">
        <v>0.55338802430646383</v>
      </c>
      <c r="E1054" s="84" t="s">
        <v>6251</v>
      </c>
      <c r="F1054" s="85" t="s">
        <v>8404</v>
      </c>
      <c r="G1054" s="85">
        <v>63</v>
      </c>
      <c r="H1054" s="85" t="s">
        <v>0</v>
      </c>
      <c r="I1054" s="85" t="s">
        <v>6233</v>
      </c>
      <c r="J1054" s="85" t="s">
        <v>6253</v>
      </c>
      <c r="K1054" s="85" t="s">
        <v>6918</v>
      </c>
      <c r="L1054" s="85" t="s">
        <v>6209</v>
      </c>
      <c r="M1054" s="85">
        <v>6</v>
      </c>
      <c r="N1054" s="86" t="s">
        <v>6213</v>
      </c>
    </row>
    <row r="1055" spans="1:14" ht="11.1" customHeight="1">
      <c r="A1055" s="31" t="s">
        <v>8405</v>
      </c>
      <c r="B1055" s="38" t="s">
        <v>6230</v>
      </c>
      <c r="C1055" s="39">
        <v>87297</v>
      </c>
      <c r="D1055" s="40">
        <v>0.37436156937076792</v>
      </c>
      <c r="E1055" s="41">
        <v>67.64901893927653</v>
      </c>
      <c r="F1055" s="42" t="s">
        <v>8406</v>
      </c>
      <c r="G1055" s="42">
        <v>61</v>
      </c>
      <c r="H1055" s="42" t="s">
        <v>0</v>
      </c>
      <c r="I1055" s="42" t="s">
        <v>6233</v>
      </c>
      <c r="J1055" s="42" t="s">
        <v>6257</v>
      </c>
      <c r="K1055" s="42" t="s">
        <v>6350</v>
      </c>
      <c r="L1055" s="42" t="s">
        <v>6209</v>
      </c>
      <c r="M1055" s="42">
        <v>1</v>
      </c>
      <c r="N1055" s="43" t="s">
        <v>6260</v>
      </c>
    </row>
    <row r="1056" spans="1:14" ht="11.1" customHeight="1">
      <c r="A1056" s="31" t="s">
        <v>8407</v>
      </c>
      <c r="B1056" s="38" t="s">
        <v>6231</v>
      </c>
      <c r="C1056" s="39">
        <v>14321</v>
      </c>
      <c r="D1056" s="40">
        <v>6.1413703047742386E-2</v>
      </c>
      <c r="E1056" s="41">
        <v>11.097765103375593</v>
      </c>
      <c r="F1056" s="42" t="s">
        <v>8408</v>
      </c>
      <c r="G1056" s="42">
        <v>53</v>
      </c>
      <c r="H1056" s="42" t="s">
        <v>6049</v>
      </c>
      <c r="I1056" s="42" t="s">
        <v>6233</v>
      </c>
      <c r="J1056" s="42" t="s">
        <v>6264</v>
      </c>
      <c r="K1056" s="42" t="s">
        <v>6259</v>
      </c>
      <c r="L1056" s="42" t="s">
        <v>6036</v>
      </c>
      <c r="M1056" s="42" t="s">
        <v>6259</v>
      </c>
      <c r="N1056" s="43" t="s">
        <v>6259</v>
      </c>
    </row>
    <row r="1057" spans="1:14" ht="11.1" customHeight="1">
      <c r="A1057" s="44" t="s">
        <v>8409</v>
      </c>
      <c r="B1057" s="45" t="s">
        <v>6231</v>
      </c>
      <c r="C1057" s="46">
        <v>2527</v>
      </c>
      <c r="D1057" s="47">
        <v>1.0836703275025837E-2</v>
      </c>
      <c r="E1057" s="48" t="s">
        <v>6262</v>
      </c>
      <c r="F1057" s="49" t="s">
        <v>8410</v>
      </c>
      <c r="G1057" s="49">
        <v>51</v>
      </c>
      <c r="H1057" s="49" t="s">
        <v>0</v>
      </c>
      <c r="I1057" s="49" t="s">
        <v>6259</v>
      </c>
      <c r="J1057" s="49" t="s">
        <v>6267</v>
      </c>
      <c r="K1057" s="49" t="s">
        <v>6268</v>
      </c>
      <c r="L1057" s="49" t="s">
        <v>6036</v>
      </c>
      <c r="M1057" s="49" t="s">
        <v>6259</v>
      </c>
      <c r="N1057" s="50" t="s">
        <v>6259</v>
      </c>
    </row>
    <row r="1058" spans="1:14" ht="11.1" customHeight="1">
      <c r="A1058" s="51" t="s">
        <v>8411</v>
      </c>
      <c r="B1058" s="52" t="s">
        <v>6217</v>
      </c>
      <c r="C1058" s="53">
        <v>120672</v>
      </c>
      <c r="D1058" s="54">
        <v>0.50364360303508382</v>
      </c>
      <c r="E1058" s="55" t="s">
        <v>6251</v>
      </c>
      <c r="F1058" s="56" t="s">
        <v>8412</v>
      </c>
      <c r="G1058" s="56">
        <v>28</v>
      </c>
      <c r="H1058" s="56" t="s">
        <v>6049</v>
      </c>
      <c r="I1058" s="56" t="s">
        <v>6233</v>
      </c>
      <c r="J1058" s="56" t="s">
        <v>6253</v>
      </c>
      <c r="K1058" s="56" t="s">
        <v>6053</v>
      </c>
      <c r="L1058" s="56" t="s">
        <v>6036</v>
      </c>
      <c r="M1058" s="56" t="s">
        <v>6259</v>
      </c>
      <c r="N1058" s="57" t="s">
        <v>6213</v>
      </c>
    </row>
    <row r="1059" spans="1:14" ht="11.1" customHeight="1">
      <c r="A1059" s="31" t="s">
        <v>8413</v>
      </c>
      <c r="B1059" s="38" t="s">
        <v>6230</v>
      </c>
      <c r="C1059" s="39">
        <v>106206</v>
      </c>
      <c r="D1059" s="40">
        <v>0.44326747301730396</v>
      </c>
      <c r="E1059" s="41">
        <v>88.012132060461411</v>
      </c>
      <c r="F1059" s="42" t="s">
        <v>8414</v>
      </c>
      <c r="G1059" s="42">
        <v>68</v>
      </c>
      <c r="H1059" s="42" t="s">
        <v>0</v>
      </c>
      <c r="I1059" s="42" t="s">
        <v>6233</v>
      </c>
      <c r="J1059" s="42" t="s">
        <v>6257</v>
      </c>
      <c r="K1059" s="42" t="s">
        <v>6273</v>
      </c>
      <c r="L1059" s="42" t="s">
        <v>6209</v>
      </c>
      <c r="M1059" s="42">
        <v>9</v>
      </c>
      <c r="N1059" s="43" t="s">
        <v>6260</v>
      </c>
    </row>
    <row r="1060" spans="1:14" ht="11.1" customHeight="1">
      <c r="A1060" s="31" t="s">
        <v>8415</v>
      </c>
      <c r="B1060" s="38" t="s">
        <v>6231</v>
      </c>
      <c r="C1060" s="39">
        <v>5703</v>
      </c>
      <c r="D1060" s="40">
        <v>2.3802368968021435E-2</v>
      </c>
      <c r="E1060" s="41" t="s">
        <v>6262</v>
      </c>
      <c r="F1060" s="42" t="s">
        <v>8416</v>
      </c>
      <c r="G1060" s="42">
        <v>45</v>
      </c>
      <c r="H1060" s="42" t="s">
        <v>6049</v>
      </c>
      <c r="I1060" s="42" t="s">
        <v>6259</v>
      </c>
      <c r="J1060" s="42" t="s">
        <v>6322</v>
      </c>
      <c r="K1060" s="42" t="s">
        <v>6259</v>
      </c>
      <c r="L1060" s="42" t="s">
        <v>6036</v>
      </c>
      <c r="M1060" s="42" t="s">
        <v>6259</v>
      </c>
      <c r="N1060" s="43" t="s">
        <v>6259</v>
      </c>
    </row>
    <row r="1061" spans="1:14" ht="11.1" customHeight="1">
      <c r="A1061" s="31" t="s">
        <v>8417</v>
      </c>
      <c r="B1061" s="38" t="s">
        <v>6231</v>
      </c>
      <c r="C1061" s="39">
        <v>5070</v>
      </c>
      <c r="D1061" s="40">
        <v>2.1160443743269978E-2</v>
      </c>
      <c r="E1061" s="41" t="s">
        <v>6262</v>
      </c>
      <c r="F1061" s="42" t="s">
        <v>8418</v>
      </c>
      <c r="G1061" s="42">
        <v>29</v>
      </c>
      <c r="H1061" s="42" t="s">
        <v>0</v>
      </c>
      <c r="I1061" s="42" t="s">
        <v>6259</v>
      </c>
      <c r="J1061" s="42" t="s">
        <v>6322</v>
      </c>
      <c r="K1061" s="42" t="s">
        <v>6259</v>
      </c>
      <c r="L1061" s="42" t="s">
        <v>6036</v>
      </c>
      <c r="M1061" s="42" t="s">
        <v>6259</v>
      </c>
      <c r="N1061" s="43" t="s">
        <v>6259</v>
      </c>
    </row>
    <row r="1062" spans="1:14" ht="11.1" customHeight="1">
      <c r="A1062" s="44" t="s">
        <v>8419</v>
      </c>
      <c r="B1062" s="45" t="s">
        <v>6231</v>
      </c>
      <c r="C1062" s="46">
        <v>1947</v>
      </c>
      <c r="D1062" s="47">
        <v>8.126111236320838E-3</v>
      </c>
      <c r="E1062" s="48" t="s">
        <v>6262</v>
      </c>
      <c r="F1062" s="49" t="s">
        <v>8420</v>
      </c>
      <c r="G1062" s="49">
        <v>35</v>
      </c>
      <c r="H1062" s="49" t="s">
        <v>6049</v>
      </c>
      <c r="I1062" s="49" t="s">
        <v>6259</v>
      </c>
      <c r="J1062" s="49" t="s">
        <v>6267</v>
      </c>
      <c r="K1062" s="49" t="s">
        <v>6268</v>
      </c>
      <c r="L1062" s="49" t="s">
        <v>6036</v>
      </c>
      <c r="M1062" s="49" t="s">
        <v>6259</v>
      </c>
      <c r="N1062" s="50" t="s">
        <v>6259</v>
      </c>
    </row>
    <row r="1063" spans="1:14" ht="11.1" customHeight="1">
      <c r="A1063" s="51" t="s">
        <v>8421</v>
      </c>
      <c r="B1063" s="52" t="s">
        <v>6217</v>
      </c>
      <c r="C1063" s="53">
        <v>79223</v>
      </c>
      <c r="D1063" s="54">
        <v>0.49575724959637552</v>
      </c>
      <c r="E1063" s="55" t="s">
        <v>6251</v>
      </c>
      <c r="F1063" s="56" t="s">
        <v>8422</v>
      </c>
      <c r="G1063" s="56">
        <v>67</v>
      </c>
      <c r="H1063" s="56" t="s">
        <v>0</v>
      </c>
      <c r="I1063" s="56" t="s">
        <v>6233</v>
      </c>
      <c r="J1063" s="56" t="s">
        <v>6253</v>
      </c>
      <c r="K1063" s="56" t="s">
        <v>6035</v>
      </c>
      <c r="L1063" s="56" t="s">
        <v>6209</v>
      </c>
      <c r="M1063" s="56">
        <v>4</v>
      </c>
      <c r="N1063" s="57" t="s">
        <v>6213</v>
      </c>
    </row>
    <row r="1064" spans="1:14" ht="11.1" customHeight="1">
      <c r="A1064" s="31" t="s">
        <v>8423</v>
      </c>
      <c r="B1064" s="38" t="s">
        <v>6232</v>
      </c>
      <c r="C1064" s="39">
        <v>77316</v>
      </c>
      <c r="D1064" s="40">
        <v>0.48382373186818689</v>
      </c>
      <c r="E1064" s="58">
        <v>97.592870757229591</v>
      </c>
      <c r="F1064" s="59" t="s">
        <v>8424</v>
      </c>
      <c r="G1064" s="59">
        <v>68</v>
      </c>
      <c r="H1064" s="59" t="s">
        <v>0</v>
      </c>
      <c r="I1064" s="59" t="s">
        <v>6233</v>
      </c>
      <c r="J1064" s="59" t="s">
        <v>6257</v>
      </c>
      <c r="K1064" s="59" t="s">
        <v>6286</v>
      </c>
      <c r="L1064" s="59" t="s">
        <v>6209</v>
      </c>
      <c r="M1064" s="59">
        <v>2</v>
      </c>
      <c r="N1064" s="43" t="s">
        <v>6260</v>
      </c>
    </row>
    <row r="1065" spans="1:14" ht="11.1" customHeight="1">
      <c r="A1065" s="44" t="s">
        <v>8425</v>
      </c>
      <c r="B1065" s="45" t="s">
        <v>6231</v>
      </c>
      <c r="C1065" s="46">
        <v>3263</v>
      </c>
      <c r="D1065" s="47">
        <v>2.0419018535437605E-2</v>
      </c>
      <c r="E1065" s="48" t="s">
        <v>6262</v>
      </c>
      <c r="F1065" s="49" t="s">
        <v>8426</v>
      </c>
      <c r="G1065" s="49">
        <v>43</v>
      </c>
      <c r="H1065" s="49" t="s">
        <v>0</v>
      </c>
      <c r="I1065" s="49" t="s">
        <v>6259</v>
      </c>
      <c r="J1065" s="49" t="s">
        <v>6267</v>
      </c>
      <c r="K1065" s="49" t="s">
        <v>6268</v>
      </c>
      <c r="L1065" s="49" t="s">
        <v>6036</v>
      </c>
      <c r="M1065" s="49" t="s">
        <v>6259</v>
      </c>
      <c r="N1065" s="50" t="s">
        <v>6259</v>
      </c>
    </row>
    <row r="1066" spans="1:14" ht="11.1" customHeight="1">
      <c r="A1066" s="51" t="s">
        <v>8427</v>
      </c>
      <c r="B1066" s="52" t="s">
        <v>6217</v>
      </c>
      <c r="C1066" s="53">
        <v>97912</v>
      </c>
      <c r="D1066" s="54">
        <v>0.50290198978910494</v>
      </c>
      <c r="E1066" s="55" t="s">
        <v>6251</v>
      </c>
      <c r="F1066" s="56" t="s">
        <v>8428</v>
      </c>
      <c r="G1066" s="56">
        <v>46</v>
      </c>
      <c r="H1066" s="56" t="s">
        <v>0</v>
      </c>
      <c r="I1066" s="56" t="s">
        <v>6233</v>
      </c>
      <c r="J1066" s="56" t="s">
        <v>6253</v>
      </c>
      <c r="K1066" s="56" t="s">
        <v>7394</v>
      </c>
      <c r="L1066" s="56" t="s">
        <v>6283</v>
      </c>
      <c r="M1066" s="56">
        <v>1</v>
      </c>
      <c r="N1066" s="57" t="s">
        <v>6213</v>
      </c>
    </row>
    <row r="1067" spans="1:14" ht="11.1" customHeight="1">
      <c r="A1067" s="31" t="s">
        <v>8429</v>
      </c>
      <c r="B1067" s="38" t="s">
        <v>6232</v>
      </c>
      <c r="C1067" s="39">
        <v>93428</v>
      </c>
      <c r="D1067" s="40">
        <v>0.47987097702034986</v>
      </c>
      <c r="E1067" s="58">
        <v>95.42037748182041</v>
      </c>
      <c r="F1067" s="59" t="s">
        <v>8430</v>
      </c>
      <c r="G1067" s="59">
        <v>62</v>
      </c>
      <c r="H1067" s="59" t="s">
        <v>0</v>
      </c>
      <c r="I1067" s="59" t="s">
        <v>6233</v>
      </c>
      <c r="J1067" s="59" t="s">
        <v>6257</v>
      </c>
      <c r="K1067" s="59" t="s">
        <v>6402</v>
      </c>
      <c r="L1067" s="59" t="s">
        <v>6209</v>
      </c>
      <c r="M1067" s="59">
        <v>3</v>
      </c>
      <c r="N1067" s="43" t="s">
        <v>6260</v>
      </c>
    </row>
    <row r="1068" spans="1:14" ht="11.1" customHeight="1" thickBot="1">
      <c r="A1068" s="73" t="s">
        <v>8431</v>
      </c>
      <c r="B1068" s="74" t="s">
        <v>6231</v>
      </c>
      <c r="C1068" s="75">
        <v>3354</v>
      </c>
      <c r="D1068" s="76">
        <v>1.7227033190545162E-2</v>
      </c>
      <c r="E1068" s="77" t="s">
        <v>6262</v>
      </c>
      <c r="F1068" s="78" t="s">
        <v>8432</v>
      </c>
      <c r="G1068" s="78">
        <v>58</v>
      </c>
      <c r="H1068" s="78" t="s">
        <v>0</v>
      </c>
      <c r="I1068" s="78" t="s">
        <v>6259</v>
      </c>
      <c r="J1068" s="78" t="s">
        <v>6267</v>
      </c>
      <c r="K1068" s="78" t="s">
        <v>6268</v>
      </c>
      <c r="L1068" s="78" t="s">
        <v>6036</v>
      </c>
      <c r="M1068" s="78" t="s">
        <v>6259</v>
      </c>
      <c r="N1068" s="79" t="s">
        <v>6259</v>
      </c>
    </row>
    <row r="1069" spans="1:14" ht="11.1" customHeight="1">
      <c r="A1069" s="80" t="s">
        <v>8433</v>
      </c>
      <c r="B1069" s="81" t="s">
        <v>6217</v>
      </c>
      <c r="C1069" s="82">
        <v>137048</v>
      </c>
      <c r="D1069" s="83">
        <v>0.55424658974638952</v>
      </c>
      <c r="E1069" s="84" t="s">
        <v>6251</v>
      </c>
      <c r="F1069" s="85" t="s">
        <v>8434</v>
      </c>
      <c r="G1069" s="85">
        <v>48</v>
      </c>
      <c r="H1069" s="85" t="s">
        <v>0</v>
      </c>
      <c r="I1069" s="85" t="s">
        <v>6233</v>
      </c>
      <c r="J1069" s="85" t="s">
        <v>6253</v>
      </c>
      <c r="K1069" s="85" t="s">
        <v>6207</v>
      </c>
      <c r="L1069" s="85" t="s">
        <v>6209</v>
      </c>
      <c r="M1069" s="85">
        <v>3</v>
      </c>
      <c r="N1069" s="86" t="s">
        <v>6465</v>
      </c>
    </row>
    <row r="1070" spans="1:14" ht="11.1" customHeight="1">
      <c r="A1070" s="31" t="s">
        <v>8435</v>
      </c>
      <c r="B1070" s="38" t="s">
        <v>6230</v>
      </c>
      <c r="C1070" s="39">
        <v>97585</v>
      </c>
      <c r="D1070" s="40">
        <v>0.39465116937424427</v>
      </c>
      <c r="E1070" s="41">
        <v>71.204979277333493</v>
      </c>
      <c r="F1070" s="42" t="s">
        <v>8436</v>
      </c>
      <c r="G1070" s="42">
        <v>40</v>
      </c>
      <c r="H1070" s="42" t="s">
        <v>0</v>
      </c>
      <c r="I1070" s="42" t="s">
        <v>6233</v>
      </c>
      <c r="J1070" s="42" t="s">
        <v>6257</v>
      </c>
      <c r="K1070" s="42" t="s">
        <v>6273</v>
      </c>
      <c r="L1070" s="42" t="s">
        <v>6209</v>
      </c>
      <c r="M1070" s="42">
        <v>1</v>
      </c>
      <c r="N1070" s="43" t="s">
        <v>6259</v>
      </c>
    </row>
    <row r="1071" spans="1:14" ht="11.1" customHeight="1">
      <c r="A1071" s="31" t="s">
        <v>8437</v>
      </c>
      <c r="B1071" s="38" t="s">
        <v>6231</v>
      </c>
      <c r="C1071" s="39">
        <v>9729</v>
      </c>
      <c r="D1071" s="40">
        <v>3.9345813668514855E-2</v>
      </c>
      <c r="E1071" s="41">
        <v>7.0989726227307219</v>
      </c>
      <c r="F1071" s="42" t="s">
        <v>8438</v>
      </c>
      <c r="G1071" s="42">
        <v>55</v>
      </c>
      <c r="H1071" s="42" t="s">
        <v>0</v>
      </c>
      <c r="I1071" s="42" t="s">
        <v>6233</v>
      </c>
      <c r="J1071" s="42" t="s">
        <v>6264</v>
      </c>
      <c r="K1071" s="42" t="s">
        <v>6259</v>
      </c>
      <c r="L1071" s="42" t="s">
        <v>6036</v>
      </c>
      <c r="M1071" s="42" t="s">
        <v>6259</v>
      </c>
      <c r="N1071" s="43" t="s">
        <v>6259</v>
      </c>
    </row>
    <row r="1072" spans="1:14" ht="11.1" customHeight="1">
      <c r="A1072" s="44" t="s">
        <v>8439</v>
      </c>
      <c r="B1072" s="45" t="s">
        <v>6231</v>
      </c>
      <c r="C1072" s="46">
        <v>2907</v>
      </c>
      <c r="D1072" s="47">
        <v>1.175642721085134E-2</v>
      </c>
      <c r="E1072" s="48" t="s">
        <v>6262</v>
      </c>
      <c r="F1072" s="49" t="s">
        <v>8440</v>
      </c>
      <c r="G1072" s="49">
        <v>59</v>
      </c>
      <c r="H1072" s="49" t="s">
        <v>0</v>
      </c>
      <c r="I1072" s="49" t="s">
        <v>6259</v>
      </c>
      <c r="J1072" s="49" t="s">
        <v>6267</v>
      </c>
      <c r="K1072" s="49" t="s">
        <v>6268</v>
      </c>
      <c r="L1072" s="49" t="s">
        <v>6036</v>
      </c>
      <c r="M1072" s="49" t="s">
        <v>6259</v>
      </c>
      <c r="N1072" s="50" t="s">
        <v>6259</v>
      </c>
    </row>
    <row r="1073" spans="1:14" ht="11.1" customHeight="1">
      <c r="A1073" s="51" t="s">
        <v>8441</v>
      </c>
      <c r="B1073" s="52" t="s">
        <v>6217</v>
      </c>
      <c r="C1073" s="53">
        <v>104876</v>
      </c>
      <c r="D1073" s="54">
        <v>0.50381672055072224</v>
      </c>
      <c r="E1073" s="55" t="s">
        <v>6251</v>
      </c>
      <c r="F1073" s="56" t="s">
        <v>8442</v>
      </c>
      <c r="G1073" s="56">
        <v>43</v>
      </c>
      <c r="H1073" s="56" t="s">
        <v>0</v>
      </c>
      <c r="I1073" s="56" t="s">
        <v>6233</v>
      </c>
      <c r="J1073" s="56" t="s">
        <v>6253</v>
      </c>
      <c r="K1073" s="56" t="s">
        <v>6053</v>
      </c>
      <c r="L1073" s="56" t="s">
        <v>6036</v>
      </c>
      <c r="M1073" s="56" t="s">
        <v>6259</v>
      </c>
      <c r="N1073" s="57" t="s">
        <v>6465</v>
      </c>
    </row>
    <row r="1074" spans="1:14" ht="11.1" customHeight="1">
      <c r="A1074" s="31" t="s">
        <v>8443</v>
      </c>
      <c r="B1074" s="38" t="s">
        <v>6230</v>
      </c>
      <c r="C1074" s="39">
        <v>99933</v>
      </c>
      <c r="D1074" s="40">
        <v>0.48007090597272328</v>
      </c>
      <c r="E1074" s="41" t="s">
        <v>6262</v>
      </c>
      <c r="F1074" s="42" t="s">
        <v>8444</v>
      </c>
      <c r="G1074" s="42">
        <v>65</v>
      </c>
      <c r="H1074" s="42" t="s">
        <v>0</v>
      </c>
      <c r="I1074" s="42" t="s">
        <v>6259</v>
      </c>
      <c r="J1074" s="42" t="s">
        <v>6257</v>
      </c>
      <c r="K1074" s="42" t="s">
        <v>6273</v>
      </c>
      <c r="L1074" s="42" t="s">
        <v>6209</v>
      </c>
      <c r="M1074" s="42">
        <v>4</v>
      </c>
      <c r="N1074" s="43" t="s">
        <v>6260</v>
      </c>
    </row>
    <row r="1075" spans="1:14" ht="11.1" customHeight="1">
      <c r="A1075" s="44" t="s">
        <v>8445</v>
      </c>
      <c r="B1075" s="45" t="s">
        <v>6231</v>
      </c>
      <c r="C1075" s="46">
        <v>3354</v>
      </c>
      <c r="D1075" s="47">
        <v>1.6112373476554431E-2</v>
      </c>
      <c r="E1075" s="48" t="s">
        <v>6262</v>
      </c>
      <c r="F1075" s="49" t="s">
        <v>8446</v>
      </c>
      <c r="G1075" s="49">
        <v>45</v>
      </c>
      <c r="H1075" s="49" t="s">
        <v>0</v>
      </c>
      <c r="I1075" s="49" t="s">
        <v>6259</v>
      </c>
      <c r="J1075" s="49" t="s">
        <v>6267</v>
      </c>
      <c r="K1075" s="49" t="s">
        <v>6268</v>
      </c>
      <c r="L1075" s="49" t="s">
        <v>6036</v>
      </c>
      <c r="M1075" s="49" t="s">
        <v>6259</v>
      </c>
      <c r="N1075" s="50" t="s">
        <v>6259</v>
      </c>
    </row>
    <row r="1076" spans="1:14" ht="11.1" customHeight="1">
      <c r="A1076" s="51" t="s">
        <v>8447</v>
      </c>
      <c r="B1076" s="60" t="s">
        <v>6217</v>
      </c>
      <c r="C1076" s="61">
        <v>81506</v>
      </c>
      <c r="D1076" s="62">
        <v>0.4062705612600937</v>
      </c>
      <c r="E1076" s="63" t="s">
        <v>6251</v>
      </c>
      <c r="F1076" s="64" t="s">
        <v>8448</v>
      </c>
      <c r="G1076" s="64">
        <v>58</v>
      </c>
      <c r="H1076" s="64" t="s">
        <v>0</v>
      </c>
      <c r="I1076" s="64" t="s">
        <v>6233</v>
      </c>
      <c r="J1076" s="64" t="s">
        <v>6257</v>
      </c>
      <c r="K1076" s="64" t="s">
        <v>6350</v>
      </c>
      <c r="L1076" s="64" t="s">
        <v>6209</v>
      </c>
      <c r="M1076" s="64">
        <v>2</v>
      </c>
      <c r="N1076" s="65" t="s">
        <v>6260</v>
      </c>
    </row>
    <row r="1077" spans="1:14" ht="11.1" customHeight="1">
      <c r="A1077" s="31" t="s">
        <v>8449</v>
      </c>
      <c r="B1077" s="38" t="s">
        <v>6232</v>
      </c>
      <c r="C1077" s="39">
        <v>74885</v>
      </c>
      <c r="D1077" s="40">
        <v>0.37326786960422692</v>
      </c>
      <c r="E1077" s="35">
        <v>91.876671656074393</v>
      </c>
      <c r="F1077" s="36" t="s">
        <v>8450</v>
      </c>
      <c r="G1077" s="36">
        <v>42</v>
      </c>
      <c r="H1077" s="36" t="s">
        <v>0</v>
      </c>
      <c r="I1077" s="36" t="s">
        <v>6233</v>
      </c>
      <c r="J1077" s="36" t="s">
        <v>6253</v>
      </c>
      <c r="K1077" s="36" t="s">
        <v>6053</v>
      </c>
      <c r="L1077" s="36" t="s">
        <v>6036</v>
      </c>
      <c r="M1077" s="36" t="s">
        <v>6259</v>
      </c>
      <c r="N1077" s="43" t="s">
        <v>6465</v>
      </c>
    </row>
    <row r="1078" spans="1:14" ht="11.1" customHeight="1">
      <c r="A1078" s="31" t="s">
        <v>8451</v>
      </c>
      <c r="B1078" s="38" t="s">
        <v>6230</v>
      </c>
      <c r="C1078" s="39">
        <v>42579</v>
      </c>
      <c r="D1078" s="40">
        <v>0.21223706509819559</v>
      </c>
      <c r="E1078" s="41" t="s">
        <v>6262</v>
      </c>
      <c r="F1078" s="42" t="s">
        <v>8452</v>
      </c>
      <c r="G1078" s="42">
        <v>55</v>
      </c>
      <c r="H1078" s="42" t="s">
        <v>0</v>
      </c>
      <c r="I1078" s="42" t="s">
        <v>6259</v>
      </c>
      <c r="J1078" s="42" t="s">
        <v>6322</v>
      </c>
      <c r="K1078" s="42" t="s">
        <v>6360</v>
      </c>
      <c r="L1078" s="42" t="s">
        <v>6036</v>
      </c>
      <c r="M1078" s="42" t="s">
        <v>6259</v>
      </c>
      <c r="N1078" s="43" t="s">
        <v>6259</v>
      </c>
    </row>
    <row r="1079" spans="1:14" ht="11.1" customHeight="1">
      <c r="A1079" s="44" t="s">
        <v>8453</v>
      </c>
      <c r="B1079" s="45" t="s">
        <v>6231</v>
      </c>
      <c r="C1079" s="46">
        <v>1650</v>
      </c>
      <c r="D1079" s="47">
        <v>8.2245040374837996E-3</v>
      </c>
      <c r="E1079" s="48" t="s">
        <v>6262</v>
      </c>
      <c r="F1079" s="49" t="s">
        <v>8454</v>
      </c>
      <c r="G1079" s="49">
        <v>43</v>
      </c>
      <c r="H1079" s="49" t="s">
        <v>0</v>
      </c>
      <c r="I1079" s="49" t="s">
        <v>6259</v>
      </c>
      <c r="J1079" s="49" t="s">
        <v>6267</v>
      </c>
      <c r="K1079" s="49" t="s">
        <v>6268</v>
      </c>
      <c r="L1079" s="49" t="s">
        <v>6036</v>
      </c>
      <c r="M1079" s="49" t="s">
        <v>6259</v>
      </c>
      <c r="N1079" s="50" t="s">
        <v>6259</v>
      </c>
    </row>
    <row r="1080" spans="1:14" ht="11.1" customHeight="1">
      <c r="A1080" s="51" t="s">
        <v>8455</v>
      </c>
      <c r="B1080" s="60" t="s">
        <v>6217</v>
      </c>
      <c r="C1080" s="61">
        <v>123900</v>
      </c>
      <c r="D1080" s="62">
        <v>0.59174988895734526</v>
      </c>
      <c r="E1080" s="63" t="s">
        <v>6251</v>
      </c>
      <c r="F1080" s="64" t="s">
        <v>8456</v>
      </c>
      <c r="G1080" s="64">
        <v>67</v>
      </c>
      <c r="H1080" s="64" t="s">
        <v>0</v>
      </c>
      <c r="I1080" s="64" t="s">
        <v>6233</v>
      </c>
      <c r="J1080" s="64" t="s">
        <v>6257</v>
      </c>
      <c r="K1080" s="64" t="s">
        <v>6402</v>
      </c>
      <c r="L1080" s="64" t="s">
        <v>6209</v>
      </c>
      <c r="M1080" s="64">
        <v>7</v>
      </c>
      <c r="N1080" s="65" t="s">
        <v>6260</v>
      </c>
    </row>
    <row r="1081" spans="1:14" ht="11.1" customHeight="1">
      <c r="A1081" s="31" t="s">
        <v>8457</v>
      </c>
      <c r="B1081" s="38" t="s">
        <v>6230</v>
      </c>
      <c r="C1081" s="39">
        <v>78811</v>
      </c>
      <c r="D1081" s="40">
        <v>0.3764035552753619</v>
      </c>
      <c r="E1081" s="41">
        <v>63.608555286521387</v>
      </c>
      <c r="F1081" s="42" t="s">
        <v>8458</v>
      </c>
      <c r="G1081" s="42">
        <v>50</v>
      </c>
      <c r="H1081" s="42" t="s">
        <v>0</v>
      </c>
      <c r="I1081" s="42" t="s">
        <v>6233</v>
      </c>
      <c r="J1081" s="42" t="s">
        <v>7280</v>
      </c>
      <c r="K1081" s="42" t="s">
        <v>6259</v>
      </c>
      <c r="L1081" s="42" t="s">
        <v>6036</v>
      </c>
      <c r="M1081" s="42" t="s">
        <v>6259</v>
      </c>
      <c r="N1081" s="43" t="s">
        <v>7281</v>
      </c>
    </row>
    <row r="1082" spans="1:14" ht="11.1" customHeight="1">
      <c r="A1082" s="44" t="s">
        <v>8459</v>
      </c>
      <c r="B1082" s="45" t="s">
        <v>6231</v>
      </c>
      <c r="C1082" s="46">
        <v>6668</v>
      </c>
      <c r="D1082" s="47">
        <v>3.1846555767292804E-2</v>
      </c>
      <c r="E1082" s="48" t="s">
        <v>6262</v>
      </c>
      <c r="F1082" s="49" t="s">
        <v>8460</v>
      </c>
      <c r="G1082" s="49">
        <v>49</v>
      </c>
      <c r="H1082" s="49" t="s">
        <v>0</v>
      </c>
      <c r="I1082" s="49" t="s">
        <v>6259</v>
      </c>
      <c r="J1082" s="49" t="s">
        <v>6267</v>
      </c>
      <c r="K1082" s="49" t="s">
        <v>6268</v>
      </c>
      <c r="L1082" s="49" t="s">
        <v>6036</v>
      </c>
      <c r="M1082" s="49" t="s">
        <v>6259</v>
      </c>
      <c r="N1082" s="50" t="s">
        <v>6259</v>
      </c>
    </row>
    <row r="1083" spans="1:14" ht="11.1" customHeight="1">
      <c r="A1083" s="51" t="s">
        <v>8461</v>
      </c>
      <c r="B1083" s="60" t="s">
        <v>6217</v>
      </c>
      <c r="C1083" s="61">
        <v>98632</v>
      </c>
      <c r="D1083" s="62">
        <v>0.55101368148781293</v>
      </c>
      <c r="E1083" s="63" t="s">
        <v>6251</v>
      </c>
      <c r="F1083" s="64" t="s">
        <v>8462</v>
      </c>
      <c r="G1083" s="64">
        <v>48</v>
      </c>
      <c r="H1083" s="64" t="s">
        <v>0</v>
      </c>
      <c r="I1083" s="64" t="s">
        <v>6233</v>
      </c>
      <c r="J1083" s="64" t="s">
        <v>6257</v>
      </c>
      <c r="K1083" s="64" t="s">
        <v>6350</v>
      </c>
      <c r="L1083" s="64" t="s">
        <v>6209</v>
      </c>
      <c r="M1083" s="64">
        <v>3</v>
      </c>
      <c r="N1083" s="65" t="s">
        <v>6260</v>
      </c>
    </row>
    <row r="1084" spans="1:14" ht="11.1" customHeight="1">
      <c r="A1084" s="31" t="s">
        <v>8463</v>
      </c>
      <c r="B1084" s="38" t="s">
        <v>6232</v>
      </c>
      <c r="C1084" s="39">
        <v>76126</v>
      </c>
      <c r="D1084" s="40">
        <v>0.42528254032100377</v>
      </c>
      <c r="E1084" s="94">
        <v>77.181847676210566</v>
      </c>
      <c r="F1084" s="95" t="s">
        <v>8464</v>
      </c>
      <c r="G1084" s="95">
        <v>66</v>
      </c>
      <c r="H1084" s="95" t="s">
        <v>0</v>
      </c>
      <c r="I1084" s="95" t="s">
        <v>6233</v>
      </c>
      <c r="J1084" s="95" t="s">
        <v>6278</v>
      </c>
      <c r="K1084" s="95" t="s">
        <v>6259</v>
      </c>
      <c r="L1084" s="95" t="s">
        <v>6036</v>
      </c>
      <c r="M1084" s="95" t="s">
        <v>6259</v>
      </c>
      <c r="N1084" s="43" t="s">
        <v>6515</v>
      </c>
    </row>
    <row r="1085" spans="1:14" ht="11.1" customHeight="1">
      <c r="A1085" s="31" t="s">
        <v>8465</v>
      </c>
      <c r="B1085" s="38" t="s">
        <v>6231</v>
      </c>
      <c r="C1085" s="39">
        <v>2723</v>
      </c>
      <c r="D1085" s="40">
        <v>1.5212205518404924E-2</v>
      </c>
      <c r="E1085" s="41" t="s">
        <v>6262</v>
      </c>
      <c r="F1085" s="42" t="s">
        <v>8466</v>
      </c>
      <c r="G1085" s="42">
        <v>39</v>
      </c>
      <c r="H1085" s="42" t="s">
        <v>0</v>
      </c>
      <c r="I1085" s="42" t="s">
        <v>6259</v>
      </c>
      <c r="J1085" s="42" t="s">
        <v>6267</v>
      </c>
      <c r="K1085" s="42" t="s">
        <v>6268</v>
      </c>
      <c r="L1085" s="42" t="s">
        <v>6036</v>
      </c>
      <c r="M1085" s="42" t="s">
        <v>6259</v>
      </c>
      <c r="N1085" s="43" t="s">
        <v>6259</v>
      </c>
    </row>
    <row r="1086" spans="1:14" ht="11.1" customHeight="1" thickBot="1">
      <c r="A1086" s="73" t="s">
        <v>8467</v>
      </c>
      <c r="B1086" s="74" t="s">
        <v>6231</v>
      </c>
      <c r="C1086" s="75">
        <v>1520</v>
      </c>
      <c r="D1086" s="76">
        <v>8.4915726727783636E-3</v>
      </c>
      <c r="E1086" s="77" t="s">
        <v>6262</v>
      </c>
      <c r="F1086" s="78" t="s">
        <v>8468</v>
      </c>
      <c r="G1086" s="78">
        <v>59</v>
      </c>
      <c r="H1086" s="78" t="s">
        <v>0</v>
      </c>
      <c r="I1086" s="78" t="s">
        <v>6259</v>
      </c>
      <c r="J1086" s="78" t="s">
        <v>6267</v>
      </c>
      <c r="K1086" s="78" t="s">
        <v>8469</v>
      </c>
      <c r="L1086" s="78" t="s">
        <v>6036</v>
      </c>
      <c r="M1086" s="78" t="s">
        <v>6259</v>
      </c>
      <c r="N1086" s="79" t="s">
        <v>6259</v>
      </c>
    </row>
    <row r="1087" spans="1:14" ht="11.1" customHeight="1">
      <c r="A1087" s="80" t="s">
        <v>8470</v>
      </c>
      <c r="B1087" s="81" t="s">
        <v>6217</v>
      </c>
      <c r="C1087" s="82">
        <v>141665</v>
      </c>
      <c r="D1087" s="83">
        <v>0.5894750420265974</v>
      </c>
      <c r="E1087" s="84" t="s">
        <v>6251</v>
      </c>
      <c r="F1087" s="85" t="s">
        <v>8471</v>
      </c>
      <c r="G1087" s="85">
        <v>51</v>
      </c>
      <c r="H1087" s="85" t="s">
        <v>0</v>
      </c>
      <c r="I1087" s="85" t="s">
        <v>6233</v>
      </c>
      <c r="J1087" s="85" t="s">
        <v>6253</v>
      </c>
      <c r="K1087" s="85" t="s">
        <v>6053</v>
      </c>
      <c r="L1087" s="85" t="s">
        <v>6209</v>
      </c>
      <c r="M1087" s="85">
        <v>2</v>
      </c>
      <c r="N1087" s="86" t="s">
        <v>6259</v>
      </c>
    </row>
    <row r="1088" spans="1:14" ht="11.1" customHeight="1">
      <c r="A1088" s="31" t="s">
        <v>8472</v>
      </c>
      <c r="B1088" s="38" t="s">
        <v>6230</v>
      </c>
      <c r="C1088" s="39">
        <v>80855</v>
      </c>
      <c r="D1088" s="40">
        <v>0.33644163712321701</v>
      </c>
      <c r="E1088" s="41">
        <v>57.074789115166062</v>
      </c>
      <c r="F1088" s="42" t="s">
        <v>8473</v>
      </c>
      <c r="G1088" s="42">
        <v>40</v>
      </c>
      <c r="H1088" s="42" t="s">
        <v>0</v>
      </c>
      <c r="I1088" s="42" t="s">
        <v>6233</v>
      </c>
      <c r="J1088" s="42" t="s">
        <v>6257</v>
      </c>
      <c r="K1088" s="42" t="s">
        <v>6286</v>
      </c>
      <c r="L1088" s="42" t="s">
        <v>6036</v>
      </c>
      <c r="M1088" s="42" t="s">
        <v>6259</v>
      </c>
      <c r="N1088" s="43" t="s">
        <v>6260</v>
      </c>
    </row>
    <row r="1089" spans="1:14" ht="11.1" customHeight="1">
      <c r="A1089" s="31" t="s">
        <v>8474</v>
      </c>
      <c r="B1089" s="38" t="s">
        <v>6231</v>
      </c>
      <c r="C1089" s="39">
        <v>14821</v>
      </c>
      <c r="D1089" s="40">
        <v>6.167091093690185E-2</v>
      </c>
      <c r="E1089" s="41">
        <v>10.462005435358064</v>
      </c>
      <c r="F1089" s="42" t="s">
        <v>8475</v>
      </c>
      <c r="G1089" s="42">
        <v>32</v>
      </c>
      <c r="H1089" s="42" t="s">
        <v>0</v>
      </c>
      <c r="I1089" s="42" t="s">
        <v>6233</v>
      </c>
      <c r="J1089" s="42" t="s">
        <v>6264</v>
      </c>
      <c r="K1089" s="42" t="s">
        <v>6259</v>
      </c>
      <c r="L1089" s="42" t="s">
        <v>6036</v>
      </c>
      <c r="M1089" s="42" t="s">
        <v>6259</v>
      </c>
      <c r="N1089" s="43" t="s">
        <v>6259</v>
      </c>
    </row>
    <row r="1090" spans="1:14" ht="11.1" customHeight="1">
      <c r="A1090" s="44" t="s">
        <v>8476</v>
      </c>
      <c r="B1090" s="45" t="s">
        <v>6231</v>
      </c>
      <c r="C1090" s="46">
        <v>2983</v>
      </c>
      <c r="D1090" s="47">
        <v>1.2412409913283734E-2</v>
      </c>
      <c r="E1090" s="48" t="s">
        <v>6262</v>
      </c>
      <c r="F1090" s="49" t="s">
        <v>8477</v>
      </c>
      <c r="G1090" s="49">
        <v>56</v>
      </c>
      <c r="H1090" s="49" t="s">
        <v>6049</v>
      </c>
      <c r="I1090" s="49" t="s">
        <v>6259</v>
      </c>
      <c r="J1090" s="49" t="s">
        <v>6267</v>
      </c>
      <c r="K1090" s="49" t="s">
        <v>6268</v>
      </c>
      <c r="L1090" s="49" t="s">
        <v>6036</v>
      </c>
      <c r="M1090" s="49" t="s">
        <v>6259</v>
      </c>
      <c r="N1090" s="50" t="s">
        <v>6259</v>
      </c>
    </row>
    <row r="1091" spans="1:14" ht="11.1" customHeight="1">
      <c r="A1091" s="51" t="s">
        <v>8478</v>
      </c>
      <c r="B1091" s="118" t="s">
        <v>6217</v>
      </c>
      <c r="C1091" s="119">
        <v>112090</v>
      </c>
      <c r="D1091" s="120">
        <v>0.50087582890950366</v>
      </c>
      <c r="E1091" s="121" t="s">
        <v>6251</v>
      </c>
      <c r="F1091" s="122" t="s">
        <v>8479</v>
      </c>
      <c r="G1091" s="122">
        <v>67</v>
      </c>
      <c r="H1091" s="122" t="s">
        <v>0</v>
      </c>
      <c r="I1091" s="122" t="s">
        <v>6233</v>
      </c>
      <c r="J1091" s="122" t="s">
        <v>6278</v>
      </c>
      <c r="K1091" s="122" t="s">
        <v>6259</v>
      </c>
      <c r="L1091" s="122" t="s">
        <v>6209</v>
      </c>
      <c r="M1091" s="122">
        <v>2</v>
      </c>
      <c r="N1091" s="123" t="s">
        <v>6515</v>
      </c>
    </row>
    <row r="1092" spans="1:14" ht="11.1" customHeight="1">
      <c r="A1092" s="31" t="s">
        <v>8480</v>
      </c>
      <c r="B1092" s="38" t="s">
        <v>6232</v>
      </c>
      <c r="C1092" s="39">
        <v>107124</v>
      </c>
      <c r="D1092" s="40">
        <v>0.47868518419218187</v>
      </c>
      <c r="E1092" s="58">
        <v>95.569631546079037</v>
      </c>
      <c r="F1092" s="59" t="s">
        <v>8481</v>
      </c>
      <c r="G1092" s="59">
        <v>68</v>
      </c>
      <c r="H1092" s="59" t="s">
        <v>0</v>
      </c>
      <c r="I1092" s="59" t="s">
        <v>6233</v>
      </c>
      <c r="J1092" s="59" t="s">
        <v>6257</v>
      </c>
      <c r="K1092" s="59" t="s">
        <v>6286</v>
      </c>
      <c r="L1092" s="59" t="s">
        <v>6209</v>
      </c>
      <c r="M1092" s="59">
        <v>8</v>
      </c>
      <c r="N1092" s="43" t="s">
        <v>6260</v>
      </c>
    </row>
    <row r="1093" spans="1:14" ht="11.1" customHeight="1">
      <c r="A1093" s="44" t="s">
        <v>8482</v>
      </c>
      <c r="B1093" s="45" t="s">
        <v>6231</v>
      </c>
      <c r="C1093" s="46">
        <v>4574</v>
      </c>
      <c r="D1093" s="47">
        <v>2.0438986898314478E-2</v>
      </c>
      <c r="E1093" s="48" t="s">
        <v>6262</v>
      </c>
      <c r="F1093" s="49" t="s">
        <v>8483</v>
      </c>
      <c r="G1093" s="49">
        <v>57</v>
      </c>
      <c r="H1093" s="49" t="s">
        <v>6049</v>
      </c>
      <c r="I1093" s="49" t="s">
        <v>6259</v>
      </c>
      <c r="J1093" s="49" t="s">
        <v>6267</v>
      </c>
      <c r="K1093" s="49" t="s">
        <v>6268</v>
      </c>
      <c r="L1093" s="49" t="s">
        <v>6036</v>
      </c>
      <c r="M1093" s="49" t="s">
        <v>6259</v>
      </c>
      <c r="N1093" s="50" t="s">
        <v>6259</v>
      </c>
    </row>
    <row r="1094" spans="1:14" ht="11.1" customHeight="1">
      <c r="A1094" s="51" t="s">
        <v>8484</v>
      </c>
      <c r="B1094" s="52" t="s">
        <v>6217</v>
      </c>
      <c r="C1094" s="53">
        <v>121031</v>
      </c>
      <c r="D1094" s="54">
        <v>0.51041657880753366</v>
      </c>
      <c r="E1094" s="55" t="s">
        <v>6251</v>
      </c>
      <c r="F1094" s="56" t="s">
        <v>8485</v>
      </c>
      <c r="G1094" s="56">
        <v>65</v>
      </c>
      <c r="H1094" s="56" t="s">
        <v>0</v>
      </c>
      <c r="I1094" s="56" t="s">
        <v>6233</v>
      </c>
      <c r="J1094" s="56" t="s">
        <v>6253</v>
      </c>
      <c r="K1094" s="56" t="s">
        <v>6254</v>
      </c>
      <c r="L1094" s="56" t="s">
        <v>6209</v>
      </c>
      <c r="M1094" s="56">
        <v>5</v>
      </c>
      <c r="N1094" s="57" t="s">
        <v>6465</v>
      </c>
    </row>
    <row r="1095" spans="1:14" ht="11.1" customHeight="1">
      <c r="A1095" s="31" t="s">
        <v>8486</v>
      </c>
      <c r="B1095" s="38" t="s">
        <v>6232</v>
      </c>
      <c r="C1095" s="39">
        <v>112602</v>
      </c>
      <c r="D1095" s="40">
        <v>0.47486947647202704</v>
      </c>
      <c r="E1095" s="58">
        <v>93.03566854772744</v>
      </c>
      <c r="F1095" s="59" t="s">
        <v>8487</v>
      </c>
      <c r="G1095" s="59">
        <v>52</v>
      </c>
      <c r="H1095" s="59" t="s">
        <v>0</v>
      </c>
      <c r="I1095" s="59" t="s">
        <v>6233</v>
      </c>
      <c r="J1095" s="59" t="s">
        <v>6257</v>
      </c>
      <c r="K1095" s="59" t="s">
        <v>6596</v>
      </c>
      <c r="L1095" s="59" t="s">
        <v>6209</v>
      </c>
      <c r="M1095" s="59">
        <v>4</v>
      </c>
      <c r="N1095" s="43" t="s">
        <v>6260</v>
      </c>
    </row>
    <row r="1096" spans="1:14" ht="11.1" customHeight="1" thickBot="1">
      <c r="A1096" s="73" t="s">
        <v>8488</v>
      </c>
      <c r="B1096" s="74" t="s">
        <v>6231</v>
      </c>
      <c r="C1096" s="75">
        <v>3489</v>
      </c>
      <c r="D1096" s="76">
        <v>1.4713944720439267E-2</v>
      </c>
      <c r="E1096" s="77" t="s">
        <v>6262</v>
      </c>
      <c r="F1096" s="78" t="s">
        <v>8489</v>
      </c>
      <c r="G1096" s="78">
        <v>56</v>
      </c>
      <c r="H1096" s="78" t="s">
        <v>0</v>
      </c>
      <c r="I1096" s="78" t="s">
        <v>6259</v>
      </c>
      <c r="J1096" s="78" t="s">
        <v>6267</v>
      </c>
      <c r="K1096" s="78" t="s">
        <v>6268</v>
      </c>
      <c r="L1096" s="78" t="s">
        <v>6036</v>
      </c>
      <c r="M1096" s="78" t="s">
        <v>6259</v>
      </c>
      <c r="N1096" s="79" t="s">
        <v>6259</v>
      </c>
    </row>
    <row r="1097" spans="1:14" ht="11.1" customHeight="1">
      <c r="A1097" s="80" t="s">
        <v>8490</v>
      </c>
      <c r="B1097" s="142" t="s">
        <v>6217</v>
      </c>
      <c r="C1097" s="143">
        <v>109411</v>
      </c>
      <c r="D1097" s="144">
        <v>0.48302944682353982</v>
      </c>
      <c r="E1097" s="145" t="s">
        <v>6262</v>
      </c>
      <c r="F1097" s="146" t="s">
        <v>8491</v>
      </c>
      <c r="G1097" s="146">
        <v>60</v>
      </c>
      <c r="H1097" s="146" t="s">
        <v>0</v>
      </c>
      <c r="I1097" s="146" t="s">
        <v>6259</v>
      </c>
      <c r="J1097" s="146" t="s">
        <v>6322</v>
      </c>
      <c r="K1097" s="146" t="s">
        <v>7352</v>
      </c>
      <c r="L1097" s="146" t="s">
        <v>6036</v>
      </c>
      <c r="M1097" s="146" t="s">
        <v>6259</v>
      </c>
      <c r="N1097" s="147" t="s">
        <v>8492</v>
      </c>
    </row>
    <row r="1098" spans="1:14" ht="11.1" customHeight="1">
      <c r="A1098" s="31" t="s">
        <v>8493</v>
      </c>
      <c r="B1098" s="38" t="s">
        <v>6230</v>
      </c>
      <c r="C1098" s="39">
        <v>55114</v>
      </c>
      <c r="D1098" s="40">
        <v>0.24331817579797801</v>
      </c>
      <c r="E1098" s="41" t="s">
        <v>6262</v>
      </c>
      <c r="F1098" s="42" t="s">
        <v>8494</v>
      </c>
      <c r="G1098" s="42">
        <v>66</v>
      </c>
      <c r="H1098" s="42" t="s">
        <v>0</v>
      </c>
      <c r="I1098" s="42" t="s">
        <v>6259</v>
      </c>
      <c r="J1098" s="42" t="s">
        <v>6322</v>
      </c>
      <c r="K1098" s="42" t="s">
        <v>7025</v>
      </c>
      <c r="L1098" s="42" t="s">
        <v>6209</v>
      </c>
      <c r="M1098" s="42">
        <v>6</v>
      </c>
      <c r="N1098" s="43" t="s">
        <v>6259</v>
      </c>
    </row>
    <row r="1099" spans="1:14" ht="11.1" customHeight="1">
      <c r="A1099" s="31" t="s">
        <v>8495</v>
      </c>
      <c r="B1099" s="38" t="s">
        <v>6230</v>
      </c>
      <c r="C1099" s="39">
        <v>47116</v>
      </c>
      <c r="D1099" s="40">
        <v>0.208008476446956</v>
      </c>
      <c r="E1099" s="41" t="s">
        <v>6262</v>
      </c>
      <c r="F1099" s="42" t="s">
        <v>8496</v>
      </c>
      <c r="G1099" s="42">
        <v>67</v>
      </c>
      <c r="H1099" s="42" t="s">
        <v>0</v>
      </c>
      <c r="I1099" s="42" t="s">
        <v>6259</v>
      </c>
      <c r="J1099" s="42" t="s">
        <v>6322</v>
      </c>
      <c r="K1099" s="42" t="s">
        <v>7025</v>
      </c>
      <c r="L1099" s="42" t="s">
        <v>6036</v>
      </c>
      <c r="M1099" s="42" t="s">
        <v>6259</v>
      </c>
      <c r="N1099" s="43" t="s">
        <v>6259</v>
      </c>
    </row>
    <row r="1100" spans="1:14" ht="11.1" customHeight="1">
      <c r="A1100" s="31" t="s">
        <v>8497</v>
      </c>
      <c r="B1100" s="38" t="s">
        <v>6231</v>
      </c>
      <c r="C1100" s="39">
        <v>11143</v>
      </c>
      <c r="D1100" s="40">
        <v>4.9194296057569205E-2</v>
      </c>
      <c r="E1100" s="41">
        <v>10.18453354781512</v>
      </c>
      <c r="F1100" s="42" t="s">
        <v>8498</v>
      </c>
      <c r="G1100" s="42">
        <v>40</v>
      </c>
      <c r="H1100" s="42" t="s">
        <v>0</v>
      </c>
      <c r="I1100" s="42" t="s">
        <v>6233</v>
      </c>
      <c r="J1100" s="42" t="s">
        <v>6264</v>
      </c>
      <c r="K1100" s="42" t="s">
        <v>6259</v>
      </c>
      <c r="L1100" s="42" t="s">
        <v>6036</v>
      </c>
      <c r="M1100" s="42" t="s">
        <v>6259</v>
      </c>
      <c r="N1100" s="43" t="s">
        <v>6259</v>
      </c>
    </row>
    <row r="1101" spans="1:14" ht="11.1" customHeight="1">
      <c r="A1101" s="44" t="s">
        <v>8499</v>
      </c>
      <c r="B1101" s="45" t="s">
        <v>6231</v>
      </c>
      <c r="C1101" s="46">
        <v>3726</v>
      </c>
      <c r="D1101" s="47">
        <v>1.6449604873957E-2</v>
      </c>
      <c r="E1101" s="48" t="s">
        <v>6262</v>
      </c>
      <c r="F1101" s="49" t="s">
        <v>8500</v>
      </c>
      <c r="G1101" s="49">
        <v>44</v>
      </c>
      <c r="H1101" s="49" t="s">
        <v>6049</v>
      </c>
      <c r="I1101" s="49" t="s">
        <v>6259</v>
      </c>
      <c r="J1101" s="49" t="s">
        <v>6267</v>
      </c>
      <c r="K1101" s="49" t="s">
        <v>6268</v>
      </c>
      <c r="L1101" s="49" t="s">
        <v>6036</v>
      </c>
      <c r="M1101" s="49" t="s">
        <v>6259</v>
      </c>
      <c r="N1101" s="50" t="s">
        <v>6259</v>
      </c>
    </row>
    <row r="1102" spans="1:14" ht="11.1" customHeight="1">
      <c r="A1102" s="51" t="s">
        <v>8501</v>
      </c>
      <c r="B1102" s="60" t="s">
        <v>6217</v>
      </c>
      <c r="C1102" s="61">
        <v>120567</v>
      </c>
      <c r="D1102" s="62">
        <v>0.56886521376030352</v>
      </c>
      <c r="E1102" s="63" t="s">
        <v>6251</v>
      </c>
      <c r="F1102" s="64" t="s">
        <v>8502</v>
      </c>
      <c r="G1102" s="64">
        <v>49</v>
      </c>
      <c r="H1102" s="64" t="s">
        <v>0</v>
      </c>
      <c r="I1102" s="64" t="s">
        <v>6233</v>
      </c>
      <c r="J1102" s="64" t="s">
        <v>6257</v>
      </c>
      <c r="K1102" s="64" t="s">
        <v>6311</v>
      </c>
      <c r="L1102" s="64" t="s">
        <v>6209</v>
      </c>
      <c r="M1102" s="64">
        <v>2</v>
      </c>
      <c r="N1102" s="65" t="s">
        <v>6260</v>
      </c>
    </row>
    <row r="1103" spans="1:14" ht="11.1" customHeight="1">
      <c r="A1103" s="31" t="s">
        <v>8503</v>
      </c>
      <c r="B1103" s="38" t="s">
        <v>6232</v>
      </c>
      <c r="C1103" s="39">
        <v>81997</v>
      </c>
      <c r="D1103" s="40">
        <v>0.38688232213378126</v>
      </c>
      <c r="E1103" s="35">
        <v>68.009488500170036</v>
      </c>
      <c r="F1103" s="36" t="s">
        <v>8504</v>
      </c>
      <c r="G1103" s="36">
        <v>56</v>
      </c>
      <c r="H1103" s="36" t="s">
        <v>0</v>
      </c>
      <c r="I1103" s="36" t="s">
        <v>6233</v>
      </c>
      <c r="J1103" s="36" t="s">
        <v>6253</v>
      </c>
      <c r="K1103" s="36" t="s">
        <v>6053</v>
      </c>
      <c r="L1103" s="36" t="s">
        <v>6036</v>
      </c>
      <c r="M1103" s="36" t="s">
        <v>6259</v>
      </c>
      <c r="N1103" s="43" t="s">
        <v>6254</v>
      </c>
    </row>
    <row r="1104" spans="1:14" ht="11.1" customHeight="1">
      <c r="A1104" s="31" t="s">
        <v>8505</v>
      </c>
      <c r="B1104" s="38" t="s">
        <v>6231</v>
      </c>
      <c r="C1104" s="39">
        <v>7609</v>
      </c>
      <c r="D1104" s="40">
        <v>3.5901162104905564E-2</v>
      </c>
      <c r="E1104" s="41" t="s">
        <v>6262</v>
      </c>
      <c r="F1104" s="42" t="s">
        <v>8506</v>
      </c>
      <c r="G1104" s="42">
        <v>57</v>
      </c>
      <c r="H1104" s="42" t="s">
        <v>0</v>
      </c>
      <c r="I1104" s="42" t="s">
        <v>6259</v>
      </c>
      <c r="J1104" s="42" t="s">
        <v>6322</v>
      </c>
      <c r="K1104" s="42" t="s">
        <v>6323</v>
      </c>
      <c r="L1104" s="42" t="s">
        <v>6036</v>
      </c>
      <c r="M1104" s="42" t="s">
        <v>6259</v>
      </c>
      <c r="N1104" s="43" t="s">
        <v>6259</v>
      </c>
    </row>
    <row r="1105" spans="1:14" ht="11.1" customHeight="1">
      <c r="A1105" s="44" t="s">
        <v>8507</v>
      </c>
      <c r="B1105" s="45" t="s">
        <v>6231</v>
      </c>
      <c r="C1105" s="46">
        <v>1770</v>
      </c>
      <c r="D1105" s="47">
        <v>8.3513020010097059E-3</v>
      </c>
      <c r="E1105" s="48" t="s">
        <v>6262</v>
      </c>
      <c r="F1105" s="49" t="s">
        <v>8508</v>
      </c>
      <c r="G1105" s="49">
        <v>54</v>
      </c>
      <c r="H1105" s="49" t="s">
        <v>0</v>
      </c>
      <c r="I1105" s="49" t="s">
        <v>6259</v>
      </c>
      <c r="J1105" s="49" t="s">
        <v>6267</v>
      </c>
      <c r="K1105" s="49" t="s">
        <v>6268</v>
      </c>
      <c r="L1105" s="49" t="s">
        <v>6036</v>
      </c>
      <c r="M1105" s="49" t="s">
        <v>6259</v>
      </c>
      <c r="N1105" s="50" t="s">
        <v>6259</v>
      </c>
    </row>
    <row r="1106" spans="1:14" ht="11.1" customHeight="1">
      <c r="A1106" s="51" t="s">
        <v>8509</v>
      </c>
      <c r="B1106" s="60" t="s">
        <v>6217</v>
      </c>
      <c r="C1106" s="61">
        <v>131908</v>
      </c>
      <c r="D1106" s="62">
        <v>0.67399379697615358</v>
      </c>
      <c r="E1106" s="63" t="s">
        <v>6251</v>
      </c>
      <c r="F1106" s="64" t="s">
        <v>8510</v>
      </c>
      <c r="G1106" s="64">
        <v>44</v>
      </c>
      <c r="H1106" s="64" t="s">
        <v>0</v>
      </c>
      <c r="I1106" s="64" t="s">
        <v>6233</v>
      </c>
      <c r="J1106" s="64" t="s">
        <v>6257</v>
      </c>
      <c r="K1106" s="64" t="s">
        <v>6350</v>
      </c>
      <c r="L1106" s="64" t="s">
        <v>6209</v>
      </c>
      <c r="M1106" s="64">
        <v>2</v>
      </c>
      <c r="N1106" s="65" t="s">
        <v>6260</v>
      </c>
    </row>
    <row r="1107" spans="1:14" ht="11.1" customHeight="1">
      <c r="A1107" s="31" t="s">
        <v>8511</v>
      </c>
      <c r="B1107" s="38" t="s">
        <v>6230</v>
      </c>
      <c r="C1107" s="39">
        <v>58343</v>
      </c>
      <c r="D1107" s="40">
        <v>0.29810792443960737</v>
      </c>
      <c r="E1107" s="41">
        <v>44.230069442338596</v>
      </c>
      <c r="F1107" s="42" t="s">
        <v>8512</v>
      </c>
      <c r="G1107" s="42">
        <v>52</v>
      </c>
      <c r="H1107" s="42" t="s">
        <v>0</v>
      </c>
      <c r="I1107" s="42" t="s">
        <v>6233</v>
      </c>
      <c r="J1107" s="42" t="s">
        <v>6278</v>
      </c>
      <c r="K1107" s="42" t="s">
        <v>6259</v>
      </c>
      <c r="L1107" s="42" t="s">
        <v>6036</v>
      </c>
      <c r="M1107" s="42" t="s">
        <v>6259</v>
      </c>
      <c r="N1107" s="43" t="s">
        <v>6481</v>
      </c>
    </row>
    <row r="1108" spans="1:14" ht="11.1" customHeight="1" thickBot="1">
      <c r="A1108" s="73" t="s">
        <v>8513</v>
      </c>
      <c r="B1108" s="74" t="s">
        <v>6231</v>
      </c>
      <c r="C1108" s="75">
        <v>5460</v>
      </c>
      <c r="D1108" s="76">
        <v>2.7898278584239006E-2</v>
      </c>
      <c r="E1108" s="77" t="s">
        <v>6262</v>
      </c>
      <c r="F1108" s="78" t="s">
        <v>8514</v>
      </c>
      <c r="G1108" s="78">
        <v>49</v>
      </c>
      <c r="H1108" s="78" t="s">
        <v>0</v>
      </c>
      <c r="I1108" s="78" t="s">
        <v>6259</v>
      </c>
      <c r="J1108" s="78" t="s">
        <v>6267</v>
      </c>
      <c r="K1108" s="78" t="s">
        <v>6268</v>
      </c>
      <c r="L1108" s="78" t="s">
        <v>6036</v>
      </c>
      <c r="M1108" s="78" t="s">
        <v>6259</v>
      </c>
      <c r="N1108" s="79" t="s">
        <v>6259</v>
      </c>
    </row>
    <row r="1109" spans="1:14" ht="11.1" customHeight="1">
      <c r="A1109" s="80" t="s">
        <v>8515</v>
      </c>
      <c r="B1109" s="81" t="s">
        <v>6217</v>
      </c>
      <c r="C1109" s="82">
        <v>117383</v>
      </c>
      <c r="D1109" s="83">
        <v>0.53225506599739725</v>
      </c>
      <c r="E1109" s="84" t="s">
        <v>6251</v>
      </c>
      <c r="F1109" s="85" t="s">
        <v>8516</v>
      </c>
      <c r="G1109" s="85">
        <v>47</v>
      </c>
      <c r="H1109" s="85" t="s">
        <v>0</v>
      </c>
      <c r="I1109" s="85" t="s">
        <v>6233</v>
      </c>
      <c r="J1109" s="85" t="s">
        <v>6253</v>
      </c>
      <c r="K1109" s="85" t="s">
        <v>24</v>
      </c>
      <c r="L1109" s="85" t="s">
        <v>6209</v>
      </c>
      <c r="M1109" s="85">
        <v>4</v>
      </c>
      <c r="N1109" s="86" t="s">
        <v>6213</v>
      </c>
    </row>
    <row r="1110" spans="1:14" ht="11.1" customHeight="1">
      <c r="A1110" s="31" t="s">
        <v>8517</v>
      </c>
      <c r="B1110" s="38" t="s">
        <v>6230</v>
      </c>
      <c r="C1110" s="39">
        <v>94226</v>
      </c>
      <c r="D1110" s="40">
        <v>0.42725322958751061</v>
      </c>
      <c r="E1110" s="41">
        <v>80.27227111251203</v>
      </c>
      <c r="F1110" s="42" t="s">
        <v>8518</v>
      </c>
      <c r="G1110" s="42">
        <v>70</v>
      </c>
      <c r="H1110" s="42" t="s">
        <v>0</v>
      </c>
      <c r="I1110" s="42" t="s">
        <v>6233</v>
      </c>
      <c r="J1110" s="42" t="s">
        <v>6257</v>
      </c>
      <c r="K1110" s="42" t="s">
        <v>6350</v>
      </c>
      <c r="L1110" s="42" t="s">
        <v>6209</v>
      </c>
      <c r="M1110" s="42">
        <v>11</v>
      </c>
      <c r="N1110" s="43" t="s">
        <v>6260</v>
      </c>
    </row>
    <row r="1111" spans="1:14" ht="11.1" customHeight="1">
      <c r="A1111" s="31" t="s">
        <v>8519</v>
      </c>
      <c r="B1111" s="38" t="s">
        <v>6231</v>
      </c>
      <c r="C1111" s="39">
        <v>6422</v>
      </c>
      <c r="D1111" s="40">
        <v>2.9119566153832203E-2</v>
      </c>
      <c r="E1111" s="41">
        <v>6.8155286226731473</v>
      </c>
      <c r="F1111" s="42" t="s">
        <v>8520</v>
      </c>
      <c r="G1111" s="42">
        <v>34</v>
      </c>
      <c r="H1111" s="42" t="s">
        <v>0</v>
      </c>
      <c r="I1111" s="42" t="s">
        <v>6233</v>
      </c>
      <c r="J1111" s="42" t="s">
        <v>6264</v>
      </c>
      <c r="K1111" s="42" t="s">
        <v>6259</v>
      </c>
      <c r="L1111" s="42" t="s">
        <v>6036</v>
      </c>
      <c r="M1111" s="42" t="s">
        <v>6259</v>
      </c>
      <c r="N1111" s="43" t="s">
        <v>6259</v>
      </c>
    </row>
    <row r="1112" spans="1:14" ht="11.1" customHeight="1">
      <c r="A1112" s="31" t="s">
        <v>8521</v>
      </c>
      <c r="B1112" s="38" t="s">
        <v>6231</v>
      </c>
      <c r="C1112" s="39">
        <v>1429</v>
      </c>
      <c r="D1112" s="40">
        <v>6.4795795754945835E-3</v>
      </c>
      <c r="E1112" s="41" t="s">
        <v>6262</v>
      </c>
      <c r="F1112" s="42" t="s">
        <v>8522</v>
      </c>
      <c r="G1112" s="42">
        <v>54</v>
      </c>
      <c r="H1112" s="42" t="s">
        <v>0</v>
      </c>
      <c r="I1112" s="42" t="s">
        <v>6259</v>
      </c>
      <c r="J1112" s="42" t="s">
        <v>6322</v>
      </c>
      <c r="K1112" s="42" t="s">
        <v>6259</v>
      </c>
      <c r="L1112" s="42" t="s">
        <v>6036</v>
      </c>
      <c r="M1112" s="42" t="s">
        <v>6259</v>
      </c>
      <c r="N1112" s="43" t="s">
        <v>6259</v>
      </c>
    </row>
    <row r="1113" spans="1:14" ht="11.1" customHeight="1">
      <c r="A1113" s="44" t="s">
        <v>8523</v>
      </c>
      <c r="B1113" s="45" t="s">
        <v>6231</v>
      </c>
      <c r="C1113" s="46">
        <v>1079</v>
      </c>
      <c r="D1113" s="47">
        <v>4.8925586857653299E-3</v>
      </c>
      <c r="E1113" s="48" t="s">
        <v>6262</v>
      </c>
      <c r="F1113" s="49" t="s">
        <v>8524</v>
      </c>
      <c r="G1113" s="49">
        <v>42</v>
      </c>
      <c r="H1113" s="49" t="s">
        <v>0</v>
      </c>
      <c r="I1113" s="49" t="s">
        <v>6259</v>
      </c>
      <c r="J1113" s="49" t="s">
        <v>6267</v>
      </c>
      <c r="K1113" s="49" t="s">
        <v>6268</v>
      </c>
      <c r="L1113" s="49" t="s">
        <v>6036</v>
      </c>
      <c r="M1113" s="49" t="s">
        <v>6259</v>
      </c>
      <c r="N1113" s="50" t="s">
        <v>6259</v>
      </c>
    </row>
    <row r="1114" spans="1:14" ht="11.1" customHeight="1">
      <c r="A1114" s="51" t="s">
        <v>8525</v>
      </c>
      <c r="B1114" s="60" t="s">
        <v>6217</v>
      </c>
      <c r="C1114" s="61">
        <v>114102</v>
      </c>
      <c r="D1114" s="62">
        <v>0.55704891301694548</v>
      </c>
      <c r="E1114" s="63" t="s">
        <v>6251</v>
      </c>
      <c r="F1114" s="64" t="s">
        <v>8526</v>
      </c>
      <c r="G1114" s="64">
        <v>38</v>
      </c>
      <c r="H1114" s="64" t="s">
        <v>0</v>
      </c>
      <c r="I1114" s="64" t="s">
        <v>6233</v>
      </c>
      <c r="J1114" s="64" t="s">
        <v>6257</v>
      </c>
      <c r="K1114" s="64" t="s">
        <v>6402</v>
      </c>
      <c r="L1114" s="64" t="s">
        <v>6209</v>
      </c>
      <c r="M1114" s="64">
        <v>1</v>
      </c>
      <c r="N1114" s="65" t="s">
        <v>6260</v>
      </c>
    </row>
    <row r="1115" spans="1:14" ht="11.1" customHeight="1">
      <c r="A1115" s="31" t="s">
        <v>8527</v>
      </c>
      <c r="B1115" s="38" t="s">
        <v>6232</v>
      </c>
      <c r="C1115" s="39">
        <v>88562</v>
      </c>
      <c r="D1115" s="40">
        <v>0.43236197292428469</v>
      </c>
      <c r="E1115" s="35">
        <v>77.616518553574878</v>
      </c>
      <c r="F1115" s="36" t="s">
        <v>8528</v>
      </c>
      <c r="G1115" s="36">
        <v>51</v>
      </c>
      <c r="H1115" s="36" t="s">
        <v>0</v>
      </c>
      <c r="I1115" s="36" t="s">
        <v>6233</v>
      </c>
      <c r="J1115" s="36" t="s">
        <v>6253</v>
      </c>
      <c r="K1115" s="36" t="s">
        <v>7394</v>
      </c>
      <c r="L1115" s="36" t="s">
        <v>6036</v>
      </c>
      <c r="M1115" s="36" t="s">
        <v>6259</v>
      </c>
      <c r="N1115" s="43" t="s">
        <v>6213</v>
      </c>
    </row>
    <row r="1116" spans="1:14" ht="11.1" customHeight="1">
      <c r="A1116" s="44" t="s">
        <v>8529</v>
      </c>
      <c r="B1116" s="45" t="s">
        <v>6231</v>
      </c>
      <c r="C1116" s="46">
        <v>2169</v>
      </c>
      <c r="D1116" s="47">
        <v>1.0589114058769828E-2</v>
      </c>
      <c r="E1116" s="48" t="s">
        <v>6262</v>
      </c>
      <c r="F1116" s="49" t="s">
        <v>8530</v>
      </c>
      <c r="G1116" s="49">
        <v>64</v>
      </c>
      <c r="H1116" s="49" t="s">
        <v>6049</v>
      </c>
      <c r="I1116" s="49" t="s">
        <v>6259</v>
      </c>
      <c r="J1116" s="49" t="s">
        <v>6267</v>
      </c>
      <c r="K1116" s="49" t="s">
        <v>6268</v>
      </c>
      <c r="L1116" s="49" t="s">
        <v>6036</v>
      </c>
      <c r="M1116" s="49" t="s">
        <v>6259</v>
      </c>
      <c r="N1116" s="50" t="s">
        <v>6259</v>
      </c>
    </row>
    <row r="1117" spans="1:14" ht="11.1" customHeight="1">
      <c r="A1117" s="51" t="s">
        <v>8531</v>
      </c>
      <c r="B1117" s="134" t="s">
        <v>6217</v>
      </c>
      <c r="C1117" s="135">
        <v>107285</v>
      </c>
      <c r="D1117" s="136">
        <v>0.56527970240949255</v>
      </c>
      <c r="E1117" s="137" t="s">
        <v>6251</v>
      </c>
      <c r="F1117" s="138" t="s">
        <v>8532</v>
      </c>
      <c r="G1117" s="138">
        <v>70</v>
      </c>
      <c r="H1117" s="138" t="s">
        <v>0</v>
      </c>
      <c r="I1117" s="138" t="s">
        <v>6233</v>
      </c>
      <c r="J1117" s="138" t="s">
        <v>7280</v>
      </c>
      <c r="K1117" s="138" t="s">
        <v>6259</v>
      </c>
      <c r="L1117" s="138" t="s">
        <v>6283</v>
      </c>
      <c r="M1117" s="138">
        <v>4</v>
      </c>
      <c r="N1117" s="139" t="s">
        <v>6481</v>
      </c>
    </row>
    <row r="1118" spans="1:14" ht="11.1" customHeight="1">
      <c r="A1118" s="31" t="s">
        <v>8533</v>
      </c>
      <c r="B1118" s="38" t="s">
        <v>6230</v>
      </c>
      <c r="C1118" s="39">
        <v>78876</v>
      </c>
      <c r="D1118" s="40">
        <v>0.41559399550031351</v>
      </c>
      <c r="E1118" s="41">
        <v>73.52006338257911</v>
      </c>
      <c r="F1118" s="42" t="s">
        <v>8534</v>
      </c>
      <c r="G1118" s="42">
        <v>68</v>
      </c>
      <c r="H1118" s="42" t="s">
        <v>0</v>
      </c>
      <c r="I1118" s="42" t="s">
        <v>6233</v>
      </c>
      <c r="J1118" s="42" t="s">
        <v>6257</v>
      </c>
      <c r="K1118" s="42" t="s">
        <v>6286</v>
      </c>
      <c r="L1118" s="42" t="s">
        <v>6209</v>
      </c>
      <c r="M1118" s="42">
        <v>6</v>
      </c>
      <c r="N1118" s="43" t="s">
        <v>6260</v>
      </c>
    </row>
    <row r="1119" spans="1:14" ht="11.1" customHeight="1">
      <c r="A1119" s="44" t="s">
        <v>8535</v>
      </c>
      <c r="B1119" s="45" t="s">
        <v>6231</v>
      </c>
      <c r="C1119" s="46">
        <v>3630</v>
      </c>
      <c r="D1119" s="47">
        <v>1.9126302090193951E-2</v>
      </c>
      <c r="E1119" s="48" t="s">
        <v>6262</v>
      </c>
      <c r="F1119" s="49" t="s">
        <v>8536</v>
      </c>
      <c r="G1119" s="49">
        <v>57</v>
      </c>
      <c r="H1119" s="49" t="s">
        <v>0</v>
      </c>
      <c r="I1119" s="49" t="s">
        <v>6259</v>
      </c>
      <c r="J1119" s="49" t="s">
        <v>6267</v>
      </c>
      <c r="K1119" s="49" t="s">
        <v>6268</v>
      </c>
      <c r="L1119" s="49" t="s">
        <v>6036</v>
      </c>
      <c r="M1119" s="49" t="s">
        <v>6259</v>
      </c>
      <c r="N1119" s="50" t="s">
        <v>6259</v>
      </c>
    </row>
    <row r="1120" spans="1:14" ht="11.1" customHeight="1">
      <c r="A1120" s="51" t="s">
        <v>8537</v>
      </c>
      <c r="B1120" s="60" t="s">
        <v>6217</v>
      </c>
      <c r="C1120" s="61">
        <v>97054</v>
      </c>
      <c r="D1120" s="62">
        <v>0.50118772205238371</v>
      </c>
      <c r="E1120" s="63" t="s">
        <v>6251</v>
      </c>
      <c r="F1120" s="64" t="s">
        <v>8538</v>
      </c>
      <c r="G1120" s="64">
        <v>50</v>
      </c>
      <c r="H1120" s="64" t="s">
        <v>0</v>
      </c>
      <c r="I1120" s="64" t="s">
        <v>6233</v>
      </c>
      <c r="J1120" s="64" t="s">
        <v>6257</v>
      </c>
      <c r="K1120" s="64" t="s">
        <v>6402</v>
      </c>
      <c r="L1120" s="64" t="s">
        <v>6209</v>
      </c>
      <c r="M1120" s="64">
        <v>1</v>
      </c>
      <c r="N1120" s="65" t="s">
        <v>6260</v>
      </c>
    </row>
    <row r="1121" spans="1:14" ht="11.1" customHeight="1">
      <c r="A1121" s="31" t="s">
        <v>8539</v>
      </c>
      <c r="B1121" s="38" t="s">
        <v>6232</v>
      </c>
      <c r="C1121" s="39">
        <v>94343</v>
      </c>
      <c r="D1121" s="40">
        <v>0.48718809386102618</v>
      </c>
      <c r="E1121" s="35">
        <v>97.206709666783439</v>
      </c>
      <c r="F1121" s="36" t="s">
        <v>8540</v>
      </c>
      <c r="G1121" s="36">
        <v>59</v>
      </c>
      <c r="H1121" s="36" t="s">
        <v>0</v>
      </c>
      <c r="I1121" s="36" t="s">
        <v>6233</v>
      </c>
      <c r="J1121" s="36" t="s">
        <v>6253</v>
      </c>
      <c r="K1121" s="36" t="s">
        <v>6254</v>
      </c>
      <c r="L1121" s="36" t="s">
        <v>6036</v>
      </c>
      <c r="M1121" s="36" t="s">
        <v>6259</v>
      </c>
      <c r="N1121" s="43" t="s">
        <v>6213</v>
      </c>
    </row>
    <row r="1122" spans="1:14" ht="11.1" customHeight="1">
      <c r="A1122" s="44" t="s">
        <v>8541</v>
      </c>
      <c r="B1122" s="45" t="s">
        <v>6231</v>
      </c>
      <c r="C1122" s="46">
        <v>2251</v>
      </c>
      <c r="D1122" s="47">
        <v>1.1624184086590102E-2</v>
      </c>
      <c r="E1122" s="48" t="s">
        <v>6262</v>
      </c>
      <c r="F1122" s="49" t="s">
        <v>8542</v>
      </c>
      <c r="G1122" s="49">
        <v>48</v>
      </c>
      <c r="H1122" s="49" t="s">
        <v>0</v>
      </c>
      <c r="I1122" s="49" t="s">
        <v>6259</v>
      </c>
      <c r="J1122" s="49" t="s">
        <v>6267</v>
      </c>
      <c r="K1122" s="49" t="s">
        <v>6268</v>
      </c>
      <c r="L1122" s="49" t="s">
        <v>6036</v>
      </c>
      <c r="M1122" s="49" t="s">
        <v>6259</v>
      </c>
      <c r="N1122" s="50" t="s">
        <v>6259</v>
      </c>
    </row>
    <row r="1123" spans="1:14" ht="11.1" customHeight="1">
      <c r="A1123" s="51" t="s">
        <v>8543</v>
      </c>
      <c r="B1123" s="60" t="s">
        <v>6217</v>
      </c>
      <c r="C1123" s="61">
        <v>109426</v>
      </c>
      <c r="D1123" s="62">
        <v>0.61064297592607064</v>
      </c>
      <c r="E1123" s="63" t="s">
        <v>6251</v>
      </c>
      <c r="F1123" s="64" t="s">
        <v>8544</v>
      </c>
      <c r="G1123" s="64">
        <v>64</v>
      </c>
      <c r="H1123" s="64" t="s">
        <v>0</v>
      </c>
      <c r="I1123" s="64" t="s">
        <v>6233</v>
      </c>
      <c r="J1123" s="64" t="s">
        <v>6257</v>
      </c>
      <c r="K1123" s="64" t="s">
        <v>6273</v>
      </c>
      <c r="L1123" s="64" t="s">
        <v>6209</v>
      </c>
      <c r="M1123" s="64">
        <v>2</v>
      </c>
      <c r="N1123" s="65" t="s">
        <v>6260</v>
      </c>
    </row>
    <row r="1124" spans="1:14" ht="11.1" customHeight="1">
      <c r="A1124" s="31" t="s">
        <v>8545</v>
      </c>
      <c r="B1124" s="38" t="s">
        <v>6232</v>
      </c>
      <c r="C1124" s="39">
        <v>67403</v>
      </c>
      <c r="D1124" s="40">
        <v>0.37613701045770598</v>
      </c>
      <c r="E1124" s="35">
        <v>61.596878255624809</v>
      </c>
      <c r="F1124" s="36" t="s">
        <v>8546</v>
      </c>
      <c r="G1124" s="36">
        <v>51</v>
      </c>
      <c r="H1124" s="36" t="s">
        <v>0</v>
      </c>
      <c r="I1124" s="36" t="s">
        <v>6233</v>
      </c>
      <c r="J1124" s="36" t="s">
        <v>6253</v>
      </c>
      <c r="K1124" s="36" t="s">
        <v>6053</v>
      </c>
      <c r="L1124" s="36" t="s">
        <v>6036</v>
      </c>
      <c r="M1124" s="36" t="s">
        <v>6259</v>
      </c>
      <c r="N1124" s="43" t="s">
        <v>6259</v>
      </c>
    </row>
    <row r="1125" spans="1:14" ht="11.1" customHeight="1" thickBot="1">
      <c r="A1125" s="73" t="s">
        <v>8547</v>
      </c>
      <c r="B1125" s="74" t="s">
        <v>6231</v>
      </c>
      <c r="C1125" s="75">
        <v>2369</v>
      </c>
      <c r="D1125" s="76">
        <v>1.3220013616223396E-2</v>
      </c>
      <c r="E1125" s="77" t="s">
        <v>6262</v>
      </c>
      <c r="F1125" s="78" t="s">
        <v>8548</v>
      </c>
      <c r="G1125" s="78">
        <v>36</v>
      </c>
      <c r="H1125" s="78" t="s">
        <v>0</v>
      </c>
      <c r="I1125" s="78" t="s">
        <v>6259</v>
      </c>
      <c r="J1125" s="78" t="s">
        <v>6267</v>
      </c>
      <c r="K1125" s="78" t="s">
        <v>6268</v>
      </c>
      <c r="L1125" s="78" t="s">
        <v>6036</v>
      </c>
      <c r="M1125" s="78" t="s">
        <v>6259</v>
      </c>
      <c r="N1125" s="79" t="s">
        <v>6259</v>
      </c>
    </row>
    <row r="1126" spans="1:14" ht="11.1" customHeight="1">
      <c r="A1126" s="80" t="s">
        <v>8549</v>
      </c>
      <c r="B1126" s="148" t="s">
        <v>6217</v>
      </c>
      <c r="C1126" s="149">
        <v>77152</v>
      </c>
      <c r="D1126" s="150">
        <v>0.46521387826967836</v>
      </c>
      <c r="E1126" s="151" t="s">
        <v>6251</v>
      </c>
      <c r="F1126" s="152" t="s">
        <v>8550</v>
      </c>
      <c r="G1126" s="152">
        <v>48</v>
      </c>
      <c r="H1126" s="152" t="s">
        <v>0</v>
      </c>
      <c r="I1126" s="152" t="s">
        <v>6233</v>
      </c>
      <c r="J1126" s="152" t="s">
        <v>7280</v>
      </c>
      <c r="K1126" s="152" t="s">
        <v>6259</v>
      </c>
      <c r="L1126" s="152" t="s">
        <v>6209</v>
      </c>
      <c r="M1126" s="152">
        <v>3</v>
      </c>
      <c r="N1126" s="153" t="s">
        <v>6481</v>
      </c>
    </row>
    <row r="1127" spans="1:14" ht="11.1" customHeight="1">
      <c r="A1127" s="31" t="s">
        <v>8551</v>
      </c>
      <c r="B1127" s="38" t="s">
        <v>6230</v>
      </c>
      <c r="C1127" s="39">
        <v>63017</v>
      </c>
      <c r="D1127" s="40">
        <v>0.37998215168654503</v>
      </c>
      <c r="E1127" s="41">
        <v>81.679023226876808</v>
      </c>
      <c r="F1127" s="42" t="s">
        <v>8552</v>
      </c>
      <c r="G1127" s="42">
        <v>36</v>
      </c>
      <c r="H1127" s="42" t="s">
        <v>0</v>
      </c>
      <c r="I1127" s="42" t="s">
        <v>6233</v>
      </c>
      <c r="J1127" s="42" t="s">
        <v>6257</v>
      </c>
      <c r="K1127" s="42" t="s">
        <v>6258</v>
      </c>
      <c r="L1127" s="42" t="s">
        <v>6036</v>
      </c>
      <c r="M1127" s="42" t="s">
        <v>6259</v>
      </c>
      <c r="N1127" s="43" t="s">
        <v>6260</v>
      </c>
    </row>
    <row r="1128" spans="1:14" ht="11.1" customHeight="1">
      <c r="A1128" s="31" t="s">
        <v>8553</v>
      </c>
      <c r="B1128" s="38"/>
      <c r="C1128" s="39">
        <v>23715</v>
      </c>
      <c r="D1128" s="40">
        <v>0.14299755188673557</v>
      </c>
      <c r="E1128" s="41" t="s">
        <v>6262</v>
      </c>
      <c r="F1128" s="42" t="s">
        <v>8554</v>
      </c>
      <c r="G1128" s="42">
        <v>71</v>
      </c>
      <c r="H1128" s="42" t="s">
        <v>6049</v>
      </c>
      <c r="I1128" s="42" t="s">
        <v>6259</v>
      </c>
      <c r="J1128" s="42" t="s">
        <v>6264</v>
      </c>
      <c r="K1128" s="42" t="s">
        <v>6259</v>
      </c>
      <c r="L1128" s="42" t="s">
        <v>6036</v>
      </c>
      <c r="M1128" s="42" t="s">
        <v>6259</v>
      </c>
      <c r="N1128" s="43" t="s">
        <v>6259</v>
      </c>
    </row>
    <row r="1129" spans="1:14" ht="11.1" customHeight="1">
      <c r="A1129" s="44" t="s">
        <v>8555</v>
      </c>
      <c r="B1129" s="45" t="s">
        <v>6231</v>
      </c>
      <c r="C1129" s="46">
        <v>1958</v>
      </c>
      <c r="D1129" s="47">
        <v>1.1806418157041039E-2</v>
      </c>
      <c r="E1129" s="48" t="s">
        <v>6262</v>
      </c>
      <c r="F1129" s="49" t="s">
        <v>8556</v>
      </c>
      <c r="G1129" s="49">
        <v>40</v>
      </c>
      <c r="H1129" s="49" t="s">
        <v>0</v>
      </c>
      <c r="I1129" s="49" t="s">
        <v>6259</v>
      </c>
      <c r="J1129" s="49" t="s">
        <v>6267</v>
      </c>
      <c r="K1129" s="49" t="s">
        <v>6268</v>
      </c>
      <c r="L1129" s="49" t="s">
        <v>6036</v>
      </c>
      <c r="M1129" s="49" t="s">
        <v>6259</v>
      </c>
      <c r="N1129" s="50" t="s">
        <v>6259</v>
      </c>
    </row>
    <row r="1130" spans="1:14" ht="11.1" customHeight="1">
      <c r="A1130" s="51" t="s">
        <v>8557</v>
      </c>
      <c r="B1130" s="118" t="s">
        <v>6217</v>
      </c>
      <c r="C1130" s="119">
        <v>101820</v>
      </c>
      <c r="D1130" s="120">
        <v>0.61102876311983534</v>
      </c>
      <c r="E1130" s="121" t="s">
        <v>6251</v>
      </c>
      <c r="F1130" s="122" t="s">
        <v>8558</v>
      </c>
      <c r="G1130" s="122">
        <v>64</v>
      </c>
      <c r="H1130" s="122" t="s">
        <v>0</v>
      </c>
      <c r="I1130" s="122" t="s">
        <v>6233</v>
      </c>
      <c r="J1130" s="122" t="s">
        <v>6278</v>
      </c>
      <c r="K1130" s="122" t="s">
        <v>6259</v>
      </c>
      <c r="L1130" s="122" t="s">
        <v>6209</v>
      </c>
      <c r="M1130" s="122">
        <v>2</v>
      </c>
      <c r="N1130" s="123" t="s">
        <v>8559</v>
      </c>
    </row>
    <row r="1131" spans="1:14" ht="11.1" customHeight="1">
      <c r="A1131" s="31" t="s">
        <v>8560</v>
      </c>
      <c r="B1131" s="38" t="s">
        <v>6230</v>
      </c>
      <c r="C1131" s="39">
        <v>60773</v>
      </c>
      <c r="D1131" s="40">
        <v>0.36470291711924724</v>
      </c>
      <c r="E1131" s="41">
        <v>59.686702023178157</v>
      </c>
      <c r="F1131" s="42" t="s">
        <v>8561</v>
      </c>
      <c r="G1131" s="42">
        <v>53</v>
      </c>
      <c r="H1131" s="42" t="s">
        <v>0</v>
      </c>
      <c r="I1131" s="42" t="s">
        <v>6233</v>
      </c>
      <c r="J1131" s="42" t="s">
        <v>6257</v>
      </c>
      <c r="K1131" s="42" t="s">
        <v>6350</v>
      </c>
      <c r="L1131" s="42" t="s">
        <v>6209</v>
      </c>
      <c r="M1131" s="42">
        <v>1</v>
      </c>
      <c r="N1131" s="43" t="s">
        <v>6260</v>
      </c>
    </row>
    <row r="1132" spans="1:14" ht="11.1" customHeight="1">
      <c r="A1132" s="44" t="s">
        <v>8562</v>
      </c>
      <c r="B1132" s="45" t="s">
        <v>6231</v>
      </c>
      <c r="C1132" s="46">
        <v>4044</v>
      </c>
      <c r="D1132" s="47">
        <v>2.4268319760917444E-2</v>
      </c>
      <c r="E1132" s="48" t="s">
        <v>6262</v>
      </c>
      <c r="F1132" s="49" t="s">
        <v>8563</v>
      </c>
      <c r="G1132" s="49">
        <v>65</v>
      </c>
      <c r="H1132" s="49" t="s">
        <v>0</v>
      </c>
      <c r="I1132" s="49" t="s">
        <v>6259</v>
      </c>
      <c r="J1132" s="49" t="s">
        <v>6267</v>
      </c>
      <c r="K1132" s="49" t="s">
        <v>6268</v>
      </c>
      <c r="L1132" s="49" t="s">
        <v>6036</v>
      </c>
      <c r="M1132" s="49" t="s">
        <v>6259</v>
      </c>
      <c r="N1132" s="50" t="s">
        <v>6259</v>
      </c>
    </row>
    <row r="1133" spans="1:14" ht="11.1" customHeight="1">
      <c r="A1133" s="51" t="s">
        <v>8564</v>
      </c>
      <c r="B1133" s="52" t="s">
        <v>6217</v>
      </c>
      <c r="C1133" s="53">
        <v>89266</v>
      </c>
      <c r="D1133" s="54">
        <v>0.48719865955693337</v>
      </c>
      <c r="E1133" s="55" t="s">
        <v>6251</v>
      </c>
      <c r="F1133" s="56" t="s">
        <v>8565</v>
      </c>
      <c r="G1133" s="56">
        <v>49</v>
      </c>
      <c r="H1133" s="56" t="s">
        <v>0</v>
      </c>
      <c r="I1133" s="56" t="s">
        <v>6233</v>
      </c>
      <c r="J1133" s="56" t="s">
        <v>6253</v>
      </c>
      <c r="K1133" s="56" t="s">
        <v>6053</v>
      </c>
      <c r="L1133" s="56" t="s">
        <v>6036</v>
      </c>
      <c r="M1133" s="56" t="s">
        <v>6259</v>
      </c>
      <c r="N1133" s="57" t="s">
        <v>8566</v>
      </c>
    </row>
    <row r="1134" spans="1:14" ht="11.1" customHeight="1">
      <c r="A1134" s="31" t="s">
        <v>8567</v>
      </c>
      <c r="B1134" s="38" t="s">
        <v>6230</v>
      </c>
      <c r="C1134" s="39">
        <v>43513</v>
      </c>
      <c r="D1134" s="40">
        <v>0.23748656009343805</v>
      </c>
      <c r="E1134" s="41">
        <v>48.745322967311182</v>
      </c>
      <c r="F1134" s="42" t="s">
        <v>8568</v>
      </c>
      <c r="G1134" s="42">
        <v>68</v>
      </c>
      <c r="H1134" s="42" t="s">
        <v>0</v>
      </c>
      <c r="I1134" s="42" t="s">
        <v>6233</v>
      </c>
      <c r="J1134" s="42" t="s">
        <v>6257</v>
      </c>
      <c r="K1134" s="42" t="s">
        <v>6286</v>
      </c>
      <c r="L1134" s="42" t="s">
        <v>6209</v>
      </c>
      <c r="M1134" s="42">
        <v>4</v>
      </c>
      <c r="N1134" s="43" t="s">
        <v>6260</v>
      </c>
    </row>
    <row r="1135" spans="1:14" ht="11.1" customHeight="1">
      <c r="A1135" s="31" t="s">
        <v>8569</v>
      </c>
      <c r="B1135" s="38"/>
      <c r="C1135" s="39">
        <v>24911</v>
      </c>
      <c r="D1135" s="40">
        <v>0.13596000502120367</v>
      </c>
      <c r="E1135" s="41">
        <v>27.906481751170659</v>
      </c>
      <c r="F1135" s="42" t="s">
        <v>8570</v>
      </c>
      <c r="G1135" s="42">
        <v>72</v>
      </c>
      <c r="H1135" s="42" t="s">
        <v>0</v>
      </c>
      <c r="I1135" s="42" t="s">
        <v>6233</v>
      </c>
      <c r="J1135" s="42" t="s">
        <v>6278</v>
      </c>
      <c r="K1135" s="42" t="s">
        <v>6259</v>
      </c>
      <c r="L1135" s="42" t="s">
        <v>6036</v>
      </c>
      <c r="M1135" s="42" t="s">
        <v>6259</v>
      </c>
      <c r="N1135" s="43" t="s">
        <v>6259</v>
      </c>
    </row>
    <row r="1136" spans="1:14" ht="11.1" customHeight="1">
      <c r="A1136" s="31" t="s">
        <v>8571</v>
      </c>
      <c r="B1136" s="38"/>
      <c r="C1136" s="39">
        <v>23920</v>
      </c>
      <c r="D1136" s="40">
        <v>0.13055129541596852</v>
      </c>
      <c r="E1136" s="41" t="s">
        <v>6262</v>
      </c>
      <c r="F1136" s="42" t="s">
        <v>8572</v>
      </c>
      <c r="G1136" s="42">
        <v>57</v>
      </c>
      <c r="H1136" s="42" t="s">
        <v>0</v>
      </c>
      <c r="I1136" s="42" t="s">
        <v>6259</v>
      </c>
      <c r="J1136" s="42" t="s">
        <v>6322</v>
      </c>
      <c r="K1136" s="42" t="s">
        <v>6323</v>
      </c>
      <c r="L1136" s="42" t="s">
        <v>6036</v>
      </c>
      <c r="M1136" s="42" t="s">
        <v>6259</v>
      </c>
      <c r="N1136" s="43" t="s">
        <v>6259</v>
      </c>
    </row>
    <row r="1137" spans="1:14" ht="11.1" customHeight="1">
      <c r="A1137" s="44" t="s">
        <v>8573</v>
      </c>
      <c r="B1137" s="45" t="s">
        <v>6231</v>
      </c>
      <c r="C1137" s="46">
        <v>1613</v>
      </c>
      <c r="D1137" s="47">
        <v>8.803479912456405E-3</v>
      </c>
      <c r="E1137" s="48" t="s">
        <v>6262</v>
      </c>
      <c r="F1137" s="49" t="s">
        <v>8574</v>
      </c>
      <c r="G1137" s="49">
        <v>45</v>
      </c>
      <c r="H1137" s="49" t="s">
        <v>0</v>
      </c>
      <c r="I1137" s="49" t="s">
        <v>6259</v>
      </c>
      <c r="J1137" s="49" t="s">
        <v>6267</v>
      </c>
      <c r="K1137" s="49" t="s">
        <v>6268</v>
      </c>
      <c r="L1137" s="49" t="s">
        <v>6036</v>
      </c>
      <c r="M1137" s="49" t="s">
        <v>6259</v>
      </c>
      <c r="N1137" s="50" t="s">
        <v>6259</v>
      </c>
    </row>
    <row r="1138" spans="1:14" ht="11.1" customHeight="1">
      <c r="A1138" s="51" t="s">
        <v>8575</v>
      </c>
      <c r="B1138" s="52" t="s">
        <v>6217</v>
      </c>
      <c r="C1138" s="53">
        <v>89680</v>
      </c>
      <c r="D1138" s="54">
        <v>0.54705943354216102</v>
      </c>
      <c r="E1138" s="55" t="s">
        <v>6251</v>
      </c>
      <c r="F1138" s="56" t="s">
        <v>8576</v>
      </c>
      <c r="G1138" s="56">
        <v>50</v>
      </c>
      <c r="H1138" s="56" t="s">
        <v>0</v>
      </c>
      <c r="I1138" s="56" t="s">
        <v>6233</v>
      </c>
      <c r="J1138" s="56" t="s">
        <v>6253</v>
      </c>
      <c r="K1138" s="56" t="s">
        <v>6053</v>
      </c>
      <c r="L1138" s="56" t="s">
        <v>6036</v>
      </c>
      <c r="M1138" s="56" t="s">
        <v>6259</v>
      </c>
      <c r="N1138" s="57" t="s">
        <v>8566</v>
      </c>
    </row>
    <row r="1139" spans="1:14" ht="11.1" customHeight="1">
      <c r="A1139" s="31" t="s">
        <v>8577</v>
      </c>
      <c r="B1139" s="38" t="s">
        <v>6230</v>
      </c>
      <c r="C1139" s="39">
        <v>71653</v>
      </c>
      <c r="D1139" s="40">
        <v>0.43709243523189634</v>
      </c>
      <c r="E1139" s="41">
        <v>79.898528099910791</v>
      </c>
      <c r="F1139" s="42" t="s">
        <v>8578</v>
      </c>
      <c r="G1139" s="42">
        <v>55</v>
      </c>
      <c r="H1139" s="42" t="s">
        <v>0</v>
      </c>
      <c r="I1139" s="42" t="s">
        <v>6233</v>
      </c>
      <c r="J1139" s="42" t="s">
        <v>6257</v>
      </c>
      <c r="K1139" s="42" t="s">
        <v>6273</v>
      </c>
      <c r="L1139" s="42" t="s">
        <v>6209</v>
      </c>
      <c r="M1139" s="42">
        <v>2</v>
      </c>
      <c r="N1139" s="43" t="s">
        <v>6260</v>
      </c>
    </row>
    <row r="1140" spans="1:14" ht="11.1" customHeight="1" thickBot="1">
      <c r="A1140" s="73" t="s">
        <v>8579</v>
      </c>
      <c r="B1140" s="74" t="s">
        <v>6231</v>
      </c>
      <c r="C1140" s="75">
        <v>2598</v>
      </c>
      <c r="D1140" s="76">
        <v>1.5848131225942624E-2</v>
      </c>
      <c r="E1140" s="77" t="s">
        <v>6262</v>
      </c>
      <c r="F1140" s="78" t="s">
        <v>8580</v>
      </c>
      <c r="G1140" s="78">
        <v>34</v>
      </c>
      <c r="H1140" s="78" t="s">
        <v>0</v>
      </c>
      <c r="I1140" s="78" t="s">
        <v>6259</v>
      </c>
      <c r="J1140" s="78" t="s">
        <v>6267</v>
      </c>
      <c r="K1140" s="78" t="s">
        <v>6268</v>
      </c>
      <c r="L1140" s="78" t="s">
        <v>6036</v>
      </c>
      <c r="M1140" s="78" t="s">
        <v>6259</v>
      </c>
      <c r="N1140" s="79" t="s">
        <v>6259</v>
      </c>
    </row>
    <row r="1142" spans="1:14" ht="11.1" customHeight="1" thickBot="1">
      <c r="C1142" s="1449" t="s">
        <v>6234</v>
      </c>
      <c r="D1142" s="1449"/>
      <c r="E1142" s="1449"/>
      <c r="F1142" s="1449"/>
      <c r="G1142" s="1449"/>
      <c r="H1142" s="1449"/>
      <c r="I1142" s="1449"/>
      <c r="J1142" s="1449"/>
    </row>
    <row r="1143" spans="1:14" ht="11.1" customHeight="1" thickBot="1">
      <c r="C1143" s="155" t="s">
        <v>6235</v>
      </c>
      <c r="D1143" s="156" t="s">
        <v>6236</v>
      </c>
      <c r="E1143" s="1384" t="s">
        <v>6237</v>
      </c>
      <c r="F1143" s="1385"/>
      <c r="G1143" s="1385"/>
      <c r="H1143" s="1385"/>
      <c r="I1143" s="1385"/>
      <c r="J1143" s="156" t="s">
        <v>6219</v>
      </c>
    </row>
    <row r="1144" spans="1:14" ht="11.1" customHeight="1">
      <c r="C1144" s="157" t="s">
        <v>6042</v>
      </c>
      <c r="D1144" s="158">
        <f>SUMPRODUCT((($J$2:$J$1140)="０１自民党")*(($B$2:$B$1140)="当選"))</f>
        <v>64</v>
      </c>
      <c r="E1144" s="1450">
        <f>SUMIF($J$2:$J$1140,"０１自民党",$C$2:$C$1140)</f>
        <v>27301980</v>
      </c>
      <c r="F1144" s="1451"/>
      <c r="G1144" s="1451"/>
      <c r="H1144" s="1452"/>
      <c r="I1144" s="159" t="s">
        <v>6238</v>
      </c>
      <c r="J1144" s="160">
        <f t="shared" ref="J1144:J1154" si="0">E1144/$E$1155</f>
        <v>0.38681442151536438</v>
      </c>
      <c r="M1144" s="1453" t="s">
        <v>6042</v>
      </c>
      <c r="N1144" s="1454"/>
    </row>
    <row r="1145" spans="1:14" ht="11.1" customHeight="1">
      <c r="C1145" s="161" t="s">
        <v>6206</v>
      </c>
      <c r="D1145" s="162">
        <f>SUMPRODUCT((($J$2:$J$1140)="０２民主党")*(($B$2:$B$1140)="当選"))</f>
        <v>221</v>
      </c>
      <c r="E1145" s="1426">
        <f>SUMIF($J$2:$J$1140,"０２民主党",$C$2:$C$1140)</f>
        <v>33475329</v>
      </c>
      <c r="F1145" s="1427"/>
      <c r="G1145" s="1427"/>
      <c r="H1145" s="1428"/>
      <c r="I1145" s="163" t="s">
        <v>6238</v>
      </c>
      <c r="J1145" s="164">
        <f t="shared" si="0"/>
        <v>0.47427842310966095</v>
      </c>
      <c r="M1145" s="1455" t="s">
        <v>6206</v>
      </c>
      <c r="N1145" s="1456"/>
    </row>
    <row r="1146" spans="1:14" ht="11.1" customHeight="1">
      <c r="C1146" s="165" t="s">
        <v>6239</v>
      </c>
      <c r="D1146" s="162">
        <f>SUMPRODUCT((($J$2:$J$1140)="０３公明党")*(($B$2:$B$1140)="当選"))</f>
        <v>0</v>
      </c>
      <c r="E1146" s="1426">
        <f>SUMIF($J$2:$J$1140,"０３公明党",$C$2:$C$1140)</f>
        <v>782984</v>
      </c>
      <c r="F1146" s="1427"/>
      <c r="G1146" s="1427"/>
      <c r="H1146" s="1428"/>
      <c r="I1146" s="163" t="s">
        <v>6238</v>
      </c>
      <c r="J1146" s="164">
        <f t="shared" si="0"/>
        <v>1.1093316419387388E-2</v>
      </c>
      <c r="M1146" s="1440" t="s">
        <v>6239</v>
      </c>
      <c r="N1146" s="1441"/>
    </row>
    <row r="1147" spans="1:14" ht="11.1" customHeight="1">
      <c r="C1147" s="166" t="s">
        <v>6240</v>
      </c>
      <c r="D1147" s="162">
        <f>SUMPRODUCT((($J$2:$J$1140)="０４共産党")*(($B$2:$B$1140)="当選"))</f>
        <v>0</v>
      </c>
      <c r="E1147" s="1426">
        <f>SUMIF($J$2:$J$1140,"０４共産党",$C$2:$C$1140)</f>
        <v>2978353</v>
      </c>
      <c r="F1147" s="1427"/>
      <c r="G1147" s="1427"/>
      <c r="H1147" s="1428"/>
      <c r="I1147" s="163" t="s">
        <v>6238</v>
      </c>
      <c r="J1147" s="164">
        <f t="shared" si="0"/>
        <v>4.2197301908636298E-2</v>
      </c>
      <c r="M1147" s="1442" t="s">
        <v>6240</v>
      </c>
      <c r="N1147" s="1443"/>
    </row>
    <row r="1148" spans="1:14" ht="11.1" customHeight="1">
      <c r="C1148" s="167" t="s">
        <v>6241</v>
      </c>
      <c r="D1148" s="162">
        <f>SUMPRODUCT((($J$2:$J$1140)="０５社民党")*(($B$2:$B$1140)="当選"))</f>
        <v>3</v>
      </c>
      <c r="E1148" s="1426">
        <f>SUMIF($J$2:$J$1140,"０５社民党",$C$2:$C$1140)</f>
        <v>1376739</v>
      </c>
      <c r="F1148" s="1427"/>
      <c r="G1148" s="1427"/>
      <c r="H1148" s="1428"/>
      <c r="I1148" s="163" t="s">
        <v>6238</v>
      </c>
      <c r="J1148" s="164">
        <f t="shared" si="0"/>
        <v>1.9505636582498459E-2</v>
      </c>
      <c r="M1148" s="1444" t="s">
        <v>6241</v>
      </c>
      <c r="N1148" s="1445"/>
    </row>
    <row r="1149" spans="1:14" ht="11.1" customHeight="1">
      <c r="C1149" s="168" t="s">
        <v>6242</v>
      </c>
      <c r="D1149" s="162">
        <f>SUMPRODUCT((($J$2:$J$1140)="０６国民新")*(($B$2:$B$1140)="当選"))</f>
        <v>3</v>
      </c>
      <c r="E1149" s="1426">
        <f>SUMIF($J$2:$J$1140,"０６国民新",$C$2:$C$1140)</f>
        <v>730570</v>
      </c>
      <c r="F1149" s="1427"/>
      <c r="G1149" s="1427"/>
      <c r="H1149" s="1428"/>
      <c r="I1149" s="163" t="s">
        <v>6238</v>
      </c>
      <c r="J1149" s="164">
        <f t="shared" si="0"/>
        <v>1.0350714927140073E-2</v>
      </c>
      <c r="M1149" s="1457" t="s">
        <v>6242</v>
      </c>
      <c r="N1149" s="1458"/>
    </row>
    <row r="1150" spans="1:14" ht="11.1" customHeight="1">
      <c r="C1150" s="169" t="s">
        <v>6243</v>
      </c>
      <c r="D1150" s="162">
        <f>SUMPRODUCT((($J$2:$J$1140)="０７みんな")*(($B$2:$B$1140)="当選"))</f>
        <v>2</v>
      </c>
      <c r="E1150" s="1426">
        <f>SUMIF($J$2:$J$1140,"０７みんな",$C$2:$C$1140)</f>
        <v>615244</v>
      </c>
      <c r="F1150" s="1427"/>
      <c r="G1150" s="1427"/>
      <c r="H1150" s="1428"/>
      <c r="I1150" s="163" t="s">
        <v>6238</v>
      </c>
      <c r="J1150" s="164">
        <f t="shared" si="0"/>
        <v>8.7167762906133119E-3</v>
      </c>
      <c r="M1150" s="1459" t="s">
        <v>6243</v>
      </c>
      <c r="N1150" s="1460"/>
    </row>
    <row r="1151" spans="1:14" ht="11.1" customHeight="1">
      <c r="C1151" s="170" t="s">
        <v>6244</v>
      </c>
      <c r="D1151" s="162">
        <f>SUMPRODUCT((($J$2:$J$1140)="０８改革ク")*(($B$2:$B$1140)="当選"))</f>
        <v>0</v>
      </c>
      <c r="E1151" s="1426">
        <f>SUMIF($J$2:$J$1140,"０８改革ク",$C$2:$C$1140)</f>
        <v>36650</v>
      </c>
      <c r="F1151" s="1427"/>
      <c r="G1151" s="1427"/>
      <c r="H1151" s="1428"/>
      <c r="I1151" s="163" t="s">
        <v>6238</v>
      </c>
      <c r="J1151" s="164">
        <f t="shared" si="0"/>
        <v>5.1925715821849198E-4</v>
      </c>
      <c r="M1151" s="1438" t="s">
        <v>6244</v>
      </c>
      <c r="N1151" s="1439"/>
    </row>
    <row r="1152" spans="1:14" ht="11.1" customHeight="1">
      <c r="C1152" s="171" t="s">
        <v>6245</v>
      </c>
      <c r="D1152" s="162">
        <f>SUMPRODUCT((($J$2:$J$1140)="０９新日本")*(($B$2:$B$1140)="当選"))</f>
        <v>1</v>
      </c>
      <c r="E1152" s="1426">
        <f>SUMIF($J$2:$J$1140,"０９新日本",$C$2:$C$1140)</f>
        <v>220223</v>
      </c>
      <c r="F1152" s="1427"/>
      <c r="G1152" s="1427"/>
      <c r="H1152" s="1428"/>
      <c r="I1152" s="163" t="s">
        <v>6238</v>
      </c>
      <c r="J1152" s="164">
        <f t="shared" si="0"/>
        <v>3.1201192129427274E-3</v>
      </c>
      <c r="M1152" s="1429" t="s">
        <v>6245</v>
      </c>
      <c r="N1152" s="1430"/>
    </row>
    <row r="1153" spans="1:17" ht="11.1" customHeight="1">
      <c r="C1153" s="172" t="s">
        <v>6246</v>
      </c>
      <c r="D1153" s="162">
        <f>SUMPRODUCT((($J$2:$J$1140)="１０諸　派")*(($B$2:$B$1140)="当選"))</f>
        <v>0</v>
      </c>
      <c r="E1153" s="1426">
        <f>SUMIF($J$2:$J$1140,"１０諸　派",$C$2:$C$1140)</f>
        <v>1077541</v>
      </c>
      <c r="F1153" s="1427"/>
      <c r="G1153" s="1427"/>
      <c r="H1153" s="1428"/>
      <c r="I1153" s="163" t="s">
        <v>6238</v>
      </c>
      <c r="J1153" s="164">
        <f t="shared" si="0"/>
        <v>1.5266599659588325E-2</v>
      </c>
      <c r="M1153" s="1431" t="s">
        <v>6246</v>
      </c>
      <c r="N1153" s="1432"/>
    </row>
    <row r="1154" spans="1:17" ht="11.1" customHeight="1" thickBot="1">
      <c r="C1154" s="173" t="s">
        <v>6247</v>
      </c>
      <c r="D1154" s="174">
        <f>SUMPRODUCT((($J$2:$J$1140)="１１無所属")*(($B$2:$B$1140)="当選"))</f>
        <v>6</v>
      </c>
      <c r="E1154" s="1433">
        <f>SUMIF($J$2:$J$1140,"１１無所属",$C$2:$C$1140)</f>
        <v>1985985</v>
      </c>
      <c r="F1154" s="1434"/>
      <c r="G1154" s="1434"/>
      <c r="H1154" s="1435"/>
      <c r="I1154" s="175" t="s">
        <v>6238</v>
      </c>
      <c r="J1154" s="176">
        <f t="shared" si="0"/>
        <v>2.8137433215949574E-2</v>
      </c>
      <c r="M1154" s="1436" t="s">
        <v>6247</v>
      </c>
      <c r="N1154" s="1437"/>
    </row>
    <row r="1155" spans="1:17" ht="11.1" customHeight="1" thickBot="1">
      <c r="C1155" s="177" t="s">
        <v>6248</v>
      </c>
      <c r="D1155" s="178">
        <f>SUM(D1144:D1154)</f>
        <v>300</v>
      </c>
      <c r="E1155" s="1446">
        <f>SUM(E1144:H1154)</f>
        <v>70581598</v>
      </c>
      <c r="F1155" s="1447"/>
      <c r="G1155" s="1447"/>
      <c r="H1155" s="1448"/>
      <c r="I1155" s="179" t="s">
        <v>6238</v>
      </c>
      <c r="J1155" s="180"/>
    </row>
    <row r="1156" spans="1:17" ht="11.1" customHeight="1" thickBot="1">
      <c r="C1156" s="181" t="s">
        <v>6249</v>
      </c>
      <c r="D1156" s="182">
        <f>300-D1155</f>
        <v>0</v>
      </c>
    </row>
    <row r="1157" spans="1:17" ht="11.1" customHeight="1" thickBot="1"/>
    <row r="1158" spans="1:17" ht="11.1" customHeight="1" thickBot="1">
      <c r="A1158" s="26" t="s">
        <v>6216</v>
      </c>
      <c r="B1158" s="183" t="s">
        <v>8581</v>
      </c>
      <c r="C1158" s="183" t="s">
        <v>8582</v>
      </c>
      <c r="D1158" s="27" t="s">
        <v>6224</v>
      </c>
      <c r="E1158" s="27" t="s">
        <v>6220</v>
      </c>
      <c r="F1158" s="27" t="s">
        <v>6221</v>
      </c>
      <c r="G1158" s="27" t="s">
        <v>6222</v>
      </c>
      <c r="H1158" s="27" t="s">
        <v>6223</v>
      </c>
      <c r="I1158" s="27" t="s">
        <v>6224</v>
      </c>
      <c r="J1158" s="27" t="s">
        <v>6225</v>
      </c>
      <c r="K1158" s="27" t="s">
        <v>6226</v>
      </c>
      <c r="L1158" s="27" t="s">
        <v>6227</v>
      </c>
      <c r="M1158" s="27" t="s">
        <v>6228</v>
      </c>
      <c r="N1158" s="28" t="s">
        <v>6229</v>
      </c>
      <c r="O1158" s="184" t="s">
        <v>8583</v>
      </c>
      <c r="P1158" s="184" t="s">
        <v>6237</v>
      </c>
      <c r="Q1158" s="184" t="s">
        <v>6219</v>
      </c>
    </row>
    <row r="1159" spans="1:17" ht="11.1" customHeight="1" thickTop="1">
      <c r="A1159" s="31" t="s">
        <v>8584</v>
      </c>
      <c r="B1159" s="185" t="s">
        <v>6217</v>
      </c>
      <c r="C1159" s="185">
        <v>1</v>
      </c>
      <c r="D1159" s="59" t="s">
        <v>8585</v>
      </c>
      <c r="E1159" s="186">
        <v>88.62</v>
      </c>
      <c r="F1159" s="59" t="s">
        <v>6349</v>
      </c>
      <c r="G1159" s="59">
        <v>68</v>
      </c>
      <c r="H1159" s="59" t="s">
        <v>0</v>
      </c>
      <c r="I1159" s="59" t="s">
        <v>8586</v>
      </c>
      <c r="J1159" s="59" t="s">
        <v>6257</v>
      </c>
      <c r="K1159" s="59" t="s">
        <v>6350</v>
      </c>
      <c r="L1159" s="59" t="s">
        <v>6209</v>
      </c>
      <c r="M1159" s="59">
        <v>7</v>
      </c>
      <c r="N1159" s="133" t="s">
        <v>6260</v>
      </c>
      <c r="O1159" s="1415">
        <v>2</v>
      </c>
      <c r="P1159" s="1393">
        <v>805895</v>
      </c>
      <c r="Q1159" s="1396" t="e">
        <f>P1159/SUM($P$2:$P$47)</f>
        <v>#DIV/0!</v>
      </c>
    </row>
    <row r="1160" spans="1:17" ht="11.1" customHeight="1">
      <c r="A1160" s="31" t="s">
        <v>8587</v>
      </c>
      <c r="B1160" s="185" t="s">
        <v>6217</v>
      </c>
      <c r="C1160" s="185">
        <v>1</v>
      </c>
      <c r="D1160" s="59" t="s">
        <v>8588</v>
      </c>
      <c r="E1160" s="186">
        <v>82.78</v>
      </c>
      <c r="F1160" s="59" t="s">
        <v>6298</v>
      </c>
      <c r="G1160" s="59">
        <v>64</v>
      </c>
      <c r="H1160" s="59" t="s">
        <v>0</v>
      </c>
      <c r="I1160" s="59" t="s">
        <v>8586</v>
      </c>
      <c r="J1160" s="59" t="s">
        <v>6257</v>
      </c>
      <c r="K1160" s="59" t="s">
        <v>6286</v>
      </c>
      <c r="L1160" s="59" t="s">
        <v>6209</v>
      </c>
      <c r="M1160" s="59">
        <v>8</v>
      </c>
      <c r="N1160" s="133" t="s">
        <v>6260</v>
      </c>
      <c r="O1160" s="1415"/>
      <c r="P1160" s="1393"/>
      <c r="Q1160" s="1396"/>
    </row>
    <row r="1161" spans="1:17" ht="11.1" customHeight="1">
      <c r="A1161" s="31" t="s">
        <v>8589</v>
      </c>
      <c r="B1161" s="187"/>
      <c r="C1161" s="187">
        <v>1</v>
      </c>
      <c r="D1161" s="42" t="s">
        <v>8590</v>
      </c>
      <c r="E1161" s="188">
        <v>75.7</v>
      </c>
      <c r="F1161" s="42" t="s">
        <v>6343</v>
      </c>
      <c r="G1161" s="42">
        <v>56</v>
      </c>
      <c r="H1161" s="42" t="s">
        <v>0</v>
      </c>
      <c r="I1161" s="42" t="s">
        <v>8586</v>
      </c>
      <c r="J1161" s="42" t="s">
        <v>6257</v>
      </c>
      <c r="K1161" s="42" t="s">
        <v>6311</v>
      </c>
      <c r="L1161" s="42" t="s">
        <v>6209</v>
      </c>
      <c r="M1161" s="42">
        <v>8</v>
      </c>
      <c r="N1161" s="43" t="s">
        <v>6260</v>
      </c>
      <c r="O1161" s="1415"/>
      <c r="P1161" s="1393"/>
      <c r="Q1161" s="1396"/>
    </row>
    <row r="1162" spans="1:17" ht="11.1" customHeight="1">
      <c r="A1162" s="31" t="s">
        <v>8591</v>
      </c>
      <c r="B1162" s="187"/>
      <c r="C1162" s="187">
        <v>1</v>
      </c>
      <c r="D1162" s="42" t="s">
        <v>8592</v>
      </c>
      <c r="E1162" s="188">
        <v>68.209999999999994</v>
      </c>
      <c r="F1162" s="42" t="s">
        <v>6304</v>
      </c>
      <c r="G1162" s="42">
        <v>62</v>
      </c>
      <c r="H1162" s="42" t="s">
        <v>0</v>
      </c>
      <c r="I1162" s="42" t="s">
        <v>8586</v>
      </c>
      <c r="J1162" s="42" t="s">
        <v>6257</v>
      </c>
      <c r="K1162" s="42" t="s">
        <v>6273</v>
      </c>
      <c r="L1162" s="42" t="s">
        <v>6209</v>
      </c>
      <c r="M1162" s="42">
        <v>4</v>
      </c>
      <c r="N1162" s="43" t="s">
        <v>6260</v>
      </c>
      <c r="O1162" s="1415"/>
      <c r="P1162" s="1393"/>
      <c r="Q1162" s="1396"/>
    </row>
    <row r="1163" spans="1:17" ht="11.1" customHeight="1">
      <c r="A1163" s="31" t="s">
        <v>8593</v>
      </c>
      <c r="B1163" s="187"/>
      <c r="C1163" s="187">
        <v>1</v>
      </c>
      <c r="D1163" s="42" t="s">
        <v>8594</v>
      </c>
      <c r="E1163" s="188">
        <v>67.87</v>
      </c>
      <c r="F1163" s="42" t="s">
        <v>6256</v>
      </c>
      <c r="G1163" s="42">
        <v>38</v>
      </c>
      <c r="H1163" s="42" t="s">
        <v>0</v>
      </c>
      <c r="I1163" s="42" t="s">
        <v>8586</v>
      </c>
      <c r="J1163" s="42" t="s">
        <v>6257</v>
      </c>
      <c r="K1163" s="42" t="s">
        <v>6258</v>
      </c>
      <c r="L1163" s="42" t="s">
        <v>6036</v>
      </c>
      <c r="M1163" s="42"/>
      <c r="N1163" s="43" t="s">
        <v>6260</v>
      </c>
      <c r="O1163" s="1415"/>
      <c r="P1163" s="1393"/>
      <c r="Q1163" s="1396"/>
    </row>
    <row r="1164" spans="1:17" ht="11.1" customHeight="1">
      <c r="A1164" s="31" t="s">
        <v>8595</v>
      </c>
      <c r="B1164" s="187"/>
      <c r="C1164" s="187">
        <v>1</v>
      </c>
      <c r="D1164" s="42" t="s">
        <v>8596</v>
      </c>
      <c r="E1164" s="188">
        <v>60.64</v>
      </c>
      <c r="F1164" s="42" t="s">
        <v>6285</v>
      </c>
      <c r="G1164" s="42">
        <v>54</v>
      </c>
      <c r="H1164" s="42" t="s">
        <v>0</v>
      </c>
      <c r="I1164" s="42" t="s">
        <v>8586</v>
      </c>
      <c r="J1164" s="42" t="s">
        <v>6257</v>
      </c>
      <c r="K1164" s="42" t="s">
        <v>6286</v>
      </c>
      <c r="L1164" s="42" t="s">
        <v>6209</v>
      </c>
      <c r="M1164" s="42">
        <v>3</v>
      </c>
      <c r="N1164" s="43" t="s">
        <v>6260</v>
      </c>
      <c r="O1164" s="1415"/>
      <c r="P1164" s="1393"/>
      <c r="Q1164" s="1396"/>
    </row>
    <row r="1165" spans="1:17" ht="11.1" customHeight="1">
      <c r="A1165" s="31" t="s">
        <v>8597</v>
      </c>
      <c r="B1165" s="187"/>
      <c r="C1165" s="187">
        <v>1</v>
      </c>
      <c r="D1165" s="42" t="s">
        <v>8598</v>
      </c>
      <c r="E1165" s="188">
        <v>56.8</v>
      </c>
      <c r="F1165" s="42" t="s">
        <v>6272</v>
      </c>
      <c r="G1165" s="42">
        <v>58</v>
      </c>
      <c r="H1165" s="42" t="s">
        <v>0</v>
      </c>
      <c r="I1165" s="42" t="s">
        <v>8586</v>
      </c>
      <c r="J1165" s="42" t="s">
        <v>6257</v>
      </c>
      <c r="K1165" s="42" t="s">
        <v>6273</v>
      </c>
      <c r="L1165" s="42" t="s">
        <v>6209</v>
      </c>
      <c r="M1165" s="42">
        <v>3</v>
      </c>
      <c r="N1165" s="43" t="s">
        <v>6260</v>
      </c>
      <c r="O1165" s="1415"/>
      <c r="P1165" s="1393"/>
      <c r="Q1165" s="1396"/>
    </row>
    <row r="1166" spans="1:17" ht="11.1" customHeight="1">
      <c r="A1166" s="31" t="s">
        <v>8599</v>
      </c>
      <c r="B1166" s="187"/>
      <c r="C1166" s="187">
        <v>1</v>
      </c>
      <c r="D1166" s="42" t="s">
        <v>8600</v>
      </c>
      <c r="E1166" s="188">
        <v>55.99</v>
      </c>
      <c r="F1166" s="42" t="s">
        <v>6337</v>
      </c>
      <c r="G1166" s="42">
        <v>45</v>
      </c>
      <c r="H1166" s="42" t="s">
        <v>6049</v>
      </c>
      <c r="I1166" s="42" t="s">
        <v>8586</v>
      </c>
      <c r="J1166" s="42" t="s">
        <v>6257</v>
      </c>
      <c r="K1166" s="42" t="s">
        <v>6258</v>
      </c>
      <c r="L1166" s="42" t="s">
        <v>6209</v>
      </c>
      <c r="M1166" s="42">
        <v>1</v>
      </c>
      <c r="N1166" s="43" t="s">
        <v>6260</v>
      </c>
      <c r="O1166" s="1415"/>
      <c r="P1166" s="1393"/>
      <c r="Q1166" s="1396"/>
    </row>
    <row r="1167" spans="1:17" ht="11.1" customHeight="1">
      <c r="A1167" s="31" t="s">
        <v>8601</v>
      </c>
      <c r="B1167" s="187"/>
      <c r="C1167" s="187">
        <v>1</v>
      </c>
      <c r="D1167" s="42" t="s">
        <v>8602</v>
      </c>
      <c r="E1167" s="188">
        <v>50.12</v>
      </c>
      <c r="F1167" s="42" t="s">
        <v>6292</v>
      </c>
      <c r="G1167" s="42">
        <v>44</v>
      </c>
      <c r="H1167" s="42" t="s">
        <v>0</v>
      </c>
      <c r="I1167" s="42" t="s">
        <v>8586</v>
      </c>
      <c r="J1167" s="42" t="s">
        <v>6257</v>
      </c>
      <c r="K1167" s="42" t="s">
        <v>6258</v>
      </c>
      <c r="L1167" s="42" t="s">
        <v>6036</v>
      </c>
      <c r="M1167" s="42"/>
      <c r="N1167" s="43" t="s">
        <v>6260</v>
      </c>
      <c r="O1167" s="1415"/>
      <c r="P1167" s="1393"/>
      <c r="Q1167" s="1396"/>
    </row>
    <row r="1168" spans="1:17" ht="11.1" customHeight="1">
      <c r="A1168" s="31" t="s">
        <v>8603</v>
      </c>
      <c r="B1168" s="187"/>
      <c r="C1168" s="187">
        <v>1</v>
      </c>
      <c r="D1168" s="42" t="s">
        <v>8604</v>
      </c>
      <c r="E1168" s="188">
        <v>39.270000000000003</v>
      </c>
      <c r="F1168" s="42" t="s">
        <v>6329</v>
      </c>
      <c r="G1168" s="42">
        <v>38</v>
      </c>
      <c r="H1168" s="42" t="s">
        <v>0</v>
      </c>
      <c r="I1168" s="42" t="s">
        <v>8586</v>
      </c>
      <c r="J1168" s="42" t="s">
        <v>6257</v>
      </c>
      <c r="K1168" s="42" t="s">
        <v>6258</v>
      </c>
      <c r="L1168" s="42" t="s">
        <v>6036</v>
      </c>
      <c r="M1168" s="42"/>
      <c r="N1168" s="43" t="s">
        <v>6260</v>
      </c>
      <c r="O1168" s="1415"/>
      <c r="P1168" s="1393"/>
      <c r="Q1168" s="1396"/>
    </row>
    <row r="1169" spans="1:17" ht="11.1" customHeight="1">
      <c r="A1169" s="31" t="s">
        <v>8605</v>
      </c>
      <c r="B1169" s="187"/>
      <c r="C1169" s="187">
        <v>1</v>
      </c>
      <c r="D1169" s="42" t="s">
        <v>8606</v>
      </c>
      <c r="E1169" s="188">
        <v>33.92</v>
      </c>
      <c r="F1169" s="189" t="s">
        <v>6319</v>
      </c>
      <c r="G1169" s="42">
        <v>63</v>
      </c>
      <c r="H1169" s="42" t="s">
        <v>0</v>
      </c>
      <c r="I1169" s="42" t="s">
        <v>8586</v>
      </c>
      <c r="J1169" s="42" t="s">
        <v>6257</v>
      </c>
      <c r="K1169" s="42" t="s">
        <v>6286</v>
      </c>
      <c r="L1169" s="42" t="s">
        <v>6036</v>
      </c>
      <c r="M1169" s="42"/>
      <c r="N1169" s="43"/>
      <c r="O1169" s="1415"/>
      <c r="P1169" s="1393"/>
      <c r="Q1169" s="1396"/>
    </row>
    <row r="1170" spans="1:17" ht="11.1" customHeight="1">
      <c r="A1170" s="31" t="s">
        <v>8607</v>
      </c>
      <c r="B1170" s="187"/>
      <c r="C1170" s="187">
        <v>13</v>
      </c>
      <c r="D1170" s="42" t="s">
        <v>8608</v>
      </c>
      <c r="E1170" s="188" t="s">
        <v>6262</v>
      </c>
      <c r="F1170" s="42" t="s">
        <v>8609</v>
      </c>
      <c r="G1170" s="42">
        <v>33</v>
      </c>
      <c r="H1170" s="42" t="s">
        <v>0</v>
      </c>
      <c r="I1170" s="42"/>
      <c r="J1170" s="42" t="s">
        <v>6257</v>
      </c>
      <c r="K1170" s="42" t="s">
        <v>6258</v>
      </c>
      <c r="L1170" s="42" t="s">
        <v>6036</v>
      </c>
      <c r="M1170" s="42"/>
      <c r="N1170" s="43"/>
      <c r="O1170" s="1415"/>
      <c r="P1170" s="1393"/>
      <c r="Q1170" s="1396"/>
    </row>
    <row r="1171" spans="1:17" ht="11.1" customHeight="1">
      <c r="A1171" s="31" t="s">
        <v>8610</v>
      </c>
      <c r="B1171" s="187"/>
      <c r="C1171" s="187">
        <v>14</v>
      </c>
      <c r="D1171" s="42" t="s">
        <v>8608</v>
      </c>
      <c r="E1171" s="188" t="s">
        <v>6262</v>
      </c>
      <c r="F1171" s="42" t="s">
        <v>8611</v>
      </c>
      <c r="G1171" s="42">
        <v>32</v>
      </c>
      <c r="H1171" s="42" t="s">
        <v>0</v>
      </c>
      <c r="I1171" s="42"/>
      <c r="J1171" s="42" t="s">
        <v>6257</v>
      </c>
      <c r="K1171" s="42" t="s">
        <v>6258</v>
      </c>
      <c r="L1171" s="42" t="s">
        <v>6036</v>
      </c>
      <c r="M1171" s="42"/>
      <c r="N1171" s="43"/>
      <c r="O1171" s="1415"/>
      <c r="P1171" s="1393"/>
      <c r="Q1171" s="1396"/>
    </row>
    <row r="1172" spans="1:17" ht="11.1" customHeight="1">
      <c r="A1172" s="31" t="s">
        <v>8612</v>
      </c>
      <c r="B1172" s="187"/>
      <c r="C1172" s="187">
        <v>15</v>
      </c>
      <c r="D1172" s="42" t="s">
        <v>8608</v>
      </c>
      <c r="E1172" s="188" t="s">
        <v>6262</v>
      </c>
      <c r="F1172" s="42" t="s">
        <v>8613</v>
      </c>
      <c r="G1172" s="42">
        <v>29</v>
      </c>
      <c r="H1172" s="42" t="s">
        <v>0</v>
      </c>
      <c r="I1172" s="42"/>
      <c r="J1172" s="42" t="s">
        <v>6257</v>
      </c>
      <c r="K1172" s="42" t="s">
        <v>6258</v>
      </c>
      <c r="L1172" s="42" t="s">
        <v>6036</v>
      </c>
      <c r="M1172" s="42"/>
      <c r="N1172" s="43"/>
      <c r="O1172" s="1415"/>
      <c r="P1172" s="1393"/>
      <c r="Q1172" s="1396"/>
    </row>
    <row r="1173" spans="1:17" ht="11.1" customHeight="1">
      <c r="A1173" s="44" t="s">
        <v>8614</v>
      </c>
      <c r="B1173" s="190" t="s">
        <v>8615</v>
      </c>
      <c r="C1173" s="190">
        <v>1</v>
      </c>
      <c r="D1173" s="97" t="s">
        <v>8616</v>
      </c>
      <c r="E1173" s="191"/>
      <c r="F1173" s="97" t="s">
        <v>6310</v>
      </c>
      <c r="G1173" s="97">
        <v>60</v>
      </c>
      <c r="H1173" s="97" t="s">
        <v>0</v>
      </c>
      <c r="I1173" s="97" t="s">
        <v>8586</v>
      </c>
      <c r="J1173" s="97" t="s">
        <v>6257</v>
      </c>
      <c r="K1173" s="97" t="s">
        <v>6311</v>
      </c>
      <c r="L1173" s="97" t="s">
        <v>6036</v>
      </c>
      <c r="M1173" s="97"/>
      <c r="N1173" s="50" t="s">
        <v>6260</v>
      </c>
      <c r="O1173" s="1416"/>
      <c r="P1173" s="1394"/>
      <c r="Q1173" s="1397"/>
    </row>
    <row r="1174" spans="1:17" ht="11.1" customHeight="1">
      <c r="A1174" s="51" t="s">
        <v>8617</v>
      </c>
      <c r="B1174" s="192" t="s">
        <v>6217</v>
      </c>
      <c r="C1174" s="192">
        <v>1</v>
      </c>
      <c r="D1174" s="56" t="s">
        <v>8616</v>
      </c>
      <c r="E1174" s="193">
        <v>99.09</v>
      </c>
      <c r="F1174" s="56" t="s">
        <v>6313</v>
      </c>
      <c r="G1174" s="36">
        <v>50</v>
      </c>
      <c r="H1174" s="56" t="s">
        <v>6049</v>
      </c>
      <c r="I1174" s="36" t="s">
        <v>8586</v>
      </c>
      <c r="J1174" s="56" t="s">
        <v>6253</v>
      </c>
      <c r="K1174" s="56" t="s">
        <v>6053</v>
      </c>
      <c r="L1174" s="56" t="s">
        <v>6209</v>
      </c>
      <c r="M1174" s="56">
        <v>2</v>
      </c>
      <c r="N1174" s="57" t="s">
        <v>6213</v>
      </c>
      <c r="O1174" s="1408">
        <v>4</v>
      </c>
      <c r="P1174" s="1392">
        <v>1348318</v>
      </c>
      <c r="Q1174" s="1395" t="e">
        <f>P1174/SUM($P$2:$P$47)</f>
        <v>#DIV/0!</v>
      </c>
    </row>
    <row r="1175" spans="1:17" ht="11.1" customHeight="1">
      <c r="A1175" s="31" t="s">
        <v>8618</v>
      </c>
      <c r="B1175" s="194" t="s">
        <v>6217</v>
      </c>
      <c r="C1175" s="194">
        <v>12</v>
      </c>
      <c r="D1175" s="36" t="s">
        <v>8608</v>
      </c>
      <c r="E1175" s="195" t="s">
        <v>6262</v>
      </c>
      <c r="F1175" s="36" t="s">
        <v>8619</v>
      </c>
      <c r="G1175" s="36">
        <v>62</v>
      </c>
      <c r="H1175" s="36" t="s">
        <v>6049</v>
      </c>
      <c r="I1175" s="36"/>
      <c r="J1175" s="36" t="s">
        <v>6253</v>
      </c>
      <c r="K1175" s="36" t="s">
        <v>6053</v>
      </c>
      <c r="L1175" s="36" t="s">
        <v>6036</v>
      </c>
      <c r="M1175" s="36"/>
      <c r="N1175" s="37"/>
      <c r="O1175" s="1409"/>
      <c r="P1175" s="1393"/>
      <c r="Q1175" s="1396"/>
    </row>
    <row r="1176" spans="1:17" ht="11.1" customHeight="1">
      <c r="A1176" s="31" t="s">
        <v>8620</v>
      </c>
      <c r="B1176" s="194" t="s">
        <v>6217</v>
      </c>
      <c r="C1176" s="194">
        <v>13</v>
      </c>
      <c r="D1176" s="36" t="s">
        <v>8608</v>
      </c>
      <c r="E1176" s="195" t="s">
        <v>6262</v>
      </c>
      <c r="F1176" s="36" t="s">
        <v>8621</v>
      </c>
      <c r="G1176" s="36">
        <v>30</v>
      </c>
      <c r="H1176" s="36" t="s">
        <v>0</v>
      </c>
      <c r="I1176" s="36"/>
      <c r="J1176" s="36" t="s">
        <v>6253</v>
      </c>
      <c r="K1176" s="36" t="s">
        <v>6035</v>
      </c>
      <c r="L1176" s="36" t="s">
        <v>6036</v>
      </c>
      <c r="M1176" s="36"/>
      <c r="N1176" s="37"/>
      <c r="O1176" s="1409"/>
      <c r="P1176" s="1393"/>
      <c r="Q1176" s="1396"/>
    </row>
    <row r="1177" spans="1:17" ht="11.1" customHeight="1">
      <c r="A1177" s="31" t="s">
        <v>8622</v>
      </c>
      <c r="B1177" s="194" t="s">
        <v>6217</v>
      </c>
      <c r="C1177" s="194">
        <v>14</v>
      </c>
      <c r="D1177" s="36" t="s">
        <v>8608</v>
      </c>
      <c r="E1177" s="195" t="s">
        <v>6262</v>
      </c>
      <c r="F1177" s="36" t="s">
        <v>8623</v>
      </c>
      <c r="G1177" s="36">
        <v>54</v>
      </c>
      <c r="H1177" s="36" t="s">
        <v>6049</v>
      </c>
      <c r="I1177" s="36"/>
      <c r="J1177" s="36" t="s">
        <v>6253</v>
      </c>
      <c r="K1177" s="36" t="s">
        <v>6053</v>
      </c>
      <c r="L1177" s="36" t="s">
        <v>6036</v>
      </c>
      <c r="M1177" s="36"/>
      <c r="N1177" s="37"/>
      <c r="O1177" s="1409"/>
      <c r="P1177" s="1393"/>
      <c r="Q1177" s="1396"/>
    </row>
    <row r="1178" spans="1:17" ht="11.1" customHeight="1">
      <c r="A1178" s="31" t="s">
        <v>8624</v>
      </c>
      <c r="B1178" s="187"/>
      <c r="C1178" s="187">
        <v>15</v>
      </c>
      <c r="D1178" s="42" t="s">
        <v>8608</v>
      </c>
      <c r="E1178" s="188" t="s">
        <v>6262</v>
      </c>
      <c r="F1178" s="42" t="s">
        <v>8625</v>
      </c>
      <c r="G1178" s="42">
        <v>59</v>
      </c>
      <c r="H1178" s="42" t="s">
        <v>0</v>
      </c>
      <c r="I1178" s="42"/>
      <c r="J1178" s="42" t="s">
        <v>6253</v>
      </c>
      <c r="K1178" s="42" t="s">
        <v>6053</v>
      </c>
      <c r="L1178" s="42" t="s">
        <v>6036</v>
      </c>
      <c r="M1178" s="42"/>
      <c r="N1178" s="43"/>
      <c r="O1178" s="1409"/>
      <c r="P1178" s="1393"/>
      <c r="Q1178" s="1396"/>
    </row>
    <row r="1179" spans="1:17" ht="11.1" customHeight="1">
      <c r="A1179" s="31" t="s">
        <v>8626</v>
      </c>
      <c r="B1179" s="187" t="s">
        <v>8615</v>
      </c>
      <c r="C1179" s="187">
        <v>1</v>
      </c>
      <c r="D1179" s="36" t="s">
        <v>8594</v>
      </c>
      <c r="E1179" s="195" t="s">
        <v>6251</v>
      </c>
      <c r="F1179" s="36" t="s">
        <v>6252</v>
      </c>
      <c r="G1179" s="36">
        <v>68</v>
      </c>
      <c r="H1179" s="36" t="s">
        <v>0</v>
      </c>
      <c r="I1179" s="36" t="s">
        <v>8586</v>
      </c>
      <c r="J1179" s="36" t="s">
        <v>6253</v>
      </c>
      <c r="K1179" s="36" t="s">
        <v>6254</v>
      </c>
      <c r="L1179" s="36" t="s">
        <v>6209</v>
      </c>
      <c r="M1179" s="36">
        <v>9</v>
      </c>
      <c r="N1179" s="43" t="s">
        <v>6213</v>
      </c>
      <c r="O1179" s="1409"/>
      <c r="P1179" s="1393"/>
      <c r="Q1179" s="1396"/>
    </row>
    <row r="1180" spans="1:17" ht="11.1" customHeight="1">
      <c r="A1180" s="31" t="s">
        <v>8627</v>
      </c>
      <c r="B1180" s="187" t="s">
        <v>8615</v>
      </c>
      <c r="C1180" s="187">
        <v>1</v>
      </c>
      <c r="D1180" s="36" t="s">
        <v>8598</v>
      </c>
      <c r="E1180" s="195" t="s">
        <v>6251</v>
      </c>
      <c r="F1180" s="36" t="s">
        <v>6270</v>
      </c>
      <c r="G1180" s="36">
        <v>66</v>
      </c>
      <c r="H1180" s="36" t="s">
        <v>0</v>
      </c>
      <c r="I1180" s="36" t="s">
        <v>8586</v>
      </c>
      <c r="J1180" s="36" t="s">
        <v>6253</v>
      </c>
      <c r="K1180" s="36" t="s">
        <v>6207</v>
      </c>
      <c r="L1180" s="36" t="s">
        <v>6209</v>
      </c>
      <c r="M1180" s="36">
        <v>3</v>
      </c>
      <c r="N1180" s="43" t="s">
        <v>6213</v>
      </c>
      <c r="O1180" s="1409"/>
      <c r="P1180" s="1393"/>
      <c r="Q1180" s="1396"/>
    </row>
    <row r="1181" spans="1:17" ht="11.1" customHeight="1">
      <c r="A1181" s="31" t="s">
        <v>8628</v>
      </c>
      <c r="B1181" s="187" t="s">
        <v>8615</v>
      </c>
      <c r="C1181" s="187">
        <v>1</v>
      </c>
      <c r="D1181" s="36" t="s">
        <v>8596</v>
      </c>
      <c r="E1181" s="195" t="s">
        <v>6251</v>
      </c>
      <c r="F1181" s="36" t="s">
        <v>6282</v>
      </c>
      <c r="G1181" s="36">
        <v>63</v>
      </c>
      <c r="H1181" s="36" t="s">
        <v>0</v>
      </c>
      <c r="I1181" s="36" t="s">
        <v>8586</v>
      </c>
      <c r="J1181" s="36" t="s">
        <v>6253</v>
      </c>
      <c r="K1181" s="36" t="s">
        <v>24</v>
      </c>
      <c r="L1181" s="36" t="s">
        <v>6283</v>
      </c>
      <c r="M1181" s="36">
        <v>4</v>
      </c>
      <c r="N1181" s="43" t="s">
        <v>6213</v>
      </c>
      <c r="O1181" s="1409"/>
      <c r="P1181" s="1393"/>
      <c r="Q1181" s="1396"/>
    </row>
    <row r="1182" spans="1:17" ht="11.1" customHeight="1">
      <c r="A1182" s="31" t="s">
        <v>8629</v>
      </c>
      <c r="B1182" s="187" t="s">
        <v>8615</v>
      </c>
      <c r="C1182" s="187">
        <v>1</v>
      </c>
      <c r="D1182" s="36" t="s">
        <v>8602</v>
      </c>
      <c r="E1182" s="195" t="s">
        <v>6251</v>
      </c>
      <c r="F1182" s="36" t="s">
        <v>6290</v>
      </c>
      <c r="G1182" s="36">
        <v>61</v>
      </c>
      <c r="H1182" s="36" t="s">
        <v>0</v>
      </c>
      <c r="I1182" s="36" t="s">
        <v>8586</v>
      </c>
      <c r="J1182" s="36" t="s">
        <v>6253</v>
      </c>
      <c r="K1182" s="36" t="s">
        <v>6254</v>
      </c>
      <c r="L1182" s="36" t="s">
        <v>6209</v>
      </c>
      <c r="M1182" s="36">
        <v>6</v>
      </c>
      <c r="N1182" s="43" t="s">
        <v>6213</v>
      </c>
      <c r="O1182" s="1409"/>
      <c r="P1182" s="1393"/>
      <c r="Q1182" s="1396"/>
    </row>
    <row r="1183" spans="1:17" ht="11.1" customHeight="1">
      <c r="A1183" s="31" t="s">
        <v>8630</v>
      </c>
      <c r="B1183" s="187" t="s">
        <v>8615</v>
      </c>
      <c r="C1183" s="187">
        <v>1</v>
      </c>
      <c r="D1183" s="36" t="s">
        <v>8588</v>
      </c>
      <c r="E1183" s="195" t="s">
        <v>6251</v>
      </c>
      <c r="F1183" s="36" t="s">
        <v>6296</v>
      </c>
      <c r="G1183" s="36">
        <v>40</v>
      </c>
      <c r="H1183" s="36" t="s">
        <v>6049</v>
      </c>
      <c r="I1183" s="36" t="s">
        <v>8586</v>
      </c>
      <c r="J1183" s="36" t="s">
        <v>6253</v>
      </c>
      <c r="K1183" s="36" t="s">
        <v>6254</v>
      </c>
      <c r="L1183" s="36" t="s">
        <v>6283</v>
      </c>
      <c r="M1183" s="36">
        <v>1</v>
      </c>
      <c r="N1183" s="43" t="s">
        <v>6213</v>
      </c>
      <c r="O1183" s="1409"/>
      <c r="P1183" s="1393"/>
      <c r="Q1183" s="1396"/>
    </row>
    <row r="1184" spans="1:17" ht="11.1" customHeight="1">
      <c r="A1184" s="31" t="s">
        <v>8631</v>
      </c>
      <c r="B1184" s="187" t="s">
        <v>8615</v>
      </c>
      <c r="C1184" s="187">
        <v>1</v>
      </c>
      <c r="D1184" s="36" t="s">
        <v>8592</v>
      </c>
      <c r="E1184" s="195" t="s">
        <v>6251</v>
      </c>
      <c r="F1184" s="36" t="s">
        <v>6302</v>
      </c>
      <c r="G1184" s="36">
        <v>60</v>
      </c>
      <c r="H1184" s="36" t="s">
        <v>0</v>
      </c>
      <c r="I1184" s="36" t="s">
        <v>8586</v>
      </c>
      <c r="J1184" s="36" t="s">
        <v>6253</v>
      </c>
      <c r="K1184" s="36" t="s">
        <v>6254</v>
      </c>
      <c r="L1184" s="36" t="s">
        <v>6209</v>
      </c>
      <c r="M1184" s="36">
        <v>1</v>
      </c>
      <c r="N1184" s="43" t="s">
        <v>6213</v>
      </c>
      <c r="O1184" s="1409"/>
      <c r="P1184" s="1393"/>
      <c r="Q1184" s="1396"/>
    </row>
    <row r="1185" spans="1:17" ht="11.1" customHeight="1">
      <c r="A1185" s="31" t="s">
        <v>8632</v>
      </c>
      <c r="B1185" s="187" t="s">
        <v>8615</v>
      </c>
      <c r="C1185" s="187">
        <v>1</v>
      </c>
      <c r="D1185" s="36" t="s">
        <v>8606</v>
      </c>
      <c r="E1185" s="195" t="s">
        <v>6251</v>
      </c>
      <c r="F1185" s="36" t="s">
        <v>6317</v>
      </c>
      <c r="G1185" s="36">
        <v>50</v>
      </c>
      <c r="H1185" s="36" t="s">
        <v>0</v>
      </c>
      <c r="I1185" s="36" t="s">
        <v>8586</v>
      </c>
      <c r="J1185" s="36" t="s">
        <v>6253</v>
      </c>
      <c r="K1185" s="36" t="s">
        <v>6053</v>
      </c>
      <c r="L1185" s="36" t="s">
        <v>6209</v>
      </c>
      <c r="M1185" s="36">
        <v>1</v>
      </c>
      <c r="N1185" s="43" t="s">
        <v>6213</v>
      </c>
      <c r="O1185" s="1409"/>
      <c r="P1185" s="1393"/>
      <c r="Q1185" s="1396"/>
    </row>
    <row r="1186" spans="1:17" ht="11.1" customHeight="1">
      <c r="A1186" s="31" t="s">
        <v>8633</v>
      </c>
      <c r="B1186" s="187" t="s">
        <v>8615</v>
      </c>
      <c r="C1186" s="187">
        <v>1</v>
      </c>
      <c r="D1186" s="36" t="s">
        <v>8600</v>
      </c>
      <c r="E1186" s="195" t="s">
        <v>6251</v>
      </c>
      <c r="F1186" s="36" t="s">
        <v>6335</v>
      </c>
      <c r="G1186" s="36">
        <v>67</v>
      </c>
      <c r="H1186" s="36" t="s">
        <v>0</v>
      </c>
      <c r="I1186" s="36" t="s">
        <v>8586</v>
      </c>
      <c r="J1186" s="36" t="s">
        <v>6253</v>
      </c>
      <c r="K1186" s="36" t="s">
        <v>24</v>
      </c>
      <c r="L1186" s="36" t="s">
        <v>6209</v>
      </c>
      <c r="M1186" s="36">
        <v>6</v>
      </c>
      <c r="N1186" s="43" t="s">
        <v>6213</v>
      </c>
      <c r="O1186" s="1409"/>
      <c r="P1186" s="1393"/>
      <c r="Q1186" s="1396"/>
    </row>
    <row r="1187" spans="1:17" ht="11.1" customHeight="1">
      <c r="A1187" s="31" t="s">
        <v>8634</v>
      </c>
      <c r="B1187" s="187" t="s">
        <v>8615</v>
      </c>
      <c r="C1187" s="187">
        <v>1</v>
      </c>
      <c r="D1187" s="36" t="s">
        <v>8590</v>
      </c>
      <c r="E1187" s="195" t="s">
        <v>6251</v>
      </c>
      <c r="F1187" s="36" t="s">
        <v>6341</v>
      </c>
      <c r="G1187" s="36">
        <v>36</v>
      </c>
      <c r="H1187" s="36" t="s">
        <v>0</v>
      </c>
      <c r="I1187" s="36" t="s">
        <v>8586</v>
      </c>
      <c r="J1187" s="36" t="s">
        <v>6253</v>
      </c>
      <c r="K1187" s="36" t="s">
        <v>6035</v>
      </c>
      <c r="L1187" s="36" t="s">
        <v>6209</v>
      </c>
      <c r="M1187" s="36">
        <v>1</v>
      </c>
      <c r="N1187" s="43" t="s">
        <v>6213</v>
      </c>
      <c r="O1187" s="1409"/>
      <c r="P1187" s="1393"/>
      <c r="Q1187" s="1396"/>
    </row>
    <row r="1188" spans="1:17" ht="11.1" customHeight="1">
      <c r="A1188" s="44" t="s">
        <v>8635</v>
      </c>
      <c r="B1188" s="190" t="s">
        <v>8615</v>
      </c>
      <c r="C1188" s="190">
        <v>1</v>
      </c>
      <c r="D1188" s="141" t="s">
        <v>8585</v>
      </c>
      <c r="E1188" s="196" t="s">
        <v>6251</v>
      </c>
      <c r="F1188" s="141" t="s">
        <v>6347</v>
      </c>
      <c r="G1188" s="36">
        <v>50</v>
      </c>
      <c r="H1188" s="141" t="s">
        <v>0</v>
      </c>
      <c r="I1188" s="141" t="s">
        <v>8586</v>
      </c>
      <c r="J1188" s="141" t="s">
        <v>6253</v>
      </c>
      <c r="K1188" s="141" t="s">
        <v>6035</v>
      </c>
      <c r="L1188" s="141" t="s">
        <v>6209</v>
      </c>
      <c r="M1188" s="141">
        <v>2</v>
      </c>
      <c r="N1188" s="50" t="s">
        <v>6213</v>
      </c>
      <c r="O1188" s="1410"/>
      <c r="P1188" s="1394"/>
      <c r="Q1188" s="1397"/>
    </row>
    <row r="1189" spans="1:17" ht="11.1" customHeight="1">
      <c r="A1189" s="51" t="s">
        <v>8636</v>
      </c>
      <c r="B1189" s="197" t="s">
        <v>6217</v>
      </c>
      <c r="C1189" s="197">
        <v>1</v>
      </c>
      <c r="D1189" s="198" t="s">
        <v>8608</v>
      </c>
      <c r="E1189" s="199" t="s">
        <v>6262</v>
      </c>
      <c r="F1189" s="198" t="s">
        <v>8637</v>
      </c>
      <c r="G1189" s="198">
        <v>51</v>
      </c>
      <c r="H1189" s="198" t="s">
        <v>0</v>
      </c>
      <c r="I1189" s="198"/>
      <c r="J1189" s="198" t="s">
        <v>6929</v>
      </c>
      <c r="K1189" s="198"/>
      <c r="L1189" s="198" t="s">
        <v>6036</v>
      </c>
      <c r="M1189" s="198"/>
      <c r="N1189" s="200"/>
      <c r="O1189" s="1411">
        <v>1</v>
      </c>
      <c r="P1189" s="1392">
        <v>354886</v>
      </c>
      <c r="Q1189" s="1395" t="e">
        <f>P1189/SUM($P$2:$P$47)</f>
        <v>#DIV/0!</v>
      </c>
    </row>
    <row r="1190" spans="1:17" ht="11.1" customHeight="1">
      <c r="A1190" s="44" t="s">
        <v>8638</v>
      </c>
      <c r="B1190" s="190"/>
      <c r="C1190" s="190">
        <v>2</v>
      </c>
      <c r="D1190" s="49" t="s">
        <v>8608</v>
      </c>
      <c r="E1190" s="201" t="s">
        <v>6262</v>
      </c>
      <c r="F1190" s="49" t="s">
        <v>8639</v>
      </c>
      <c r="G1190" s="49">
        <v>45</v>
      </c>
      <c r="H1190" s="49" t="s">
        <v>0</v>
      </c>
      <c r="I1190" s="49"/>
      <c r="J1190" s="49" t="s">
        <v>6929</v>
      </c>
      <c r="K1190" s="49"/>
      <c r="L1190" s="49" t="s">
        <v>6036</v>
      </c>
      <c r="M1190" s="49"/>
      <c r="N1190" s="202"/>
      <c r="O1190" s="1413"/>
      <c r="P1190" s="1394"/>
      <c r="Q1190" s="1397"/>
    </row>
    <row r="1191" spans="1:17" ht="11.1" customHeight="1">
      <c r="A1191" s="51" t="s">
        <v>8640</v>
      </c>
      <c r="B1191" s="203"/>
      <c r="C1191" s="203">
        <v>1</v>
      </c>
      <c r="D1191" s="204" t="s">
        <v>8608</v>
      </c>
      <c r="E1191" s="205" t="s">
        <v>6262</v>
      </c>
      <c r="F1191" s="204" t="s">
        <v>8641</v>
      </c>
      <c r="G1191" s="204">
        <v>46</v>
      </c>
      <c r="H1191" s="204" t="s">
        <v>0</v>
      </c>
      <c r="I1191" s="204"/>
      <c r="J1191" s="204" t="s">
        <v>6264</v>
      </c>
      <c r="K1191" s="204"/>
      <c r="L1191" s="204" t="s">
        <v>6036</v>
      </c>
      <c r="M1191" s="204"/>
      <c r="N1191" s="206"/>
      <c r="O1191" s="1402">
        <v>0</v>
      </c>
      <c r="P1191" s="1392">
        <v>241345</v>
      </c>
      <c r="Q1191" s="1395" t="e">
        <f>P1191/SUM($P$2:$P$47)</f>
        <v>#DIV/0!</v>
      </c>
    </row>
    <row r="1192" spans="1:17" ht="11.1" customHeight="1">
      <c r="A1192" s="31" t="s">
        <v>8642</v>
      </c>
      <c r="B1192" s="187" t="s">
        <v>6231</v>
      </c>
      <c r="C1192" s="187">
        <v>2</v>
      </c>
      <c r="D1192" s="42" t="s">
        <v>8598</v>
      </c>
      <c r="E1192" s="188">
        <v>16.690000000000001</v>
      </c>
      <c r="F1192" s="42" t="s">
        <v>6275</v>
      </c>
      <c r="G1192" s="42">
        <v>46</v>
      </c>
      <c r="H1192" s="42" t="s">
        <v>6049</v>
      </c>
      <c r="I1192" s="42" t="s">
        <v>8586</v>
      </c>
      <c r="J1192" s="42" t="s">
        <v>6264</v>
      </c>
      <c r="K1192" s="42"/>
      <c r="L1192" s="42" t="s">
        <v>6036</v>
      </c>
      <c r="M1192" s="42"/>
      <c r="N1192" s="207"/>
      <c r="O1192" s="1403"/>
      <c r="P1192" s="1393"/>
      <c r="Q1192" s="1396"/>
    </row>
    <row r="1193" spans="1:17" ht="11.1" customHeight="1">
      <c r="A1193" s="31" t="s">
        <v>8643</v>
      </c>
      <c r="B1193" s="187" t="s">
        <v>6231</v>
      </c>
      <c r="C1193" s="187">
        <v>2</v>
      </c>
      <c r="D1193" s="42" t="s">
        <v>8592</v>
      </c>
      <c r="E1193" s="188">
        <v>10.17</v>
      </c>
      <c r="F1193" s="42" t="s">
        <v>6306</v>
      </c>
      <c r="G1193" s="42">
        <v>59</v>
      </c>
      <c r="H1193" s="42" t="s">
        <v>0</v>
      </c>
      <c r="I1193" s="42" t="s">
        <v>8586</v>
      </c>
      <c r="J1193" s="42" t="s">
        <v>6264</v>
      </c>
      <c r="K1193" s="42"/>
      <c r="L1193" s="42" t="s">
        <v>6036</v>
      </c>
      <c r="M1193" s="42"/>
      <c r="N1193" s="207"/>
      <c r="O1193" s="1403"/>
      <c r="P1193" s="1393"/>
      <c r="Q1193" s="1396"/>
    </row>
    <row r="1194" spans="1:17" ht="11.1" customHeight="1">
      <c r="A1194" s="31" t="s">
        <v>8644</v>
      </c>
      <c r="B1194" s="187" t="s">
        <v>6231</v>
      </c>
      <c r="C1194" s="187">
        <v>2</v>
      </c>
      <c r="D1194" s="42" t="s">
        <v>8604</v>
      </c>
      <c r="E1194" s="188">
        <v>10.07</v>
      </c>
      <c r="F1194" s="42" t="s">
        <v>6331</v>
      </c>
      <c r="G1194" s="42">
        <v>66</v>
      </c>
      <c r="H1194" s="42" t="s">
        <v>6049</v>
      </c>
      <c r="I1194" s="42" t="s">
        <v>8586</v>
      </c>
      <c r="J1194" s="42" t="s">
        <v>6264</v>
      </c>
      <c r="K1194" s="42"/>
      <c r="L1194" s="42" t="s">
        <v>6036</v>
      </c>
      <c r="M1194" s="42"/>
      <c r="N1194" s="207"/>
      <c r="O1194" s="1403"/>
      <c r="P1194" s="1393"/>
      <c r="Q1194" s="1396"/>
    </row>
    <row r="1195" spans="1:17" ht="11.1" customHeight="1">
      <c r="A1195" s="44" t="s">
        <v>8645</v>
      </c>
      <c r="B1195" s="190" t="s">
        <v>6231</v>
      </c>
      <c r="C1195" s="190">
        <v>2</v>
      </c>
      <c r="D1195" s="49" t="s">
        <v>8590</v>
      </c>
      <c r="E1195" s="201">
        <v>9.39</v>
      </c>
      <c r="F1195" s="49" t="s">
        <v>6345</v>
      </c>
      <c r="G1195" s="49">
        <v>60</v>
      </c>
      <c r="H1195" s="49" t="s">
        <v>6049</v>
      </c>
      <c r="I1195" s="49" t="s">
        <v>8586</v>
      </c>
      <c r="J1195" s="49" t="s">
        <v>6264</v>
      </c>
      <c r="K1195" s="49"/>
      <c r="L1195" s="49" t="s">
        <v>6036</v>
      </c>
      <c r="M1195" s="49"/>
      <c r="N1195" s="202"/>
      <c r="O1195" s="1404"/>
      <c r="P1195" s="1394"/>
      <c r="Q1195" s="1397"/>
    </row>
    <row r="1196" spans="1:17" ht="11.1" customHeight="1">
      <c r="A1196" s="51" t="s">
        <v>8646</v>
      </c>
      <c r="B1196" s="203"/>
      <c r="C1196" s="203">
        <v>1</v>
      </c>
      <c r="D1196" s="204" t="s">
        <v>8608</v>
      </c>
      <c r="E1196" s="205" t="s">
        <v>6262</v>
      </c>
      <c r="F1196" s="204" t="s">
        <v>8647</v>
      </c>
      <c r="G1196" s="204">
        <v>59</v>
      </c>
      <c r="H1196" s="204" t="s">
        <v>6049</v>
      </c>
      <c r="I1196" s="204"/>
      <c r="J1196" s="204" t="s">
        <v>6278</v>
      </c>
      <c r="K1196" s="204"/>
      <c r="L1196" s="204" t="s">
        <v>6036</v>
      </c>
      <c r="M1196" s="204"/>
      <c r="N1196" s="206"/>
      <c r="O1196" s="1405">
        <v>0</v>
      </c>
      <c r="P1196" s="1392">
        <v>113562</v>
      </c>
      <c r="Q1196" s="1395" t="e">
        <f>P1196/SUM($P$2:$P$47)</f>
        <v>#DIV/0!</v>
      </c>
    </row>
    <row r="1197" spans="1:17" ht="11.1" customHeight="1">
      <c r="A1197" s="44" t="s">
        <v>8648</v>
      </c>
      <c r="B1197" s="190" t="s">
        <v>6231</v>
      </c>
      <c r="C1197" s="190">
        <v>2</v>
      </c>
      <c r="D1197" s="49" t="s">
        <v>8598</v>
      </c>
      <c r="E1197" s="201">
        <v>8.66</v>
      </c>
      <c r="F1197" s="49" t="s">
        <v>6277</v>
      </c>
      <c r="G1197" s="49">
        <v>31</v>
      </c>
      <c r="H1197" s="49" t="s">
        <v>6049</v>
      </c>
      <c r="I1197" s="49" t="s">
        <v>8586</v>
      </c>
      <c r="J1197" s="49" t="s">
        <v>6278</v>
      </c>
      <c r="K1197" s="49"/>
      <c r="L1197" s="49" t="s">
        <v>6036</v>
      </c>
      <c r="M1197" s="49"/>
      <c r="N1197" s="202"/>
      <c r="O1197" s="1407"/>
      <c r="P1197" s="1394"/>
      <c r="Q1197" s="1397"/>
    </row>
    <row r="1198" spans="1:17" ht="11.1" customHeight="1">
      <c r="A1198" s="51" t="s">
        <v>8649</v>
      </c>
      <c r="B1198" s="208" t="s">
        <v>6217</v>
      </c>
      <c r="C1198" s="208">
        <v>1</v>
      </c>
      <c r="D1198" s="209" t="s">
        <v>8608</v>
      </c>
      <c r="E1198" s="210" t="s">
        <v>6262</v>
      </c>
      <c r="F1198" s="209" t="s">
        <v>8650</v>
      </c>
      <c r="G1198" s="209">
        <v>61</v>
      </c>
      <c r="H1198" s="209" t="s">
        <v>0</v>
      </c>
      <c r="I1198" s="209"/>
      <c r="J1198" s="209" t="s">
        <v>6267</v>
      </c>
      <c r="K1198" s="209" t="s">
        <v>8651</v>
      </c>
      <c r="L1198" s="209" t="s">
        <v>6209</v>
      </c>
      <c r="M1198" s="209">
        <v>7</v>
      </c>
      <c r="N1198" s="211"/>
      <c r="O1198" s="1424">
        <v>1</v>
      </c>
      <c r="P1198" s="1392">
        <v>433122</v>
      </c>
      <c r="Q1198" s="1395" t="e">
        <f>P1198/SUM($P$2:$P$47)</f>
        <v>#DIV/0!</v>
      </c>
    </row>
    <row r="1199" spans="1:17" ht="11.1" customHeight="1">
      <c r="A1199" s="31" t="s">
        <v>8652</v>
      </c>
      <c r="B1199" s="187"/>
      <c r="C1199" s="187">
        <v>2</v>
      </c>
      <c r="D1199" s="42" t="s">
        <v>8608</v>
      </c>
      <c r="E1199" s="188" t="s">
        <v>6262</v>
      </c>
      <c r="F1199" s="189" t="s">
        <v>8653</v>
      </c>
      <c r="G1199" s="42">
        <v>72</v>
      </c>
      <c r="H1199" s="42" t="s">
        <v>0</v>
      </c>
      <c r="I1199" s="42"/>
      <c r="J1199" s="42" t="s">
        <v>6267</v>
      </c>
      <c r="K1199" s="42" t="s">
        <v>8651</v>
      </c>
      <c r="L1199" s="42" t="s">
        <v>6283</v>
      </c>
      <c r="M1199" s="42">
        <v>3</v>
      </c>
      <c r="N1199" s="207"/>
      <c r="O1199" s="1398"/>
      <c r="P1199" s="1393"/>
      <c r="Q1199" s="1396"/>
    </row>
    <row r="1200" spans="1:17" ht="11.1" customHeight="1">
      <c r="A1200" s="31" t="s">
        <v>8654</v>
      </c>
      <c r="B1200" s="187"/>
      <c r="C1200" s="187">
        <v>3</v>
      </c>
      <c r="D1200" s="42" t="s">
        <v>8608</v>
      </c>
      <c r="E1200" s="188" t="s">
        <v>6262</v>
      </c>
      <c r="F1200" s="212" t="s">
        <v>8655</v>
      </c>
      <c r="G1200" s="42">
        <v>31</v>
      </c>
      <c r="H1200" s="42" t="s">
        <v>0</v>
      </c>
      <c r="I1200" s="42"/>
      <c r="J1200" s="42" t="s">
        <v>6267</v>
      </c>
      <c r="K1200" s="42" t="s">
        <v>8651</v>
      </c>
      <c r="L1200" s="42" t="s">
        <v>6036</v>
      </c>
      <c r="M1200" s="42"/>
      <c r="N1200" s="207"/>
      <c r="O1200" s="1398"/>
      <c r="P1200" s="1393"/>
      <c r="Q1200" s="1396"/>
    </row>
    <row r="1201" spans="1:17" ht="11.1" customHeight="1">
      <c r="A1201" s="44" t="s">
        <v>8656</v>
      </c>
      <c r="B1201" s="190"/>
      <c r="C1201" s="190">
        <v>4</v>
      </c>
      <c r="D1201" s="49" t="s">
        <v>8608</v>
      </c>
      <c r="E1201" s="201" t="s">
        <v>6262</v>
      </c>
      <c r="F1201" s="213" t="s">
        <v>8657</v>
      </c>
      <c r="G1201" s="49">
        <v>50</v>
      </c>
      <c r="H1201" s="49" t="s">
        <v>6049</v>
      </c>
      <c r="I1201" s="49"/>
      <c r="J1201" s="49" t="s">
        <v>6267</v>
      </c>
      <c r="K1201" s="49" t="s">
        <v>8651</v>
      </c>
      <c r="L1201" s="49" t="s">
        <v>6036</v>
      </c>
      <c r="M1201" s="49"/>
      <c r="N1201" s="202"/>
      <c r="O1201" s="1425"/>
      <c r="P1201" s="1394"/>
      <c r="Q1201" s="1397"/>
    </row>
    <row r="1202" spans="1:17" ht="11.1" customHeight="1">
      <c r="A1202" s="51" t="s">
        <v>8658</v>
      </c>
      <c r="B1202" s="203"/>
      <c r="C1202" s="203">
        <v>1</v>
      </c>
      <c r="D1202" s="204" t="s">
        <v>8608</v>
      </c>
      <c r="E1202" s="205" t="s">
        <v>6262</v>
      </c>
      <c r="F1202" s="214" t="s">
        <v>8659</v>
      </c>
      <c r="G1202" s="204">
        <v>51</v>
      </c>
      <c r="H1202" s="204" t="s">
        <v>0</v>
      </c>
      <c r="I1202" s="204"/>
      <c r="J1202" s="204" t="s">
        <v>6267</v>
      </c>
      <c r="K1202" s="204" t="s">
        <v>6268</v>
      </c>
      <c r="L1202" s="204" t="s">
        <v>6036</v>
      </c>
      <c r="M1202" s="204"/>
      <c r="N1202" s="206"/>
      <c r="O1202" s="1424">
        <v>0</v>
      </c>
      <c r="P1202" s="1392">
        <v>20276</v>
      </c>
      <c r="Q1202" s="1395" t="e">
        <f>P1202/SUM($P$2:$P$47)</f>
        <v>#DIV/0!</v>
      </c>
    </row>
    <row r="1203" spans="1:17" ht="11.1" customHeight="1">
      <c r="A1203" s="44" t="s">
        <v>8660</v>
      </c>
      <c r="B1203" s="190"/>
      <c r="C1203" s="190">
        <v>2</v>
      </c>
      <c r="D1203" s="49" t="s">
        <v>8608</v>
      </c>
      <c r="E1203" s="201" t="s">
        <v>6262</v>
      </c>
      <c r="F1203" s="213" t="s">
        <v>8661</v>
      </c>
      <c r="G1203" s="49">
        <v>45</v>
      </c>
      <c r="H1203" s="49" t="s">
        <v>0</v>
      </c>
      <c r="I1203" s="49"/>
      <c r="J1203" s="49" t="s">
        <v>6267</v>
      </c>
      <c r="K1203" s="49" t="s">
        <v>6268</v>
      </c>
      <c r="L1203" s="49" t="s">
        <v>6036</v>
      </c>
      <c r="M1203" s="49"/>
      <c r="N1203" s="202"/>
      <c r="O1203" s="1425"/>
      <c r="P1203" s="1394"/>
      <c r="Q1203" s="1397"/>
    </row>
    <row r="1204" spans="1:17" ht="11.1" customHeight="1">
      <c r="A1204" s="51" t="s">
        <v>8662</v>
      </c>
      <c r="B1204" s="203"/>
      <c r="C1204" s="203">
        <v>1</v>
      </c>
      <c r="D1204" s="204" t="s">
        <v>8608</v>
      </c>
      <c r="E1204" s="205" t="s">
        <v>6262</v>
      </c>
      <c r="F1204" s="214" t="s">
        <v>8663</v>
      </c>
      <c r="G1204" s="204">
        <v>38</v>
      </c>
      <c r="H1204" s="204" t="s">
        <v>0</v>
      </c>
      <c r="I1204" s="204"/>
      <c r="J1204" s="204" t="s">
        <v>6267</v>
      </c>
      <c r="K1204" s="204" t="s">
        <v>8664</v>
      </c>
      <c r="L1204" s="204" t="s">
        <v>6036</v>
      </c>
      <c r="M1204" s="204"/>
      <c r="N1204" s="206"/>
      <c r="O1204" s="1398">
        <v>0</v>
      </c>
      <c r="P1204" s="1393">
        <v>7399</v>
      </c>
      <c r="Q1204" s="1396" t="e">
        <f>P1204/SUM($P$2:$P$47)</f>
        <v>#DIV/0!</v>
      </c>
    </row>
    <row r="1205" spans="1:17" ht="11.1" customHeight="1" thickBot="1">
      <c r="A1205" s="73" t="s">
        <v>8665</v>
      </c>
      <c r="B1205" s="215"/>
      <c r="C1205" s="215">
        <v>2</v>
      </c>
      <c r="D1205" s="78" t="s">
        <v>8608</v>
      </c>
      <c r="E1205" s="216" t="s">
        <v>6262</v>
      </c>
      <c r="F1205" s="217" t="s">
        <v>8666</v>
      </c>
      <c r="G1205" s="78">
        <v>67</v>
      </c>
      <c r="H1205" s="78" t="s">
        <v>6049</v>
      </c>
      <c r="I1205" s="78"/>
      <c r="J1205" s="78" t="s">
        <v>6267</v>
      </c>
      <c r="K1205" s="78" t="s">
        <v>8664</v>
      </c>
      <c r="L1205" s="78" t="s">
        <v>6036</v>
      </c>
      <c r="M1205" s="78"/>
      <c r="N1205" s="218"/>
      <c r="O1205" s="1399"/>
      <c r="P1205" s="1400"/>
      <c r="Q1205" s="1401"/>
    </row>
    <row r="1206" spans="1:17" ht="11.1" customHeight="1">
      <c r="A1206" s="80" t="s">
        <v>8667</v>
      </c>
      <c r="B1206" s="219" t="s">
        <v>6217</v>
      </c>
      <c r="C1206" s="219">
        <v>1</v>
      </c>
      <c r="D1206" s="112" t="s">
        <v>8668</v>
      </c>
      <c r="E1206" s="220">
        <v>35.57</v>
      </c>
      <c r="F1206" s="112" t="s">
        <v>6537</v>
      </c>
      <c r="G1206" s="112">
        <v>61</v>
      </c>
      <c r="H1206" s="112" t="s">
        <v>0</v>
      </c>
      <c r="I1206" s="112" t="s">
        <v>8586</v>
      </c>
      <c r="J1206" s="112" t="s">
        <v>6257</v>
      </c>
      <c r="K1206" s="112" t="s">
        <v>6286</v>
      </c>
      <c r="L1206" s="112" t="s">
        <v>6209</v>
      </c>
      <c r="M1206" s="112">
        <v>3</v>
      </c>
      <c r="N1206" s="113" t="s">
        <v>6050</v>
      </c>
      <c r="O1206" s="1414">
        <v>4</v>
      </c>
      <c r="P1206" s="1417">
        <v>1491761</v>
      </c>
      <c r="Q1206" s="1418" t="e">
        <f>P1206/SUM($P$49:$P$125)</f>
        <v>#DIV/0!</v>
      </c>
    </row>
    <row r="1207" spans="1:17" ht="11.1" customHeight="1">
      <c r="A1207" s="31" t="s">
        <v>8669</v>
      </c>
      <c r="B1207" s="185" t="s">
        <v>6217</v>
      </c>
      <c r="C1207" s="185">
        <v>2</v>
      </c>
      <c r="D1207" s="59" t="s">
        <v>8608</v>
      </c>
      <c r="E1207" s="186" t="s">
        <v>6262</v>
      </c>
      <c r="F1207" s="59" t="s">
        <v>8670</v>
      </c>
      <c r="G1207" s="59">
        <v>47</v>
      </c>
      <c r="H1207" s="59" t="s">
        <v>0</v>
      </c>
      <c r="I1207" s="59"/>
      <c r="J1207" s="59" t="s">
        <v>6257</v>
      </c>
      <c r="K1207" s="59" t="s">
        <v>6258</v>
      </c>
      <c r="L1207" s="59" t="s">
        <v>6209</v>
      </c>
      <c r="M1207" s="59">
        <v>2</v>
      </c>
      <c r="N1207" s="221"/>
      <c r="O1207" s="1415"/>
      <c r="P1207" s="1393"/>
      <c r="Q1207" s="1396"/>
    </row>
    <row r="1208" spans="1:17" ht="11.1" customHeight="1">
      <c r="A1208" s="31" t="s">
        <v>8671</v>
      </c>
      <c r="B1208" s="185" t="s">
        <v>6217</v>
      </c>
      <c r="C1208" s="185">
        <v>3</v>
      </c>
      <c r="D1208" s="59" t="s">
        <v>8672</v>
      </c>
      <c r="E1208" s="186">
        <v>98.78</v>
      </c>
      <c r="F1208" s="59" t="s">
        <v>6498</v>
      </c>
      <c r="G1208" s="59">
        <v>59</v>
      </c>
      <c r="H1208" s="59" t="s">
        <v>0</v>
      </c>
      <c r="I1208" s="59" t="s">
        <v>8586</v>
      </c>
      <c r="J1208" s="59" t="s">
        <v>6257</v>
      </c>
      <c r="K1208" s="59" t="s">
        <v>6402</v>
      </c>
      <c r="L1208" s="59" t="s">
        <v>6209</v>
      </c>
      <c r="M1208" s="59">
        <v>4</v>
      </c>
      <c r="N1208" s="133" t="s">
        <v>6260</v>
      </c>
      <c r="O1208" s="1415"/>
      <c r="P1208" s="1393"/>
      <c r="Q1208" s="1396"/>
    </row>
    <row r="1209" spans="1:17" ht="11.1" customHeight="1">
      <c r="A1209" s="31" t="s">
        <v>8673</v>
      </c>
      <c r="B1209" s="185" t="s">
        <v>6217</v>
      </c>
      <c r="C1209" s="185">
        <v>3</v>
      </c>
      <c r="D1209" s="59" t="s">
        <v>8674</v>
      </c>
      <c r="E1209" s="186">
        <v>98.56</v>
      </c>
      <c r="F1209" s="59" t="s">
        <v>6478</v>
      </c>
      <c r="G1209" s="59">
        <v>59</v>
      </c>
      <c r="H1209" s="59" t="s">
        <v>0</v>
      </c>
      <c r="I1209" s="59" t="s">
        <v>8586</v>
      </c>
      <c r="J1209" s="59" t="s">
        <v>6257</v>
      </c>
      <c r="K1209" s="59" t="s">
        <v>6273</v>
      </c>
      <c r="L1209" s="59" t="s">
        <v>6036</v>
      </c>
      <c r="M1209" s="59"/>
      <c r="N1209" s="133" t="s">
        <v>6260</v>
      </c>
      <c r="O1209" s="1415"/>
      <c r="P1209" s="1393"/>
      <c r="Q1209" s="1396"/>
    </row>
    <row r="1210" spans="1:17" ht="11.1" customHeight="1">
      <c r="A1210" s="31" t="s">
        <v>8675</v>
      </c>
      <c r="B1210" s="187"/>
      <c r="C1210" s="187">
        <v>3</v>
      </c>
      <c r="D1210" s="42" t="s">
        <v>8676</v>
      </c>
      <c r="E1210" s="188">
        <v>88.99</v>
      </c>
      <c r="F1210" s="42" t="s">
        <v>6490</v>
      </c>
      <c r="G1210" s="42">
        <v>45</v>
      </c>
      <c r="H1210" s="42" t="s">
        <v>0</v>
      </c>
      <c r="I1210" s="42" t="s">
        <v>8586</v>
      </c>
      <c r="J1210" s="42" t="s">
        <v>6257</v>
      </c>
      <c r="K1210" s="42" t="s">
        <v>6258</v>
      </c>
      <c r="L1210" s="42" t="s">
        <v>6209</v>
      </c>
      <c r="M1210" s="42">
        <v>1</v>
      </c>
      <c r="N1210" s="43"/>
      <c r="O1210" s="1415"/>
      <c r="P1210" s="1393"/>
      <c r="Q1210" s="1396"/>
    </row>
    <row r="1211" spans="1:17" ht="11.1" customHeight="1">
      <c r="A1211" s="31" t="s">
        <v>8677</v>
      </c>
      <c r="B1211" s="187"/>
      <c r="C1211" s="187">
        <v>3</v>
      </c>
      <c r="D1211" s="42" t="s">
        <v>8678</v>
      </c>
      <c r="E1211" s="188">
        <v>87.48</v>
      </c>
      <c r="F1211" s="42" t="s">
        <v>6523</v>
      </c>
      <c r="G1211" s="42">
        <v>53</v>
      </c>
      <c r="H1211" s="42" t="s">
        <v>0</v>
      </c>
      <c r="I1211" s="42" t="s">
        <v>8586</v>
      </c>
      <c r="J1211" s="42" t="s">
        <v>6257</v>
      </c>
      <c r="K1211" s="42" t="s">
        <v>6286</v>
      </c>
      <c r="L1211" s="42" t="s">
        <v>6209</v>
      </c>
      <c r="M1211" s="42">
        <v>1</v>
      </c>
      <c r="N1211" s="43" t="s">
        <v>6260</v>
      </c>
      <c r="O1211" s="1415"/>
      <c r="P1211" s="1393"/>
      <c r="Q1211" s="1396"/>
    </row>
    <row r="1212" spans="1:17" ht="11.1" customHeight="1">
      <c r="A1212" s="31" t="s">
        <v>8679</v>
      </c>
      <c r="B1212" s="187"/>
      <c r="C1212" s="187">
        <v>3</v>
      </c>
      <c r="D1212" s="42" t="s">
        <v>8680</v>
      </c>
      <c r="E1212" s="188">
        <v>84.99</v>
      </c>
      <c r="F1212" s="42" t="s">
        <v>6531</v>
      </c>
      <c r="G1212" s="42">
        <v>58</v>
      </c>
      <c r="H1212" s="42" t="s">
        <v>0</v>
      </c>
      <c r="I1212" s="42" t="s">
        <v>8586</v>
      </c>
      <c r="J1212" s="42" t="s">
        <v>6257</v>
      </c>
      <c r="K1212" s="42" t="s">
        <v>6402</v>
      </c>
      <c r="L1212" s="42" t="s">
        <v>6209</v>
      </c>
      <c r="M1212" s="42">
        <v>5</v>
      </c>
      <c r="N1212" s="43" t="s">
        <v>6050</v>
      </c>
      <c r="O1212" s="1415"/>
      <c r="P1212" s="1393"/>
      <c r="Q1212" s="1396"/>
    </row>
    <row r="1213" spans="1:17" ht="11.1" customHeight="1">
      <c r="A1213" s="31" t="s">
        <v>8681</v>
      </c>
      <c r="B1213" s="187"/>
      <c r="C1213" s="187">
        <v>3</v>
      </c>
      <c r="D1213" s="42" t="s">
        <v>8682</v>
      </c>
      <c r="E1213" s="188">
        <v>82.17</v>
      </c>
      <c r="F1213" s="42" t="s">
        <v>6401</v>
      </c>
      <c r="G1213" s="42">
        <v>56</v>
      </c>
      <c r="H1213" s="42" t="s">
        <v>0</v>
      </c>
      <c r="I1213" s="42" t="s">
        <v>8586</v>
      </c>
      <c r="J1213" s="42" t="s">
        <v>6257</v>
      </c>
      <c r="K1213" s="42" t="s">
        <v>6402</v>
      </c>
      <c r="L1213" s="42" t="s">
        <v>6209</v>
      </c>
      <c r="M1213" s="42">
        <v>6</v>
      </c>
      <c r="N1213" s="43" t="s">
        <v>6260</v>
      </c>
      <c r="O1213" s="1415"/>
      <c r="P1213" s="1393"/>
      <c r="Q1213" s="1396"/>
    </row>
    <row r="1214" spans="1:17" ht="11.1" customHeight="1">
      <c r="A1214" s="31" t="s">
        <v>8683</v>
      </c>
      <c r="B1214" s="187"/>
      <c r="C1214" s="187">
        <v>3</v>
      </c>
      <c r="D1214" s="42" t="s">
        <v>8684</v>
      </c>
      <c r="E1214" s="188">
        <v>79.010000000000005</v>
      </c>
      <c r="F1214" s="42" t="s">
        <v>6442</v>
      </c>
      <c r="G1214" s="42">
        <v>49</v>
      </c>
      <c r="H1214" s="42" t="s">
        <v>0</v>
      </c>
      <c r="I1214" s="42" t="s">
        <v>8586</v>
      </c>
      <c r="J1214" s="42" t="s">
        <v>6257</v>
      </c>
      <c r="K1214" s="42" t="s">
        <v>6286</v>
      </c>
      <c r="L1214" s="42" t="s">
        <v>6209</v>
      </c>
      <c r="M1214" s="42">
        <v>2</v>
      </c>
      <c r="N1214" s="43" t="s">
        <v>6260</v>
      </c>
      <c r="O1214" s="1415"/>
      <c r="P1214" s="1393"/>
      <c r="Q1214" s="1396"/>
    </row>
    <row r="1215" spans="1:17" ht="11.1" customHeight="1">
      <c r="A1215" s="31" t="s">
        <v>8685</v>
      </c>
      <c r="B1215" s="187"/>
      <c r="C1215" s="187">
        <v>3</v>
      </c>
      <c r="D1215" s="42" t="s">
        <v>8686</v>
      </c>
      <c r="E1215" s="188">
        <v>77.22</v>
      </c>
      <c r="F1215" s="42" t="s">
        <v>6448</v>
      </c>
      <c r="G1215" s="42">
        <v>56</v>
      </c>
      <c r="H1215" s="42" t="s">
        <v>0</v>
      </c>
      <c r="I1215" s="42" t="s">
        <v>8586</v>
      </c>
      <c r="J1215" s="42" t="s">
        <v>6257</v>
      </c>
      <c r="K1215" s="42" t="s">
        <v>6369</v>
      </c>
      <c r="L1215" s="42" t="s">
        <v>6209</v>
      </c>
      <c r="M1215" s="42">
        <v>3</v>
      </c>
      <c r="N1215" s="43" t="s">
        <v>6260</v>
      </c>
      <c r="O1215" s="1415"/>
      <c r="P1215" s="1393"/>
      <c r="Q1215" s="1396"/>
    </row>
    <row r="1216" spans="1:17" ht="11.1" customHeight="1">
      <c r="A1216" s="31" t="s">
        <v>8687</v>
      </c>
      <c r="B1216" s="187"/>
      <c r="C1216" s="187">
        <v>3</v>
      </c>
      <c r="D1216" s="42" t="s">
        <v>8688</v>
      </c>
      <c r="E1216" s="188">
        <v>70.739999999999995</v>
      </c>
      <c r="F1216" s="42" t="s">
        <v>6456</v>
      </c>
      <c r="G1216" s="42">
        <v>54</v>
      </c>
      <c r="H1216" s="42" t="s">
        <v>0</v>
      </c>
      <c r="I1216" s="42" t="s">
        <v>8586</v>
      </c>
      <c r="J1216" s="42" t="s">
        <v>6257</v>
      </c>
      <c r="K1216" s="42" t="s">
        <v>6402</v>
      </c>
      <c r="L1216" s="42" t="s">
        <v>6036</v>
      </c>
      <c r="M1216" s="42"/>
      <c r="N1216" s="43" t="s">
        <v>6260</v>
      </c>
      <c r="O1216" s="1415"/>
      <c r="P1216" s="1393"/>
      <c r="Q1216" s="1396"/>
    </row>
    <row r="1217" spans="1:17" ht="11.1" customHeight="1">
      <c r="A1217" s="31" t="s">
        <v>8689</v>
      </c>
      <c r="B1217" s="187"/>
      <c r="C1217" s="187">
        <v>3</v>
      </c>
      <c r="D1217" s="42" t="s">
        <v>8690</v>
      </c>
      <c r="E1217" s="188">
        <v>66.33</v>
      </c>
      <c r="F1217" s="42" t="s">
        <v>6467</v>
      </c>
      <c r="G1217" s="42">
        <v>71</v>
      </c>
      <c r="H1217" s="42" t="s">
        <v>0</v>
      </c>
      <c r="I1217" s="42" t="s">
        <v>8586</v>
      </c>
      <c r="J1217" s="42" t="s">
        <v>6257</v>
      </c>
      <c r="K1217" s="42" t="s">
        <v>6402</v>
      </c>
      <c r="L1217" s="42" t="s">
        <v>6209</v>
      </c>
      <c r="M1217" s="42">
        <v>7</v>
      </c>
      <c r="N1217" s="43" t="s">
        <v>6260</v>
      </c>
      <c r="O1217" s="1415"/>
      <c r="P1217" s="1393"/>
      <c r="Q1217" s="1396"/>
    </row>
    <row r="1218" spans="1:17" ht="11.1" customHeight="1">
      <c r="A1218" s="31" t="s">
        <v>8691</v>
      </c>
      <c r="B1218" s="187"/>
      <c r="C1218" s="187">
        <v>3</v>
      </c>
      <c r="D1218" s="42" t="s">
        <v>8692</v>
      </c>
      <c r="E1218" s="188">
        <v>65.569999999999993</v>
      </c>
      <c r="F1218" s="212" t="s">
        <v>6549</v>
      </c>
      <c r="G1218" s="42">
        <v>64</v>
      </c>
      <c r="H1218" s="212" t="s">
        <v>0</v>
      </c>
      <c r="I1218" s="42" t="s">
        <v>8586</v>
      </c>
      <c r="J1218" s="212" t="s">
        <v>6257</v>
      </c>
      <c r="K1218" s="212" t="s">
        <v>6286</v>
      </c>
      <c r="L1218" s="212" t="s">
        <v>6209</v>
      </c>
      <c r="M1218" s="212">
        <v>6</v>
      </c>
      <c r="N1218" s="222" t="s">
        <v>6050</v>
      </c>
      <c r="O1218" s="1415"/>
      <c r="P1218" s="1393"/>
      <c r="Q1218" s="1396"/>
    </row>
    <row r="1219" spans="1:17" ht="11.1" customHeight="1">
      <c r="A1219" s="31" t="s">
        <v>8693</v>
      </c>
      <c r="B1219" s="187"/>
      <c r="C1219" s="187">
        <v>3</v>
      </c>
      <c r="D1219" s="42" t="s">
        <v>8694</v>
      </c>
      <c r="E1219" s="188">
        <v>62.34</v>
      </c>
      <c r="F1219" s="42" t="s">
        <v>6434</v>
      </c>
      <c r="G1219" s="42">
        <v>61</v>
      </c>
      <c r="H1219" s="42" t="s">
        <v>0</v>
      </c>
      <c r="I1219" s="42" t="s">
        <v>8586</v>
      </c>
      <c r="J1219" s="42" t="s">
        <v>6257</v>
      </c>
      <c r="K1219" s="42" t="s">
        <v>6286</v>
      </c>
      <c r="L1219" s="42" t="s">
        <v>6209</v>
      </c>
      <c r="M1219" s="42">
        <v>3</v>
      </c>
      <c r="N1219" s="43" t="s">
        <v>6260</v>
      </c>
      <c r="O1219" s="1415"/>
      <c r="P1219" s="1393"/>
      <c r="Q1219" s="1396"/>
    </row>
    <row r="1220" spans="1:17" ht="11.1" customHeight="1">
      <c r="A1220" s="31" t="s">
        <v>8695</v>
      </c>
      <c r="B1220" s="187"/>
      <c r="C1220" s="187">
        <v>3</v>
      </c>
      <c r="D1220" s="42" t="s">
        <v>8696</v>
      </c>
      <c r="E1220" s="188">
        <v>58.28</v>
      </c>
      <c r="F1220" s="42" t="s">
        <v>6424</v>
      </c>
      <c r="G1220" s="42">
        <v>51</v>
      </c>
      <c r="H1220" s="42" t="s">
        <v>0</v>
      </c>
      <c r="I1220" s="42" t="s">
        <v>8586</v>
      </c>
      <c r="J1220" s="42" t="s">
        <v>6257</v>
      </c>
      <c r="K1220" s="42" t="s">
        <v>6286</v>
      </c>
      <c r="L1220" s="42" t="s">
        <v>6209</v>
      </c>
      <c r="M1220" s="42">
        <v>1</v>
      </c>
      <c r="N1220" s="43" t="s">
        <v>6260</v>
      </c>
      <c r="O1220" s="1415"/>
      <c r="P1220" s="1393"/>
      <c r="Q1220" s="1396"/>
    </row>
    <row r="1221" spans="1:17" ht="11.1" customHeight="1">
      <c r="A1221" s="31" t="s">
        <v>8697</v>
      </c>
      <c r="B1221" s="187"/>
      <c r="C1221" s="187">
        <v>3</v>
      </c>
      <c r="D1221" s="42" t="s">
        <v>8698</v>
      </c>
      <c r="E1221" s="188">
        <v>53.82</v>
      </c>
      <c r="F1221" s="42" t="s">
        <v>6541</v>
      </c>
      <c r="G1221" s="42">
        <v>57</v>
      </c>
      <c r="H1221" s="42" t="s">
        <v>0</v>
      </c>
      <c r="I1221" s="42" t="s">
        <v>8586</v>
      </c>
      <c r="J1221" s="42" t="s">
        <v>6257</v>
      </c>
      <c r="K1221" s="42" t="s">
        <v>6273</v>
      </c>
      <c r="L1221" s="42" t="s">
        <v>6209</v>
      </c>
      <c r="M1221" s="42">
        <v>1</v>
      </c>
      <c r="N1221" s="43" t="s">
        <v>6260</v>
      </c>
      <c r="O1221" s="1415"/>
      <c r="P1221" s="1393"/>
      <c r="Q1221" s="1396"/>
    </row>
    <row r="1222" spans="1:17" ht="11.1" customHeight="1">
      <c r="A1222" s="31" t="s">
        <v>8699</v>
      </c>
      <c r="B1222" s="187"/>
      <c r="C1222" s="187">
        <v>3</v>
      </c>
      <c r="D1222" s="42" t="s">
        <v>8700</v>
      </c>
      <c r="E1222" s="188">
        <v>48.71</v>
      </c>
      <c r="F1222" s="212" t="s">
        <v>6508</v>
      </c>
      <c r="G1222" s="42">
        <v>42</v>
      </c>
      <c r="H1222" s="212" t="s">
        <v>0</v>
      </c>
      <c r="I1222" s="42" t="s">
        <v>8586</v>
      </c>
      <c r="J1222" s="42" t="s">
        <v>6257</v>
      </c>
      <c r="K1222" s="42" t="s">
        <v>6258</v>
      </c>
      <c r="L1222" s="42" t="s">
        <v>6036</v>
      </c>
      <c r="M1222" s="42"/>
      <c r="N1222" s="43" t="s">
        <v>6260</v>
      </c>
      <c r="O1222" s="1415"/>
      <c r="P1222" s="1393"/>
      <c r="Q1222" s="1396"/>
    </row>
    <row r="1223" spans="1:17" ht="11.1" customHeight="1">
      <c r="A1223" s="31" t="s">
        <v>8701</v>
      </c>
      <c r="B1223" s="187"/>
      <c r="C1223" s="187">
        <v>3</v>
      </c>
      <c r="D1223" s="42" t="s">
        <v>8702</v>
      </c>
      <c r="E1223" s="188">
        <v>46.99</v>
      </c>
      <c r="F1223" s="42" t="s">
        <v>6408</v>
      </c>
      <c r="G1223" s="42">
        <v>42</v>
      </c>
      <c r="H1223" s="42" t="s">
        <v>0</v>
      </c>
      <c r="I1223" s="42" t="s">
        <v>8586</v>
      </c>
      <c r="J1223" s="42" t="s">
        <v>6257</v>
      </c>
      <c r="K1223" s="42" t="s">
        <v>6286</v>
      </c>
      <c r="L1223" s="42" t="s">
        <v>6036</v>
      </c>
      <c r="M1223" s="42"/>
      <c r="N1223" s="43" t="s">
        <v>6260</v>
      </c>
      <c r="O1223" s="1415"/>
      <c r="P1223" s="1393"/>
      <c r="Q1223" s="1396"/>
    </row>
    <row r="1224" spans="1:17" ht="11.1" customHeight="1">
      <c r="A1224" s="31" t="s">
        <v>8703</v>
      </c>
      <c r="B1224" s="187"/>
      <c r="C1224" s="187">
        <v>3</v>
      </c>
      <c r="D1224" s="42" t="s">
        <v>8704</v>
      </c>
      <c r="E1224" s="188">
        <v>43.45</v>
      </c>
      <c r="F1224" s="212" t="s">
        <v>6391</v>
      </c>
      <c r="G1224" s="42">
        <v>51</v>
      </c>
      <c r="H1224" s="42" t="s">
        <v>6049</v>
      </c>
      <c r="I1224" s="42" t="s">
        <v>8586</v>
      </c>
      <c r="J1224" s="42" t="s">
        <v>6257</v>
      </c>
      <c r="K1224" s="42" t="s">
        <v>6258</v>
      </c>
      <c r="L1224" s="42" t="s">
        <v>6036</v>
      </c>
      <c r="M1224" s="42"/>
      <c r="N1224" s="43" t="s">
        <v>6260</v>
      </c>
      <c r="O1224" s="1415"/>
      <c r="P1224" s="1393"/>
      <c r="Q1224" s="1396"/>
    </row>
    <row r="1225" spans="1:17" ht="11.1" customHeight="1">
      <c r="A1225" s="31" t="s">
        <v>8705</v>
      </c>
      <c r="B1225" s="187"/>
      <c r="C1225" s="187">
        <v>3</v>
      </c>
      <c r="D1225" s="42" t="s">
        <v>8706</v>
      </c>
      <c r="E1225" s="188">
        <v>31.12</v>
      </c>
      <c r="F1225" s="42" t="s">
        <v>6414</v>
      </c>
      <c r="G1225" s="42">
        <v>55</v>
      </c>
      <c r="H1225" s="42" t="s">
        <v>0</v>
      </c>
      <c r="I1225" s="42" t="s">
        <v>8586</v>
      </c>
      <c r="J1225" s="42" t="s">
        <v>6257</v>
      </c>
      <c r="K1225" s="42" t="s">
        <v>6258</v>
      </c>
      <c r="L1225" s="42" t="s">
        <v>6283</v>
      </c>
      <c r="M1225" s="42">
        <v>1</v>
      </c>
      <c r="N1225" s="43" t="s">
        <v>6260</v>
      </c>
      <c r="O1225" s="1415"/>
      <c r="P1225" s="1393"/>
      <c r="Q1225" s="1396"/>
    </row>
    <row r="1226" spans="1:17" ht="11.1" customHeight="1">
      <c r="A1226" s="31" t="s">
        <v>8707</v>
      </c>
      <c r="B1226" s="187"/>
      <c r="C1226" s="187">
        <v>26</v>
      </c>
      <c r="D1226" s="42" t="s">
        <v>8608</v>
      </c>
      <c r="E1226" s="188" t="s">
        <v>6262</v>
      </c>
      <c r="F1226" s="42" t="s">
        <v>8708</v>
      </c>
      <c r="G1226" s="42">
        <v>59</v>
      </c>
      <c r="H1226" s="42" t="s">
        <v>0</v>
      </c>
      <c r="I1226" s="42"/>
      <c r="J1226" s="42" t="s">
        <v>6257</v>
      </c>
      <c r="K1226" s="42" t="s">
        <v>6258</v>
      </c>
      <c r="L1226" s="42" t="s">
        <v>6209</v>
      </c>
      <c r="M1226" s="42">
        <v>1</v>
      </c>
      <c r="N1226" s="207"/>
      <c r="O1226" s="1415"/>
      <c r="P1226" s="1393"/>
      <c r="Q1226" s="1396"/>
    </row>
    <row r="1227" spans="1:17" ht="11.1" customHeight="1">
      <c r="A1227" s="31" t="s">
        <v>8709</v>
      </c>
      <c r="B1227" s="187"/>
      <c r="C1227" s="187">
        <v>27</v>
      </c>
      <c r="D1227" s="42" t="s">
        <v>8608</v>
      </c>
      <c r="E1227" s="188" t="s">
        <v>6262</v>
      </c>
      <c r="F1227" s="42" t="s">
        <v>8710</v>
      </c>
      <c r="G1227" s="42">
        <v>62</v>
      </c>
      <c r="H1227" s="42" t="s">
        <v>6049</v>
      </c>
      <c r="I1227" s="42"/>
      <c r="J1227" s="42" t="s">
        <v>6257</v>
      </c>
      <c r="K1227" s="42" t="s">
        <v>6258</v>
      </c>
      <c r="L1227" s="42" t="s">
        <v>6036</v>
      </c>
      <c r="M1227" s="42"/>
      <c r="N1227" s="207"/>
      <c r="O1227" s="1415"/>
      <c r="P1227" s="1393"/>
      <c r="Q1227" s="1396"/>
    </row>
    <row r="1228" spans="1:17" ht="11.1" customHeight="1">
      <c r="A1228" s="31" t="s">
        <v>8711</v>
      </c>
      <c r="B1228" s="187"/>
      <c r="C1228" s="187">
        <v>28</v>
      </c>
      <c r="D1228" s="42" t="s">
        <v>8608</v>
      </c>
      <c r="E1228" s="188" t="s">
        <v>6262</v>
      </c>
      <c r="F1228" s="42" t="s">
        <v>8712</v>
      </c>
      <c r="G1228" s="42">
        <v>62</v>
      </c>
      <c r="H1228" s="42" t="s">
        <v>0</v>
      </c>
      <c r="I1228" s="42"/>
      <c r="J1228" s="42" t="s">
        <v>6257</v>
      </c>
      <c r="K1228" s="42" t="s">
        <v>6258</v>
      </c>
      <c r="L1228" s="42" t="s">
        <v>6036</v>
      </c>
      <c r="M1228" s="42"/>
      <c r="N1228" s="207"/>
      <c r="O1228" s="1415"/>
      <c r="P1228" s="1393"/>
      <c r="Q1228" s="1396"/>
    </row>
    <row r="1229" spans="1:17" ht="11.1" customHeight="1">
      <c r="A1229" s="31" t="s">
        <v>8713</v>
      </c>
      <c r="B1229" s="187" t="s">
        <v>8615</v>
      </c>
      <c r="C1229" s="187">
        <v>3</v>
      </c>
      <c r="D1229" s="59" t="s">
        <v>8714</v>
      </c>
      <c r="E1229" s="186"/>
      <c r="F1229" s="59" t="s">
        <v>6368</v>
      </c>
      <c r="G1229" s="59">
        <v>53</v>
      </c>
      <c r="H1229" s="59" t="s">
        <v>0</v>
      </c>
      <c r="I1229" s="59" t="s">
        <v>8586</v>
      </c>
      <c r="J1229" s="59" t="s">
        <v>6257</v>
      </c>
      <c r="K1229" s="59" t="s">
        <v>6369</v>
      </c>
      <c r="L1229" s="59" t="s">
        <v>6209</v>
      </c>
      <c r="M1229" s="59">
        <v>3</v>
      </c>
      <c r="N1229" s="43" t="s">
        <v>6260</v>
      </c>
      <c r="O1229" s="1415"/>
      <c r="P1229" s="1393"/>
      <c r="Q1229" s="1396"/>
    </row>
    <row r="1230" spans="1:17" ht="11.1" customHeight="1">
      <c r="A1230" s="31" t="s">
        <v>8715</v>
      </c>
      <c r="B1230" s="187" t="s">
        <v>8615</v>
      </c>
      <c r="C1230" s="187">
        <v>3</v>
      </c>
      <c r="D1230" s="59" t="s">
        <v>8716</v>
      </c>
      <c r="E1230" s="186"/>
      <c r="F1230" s="59" t="s">
        <v>6377</v>
      </c>
      <c r="G1230" s="59">
        <v>62</v>
      </c>
      <c r="H1230" s="59" t="s">
        <v>0</v>
      </c>
      <c r="I1230" s="59" t="s">
        <v>8586</v>
      </c>
      <c r="J1230" s="59" t="s">
        <v>6257</v>
      </c>
      <c r="K1230" s="59" t="s">
        <v>6369</v>
      </c>
      <c r="L1230" s="59" t="s">
        <v>6209</v>
      </c>
      <c r="M1230" s="59">
        <v>8</v>
      </c>
      <c r="N1230" s="43" t="s">
        <v>6260</v>
      </c>
      <c r="O1230" s="1415"/>
      <c r="P1230" s="1393"/>
      <c r="Q1230" s="1396"/>
    </row>
    <row r="1231" spans="1:17" ht="11.1" customHeight="1">
      <c r="A1231" s="31" t="s">
        <v>8717</v>
      </c>
      <c r="B1231" s="187" t="s">
        <v>8615</v>
      </c>
      <c r="C1231" s="187">
        <v>3</v>
      </c>
      <c r="D1231" s="59" t="s">
        <v>8718</v>
      </c>
      <c r="E1231" s="186"/>
      <c r="F1231" s="59" t="s">
        <v>6383</v>
      </c>
      <c r="G1231" s="59">
        <v>44</v>
      </c>
      <c r="H1231" s="59" t="s">
        <v>0</v>
      </c>
      <c r="I1231" s="59" t="s">
        <v>8586</v>
      </c>
      <c r="J1231" s="59" t="s">
        <v>6257</v>
      </c>
      <c r="K1231" s="59" t="s">
        <v>6286</v>
      </c>
      <c r="L1231" s="59" t="s">
        <v>6209</v>
      </c>
      <c r="M1231" s="59">
        <v>4</v>
      </c>
      <c r="N1231" s="43" t="s">
        <v>6260</v>
      </c>
      <c r="O1231" s="1415"/>
      <c r="P1231" s="1393"/>
      <c r="Q1231" s="1396"/>
    </row>
    <row r="1232" spans="1:17" ht="11.1" customHeight="1">
      <c r="A1232" s="31" t="s">
        <v>8719</v>
      </c>
      <c r="B1232" s="187" t="s">
        <v>8615</v>
      </c>
      <c r="C1232" s="187">
        <v>3</v>
      </c>
      <c r="D1232" s="59" t="s">
        <v>8720</v>
      </c>
      <c r="E1232" s="186"/>
      <c r="F1232" s="59" t="s">
        <v>6458</v>
      </c>
      <c r="G1232" s="59">
        <v>49</v>
      </c>
      <c r="H1232" s="59" t="s">
        <v>0</v>
      </c>
      <c r="I1232" s="59" t="s">
        <v>8586</v>
      </c>
      <c r="J1232" s="59" t="s">
        <v>6257</v>
      </c>
      <c r="K1232" s="59" t="s">
        <v>6402</v>
      </c>
      <c r="L1232" s="59" t="s">
        <v>6209</v>
      </c>
      <c r="M1232" s="59">
        <v>3</v>
      </c>
      <c r="N1232" s="43" t="s">
        <v>6260</v>
      </c>
      <c r="O1232" s="1415"/>
      <c r="P1232" s="1393"/>
      <c r="Q1232" s="1396"/>
    </row>
    <row r="1233" spans="1:17" ht="11.1" customHeight="1">
      <c r="A1233" s="44" t="s">
        <v>8721</v>
      </c>
      <c r="B1233" s="187" t="s">
        <v>8615</v>
      </c>
      <c r="C1233" s="190">
        <v>3</v>
      </c>
      <c r="D1233" s="97" t="s">
        <v>8722</v>
      </c>
      <c r="E1233" s="191"/>
      <c r="F1233" s="97" t="s">
        <v>6512</v>
      </c>
      <c r="G1233" s="97">
        <v>70</v>
      </c>
      <c r="H1233" s="97" t="s">
        <v>0</v>
      </c>
      <c r="I1233" s="97" t="s">
        <v>8586</v>
      </c>
      <c r="J1233" s="97" t="s">
        <v>6257</v>
      </c>
      <c r="K1233" s="97" t="s">
        <v>6258</v>
      </c>
      <c r="L1233" s="97" t="s">
        <v>6209</v>
      </c>
      <c r="M1233" s="97">
        <v>12</v>
      </c>
      <c r="N1233" s="50" t="s">
        <v>6260</v>
      </c>
      <c r="O1233" s="1416"/>
      <c r="P1233" s="1394"/>
      <c r="Q1233" s="1397"/>
    </row>
    <row r="1234" spans="1:17" ht="11.1" customHeight="1">
      <c r="A1234" s="51" t="s">
        <v>8723</v>
      </c>
      <c r="B1234" s="192" t="s">
        <v>6217</v>
      </c>
      <c r="C1234" s="192">
        <v>1</v>
      </c>
      <c r="D1234" s="56" t="s">
        <v>8716</v>
      </c>
      <c r="E1234" s="193">
        <v>99.59</v>
      </c>
      <c r="F1234" s="56" t="s">
        <v>6379</v>
      </c>
      <c r="G1234" s="56">
        <v>40</v>
      </c>
      <c r="H1234" s="56" t="s">
        <v>6049</v>
      </c>
      <c r="I1234" s="56" t="s">
        <v>8586</v>
      </c>
      <c r="J1234" s="56" t="s">
        <v>6253</v>
      </c>
      <c r="K1234" s="56" t="s">
        <v>6207</v>
      </c>
      <c r="L1234" s="56" t="s">
        <v>6209</v>
      </c>
      <c r="M1234" s="56">
        <v>2</v>
      </c>
      <c r="N1234" s="57" t="s">
        <v>6213</v>
      </c>
      <c r="O1234" s="1408">
        <v>7</v>
      </c>
      <c r="P1234" s="1392">
        <v>2433836</v>
      </c>
      <c r="Q1234" s="1395" t="e">
        <f>P1234/SUM($P$49:$P$125)</f>
        <v>#DIV/0!</v>
      </c>
    </row>
    <row r="1235" spans="1:17" ht="11.1" customHeight="1">
      <c r="A1235" s="31" t="s">
        <v>8724</v>
      </c>
      <c r="B1235" s="194" t="s">
        <v>6217</v>
      </c>
      <c r="C1235" s="194">
        <v>1</v>
      </c>
      <c r="D1235" s="36" t="s">
        <v>8718</v>
      </c>
      <c r="E1235" s="195">
        <v>86.84</v>
      </c>
      <c r="F1235" s="36" t="s">
        <v>6385</v>
      </c>
      <c r="G1235" s="36">
        <v>55</v>
      </c>
      <c r="H1235" s="36" t="s">
        <v>0</v>
      </c>
      <c r="I1235" s="36" t="s">
        <v>8586</v>
      </c>
      <c r="J1235" s="36" t="s">
        <v>6253</v>
      </c>
      <c r="K1235" s="36" t="s">
        <v>6213</v>
      </c>
      <c r="L1235" s="36" t="s">
        <v>6283</v>
      </c>
      <c r="M1235" s="36">
        <v>2</v>
      </c>
      <c r="N1235" s="37" t="s">
        <v>6213</v>
      </c>
      <c r="O1235" s="1409"/>
      <c r="P1235" s="1393"/>
      <c r="Q1235" s="1396"/>
    </row>
    <row r="1236" spans="1:17" ht="11.1" customHeight="1">
      <c r="A1236" s="31" t="s">
        <v>8725</v>
      </c>
      <c r="B1236" s="194" t="s">
        <v>6217</v>
      </c>
      <c r="C1236" s="194">
        <v>1</v>
      </c>
      <c r="D1236" s="36" t="s">
        <v>8714</v>
      </c>
      <c r="E1236" s="195">
        <v>74.239999999999995</v>
      </c>
      <c r="F1236" s="36" t="s">
        <v>6371</v>
      </c>
      <c r="G1236" s="36">
        <v>38</v>
      </c>
      <c r="H1236" s="36" t="s">
        <v>6049</v>
      </c>
      <c r="I1236" s="36" t="s">
        <v>8586</v>
      </c>
      <c r="J1236" s="36" t="s">
        <v>6253</v>
      </c>
      <c r="K1236" s="36" t="s">
        <v>6053</v>
      </c>
      <c r="L1236" s="36" t="s">
        <v>6036</v>
      </c>
      <c r="M1236" s="36"/>
      <c r="N1236" s="37" t="s">
        <v>6213</v>
      </c>
      <c r="O1236" s="1409"/>
      <c r="P1236" s="1393"/>
      <c r="Q1236" s="1396"/>
    </row>
    <row r="1237" spans="1:17" ht="11.1" customHeight="1">
      <c r="A1237" s="31" t="s">
        <v>8726</v>
      </c>
      <c r="B1237" s="194" t="s">
        <v>6217</v>
      </c>
      <c r="C1237" s="194">
        <v>22</v>
      </c>
      <c r="D1237" s="36" t="s">
        <v>8608</v>
      </c>
      <c r="E1237" s="195" t="s">
        <v>6262</v>
      </c>
      <c r="F1237" s="36" t="s">
        <v>8727</v>
      </c>
      <c r="G1237" s="36">
        <v>37</v>
      </c>
      <c r="H1237" s="36" t="s">
        <v>6049</v>
      </c>
      <c r="I1237" s="36"/>
      <c r="J1237" s="36" t="s">
        <v>6253</v>
      </c>
      <c r="K1237" s="36" t="s">
        <v>6053</v>
      </c>
      <c r="L1237" s="36" t="s">
        <v>6036</v>
      </c>
      <c r="M1237" s="36"/>
      <c r="N1237" s="223"/>
      <c r="O1237" s="1409"/>
      <c r="P1237" s="1393"/>
      <c r="Q1237" s="1396"/>
    </row>
    <row r="1238" spans="1:17" ht="11.1" customHeight="1">
      <c r="A1238" s="31" t="s">
        <v>8728</v>
      </c>
      <c r="B1238" s="194" t="s">
        <v>6217</v>
      </c>
      <c r="C1238" s="194">
        <v>23</v>
      </c>
      <c r="D1238" s="36" t="s">
        <v>8608</v>
      </c>
      <c r="E1238" s="195" t="s">
        <v>6262</v>
      </c>
      <c r="F1238" s="36" t="s">
        <v>8729</v>
      </c>
      <c r="G1238" s="36">
        <v>67</v>
      </c>
      <c r="H1238" s="36" t="s">
        <v>0</v>
      </c>
      <c r="I1238" s="36"/>
      <c r="J1238" s="36" t="s">
        <v>6253</v>
      </c>
      <c r="K1238" s="36" t="s">
        <v>6053</v>
      </c>
      <c r="L1238" s="36" t="s">
        <v>6036</v>
      </c>
      <c r="M1238" s="36"/>
      <c r="N1238" s="223"/>
      <c r="O1238" s="1409"/>
      <c r="P1238" s="1393"/>
      <c r="Q1238" s="1396"/>
    </row>
    <row r="1239" spans="1:17" ht="11.1" customHeight="1">
      <c r="A1239" s="31" t="s">
        <v>8730</v>
      </c>
      <c r="B1239" s="194" t="s">
        <v>6217</v>
      </c>
      <c r="C1239" s="194">
        <v>24</v>
      </c>
      <c r="D1239" s="36" t="s">
        <v>8608</v>
      </c>
      <c r="E1239" s="195" t="s">
        <v>6262</v>
      </c>
      <c r="F1239" s="36" t="s">
        <v>8731</v>
      </c>
      <c r="G1239" s="36">
        <v>75</v>
      </c>
      <c r="H1239" s="36" t="s">
        <v>0</v>
      </c>
      <c r="I1239" s="36"/>
      <c r="J1239" s="36" t="s">
        <v>6253</v>
      </c>
      <c r="K1239" s="36" t="s">
        <v>6053</v>
      </c>
      <c r="L1239" s="36" t="s">
        <v>6036</v>
      </c>
      <c r="M1239" s="36"/>
      <c r="N1239" s="223"/>
      <c r="O1239" s="1409"/>
      <c r="P1239" s="1393"/>
      <c r="Q1239" s="1396"/>
    </row>
    <row r="1240" spans="1:17" ht="11.1" customHeight="1">
      <c r="A1240" s="31" t="s">
        <v>8732</v>
      </c>
      <c r="B1240" s="194" t="s">
        <v>6217</v>
      </c>
      <c r="C1240" s="194">
        <v>25</v>
      </c>
      <c r="D1240" s="36" t="s">
        <v>8608</v>
      </c>
      <c r="E1240" s="195" t="s">
        <v>6262</v>
      </c>
      <c r="F1240" s="36" t="s">
        <v>8733</v>
      </c>
      <c r="G1240" s="36">
        <v>53</v>
      </c>
      <c r="H1240" s="36" t="s">
        <v>0</v>
      </c>
      <c r="I1240" s="36"/>
      <c r="J1240" s="36" t="s">
        <v>6253</v>
      </c>
      <c r="K1240" s="36" t="s">
        <v>6053</v>
      </c>
      <c r="L1240" s="36" t="s">
        <v>6036</v>
      </c>
      <c r="M1240" s="36"/>
      <c r="N1240" s="223"/>
      <c r="O1240" s="1409"/>
      <c r="P1240" s="1393"/>
      <c r="Q1240" s="1396"/>
    </row>
    <row r="1241" spans="1:17" ht="11.1" customHeight="1">
      <c r="A1241" s="31" t="s">
        <v>8734</v>
      </c>
      <c r="B1241" s="187"/>
      <c r="C1241" s="187">
        <v>26</v>
      </c>
      <c r="D1241" s="42" t="s">
        <v>8608</v>
      </c>
      <c r="E1241" s="188" t="s">
        <v>6262</v>
      </c>
      <c r="F1241" s="42" t="s">
        <v>8735</v>
      </c>
      <c r="G1241" s="42">
        <v>78</v>
      </c>
      <c r="H1241" s="42" t="s">
        <v>0</v>
      </c>
      <c r="I1241" s="42"/>
      <c r="J1241" s="42" t="s">
        <v>6253</v>
      </c>
      <c r="K1241" s="42" t="s">
        <v>6053</v>
      </c>
      <c r="L1241" s="42" t="s">
        <v>6036</v>
      </c>
      <c r="M1241" s="42"/>
      <c r="N1241" s="207"/>
      <c r="O1241" s="1409"/>
      <c r="P1241" s="1393"/>
      <c r="Q1241" s="1396"/>
    </row>
    <row r="1242" spans="1:17" ht="11.1" customHeight="1">
      <c r="A1242" s="31" t="s">
        <v>8736</v>
      </c>
      <c r="B1242" s="187"/>
      <c r="C1242" s="187">
        <v>27</v>
      </c>
      <c r="D1242" s="42" t="s">
        <v>8608</v>
      </c>
      <c r="E1242" s="188" t="s">
        <v>6262</v>
      </c>
      <c r="F1242" s="42" t="s">
        <v>8737</v>
      </c>
      <c r="G1242" s="42">
        <v>61</v>
      </c>
      <c r="H1242" s="42" t="s">
        <v>0</v>
      </c>
      <c r="I1242" s="42"/>
      <c r="J1242" s="42" t="s">
        <v>6253</v>
      </c>
      <c r="K1242" s="42" t="s">
        <v>6053</v>
      </c>
      <c r="L1242" s="42" t="s">
        <v>6036</v>
      </c>
      <c r="M1242" s="42"/>
      <c r="N1242" s="207"/>
      <c r="O1242" s="1409"/>
      <c r="P1242" s="1393"/>
      <c r="Q1242" s="1396"/>
    </row>
    <row r="1243" spans="1:17" ht="11.1" customHeight="1">
      <c r="A1243" s="31" t="s">
        <v>8738</v>
      </c>
      <c r="B1243" s="187"/>
      <c r="C1243" s="187">
        <v>28</v>
      </c>
      <c r="D1243" s="42" t="s">
        <v>8608</v>
      </c>
      <c r="E1243" s="188" t="s">
        <v>6262</v>
      </c>
      <c r="F1243" s="42" t="s">
        <v>8739</v>
      </c>
      <c r="G1243" s="42">
        <v>69</v>
      </c>
      <c r="H1243" s="42" t="s">
        <v>0</v>
      </c>
      <c r="I1243" s="42"/>
      <c r="J1243" s="42" t="s">
        <v>6253</v>
      </c>
      <c r="K1243" s="42" t="s">
        <v>6254</v>
      </c>
      <c r="L1243" s="42" t="s">
        <v>6283</v>
      </c>
      <c r="M1243" s="42">
        <v>1</v>
      </c>
      <c r="N1243" s="207"/>
      <c r="O1243" s="1409"/>
      <c r="P1243" s="1393"/>
      <c r="Q1243" s="1396"/>
    </row>
    <row r="1244" spans="1:17" ht="11.1" customHeight="1">
      <c r="A1244" s="31" t="s">
        <v>8740</v>
      </c>
      <c r="B1244" s="187" t="s">
        <v>8615</v>
      </c>
      <c r="C1244" s="187">
        <v>1</v>
      </c>
      <c r="D1244" s="36" t="s">
        <v>8741</v>
      </c>
      <c r="E1244" s="195" t="s">
        <v>6251</v>
      </c>
      <c r="F1244" s="36" t="s">
        <v>6354</v>
      </c>
      <c r="G1244" s="36">
        <v>45</v>
      </c>
      <c r="H1244" s="36" t="s">
        <v>0</v>
      </c>
      <c r="I1244" s="36" t="s">
        <v>8586</v>
      </c>
      <c r="J1244" s="36" t="s">
        <v>6253</v>
      </c>
      <c r="K1244" s="36" t="s">
        <v>6053</v>
      </c>
      <c r="L1244" s="36" t="s">
        <v>6209</v>
      </c>
      <c r="M1244" s="36">
        <v>1</v>
      </c>
      <c r="N1244" s="43" t="s">
        <v>6213</v>
      </c>
      <c r="O1244" s="1409"/>
      <c r="P1244" s="1393"/>
      <c r="Q1244" s="1396"/>
    </row>
    <row r="1245" spans="1:17" ht="11.1" customHeight="1">
      <c r="A1245" s="31" t="s">
        <v>8742</v>
      </c>
      <c r="B1245" s="187" t="s">
        <v>8615</v>
      </c>
      <c r="C1245" s="187">
        <v>1</v>
      </c>
      <c r="D1245" s="36" t="s">
        <v>8704</v>
      </c>
      <c r="E1245" s="195" t="s">
        <v>6251</v>
      </c>
      <c r="F1245" s="36" t="s">
        <v>6389</v>
      </c>
      <c r="G1245" s="36">
        <v>42</v>
      </c>
      <c r="H1245" s="36" t="s">
        <v>0</v>
      </c>
      <c r="I1245" s="36" t="s">
        <v>8586</v>
      </c>
      <c r="J1245" s="36" t="s">
        <v>6253</v>
      </c>
      <c r="K1245" s="36" t="s">
        <v>6053</v>
      </c>
      <c r="L1245" s="36" t="s">
        <v>6209</v>
      </c>
      <c r="M1245" s="36">
        <v>1</v>
      </c>
      <c r="N1245" s="43" t="s">
        <v>6213</v>
      </c>
      <c r="O1245" s="1409"/>
      <c r="P1245" s="1393"/>
      <c r="Q1245" s="1396"/>
    </row>
    <row r="1246" spans="1:17" ht="11.1" customHeight="1">
      <c r="A1246" s="31" t="s">
        <v>8743</v>
      </c>
      <c r="B1246" s="187" t="s">
        <v>8615</v>
      </c>
      <c r="C1246" s="187">
        <v>1</v>
      </c>
      <c r="D1246" s="36" t="s">
        <v>8682</v>
      </c>
      <c r="E1246" s="195" t="s">
        <v>6251</v>
      </c>
      <c r="F1246" s="36" t="s">
        <v>6399</v>
      </c>
      <c r="G1246" s="36">
        <v>45</v>
      </c>
      <c r="H1246" s="36" t="s">
        <v>0</v>
      </c>
      <c r="I1246" s="36" t="s">
        <v>8586</v>
      </c>
      <c r="J1246" s="36" t="s">
        <v>6253</v>
      </c>
      <c r="K1246" s="36" t="s">
        <v>6053</v>
      </c>
      <c r="L1246" s="36" t="s">
        <v>6036</v>
      </c>
      <c r="M1246" s="36"/>
      <c r="N1246" s="43" t="s">
        <v>6213</v>
      </c>
      <c r="O1246" s="1409"/>
      <c r="P1246" s="1393"/>
      <c r="Q1246" s="1396"/>
    </row>
    <row r="1247" spans="1:17" ht="11.1" customHeight="1">
      <c r="A1247" s="31" t="s">
        <v>8744</v>
      </c>
      <c r="B1247" s="187" t="s">
        <v>8615</v>
      </c>
      <c r="C1247" s="187">
        <v>1</v>
      </c>
      <c r="D1247" s="36" t="s">
        <v>8702</v>
      </c>
      <c r="E1247" s="195" t="s">
        <v>6251</v>
      </c>
      <c r="F1247" s="36" t="s">
        <v>6406</v>
      </c>
      <c r="G1247" s="36">
        <v>55</v>
      </c>
      <c r="H1247" s="36" t="s">
        <v>0</v>
      </c>
      <c r="I1247" s="36" t="s">
        <v>8586</v>
      </c>
      <c r="J1247" s="36" t="s">
        <v>6253</v>
      </c>
      <c r="K1247" s="36" t="s">
        <v>6035</v>
      </c>
      <c r="L1247" s="36" t="s">
        <v>6209</v>
      </c>
      <c r="M1247" s="36">
        <v>3</v>
      </c>
      <c r="N1247" s="43" t="s">
        <v>6213</v>
      </c>
      <c r="O1247" s="1409"/>
      <c r="P1247" s="1393"/>
      <c r="Q1247" s="1396"/>
    </row>
    <row r="1248" spans="1:17" ht="11.1" customHeight="1">
      <c r="A1248" s="31" t="s">
        <v>8745</v>
      </c>
      <c r="B1248" s="187" t="s">
        <v>8615</v>
      </c>
      <c r="C1248" s="187">
        <v>1</v>
      </c>
      <c r="D1248" s="36" t="s">
        <v>8696</v>
      </c>
      <c r="E1248" s="195" t="s">
        <v>6251</v>
      </c>
      <c r="F1248" s="36" t="s">
        <v>6422</v>
      </c>
      <c r="G1248" s="36">
        <v>52</v>
      </c>
      <c r="H1248" s="36" t="s">
        <v>6049</v>
      </c>
      <c r="I1248" s="36" t="s">
        <v>8586</v>
      </c>
      <c r="J1248" s="36" t="s">
        <v>6253</v>
      </c>
      <c r="K1248" s="36" t="s">
        <v>6053</v>
      </c>
      <c r="L1248" s="36" t="s">
        <v>6209</v>
      </c>
      <c r="M1248" s="36">
        <v>1</v>
      </c>
      <c r="N1248" s="43" t="s">
        <v>6213</v>
      </c>
      <c r="O1248" s="1409"/>
      <c r="P1248" s="1393"/>
      <c r="Q1248" s="1396"/>
    </row>
    <row r="1249" spans="1:17" ht="11.1" customHeight="1">
      <c r="A1249" s="31" t="s">
        <v>8746</v>
      </c>
      <c r="B1249" s="187" t="s">
        <v>8615</v>
      </c>
      <c r="C1249" s="187">
        <v>1</v>
      </c>
      <c r="D1249" s="36" t="s">
        <v>8694</v>
      </c>
      <c r="E1249" s="195" t="s">
        <v>6251</v>
      </c>
      <c r="F1249" s="36" t="s">
        <v>6432</v>
      </c>
      <c r="G1249" s="36">
        <v>40</v>
      </c>
      <c r="H1249" s="36" t="s">
        <v>0</v>
      </c>
      <c r="I1249" s="36" t="s">
        <v>8586</v>
      </c>
      <c r="J1249" s="36" t="s">
        <v>6253</v>
      </c>
      <c r="K1249" s="36" t="s">
        <v>6053</v>
      </c>
      <c r="L1249" s="36" t="s">
        <v>6036</v>
      </c>
      <c r="M1249" s="36"/>
      <c r="N1249" s="43" t="s">
        <v>6213</v>
      </c>
      <c r="O1249" s="1409"/>
      <c r="P1249" s="1393"/>
      <c r="Q1249" s="1396"/>
    </row>
    <row r="1250" spans="1:17" ht="11.1" customHeight="1">
      <c r="A1250" s="31" t="s">
        <v>8747</v>
      </c>
      <c r="B1250" s="187" t="s">
        <v>8615</v>
      </c>
      <c r="C1250" s="187">
        <v>1</v>
      </c>
      <c r="D1250" s="36" t="s">
        <v>8684</v>
      </c>
      <c r="E1250" s="195" t="s">
        <v>6251</v>
      </c>
      <c r="F1250" s="36" t="s">
        <v>6440</v>
      </c>
      <c r="G1250" s="36">
        <v>38</v>
      </c>
      <c r="H1250" s="36" t="s">
        <v>0</v>
      </c>
      <c r="I1250" s="36" t="s">
        <v>8586</v>
      </c>
      <c r="J1250" s="36" t="s">
        <v>6253</v>
      </c>
      <c r="K1250" s="36" t="s">
        <v>6207</v>
      </c>
      <c r="L1250" s="36" t="s">
        <v>6283</v>
      </c>
      <c r="M1250" s="36">
        <v>1</v>
      </c>
      <c r="N1250" s="43" t="s">
        <v>6213</v>
      </c>
      <c r="O1250" s="1409"/>
      <c r="P1250" s="1393"/>
      <c r="Q1250" s="1396"/>
    </row>
    <row r="1251" spans="1:17" ht="11.1" customHeight="1">
      <c r="A1251" s="31" t="s">
        <v>8748</v>
      </c>
      <c r="B1251" s="187" t="s">
        <v>8615</v>
      </c>
      <c r="C1251" s="187">
        <v>1</v>
      </c>
      <c r="D1251" s="36" t="s">
        <v>8686</v>
      </c>
      <c r="E1251" s="195" t="s">
        <v>6251</v>
      </c>
      <c r="F1251" s="36" t="s">
        <v>6446</v>
      </c>
      <c r="G1251" s="36">
        <v>39</v>
      </c>
      <c r="H1251" s="36" t="s">
        <v>0</v>
      </c>
      <c r="I1251" s="36" t="s">
        <v>8586</v>
      </c>
      <c r="J1251" s="36" t="s">
        <v>6253</v>
      </c>
      <c r="K1251" s="36" t="s">
        <v>6053</v>
      </c>
      <c r="L1251" s="36" t="s">
        <v>6036</v>
      </c>
      <c r="M1251" s="36"/>
      <c r="N1251" s="43" t="s">
        <v>6213</v>
      </c>
      <c r="O1251" s="1409"/>
      <c r="P1251" s="1393"/>
      <c r="Q1251" s="1396"/>
    </row>
    <row r="1252" spans="1:17" ht="11.1" customHeight="1">
      <c r="A1252" s="31" t="s">
        <v>8749</v>
      </c>
      <c r="B1252" s="187" t="s">
        <v>8615</v>
      </c>
      <c r="C1252" s="187">
        <v>1</v>
      </c>
      <c r="D1252" s="36" t="s">
        <v>8688</v>
      </c>
      <c r="E1252" s="195" t="s">
        <v>6251</v>
      </c>
      <c r="F1252" s="36" t="s">
        <v>6454</v>
      </c>
      <c r="G1252" s="36">
        <v>47</v>
      </c>
      <c r="H1252" s="36" t="s">
        <v>0</v>
      </c>
      <c r="I1252" s="36" t="s">
        <v>8586</v>
      </c>
      <c r="J1252" s="36" t="s">
        <v>6253</v>
      </c>
      <c r="K1252" s="36" t="s">
        <v>24</v>
      </c>
      <c r="L1252" s="36" t="s">
        <v>6209</v>
      </c>
      <c r="M1252" s="36">
        <v>4</v>
      </c>
      <c r="N1252" s="43" t="s">
        <v>6213</v>
      </c>
      <c r="O1252" s="1409"/>
      <c r="P1252" s="1393"/>
      <c r="Q1252" s="1396"/>
    </row>
    <row r="1253" spans="1:17" ht="11.1" customHeight="1">
      <c r="A1253" s="31" t="s">
        <v>8750</v>
      </c>
      <c r="B1253" s="187" t="s">
        <v>8615</v>
      </c>
      <c r="C1253" s="187">
        <v>1</v>
      </c>
      <c r="D1253" s="36" t="s">
        <v>8690</v>
      </c>
      <c r="E1253" s="195" t="s">
        <v>6251</v>
      </c>
      <c r="F1253" s="36" t="s">
        <v>6464</v>
      </c>
      <c r="G1253" s="36">
        <v>32</v>
      </c>
      <c r="H1253" s="36" t="s">
        <v>0</v>
      </c>
      <c r="I1253" s="36" t="s">
        <v>8586</v>
      </c>
      <c r="J1253" s="36" t="s">
        <v>6253</v>
      </c>
      <c r="K1253" s="36" t="s">
        <v>6053</v>
      </c>
      <c r="L1253" s="36" t="s">
        <v>6209</v>
      </c>
      <c r="M1253" s="36">
        <v>2</v>
      </c>
      <c r="N1253" s="43" t="s">
        <v>6465</v>
      </c>
      <c r="O1253" s="1409"/>
      <c r="P1253" s="1393"/>
      <c r="Q1253" s="1396"/>
    </row>
    <row r="1254" spans="1:17" ht="11.1" customHeight="1">
      <c r="A1254" s="31" t="s">
        <v>8751</v>
      </c>
      <c r="B1254" s="187" t="s">
        <v>8615</v>
      </c>
      <c r="C1254" s="187">
        <v>1</v>
      </c>
      <c r="D1254" s="36" t="s">
        <v>8676</v>
      </c>
      <c r="E1254" s="195" t="s">
        <v>6251</v>
      </c>
      <c r="F1254" s="36" t="s">
        <v>6488</v>
      </c>
      <c r="G1254" s="36">
        <v>59</v>
      </c>
      <c r="H1254" s="36" t="s">
        <v>6049</v>
      </c>
      <c r="I1254" s="36" t="s">
        <v>8586</v>
      </c>
      <c r="J1254" s="36" t="s">
        <v>6253</v>
      </c>
      <c r="K1254" s="36" t="s">
        <v>6053</v>
      </c>
      <c r="L1254" s="36" t="s">
        <v>6036</v>
      </c>
      <c r="M1254" s="36"/>
      <c r="N1254" s="43" t="s">
        <v>6465</v>
      </c>
      <c r="O1254" s="1409"/>
      <c r="P1254" s="1393"/>
      <c r="Q1254" s="1396"/>
    </row>
    <row r="1255" spans="1:17" ht="11.1" customHeight="1">
      <c r="A1255" s="31" t="s">
        <v>8752</v>
      </c>
      <c r="B1255" s="187" t="s">
        <v>8615</v>
      </c>
      <c r="C1255" s="187">
        <v>1</v>
      </c>
      <c r="D1255" s="36" t="s">
        <v>8672</v>
      </c>
      <c r="E1255" s="195" t="s">
        <v>6251</v>
      </c>
      <c r="F1255" s="36" t="s">
        <v>6496</v>
      </c>
      <c r="G1255" s="36">
        <v>67</v>
      </c>
      <c r="H1255" s="36" t="s">
        <v>0</v>
      </c>
      <c r="I1255" s="36" t="s">
        <v>8586</v>
      </c>
      <c r="J1255" s="36" t="s">
        <v>6253</v>
      </c>
      <c r="K1255" s="36" t="s">
        <v>6207</v>
      </c>
      <c r="L1255" s="36" t="s">
        <v>6283</v>
      </c>
      <c r="M1255" s="36">
        <v>10</v>
      </c>
      <c r="N1255" s="43" t="s">
        <v>6465</v>
      </c>
      <c r="O1255" s="1409"/>
      <c r="P1255" s="1393"/>
      <c r="Q1255" s="1396"/>
    </row>
    <row r="1256" spans="1:17" ht="11.1" customHeight="1">
      <c r="A1256" s="31" t="s">
        <v>8753</v>
      </c>
      <c r="B1256" s="187" t="s">
        <v>8615</v>
      </c>
      <c r="C1256" s="187">
        <v>1</v>
      </c>
      <c r="D1256" s="36" t="s">
        <v>8700</v>
      </c>
      <c r="E1256" s="195" t="s">
        <v>6251</v>
      </c>
      <c r="F1256" s="36" t="s">
        <v>6506</v>
      </c>
      <c r="G1256" s="36">
        <v>44</v>
      </c>
      <c r="H1256" s="36" t="s">
        <v>0</v>
      </c>
      <c r="I1256" s="36" t="s">
        <v>8586</v>
      </c>
      <c r="J1256" s="36" t="s">
        <v>6253</v>
      </c>
      <c r="K1256" s="36" t="s">
        <v>6053</v>
      </c>
      <c r="L1256" s="36" t="s">
        <v>6209</v>
      </c>
      <c r="M1256" s="36">
        <v>2</v>
      </c>
      <c r="N1256" s="43" t="s">
        <v>6465</v>
      </c>
      <c r="O1256" s="1409"/>
      <c r="P1256" s="1393"/>
      <c r="Q1256" s="1396"/>
    </row>
    <row r="1257" spans="1:17" ht="11.1" customHeight="1">
      <c r="A1257" s="31" t="s">
        <v>8754</v>
      </c>
      <c r="B1257" s="187" t="s">
        <v>8615</v>
      </c>
      <c r="C1257" s="187">
        <v>1</v>
      </c>
      <c r="D1257" s="36" t="s">
        <v>8678</v>
      </c>
      <c r="E1257" s="195" t="s">
        <v>6251</v>
      </c>
      <c r="F1257" s="36" t="s">
        <v>6521</v>
      </c>
      <c r="G1257" s="36">
        <v>36</v>
      </c>
      <c r="H1257" s="36" t="s">
        <v>0</v>
      </c>
      <c r="I1257" s="36" t="s">
        <v>8586</v>
      </c>
      <c r="J1257" s="36" t="s">
        <v>6253</v>
      </c>
      <c r="K1257" s="36" t="s">
        <v>6053</v>
      </c>
      <c r="L1257" s="36" t="s">
        <v>6036</v>
      </c>
      <c r="M1257" s="36"/>
      <c r="N1257" s="43" t="s">
        <v>6213</v>
      </c>
      <c r="O1257" s="1409"/>
      <c r="P1257" s="1393"/>
      <c r="Q1257" s="1396"/>
    </row>
    <row r="1258" spans="1:17" ht="11.1" customHeight="1">
      <c r="A1258" s="31" t="s">
        <v>8755</v>
      </c>
      <c r="B1258" s="187" t="s">
        <v>8615</v>
      </c>
      <c r="C1258" s="187">
        <v>1</v>
      </c>
      <c r="D1258" s="36" t="s">
        <v>8680</v>
      </c>
      <c r="E1258" s="195" t="s">
        <v>6251</v>
      </c>
      <c r="F1258" s="36" t="s">
        <v>6529</v>
      </c>
      <c r="G1258" s="36">
        <v>30</v>
      </c>
      <c r="H1258" s="36" t="s">
        <v>6049</v>
      </c>
      <c r="I1258" s="36" t="s">
        <v>8586</v>
      </c>
      <c r="J1258" s="36" t="s">
        <v>6253</v>
      </c>
      <c r="K1258" s="36" t="s">
        <v>6053</v>
      </c>
      <c r="L1258" s="36" t="s">
        <v>6209</v>
      </c>
      <c r="M1258" s="36">
        <v>1</v>
      </c>
      <c r="N1258" s="43" t="s">
        <v>6213</v>
      </c>
      <c r="O1258" s="1409"/>
      <c r="P1258" s="1393"/>
      <c r="Q1258" s="1396"/>
    </row>
    <row r="1259" spans="1:17" ht="11.1" customHeight="1">
      <c r="A1259" s="31" t="s">
        <v>8756</v>
      </c>
      <c r="B1259" s="187" t="s">
        <v>8615</v>
      </c>
      <c r="C1259" s="187">
        <v>1</v>
      </c>
      <c r="D1259" s="36" t="s">
        <v>8668</v>
      </c>
      <c r="E1259" s="195" t="s">
        <v>6251</v>
      </c>
      <c r="F1259" s="36" t="s">
        <v>6535</v>
      </c>
      <c r="G1259" s="36">
        <v>45</v>
      </c>
      <c r="H1259" s="36" t="s">
        <v>0</v>
      </c>
      <c r="I1259" s="36" t="s">
        <v>8586</v>
      </c>
      <c r="J1259" s="36" t="s">
        <v>6253</v>
      </c>
      <c r="K1259" s="36" t="s">
        <v>24</v>
      </c>
      <c r="L1259" s="36" t="s">
        <v>6209</v>
      </c>
      <c r="M1259" s="36">
        <v>5</v>
      </c>
      <c r="N1259" s="43" t="s">
        <v>6213</v>
      </c>
      <c r="O1259" s="1409"/>
      <c r="P1259" s="1393"/>
      <c r="Q1259" s="1396"/>
    </row>
    <row r="1260" spans="1:17" ht="11.1" customHeight="1">
      <c r="A1260" s="31" t="s">
        <v>8757</v>
      </c>
      <c r="B1260" s="187" t="s">
        <v>8615</v>
      </c>
      <c r="C1260" s="187">
        <v>1</v>
      </c>
      <c r="D1260" s="36" t="s">
        <v>8698</v>
      </c>
      <c r="E1260" s="195" t="s">
        <v>6251</v>
      </c>
      <c r="F1260" s="36" t="s">
        <v>6539</v>
      </c>
      <c r="G1260" s="36">
        <v>77</v>
      </c>
      <c r="H1260" s="36" t="s">
        <v>0</v>
      </c>
      <c r="I1260" s="36" t="s">
        <v>8586</v>
      </c>
      <c r="J1260" s="36" t="s">
        <v>6253</v>
      </c>
      <c r="K1260" s="36" t="s">
        <v>6207</v>
      </c>
      <c r="L1260" s="36" t="s">
        <v>6209</v>
      </c>
      <c r="M1260" s="36">
        <v>13</v>
      </c>
      <c r="N1260" s="43" t="s">
        <v>6213</v>
      </c>
      <c r="O1260" s="1409"/>
      <c r="P1260" s="1393"/>
      <c r="Q1260" s="1396"/>
    </row>
    <row r="1261" spans="1:17" ht="11.1" customHeight="1">
      <c r="A1261" s="44" t="s">
        <v>8758</v>
      </c>
      <c r="B1261" s="190" t="s">
        <v>8615</v>
      </c>
      <c r="C1261" s="190">
        <v>1</v>
      </c>
      <c r="D1261" s="141" t="s">
        <v>8692</v>
      </c>
      <c r="E1261" s="195" t="s">
        <v>6251</v>
      </c>
      <c r="F1261" s="141" t="s">
        <v>6547</v>
      </c>
      <c r="G1261" s="141">
        <v>60</v>
      </c>
      <c r="H1261" s="141" t="s">
        <v>0</v>
      </c>
      <c r="I1261" s="141" t="s">
        <v>8586</v>
      </c>
      <c r="J1261" s="141" t="s">
        <v>6253</v>
      </c>
      <c r="K1261" s="141" t="s">
        <v>6053</v>
      </c>
      <c r="L1261" s="141" t="s">
        <v>6209</v>
      </c>
      <c r="M1261" s="141">
        <v>2</v>
      </c>
      <c r="N1261" s="50" t="s">
        <v>6213</v>
      </c>
      <c r="O1261" s="1410"/>
      <c r="P1261" s="1394"/>
      <c r="Q1261" s="1397"/>
    </row>
    <row r="1262" spans="1:17" ht="11.1" customHeight="1">
      <c r="A1262" s="51" t="s">
        <v>8759</v>
      </c>
      <c r="B1262" s="197" t="s">
        <v>6217</v>
      </c>
      <c r="C1262" s="197">
        <v>1</v>
      </c>
      <c r="D1262" s="198" t="s">
        <v>8608</v>
      </c>
      <c r="E1262" s="199" t="s">
        <v>6262</v>
      </c>
      <c r="F1262" s="198" t="s">
        <v>8760</v>
      </c>
      <c r="G1262" s="198">
        <v>62</v>
      </c>
      <c r="H1262" s="198" t="s">
        <v>0</v>
      </c>
      <c r="I1262" s="198"/>
      <c r="J1262" s="198" t="s">
        <v>6929</v>
      </c>
      <c r="K1262" s="198"/>
      <c r="L1262" s="198" t="s">
        <v>6209</v>
      </c>
      <c r="M1262" s="198">
        <v>5</v>
      </c>
      <c r="N1262" s="200" t="s">
        <v>7931</v>
      </c>
      <c r="O1262" s="1411">
        <v>1</v>
      </c>
      <c r="P1262" s="1392">
        <v>516688</v>
      </c>
      <c r="Q1262" s="1395" t="e">
        <f>P1262/SUM($P$49:$P$125)</f>
        <v>#DIV/0!</v>
      </c>
    </row>
    <row r="1263" spans="1:17" ht="11.1" customHeight="1">
      <c r="A1263" s="31" t="s">
        <v>8761</v>
      </c>
      <c r="B1263" s="187"/>
      <c r="C1263" s="187">
        <v>2</v>
      </c>
      <c r="D1263" s="42" t="s">
        <v>8608</v>
      </c>
      <c r="E1263" s="188" t="s">
        <v>6262</v>
      </c>
      <c r="F1263" s="42" t="s">
        <v>8762</v>
      </c>
      <c r="G1263" s="42">
        <v>54</v>
      </c>
      <c r="H1263" s="42" t="s">
        <v>0</v>
      </c>
      <c r="I1263" s="42"/>
      <c r="J1263" s="42" t="s">
        <v>6929</v>
      </c>
      <c r="K1263" s="42"/>
      <c r="L1263" s="42" t="s">
        <v>6283</v>
      </c>
      <c r="M1263" s="42">
        <v>3</v>
      </c>
      <c r="N1263" s="207" t="s">
        <v>7931</v>
      </c>
      <c r="O1263" s="1412"/>
      <c r="P1263" s="1393"/>
      <c r="Q1263" s="1396"/>
    </row>
    <row r="1264" spans="1:17" ht="11.1" customHeight="1">
      <c r="A1264" s="44" t="s">
        <v>8763</v>
      </c>
      <c r="B1264" s="190"/>
      <c r="C1264" s="190">
        <v>3</v>
      </c>
      <c r="D1264" s="49" t="s">
        <v>8608</v>
      </c>
      <c r="E1264" s="201" t="s">
        <v>6262</v>
      </c>
      <c r="F1264" s="49" t="s">
        <v>8764</v>
      </c>
      <c r="G1264" s="49">
        <v>43</v>
      </c>
      <c r="H1264" s="49" t="s">
        <v>0</v>
      </c>
      <c r="I1264" s="49"/>
      <c r="J1264" s="49" t="s">
        <v>6929</v>
      </c>
      <c r="K1264" s="49"/>
      <c r="L1264" s="49" t="s">
        <v>6036</v>
      </c>
      <c r="M1264" s="49"/>
      <c r="N1264" s="202"/>
      <c r="O1264" s="1413"/>
      <c r="P1264" s="1394"/>
      <c r="Q1264" s="1397"/>
    </row>
    <row r="1265" spans="1:17" ht="11.1" customHeight="1">
      <c r="A1265" s="51" t="s">
        <v>8765</v>
      </c>
      <c r="B1265" s="224" t="s">
        <v>6217</v>
      </c>
      <c r="C1265" s="224">
        <v>1</v>
      </c>
      <c r="D1265" s="225" t="s">
        <v>8608</v>
      </c>
      <c r="E1265" s="226" t="s">
        <v>6262</v>
      </c>
      <c r="F1265" s="225" t="s">
        <v>8766</v>
      </c>
      <c r="G1265" s="225">
        <v>49</v>
      </c>
      <c r="H1265" s="225" t="s">
        <v>6049</v>
      </c>
      <c r="I1265" s="225"/>
      <c r="J1265" s="225" t="s">
        <v>6264</v>
      </c>
      <c r="K1265" s="225"/>
      <c r="L1265" s="225" t="s">
        <v>6209</v>
      </c>
      <c r="M1265" s="225">
        <v>2</v>
      </c>
      <c r="N1265" s="227"/>
      <c r="O1265" s="1402">
        <v>1</v>
      </c>
      <c r="P1265" s="1392">
        <v>315201</v>
      </c>
      <c r="Q1265" s="1395" t="e">
        <f>P1265/SUM($P$49:$P$125)</f>
        <v>#DIV/0!</v>
      </c>
    </row>
    <row r="1266" spans="1:17" ht="11.1" customHeight="1">
      <c r="A1266" s="31" t="s">
        <v>8767</v>
      </c>
      <c r="B1266" s="187"/>
      <c r="C1266" s="187">
        <v>2</v>
      </c>
      <c r="D1266" s="42" t="s">
        <v>8608</v>
      </c>
      <c r="E1266" s="188" t="s">
        <v>6262</v>
      </c>
      <c r="F1266" s="42" t="s">
        <v>8768</v>
      </c>
      <c r="G1266" s="42">
        <v>57</v>
      </c>
      <c r="H1266" s="42" t="s">
        <v>6049</v>
      </c>
      <c r="I1266" s="42"/>
      <c r="J1266" s="42" t="s">
        <v>6264</v>
      </c>
      <c r="K1266" s="42"/>
      <c r="L1266" s="42" t="s">
        <v>6036</v>
      </c>
      <c r="M1266" s="42"/>
      <c r="N1266" s="43"/>
      <c r="O1266" s="1403"/>
      <c r="P1266" s="1393"/>
      <c r="Q1266" s="1396"/>
    </row>
    <row r="1267" spans="1:17" ht="11.1" customHeight="1">
      <c r="A1267" s="31" t="s">
        <v>8769</v>
      </c>
      <c r="B1267" s="187" t="s">
        <v>6231</v>
      </c>
      <c r="C1267" s="187">
        <v>3</v>
      </c>
      <c r="D1267" s="42" t="s">
        <v>8690</v>
      </c>
      <c r="E1267" s="188">
        <v>17</v>
      </c>
      <c r="F1267" s="42" t="s">
        <v>6469</v>
      </c>
      <c r="G1267" s="42">
        <v>32</v>
      </c>
      <c r="H1267" s="42" t="s">
        <v>0</v>
      </c>
      <c r="I1267" s="42" t="s">
        <v>8586</v>
      </c>
      <c r="J1267" s="42" t="s">
        <v>6264</v>
      </c>
      <c r="K1267" s="42"/>
      <c r="L1267" s="42" t="s">
        <v>6036</v>
      </c>
      <c r="M1267" s="42"/>
      <c r="N1267" s="43"/>
      <c r="O1267" s="1403"/>
      <c r="P1267" s="1393"/>
      <c r="Q1267" s="1396"/>
    </row>
    <row r="1268" spans="1:17" ht="11.1" customHeight="1">
      <c r="A1268" s="31" t="s">
        <v>8770</v>
      </c>
      <c r="B1268" s="187" t="s">
        <v>6231</v>
      </c>
      <c r="C1268" s="187">
        <v>3</v>
      </c>
      <c r="D1268" s="42" t="s">
        <v>8686</v>
      </c>
      <c r="E1268" s="188">
        <v>9.91</v>
      </c>
      <c r="F1268" s="42" t="s">
        <v>6450</v>
      </c>
      <c r="G1268" s="42">
        <v>45</v>
      </c>
      <c r="H1268" s="42" t="s">
        <v>0</v>
      </c>
      <c r="I1268" s="42" t="s">
        <v>8586</v>
      </c>
      <c r="J1268" s="42" t="s">
        <v>6264</v>
      </c>
      <c r="K1268" s="42"/>
      <c r="L1268" s="42" t="s">
        <v>6036</v>
      </c>
      <c r="M1268" s="42"/>
      <c r="N1268" s="43"/>
      <c r="O1268" s="1403"/>
      <c r="P1268" s="1393"/>
      <c r="Q1268" s="1396"/>
    </row>
    <row r="1269" spans="1:17" ht="11.1" customHeight="1">
      <c r="A1269" s="31" t="s">
        <v>8771</v>
      </c>
      <c r="B1269" s="187" t="s">
        <v>6231</v>
      </c>
      <c r="C1269" s="187">
        <v>3</v>
      </c>
      <c r="D1269" s="42" t="s">
        <v>8741</v>
      </c>
      <c r="E1269" s="188">
        <v>7.87</v>
      </c>
      <c r="F1269" s="42" t="s">
        <v>6364</v>
      </c>
      <c r="G1269" s="42">
        <v>35</v>
      </c>
      <c r="H1269" s="42" t="s">
        <v>0</v>
      </c>
      <c r="I1269" s="42" t="s">
        <v>8586</v>
      </c>
      <c r="J1269" s="42" t="s">
        <v>6264</v>
      </c>
      <c r="K1269" s="42"/>
      <c r="L1269" s="42" t="s">
        <v>6036</v>
      </c>
      <c r="M1269" s="42"/>
      <c r="N1269" s="43"/>
      <c r="O1269" s="1403"/>
      <c r="P1269" s="1393"/>
      <c r="Q1269" s="1396"/>
    </row>
    <row r="1270" spans="1:17" ht="11.1" customHeight="1">
      <c r="A1270" s="31" t="s">
        <v>8772</v>
      </c>
      <c r="B1270" s="187" t="s">
        <v>6231</v>
      </c>
      <c r="C1270" s="187">
        <v>3</v>
      </c>
      <c r="D1270" s="42" t="s">
        <v>8706</v>
      </c>
      <c r="E1270" s="188">
        <v>6.19</v>
      </c>
      <c r="F1270" s="42" t="s">
        <v>6418</v>
      </c>
      <c r="G1270" s="42">
        <v>59</v>
      </c>
      <c r="H1270" s="42" t="s">
        <v>0</v>
      </c>
      <c r="I1270" s="42" t="s">
        <v>8586</v>
      </c>
      <c r="J1270" s="42" t="s">
        <v>6264</v>
      </c>
      <c r="K1270" s="42"/>
      <c r="L1270" s="42" t="s">
        <v>6036</v>
      </c>
      <c r="M1270" s="42"/>
      <c r="N1270" s="43"/>
      <c r="O1270" s="1403"/>
      <c r="P1270" s="1393"/>
      <c r="Q1270" s="1396"/>
    </row>
    <row r="1271" spans="1:17" ht="11.1" customHeight="1">
      <c r="A1271" s="44" t="s">
        <v>8773</v>
      </c>
      <c r="B1271" s="190" t="s">
        <v>6231</v>
      </c>
      <c r="C1271" s="190">
        <v>3</v>
      </c>
      <c r="D1271" s="49" t="s">
        <v>8672</v>
      </c>
      <c r="E1271" s="201">
        <v>5.67</v>
      </c>
      <c r="F1271" s="49" t="s">
        <v>6502</v>
      </c>
      <c r="G1271" s="49">
        <v>36</v>
      </c>
      <c r="H1271" s="49" t="s">
        <v>0</v>
      </c>
      <c r="I1271" s="49" t="s">
        <v>8586</v>
      </c>
      <c r="J1271" s="49" t="s">
        <v>6264</v>
      </c>
      <c r="K1271" s="49"/>
      <c r="L1271" s="49" t="s">
        <v>6036</v>
      </c>
      <c r="M1271" s="49"/>
      <c r="N1271" s="50"/>
      <c r="O1271" s="1404"/>
      <c r="P1271" s="1394"/>
      <c r="Q1271" s="1397"/>
    </row>
    <row r="1272" spans="1:17" ht="11.1" customHeight="1">
      <c r="A1272" s="51" t="s">
        <v>8774</v>
      </c>
      <c r="B1272" s="228" t="s">
        <v>6217</v>
      </c>
      <c r="C1272" s="228">
        <v>1</v>
      </c>
      <c r="D1272" s="122" t="s">
        <v>8722</v>
      </c>
      <c r="E1272" s="229">
        <v>61.58</v>
      </c>
      <c r="F1272" s="122" t="s">
        <v>6514</v>
      </c>
      <c r="G1272" s="122">
        <v>61</v>
      </c>
      <c r="H1272" s="122" t="s">
        <v>0</v>
      </c>
      <c r="I1272" s="122" t="s">
        <v>8586</v>
      </c>
      <c r="J1272" s="122" t="s">
        <v>6278</v>
      </c>
      <c r="K1272" s="122"/>
      <c r="L1272" s="122" t="s">
        <v>6036</v>
      </c>
      <c r="M1272" s="122"/>
      <c r="N1272" s="123" t="s">
        <v>6515</v>
      </c>
      <c r="O1272" s="1405">
        <v>1</v>
      </c>
      <c r="P1272" s="1392">
        <v>316635</v>
      </c>
      <c r="Q1272" s="1395" t="e">
        <f>P1272/SUM($P$49:$P$125)</f>
        <v>#DIV/0!</v>
      </c>
    </row>
    <row r="1273" spans="1:17" ht="11.1" customHeight="1">
      <c r="A1273" s="31" t="s">
        <v>8775</v>
      </c>
      <c r="B1273" s="187"/>
      <c r="C1273" s="187">
        <v>1</v>
      </c>
      <c r="D1273" s="42" t="s">
        <v>8720</v>
      </c>
      <c r="E1273" s="188">
        <v>53.69</v>
      </c>
      <c r="F1273" s="42" t="s">
        <v>6460</v>
      </c>
      <c r="G1273" s="42">
        <v>60</v>
      </c>
      <c r="H1273" s="42" t="s">
        <v>0</v>
      </c>
      <c r="I1273" s="42" t="s">
        <v>8586</v>
      </c>
      <c r="J1273" s="42" t="s">
        <v>6278</v>
      </c>
      <c r="K1273" s="42"/>
      <c r="L1273" s="42" t="s">
        <v>6209</v>
      </c>
      <c r="M1273" s="42">
        <v>2</v>
      </c>
      <c r="N1273" s="43" t="s">
        <v>6213</v>
      </c>
      <c r="O1273" s="1406"/>
      <c r="P1273" s="1393"/>
      <c r="Q1273" s="1396"/>
    </row>
    <row r="1274" spans="1:17" ht="11.1" customHeight="1">
      <c r="A1274" s="31" t="s">
        <v>8776</v>
      </c>
      <c r="B1274" s="187"/>
      <c r="C1274" s="187">
        <v>1</v>
      </c>
      <c r="D1274" s="42" t="s">
        <v>8674</v>
      </c>
      <c r="E1274" s="188">
        <v>25.25</v>
      </c>
      <c r="F1274" s="42" t="s">
        <v>6480</v>
      </c>
      <c r="G1274" s="42">
        <v>53</v>
      </c>
      <c r="H1274" s="42" t="s">
        <v>0</v>
      </c>
      <c r="I1274" s="42" t="s">
        <v>8586</v>
      </c>
      <c r="J1274" s="42" t="s">
        <v>6278</v>
      </c>
      <c r="K1274" s="42"/>
      <c r="L1274" s="42" t="s">
        <v>6283</v>
      </c>
      <c r="M1274" s="42">
        <v>1</v>
      </c>
      <c r="N1274" s="43" t="s">
        <v>6481</v>
      </c>
      <c r="O1274" s="1406"/>
      <c r="P1274" s="1393"/>
      <c r="Q1274" s="1396"/>
    </row>
    <row r="1275" spans="1:17" ht="11.1" customHeight="1">
      <c r="A1275" s="31" t="s">
        <v>8777</v>
      </c>
      <c r="B1275" s="187"/>
      <c r="C1275" s="187">
        <v>1</v>
      </c>
      <c r="D1275" s="42" t="s">
        <v>8706</v>
      </c>
      <c r="E1275" s="188">
        <v>21.59</v>
      </c>
      <c r="F1275" s="42" t="s">
        <v>6416</v>
      </c>
      <c r="G1275" s="42">
        <v>65</v>
      </c>
      <c r="H1275" s="42" t="s">
        <v>0</v>
      </c>
      <c r="I1275" s="42" t="s">
        <v>8586</v>
      </c>
      <c r="J1275" s="42" t="s">
        <v>6278</v>
      </c>
      <c r="K1275" s="42"/>
      <c r="L1275" s="42" t="s">
        <v>6036</v>
      </c>
      <c r="M1275" s="42"/>
      <c r="N1275" s="43"/>
      <c r="O1275" s="1406"/>
      <c r="P1275" s="1393"/>
      <c r="Q1275" s="1396"/>
    </row>
    <row r="1276" spans="1:17" ht="11.1" customHeight="1">
      <c r="A1276" s="31" t="s">
        <v>8778</v>
      </c>
      <c r="B1276" s="187" t="s">
        <v>6231</v>
      </c>
      <c r="C1276" s="187">
        <v>1</v>
      </c>
      <c r="D1276" s="42" t="s">
        <v>8741</v>
      </c>
      <c r="E1276" s="188">
        <v>12.68</v>
      </c>
      <c r="F1276" s="42" t="s">
        <v>6362</v>
      </c>
      <c r="G1276" s="42">
        <v>69</v>
      </c>
      <c r="H1276" s="42" t="s">
        <v>0</v>
      </c>
      <c r="I1276" s="42" t="s">
        <v>8586</v>
      </c>
      <c r="J1276" s="42" t="s">
        <v>6278</v>
      </c>
      <c r="K1276" s="42"/>
      <c r="L1276" s="42" t="s">
        <v>6036</v>
      </c>
      <c r="M1276" s="42"/>
      <c r="N1276" s="43"/>
      <c r="O1276" s="1406"/>
      <c r="P1276" s="1393"/>
      <c r="Q1276" s="1396"/>
    </row>
    <row r="1277" spans="1:17" ht="11.1" customHeight="1">
      <c r="A1277" s="44" t="s">
        <v>8779</v>
      </c>
      <c r="B1277" s="190" t="s">
        <v>6231</v>
      </c>
      <c r="C1277" s="190">
        <v>1</v>
      </c>
      <c r="D1277" s="49" t="s">
        <v>8704</v>
      </c>
      <c r="E1277" s="201">
        <v>11.21</v>
      </c>
      <c r="F1277" s="49" t="s">
        <v>6393</v>
      </c>
      <c r="G1277" s="49">
        <v>62</v>
      </c>
      <c r="H1277" s="49" t="s">
        <v>0</v>
      </c>
      <c r="I1277" s="49" t="s">
        <v>8586</v>
      </c>
      <c r="J1277" s="49" t="s">
        <v>6278</v>
      </c>
      <c r="K1277" s="49"/>
      <c r="L1277" s="49" t="s">
        <v>6036</v>
      </c>
      <c r="M1277" s="49"/>
      <c r="N1277" s="50"/>
      <c r="O1277" s="1407"/>
      <c r="P1277" s="1394"/>
      <c r="Q1277" s="1397"/>
    </row>
    <row r="1278" spans="1:17" ht="11.1" customHeight="1">
      <c r="A1278" s="51" t="s">
        <v>8780</v>
      </c>
      <c r="B1278" s="203"/>
      <c r="C1278" s="203">
        <v>1</v>
      </c>
      <c r="D1278" s="204" t="s">
        <v>8698</v>
      </c>
      <c r="E1278" s="205">
        <v>46.7</v>
      </c>
      <c r="F1278" s="204" t="s">
        <v>6543</v>
      </c>
      <c r="G1278" s="204">
        <v>41</v>
      </c>
      <c r="H1278" s="204" t="s">
        <v>0</v>
      </c>
      <c r="I1278" s="204" t="s">
        <v>8586</v>
      </c>
      <c r="J1278" s="204" t="s">
        <v>6484</v>
      </c>
      <c r="K1278" s="204"/>
      <c r="L1278" s="204" t="s">
        <v>6036</v>
      </c>
      <c r="M1278" s="204"/>
      <c r="N1278" s="230"/>
      <c r="O1278" s="1421">
        <v>0</v>
      </c>
      <c r="P1278" s="1392">
        <v>241445</v>
      </c>
      <c r="Q1278" s="1395" t="e">
        <f>P1278/SUM($P$49:$P$125)</f>
        <v>#DIV/0!</v>
      </c>
    </row>
    <row r="1279" spans="1:17" ht="11.1" customHeight="1">
      <c r="A1279" s="44" t="s">
        <v>8781</v>
      </c>
      <c r="B1279" s="190" t="s">
        <v>6231</v>
      </c>
      <c r="C1279" s="190">
        <v>1</v>
      </c>
      <c r="D1279" s="49" t="s">
        <v>8674</v>
      </c>
      <c r="E1279" s="201">
        <v>9.1999999999999993</v>
      </c>
      <c r="F1279" s="49" t="s">
        <v>6483</v>
      </c>
      <c r="G1279" s="49">
        <v>39</v>
      </c>
      <c r="H1279" s="49" t="s">
        <v>0</v>
      </c>
      <c r="I1279" s="49" t="s">
        <v>8586</v>
      </c>
      <c r="J1279" s="49" t="s">
        <v>6484</v>
      </c>
      <c r="K1279" s="49"/>
      <c r="L1279" s="49" t="s">
        <v>6036</v>
      </c>
      <c r="M1279" s="49"/>
      <c r="N1279" s="50"/>
      <c r="O1279" s="1423"/>
      <c r="P1279" s="1394"/>
      <c r="Q1279" s="1397"/>
    </row>
    <row r="1280" spans="1:17" ht="11.1" customHeight="1">
      <c r="A1280" s="51" t="s">
        <v>8782</v>
      </c>
      <c r="B1280" s="203"/>
      <c r="C1280" s="203">
        <v>1</v>
      </c>
      <c r="D1280" s="204" t="s">
        <v>8608</v>
      </c>
      <c r="E1280" s="205" t="s">
        <v>6262</v>
      </c>
      <c r="F1280" s="204" t="s">
        <v>8783</v>
      </c>
      <c r="G1280" s="204">
        <v>52</v>
      </c>
      <c r="H1280" s="204" t="s">
        <v>0</v>
      </c>
      <c r="I1280" s="204"/>
      <c r="J1280" s="204" t="s">
        <v>6267</v>
      </c>
      <c r="K1280" s="204" t="s">
        <v>6268</v>
      </c>
      <c r="L1280" s="204" t="s">
        <v>6036</v>
      </c>
      <c r="M1280" s="204"/>
      <c r="N1280" s="230"/>
      <c r="O1280" s="1398">
        <v>0</v>
      </c>
      <c r="P1280" s="1393">
        <v>36295</v>
      </c>
      <c r="Q1280" s="1396" t="e">
        <f>P1280/SUM($P$49:$P$125)</f>
        <v>#DIV/0!</v>
      </c>
    </row>
    <row r="1281" spans="1:17" ht="11.1" customHeight="1">
      <c r="A1281" s="31" t="s">
        <v>8784</v>
      </c>
      <c r="B1281" s="187"/>
      <c r="C1281" s="187">
        <v>2</v>
      </c>
      <c r="D1281" s="42" t="s">
        <v>8608</v>
      </c>
      <c r="E1281" s="188" t="s">
        <v>6262</v>
      </c>
      <c r="F1281" s="42" t="s">
        <v>8785</v>
      </c>
      <c r="G1281" s="42">
        <v>45</v>
      </c>
      <c r="H1281" s="42" t="s">
        <v>0</v>
      </c>
      <c r="I1281" s="42"/>
      <c r="J1281" s="42" t="s">
        <v>6267</v>
      </c>
      <c r="K1281" s="42" t="s">
        <v>6268</v>
      </c>
      <c r="L1281" s="42" t="s">
        <v>6036</v>
      </c>
      <c r="M1281" s="42"/>
      <c r="N1281" s="43"/>
      <c r="O1281" s="1398"/>
      <c r="P1281" s="1393"/>
      <c r="Q1281" s="1396"/>
    </row>
    <row r="1282" spans="1:17" ht="11.1" customHeight="1" thickBot="1">
      <c r="A1282" s="73" t="s">
        <v>8786</v>
      </c>
      <c r="B1282" s="215"/>
      <c r="C1282" s="215">
        <v>3</v>
      </c>
      <c r="D1282" s="78" t="s">
        <v>8608</v>
      </c>
      <c r="E1282" s="216" t="s">
        <v>6262</v>
      </c>
      <c r="F1282" s="78" t="s">
        <v>8787</v>
      </c>
      <c r="G1282" s="78">
        <v>61</v>
      </c>
      <c r="H1282" s="78" t="s">
        <v>6049</v>
      </c>
      <c r="I1282" s="78"/>
      <c r="J1282" s="78" t="s">
        <v>6267</v>
      </c>
      <c r="K1282" s="78" t="s">
        <v>6268</v>
      </c>
      <c r="L1282" s="78" t="s">
        <v>6036</v>
      </c>
      <c r="M1282" s="78"/>
      <c r="N1282" s="79"/>
      <c r="O1282" s="1399"/>
      <c r="P1282" s="1400"/>
      <c r="Q1282" s="1401"/>
    </row>
    <row r="1283" spans="1:17" ht="11.1" customHeight="1">
      <c r="A1283" s="80" t="s">
        <v>8788</v>
      </c>
      <c r="B1283" s="219" t="s">
        <v>6217</v>
      </c>
      <c r="C1283" s="219">
        <v>1</v>
      </c>
      <c r="D1283" s="112" t="s">
        <v>8608</v>
      </c>
      <c r="E1283" s="220" t="s">
        <v>6262</v>
      </c>
      <c r="F1283" s="112" t="s">
        <v>8789</v>
      </c>
      <c r="G1283" s="112">
        <v>56</v>
      </c>
      <c r="H1283" s="112" t="s">
        <v>0</v>
      </c>
      <c r="I1283" s="112"/>
      <c r="J1283" s="112" t="s">
        <v>6257</v>
      </c>
      <c r="K1283" s="112" t="s">
        <v>6273</v>
      </c>
      <c r="L1283" s="112" t="s">
        <v>6209</v>
      </c>
      <c r="M1283" s="112">
        <v>6</v>
      </c>
      <c r="N1283" s="113"/>
      <c r="O1283" s="1414">
        <v>6</v>
      </c>
      <c r="P1283" s="1417">
        <v>1945933</v>
      </c>
      <c r="Q1283" s="1418" t="e">
        <f>P1283/SUM($P$126:$P$213)</f>
        <v>#DIV/0!</v>
      </c>
    </row>
    <row r="1284" spans="1:17" ht="11.1" customHeight="1">
      <c r="A1284" s="31" t="s">
        <v>8790</v>
      </c>
      <c r="B1284" s="185" t="s">
        <v>6217</v>
      </c>
      <c r="C1284" s="185">
        <v>2</v>
      </c>
      <c r="D1284" s="59" t="s">
        <v>8791</v>
      </c>
      <c r="E1284" s="186">
        <v>97.57</v>
      </c>
      <c r="F1284" s="59" t="s">
        <v>6563</v>
      </c>
      <c r="G1284" s="59">
        <v>65</v>
      </c>
      <c r="H1284" s="59" t="s">
        <v>0</v>
      </c>
      <c r="I1284" s="59" t="s">
        <v>8586</v>
      </c>
      <c r="J1284" s="59" t="s">
        <v>6257</v>
      </c>
      <c r="K1284" s="59" t="s">
        <v>6273</v>
      </c>
      <c r="L1284" s="59" t="s">
        <v>6209</v>
      </c>
      <c r="M1284" s="59">
        <v>8</v>
      </c>
      <c r="N1284" s="133" t="s">
        <v>6260</v>
      </c>
      <c r="O1284" s="1415"/>
      <c r="P1284" s="1393"/>
      <c r="Q1284" s="1396"/>
    </row>
    <row r="1285" spans="1:17" ht="11.1" customHeight="1">
      <c r="A1285" s="31" t="s">
        <v>8792</v>
      </c>
      <c r="B1285" s="185" t="s">
        <v>6217</v>
      </c>
      <c r="C1285" s="185">
        <v>2</v>
      </c>
      <c r="D1285" s="59" t="s">
        <v>8793</v>
      </c>
      <c r="E1285" s="186">
        <v>81.239999999999995</v>
      </c>
      <c r="F1285" s="59" t="s">
        <v>6595</v>
      </c>
      <c r="G1285" s="59">
        <v>55</v>
      </c>
      <c r="H1285" s="59" t="s">
        <v>6049</v>
      </c>
      <c r="I1285" s="59" t="s">
        <v>8586</v>
      </c>
      <c r="J1285" s="59" t="s">
        <v>6257</v>
      </c>
      <c r="K1285" s="59" t="s">
        <v>6596</v>
      </c>
      <c r="L1285" s="59" t="s">
        <v>6209</v>
      </c>
      <c r="M1285" s="59">
        <v>1</v>
      </c>
      <c r="N1285" s="133"/>
      <c r="O1285" s="1415"/>
      <c r="P1285" s="1393"/>
      <c r="Q1285" s="1396"/>
    </row>
    <row r="1286" spans="1:17" ht="11.1" customHeight="1">
      <c r="A1286" s="31" t="s">
        <v>8794</v>
      </c>
      <c r="B1286" s="185" t="s">
        <v>6217</v>
      </c>
      <c r="C1286" s="185">
        <v>2</v>
      </c>
      <c r="D1286" s="59" t="s">
        <v>8795</v>
      </c>
      <c r="E1286" s="186">
        <v>80.150000000000006</v>
      </c>
      <c r="F1286" s="59" t="s">
        <v>6679</v>
      </c>
      <c r="G1286" s="59">
        <v>51</v>
      </c>
      <c r="H1286" s="59" t="s">
        <v>0</v>
      </c>
      <c r="I1286" s="59" t="s">
        <v>8586</v>
      </c>
      <c r="J1286" s="59" t="s">
        <v>6257</v>
      </c>
      <c r="K1286" s="59" t="s">
        <v>6273</v>
      </c>
      <c r="L1286" s="59" t="s">
        <v>6209</v>
      </c>
      <c r="M1286" s="59">
        <v>3</v>
      </c>
      <c r="N1286" s="133" t="s">
        <v>6260</v>
      </c>
      <c r="O1286" s="1415"/>
      <c r="P1286" s="1393"/>
      <c r="Q1286" s="1396"/>
    </row>
    <row r="1287" spans="1:17" ht="11.1" customHeight="1">
      <c r="A1287" s="31" t="s">
        <v>8796</v>
      </c>
      <c r="B1287" s="185" t="s">
        <v>6217</v>
      </c>
      <c r="C1287" s="185">
        <v>2</v>
      </c>
      <c r="D1287" s="59" t="s">
        <v>8797</v>
      </c>
      <c r="E1287" s="186">
        <v>79.7</v>
      </c>
      <c r="F1287" s="59" t="s">
        <v>6723</v>
      </c>
      <c r="G1287" s="59">
        <v>43</v>
      </c>
      <c r="H1287" s="59" t="s">
        <v>0</v>
      </c>
      <c r="I1287" s="59" t="s">
        <v>8586</v>
      </c>
      <c r="J1287" s="59" t="s">
        <v>6257</v>
      </c>
      <c r="K1287" s="59" t="s">
        <v>6286</v>
      </c>
      <c r="L1287" s="59" t="s">
        <v>6209</v>
      </c>
      <c r="M1287" s="59">
        <v>2</v>
      </c>
      <c r="N1287" s="133" t="s">
        <v>6260</v>
      </c>
      <c r="O1287" s="1415"/>
      <c r="P1287" s="1393"/>
      <c r="Q1287" s="1396"/>
    </row>
    <row r="1288" spans="1:17" ht="11.1" customHeight="1">
      <c r="A1288" s="31" t="s">
        <v>8798</v>
      </c>
      <c r="B1288" s="185" t="s">
        <v>6217</v>
      </c>
      <c r="C1288" s="185">
        <v>2</v>
      </c>
      <c r="D1288" s="59" t="s">
        <v>8799</v>
      </c>
      <c r="E1288" s="186">
        <v>78.13</v>
      </c>
      <c r="F1288" s="59" t="s">
        <v>6620</v>
      </c>
      <c r="G1288" s="59">
        <v>57</v>
      </c>
      <c r="H1288" s="59" t="s">
        <v>0</v>
      </c>
      <c r="I1288" s="59" t="s">
        <v>8586</v>
      </c>
      <c r="J1288" s="59" t="s">
        <v>6257</v>
      </c>
      <c r="K1288" s="59" t="s">
        <v>6402</v>
      </c>
      <c r="L1288" s="59" t="s">
        <v>6209</v>
      </c>
      <c r="M1288" s="59">
        <v>4</v>
      </c>
      <c r="N1288" s="133" t="s">
        <v>6260</v>
      </c>
      <c r="O1288" s="1415"/>
      <c r="P1288" s="1393"/>
      <c r="Q1288" s="1396"/>
    </row>
    <row r="1289" spans="1:17" ht="11.1" customHeight="1">
      <c r="A1289" s="31" t="s">
        <v>8800</v>
      </c>
      <c r="B1289" s="187"/>
      <c r="C1289" s="187">
        <v>2</v>
      </c>
      <c r="D1289" s="42" t="s">
        <v>8801</v>
      </c>
      <c r="E1289" s="188">
        <v>77.239999999999995</v>
      </c>
      <c r="F1289" s="42" t="s">
        <v>6587</v>
      </c>
      <c r="G1289" s="42">
        <v>65</v>
      </c>
      <c r="H1289" s="42" t="s">
        <v>0</v>
      </c>
      <c r="I1289" s="42" t="s">
        <v>8586</v>
      </c>
      <c r="J1289" s="42" t="s">
        <v>6257</v>
      </c>
      <c r="K1289" s="42" t="s">
        <v>6402</v>
      </c>
      <c r="L1289" s="42" t="s">
        <v>6209</v>
      </c>
      <c r="M1289" s="42">
        <v>10</v>
      </c>
      <c r="N1289" s="43" t="s">
        <v>6260</v>
      </c>
      <c r="O1289" s="1415"/>
      <c r="P1289" s="1393"/>
      <c r="Q1289" s="1396"/>
    </row>
    <row r="1290" spans="1:17" ht="11.1" customHeight="1">
      <c r="A1290" s="31" t="s">
        <v>8802</v>
      </c>
      <c r="B1290" s="187"/>
      <c r="C1290" s="187">
        <v>2</v>
      </c>
      <c r="D1290" s="42" t="s">
        <v>8803</v>
      </c>
      <c r="E1290" s="188">
        <v>77</v>
      </c>
      <c r="F1290" s="42" t="s">
        <v>6737</v>
      </c>
      <c r="G1290" s="42">
        <v>60</v>
      </c>
      <c r="H1290" s="42" t="s">
        <v>0</v>
      </c>
      <c r="I1290" s="42" t="s">
        <v>8586</v>
      </c>
      <c r="J1290" s="42" t="s">
        <v>6257</v>
      </c>
      <c r="K1290" s="42" t="s">
        <v>6273</v>
      </c>
      <c r="L1290" s="42" t="s">
        <v>6209</v>
      </c>
      <c r="M1290" s="42">
        <v>4</v>
      </c>
      <c r="N1290" s="43" t="s">
        <v>6260</v>
      </c>
      <c r="O1290" s="1415"/>
      <c r="P1290" s="1393"/>
      <c r="Q1290" s="1396"/>
    </row>
    <row r="1291" spans="1:17" ht="11.1" customHeight="1">
      <c r="A1291" s="31" t="s">
        <v>8804</v>
      </c>
      <c r="B1291" s="187"/>
      <c r="C1291" s="187">
        <v>2</v>
      </c>
      <c r="D1291" s="42" t="s">
        <v>8805</v>
      </c>
      <c r="E1291" s="188">
        <v>76.5</v>
      </c>
      <c r="F1291" s="42" t="s">
        <v>6602</v>
      </c>
      <c r="G1291" s="42">
        <v>55</v>
      </c>
      <c r="H1291" s="42" t="s">
        <v>0</v>
      </c>
      <c r="I1291" s="42" t="s">
        <v>8586</v>
      </c>
      <c r="J1291" s="42" t="s">
        <v>6257</v>
      </c>
      <c r="K1291" s="42" t="s">
        <v>6273</v>
      </c>
      <c r="L1291" s="42" t="s">
        <v>6209</v>
      </c>
      <c r="M1291" s="42">
        <v>9</v>
      </c>
      <c r="N1291" s="43" t="s">
        <v>6260</v>
      </c>
      <c r="O1291" s="1415"/>
      <c r="P1291" s="1393"/>
      <c r="Q1291" s="1396"/>
    </row>
    <row r="1292" spans="1:17" ht="11.1" customHeight="1">
      <c r="A1292" s="31" t="s">
        <v>8806</v>
      </c>
      <c r="B1292" s="187"/>
      <c r="C1292" s="187">
        <v>2</v>
      </c>
      <c r="D1292" s="42" t="s">
        <v>8807</v>
      </c>
      <c r="E1292" s="188">
        <v>72.77</v>
      </c>
      <c r="F1292" s="42" t="s">
        <v>6731</v>
      </c>
      <c r="G1292" s="42">
        <v>36</v>
      </c>
      <c r="H1292" s="42" t="s">
        <v>0</v>
      </c>
      <c r="I1292" s="42" t="s">
        <v>8586</v>
      </c>
      <c r="J1292" s="42" t="s">
        <v>6257</v>
      </c>
      <c r="K1292" s="42" t="s">
        <v>6286</v>
      </c>
      <c r="L1292" s="42" t="s">
        <v>6209</v>
      </c>
      <c r="M1292" s="42">
        <v>1</v>
      </c>
      <c r="N1292" s="43" t="s">
        <v>6260</v>
      </c>
      <c r="O1292" s="1415"/>
      <c r="P1292" s="1393"/>
      <c r="Q1292" s="1396"/>
    </row>
    <row r="1293" spans="1:17" ht="11.1" customHeight="1">
      <c r="A1293" s="31" t="s">
        <v>8808</v>
      </c>
      <c r="B1293" s="187"/>
      <c r="C1293" s="187">
        <v>2</v>
      </c>
      <c r="D1293" s="42" t="s">
        <v>8809</v>
      </c>
      <c r="E1293" s="188">
        <v>71.55</v>
      </c>
      <c r="F1293" s="42" t="s">
        <v>6749</v>
      </c>
      <c r="G1293" s="42">
        <v>69</v>
      </c>
      <c r="H1293" s="42" t="s">
        <v>0</v>
      </c>
      <c r="I1293" s="42" t="s">
        <v>8586</v>
      </c>
      <c r="J1293" s="42" t="s">
        <v>6257</v>
      </c>
      <c r="K1293" s="42" t="s">
        <v>6311</v>
      </c>
      <c r="L1293" s="42" t="s">
        <v>6209</v>
      </c>
      <c r="M1293" s="42">
        <v>4</v>
      </c>
      <c r="N1293" s="43" t="s">
        <v>6260</v>
      </c>
      <c r="O1293" s="1415"/>
      <c r="P1293" s="1393"/>
      <c r="Q1293" s="1396"/>
    </row>
    <row r="1294" spans="1:17" ht="11.1" customHeight="1">
      <c r="A1294" s="31" t="s">
        <v>8810</v>
      </c>
      <c r="B1294" s="187"/>
      <c r="C1294" s="187">
        <v>2</v>
      </c>
      <c r="D1294" s="42" t="s">
        <v>8811</v>
      </c>
      <c r="E1294" s="188">
        <v>71.08</v>
      </c>
      <c r="F1294" s="42" t="s">
        <v>6772</v>
      </c>
      <c r="G1294" s="42">
        <v>45</v>
      </c>
      <c r="H1294" s="42" t="s">
        <v>0</v>
      </c>
      <c r="I1294" s="42" t="s">
        <v>8586</v>
      </c>
      <c r="J1294" s="42" t="s">
        <v>6257</v>
      </c>
      <c r="K1294" s="42" t="s">
        <v>6258</v>
      </c>
      <c r="L1294" s="42" t="s">
        <v>6209</v>
      </c>
      <c r="M1294" s="42">
        <v>1</v>
      </c>
      <c r="N1294" s="43" t="s">
        <v>6260</v>
      </c>
      <c r="O1294" s="1415"/>
      <c r="P1294" s="1393"/>
      <c r="Q1294" s="1396"/>
    </row>
    <row r="1295" spans="1:17" ht="11.1" customHeight="1">
      <c r="A1295" s="31" t="s">
        <v>8812</v>
      </c>
      <c r="B1295" s="187"/>
      <c r="C1295" s="187">
        <v>2</v>
      </c>
      <c r="D1295" s="42" t="s">
        <v>8813</v>
      </c>
      <c r="E1295" s="188">
        <v>70.23</v>
      </c>
      <c r="F1295" s="42" t="s">
        <v>6569</v>
      </c>
      <c r="G1295" s="42">
        <v>49</v>
      </c>
      <c r="H1295" s="42" t="s">
        <v>0</v>
      </c>
      <c r="I1295" s="42" t="s">
        <v>8586</v>
      </c>
      <c r="J1295" s="42" t="s">
        <v>6257</v>
      </c>
      <c r="K1295" s="42" t="s">
        <v>6402</v>
      </c>
      <c r="L1295" s="42" t="s">
        <v>6209</v>
      </c>
      <c r="M1295" s="42">
        <v>2</v>
      </c>
      <c r="N1295" s="43" t="s">
        <v>6260</v>
      </c>
      <c r="O1295" s="1415"/>
      <c r="P1295" s="1393"/>
      <c r="Q1295" s="1396"/>
    </row>
    <row r="1296" spans="1:17" ht="11.1" customHeight="1">
      <c r="A1296" s="31" t="s">
        <v>8814</v>
      </c>
      <c r="B1296" s="187"/>
      <c r="C1296" s="187">
        <v>2</v>
      </c>
      <c r="D1296" s="42" t="s">
        <v>8815</v>
      </c>
      <c r="E1296" s="188">
        <v>70.14</v>
      </c>
      <c r="F1296" s="42" t="s">
        <v>6755</v>
      </c>
      <c r="G1296" s="42">
        <v>57</v>
      </c>
      <c r="H1296" s="42" t="s">
        <v>6049</v>
      </c>
      <c r="I1296" s="42" t="s">
        <v>8586</v>
      </c>
      <c r="J1296" s="42" t="s">
        <v>6257</v>
      </c>
      <c r="K1296" s="42" t="s">
        <v>6258</v>
      </c>
      <c r="L1296" s="42" t="s">
        <v>6209</v>
      </c>
      <c r="M1296" s="42">
        <v>4</v>
      </c>
      <c r="N1296" s="43" t="s">
        <v>6260</v>
      </c>
      <c r="O1296" s="1415"/>
      <c r="P1296" s="1393"/>
      <c r="Q1296" s="1396"/>
    </row>
    <row r="1297" spans="1:17" ht="11.1" customHeight="1">
      <c r="A1297" s="31" t="s">
        <v>8816</v>
      </c>
      <c r="B1297" s="187"/>
      <c r="C1297" s="187">
        <v>2</v>
      </c>
      <c r="D1297" s="42" t="s">
        <v>8817</v>
      </c>
      <c r="E1297" s="188">
        <v>68.75</v>
      </c>
      <c r="F1297" s="42" t="s">
        <v>6766</v>
      </c>
      <c r="G1297" s="42">
        <v>56</v>
      </c>
      <c r="H1297" s="42" t="s">
        <v>0</v>
      </c>
      <c r="I1297" s="42" t="s">
        <v>8586</v>
      </c>
      <c r="J1297" s="42" t="s">
        <v>6257</v>
      </c>
      <c r="K1297" s="42" t="s">
        <v>6286</v>
      </c>
      <c r="L1297" s="42" t="s">
        <v>6209</v>
      </c>
      <c r="M1297" s="42">
        <v>3</v>
      </c>
      <c r="N1297" s="43" t="s">
        <v>6260</v>
      </c>
      <c r="O1297" s="1415"/>
      <c r="P1297" s="1393"/>
      <c r="Q1297" s="1396"/>
    </row>
    <row r="1298" spans="1:17" ht="11.1" customHeight="1">
      <c r="A1298" s="31" t="s">
        <v>8818</v>
      </c>
      <c r="B1298" s="187"/>
      <c r="C1298" s="187">
        <v>2</v>
      </c>
      <c r="D1298" s="42" t="s">
        <v>8819</v>
      </c>
      <c r="E1298" s="188">
        <v>65.03</v>
      </c>
      <c r="F1298" s="42" t="s">
        <v>6701</v>
      </c>
      <c r="G1298" s="42">
        <v>38</v>
      </c>
      <c r="H1298" s="42" t="s">
        <v>0</v>
      </c>
      <c r="I1298" s="42" t="s">
        <v>8586</v>
      </c>
      <c r="J1298" s="42" t="s">
        <v>6257</v>
      </c>
      <c r="K1298" s="42" t="s">
        <v>6258</v>
      </c>
      <c r="L1298" s="42" t="s">
        <v>6209</v>
      </c>
      <c r="M1298" s="42">
        <v>1</v>
      </c>
      <c r="N1298" s="43" t="s">
        <v>6260</v>
      </c>
      <c r="O1298" s="1415"/>
      <c r="P1298" s="1393"/>
      <c r="Q1298" s="1396"/>
    </row>
    <row r="1299" spans="1:17" ht="11.1" customHeight="1">
      <c r="A1299" s="31" t="s">
        <v>8820</v>
      </c>
      <c r="B1299" s="187"/>
      <c r="C1299" s="187">
        <v>2</v>
      </c>
      <c r="D1299" s="42" t="s">
        <v>8821</v>
      </c>
      <c r="E1299" s="188">
        <v>61.82</v>
      </c>
      <c r="F1299" s="42" t="s">
        <v>6693</v>
      </c>
      <c r="G1299" s="42">
        <v>63</v>
      </c>
      <c r="H1299" s="42" t="s">
        <v>0</v>
      </c>
      <c r="I1299" s="42" t="s">
        <v>8586</v>
      </c>
      <c r="J1299" s="42" t="s">
        <v>6257</v>
      </c>
      <c r="K1299" s="42" t="s">
        <v>6286</v>
      </c>
      <c r="L1299" s="42" t="s">
        <v>6209</v>
      </c>
      <c r="M1299" s="42">
        <v>2</v>
      </c>
      <c r="N1299" s="43" t="s">
        <v>6260</v>
      </c>
      <c r="O1299" s="1415"/>
      <c r="P1299" s="1393"/>
      <c r="Q1299" s="1396"/>
    </row>
    <row r="1300" spans="1:17" ht="11.1" customHeight="1">
      <c r="A1300" s="31" t="s">
        <v>8822</v>
      </c>
      <c r="B1300" s="187"/>
      <c r="C1300" s="187">
        <v>2</v>
      </c>
      <c r="D1300" s="42" t="s">
        <v>8823</v>
      </c>
      <c r="E1300" s="188">
        <v>61.74</v>
      </c>
      <c r="F1300" s="42" t="s">
        <v>6687</v>
      </c>
      <c r="G1300" s="42">
        <v>68</v>
      </c>
      <c r="H1300" s="42" t="s">
        <v>0</v>
      </c>
      <c r="I1300" s="42" t="s">
        <v>8586</v>
      </c>
      <c r="J1300" s="42" t="s">
        <v>6257</v>
      </c>
      <c r="K1300" s="42" t="s">
        <v>6402</v>
      </c>
      <c r="L1300" s="42" t="s">
        <v>6209</v>
      </c>
      <c r="M1300" s="42">
        <v>4</v>
      </c>
      <c r="N1300" s="43" t="s">
        <v>6260</v>
      </c>
      <c r="O1300" s="1415"/>
      <c r="P1300" s="1393"/>
      <c r="Q1300" s="1396"/>
    </row>
    <row r="1301" spans="1:17" ht="11.1" customHeight="1">
      <c r="A1301" s="31" t="s">
        <v>8824</v>
      </c>
      <c r="B1301" s="187"/>
      <c r="C1301" s="187">
        <v>2</v>
      </c>
      <c r="D1301" s="42" t="s">
        <v>8825</v>
      </c>
      <c r="E1301" s="188">
        <v>61.21</v>
      </c>
      <c r="F1301" s="42" t="s">
        <v>6555</v>
      </c>
      <c r="G1301" s="42">
        <v>50</v>
      </c>
      <c r="H1301" s="42" t="s">
        <v>0</v>
      </c>
      <c r="I1301" s="42" t="s">
        <v>8586</v>
      </c>
      <c r="J1301" s="42" t="s">
        <v>6257</v>
      </c>
      <c r="K1301" s="42" t="s">
        <v>6369</v>
      </c>
      <c r="L1301" s="42" t="s">
        <v>6209</v>
      </c>
      <c r="M1301" s="42">
        <v>6</v>
      </c>
      <c r="N1301" s="43" t="s">
        <v>6260</v>
      </c>
      <c r="O1301" s="1415"/>
      <c r="P1301" s="1393"/>
      <c r="Q1301" s="1396"/>
    </row>
    <row r="1302" spans="1:17" ht="11.1" customHeight="1">
      <c r="A1302" s="31" t="s">
        <v>8826</v>
      </c>
      <c r="B1302" s="187"/>
      <c r="C1302" s="187">
        <v>2</v>
      </c>
      <c r="D1302" s="42" t="s">
        <v>8827</v>
      </c>
      <c r="E1302" s="188">
        <v>59.38</v>
      </c>
      <c r="F1302" s="42" t="s">
        <v>6581</v>
      </c>
      <c r="G1302" s="42">
        <v>50</v>
      </c>
      <c r="H1302" s="42" t="s">
        <v>0</v>
      </c>
      <c r="I1302" s="42" t="s">
        <v>8586</v>
      </c>
      <c r="J1302" s="42" t="s">
        <v>6257</v>
      </c>
      <c r="K1302" s="42" t="s">
        <v>6286</v>
      </c>
      <c r="L1302" s="42" t="s">
        <v>6209</v>
      </c>
      <c r="M1302" s="42">
        <v>1</v>
      </c>
      <c r="N1302" s="43"/>
      <c r="O1302" s="1415"/>
      <c r="P1302" s="1393"/>
      <c r="Q1302" s="1396"/>
    </row>
    <row r="1303" spans="1:17" ht="11.1" customHeight="1">
      <c r="A1303" s="31" t="s">
        <v>8828</v>
      </c>
      <c r="B1303" s="187"/>
      <c r="C1303" s="187">
        <v>2</v>
      </c>
      <c r="D1303" s="42" t="s">
        <v>8829</v>
      </c>
      <c r="E1303" s="188">
        <v>56.69</v>
      </c>
      <c r="F1303" s="42" t="s">
        <v>6610</v>
      </c>
      <c r="G1303" s="42">
        <v>66</v>
      </c>
      <c r="H1303" s="42" t="s">
        <v>0</v>
      </c>
      <c r="I1303" s="42" t="s">
        <v>8586</v>
      </c>
      <c r="J1303" s="42" t="s">
        <v>6257</v>
      </c>
      <c r="K1303" s="42" t="s">
        <v>6311</v>
      </c>
      <c r="L1303" s="42" t="s">
        <v>6209</v>
      </c>
      <c r="M1303" s="42">
        <v>4</v>
      </c>
      <c r="N1303" s="43" t="s">
        <v>6260</v>
      </c>
      <c r="O1303" s="1415"/>
      <c r="P1303" s="1393"/>
      <c r="Q1303" s="1396"/>
    </row>
    <row r="1304" spans="1:17" ht="11.1" customHeight="1">
      <c r="A1304" s="31" t="s">
        <v>8830</v>
      </c>
      <c r="B1304" s="187"/>
      <c r="C1304" s="187">
        <v>2</v>
      </c>
      <c r="D1304" s="42" t="s">
        <v>8831</v>
      </c>
      <c r="E1304" s="188">
        <v>47.56</v>
      </c>
      <c r="F1304" s="42" t="s">
        <v>6670</v>
      </c>
      <c r="G1304" s="42">
        <v>65</v>
      </c>
      <c r="H1304" s="42" t="s">
        <v>0</v>
      </c>
      <c r="I1304" s="42" t="s">
        <v>8586</v>
      </c>
      <c r="J1304" s="42" t="s">
        <v>6257</v>
      </c>
      <c r="K1304" s="42" t="s">
        <v>6671</v>
      </c>
      <c r="L1304" s="42" t="s">
        <v>6209</v>
      </c>
      <c r="M1304" s="42">
        <v>2</v>
      </c>
      <c r="N1304" s="43" t="s">
        <v>6260</v>
      </c>
      <c r="O1304" s="1415"/>
      <c r="P1304" s="1393"/>
      <c r="Q1304" s="1396"/>
    </row>
    <row r="1305" spans="1:17" ht="11.1" customHeight="1">
      <c r="A1305" s="31" t="s">
        <v>8832</v>
      </c>
      <c r="B1305" s="187"/>
      <c r="C1305" s="187">
        <v>2</v>
      </c>
      <c r="D1305" s="42" t="s">
        <v>8833</v>
      </c>
      <c r="E1305" s="188">
        <v>45.27</v>
      </c>
      <c r="F1305" s="42" t="s">
        <v>6707</v>
      </c>
      <c r="G1305" s="42">
        <v>40</v>
      </c>
      <c r="H1305" s="42" t="s">
        <v>0</v>
      </c>
      <c r="I1305" s="42" t="s">
        <v>8586</v>
      </c>
      <c r="J1305" s="42" t="s">
        <v>6257</v>
      </c>
      <c r="K1305" s="42" t="s">
        <v>6286</v>
      </c>
      <c r="L1305" s="42" t="s">
        <v>6209</v>
      </c>
      <c r="M1305" s="42">
        <v>1</v>
      </c>
      <c r="N1305" s="43"/>
      <c r="O1305" s="1415"/>
      <c r="P1305" s="1393"/>
      <c r="Q1305" s="1396"/>
    </row>
    <row r="1306" spans="1:17" ht="11.1" customHeight="1">
      <c r="A1306" s="31" t="s">
        <v>8834</v>
      </c>
      <c r="B1306" s="187"/>
      <c r="C1306" s="187">
        <v>2</v>
      </c>
      <c r="D1306" s="42" t="s">
        <v>8835</v>
      </c>
      <c r="E1306" s="188">
        <v>36.28</v>
      </c>
      <c r="F1306" s="42" t="s">
        <v>6743</v>
      </c>
      <c r="G1306" s="42">
        <v>51</v>
      </c>
      <c r="H1306" s="42" t="s">
        <v>0</v>
      </c>
      <c r="I1306" s="42" t="s">
        <v>8586</v>
      </c>
      <c r="J1306" s="42" t="s">
        <v>6257</v>
      </c>
      <c r="K1306" s="42" t="s">
        <v>6286</v>
      </c>
      <c r="L1306" s="42" t="s">
        <v>6209</v>
      </c>
      <c r="M1306" s="42">
        <v>1</v>
      </c>
      <c r="N1306" s="43"/>
      <c r="O1306" s="1415"/>
      <c r="P1306" s="1393"/>
      <c r="Q1306" s="1396"/>
    </row>
    <row r="1307" spans="1:17" ht="11.1" customHeight="1">
      <c r="A1307" s="31" t="s">
        <v>8836</v>
      </c>
      <c r="B1307" s="187"/>
      <c r="C1307" s="187">
        <v>28</v>
      </c>
      <c r="D1307" s="42" t="s">
        <v>8608</v>
      </c>
      <c r="E1307" s="188" t="s">
        <v>6262</v>
      </c>
      <c r="F1307" s="42" t="s">
        <v>8837</v>
      </c>
      <c r="G1307" s="42">
        <v>60</v>
      </c>
      <c r="H1307" s="42" t="s">
        <v>0</v>
      </c>
      <c r="I1307" s="42"/>
      <c r="J1307" s="42" t="s">
        <v>6257</v>
      </c>
      <c r="K1307" s="42" t="s">
        <v>6286</v>
      </c>
      <c r="L1307" s="42" t="s">
        <v>6209</v>
      </c>
      <c r="M1307" s="42">
        <v>2</v>
      </c>
      <c r="N1307" s="43"/>
      <c r="O1307" s="1415"/>
      <c r="P1307" s="1393"/>
      <c r="Q1307" s="1396"/>
    </row>
    <row r="1308" spans="1:17" ht="11.1" customHeight="1">
      <c r="A1308" s="31" t="s">
        <v>8838</v>
      </c>
      <c r="B1308" s="187"/>
      <c r="C1308" s="187">
        <v>29</v>
      </c>
      <c r="D1308" s="42" t="s">
        <v>8608</v>
      </c>
      <c r="E1308" s="188" t="s">
        <v>6262</v>
      </c>
      <c r="F1308" s="42" t="s">
        <v>8839</v>
      </c>
      <c r="G1308" s="42">
        <v>66</v>
      </c>
      <c r="H1308" s="42" t="s">
        <v>0</v>
      </c>
      <c r="I1308" s="42"/>
      <c r="J1308" s="42" t="s">
        <v>6257</v>
      </c>
      <c r="K1308" s="42" t="s">
        <v>6596</v>
      </c>
      <c r="L1308" s="42" t="s">
        <v>6209</v>
      </c>
      <c r="M1308" s="42">
        <v>1</v>
      </c>
      <c r="N1308" s="43"/>
      <c r="O1308" s="1415"/>
      <c r="P1308" s="1393"/>
      <c r="Q1308" s="1396"/>
    </row>
    <row r="1309" spans="1:17" ht="11.1" customHeight="1">
      <c r="A1309" s="31" t="s">
        <v>8840</v>
      </c>
      <c r="B1309" s="187" t="s">
        <v>6217</v>
      </c>
      <c r="C1309" s="187">
        <v>2</v>
      </c>
      <c r="D1309" s="59" t="s">
        <v>8841</v>
      </c>
      <c r="E1309" s="186" t="s">
        <v>6251</v>
      </c>
      <c r="F1309" s="59" t="s">
        <v>6573</v>
      </c>
      <c r="G1309" s="59">
        <v>53</v>
      </c>
      <c r="H1309" s="59" t="s">
        <v>0</v>
      </c>
      <c r="I1309" s="59" t="s">
        <v>8586</v>
      </c>
      <c r="J1309" s="59" t="s">
        <v>6257</v>
      </c>
      <c r="K1309" s="59" t="s">
        <v>6258</v>
      </c>
      <c r="L1309" s="59" t="s">
        <v>6209</v>
      </c>
      <c r="M1309" s="59">
        <v>3</v>
      </c>
      <c r="N1309" s="43" t="s">
        <v>6260</v>
      </c>
      <c r="O1309" s="1415"/>
      <c r="P1309" s="1393"/>
      <c r="Q1309" s="1396"/>
    </row>
    <row r="1310" spans="1:17" ht="11.1" customHeight="1">
      <c r="A1310" s="31" t="s">
        <v>8842</v>
      </c>
      <c r="B1310" s="187" t="s">
        <v>6217</v>
      </c>
      <c r="C1310" s="187">
        <v>2</v>
      </c>
      <c r="D1310" s="59" t="s">
        <v>8843</v>
      </c>
      <c r="E1310" s="186" t="s">
        <v>6251</v>
      </c>
      <c r="F1310" s="59" t="s">
        <v>6626</v>
      </c>
      <c r="G1310" s="59">
        <v>53</v>
      </c>
      <c r="H1310" s="59" t="s">
        <v>0</v>
      </c>
      <c r="I1310" s="59" t="s">
        <v>8586</v>
      </c>
      <c r="J1310" s="59" t="s">
        <v>6257</v>
      </c>
      <c r="K1310" s="59" t="s">
        <v>6273</v>
      </c>
      <c r="L1310" s="59" t="s">
        <v>6209</v>
      </c>
      <c r="M1310" s="59">
        <v>5</v>
      </c>
      <c r="N1310" s="43" t="s">
        <v>6260</v>
      </c>
      <c r="O1310" s="1415"/>
      <c r="P1310" s="1393"/>
      <c r="Q1310" s="1396"/>
    </row>
    <row r="1311" spans="1:17" ht="11.1" customHeight="1">
      <c r="A1311" s="44" t="s">
        <v>8844</v>
      </c>
      <c r="B1311" s="187" t="s">
        <v>6217</v>
      </c>
      <c r="C1311" s="190">
        <v>2</v>
      </c>
      <c r="D1311" s="97" t="s">
        <v>8845</v>
      </c>
      <c r="E1311" s="191" t="s">
        <v>6251</v>
      </c>
      <c r="F1311" s="97" t="s">
        <v>6662</v>
      </c>
      <c r="G1311" s="97">
        <v>35</v>
      </c>
      <c r="H1311" s="97" t="s">
        <v>6049</v>
      </c>
      <c r="I1311" s="97" t="s">
        <v>8586</v>
      </c>
      <c r="J1311" s="97" t="s">
        <v>6257</v>
      </c>
      <c r="K1311" s="97" t="s">
        <v>6273</v>
      </c>
      <c r="L1311" s="97" t="s">
        <v>6209</v>
      </c>
      <c r="M1311" s="97">
        <v>3</v>
      </c>
      <c r="N1311" s="50" t="s">
        <v>6260</v>
      </c>
      <c r="O1311" s="1416"/>
      <c r="P1311" s="1394"/>
      <c r="Q1311" s="1397"/>
    </row>
    <row r="1312" spans="1:17" ht="11.1" customHeight="1">
      <c r="A1312" s="51" t="s">
        <v>8846</v>
      </c>
      <c r="B1312" s="192" t="s">
        <v>6217</v>
      </c>
      <c r="C1312" s="192">
        <v>1</v>
      </c>
      <c r="D1312" s="56" t="s">
        <v>8841</v>
      </c>
      <c r="E1312" s="193">
        <v>93.3</v>
      </c>
      <c r="F1312" s="56" t="s">
        <v>6575</v>
      </c>
      <c r="G1312" s="56">
        <v>50</v>
      </c>
      <c r="H1312" s="56" t="s">
        <v>0</v>
      </c>
      <c r="I1312" s="56" t="s">
        <v>8586</v>
      </c>
      <c r="J1312" s="56" t="s">
        <v>6253</v>
      </c>
      <c r="K1312" s="56" t="s">
        <v>6053</v>
      </c>
      <c r="L1312" s="56" t="s">
        <v>6036</v>
      </c>
      <c r="M1312" s="56"/>
      <c r="N1312" s="57" t="s">
        <v>6213</v>
      </c>
      <c r="O1312" s="1408">
        <v>10</v>
      </c>
      <c r="P1312" s="1392">
        <v>3172577</v>
      </c>
      <c r="Q1312" s="1395" t="e">
        <f>P1312/SUM($P$126:$P$213)</f>
        <v>#DIV/0!</v>
      </c>
    </row>
    <row r="1313" spans="1:17" ht="11.1" customHeight="1">
      <c r="A1313" s="31" t="s">
        <v>8847</v>
      </c>
      <c r="B1313" s="194" t="s">
        <v>6217</v>
      </c>
      <c r="C1313" s="194">
        <v>1</v>
      </c>
      <c r="D1313" s="36" t="s">
        <v>8843</v>
      </c>
      <c r="E1313" s="195">
        <v>91.3</v>
      </c>
      <c r="F1313" s="36" t="s">
        <v>6628</v>
      </c>
      <c r="G1313" s="36">
        <v>42</v>
      </c>
      <c r="H1313" s="36" t="s">
        <v>0</v>
      </c>
      <c r="I1313" s="36" t="s">
        <v>8586</v>
      </c>
      <c r="J1313" s="36" t="s">
        <v>6253</v>
      </c>
      <c r="K1313" s="36" t="s">
        <v>6053</v>
      </c>
      <c r="L1313" s="36" t="s">
        <v>6036</v>
      </c>
      <c r="M1313" s="36"/>
      <c r="N1313" s="37" t="s">
        <v>6213</v>
      </c>
      <c r="O1313" s="1409"/>
      <c r="P1313" s="1393"/>
      <c r="Q1313" s="1396"/>
    </row>
    <row r="1314" spans="1:17" ht="11.1" customHeight="1">
      <c r="A1314" s="31" t="s">
        <v>8848</v>
      </c>
      <c r="B1314" s="194" t="s">
        <v>6217</v>
      </c>
      <c r="C1314" s="194">
        <v>1</v>
      </c>
      <c r="D1314" s="36" t="s">
        <v>8849</v>
      </c>
      <c r="E1314" s="195">
        <v>88.5</v>
      </c>
      <c r="F1314" s="36" t="s">
        <v>6658</v>
      </c>
      <c r="G1314" s="36">
        <v>44</v>
      </c>
      <c r="H1314" s="36" t="s">
        <v>6049</v>
      </c>
      <c r="I1314" s="36" t="s">
        <v>8586</v>
      </c>
      <c r="J1314" s="36" t="s">
        <v>6253</v>
      </c>
      <c r="K1314" s="36" t="s">
        <v>6053</v>
      </c>
      <c r="L1314" s="36" t="s">
        <v>6036</v>
      </c>
      <c r="M1314" s="36"/>
      <c r="N1314" s="37" t="s">
        <v>6213</v>
      </c>
      <c r="O1314" s="1409"/>
      <c r="P1314" s="1393"/>
      <c r="Q1314" s="1396"/>
    </row>
    <row r="1315" spans="1:17" ht="11.1" customHeight="1">
      <c r="A1315" s="31" t="s">
        <v>8850</v>
      </c>
      <c r="B1315" s="194" t="s">
        <v>6217</v>
      </c>
      <c r="C1315" s="194">
        <v>1</v>
      </c>
      <c r="D1315" s="36" t="s">
        <v>8793</v>
      </c>
      <c r="E1315" s="195">
        <v>85.2</v>
      </c>
      <c r="F1315" s="36" t="s">
        <v>6593</v>
      </c>
      <c r="G1315" s="36">
        <v>59</v>
      </c>
      <c r="H1315" s="36" t="s">
        <v>0</v>
      </c>
      <c r="I1315" s="36" t="s">
        <v>8586</v>
      </c>
      <c r="J1315" s="36" t="s">
        <v>6253</v>
      </c>
      <c r="K1315" s="36" t="s">
        <v>6053</v>
      </c>
      <c r="L1315" s="36" t="s">
        <v>6036</v>
      </c>
      <c r="M1315" s="36"/>
      <c r="N1315" s="37"/>
      <c r="O1315" s="1409"/>
      <c r="P1315" s="1393"/>
      <c r="Q1315" s="1396"/>
    </row>
    <row r="1316" spans="1:17" ht="11.1" customHeight="1">
      <c r="A1316" s="31" t="s">
        <v>8851</v>
      </c>
      <c r="B1316" s="194" t="s">
        <v>6217</v>
      </c>
      <c r="C1316" s="194">
        <v>30</v>
      </c>
      <c r="D1316" s="36" t="s">
        <v>8608</v>
      </c>
      <c r="E1316" s="195" t="s">
        <v>6262</v>
      </c>
      <c r="F1316" s="36" t="s">
        <v>8852</v>
      </c>
      <c r="G1316" s="36">
        <v>54</v>
      </c>
      <c r="H1316" s="36" t="s">
        <v>0</v>
      </c>
      <c r="I1316" s="36"/>
      <c r="J1316" s="36" t="s">
        <v>6253</v>
      </c>
      <c r="K1316" s="36" t="s">
        <v>6053</v>
      </c>
      <c r="L1316" s="36" t="s">
        <v>6036</v>
      </c>
      <c r="M1316" s="36"/>
      <c r="N1316" s="37"/>
      <c r="O1316" s="1409"/>
      <c r="P1316" s="1393"/>
      <c r="Q1316" s="1396"/>
    </row>
    <row r="1317" spans="1:17" ht="11.1" customHeight="1">
      <c r="A1317" s="31" t="s">
        <v>8853</v>
      </c>
      <c r="B1317" s="194" t="s">
        <v>6217</v>
      </c>
      <c r="C1317" s="194">
        <v>31</v>
      </c>
      <c r="D1317" s="36" t="s">
        <v>8608</v>
      </c>
      <c r="E1317" s="195" t="s">
        <v>6262</v>
      </c>
      <c r="F1317" s="36" t="s">
        <v>8854</v>
      </c>
      <c r="G1317" s="36">
        <v>52</v>
      </c>
      <c r="H1317" s="36" t="s">
        <v>0</v>
      </c>
      <c r="I1317" s="36"/>
      <c r="J1317" s="36" t="s">
        <v>6253</v>
      </c>
      <c r="K1317" s="36" t="s">
        <v>6053</v>
      </c>
      <c r="L1317" s="36" t="s">
        <v>6036</v>
      </c>
      <c r="M1317" s="36"/>
      <c r="N1317" s="37"/>
      <c r="O1317" s="1409"/>
      <c r="P1317" s="1393"/>
      <c r="Q1317" s="1396"/>
    </row>
    <row r="1318" spans="1:17" ht="11.1" customHeight="1">
      <c r="A1318" s="31" t="s">
        <v>8855</v>
      </c>
      <c r="B1318" s="194" t="s">
        <v>6217</v>
      </c>
      <c r="C1318" s="194">
        <v>32</v>
      </c>
      <c r="D1318" s="36" t="s">
        <v>8608</v>
      </c>
      <c r="E1318" s="195" t="s">
        <v>6262</v>
      </c>
      <c r="F1318" s="36" t="s">
        <v>8856</v>
      </c>
      <c r="G1318" s="36">
        <v>67</v>
      </c>
      <c r="H1318" s="36" t="s">
        <v>0</v>
      </c>
      <c r="I1318" s="36"/>
      <c r="J1318" s="36" t="s">
        <v>6253</v>
      </c>
      <c r="K1318" s="36" t="s">
        <v>6918</v>
      </c>
      <c r="L1318" s="36" t="s">
        <v>6036</v>
      </c>
      <c r="M1318" s="36"/>
      <c r="N1318" s="37"/>
      <c r="O1318" s="1409"/>
      <c r="P1318" s="1393"/>
      <c r="Q1318" s="1396"/>
    </row>
    <row r="1319" spans="1:17" ht="11.1" customHeight="1">
      <c r="A1319" s="31" t="s">
        <v>8857</v>
      </c>
      <c r="B1319" s="194" t="s">
        <v>6217</v>
      </c>
      <c r="C1319" s="194">
        <v>33</v>
      </c>
      <c r="D1319" s="36" t="s">
        <v>8608</v>
      </c>
      <c r="E1319" s="195" t="s">
        <v>6262</v>
      </c>
      <c r="F1319" s="36" t="s">
        <v>8858</v>
      </c>
      <c r="G1319" s="36">
        <v>56</v>
      </c>
      <c r="H1319" s="36" t="s">
        <v>0</v>
      </c>
      <c r="I1319" s="36"/>
      <c r="J1319" s="36" t="s">
        <v>6253</v>
      </c>
      <c r="K1319" s="36" t="s">
        <v>24</v>
      </c>
      <c r="L1319" s="36" t="s">
        <v>6036</v>
      </c>
      <c r="M1319" s="36"/>
      <c r="N1319" s="37"/>
      <c r="O1319" s="1409"/>
      <c r="P1319" s="1393"/>
      <c r="Q1319" s="1396"/>
    </row>
    <row r="1320" spans="1:17" ht="11.1" customHeight="1">
      <c r="A1320" s="31" t="s">
        <v>8859</v>
      </c>
      <c r="B1320" s="194" t="s">
        <v>6217</v>
      </c>
      <c r="C1320" s="194">
        <v>34</v>
      </c>
      <c r="D1320" s="36" t="s">
        <v>8608</v>
      </c>
      <c r="E1320" s="195" t="s">
        <v>6262</v>
      </c>
      <c r="F1320" s="36" t="s">
        <v>8860</v>
      </c>
      <c r="G1320" s="36">
        <v>64</v>
      </c>
      <c r="H1320" s="36" t="s">
        <v>0</v>
      </c>
      <c r="I1320" s="36"/>
      <c r="J1320" s="36" t="s">
        <v>6253</v>
      </c>
      <c r="K1320" s="36" t="s">
        <v>6254</v>
      </c>
      <c r="L1320" s="36" t="s">
        <v>6036</v>
      </c>
      <c r="M1320" s="36"/>
      <c r="N1320" s="37"/>
      <c r="O1320" s="1409"/>
      <c r="P1320" s="1393"/>
      <c r="Q1320" s="1396"/>
    </row>
    <row r="1321" spans="1:17" ht="11.1" customHeight="1">
      <c r="A1321" s="31" t="s">
        <v>8861</v>
      </c>
      <c r="B1321" s="194" t="s">
        <v>6217</v>
      </c>
      <c r="C1321" s="194">
        <v>35</v>
      </c>
      <c r="D1321" s="36" t="s">
        <v>8608</v>
      </c>
      <c r="E1321" s="195" t="s">
        <v>6262</v>
      </c>
      <c r="F1321" s="36" t="s">
        <v>8862</v>
      </c>
      <c r="G1321" s="36">
        <v>57</v>
      </c>
      <c r="H1321" s="36" t="s">
        <v>6049</v>
      </c>
      <c r="I1321" s="36"/>
      <c r="J1321" s="36" t="s">
        <v>6253</v>
      </c>
      <c r="K1321" s="36" t="s">
        <v>6053</v>
      </c>
      <c r="L1321" s="36" t="s">
        <v>6036</v>
      </c>
      <c r="M1321" s="36"/>
      <c r="N1321" s="37"/>
      <c r="O1321" s="1409"/>
      <c r="P1321" s="1393"/>
      <c r="Q1321" s="1396"/>
    </row>
    <row r="1322" spans="1:17" ht="11.1" customHeight="1">
      <c r="A1322" s="31" t="s">
        <v>8863</v>
      </c>
      <c r="B1322" s="187"/>
      <c r="C1322" s="187">
        <v>36</v>
      </c>
      <c r="D1322" s="42" t="s">
        <v>8608</v>
      </c>
      <c r="E1322" s="188" t="s">
        <v>6262</v>
      </c>
      <c r="F1322" s="42" t="s">
        <v>8864</v>
      </c>
      <c r="G1322" s="42">
        <v>40</v>
      </c>
      <c r="H1322" s="42" t="s">
        <v>0</v>
      </c>
      <c r="I1322" s="42"/>
      <c r="J1322" s="42" t="s">
        <v>6253</v>
      </c>
      <c r="K1322" s="42" t="s">
        <v>6053</v>
      </c>
      <c r="L1322" s="42" t="s">
        <v>6036</v>
      </c>
      <c r="M1322" s="42"/>
      <c r="N1322" s="43"/>
      <c r="O1322" s="1409"/>
      <c r="P1322" s="1393"/>
      <c r="Q1322" s="1396"/>
    </row>
    <row r="1323" spans="1:17" ht="11.1" customHeight="1">
      <c r="A1323" s="31" t="s">
        <v>8865</v>
      </c>
      <c r="B1323" s="187" t="s">
        <v>8615</v>
      </c>
      <c r="C1323" s="187">
        <v>1</v>
      </c>
      <c r="D1323" s="36" t="s">
        <v>8825</v>
      </c>
      <c r="E1323" s="195" t="s">
        <v>6251</v>
      </c>
      <c r="F1323" s="36" t="s">
        <v>6553</v>
      </c>
      <c r="G1323" s="36">
        <v>39</v>
      </c>
      <c r="H1323" s="36" t="s">
        <v>0</v>
      </c>
      <c r="I1323" s="36" t="s">
        <v>8586</v>
      </c>
      <c r="J1323" s="36" t="s">
        <v>6253</v>
      </c>
      <c r="K1323" s="36" t="s">
        <v>6053</v>
      </c>
      <c r="L1323" s="36" t="s">
        <v>6036</v>
      </c>
      <c r="M1323" s="36"/>
      <c r="N1323" s="43" t="s">
        <v>6213</v>
      </c>
      <c r="O1323" s="1409"/>
      <c r="P1323" s="1393"/>
      <c r="Q1323" s="1396"/>
    </row>
    <row r="1324" spans="1:17" ht="11.1" customHeight="1">
      <c r="A1324" s="31" t="s">
        <v>8866</v>
      </c>
      <c r="B1324" s="187" t="s">
        <v>8615</v>
      </c>
      <c r="C1324" s="187">
        <v>1</v>
      </c>
      <c r="D1324" s="36" t="s">
        <v>8791</v>
      </c>
      <c r="E1324" s="195" t="s">
        <v>6251</v>
      </c>
      <c r="F1324" s="36" t="s">
        <v>6561</v>
      </c>
      <c r="G1324" s="36">
        <v>62</v>
      </c>
      <c r="H1324" s="36" t="s">
        <v>0</v>
      </c>
      <c r="I1324" s="36" t="s">
        <v>8586</v>
      </c>
      <c r="J1324" s="36" t="s">
        <v>6253</v>
      </c>
      <c r="K1324" s="36" t="s">
        <v>6053</v>
      </c>
      <c r="L1324" s="36" t="s">
        <v>6036</v>
      </c>
      <c r="M1324" s="36"/>
      <c r="N1324" s="43" t="s">
        <v>6213</v>
      </c>
      <c r="O1324" s="1409"/>
      <c r="P1324" s="1393"/>
      <c r="Q1324" s="1396"/>
    </row>
    <row r="1325" spans="1:17" ht="11.1" customHeight="1">
      <c r="A1325" s="31" t="s">
        <v>8867</v>
      </c>
      <c r="B1325" s="187" t="s">
        <v>8615</v>
      </c>
      <c r="C1325" s="187">
        <v>1</v>
      </c>
      <c r="D1325" s="36" t="s">
        <v>8813</v>
      </c>
      <c r="E1325" s="195" t="s">
        <v>6251</v>
      </c>
      <c r="F1325" s="36" t="s">
        <v>6567</v>
      </c>
      <c r="G1325" s="36">
        <v>52</v>
      </c>
      <c r="H1325" s="36" t="s">
        <v>0</v>
      </c>
      <c r="I1325" s="36" t="s">
        <v>8586</v>
      </c>
      <c r="J1325" s="36" t="s">
        <v>6253</v>
      </c>
      <c r="K1325" s="36" t="s">
        <v>6053</v>
      </c>
      <c r="L1325" s="36" t="s">
        <v>6283</v>
      </c>
      <c r="M1325" s="36">
        <v>2</v>
      </c>
      <c r="N1325" s="43" t="s">
        <v>6213</v>
      </c>
      <c r="O1325" s="1409"/>
      <c r="P1325" s="1393"/>
      <c r="Q1325" s="1396"/>
    </row>
    <row r="1326" spans="1:17" ht="11.1" customHeight="1">
      <c r="A1326" s="31" t="s">
        <v>8868</v>
      </c>
      <c r="B1326" s="187" t="s">
        <v>8615</v>
      </c>
      <c r="C1326" s="187">
        <v>1</v>
      </c>
      <c r="D1326" s="36" t="s">
        <v>8827</v>
      </c>
      <c r="E1326" s="195" t="s">
        <v>6251</v>
      </c>
      <c r="F1326" s="36" t="s">
        <v>6579</v>
      </c>
      <c r="G1326" s="36">
        <v>61</v>
      </c>
      <c r="H1326" s="36" t="s">
        <v>0</v>
      </c>
      <c r="I1326" s="36" t="s">
        <v>8586</v>
      </c>
      <c r="J1326" s="36" t="s">
        <v>6253</v>
      </c>
      <c r="K1326" s="36" t="s">
        <v>6254</v>
      </c>
      <c r="L1326" s="36" t="s">
        <v>6209</v>
      </c>
      <c r="M1326" s="36">
        <v>6</v>
      </c>
      <c r="N1326" s="43" t="s">
        <v>6213</v>
      </c>
      <c r="O1326" s="1409"/>
      <c r="P1326" s="1393"/>
      <c r="Q1326" s="1396"/>
    </row>
    <row r="1327" spans="1:17" ht="11.1" customHeight="1">
      <c r="A1327" s="31" t="s">
        <v>8869</v>
      </c>
      <c r="B1327" s="187" t="s">
        <v>8615</v>
      </c>
      <c r="C1327" s="187">
        <v>1</v>
      </c>
      <c r="D1327" s="36" t="s">
        <v>8801</v>
      </c>
      <c r="E1327" s="195" t="s">
        <v>6251</v>
      </c>
      <c r="F1327" s="36" t="s">
        <v>6585</v>
      </c>
      <c r="G1327" s="36">
        <v>59</v>
      </c>
      <c r="H1327" s="36" t="s">
        <v>6049</v>
      </c>
      <c r="I1327" s="36" t="s">
        <v>8586</v>
      </c>
      <c r="J1327" s="36" t="s">
        <v>6253</v>
      </c>
      <c r="K1327" s="36" t="s">
        <v>6053</v>
      </c>
      <c r="L1327" s="36" t="s">
        <v>6036</v>
      </c>
      <c r="M1327" s="36"/>
      <c r="N1327" s="43" t="s">
        <v>6213</v>
      </c>
      <c r="O1327" s="1409"/>
      <c r="P1327" s="1393"/>
      <c r="Q1327" s="1396"/>
    </row>
    <row r="1328" spans="1:17" ht="11.1" customHeight="1">
      <c r="A1328" s="31" t="s">
        <v>8870</v>
      </c>
      <c r="B1328" s="187" t="s">
        <v>8615</v>
      </c>
      <c r="C1328" s="187">
        <v>1</v>
      </c>
      <c r="D1328" s="36" t="s">
        <v>8805</v>
      </c>
      <c r="E1328" s="195" t="s">
        <v>6251</v>
      </c>
      <c r="F1328" s="36" t="s">
        <v>6600</v>
      </c>
      <c r="G1328" s="36">
        <v>47</v>
      </c>
      <c r="H1328" s="36" t="s">
        <v>0</v>
      </c>
      <c r="I1328" s="36" t="s">
        <v>8586</v>
      </c>
      <c r="J1328" s="36" t="s">
        <v>6253</v>
      </c>
      <c r="K1328" s="36" t="s">
        <v>6053</v>
      </c>
      <c r="L1328" s="36" t="s">
        <v>6036</v>
      </c>
      <c r="M1328" s="36"/>
      <c r="N1328" s="43" t="s">
        <v>6213</v>
      </c>
      <c r="O1328" s="1409"/>
      <c r="P1328" s="1393"/>
      <c r="Q1328" s="1396"/>
    </row>
    <row r="1329" spans="1:17" ht="11.1" customHeight="1">
      <c r="A1329" s="31" t="s">
        <v>8871</v>
      </c>
      <c r="B1329" s="187" t="s">
        <v>8615</v>
      </c>
      <c r="C1329" s="187">
        <v>1</v>
      </c>
      <c r="D1329" s="36" t="s">
        <v>8829</v>
      </c>
      <c r="E1329" s="195" t="s">
        <v>6251</v>
      </c>
      <c r="F1329" s="36" t="s">
        <v>6608</v>
      </c>
      <c r="G1329" s="36">
        <v>61</v>
      </c>
      <c r="H1329" s="36" t="s">
        <v>0</v>
      </c>
      <c r="I1329" s="36" t="s">
        <v>8586</v>
      </c>
      <c r="J1329" s="36" t="s">
        <v>6253</v>
      </c>
      <c r="K1329" s="36" t="s">
        <v>6053</v>
      </c>
      <c r="L1329" s="36" t="s">
        <v>6209</v>
      </c>
      <c r="M1329" s="36">
        <v>1</v>
      </c>
      <c r="N1329" s="43" t="s">
        <v>6213</v>
      </c>
      <c r="O1329" s="1409"/>
      <c r="P1329" s="1393"/>
      <c r="Q1329" s="1396"/>
    </row>
    <row r="1330" spans="1:17" ht="11.1" customHeight="1">
      <c r="A1330" s="31" t="s">
        <v>8872</v>
      </c>
      <c r="B1330" s="187" t="s">
        <v>8615</v>
      </c>
      <c r="C1330" s="187">
        <v>1</v>
      </c>
      <c r="D1330" s="36" t="s">
        <v>8799</v>
      </c>
      <c r="E1330" s="195" t="s">
        <v>6251</v>
      </c>
      <c r="F1330" s="36" t="s">
        <v>6618</v>
      </c>
      <c r="G1330" s="36">
        <v>66</v>
      </c>
      <c r="H1330" s="36" t="s">
        <v>0</v>
      </c>
      <c r="I1330" s="36" t="s">
        <v>8586</v>
      </c>
      <c r="J1330" s="36" t="s">
        <v>6253</v>
      </c>
      <c r="K1330" s="36" t="s">
        <v>6035</v>
      </c>
      <c r="L1330" s="36" t="s">
        <v>6209</v>
      </c>
      <c r="M1330" s="36">
        <v>4</v>
      </c>
      <c r="N1330" s="43" t="s">
        <v>6213</v>
      </c>
      <c r="O1330" s="1409"/>
      <c r="P1330" s="1393"/>
      <c r="Q1330" s="1396"/>
    </row>
    <row r="1331" spans="1:17" ht="11.1" customHeight="1">
      <c r="A1331" s="31" t="s">
        <v>8873</v>
      </c>
      <c r="B1331" s="187" t="s">
        <v>8615</v>
      </c>
      <c r="C1331" s="187">
        <v>1</v>
      </c>
      <c r="D1331" s="36" t="s">
        <v>8874</v>
      </c>
      <c r="E1331" s="195" t="s">
        <v>6251</v>
      </c>
      <c r="F1331" s="36" t="s">
        <v>6632</v>
      </c>
      <c r="G1331" s="36">
        <v>39</v>
      </c>
      <c r="H1331" s="36" t="s">
        <v>0</v>
      </c>
      <c r="I1331" s="36" t="s">
        <v>8586</v>
      </c>
      <c r="J1331" s="36" t="s">
        <v>6253</v>
      </c>
      <c r="K1331" s="36" t="s">
        <v>6053</v>
      </c>
      <c r="L1331" s="36" t="s">
        <v>6036</v>
      </c>
      <c r="M1331" s="36"/>
      <c r="N1331" s="43" t="s">
        <v>6213</v>
      </c>
      <c r="O1331" s="1409"/>
      <c r="P1331" s="1393"/>
      <c r="Q1331" s="1396"/>
    </row>
    <row r="1332" spans="1:17" ht="11.1" customHeight="1">
      <c r="A1332" s="31" t="s">
        <v>8875</v>
      </c>
      <c r="B1332" s="187" t="s">
        <v>8615</v>
      </c>
      <c r="C1332" s="187">
        <v>1</v>
      </c>
      <c r="D1332" s="36" t="s">
        <v>8876</v>
      </c>
      <c r="E1332" s="195" t="s">
        <v>6251</v>
      </c>
      <c r="F1332" s="36" t="s">
        <v>6642</v>
      </c>
      <c r="G1332" s="36">
        <v>37</v>
      </c>
      <c r="H1332" s="36" t="s">
        <v>0</v>
      </c>
      <c r="I1332" s="36" t="s">
        <v>8586</v>
      </c>
      <c r="J1332" s="36" t="s">
        <v>6253</v>
      </c>
      <c r="K1332" s="36" t="s">
        <v>6053</v>
      </c>
      <c r="L1332" s="36" t="s">
        <v>6209</v>
      </c>
      <c r="M1332" s="36">
        <v>1</v>
      </c>
      <c r="N1332" s="43" t="s">
        <v>6213</v>
      </c>
      <c r="O1332" s="1409"/>
      <c r="P1332" s="1393"/>
      <c r="Q1332" s="1396"/>
    </row>
    <row r="1333" spans="1:17" ht="11.1" customHeight="1">
      <c r="A1333" s="31" t="s">
        <v>8877</v>
      </c>
      <c r="B1333" s="187" t="s">
        <v>8615</v>
      </c>
      <c r="C1333" s="187">
        <v>1</v>
      </c>
      <c r="D1333" s="36" t="s">
        <v>8878</v>
      </c>
      <c r="E1333" s="195" t="s">
        <v>6251</v>
      </c>
      <c r="F1333" s="36" t="s">
        <v>6650</v>
      </c>
      <c r="G1333" s="36">
        <v>43</v>
      </c>
      <c r="H1333" s="36" t="s">
        <v>0</v>
      </c>
      <c r="I1333" s="36" t="s">
        <v>8586</v>
      </c>
      <c r="J1333" s="36" t="s">
        <v>6253</v>
      </c>
      <c r="K1333" s="36" t="s">
        <v>6053</v>
      </c>
      <c r="L1333" s="36" t="s">
        <v>6036</v>
      </c>
      <c r="M1333" s="36"/>
      <c r="N1333" s="43" t="s">
        <v>6213</v>
      </c>
      <c r="O1333" s="1409"/>
      <c r="P1333" s="1393"/>
      <c r="Q1333" s="1396"/>
    </row>
    <row r="1334" spans="1:17" ht="11.1" customHeight="1">
      <c r="A1334" s="31" t="s">
        <v>8879</v>
      </c>
      <c r="B1334" s="187" t="s">
        <v>8615</v>
      </c>
      <c r="C1334" s="187">
        <v>1</v>
      </c>
      <c r="D1334" s="36" t="s">
        <v>8831</v>
      </c>
      <c r="E1334" s="195" t="s">
        <v>6251</v>
      </c>
      <c r="F1334" s="36" t="s">
        <v>6668</v>
      </c>
      <c r="G1334" s="36">
        <v>48</v>
      </c>
      <c r="H1334" s="36" t="s">
        <v>0</v>
      </c>
      <c r="I1334" s="36" t="s">
        <v>8586</v>
      </c>
      <c r="J1334" s="36" t="s">
        <v>6253</v>
      </c>
      <c r="K1334" s="36" t="s">
        <v>6207</v>
      </c>
      <c r="L1334" s="36" t="s">
        <v>6209</v>
      </c>
      <c r="M1334" s="36">
        <v>3</v>
      </c>
      <c r="N1334" s="43" t="s">
        <v>6213</v>
      </c>
      <c r="O1334" s="1409"/>
      <c r="P1334" s="1393"/>
      <c r="Q1334" s="1396"/>
    </row>
    <row r="1335" spans="1:17" ht="11.1" customHeight="1">
      <c r="A1335" s="31" t="s">
        <v>8880</v>
      </c>
      <c r="B1335" s="187" t="s">
        <v>8615</v>
      </c>
      <c r="C1335" s="187">
        <v>1</v>
      </c>
      <c r="D1335" s="36" t="s">
        <v>8795</v>
      </c>
      <c r="E1335" s="195" t="s">
        <v>6251</v>
      </c>
      <c r="F1335" s="36" t="s">
        <v>6677</v>
      </c>
      <c r="G1335" s="36">
        <v>54</v>
      </c>
      <c r="H1335" s="36" t="s">
        <v>0</v>
      </c>
      <c r="I1335" s="36" t="s">
        <v>8586</v>
      </c>
      <c r="J1335" s="36" t="s">
        <v>6253</v>
      </c>
      <c r="K1335" s="36" t="s">
        <v>6207</v>
      </c>
      <c r="L1335" s="36" t="s">
        <v>6283</v>
      </c>
      <c r="M1335" s="36">
        <v>3</v>
      </c>
      <c r="N1335" s="43" t="s">
        <v>6213</v>
      </c>
      <c r="O1335" s="1409"/>
      <c r="P1335" s="1393"/>
      <c r="Q1335" s="1396"/>
    </row>
    <row r="1336" spans="1:17" ht="11.1" customHeight="1">
      <c r="A1336" s="31" t="s">
        <v>8881</v>
      </c>
      <c r="B1336" s="187" t="s">
        <v>8615</v>
      </c>
      <c r="C1336" s="187">
        <v>1</v>
      </c>
      <c r="D1336" s="36" t="s">
        <v>8823</v>
      </c>
      <c r="E1336" s="195" t="s">
        <v>6251</v>
      </c>
      <c r="F1336" s="36" t="s">
        <v>6685</v>
      </c>
      <c r="G1336" s="36">
        <v>66</v>
      </c>
      <c r="H1336" s="36" t="s">
        <v>0</v>
      </c>
      <c r="I1336" s="36" t="s">
        <v>8586</v>
      </c>
      <c r="J1336" s="36" t="s">
        <v>6253</v>
      </c>
      <c r="K1336" s="36" t="s">
        <v>6254</v>
      </c>
      <c r="L1336" s="36" t="s">
        <v>6209</v>
      </c>
      <c r="M1336" s="36">
        <v>6</v>
      </c>
      <c r="N1336" s="43" t="s">
        <v>6213</v>
      </c>
      <c r="O1336" s="1409"/>
      <c r="P1336" s="1393"/>
      <c r="Q1336" s="1396"/>
    </row>
    <row r="1337" spans="1:17" ht="11.1" customHeight="1">
      <c r="A1337" s="31" t="s">
        <v>8882</v>
      </c>
      <c r="B1337" s="187" t="s">
        <v>8615</v>
      </c>
      <c r="C1337" s="187">
        <v>1</v>
      </c>
      <c r="D1337" s="36" t="s">
        <v>8821</v>
      </c>
      <c r="E1337" s="195" t="s">
        <v>6251</v>
      </c>
      <c r="F1337" s="36" t="s">
        <v>6691</v>
      </c>
      <c r="G1337" s="36">
        <v>47</v>
      </c>
      <c r="H1337" s="36" t="s">
        <v>0</v>
      </c>
      <c r="I1337" s="36" t="s">
        <v>8586</v>
      </c>
      <c r="J1337" s="36" t="s">
        <v>6253</v>
      </c>
      <c r="K1337" s="36" t="s">
        <v>6053</v>
      </c>
      <c r="L1337" s="36" t="s">
        <v>6209</v>
      </c>
      <c r="M1337" s="36">
        <v>2</v>
      </c>
      <c r="N1337" s="43" t="s">
        <v>6213</v>
      </c>
      <c r="O1337" s="1409"/>
      <c r="P1337" s="1393"/>
      <c r="Q1337" s="1396"/>
    </row>
    <row r="1338" spans="1:17" ht="11.1" customHeight="1">
      <c r="A1338" s="31" t="s">
        <v>8883</v>
      </c>
      <c r="B1338" s="187" t="s">
        <v>8615</v>
      </c>
      <c r="C1338" s="187">
        <v>1</v>
      </c>
      <c r="D1338" s="36" t="s">
        <v>8819</v>
      </c>
      <c r="E1338" s="195" t="s">
        <v>6251</v>
      </c>
      <c r="F1338" s="36" t="s">
        <v>6699</v>
      </c>
      <c r="G1338" s="36">
        <v>45</v>
      </c>
      <c r="H1338" s="36" t="s">
        <v>0</v>
      </c>
      <c r="I1338" s="36" t="s">
        <v>8586</v>
      </c>
      <c r="J1338" s="36" t="s">
        <v>6253</v>
      </c>
      <c r="K1338" s="36" t="s">
        <v>24</v>
      </c>
      <c r="L1338" s="36" t="s">
        <v>6209</v>
      </c>
      <c r="M1338" s="36">
        <v>5</v>
      </c>
      <c r="N1338" s="43" t="s">
        <v>6213</v>
      </c>
      <c r="O1338" s="1409"/>
      <c r="P1338" s="1393"/>
      <c r="Q1338" s="1396"/>
    </row>
    <row r="1339" spans="1:17" ht="11.1" customHeight="1">
      <c r="A1339" s="31" t="s">
        <v>8884</v>
      </c>
      <c r="B1339" s="187" t="s">
        <v>8615</v>
      </c>
      <c r="C1339" s="187">
        <v>1</v>
      </c>
      <c r="D1339" s="36" t="s">
        <v>8833</v>
      </c>
      <c r="E1339" s="195" t="s">
        <v>6251</v>
      </c>
      <c r="F1339" s="36" t="s">
        <v>6705</v>
      </c>
      <c r="G1339" s="36">
        <v>52</v>
      </c>
      <c r="H1339" s="36" t="s">
        <v>0</v>
      </c>
      <c r="I1339" s="36" t="s">
        <v>8586</v>
      </c>
      <c r="J1339" s="36" t="s">
        <v>6253</v>
      </c>
      <c r="K1339" s="36" t="s">
        <v>6053</v>
      </c>
      <c r="L1339" s="36" t="s">
        <v>6209</v>
      </c>
      <c r="M1339" s="36">
        <v>3</v>
      </c>
      <c r="N1339" s="43" t="s">
        <v>6213</v>
      </c>
      <c r="O1339" s="1409"/>
      <c r="P1339" s="1393"/>
      <c r="Q1339" s="1396"/>
    </row>
    <row r="1340" spans="1:17" ht="11.1" customHeight="1">
      <c r="A1340" s="31" t="s">
        <v>8885</v>
      </c>
      <c r="B1340" s="187" t="s">
        <v>8615</v>
      </c>
      <c r="C1340" s="187">
        <v>1</v>
      </c>
      <c r="D1340" s="36" t="s">
        <v>8886</v>
      </c>
      <c r="E1340" s="195" t="s">
        <v>6251</v>
      </c>
      <c r="F1340" s="36" t="s">
        <v>6711</v>
      </c>
      <c r="G1340" s="36">
        <v>44</v>
      </c>
      <c r="H1340" s="36" t="s">
        <v>6049</v>
      </c>
      <c r="I1340" s="36" t="s">
        <v>8586</v>
      </c>
      <c r="J1340" s="36" t="s">
        <v>6253</v>
      </c>
      <c r="K1340" s="36" t="s">
        <v>6035</v>
      </c>
      <c r="L1340" s="36" t="s">
        <v>6209</v>
      </c>
      <c r="M1340" s="36">
        <v>2</v>
      </c>
      <c r="N1340" s="43" t="s">
        <v>6213</v>
      </c>
      <c r="O1340" s="1409"/>
      <c r="P1340" s="1393"/>
      <c r="Q1340" s="1396"/>
    </row>
    <row r="1341" spans="1:17" ht="11.1" customHeight="1">
      <c r="A1341" s="31" t="s">
        <v>8887</v>
      </c>
      <c r="B1341" s="187" t="s">
        <v>8615</v>
      </c>
      <c r="C1341" s="187">
        <v>1</v>
      </c>
      <c r="D1341" s="36" t="s">
        <v>8797</v>
      </c>
      <c r="E1341" s="195" t="s">
        <v>6251</v>
      </c>
      <c r="F1341" s="36" t="s">
        <v>6721</v>
      </c>
      <c r="G1341" s="36">
        <v>37</v>
      </c>
      <c r="H1341" s="36" t="s">
        <v>0</v>
      </c>
      <c r="I1341" s="36" t="s">
        <v>8586</v>
      </c>
      <c r="J1341" s="36" t="s">
        <v>6253</v>
      </c>
      <c r="K1341" s="36" t="s">
        <v>6053</v>
      </c>
      <c r="L1341" s="36" t="s">
        <v>6036</v>
      </c>
      <c r="M1341" s="36"/>
      <c r="N1341" s="43" t="s">
        <v>6213</v>
      </c>
      <c r="O1341" s="1409"/>
      <c r="P1341" s="1393"/>
      <c r="Q1341" s="1396"/>
    </row>
    <row r="1342" spans="1:17" ht="11.1" customHeight="1">
      <c r="A1342" s="31" t="s">
        <v>8888</v>
      </c>
      <c r="B1342" s="187" t="s">
        <v>8615</v>
      </c>
      <c r="C1342" s="187">
        <v>1</v>
      </c>
      <c r="D1342" s="36" t="s">
        <v>8807</v>
      </c>
      <c r="E1342" s="195" t="s">
        <v>6251</v>
      </c>
      <c r="F1342" s="36" t="s">
        <v>6729</v>
      </c>
      <c r="G1342" s="36">
        <v>60</v>
      </c>
      <c r="H1342" s="36" t="s">
        <v>0</v>
      </c>
      <c r="I1342" s="36" t="s">
        <v>8586</v>
      </c>
      <c r="J1342" s="36" t="s">
        <v>6253</v>
      </c>
      <c r="K1342" s="36" t="s">
        <v>24</v>
      </c>
      <c r="L1342" s="36" t="s">
        <v>6283</v>
      </c>
      <c r="M1342" s="36">
        <v>3</v>
      </c>
      <c r="N1342" s="43" t="s">
        <v>6213</v>
      </c>
      <c r="O1342" s="1409"/>
      <c r="P1342" s="1393"/>
      <c r="Q1342" s="1396"/>
    </row>
    <row r="1343" spans="1:17" ht="11.1" customHeight="1">
      <c r="A1343" s="31" t="s">
        <v>8889</v>
      </c>
      <c r="B1343" s="187" t="s">
        <v>8615</v>
      </c>
      <c r="C1343" s="187">
        <v>1</v>
      </c>
      <c r="D1343" s="36" t="s">
        <v>8803</v>
      </c>
      <c r="E1343" s="195" t="s">
        <v>6251</v>
      </c>
      <c r="F1343" s="36" t="s">
        <v>6735</v>
      </c>
      <c r="G1343" s="36">
        <v>59</v>
      </c>
      <c r="H1343" s="36" t="s">
        <v>0</v>
      </c>
      <c r="I1343" s="36" t="s">
        <v>8586</v>
      </c>
      <c r="J1343" s="36" t="s">
        <v>6253</v>
      </c>
      <c r="K1343" s="36" t="s">
        <v>6053</v>
      </c>
      <c r="L1343" s="36" t="s">
        <v>6283</v>
      </c>
      <c r="M1343" s="36">
        <v>1</v>
      </c>
      <c r="N1343" s="43" t="s">
        <v>6213</v>
      </c>
      <c r="O1343" s="1409"/>
      <c r="P1343" s="1393"/>
      <c r="Q1343" s="1396"/>
    </row>
    <row r="1344" spans="1:17" ht="11.1" customHeight="1">
      <c r="A1344" s="31" t="s">
        <v>8890</v>
      </c>
      <c r="B1344" s="187" t="s">
        <v>8615</v>
      </c>
      <c r="C1344" s="187">
        <v>1</v>
      </c>
      <c r="D1344" s="36" t="s">
        <v>8809</v>
      </c>
      <c r="E1344" s="195" t="s">
        <v>6251</v>
      </c>
      <c r="F1344" s="36" t="s">
        <v>6747</v>
      </c>
      <c r="G1344" s="36">
        <v>44</v>
      </c>
      <c r="H1344" s="36" t="s">
        <v>0</v>
      </c>
      <c r="I1344" s="36" t="s">
        <v>8586</v>
      </c>
      <c r="J1344" s="36" t="s">
        <v>6253</v>
      </c>
      <c r="K1344" s="36" t="s">
        <v>24</v>
      </c>
      <c r="L1344" s="36" t="s">
        <v>6283</v>
      </c>
      <c r="M1344" s="36">
        <v>1</v>
      </c>
      <c r="N1344" s="43" t="s">
        <v>6213</v>
      </c>
      <c r="O1344" s="1409"/>
      <c r="P1344" s="1393"/>
      <c r="Q1344" s="1396"/>
    </row>
    <row r="1345" spans="1:17" ht="11.1" customHeight="1">
      <c r="A1345" s="31" t="s">
        <v>8891</v>
      </c>
      <c r="B1345" s="187" t="s">
        <v>8615</v>
      </c>
      <c r="C1345" s="187">
        <v>1</v>
      </c>
      <c r="D1345" s="36" t="s">
        <v>8815</v>
      </c>
      <c r="E1345" s="195" t="s">
        <v>6251</v>
      </c>
      <c r="F1345" s="36" t="s">
        <v>6753</v>
      </c>
      <c r="G1345" s="36">
        <v>34</v>
      </c>
      <c r="H1345" s="36" t="s">
        <v>0</v>
      </c>
      <c r="I1345" s="36" t="s">
        <v>8586</v>
      </c>
      <c r="J1345" s="36" t="s">
        <v>6253</v>
      </c>
      <c r="K1345" s="36" t="s">
        <v>6053</v>
      </c>
      <c r="L1345" s="36" t="s">
        <v>6036</v>
      </c>
      <c r="M1345" s="36"/>
      <c r="N1345" s="43"/>
      <c r="O1345" s="1409"/>
      <c r="P1345" s="1393"/>
      <c r="Q1345" s="1396"/>
    </row>
    <row r="1346" spans="1:17" ht="11.1" customHeight="1">
      <c r="A1346" s="31" t="s">
        <v>8892</v>
      </c>
      <c r="B1346" s="187" t="s">
        <v>8615</v>
      </c>
      <c r="C1346" s="187">
        <v>1</v>
      </c>
      <c r="D1346" s="36" t="s">
        <v>8817</v>
      </c>
      <c r="E1346" s="195" t="s">
        <v>6251</v>
      </c>
      <c r="F1346" s="36" t="s">
        <v>6764</v>
      </c>
      <c r="G1346" s="36">
        <v>42</v>
      </c>
      <c r="H1346" s="36" t="s">
        <v>0</v>
      </c>
      <c r="I1346" s="36" t="s">
        <v>8586</v>
      </c>
      <c r="J1346" s="36" t="s">
        <v>6253</v>
      </c>
      <c r="K1346" s="36" t="s">
        <v>6053</v>
      </c>
      <c r="L1346" s="36" t="s">
        <v>6283</v>
      </c>
      <c r="M1346" s="36">
        <v>1</v>
      </c>
      <c r="N1346" s="43" t="s">
        <v>6213</v>
      </c>
      <c r="O1346" s="1409"/>
      <c r="P1346" s="1393"/>
      <c r="Q1346" s="1396"/>
    </row>
    <row r="1347" spans="1:17" ht="11.1" customHeight="1">
      <c r="A1347" s="44" t="s">
        <v>8893</v>
      </c>
      <c r="B1347" s="187" t="s">
        <v>8615</v>
      </c>
      <c r="C1347" s="190">
        <v>1</v>
      </c>
      <c r="D1347" s="141" t="s">
        <v>8811</v>
      </c>
      <c r="E1347" s="195" t="s">
        <v>6251</v>
      </c>
      <c r="F1347" s="141" t="s">
        <v>6770</v>
      </c>
      <c r="G1347" s="141">
        <v>39</v>
      </c>
      <c r="H1347" s="141" t="s">
        <v>0</v>
      </c>
      <c r="I1347" s="141" t="s">
        <v>8586</v>
      </c>
      <c r="J1347" s="141" t="s">
        <v>6253</v>
      </c>
      <c r="K1347" s="141" t="s">
        <v>6035</v>
      </c>
      <c r="L1347" s="141" t="s">
        <v>6209</v>
      </c>
      <c r="M1347" s="141">
        <v>2</v>
      </c>
      <c r="N1347" s="50"/>
      <c r="O1347" s="1410"/>
      <c r="P1347" s="1394"/>
      <c r="Q1347" s="1397"/>
    </row>
    <row r="1348" spans="1:17" ht="11.1" customHeight="1">
      <c r="A1348" s="51" t="s">
        <v>8894</v>
      </c>
      <c r="B1348" s="197" t="s">
        <v>6217</v>
      </c>
      <c r="C1348" s="197">
        <v>1</v>
      </c>
      <c r="D1348" s="198" t="s">
        <v>8608</v>
      </c>
      <c r="E1348" s="199" t="s">
        <v>6262</v>
      </c>
      <c r="F1348" s="198" t="s">
        <v>8895</v>
      </c>
      <c r="G1348" s="198">
        <v>51</v>
      </c>
      <c r="H1348" s="198" t="s">
        <v>0</v>
      </c>
      <c r="I1348" s="198"/>
      <c r="J1348" s="198" t="s">
        <v>6929</v>
      </c>
      <c r="K1348" s="198"/>
      <c r="L1348" s="198" t="s">
        <v>6209</v>
      </c>
      <c r="M1348" s="198">
        <v>5</v>
      </c>
      <c r="N1348" s="200"/>
      <c r="O1348" s="1411">
        <v>2</v>
      </c>
      <c r="P1348" s="1392">
        <v>855134</v>
      </c>
      <c r="Q1348" s="1395" t="e">
        <f>P1348/SUM($P$126:$P$213)</f>
        <v>#DIV/0!</v>
      </c>
    </row>
    <row r="1349" spans="1:17" ht="11.1" customHeight="1">
      <c r="A1349" s="31" t="s">
        <v>8896</v>
      </c>
      <c r="B1349" s="231" t="s">
        <v>6217</v>
      </c>
      <c r="C1349" s="231">
        <v>2</v>
      </c>
      <c r="D1349" s="232" t="s">
        <v>8608</v>
      </c>
      <c r="E1349" s="233" t="s">
        <v>6262</v>
      </c>
      <c r="F1349" s="232" t="s">
        <v>8897</v>
      </c>
      <c r="G1349" s="232">
        <v>62</v>
      </c>
      <c r="H1349" s="232" t="s">
        <v>0</v>
      </c>
      <c r="I1349" s="232"/>
      <c r="J1349" s="232" t="s">
        <v>6929</v>
      </c>
      <c r="K1349" s="232"/>
      <c r="L1349" s="232" t="s">
        <v>6209</v>
      </c>
      <c r="M1349" s="232">
        <v>5</v>
      </c>
      <c r="N1349" s="234"/>
      <c r="O1349" s="1412"/>
      <c r="P1349" s="1393"/>
      <c r="Q1349" s="1396"/>
    </row>
    <row r="1350" spans="1:17" ht="11.1" customHeight="1">
      <c r="A1350" s="31" t="s">
        <v>8898</v>
      </c>
      <c r="B1350" s="187"/>
      <c r="C1350" s="187">
        <v>3</v>
      </c>
      <c r="D1350" s="42" t="s">
        <v>8608</v>
      </c>
      <c r="E1350" s="188" t="s">
        <v>6262</v>
      </c>
      <c r="F1350" s="42" t="s">
        <v>8899</v>
      </c>
      <c r="G1350" s="42">
        <v>51</v>
      </c>
      <c r="H1350" s="42" t="s">
        <v>0</v>
      </c>
      <c r="I1350" s="42"/>
      <c r="J1350" s="42" t="s">
        <v>6929</v>
      </c>
      <c r="K1350" s="42"/>
      <c r="L1350" s="42" t="s">
        <v>6283</v>
      </c>
      <c r="M1350" s="42">
        <v>1</v>
      </c>
      <c r="N1350" s="207"/>
      <c r="O1350" s="1412"/>
      <c r="P1350" s="1393"/>
      <c r="Q1350" s="1396"/>
    </row>
    <row r="1351" spans="1:17" ht="11.1" customHeight="1">
      <c r="A1351" s="44" t="s">
        <v>8900</v>
      </c>
      <c r="B1351" s="190"/>
      <c r="C1351" s="190">
        <v>4</v>
      </c>
      <c r="D1351" s="49" t="s">
        <v>8608</v>
      </c>
      <c r="E1351" s="201" t="s">
        <v>6262</v>
      </c>
      <c r="F1351" s="49" t="s">
        <v>8901</v>
      </c>
      <c r="G1351" s="49">
        <v>42</v>
      </c>
      <c r="H1351" s="49" t="s">
        <v>0</v>
      </c>
      <c r="I1351" s="49"/>
      <c r="J1351" s="49" t="s">
        <v>6929</v>
      </c>
      <c r="K1351" s="49"/>
      <c r="L1351" s="49" t="s">
        <v>6036</v>
      </c>
      <c r="M1351" s="49"/>
      <c r="N1351" s="202"/>
      <c r="O1351" s="1413"/>
      <c r="P1351" s="1394"/>
      <c r="Q1351" s="1397"/>
    </row>
    <row r="1352" spans="1:17" ht="11.1" customHeight="1">
      <c r="A1352" s="51" t="s">
        <v>8902</v>
      </c>
      <c r="B1352" s="224" t="s">
        <v>6217</v>
      </c>
      <c r="C1352" s="224">
        <v>1</v>
      </c>
      <c r="D1352" s="225" t="s">
        <v>8797</v>
      </c>
      <c r="E1352" s="226">
        <v>21.73</v>
      </c>
      <c r="F1352" s="225" t="s">
        <v>6725</v>
      </c>
      <c r="G1352" s="225">
        <v>47</v>
      </c>
      <c r="H1352" s="225" t="s">
        <v>0</v>
      </c>
      <c r="I1352" s="225" t="s">
        <v>8586</v>
      </c>
      <c r="J1352" s="225" t="s">
        <v>6264</v>
      </c>
      <c r="K1352" s="225"/>
      <c r="L1352" s="225" t="s">
        <v>6209</v>
      </c>
      <c r="M1352" s="225">
        <v>3</v>
      </c>
      <c r="N1352" s="235"/>
      <c r="O1352" s="1402">
        <v>1</v>
      </c>
      <c r="P1352" s="1392">
        <v>471138</v>
      </c>
      <c r="Q1352" s="1395" t="e">
        <f>P1352/SUM($P$126:$P$213)</f>
        <v>#DIV/0!</v>
      </c>
    </row>
    <row r="1353" spans="1:17" ht="11.1" customHeight="1">
      <c r="A1353" s="31" t="s">
        <v>8903</v>
      </c>
      <c r="B1353" s="187"/>
      <c r="C1353" s="187">
        <v>2</v>
      </c>
      <c r="D1353" s="42" t="s">
        <v>8608</v>
      </c>
      <c r="E1353" s="188" t="s">
        <v>6262</v>
      </c>
      <c r="F1353" s="42" t="s">
        <v>8904</v>
      </c>
      <c r="G1353" s="42">
        <v>50</v>
      </c>
      <c r="H1353" s="42" t="s">
        <v>6049</v>
      </c>
      <c r="I1353" s="42"/>
      <c r="J1353" s="42" t="s">
        <v>6264</v>
      </c>
      <c r="K1353" s="42"/>
      <c r="L1353" s="42" t="s">
        <v>6036</v>
      </c>
      <c r="M1353" s="42"/>
      <c r="N1353" s="207"/>
      <c r="O1353" s="1403"/>
      <c r="P1353" s="1393"/>
      <c r="Q1353" s="1396"/>
    </row>
    <row r="1354" spans="1:17" ht="11.1" customHeight="1">
      <c r="A1354" s="31" t="s">
        <v>8905</v>
      </c>
      <c r="B1354" s="187"/>
      <c r="C1354" s="187">
        <v>3</v>
      </c>
      <c r="D1354" s="42" t="s">
        <v>8821</v>
      </c>
      <c r="E1354" s="188">
        <v>19.78</v>
      </c>
      <c r="F1354" s="42" t="s">
        <v>6695</v>
      </c>
      <c r="G1354" s="42">
        <v>53</v>
      </c>
      <c r="H1354" s="42" t="s">
        <v>6049</v>
      </c>
      <c r="I1354" s="42" t="s">
        <v>8586</v>
      </c>
      <c r="J1354" s="42" t="s">
        <v>6264</v>
      </c>
      <c r="K1354" s="42"/>
      <c r="L1354" s="42" t="s">
        <v>6036</v>
      </c>
      <c r="M1354" s="42"/>
      <c r="N1354" s="207"/>
      <c r="O1354" s="1403"/>
      <c r="P1354" s="1393"/>
      <c r="Q1354" s="1396"/>
    </row>
    <row r="1355" spans="1:17" ht="11.1" customHeight="1">
      <c r="A1355" s="31" t="s">
        <v>8906</v>
      </c>
      <c r="B1355" s="187"/>
      <c r="C1355" s="187">
        <v>8</v>
      </c>
      <c r="D1355" s="42" t="s">
        <v>8608</v>
      </c>
      <c r="E1355" s="188" t="s">
        <v>6262</v>
      </c>
      <c r="F1355" s="42" t="s">
        <v>8907</v>
      </c>
      <c r="G1355" s="42">
        <v>33</v>
      </c>
      <c r="H1355" s="42" t="s">
        <v>6049</v>
      </c>
      <c r="I1355" s="42"/>
      <c r="J1355" s="42" t="s">
        <v>6264</v>
      </c>
      <c r="K1355" s="42"/>
      <c r="L1355" s="42" t="s">
        <v>6036</v>
      </c>
      <c r="M1355" s="42"/>
      <c r="N1355" s="207"/>
      <c r="O1355" s="1403"/>
      <c r="P1355" s="1393"/>
      <c r="Q1355" s="1396"/>
    </row>
    <row r="1356" spans="1:17" ht="11.1" customHeight="1">
      <c r="A1356" s="31" t="s">
        <v>8908</v>
      </c>
      <c r="B1356" s="187" t="s">
        <v>6231</v>
      </c>
      <c r="C1356" s="187">
        <v>3</v>
      </c>
      <c r="D1356" s="42" t="s">
        <v>8831</v>
      </c>
      <c r="E1356" s="188">
        <v>14.41</v>
      </c>
      <c r="F1356" s="42" t="s">
        <v>6673</v>
      </c>
      <c r="G1356" s="42">
        <v>49</v>
      </c>
      <c r="H1356" s="42" t="s">
        <v>0</v>
      </c>
      <c r="I1356" s="42" t="s">
        <v>8586</v>
      </c>
      <c r="J1356" s="42" t="s">
        <v>6264</v>
      </c>
      <c r="K1356" s="42"/>
      <c r="L1356" s="42" t="s">
        <v>6036</v>
      </c>
      <c r="M1356" s="42"/>
      <c r="N1356" s="207"/>
      <c r="O1356" s="1403"/>
      <c r="P1356" s="1393"/>
      <c r="Q1356" s="1396"/>
    </row>
    <row r="1357" spans="1:17" ht="11.1" customHeight="1">
      <c r="A1357" s="31" t="s">
        <v>8909</v>
      </c>
      <c r="B1357" s="187" t="s">
        <v>6231</v>
      </c>
      <c r="C1357" s="187">
        <v>3</v>
      </c>
      <c r="D1357" s="42" t="s">
        <v>8874</v>
      </c>
      <c r="E1357" s="188">
        <v>12.86</v>
      </c>
      <c r="F1357" s="42" t="s">
        <v>6636</v>
      </c>
      <c r="G1357" s="42">
        <v>43</v>
      </c>
      <c r="H1357" s="42" t="s">
        <v>0</v>
      </c>
      <c r="I1357" s="42" t="s">
        <v>8586</v>
      </c>
      <c r="J1357" s="42" t="s">
        <v>6264</v>
      </c>
      <c r="K1357" s="42"/>
      <c r="L1357" s="42" t="s">
        <v>6036</v>
      </c>
      <c r="M1357" s="42"/>
      <c r="N1357" s="207"/>
      <c r="O1357" s="1403"/>
      <c r="P1357" s="1393"/>
      <c r="Q1357" s="1396"/>
    </row>
    <row r="1358" spans="1:17" ht="11.1" customHeight="1">
      <c r="A1358" s="31" t="s">
        <v>8910</v>
      </c>
      <c r="B1358" s="187" t="s">
        <v>6231</v>
      </c>
      <c r="C1358" s="187">
        <v>3</v>
      </c>
      <c r="D1358" s="42" t="s">
        <v>8825</v>
      </c>
      <c r="E1358" s="188">
        <v>10.44</v>
      </c>
      <c r="F1358" s="42" t="s">
        <v>6557</v>
      </c>
      <c r="G1358" s="42">
        <v>58</v>
      </c>
      <c r="H1358" s="42" t="s">
        <v>0</v>
      </c>
      <c r="I1358" s="42" t="s">
        <v>8586</v>
      </c>
      <c r="J1358" s="42" t="s">
        <v>6264</v>
      </c>
      <c r="K1358" s="42"/>
      <c r="L1358" s="42" t="s">
        <v>6036</v>
      </c>
      <c r="M1358" s="42"/>
      <c r="N1358" s="207"/>
      <c r="O1358" s="1403"/>
      <c r="P1358" s="1393"/>
      <c r="Q1358" s="1396"/>
    </row>
    <row r="1359" spans="1:17" ht="11.1" customHeight="1">
      <c r="A1359" s="44" t="s">
        <v>8911</v>
      </c>
      <c r="B1359" s="187" t="s">
        <v>6231</v>
      </c>
      <c r="C1359" s="190">
        <v>3</v>
      </c>
      <c r="D1359" s="49" t="s">
        <v>8805</v>
      </c>
      <c r="E1359" s="201">
        <v>6.1</v>
      </c>
      <c r="F1359" s="49" t="s">
        <v>6604</v>
      </c>
      <c r="G1359" s="49">
        <v>48</v>
      </c>
      <c r="H1359" s="49" t="s">
        <v>0</v>
      </c>
      <c r="I1359" s="49" t="s">
        <v>8586</v>
      </c>
      <c r="J1359" s="49" t="s">
        <v>6264</v>
      </c>
      <c r="K1359" s="49"/>
      <c r="L1359" s="49" t="s">
        <v>6036</v>
      </c>
      <c r="M1359" s="49"/>
      <c r="N1359" s="202"/>
      <c r="O1359" s="1404"/>
      <c r="P1359" s="1394"/>
      <c r="Q1359" s="1397"/>
    </row>
    <row r="1360" spans="1:17" ht="11.1" customHeight="1">
      <c r="A1360" s="51" t="s">
        <v>8912</v>
      </c>
      <c r="B1360" s="203"/>
      <c r="C1360" s="203">
        <v>1</v>
      </c>
      <c r="D1360" s="204" t="s">
        <v>8845</v>
      </c>
      <c r="E1360" s="205">
        <v>34.74</v>
      </c>
      <c r="F1360" s="214" t="s">
        <v>6664</v>
      </c>
      <c r="G1360" s="204">
        <v>72</v>
      </c>
      <c r="H1360" s="214" t="s">
        <v>0</v>
      </c>
      <c r="I1360" s="204" t="s">
        <v>8586</v>
      </c>
      <c r="J1360" s="204" t="s">
        <v>6278</v>
      </c>
      <c r="K1360" s="214"/>
      <c r="L1360" s="204" t="s">
        <v>6036</v>
      </c>
      <c r="M1360" s="204"/>
      <c r="N1360" s="206"/>
      <c r="O1360" s="1405">
        <v>0</v>
      </c>
      <c r="P1360" s="1392">
        <v>274030</v>
      </c>
      <c r="Q1360" s="1395" t="e">
        <f>P1360/SUM($P$126:$P$213)</f>
        <v>#DIV/0!</v>
      </c>
    </row>
    <row r="1361" spans="1:17" ht="11.1" customHeight="1">
      <c r="A1361" s="31" t="s">
        <v>8913</v>
      </c>
      <c r="B1361" s="187"/>
      <c r="C1361" s="187">
        <v>3</v>
      </c>
      <c r="D1361" s="42" t="s">
        <v>8608</v>
      </c>
      <c r="E1361" s="188" t="s">
        <v>6262</v>
      </c>
      <c r="F1361" s="212" t="s">
        <v>8914</v>
      </c>
      <c r="G1361" s="42">
        <v>61</v>
      </c>
      <c r="H1361" s="42" t="s">
        <v>6049</v>
      </c>
      <c r="I1361" s="42"/>
      <c r="J1361" s="42" t="s">
        <v>6278</v>
      </c>
      <c r="K1361" s="42"/>
      <c r="L1361" s="42" t="s">
        <v>6036</v>
      </c>
      <c r="M1361" s="42"/>
      <c r="N1361" s="207"/>
      <c r="O1361" s="1406"/>
      <c r="P1361" s="1393"/>
      <c r="Q1361" s="1396"/>
    </row>
    <row r="1362" spans="1:17" ht="11.1" customHeight="1">
      <c r="A1362" s="44" t="s">
        <v>8915</v>
      </c>
      <c r="B1362" s="190" t="s">
        <v>6231</v>
      </c>
      <c r="C1362" s="190">
        <v>1</v>
      </c>
      <c r="D1362" s="49" t="s">
        <v>8815</v>
      </c>
      <c r="E1362" s="201">
        <v>11.24</v>
      </c>
      <c r="F1362" s="49" t="s">
        <v>6757</v>
      </c>
      <c r="G1362" s="49">
        <v>60</v>
      </c>
      <c r="H1362" s="49" t="s">
        <v>0</v>
      </c>
      <c r="I1362" s="49" t="s">
        <v>8586</v>
      </c>
      <c r="J1362" s="49" t="s">
        <v>6278</v>
      </c>
      <c r="K1362" s="49"/>
      <c r="L1362" s="49" t="s">
        <v>6209</v>
      </c>
      <c r="M1362" s="49">
        <v>2</v>
      </c>
      <c r="N1362" s="202"/>
      <c r="O1362" s="1407"/>
      <c r="P1362" s="1394"/>
      <c r="Q1362" s="1397"/>
    </row>
    <row r="1363" spans="1:17" ht="11.1" customHeight="1">
      <c r="A1363" s="236" t="s">
        <v>8916</v>
      </c>
      <c r="B1363" s="237"/>
      <c r="C1363" s="237">
        <v>1</v>
      </c>
      <c r="D1363" s="5" t="s">
        <v>8608</v>
      </c>
      <c r="E1363" s="238" t="s">
        <v>6262</v>
      </c>
      <c r="F1363" s="6" t="s">
        <v>8917</v>
      </c>
      <c r="G1363" s="5">
        <v>49</v>
      </c>
      <c r="H1363" s="5" t="s">
        <v>0</v>
      </c>
      <c r="I1363" s="5"/>
      <c r="J1363" s="5" t="s">
        <v>7280</v>
      </c>
      <c r="K1363" s="5"/>
      <c r="L1363" s="5" t="s">
        <v>6036</v>
      </c>
      <c r="M1363" s="5"/>
      <c r="N1363" s="239"/>
      <c r="O1363" s="240">
        <v>0</v>
      </c>
      <c r="P1363" s="241">
        <v>99354</v>
      </c>
      <c r="Q1363" s="242" t="e">
        <f>P1363/SUM($P$126:$P$213)</f>
        <v>#DIV/0!</v>
      </c>
    </row>
    <row r="1364" spans="1:17" ht="11.1" customHeight="1">
      <c r="A1364" s="51" t="s">
        <v>8918</v>
      </c>
      <c r="B1364" s="243" t="s">
        <v>6217</v>
      </c>
      <c r="C1364" s="243">
        <v>2</v>
      </c>
      <c r="D1364" s="102" t="s">
        <v>8608</v>
      </c>
      <c r="E1364" s="244" t="s">
        <v>6262</v>
      </c>
      <c r="F1364" s="102" t="s">
        <v>8919</v>
      </c>
      <c r="G1364" s="102">
        <v>36</v>
      </c>
      <c r="H1364" s="102" t="s">
        <v>0</v>
      </c>
      <c r="I1364" s="102"/>
      <c r="J1364" s="102" t="s">
        <v>6484</v>
      </c>
      <c r="K1364" s="102"/>
      <c r="L1364" s="102" t="s">
        <v>6209</v>
      </c>
      <c r="M1364" s="102">
        <v>1</v>
      </c>
      <c r="N1364" s="245"/>
      <c r="O1364" s="1421">
        <v>1</v>
      </c>
      <c r="P1364" s="1392">
        <v>597025</v>
      </c>
      <c r="Q1364" s="1395" t="e">
        <f>P1364/SUM($P$126:$P$213)</f>
        <v>#DIV/0!</v>
      </c>
    </row>
    <row r="1365" spans="1:17" ht="11.1" customHeight="1">
      <c r="A1365" s="44" t="s">
        <v>8920</v>
      </c>
      <c r="B1365" s="190" t="s">
        <v>8615</v>
      </c>
      <c r="C1365" s="190">
        <v>1</v>
      </c>
      <c r="D1365" s="246" t="s">
        <v>8921</v>
      </c>
      <c r="E1365" s="247" t="s">
        <v>6251</v>
      </c>
      <c r="F1365" s="246" t="s">
        <v>6614</v>
      </c>
      <c r="G1365" s="246">
        <v>57</v>
      </c>
      <c r="H1365" s="246" t="s">
        <v>0</v>
      </c>
      <c r="I1365" s="246" t="s">
        <v>8586</v>
      </c>
      <c r="J1365" s="246" t="s">
        <v>6484</v>
      </c>
      <c r="K1365" s="246"/>
      <c r="L1365" s="246" t="s">
        <v>6209</v>
      </c>
      <c r="M1365" s="246">
        <v>4</v>
      </c>
      <c r="N1365" s="202"/>
      <c r="O1365" s="1423"/>
      <c r="P1365" s="1394"/>
      <c r="Q1365" s="1397"/>
    </row>
    <row r="1366" spans="1:17" ht="11.1" customHeight="1">
      <c r="A1366" s="236" t="s">
        <v>8922</v>
      </c>
      <c r="B1366" s="237"/>
      <c r="C1366" s="237">
        <v>1</v>
      </c>
      <c r="D1366" s="5" t="s">
        <v>8608</v>
      </c>
      <c r="E1366" s="238" t="s">
        <v>6262</v>
      </c>
      <c r="F1366" s="5" t="s">
        <v>8923</v>
      </c>
      <c r="G1366" s="5">
        <v>55</v>
      </c>
      <c r="H1366" s="5" t="s">
        <v>0</v>
      </c>
      <c r="I1366" s="5"/>
      <c r="J1366" s="5" t="s">
        <v>7160</v>
      </c>
      <c r="K1366" s="5"/>
      <c r="L1366" s="5" t="s">
        <v>6036</v>
      </c>
      <c r="M1366" s="5"/>
      <c r="N1366" s="239"/>
      <c r="O1366" s="248">
        <v>0</v>
      </c>
      <c r="P1366" s="241">
        <v>68191</v>
      </c>
      <c r="Q1366" s="242" t="e">
        <f>P1366/SUM($P$126:$P$213)</f>
        <v>#DIV/0!</v>
      </c>
    </row>
    <row r="1367" spans="1:17" ht="11.1" customHeight="1">
      <c r="A1367" s="31" t="s">
        <v>8924</v>
      </c>
      <c r="B1367" s="187"/>
      <c r="C1367" s="187">
        <v>1</v>
      </c>
      <c r="D1367" s="42" t="s">
        <v>8608</v>
      </c>
      <c r="E1367" s="188" t="s">
        <v>6262</v>
      </c>
      <c r="F1367" s="212" t="s">
        <v>8925</v>
      </c>
      <c r="G1367" s="42">
        <v>51</v>
      </c>
      <c r="H1367" s="42" t="s">
        <v>0</v>
      </c>
      <c r="I1367" s="42"/>
      <c r="J1367" s="42" t="s">
        <v>6267</v>
      </c>
      <c r="K1367" s="42" t="s">
        <v>6268</v>
      </c>
      <c r="L1367" s="42" t="s">
        <v>6036</v>
      </c>
      <c r="M1367" s="42"/>
      <c r="N1367" s="207"/>
      <c r="O1367" s="1398">
        <v>0</v>
      </c>
      <c r="P1367" s="1393">
        <v>46867</v>
      </c>
      <c r="Q1367" s="1396" t="e">
        <f>P1367/SUM($P$126:$P$213)</f>
        <v>#DIV/0!</v>
      </c>
    </row>
    <row r="1368" spans="1:17" ht="11.1" customHeight="1">
      <c r="A1368" s="31" t="s">
        <v>8926</v>
      </c>
      <c r="B1368" s="187"/>
      <c r="C1368" s="187">
        <v>2</v>
      </c>
      <c r="D1368" s="42" t="s">
        <v>8608</v>
      </c>
      <c r="E1368" s="188" t="s">
        <v>6262</v>
      </c>
      <c r="F1368" s="212" t="s">
        <v>8927</v>
      </c>
      <c r="G1368" s="42">
        <v>40</v>
      </c>
      <c r="H1368" s="42" t="s">
        <v>0</v>
      </c>
      <c r="I1368" s="42"/>
      <c r="J1368" s="42" t="s">
        <v>6267</v>
      </c>
      <c r="K1368" s="42" t="s">
        <v>6268</v>
      </c>
      <c r="L1368" s="42" t="s">
        <v>6036</v>
      </c>
      <c r="M1368" s="42"/>
      <c r="N1368" s="207"/>
      <c r="O1368" s="1398"/>
      <c r="P1368" s="1393"/>
      <c r="Q1368" s="1396"/>
    </row>
    <row r="1369" spans="1:17" ht="11.1" customHeight="1">
      <c r="A1369" s="31" t="s">
        <v>8928</v>
      </c>
      <c r="B1369" s="187"/>
      <c r="C1369" s="187">
        <v>3</v>
      </c>
      <c r="D1369" s="42" t="s">
        <v>8608</v>
      </c>
      <c r="E1369" s="188" t="s">
        <v>6262</v>
      </c>
      <c r="F1369" s="212" t="s">
        <v>8929</v>
      </c>
      <c r="G1369" s="42">
        <v>57</v>
      </c>
      <c r="H1369" s="42" t="s">
        <v>6049</v>
      </c>
      <c r="I1369" s="42"/>
      <c r="J1369" s="42" t="s">
        <v>6267</v>
      </c>
      <c r="K1369" s="42" t="s">
        <v>6268</v>
      </c>
      <c r="L1369" s="42" t="s">
        <v>6036</v>
      </c>
      <c r="M1369" s="42"/>
      <c r="N1369" s="207"/>
      <c r="O1369" s="1398"/>
      <c r="P1369" s="1393"/>
      <c r="Q1369" s="1396"/>
    </row>
    <row r="1370" spans="1:17" ht="11.1" customHeight="1" thickBot="1">
      <c r="A1370" s="73" t="s">
        <v>8930</v>
      </c>
      <c r="B1370" s="215"/>
      <c r="C1370" s="215">
        <v>4</v>
      </c>
      <c r="D1370" s="78" t="s">
        <v>8608</v>
      </c>
      <c r="E1370" s="216" t="s">
        <v>6262</v>
      </c>
      <c r="F1370" s="78" t="s">
        <v>8931</v>
      </c>
      <c r="G1370" s="78">
        <v>50</v>
      </c>
      <c r="H1370" s="78" t="s">
        <v>0</v>
      </c>
      <c r="I1370" s="78"/>
      <c r="J1370" s="78" t="s">
        <v>6267</v>
      </c>
      <c r="K1370" s="78" t="s">
        <v>6268</v>
      </c>
      <c r="L1370" s="78" t="s">
        <v>6036</v>
      </c>
      <c r="M1370" s="78"/>
      <c r="N1370" s="218"/>
      <c r="O1370" s="1399"/>
      <c r="P1370" s="1400"/>
      <c r="Q1370" s="1401"/>
    </row>
    <row r="1371" spans="1:17" ht="11.1" customHeight="1">
      <c r="A1371" s="249" t="s">
        <v>8932</v>
      </c>
      <c r="B1371" s="219" t="s">
        <v>6217</v>
      </c>
      <c r="C1371" s="219">
        <v>1</v>
      </c>
      <c r="D1371" s="112" t="s">
        <v>8933</v>
      </c>
      <c r="E1371" s="220">
        <v>98.6</v>
      </c>
      <c r="F1371" s="112" t="s">
        <v>6990</v>
      </c>
      <c r="G1371" s="112">
        <v>60</v>
      </c>
      <c r="H1371" s="112" t="s">
        <v>0</v>
      </c>
      <c r="I1371" s="112" t="s">
        <v>8586</v>
      </c>
      <c r="J1371" s="112" t="s">
        <v>6257</v>
      </c>
      <c r="K1371" s="112" t="s">
        <v>6350</v>
      </c>
      <c r="L1371" s="112" t="s">
        <v>6209</v>
      </c>
      <c r="M1371" s="112">
        <v>8</v>
      </c>
      <c r="N1371" s="113" t="s">
        <v>6260</v>
      </c>
      <c r="O1371" s="1414">
        <v>6</v>
      </c>
      <c r="P1371" s="1417">
        <v>2233560</v>
      </c>
      <c r="Q1371" s="1418" t="e">
        <f>P1371/SUM($P$214:$P$321)</f>
        <v>#DIV/0!</v>
      </c>
    </row>
    <row r="1372" spans="1:17" ht="11.1" customHeight="1">
      <c r="A1372" s="250" t="s">
        <v>8934</v>
      </c>
      <c r="B1372" s="185" t="s">
        <v>6217</v>
      </c>
      <c r="C1372" s="185">
        <v>1</v>
      </c>
      <c r="D1372" s="59" t="s">
        <v>8935</v>
      </c>
      <c r="E1372" s="186">
        <v>90.87</v>
      </c>
      <c r="F1372" s="59" t="s">
        <v>6857</v>
      </c>
      <c r="G1372" s="59">
        <v>62</v>
      </c>
      <c r="H1372" s="59" t="s">
        <v>0</v>
      </c>
      <c r="I1372" s="59" t="s">
        <v>8586</v>
      </c>
      <c r="J1372" s="59" t="s">
        <v>6257</v>
      </c>
      <c r="K1372" s="59" t="s">
        <v>6350</v>
      </c>
      <c r="L1372" s="59" t="s">
        <v>6209</v>
      </c>
      <c r="M1372" s="59">
        <v>5</v>
      </c>
      <c r="N1372" s="133" t="s">
        <v>6260</v>
      </c>
      <c r="O1372" s="1415"/>
      <c r="P1372" s="1393"/>
      <c r="Q1372" s="1396"/>
    </row>
    <row r="1373" spans="1:17" ht="11.1" customHeight="1">
      <c r="A1373" s="250" t="s">
        <v>8936</v>
      </c>
      <c r="B1373" s="185" t="s">
        <v>6217</v>
      </c>
      <c r="C1373" s="185">
        <v>1</v>
      </c>
      <c r="D1373" s="59" t="s">
        <v>8937</v>
      </c>
      <c r="E1373" s="186">
        <v>87.15</v>
      </c>
      <c r="F1373" s="59" t="s">
        <v>6883</v>
      </c>
      <c r="G1373" s="59">
        <v>59</v>
      </c>
      <c r="H1373" s="59" t="s">
        <v>0</v>
      </c>
      <c r="I1373" s="59" t="s">
        <v>8586</v>
      </c>
      <c r="J1373" s="59" t="s">
        <v>6257</v>
      </c>
      <c r="K1373" s="59" t="s">
        <v>6596</v>
      </c>
      <c r="L1373" s="59" t="s">
        <v>6209</v>
      </c>
      <c r="M1373" s="59">
        <v>3</v>
      </c>
      <c r="N1373" s="133" t="s">
        <v>6260</v>
      </c>
      <c r="O1373" s="1415"/>
      <c r="P1373" s="1393"/>
      <c r="Q1373" s="1396"/>
    </row>
    <row r="1374" spans="1:17" ht="11.1" customHeight="1">
      <c r="A1374" s="250" t="s">
        <v>8938</v>
      </c>
      <c r="B1374" s="185" t="s">
        <v>6217</v>
      </c>
      <c r="C1374" s="185">
        <v>1</v>
      </c>
      <c r="D1374" s="59" t="s">
        <v>8939</v>
      </c>
      <c r="E1374" s="186">
        <v>82.98</v>
      </c>
      <c r="F1374" s="59" t="s">
        <v>6833</v>
      </c>
      <c r="G1374" s="59">
        <v>50</v>
      </c>
      <c r="H1374" s="59" t="s">
        <v>0</v>
      </c>
      <c r="I1374" s="59" t="s">
        <v>8586</v>
      </c>
      <c r="J1374" s="59" t="s">
        <v>6257</v>
      </c>
      <c r="K1374" s="59" t="s">
        <v>6258</v>
      </c>
      <c r="L1374" s="59" t="s">
        <v>6036</v>
      </c>
      <c r="M1374" s="59"/>
      <c r="N1374" s="133" t="s">
        <v>6260</v>
      </c>
      <c r="O1374" s="1415"/>
      <c r="P1374" s="1393"/>
      <c r="Q1374" s="1396"/>
    </row>
    <row r="1375" spans="1:17" ht="11.1" customHeight="1">
      <c r="A1375" s="250" t="s">
        <v>8940</v>
      </c>
      <c r="B1375" s="185" t="s">
        <v>6217</v>
      </c>
      <c r="C1375" s="185">
        <v>1</v>
      </c>
      <c r="D1375" s="59" t="s">
        <v>8941</v>
      </c>
      <c r="E1375" s="186">
        <v>77.58</v>
      </c>
      <c r="F1375" s="59" t="s">
        <v>6962</v>
      </c>
      <c r="G1375" s="59">
        <v>60</v>
      </c>
      <c r="H1375" s="59" t="s">
        <v>0</v>
      </c>
      <c r="I1375" s="59" t="s">
        <v>8586</v>
      </c>
      <c r="J1375" s="59" t="s">
        <v>6257</v>
      </c>
      <c r="K1375" s="59" t="s">
        <v>6350</v>
      </c>
      <c r="L1375" s="59" t="s">
        <v>6209</v>
      </c>
      <c r="M1375" s="59">
        <v>4</v>
      </c>
      <c r="N1375" s="133" t="s">
        <v>6260</v>
      </c>
      <c r="O1375" s="1415"/>
      <c r="P1375" s="1393"/>
      <c r="Q1375" s="1396"/>
    </row>
    <row r="1376" spans="1:17" ht="11.1" customHeight="1">
      <c r="A1376" s="250" t="s">
        <v>8942</v>
      </c>
      <c r="B1376" s="185" t="s">
        <v>6217</v>
      </c>
      <c r="C1376" s="185">
        <v>1</v>
      </c>
      <c r="D1376" s="59" t="s">
        <v>8943</v>
      </c>
      <c r="E1376" s="186">
        <v>76.56</v>
      </c>
      <c r="F1376" s="59" t="s">
        <v>6797</v>
      </c>
      <c r="G1376" s="59">
        <v>46</v>
      </c>
      <c r="H1376" s="59" t="s">
        <v>0</v>
      </c>
      <c r="I1376" s="59" t="s">
        <v>8586</v>
      </c>
      <c r="J1376" s="59" t="s">
        <v>6257</v>
      </c>
      <c r="K1376" s="59" t="s">
        <v>6286</v>
      </c>
      <c r="L1376" s="59" t="s">
        <v>6209</v>
      </c>
      <c r="M1376" s="59">
        <v>3</v>
      </c>
      <c r="N1376" s="133" t="s">
        <v>6260</v>
      </c>
      <c r="O1376" s="1415"/>
      <c r="P1376" s="1393"/>
      <c r="Q1376" s="1396"/>
    </row>
    <row r="1377" spans="1:17" ht="11.1" customHeight="1">
      <c r="A1377" s="31" t="s">
        <v>8944</v>
      </c>
      <c r="B1377" s="187"/>
      <c r="C1377" s="187">
        <v>1</v>
      </c>
      <c r="D1377" s="42" t="s">
        <v>8945</v>
      </c>
      <c r="E1377" s="188">
        <v>75.75</v>
      </c>
      <c r="F1377" s="42" t="s">
        <v>7022</v>
      </c>
      <c r="G1377" s="42">
        <v>32</v>
      </c>
      <c r="H1377" s="42" t="s">
        <v>6049</v>
      </c>
      <c r="I1377" s="42" t="s">
        <v>8586</v>
      </c>
      <c r="J1377" s="42" t="s">
        <v>6257</v>
      </c>
      <c r="K1377" s="42" t="s">
        <v>6258</v>
      </c>
      <c r="L1377" s="42" t="s">
        <v>6036</v>
      </c>
      <c r="M1377" s="42"/>
      <c r="N1377" s="43" t="s">
        <v>6260</v>
      </c>
      <c r="O1377" s="1415"/>
      <c r="P1377" s="1393"/>
      <c r="Q1377" s="1396"/>
    </row>
    <row r="1378" spans="1:17" ht="11.1" customHeight="1">
      <c r="A1378" s="31" t="s">
        <v>8946</v>
      </c>
      <c r="B1378" s="187"/>
      <c r="C1378" s="187">
        <v>1</v>
      </c>
      <c r="D1378" s="42" t="s">
        <v>8947</v>
      </c>
      <c r="E1378" s="188">
        <v>74.58</v>
      </c>
      <c r="F1378" s="42" t="s">
        <v>7031</v>
      </c>
      <c r="G1378" s="42">
        <v>40</v>
      </c>
      <c r="H1378" s="42" t="s">
        <v>0</v>
      </c>
      <c r="I1378" s="42" t="s">
        <v>8586</v>
      </c>
      <c r="J1378" s="42" t="s">
        <v>6257</v>
      </c>
      <c r="K1378" s="42" t="s">
        <v>6350</v>
      </c>
      <c r="L1378" s="42" t="s">
        <v>6209</v>
      </c>
      <c r="M1378" s="42">
        <v>2</v>
      </c>
      <c r="N1378" s="43" t="s">
        <v>6260</v>
      </c>
      <c r="O1378" s="1415"/>
      <c r="P1378" s="1393"/>
      <c r="Q1378" s="1396"/>
    </row>
    <row r="1379" spans="1:17" ht="11.1" customHeight="1">
      <c r="A1379" s="31" t="s">
        <v>8948</v>
      </c>
      <c r="B1379" s="187"/>
      <c r="C1379" s="187">
        <v>1</v>
      </c>
      <c r="D1379" s="42" t="s">
        <v>8949</v>
      </c>
      <c r="E1379" s="188">
        <v>74.5</v>
      </c>
      <c r="F1379" s="42" t="s">
        <v>6920</v>
      </c>
      <c r="G1379" s="42">
        <v>43</v>
      </c>
      <c r="H1379" s="42" t="s">
        <v>0</v>
      </c>
      <c r="I1379" s="42" t="s">
        <v>8586</v>
      </c>
      <c r="J1379" s="42" t="s">
        <v>6257</v>
      </c>
      <c r="K1379" s="42" t="s">
        <v>6258</v>
      </c>
      <c r="L1379" s="42" t="s">
        <v>6209</v>
      </c>
      <c r="M1379" s="42">
        <v>1</v>
      </c>
      <c r="N1379" s="43" t="s">
        <v>6260</v>
      </c>
      <c r="O1379" s="1415"/>
      <c r="P1379" s="1393"/>
      <c r="Q1379" s="1396"/>
    </row>
    <row r="1380" spans="1:17" ht="11.1" customHeight="1">
      <c r="A1380" s="31" t="s">
        <v>8950</v>
      </c>
      <c r="B1380" s="187"/>
      <c r="C1380" s="187">
        <v>1</v>
      </c>
      <c r="D1380" s="42" t="s">
        <v>8951</v>
      </c>
      <c r="E1380" s="188">
        <v>74.3</v>
      </c>
      <c r="F1380" s="42" t="s">
        <v>6849</v>
      </c>
      <c r="G1380" s="42">
        <v>43</v>
      </c>
      <c r="H1380" s="42" t="s">
        <v>0</v>
      </c>
      <c r="I1380" s="42" t="s">
        <v>8586</v>
      </c>
      <c r="J1380" s="42" t="s">
        <v>6257</v>
      </c>
      <c r="K1380" s="42" t="s">
        <v>6258</v>
      </c>
      <c r="L1380" s="42" t="s">
        <v>6209</v>
      </c>
      <c r="M1380" s="42">
        <v>4</v>
      </c>
      <c r="N1380" s="43" t="s">
        <v>6260</v>
      </c>
      <c r="O1380" s="1415"/>
      <c r="P1380" s="1393"/>
      <c r="Q1380" s="1396"/>
    </row>
    <row r="1381" spans="1:17" ht="11.1" customHeight="1">
      <c r="A1381" s="31" t="s">
        <v>8952</v>
      </c>
      <c r="B1381" s="187"/>
      <c r="C1381" s="187">
        <v>1</v>
      </c>
      <c r="D1381" s="42" t="s">
        <v>8953</v>
      </c>
      <c r="E1381" s="188">
        <v>71.849999999999994</v>
      </c>
      <c r="F1381" s="42" t="s">
        <v>6911</v>
      </c>
      <c r="G1381" s="42">
        <v>36</v>
      </c>
      <c r="H1381" s="42" t="s">
        <v>0</v>
      </c>
      <c r="I1381" s="42" t="s">
        <v>8586</v>
      </c>
      <c r="J1381" s="42" t="s">
        <v>6257</v>
      </c>
      <c r="K1381" s="42" t="s">
        <v>6402</v>
      </c>
      <c r="L1381" s="42" t="s">
        <v>6209</v>
      </c>
      <c r="M1381" s="42">
        <v>1</v>
      </c>
      <c r="N1381" s="43" t="s">
        <v>6260</v>
      </c>
      <c r="O1381" s="1415"/>
      <c r="P1381" s="1393"/>
      <c r="Q1381" s="1396"/>
    </row>
    <row r="1382" spans="1:17" ht="11.1" customHeight="1">
      <c r="A1382" s="31" t="s">
        <v>8954</v>
      </c>
      <c r="B1382" s="187"/>
      <c r="C1382" s="187">
        <v>1</v>
      </c>
      <c r="D1382" s="42" t="s">
        <v>8955</v>
      </c>
      <c r="E1382" s="188">
        <v>71.180000000000007</v>
      </c>
      <c r="F1382" s="42" t="s">
        <v>6897</v>
      </c>
      <c r="G1382" s="42">
        <v>44</v>
      </c>
      <c r="H1382" s="42" t="s">
        <v>0</v>
      </c>
      <c r="I1382" s="42" t="s">
        <v>8586</v>
      </c>
      <c r="J1382" s="42" t="s">
        <v>6257</v>
      </c>
      <c r="K1382" s="42" t="s">
        <v>6258</v>
      </c>
      <c r="L1382" s="42" t="s">
        <v>6209</v>
      </c>
      <c r="M1382" s="42">
        <v>5</v>
      </c>
      <c r="N1382" s="43" t="s">
        <v>6260</v>
      </c>
      <c r="O1382" s="1415"/>
      <c r="P1382" s="1393"/>
      <c r="Q1382" s="1396"/>
    </row>
    <row r="1383" spans="1:17" ht="11.1" customHeight="1">
      <c r="A1383" s="31" t="s">
        <v>8956</v>
      </c>
      <c r="B1383" s="187"/>
      <c r="C1383" s="187">
        <v>1</v>
      </c>
      <c r="D1383" s="42" t="s">
        <v>8957</v>
      </c>
      <c r="E1383" s="188">
        <v>69.930000000000007</v>
      </c>
      <c r="F1383" s="42" t="s">
        <v>6938</v>
      </c>
      <c r="G1383" s="42">
        <v>32</v>
      </c>
      <c r="H1383" s="42" t="s">
        <v>0</v>
      </c>
      <c r="I1383" s="42" t="s">
        <v>8586</v>
      </c>
      <c r="J1383" s="42" t="s">
        <v>6257</v>
      </c>
      <c r="K1383" s="42" t="s">
        <v>6596</v>
      </c>
      <c r="L1383" s="42" t="s">
        <v>6209</v>
      </c>
      <c r="M1383" s="42">
        <v>1</v>
      </c>
      <c r="N1383" s="43" t="s">
        <v>6260</v>
      </c>
      <c r="O1383" s="1415"/>
      <c r="P1383" s="1393"/>
      <c r="Q1383" s="1396"/>
    </row>
    <row r="1384" spans="1:17" ht="11.1" customHeight="1">
      <c r="A1384" s="31" t="s">
        <v>8958</v>
      </c>
      <c r="B1384" s="187"/>
      <c r="C1384" s="187">
        <v>1</v>
      </c>
      <c r="D1384" s="42" t="s">
        <v>8959</v>
      </c>
      <c r="E1384" s="188">
        <v>69.83</v>
      </c>
      <c r="F1384" s="42" t="s">
        <v>6841</v>
      </c>
      <c r="G1384" s="42">
        <v>59</v>
      </c>
      <c r="H1384" s="42" t="s">
        <v>0</v>
      </c>
      <c r="I1384" s="42" t="s">
        <v>8586</v>
      </c>
      <c r="J1384" s="42" t="s">
        <v>6257</v>
      </c>
      <c r="K1384" s="42" t="s">
        <v>6273</v>
      </c>
      <c r="L1384" s="42" t="s">
        <v>6209</v>
      </c>
      <c r="M1384" s="42">
        <v>4</v>
      </c>
      <c r="N1384" s="43" t="s">
        <v>6260</v>
      </c>
      <c r="O1384" s="1415"/>
      <c r="P1384" s="1393"/>
      <c r="Q1384" s="1396"/>
    </row>
    <row r="1385" spans="1:17" ht="11.1" customHeight="1">
      <c r="A1385" s="31" t="s">
        <v>8960</v>
      </c>
      <c r="B1385" s="187"/>
      <c r="C1385" s="187">
        <v>1</v>
      </c>
      <c r="D1385" s="42" t="s">
        <v>8961</v>
      </c>
      <c r="E1385" s="188">
        <v>68.25</v>
      </c>
      <c r="F1385" s="42" t="s">
        <v>6875</v>
      </c>
      <c r="G1385" s="42">
        <v>65</v>
      </c>
      <c r="H1385" s="42" t="s">
        <v>0</v>
      </c>
      <c r="I1385" s="42" t="s">
        <v>8586</v>
      </c>
      <c r="J1385" s="42" t="s">
        <v>6257</v>
      </c>
      <c r="K1385" s="42" t="s">
        <v>6402</v>
      </c>
      <c r="L1385" s="42" t="s">
        <v>6209</v>
      </c>
      <c r="M1385" s="42">
        <v>5</v>
      </c>
      <c r="N1385" s="43" t="s">
        <v>6260</v>
      </c>
      <c r="O1385" s="1415"/>
      <c r="P1385" s="1393"/>
      <c r="Q1385" s="1396"/>
    </row>
    <row r="1386" spans="1:17" ht="11.1" customHeight="1">
      <c r="A1386" s="31" t="s">
        <v>8962</v>
      </c>
      <c r="B1386" s="187"/>
      <c r="C1386" s="187">
        <v>1</v>
      </c>
      <c r="D1386" s="42" t="s">
        <v>8963</v>
      </c>
      <c r="E1386" s="188">
        <v>67.58</v>
      </c>
      <c r="F1386" s="42" t="s">
        <v>7016</v>
      </c>
      <c r="G1386" s="42">
        <v>38</v>
      </c>
      <c r="H1386" s="42" t="s">
        <v>0</v>
      </c>
      <c r="I1386" s="42" t="s">
        <v>8586</v>
      </c>
      <c r="J1386" s="42" t="s">
        <v>6257</v>
      </c>
      <c r="K1386" s="42" t="s">
        <v>6350</v>
      </c>
      <c r="L1386" s="42" t="s">
        <v>6209</v>
      </c>
      <c r="M1386" s="42">
        <v>1</v>
      </c>
      <c r="N1386" s="43" t="s">
        <v>6260</v>
      </c>
      <c r="O1386" s="1415"/>
      <c r="P1386" s="1393"/>
      <c r="Q1386" s="1396"/>
    </row>
    <row r="1387" spans="1:17" ht="11.1" customHeight="1">
      <c r="A1387" s="31" t="s">
        <v>8964</v>
      </c>
      <c r="B1387" s="187"/>
      <c r="C1387" s="187">
        <v>1</v>
      </c>
      <c r="D1387" s="42" t="s">
        <v>8965</v>
      </c>
      <c r="E1387" s="188">
        <v>66.87</v>
      </c>
      <c r="F1387" s="42" t="s">
        <v>6821</v>
      </c>
      <c r="G1387" s="42">
        <v>59</v>
      </c>
      <c r="H1387" s="42" t="s">
        <v>0</v>
      </c>
      <c r="I1387" s="42" t="s">
        <v>8586</v>
      </c>
      <c r="J1387" s="42" t="s">
        <v>6257</v>
      </c>
      <c r="K1387" s="42" t="s">
        <v>6273</v>
      </c>
      <c r="L1387" s="42" t="s">
        <v>6209</v>
      </c>
      <c r="M1387" s="42">
        <v>4</v>
      </c>
      <c r="N1387" s="43" t="s">
        <v>6260</v>
      </c>
      <c r="O1387" s="1415"/>
      <c r="P1387" s="1393"/>
      <c r="Q1387" s="1396"/>
    </row>
    <row r="1388" spans="1:17" ht="11.1" customHeight="1">
      <c r="A1388" s="31" t="s">
        <v>8966</v>
      </c>
      <c r="B1388" s="187"/>
      <c r="C1388" s="187">
        <v>1</v>
      </c>
      <c r="D1388" s="42" t="s">
        <v>8967</v>
      </c>
      <c r="E1388" s="188">
        <v>66.45</v>
      </c>
      <c r="F1388" s="42" t="s">
        <v>6781</v>
      </c>
      <c r="G1388" s="42">
        <v>34</v>
      </c>
      <c r="H1388" s="42" t="s">
        <v>0</v>
      </c>
      <c r="I1388" s="42" t="s">
        <v>8586</v>
      </c>
      <c r="J1388" s="42" t="s">
        <v>6257</v>
      </c>
      <c r="K1388" s="42" t="s">
        <v>6369</v>
      </c>
      <c r="L1388" s="42" t="s">
        <v>6036</v>
      </c>
      <c r="M1388" s="42"/>
      <c r="N1388" s="43" t="s">
        <v>6260</v>
      </c>
      <c r="O1388" s="1415"/>
      <c r="P1388" s="1393"/>
      <c r="Q1388" s="1396"/>
    </row>
    <row r="1389" spans="1:17" ht="11.1" customHeight="1">
      <c r="A1389" s="31" t="s">
        <v>8968</v>
      </c>
      <c r="B1389" s="187"/>
      <c r="C1389" s="187">
        <v>1</v>
      </c>
      <c r="D1389" s="42" t="s">
        <v>8969</v>
      </c>
      <c r="E1389" s="188">
        <v>66.37</v>
      </c>
      <c r="F1389" s="42" t="s">
        <v>6998</v>
      </c>
      <c r="G1389" s="42">
        <v>41</v>
      </c>
      <c r="H1389" s="42" t="s">
        <v>0</v>
      </c>
      <c r="I1389" s="42" t="s">
        <v>8586</v>
      </c>
      <c r="J1389" s="42" t="s">
        <v>6257</v>
      </c>
      <c r="K1389" s="42" t="s">
        <v>6596</v>
      </c>
      <c r="L1389" s="42" t="s">
        <v>6209</v>
      </c>
      <c r="M1389" s="42">
        <v>1</v>
      </c>
      <c r="N1389" s="43" t="s">
        <v>6260</v>
      </c>
      <c r="O1389" s="1415"/>
      <c r="P1389" s="1393"/>
      <c r="Q1389" s="1396"/>
    </row>
    <row r="1390" spans="1:17" ht="11.1" customHeight="1">
      <c r="A1390" s="31" t="s">
        <v>8970</v>
      </c>
      <c r="B1390" s="187"/>
      <c r="C1390" s="187">
        <v>1</v>
      </c>
      <c r="D1390" s="42" t="s">
        <v>8971</v>
      </c>
      <c r="E1390" s="188">
        <v>65.38</v>
      </c>
      <c r="F1390" s="42" t="s">
        <v>6813</v>
      </c>
      <c r="G1390" s="42">
        <v>37</v>
      </c>
      <c r="H1390" s="42" t="s">
        <v>0</v>
      </c>
      <c r="I1390" s="42" t="s">
        <v>8586</v>
      </c>
      <c r="J1390" s="42" t="s">
        <v>6257</v>
      </c>
      <c r="K1390" s="42" t="s">
        <v>6596</v>
      </c>
      <c r="L1390" s="42" t="s">
        <v>6209</v>
      </c>
      <c r="M1390" s="42">
        <v>1</v>
      </c>
      <c r="N1390" s="43" t="s">
        <v>6260</v>
      </c>
      <c r="O1390" s="1415"/>
      <c r="P1390" s="1393"/>
      <c r="Q1390" s="1396"/>
    </row>
    <row r="1391" spans="1:17" ht="11.1" customHeight="1">
      <c r="A1391" s="31" t="s">
        <v>8972</v>
      </c>
      <c r="B1391" s="187"/>
      <c r="C1391" s="187">
        <v>1</v>
      </c>
      <c r="D1391" s="42" t="s">
        <v>8973</v>
      </c>
      <c r="E1391" s="188">
        <v>62.9</v>
      </c>
      <c r="F1391" s="42" t="s">
        <v>6980</v>
      </c>
      <c r="G1391" s="42">
        <v>65</v>
      </c>
      <c r="H1391" s="42" t="s">
        <v>0</v>
      </c>
      <c r="I1391" s="42" t="s">
        <v>8586</v>
      </c>
      <c r="J1391" s="42" t="s">
        <v>6257</v>
      </c>
      <c r="K1391" s="42" t="s">
        <v>6596</v>
      </c>
      <c r="L1391" s="42" t="s">
        <v>6209</v>
      </c>
      <c r="M1391" s="42">
        <v>3</v>
      </c>
      <c r="N1391" s="43" t="s">
        <v>6260</v>
      </c>
      <c r="O1391" s="1415"/>
      <c r="P1391" s="1393"/>
      <c r="Q1391" s="1396"/>
    </row>
    <row r="1392" spans="1:17" ht="11.1" customHeight="1">
      <c r="A1392" s="31" t="s">
        <v>8974</v>
      </c>
      <c r="B1392" s="187"/>
      <c r="C1392" s="187">
        <v>1</v>
      </c>
      <c r="D1392" s="42" t="s">
        <v>8975</v>
      </c>
      <c r="E1392" s="188">
        <v>58.09</v>
      </c>
      <c r="F1392" s="42" t="s">
        <v>6789</v>
      </c>
      <c r="G1392" s="42">
        <v>63</v>
      </c>
      <c r="H1392" s="42" t="s">
        <v>6049</v>
      </c>
      <c r="I1392" s="42" t="s">
        <v>8586</v>
      </c>
      <c r="J1392" s="42" t="s">
        <v>6257</v>
      </c>
      <c r="K1392" s="42" t="s">
        <v>6258</v>
      </c>
      <c r="L1392" s="42" t="s">
        <v>6209</v>
      </c>
      <c r="M1392" s="42">
        <v>2</v>
      </c>
      <c r="N1392" s="43" t="s">
        <v>6260</v>
      </c>
      <c r="O1392" s="1415"/>
      <c r="P1392" s="1393"/>
      <c r="Q1392" s="1396"/>
    </row>
    <row r="1393" spans="1:17" ht="11.1" customHeight="1">
      <c r="A1393" s="31" t="s">
        <v>8976</v>
      </c>
      <c r="B1393" s="187"/>
      <c r="C1393" s="187">
        <v>1</v>
      </c>
      <c r="D1393" s="42" t="s">
        <v>8977</v>
      </c>
      <c r="E1393" s="188">
        <v>56.35</v>
      </c>
      <c r="F1393" s="42" t="s">
        <v>7057</v>
      </c>
      <c r="G1393" s="42">
        <v>56</v>
      </c>
      <c r="H1393" s="42" t="s">
        <v>0</v>
      </c>
      <c r="I1393" s="42" t="s">
        <v>8586</v>
      </c>
      <c r="J1393" s="42" t="s">
        <v>6257</v>
      </c>
      <c r="K1393" s="42" t="s">
        <v>6258</v>
      </c>
      <c r="L1393" s="42" t="s">
        <v>6209</v>
      </c>
      <c r="M1393" s="42">
        <v>1</v>
      </c>
      <c r="N1393" s="207"/>
      <c r="O1393" s="1415"/>
      <c r="P1393" s="1393"/>
      <c r="Q1393" s="1396"/>
    </row>
    <row r="1394" spans="1:17" ht="11.1" customHeight="1">
      <c r="A1394" s="31" t="s">
        <v>8978</v>
      </c>
      <c r="B1394" s="187"/>
      <c r="C1394" s="187">
        <v>1</v>
      </c>
      <c r="D1394" s="42" t="s">
        <v>8979</v>
      </c>
      <c r="E1394" s="188">
        <v>52.68</v>
      </c>
      <c r="F1394" s="42" t="s">
        <v>6803</v>
      </c>
      <c r="G1394" s="42">
        <v>40</v>
      </c>
      <c r="H1394" s="42" t="s">
        <v>0</v>
      </c>
      <c r="I1394" s="42" t="s">
        <v>8586</v>
      </c>
      <c r="J1394" s="42" t="s">
        <v>6257</v>
      </c>
      <c r="K1394" s="42" t="s">
        <v>6258</v>
      </c>
      <c r="L1394" s="42" t="s">
        <v>6209</v>
      </c>
      <c r="M1394" s="42">
        <v>1</v>
      </c>
      <c r="N1394" s="43" t="s">
        <v>6260</v>
      </c>
      <c r="O1394" s="1415"/>
      <c r="P1394" s="1393"/>
      <c r="Q1394" s="1396"/>
    </row>
    <row r="1395" spans="1:17" ht="11.1" customHeight="1">
      <c r="A1395" s="31" t="s">
        <v>8980</v>
      </c>
      <c r="B1395" s="187"/>
      <c r="C1395" s="187">
        <v>1</v>
      </c>
      <c r="D1395" s="42" t="s">
        <v>8981</v>
      </c>
      <c r="E1395" s="188">
        <v>51.28</v>
      </c>
      <c r="F1395" s="42" t="s">
        <v>7041</v>
      </c>
      <c r="G1395" s="42">
        <v>48</v>
      </c>
      <c r="H1395" s="42" t="s">
        <v>0</v>
      </c>
      <c r="I1395" s="42" t="s">
        <v>8586</v>
      </c>
      <c r="J1395" s="42" t="s">
        <v>6257</v>
      </c>
      <c r="K1395" s="42" t="s">
        <v>6286</v>
      </c>
      <c r="L1395" s="42" t="s">
        <v>6209</v>
      </c>
      <c r="M1395" s="42">
        <v>1</v>
      </c>
      <c r="N1395" s="43" t="s">
        <v>6260</v>
      </c>
      <c r="O1395" s="1415"/>
      <c r="P1395" s="1393"/>
      <c r="Q1395" s="1396"/>
    </row>
    <row r="1396" spans="1:17" ht="11.1" customHeight="1">
      <c r="A1396" s="31" t="s">
        <v>8982</v>
      </c>
      <c r="B1396" s="187"/>
      <c r="C1396" s="187">
        <v>1</v>
      </c>
      <c r="D1396" s="42" t="s">
        <v>8983</v>
      </c>
      <c r="E1396" s="188">
        <v>42.31</v>
      </c>
      <c r="F1396" s="42" t="s">
        <v>6946</v>
      </c>
      <c r="G1396" s="42">
        <v>45</v>
      </c>
      <c r="H1396" s="42" t="s">
        <v>0</v>
      </c>
      <c r="I1396" s="42" t="s">
        <v>8586</v>
      </c>
      <c r="J1396" s="42" t="s">
        <v>6257</v>
      </c>
      <c r="K1396" s="42" t="s">
        <v>6350</v>
      </c>
      <c r="L1396" s="42" t="s">
        <v>6209</v>
      </c>
      <c r="M1396" s="42">
        <v>1</v>
      </c>
      <c r="N1396" s="43" t="s">
        <v>6260</v>
      </c>
      <c r="O1396" s="1415"/>
      <c r="P1396" s="1393"/>
      <c r="Q1396" s="1396"/>
    </row>
    <row r="1397" spans="1:17" ht="11.1" customHeight="1">
      <c r="A1397" s="31" t="s">
        <v>8984</v>
      </c>
      <c r="B1397" s="187"/>
      <c r="C1397" s="187">
        <v>1</v>
      </c>
      <c r="D1397" s="42" t="s">
        <v>8985</v>
      </c>
      <c r="E1397" s="188">
        <v>38.729999999999997</v>
      </c>
      <c r="F1397" s="42" t="s">
        <v>6952</v>
      </c>
      <c r="G1397" s="42">
        <v>40</v>
      </c>
      <c r="H1397" s="42" t="s">
        <v>0</v>
      </c>
      <c r="I1397" s="42" t="s">
        <v>8586</v>
      </c>
      <c r="J1397" s="42" t="s">
        <v>6257</v>
      </c>
      <c r="K1397" s="42" t="s">
        <v>6258</v>
      </c>
      <c r="L1397" s="42" t="s">
        <v>6036</v>
      </c>
      <c r="M1397" s="42"/>
      <c r="N1397" s="43" t="s">
        <v>6260</v>
      </c>
      <c r="O1397" s="1415"/>
      <c r="P1397" s="1393"/>
      <c r="Q1397" s="1396"/>
    </row>
    <row r="1398" spans="1:17" ht="11.1" customHeight="1">
      <c r="A1398" s="31" t="s">
        <v>8986</v>
      </c>
      <c r="B1398" s="187"/>
      <c r="C1398" s="187">
        <v>32</v>
      </c>
      <c r="D1398" s="42" t="s">
        <v>8608</v>
      </c>
      <c r="E1398" s="188" t="s">
        <v>6262</v>
      </c>
      <c r="F1398" s="42" t="s">
        <v>8987</v>
      </c>
      <c r="G1398" s="42">
        <v>51</v>
      </c>
      <c r="H1398" s="42" t="s">
        <v>0</v>
      </c>
      <c r="I1398" s="42"/>
      <c r="J1398" s="42" t="s">
        <v>6257</v>
      </c>
      <c r="K1398" s="42" t="s">
        <v>6350</v>
      </c>
      <c r="L1398" s="42" t="s">
        <v>6209</v>
      </c>
      <c r="M1398" s="42">
        <v>3</v>
      </c>
      <c r="N1398" s="207"/>
      <c r="O1398" s="1415"/>
      <c r="P1398" s="1393"/>
      <c r="Q1398" s="1396"/>
    </row>
    <row r="1399" spans="1:17" ht="11.1" customHeight="1">
      <c r="A1399" s="31" t="s">
        <v>8988</v>
      </c>
      <c r="B1399" s="187"/>
      <c r="C1399" s="187">
        <v>33</v>
      </c>
      <c r="D1399" s="42" t="s">
        <v>8608</v>
      </c>
      <c r="E1399" s="188" t="s">
        <v>6262</v>
      </c>
      <c r="F1399" s="42" t="s">
        <v>8989</v>
      </c>
      <c r="G1399" s="42">
        <v>60</v>
      </c>
      <c r="H1399" s="42" t="s">
        <v>0</v>
      </c>
      <c r="I1399" s="42"/>
      <c r="J1399" s="42" t="s">
        <v>6257</v>
      </c>
      <c r="K1399" s="42" t="s">
        <v>6258</v>
      </c>
      <c r="L1399" s="42" t="s">
        <v>6209</v>
      </c>
      <c r="M1399" s="42">
        <v>1</v>
      </c>
      <c r="N1399" s="207"/>
      <c r="O1399" s="1415"/>
      <c r="P1399" s="1393"/>
      <c r="Q1399" s="1396"/>
    </row>
    <row r="1400" spans="1:17" ht="11.1" customHeight="1">
      <c r="A1400" s="31" t="s">
        <v>8990</v>
      </c>
      <c r="B1400" s="187"/>
      <c r="C1400" s="187">
        <v>34</v>
      </c>
      <c r="D1400" s="42" t="s">
        <v>8608</v>
      </c>
      <c r="E1400" s="188" t="s">
        <v>6262</v>
      </c>
      <c r="F1400" s="42" t="s">
        <v>8991</v>
      </c>
      <c r="G1400" s="42">
        <v>58</v>
      </c>
      <c r="H1400" s="42" t="s">
        <v>0</v>
      </c>
      <c r="I1400" s="42"/>
      <c r="J1400" s="42" t="s">
        <v>6257</v>
      </c>
      <c r="K1400" s="42" t="s">
        <v>6258</v>
      </c>
      <c r="L1400" s="42" t="s">
        <v>6036</v>
      </c>
      <c r="M1400" s="42"/>
      <c r="N1400" s="207"/>
      <c r="O1400" s="1415"/>
      <c r="P1400" s="1393"/>
      <c r="Q1400" s="1396"/>
    </row>
    <row r="1401" spans="1:17" ht="11.1" customHeight="1">
      <c r="A1401" s="31" t="s">
        <v>8992</v>
      </c>
      <c r="B1401" s="187"/>
      <c r="C1401" s="187">
        <v>35</v>
      </c>
      <c r="D1401" s="42" t="s">
        <v>8608</v>
      </c>
      <c r="E1401" s="188" t="s">
        <v>6262</v>
      </c>
      <c r="F1401" s="42" t="s">
        <v>8993</v>
      </c>
      <c r="G1401" s="42">
        <v>54</v>
      </c>
      <c r="H1401" s="42" t="s">
        <v>0</v>
      </c>
      <c r="I1401" s="42"/>
      <c r="J1401" s="42" t="s">
        <v>6257</v>
      </c>
      <c r="K1401" s="42" t="s">
        <v>6258</v>
      </c>
      <c r="L1401" s="42" t="s">
        <v>6036</v>
      </c>
      <c r="M1401" s="42"/>
      <c r="N1401" s="207"/>
      <c r="O1401" s="1415"/>
      <c r="P1401" s="1393"/>
      <c r="Q1401" s="1396"/>
    </row>
    <row r="1402" spans="1:17" ht="11.1" customHeight="1">
      <c r="A1402" s="31" t="s">
        <v>8994</v>
      </c>
      <c r="B1402" s="187" t="s">
        <v>8615</v>
      </c>
      <c r="C1402" s="187">
        <v>1</v>
      </c>
      <c r="D1402" s="59" t="s">
        <v>8995</v>
      </c>
      <c r="E1402" s="186" t="s">
        <v>6251</v>
      </c>
      <c r="F1402" s="59" t="s">
        <v>6861</v>
      </c>
      <c r="G1402" s="59">
        <v>60</v>
      </c>
      <c r="H1402" s="59" t="s">
        <v>0</v>
      </c>
      <c r="I1402" s="59" t="s">
        <v>8586</v>
      </c>
      <c r="J1402" s="59" t="s">
        <v>6257</v>
      </c>
      <c r="K1402" s="59" t="s">
        <v>6596</v>
      </c>
      <c r="L1402" s="59" t="s">
        <v>6209</v>
      </c>
      <c r="M1402" s="59">
        <v>6</v>
      </c>
      <c r="N1402" s="43" t="s">
        <v>6260</v>
      </c>
      <c r="O1402" s="1415"/>
      <c r="P1402" s="1393"/>
      <c r="Q1402" s="1396"/>
    </row>
    <row r="1403" spans="1:17" ht="11.1" customHeight="1">
      <c r="A1403" s="31" t="s">
        <v>8996</v>
      </c>
      <c r="B1403" s="187" t="s">
        <v>8615</v>
      </c>
      <c r="C1403" s="187">
        <v>1</v>
      </c>
      <c r="D1403" s="59" t="s">
        <v>8997</v>
      </c>
      <c r="E1403" s="186" t="s">
        <v>6251</v>
      </c>
      <c r="F1403" s="59" t="s">
        <v>6867</v>
      </c>
      <c r="G1403" s="59">
        <v>53</v>
      </c>
      <c r="H1403" s="59" t="s">
        <v>0</v>
      </c>
      <c r="I1403" s="59" t="s">
        <v>8586</v>
      </c>
      <c r="J1403" s="59" t="s">
        <v>6257</v>
      </c>
      <c r="K1403" s="59" t="s">
        <v>6258</v>
      </c>
      <c r="L1403" s="59" t="s">
        <v>6209</v>
      </c>
      <c r="M1403" s="59">
        <v>5</v>
      </c>
      <c r="N1403" s="43" t="s">
        <v>6260</v>
      </c>
      <c r="O1403" s="1415"/>
      <c r="P1403" s="1393"/>
      <c r="Q1403" s="1396"/>
    </row>
    <row r="1404" spans="1:17" ht="11.1" customHeight="1">
      <c r="A1404" s="31" t="s">
        <v>8998</v>
      </c>
      <c r="B1404" s="187" t="s">
        <v>8615</v>
      </c>
      <c r="C1404" s="187">
        <v>1</v>
      </c>
      <c r="D1404" s="59" t="s">
        <v>8999</v>
      </c>
      <c r="E1404" s="186" t="s">
        <v>6251</v>
      </c>
      <c r="F1404" s="59" t="s">
        <v>6889</v>
      </c>
      <c r="G1404" s="59">
        <v>60</v>
      </c>
      <c r="H1404" s="59" t="s">
        <v>0</v>
      </c>
      <c r="I1404" s="59" t="s">
        <v>8586</v>
      </c>
      <c r="J1404" s="59" t="s">
        <v>6257</v>
      </c>
      <c r="K1404" s="59" t="s">
        <v>6402</v>
      </c>
      <c r="L1404" s="59" t="s">
        <v>6209</v>
      </c>
      <c r="M1404" s="59">
        <v>4</v>
      </c>
      <c r="N1404" s="43" t="s">
        <v>6260</v>
      </c>
      <c r="O1404" s="1415"/>
      <c r="P1404" s="1393"/>
      <c r="Q1404" s="1396"/>
    </row>
    <row r="1405" spans="1:17" ht="11.1" customHeight="1">
      <c r="A1405" s="44" t="s">
        <v>9000</v>
      </c>
      <c r="B1405" s="190" t="s">
        <v>8615</v>
      </c>
      <c r="C1405" s="190">
        <v>1</v>
      </c>
      <c r="D1405" s="97" t="s">
        <v>9001</v>
      </c>
      <c r="E1405" s="186" t="s">
        <v>6251</v>
      </c>
      <c r="F1405" s="97" t="s">
        <v>7006</v>
      </c>
      <c r="G1405" s="97">
        <v>46</v>
      </c>
      <c r="H1405" s="97" t="s">
        <v>0</v>
      </c>
      <c r="I1405" s="97" t="s">
        <v>8586</v>
      </c>
      <c r="J1405" s="97" t="s">
        <v>6257</v>
      </c>
      <c r="K1405" s="97" t="s">
        <v>6596</v>
      </c>
      <c r="L1405" s="97" t="s">
        <v>6209</v>
      </c>
      <c r="M1405" s="97">
        <v>4</v>
      </c>
      <c r="N1405" s="50" t="s">
        <v>6260</v>
      </c>
      <c r="O1405" s="1416"/>
      <c r="P1405" s="1394"/>
      <c r="Q1405" s="1397"/>
    </row>
    <row r="1406" spans="1:17" ht="11.1" customHeight="1">
      <c r="A1406" s="251" t="s">
        <v>9002</v>
      </c>
      <c r="B1406" s="192" t="s">
        <v>6217</v>
      </c>
      <c r="C1406" s="192">
        <v>1</v>
      </c>
      <c r="D1406" s="56" t="s">
        <v>8999</v>
      </c>
      <c r="E1406" s="193">
        <v>99.59</v>
      </c>
      <c r="F1406" s="56" t="s">
        <v>6891</v>
      </c>
      <c r="G1406" s="56">
        <v>33</v>
      </c>
      <c r="H1406" s="56" t="s">
        <v>0</v>
      </c>
      <c r="I1406" s="56" t="s">
        <v>8586</v>
      </c>
      <c r="J1406" s="56" t="s">
        <v>6253</v>
      </c>
      <c r="K1406" s="56" t="s">
        <v>6053</v>
      </c>
      <c r="L1406" s="56" t="s">
        <v>6036</v>
      </c>
      <c r="M1406" s="56"/>
      <c r="N1406" s="57" t="s">
        <v>6779</v>
      </c>
      <c r="O1406" s="1408">
        <v>11</v>
      </c>
      <c r="P1406" s="1392">
        <v>3695159</v>
      </c>
      <c r="Q1406" s="1395" t="e">
        <f>P1406/SUM($P$214:$P$321)</f>
        <v>#DIV/0!</v>
      </c>
    </row>
    <row r="1407" spans="1:17" ht="11.1" customHeight="1">
      <c r="A1407" s="252" t="s">
        <v>9003</v>
      </c>
      <c r="B1407" s="194" t="s">
        <v>6217</v>
      </c>
      <c r="C1407" s="194">
        <v>1</v>
      </c>
      <c r="D1407" s="36" t="s">
        <v>8995</v>
      </c>
      <c r="E1407" s="195">
        <v>96.38</v>
      </c>
      <c r="F1407" s="36" t="s">
        <v>6863</v>
      </c>
      <c r="G1407" s="36">
        <v>51</v>
      </c>
      <c r="H1407" s="36" t="s">
        <v>0</v>
      </c>
      <c r="I1407" s="36" t="s">
        <v>8586</v>
      </c>
      <c r="J1407" s="36" t="s">
        <v>6253</v>
      </c>
      <c r="K1407" s="36" t="s">
        <v>6053</v>
      </c>
      <c r="L1407" s="36" t="s">
        <v>6036</v>
      </c>
      <c r="M1407" s="36"/>
      <c r="N1407" s="37" t="s">
        <v>6213</v>
      </c>
      <c r="O1407" s="1409"/>
      <c r="P1407" s="1393"/>
      <c r="Q1407" s="1396"/>
    </row>
    <row r="1408" spans="1:17" ht="11.1" customHeight="1">
      <c r="A1408" s="252" t="s">
        <v>9004</v>
      </c>
      <c r="B1408" s="194" t="s">
        <v>6217</v>
      </c>
      <c r="C1408" s="194">
        <v>1</v>
      </c>
      <c r="D1408" s="36" t="s">
        <v>8997</v>
      </c>
      <c r="E1408" s="195">
        <v>85.57</v>
      </c>
      <c r="F1408" s="36" t="s">
        <v>6869</v>
      </c>
      <c r="G1408" s="36">
        <v>39</v>
      </c>
      <c r="H1408" s="36" t="s">
        <v>0</v>
      </c>
      <c r="I1408" s="36" t="s">
        <v>8586</v>
      </c>
      <c r="J1408" s="36" t="s">
        <v>6253</v>
      </c>
      <c r="K1408" s="36" t="s">
        <v>6053</v>
      </c>
      <c r="L1408" s="36" t="s">
        <v>6036</v>
      </c>
      <c r="M1408" s="36"/>
      <c r="N1408" s="37" t="s">
        <v>6779</v>
      </c>
      <c r="O1408" s="1409"/>
      <c r="P1408" s="1393"/>
      <c r="Q1408" s="1396"/>
    </row>
    <row r="1409" spans="1:17" ht="11.1" customHeight="1">
      <c r="A1409" s="252" t="s">
        <v>9005</v>
      </c>
      <c r="B1409" s="194" t="s">
        <v>6217</v>
      </c>
      <c r="C1409" s="194">
        <v>1</v>
      </c>
      <c r="D1409" s="36" t="s">
        <v>9001</v>
      </c>
      <c r="E1409" s="195">
        <v>76.11</v>
      </c>
      <c r="F1409" s="36" t="s">
        <v>7008</v>
      </c>
      <c r="G1409" s="36">
        <v>46</v>
      </c>
      <c r="H1409" s="36" t="s">
        <v>0</v>
      </c>
      <c r="I1409" s="36" t="s">
        <v>8586</v>
      </c>
      <c r="J1409" s="36" t="s">
        <v>6253</v>
      </c>
      <c r="K1409" s="36" t="s">
        <v>24</v>
      </c>
      <c r="L1409" s="36" t="s">
        <v>6036</v>
      </c>
      <c r="M1409" s="36"/>
      <c r="N1409" s="37" t="s">
        <v>6213</v>
      </c>
      <c r="O1409" s="1409"/>
      <c r="P1409" s="1393"/>
      <c r="Q1409" s="1396"/>
    </row>
    <row r="1410" spans="1:17" ht="11.1" customHeight="1">
      <c r="A1410" s="252" t="s">
        <v>9006</v>
      </c>
      <c r="B1410" s="194" t="s">
        <v>6217</v>
      </c>
      <c r="C1410" s="194">
        <v>1</v>
      </c>
      <c r="D1410" s="36" t="s">
        <v>9007</v>
      </c>
      <c r="E1410" s="195">
        <v>64.040000000000006</v>
      </c>
      <c r="F1410" s="36" t="s">
        <v>6970</v>
      </c>
      <c r="G1410" s="36">
        <v>27</v>
      </c>
      <c r="H1410" s="36" t="s">
        <v>0</v>
      </c>
      <c r="I1410" s="36" t="s">
        <v>8586</v>
      </c>
      <c r="J1410" s="36" t="s">
        <v>6253</v>
      </c>
      <c r="K1410" s="36" t="s">
        <v>6053</v>
      </c>
      <c r="L1410" s="36" t="s">
        <v>6036</v>
      </c>
      <c r="M1410" s="36"/>
      <c r="N1410" s="37" t="s">
        <v>6213</v>
      </c>
      <c r="O1410" s="1409"/>
      <c r="P1410" s="1393"/>
      <c r="Q1410" s="1396"/>
    </row>
    <row r="1411" spans="1:17" ht="11.1" customHeight="1">
      <c r="A1411" s="252" t="s">
        <v>9008</v>
      </c>
      <c r="B1411" s="194" t="s">
        <v>6217</v>
      </c>
      <c r="C1411" s="194">
        <v>1</v>
      </c>
      <c r="D1411" s="36" t="s">
        <v>8983</v>
      </c>
      <c r="E1411" s="195">
        <v>57.9</v>
      </c>
      <c r="F1411" s="36" t="s">
        <v>6944</v>
      </c>
      <c r="G1411" s="36">
        <v>46</v>
      </c>
      <c r="H1411" s="36" t="s">
        <v>0</v>
      </c>
      <c r="I1411" s="36" t="s">
        <v>8586</v>
      </c>
      <c r="J1411" s="36" t="s">
        <v>6253</v>
      </c>
      <c r="K1411" s="36" t="s">
        <v>6053</v>
      </c>
      <c r="L1411" s="36" t="s">
        <v>6036</v>
      </c>
      <c r="M1411" s="36"/>
      <c r="N1411" s="37" t="s">
        <v>6213</v>
      </c>
      <c r="O1411" s="1409"/>
      <c r="P1411" s="1393"/>
      <c r="Q1411" s="1396"/>
    </row>
    <row r="1412" spans="1:17" ht="11.1" customHeight="1">
      <c r="A1412" s="252" t="s">
        <v>9009</v>
      </c>
      <c r="B1412" s="194" t="s">
        <v>6217</v>
      </c>
      <c r="C1412" s="194">
        <v>35</v>
      </c>
      <c r="D1412" s="36" t="s">
        <v>8608</v>
      </c>
      <c r="E1412" s="195" t="s">
        <v>6262</v>
      </c>
      <c r="F1412" s="36" t="s">
        <v>9010</v>
      </c>
      <c r="G1412" s="36">
        <v>77</v>
      </c>
      <c r="H1412" s="36" t="s">
        <v>0</v>
      </c>
      <c r="I1412" s="36"/>
      <c r="J1412" s="36" t="s">
        <v>6253</v>
      </c>
      <c r="K1412" s="36" t="s">
        <v>6035</v>
      </c>
      <c r="L1412" s="36" t="s">
        <v>6209</v>
      </c>
      <c r="M1412" s="36">
        <v>6</v>
      </c>
      <c r="N1412" s="223"/>
      <c r="O1412" s="1409"/>
      <c r="P1412" s="1393"/>
      <c r="Q1412" s="1396"/>
    </row>
    <row r="1413" spans="1:17" ht="11.1" customHeight="1">
      <c r="A1413" s="252" t="s">
        <v>9011</v>
      </c>
      <c r="B1413" s="194" t="s">
        <v>6217</v>
      </c>
      <c r="C1413" s="194">
        <v>36</v>
      </c>
      <c r="D1413" s="36" t="s">
        <v>8608</v>
      </c>
      <c r="E1413" s="195" t="s">
        <v>6262</v>
      </c>
      <c r="F1413" s="36" t="s">
        <v>9012</v>
      </c>
      <c r="G1413" s="36">
        <v>53</v>
      </c>
      <c r="H1413" s="36" t="s">
        <v>0</v>
      </c>
      <c r="I1413" s="36"/>
      <c r="J1413" s="36" t="s">
        <v>6253</v>
      </c>
      <c r="K1413" s="36" t="s">
        <v>6053</v>
      </c>
      <c r="L1413" s="36" t="s">
        <v>6036</v>
      </c>
      <c r="M1413" s="36"/>
      <c r="N1413" s="223"/>
      <c r="O1413" s="1409"/>
      <c r="P1413" s="1393"/>
      <c r="Q1413" s="1396"/>
    </row>
    <row r="1414" spans="1:17" ht="11.1" customHeight="1">
      <c r="A1414" s="252" t="s">
        <v>9013</v>
      </c>
      <c r="B1414" s="194" t="s">
        <v>6217</v>
      </c>
      <c r="C1414" s="194">
        <v>37</v>
      </c>
      <c r="D1414" s="36" t="s">
        <v>8608</v>
      </c>
      <c r="E1414" s="195" t="s">
        <v>6262</v>
      </c>
      <c r="F1414" s="36" t="s">
        <v>9014</v>
      </c>
      <c r="G1414" s="36">
        <v>57</v>
      </c>
      <c r="H1414" s="36" t="s">
        <v>0</v>
      </c>
      <c r="I1414" s="36"/>
      <c r="J1414" s="36" t="s">
        <v>6253</v>
      </c>
      <c r="K1414" s="36" t="s">
        <v>6053</v>
      </c>
      <c r="L1414" s="36" t="s">
        <v>6036</v>
      </c>
      <c r="M1414" s="36"/>
      <c r="N1414" s="223"/>
      <c r="O1414" s="1409"/>
      <c r="P1414" s="1393"/>
      <c r="Q1414" s="1396"/>
    </row>
    <row r="1415" spans="1:17" ht="11.1" customHeight="1">
      <c r="A1415" s="252" t="s">
        <v>9015</v>
      </c>
      <c r="B1415" s="194" t="s">
        <v>6217</v>
      </c>
      <c r="C1415" s="194">
        <v>38</v>
      </c>
      <c r="D1415" s="36" t="s">
        <v>8608</v>
      </c>
      <c r="E1415" s="195" t="s">
        <v>6262</v>
      </c>
      <c r="F1415" s="36" t="s">
        <v>9016</v>
      </c>
      <c r="G1415" s="36">
        <v>64</v>
      </c>
      <c r="H1415" s="36" t="s">
        <v>0</v>
      </c>
      <c r="I1415" s="36"/>
      <c r="J1415" s="36" t="s">
        <v>6253</v>
      </c>
      <c r="K1415" s="36" t="s">
        <v>6254</v>
      </c>
      <c r="L1415" s="36" t="s">
        <v>6036</v>
      </c>
      <c r="M1415" s="36"/>
      <c r="N1415" s="223"/>
      <c r="O1415" s="1409"/>
      <c r="P1415" s="1393"/>
      <c r="Q1415" s="1396"/>
    </row>
    <row r="1416" spans="1:17" ht="11.1" customHeight="1">
      <c r="A1416" s="252" t="s">
        <v>9017</v>
      </c>
      <c r="B1416" s="194" t="s">
        <v>6217</v>
      </c>
      <c r="C1416" s="194">
        <v>39</v>
      </c>
      <c r="D1416" s="36" t="s">
        <v>8608</v>
      </c>
      <c r="E1416" s="195" t="s">
        <v>6262</v>
      </c>
      <c r="F1416" s="36" t="s">
        <v>9018</v>
      </c>
      <c r="G1416" s="36">
        <v>35</v>
      </c>
      <c r="H1416" s="36" t="s">
        <v>6049</v>
      </c>
      <c r="I1416" s="36"/>
      <c r="J1416" s="36" t="s">
        <v>6253</v>
      </c>
      <c r="K1416" s="36" t="s">
        <v>6053</v>
      </c>
      <c r="L1416" s="36" t="s">
        <v>6036</v>
      </c>
      <c r="M1416" s="36"/>
      <c r="N1416" s="223"/>
      <c r="O1416" s="1409"/>
      <c r="P1416" s="1393"/>
      <c r="Q1416" s="1396"/>
    </row>
    <row r="1417" spans="1:17" ht="11.1" customHeight="1">
      <c r="A1417" s="31" t="s">
        <v>9019</v>
      </c>
      <c r="B1417" s="187"/>
      <c r="C1417" s="187">
        <v>40</v>
      </c>
      <c r="D1417" s="42" t="s">
        <v>8608</v>
      </c>
      <c r="E1417" s="188" t="s">
        <v>6262</v>
      </c>
      <c r="F1417" s="212" t="s">
        <v>9020</v>
      </c>
      <c r="G1417" s="42">
        <v>38</v>
      </c>
      <c r="H1417" s="42" t="s">
        <v>0</v>
      </c>
      <c r="I1417" s="42"/>
      <c r="J1417" s="42" t="s">
        <v>6253</v>
      </c>
      <c r="K1417" s="42" t="s">
        <v>6053</v>
      </c>
      <c r="L1417" s="42" t="s">
        <v>6036</v>
      </c>
      <c r="M1417" s="42"/>
      <c r="N1417" s="207"/>
      <c r="O1417" s="1409"/>
      <c r="P1417" s="1393"/>
      <c r="Q1417" s="1396"/>
    </row>
    <row r="1418" spans="1:17" ht="11.1" customHeight="1">
      <c r="A1418" s="31" t="s">
        <v>9021</v>
      </c>
      <c r="B1418" s="187"/>
      <c r="C1418" s="187">
        <v>41</v>
      </c>
      <c r="D1418" s="42" t="s">
        <v>8608</v>
      </c>
      <c r="E1418" s="188" t="s">
        <v>6262</v>
      </c>
      <c r="F1418" s="212" t="s">
        <v>9022</v>
      </c>
      <c r="G1418" s="42">
        <v>29</v>
      </c>
      <c r="H1418" s="42" t="s">
        <v>0</v>
      </c>
      <c r="I1418" s="42"/>
      <c r="J1418" s="42" t="s">
        <v>6253</v>
      </c>
      <c r="K1418" s="42" t="s">
        <v>6053</v>
      </c>
      <c r="L1418" s="42" t="s">
        <v>6036</v>
      </c>
      <c r="M1418" s="42"/>
      <c r="N1418" s="207"/>
      <c r="O1418" s="1409"/>
      <c r="P1418" s="1393"/>
      <c r="Q1418" s="1396"/>
    </row>
    <row r="1419" spans="1:17" ht="11.1" customHeight="1">
      <c r="A1419" s="31" t="s">
        <v>9023</v>
      </c>
      <c r="B1419" s="187"/>
      <c r="C1419" s="187">
        <v>42</v>
      </c>
      <c r="D1419" s="42" t="s">
        <v>8608</v>
      </c>
      <c r="E1419" s="188" t="s">
        <v>6262</v>
      </c>
      <c r="F1419" s="212" t="s">
        <v>9024</v>
      </c>
      <c r="G1419" s="42">
        <v>66</v>
      </c>
      <c r="H1419" s="42" t="s">
        <v>0</v>
      </c>
      <c r="I1419" s="42"/>
      <c r="J1419" s="42" t="s">
        <v>6253</v>
      </c>
      <c r="K1419" s="42" t="s">
        <v>6254</v>
      </c>
      <c r="L1419" s="42" t="s">
        <v>6036</v>
      </c>
      <c r="M1419" s="42"/>
      <c r="N1419" s="207"/>
      <c r="O1419" s="1409"/>
      <c r="P1419" s="1393"/>
      <c r="Q1419" s="1396"/>
    </row>
    <row r="1420" spans="1:17" ht="11.1" customHeight="1">
      <c r="A1420" s="31" t="s">
        <v>9025</v>
      </c>
      <c r="B1420" s="187" t="s">
        <v>8615</v>
      </c>
      <c r="C1420" s="187">
        <v>1</v>
      </c>
      <c r="D1420" s="36" t="s">
        <v>8967</v>
      </c>
      <c r="E1420" s="195" t="s">
        <v>6251</v>
      </c>
      <c r="F1420" s="36" t="s">
        <v>6778</v>
      </c>
      <c r="G1420" s="36">
        <v>47</v>
      </c>
      <c r="H1420" s="36" t="s">
        <v>0</v>
      </c>
      <c r="I1420" s="36" t="s">
        <v>8586</v>
      </c>
      <c r="J1420" s="36" t="s">
        <v>6253</v>
      </c>
      <c r="K1420" s="36" t="s">
        <v>6053</v>
      </c>
      <c r="L1420" s="36" t="s">
        <v>6209</v>
      </c>
      <c r="M1420" s="36">
        <v>2</v>
      </c>
      <c r="N1420" s="43" t="s">
        <v>6779</v>
      </c>
      <c r="O1420" s="1409"/>
      <c r="P1420" s="1393"/>
      <c r="Q1420" s="1396"/>
    </row>
    <row r="1421" spans="1:17" ht="11.1" customHeight="1">
      <c r="A1421" s="31" t="s">
        <v>9026</v>
      </c>
      <c r="B1421" s="187" t="s">
        <v>8615</v>
      </c>
      <c r="C1421" s="187">
        <v>1</v>
      </c>
      <c r="D1421" s="36" t="s">
        <v>8975</v>
      </c>
      <c r="E1421" s="195" t="s">
        <v>6251</v>
      </c>
      <c r="F1421" s="36" t="s">
        <v>6787</v>
      </c>
      <c r="G1421" s="36">
        <v>50</v>
      </c>
      <c r="H1421" s="36" t="s">
        <v>0</v>
      </c>
      <c r="I1421" s="36" t="s">
        <v>8586</v>
      </c>
      <c r="J1421" s="36" t="s">
        <v>6253</v>
      </c>
      <c r="K1421" s="36" t="s">
        <v>6035</v>
      </c>
      <c r="L1421" s="36" t="s">
        <v>6036</v>
      </c>
      <c r="M1421" s="36"/>
      <c r="N1421" s="43" t="s">
        <v>6213</v>
      </c>
      <c r="O1421" s="1409"/>
      <c r="P1421" s="1393"/>
      <c r="Q1421" s="1396"/>
    </row>
    <row r="1422" spans="1:17" ht="11.1" customHeight="1">
      <c r="A1422" s="31" t="s">
        <v>9027</v>
      </c>
      <c r="B1422" s="187" t="s">
        <v>8615</v>
      </c>
      <c r="C1422" s="187">
        <v>1</v>
      </c>
      <c r="D1422" s="36" t="s">
        <v>8943</v>
      </c>
      <c r="E1422" s="195" t="s">
        <v>6251</v>
      </c>
      <c r="F1422" s="36" t="s">
        <v>6795</v>
      </c>
      <c r="G1422" s="36">
        <v>51</v>
      </c>
      <c r="H1422" s="36" t="s">
        <v>0</v>
      </c>
      <c r="I1422" s="36" t="s">
        <v>8586</v>
      </c>
      <c r="J1422" s="36" t="s">
        <v>6253</v>
      </c>
      <c r="K1422" s="36" t="s">
        <v>6035</v>
      </c>
      <c r="L1422" s="36" t="s">
        <v>6283</v>
      </c>
      <c r="M1422" s="36">
        <v>1</v>
      </c>
      <c r="N1422" s="43" t="s">
        <v>6213</v>
      </c>
      <c r="O1422" s="1409"/>
      <c r="P1422" s="1393"/>
      <c r="Q1422" s="1396"/>
    </row>
    <row r="1423" spans="1:17" ht="11.1" customHeight="1">
      <c r="A1423" s="31" t="s">
        <v>9028</v>
      </c>
      <c r="B1423" s="187" t="s">
        <v>8615</v>
      </c>
      <c r="C1423" s="187">
        <v>1</v>
      </c>
      <c r="D1423" s="36" t="s">
        <v>8979</v>
      </c>
      <c r="E1423" s="195" t="s">
        <v>6251</v>
      </c>
      <c r="F1423" s="36" t="s">
        <v>6801</v>
      </c>
      <c r="G1423" s="36">
        <v>52</v>
      </c>
      <c r="H1423" s="36" t="s">
        <v>0</v>
      </c>
      <c r="I1423" s="36" t="s">
        <v>8586</v>
      </c>
      <c r="J1423" s="36" t="s">
        <v>6253</v>
      </c>
      <c r="K1423" s="36" t="s">
        <v>6207</v>
      </c>
      <c r="L1423" s="36" t="s">
        <v>6209</v>
      </c>
      <c r="M1423" s="36">
        <v>4</v>
      </c>
      <c r="N1423" s="43" t="s">
        <v>6213</v>
      </c>
      <c r="O1423" s="1409"/>
      <c r="P1423" s="1393"/>
      <c r="Q1423" s="1396"/>
    </row>
    <row r="1424" spans="1:17" ht="11.1" customHeight="1">
      <c r="A1424" s="31" t="s">
        <v>9029</v>
      </c>
      <c r="B1424" s="187" t="s">
        <v>8615</v>
      </c>
      <c r="C1424" s="187">
        <v>1</v>
      </c>
      <c r="D1424" s="36" t="s">
        <v>8971</v>
      </c>
      <c r="E1424" s="195" t="s">
        <v>6251</v>
      </c>
      <c r="F1424" s="36" t="s">
        <v>6811</v>
      </c>
      <c r="G1424" s="36">
        <v>35</v>
      </c>
      <c r="H1424" s="36" t="s">
        <v>0</v>
      </c>
      <c r="I1424" s="36" t="s">
        <v>8586</v>
      </c>
      <c r="J1424" s="36" t="s">
        <v>6253</v>
      </c>
      <c r="K1424" s="36" t="s">
        <v>6053</v>
      </c>
      <c r="L1424" s="36" t="s">
        <v>6283</v>
      </c>
      <c r="M1424" s="36">
        <v>1</v>
      </c>
      <c r="N1424" s="43" t="s">
        <v>6213</v>
      </c>
      <c r="O1424" s="1409"/>
      <c r="P1424" s="1393"/>
      <c r="Q1424" s="1396"/>
    </row>
    <row r="1425" spans="1:17" ht="11.1" customHeight="1">
      <c r="A1425" s="31" t="s">
        <v>9030</v>
      </c>
      <c r="B1425" s="187" t="s">
        <v>8615</v>
      </c>
      <c r="C1425" s="187">
        <v>1</v>
      </c>
      <c r="D1425" s="36" t="s">
        <v>8965</v>
      </c>
      <c r="E1425" s="195" t="s">
        <v>6251</v>
      </c>
      <c r="F1425" s="36" t="s">
        <v>6819</v>
      </c>
      <c r="G1425" s="36">
        <v>61</v>
      </c>
      <c r="H1425" s="36" t="s">
        <v>0</v>
      </c>
      <c r="I1425" s="36" t="s">
        <v>8586</v>
      </c>
      <c r="J1425" s="36" t="s">
        <v>6253</v>
      </c>
      <c r="K1425" s="36" t="s">
        <v>24</v>
      </c>
      <c r="L1425" s="36" t="s">
        <v>6283</v>
      </c>
      <c r="M1425" s="36">
        <v>3</v>
      </c>
      <c r="N1425" s="43" t="s">
        <v>6779</v>
      </c>
      <c r="O1425" s="1409"/>
      <c r="P1425" s="1393"/>
      <c r="Q1425" s="1396"/>
    </row>
    <row r="1426" spans="1:17" ht="11.1" customHeight="1">
      <c r="A1426" s="31" t="s">
        <v>9031</v>
      </c>
      <c r="B1426" s="187" t="s">
        <v>8615</v>
      </c>
      <c r="C1426" s="187">
        <v>1</v>
      </c>
      <c r="D1426" s="36" t="s">
        <v>8939</v>
      </c>
      <c r="E1426" s="195" t="s">
        <v>6251</v>
      </c>
      <c r="F1426" s="36" t="s">
        <v>6831</v>
      </c>
      <c r="G1426" s="36">
        <v>55</v>
      </c>
      <c r="H1426" s="36" t="s">
        <v>0</v>
      </c>
      <c r="I1426" s="36" t="s">
        <v>8586</v>
      </c>
      <c r="J1426" s="36" t="s">
        <v>6253</v>
      </c>
      <c r="K1426" s="36" t="s">
        <v>6053</v>
      </c>
      <c r="L1426" s="36" t="s">
        <v>6209</v>
      </c>
      <c r="M1426" s="36">
        <v>2</v>
      </c>
      <c r="N1426" s="43" t="s">
        <v>6213</v>
      </c>
      <c r="O1426" s="1409"/>
      <c r="P1426" s="1393"/>
      <c r="Q1426" s="1396"/>
    </row>
    <row r="1427" spans="1:17" ht="11.1" customHeight="1">
      <c r="A1427" s="31" t="s">
        <v>9032</v>
      </c>
      <c r="B1427" s="187" t="s">
        <v>8615</v>
      </c>
      <c r="C1427" s="187">
        <v>1</v>
      </c>
      <c r="D1427" s="36" t="s">
        <v>8959</v>
      </c>
      <c r="E1427" s="195" t="s">
        <v>6251</v>
      </c>
      <c r="F1427" s="36" t="s">
        <v>6839</v>
      </c>
      <c r="G1427" s="36">
        <v>65</v>
      </c>
      <c r="H1427" s="36" t="s">
        <v>0</v>
      </c>
      <c r="I1427" s="36" t="s">
        <v>8586</v>
      </c>
      <c r="J1427" s="36" t="s">
        <v>6253</v>
      </c>
      <c r="K1427" s="36" t="s">
        <v>6207</v>
      </c>
      <c r="L1427" s="36" t="s">
        <v>6283</v>
      </c>
      <c r="M1427" s="36">
        <v>3</v>
      </c>
      <c r="N1427" s="43" t="s">
        <v>6779</v>
      </c>
      <c r="O1427" s="1409"/>
      <c r="P1427" s="1393"/>
      <c r="Q1427" s="1396"/>
    </row>
    <row r="1428" spans="1:17" ht="11.1" customHeight="1">
      <c r="A1428" s="31" t="s">
        <v>9033</v>
      </c>
      <c r="B1428" s="187" t="s">
        <v>8615</v>
      </c>
      <c r="C1428" s="187">
        <v>1</v>
      </c>
      <c r="D1428" s="36" t="s">
        <v>8951</v>
      </c>
      <c r="E1428" s="195" t="s">
        <v>6251</v>
      </c>
      <c r="F1428" s="36" t="s">
        <v>6847</v>
      </c>
      <c r="G1428" s="36">
        <v>45</v>
      </c>
      <c r="H1428" s="36" t="s">
        <v>0</v>
      </c>
      <c r="I1428" s="36" t="s">
        <v>8586</v>
      </c>
      <c r="J1428" s="36" t="s">
        <v>6253</v>
      </c>
      <c r="K1428" s="36" t="s">
        <v>6053</v>
      </c>
      <c r="L1428" s="36" t="s">
        <v>6036</v>
      </c>
      <c r="M1428" s="36"/>
      <c r="N1428" s="43" t="s">
        <v>6779</v>
      </c>
      <c r="O1428" s="1409"/>
      <c r="P1428" s="1393"/>
      <c r="Q1428" s="1396"/>
    </row>
    <row r="1429" spans="1:17" ht="11.1" customHeight="1">
      <c r="A1429" s="31" t="s">
        <v>9034</v>
      </c>
      <c r="B1429" s="187" t="s">
        <v>8615</v>
      </c>
      <c r="C1429" s="187">
        <v>1</v>
      </c>
      <c r="D1429" s="36" t="s">
        <v>8935</v>
      </c>
      <c r="E1429" s="195" t="s">
        <v>6251</v>
      </c>
      <c r="F1429" s="36" t="s">
        <v>6855</v>
      </c>
      <c r="G1429" s="36">
        <v>46</v>
      </c>
      <c r="H1429" s="36" t="s">
        <v>0</v>
      </c>
      <c r="I1429" s="36" t="s">
        <v>8586</v>
      </c>
      <c r="J1429" s="36" t="s">
        <v>6253</v>
      </c>
      <c r="K1429" s="36" t="s">
        <v>6053</v>
      </c>
      <c r="L1429" s="36" t="s">
        <v>6036</v>
      </c>
      <c r="M1429" s="36"/>
      <c r="N1429" s="43" t="s">
        <v>6213</v>
      </c>
      <c r="O1429" s="1409"/>
      <c r="P1429" s="1393"/>
      <c r="Q1429" s="1396"/>
    </row>
    <row r="1430" spans="1:17" ht="11.1" customHeight="1">
      <c r="A1430" s="31" t="s">
        <v>9035</v>
      </c>
      <c r="B1430" s="187" t="s">
        <v>8615</v>
      </c>
      <c r="C1430" s="187">
        <v>1</v>
      </c>
      <c r="D1430" s="36" t="s">
        <v>8961</v>
      </c>
      <c r="E1430" s="195" t="s">
        <v>6251</v>
      </c>
      <c r="F1430" s="36" t="s">
        <v>6873</v>
      </c>
      <c r="G1430" s="36">
        <v>63</v>
      </c>
      <c r="H1430" s="36" t="s">
        <v>0</v>
      </c>
      <c r="I1430" s="36" t="s">
        <v>8586</v>
      </c>
      <c r="J1430" s="36" t="s">
        <v>6253</v>
      </c>
      <c r="K1430" s="36" t="s">
        <v>6053</v>
      </c>
      <c r="L1430" s="36" t="s">
        <v>6283</v>
      </c>
      <c r="M1430" s="36">
        <v>1</v>
      </c>
      <c r="N1430" s="43" t="s">
        <v>6779</v>
      </c>
      <c r="O1430" s="1409"/>
      <c r="P1430" s="1393"/>
      <c r="Q1430" s="1396"/>
    </row>
    <row r="1431" spans="1:17" ht="11.1" customHeight="1">
      <c r="A1431" s="31" t="s">
        <v>9036</v>
      </c>
      <c r="B1431" s="187" t="s">
        <v>8615</v>
      </c>
      <c r="C1431" s="187">
        <v>1</v>
      </c>
      <c r="D1431" s="36" t="s">
        <v>8937</v>
      </c>
      <c r="E1431" s="195" t="s">
        <v>6251</v>
      </c>
      <c r="F1431" s="36" t="s">
        <v>6881</v>
      </c>
      <c r="G1431" s="36">
        <v>48</v>
      </c>
      <c r="H1431" s="36" t="s">
        <v>6049</v>
      </c>
      <c r="I1431" s="36" t="s">
        <v>8586</v>
      </c>
      <c r="J1431" s="36" t="s">
        <v>6253</v>
      </c>
      <c r="K1431" s="36" t="s">
        <v>6053</v>
      </c>
      <c r="L1431" s="36" t="s">
        <v>6036</v>
      </c>
      <c r="M1431" s="36"/>
      <c r="N1431" s="43" t="s">
        <v>6779</v>
      </c>
      <c r="O1431" s="1409"/>
      <c r="P1431" s="1393"/>
      <c r="Q1431" s="1396"/>
    </row>
    <row r="1432" spans="1:17" ht="11.1" customHeight="1">
      <c r="A1432" s="31" t="s">
        <v>9037</v>
      </c>
      <c r="B1432" s="187" t="s">
        <v>8615</v>
      </c>
      <c r="C1432" s="187">
        <v>1</v>
      </c>
      <c r="D1432" s="36" t="s">
        <v>8955</v>
      </c>
      <c r="E1432" s="195" t="s">
        <v>6251</v>
      </c>
      <c r="F1432" s="36" t="s">
        <v>6895</v>
      </c>
      <c r="G1432" s="36">
        <v>44</v>
      </c>
      <c r="H1432" s="36" t="s">
        <v>6049</v>
      </c>
      <c r="I1432" s="36" t="s">
        <v>8586</v>
      </c>
      <c r="J1432" s="36" t="s">
        <v>6253</v>
      </c>
      <c r="K1432" s="36" t="s">
        <v>6053</v>
      </c>
      <c r="L1432" s="36" t="s">
        <v>6036</v>
      </c>
      <c r="M1432" s="36"/>
      <c r="N1432" s="43" t="s">
        <v>6779</v>
      </c>
      <c r="O1432" s="1409"/>
      <c r="P1432" s="1393"/>
      <c r="Q1432" s="1396"/>
    </row>
    <row r="1433" spans="1:17" ht="11.1" customHeight="1">
      <c r="A1433" s="31" t="s">
        <v>9038</v>
      </c>
      <c r="B1433" s="187" t="s">
        <v>8615</v>
      </c>
      <c r="C1433" s="187">
        <v>1</v>
      </c>
      <c r="D1433" s="36" t="s">
        <v>8953</v>
      </c>
      <c r="E1433" s="195" t="s">
        <v>6251</v>
      </c>
      <c r="F1433" s="36" t="s">
        <v>6907</v>
      </c>
      <c r="G1433" s="36">
        <v>42</v>
      </c>
      <c r="H1433" s="36" t="s">
        <v>0</v>
      </c>
      <c r="I1433" s="36" t="s">
        <v>8586</v>
      </c>
      <c r="J1433" s="36" t="s">
        <v>6253</v>
      </c>
      <c r="K1433" s="36" t="s">
        <v>6053</v>
      </c>
      <c r="L1433" s="36" t="s">
        <v>6036</v>
      </c>
      <c r="M1433" s="36"/>
      <c r="N1433" s="43" t="s">
        <v>6213</v>
      </c>
      <c r="O1433" s="1409"/>
      <c r="P1433" s="1393"/>
      <c r="Q1433" s="1396"/>
    </row>
    <row r="1434" spans="1:17" ht="11.1" customHeight="1">
      <c r="A1434" s="31" t="s">
        <v>9039</v>
      </c>
      <c r="B1434" s="187" t="s">
        <v>8615</v>
      </c>
      <c r="C1434" s="187">
        <v>1</v>
      </c>
      <c r="D1434" s="36" t="s">
        <v>8949</v>
      </c>
      <c r="E1434" s="195" t="s">
        <v>6251</v>
      </c>
      <c r="F1434" s="36" t="s">
        <v>6917</v>
      </c>
      <c r="G1434" s="36">
        <v>71</v>
      </c>
      <c r="H1434" s="36" t="s">
        <v>0</v>
      </c>
      <c r="I1434" s="36" t="s">
        <v>8586</v>
      </c>
      <c r="J1434" s="36" t="s">
        <v>6253</v>
      </c>
      <c r="K1434" s="36" t="s">
        <v>6918</v>
      </c>
      <c r="L1434" s="36" t="s">
        <v>6283</v>
      </c>
      <c r="M1434" s="36">
        <v>5</v>
      </c>
      <c r="N1434" s="43" t="s">
        <v>6779</v>
      </c>
      <c r="O1434" s="1409"/>
      <c r="P1434" s="1393"/>
      <c r="Q1434" s="1396"/>
    </row>
    <row r="1435" spans="1:17" ht="11.1" customHeight="1">
      <c r="A1435" s="31" t="s">
        <v>9040</v>
      </c>
      <c r="B1435" s="187" t="s">
        <v>8615</v>
      </c>
      <c r="C1435" s="187">
        <v>1</v>
      </c>
      <c r="D1435" s="36" t="s">
        <v>9041</v>
      </c>
      <c r="E1435" s="195" t="s">
        <v>6251</v>
      </c>
      <c r="F1435" s="36" t="s">
        <v>6926</v>
      </c>
      <c r="G1435" s="36">
        <v>68</v>
      </c>
      <c r="H1435" s="36" t="s">
        <v>0</v>
      </c>
      <c r="I1435" s="36" t="s">
        <v>8586</v>
      </c>
      <c r="J1435" s="36" t="s">
        <v>6253</v>
      </c>
      <c r="K1435" s="36" t="s">
        <v>6254</v>
      </c>
      <c r="L1435" s="36" t="s">
        <v>6209</v>
      </c>
      <c r="M1435" s="36">
        <v>5</v>
      </c>
      <c r="N1435" s="43" t="s">
        <v>6779</v>
      </c>
      <c r="O1435" s="1409"/>
      <c r="P1435" s="1393"/>
      <c r="Q1435" s="1396"/>
    </row>
    <row r="1436" spans="1:17" ht="11.1" customHeight="1">
      <c r="A1436" s="31" t="s">
        <v>9042</v>
      </c>
      <c r="B1436" s="187" t="s">
        <v>8615</v>
      </c>
      <c r="C1436" s="187">
        <v>1</v>
      </c>
      <c r="D1436" s="36" t="s">
        <v>8957</v>
      </c>
      <c r="E1436" s="195" t="s">
        <v>6251</v>
      </c>
      <c r="F1436" s="36" t="s">
        <v>6936</v>
      </c>
      <c r="G1436" s="36">
        <v>64</v>
      </c>
      <c r="H1436" s="36" t="s">
        <v>0</v>
      </c>
      <c r="I1436" s="36" t="s">
        <v>8586</v>
      </c>
      <c r="J1436" s="36" t="s">
        <v>6253</v>
      </c>
      <c r="K1436" s="36" t="s">
        <v>6053</v>
      </c>
      <c r="L1436" s="36" t="s">
        <v>6283</v>
      </c>
      <c r="M1436" s="36">
        <v>2</v>
      </c>
      <c r="N1436" s="43" t="s">
        <v>6779</v>
      </c>
      <c r="O1436" s="1409"/>
      <c r="P1436" s="1393"/>
      <c r="Q1436" s="1396"/>
    </row>
    <row r="1437" spans="1:17" ht="11.1" customHeight="1">
      <c r="A1437" s="31" t="s">
        <v>9043</v>
      </c>
      <c r="B1437" s="187" t="s">
        <v>8615</v>
      </c>
      <c r="C1437" s="187">
        <v>1</v>
      </c>
      <c r="D1437" s="36" t="s">
        <v>8985</v>
      </c>
      <c r="E1437" s="195" t="s">
        <v>6251</v>
      </c>
      <c r="F1437" s="36" t="s">
        <v>6950</v>
      </c>
      <c r="G1437" s="36">
        <v>44</v>
      </c>
      <c r="H1437" s="36" t="s">
        <v>0</v>
      </c>
      <c r="I1437" s="36" t="s">
        <v>8586</v>
      </c>
      <c r="J1437" s="36" t="s">
        <v>6253</v>
      </c>
      <c r="K1437" s="36" t="s">
        <v>6053</v>
      </c>
      <c r="L1437" s="36" t="s">
        <v>6209</v>
      </c>
      <c r="M1437" s="36">
        <v>2</v>
      </c>
      <c r="N1437" s="43" t="s">
        <v>6213</v>
      </c>
      <c r="O1437" s="1409"/>
      <c r="P1437" s="1393"/>
      <c r="Q1437" s="1396"/>
    </row>
    <row r="1438" spans="1:17" ht="11.1" customHeight="1">
      <c r="A1438" s="31" t="s">
        <v>9044</v>
      </c>
      <c r="B1438" s="187" t="s">
        <v>8615</v>
      </c>
      <c r="C1438" s="187">
        <v>1</v>
      </c>
      <c r="D1438" s="36" t="s">
        <v>8941</v>
      </c>
      <c r="E1438" s="195" t="s">
        <v>6251</v>
      </c>
      <c r="F1438" s="36" t="s">
        <v>6960</v>
      </c>
      <c r="G1438" s="36">
        <v>62</v>
      </c>
      <c r="H1438" s="36" t="s">
        <v>0</v>
      </c>
      <c r="I1438" s="36" t="s">
        <v>8586</v>
      </c>
      <c r="J1438" s="36" t="s">
        <v>6253</v>
      </c>
      <c r="K1438" s="36" t="s">
        <v>6918</v>
      </c>
      <c r="L1438" s="36" t="s">
        <v>6283</v>
      </c>
      <c r="M1438" s="36">
        <v>3</v>
      </c>
      <c r="N1438" s="43" t="s">
        <v>6213</v>
      </c>
      <c r="O1438" s="1409"/>
      <c r="P1438" s="1393"/>
      <c r="Q1438" s="1396"/>
    </row>
    <row r="1439" spans="1:17" ht="11.1" customHeight="1">
      <c r="A1439" s="31" t="s">
        <v>9045</v>
      </c>
      <c r="B1439" s="187" t="s">
        <v>8615</v>
      </c>
      <c r="C1439" s="187">
        <v>1</v>
      </c>
      <c r="D1439" s="36" t="s">
        <v>8973</v>
      </c>
      <c r="E1439" s="195" t="s">
        <v>6251</v>
      </c>
      <c r="F1439" s="36" t="s">
        <v>6978</v>
      </c>
      <c r="G1439" s="36">
        <v>44</v>
      </c>
      <c r="H1439" s="36" t="s">
        <v>0</v>
      </c>
      <c r="I1439" s="36" t="s">
        <v>8586</v>
      </c>
      <c r="J1439" s="36" t="s">
        <v>6253</v>
      </c>
      <c r="K1439" s="36" t="s">
        <v>6035</v>
      </c>
      <c r="L1439" s="36" t="s">
        <v>6283</v>
      </c>
      <c r="M1439" s="36">
        <v>2</v>
      </c>
      <c r="N1439" s="43"/>
      <c r="O1439" s="1409"/>
      <c r="P1439" s="1393"/>
      <c r="Q1439" s="1396"/>
    </row>
    <row r="1440" spans="1:17" ht="11.1" customHeight="1">
      <c r="A1440" s="31" t="s">
        <v>9046</v>
      </c>
      <c r="B1440" s="187" t="s">
        <v>8615</v>
      </c>
      <c r="C1440" s="187">
        <v>1</v>
      </c>
      <c r="D1440" s="36" t="s">
        <v>8933</v>
      </c>
      <c r="E1440" s="195" t="s">
        <v>6251</v>
      </c>
      <c r="F1440" s="36" t="s">
        <v>6988</v>
      </c>
      <c r="G1440" s="36">
        <v>40</v>
      </c>
      <c r="H1440" s="36" t="s">
        <v>0</v>
      </c>
      <c r="I1440" s="36" t="s">
        <v>8586</v>
      </c>
      <c r="J1440" s="36" t="s">
        <v>6253</v>
      </c>
      <c r="K1440" s="36" t="s">
        <v>6053</v>
      </c>
      <c r="L1440" s="36" t="s">
        <v>6036</v>
      </c>
      <c r="M1440" s="36"/>
      <c r="N1440" s="43" t="s">
        <v>6213</v>
      </c>
      <c r="O1440" s="1409"/>
      <c r="P1440" s="1393"/>
      <c r="Q1440" s="1396"/>
    </row>
    <row r="1441" spans="1:17" ht="11.1" customHeight="1">
      <c r="A1441" s="31" t="s">
        <v>9047</v>
      </c>
      <c r="B1441" s="187" t="s">
        <v>8615</v>
      </c>
      <c r="C1441" s="187">
        <v>1</v>
      </c>
      <c r="D1441" s="36" t="s">
        <v>8969</v>
      </c>
      <c r="E1441" s="195" t="s">
        <v>6251</v>
      </c>
      <c r="F1441" s="36" t="s">
        <v>6996</v>
      </c>
      <c r="G1441" s="36">
        <v>39</v>
      </c>
      <c r="H1441" s="36" t="s">
        <v>0</v>
      </c>
      <c r="I1441" s="36" t="s">
        <v>8586</v>
      </c>
      <c r="J1441" s="36" t="s">
        <v>6253</v>
      </c>
      <c r="K1441" s="36" t="s">
        <v>6053</v>
      </c>
      <c r="L1441" s="36" t="s">
        <v>6036</v>
      </c>
      <c r="M1441" s="36"/>
      <c r="N1441" s="43" t="s">
        <v>6213</v>
      </c>
      <c r="O1441" s="1409"/>
      <c r="P1441" s="1393"/>
      <c r="Q1441" s="1396"/>
    </row>
    <row r="1442" spans="1:17" ht="11.1" customHeight="1">
      <c r="A1442" s="31" t="s">
        <v>9048</v>
      </c>
      <c r="B1442" s="187" t="s">
        <v>8615</v>
      </c>
      <c r="C1442" s="187">
        <v>1</v>
      </c>
      <c r="D1442" s="36" t="s">
        <v>8963</v>
      </c>
      <c r="E1442" s="195" t="s">
        <v>6251</v>
      </c>
      <c r="F1442" s="36" t="s">
        <v>7014</v>
      </c>
      <c r="G1442" s="36">
        <v>40</v>
      </c>
      <c r="H1442" s="36" t="s">
        <v>0</v>
      </c>
      <c r="I1442" s="36" t="s">
        <v>8586</v>
      </c>
      <c r="J1442" s="36" t="s">
        <v>6253</v>
      </c>
      <c r="K1442" s="36" t="s">
        <v>6053</v>
      </c>
      <c r="L1442" s="36" t="s">
        <v>6036</v>
      </c>
      <c r="M1442" s="36"/>
      <c r="N1442" s="43" t="s">
        <v>6213</v>
      </c>
      <c r="O1442" s="1409"/>
      <c r="P1442" s="1393"/>
      <c r="Q1442" s="1396"/>
    </row>
    <row r="1443" spans="1:17" ht="11.1" customHeight="1">
      <c r="A1443" s="31" t="s">
        <v>9049</v>
      </c>
      <c r="B1443" s="187" t="s">
        <v>8615</v>
      </c>
      <c r="C1443" s="187">
        <v>1</v>
      </c>
      <c r="D1443" s="36" t="s">
        <v>8945</v>
      </c>
      <c r="E1443" s="195" t="s">
        <v>6251</v>
      </c>
      <c r="F1443" s="36" t="s">
        <v>7020</v>
      </c>
      <c r="G1443" s="36">
        <v>34</v>
      </c>
      <c r="H1443" s="36" t="s">
        <v>0</v>
      </c>
      <c r="I1443" s="36" t="s">
        <v>8586</v>
      </c>
      <c r="J1443" s="36" t="s">
        <v>6253</v>
      </c>
      <c r="K1443" s="36" t="s">
        <v>6053</v>
      </c>
      <c r="L1443" s="36" t="s">
        <v>6036</v>
      </c>
      <c r="M1443" s="36"/>
      <c r="N1443" s="43" t="s">
        <v>6213</v>
      </c>
      <c r="O1443" s="1409"/>
      <c r="P1443" s="1393"/>
      <c r="Q1443" s="1396"/>
    </row>
    <row r="1444" spans="1:17" ht="11.1" customHeight="1">
      <c r="A1444" s="31" t="s">
        <v>9050</v>
      </c>
      <c r="B1444" s="187" t="s">
        <v>8615</v>
      </c>
      <c r="C1444" s="187">
        <v>1</v>
      </c>
      <c r="D1444" s="36" t="s">
        <v>8947</v>
      </c>
      <c r="E1444" s="195" t="s">
        <v>6251</v>
      </c>
      <c r="F1444" s="36" t="s">
        <v>7029</v>
      </c>
      <c r="G1444" s="36">
        <v>43</v>
      </c>
      <c r="H1444" s="36" t="s">
        <v>0</v>
      </c>
      <c r="I1444" s="36" t="s">
        <v>8586</v>
      </c>
      <c r="J1444" s="36" t="s">
        <v>6253</v>
      </c>
      <c r="K1444" s="36" t="s">
        <v>6035</v>
      </c>
      <c r="L1444" s="36" t="s">
        <v>6283</v>
      </c>
      <c r="M1444" s="36">
        <v>2</v>
      </c>
      <c r="N1444" s="43" t="s">
        <v>6213</v>
      </c>
      <c r="O1444" s="1409"/>
      <c r="P1444" s="1393"/>
      <c r="Q1444" s="1396"/>
    </row>
    <row r="1445" spans="1:17" ht="11.1" customHeight="1">
      <c r="A1445" s="31" t="s">
        <v>9051</v>
      </c>
      <c r="B1445" s="187" t="s">
        <v>8615</v>
      </c>
      <c r="C1445" s="187">
        <v>1</v>
      </c>
      <c r="D1445" s="36" t="s">
        <v>9052</v>
      </c>
      <c r="E1445" s="195" t="s">
        <v>6251</v>
      </c>
      <c r="F1445" s="36" t="s">
        <v>7039</v>
      </c>
      <c r="G1445" s="36">
        <v>55</v>
      </c>
      <c r="H1445" s="36" t="s">
        <v>0</v>
      </c>
      <c r="I1445" s="36" t="s">
        <v>8586</v>
      </c>
      <c r="J1445" s="36" t="s">
        <v>6253</v>
      </c>
      <c r="K1445" s="36" t="s">
        <v>24</v>
      </c>
      <c r="L1445" s="36" t="s">
        <v>6209</v>
      </c>
      <c r="M1445" s="36">
        <v>5</v>
      </c>
      <c r="N1445" s="43" t="s">
        <v>6213</v>
      </c>
      <c r="O1445" s="1409"/>
      <c r="P1445" s="1393"/>
      <c r="Q1445" s="1396"/>
    </row>
    <row r="1446" spans="1:17" ht="11.1" customHeight="1">
      <c r="A1446" s="31" t="s">
        <v>9053</v>
      </c>
      <c r="B1446" s="187" t="s">
        <v>8615</v>
      </c>
      <c r="C1446" s="187">
        <v>1</v>
      </c>
      <c r="D1446" s="36" t="s">
        <v>9054</v>
      </c>
      <c r="E1446" s="195" t="s">
        <v>6251</v>
      </c>
      <c r="F1446" s="36" t="s">
        <v>7047</v>
      </c>
      <c r="G1446" s="36">
        <v>38</v>
      </c>
      <c r="H1446" s="36" t="s">
        <v>0</v>
      </c>
      <c r="I1446" s="36" t="s">
        <v>8586</v>
      </c>
      <c r="J1446" s="36" t="s">
        <v>6253</v>
      </c>
      <c r="K1446" s="36" t="s">
        <v>6053</v>
      </c>
      <c r="L1446" s="36" t="s">
        <v>6036</v>
      </c>
      <c r="M1446" s="36"/>
      <c r="N1446" s="43"/>
      <c r="O1446" s="1409"/>
      <c r="P1446" s="1393"/>
      <c r="Q1446" s="1396"/>
    </row>
    <row r="1447" spans="1:17" ht="11.1" customHeight="1">
      <c r="A1447" s="44" t="s">
        <v>9055</v>
      </c>
      <c r="B1447" s="190" t="s">
        <v>8615</v>
      </c>
      <c r="C1447" s="190">
        <v>1</v>
      </c>
      <c r="D1447" s="141" t="s">
        <v>9056</v>
      </c>
      <c r="E1447" s="195" t="s">
        <v>6251</v>
      </c>
      <c r="F1447" s="141" t="s">
        <v>7055</v>
      </c>
      <c r="G1447" s="141">
        <v>52</v>
      </c>
      <c r="H1447" s="141" t="s">
        <v>0</v>
      </c>
      <c r="I1447" s="141" t="s">
        <v>8586</v>
      </c>
      <c r="J1447" s="141" t="s">
        <v>6253</v>
      </c>
      <c r="K1447" s="141" t="s">
        <v>6207</v>
      </c>
      <c r="L1447" s="141" t="s">
        <v>6209</v>
      </c>
      <c r="M1447" s="141">
        <v>2</v>
      </c>
      <c r="N1447" s="50" t="s">
        <v>6213</v>
      </c>
      <c r="O1447" s="1410"/>
      <c r="P1447" s="1394"/>
      <c r="Q1447" s="1397"/>
    </row>
    <row r="1448" spans="1:17" ht="11.1" customHeight="1">
      <c r="A1448" s="51" t="s">
        <v>9057</v>
      </c>
      <c r="B1448" s="197" t="s">
        <v>6217</v>
      </c>
      <c r="C1448" s="197">
        <v>1</v>
      </c>
      <c r="D1448" s="198" t="s">
        <v>8608</v>
      </c>
      <c r="E1448" s="199" t="s">
        <v>6262</v>
      </c>
      <c r="F1448" s="198" t="s">
        <v>9058</v>
      </c>
      <c r="G1448" s="198">
        <v>55</v>
      </c>
      <c r="H1448" s="198" t="s">
        <v>0</v>
      </c>
      <c r="I1448" s="198"/>
      <c r="J1448" s="198" t="s">
        <v>6929</v>
      </c>
      <c r="K1448" s="198"/>
      <c r="L1448" s="198" t="s">
        <v>6209</v>
      </c>
      <c r="M1448" s="198">
        <v>4</v>
      </c>
      <c r="N1448" s="200"/>
      <c r="O1448" s="1411">
        <v>2</v>
      </c>
      <c r="P1448" s="1392">
        <v>862427</v>
      </c>
      <c r="Q1448" s="1395" t="e">
        <f>P1448/SUM($P$214:$P$321)</f>
        <v>#DIV/0!</v>
      </c>
    </row>
    <row r="1449" spans="1:17" ht="11.1" customHeight="1">
      <c r="A1449" s="31" t="s">
        <v>9059</v>
      </c>
      <c r="B1449" s="231" t="s">
        <v>6217</v>
      </c>
      <c r="C1449" s="231">
        <v>2</v>
      </c>
      <c r="D1449" s="232" t="s">
        <v>8608</v>
      </c>
      <c r="E1449" s="233" t="s">
        <v>6262</v>
      </c>
      <c r="F1449" s="232" t="s">
        <v>9060</v>
      </c>
      <c r="G1449" s="232">
        <v>53</v>
      </c>
      <c r="H1449" s="232" t="s">
        <v>6049</v>
      </c>
      <c r="I1449" s="232"/>
      <c r="J1449" s="232" t="s">
        <v>6929</v>
      </c>
      <c r="K1449" s="232"/>
      <c r="L1449" s="232" t="s">
        <v>6209</v>
      </c>
      <c r="M1449" s="232">
        <v>2</v>
      </c>
      <c r="N1449" s="234"/>
      <c r="O1449" s="1412"/>
      <c r="P1449" s="1393"/>
      <c r="Q1449" s="1396"/>
    </row>
    <row r="1450" spans="1:17" ht="11.1" customHeight="1">
      <c r="A1450" s="31" t="s">
        <v>9061</v>
      </c>
      <c r="B1450" s="187"/>
      <c r="C1450" s="187">
        <v>3</v>
      </c>
      <c r="D1450" s="42" t="s">
        <v>8608</v>
      </c>
      <c r="E1450" s="188" t="s">
        <v>6262</v>
      </c>
      <c r="F1450" s="42" t="s">
        <v>9062</v>
      </c>
      <c r="G1450" s="42">
        <v>47</v>
      </c>
      <c r="H1450" s="42" t="s">
        <v>0</v>
      </c>
      <c r="I1450" s="42"/>
      <c r="J1450" s="42" t="s">
        <v>6929</v>
      </c>
      <c r="K1450" s="42"/>
      <c r="L1450" s="42" t="s">
        <v>6209</v>
      </c>
      <c r="M1450" s="42">
        <v>1</v>
      </c>
      <c r="N1450" s="207"/>
      <c r="O1450" s="1412"/>
      <c r="P1450" s="1393"/>
      <c r="Q1450" s="1396"/>
    </row>
    <row r="1451" spans="1:17" ht="11.1" customHeight="1">
      <c r="A1451" s="31" t="s">
        <v>9063</v>
      </c>
      <c r="B1451" s="187"/>
      <c r="C1451" s="187">
        <v>4</v>
      </c>
      <c r="D1451" s="42" t="s">
        <v>8608</v>
      </c>
      <c r="E1451" s="188" t="s">
        <v>6262</v>
      </c>
      <c r="F1451" s="42" t="s">
        <v>9064</v>
      </c>
      <c r="G1451" s="42">
        <v>48</v>
      </c>
      <c r="H1451" s="42" t="s">
        <v>0</v>
      </c>
      <c r="I1451" s="42"/>
      <c r="J1451" s="42" t="s">
        <v>6929</v>
      </c>
      <c r="K1451" s="42"/>
      <c r="L1451" s="42" t="s">
        <v>6036</v>
      </c>
      <c r="M1451" s="42"/>
      <c r="N1451" s="207"/>
      <c r="O1451" s="1412"/>
      <c r="P1451" s="1393"/>
      <c r="Q1451" s="1396"/>
    </row>
    <row r="1452" spans="1:17" ht="11.1" customHeight="1">
      <c r="A1452" s="44" t="s">
        <v>9065</v>
      </c>
      <c r="B1452" s="190"/>
      <c r="C1452" s="190">
        <v>5</v>
      </c>
      <c r="D1452" s="49" t="s">
        <v>8608</v>
      </c>
      <c r="E1452" s="201" t="s">
        <v>6262</v>
      </c>
      <c r="F1452" s="49" t="s">
        <v>9066</v>
      </c>
      <c r="G1452" s="49">
        <v>50</v>
      </c>
      <c r="H1452" s="49" t="s">
        <v>0</v>
      </c>
      <c r="I1452" s="49"/>
      <c r="J1452" s="49" t="s">
        <v>6929</v>
      </c>
      <c r="K1452" s="49"/>
      <c r="L1452" s="49" t="s">
        <v>6036</v>
      </c>
      <c r="M1452" s="49"/>
      <c r="N1452" s="202"/>
      <c r="O1452" s="1413"/>
      <c r="P1452" s="1394"/>
      <c r="Q1452" s="1397"/>
    </row>
    <row r="1453" spans="1:17" ht="11.1" customHeight="1">
      <c r="A1453" s="51" t="s">
        <v>9067</v>
      </c>
      <c r="B1453" s="224" t="s">
        <v>6217</v>
      </c>
      <c r="C1453" s="224">
        <v>1</v>
      </c>
      <c r="D1453" s="225" t="s">
        <v>8608</v>
      </c>
      <c r="E1453" s="226" t="s">
        <v>6262</v>
      </c>
      <c r="F1453" s="225" t="s">
        <v>9068</v>
      </c>
      <c r="G1453" s="225">
        <v>55</v>
      </c>
      <c r="H1453" s="225" t="s">
        <v>0</v>
      </c>
      <c r="I1453" s="225"/>
      <c r="J1453" s="225" t="s">
        <v>6264</v>
      </c>
      <c r="K1453" s="225"/>
      <c r="L1453" s="225" t="s">
        <v>6209</v>
      </c>
      <c r="M1453" s="225">
        <v>5</v>
      </c>
      <c r="N1453" s="235"/>
      <c r="O1453" s="1402">
        <v>1</v>
      </c>
      <c r="P1453" s="1392">
        <v>601299</v>
      </c>
      <c r="Q1453" s="1395" t="e">
        <f>P1453/SUM($P$214:$P$321)</f>
        <v>#DIV/0!</v>
      </c>
    </row>
    <row r="1454" spans="1:17" ht="11.1" customHeight="1">
      <c r="A1454" s="31" t="s">
        <v>9069</v>
      </c>
      <c r="B1454" s="187"/>
      <c r="C1454" s="187">
        <v>2</v>
      </c>
      <c r="D1454" s="42" t="s">
        <v>8608</v>
      </c>
      <c r="E1454" s="188" t="s">
        <v>6262</v>
      </c>
      <c r="F1454" s="189" t="s">
        <v>9070</v>
      </c>
      <c r="G1454" s="42">
        <v>52</v>
      </c>
      <c r="H1454" s="42" t="s">
        <v>6049</v>
      </c>
      <c r="I1454" s="42"/>
      <c r="J1454" s="42" t="s">
        <v>6264</v>
      </c>
      <c r="K1454" s="42"/>
      <c r="L1454" s="42" t="s">
        <v>6036</v>
      </c>
      <c r="M1454" s="42"/>
      <c r="N1454" s="207"/>
      <c r="O1454" s="1403"/>
      <c r="P1454" s="1393"/>
      <c r="Q1454" s="1396"/>
    </row>
    <row r="1455" spans="1:17" ht="11.1" customHeight="1">
      <c r="A1455" s="31" t="s">
        <v>9071</v>
      </c>
      <c r="B1455" s="187"/>
      <c r="C1455" s="187">
        <v>3</v>
      </c>
      <c r="D1455" s="42" t="s">
        <v>8941</v>
      </c>
      <c r="E1455" s="188">
        <v>21.67</v>
      </c>
      <c r="F1455" s="42" t="s">
        <v>6964</v>
      </c>
      <c r="G1455" s="42">
        <v>62</v>
      </c>
      <c r="H1455" s="42" t="s">
        <v>0</v>
      </c>
      <c r="I1455" s="42" t="s">
        <v>8586</v>
      </c>
      <c r="J1455" s="42" t="s">
        <v>6264</v>
      </c>
      <c r="K1455" s="42"/>
      <c r="L1455" s="42" t="s">
        <v>6036</v>
      </c>
      <c r="M1455" s="42"/>
      <c r="N1455" s="207"/>
      <c r="O1455" s="1403"/>
      <c r="P1455" s="1393"/>
      <c r="Q1455" s="1396"/>
    </row>
    <row r="1456" spans="1:17" ht="11.1" customHeight="1">
      <c r="A1456" s="31" t="s">
        <v>9072</v>
      </c>
      <c r="B1456" s="187" t="s">
        <v>6231</v>
      </c>
      <c r="C1456" s="187">
        <v>3</v>
      </c>
      <c r="D1456" s="42" t="s">
        <v>9041</v>
      </c>
      <c r="E1456" s="188">
        <v>16.989999999999998</v>
      </c>
      <c r="F1456" s="42" t="s">
        <v>6932</v>
      </c>
      <c r="G1456" s="42">
        <v>53</v>
      </c>
      <c r="H1456" s="42" t="s">
        <v>6049</v>
      </c>
      <c r="I1456" s="42" t="s">
        <v>8586</v>
      </c>
      <c r="J1456" s="42" t="s">
        <v>6264</v>
      </c>
      <c r="K1456" s="42"/>
      <c r="L1456" s="42" t="s">
        <v>6036</v>
      </c>
      <c r="M1456" s="42"/>
      <c r="N1456" s="207"/>
      <c r="O1456" s="1403"/>
      <c r="P1456" s="1393"/>
      <c r="Q1456" s="1396"/>
    </row>
    <row r="1457" spans="1:17" ht="11.1" customHeight="1">
      <c r="A1457" s="31" t="s">
        <v>9073</v>
      </c>
      <c r="B1457" s="187" t="s">
        <v>6231</v>
      </c>
      <c r="C1457" s="187">
        <v>3</v>
      </c>
      <c r="D1457" s="42" t="s">
        <v>8955</v>
      </c>
      <c r="E1457" s="188">
        <v>15.43</v>
      </c>
      <c r="F1457" s="42" t="s">
        <v>6901</v>
      </c>
      <c r="G1457" s="42">
        <v>37</v>
      </c>
      <c r="H1457" s="42" t="s">
        <v>0</v>
      </c>
      <c r="I1457" s="42" t="s">
        <v>8586</v>
      </c>
      <c r="J1457" s="42" t="s">
        <v>6264</v>
      </c>
      <c r="K1457" s="42"/>
      <c r="L1457" s="42" t="s">
        <v>6036</v>
      </c>
      <c r="M1457" s="42"/>
      <c r="N1457" s="207"/>
      <c r="O1457" s="1403"/>
      <c r="P1457" s="1393"/>
      <c r="Q1457" s="1396"/>
    </row>
    <row r="1458" spans="1:17" ht="11.1" customHeight="1">
      <c r="A1458" s="31" t="s">
        <v>9074</v>
      </c>
      <c r="B1458" s="187" t="s">
        <v>6231</v>
      </c>
      <c r="C1458" s="187">
        <v>3</v>
      </c>
      <c r="D1458" s="42" t="s">
        <v>8947</v>
      </c>
      <c r="E1458" s="188">
        <v>14.36</v>
      </c>
      <c r="F1458" s="42" t="s">
        <v>7033</v>
      </c>
      <c r="G1458" s="42">
        <v>50</v>
      </c>
      <c r="H1458" s="42" t="s">
        <v>0</v>
      </c>
      <c r="I1458" s="42" t="s">
        <v>8586</v>
      </c>
      <c r="J1458" s="42" t="s">
        <v>6264</v>
      </c>
      <c r="K1458" s="42"/>
      <c r="L1458" s="42" t="s">
        <v>6036</v>
      </c>
      <c r="M1458" s="42"/>
      <c r="N1458" s="207"/>
      <c r="O1458" s="1403"/>
      <c r="P1458" s="1393"/>
      <c r="Q1458" s="1396"/>
    </row>
    <row r="1459" spans="1:17" ht="11.1" customHeight="1">
      <c r="A1459" s="31" t="s">
        <v>9075</v>
      </c>
      <c r="B1459" s="187" t="s">
        <v>6231</v>
      </c>
      <c r="C1459" s="187">
        <v>3</v>
      </c>
      <c r="D1459" s="42" t="s">
        <v>8975</v>
      </c>
      <c r="E1459" s="188">
        <v>14.34</v>
      </c>
      <c r="F1459" s="42" t="s">
        <v>6791</v>
      </c>
      <c r="G1459" s="42">
        <v>48</v>
      </c>
      <c r="H1459" s="42" t="s">
        <v>0</v>
      </c>
      <c r="I1459" s="42" t="s">
        <v>8586</v>
      </c>
      <c r="J1459" s="42" t="s">
        <v>6264</v>
      </c>
      <c r="K1459" s="42"/>
      <c r="L1459" s="42" t="s">
        <v>6036</v>
      </c>
      <c r="M1459" s="42"/>
      <c r="N1459" s="207"/>
      <c r="O1459" s="1403"/>
      <c r="P1459" s="1393"/>
      <c r="Q1459" s="1396"/>
    </row>
    <row r="1460" spans="1:17" ht="11.1" customHeight="1">
      <c r="A1460" s="31" t="s">
        <v>9076</v>
      </c>
      <c r="B1460" s="187" t="s">
        <v>6231</v>
      </c>
      <c r="C1460" s="187">
        <v>3</v>
      </c>
      <c r="D1460" s="42" t="s">
        <v>8979</v>
      </c>
      <c r="E1460" s="188">
        <v>14.21</v>
      </c>
      <c r="F1460" s="42" t="s">
        <v>6807</v>
      </c>
      <c r="G1460" s="42">
        <v>34</v>
      </c>
      <c r="H1460" s="42" t="s">
        <v>6049</v>
      </c>
      <c r="I1460" s="42" t="s">
        <v>8586</v>
      </c>
      <c r="J1460" s="42" t="s">
        <v>6264</v>
      </c>
      <c r="K1460" s="42"/>
      <c r="L1460" s="42" t="s">
        <v>6036</v>
      </c>
      <c r="M1460" s="42"/>
      <c r="N1460" s="207"/>
      <c r="O1460" s="1403"/>
      <c r="P1460" s="1393"/>
      <c r="Q1460" s="1396"/>
    </row>
    <row r="1461" spans="1:17" ht="11.1" customHeight="1">
      <c r="A1461" s="31" t="s">
        <v>9077</v>
      </c>
      <c r="B1461" s="187" t="s">
        <v>6231</v>
      </c>
      <c r="C1461" s="187">
        <v>3</v>
      </c>
      <c r="D1461" s="42" t="s">
        <v>8959</v>
      </c>
      <c r="E1461" s="188">
        <v>13.95</v>
      </c>
      <c r="F1461" s="42" t="s">
        <v>6843</v>
      </c>
      <c r="G1461" s="42">
        <v>56</v>
      </c>
      <c r="H1461" s="42" t="s">
        <v>0</v>
      </c>
      <c r="I1461" s="42" t="s">
        <v>8586</v>
      </c>
      <c r="J1461" s="42" t="s">
        <v>6264</v>
      </c>
      <c r="K1461" s="42"/>
      <c r="L1461" s="42" t="s">
        <v>6036</v>
      </c>
      <c r="M1461" s="42"/>
      <c r="N1461" s="207"/>
      <c r="O1461" s="1403"/>
      <c r="P1461" s="1393"/>
      <c r="Q1461" s="1396"/>
    </row>
    <row r="1462" spans="1:17" ht="11.1" customHeight="1">
      <c r="A1462" s="44" t="s">
        <v>9078</v>
      </c>
      <c r="B1462" s="190" t="s">
        <v>6231</v>
      </c>
      <c r="C1462" s="190">
        <v>3</v>
      </c>
      <c r="D1462" s="49" t="s">
        <v>9052</v>
      </c>
      <c r="E1462" s="201">
        <v>13.1</v>
      </c>
      <c r="F1462" s="49" t="s">
        <v>7043</v>
      </c>
      <c r="G1462" s="49">
        <v>57</v>
      </c>
      <c r="H1462" s="49" t="s">
        <v>6049</v>
      </c>
      <c r="I1462" s="49" t="s">
        <v>8586</v>
      </c>
      <c r="J1462" s="49" t="s">
        <v>6264</v>
      </c>
      <c r="K1462" s="49"/>
      <c r="L1462" s="49" t="s">
        <v>6036</v>
      </c>
      <c r="M1462" s="49"/>
      <c r="N1462" s="202"/>
      <c r="O1462" s="1404"/>
      <c r="P1462" s="1394"/>
      <c r="Q1462" s="1397"/>
    </row>
    <row r="1463" spans="1:17" ht="11.1" customHeight="1">
      <c r="A1463" s="51" t="s">
        <v>9079</v>
      </c>
      <c r="B1463" s="228" t="s">
        <v>6217</v>
      </c>
      <c r="C1463" s="228">
        <v>1</v>
      </c>
      <c r="D1463" s="122" t="s">
        <v>8973</v>
      </c>
      <c r="E1463" s="229">
        <v>43.01</v>
      </c>
      <c r="F1463" s="122" t="s">
        <v>6982</v>
      </c>
      <c r="G1463" s="122">
        <v>61</v>
      </c>
      <c r="H1463" s="122" t="s">
        <v>6049</v>
      </c>
      <c r="I1463" s="122" t="s">
        <v>8586</v>
      </c>
      <c r="J1463" s="122" t="s">
        <v>6278</v>
      </c>
      <c r="K1463" s="122"/>
      <c r="L1463" s="122" t="s">
        <v>6209</v>
      </c>
      <c r="M1463" s="122">
        <v>3</v>
      </c>
      <c r="N1463" s="123" t="s">
        <v>6213</v>
      </c>
      <c r="O1463" s="1405">
        <v>1</v>
      </c>
      <c r="P1463" s="1392">
        <v>369754</v>
      </c>
      <c r="Q1463" s="1395" t="e">
        <f>P1463/SUM($P$214:$P$321)</f>
        <v>#DIV/0!</v>
      </c>
    </row>
    <row r="1464" spans="1:17" ht="11.1" customHeight="1">
      <c r="A1464" s="31" t="s">
        <v>9080</v>
      </c>
      <c r="B1464" s="187"/>
      <c r="C1464" s="187">
        <v>3</v>
      </c>
      <c r="D1464" s="42" t="s">
        <v>8608</v>
      </c>
      <c r="E1464" s="188" t="s">
        <v>6262</v>
      </c>
      <c r="F1464" s="212" t="s">
        <v>9081</v>
      </c>
      <c r="G1464" s="42">
        <v>69</v>
      </c>
      <c r="H1464" s="42" t="s">
        <v>6049</v>
      </c>
      <c r="I1464" s="42"/>
      <c r="J1464" s="42" t="s">
        <v>6278</v>
      </c>
      <c r="K1464" s="42"/>
      <c r="L1464" s="42" t="s">
        <v>6036</v>
      </c>
      <c r="M1464" s="42"/>
      <c r="N1464" s="207"/>
      <c r="O1464" s="1406"/>
      <c r="P1464" s="1393"/>
      <c r="Q1464" s="1396"/>
    </row>
    <row r="1465" spans="1:17" ht="11.1" customHeight="1">
      <c r="A1465" s="44" t="s">
        <v>9082</v>
      </c>
      <c r="B1465" s="190" t="s">
        <v>6231</v>
      </c>
      <c r="C1465" s="190">
        <v>1</v>
      </c>
      <c r="D1465" s="49" t="s">
        <v>8939</v>
      </c>
      <c r="E1465" s="201">
        <v>18.37</v>
      </c>
      <c r="F1465" s="49" t="s">
        <v>6835</v>
      </c>
      <c r="G1465" s="49">
        <v>42</v>
      </c>
      <c r="H1465" s="49" t="s">
        <v>6049</v>
      </c>
      <c r="I1465" s="49" t="s">
        <v>8586</v>
      </c>
      <c r="J1465" s="49" t="s">
        <v>6278</v>
      </c>
      <c r="K1465" s="49"/>
      <c r="L1465" s="49" t="s">
        <v>6036</v>
      </c>
      <c r="M1465" s="49"/>
      <c r="N1465" s="202"/>
      <c r="O1465" s="1407"/>
      <c r="P1465" s="1394"/>
      <c r="Q1465" s="1397"/>
    </row>
    <row r="1466" spans="1:17" ht="11.1" customHeight="1">
      <c r="A1466" s="236" t="s">
        <v>9083</v>
      </c>
      <c r="B1466" s="237"/>
      <c r="C1466" s="237">
        <v>1</v>
      </c>
      <c r="D1466" s="5" t="s">
        <v>8608</v>
      </c>
      <c r="E1466" s="238" t="s">
        <v>6262</v>
      </c>
      <c r="F1466" s="5" t="s">
        <v>9084</v>
      </c>
      <c r="G1466" s="5">
        <v>42</v>
      </c>
      <c r="H1466" s="5" t="s">
        <v>0</v>
      </c>
      <c r="I1466" s="5"/>
      <c r="J1466" s="5" t="s">
        <v>7280</v>
      </c>
      <c r="K1466" s="5"/>
      <c r="L1466" s="5" t="s">
        <v>6036</v>
      </c>
      <c r="M1466" s="5"/>
      <c r="N1466" s="239"/>
      <c r="O1466" s="240">
        <v>0</v>
      </c>
      <c r="P1466" s="241">
        <v>102992</v>
      </c>
      <c r="Q1466" s="242" t="e">
        <f>P1466/SUM($P$214:$P$321)</f>
        <v>#DIV/0!</v>
      </c>
    </row>
    <row r="1467" spans="1:17" ht="11.1" customHeight="1">
      <c r="A1467" s="51" t="s">
        <v>9085</v>
      </c>
      <c r="B1467" s="243" t="s">
        <v>6217</v>
      </c>
      <c r="C1467" s="243">
        <v>1</v>
      </c>
      <c r="D1467" s="102" t="s">
        <v>8953</v>
      </c>
      <c r="E1467" s="244">
        <v>79.400000000000006</v>
      </c>
      <c r="F1467" s="102" t="s">
        <v>6909</v>
      </c>
      <c r="G1467" s="102">
        <v>45</v>
      </c>
      <c r="H1467" s="102" t="s">
        <v>0</v>
      </c>
      <c r="I1467" s="102" t="s">
        <v>8586</v>
      </c>
      <c r="J1467" s="102" t="s">
        <v>6484</v>
      </c>
      <c r="K1467" s="102"/>
      <c r="L1467" s="102" t="s">
        <v>6036</v>
      </c>
      <c r="M1467" s="102"/>
      <c r="N1467" s="245"/>
      <c r="O1467" s="1421">
        <v>1</v>
      </c>
      <c r="P1467" s="1392">
        <v>605358</v>
      </c>
      <c r="Q1467" s="1395" t="e">
        <f>P1467/SUM($P$214:$P$321)</f>
        <v>#DIV/0!</v>
      </c>
    </row>
    <row r="1468" spans="1:17" ht="11.1" customHeight="1">
      <c r="A1468" s="31" t="s">
        <v>9086</v>
      </c>
      <c r="B1468" s="187"/>
      <c r="C1468" s="187">
        <v>3</v>
      </c>
      <c r="D1468" s="42" t="s">
        <v>8971</v>
      </c>
      <c r="E1468" s="188">
        <v>33.22</v>
      </c>
      <c r="F1468" s="42" t="s">
        <v>6815</v>
      </c>
      <c r="G1468" s="42">
        <v>52</v>
      </c>
      <c r="H1468" s="42" t="s">
        <v>0</v>
      </c>
      <c r="I1468" s="212" t="s">
        <v>8586</v>
      </c>
      <c r="J1468" s="42" t="s">
        <v>6484</v>
      </c>
      <c r="K1468" s="42"/>
      <c r="L1468" s="42" t="s">
        <v>6283</v>
      </c>
      <c r="M1468" s="42">
        <v>3</v>
      </c>
      <c r="N1468" s="207"/>
      <c r="O1468" s="1422"/>
      <c r="P1468" s="1393"/>
      <c r="Q1468" s="1396"/>
    </row>
    <row r="1469" spans="1:17" ht="11.1" customHeight="1">
      <c r="A1469" s="31" t="s">
        <v>9087</v>
      </c>
      <c r="B1469" s="187" t="s">
        <v>6231</v>
      </c>
      <c r="C1469" s="187">
        <v>3</v>
      </c>
      <c r="D1469" s="42" t="s">
        <v>8979</v>
      </c>
      <c r="E1469" s="188">
        <v>17.440000000000001</v>
      </c>
      <c r="F1469" s="42" t="s">
        <v>6805</v>
      </c>
      <c r="G1469" s="42">
        <v>58</v>
      </c>
      <c r="H1469" s="42" t="s">
        <v>6049</v>
      </c>
      <c r="I1469" s="212" t="s">
        <v>8586</v>
      </c>
      <c r="J1469" s="42" t="s">
        <v>6484</v>
      </c>
      <c r="K1469" s="42"/>
      <c r="L1469" s="42" t="s">
        <v>6036</v>
      </c>
      <c r="M1469" s="42"/>
      <c r="N1469" s="207"/>
      <c r="O1469" s="1422"/>
      <c r="P1469" s="1393"/>
      <c r="Q1469" s="1396"/>
    </row>
    <row r="1470" spans="1:17" ht="11.1" customHeight="1">
      <c r="A1470" s="31" t="s">
        <v>9088</v>
      </c>
      <c r="B1470" s="187" t="s">
        <v>6231</v>
      </c>
      <c r="C1470" s="187">
        <v>3</v>
      </c>
      <c r="D1470" s="42" t="s">
        <v>8955</v>
      </c>
      <c r="E1470" s="188">
        <v>16.21</v>
      </c>
      <c r="F1470" s="42" t="s">
        <v>6899</v>
      </c>
      <c r="G1470" s="42">
        <v>40</v>
      </c>
      <c r="H1470" s="42" t="s">
        <v>0</v>
      </c>
      <c r="I1470" s="212" t="s">
        <v>8586</v>
      </c>
      <c r="J1470" s="42" t="s">
        <v>6484</v>
      </c>
      <c r="K1470" s="42"/>
      <c r="L1470" s="42" t="s">
        <v>6036</v>
      </c>
      <c r="M1470" s="42"/>
      <c r="N1470" s="207"/>
      <c r="O1470" s="1422"/>
      <c r="P1470" s="1393"/>
      <c r="Q1470" s="1396"/>
    </row>
    <row r="1471" spans="1:17" ht="11.1" customHeight="1">
      <c r="A1471" s="31" t="s">
        <v>9089</v>
      </c>
      <c r="B1471" s="187" t="s">
        <v>6231</v>
      </c>
      <c r="C1471" s="187">
        <v>3</v>
      </c>
      <c r="D1471" s="42" t="s">
        <v>8965</v>
      </c>
      <c r="E1471" s="188">
        <v>13.91</v>
      </c>
      <c r="F1471" s="42" t="s">
        <v>6823</v>
      </c>
      <c r="G1471" s="42">
        <v>47</v>
      </c>
      <c r="H1471" s="42" t="s">
        <v>6049</v>
      </c>
      <c r="I1471" s="212" t="s">
        <v>8586</v>
      </c>
      <c r="J1471" s="42" t="s">
        <v>6484</v>
      </c>
      <c r="K1471" s="42"/>
      <c r="L1471" s="42" t="s">
        <v>6036</v>
      </c>
      <c r="M1471" s="42"/>
      <c r="N1471" s="207"/>
      <c r="O1471" s="1422"/>
      <c r="P1471" s="1393"/>
      <c r="Q1471" s="1396"/>
    </row>
    <row r="1472" spans="1:17" ht="11.1" customHeight="1">
      <c r="A1472" s="44" t="s">
        <v>9090</v>
      </c>
      <c r="B1472" s="190" t="s">
        <v>8615</v>
      </c>
      <c r="C1472" s="190">
        <v>1</v>
      </c>
      <c r="D1472" s="246" t="s">
        <v>8983</v>
      </c>
      <c r="E1472" s="247" t="s">
        <v>6251</v>
      </c>
      <c r="F1472" s="246" t="s">
        <v>6942</v>
      </c>
      <c r="G1472" s="246">
        <v>53</v>
      </c>
      <c r="H1472" s="246" t="s">
        <v>0</v>
      </c>
      <c r="I1472" s="246" t="s">
        <v>8586</v>
      </c>
      <c r="J1472" s="246" t="s">
        <v>6484</v>
      </c>
      <c r="K1472" s="246"/>
      <c r="L1472" s="246" t="s">
        <v>6209</v>
      </c>
      <c r="M1472" s="246">
        <v>2</v>
      </c>
      <c r="N1472" s="202"/>
      <c r="O1472" s="1423"/>
      <c r="P1472" s="1394"/>
      <c r="Q1472" s="1397"/>
    </row>
    <row r="1473" spans="1:17" ht="11.1" customHeight="1">
      <c r="A1473" s="236" t="s">
        <v>9091</v>
      </c>
      <c r="B1473" s="237"/>
      <c r="C1473" s="237">
        <v>1</v>
      </c>
      <c r="D1473" s="5" t="s">
        <v>8608</v>
      </c>
      <c r="E1473" s="238" t="s">
        <v>6262</v>
      </c>
      <c r="F1473" s="5" t="s">
        <v>9092</v>
      </c>
      <c r="G1473" s="5">
        <v>52</v>
      </c>
      <c r="H1473" s="5" t="s">
        <v>0</v>
      </c>
      <c r="I1473" s="5"/>
      <c r="J1473" s="5" t="s">
        <v>7160</v>
      </c>
      <c r="K1473" s="5"/>
      <c r="L1473" s="5" t="s">
        <v>6036</v>
      </c>
      <c r="M1473" s="5"/>
      <c r="N1473" s="239"/>
      <c r="O1473" s="248">
        <v>0</v>
      </c>
      <c r="P1473" s="241">
        <v>79792</v>
      </c>
      <c r="Q1473" s="242" t="e">
        <f>P1473/SUM($P$214:$P$321)</f>
        <v>#DIV/0!</v>
      </c>
    </row>
    <row r="1474" spans="1:17" ht="11.1" customHeight="1">
      <c r="A1474" s="31" t="s">
        <v>9093</v>
      </c>
      <c r="B1474" s="187"/>
      <c r="C1474" s="187">
        <v>1</v>
      </c>
      <c r="D1474" s="42" t="s">
        <v>8608</v>
      </c>
      <c r="E1474" s="188" t="s">
        <v>6262</v>
      </c>
      <c r="F1474" s="212" t="s">
        <v>9094</v>
      </c>
      <c r="G1474" s="42">
        <v>42</v>
      </c>
      <c r="H1474" s="42" t="s">
        <v>0</v>
      </c>
      <c r="I1474" s="42"/>
      <c r="J1474" s="42" t="s">
        <v>6267</v>
      </c>
      <c r="K1474" s="42" t="s">
        <v>6268</v>
      </c>
      <c r="L1474" s="42" t="s">
        <v>6036</v>
      </c>
      <c r="M1474" s="42"/>
      <c r="N1474" s="207"/>
      <c r="O1474" s="1398">
        <v>0</v>
      </c>
      <c r="P1474" s="1393">
        <v>44162</v>
      </c>
      <c r="Q1474" s="1396" t="e">
        <f>P1474/SUM($P$214:$P$321)</f>
        <v>#DIV/0!</v>
      </c>
    </row>
    <row r="1475" spans="1:17" ht="11.1" customHeight="1">
      <c r="A1475" s="31" t="s">
        <v>9095</v>
      </c>
      <c r="B1475" s="187"/>
      <c r="C1475" s="187">
        <v>2</v>
      </c>
      <c r="D1475" s="42" t="s">
        <v>8608</v>
      </c>
      <c r="E1475" s="188" t="s">
        <v>6262</v>
      </c>
      <c r="F1475" s="212" t="s">
        <v>9096</v>
      </c>
      <c r="G1475" s="42">
        <v>52</v>
      </c>
      <c r="H1475" s="42" t="s">
        <v>0</v>
      </c>
      <c r="I1475" s="42"/>
      <c r="J1475" s="42" t="s">
        <v>6267</v>
      </c>
      <c r="K1475" s="42" t="s">
        <v>6268</v>
      </c>
      <c r="L1475" s="42" t="s">
        <v>6036</v>
      </c>
      <c r="M1475" s="42"/>
      <c r="N1475" s="207"/>
      <c r="O1475" s="1398"/>
      <c r="P1475" s="1393"/>
      <c r="Q1475" s="1396"/>
    </row>
    <row r="1476" spans="1:17" ht="11.1" customHeight="1">
      <c r="A1476" s="31" t="s">
        <v>9097</v>
      </c>
      <c r="B1476" s="187"/>
      <c r="C1476" s="187">
        <v>3</v>
      </c>
      <c r="D1476" s="42" t="s">
        <v>8608</v>
      </c>
      <c r="E1476" s="188" t="s">
        <v>6262</v>
      </c>
      <c r="F1476" s="212" t="s">
        <v>9098</v>
      </c>
      <c r="G1476" s="42">
        <v>34</v>
      </c>
      <c r="H1476" s="212" t="s">
        <v>0</v>
      </c>
      <c r="I1476" s="212"/>
      <c r="J1476" s="42" t="s">
        <v>6267</v>
      </c>
      <c r="K1476" s="212" t="s">
        <v>6268</v>
      </c>
      <c r="L1476" s="212" t="s">
        <v>6036</v>
      </c>
      <c r="M1476" s="212"/>
      <c r="N1476" s="207"/>
      <c r="O1476" s="1398"/>
      <c r="P1476" s="1393"/>
      <c r="Q1476" s="1396"/>
    </row>
    <row r="1477" spans="1:17" ht="11.1" customHeight="1">
      <c r="A1477" s="31" t="s">
        <v>9099</v>
      </c>
      <c r="B1477" s="187"/>
      <c r="C1477" s="187">
        <v>4</v>
      </c>
      <c r="D1477" s="42" t="s">
        <v>8608</v>
      </c>
      <c r="E1477" s="188" t="s">
        <v>6262</v>
      </c>
      <c r="F1477" s="212" t="s">
        <v>9100</v>
      </c>
      <c r="G1477" s="42">
        <v>47</v>
      </c>
      <c r="H1477" s="42" t="s">
        <v>0</v>
      </c>
      <c r="I1477" s="42"/>
      <c r="J1477" s="42" t="s">
        <v>6267</v>
      </c>
      <c r="K1477" s="42" t="s">
        <v>6268</v>
      </c>
      <c r="L1477" s="42" t="s">
        <v>6036</v>
      </c>
      <c r="M1477" s="42"/>
      <c r="N1477" s="207"/>
      <c r="O1477" s="1398"/>
      <c r="P1477" s="1393"/>
      <c r="Q1477" s="1396"/>
    </row>
    <row r="1478" spans="1:17" ht="11.1" customHeight="1" thickBot="1">
      <c r="A1478" s="73" t="s">
        <v>9101</v>
      </c>
      <c r="B1478" s="215"/>
      <c r="C1478" s="215">
        <v>5</v>
      </c>
      <c r="D1478" s="78" t="s">
        <v>8608</v>
      </c>
      <c r="E1478" s="216" t="s">
        <v>6262</v>
      </c>
      <c r="F1478" s="217" t="s">
        <v>9102</v>
      </c>
      <c r="G1478" s="78">
        <v>51</v>
      </c>
      <c r="H1478" s="78" t="s">
        <v>0</v>
      </c>
      <c r="I1478" s="78"/>
      <c r="J1478" s="78" t="s">
        <v>6267</v>
      </c>
      <c r="K1478" s="78" t="s">
        <v>6268</v>
      </c>
      <c r="L1478" s="78" t="s">
        <v>6036</v>
      </c>
      <c r="M1478" s="78"/>
      <c r="N1478" s="218"/>
      <c r="O1478" s="1399"/>
      <c r="P1478" s="1400"/>
      <c r="Q1478" s="1401"/>
    </row>
    <row r="1479" spans="1:17" ht="11.1" customHeight="1">
      <c r="A1479" s="80" t="s">
        <v>9103</v>
      </c>
      <c r="B1479" s="219" t="s">
        <v>6217</v>
      </c>
      <c r="C1479" s="219">
        <v>1</v>
      </c>
      <c r="D1479" s="112" t="s">
        <v>9104</v>
      </c>
      <c r="E1479" s="220">
        <v>97.33</v>
      </c>
      <c r="F1479" s="112" t="s">
        <v>7180</v>
      </c>
      <c r="G1479" s="112">
        <v>60</v>
      </c>
      <c r="H1479" s="112" t="s">
        <v>0</v>
      </c>
      <c r="I1479" s="112" t="s">
        <v>8586</v>
      </c>
      <c r="J1479" s="112" t="s">
        <v>6257</v>
      </c>
      <c r="K1479" s="112" t="s">
        <v>6273</v>
      </c>
      <c r="L1479" s="112" t="s">
        <v>6209</v>
      </c>
      <c r="M1479" s="112">
        <v>5</v>
      </c>
      <c r="N1479" s="113" t="s">
        <v>6260</v>
      </c>
      <c r="O1479" s="1414">
        <v>5</v>
      </c>
      <c r="P1479" s="1417">
        <v>1764696</v>
      </c>
      <c r="Q1479" s="1418" t="e">
        <f>P1479/SUM($P$322:$P$401)</f>
        <v>#DIV/0!</v>
      </c>
    </row>
    <row r="1480" spans="1:17" ht="11.1" customHeight="1">
      <c r="A1480" s="31" t="s">
        <v>9105</v>
      </c>
      <c r="B1480" s="185" t="s">
        <v>6217</v>
      </c>
      <c r="C1480" s="185">
        <v>1</v>
      </c>
      <c r="D1480" s="59" t="s">
        <v>9106</v>
      </c>
      <c r="E1480" s="186">
        <v>93.52</v>
      </c>
      <c r="F1480" s="59" t="s">
        <v>7101</v>
      </c>
      <c r="G1480" s="59">
        <v>42</v>
      </c>
      <c r="H1480" s="59" t="s">
        <v>0</v>
      </c>
      <c r="I1480" s="59" t="s">
        <v>8586</v>
      </c>
      <c r="J1480" s="59" t="s">
        <v>6257</v>
      </c>
      <c r="K1480" s="59" t="s">
        <v>6350</v>
      </c>
      <c r="L1480" s="59" t="s">
        <v>6209</v>
      </c>
      <c r="M1480" s="59">
        <v>1</v>
      </c>
      <c r="N1480" s="133" t="s">
        <v>6260</v>
      </c>
      <c r="O1480" s="1415"/>
      <c r="P1480" s="1393"/>
      <c r="Q1480" s="1396"/>
    </row>
    <row r="1481" spans="1:17" ht="11.1" customHeight="1">
      <c r="A1481" s="31" t="s">
        <v>9107</v>
      </c>
      <c r="B1481" s="185" t="s">
        <v>6217</v>
      </c>
      <c r="C1481" s="185">
        <v>1</v>
      </c>
      <c r="D1481" s="59" t="s">
        <v>9108</v>
      </c>
      <c r="E1481" s="186">
        <v>91.74</v>
      </c>
      <c r="F1481" s="59" t="s">
        <v>7064</v>
      </c>
      <c r="G1481" s="59">
        <v>71</v>
      </c>
      <c r="H1481" s="59" t="s">
        <v>0</v>
      </c>
      <c r="I1481" s="59" t="s">
        <v>8586</v>
      </c>
      <c r="J1481" s="59" t="s">
        <v>6257</v>
      </c>
      <c r="K1481" s="59" t="s">
        <v>6258</v>
      </c>
      <c r="L1481" s="59" t="s">
        <v>6209</v>
      </c>
      <c r="M1481" s="59">
        <v>9</v>
      </c>
      <c r="N1481" s="133" t="s">
        <v>6260</v>
      </c>
      <c r="O1481" s="1415"/>
      <c r="P1481" s="1393"/>
      <c r="Q1481" s="1396"/>
    </row>
    <row r="1482" spans="1:17" ht="11.1" customHeight="1">
      <c r="A1482" s="31" t="s">
        <v>9109</v>
      </c>
      <c r="B1482" s="185" t="s">
        <v>6217</v>
      </c>
      <c r="C1482" s="185">
        <v>1</v>
      </c>
      <c r="D1482" s="59" t="s">
        <v>9110</v>
      </c>
      <c r="E1482" s="186">
        <v>91.69</v>
      </c>
      <c r="F1482" s="59" t="s">
        <v>7153</v>
      </c>
      <c r="G1482" s="59">
        <v>57</v>
      </c>
      <c r="H1482" s="59" t="s">
        <v>6049</v>
      </c>
      <c r="I1482" s="59" t="s">
        <v>8586</v>
      </c>
      <c r="J1482" s="59" t="s">
        <v>6257</v>
      </c>
      <c r="K1482" s="59" t="s">
        <v>6286</v>
      </c>
      <c r="L1482" s="59" t="s">
        <v>6209</v>
      </c>
      <c r="M1482" s="59">
        <v>5</v>
      </c>
      <c r="N1482" s="133" t="s">
        <v>6260</v>
      </c>
      <c r="O1482" s="1415"/>
      <c r="P1482" s="1393"/>
      <c r="Q1482" s="1396"/>
    </row>
    <row r="1483" spans="1:17" ht="11.1" customHeight="1">
      <c r="A1483" s="31" t="s">
        <v>9111</v>
      </c>
      <c r="B1483" s="185" t="s">
        <v>6217</v>
      </c>
      <c r="C1483" s="185">
        <v>1</v>
      </c>
      <c r="D1483" s="59" t="s">
        <v>9112</v>
      </c>
      <c r="E1483" s="186">
        <v>89.95</v>
      </c>
      <c r="F1483" s="59" t="s">
        <v>7145</v>
      </c>
      <c r="G1483" s="59">
        <v>47</v>
      </c>
      <c r="H1483" s="59" t="s">
        <v>0</v>
      </c>
      <c r="I1483" s="59" t="s">
        <v>8586</v>
      </c>
      <c r="J1483" s="59" t="s">
        <v>6257</v>
      </c>
      <c r="K1483" s="59" t="s">
        <v>6258</v>
      </c>
      <c r="L1483" s="59" t="s">
        <v>6209</v>
      </c>
      <c r="M1483" s="59">
        <v>2</v>
      </c>
      <c r="N1483" s="133" t="s">
        <v>6260</v>
      </c>
      <c r="O1483" s="1415"/>
      <c r="P1483" s="1393"/>
      <c r="Q1483" s="1396"/>
    </row>
    <row r="1484" spans="1:17" ht="11.1" customHeight="1">
      <c r="A1484" s="31" t="s">
        <v>9113</v>
      </c>
      <c r="B1484" s="187"/>
      <c r="C1484" s="187">
        <v>1</v>
      </c>
      <c r="D1484" s="42" t="s">
        <v>9114</v>
      </c>
      <c r="E1484" s="188">
        <v>84.68</v>
      </c>
      <c r="F1484" s="42" t="s">
        <v>7188</v>
      </c>
      <c r="G1484" s="42">
        <v>53</v>
      </c>
      <c r="H1484" s="42" t="s">
        <v>6049</v>
      </c>
      <c r="I1484" s="42" t="s">
        <v>8586</v>
      </c>
      <c r="J1484" s="42" t="s">
        <v>6257</v>
      </c>
      <c r="K1484" s="42" t="s">
        <v>6286</v>
      </c>
      <c r="L1484" s="42" t="s">
        <v>6209</v>
      </c>
      <c r="M1484" s="42">
        <v>3</v>
      </c>
      <c r="N1484" s="43" t="s">
        <v>6260</v>
      </c>
      <c r="O1484" s="1415"/>
      <c r="P1484" s="1393"/>
      <c r="Q1484" s="1396"/>
    </row>
    <row r="1485" spans="1:17" ht="11.1" customHeight="1">
      <c r="A1485" s="31" t="s">
        <v>9115</v>
      </c>
      <c r="B1485" s="187"/>
      <c r="C1485" s="187">
        <v>1</v>
      </c>
      <c r="D1485" s="42" t="s">
        <v>9116</v>
      </c>
      <c r="E1485" s="188">
        <v>81.94</v>
      </c>
      <c r="F1485" s="42" t="s">
        <v>7272</v>
      </c>
      <c r="G1485" s="42">
        <v>45</v>
      </c>
      <c r="H1485" s="42" t="s">
        <v>0</v>
      </c>
      <c r="I1485" s="42" t="s">
        <v>8586</v>
      </c>
      <c r="J1485" s="42" t="s">
        <v>6257</v>
      </c>
      <c r="K1485" s="42" t="s">
        <v>6286</v>
      </c>
      <c r="L1485" s="42" t="s">
        <v>6209</v>
      </c>
      <c r="M1485" s="42">
        <v>2</v>
      </c>
      <c r="N1485" s="43" t="s">
        <v>6260</v>
      </c>
      <c r="O1485" s="1415"/>
      <c r="P1485" s="1393"/>
      <c r="Q1485" s="1396"/>
    </row>
    <row r="1486" spans="1:17" ht="11.1" customHeight="1">
      <c r="A1486" s="31" t="s">
        <v>9117</v>
      </c>
      <c r="B1486" s="187"/>
      <c r="C1486" s="187">
        <v>1</v>
      </c>
      <c r="D1486" s="42" t="s">
        <v>9118</v>
      </c>
      <c r="E1486" s="188">
        <v>81.03</v>
      </c>
      <c r="F1486" s="42" t="s">
        <v>7111</v>
      </c>
      <c r="G1486" s="42">
        <v>48</v>
      </c>
      <c r="H1486" s="42" t="s">
        <v>6049</v>
      </c>
      <c r="I1486" s="42" t="s">
        <v>8586</v>
      </c>
      <c r="J1486" s="42" t="s">
        <v>6257</v>
      </c>
      <c r="K1486" s="42" t="s">
        <v>6258</v>
      </c>
      <c r="L1486" s="42" t="s">
        <v>6209</v>
      </c>
      <c r="M1486" s="42">
        <v>1</v>
      </c>
      <c r="N1486" s="43" t="s">
        <v>6260</v>
      </c>
      <c r="O1486" s="1415"/>
      <c r="P1486" s="1393"/>
      <c r="Q1486" s="1396"/>
    </row>
    <row r="1487" spans="1:17" ht="11.1" customHeight="1">
      <c r="A1487" s="31" t="s">
        <v>9119</v>
      </c>
      <c r="B1487" s="187"/>
      <c r="C1487" s="187">
        <v>1</v>
      </c>
      <c r="D1487" s="42" t="s">
        <v>9120</v>
      </c>
      <c r="E1487" s="188">
        <v>76.150000000000006</v>
      </c>
      <c r="F1487" s="42" t="s">
        <v>7196</v>
      </c>
      <c r="G1487" s="42">
        <v>70</v>
      </c>
      <c r="H1487" s="42" t="s">
        <v>0</v>
      </c>
      <c r="I1487" s="42" t="s">
        <v>8586</v>
      </c>
      <c r="J1487" s="42" t="s">
        <v>6257</v>
      </c>
      <c r="K1487" s="42" t="s">
        <v>6350</v>
      </c>
      <c r="L1487" s="42" t="s">
        <v>6209</v>
      </c>
      <c r="M1487" s="42">
        <v>3</v>
      </c>
      <c r="N1487" s="43" t="s">
        <v>6260</v>
      </c>
      <c r="O1487" s="1415"/>
      <c r="P1487" s="1393"/>
      <c r="Q1487" s="1396"/>
    </row>
    <row r="1488" spans="1:17" ht="11.1" customHeight="1">
      <c r="A1488" s="31" t="s">
        <v>9121</v>
      </c>
      <c r="B1488" s="187"/>
      <c r="C1488" s="187">
        <v>1</v>
      </c>
      <c r="D1488" s="42" t="s">
        <v>9122</v>
      </c>
      <c r="E1488" s="188">
        <v>75.73</v>
      </c>
      <c r="F1488" s="42" t="s">
        <v>7256</v>
      </c>
      <c r="G1488" s="42">
        <v>48</v>
      </c>
      <c r="H1488" s="42" t="s">
        <v>0</v>
      </c>
      <c r="I1488" s="42" t="s">
        <v>8586</v>
      </c>
      <c r="J1488" s="42" t="s">
        <v>6257</v>
      </c>
      <c r="K1488" s="42" t="s">
        <v>6273</v>
      </c>
      <c r="L1488" s="42" t="s">
        <v>6209</v>
      </c>
      <c r="M1488" s="42">
        <v>5</v>
      </c>
      <c r="N1488" s="43" t="s">
        <v>6260</v>
      </c>
      <c r="O1488" s="1415"/>
      <c r="P1488" s="1393"/>
      <c r="Q1488" s="1396"/>
    </row>
    <row r="1489" spans="1:17" ht="11.1" customHeight="1">
      <c r="A1489" s="31" t="s">
        <v>9123</v>
      </c>
      <c r="B1489" s="187"/>
      <c r="C1489" s="187">
        <v>1</v>
      </c>
      <c r="D1489" s="42" t="s">
        <v>9124</v>
      </c>
      <c r="E1489" s="188">
        <v>74.3</v>
      </c>
      <c r="F1489" s="42" t="s">
        <v>7095</v>
      </c>
      <c r="G1489" s="42">
        <v>45</v>
      </c>
      <c r="H1489" s="42" t="s">
        <v>0</v>
      </c>
      <c r="I1489" s="42" t="s">
        <v>8586</v>
      </c>
      <c r="J1489" s="42" t="s">
        <v>6257</v>
      </c>
      <c r="K1489" s="42" t="s">
        <v>6258</v>
      </c>
      <c r="L1489" s="42" t="s">
        <v>6209</v>
      </c>
      <c r="M1489" s="42">
        <v>1</v>
      </c>
      <c r="N1489" s="43" t="s">
        <v>6260</v>
      </c>
      <c r="O1489" s="1415"/>
      <c r="P1489" s="1393"/>
      <c r="Q1489" s="1396"/>
    </row>
    <row r="1490" spans="1:17" ht="11.1" customHeight="1">
      <c r="A1490" s="31" t="s">
        <v>9125</v>
      </c>
      <c r="B1490" s="187"/>
      <c r="C1490" s="187">
        <v>1</v>
      </c>
      <c r="D1490" s="42" t="s">
        <v>9126</v>
      </c>
      <c r="E1490" s="188">
        <v>70.23</v>
      </c>
      <c r="F1490" s="42" t="s">
        <v>7240</v>
      </c>
      <c r="G1490" s="42">
        <v>39</v>
      </c>
      <c r="H1490" s="42" t="s">
        <v>0</v>
      </c>
      <c r="I1490" s="42" t="s">
        <v>8586</v>
      </c>
      <c r="J1490" s="42" t="s">
        <v>6257</v>
      </c>
      <c r="K1490" s="42" t="s">
        <v>6402</v>
      </c>
      <c r="L1490" s="42" t="s">
        <v>6209</v>
      </c>
      <c r="M1490" s="42">
        <v>1</v>
      </c>
      <c r="N1490" s="43" t="s">
        <v>6260</v>
      </c>
      <c r="O1490" s="1415"/>
      <c r="P1490" s="1393"/>
      <c r="Q1490" s="1396"/>
    </row>
    <row r="1491" spans="1:17" ht="11.1" customHeight="1">
      <c r="A1491" s="31" t="s">
        <v>9127</v>
      </c>
      <c r="B1491" s="187"/>
      <c r="C1491" s="187">
        <v>1</v>
      </c>
      <c r="D1491" s="42" t="s">
        <v>9128</v>
      </c>
      <c r="E1491" s="188">
        <v>64.47</v>
      </c>
      <c r="F1491" s="42" t="s">
        <v>7264</v>
      </c>
      <c r="G1491" s="42">
        <v>67</v>
      </c>
      <c r="H1491" s="42" t="s">
        <v>0</v>
      </c>
      <c r="I1491" s="42" t="s">
        <v>8586</v>
      </c>
      <c r="J1491" s="42" t="s">
        <v>6257</v>
      </c>
      <c r="K1491" s="42" t="s">
        <v>6286</v>
      </c>
      <c r="L1491" s="42" t="s">
        <v>6209</v>
      </c>
      <c r="M1491" s="42">
        <v>9</v>
      </c>
      <c r="N1491" s="43" t="s">
        <v>6260</v>
      </c>
      <c r="O1491" s="1415"/>
      <c r="P1491" s="1393"/>
      <c r="Q1491" s="1396"/>
    </row>
    <row r="1492" spans="1:17" ht="11.1" customHeight="1">
      <c r="A1492" s="31" t="s">
        <v>9129</v>
      </c>
      <c r="B1492" s="187"/>
      <c r="C1492" s="187">
        <v>1</v>
      </c>
      <c r="D1492" s="42" t="s">
        <v>9130</v>
      </c>
      <c r="E1492" s="188">
        <v>62.03</v>
      </c>
      <c r="F1492" s="42" t="s">
        <v>7230</v>
      </c>
      <c r="G1492" s="42">
        <v>35</v>
      </c>
      <c r="H1492" s="42" t="s">
        <v>0</v>
      </c>
      <c r="I1492" s="42" t="s">
        <v>8586</v>
      </c>
      <c r="J1492" s="42" t="s">
        <v>6257</v>
      </c>
      <c r="K1492" s="42" t="s">
        <v>6311</v>
      </c>
      <c r="L1492" s="42" t="s">
        <v>6209</v>
      </c>
      <c r="M1492" s="42">
        <v>1</v>
      </c>
      <c r="N1492" s="43" t="s">
        <v>6260</v>
      </c>
      <c r="O1492" s="1415"/>
      <c r="P1492" s="1393"/>
      <c r="Q1492" s="1396"/>
    </row>
    <row r="1493" spans="1:17" ht="11.1" customHeight="1">
      <c r="A1493" s="31" t="s">
        <v>9131</v>
      </c>
      <c r="B1493" s="187"/>
      <c r="C1493" s="187">
        <v>1</v>
      </c>
      <c r="D1493" s="42" t="s">
        <v>9132</v>
      </c>
      <c r="E1493" s="188">
        <v>59.04</v>
      </c>
      <c r="F1493" s="42" t="s">
        <v>7120</v>
      </c>
      <c r="G1493" s="42">
        <v>45</v>
      </c>
      <c r="H1493" s="42" t="s">
        <v>0</v>
      </c>
      <c r="I1493" s="42" t="s">
        <v>8586</v>
      </c>
      <c r="J1493" s="42" t="s">
        <v>6257</v>
      </c>
      <c r="K1493" s="42" t="s">
        <v>6286</v>
      </c>
      <c r="L1493" s="42" t="s">
        <v>6209</v>
      </c>
      <c r="M1493" s="42">
        <v>1</v>
      </c>
      <c r="N1493" s="43" t="s">
        <v>6260</v>
      </c>
      <c r="O1493" s="1415"/>
      <c r="P1493" s="1393"/>
      <c r="Q1493" s="1396"/>
    </row>
    <row r="1494" spans="1:17" ht="11.1" customHeight="1">
      <c r="A1494" s="31" t="s">
        <v>9133</v>
      </c>
      <c r="B1494" s="187"/>
      <c r="C1494" s="187">
        <v>1</v>
      </c>
      <c r="D1494" s="42" t="s">
        <v>9134</v>
      </c>
      <c r="E1494" s="188">
        <v>55.91</v>
      </c>
      <c r="F1494" s="42" t="s">
        <v>7248</v>
      </c>
      <c r="G1494" s="42">
        <v>63</v>
      </c>
      <c r="H1494" s="42" t="s">
        <v>0</v>
      </c>
      <c r="I1494" s="42" t="s">
        <v>8586</v>
      </c>
      <c r="J1494" s="42" t="s">
        <v>6257</v>
      </c>
      <c r="K1494" s="42" t="s">
        <v>6286</v>
      </c>
      <c r="L1494" s="42" t="s">
        <v>6209</v>
      </c>
      <c r="M1494" s="42">
        <v>1</v>
      </c>
      <c r="N1494" s="43" t="s">
        <v>6260</v>
      </c>
      <c r="O1494" s="1415"/>
      <c r="P1494" s="1393"/>
      <c r="Q1494" s="1396"/>
    </row>
    <row r="1495" spans="1:17" ht="11.1" customHeight="1">
      <c r="A1495" s="31" t="s">
        <v>9135</v>
      </c>
      <c r="B1495" s="187"/>
      <c r="C1495" s="187">
        <v>1</v>
      </c>
      <c r="D1495" s="42" t="s">
        <v>9136</v>
      </c>
      <c r="E1495" s="188">
        <v>54.04</v>
      </c>
      <c r="F1495" s="42" t="s">
        <v>7222</v>
      </c>
      <c r="G1495" s="42">
        <v>67</v>
      </c>
      <c r="H1495" s="42" t="s">
        <v>0</v>
      </c>
      <c r="I1495" s="42" t="s">
        <v>8586</v>
      </c>
      <c r="J1495" s="42" t="s">
        <v>6257</v>
      </c>
      <c r="K1495" s="42" t="s">
        <v>6258</v>
      </c>
      <c r="L1495" s="42" t="s">
        <v>6209</v>
      </c>
      <c r="M1495" s="42">
        <v>1</v>
      </c>
      <c r="N1495" s="43" t="s">
        <v>6260</v>
      </c>
      <c r="O1495" s="1415"/>
      <c r="P1495" s="1393"/>
      <c r="Q1495" s="1396"/>
    </row>
    <row r="1496" spans="1:17" ht="11.1" customHeight="1">
      <c r="A1496" s="31" t="s">
        <v>9137</v>
      </c>
      <c r="B1496" s="187"/>
      <c r="C1496" s="187">
        <v>1</v>
      </c>
      <c r="D1496" s="42" t="s">
        <v>9138</v>
      </c>
      <c r="E1496" s="188">
        <v>47.46</v>
      </c>
      <c r="F1496" s="42" t="s">
        <v>7128</v>
      </c>
      <c r="G1496" s="42">
        <v>60</v>
      </c>
      <c r="H1496" s="42" t="s">
        <v>0</v>
      </c>
      <c r="I1496" s="42" t="s">
        <v>8586</v>
      </c>
      <c r="J1496" s="42" t="s">
        <v>6257</v>
      </c>
      <c r="K1496" s="42" t="s">
        <v>6286</v>
      </c>
      <c r="L1496" s="42" t="s">
        <v>6209</v>
      </c>
      <c r="M1496" s="42">
        <v>1</v>
      </c>
      <c r="N1496" s="43" t="s">
        <v>6260</v>
      </c>
      <c r="O1496" s="1415"/>
      <c r="P1496" s="1393"/>
      <c r="Q1496" s="1396"/>
    </row>
    <row r="1497" spans="1:17" ht="11.1" customHeight="1">
      <c r="A1497" s="31" t="s">
        <v>9139</v>
      </c>
      <c r="B1497" s="187"/>
      <c r="C1497" s="187">
        <v>23</v>
      </c>
      <c r="D1497" s="42" t="s">
        <v>8608</v>
      </c>
      <c r="E1497" s="188" t="s">
        <v>6262</v>
      </c>
      <c r="F1497" s="42" t="s">
        <v>9140</v>
      </c>
      <c r="G1497" s="42">
        <v>47</v>
      </c>
      <c r="H1497" s="42" t="s">
        <v>0</v>
      </c>
      <c r="I1497" s="42"/>
      <c r="J1497" s="42" t="s">
        <v>6257</v>
      </c>
      <c r="K1497" s="42" t="s">
        <v>6273</v>
      </c>
      <c r="L1497" s="42" t="s">
        <v>6209</v>
      </c>
      <c r="M1497" s="42">
        <v>1</v>
      </c>
      <c r="N1497" s="207"/>
      <c r="O1497" s="1415"/>
      <c r="P1497" s="1393"/>
      <c r="Q1497" s="1396"/>
    </row>
    <row r="1498" spans="1:17" ht="11.1" customHeight="1">
      <c r="A1498" s="31" t="s">
        <v>9141</v>
      </c>
      <c r="B1498" s="187"/>
      <c r="C1498" s="187">
        <v>24</v>
      </c>
      <c r="D1498" s="42" t="s">
        <v>8608</v>
      </c>
      <c r="E1498" s="188" t="s">
        <v>6262</v>
      </c>
      <c r="F1498" s="42" t="s">
        <v>9142</v>
      </c>
      <c r="G1498" s="42">
        <v>59</v>
      </c>
      <c r="H1498" s="42" t="s">
        <v>0</v>
      </c>
      <c r="I1498" s="42"/>
      <c r="J1498" s="42" t="s">
        <v>6257</v>
      </c>
      <c r="K1498" s="42" t="s">
        <v>6258</v>
      </c>
      <c r="L1498" s="42" t="s">
        <v>6209</v>
      </c>
      <c r="M1498" s="42">
        <v>1</v>
      </c>
      <c r="N1498" s="207"/>
      <c r="O1498" s="1415"/>
      <c r="P1498" s="1393"/>
      <c r="Q1498" s="1396"/>
    </row>
    <row r="1499" spans="1:17" ht="11.1" customHeight="1">
      <c r="A1499" s="31" t="s">
        <v>9143</v>
      </c>
      <c r="B1499" s="187"/>
      <c r="C1499" s="187">
        <v>25</v>
      </c>
      <c r="D1499" s="42" t="s">
        <v>8608</v>
      </c>
      <c r="E1499" s="188" t="s">
        <v>6262</v>
      </c>
      <c r="F1499" s="42" t="s">
        <v>9144</v>
      </c>
      <c r="G1499" s="42">
        <v>72</v>
      </c>
      <c r="H1499" s="42" t="s">
        <v>0</v>
      </c>
      <c r="I1499" s="42"/>
      <c r="J1499" s="42" t="s">
        <v>6257</v>
      </c>
      <c r="K1499" s="42" t="s">
        <v>6671</v>
      </c>
      <c r="L1499" s="42" t="s">
        <v>6209</v>
      </c>
      <c r="M1499" s="42">
        <v>9</v>
      </c>
      <c r="N1499" s="207"/>
      <c r="O1499" s="1415"/>
      <c r="P1499" s="1393"/>
      <c r="Q1499" s="1396"/>
    </row>
    <row r="1500" spans="1:17" ht="11.1" customHeight="1">
      <c r="A1500" s="31" t="s">
        <v>9145</v>
      </c>
      <c r="B1500" s="187"/>
      <c r="C1500" s="187">
        <v>26</v>
      </c>
      <c r="D1500" s="42" t="s">
        <v>8608</v>
      </c>
      <c r="E1500" s="188" t="s">
        <v>6262</v>
      </c>
      <c r="F1500" s="42" t="s">
        <v>9146</v>
      </c>
      <c r="G1500" s="42">
        <v>71</v>
      </c>
      <c r="H1500" s="42" t="s">
        <v>0</v>
      </c>
      <c r="I1500" s="42"/>
      <c r="J1500" s="42" t="s">
        <v>6257</v>
      </c>
      <c r="K1500" s="42" t="s">
        <v>6258</v>
      </c>
      <c r="L1500" s="42" t="s">
        <v>6036</v>
      </c>
      <c r="M1500" s="42"/>
      <c r="N1500" s="207"/>
      <c r="O1500" s="1415"/>
      <c r="P1500" s="1393"/>
      <c r="Q1500" s="1396"/>
    </row>
    <row r="1501" spans="1:17" ht="11.1" customHeight="1">
      <c r="A1501" s="31" t="s">
        <v>9147</v>
      </c>
      <c r="B1501" s="187"/>
      <c r="C1501" s="187">
        <v>27</v>
      </c>
      <c r="D1501" s="42" t="s">
        <v>8608</v>
      </c>
      <c r="E1501" s="188" t="s">
        <v>6262</v>
      </c>
      <c r="F1501" s="42" t="s">
        <v>9148</v>
      </c>
      <c r="G1501" s="42">
        <v>63</v>
      </c>
      <c r="H1501" s="42" t="s">
        <v>0</v>
      </c>
      <c r="I1501" s="42"/>
      <c r="J1501" s="42" t="s">
        <v>6257</v>
      </c>
      <c r="K1501" s="42" t="s">
        <v>6286</v>
      </c>
      <c r="L1501" s="42" t="s">
        <v>6036</v>
      </c>
      <c r="M1501" s="42"/>
      <c r="N1501" s="207"/>
      <c r="O1501" s="1415"/>
      <c r="P1501" s="1393"/>
      <c r="Q1501" s="1396"/>
    </row>
    <row r="1502" spans="1:17" ht="11.1" customHeight="1">
      <c r="A1502" s="31" t="s">
        <v>9149</v>
      </c>
      <c r="B1502" s="187"/>
      <c r="C1502" s="187">
        <v>28</v>
      </c>
      <c r="D1502" s="42" t="s">
        <v>8608</v>
      </c>
      <c r="E1502" s="188" t="s">
        <v>6262</v>
      </c>
      <c r="F1502" s="42" t="s">
        <v>9150</v>
      </c>
      <c r="G1502" s="42">
        <v>65</v>
      </c>
      <c r="H1502" s="42" t="s">
        <v>0</v>
      </c>
      <c r="I1502" s="42"/>
      <c r="J1502" s="42" t="s">
        <v>6257</v>
      </c>
      <c r="K1502" s="42" t="s">
        <v>6258</v>
      </c>
      <c r="L1502" s="42" t="s">
        <v>6036</v>
      </c>
      <c r="M1502" s="42"/>
      <c r="N1502" s="207"/>
      <c r="O1502" s="1415"/>
      <c r="P1502" s="1393"/>
      <c r="Q1502" s="1396"/>
    </row>
    <row r="1503" spans="1:17" ht="11.1" customHeight="1">
      <c r="A1503" s="31" t="s">
        <v>9151</v>
      </c>
      <c r="B1503" s="187" t="s">
        <v>8615</v>
      </c>
      <c r="C1503" s="187">
        <v>1</v>
      </c>
      <c r="D1503" s="59" t="s">
        <v>9152</v>
      </c>
      <c r="E1503" s="186" t="s">
        <v>6251</v>
      </c>
      <c r="F1503" s="59" t="s">
        <v>7134</v>
      </c>
      <c r="G1503" s="59">
        <v>52</v>
      </c>
      <c r="H1503" s="59" t="s">
        <v>0</v>
      </c>
      <c r="I1503" s="59" t="s">
        <v>8586</v>
      </c>
      <c r="J1503" s="59" t="s">
        <v>6257</v>
      </c>
      <c r="K1503" s="59" t="s">
        <v>6350</v>
      </c>
      <c r="L1503" s="59" t="s">
        <v>6209</v>
      </c>
      <c r="M1503" s="59">
        <v>6</v>
      </c>
      <c r="N1503" s="43" t="s">
        <v>6260</v>
      </c>
      <c r="O1503" s="1415"/>
      <c r="P1503" s="1393"/>
      <c r="Q1503" s="1396"/>
    </row>
    <row r="1504" spans="1:17" ht="11.1" customHeight="1">
      <c r="A1504" s="31" t="s">
        <v>9153</v>
      </c>
      <c r="B1504" s="187" t="s">
        <v>8615</v>
      </c>
      <c r="C1504" s="187">
        <v>1</v>
      </c>
      <c r="D1504" s="59" t="s">
        <v>9154</v>
      </c>
      <c r="E1504" s="186" t="s">
        <v>6251</v>
      </c>
      <c r="F1504" s="59" t="s">
        <v>7157</v>
      </c>
      <c r="G1504" s="59">
        <v>55</v>
      </c>
      <c r="H1504" s="59" t="s">
        <v>0</v>
      </c>
      <c r="I1504" s="59" t="s">
        <v>8586</v>
      </c>
      <c r="J1504" s="59" t="s">
        <v>6257</v>
      </c>
      <c r="K1504" s="59" t="s">
        <v>6286</v>
      </c>
      <c r="L1504" s="59" t="s">
        <v>6209</v>
      </c>
      <c r="M1504" s="59">
        <v>4</v>
      </c>
      <c r="N1504" s="43" t="s">
        <v>6260</v>
      </c>
      <c r="O1504" s="1415"/>
      <c r="P1504" s="1393"/>
      <c r="Q1504" s="1396"/>
    </row>
    <row r="1505" spans="1:17" ht="11.1" customHeight="1">
      <c r="A1505" s="31" t="s">
        <v>9155</v>
      </c>
      <c r="B1505" s="187" t="s">
        <v>8615</v>
      </c>
      <c r="C1505" s="187">
        <v>1</v>
      </c>
      <c r="D1505" s="59" t="s">
        <v>9156</v>
      </c>
      <c r="E1505" s="186" t="s">
        <v>6251</v>
      </c>
      <c r="F1505" s="59" t="s">
        <v>7212</v>
      </c>
      <c r="G1505" s="59">
        <v>63</v>
      </c>
      <c r="H1505" s="59" t="s">
        <v>0</v>
      </c>
      <c r="I1505" s="59" t="s">
        <v>8586</v>
      </c>
      <c r="J1505" s="59" t="s">
        <v>6257</v>
      </c>
      <c r="K1505" s="59" t="s">
        <v>6350</v>
      </c>
      <c r="L1505" s="59" t="s">
        <v>6209</v>
      </c>
      <c r="M1505" s="59">
        <v>4</v>
      </c>
      <c r="N1505" s="43"/>
      <c r="O1505" s="1415"/>
      <c r="P1505" s="1393"/>
      <c r="Q1505" s="1396"/>
    </row>
    <row r="1506" spans="1:17" ht="11.1" customHeight="1">
      <c r="A1506" s="44" t="s">
        <v>9157</v>
      </c>
      <c r="B1506" s="187" t="s">
        <v>8615</v>
      </c>
      <c r="C1506" s="190">
        <v>1</v>
      </c>
      <c r="D1506" s="97" t="s">
        <v>9158</v>
      </c>
      <c r="E1506" s="186" t="s">
        <v>6251</v>
      </c>
      <c r="F1506" s="97" t="s">
        <v>7278</v>
      </c>
      <c r="G1506" s="97">
        <v>39</v>
      </c>
      <c r="H1506" s="97" t="s">
        <v>0</v>
      </c>
      <c r="I1506" s="97" t="s">
        <v>8586</v>
      </c>
      <c r="J1506" s="97" t="s">
        <v>6257</v>
      </c>
      <c r="K1506" s="97" t="s">
        <v>6596</v>
      </c>
      <c r="L1506" s="97" t="s">
        <v>6209</v>
      </c>
      <c r="M1506" s="97">
        <v>2</v>
      </c>
      <c r="N1506" s="50" t="s">
        <v>6260</v>
      </c>
      <c r="O1506" s="1416"/>
      <c r="P1506" s="1394"/>
      <c r="Q1506" s="1397"/>
    </row>
    <row r="1507" spans="1:17" ht="11.1" customHeight="1">
      <c r="A1507" s="51" t="s">
        <v>9159</v>
      </c>
      <c r="B1507" s="192" t="s">
        <v>6217</v>
      </c>
      <c r="C1507" s="192">
        <v>1</v>
      </c>
      <c r="D1507" s="56" t="s">
        <v>9156</v>
      </c>
      <c r="E1507" s="193">
        <v>77.17</v>
      </c>
      <c r="F1507" s="56" t="s">
        <v>7214</v>
      </c>
      <c r="G1507" s="56">
        <v>38</v>
      </c>
      <c r="H1507" s="56" t="s">
        <v>6049</v>
      </c>
      <c r="I1507" s="56" t="s">
        <v>8586</v>
      </c>
      <c r="J1507" s="56" t="s">
        <v>6253</v>
      </c>
      <c r="K1507" s="56" t="s">
        <v>6053</v>
      </c>
      <c r="L1507" s="56" t="s">
        <v>6036</v>
      </c>
      <c r="M1507" s="56"/>
      <c r="N1507" s="57" t="s">
        <v>6779</v>
      </c>
      <c r="O1507" s="1408">
        <v>8</v>
      </c>
      <c r="P1507" s="1392">
        <v>2839081</v>
      </c>
      <c r="Q1507" s="1395" t="e">
        <f>P1507/SUM($P$322:$P$401)</f>
        <v>#DIV/0!</v>
      </c>
    </row>
    <row r="1508" spans="1:17" ht="11.1" customHeight="1">
      <c r="A1508" s="31" t="s">
        <v>9160</v>
      </c>
      <c r="B1508" s="194" t="s">
        <v>6217</v>
      </c>
      <c r="C1508" s="194">
        <v>23</v>
      </c>
      <c r="D1508" s="36" t="s">
        <v>8608</v>
      </c>
      <c r="E1508" s="195" t="s">
        <v>6262</v>
      </c>
      <c r="F1508" s="36" t="s">
        <v>9161</v>
      </c>
      <c r="G1508" s="36">
        <v>54</v>
      </c>
      <c r="H1508" s="36" t="s">
        <v>0</v>
      </c>
      <c r="I1508" s="36"/>
      <c r="J1508" s="36" t="s">
        <v>6253</v>
      </c>
      <c r="K1508" s="36" t="s">
        <v>6053</v>
      </c>
      <c r="L1508" s="36" t="s">
        <v>6036</v>
      </c>
      <c r="M1508" s="36"/>
      <c r="N1508" s="223"/>
      <c r="O1508" s="1409"/>
      <c r="P1508" s="1393"/>
      <c r="Q1508" s="1396"/>
    </row>
    <row r="1509" spans="1:17" ht="11.1" customHeight="1">
      <c r="A1509" s="31" t="s">
        <v>9162</v>
      </c>
      <c r="B1509" s="194" t="s">
        <v>6217</v>
      </c>
      <c r="C1509" s="194">
        <v>24</v>
      </c>
      <c r="D1509" s="36" t="s">
        <v>8608</v>
      </c>
      <c r="E1509" s="195" t="s">
        <v>6262</v>
      </c>
      <c r="F1509" s="36" t="s">
        <v>9163</v>
      </c>
      <c r="G1509" s="36">
        <v>71</v>
      </c>
      <c r="H1509" s="36" t="s">
        <v>6049</v>
      </c>
      <c r="I1509" s="36"/>
      <c r="J1509" s="36" t="s">
        <v>6253</v>
      </c>
      <c r="K1509" s="36" t="s">
        <v>6053</v>
      </c>
      <c r="L1509" s="36" t="s">
        <v>6283</v>
      </c>
      <c r="M1509" s="36">
        <v>3</v>
      </c>
      <c r="N1509" s="223"/>
      <c r="O1509" s="1409"/>
      <c r="P1509" s="1393"/>
      <c r="Q1509" s="1396"/>
    </row>
    <row r="1510" spans="1:17" ht="11.1" customHeight="1">
      <c r="A1510" s="31" t="s">
        <v>9164</v>
      </c>
      <c r="B1510" s="194" t="s">
        <v>6217</v>
      </c>
      <c r="C1510" s="194">
        <v>25</v>
      </c>
      <c r="D1510" s="36" t="s">
        <v>8608</v>
      </c>
      <c r="E1510" s="195" t="s">
        <v>6262</v>
      </c>
      <c r="F1510" s="36" t="s">
        <v>9165</v>
      </c>
      <c r="G1510" s="36">
        <v>65</v>
      </c>
      <c r="H1510" s="36" t="s">
        <v>0</v>
      </c>
      <c r="I1510" s="36"/>
      <c r="J1510" s="36" t="s">
        <v>6253</v>
      </c>
      <c r="K1510" s="36" t="s">
        <v>8018</v>
      </c>
      <c r="L1510" s="36" t="s">
        <v>6283</v>
      </c>
      <c r="M1510" s="36">
        <v>4</v>
      </c>
      <c r="N1510" s="223"/>
      <c r="O1510" s="1409"/>
      <c r="P1510" s="1393"/>
      <c r="Q1510" s="1396"/>
    </row>
    <row r="1511" spans="1:17" ht="11.1" customHeight="1">
      <c r="A1511" s="31" t="s">
        <v>9166</v>
      </c>
      <c r="B1511" s="194" t="s">
        <v>6217</v>
      </c>
      <c r="C1511" s="194">
        <v>26</v>
      </c>
      <c r="D1511" s="36" t="s">
        <v>8608</v>
      </c>
      <c r="E1511" s="195" t="s">
        <v>6262</v>
      </c>
      <c r="F1511" s="36" t="s">
        <v>6204</v>
      </c>
      <c r="G1511" s="36">
        <v>68</v>
      </c>
      <c r="H1511" s="36" t="s">
        <v>0</v>
      </c>
      <c r="I1511" s="36"/>
      <c r="J1511" s="36" t="s">
        <v>6253</v>
      </c>
      <c r="K1511" s="36" t="s">
        <v>6207</v>
      </c>
      <c r="L1511" s="36" t="s">
        <v>6283</v>
      </c>
      <c r="M1511" s="36">
        <v>3</v>
      </c>
      <c r="N1511" s="223"/>
      <c r="O1511" s="1409"/>
      <c r="P1511" s="1393"/>
      <c r="Q1511" s="1396"/>
    </row>
    <row r="1512" spans="1:17" ht="11.1" customHeight="1">
      <c r="A1512" s="31" t="s">
        <v>9167</v>
      </c>
      <c r="B1512" s="194" t="s">
        <v>6217</v>
      </c>
      <c r="C1512" s="194">
        <v>27</v>
      </c>
      <c r="D1512" s="36" t="s">
        <v>8608</v>
      </c>
      <c r="E1512" s="195" t="s">
        <v>6262</v>
      </c>
      <c r="F1512" s="36" t="s">
        <v>9168</v>
      </c>
      <c r="G1512" s="36">
        <v>45</v>
      </c>
      <c r="H1512" s="36" t="s">
        <v>0</v>
      </c>
      <c r="I1512" s="36"/>
      <c r="J1512" s="36" t="s">
        <v>6253</v>
      </c>
      <c r="K1512" s="36" t="s">
        <v>6035</v>
      </c>
      <c r="L1512" s="36" t="s">
        <v>6036</v>
      </c>
      <c r="M1512" s="36"/>
      <c r="N1512" s="223"/>
      <c r="O1512" s="1409"/>
      <c r="P1512" s="1393"/>
      <c r="Q1512" s="1396"/>
    </row>
    <row r="1513" spans="1:17" ht="11.1" customHeight="1">
      <c r="A1513" s="31" t="s">
        <v>9169</v>
      </c>
      <c r="B1513" s="194" t="s">
        <v>6217</v>
      </c>
      <c r="C1513" s="194">
        <v>28</v>
      </c>
      <c r="D1513" s="36" t="s">
        <v>8608</v>
      </c>
      <c r="E1513" s="195" t="s">
        <v>6262</v>
      </c>
      <c r="F1513" s="36" t="s">
        <v>9170</v>
      </c>
      <c r="G1513" s="36">
        <v>60</v>
      </c>
      <c r="H1513" s="36" t="s">
        <v>0</v>
      </c>
      <c r="I1513" s="36"/>
      <c r="J1513" s="36" t="s">
        <v>6253</v>
      </c>
      <c r="K1513" s="36" t="s">
        <v>6207</v>
      </c>
      <c r="L1513" s="36" t="s">
        <v>6283</v>
      </c>
      <c r="M1513" s="36">
        <v>2</v>
      </c>
      <c r="N1513" s="223"/>
      <c r="O1513" s="1409"/>
      <c r="P1513" s="1393"/>
      <c r="Q1513" s="1396"/>
    </row>
    <row r="1514" spans="1:17" ht="11.1" customHeight="1">
      <c r="A1514" s="31" t="s">
        <v>9171</v>
      </c>
      <c r="B1514" s="194" t="s">
        <v>6217</v>
      </c>
      <c r="C1514" s="194">
        <v>29</v>
      </c>
      <c r="D1514" s="36" t="s">
        <v>8608</v>
      </c>
      <c r="E1514" s="195" t="s">
        <v>6262</v>
      </c>
      <c r="F1514" s="36" t="s">
        <v>9172</v>
      </c>
      <c r="G1514" s="36">
        <v>65</v>
      </c>
      <c r="H1514" s="36" t="s">
        <v>0</v>
      </c>
      <c r="I1514" s="36"/>
      <c r="J1514" s="36" t="s">
        <v>6253</v>
      </c>
      <c r="K1514" s="36" t="s">
        <v>6035</v>
      </c>
      <c r="L1514" s="36" t="s">
        <v>6283</v>
      </c>
      <c r="M1514" s="36">
        <v>1</v>
      </c>
      <c r="N1514" s="223"/>
      <c r="O1514" s="1409"/>
      <c r="P1514" s="1393"/>
      <c r="Q1514" s="1396"/>
    </row>
    <row r="1515" spans="1:17" ht="11.1" customHeight="1">
      <c r="A1515" s="31" t="s">
        <v>9173</v>
      </c>
      <c r="B1515" s="187"/>
      <c r="C1515" s="187">
        <v>30</v>
      </c>
      <c r="D1515" s="42" t="s">
        <v>8608</v>
      </c>
      <c r="E1515" s="188" t="s">
        <v>6262</v>
      </c>
      <c r="F1515" s="42" t="s">
        <v>9174</v>
      </c>
      <c r="G1515" s="42">
        <v>69</v>
      </c>
      <c r="H1515" s="42" t="s">
        <v>6049</v>
      </c>
      <c r="I1515" s="42"/>
      <c r="J1515" s="42" t="s">
        <v>6253</v>
      </c>
      <c r="K1515" s="42" t="s">
        <v>6053</v>
      </c>
      <c r="L1515" s="42" t="s">
        <v>6036</v>
      </c>
      <c r="M1515" s="42"/>
      <c r="N1515" s="207"/>
      <c r="O1515" s="1409"/>
      <c r="P1515" s="1393"/>
      <c r="Q1515" s="1396"/>
    </row>
    <row r="1516" spans="1:17" ht="11.1" customHeight="1">
      <c r="A1516" s="31" t="s">
        <v>9175</v>
      </c>
      <c r="B1516" s="187" t="s">
        <v>8615</v>
      </c>
      <c r="C1516" s="187">
        <v>1</v>
      </c>
      <c r="D1516" s="36" t="s">
        <v>9108</v>
      </c>
      <c r="E1516" s="195" t="s">
        <v>6251</v>
      </c>
      <c r="F1516" s="36" t="s">
        <v>7061</v>
      </c>
      <c r="G1516" s="36">
        <v>60</v>
      </c>
      <c r="H1516" s="36" t="s">
        <v>0</v>
      </c>
      <c r="I1516" s="36" t="s">
        <v>8586</v>
      </c>
      <c r="J1516" s="36" t="s">
        <v>6253</v>
      </c>
      <c r="K1516" s="36" t="s">
        <v>7062</v>
      </c>
      <c r="L1516" s="36" t="s">
        <v>6283</v>
      </c>
      <c r="M1516" s="36">
        <v>4</v>
      </c>
      <c r="N1516" s="43" t="s">
        <v>6213</v>
      </c>
      <c r="O1516" s="1409"/>
      <c r="P1516" s="1393"/>
      <c r="Q1516" s="1396"/>
    </row>
    <row r="1517" spans="1:17" ht="11.1" customHeight="1">
      <c r="A1517" s="31" t="s">
        <v>9176</v>
      </c>
      <c r="B1517" s="187" t="s">
        <v>8615</v>
      </c>
      <c r="C1517" s="187">
        <v>1</v>
      </c>
      <c r="D1517" s="36" t="s">
        <v>9177</v>
      </c>
      <c r="E1517" s="195" t="s">
        <v>6251</v>
      </c>
      <c r="F1517" s="36" t="s">
        <v>7081</v>
      </c>
      <c r="G1517" s="36">
        <v>64</v>
      </c>
      <c r="H1517" s="36" t="s">
        <v>0</v>
      </c>
      <c r="I1517" s="36" t="s">
        <v>8586</v>
      </c>
      <c r="J1517" s="36" t="s">
        <v>6253</v>
      </c>
      <c r="K1517" s="36" t="s">
        <v>6207</v>
      </c>
      <c r="L1517" s="36" t="s">
        <v>6283</v>
      </c>
      <c r="M1517" s="36">
        <v>3</v>
      </c>
      <c r="N1517" s="43" t="s">
        <v>6213</v>
      </c>
      <c r="O1517" s="1409"/>
      <c r="P1517" s="1393"/>
      <c r="Q1517" s="1396"/>
    </row>
    <row r="1518" spans="1:17" ht="11.1" customHeight="1">
      <c r="A1518" s="31" t="s">
        <v>9178</v>
      </c>
      <c r="B1518" s="187" t="s">
        <v>8615</v>
      </c>
      <c r="C1518" s="187">
        <v>1</v>
      </c>
      <c r="D1518" s="36" t="s">
        <v>9124</v>
      </c>
      <c r="E1518" s="195" t="s">
        <v>6251</v>
      </c>
      <c r="F1518" s="36" t="s">
        <v>7093</v>
      </c>
      <c r="G1518" s="36">
        <v>53</v>
      </c>
      <c r="H1518" s="36" t="s">
        <v>0</v>
      </c>
      <c r="I1518" s="36" t="s">
        <v>8586</v>
      </c>
      <c r="J1518" s="36" t="s">
        <v>6253</v>
      </c>
      <c r="K1518" s="36" t="s">
        <v>6207</v>
      </c>
      <c r="L1518" s="36" t="s">
        <v>6209</v>
      </c>
      <c r="M1518" s="36">
        <v>3</v>
      </c>
      <c r="N1518" s="43" t="s">
        <v>6779</v>
      </c>
      <c r="O1518" s="1409"/>
      <c r="P1518" s="1393"/>
      <c r="Q1518" s="1396"/>
    </row>
    <row r="1519" spans="1:17" ht="11.1" customHeight="1">
      <c r="A1519" s="31" t="s">
        <v>9179</v>
      </c>
      <c r="B1519" s="187" t="s">
        <v>8615</v>
      </c>
      <c r="C1519" s="187">
        <v>1</v>
      </c>
      <c r="D1519" s="36" t="s">
        <v>9106</v>
      </c>
      <c r="E1519" s="195" t="s">
        <v>6251</v>
      </c>
      <c r="F1519" s="36" t="s">
        <v>7099</v>
      </c>
      <c r="G1519" s="36">
        <v>36</v>
      </c>
      <c r="H1519" s="36" t="s">
        <v>0</v>
      </c>
      <c r="I1519" s="36" t="s">
        <v>8586</v>
      </c>
      <c r="J1519" s="36" t="s">
        <v>6253</v>
      </c>
      <c r="K1519" s="36" t="s">
        <v>6053</v>
      </c>
      <c r="L1519" s="36" t="s">
        <v>6036</v>
      </c>
      <c r="M1519" s="36"/>
      <c r="N1519" s="43" t="s">
        <v>6779</v>
      </c>
      <c r="O1519" s="1409"/>
      <c r="P1519" s="1393"/>
      <c r="Q1519" s="1396"/>
    </row>
    <row r="1520" spans="1:17" ht="11.1" customHeight="1">
      <c r="A1520" s="31" t="s">
        <v>9180</v>
      </c>
      <c r="B1520" s="187" t="s">
        <v>8615</v>
      </c>
      <c r="C1520" s="187">
        <v>1</v>
      </c>
      <c r="D1520" s="36" t="s">
        <v>9118</v>
      </c>
      <c r="E1520" s="195" t="s">
        <v>6251</v>
      </c>
      <c r="F1520" s="36" t="s">
        <v>7109</v>
      </c>
      <c r="G1520" s="36">
        <v>42</v>
      </c>
      <c r="H1520" s="36" t="s">
        <v>0</v>
      </c>
      <c r="I1520" s="36" t="s">
        <v>8586</v>
      </c>
      <c r="J1520" s="36" t="s">
        <v>6253</v>
      </c>
      <c r="K1520" s="36" t="s">
        <v>6053</v>
      </c>
      <c r="L1520" s="36" t="s">
        <v>6283</v>
      </c>
      <c r="M1520" s="36">
        <v>2</v>
      </c>
      <c r="N1520" s="43" t="s">
        <v>6779</v>
      </c>
      <c r="O1520" s="1409"/>
      <c r="P1520" s="1393"/>
      <c r="Q1520" s="1396"/>
    </row>
    <row r="1521" spans="1:17" ht="11.1" customHeight="1">
      <c r="A1521" s="31" t="s">
        <v>9181</v>
      </c>
      <c r="B1521" s="187" t="s">
        <v>8615</v>
      </c>
      <c r="C1521" s="187">
        <v>1</v>
      </c>
      <c r="D1521" s="36" t="s">
        <v>9132</v>
      </c>
      <c r="E1521" s="195" t="s">
        <v>6251</v>
      </c>
      <c r="F1521" s="36" t="s">
        <v>7117</v>
      </c>
      <c r="G1521" s="36">
        <v>60</v>
      </c>
      <c r="H1521" s="36" t="s">
        <v>6049</v>
      </c>
      <c r="I1521" s="36" t="s">
        <v>8586</v>
      </c>
      <c r="J1521" s="36" t="s">
        <v>6253</v>
      </c>
      <c r="K1521" s="36" t="s">
        <v>6053</v>
      </c>
      <c r="L1521" s="36" t="s">
        <v>6209</v>
      </c>
      <c r="M1521" s="36">
        <v>3</v>
      </c>
      <c r="N1521" s="43" t="s">
        <v>7118</v>
      </c>
      <c r="O1521" s="1409"/>
      <c r="P1521" s="1393"/>
      <c r="Q1521" s="1396"/>
    </row>
    <row r="1522" spans="1:17" ht="11.1" customHeight="1">
      <c r="A1522" s="31" t="s">
        <v>9182</v>
      </c>
      <c r="B1522" s="187" t="s">
        <v>8615</v>
      </c>
      <c r="C1522" s="187">
        <v>1</v>
      </c>
      <c r="D1522" s="36" t="s">
        <v>9138</v>
      </c>
      <c r="E1522" s="195" t="s">
        <v>6251</v>
      </c>
      <c r="F1522" s="36" t="s">
        <v>7126</v>
      </c>
      <c r="G1522" s="36">
        <v>49</v>
      </c>
      <c r="H1522" s="36" t="s">
        <v>0</v>
      </c>
      <c r="I1522" s="36" t="s">
        <v>8586</v>
      </c>
      <c r="J1522" s="36" t="s">
        <v>6253</v>
      </c>
      <c r="K1522" s="36" t="s">
        <v>24</v>
      </c>
      <c r="L1522" s="36" t="s">
        <v>6209</v>
      </c>
      <c r="M1522" s="36">
        <v>3</v>
      </c>
      <c r="N1522" s="43"/>
      <c r="O1522" s="1409"/>
      <c r="P1522" s="1393"/>
      <c r="Q1522" s="1396"/>
    </row>
    <row r="1523" spans="1:17" ht="11.1" customHeight="1">
      <c r="A1523" s="31" t="s">
        <v>9183</v>
      </c>
      <c r="B1523" s="187" t="s">
        <v>8615</v>
      </c>
      <c r="C1523" s="187">
        <v>1</v>
      </c>
      <c r="D1523" s="36" t="s">
        <v>9112</v>
      </c>
      <c r="E1523" s="195" t="s">
        <v>6251</v>
      </c>
      <c r="F1523" s="36" t="s">
        <v>7143</v>
      </c>
      <c r="G1523" s="36">
        <v>43</v>
      </c>
      <c r="H1523" s="36" t="s">
        <v>0</v>
      </c>
      <c r="I1523" s="36" t="s">
        <v>8586</v>
      </c>
      <c r="J1523" s="36" t="s">
        <v>6253</v>
      </c>
      <c r="K1523" s="36" t="s">
        <v>6053</v>
      </c>
      <c r="L1523" s="36" t="s">
        <v>6036</v>
      </c>
      <c r="M1523" s="36"/>
      <c r="N1523" s="43" t="s">
        <v>6779</v>
      </c>
      <c r="O1523" s="1409"/>
      <c r="P1523" s="1393"/>
      <c r="Q1523" s="1396"/>
    </row>
    <row r="1524" spans="1:17" ht="11.1" customHeight="1">
      <c r="A1524" s="31" t="s">
        <v>9184</v>
      </c>
      <c r="B1524" s="187" t="s">
        <v>8615</v>
      </c>
      <c r="C1524" s="187">
        <v>1</v>
      </c>
      <c r="D1524" s="36" t="s">
        <v>9110</v>
      </c>
      <c r="E1524" s="195" t="s">
        <v>6251</v>
      </c>
      <c r="F1524" s="36" t="s">
        <v>7151</v>
      </c>
      <c r="G1524" s="36">
        <v>49</v>
      </c>
      <c r="H1524" s="36" t="s">
        <v>6049</v>
      </c>
      <c r="I1524" s="36" t="s">
        <v>8586</v>
      </c>
      <c r="J1524" s="36" t="s">
        <v>6253</v>
      </c>
      <c r="K1524" s="36" t="s">
        <v>6053</v>
      </c>
      <c r="L1524" s="36" t="s">
        <v>6036</v>
      </c>
      <c r="M1524" s="36"/>
      <c r="N1524" s="43" t="s">
        <v>6779</v>
      </c>
      <c r="O1524" s="1409"/>
      <c r="P1524" s="1393"/>
      <c r="Q1524" s="1396"/>
    </row>
    <row r="1525" spans="1:17" ht="11.1" customHeight="1">
      <c r="A1525" s="31" t="s">
        <v>9185</v>
      </c>
      <c r="B1525" s="187" t="s">
        <v>8615</v>
      </c>
      <c r="C1525" s="187">
        <v>1</v>
      </c>
      <c r="D1525" s="36" t="s">
        <v>9186</v>
      </c>
      <c r="E1525" s="195" t="s">
        <v>6251</v>
      </c>
      <c r="F1525" s="36" t="s">
        <v>7170</v>
      </c>
      <c r="G1525" s="36">
        <v>44</v>
      </c>
      <c r="H1525" s="36" t="s">
        <v>6049</v>
      </c>
      <c r="I1525" s="36" t="s">
        <v>8586</v>
      </c>
      <c r="J1525" s="36" t="s">
        <v>6253</v>
      </c>
      <c r="K1525" s="36" t="s">
        <v>6053</v>
      </c>
      <c r="L1525" s="36" t="s">
        <v>6283</v>
      </c>
      <c r="M1525" s="36">
        <v>1</v>
      </c>
      <c r="N1525" s="43" t="s">
        <v>6213</v>
      </c>
      <c r="O1525" s="1409"/>
      <c r="P1525" s="1393"/>
      <c r="Q1525" s="1396"/>
    </row>
    <row r="1526" spans="1:17" ht="11.1" customHeight="1">
      <c r="A1526" s="31" t="s">
        <v>9187</v>
      </c>
      <c r="B1526" s="187" t="s">
        <v>8615</v>
      </c>
      <c r="C1526" s="187">
        <v>1</v>
      </c>
      <c r="D1526" s="36" t="s">
        <v>9104</v>
      </c>
      <c r="E1526" s="195" t="s">
        <v>6251</v>
      </c>
      <c r="F1526" s="36" t="s">
        <v>7178</v>
      </c>
      <c r="G1526" s="36">
        <v>37</v>
      </c>
      <c r="H1526" s="36" t="s">
        <v>0</v>
      </c>
      <c r="I1526" s="36" t="s">
        <v>8586</v>
      </c>
      <c r="J1526" s="36" t="s">
        <v>6253</v>
      </c>
      <c r="K1526" s="36" t="s">
        <v>6053</v>
      </c>
      <c r="L1526" s="36" t="s">
        <v>6036</v>
      </c>
      <c r="M1526" s="36"/>
      <c r="N1526" s="43" t="s">
        <v>6779</v>
      </c>
      <c r="O1526" s="1409"/>
      <c r="P1526" s="1393"/>
      <c r="Q1526" s="1396"/>
    </row>
    <row r="1527" spans="1:17" ht="11.1" customHeight="1">
      <c r="A1527" s="31" t="s">
        <v>9188</v>
      </c>
      <c r="B1527" s="187" t="s">
        <v>8615</v>
      </c>
      <c r="C1527" s="187">
        <v>1</v>
      </c>
      <c r="D1527" s="36" t="s">
        <v>9114</v>
      </c>
      <c r="E1527" s="195" t="s">
        <v>6251</v>
      </c>
      <c r="F1527" s="36" t="s">
        <v>7186</v>
      </c>
      <c r="G1527" s="36">
        <v>38</v>
      </c>
      <c r="H1527" s="36" t="s">
        <v>0</v>
      </c>
      <c r="I1527" s="36" t="s">
        <v>8586</v>
      </c>
      <c r="J1527" s="36" t="s">
        <v>6253</v>
      </c>
      <c r="K1527" s="36" t="s">
        <v>6053</v>
      </c>
      <c r="L1527" s="36" t="s">
        <v>6036</v>
      </c>
      <c r="M1527" s="36"/>
      <c r="N1527" s="43" t="s">
        <v>6213</v>
      </c>
      <c r="O1527" s="1409"/>
      <c r="P1527" s="1393"/>
      <c r="Q1527" s="1396"/>
    </row>
    <row r="1528" spans="1:17" ht="11.1" customHeight="1">
      <c r="A1528" s="31" t="s">
        <v>9189</v>
      </c>
      <c r="B1528" s="187" t="s">
        <v>8615</v>
      </c>
      <c r="C1528" s="187">
        <v>1</v>
      </c>
      <c r="D1528" s="36" t="s">
        <v>9120</v>
      </c>
      <c r="E1528" s="195" t="s">
        <v>6251</v>
      </c>
      <c r="F1528" s="36" t="s">
        <v>7194</v>
      </c>
      <c r="G1528" s="36">
        <v>58</v>
      </c>
      <c r="H1528" s="36" t="s">
        <v>0</v>
      </c>
      <c r="I1528" s="36" t="s">
        <v>8586</v>
      </c>
      <c r="J1528" s="36" t="s">
        <v>6253</v>
      </c>
      <c r="K1528" s="36" t="s">
        <v>6035</v>
      </c>
      <c r="L1528" s="36" t="s">
        <v>6283</v>
      </c>
      <c r="M1528" s="36">
        <v>4</v>
      </c>
      <c r="N1528" s="43" t="s">
        <v>6779</v>
      </c>
      <c r="O1528" s="1409"/>
      <c r="P1528" s="1393"/>
      <c r="Q1528" s="1396"/>
    </row>
    <row r="1529" spans="1:17" ht="11.1" customHeight="1">
      <c r="A1529" s="31" t="s">
        <v>9190</v>
      </c>
      <c r="B1529" s="187" t="s">
        <v>8615</v>
      </c>
      <c r="C1529" s="187">
        <v>1</v>
      </c>
      <c r="D1529" s="36" t="s">
        <v>9191</v>
      </c>
      <c r="E1529" s="195" t="s">
        <v>6251</v>
      </c>
      <c r="F1529" s="36" t="s">
        <v>7204</v>
      </c>
      <c r="G1529" s="36">
        <v>40</v>
      </c>
      <c r="H1529" s="36" t="s">
        <v>0</v>
      </c>
      <c r="I1529" s="36" t="s">
        <v>8586</v>
      </c>
      <c r="J1529" s="36" t="s">
        <v>6253</v>
      </c>
      <c r="K1529" s="36" t="s">
        <v>6053</v>
      </c>
      <c r="L1529" s="36" t="s">
        <v>6036</v>
      </c>
      <c r="M1529" s="36"/>
      <c r="N1529" s="43" t="s">
        <v>6779</v>
      </c>
      <c r="O1529" s="1409"/>
      <c r="P1529" s="1393"/>
      <c r="Q1529" s="1396"/>
    </row>
    <row r="1530" spans="1:17" ht="11.1" customHeight="1">
      <c r="A1530" s="31" t="s">
        <v>9192</v>
      </c>
      <c r="B1530" s="187" t="s">
        <v>8615</v>
      </c>
      <c r="C1530" s="187">
        <v>1</v>
      </c>
      <c r="D1530" s="36" t="s">
        <v>9136</v>
      </c>
      <c r="E1530" s="195" t="s">
        <v>6251</v>
      </c>
      <c r="F1530" s="36" t="s">
        <v>7220</v>
      </c>
      <c r="G1530" s="36">
        <v>62</v>
      </c>
      <c r="H1530" s="36" t="s">
        <v>0</v>
      </c>
      <c r="I1530" s="36" t="s">
        <v>8586</v>
      </c>
      <c r="J1530" s="36" t="s">
        <v>6253</v>
      </c>
      <c r="K1530" s="36" t="s">
        <v>24</v>
      </c>
      <c r="L1530" s="36" t="s">
        <v>6209</v>
      </c>
      <c r="M1530" s="36">
        <v>9</v>
      </c>
      <c r="N1530" s="43" t="s">
        <v>6779</v>
      </c>
      <c r="O1530" s="1409"/>
      <c r="P1530" s="1393"/>
      <c r="Q1530" s="1396"/>
    </row>
    <row r="1531" spans="1:17" ht="11.1" customHeight="1">
      <c r="A1531" s="31" t="s">
        <v>9193</v>
      </c>
      <c r="B1531" s="187" t="s">
        <v>8615</v>
      </c>
      <c r="C1531" s="187">
        <v>1</v>
      </c>
      <c r="D1531" s="36" t="s">
        <v>9130</v>
      </c>
      <c r="E1531" s="195" t="s">
        <v>6251</v>
      </c>
      <c r="F1531" s="36" t="s">
        <v>7228</v>
      </c>
      <c r="G1531" s="36">
        <v>52</v>
      </c>
      <c r="H1531" s="36" t="s">
        <v>0</v>
      </c>
      <c r="I1531" s="36" t="s">
        <v>8586</v>
      </c>
      <c r="J1531" s="36" t="s">
        <v>6253</v>
      </c>
      <c r="K1531" s="36" t="s">
        <v>24</v>
      </c>
      <c r="L1531" s="36" t="s">
        <v>6209</v>
      </c>
      <c r="M1531" s="36">
        <v>4</v>
      </c>
      <c r="N1531" s="43" t="s">
        <v>6779</v>
      </c>
      <c r="O1531" s="1409"/>
      <c r="P1531" s="1393"/>
      <c r="Q1531" s="1396"/>
    </row>
    <row r="1532" spans="1:17" ht="11.1" customHeight="1">
      <c r="A1532" s="31" t="s">
        <v>9194</v>
      </c>
      <c r="B1532" s="187" t="s">
        <v>8615</v>
      </c>
      <c r="C1532" s="187">
        <v>1</v>
      </c>
      <c r="D1532" s="36" t="s">
        <v>9126</v>
      </c>
      <c r="E1532" s="195" t="s">
        <v>6251</v>
      </c>
      <c r="F1532" s="36" t="s">
        <v>7238</v>
      </c>
      <c r="G1532" s="36">
        <v>45</v>
      </c>
      <c r="H1532" s="36" t="s">
        <v>0</v>
      </c>
      <c r="I1532" s="36" t="s">
        <v>8586</v>
      </c>
      <c r="J1532" s="36" t="s">
        <v>6253</v>
      </c>
      <c r="K1532" s="36" t="s">
        <v>6053</v>
      </c>
      <c r="L1532" s="36" t="s">
        <v>6209</v>
      </c>
      <c r="M1532" s="36">
        <v>3</v>
      </c>
      <c r="N1532" s="43" t="s">
        <v>6779</v>
      </c>
      <c r="O1532" s="1409"/>
      <c r="P1532" s="1393"/>
      <c r="Q1532" s="1396"/>
    </row>
    <row r="1533" spans="1:17" ht="11.1" customHeight="1">
      <c r="A1533" s="31" t="s">
        <v>9195</v>
      </c>
      <c r="B1533" s="187" t="s">
        <v>8615</v>
      </c>
      <c r="C1533" s="187">
        <v>1</v>
      </c>
      <c r="D1533" s="36" t="s">
        <v>9134</v>
      </c>
      <c r="E1533" s="195" t="s">
        <v>6251</v>
      </c>
      <c r="F1533" s="36" t="s">
        <v>7246</v>
      </c>
      <c r="G1533" s="36">
        <v>47</v>
      </c>
      <c r="H1533" s="36" t="s">
        <v>0</v>
      </c>
      <c r="I1533" s="36" t="s">
        <v>8586</v>
      </c>
      <c r="J1533" s="36" t="s">
        <v>6253</v>
      </c>
      <c r="K1533" s="36" t="s">
        <v>6053</v>
      </c>
      <c r="L1533" s="36" t="s">
        <v>6209</v>
      </c>
      <c r="M1533" s="36">
        <v>2</v>
      </c>
      <c r="N1533" s="43" t="s">
        <v>6779</v>
      </c>
      <c r="O1533" s="1409"/>
      <c r="P1533" s="1393"/>
      <c r="Q1533" s="1396"/>
    </row>
    <row r="1534" spans="1:17" ht="11.1" customHeight="1">
      <c r="A1534" s="31" t="s">
        <v>9196</v>
      </c>
      <c r="B1534" s="187" t="s">
        <v>8615</v>
      </c>
      <c r="C1534" s="187">
        <v>1</v>
      </c>
      <c r="D1534" s="36" t="s">
        <v>9122</v>
      </c>
      <c r="E1534" s="195" t="s">
        <v>6251</v>
      </c>
      <c r="F1534" s="36" t="s">
        <v>7254</v>
      </c>
      <c r="G1534" s="36">
        <v>42</v>
      </c>
      <c r="H1534" s="36" t="s">
        <v>0</v>
      </c>
      <c r="I1534" s="36" t="s">
        <v>8586</v>
      </c>
      <c r="J1534" s="36" t="s">
        <v>6253</v>
      </c>
      <c r="K1534" s="36" t="s">
        <v>7062</v>
      </c>
      <c r="L1534" s="36" t="s">
        <v>6283</v>
      </c>
      <c r="M1534" s="36">
        <v>2</v>
      </c>
      <c r="N1534" s="43" t="s">
        <v>6779</v>
      </c>
      <c r="O1534" s="1409"/>
      <c r="P1534" s="1393"/>
      <c r="Q1534" s="1396"/>
    </row>
    <row r="1535" spans="1:17" ht="11.1" customHeight="1">
      <c r="A1535" s="31" t="s">
        <v>9197</v>
      </c>
      <c r="B1535" s="187" t="s">
        <v>8615</v>
      </c>
      <c r="C1535" s="187">
        <v>1</v>
      </c>
      <c r="D1535" s="36" t="s">
        <v>9128</v>
      </c>
      <c r="E1535" s="195" t="s">
        <v>6251</v>
      </c>
      <c r="F1535" s="36" t="s">
        <v>7262</v>
      </c>
      <c r="G1535" s="36">
        <v>41</v>
      </c>
      <c r="H1535" s="36" t="s">
        <v>6049</v>
      </c>
      <c r="I1535" s="36" t="s">
        <v>8586</v>
      </c>
      <c r="J1535" s="36" t="s">
        <v>6253</v>
      </c>
      <c r="K1535" s="36" t="s">
        <v>24</v>
      </c>
      <c r="L1535" s="36" t="s">
        <v>6036</v>
      </c>
      <c r="M1535" s="36"/>
      <c r="N1535" s="43" t="s">
        <v>6779</v>
      </c>
      <c r="O1535" s="1409"/>
      <c r="P1535" s="1393"/>
      <c r="Q1535" s="1396"/>
    </row>
    <row r="1536" spans="1:17" ht="11.1" customHeight="1">
      <c r="A1536" s="44" t="s">
        <v>9198</v>
      </c>
      <c r="B1536" s="190" t="s">
        <v>8615</v>
      </c>
      <c r="C1536" s="190">
        <v>1</v>
      </c>
      <c r="D1536" s="141" t="s">
        <v>9116</v>
      </c>
      <c r="E1536" s="196" t="s">
        <v>6251</v>
      </c>
      <c r="F1536" s="141" t="s">
        <v>7270</v>
      </c>
      <c r="G1536" s="141">
        <v>53</v>
      </c>
      <c r="H1536" s="141" t="s">
        <v>0</v>
      </c>
      <c r="I1536" s="141" t="s">
        <v>8586</v>
      </c>
      <c r="J1536" s="141" t="s">
        <v>6253</v>
      </c>
      <c r="K1536" s="141" t="s">
        <v>24</v>
      </c>
      <c r="L1536" s="141" t="s">
        <v>6283</v>
      </c>
      <c r="M1536" s="141">
        <v>2</v>
      </c>
      <c r="N1536" s="50" t="s">
        <v>6779</v>
      </c>
      <c r="O1536" s="1410"/>
      <c r="P1536" s="1394"/>
      <c r="Q1536" s="1397"/>
    </row>
    <row r="1537" spans="1:17" ht="11.1" customHeight="1">
      <c r="A1537" s="51" t="s">
        <v>9199</v>
      </c>
      <c r="B1537" s="197" t="s">
        <v>6217</v>
      </c>
      <c r="C1537" s="197">
        <v>1</v>
      </c>
      <c r="D1537" s="198" t="s">
        <v>8608</v>
      </c>
      <c r="E1537" s="199" t="s">
        <v>6262</v>
      </c>
      <c r="F1537" s="198" t="s">
        <v>9200</v>
      </c>
      <c r="G1537" s="198">
        <v>49</v>
      </c>
      <c r="H1537" s="198" t="s">
        <v>0</v>
      </c>
      <c r="I1537" s="198"/>
      <c r="J1537" s="198" t="s">
        <v>6929</v>
      </c>
      <c r="K1537" s="198"/>
      <c r="L1537" s="198" t="s">
        <v>6209</v>
      </c>
      <c r="M1537" s="198">
        <v>4</v>
      </c>
      <c r="N1537" s="200"/>
      <c r="O1537" s="1411">
        <v>2</v>
      </c>
      <c r="P1537" s="1392">
        <v>717199</v>
      </c>
      <c r="Q1537" s="1395" t="e">
        <f>P1537/SUM($P$322:$P$401)</f>
        <v>#DIV/0!</v>
      </c>
    </row>
    <row r="1538" spans="1:17" ht="11.1" customHeight="1">
      <c r="A1538" s="31" t="s">
        <v>9201</v>
      </c>
      <c r="B1538" s="231" t="s">
        <v>6217</v>
      </c>
      <c r="C1538" s="231">
        <v>2</v>
      </c>
      <c r="D1538" s="232" t="s">
        <v>8608</v>
      </c>
      <c r="E1538" s="233" t="s">
        <v>6262</v>
      </c>
      <c r="F1538" s="232" t="s">
        <v>9202</v>
      </c>
      <c r="G1538" s="232">
        <v>56</v>
      </c>
      <c r="H1538" s="232" t="s">
        <v>6049</v>
      </c>
      <c r="I1538" s="232"/>
      <c r="J1538" s="232" t="s">
        <v>6929</v>
      </c>
      <c r="K1538" s="232"/>
      <c r="L1538" s="232" t="s">
        <v>6209</v>
      </c>
      <c r="M1538" s="232">
        <v>2</v>
      </c>
      <c r="N1538" s="234"/>
      <c r="O1538" s="1412"/>
      <c r="P1538" s="1393"/>
      <c r="Q1538" s="1396"/>
    </row>
    <row r="1539" spans="1:17" ht="11.1" customHeight="1">
      <c r="A1539" s="31" t="s">
        <v>9203</v>
      </c>
      <c r="B1539" s="187"/>
      <c r="C1539" s="187">
        <v>3</v>
      </c>
      <c r="D1539" s="42" t="s">
        <v>8608</v>
      </c>
      <c r="E1539" s="188" t="s">
        <v>6262</v>
      </c>
      <c r="F1539" s="42" t="s">
        <v>9204</v>
      </c>
      <c r="G1539" s="42">
        <v>52</v>
      </c>
      <c r="H1539" s="42" t="s">
        <v>0</v>
      </c>
      <c r="I1539" s="42"/>
      <c r="J1539" s="42" t="s">
        <v>6929</v>
      </c>
      <c r="K1539" s="42"/>
      <c r="L1539" s="42" t="s">
        <v>6036</v>
      </c>
      <c r="M1539" s="42"/>
      <c r="N1539" s="207"/>
      <c r="O1539" s="1412"/>
      <c r="P1539" s="1393"/>
      <c r="Q1539" s="1396"/>
    </row>
    <row r="1540" spans="1:17" ht="11.1" customHeight="1">
      <c r="A1540" s="44" t="s">
        <v>9205</v>
      </c>
      <c r="B1540" s="190"/>
      <c r="C1540" s="190">
        <v>4</v>
      </c>
      <c r="D1540" s="49" t="s">
        <v>8608</v>
      </c>
      <c r="E1540" s="201" t="s">
        <v>6262</v>
      </c>
      <c r="F1540" s="49" t="s">
        <v>9206</v>
      </c>
      <c r="G1540" s="49">
        <v>51</v>
      </c>
      <c r="H1540" s="49" t="s">
        <v>0</v>
      </c>
      <c r="I1540" s="49"/>
      <c r="J1540" s="49" t="s">
        <v>6929</v>
      </c>
      <c r="K1540" s="49"/>
      <c r="L1540" s="49" t="s">
        <v>6036</v>
      </c>
      <c r="M1540" s="49"/>
      <c r="N1540" s="202"/>
      <c r="O1540" s="1413"/>
      <c r="P1540" s="1394"/>
      <c r="Q1540" s="1397"/>
    </row>
    <row r="1541" spans="1:17" ht="11.1" customHeight="1">
      <c r="A1541" s="51" t="s">
        <v>9207</v>
      </c>
      <c r="B1541" s="224" t="s">
        <v>6217</v>
      </c>
      <c r="C1541" s="224">
        <v>1</v>
      </c>
      <c r="D1541" s="225" t="s">
        <v>8608</v>
      </c>
      <c r="E1541" s="226" t="s">
        <v>6262</v>
      </c>
      <c r="F1541" s="225" t="s">
        <v>9208</v>
      </c>
      <c r="G1541" s="225">
        <v>56</v>
      </c>
      <c r="H1541" s="225" t="s">
        <v>0</v>
      </c>
      <c r="I1541" s="225"/>
      <c r="J1541" s="225" t="s">
        <v>6264</v>
      </c>
      <c r="K1541" s="225"/>
      <c r="L1541" s="225" t="s">
        <v>6209</v>
      </c>
      <c r="M1541" s="225">
        <v>1</v>
      </c>
      <c r="N1541" s="235"/>
      <c r="O1541" s="1402">
        <v>1</v>
      </c>
      <c r="P1541" s="1392">
        <v>665462</v>
      </c>
      <c r="Q1541" s="1395" t="e">
        <f>P1541/SUM($P$322:$P$401)</f>
        <v>#DIV/0!</v>
      </c>
    </row>
    <row r="1542" spans="1:17" ht="11.1" customHeight="1">
      <c r="A1542" s="31" t="s">
        <v>9209</v>
      </c>
      <c r="B1542" s="187"/>
      <c r="C1542" s="187">
        <v>2</v>
      </c>
      <c r="D1542" s="42" t="s">
        <v>8608</v>
      </c>
      <c r="E1542" s="188" t="s">
        <v>6262</v>
      </c>
      <c r="F1542" s="42" t="s">
        <v>9210</v>
      </c>
      <c r="G1542" s="42">
        <v>38</v>
      </c>
      <c r="H1542" s="42" t="s">
        <v>0</v>
      </c>
      <c r="I1542" s="42"/>
      <c r="J1542" s="42" t="s">
        <v>6264</v>
      </c>
      <c r="K1542" s="42"/>
      <c r="L1542" s="42" t="s">
        <v>6036</v>
      </c>
      <c r="M1542" s="42"/>
      <c r="N1542" s="207"/>
      <c r="O1542" s="1403"/>
      <c r="P1542" s="1393"/>
      <c r="Q1542" s="1396"/>
    </row>
    <row r="1543" spans="1:17" ht="11.1" customHeight="1">
      <c r="A1543" s="31" t="s">
        <v>9211</v>
      </c>
      <c r="B1543" s="187"/>
      <c r="C1543" s="187">
        <v>3</v>
      </c>
      <c r="D1543" s="42" t="s">
        <v>9126</v>
      </c>
      <c r="E1543" s="188">
        <v>23.09</v>
      </c>
      <c r="F1543" s="42" t="s">
        <v>7242</v>
      </c>
      <c r="G1543" s="42">
        <v>54</v>
      </c>
      <c r="H1543" s="42" t="s">
        <v>6049</v>
      </c>
      <c r="I1543" s="42" t="s">
        <v>8586</v>
      </c>
      <c r="J1543" s="42" t="s">
        <v>6264</v>
      </c>
      <c r="K1543" s="42"/>
      <c r="L1543" s="42" t="s">
        <v>6036</v>
      </c>
      <c r="M1543" s="42"/>
      <c r="N1543" s="207"/>
      <c r="O1543" s="1403"/>
      <c r="P1543" s="1393"/>
      <c r="Q1543" s="1396"/>
    </row>
    <row r="1544" spans="1:17" ht="11.1" customHeight="1">
      <c r="A1544" s="44" t="s">
        <v>9212</v>
      </c>
      <c r="B1544" s="190"/>
      <c r="C1544" s="190">
        <v>4</v>
      </c>
      <c r="D1544" s="49" t="s">
        <v>9154</v>
      </c>
      <c r="E1544" s="201">
        <v>31.06</v>
      </c>
      <c r="F1544" s="49" t="s">
        <v>7163</v>
      </c>
      <c r="G1544" s="49">
        <v>57</v>
      </c>
      <c r="H1544" s="49" t="s">
        <v>0</v>
      </c>
      <c r="I1544" s="49" t="s">
        <v>8586</v>
      </c>
      <c r="J1544" s="49" t="s">
        <v>6264</v>
      </c>
      <c r="K1544" s="49"/>
      <c r="L1544" s="49" t="s">
        <v>6036</v>
      </c>
      <c r="M1544" s="49"/>
      <c r="N1544" s="202"/>
      <c r="O1544" s="1404"/>
      <c r="P1544" s="1394"/>
      <c r="Q1544" s="1397"/>
    </row>
    <row r="1545" spans="1:17" ht="11.1" customHeight="1">
      <c r="A1545" s="51" t="s">
        <v>9213</v>
      </c>
      <c r="B1545" s="203"/>
      <c r="C1545" s="203">
        <v>1</v>
      </c>
      <c r="D1545" s="204" t="s">
        <v>9152</v>
      </c>
      <c r="E1545" s="205">
        <v>79.13</v>
      </c>
      <c r="F1545" s="204" t="s">
        <v>7136</v>
      </c>
      <c r="G1545" s="204">
        <v>53</v>
      </c>
      <c r="H1545" s="204" t="s">
        <v>0</v>
      </c>
      <c r="I1545" s="204" t="s">
        <v>8586</v>
      </c>
      <c r="J1545" s="204" t="s">
        <v>6278</v>
      </c>
      <c r="K1545" s="204"/>
      <c r="L1545" s="204" t="s">
        <v>6209</v>
      </c>
      <c r="M1545" s="204">
        <v>3</v>
      </c>
      <c r="N1545" s="230" t="s">
        <v>7137</v>
      </c>
      <c r="O1545" s="1405">
        <v>0</v>
      </c>
      <c r="P1545" s="1392">
        <v>299032</v>
      </c>
      <c r="Q1545" s="1395" t="e">
        <f>P1545/SUM($P$322:$P$401)</f>
        <v>#DIV/0!</v>
      </c>
    </row>
    <row r="1546" spans="1:17" ht="11.1" customHeight="1">
      <c r="A1546" s="44" t="s">
        <v>9214</v>
      </c>
      <c r="B1546" s="190"/>
      <c r="C1546" s="190">
        <v>2</v>
      </c>
      <c r="D1546" s="49" t="s">
        <v>8608</v>
      </c>
      <c r="E1546" s="201" t="s">
        <v>6262</v>
      </c>
      <c r="F1546" s="49" t="s">
        <v>9215</v>
      </c>
      <c r="G1546" s="49">
        <v>29</v>
      </c>
      <c r="H1546" s="49" t="s">
        <v>0</v>
      </c>
      <c r="I1546" s="49"/>
      <c r="J1546" s="49" t="s">
        <v>6278</v>
      </c>
      <c r="K1546" s="49"/>
      <c r="L1546" s="49" t="s">
        <v>6036</v>
      </c>
      <c r="M1546" s="49"/>
      <c r="N1546" s="202"/>
      <c r="O1546" s="1407"/>
      <c r="P1546" s="1394"/>
      <c r="Q1546" s="1397"/>
    </row>
    <row r="1547" spans="1:17" ht="11.1" customHeight="1">
      <c r="A1547" s="51" t="s">
        <v>9216</v>
      </c>
      <c r="B1547" s="203"/>
      <c r="C1547" s="203">
        <v>1</v>
      </c>
      <c r="D1547" s="204" t="s">
        <v>8608</v>
      </c>
      <c r="E1547" s="205" t="s">
        <v>6262</v>
      </c>
      <c r="F1547" s="204" t="s">
        <v>9217</v>
      </c>
      <c r="G1547" s="204">
        <v>75</v>
      </c>
      <c r="H1547" s="204" t="s">
        <v>0</v>
      </c>
      <c r="I1547" s="204"/>
      <c r="J1547" s="204" t="s">
        <v>7280</v>
      </c>
      <c r="K1547" s="204"/>
      <c r="L1547" s="204" t="s">
        <v>6036</v>
      </c>
      <c r="M1547" s="204"/>
      <c r="N1547" s="206"/>
      <c r="O1547" s="1389">
        <v>0</v>
      </c>
      <c r="P1547" s="1392">
        <v>86046</v>
      </c>
      <c r="Q1547" s="1395" t="e">
        <f>P1547/SUM($P$322:$P$401)</f>
        <v>#DIV/0!</v>
      </c>
    </row>
    <row r="1548" spans="1:17" ht="11.1" customHeight="1">
      <c r="A1548" s="44" t="s">
        <v>9218</v>
      </c>
      <c r="B1548" s="190"/>
      <c r="C1548" s="190">
        <v>2</v>
      </c>
      <c r="D1548" s="49" t="s">
        <v>9158</v>
      </c>
      <c r="E1548" s="201">
        <v>45.55</v>
      </c>
      <c r="F1548" s="49" t="s">
        <v>6185</v>
      </c>
      <c r="G1548" s="49">
        <v>53</v>
      </c>
      <c r="H1548" s="49" t="s">
        <v>0</v>
      </c>
      <c r="I1548" s="49" t="s">
        <v>8586</v>
      </c>
      <c r="J1548" s="49" t="s">
        <v>7280</v>
      </c>
      <c r="K1548" s="49"/>
      <c r="L1548" s="49" t="s">
        <v>6036</v>
      </c>
      <c r="M1548" s="49"/>
      <c r="N1548" s="50" t="s">
        <v>7281</v>
      </c>
      <c r="O1548" s="1391"/>
      <c r="P1548" s="1394"/>
      <c r="Q1548" s="1397"/>
    </row>
    <row r="1549" spans="1:17" ht="11.1" customHeight="1">
      <c r="A1549" s="236" t="s">
        <v>9219</v>
      </c>
      <c r="B1549" s="253" t="s">
        <v>6217</v>
      </c>
      <c r="C1549" s="253">
        <v>1</v>
      </c>
      <c r="D1549" s="254" t="s">
        <v>9120</v>
      </c>
      <c r="E1549" s="255">
        <v>36.909999999999997</v>
      </c>
      <c r="F1549" s="254" t="s">
        <v>7198</v>
      </c>
      <c r="G1549" s="254">
        <v>38</v>
      </c>
      <c r="H1549" s="254" t="s">
        <v>0</v>
      </c>
      <c r="I1549" s="254" t="s">
        <v>8586</v>
      </c>
      <c r="J1549" s="254" t="s">
        <v>6484</v>
      </c>
      <c r="K1549" s="254"/>
      <c r="L1549" s="254" t="s">
        <v>6036</v>
      </c>
      <c r="M1549" s="254"/>
      <c r="N1549" s="256"/>
      <c r="O1549" s="257">
        <v>1</v>
      </c>
      <c r="P1549" s="241">
        <v>419903</v>
      </c>
      <c r="Q1549" s="242" t="e">
        <f>P1549/SUM($P$322:$P$401)</f>
        <v>#DIV/0!</v>
      </c>
    </row>
    <row r="1550" spans="1:17" ht="11.1" customHeight="1">
      <c r="A1550" s="51" t="s">
        <v>9220</v>
      </c>
      <c r="B1550" s="203"/>
      <c r="C1550" s="203">
        <v>1</v>
      </c>
      <c r="D1550" s="204" t="s">
        <v>9154</v>
      </c>
      <c r="E1550" s="205">
        <v>97.04</v>
      </c>
      <c r="F1550" s="204" t="s">
        <v>7159</v>
      </c>
      <c r="G1550" s="204">
        <v>57</v>
      </c>
      <c r="H1550" s="204" t="s">
        <v>0</v>
      </c>
      <c r="I1550" s="204" t="s">
        <v>8586</v>
      </c>
      <c r="J1550" s="204" t="s">
        <v>7160</v>
      </c>
      <c r="K1550" s="204"/>
      <c r="L1550" s="204" t="s">
        <v>6036</v>
      </c>
      <c r="M1550" s="204"/>
      <c r="N1550" s="230" t="s">
        <v>7161</v>
      </c>
      <c r="O1550" s="1419">
        <v>0</v>
      </c>
      <c r="P1550" s="1392">
        <v>100381</v>
      </c>
      <c r="Q1550" s="1395" t="e">
        <f>P1550/SUM($P$322:$P$401)</f>
        <v>#DIV/0!</v>
      </c>
    </row>
    <row r="1551" spans="1:17" ht="11.1" customHeight="1">
      <c r="A1551" s="44" t="s">
        <v>9221</v>
      </c>
      <c r="B1551" s="190"/>
      <c r="C1551" s="190">
        <v>2</v>
      </c>
      <c r="D1551" s="49" t="s">
        <v>8608</v>
      </c>
      <c r="E1551" s="201" t="s">
        <v>6262</v>
      </c>
      <c r="F1551" s="49" t="s">
        <v>9222</v>
      </c>
      <c r="G1551" s="49">
        <v>60</v>
      </c>
      <c r="H1551" s="49" t="s">
        <v>0</v>
      </c>
      <c r="I1551" s="49"/>
      <c r="J1551" s="49" t="s">
        <v>7160</v>
      </c>
      <c r="K1551" s="49"/>
      <c r="L1551" s="49" t="s">
        <v>6036</v>
      </c>
      <c r="M1551" s="49"/>
      <c r="N1551" s="202"/>
      <c r="O1551" s="1420"/>
      <c r="P1551" s="1394"/>
      <c r="Q1551" s="1397"/>
    </row>
    <row r="1552" spans="1:17" ht="11.1" customHeight="1">
      <c r="A1552" s="31" t="s">
        <v>9223</v>
      </c>
      <c r="B1552" s="187"/>
      <c r="C1552" s="187">
        <v>1</v>
      </c>
      <c r="D1552" s="42" t="s">
        <v>8608</v>
      </c>
      <c r="E1552" s="188" t="s">
        <v>6262</v>
      </c>
      <c r="F1552" s="42" t="s">
        <v>9224</v>
      </c>
      <c r="G1552" s="42">
        <v>59</v>
      </c>
      <c r="H1552" s="42" t="s">
        <v>0</v>
      </c>
      <c r="I1552" s="42"/>
      <c r="J1552" s="42" t="s">
        <v>6267</v>
      </c>
      <c r="K1552" s="42" t="s">
        <v>6268</v>
      </c>
      <c r="L1552" s="42" t="s">
        <v>6036</v>
      </c>
      <c r="M1552" s="42"/>
      <c r="N1552" s="207"/>
      <c r="O1552" s="1398">
        <v>0</v>
      </c>
      <c r="P1552" s="1393">
        <v>35667</v>
      </c>
      <c r="Q1552" s="1396" t="e">
        <f>P1552/SUM($P$322:$P$401)</f>
        <v>#DIV/0!</v>
      </c>
    </row>
    <row r="1553" spans="1:17" ht="11.1" customHeight="1">
      <c r="A1553" s="31" t="s">
        <v>9225</v>
      </c>
      <c r="B1553" s="187"/>
      <c r="C1553" s="187">
        <v>2</v>
      </c>
      <c r="D1553" s="42" t="s">
        <v>8608</v>
      </c>
      <c r="E1553" s="188" t="s">
        <v>6262</v>
      </c>
      <c r="F1553" s="42" t="s">
        <v>9226</v>
      </c>
      <c r="G1553" s="42">
        <v>81</v>
      </c>
      <c r="H1553" s="42" t="s">
        <v>0</v>
      </c>
      <c r="I1553" s="42"/>
      <c r="J1553" s="42" t="s">
        <v>6267</v>
      </c>
      <c r="K1553" s="42" t="s">
        <v>6268</v>
      </c>
      <c r="L1553" s="42" t="s">
        <v>6036</v>
      </c>
      <c r="M1553" s="42"/>
      <c r="N1553" s="207"/>
      <c r="O1553" s="1398"/>
      <c r="P1553" s="1393"/>
      <c r="Q1553" s="1396"/>
    </row>
    <row r="1554" spans="1:17" ht="11.1" customHeight="1">
      <c r="A1554" s="31" t="s">
        <v>9227</v>
      </c>
      <c r="B1554" s="187"/>
      <c r="C1554" s="187">
        <v>3</v>
      </c>
      <c r="D1554" s="42" t="s">
        <v>8608</v>
      </c>
      <c r="E1554" s="188" t="s">
        <v>6262</v>
      </c>
      <c r="F1554" s="42" t="s">
        <v>9228</v>
      </c>
      <c r="G1554" s="42">
        <v>48</v>
      </c>
      <c r="H1554" s="42" t="s">
        <v>0</v>
      </c>
      <c r="I1554" s="42"/>
      <c r="J1554" s="42" t="s">
        <v>6267</v>
      </c>
      <c r="K1554" s="42" t="s">
        <v>6268</v>
      </c>
      <c r="L1554" s="42" t="s">
        <v>6036</v>
      </c>
      <c r="M1554" s="42"/>
      <c r="N1554" s="207"/>
      <c r="O1554" s="1398"/>
      <c r="P1554" s="1393"/>
      <c r="Q1554" s="1396"/>
    </row>
    <row r="1555" spans="1:17" ht="11.1" customHeight="1">
      <c r="A1555" s="31" t="s">
        <v>9229</v>
      </c>
      <c r="B1555" s="187"/>
      <c r="C1555" s="187">
        <v>4</v>
      </c>
      <c r="D1555" s="42" t="s">
        <v>8608</v>
      </c>
      <c r="E1555" s="188" t="s">
        <v>6262</v>
      </c>
      <c r="F1555" s="42" t="s">
        <v>9230</v>
      </c>
      <c r="G1555" s="42">
        <v>43</v>
      </c>
      <c r="H1555" s="42" t="s">
        <v>6049</v>
      </c>
      <c r="I1555" s="42"/>
      <c r="J1555" s="42" t="s">
        <v>6267</v>
      </c>
      <c r="K1555" s="42" t="s">
        <v>6268</v>
      </c>
      <c r="L1555" s="42" t="s">
        <v>6036</v>
      </c>
      <c r="M1555" s="42"/>
      <c r="N1555" s="207"/>
      <c r="O1555" s="1398"/>
      <c r="P1555" s="1393"/>
      <c r="Q1555" s="1396"/>
    </row>
    <row r="1556" spans="1:17" ht="11.1" customHeight="1">
      <c r="A1556" s="31" t="s">
        <v>9231</v>
      </c>
      <c r="B1556" s="187"/>
      <c r="C1556" s="187">
        <v>5</v>
      </c>
      <c r="D1556" s="42" t="s">
        <v>8608</v>
      </c>
      <c r="E1556" s="188" t="s">
        <v>6262</v>
      </c>
      <c r="F1556" s="42" t="s">
        <v>9232</v>
      </c>
      <c r="G1556" s="42">
        <v>47</v>
      </c>
      <c r="H1556" s="42" t="s">
        <v>0</v>
      </c>
      <c r="I1556" s="42"/>
      <c r="J1556" s="42" t="s">
        <v>6267</v>
      </c>
      <c r="K1556" s="42" t="s">
        <v>6268</v>
      </c>
      <c r="L1556" s="42" t="s">
        <v>6036</v>
      </c>
      <c r="M1556" s="42"/>
      <c r="N1556" s="207"/>
      <c r="O1556" s="1398"/>
      <c r="P1556" s="1393"/>
      <c r="Q1556" s="1396"/>
    </row>
    <row r="1557" spans="1:17" ht="11.1" customHeight="1">
      <c r="A1557" s="31" t="s">
        <v>9233</v>
      </c>
      <c r="B1557" s="187"/>
      <c r="C1557" s="187">
        <v>6</v>
      </c>
      <c r="D1557" s="42" t="s">
        <v>8608</v>
      </c>
      <c r="E1557" s="188" t="s">
        <v>6262</v>
      </c>
      <c r="F1557" s="42" t="s">
        <v>9234</v>
      </c>
      <c r="G1557" s="42">
        <v>57</v>
      </c>
      <c r="H1557" s="42" t="s">
        <v>0</v>
      </c>
      <c r="I1557" s="42"/>
      <c r="J1557" s="42" t="s">
        <v>6267</v>
      </c>
      <c r="K1557" s="42" t="s">
        <v>6268</v>
      </c>
      <c r="L1557" s="42" t="s">
        <v>6036</v>
      </c>
      <c r="M1557" s="42"/>
      <c r="N1557" s="207"/>
      <c r="O1557" s="1398"/>
      <c r="P1557" s="1393"/>
      <c r="Q1557" s="1396"/>
    </row>
    <row r="1558" spans="1:17" ht="11.1" customHeight="1" thickBot="1">
      <c r="A1558" s="73" t="s">
        <v>9235</v>
      </c>
      <c r="B1558" s="215"/>
      <c r="C1558" s="215">
        <v>7</v>
      </c>
      <c r="D1558" s="78" t="s">
        <v>8608</v>
      </c>
      <c r="E1558" s="216" t="s">
        <v>6262</v>
      </c>
      <c r="F1558" s="78" t="s">
        <v>9236</v>
      </c>
      <c r="G1558" s="78">
        <v>42</v>
      </c>
      <c r="H1558" s="78" t="s">
        <v>0</v>
      </c>
      <c r="I1558" s="78"/>
      <c r="J1558" s="78" t="s">
        <v>6267</v>
      </c>
      <c r="K1558" s="78" t="s">
        <v>6268</v>
      </c>
      <c r="L1558" s="78" t="s">
        <v>6036</v>
      </c>
      <c r="M1558" s="78"/>
      <c r="N1558" s="218"/>
      <c r="O1558" s="1399"/>
      <c r="P1558" s="1400"/>
      <c r="Q1558" s="1401"/>
    </row>
    <row r="1559" spans="1:17" ht="11.1" customHeight="1">
      <c r="A1559" s="80" t="s">
        <v>9237</v>
      </c>
      <c r="B1559" s="219" t="s">
        <v>6217</v>
      </c>
      <c r="C1559" s="219">
        <v>1</v>
      </c>
      <c r="D1559" s="112" t="s">
        <v>8608</v>
      </c>
      <c r="E1559" s="220" t="s">
        <v>6262</v>
      </c>
      <c r="F1559" s="112" t="s">
        <v>9238</v>
      </c>
      <c r="G1559" s="112">
        <v>58</v>
      </c>
      <c r="H1559" s="112" t="s">
        <v>0</v>
      </c>
      <c r="I1559" s="112"/>
      <c r="J1559" s="112" t="s">
        <v>6257</v>
      </c>
      <c r="K1559" s="112" t="s">
        <v>6311</v>
      </c>
      <c r="L1559" s="112" t="s">
        <v>6209</v>
      </c>
      <c r="M1559" s="112">
        <v>1</v>
      </c>
      <c r="N1559" s="258" t="s">
        <v>7931</v>
      </c>
      <c r="O1559" s="1414">
        <v>4</v>
      </c>
      <c r="P1559" s="1417">
        <v>1333082</v>
      </c>
      <c r="Q1559" s="1418" t="e">
        <f>P1559/SUM($P$402:$P$463)</f>
        <v>#DIV/0!</v>
      </c>
    </row>
    <row r="1560" spans="1:17" ht="11.1" customHeight="1">
      <c r="A1560" s="31" t="s">
        <v>9239</v>
      </c>
      <c r="B1560" s="185" t="s">
        <v>6217</v>
      </c>
      <c r="C1560" s="185">
        <v>2</v>
      </c>
      <c r="D1560" s="59" t="s">
        <v>9240</v>
      </c>
      <c r="E1560" s="186">
        <v>97.79</v>
      </c>
      <c r="F1560" s="59" t="s">
        <v>7375</v>
      </c>
      <c r="G1560" s="59">
        <v>63</v>
      </c>
      <c r="H1560" s="59" t="s">
        <v>0</v>
      </c>
      <c r="I1560" s="59" t="s">
        <v>8586</v>
      </c>
      <c r="J1560" s="59" t="s">
        <v>6257</v>
      </c>
      <c r="K1560" s="59" t="s">
        <v>6286</v>
      </c>
      <c r="L1560" s="59" t="s">
        <v>6209</v>
      </c>
      <c r="M1560" s="59">
        <v>1</v>
      </c>
      <c r="N1560" s="133" t="s">
        <v>6260</v>
      </c>
      <c r="O1560" s="1415"/>
      <c r="P1560" s="1393"/>
      <c r="Q1560" s="1396"/>
    </row>
    <row r="1561" spans="1:17" ht="11.1" customHeight="1">
      <c r="A1561" s="31" t="s">
        <v>9241</v>
      </c>
      <c r="B1561" s="185" t="s">
        <v>6217</v>
      </c>
      <c r="C1561" s="185">
        <v>2</v>
      </c>
      <c r="D1561" s="59" t="s">
        <v>9242</v>
      </c>
      <c r="E1561" s="186">
        <v>93.24</v>
      </c>
      <c r="F1561" s="59" t="s">
        <v>7361</v>
      </c>
      <c r="G1561" s="59">
        <v>48</v>
      </c>
      <c r="H1561" s="59" t="s">
        <v>0</v>
      </c>
      <c r="I1561" s="59" t="s">
        <v>8586</v>
      </c>
      <c r="J1561" s="59" t="s">
        <v>6257</v>
      </c>
      <c r="K1561" s="59" t="s">
        <v>6286</v>
      </c>
      <c r="L1561" s="59" t="s">
        <v>6209</v>
      </c>
      <c r="M1561" s="59">
        <v>3</v>
      </c>
      <c r="N1561" s="133" t="s">
        <v>6260</v>
      </c>
      <c r="O1561" s="1415"/>
      <c r="P1561" s="1393"/>
      <c r="Q1561" s="1396"/>
    </row>
    <row r="1562" spans="1:17" ht="11.1" customHeight="1">
      <c r="A1562" s="31" t="s">
        <v>9243</v>
      </c>
      <c r="B1562" s="185" t="s">
        <v>6217</v>
      </c>
      <c r="C1562" s="185">
        <v>2</v>
      </c>
      <c r="D1562" s="59" t="s">
        <v>9244</v>
      </c>
      <c r="E1562" s="186">
        <v>90.78</v>
      </c>
      <c r="F1562" s="59" t="s">
        <v>7337</v>
      </c>
      <c r="G1562" s="59">
        <v>65</v>
      </c>
      <c r="H1562" s="59" t="s">
        <v>0</v>
      </c>
      <c r="I1562" s="59" t="s">
        <v>8586</v>
      </c>
      <c r="J1562" s="59" t="s">
        <v>6257</v>
      </c>
      <c r="K1562" s="59" t="s">
        <v>6286</v>
      </c>
      <c r="L1562" s="59" t="s">
        <v>6209</v>
      </c>
      <c r="M1562" s="59">
        <v>6</v>
      </c>
      <c r="N1562" s="133" t="s">
        <v>6260</v>
      </c>
      <c r="O1562" s="1415"/>
      <c r="P1562" s="1393"/>
      <c r="Q1562" s="1396"/>
    </row>
    <row r="1563" spans="1:17" ht="11.1" customHeight="1">
      <c r="A1563" s="31" t="s">
        <v>9245</v>
      </c>
      <c r="B1563" s="187"/>
      <c r="C1563" s="187">
        <v>2</v>
      </c>
      <c r="D1563" s="42" t="s">
        <v>9246</v>
      </c>
      <c r="E1563" s="188">
        <v>85.59</v>
      </c>
      <c r="F1563" s="42" t="s">
        <v>7436</v>
      </c>
      <c r="G1563" s="42">
        <v>51</v>
      </c>
      <c r="H1563" s="42" t="s">
        <v>0</v>
      </c>
      <c r="I1563" s="42" t="s">
        <v>8586</v>
      </c>
      <c r="J1563" s="42" t="s">
        <v>6257</v>
      </c>
      <c r="K1563" s="42" t="s">
        <v>6286</v>
      </c>
      <c r="L1563" s="42" t="s">
        <v>6209</v>
      </c>
      <c r="M1563" s="42">
        <v>2</v>
      </c>
      <c r="N1563" s="43" t="s">
        <v>6260</v>
      </c>
      <c r="O1563" s="1415"/>
      <c r="P1563" s="1393"/>
      <c r="Q1563" s="1396"/>
    </row>
    <row r="1564" spans="1:17" ht="11.1" customHeight="1">
      <c r="A1564" s="31" t="s">
        <v>9247</v>
      </c>
      <c r="B1564" s="187"/>
      <c r="C1564" s="187">
        <v>2</v>
      </c>
      <c r="D1564" s="42" t="s">
        <v>9248</v>
      </c>
      <c r="E1564" s="188">
        <v>83.77</v>
      </c>
      <c r="F1564" s="42" t="s">
        <v>7319</v>
      </c>
      <c r="G1564" s="42">
        <v>41</v>
      </c>
      <c r="H1564" s="42" t="s">
        <v>0</v>
      </c>
      <c r="I1564" s="42" t="s">
        <v>8586</v>
      </c>
      <c r="J1564" s="42" t="s">
        <v>6257</v>
      </c>
      <c r="K1564" s="42" t="s">
        <v>6258</v>
      </c>
      <c r="L1564" s="42" t="s">
        <v>6036</v>
      </c>
      <c r="M1564" s="42"/>
      <c r="N1564" s="43" t="s">
        <v>6050</v>
      </c>
      <c r="O1564" s="1415"/>
      <c r="P1564" s="1393"/>
      <c r="Q1564" s="1396"/>
    </row>
    <row r="1565" spans="1:17" ht="11.1" customHeight="1">
      <c r="A1565" s="31" t="s">
        <v>9249</v>
      </c>
      <c r="B1565" s="187"/>
      <c r="C1565" s="187">
        <v>2</v>
      </c>
      <c r="D1565" s="42" t="s">
        <v>9250</v>
      </c>
      <c r="E1565" s="188">
        <v>76.89</v>
      </c>
      <c r="F1565" s="42" t="s">
        <v>7420</v>
      </c>
      <c r="G1565" s="42">
        <v>66</v>
      </c>
      <c r="H1565" s="42" t="s">
        <v>0</v>
      </c>
      <c r="I1565" s="42" t="s">
        <v>8586</v>
      </c>
      <c r="J1565" s="42" t="s">
        <v>6257</v>
      </c>
      <c r="K1565" s="42" t="s">
        <v>6273</v>
      </c>
      <c r="L1565" s="42" t="s">
        <v>6283</v>
      </c>
      <c r="M1565" s="42">
        <v>2</v>
      </c>
      <c r="N1565" s="43" t="s">
        <v>6260</v>
      </c>
      <c r="O1565" s="1415"/>
      <c r="P1565" s="1393"/>
      <c r="Q1565" s="1396"/>
    </row>
    <row r="1566" spans="1:17" ht="11.1" customHeight="1">
      <c r="A1566" s="31" t="s">
        <v>9251</v>
      </c>
      <c r="B1566" s="187"/>
      <c r="C1566" s="187">
        <v>2</v>
      </c>
      <c r="D1566" s="42" t="s">
        <v>9252</v>
      </c>
      <c r="E1566" s="188">
        <v>76.84</v>
      </c>
      <c r="F1566" s="42" t="s">
        <v>7400</v>
      </c>
      <c r="G1566" s="42">
        <v>63</v>
      </c>
      <c r="H1566" s="42" t="s">
        <v>0</v>
      </c>
      <c r="I1566" s="42" t="s">
        <v>8586</v>
      </c>
      <c r="J1566" s="42" t="s">
        <v>6257</v>
      </c>
      <c r="K1566" s="42" t="s">
        <v>6273</v>
      </c>
      <c r="L1566" s="42" t="s">
        <v>6209</v>
      </c>
      <c r="M1566" s="42">
        <v>6</v>
      </c>
      <c r="N1566" s="43" t="s">
        <v>6260</v>
      </c>
      <c r="O1566" s="1415"/>
      <c r="P1566" s="1393"/>
      <c r="Q1566" s="1396"/>
    </row>
    <row r="1567" spans="1:17" ht="11.1" customHeight="1">
      <c r="A1567" s="31" t="s">
        <v>9253</v>
      </c>
      <c r="B1567" s="187"/>
      <c r="C1567" s="187">
        <v>2</v>
      </c>
      <c r="D1567" s="42" t="s">
        <v>9254</v>
      </c>
      <c r="E1567" s="188">
        <v>71.8</v>
      </c>
      <c r="F1567" s="42" t="s">
        <v>7329</v>
      </c>
      <c r="G1567" s="42">
        <v>48</v>
      </c>
      <c r="H1567" s="42" t="s">
        <v>0</v>
      </c>
      <c r="I1567" s="42" t="s">
        <v>8586</v>
      </c>
      <c r="J1567" s="42" t="s">
        <v>6257</v>
      </c>
      <c r="K1567" s="42" t="s">
        <v>6286</v>
      </c>
      <c r="L1567" s="42" t="s">
        <v>6209</v>
      </c>
      <c r="M1567" s="42">
        <v>1</v>
      </c>
      <c r="N1567" s="43" t="s">
        <v>6050</v>
      </c>
      <c r="O1567" s="1415"/>
      <c r="P1567" s="1393"/>
      <c r="Q1567" s="1396"/>
    </row>
    <row r="1568" spans="1:17" ht="11.1" customHeight="1">
      <c r="A1568" s="31" t="s">
        <v>9255</v>
      </c>
      <c r="B1568" s="187"/>
      <c r="C1568" s="187">
        <v>2</v>
      </c>
      <c r="D1568" s="42" t="s">
        <v>9256</v>
      </c>
      <c r="E1568" s="188">
        <v>70.88</v>
      </c>
      <c r="F1568" s="42" t="s">
        <v>7299</v>
      </c>
      <c r="G1568" s="42">
        <v>55</v>
      </c>
      <c r="H1568" s="42" t="s">
        <v>0</v>
      </c>
      <c r="I1568" s="42" t="s">
        <v>8586</v>
      </c>
      <c r="J1568" s="42" t="s">
        <v>6257</v>
      </c>
      <c r="K1568" s="42" t="s">
        <v>6402</v>
      </c>
      <c r="L1568" s="42" t="s">
        <v>6209</v>
      </c>
      <c r="M1568" s="42">
        <v>3</v>
      </c>
      <c r="N1568" s="43" t="s">
        <v>6050</v>
      </c>
      <c r="O1568" s="1415"/>
      <c r="P1568" s="1393"/>
      <c r="Q1568" s="1396"/>
    </row>
    <row r="1569" spans="1:17" ht="11.1" customHeight="1">
      <c r="A1569" s="31" t="s">
        <v>9257</v>
      </c>
      <c r="B1569" s="187"/>
      <c r="C1569" s="187">
        <v>2</v>
      </c>
      <c r="D1569" s="42" t="s">
        <v>9258</v>
      </c>
      <c r="E1569" s="188">
        <v>59.4</v>
      </c>
      <c r="F1569" s="42" t="s">
        <v>7428</v>
      </c>
      <c r="G1569" s="42">
        <v>53</v>
      </c>
      <c r="H1569" s="42" t="s">
        <v>0</v>
      </c>
      <c r="I1569" s="42" t="s">
        <v>8586</v>
      </c>
      <c r="J1569" s="42" t="s">
        <v>6257</v>
      </c>
      <c r="K1569" s="42" t="s">
        <v>6258</v>
      </c>
      <c r="L1569" s="42" t="s">
        <v>6209</v>
      </c>
      <c r="M1569" s="42">
        <v>3</v>
      </c>
      <c r="N1569" s="43" t="s">
        <v>6260</v>
      </c>
      <c r="O1569" s="1415"/>
      <c r="P1569" s="1393"/>
      <c r="Q1569" s="1396"/>
    </row>
    <row r="1570" spans="1:17" ht="11.1" customHeight="1">
      <c r="A1570" s="31" t="s">
        <v>9259</v>
      </c>
      <c r="B1570" s="187"/>
      <c r="C1570" s="187">
        <v>2</v>
      </c>
      <c r="D1570" s="42" t="s">
        <v>9260</v>
      </c>
      <c r="E1570" s="188">
        <v>57.43</v>
      </c>
      <c r="F1570" s="42" t="s">
        <v>7313</v>
      </c>
      <c r="G1570" s="42">
        <v>38</v>
      </c>
      <c r="H1570" s="42" t="s">
        <v>0</v>
      </c>
      <c r="I1570" s="42" t="s">
        <v>8586</v>
      </c>
      <c r="J1570" s="42" t="s">
        <v>6257</v>
      </c>
      <c r="K1570" s="42" t="s">
        <v>6402</v>
      </c>
      <c r="L1570" s="42" t="s">
        <v>6036</v>
      </c>
      <c r="M1570" s="42"/>
      <c r="N1570" s="43" t="s">
        <v>6050</v>
      </c>
      <c r="O1570" s="1415"/>
      <c r="P1570" s="1393"/>
      <c r="Q1570" s="1396"/>
    </row>
    <row r="1571" spans="1:17" ht="11.1" customHeight="1">
      <c r="A1571" s="31" t="s">
        <v>9261</v>
      </c>
      <c r="B1571" s="187"/>
      <c r="C1571" s="187">
        <v>2</v>
      </c>
      <c r="D1571" s="42" t="s">
        <v>9262</v>
      </c>
      <c r="E1571" s="188">
        <v>53.5</v>
      </c>
      <c r="F1571" s="42" t="s">
        <v>7291</v>
      </c>
      <c r="G1571" s="42">
        <v>69</v>
      </c>
      <c r="H1571" s="42" t="s">
        <v>0</v>
      </c>
      <c r="I1571" s="42" t="s">
        <v>8586</v>
      </c>
      <c r="J1571" s="42" t="s">
        <v>6257</v>
      </c>
      <c r="K1571" s="42" t="s">
        <v>6311</v>
      </c>
      <c r="L1571" s="42" t="s">
        <v>6209</v>
      </c>
      <c r="M1571" s="42">
        <v>3</v>
      </c>
      <c r="N1571" s="43" t="s">
        <v>6050</v>
      </c>
      <c r="O1571" s="1415"/>
      <c r="P1571" s="1393"/>
      <c r="Q1571" s="1396"/>
    </row>
    <row r="1572" spans="1:17" ht="11.1" customHeight="1">
      <c r="A1572" s="31" t="s">
        <v>9263</v>
      </c>
      <c r="B1572" s="187"/>
      <c r="C1572" s="187">
        <v>2</v>
      </c>
      <c r="D1572" s="42" t="s">
        <v>9264</v>
      </c>
      <c r="E1572" s="188">
        <v>49.96</v>
      </c>
      <c r="F1572" s="42" t="s">
        <v>7408</v>
      </c>
      <c r="G1572" s="42">
        <v>53</v>
      </c>
      <c r="H1572" s="42" t="s">
        <v>0</v>
      </c>
      <c r="I1572" s="42" t="s">
        <v>8586</v>
      </c>
      <c r="J1572" s="42" t="s">
        <v>6257</v>
      </c>
      <c r="K1572" s="42" t="s">
        <v>6258</v>
      </c>
      <c r="L1572" s="42" t="s">
        <v>6036</v>
      </c>
      <c r="M1572" s="42"/>
      <c r="N1572" s="43" t="s">
        <v>6260</v>
      </c>
      <c r="O1572" s="1415"/>
      <c r="P1572" s="1393"/>
      <c r="Q1572" s="1396"/>
    </row>
    <row r="1573" spans="1:17" ht="11.1" customHeight="1">
      <c r="A1573" s="31" t="s">
        <v>9265</v>
      </c>
      <c r="B1573" s="187"/>
      <c r="C1573" s="187">
        <v>2</v>
      </c>
      <c r="D1573" s="42" t="s">
        <v>9266</v>
      </c>
      <c r="E1573" s="188">
        <v>49.72</v>
      </c>
      <c r="F1573" s="42" t="s">
        <v>7307</v>
      </c>
      <c r="G1573" s="42">
        <v>65</v>
      </c>
      <c r="H1573" s="42" t="s">
        <v>0</v>
      </c>
      <c r="I1573" s="42" t="s">
        <v>8586</v>
      </c>
      <c r="J1573" s="42" t="s">
        <v>6257</v>
      </c>
      <c r="K1573" s="42" t="s">
        <v>6350</v>
      </c>
      <c r="L1573" s="42" t="s">
        <v>6209</v>
      </c>
      <c r="M1573" s="42">
        <v>5</v>
      </c>
      <c r="N1573" s="43" t="s">
        <v>6050</v>
      </c>
      <c r="O1573" s="1415"/>
      <c r="P1573" s="1393"/>
      <c r="Q1573" s="1396"/>
    </row>
    <row r="1574" spans="1:17" ht="11.1" customHeight="1">
      <c r="A1574" s="31" t="s">
        <v>9267</v>
      </c>
      <c r="B1574" s="187" t="s">
        <v>8615</v>
      </c>
      <c r="C1574" s="187">
        <v>2</v>
      </c>
      <c r="D1574" s="59" t="s">
        <v>9268</v>
      </c>
      <c r="E1574" s="186" t="s">
        <v>6251</v>
      </c>
      <c r="F1574" s="59" t="s">
        <v>7343</v>
      </c>
      <c r="G1574" s="59">
        <v>58</v>
      </c>
      <c r="H1574" s="59" t="s">
        <v>0</v>
      </c>
      <c r="I1574" s="59" t="s">
        <v>8586</v>
      </c>
      <c r="J1574" s="59" t="s">
        <v>6257</v>
      </c>
      <c r="K1574" s="59" t="s">
        <v>6402</v>
      </c>
      <c r="L1574" s="59" t="s">
        <v>6209</v>
      </c>
      <c r="M1574" s="59">
        <v>4</v>
      </c>
      <c r="N1574" s="43" t="s">
        <v>6260</v>
      </c>
      <c r="O1574" s="1415"/>
      <c r="P1574" s="1393"/>
      <c r="Q1574" s="1396"/>
    </row>
    <row r="1575" spans="1:17" ht="11.1" customHeight="1">
      <c r="A1575" s="31" t="s">
        <v>9269</v>
      </c>
      <c r="B1575" s="187" t="s">
        <v>8615</v>
      </c>
      <c r="C1575" s="187">
        <v>2</v>
      </c>
      <c r="D1575" s="59" t="s">
        <v>9270</v>
      </c>
      <c r="E1575" s="186" t="s">
        <v>6251</v>
      </c>
      <c r="F1575" s="59" t="s">
        <v>7349</v>
      </c>
      <c r="G1575" s="59">
        <v>48</v>
      </c>
      <c r="H1575" s="59" t="s">
        <v>0</v>
      </c>
      <c r="I1575" s="59" t="s">
        <v>8586</v>
      </c>
      <c r="J1575" s="59" t="s">
        <v>6257</v>
      </c>
      <c r="K1575" s="59" t="s">
        <v>6258</v>
      </c>
      <c r="L1575" s="59" t="s">
        <v>6036</v>
      </c>
      <c r="M1575" s="59"/>
      <c r="N1575" s="43"/>
      <c r="O1575" s="1415"/>
      <c r="P1575" s="1393"/>
      <c r="Q1575" s="1396"/>
    </row>
    <row r="1576" spans="1:17" ht="11.1" customHeight="1">
      <c r="A1576" s="31" t="s">
        <v>9271</v>
      </c>
      <c r="B1576" s="187" t="s">
        <v>8615</v>
      </c>
      <c r="C1576" s="187">
        <v>2</v>
      </c>
      <c r="D1576" s="59" t="s">
        <v>9272</v>
      </c>
      <c r="E1576" s="186" t="s">
        <v>6251</v>
      </c>
      <c r="F1576" s="59" t="s">
        <v>7367</v>
      </c>
      <c r="G1576" s="59">
        <v>72</v>
      </c>
      <c r="H1576" s="59" t="s">
        <v>0</v>
      </c>
      <c r="I1576" s="59" t="s">
        <v>8586</v>
      </c>
      <c r="J1576" s="59" t="s">
        <v>6257</v>
      </c>
      <c r="K1576" s="59" t="s">
        <v>6286</v>
      </c>
      <c r="L1576" s="59" t="s">
        <v>6209</v>
      </c>
      <c r="M1576" s="59">
        <v>13</v>
      </c>
      <c r="N1576" s="43" t="s">
        <v>6260</v>
      </c>
      <c r="O1576" s="1415"/>
      <c r="P1576" s="1393"/>
      <c r="Q1576" s="1396"/>
    </row>
    <row r="1577" spans="1:17" ht="11.1" customHeight="1">
      <c r="A1577" s="31" t="s">
        <v>9273</v>
      </c>
      <c r="B1577" s="187" t="s">
        <v>8615</v>
      </c>
      <c r="C1577" s="187">
        <v>2</v>
      </c>
      <c r="D1577" s="59" t="s">
        <v>9274</v>
      </c>
      <c r="E1577" s="186" t="s">
        <v>6251</v>
      </c>
      <c r="F1577" s="59" t="s">
        <v>7379</v>
      </c>
      <c r="G1577" s="59">
        <v>50</v>
      </c>
      <c r="H1577" s="59" t="s">
        <v>6049</v>
      </c>
      <c r="I1577" s="59" t="s">
        <v>8586</v>
      </c>
      <c r="J1577" s="59" t="s">
        <v>6257</v>
      </c>
      <c r="K1577" s="59" t="s">
        <v>6286</v>
      </c>
      <c r="L1577" s="59" t="s">
        <v>6209</v>
      </c>
      <c r="M1577" s="59">
        <v>1</v>
      </c>
      <c r="N1577" s="43" t="s">
        <v>6260</v>
      </c>
      <c r="O1577" s="1415"/>
      <c r="P1577" s="1393"/>
      <c r="Q1577" s="1396"/>
    </row>
    <row r="1578" spans="1:17" ht="11.1" customHeight="1">
      <c r="A1578" s="31" t="s">
        <v>9275</v>
      </c>
      <c r="B1578" s="187" t="s">
        <v>8615</v>
      </c>
      <c r="C1578" s="187">
        <v>2</v>
      </c>
      <c r="D1578" s="59" t="s">
        <v>9276</v>
      </c>
      <c r="E1578" s="186" t="s">
        <v>6251</v>
      </c>
      <c r="F1578" s="59" t="s">
        <v>7385</v>
      </c>
      <c r="G1578" s="59">
        <v>57</v>
      </c>
      <c r="H1578" s="59" t="s">
        <v>0</v>
      </c>
      <c r="I1578" s="59" t="s">
        <v>8586</v>
      </c>
      <c r="J1578" s="59" t="s">
        <v>6257</v>
      </c>
      <c r="K1578" s="59" t="s">
        <v>6286</v>
      </c>
      <c r="L1578" s="59" t="s">
        <v>6209</v>
      </c>
      <c r="M1578" s="59">
        <v>4</v>
      </c>
      <c r="N1578" s="43" t="s">
        <v>6260</v>
      </c>
      <c r="O1578" s="1415"/>
      <c r="P1578" s="1393"/>
      <c r="Q1578" s="1396"/>
    </row>
    <row r="1579" spans="1:17" ht="11.1" customHeight="1">
      <c r="A1579" s="44" t="s">
        <v>9277</v>
      </c>
      <c r="B1579" s="187" t="s">
        <v>8615</v>
      </c>
      <c r="C1579" s="190">
        <v>2</v>
      </c>
      <c r="D1579" s="97" t="s">
        <v>9278</v>
      </c>
      <c r="E1579" s="191" t="s">
        <v>6251</v>
      </c>
      <c r="F1579" s="97" t="s">
        <v>7391</v>
      </c>
      <c r="G1579" s="97">
        <v>53</v>
      </c>
      <c r="H1579" s="97" t="s">
        <v>0</v>
      </c>
      <c r="I1579" s="97" t="s">
        <v>8586</v>
      </c>
      <c r="J1579" s="97" t="s">
        <v>6257</v>
      </c>
      <c r="K1579" s="97" t="s">
        <v>6286</v>
      </c>
      <c r="L1579" s="97" t="s">
        <v>6209</v>
      </c>
      <c r="M1579" s="97">
        <v>3</v>
      </c>
      <c r="N1579" s="50" t="s">
        <v>6260</v>
      </c>
      <c r="O1579" s="1416"/>
      <c r="P1579" s="1394"/>
      <c r="Q1579" s="1397"/>
    </row>
    <row r="1580" spans="1:17" ht="11.1" customHeight="1">
      <c r="A1580" s="51" t="s">
        <v>9279</v>
      </c>
      <c r="B1580" s="192" t="s">
        <v>6217</v>
      </c>
      <c r="C1580" s="192">
        <v>1</v>
      </c>
      <c r="D1580" s="56" t="s">
        <v>9276</v>
      </c>
      <c r="E1580" s="193">
        <v>98.08</v>
      </c>
      <c r="F1580" s="56" t="s">
        <v>7387</v>
      </c>
      <c r="G1580" s="56">
        <v>34</v>
      </c>
      <c r="H1580" s="56" t="s">
        <v>0</v>
      </c>
      <c r="I1580" s="56" t="s">
        <v>8586</v>
      </c>
      <c r="J1580" s="56" t="s">
        <v>6253</v>
      </c>
      <c r="K1580" s="56" t="s">
        <v>6213</v>
      </c>
      <c r="L1580" s="56" t="s">
        <v>6209</v>
      </c>
      <c r="M1580" s="56">
        <v>1</v>
      </c>
      <c r="N1580" s="57" t="s">
        <v>6213</v>
      </c>
      <c r="O1580" s="1408">
        <v>6</v>
      </c>
      <c r="P1580" s="1392">
        <v>2007770</v>
      </c>
      <c r="Q1580" s="1395" t="e">
        <f>P1580/SUM($P$402:$P$463)</f>
        <v>#DIV/0!</v>
      </c>
    </row>
    <row r="1581" spans="1:17" ht="11.1" customHeight="1">
      <c r="A1581" s="31" t="s">
        <v>9280</v>
      </c>
      <c r="B1581" s="194" t="s">
        <v>6217</v>
      </c>
      <c r="C1581" s="194">
        <v>1</v>
      </c>
      <c r="D1581" s="36" t="s">
        <v>9272</v>
      </c>
      <c r="E1581" s="195">
        <v>96.38</v>
      </c>
      <c r="F1581" s="36" t="s">
        <v>7369</v>
      </c>
      <c r="G1581" s="36">
        <v>33</v>
      </c>
      <c r="H1581" s="36" t="s">
        <v>6049</v>
      </c>
      <c r="I1581" s="36" t="s">
        <v>8586</v>
      </c>
      <c r="J1581" s="36" t="s">
        <v>6253</v>
      </c>
      <c r="K1581" s="36" t="s">
        <v>6053</v>
      </c>
      <c r="L1581" s="36" t="s">
        <v>6036</v>
      </c>
      <c r="M1581" s="36"/>
      <c r="N1581" s="37" t="s">
        <v>6213</v>
      </c>
      <c r="O1581" s="1409"/>
      <c r="P1581" s="1393"/>
      <c r="Q1581" s="1396"/>
    </row>
    <row r="1582" spans="1:17" ht="11.1" customHeight="1">
      <c r="A1582" s="31" t="s">
        <v>9281</v>
      </c>
      <c r="B1582" s="194" t="s">
        <v>6217</v>
      </c>
      <c r="C1582" s="194">
        <v>1</v>
      </c>
      <c r="D1582" s="36" t="s">
        <v>9278</v>
      </c>
      <c r="E1582" s="195">
        <v>91.87</v>
      </c>
      <c r="F1582" s="36" t="s">
        <v>7393</v>
      </c>
      <c r="G1582" s="36">
        <v>65</v>
      </c>
      <c r="H1582" s="36" t="s">
        <v>0</v>
      </c>
      <c r="I1582" s="36" t="s">
        <v>8586</v>
      </c>
      <c r="J1582" s="36" t="s">
        <v>6253</v>
      </c>
      <c r="K1582" s="36" t="s">
        <v>7394</v>
      </c>
      <c r="L1582" s="36" t="s">
        <v>6283</v>
      </c>
      <c r="M1582" s="36">
        <v>2</v>
      </c>
      <c r="N1582" s="37" t="s">
        <v>6213</v>
      </c>
      <c r="O1582" s="1409"/>
      <c r="P1582" s="1393"/>
      <c r="Q1582" s="1396"/>
    </row>
    <row r="1583" spans="1:17" ht="11.1" customHeight="1">
      <c r="A1583" s="31" t="s">
        <v>9282</v>
      </c>
      <c r="B1583" s="194" t="s">
        <v>6217</v>
      </c>
      <c r="C1583" s="194">
        <v>1</v>
      </c>
      <c r="D1583" s="36" t="s">
        <v>9274</v>
      </c>
      <c r="E1583" s="195">
        <v>91.33</v>
      </c>
      <c r="F1583" s="36" t="s">
        <v>7381</v>
      </c>
      <c r="G1583" s="36">
        <v>52</v>
      </c>
      <c r="H1583" s="36" t="s">
        <v>0</v>
      </c>
      <c r="I1583" s="36" t="s">
        <v>8586</v>
      </c>
      <c r="J1583" s="36" t="s">
        <v>6253</v>
      </c>
      <c r="K1583" s="36" t="s">
        <v>6207</v>
      </c>
      <c r="L1583" s="36" t="s">
        <v>6209</v>
      </c>
      <c r="M1583" s="36">
        <v>3</v>
      </c>
      <c r="N1583" s="37" t="s">
        <v>6213</v>
      </c>
      <c r="O1583" s="1409"/>
      <c r="P1583" s="1393"/>
      <c r="Q1583" s="1396"/>
    </row>
    <row r="1584" spans="1:17" ht="11.1" customHeight="1">
      <c r="A1584" s="31" t="s">
        <v>9283</v>
      </c>
      <c r="B1584" s="194" t="s">
        <v>6217</v>
      </c>
      <c r="C1584" s="194">
        <v>18</v>
      </c>
      <c r="D1584" s="36" t="s">
        <v>8608</v>
      </c>
      <c r="E1584" s="195" t="s">
        <v>6262</v>
      </c>
      <c r="F1584" s="36" t="s">
        <v>9284</v>
      </c>
      <c r="G1584" s="36">
        <v>79</v>
      </c>
      <c r="H1584" s="36" t="s">
        <v>0</v>
      </c>
      <c r="I1584" s="36"/>
      <c r="J1584" s="36" t="s">
        <v>6253</v>
      </c>
      <c r="K1584" s="36" t="s">
        <v>7394</v>
      </c>
      <c r="L1584" s="36" t="s">
        <v>6036</v>
      </c>
      <c r="M1584" s="36"/>
      <c r="N1584" s="223"/>
      <c r="O1584" s="1409"/>
      <c r="P1584" s="1393"/>
      <c r="Q1584" s="1396"/>
    </row>
    <row r="1585" spans="1:17" ht="11.1" customHeight="1">
      <c r="A1585" s="31" t="s">
        <v>9285</v>
      </c>
      <c r="B1585" s="194" t="s">
        <v>6217</v>
      </c>
      <c r="C1585" s="194">
        <v>19</v>
      </c>
      <c r="D1585" s="36" t="s">
        <v>8608</v>
      </c>
      <c r="E1585" s="195" t="s">
        <v>6262</v>
      </c>
      <c r="F1585" s="36" t="s">
        <v>9286</v>
      </c>
      <c r="G1585" s="36">
        <v>64</v>
      </c>
      <c r="H1585" s="36" t="s">
        <v>0</v>
      </c>
      <c r="I1585" s="36"/>
      <c r="J1585" s="36" t="s">
        <v>6253</v>
      </c>
      <c r="K1585" s="36" t="s">
        <v>6053</v>
      </c>
      <c r="L1585" s="36" t="s">
        <v>6283</v>
      </c>
      <c r="M1585" s="36">
        <v>1</v>
      </c>
      <c r="N1585" s="223"/>
      <c r="O1585" s="1409"/>
      <c r="P1585" s="1393"/>
      <c r="Q1585" s="1396"/>
    </row>
    <row r="1586" spans="1:17" ht="11.1" customHeight="1">
      <c r="A1586" s="31" t="s">
        <v>9287</v>
      </c>
      <c r="B1586" s="187"/>
      <c r="C1586" s="187">
        <v>20</v>
      </c>
      <c r="D1586" s="42" t="s">
        <v>8608</v>
      </c>
      <c r="E1586" s="188" t="s">
        <v>6262</v>
      </c>
      <c r="F1586" s="42" t="s">
        <v>9288</v>
      </c>
      <c r="G1586" s="42">
        <v>40</v>
      </c>
      <c r="H1586" s="42" t="s">
        <v>0</v>
      </c>
      <c r="I1586" s="42"/>
      <c r="J1586" s="42" t="s">
        <v>6253</v>
      </c>
      <c r="K1586" s="42" t="s">
        <v>6053</v>
      </c>
      <c r="L1586" s="42" t="s">
        <v>6036</v>
      </c>
      <c r="M1586" s="42"/>
      <c r="N1586" s="207"/>
      <c r="O1586" s="1409"/>
      <c r="P1586" s="1393"/>
      <c r="Q1586" s="1396"/>
    </row>
    <row r="1587" spans="1:17" ht="11.1" customHeight="1">
      <c r="A1587" s="31" t="s">
        <v>9289</v>
      </c>
      <c r="B1587" s="187"/>
      <c r="C1587" s="187">
        <v>21</v>
      </c>
      <c r="D1587" s="42" t="s">
        <v>8608</v>
      </c>
      <c r="E1587" s="188" t="s">
        <v>6262</v>
      </c>
      <c r="F1587" s="42" t="s">
        <v>9290</v>
      </c>
      <c r="G1587" s="42">
        <v>51</v>
      </c>
      <c r="H1587" s="42" t="s">
        <v>0</v>
      </c>
      <c r="I1587" s="42"/>
      <c r="J1587" s="42" t="s">
        <v>6253</v>
      </c>
      <c r="K1587" s="42" t="s">
        <v>6053</v>
      </c>
      <c r="L1587" s="42" t="s">
        <v>6036</v>
      </c>
      <c r="M1587" s="42"/>
      <c r="N1587" s="207"/>
      <c r="O1587" s="1409"/>
      <c r="P1587" s="1393"/>
      <c r="Q1587" s="1396"/>
    </row>
    <row r="1588" spans="1:17" ht="11.1" customHeight="1">
      <c r="A1588" s="31" t="s">
        <v>9291</v>
      </c>
      <c r="B1588" s="187" t="s">
        <v>8615</v>
      </c>
      <c r="C1588" s="187">
        <v>1</v>
      </c>
      <c r="D1588" s="36" t="s">
        <v>9262</v>
      </c>
      <c r="E1588" s="195" t="s">
        <v>6251</v>
      </c>
      <c r="F1588" s="36" t="s">
        <v>7289</v>
      </c>
      <c r="G1588" s="36">
        <v>42</v>
      </c>
      <c r="H1588" s="36" t="s">
        <v>6049</v>
      </c>
      <c r="I1588" s="36" t="s">
        <v>8586</v>
      </c>
      <c r="J1588" s="36" t="s">
        <v>6253</v>
      </c>
      <c r="K1588" s="36" t="s">
        <v>6053</v>
      </c>
      <c r="L1588" s="36" t="s">
        <v>6209</v>
      </c>
      <c r="M1588" s="36">
        <v>2</v>
      </c>
      <c r="N1588" s="43" t="s">
        <v>6213</v>
      </c>
      <c r="O1588" s="1409"/>
      <c r="P1588" s="1393"/>
      <c r="Q1588" s="1396"/>
    </row>
    <row r="1589" spans="1:17" ht="11.1" customHeight="1">
      <c r="A1589" s="31" t="s">
        <v>9292</v>
      </c>
      <c r="B1589" s="187" t="s">
        <v>8615</v>
      </c>
      <c r="C1589" s="187">
        <v>1</v>
      </c>
      <c r="D1589" s="36" t="s">
        <v>9256</v>
      </c>
      <c r="E1589" s="195" t="s">
        <v>6251</v>
      </c>
      <c r="F1589" s="36" t="s">
        <v>7297</v>
      </c>
      <c r="G1589" s="36">
        <v>32</v>
      </c>
      <c r="H1589" s="36" t="s">
        <v>0</v>
      </c>
      <c r="I1589" s="36" t="s">
        <v>8586</v>
      </c>
      <c r="J1589" s="36" t="s">
        <v>6253</v>
      </c>
      <c r="K1589" s="36" t="s">
        <v>6053</v>
      </c>
      <c r="L1589" s="36" t="s">
        <v>6209</v>
      </c>
      <c r="M1589" s="36">
        <v>1</v>
      </c>
      <c r="N1589" s="43" t="s">
        <v>6213</v>
      </c>
      <c r="O1589" s="1409"/>
      <c r="P1589" s="1393"/>
      <c r="Q1589" s="1396"/>
    </row>
    <row r="1590" spans="1:17" ht="11.1" customHeight="1">
      <c r="A1590" s="31" t="s">
        <v>9293</v>
      </c>
      <c r="B1590" s="187" t="s">
        <v>8615</v>
      </c>
      <c r="C1590" s="187">
        <v>1</v>
      </c>
      <c r="D1590" s="36" t="s">
        <v>9266</v>
      </c>
      <c r="E1590" s="195" t="s">
        <v>6251</v>
      </c>
      <c r="F1590" s="36" t="s">
        <v>7305</v>
      </c>
      <c r="G1590" s="36">
        <v>42</v>
      </c>
      <c r="H1590" s="36" t="s">
        <v>0</v>
      </c>
      <c r="I1590" s="36" t="s">
        <v>8586</v>
      </c>
      <c r="J1590" s="36" t="s">
        <v>6253</v>
      </c>
      <c r="K1590" s="36" t="s">
        <v>6053</v>
      </c>
      <c r="L1590" s="36" t="s">
        <v>6036</v>
      </c>
      <c r="M1590" s="36"/>
      <c r="N1590" s="43" t="s">
        <v>6213</v>
      </c>
      <c r="O1590" s="1409"/>
      <c r="P1590" s="1393"/>
      <c r="Q1590" s="1396"/>
    </row>
    <row r="1591" spans="1:17" ht="11.1" customHeight="1">
      <c r="A1591" s="31" t="s">
        <v>9294</v>
      </c>
      <c r="B1591" s="187" t="s">
        <v>8615</v>
      </c>
      <c r="C1591" s="187">
        <v>1</v>
      </c>
      <c r="D1591" s="36" t="s">
        <v>9260</v>
      </c>
      <c r="E1591" s="195" t="s">
        <v>6251</v>
      </c>
      <c r="F1591" s="36" t="s">
        <v>7311</v>
      </c>
      <c r="G1591" s="36">
        <v>39</v>
      </c>
      <c r="H1591" s="36" t="s">
        <v>6049</v>
      </c>
      <c r="I1591" s="36" t="s">
        <v>8586</v>
      </c>
      <c r="J1591" s="36" t="s">
        <v>6253</v>
      </c>
      <c r="K1591" s="36" t="s">
        <v>6035</v>
      </c>
      <c r="L1591" s="36" t="s">
        <v>6209</v>
      </c>
      <c r="M1591" s="36">
        <v>2</v>
      </c>
      <c r="N1591" s="43" t="s">
        <v>6213</v>
      </c>
      <c r="O1591" s="1409"/>
      <c r="P1591" s="1393"/>
      <c r="Q1591" s="1396"/>
    </row>
    <row r="1592" spans="1:17" ht="11.1" customHeight="1">
      <c r="A1592" s="31" t="s">
        <v>9295</v>
      </c>
      <c r="B1592" s="187" t="s">
        <v>8615</v>
      </c>
      <c r="C1592" s="187">
        <v>1</v>
      </c>
      <c r="D1592" s="36" t="s">
        <v>9254</v>
      </c>
      <c r="E1592" s="195" t="s">
        <v>6251</v>
      </c>
      <c r="F1592" s="36" t="s">
        <v>7327</v>
      </c>
      <c r="G1592" s="36">
        <v>64</v>
      </c>
      <c r="H1592" s="36" t="s">
        <v>0</v>
      </c>
      <c r="I1592" s="36" t="s">
        <v>8586</v>
      </c>
      <c r="J1592" s="36" t="s">
        <v>6253</v>
      </c>
      <c r="K1592" s="36" t="s">
        <v>6254</v>
      </c>
      <c r="L1592" s="36" t="s">
        <v>6209</v>
      </c>
      <c r="M1592" s="36">
        <v>4</v>
      </c>
      <c r="N1592" s="43" t="s">
        <v>6213</v>
      </c>
      <c r="O1592" s="1409"/>
      <c r="P1592" s="1393"/>
      <c r="Q1592" s="1396"/>
    </row>
    <row r="1593" spans="1:17" ht="11.1" customHeight="1">
      <c r="A1593" s="31" t="s">
        <v>9296</v>
      </c>
      <c r="B1593" s="187" t="s">
        <v>8615</v>
      </c>
      <c r="C1593" s="187">
        <v>1</v>
      </c>
      <c r="D1593" s="36" t="s">
        <v>9244</v>
      </c>
      <c r="E1593" s="195" t="s">
        <v>6251</v>
      </c>
      <c r="F1593" s="36" t="s">
        <v>7335</v>
      </c>
      <c r="G1593" s="36">
        <v>36</v>
      </c>
      <c r="H1593" s="36" t="s">
        <v>0</v>
      </c>
      <c r="I1593" s="36" t="s">
        <v>8586</v>
      </c>
      <c r="J1593" s="36" t="s">
        <v>6253</v>
      </c>
      <c r="K1593" s="36" t="s">
        <v>6053</v>
      </c>
      <c r="L1593" s="36" t="s">
        <v>6209</v>
      </c>
      <c r="M1593" s="36">
        <v>2</v>
      </c>
      <c r="N1593" s="43" t="s">
        <v>6465</v>
      </c>
      <c r="O1593" s="1409"/>
      <c r="P1593" s="1393"/>
      <c r="Q1593" s="1396"/>
    </row>
    <row r="1594" spans="1:17" ht="11.1" customHeight="1">
      <c r="A1594" s="31" t="s">
        <v>9297</v>
      </c>
      <c r="B1594" s="187" t="s">
        <v>8615</v>
      </c>
      <c r="C1594" s="187">
        <v>1</v>
      </c>
      <c r="D1594" s="36" t="s">
        <v>9242</v>
      </c>
      <c r="E1594" s="195" t="s">
        <v>6251</v>
      </c>
      <c r="F1594" s="36" t="s">
        <v>7359</v>
      </c>
      <c r="G1594" s="36">
        <v>50</v>
      </c>
      <c r="H1594" s="36" t="s">
        <v>0</v>
      </c>
      <c r="I1594" s="36" t="s">
        <v>8586</v>
      </c>
      <c r="J1594" s="36" t="s">
        <v>6253</v>
      </c>
      <c r="K1594" s="36" t="s">
        <v>6053</v>
      </c>
      <c r="L1594" s="36" t="s">
        <v>6283</v>
      </c>
      <c r="M1594" s="36">
        <v>3</v>
      </c>
      <c r="N1594" s="43" t="s">
        <v>6213</v>
      </c>
      <c r="O1594" s="1409"/>
      <c r="P1594" s="1393"/>
      <c r="Q1594" s="1396"/>
    </row>
    <row r="1595" spans="1:17" ht="11.1" customHeight="1">
      <c r="A1595" s="31" t="s">
        <v>9298</v>
      </c>
      <c r="B1595" s="187" t="s">
        <v>8615</v>
      </c>
      <c r="C1595" s="187">
        <v>1</v>
      </c>
      <c r="D1595" s="36" t="s">
        <v>9240</v>
      </c>
      <c r="E1595" s="195" t="s">
        <v>6251</v>
      </c>
      <c r="F1595" s="36" t="s">
        <v>7373</v>
      </c>
      <c r="G1595" s="36">
        <v>35</v>
      </c>
      <c r="H1595" s="36" t="s">
        <v>0</v>
      </c>
      <c r="I1595" s="36" t="s">
        <v>8586</v>
      </c>
      <c r="J1595" s="36" t="s">
        <v>6253</v>
      </c>
      <c r="K1595" s="36" t="s">
        <v>6053</v>
      </c>
      <c r="L1595" s="36" t="s">
        <v>6036</v>
      </c>
      <c r="M1595" s="36"/>
      <c r="N1595" s="43" t="s">
        <v>6213</v>
      </c>
      <c r="O1595" s="1409"/>
      <c r="P1595" s="1393"/>
      <c r="Q1595" s="1396"/>
    </row>
    <row r="1596" spans="1:17" ht="11.1" customHeight="1">
      <c r="A1596" s="31" t="s">
        <v>9299</v>
      </c>
      <c r="B1596" s="187" t="s">
        <v>8615</v>
      </c>
      <c r="C1596" s="187">
        <v>1</v>
      </c>
      <c r="D1596" s="36" t="s">
        <v>9252</v>
      </c>
      <c r="E1596" s="195" t="s">
        <v>6251</v>
      </c>
      <c r="F1596" s="36" t="s">
        <v>7398</v>
      </c>
      <c r="G1596" s="36">
        <v>61</v>
      </c>
      <c r="H1596" s="36" t="s">
        <v>0</v>
      </c>
      <c r="I1596" s="36" t="s">
        <v>8586</v>
      </c>
      <c r="J1596" s="36" t="s">
        <v>6253</v>
      </c>
      <c r="K1596" s="36" t="s">
        <v>6053</v>
      </c>
      <c r="L1596" s="36" t="s">
        <v>6209</v>
      </c>
      <c r="M1596" s="36">
        <v>2</v>
      </c>
      <c r="N1596" s="43" t="s">
        <v>6213</v>
      </c>
      <c r="O1596" s="1409"/>
      <c r="P1596" s="1393"/>
      <c r="Q1596" s="1396"/>
    </row>
    <row r="1597" spans="1:17" ht="11.1" customHeight="1">
      <c r="A1597" s="31" t="s">
        <v>9300</v>
      </c>
      <c r="B1597" s="187" t="s">
        <v>8615</v>
      </c>
      <c r="C1597" s="187">
        <v>1</v>
      </c>
      <c r="D1597" s="36" t="s">
        <v>9264</v>
      </c>
      <c r="E1597" s="195" t="s">
        <v>6251</v>
      </c>
      <c r="F1597" s="36" t="s">
        <v>7406</v>
      </c>
      <c r="G1597" s="36">
        <v>53</v>
      </c>
      <c r="H1597" s="36" t="s">
        <v>0</v>
      </c>
      <c r="I1597" s="36" t="s">
        <v>8586</v>
      </c>
      <c r="J1597" s="36" t="s">
        <v>6253</v>
      </c>
      <c r="K1597" s="36" t="s">
        <v>6207</v>
      </c>
      <c r="L1597" s="36" t="s">
        <v>6209</v>
      </c>
      <c r="M1597" s="36">
        <v>2</v>
      </c>
      <c r="N1597" s="43" t="s">
        <v>6213</v>
      </c>
      <c r="O1597" s="1409"/>
      <c r="P1597" s="1393"/>
      <c r="Q1597" s="1396"/>
    </row>
    <row r="1598" spans="1:17" ht="11.1" customHeight="1">
      <c r="A1598" s="31" t="s">
        <v>9301</v>
      </c>
      <c r="B1598" s="187" t="s">
        <v>8615</v>
      </c>
      <c r="C1598" s="187">
        <v>1</v>
      </c>
      <c r="D1598" s="36" t="s">
        <v>9250</v>
      </c>
      <c r="E1598" s="195" t="s">
        <v>6251</v>
      </c>
      <c r="F1598" s="36" t="s">
        <v>7418</v>
      </c>
      <c r="G1598" s="36">
        <v>74</v>
      </c>
      <c r="H1598" s="36" t="s">
        <v>0</v>
      </c>
      <c r="I1598" s="36" t="s">
        <v>8586</v>
      </c>
      <c r="J1598" s="36" t="s">
        <v>6253</v>
      </c>
      <c r="K1598" s="36" t="s">
        <v>6207</v>
      </c>
      <c r="L1598" s="36" t="s">
        <v>6209</v>
      </c>
      <c r="M1598" s="36">
        <v>13</v>
      </c>
      <c r="N1598" s="43" t="s">
        <v>6213</v>
      </c>
      <c r="O1598" s="1409"/>
      <c r="P1598" s="1393"/>
      <c r="Q1598" s="1396"/>
    </row>
    <row r="1599" spans="1:17" ht="11.1" customHeight="1">
      <c r="A1599" s="31" t="s">
        <v>9302</v>
      </c>
      <c r="B1599" s="187" t="s">
        <v>8615</v>
      </c>
      <c r="C1599" s="187">
        <v>1</v>
      </c>
      <c r="D1599" s="36" t="s">
        <v>9258</v>
      </c>
      <c r="E1599" s="195" t="s">
        <v>6251</v>
      </c>
      <c r="F1599" s="36" t="s">
        <v>7426</v>
      </c>
      <c r="G1599" s="36">
        <v>49</v>
      </c>
      <c r="H1599" s="36" t="s">
        <v>0</v>
      </c>
      <c r="I1599" s="36" t="s">
        <v>8586</v>
      </c>
      <c r="J1599" s="36" t="s">
        <v>6253</v>
      </c>
      <c r="K1599" s="36" t="s">
        <v>6053</v>
      </c>
      <c r="L1599" s="36" t="s">
        <v>6036</v>
      </c>
      <c r="M1599" s="36"/>
      <c r="N1599" s="43" t="s">
        <v>6213</v>
      </c>
      <c r="O1599" s="1409"/>
      <c r="P1599" s="1393"/>
      <c r="Q1599" s="1396"/>
    </row>
    <row r="1600" spans="1:17" ht="11.1" customHeight="1">
      <c r="A1600" s="44" t="s">
        <v>9303</v>
      </c>
      <c r="B1600" s="190" t="s">
        <v>8615</v>
      </c>
      <c r="C1600" s="190">
        <v>1</v>
      </c>
      <c r="D1600" s="141" t="s">
        <v>9246</v>
      </c>
      <c r="E1600" s="195" t="s">
        <v>6251</v>
      </c>
      <c r="F1600" s="141" t="s">
        <v>7434</v>
      </c>
      <c r="G1600" s="141">
        <v>40</v>
      </c>
      <c r="H1600" s="141" t="s">
        <v>0</v>
      </c>
      <c r="I1600" s="141" t="s">
        <v>8586</v>
      </c>
      <c r="J1600" s="141" t="s">
        <v>6253</v>
      </c>
      <c r="K1600" s="141" t="s">
        <v>6053</v>
      </c>
      <c r="L1600" s="141" t="s">
        <v>6036</v>
      </c>
      <c r="M1600" s="141"/>
      <c r="N1600" s="50" t="s">
        <v>6213</v>
      </c>
      <c r="O1600" s="1410"/>
      <c r="P1600" s="1394"/>
      <c r="Q1600" s="1397"/>
    </row>
    <row r="1601" spans="1:17" ht="11.1" customHeight="1">
      <c r="A1601" s="51" t="s">
        <v>9304</v>
      </c>
      <c r="B1601" s="197" t="s">
        <v>6217</v>
      </c>
      <c r="C1601" s="197">
        <v>1</v>
      </c>
      <c r="D1601" s="198" t="s">
        <v>8608</v>
      </c>
      <c r="E1601" s="199" t="s">
        <v>6262</v>
      </c>
      <c r="F1601" s="198" t="s">
        <v>9305</v>
      </c>
      <c r="G1601" s="198">
        <v>64</v>
      </c>
      <c r="H1601" s="198" t="s">
        <v>0</v>
      </c>
      <c r="I1601" s="198"/>
      <c r="J1601" s="198" t="s">
        <v>6929</v>
      </c>
      <c r="K1601" s="198"/>
      <c r="L1601" s="198" t="s">
        <v>6209</v>
      </c>
      <c r="M1601" s="198">
        <v>4</v>
      </c>
      <c r="N1601" s="200" t="s">
        <v>7931</v>
      </c>
      <c r="O1601" s="1411">
        <v>1</v>
      </c>
      <c r="P1601" s="1392">
        <v>333084</v>
      </c>
      <c r="Q1601" s="1395" t="e">
        <f>P1601/SUM($P$402:$P$463)</f>
        <v>#DIV/0!</v>
      </c>
    </row>
    <row r="1602" spans="1:17" ht="11.1" customHeight="1">
      <c r="A1602" s="44" t="s">
        <v>9306</v>
      </c>
      <c r="B1602" s="190"/>
      <c r="C1602" s="190">
        <v>2</v>
      </c>
      <c r="D1602" s="49" t="s">
        <v>8608</v>
      </c>
      <c r="E1602" s="201" t="s">
        <v>6262</v>
      </c>
      <c r="F1602" s="49" t="s">
        <v>9307</v>
      </c>
      <c r="G1602" s="49">
        <v>36</v>
      </c>
      <c r="H1602" s="49" t="s">
        <v>0</v>
      </c>
      <c r="I1602" s="49"/>
      <c r="J1602" s="49" t="s">
        <v>6929</v>
      </c>
      <c r="K1602" s="49"/>
      <c r="L1602" s="49" t="s">
        <v>6036</v>
      </c>
      <c r="M1602" s="49"/>
      <c r="N1602" s="202"/>
      <c r="O1602" s="1413"/>
      <c r="P1602" s="1394"/>
      <c r="Q1602" s="1397"/>
    </row>
    <row r="1603" spans="1:17" ht="11.1" customHeight="1">
      <c r="A1603" s="51" t="s">
        <v>9308</v>
      </c>
      <c r="B1603" s="203"/>
      <c r="C1603" s="203">
        <v>2</v>
      </c>
      <c r="D1603" s="204" t="s">
        <v>8608</v>
      </c>
      <c r="E1603" s="205" t="s">
        <v>6262</v>
      </c>
      <c r="F1603" s="204" t="s">
        <v>9309</v>
      </c>
      <c r="G1603" s="204">
        <v>61</v>
      </c>
      <c r="H1603" s="204" t="s">
        <v>6049</v>
      </c>
      <c r="I1603" s="204"/>
      <c r="J1603" s="204" t="s">
        <v>6264</v>
      </c>
      <c r="K1603" s="204"/>
      <c r="L1603" s="204" t="s">
        <v>6036</v>
      </c>
      <c r="M1603" s="204"/>
      <c r="N1603" s="206"/>
      <c r="O1603" s="1402">
        <v>0</v>
      </c>
      <c r="P1603" s="1392">
        <v>274816</v>
      </c>
      <c r="Q1603" s="1395" t="e">
        <f>P1603/SUM($P$402:$P$463)</f>
        <v>#DIV/0!</v>
      </c>
    </row>
    <row r="1604" spans="1:17" ht="11.1" customHeight="1">
      <c r="A1604" s="31" t="s">
        <v>9310</v>
      </c>
      <c r="B1604" s="187" t="s">
        <v>6231</v>
      </c>
      <c r="C1604" s="187">
        <v>1</v>
      </c>
      <c r="D1604" s="42" t="s">
        <v>9252</v>
      </c>
      <c r="E1604" s="188">
        <v>16.63</v>
      </c>
      <c r="F1604" s="42" t="s">
        <v>7402</v>
      </c>
      <c r="G1604" s="42">
        <v>48</v>
      </c>
      <c r="H1604" s="42" t="s">
        <v>0</v>
      </c>
      <c r="I1604" s="42" t="s">
        <v>8586</v>
      </c>
      <c r="J1604" s="42" t="s">
        <v>6264</v>
      </c>
      <c r="K1604" s="42"/>
      <c r="L1604" s="42" t="s">
        <v>6036</v>
      </c>
      <c r="M1604" s="42"/>
      <c r="N1604" s="207"/>
      <c r="O1604" s="1403"/>
      <c r="P1604" s="1393"/>
      <c r="Q1604" s="1396"/>
    </row>
    <row r="1605" spans="1:17" ht="11.1" customHeight="1">
      <c r="A1605" s="31" t="s">
        <v>9311</v>
      </c>
      <c r="B1605" s="187" t="s">
        <v>6231</v>
      </c>
      <c r="C1605" s="187">
        <v>3</v>
      </c>
      <c r="D1605" s="42" t="s">
        <v>9262</v>
      </c>
      <c r="E1605" s="188">
        <v>10.58</v>
      </c>
      <c r="F1605" s="42" t="s">
        <v>7293</v>
      </c>
      <c r="G1605" s="42">
        <v>45</v>
      </c>
      <c r="H1605" s="42" t="s">
        <v>0</v>
      </c>
      <c r="I1605" s="42" t="s">
        <v>8586</v>
      </c>
      <c r="J1605" s="42" t="s">
        <v>6264</v>
      </c>
      <c r="K1605" s="42"/>
      <c r="L1605" s="42" t="s">
        <v>6036</v>
      </c>
      <c r="M1605" s="42"/>
      <c r="N1605" s="207"/>
      <c r="O1605" s="1403"/>
      <c r="P1605" s="1393"/>
      <c r="Q1605" s="1396"/>
    </row>
    <row r="1606" spans="1:17" ht="11.1" customHeight="1">
      <c r="A1606" s="31" t="s">
        <v>9312</v>
      </c>
      <c r="B1606" s="187" t="s">
        <v>6231</v>
      </c>
      <c r="C1606" s="187">
        <v>3</v>
      </c>
      <c r="D1606" s="42" t="s">
        <v>9274</v>
      </c>
      <c r="E1606" s="188">
        <v>8.7899999999999991</v>
      </c>
      <c r="F1606" s="42" t="s">
        <v>7383</v>
      </c>
      <c r="G1606" s="42">
        <v>51</v>
      </c>
      <c r="H1606" s="42" t="s">
        <v>6049</v>
      </c>
      <c r="I1606" s="42" t="s">
        <v>8586</v>
      </c>
      <c r="J1606" s="42" t="s">
        <v>6264</v>
      </c>
      <c r="K1606" s="42"/>
      <c r="L1606" s="42" t="s">
        <v>6036</v>
      </c>
      <c r="M1606" s="42"/>
      <c r="N1606" s="207"/>
      <c r="O1606" s="1403"/>
      <c r="P1606" s="1393"/>
      <c r="Q1606" s="1396"/>
    </row>
    <row r="1607" spans="1:17" ht="11.1" customHeight="1">
      <c r="A1607" s="31" t="s">
        <v>9313</v>
      </c>
      <c r="B1607" s="187" t="s">
        <v>6231</v>
      </c>
      <c r="C1607" s="187">
        <v>3</v>
      </c>
      <c r="D1607" s="42" t="s">
        <v>9242</v>
      </c>
      <c r="E1607" s="188">
        <v>8.74</v>
      </c>
      <c r="F1607" s="42" t="s">
        <v>7363</v>
      </c>
      <c r="G1607" s="42">
        <v>41</v>
      </c>
      <c r="H1607" s="42" t="s">
        <v>0</v>
      </c>
      <c r="I1607" s="42" t="s">
        <v>8586</v>
      </c>
      <c r="J1607" s="42" t="s">
        <v>6264</v>
      </c>
      <c r="K1607" s="42"/>
      <c r="L1607" s="42" t="s">
        <v>6036</v>
      </c>
      <c r="M1607" s="42"/>
      <c r="N1607" s="207"/>
      <c r="O1607" s="1403"/>
      <c r="P1607" s="1393"/>
      <c r="Q1607" s="1396"/>
    </row>
    <row r="1608" spans="1:17" ht="11.1" customHeight="1">
      <c r="A1608" s="44" t="s">
        <v>9314</v>
      </c>
      <c r="B1608" s="190" t="s">
        <v>6231</v>
      </c>
      <c r="C1608" s="190">
        <v>3</v>
      </c>
      <c r="D1608" s="49" t="s">
        <v>9244</v>
      </c>
      <c r="E1608" s="201">
        <v>7.72</v>
      </c>
      <c r="F1608" s="49" t="s">
        <v>7339</v>
      </c>
      <c r="G1608" s="49">
        <v>28</v>
      </c>
      <c r="H1608" s="49" t="s">
        <v>6049</v>
      </c>
      <c r="I1608" s="49" t="s">
        <v>8586</v>
      </c>
      <c r="J1608" s="49" t="s">
        <v>6264</v>
      </c>
      <c r="K1608" s="49"/>
      <c r="L1608" s="49" t="s">
        <v>6036</v>
      </c>
      <c r="M1608" s="49"/>
      <c r="N1608" s="202"/>
      <c r="O1608" s="1404"/>
      <c r="P1608" s="1394"/>
      <c r="Q1608" s="1397"/>
    </row>
    <row r="1609" spans="1:17" ht="11.1" customHeight="1">
      <c r="A1609" s="51" t="s">
        <v>9315</v>
      </c>
      <c r="B1609" s="203"/>
      <c r="C1609" s="203">
        <v>1</v>
      </c>
      <c r="D1609" s="204" t="s">
        <v>9268</v>
      </c>
      <c r="E1609" s="205">
        <v>69.540000000000006</v>
      </c>
      <c r="F1609" s="204" t="s">
        <v>7345</v>
      </c>
      <c r="G1609" s="204">
        <v>61</v>
      </c>
      <c r="H1609" s="204" t="s">
        <v>0</v>
      </c>
      <c r="I1609" s="204" t="s">
        <v>8586</v>
      </c>
      <c r="J1609" s="204" t="s">
        <v>6278</v>
      </c>
      <c r="K1609" s="204"/>
      <c r="L1609" s="204" t="s">
        <v>6036</v>
      </c>
      <c r="M1609" s="204"/>
      <c r="N1609" s="230" t="s">
        <v>6515</v>
      </c>
      <c r="O1609" s="1405">
        <v>0</v>
      </c>
      <c r="P1609" s="1392">
        <v>225992</v>
      </c>
      <c r="Q1609" s="1395" t="e">
        <f>P1609/SUM($P$402:$P$463)</f>
        <v>#DIV/0!</v>
      </c>
    </row>
    <row r="1610" spans="1:17" ht="11.1" customHeight="1">
      <c r="A1610" s="31" t="s">
        <v>9316</v>
      </c>
      <c r="B1610" s="187" t="s">
        <v>6231</v>
      </c>
      <c r="C1610" s="187">
        <v>1</v>
      </c>
      <c r="D1610" s="42" t="s">
        <v>9256</v>
      </c>
      <c r="E1610" s="188">
        <v>18.64</v>
      </c>
      <c r="F1610" s="42" t="s">
        <v>7301</v>
      </c>
      <c r="G1610" s="42">
        <v>57</v>
      </c>
      <c r="H1610" s="42" t="s">
        <v>0</v>
      </c>
      <c r="I1610" s="42" t="s">
        <v>8586</v>
      </c>
      <c r="J1610" s="42" t="s">
        <v>6278</v>
      </c>
      <c r="K1610" s="42"/>
      <c r="L1610" s="42" t="s">
        <v>6036</v>
      </c>
      <c r="M1610" s="42"/>
      <c r="N1610" s="207"/>
      <c r="O1610" s="1406"/>
      <c r="P1610" s="1393"/>
      <c r="Q1610" s="1396"/>
    </row>
    <row r="1611" spans="1:17" ht="11.1" customHeight="1">
      <c r="A1611" s="31" t="s">
        <v>9317</v>
      </c>
      <c r="B1611" s="187" t="s">
        <v>6231</v>
      </c>
      <c r="C1611" s="187">
        <v>1</v>
      </c>
      <c r="D1611" s="42" t="s">
        <v>9248</v>
      </c>
      <c r="E1611" s="188">
        <v>17.149999999999999</v>
      </c>
      <c r="F1611" s="42" t="s">
        <v>7321</v>
      </c>
      <c r="G1611" s="42">
        <v>57</v>
      </c>
      <c r="H1611" s="42" t="s">
        <v>0</v>
      </c>
      <c r="I1611" s="42" t="s">
        <v>8586</v>
      </c>
      <c r="J1611" s="42" t="s">
        <v>6278</v>
      </c>
      <c r="K1611" s="42"/>
      <c r="L1611" s="42" t="s">
        <v>6036</v>
      </c>
      <c r="M1611" s="42"/>
      <c r="N1611" s="207"/>
      <c r="O1611" s="1406"/>
      <c r="P1611" s="1393"/>
      <c r="Q1611" s="1396"/>
    </row>
    <row r="1612" spans="1:17" ht="11.1" customHeight="1">
      <c r="A1612" s="31" t="s">
        <v>9318</v>
      </c>
      <c r="B1612" s="187" t="s">
        <v>6231</v>
      </c>
      <c r="C1612" s="187">
        <v>1</v>
      </c>
      <c r="D1612" s="42" t="s">
        <v>9246</v>
      </c>
      <c r="E1612" s="188">
        <v>12.65</v>
      </c>
      <c r="F1612" s="42" t="s">
        <v>7440</v>
      </c>
      <c r="G1612" s="42">
        <v>37</v>
      </c>
      <c r="H1612" s="42" t="s">
        <v>6049</v>
      </c>
      <c r="I1612" s="42" t="s">
        <v>8586</v>
      </c>
      <c r="J1612" s="42" t="s">
        <v>6278</v>
      </c>
      <c r="K1612" s="42"/>
      <c r="L1612" s="42" t="s">
        <v>6036</v>
      </c>
      <c r="M1612" s="42"/>
      <c r="N1612" s="207"/>
      <c r="O1612" s="1406"/>
      <c r="P1612" s="1393"/>
      <c r="Q1612" s="1396"/>
    </row>
    <row r="1613" spans="1:17" ht="11.1" customHeight="1">
      <c r="A1613" s="44" t="s">
        <v>9319</v>
      </c>
      <c r="B1613" s="190" t="s">
        <v>6231</v>
      </c>
      <c r="C1613" s="190">
        <v>1</v>
      </c>
      <c r="D1613" s="49" t="s">
        <v>9264</v>
      </c>
      <c r="E1613" s="201">
        <v>11.72</v>
      </c>
      <c r="F1613" s="49" t="s">
        <v>7410</v>
      </c>
      <c r="G1613" s="49">
        <v>51</v>
      </c>
      <c r="H1613" s="49" t="s">
        <v>0</v>
      </c>
      <c r="I1613" s="49" t="s">
        <v>8586</v>
      </c>
      <c r="J1613" s="49" t="s">
        <v>6278</v>
      </c>
      <c r="K1613" s="49"/>
      <c r="L1613" s="49" t="s">
        <v>6036</v>
      </c>
      <c r="M1613" s="49"/>
      <c r="N1613" s="202"/>
      <c r="O1613" s="1407"/>
      <c r="P1613" s="1394"/>
      <c r="Q1613" s="1397"/>
    </row>
    <row r="1614" spans="1:17" ht="11.1" customHeight="1">
      <c r="A1614" s="51" t="s">
        <v>9320</v>
      </c>
      <c r="B1614" s="203"/>
      <c r="C1614" s="203">
        <v>1</v>
      </c>
      <c r="D1614" s="204" t="s">
        <v>8608</v>
      </c>
      <c r="E1614" s="205" t="s">
        <v>6262</v>
      </c>
      <c r="F1614" s="204" t="s">
        <v>9321</v>
      </c>
      <c r="G1614" s="204">
        <v>82</v>
      </c>
      <c r="H1614" s="204" t="s">
        <v>0</v>
      </c>
      <c r="I1614" s="204"/>
      <c r="J1614" s="204" t="s">
        <v>7280</v>
      </c>
      <c r="K1614" s="204"/>
      <c r="L1614" s="204" t="s">
        <v>6209</v>
      </c>
      <c r="M1614" s="204">
        <v>13</v>
      </c>
      <c r="N1614" s="206"/>
      <c r="O1614" s="1389">
        <v>0</v>
      </c>
      <c r="P1614" s="1392">
        <v>240333</v>
      </c>
      <c r="Q1614" s="1395" t="e">
        <f>P1614/SUM($P$402:$P$463)</f>
        <v>#DIV/0!</v>
      </c>
    </row>
    <row r="1615" spans="1:17" ht="11.1" customHeight="1">
      <c r="A1615" s="44" t="s">
        <v>9322</v>
      </c>
      <c r="B1615" s="190"/>
      <c r="C1615" s="190">
        <v>2</v>
      </c>
      <c r="D1615" s="49" t="s">
        <v>8608</v>
      </c>
      <c r="E1615" s="201" t="s">
        <v>6262</v>
      </c>
      <c r="F1615" s="49" t="s">
        <v>9323</v>
      </c>
      <c r="G1615" s="49">
        <v>65</v>
      </c>
      <c r="H1615" s="49" t="s">
        <v>0</v>
      </c>
      <c r="I1615" s="49"/>
      <c r="J1615" s="49" t="s">
        <v>7280</v>
      </c>
      <c r="K1615" s="49"/>
      <c r="L1615" s="49" t="s">
        <v>6036</v>
      </c>
      <c r="M1615" s="49"/>
      <c r="N1615" s="202"/>
      <c r="O1615" s="1391"/>
      <c r="P1615" s="1394"/>
      <c r="Q1615" s="1397"/>
    </row>
    <row r="1616" spans="1:17" ht="11.1" customHeight="1">
      <c r="A1616" s="236" t="s">
        <v>9324</v>
      </c>
      <c r="B1616" s="237"/>
      <c r="C1616" s="237">
        <v>1</v>
      </c>
      <c r="D1616" s="5" t="s">
        <v>8608</v>
      </c>
      <c r="E1616" s="238" t="s">
        <v>6262</v>
      </c>
      <c r="F1616" s="5" t="s">
        <v>9325</v>
      </c>
      <c r="G1616" s="5">
        <v>47</v>
      </c>
      <c r="H1616" s="5" t="s">
        <v>0</v>
      </c>
      <c r="I1616" s="5"/>
      <c r="J1616" s="5" t="s">
        <v>7160</v>
      </c>
      <c r="K1616" s="5"/>
      <c r="L1616" s="5" t="s">
        <v>6036</v>
      </c>
      <c r="M1616" s="5"/>
      <c r="N1616" s="239"/>
      <c r="O1616" s="248">
        <v>0</v>
      </c>
      <c r="P1616" s="241">
        <v>73614</v>
      </c>
      <c r="Q1616" s="242" t="e">
        <f>P1616/SUM($P$402:$P$463)</f>
        <v>#DIV/0!</v>
      </c>
    </row>
    <row r="1617" spans="1:17" ht="11.1" customHeight="1">
      <c r="A1617" s="51" t="s">
        <v>9326</v>
      </c>
      <c r="B1617" s="203"/>
      <c r="C1617" s="203">
        <v>1</v>
      </c>
      <c r="D1617" s="204" t="s">
        <v>8608</v>
      </c>
      <c r="E1617" s="205" t="s">
        <v>6262</v>
      </c>
      <c r="F1617" s="204" t="s">
        <v>9327</v>
      </c>
      <c r="G1617" s="204">
        <v>48</v>
      </c>
      <c r="H1617" s="204" t="s">
        <v>0</v>
      </c>
      <c r="I1617" s="204"/>
      <c r="J1617" s="204" t="s">
        <v>6267</v>
      </c>
      <c r="K1617" s="204" t="s">
        <v>6268</v>
      </c>
      <c r="L1617" s="204" t="s">
        <v>6036</v>
      </c>
      <c r="M1617" s="204"/>
      <c r="N1617" s="206"/>
      <c r="O1617" s="1398">
        <v>0</v>
      </c>
      <c r="P1617" s="1393">
        <v>32312</v>
      </c>
      <c r="Q1617" s="1396" t="e">
        <f>P1617/SUM($P$402:$P$463)</f>
        <v>#DIV/0!</v>
      </c>
    </row>
    <row r="1618" spans="1:17" ht="11.1" customHeight="1">
      <c r="A1618" s="31" t="s">
        <v>9328</v>
      </c>
      <c r="B1618" s="187"/>
      <c r="C1618" s="187">
        <v>2</v>
      </c>
      <c r="D1618" s="42" t="s">
        <v>8608</v>
      </c>
      <c r="E1618" s="188" t="s">
        <v>6262</v>
      </c>
      <c r="F1618" s="42" t="s">
        <v>9329</v>
      </c>
      <c r="G1618" s="42">
        <v>48</v>
      </c>
      <c r="H1618" s="42" t="s">
        <v>0</v>
      </c>
      <c r="I1618" s="42"/>
      <c r="J1618" s="42" t="s">
        <v>6267</v>
      </c>
      <c r="K1618" s="42" t="s">
        <v>6268</v>
      </c>
      <c r="L1618" s="42" t="s">
        <v>6036</v>
      </c>
      <c r="M1618" s="42"/>
      <c r="N1618" s="207"/>
      <c r="O1618" s="1398"/>
      <c r="P1618" s="1393"/>
      <c r="Q1618" s="1396"/>
    </row>
    <row r="1619" spans="1:17" ht="11.1" customHeight="1">
      <c r="A1619" s="31" t="s">
        <v>9330</v>
      </c>
      <c r="B1619" s="187"/>
      <c r="C1619" s="187">
        <v>3</v>
      </c>
      <c r="D1619" s="42" t="s">
        <v>8608</v>
      </c>
      <c r="E1619" s="188" t="s">
        <v>6262</v>
      </c>
      <c r="F1619" s="42" t="s">
        <v>9331</v>
      </c>
      <c r="G1619" s="42">
        <v>48</v>
      </c>
      <c r="H1619" s="42" t="s">
        <v>0</v>
      </c>
      <c r="I1619" s="42"/>
      <c r="J1619" s="42" t="s">
        <v>6267</v>
      </c>
      <c r="K1619" s="42" t="s">
        <v>6268</v>
      </c>
      <c r="L1619" s="42" t="s">
        <v>6036</v>
      </c>
      <c r="M1619" s="42"/>
      <c r="N1619" s="207"/>
      <c r="O1619" s="1398"/>
      <c r="P1619" s="1393"/>
      <c r="Q1619" s="1396"/>
    </row>
    <row r="1620" spans="1:17" ht="11.1" customHeight="1" thickBot="1">
      <c r="A1620" s="73" t="s">
        <v>9332</v>
      </c>
      <c r="B1620" s="215"/>
      <c r="C1620" s="215">
        <v>4</v>
      </c>
      <c r="D1620" s="78" t="s">
        <v>8608</v>
      </c>
      <c r="E1620" s="216" t="s">
        <v>6262</v>
      </c>
      <c r="F1620" s="78" t="s">
        <v>9333</v>
      </c>
      <c r="G1620" s="78">
        <v>45</v>
      </c>
      <c r="H1620" s="78" t="s">
        <v>0</v>
      </c>
      <c r="I1620" s="78"/>
      <c r="J1620" s="78" t="s">
        <v>6267</v>
      </c>
      <c r="K1620" s="78" t="s">
        <v>6268</v>
      </c>
      <c r="L1620" s="78" t="s">
        <v>6036</v>
      </c>
      <c r="M1620" s="78"/>
      <c r="N1620" s="218"/>
      <c r="O1620" s="1399"/>
      <c r="P1620" s="1400"/>
      <c r="Q1620" s="1401"/>
    </row>
    <row r="1621" spans="1:17" ht="11.1" customHeight="1">
      <c r="A1621" s="80" t="s">
        <v>9334</v>
      </c>
      <c r="B1621" s="219" t="s">
        <v>6217</v>
      </c>
      <c r="C1621" s="219">
        <v>1</v>
      </c>
      <c r="D1621" s="112" t="s">
        <v>9335</v>
      </c>
      <c r="E1621" s="220">
        <v>96.31</v>
      </c>
      <c r="F1621" s="112" t="s">
        <v>7658</v>
      </c>
      <c r="G1621" s="112">
        <v>44</v>
      </c>
      <c r="H1621" s="112" t="s">
        <v>0</v>
      </c>
      <c r="I1621" s="112" t="s">
        <v>8586</v>
      </c>
      <c r="J1621" s="112" t="s">
        <v>6257</v>
      </c>
      <c r="K1621" s="112" t="s">
        <v>6273</v>
      </c>
      <c r="L1621" s="112" t="s">
        <v>6209</v>
      </c>
      <c r="M1621" s="112">
        <v>4</v>
      </c>
      <c r="N1621" s="113" t="s">
        <v>6260</v>
      </c>
      <c r="O1621" s="1414">
        <v>6</v>
      </c>
      <c r="P1621" s="1417">
        <v>2182422</v>
      </c>
      <c r="Q1621" s="1418" t="e">
        <f>P1621/SUM($P$464:$P$556)</f>
        <v>#DIV/0!</v>
      </c>
    </row>
    <row r="1622" spans="1:17" ht="11.1" customHeight="1">
      <c r="A1622" s="31" t="s">
        <v>9336</v>
      </c>
      <c r="B1622" s="185" t="s">
        <v>6217</v>
      </c>
      <c r="C1622" s="185">
        <v>1</v>
      </c>
      <c r="D1622" s="59" t="s">
        <v>9337</v>
      </c>
      <c r="E1622" s="186">
        <v>92.82</v>
      </c>
      <c r="F1622" s="59" t="s">
        <v>7524</v>
      </c>
      <c r="G1622" s="59">
        <v>59</v>
      </c>
      <c r="H1622" s="59" t="s">
        <v>0</v>
      </c>
      <c r="I1622" s="59" t="s">
        <v>8586</v>
      </c>
      <c r="J1622" s="59" t="s">
        <v>6257</v>
      </c>
      <c r="K1622" s="59" t="s">
        <v>6286</v>
      </c>
      <c r="L1622" s="59" t="s">
        <v>6209</v>
      </c>
      <c r="M1622" s="59">
        <v>5</v>
      </c>
      <c r="N1622" s="133" t="s">
        <v>6260</v>
      </c>
      <c r="O1622" s="1415"/>
      <c r="P1622" s="1393"/>
      <c r="Q1622" s="1396"/>
    </row>
    <row r="1623" spans="1:17" ht="11.1" customHeight="1">
      <c r="A1623" s="31" t="s">
        <v>9338</v>
      </c>
      <c r="B1623" s="185" t="s">
        <v>6217</v>
      </c>
      <c r="C1623" s="185">
        <v>1</v>
      </c>
      <c r="D1623" s="59" t="s">
        <v>9339</v>
      </c>
      <c r="E1623" s="186">
        <v>88.85</v>
      </c>
      <c r="F1623" s="59" t="s">
        <v>7446</v>
      </c>
      <c r="G1623" s="59">
        <v>48</v>
      </c>
      <c r="H1623" s="59" t="s">
        <v>6049</v>
      </c>
      <c r="I1623" s="59" t="s">
        <v>8586</v>
      </c>
      <c r="J1623" s="59" t="s">
        <v>6257</v>
      </c>
      <c r="K1623" s="59" t="s">
        <v>6258</v>
      </c>
      <c r="L1623" s="59" t="s">
        <v>6209</v>
      </c>
      <c r="M1623" s="59">
        <v>5</v>
      </c>
      <c r="N1623" s="133" t="s">
        <v>6260</v>
      </c>
      <c r="O1623" s="1415"/>
      <c r="P1623" s="1393"/>
      <c r="Q1623" s="1396"/>
    </row>
    <row r="1624" spans="1:17" ht="11.1" customHeight="1">
      <c r="A1624" s="31" t="s">
        <v>9340</v>
      </c>
      <c r="B1624" s="185" t="s">
        <v>6217</v>
      </c>
      <c r="C1624" s="185">
        <v>1</v>
      </c>
      <c r="D1624" s="59" t="s">
        <v>9341</v>
      </c>
      <c r="E1624" s="186">
        <v>88.01</v>
      </c>
      <c r="F1624" s="59" t="s">
        <v>7472</v>
      </c>
      <c r="G1624" s="59">
        <v>56</v>
      </c>
      <c r="H1624" s="59" t="s">
        <v>0</v>
      </c>
      <c r="I1624" s="59" t="s">
        <v>8586</v>
      </c>
      <c r="J1624" s="59" t="s">
        <v>6257</v>
      </c>
      <c r="K1624" s="59" t="s">
        <v>6311</v>
      </c>
      <c r="L1624" s="59" t="s">
        <v>6209</v>
      </c>
      <c r="M1624" s="59">
        <v>6</v>
      </c>
      <c r="N1624" s="133" t="s">
        <v>6260</v>
      </c>
      <c r="O1624" s="1415"/>
      <c r="P1624" s="1393"/>
      <c r="Q1624" s="1396"/>
    </row>
    <row r="1625" spans="1:17" ht="11.1" customHeight="1">
      <c r="A1625" s="31" t="s">
        <v>9342</v>
      </c>
      <c r="B1625" s="185" t="s">
        <v>6217</v>
      </c>
      <c r="C1625" s="185">
        <v>1</v>
      </c>
      <c r="D1625" s="59" t="s">
        <v>9343</v>
      </c>
      <c r="E1625" s="186">
        <v>83.34</v>
      </c>
      <c r="F1625" s="59" t="s">
        <v>7618</v>
      </c>
      <c r="G1625" s="59">
        <v>49</v>
      </c>
      <c r="H1625" s="59" t="s">
        <v>0</v>
      </c>
      <c r="I1625" s="59" t="s">
        <v>8586</v>
      </c>
      <c r="J1625" s="59" t="s">
        <v>6257</v>
      </c>
      <c r="K1625" s="59" t="s">
        <v>6273</v>
      </c>
      <c r="L1625" s="59" t="s">
        <v>6209</v>
      </c>
      <c r="M1625" s="59">
        <v>4</v>
      </c>
      <c r="N1625" s="133" t="s">
        <v>6260</v>
      </c>
      <c r="O1625" s="1415"/>
      <c r="P1625" s="1393"/>
      <c r="Q1625" s="1396"/>
    </row>
    <row r="1626" spans="1:17" ht="11.1" customHeight="1">
      <c r="A1626" s="31" t="s">
        <v>9344</v>
      </c>
      <c r="B1626" s="185" t="s">
        <v>6217</v>
      </c>
      <c r="C1626" s="185">
        <v>1</v>
      </c>
      <c r="D1626" s="59" t="s">
        <v>9345</v>
      </c>
      <c r="E1626" s="186">
        <v>83.08</v>
      </c>
      <c r="F1626" s="59" t="s">
        <v>7638</v>
      </c>
      <c r="G1626" s="59">
        <v>61</v>
      </c>
      <c r="H1626" s="59" t="s">
        <v>0</v>
      </c>
      <c r="I1626" s="59" t="s">
        <v>8586</v>
      </c>
      <c r="J1626" s="59" t="s">
        <v>6257</v>
      </c>
      <c r="K1626" s="59" t="s">
        <v>6402</v>
      </c>
      <c r="L1626" s="59" t="s">
        <v>6209</v>
      </c>
      <c r="M1626" s="59">
        <v>8</v>
      </c>
      <c r="N1626" s="133" t="s">
        <v>6260</v>
      </c>
      <c r="O1626" s="1415"/>
      <c r="P1626" s="1393"/>
      <c r="Q1626" s="1396"/>
    </row>
    <row r="1627" spans="1:17" ht="11.1" customHeight="1">
      <c r="A1627" s="31" t="s">
        <v>9346</v>
      </c>
      <c r="B1627" s="187"/>
      <c r="C1627" s="187">
        <v>1</v>
      </c>
      <c r="D1627" s="42" t="s">
        <v>9347</v>
      </c>
      <c r="E1627" s="188">
        <v>81.11</v>
      </c>
      <c r="F1627" s="42" t="s">
        <v>7498</v>
      </c>
      <c r="G1627" s="42">
        <v>62</v>
      </c>
      <c r="H1627" s="42" t="s">
        <v>0</v>
      </c>
      <c r="I1627" s="42" t="s">
        <v>8586</v>
      </c>
      <c r="J1627" s="42" t="s">
        <v>6257</v>
      </c>
      <c r="K1627" s="42" t="s">
        <v>6402</v>
      </c>
      <c r="L1627" s="42" t="s">
        <v>6209</v>
      </c>
      <c r="M1627" s="42">
        <v>4</v>
      </c>
      <c r="N1627" s="43" t="s">
        <v>6260</v>
      </c>
      <c r="O1627" s="1415"/>
      <c r="P1627" s="1393"/>
      <c r="Q1627" s="1396"/>
    </row>
    <row r="1628" spans="1:17" ht="11.1" customHeight="1">
      <c r="A1628" s="31" t="s">
        <v>9348</v>
      </c>
      <c r="B1628" s="187"/>
      <c r="C1628" s="187">
        <v>1</v>
      </c>
      <c r="D1628" s="42" t="s">
        <v>9349</v>
      </c>
      <c r="E1628" s="188">
        <v>79.48</v>
      </c>
      <c r="F1628" s="42" t="s">
        <v>7476</v>
      </c>
      <c r="G1628" s="42">
        <v>56</v>
      </c>
      <c r="H1628" s="42" t="s">
        <v>6049</v>
      </c>
      <c r="I1628" s="42" t="s">
        <v>8586</v>
      </c>
      <c r="J1628" s="42" t="s">
        <v>6257</v>
      </c>
      <c r="K1628" s="42" t="s">
        <v>6402</v>
      </c>
      <c r="L1628" s="42" t="s">
        <v>6209</v>
      </c>
      <c r="M1628" s="42">
        <v>3</v>
      </c>
      <c r="N1628" s="43" t="s">
        <v>6260</v>
      </c>
      <c r="O1628" s="1415"/>
      <c r="P1628" s="1393"/>
      <c r="Q1628" s="1396"/>
    </row>
    <row r="1629" spans="1:17" ht="11.1" customHeight="1">
      <c r="A1629" s="31" t="s">
        <v>9350</v>
      </c>
      <c r="B1629" s="187"/>
      <c r="C1629" s="187">
        <v>1</v>
      </c>
      <c r="D1629" s="42" t="s">
        <v>9351</v>
      </c>
      <c r="E1629" s="188">
        <v>74.61</v>
      </c>
      <c r="F1629" s="42" t="s">
        <v>7630</v>
      </c>
      <c r="G1629" s="42">
        <v>62</v>
      </c>
      <c r="H1629" s="42" t="s">
        <v>0</v>
      </c>
      <c r="I1629" s="42" t="s">
        <v>8586</v>
      </c>
      <c r="J1629" s="42" t="s">
        <v>6257</v>
      </c>
      <c r="K1629" s="42" t="s">
        <v>6286</v>
      </c>
      <c r="L1629" s="42" t="s">
        <v>6209</v>
      </c>
      <c r="M1629" s="42">
        <v>3</v>
      </c>
      <c r="N1629" s="43" t="s">
        <v>6260</v>
      </c>
      <c r="O1629" s="1415"/>
      <c r="P1629" s="1393"/>
      <c r="Q1629" s="1396"/>
    </row>
    <row r="1630" spans="1:17" ht="11.1" customHeight="1">
      <c r="A1630" s="31" t="s">
        <v>9352</v>
      </c>
      <c r="B1630" s="187"/>
      <c r="C1630" s="187">
        <v>1</v>
      </c>
      <c r="D1630" s="42" t="s">
        <v>9353</v>
      </c>
      <c r="E1630" s="188">
        <v>70.510000000000005</v>
      </c>
      <c r="F1630" s="42" t="s">
        <v>7460</v>
      </c>
      <c r="G1630" s="42">
        <v>53</v>
      </c>
      <c r="H1630" s="42" t="s">
        <v>0</v>
      </c>
      <c r="I1630" s="42" t="s">
        <v>8586</v>
      </c>
      <c r="J1630" s="42" t="s">
        <v>6257</v>
      </c>
      <c r="K1630" s="42" t="s">
        <v>6596</v>
      </c>
      <c r="L1630" s="42" t="s">
        <v>6209</v>
      </c>
      <c r="M1630" s="42">
        <v>1</v>
      </c>
      <c r="N1630" s="43" t="s">
        <v>6260</v>
      </c>
      <c r="O1630" s="1415"/>
      <c r="P1630" s="1393"/>
      <c r="Q1630" s="1396"/>
    </row>
    <row r="1631" spans="1:17" ht="11.1" customHeight="1">
      <c r="A1631" s="31" t="s">
        <v>9354</v>
      </c>
      <c r="B1631" s="187"/>
      <c r="C1631" s="187">
        <v>1</v>
      </c>
      <c r="D1631" s="42" t="s">
        <v>9355</v>
      </c>
      <c r="E1631" s="188">
        <v>68.36</v>
      </c>
      <c r="F1631" s="42" t="s">
        <v>7486</v>
      </c>
      <c r="G1631" s="42">
        <v>57</v>
      </c>
      <c r="H1631" s="42" t="s">
        <v>0</v>
      </c>
      <c r="I1631" s="42" t="s">
        <v>8586</v>
      </c>
      <c r="J1631" s="42" t="s">
        <v>6257</v>
      </c>
      <c r="K1631" s="42" t="s">
        <v>6402</v>
      </c>
      <c r="L1631" s="42" t="s">
        <v>6209</v>
      </c>
      <c r="M1631" s="42">
        <v>2</v>
      </c>
      <c r="N1631" s="43" t="s">
        <v>6260</v>
      </c>
      <c r="O1631" s="1415"/>
      <c r="P1631" s="1393"/>
      <c r="Q1631" s="1396"/>
    </row>
    <row r="1632" spans="1:17" ht="11.1" customHeight="1">
      <c r="A1632" s="31" t="s">
        <v>9356</v>
      </c>
      <c r="B1632" s="187"/>
      <c r="C1632" s="187">
        <v>1</v>
      </c>
      <c r="D1632" s="42" t="s">
        <v>9357</v>
      </c>
      <c r="E1632" s="188">
        <v>66.08</v>
      </c>
      <c r="F1632" s="42" t="s">
        <v>7504</v>
      </c>
      <c r="G1632" s="42">
        <v>64</v>
      </c>
      <c r="H1632" s="42" t="s">
        <v>0</v>
      </c>
      <c r="I1632" s="42" t="s">
        <v>8586</v>
      </c>
      <c r="J1632" s="42" t="s">
        <v>6257</v>
      </c>
      <c r="K1632" s="42" t="s">
        <v>6273</v>
      </c>
      <c r="L1632" s="42" t="s">
        <v>6209</v>
      </c>
      <c r="M1632" s="42">
        <v>7</v>
      </c>
      <c r="N1632" s="43" t="s">
        <v>6260</v>
      </c>
      <c r="O1632" s="1415"/>
      <c r="P1632" s="1393"/>
      <c r="Q1632" s="1396"/>
    </row>
    <row r="1633" spans="1:17" ht="11.1" customHeight="1">
      <c r="A1633" s="31" t="s">
        <v>9358</v>
      </c>
      <c r="B1633" s="187"/>
      <c r="C1633" s="187">
        <v>1</v>
      </c>
      <c r="D1633" s="42" t="s">
        <v>9359</v>
      </c>
      <c r="E1633" s="188">
        <v>64.319999999999993</v>
      </c>
      <c r="F1633" s="42" t="s">
        <v>7532</v>
      </c>
      <c r="G1633" s="42">
        <v>36</v>
      </c>
      <c r="H1633" s="42" t="s">
        <v>0</v>
      </c>
      <c r="I1633" s="42" t="s">
        <v>8586</v>
      </c>
      <c r="J1633" s="42" t="s">
        <v>6257</v>
      </c>
      <c r="K1633" s="42" t="s">
        <v>6350</v>
      </c>
      <c r="L1633" s="42" t="s">
        <v>6209</v>
      </c>
      <c r="M1633" s="42">
        <v>1</v>
      </c>
      <c r="N1633" s="43" t="s">
        <v>6260</v>
      </c>
      <c r="O1633" s="1415"/>
      <c r="P1633" s="1393"/>
      <c r="Q1633" s="1396"/>
    </row>
    <row r="1634" spans="1:17" ht="11.1" customHeight="1">
      <c r="A1634" s="31" t="s">
        <v>9360</v>
      </c>
      <c r="B1634" s="187"/>
      <c r="C1634" s="187">
        <v>1</v>
      </c>
      <c r="D1634" s="42" t="s">
        <v>9361</v>
      </c>
      <c r="E1634" s="188">
        <v>63.4</v>
      </c>
      <c r="F1634" s="42" t="s">
        <v>7588</v>
      </c>
      <c r="G1634" s="42">
        <v>45</v>
      </c>
      <c r="H1634" s="42" t="s">
        <v>0</v>
      </c>
      <c r="I1634" s="42" t="s">
        <v>8586</v>
      </c>
      <c r="J1634" s="42" t="s">
        <v>6257</v>
      </c>
      <c r="K1634" s="42" t="s">
        <v>6671</v>
      </c>
      <c r="L1634" s="42" t="s">
        <v>6209</v>
      </c>
      <c r="M1634" s="42">
        <v>1</v>
      </c>
      <c r="N1634" s="43" t="s">
        <v>6260</v>
      </c>
      <c r="O1634" s="1415"/>
      <c r="P1634" s="1393"/>
      <c r="Q1634" s="1396"/>
    </row>
    <row r="1635" spans="1:17" ht="11.1" customHeight="1">
      <c r="A1635" s="31" t="s">
        <v>9362</v>
      </c>
      <c r="B1635" s="187"/>
      <c r="C1635" s="187">
        <v>1</v>
      </c>
      <c r="D1635" s="42" t="s">
        <v>9363</v>
      </c>
      <c r="E1635" s="188">
        <v>60.97</v>
      </c>
      <c r="F1635" s="42" t="s">
        <v>7572</v>
      </c>
      <c r="G1635" s="42">
        <v>36</v>
      </c>
      <c r="H1635" s="42" t="s">
        <v>0</v>
      </c>
      <c r="I1635" s="42" t="s">
        <v>8586</v>
      </c>
      <c r="J1635" s="42" t="s">
        <v>6257</v>
      </c>
      <c r="K1635" s="42" t="s">
        <v>6369</v>
      </c>
      <c r="L1635" s="42" t="s">
        <v>6209</v>
      </c>
      <c r="M1635" s="42">
        <v>1</v>
      </c>
      <c r="N1635" s="43" t="s">
        <v>6260</v>
      </c>
      <c r="O1635" s="1415"/>
      <c r="P1635" s="1393"/>
      <c r="Q1635" s="1396"/>
    </row>
    <row r="1636" spans="1:17" ht="11.1" customHeight="1">
      <c r="A1636" s="31" t="s">
        <v>9364</v>
      </c>
      <c r="B1636" s="187"/>
      <c r="C1636" s="187">
        <v>1</v>
      </c>
      <c r="D1636" s="42" t="s">
        <v>9365</v>
      </c>
      <c r="E1636" s="188">
        <v>60.27</v>
      </c>
      <c r="F1636" s="42" t="s">
        <v>7624</v>
      </c>
      <c r="G1636" s="42">
        <v>58</v>
      </c>
      <c r="H1636" s="42" t="s">
        <v>0</v>
      </c>
      <c r="I1636" s="42" t="s">
        <v>8586</v>
      </c>
      <c r="J1636" s="42" t="s">
        <v>6257</v>
      </c>
      <c r="K1636" s="42" t="s">
        <v>6286</v>
      </c>
      <c r="L1636" s="42" t="s">
        <v>6209</v>
      </c>
      <c r="M1636" s="42">
        <v>1</v>
      </c>
      <c r="N1636" s="43" t="s">
        <v>6260</v>
      </c>
      <c r="O1636" s="1415"/>
      <c r="P1636" s="1393"/>
      <c r="Q1636" s="1396"/>
    </row>
    <row r="1637" spans="1:17" ht="11.1" customHeight="1">
      <c r="A1637" s="31" t="s">
        <v>9366</v>
      </c>
      <c r="B1637" s="187"/>
      <c r="C1637" s="187">
        <v>1</v>
      </c>
      <c r="D1637" s="42" t="s">
        <v>9367</v>
      </c>
      <c r="E1637" s="188">
        <v>60.15</v>
      </c>
      <c r="F1637" s="42" t="s">
        <v>7600</v>
      </c>
      <c r="G1637" s="42">
        <v>65</v>
      </c>
      <c r="H1637" s="42" t="s">
        <v>0</v>
      </c>
      <c r="I1637" s="42" t="s">
        <v>8586</v>
      </c>
      <c r="J1637" s="42" t="s">
        <v>6257</v>
      </c>
      <c r="K1637" s="42" t="s">
        <v>6671</v>
      </c>
      <c r="L1637" s="42" t="s">
        <v>6209</v>
      </c>
      <c r="M1637" s="42">
        <v>4</v>
      </c>
      <c r="N1637" s="43" t="s">
        <v>6260</v>
      </c>
      <c r="O1637" s="1415"/>
      <c r="P1637" s="1393"/>
      <c r="Q1637" s="1396"/>
    </row>
    <row r="1638" spans="1:17" ht="11.1" customHeight="1">
      <c r="A1638" s="31" t="s">
        <v>9368</v>
      </c>
      <c r="B1638" s="187"/>
      <c r="C1638" s="187">
        <v>1</v>
      </c>
      <c r="D1638" s="42" t="s">
        <v>9369</v>
      </c>
      <c r="E1638" s="188">
        <v>59.76</v>
      </c>
      <c r="F1638" s="42" t="s">
        <v>7582</v>
      </c>
      <c r="G1638" s="42">
        <v>51</v>
      </c>
      <c r="H1638" s="42" t="s">
        <v>0</v>
      </c>
      <c r="I1638" s="42" t="s">
        <v>8586</v>
      </c>
      <c r="J1638" s="42" t="s">
        <v>6257</v>
      </c>
      <c r="K1638" s="42" t="s">
        <v>6286</v>
      </c>
      <c r="L1638" s="42" t="s">
        <v>6209</v>
      </c>
      <c r="M1638" s="42">
        <v>2</v>
      </c>
      <c r="N1638" s="43" t="s">
        <v>6260</v>
      </c>
      <c r="O1638" s="1415"/>
      <c r="P1638" s="1393"/>
      <c r="Q1638" s="1396"/>
    </row>
    <row r="1639" spans="1:17" ht="11.1" customHeight="1">
      <c r="A1639" s="31" t="s">
        <v>9370</v>
      </c>
      <c r="B1639" s="187"/>
      <c r="C1639" s="187">
        <v>1</v>
      </c>
      <c r="D1639" s="42" t="s">
        <v>9371</v>
      </c>
      <c r="E1639" s="188">
        <v>56.22</v>
      </c>
      <c r="F1639" s="42" t="s">
        <v>7566</v>
      </c>
      <c r="G1639" s="42">
        <v>45</v>
      </c>
      <c r="H1639" s="42" t="s">
        <v>0</v>
      </c>
      <c r="I1639" s="42" t="s">
        <v>8586</v>
      </c>
      <c r="J1639" s="42" t="s">
        <v>6257</v>
      </c>
      <c r="K1639" s="42" t="s">
        <v>6258</v>
      </c>
      <c r="L1639" s="42" t="s">
        <v>6036</v>
      </c>
      <c r="M1639" s="42"/>
      <c r="N1639" s="43" t="s">
        <v>6260</v>
      </c>
      <c r="O1639" s="1415"/>
      <c r="P1639" s="1393"/>
      <c r="Q1639" s="1396"/>
    </row>
    <row r="1640" spans="1:17" ht="11.1" customHeight="1">
      <c r="A1640" s="31" t="s">
        <v>9372</v>
      </c>
      <c r="B1640" s="187"/>
      <c r="C1640" s="187">
        <v>1</v>
      </c>
      <c r="D1640" s="42" t="s">
        <v>9373</v>
      </c>
      <c r="E1640" s="188">
        <v>51.83</v>
      </c>
      <c r="F1640" s="42" t="s">
        <v>7644</v>
      </c>
      <c r="G1640" s="42">
        <v>35</v>
      </c>
      <c r="H1640" s="42" t="s">
        <v>0</v>
      </c>
      <c r="I1640" s="42" t="s">
        <v>8586</v>
      </c>
      <c r="J1640" s="42" t="s">
        <v>6257</v>
      </c>
      <c r="K1640" s="42" t="s">
        <v>6258</v>
      </c>
      <c r="L1640" s="42" t="s">
        <v>6036</v>
      </c>
      <c r="M1640" s="42"/>
      <c r="N1640" s="43" t="s">
        <v>6260</v>
      </c>
      <c r="O1640" s="1415"/>
      <c r="P1640" s="1393"/>
      <c r="Q1640" s="1396"/>
    </row>
    <row r="1641" spans="1:17" ht="11.1" customHeight="1">
      <c r="A1641" s="31" t="s">
        <v>9374</v>
      </c>
      <c r="B1641" s="187"/>
      <c r="C1641" s="187">
        <v>1</v>
      </c>
      <c r="D1641" s="42" t="s">
        <v>9375</v>
      </c>
      <c r="E1641" s="188">
        <v>51.5</v>
      </c>
      <c r="F1641" s="42" t="s">
        <v>7606</v>
      </c>
      <c r="G1641" s="42">
        <v>49</v>
      </c>
      <c r="H1641" s="42" t="s">
        <v>0</v>
      </c>
      <c r="I1641" s="42" t="s">
        <v>8586</v>
      </c>
      <c r="J1641" s="42" t="s">
        <v>6257</v>
      </c>
      <c r="K1641" s="42" t="s">
        <v>6402</v>
      </c>
      <c r="L1641" s="42" t="s">
        <v>6209</v>
      </c>
      <c r="M1641" s="42">
        <v>1</v>
      </c>
      <c r="N1641" s="43" t="s">
        <v>6260</v>
      </c>
      <c r="O1641" s="1415"/>
      <c r="P1641" s="1393"/>
      <c r="Q1641" s="1396"/>
    </row>
    <row r="1642" spans="1:17" ht="11.1" customHeight="1">
      <c r="A1642" s="31" t="s">
        <v>9376</v>
      </c>
      <c r="B1642" s="187"/>
      <c r="C1642" s="187">
        <v>1</v>
      </c>
      <c r="D1642" s="42" t="s">
        <v>9377</v>
      </c>
      <c r="E1642" s="188">
        <v>49.75</v>
      </c>
      <c r="F1642" s="42" t="s">
        <v>7558</v>
      </c>
      <c r="G1642" s="42">
        <v>59</v>
      </c>
      <c r="H1642" s="42" t="s">
        <v>6049</v>
      </c>
      <c r="I1642" s="42" t="s">
        <v>8586</v>
      </c>
      <c r="J1642" s="42" t="s">
        <v>6257</v>
      </c>
      <c r="K1642" s="42" t="s">
        <v>6671</v>
      </c>
      <c r="L1642" s="42" t="s">
        <v>6209</v>
      </c>
      <c r="M1642" s="42">
        <v>1</v>
      </c>
      <c r="N1642" s="43" t="s">
        <v>6260</v>
      </c>
      <c r="O1642" s="1415"/>
      <c r="P1642" s="1393"/>
      <c r="Q1642" s="1396"/>
    </row>
    <row r="1643" spans="1:17" ht="11.1" customHeight="1">
      <c r="A1643" s="31" t="s">
        <v>9378</v>
      </c>
      <c r="B1643" s="187"/>
      <c r="C1643" s="187">
        <v>1</v>
      </c>
      <c r="D1643" s="42" t="s">
        <v>9379</v>
      </c>
      <c r="E1643" s="188">
        <v>47.37</v>
      </c>
      <c r="F1643" s="42" t="s">
        <v>7510</v>
      </c>
      <c r="G1643" s="42">
        <v>70</v>
      </c>
      <c r="H1643" s="42" t="s">
        <v>0</v>
      </c>
      <c r="I1643" s="42" t="s">
        <v>8586</v>
      </c>
      <c r="J1643" s="42" t="s">
        <v>6257</v>
      </c>
      <c r="K1643" s="42" t="s">
        <v>6273</v>
      </c>
      <c r="L1643" s="42" t="s">
        <v>6209</v>
      </c>
      <c r="M1643" s="42">
        <v>3</v>
      </c>
      <c r="N1643" s="43" t="s">
        <v>6260</v>
      </c>
      <c r="O1643" s="1415"/>
      <c r="P1643" s="1393"/>
      <c r="Q1643" s="1396"/>
    </row>
    <row r="1644" spans="1:17" ht="11.1" customHeight="1">
      <c r="A1644" s="31" t="s">
        <v>9380</v>
      </c>
      <c r="B1644" s="187"/>
      <c r="C1644" s="187">
        <v>1</v>
      </c>
      <c r="D1644" s="42" t="s">
        <v>9381</v>
      </c>
      <c r="E1644" s="188">
        <v>44.65</v>
      </c>
      <c r="F1644" s="42" t="s">
        <v>7550</v>
      </c>
      <c r="G1644" s="42">
        <v>52</v>
      </c>
      <c r="H1644" s="42" t="s">
        <v>0</v>
      </c>
      <c r="I1644" s="42" t="s">
        <v>8586</v>
      </c>
      <c r="J1644" s="42" t="s">
        <v>6257</v>
      </c>
      <c r="K1644" s="42" t="s">
        <v>6273</v>
      </c>
      <c r="L1644" s="42" t="s">
        <v>6209</v>
      </c>
      <c r="M1644" s="42">
        <v>1</v>
      </c>
      <c r="N1644" s="43" t="s">
        <v>6260</v>
      </c>
      <c r="O1644" s="1415"/>
      <c r="P1644" s="1393"/>
      <c r="Q1644" s="1396"/>
    </row>
    <row r="1645" spans="1:17" ht="11.1" customHeight="1">
      <c r="A1645" s="31" t="s">
        <v>9382</v>
      </c>
      <c r="B1645" s="187"/>
      <c r="C1645" s="187">
        <v>1</v>
      </c>
      <c r="D1645" s="42" t="s">
        <v>9383</v>
      </c>
      <c r="E1645" s="188">
        <v>41.84</v>
      </c>
      <c r="F1645" s="42" t="s">
        <v>7518</v>
      </c>
      <c r="G1645" s="42">
        <v>50</v>
      </c>
      <c r="H1645" s="42" t="s">
        <v>6049</v>
      </c>
      <c r="I1645" s="42" t="s">
        <v>8586</v>
      </c>
      <c r="J1645" s="42" t="s">
        <v>6257</v>
      </c>
      <c r="K1645" s="42" t="s">
        <v>6258</v>
      </c>
      <c r="L1645" s="42" t="s">
        <v>6209</v>
      </c>
      <c r="M1645" s="42">
        <v>1</v>
      </c>
      <c r="N1645" s="43" t="s">
        <v>6260</v>
      </c>
      <c r="O1645" s="1415"/>
      <c r="P1645" s="1393"/>
      <c r="Q1645" s="1396"/>
    </row>
    <row r="1646" spans="1:17" ht="11.1" customHeight="1">
      <c r="A1646" s="31" t="s">
        <v>9384</v>
      </c>
      <c r="B1646" s="187"/>
      <c r="C1646" s="187">
        <v>1</v>
      </c>
      <c r="D1646" s="42" t="s">
        <v>9385</v>
      </c>
      <c r="E1646" s="188">
        <v>36.22</v>
      </c>
      <c r="F1646" s="189" t="s">
        <v>7652</v>
      </c>
      <c r="G1646" s="42">
        <v>60</v>
      </c>
      <c r="H1646" s="42" t="s">
        <v>0</v>
      </c>
      <c r="I1646" s="42" t="s">
        <v>8586</v>
      </c>
      <c r="J1646" s="42" t="s">
        <v>6257</v>
      </c>
      <c r="K1646" s="42" t="s">
        <v>6273</v>
      </c>
      <c r="L1646" s="42" t="s">
        <v>6209</v>
      </c>
      <c r="M1646" s="42">
        <v>2</v>
      </c>
      <c r="N1646" s="43" t="s">
        <v>6260</v>
      </c>
      <c r="O1646" s="1415"/>
      <c r="P1646" s="1393"/>
      <c r="Q1646" s="1396"/>
    </row>
    <row r="1647" spans="1:17" ht="11.1" customHeight="1">
      <c r="A1647" s="31" t="s">
        <v>9386</v>
      </c>
      <c r="B1647" s="187"/>
      <c r="C1647" s="187">
        <v>1</v>
      </c>
      <c r="D1647" s="42" t="s">
        <v>9387</v>
      </c>
      <c r="E1647" s="188">
        <v>35.89</v>
      </c>
      <c r="F1647" s="42" t="s">
        <v>7542</v>
      </c>
      <c r="G1647" s="42">
        <v>47</v>
      </c>
      <c r="H1647" s="42" t="s">
        <v>6049</v>
      </c>
      <c r="I1647" s="42" t="s">
        <v>8586</v>
      </c>
      <c r="J1647" s="42" t="s">
        <v>6257</v>
      </c>
      <c r="K1647" s="42" t="s">
        <v>6258</v>
      </c>
      <c r="L1647" s="42" t="s">
        <v>6036</v>
      </c>
      <c r="M1647" s="42"/>
      <c r="N1647" s="43" t="s">
        <v>6260</v>
      </c>
      <c r="O1647" s="1415"/>
      <c r="P1647" s="1393"/>
      <c r="Q1647" s="1396"/>
    </row>
    <row r="1648" spans="1:17" ht="11.1" customHeight="1">
      <c r="A1648" s="31" t="s">
        <v>9388</v>
      </c>
      <c r="B1648" s="187" t="s">
        <v>8615</v>
      </c>
      <c r="C1648" s="187">
        <v>1</v>
      </c>
      <c r="D1648" s="59" t="s">
        <v>9389</v>
      </c>
      <c r="E1648" s="186" t="s">
        <v>6251</v>
      </c>
      <c r="F1648" s="59" t="s">
        <v>7452</v>
      </c>
      <c r="G1648" s="59">
        <v>46</v>
      </c>
      <c r="H1648" s="59" t="s">
        <v>0</v>
      </c>
      <c r="I1648" s="59" t="s">
        <v>8586</v>
      </c>
      <c r="J1648" s="59" t="s">
        <v>6257</v>
      </c>
      <c r="K1648" s="59" t="s">
        <v>6258</v>
      </c>
      <c r="L1648" s="59" t="s">
        <v>6209</v>
      </c>
      <c r="M1648" s="59">
        <v>4</v>
      </c>
      <c r="N1648" s="43" t="s">
        <v>6260</v>
      </c>
      <c r="O1648" s="1415"/>
      <c r="P1648" s="1393"/>
      <c r="Q1648" s="1396"/>
    </row>
    <row r="1649" spans="1:17" ht="11.1" customHeight="1">
      <c r="A1649" s="44" t="s">
        <v>9390</v>
      </c>
      <c r="B1649" s="187" t="s">
        <v>8615</v>
      </c>
      <c r="C1649" s="190">
        <v>1</v>
      </c>
      <c r="D1649" s="97" t="s">
        <v>9391</v>
      </c>
      <c r="E1649" s="191" t="s">
        <v>6251</v>
      </c>
      <c r="F1649" s="97" t="s">
        <v>7464</v>
      </c>
      <c r="G1649" s="97">
        <v>66</v>
      </c>
      <c r="H1649" s="97" t="s">
        <v>0</v>
      </c>
      <c r="I1649" s="97" t="s">
        <v>8586</v>
      </c>
      <c r="J1649" s="97" t="s">
        <v>6257</v>
      </c>
      <c r="K1649" s="97" t="s">
        <v>6402</v>
      </c>
      <c r="L1649" s="97" t="s">
        <v>6209</v>
      </c>
      <c r="M1649" s="97">
        <v>7</v>
      </c>
      <c r="N1649" s="50" t="s">
        <v>6260</v>
      </c>
      <c r="O1649" s="1416"/>
      <c r="P1649" s="1394"/>
      <c r="Q1649" s="1397"/>
    </row>
    <row r="1650" spans="1:17" ht="11.1" customHeight="1">
      <c r="A1650" s="51" t="s">
        <v>9392</v>
      </c>
      <c r="B1650" s="192" t="s">
        <v>6217</v>
      </c>
      <c r="C1650" s="192">
        <v>1</v>
      </c>
      <c r="D1650" s="56" t="s">
        <v>9393</v>
      </c>
      <c r="E1650" s="193">
        <v>97.33</v>
      </c>
      <c r="F1650" s="56" t="s">
        <v>7664</v>
      </c>
      <c r="G1650" s="56">
        <v>32</v>
      </c>
      <c r="H1650" s="56" t="s">
        <v>0</v>
      </c>
      <c r="I1650" s="56" t="s">
        <v>8586</v>
      </c>
      <c r="J1650" s="56" t="s">
        <v>6253</v>
      </c>
      <c r="K1650" s="56" t="s">
        <v>6053</v>
      </c>
      <c r="L1650" s="56" t="s">
        <v>6036</v>
      </c>
      <c r="M1650" s="56"/>
      <c r="N1650" s="57" t="s">
        <v>6213</v>
      </c>
      <c r="O1650" s="1408">
        <v>12</v>
      </c>
      <c r="P1650" s="1392">
        <v>3864328</v>
      </c>
      <c r="Q1650" s="1395" t="e">
        <f>P1650/SUM($P$464:$P$556)</f>
        <v>#DIV/0!</v>
      </c>
    </row>
    <row r="1651" spans="1:17" ht="11.1" customHeight="1">
      <c r="A1651" s="31" t="s">
        <v>9394</v>
      </c>
      <c r="B1651" s="194" t="s">
        <v>6217</v>
      </c>
      <c r="C1651" s="194">
        <v>1</v>
      </c>
      <c r="D1651" s="36" t="s">
        <v>9391</v>
      </c>
      <c r="E1651" s="195">
        <v>85.07</v>
      </c>
      <c r="F1651" s="36" t="s">
        <v>7466</v>
      </c>
      <c r="G1651" s="36">
        <v>47</v>
      </c>
      <c r="H1651" s="36" t="s">
        <v>0</v>
      </c>
      <c r="I1651" s="36" t="s">
        <v>8586</v>
      </c>
      <c r="J1651" s="36" t="s">
        <v>6253</v>
      </c>
      <c r="K1651" s="36" t="s">
        <v>6053</v>
      </c>
      <c r="L1651" s="36" t="s">
        <v>6036</v>
      </c>
      <c r="M1651" s="36"/>
      <c r="N1651" s="37" t="s">
        <v>6213</v>
      </c>
      <c r="O1651" s="1409"/>
      <c r="P1651" s="1393"/>
      <c r="Q1651" s="1396"/>
    </row>
    <row r="1652" spans="1:17" ht="11.1" customHeight="1">
      <c r="A1652" s="31" t="s">
        <v>9395</v>
      </c>
      <c r="B1652" s="194" t="s">
        <v>6217</v>
      </c>
      <c r="C1652" s="194">
        <v>1</v>
      </c>
      <c r="D1652" s="36" t="s">
        <v>9389</v>
      </c>
      <c r="E1652" s="195">
        <v>81.010000000000005</v>
      </c>
      <c r="F1652" s="36" t="s">
        <v>7454</v>
      </c>
      <c r="G1652" s="36">
        <v>56</v>
      </c>
      <c r="H1652" s="36" t="s">
        <v>0</v>
      </c>
      <c r="I1652" s="36" t="s">
        <v>8586</v>
      </c>
      <c r="J1652" s="36" t="s">
        <v>6253</v>
      </c>
      <c r="K1652" s="36" t="s">
        <v>6053</v>
      </c>
      <c r="L1652" s="36" t="s">
        <v>6036</v>
      </c>
      <c r="M1652" s="36"/>
      <c r="N1652" s="37" t="s">
        <v>6213</v>
      </c>
      <c r="O1652" s="1409"/>
      <c r="P1652" s="1393"/>
      <c r="Q1652" s="1396"/>
    </row>
    <row r="1653" spans="1:17" ht="11.1" customHeight="1">
      <c r="A1653" s="31" t="s">
        <v>9396</v>
      </c>
      <c r="B1653" s="194" t="s">
        <v>6217</v>
      </c>
      <c r="C1653" s="194">
        <v>1</v>
      </c>
      <c r="D1653" s="36" t="s">
        <v>9383</v>
      </c>
      <c r="E1653" s="195">
        <v>48.78</v>
      </c>
      <c r="F1653" s="36" t="s">
        <v>7516</v>
      </c>
      <c r="G1653" s="36">
        <v>35</v>
      </c>
      <c r="H1653" s="36" t="s">
        <v>0</v>
      </c>
      <c r="I1653" s="36" t="s">
        <v>8586</v>
      </c>
      <c r="J1653" s="36" t="s">
        <v>6253</v>
      </c>
      <c r="K1653" s="36" t="s">
        <v>6053</v>
      </c>
      <c r="L1653" s="36" t="s">
        <v>6036</v>
      </c>
      <c r="M1653" s="36"/>
      <c r="N1653" s="37"/>
      <c r="O1653" s="1409"/>
      <c r="P1653" s="1393"/>
      <c r="Q1653" s="1396"/>
    </row>
    <row r="1654" spans="1:17" ht="11.1" customHeight="1">
      <c r="A1654" s="31" t="s">
        <v>9397</v>
      </c>
      <c r="B1654" s="194" t="s">
        <v>6217</v>
      </c>
      <c r="C1654" s="194">
        <v>34</v>
      </c>
      <c r="D1654" s="36" t="s">
        <v>8608</v>
      </c>
      <c r="E1654" s="195" t="s">
        <v>6262</v>
      </c>
      <c r="F1654" s="36" t="s">
        <v>9398</v>
      </c>
      <c r="G1654" s="36">
        <v>44</v>
      </c>
      <c r="H1654" s="36" t="s">
        <v>6049</v>
      </c>
      <c r="I1654" s="36"/>
      <c r="J1654" s="36" t="s">
        <v>6253</v>
      </c>
      <c r="K1654" s="36" t="s">
        <v>7394</v>
      </c>
      <c r="L1654" s="36" t="s">
        <v>6036</v>
      </c>
      <c r="M1654" s="36"/>
      <c r="N1654" s="223"/>
      <c r="O1654" s="1409"/>
      <c r="P1654" s="1393"/>
      <c r="Q1654" s="1396"/>
    </row>
    <row r="1655" spans="1:17" ht="11.1" customHeight="1">
      <c r="A1655" s="31" t="s">
        <v>9399</v>
      </c>
      <c r="B1655" s="194" t="s">
        <v>6217</v>
      </c>
      <c r="C1655" s="194">
        <v>35</v>
      </c>
      <c r="D1655" s="36" t="s">
        <v>8608</v>
      </c>
      <c r="E1655" s="195" t="s">
        <v>6262</v>
      </c>
      <c r="F1655" s="36" t="s">
        <v>9400</v>
      </c>
      <c r="G1655" s="36">
        <v>71</v>
      </c>
      <c r="H1655" s="36" t="s">
        <v>0</v>
      </c>
      <c r="I1655" s="36"/>
      <c r="J1655" s="36" t="s">
        <v>6253</v>
      </c>
      <c r="K1655" s="36" t="s">
        <v>6053</v>
      </c>
      <c r="L1655" s="36" t="s">
        <v>6036</v>
      </c>
      <c r="M1655" s="36"/>
      <c r="N1655" s="223"/>
      <c r="O1655" s="1409"/>
      <c r="P1655" s="1393"/>
      <c r="Q1655" s="1396"/>
    </row>
    <row r="1656" spans="1:17" ht="11.1" customHeight="1">
      <c r="A1656" s="31" t="s">
        <v>9401</v>
      </c>
      <c r="B1656" s="194" t="s">
        <v>6217</v>
      </c>
      <c r="C1656" s="194">
        <v>36</v>
      </c>
      <c r="D1656" s="36" t="s">
        <v>8608</v>
      </c>
      <c r="E1656" s="195" t="s">
        <v>6262</v>
      </c>
      <c r="F1656" s="36" t="s">
        <v>9402</v>
      </c>
      <c r="G1656" s="36">
        <v>48</v>
      </c>
      <c r="H1656" s="36" t="s">
        <v>0</v>
      </c>
      <c r="I1656" s="36"/>
      <c r="J1656" s="36" t="s">
        <v>6253</v>
      </c>
      <c r="K1656" s="36" t="s">
        <v>6053</v>
      </c>
      <c r="L1656" s="36" t="s">
        <v>6036</v>
      </c>
      <c r="M1656" s="36"/>
      <c r="N1656" s="223"/>
      <c r="O1656" s="1409"/>
      <c r="P1656" s="1393"/>
      <c r="Q1656" s="1396"/>
    </row>
    <row r="1657" spans="1:17" ht="11.1" customHeight="1">
      <c r="A1657" s="31" t="s">
        <v>9403</v>
      </c>
      <c r="B1657" s="194" t="s">
        <v>6217</v>
      </c>
      <c r="C1657" s="194">
        <v>37</v>
      </c>
      <c r="D1657" s="36" t="s">
        <v>8608</v>
      </c>
      <c r="E1657" s="195" t="s">
        <v>6262</v>
      </c>
      <c r="F1657" s="36" t="s">
        <v>9404</v>
      </c>
      <c r="G1657" s="36">
        <v>34</v>
      </c>
      <c r="H1657" s="36" t="s">
        <v>0</v>
      </c>
      <c r="I1657" s="36"/>
      <c r="J1657" s="36" t="s">
        <v>6253</v>
      </c>
      <c r="K1657" s="36" t="s">
        <v>6053</v>
      </c>
      <c r="L1657" s="36" t="s">
        <v>6036</v>
      </c>
      <c r="M1657" s="36"/>
      <c r="N1657" s="223"/>
      <c r="O1657" s="1409"/>
      <c r="P1657" s="1393"/>
      <c r="Q1657" s="1396"/>
    </row>
    <row r="1658" spans="1:17" ht="11.1" customHeight="1">
      <c r="A1658" s="31" t="s">
        <v>9405</v>
      </c>
      <c r="B1658" s="194" t="s">
        <v>6217</v>
      </c>
      <c r="C1658" s="194">
        <v>38</v>
      </c>
      <c r="D1658" s="36" t="s">
        <v>8608</v>
      </c>
      <c r="E1658" s="195" t="s">
        <v>6262</v>
      </c>
      <c r="F1658" s="36" t="s">
        <v>9406</v>
      </c>
      <c r="G1658" s="36">
        <v>66</v>
      </c>
      <c r="H1658" s="36" t="s">
        <v>0</v>
      </c>
      <c r="I1658" s="36"/>
      <c r="J1658" s="36" t="s">
        <v>6253</v>
      </c>
      <c r="K1658" s="36" t="s">
        <v>6035</v>
      </c>
      <c r="L1658" s="36" t="s">
        <v>6036</v>
      </c>
      <c r="M1658" s="36"/>
      <c r="N1658" s="223"/>
      <c r="O1658" s="1409"/>
      <c r="P1658" s="1393"/>
      <c r="Q1658" s="1396"/>
    </row>
    <row r="1659" spans="1:17" ht="11.1" customHeight="1">
      <c r="A1659" s="31" t="s">
        <v>9407</v>
      </c>
      <c r="B1659" s="194" t="s">
        <v>6217</v>
      </c>
      <c r="C1659" s="194">
        <v>39</v>
      </c>
      <c r="D1659" s="36" t="s">
        <v>8608</v>
      </c>
      <c r="E1659" s="195" t="s">
        <v>6262</v>
      </c>
      <c r="F1659" s="36" t="s">
        <v>9408</v>
      </c>
      <c r="G1659" s="36">
        <v>37</v>
      </c>
      <c r="H1659" s="36" t="s">
        <v>6049</v>
      </c>
      <c r="I1659" s="36"/>
      <c r="J1659" s="36" t="s">
        <v>6253</v>
      </c>
      <c r="K1659" s="36" t="s">
        <v>6053</v>
      </c>
      <c r="L1659" s="36" t="s">
        <v>6036</v>
      </c>
      <c r="M1659" s="36"/>
      <c r="N1659" s="223"/>
      <c r="O1659" s="1409"/>
      <c r="P1659" s="1393"/>
      <c r="Q1659" s="1396"/>
    </row>
    <row r="1660" spans="1:17" ht="11.1" customHeight="1">
      <c r="A1660" s="31" t="s">
        <v>9409</v>
      </c>
      <c r="B1660" s="194" t="s">
        <v>6217</v>
      </c>
      <c r="C1660" s="194">
        <v>40</v>
      </c>
      <c r="D1660" s="36" t="s">
        <v>8608</v>
      </c>
      <c r="E1660" s="195" t="s">
        <v>6262</v>
      </c>
      <c r="F1660" s="36" t="s">
        <v>9410</v>
      </c>
      <c r="G1660" s="36">
        <v>39</v>
      </c>
      <c r="H1660" s="36" t="s">
        <v>0</v>
      </c>
      <c r="I1660" s="36"/>
      <c r="J1660" s="36" t="s">
        <v>6253</v>
      </c>
      <c r="K1660" s="36" t="s">
        <v>6053</v>
      </c>
      <c r="L1660" s="36" t="s">
        <v>6036</v>
      </c>
      <c r="M1660" s="36"/>
      <c r="N1660" s="223"/>
      <c r="O1660" s="1409"/>
      <c r="P1660" s="1393"/>
      <c r="Q1660" s="1396"/>
    </row>
    <row r="1661" spans="1:17" ht="11.1" customHeight="1">
      <c r="A1661" s="31" t="s">
        <v>9411</v>
      </c>
      <c r="B1661" s="194" t="s">
        <v>6217</v>
      </c>
      <c r="C1661" s="194">
        <v>41</v>
      </c>
      <c r="D1661" s="36" t="s">
        <v>8608</v>
      </c>
      <c r="E1661" s="195" t="s">
        <v>6262</v>
      </c>
      <c r="F1661" s="36" t="s">
        <v>9412</v>
      </c>
      <c r="G1661" s="36">
        <v>43</v>
      </c>
      <c r="H1661" s="36" t="s">
        <v>6049</v>
      </c>
      <c r="I1661" s="36"/>
      <c r="J1661" s="36" t="s">
        <v>6253</v>
      </c>
      <c r="K1661" s="36" t="s">
        <v>6053</v>
      </c>
      <c r="L1661" s="36" t="s">
        <v>6036</v>
      </c>
      <c r="M1661" s="36"/>
      <c r="N1661" s="223"/>
      <c r="O1661" s="1409"/>
      <c r="P1661" s="1393"/>
      <c r="Q1661" s="1396"/>
    </row>
    <row r="1662" spans="1:17" ht="11.1" customHeight="1">
      <c r="A1662" s="31" t="s">
        <v>9413</v>
      </c>
      <c r="B1662" s="187" t="s">
        <v>8615</v>
      </c>
      <c r="C1662" s="187">
        <v>1</v>
      </c>
      <c r="D1662" s="36" t="s">
        <v>9339</v>
      </c>
      <c r="E1662" s="195" t="s">
        <v>6251</v>
      </c>
      <c r="F1662" s="36" t="s">
        <v>7444</v>
      </c>
      <c r="G1662" s="36">
        <v>30</v>
      </c>
      <c r="H1662" s="36" t="s">
        <v>0</v>
      </c>
      <c r="I1662" s="36" t="s">
        <v>8586</v>
      </c>
      <c r="J1662" s="36" t="s">
        <v>6253</v>
      </c>
      <c r="K1662" s="36" t="s">
        <v>6053</v>
      </c>
      <c r="L1662" s="36" t="s">
        <v>6036</v>
      </c>
      <c r="M1662" s="36"/>
      <c r="N1662" s="43"/>
      <c r="O1662" s="1409"/>
      <c r="P1662" s="1393"/>
      <c r="Q1662" s="1396"/>
    </row>
    <row r="1663" spans="1:17" ht="11.1" customHeight="1">
      <c r="A1663" s="31" t="s">
        <v>9414</v>
      </c>
      <c r="B1663" s="187" t="s">
        <v>8615</v>
      </c>
      <c r="C1663" s="187">
        <v>1</v>
      </c>
      <c r="D1663" s="36" t="s">
        <v>9353</v>
      </c>
      <c r="E1663" s="195" t="s">
        <v>6251</v>
      </c>
      <c r="F1663" s="36" t="s">
        <v>7458</v>
      </c>
      <c r="G1663" s="36">
        <v>42</v>
      </c>
      <c r="H1663" s="36" t="s">
        <v>0</v>
      </c>
      <c r="I1663" s="36" t="s">
        <v>8586</v>
      </c>
      <c r="J1663" s="36" t="s">
        <v>6253</v>
      </c>
      <c r="K1663" s="36" t="s">
        <v>6053</v>
      </c>
      <c r="L1663" s="36" t="s">
        <v>6209</v>
      </c>
      <c r="M1663" s="36">
        <v>2</v>
      </c>
      <c r="N1663" s="43" t="s">
        <v>6213</v>
      </c>
      <c r="O1663" s="1409"/>
      <c r="P1663" s="1393"/>
      <c r="Q1663" s="1396"/>
    </row>
    <row r="1664" spans="1:17" ht="11.1" customHeight="1">
      <c r="A1664" s="31" t="s">
        <v>9415</v>
      </c>
      <c r="B1664" s="187" t="s">
        <v>8615</v>
      </c>
      <c r="C1664" s="187">
        <v>1</v>
      </c>
      <c r="D1664" s="36" t="s">
        <v>9341</v>
      </c>
      <c r="E1664" s="195" t="s">
        <v>6251</v>
      </c>
      <c r="F1664" s="36" t="s">
        <v>7470</v>
      </c>
      <c r="G1664" s="36">
        <v>46</v>
      </c>
      <c r="H1664" s="36" t="s">
        <v>0</v>
      </c>
      <c r="I1664" s="36" t="s">
        <v>8586</v>
      </c>
      <c r="J1664" s="36" t="s">
        <v>6253</v>
      </c>
      <c r="K1664" s="36" t="s">
        <v>6053</v>
      </c>
      <c r="L1664" s="36" t="s">
        <v>6036</v>
      </c>
      <c r="M1664" s="36"/>
      <c r="N1664" s="43"/>
      <c r="O1664" s="1409"/>
      <c r="P1664" s="1393"/>
      <c r="Q1664" s="1396"/>
    </row>
    <row r="1665" spans="1:17" ht="11.1" customHeight="1">
      <c r="A1665" s="31" t="s">
        <v>9416</v>
      </c>
      <c r="B1665" s="187" t="s">
        <v>8615</v>
      </c>
      <c r="C1665" s="187">
        <v>1</v>
      </c>
      <c r="D1665" s="36" t="s">
        <v>9349</v>
      </c>
      <c r="E1665" s="195" t="s">
        <v>6251</v>
      </c>
      <c r="F1665" s="36" t="s">
        <v>7474</v>
      </c>
      <c r="G1665" s="36">
        <v>64</v>
      </c>
      <c r="H1665" s="36" t="s">
        <v>0</v>
      </c>
      <c r="I1665" s="36" t="s">
        <v>8586</v>
      </c>
      <c r="J1665" s="36" t="s">
        <v>6253</v>
      </c>
      <c r="K1665" s="36" t="s">
        <v>7062</v>
      </c>
      <c r="L1665" s="36" t="s">
        <v>6283</v>
      </c>
      <c r="M1665" s="36">
        <v>3</v>
      </c>
      <c r="N1665" s="43" t="s">
        <v>6213</v>
      </c>
      <c r="O1665" s="1409"/>
      <c r="P1665" s="1393"/>
      <c r="Q1665" s="1396"/>
    </row>
    <row r="1666" spans="1:17" ht="11.1" customHeight="1">
      <c r="A1666" s="31" t="s">
        <v>9417</v>
      </c>
      <c r="B1666" s="187" t="s">
        <v>8615</v>
      </c>
      <c r="C1666" s="187">
        <v>1</v>
      </c>
      <c r="D1666" s="36" t="s">
        <v>9355</v>
      </c>
      <c r="E1666" s="195" t="s">
        <v>6251</v>
      </c>
      <c r="F1666" s="36" t="s">
        <v>7484</v>
      </c>
      <c r="G1666" s="36">
        <v>37</v>
      </c>
      <c r="H1666" s="36" t="s">
        <v>0</v>
      </c>
      <c r="I1666" s="36" t="s">
        <v>8586</v>
      </c>
      <c r="J1666" s="36" t="s">
        <v>6253</v>
      </c>
      <c r="K1666" s="36" t="s">
        <v>6053</v>
      </c>
      <c r="L1666" s="36" t="s">
        <v>6283</v>
      </c>
      <c r="M1666" s="36">
        <v>2</v>
      </c>
      <c r="N1666" s="43" t="s">
        <v>6213</v>
      </c>
      <c r="O1666" s="1409"/>
      <c r="P1666" s="1393"/>
      <c r="Q1666" s="1396"/>
    </row>
    <row r="1667" spans="1:17" ht="11.1" customHeight="1">
      <c r="A1667" s="31" t="s">
        <v>9418</v>
      </c>
      <c r="B1667" s="187" t="s">
        <v>8615</v>
      </c>
      <c r="C1667" s="187">
        <v>1</v>
      </c>
      <c r="D1667" s="36" t="s">
        <v>9419</v>
      </c>
      <c r="E1667" s="195" t="s">
        <v>6251</v>
      </c>
      <c r="F1667" s="36" t="s">
        <v>7490</v>
      </c>
      <c r="G1667" s="36">
        <v>33</v>
      </c>
      <c r="H1667" s="36" t="s">
        <v>0</v>
      </c>
      <c r="I1667" s="36" t="s">
        <v>8586</v>
      </c>
      <c r="J1667" s="36" t="s">
        <v>6253</v>
      </c>
      <c r="K1667" s="36" t="s">
        <v>6053</v>
      </c>
      <c r="L1667" s="36" t="s">
        <v>6036</v>
      </c>
      <c r="M1667" s="36"/>
      <c r="N1667" s="43" t="s">
        <v>6213</v>
      </c>
      <c r="O1667" s="1409"/>
      <c r="P1667" s="1393"/>
      <c r="Q1667" s="1396"/>
    </row>
    <row r="1668" spans="1:17" ht="11.1" customHeight="1">
      <c r="A1668" s="31" t="s">
        <v>9420</v>
      </c>
      <c r="B1668" s="187" t="s">
        <v>8615</v>
      </c>
      <c r="C1668" s="187">
        <v>1</v>
      </c>
      <c r="D1668" s="36" t="s">
        <v>9347</v>
      </c>
      <c r="E1668" s="195" t="s">
        <v>6251</v>
      </c>
      <c r="F1668" s="36" t="s">
        <v>7496</v>
      </c>
      <c r="G1668" s="36">
        <v>41</v>
      </c>
      <c r="H1668" s="36" t="s">
        <v>0</v>
      </c>
      <c r="I1668" s="36" t="s">
        <v>8586</v>
      </c>
      <c r="J1668" s="36" t="s">
        <v>6253</v>
      </c>
      <c r="K1668" s="36" t="s">
        <v>6053</v>
      </c>
      <c r="L1668" s="36" t="s">
        <v>6209</v>
      </c>
      <c r="M1668" s="36">
        <v>2</v>
      </c>
      <c r="N1668" s="43" t="s">
        <v>6213</v>
      </c>
      <c r="O1668" s="1409"/>
      <c r="P1668" s="1393"/>
      <c r="Q1668" s="1396"/>
    </row>
    <row r="1669" spans="1:17" ht="11.1" customHeight="1">
      <c r="A1669" s="31" t="s">
        <v>9421</v>
      </c>
      <c r="B1669" s="187" t="s">
        <v>8615</v>
      </c>
      <c r="C1669" s="187">
        <v>1</v>
      </c>
      <c r="D1669" s="36" t="s">
        <v>9357</v>
      </c>
      <c r="E1669" s="195" t="s">
        <v>6251</v>
      </c>
      <c r="F1669" s="36" t="s">
        <v>7502</v>
      </c>
      <c r="G1669" s="36">
        <v>38</v>
      </c>
      <c r="H1669" s="36" t="s">
        <v>0</v>
      </c>
      <c r="I1669" s="36" t="s">
        <v>8586</v>
      </c>
      <c r="J1669" s="36" t="s">
        <v>6253</v>
      </c>
      <c r="K1669" s="36" t="s">
        <v>6053</v>
      </c>
      <c r="L1669" s="36" t="s">
        <v>6209</v>
      </c>
      <c r="M1669" s="36">
        <v>3</v>
      </c>
      <c r="N1669" s="43" t="s">
        <v>6213</v>
      </c>
      <c r="O1669" s="1409"/>
      <c r="P1669" s="1393"/>
      <c r="Q1669" s="1396"/>
    </row>
    <row r="1670" spans="1:17" ht="11.1" customHeight="1">
      <c r="A1670" s="31" t="s">
        <v>9422</v>
      </c>
      <c r="B1670" s="187" t="s">
        <v>8615</v>
      </c>
      <c r="C1670" s="187">
        <v>1</v>
      </c>
      <c r="D1670" s="36" t="s">
        <v>9379</v>
      </c>
      <c r="E1670" s="195" t="s">
        <v>6251</v>
      </c>
      <c r="F1670" s="36" t="s">
        <v>7508</v>
      </c>
      <c r="G1670" s="36">
        <v>47</v>
      </c>
      <c r="H1670" s="36" t="s">
        <v>0</v>
      </c>
      <c r="I1670" s="36" t="s">
        <v>8586</v>
      </c>
      <c r="J1670" s="36" t="s">
        <v>6253</v>
      </c>
      <c r="K1670" s="36" t="s">
        <v>6918</v>
      </c>
      <c r="L1670" s="36" t="s">
        <v>6209</v>
      </c>
      <c r="M1670" s="36">
        <v>4</v>
      </c>
      <c r="N1670" s="43" t="s">
        <v>6213</v>
      </c>
      <c r="O1670" s="1409"/>
      <c r="P1670" s="1393"/>
      <c r="Q1670" s="1396"/>
    </row>
    <row r="1671" spans="1:17" ht="11.1" customHeight="1">
      <c r="A1671" s="31" t="s">
        <v>9423</v>
      </c>
      <c r="B1671" s="187" t="s">
        <v>8615</v>
      </c>
      <c r="C1671" s="187">
        <v>1</v>
      </c>
      <c r="D1671" s="36" t="s">
        <v>9337</v>
      </c>
      <c r="E1671" s="195" t="s">
        <v>6251</v>
      </c>
      <c r="F1671" s="36" t="s">
        <v>7522</v>
      </c>
      <c r="G1671" s="36">
        <v>38</v>
      </c>
      <c r="H1671" s="36" t="s">
        <v>0</v>
      </c>
      <c r="I1671" s="36" t="s">
        <v>8586</v>
      </c>
      <c r="J1671" s="36" t="s">
        <v>6253</v>
      </c>
      <c r="K1671" s="36" t="s">
        <v>6053</v>
      </c>
      <c r="L1671" s="36" t="s">
        <v>6036</v>
      </c>
      <c r="M1671" s="36"/>
      <c r="N1671" s="43" t="s">
        <v>6213</v>
      </c>
      <c r="O1671" s="1409"/>
      <c r="P1671" s="1393"/>
      <c r="Q1671" s="1396"/>
    </row>
    <row r="1672" spans="1:17" ht="11.1" customHeight="1">
      <c r="A1672" s="31" t="s">
        <v>9424</v>
      </c>
      <c r="B1672" s="187" t="s">
        <v>8615</v>
      </c>
      <c r="C1672" s="187">
        <v>1</v>
      </c>
      <c r="D1672" s="36" t="s">
        <v>9359</v>
      </c>
      <c r="E1672" s="195" t="s">
        <v>6251</v>
      </c>
      <c r="F1672" s="36" t="s">
        <v>7530</v>
      </c>
      <c r="G1672" s="36">
        <v>46</v>
      </c>
      <c r="H1672" s="36" t="s">
        <v>6049</v>
      </c>
      <c r="I1672" s="36" t="s">
        <v>8586</v>
      </c>
      <c r="J1672" s="36" t="s">
        <v>6253</v>
      </c>
      <c r="K1672" s="36" t="s">
        <v>6053</v>
      </c>
      <c r="L1672" s="36" t="s">
        <v>6036</v>
      </c>
      <c r="M1672" s="36"/>
      <c r="N1672" s="43" t="s">
        <v>6213</v>
      </c>
      <c r="O1672" s="1409"/>
      <c r="P1672" s="1393"/>
      <c r="Q1672" s="1396"/>
    </row>
    <row r="1673" spans="1:17" ht="11.1" customHeight="1">
      <c r="A1673" s="31" t="s">
        <v>9425</v>
      </c>
      <c r="B1673" s="187" t="s">
        <v>8615</v>
      </c>
      <c r="C1673" s="187">
        <v>1</v>
      </c>
      <c r="D1673" s="36" t="s">
        <v>9387</v>
      </c>
      <c r="E1673" s="195" t="s">
        <v>6251</v>
      </c>
      <c r="F1673" s="36" t="s">
        <v>7540</v>
      </c>
      <c r="G1673" s="36">
        <v>43</v>
      </c>
      <c r="H1673" s="36" t="s">
        <v>0</v>
      </c>
      <c r="I1673" s="36" t="s">
        <v>8586</v>
      </c>
      <c r="J1673" s="36" t="s">
        <v>6253</v>
      </c>
      <c r="K1673" s="36" t="s">
        <v>6053</v>
      </c>
      <c r="L1673" s="36" t="s">
        <v>6209</v>
      </c>
      <c r="M1673" s="36">
        <v>4</v>
      </c>
      <c r="N1673" s="43" t="s">
        <v>6213</v>
      </c>
      <c r="O1673" s="1409"/>
      <c r="P1673" s="1393"/>
      <c r="Q1673" s="1396"/>
    </row>
    <row r="1674" spans="1:17" ht="11.1" customHeight="1">
      <c r="A1674" s="31" t="s">
        <v>9426</v>
      </c>
      <c r="B1674" s="187" t="s">
        <v>8615</v>
      </c>
      <c r="C1674" s="187">
        <v>1</v>
      </c>
      <c r="D1674" s="36" t="s">
        <v>9381</v>
      </c>
      <c r="E1674" s="195" t="s">
        <v>6251</v>
      </c>
      <c r="F1674" s="36" t="s">
        <v>7548</v>
      </c>
      <c r="G1674" s="36">
        <v>51</v>
      </c>
      <c r="H1674" s="36" t="s">
        <v>0</v>
      </c>
      <c r="I1674" s="36" t="s">
        <v>8586</v>
      </c>
      <c r="J1674" s="36" t="s">
        <v>6253</v>
      </c>
      <c r="K1674" s="36" t="s">
        <v>24</v>
      </c>
      <c r="L1674" s="36" t="s">
        <v>6209</v>
      </c>
      <c r="M1674" s="36">
        <v>4</v>
      </c>
      <c r="N1674" s="43" t="s">
        <v>6213</v>
      </c>
      <c r="O1674" s="1409"/>
      <c r="P1674" s="1393"/>
      <c r="Q1674" s="1396"/>
    </row>
    <row r="1675" spans="1:17" ht="11.1" customHeight="1">
      <c r="A1675" s="31" t="s">
        <v>9427</v>
      </c>
      <c r="B1675" s="187" t="s">
        <v>8615</v>
      </c>
      <c r="C1675" s="187">
        <v>1</v>
      </c>
      <c r="D1675" s="36" t="s">
        <v>9377</v>
      </c>
      <c r="E1675" s="195" t="s">
        <v>6251</v>
      </c>
      <c r="F1675" s="36" t="s">
        <v>7556</v>
      </c>
      <c r="G1675" s="36">
        <v>51</v>
      </c>
      <c r="H1675" s="36" t="s">
        <v>0</v>
      </c>
      <c r="I1675" s="36" t="s">
        <v>8586</v>
      </c>
      <c r="J1675" s="36" t="s">
        <v>6253</v>
      </c>
      <c r="K1675" s="36" t="s">
        <v>6053</v>
      </c>
      <c r="L1675" s="36" t="s">
        <v>6209</v>
      </c>
      <c r="M1675" s="36">
        <v>3</v>
      </c>
      <c r="N1675" s="43" t="s">
        <v>6213</v>
      </c>
      <c r="O1675" s="1409"/>
      <c r="P1675" s="1393"/>
      <c r="Q1675" s="1396"/>
    </row>
    <row r="1676" spans="1:17" ht="11.1" customHeight="1">
      <c r="A1676" s="31" t="s">
        <v>9428</v>
      </c>
      <c r="B1676" s="187" t="s">
        <v>8615</v>
      </c>
      <c r="C1676" s="187">
        <v>1</v>
      </c>
      <c r="D1676" s="36" t="s">
        <v>9371</v>
      </c>
      <c r="E1676" s="195" t="s">
        <v>6251</v>
      </c>
      <c r="F1676" s="36" t="s">
        <v>7564</v>
      </c>
      <c r="G1676" s="36">
        <v>61</v>
      </c>
      <c r="H1676" s="36" t="s">
        <v>0</v>
      </c>
      <c r="I1676" s="36" t="s">
        <v>8586</v>
      </c>
      <c r="J1676" s="36" t="s">
        <v>6253</v>
      </c>
      <c r="K1676" s="36" t="s">
        <v>6254</v>
      </c>
      <c r="L1676" s="36" t="s">
        <v>6209</v>
      </c>
      <c r="M1676" s="36">
        <v>6</v>
      </c>
      <c r="N1676" s="43" t="s">
        <v>6213</v>
      </c>
      <c r="O1676" s="1409"/>
      <c r="P1676" s="1393"/>
      <c r="Q1676" s="1396"/>
    </row>
    <row r="1677" spans="1:17" ht="11.1" customHeight="1">
      <c r="A1677" s="31" t="s">
        <v>9429</v>
      </c>
      <c r="B1677" s="187" t="s">
        <v>8615</v>
      </c>
      <c r="C1677" s="187">
        <v>1</v>
      </c>
      <c r="D1677" s="36" t="s">
        <v>9363</v>
      </c>
      <c r="E1677" s="195" t="s">
        <v>6251</v>
      </c>
      <c r="F1677" s="36" t="s">
        <v>7570</v>
      </c>
      <c r="G1677" s="36">
        <v>63</v>
      </c>
      <c r="H1677" s="36" t="s">
        <v>0</v>
      </c>
      <c r="I1677" s="36" t="s">
        <v>8586</v>
      </c>
      <c r="J1677" s="36" t="s">
        <v>6253</v>
      </c>
      <c r="K1677" s="36" t="s">
        <v>6053</v>
      </c>
      <c r="L1677" s="36" t="s">
        <v>6036</v>
      </c>
      <c r="M1677" s="36"/>
      <c r="N1677" s="43" t="s">
        <v>6213</v>
      </c>
      <c r="O1677" s="1409"/>
      <c r="P1677" s="1393"/>
      <c r="Q1677" s="1396"/>
    </row>
    <row r="1678" spans="1:17" ht="11.1" customHeight="1">
      <c r="A1678" s="31" t="s">
        <v>9430</v>
      </c>
      <c r="B1678" s="187" t="s">
        <v>8615</v>
      </c>
      <c r="C1678" s="187">
        <v>1</v>
      </c>
      <c r="D1678" s="36" t="s">
        <v>9369</v>
      </c>
      <c r="E1678" s="195" t="s">
        <v>6251</v>
      </c>
      <c r="F1678" s="36" t="s">
        <v>7580</v>
      </c>
      <c r="G1678" s="36">
        <v>35</v>
      </c>
      <c r="H1678" s="36" t="s">
        <v>6049</v>
      </c>
      <c r="I1678" s="36" t="s">
        <v>8586</v>
      </c>
      <c r="J1678" s="36" t="s">
        <v>6253</v>
      </c>
      <c r="K1678" s="36" t="s">
        <v>6053</v>
      </c>
      <c r="L1678" s="36" t="s">
        <v>6036</v>
      </c>
      <c r="M1678" s="36"/>
      <c r="N1678" s="43" t="s">
        <v>6213</v>
      </c>
      <c r="O1678" s="1409"/>
      <c r="P1678" s="1393"/>
      <c r="Q1678" s="1396"/>
    </row>
    <row r="1679" spans="1:17" ht="11.1" customHeight="1">
      <c r="A1679" s="31" t="s">
        <v>9431</v>
      </c>
      <c r="B1679" s="187" t="s">
        <v>8615</v>
      </c>
      <c r="C1679" s="187">
        <v>1</v>
      </c>
      <c r="D1679" s="36" t="s">
        <v>9361</v>
      </c>
      <c r="E1679" s="195" t="s">
        <v>6251</v>
      </c>
      <c r="F1679" s="36" t="s">
        <v>7586</v>
      </c>
      <c r="G1679" s="36">
        <v>48</v>
      </c>
      <c r="H1679" s="36" t="s">
        <v>0</v>
      </c>
      <c r="I1679" s="36" t="s">
        <v>8586</v>
      </c>
      <c r="J1679" s="36" t="s">
        <v>6253</v>
      </c>
      <c r="K1679" s="36" t="s">
        <v>6207</v>
      </c>
      <c r="L1679" s="36" t="s">
        <v>6209</v>
      </c>
      <c r="M1679" s="36">
        <v>3</v>
      </c>
      <c r="N1679" s="43" t="s">
        <v>6213</v>
      </c>
      <c r="O1679" s="1409"/>
      <c r="P1679" s="1393"/>
      <c r="Q1679" s="1396"/>
    </row>
    <row r="1680" spans="1:17" ht="11.1" customHeight="1">
      <c r="A1680" s="31" t="s">
        <v>9432</v>
      </c>
      <c r="B1680" s="187" t="s">
        <v>8615</v>
      </c>
      <c r="C1680" s="187">
        <v>1</v>
      </c>
      <c r="D1680" s="36" t="s">
        <v>9433</v>
      </c>
      <c r="E1680" s="195" t="s">
        <v>6251</v>
      </c>
      <c r="F1680" s="36" t="s">
        <v>7592</v>
      </c>
      <c r="G1680" s="36">
        <v>38</v>
      </c>
      <c r="H1680" s="36" t="s">
        <v>0</v>
      </c>
      <c r="I1680" s="36" t="s">
        <v>8586</v>
      </c>
      <c r="J1680" s="36" t="s">
        <v>6253</v>
      </c>
      <c r="K1680" s="36" t="s">
        <v>6053</v>
      </c>
      <c r="L1680" s="36" t="s">
        <v>6209</v>
      </c>
      <c r="M1680" s="36">
        <v>2</v>
      </c>
      <c r="N1680" s="43" t="s">
        <v>6213</v>
      </c>
      <c r="O1680" s="1409"/>
      <c r="P1680" s="1393"/>
      <c r="Q1680" s="1396"/>
    </row>
    <row r="1681" spans="1:17" ht="11.1" customHeight="1">
      <c r="A1681" s="31" t="s">
        <v>9434</v>
      </c>
      <c r="B1681" s="187" t="s">
        <v>8615</v>
      </c>
      <c r="C1681" s="187">
        <v>1</v>
      </c>
      <c r="D1681" s="36" t="s">
        <v>9367</v>
      </c>
      <c r="E1681" s="195" t="s">
        <v>6251</v>
      </c>
      <c r="F1681" s="36" t="s">
        <v>7598</v>
      </c>
      <c r="G1681" s="36">
        <v>48</v>
      </c>
      <c r="H1681" s="36" t="s">
        <v>0</v>
      </c>
      <c r="I1681" s="36" t="s">
        <v>8586</v>
      </c>
      <c r="J1681" s="36" t="s">
        <v>6253</v>
      </c>
      <c r="K1681" s="36" t="s">
        <v>6053</v>
      </c>
      <c r="L1681" s="36" t="s">
        <v>6036</v>
      </c>
      <c r="M1681" s="36"/>
      <c r="N1681" s="43" t="s">
        <v>6213</v>
      </c>
      <c r="O1681" s="1409"/>
      <c r="P1681" s="1393"/>
      <c r="Q1681" s="1396"/>
    </row>
    <row r="1682" spans="1:17" ht="11.1" customHeight="1">
      <c r="A1682" s="31" t="s">
        <v>9435</v>
      </c>
      <c r="B1682" s="187" t="s">
        <v>8615</v>
      </c>
      <c r="C1682" s="187">
        <v>1</v>
      </c>
      <c r="D1682" s="36" t="s">
        <v>9375</v>
      </c>
      <c r="E1682" s="195" t="s">
        <v>6251</v>
      </c>
      <c r="F1682" s="36" t="s">
        <v>7604</v>
      </c>
      <c r="G1682" s="36">
        <v>44</v>
      </c>
      <c r="H1682" s="36" t="s">
        <v>0</v>
      </c>
      <c r="I1682" s="36" t="s">
        <v>8586</v>
      </c>
      <c r="J1682" s="36" t="s">
        <v>6253</v>
      </c>
      <c r="K1682" s="36" t="s">
        <v>6918</v>
      </c>
      <c r="L1682" s="36" t="s">
        <v>6209</v>
      </c>
      <c r="M1682" s="36">
        <v>2</v>
      </c>
      <c r="N1682" s="43" t="s">
        <v>6213</v>
      </c>
      <c r="O1682" s="1409"/>
      <c r="P1682" s="1393"/>
      <c r="Q1682" s="1396"/>
    </row>
    <row r="1683" spans="1:17" ht="11.1" customHeight="1">
      <c r="A1683" s="31" t="s">
        <v>9436</v>
      </c>
      <c r="B1683" s="187" t="s">
        <v>8615</v>
      </c>
      <c r="C1683" s="187">
        <v>1</v>
      </c>
      <c r="D1683" s="36" t="s">
        <v>9437</v>
      </c>
      <c r="E1683" s="195" t="s">
        <v>6251</v>
      </c>
      <c r="F1683" s="36" t="s">
        <v>7610</v>
      </c>
      <c r="G1683" s="36">
        <v>47</v>
      </c>
      <c r="H1683" s="36" t="s">
        <v>0</v>
      </c>
      <c r="I1683" s="36" t="s">
        <v>8586</v>
      </c>
      <c r="J1683" s="36" t="s">
        <v>6253</v>
      </c>
      <c r="K1683" s="36" t="s">
        <v>6053</v>
      </c>
      <c r="L1683" s="36" t="s">
        <v>6283</v>
      </c>
      <c r="M1683" s="36">
        <v>1</v>
      </c>
      <c r="N1683" s="43" t="s">
        <v>6213</v>
      </c>
      <c r="O1683" s="1409"/>
      <c r="P1683" s="1393"/>
      <c r="Q1683" s="1396"/>
    </row>
    <row r="1684" spans="1:17" ht="11.1" customHeight="1">
      <c r="A1684" s="31" t="s">
        <v>9438</v>
      </c>
      <c r="B1684" s="187" t="s">
        <v>8615</v>
      </c>
      <c r="C1684" s="187">
        <v>1</v>
      </c>
      <c r="D1684" s="36" t="s">
        <v>9343</v>
      </c>
      <c r="E1684" s="195" t="s">
        <v>6251</v>
      </c>
      <c r="F1684" s="36" t="s">
        <v>7616</v>
      </c>
      <c r="G1684" s="36">
        <v>38</v>
      </c>
      <c r="H1684" s="36" t="s">
        <v>0</v>
      </c>
      <c r="I1684" s="36" t="s">
        <v>8586</v>
      </c>
      <c r="J1684" s="36" t="s">
        <v>6253</v>
      </c>
      <c r="K1684" s="36" t="s">
        <v>6053</v>
      </c>
      <c r="L1684" s="36" t="s">
        <v>6036</v>
      </c>
      <c r="M1684" s="36"/>
      <c r="N1684" s="43" t="s">
        <v>6213</v>
      </c>
      <c r="O1684" s="1409"/>
      <c r="P1684" s="1393"/>
      <c r="Q1684" s="1396"/>
    </row>
    <row r="1685" spans="1:17" ht="11.1" customHeight="1">
      <c r="A1685" s="31" t="s">
        <v>9439</v>
      </c>
      <c r="B1685" s="187" t="s">
        <v>8615</v>
      </c>
      <c r="C1685" s="187">
        <v>1</v>
      </c>
      <c r="D1685" s="36" t="s">
        <v>9365</v>
      </c>
      <c r="E1685" s="195" t="s">
        <v>6251</v>
      </c>
      <c r="F1685" s="36" t="s">
        <v>7622</v>
      </c>
      <c r="G1685" s="36">
        <v>65</v>
      </c>
      <c r="H1685" s="36" t="s">
        <v>0</v>
      </c>
      <c r="I1685" s="36" t="s">
        <v>8586</v>
      </c>
      <c r="J1685" s="36" t="s">
        <v>6253</v>
      </c>
      <c r="K1685" s="36" t="s">
        <v>6053</v>
      </c>
      <c r="L1685" s="36" t="s">
        <v>6209</v>
      </c>
      <c r="M1685" s="36">
        <v>2</v>
      </c>
      <c r="N1685" s="43" t="s">
        <v>6213</v>
      </c>
      <c r="O1685" s="1409"/>
      <c r="P1685" s="1393"/>
      <c r="Q1685" s="1396"/>
    </row>
    <row r="1686" spans="1:17" ht="11.1" customHeight="1">
      <c r="A1686" s="31" t="s">
        <v>9440</v>
      </c>
      <c r="B1686" s="187" t="s">
        <v>8615</v>
      </c>
      <c r="C1686" s="187">
        <v>1</v>
      </c>
      <c r="D1686" s="36" t="s">
        <v>9351</v>
      </c>
      <c r="E1686" s="195" t="s">
        <v>6251</v>
      </c>
      <c r="F1686" s="36" t="s">
        <v>7628</v>
      </c>
      <c r="G1686" s="36">
        <v>43</v>
      </c>
      <c r="H1686" s="36" t="s">
        <v>0</v>
      </c>
      <c r="I1686" s="36" t="s">
        <v>8586</v>
      </c>
      <c r="J1686" s="36" t="s">
        <v>6253</v>
      </c>
      <c r="K1686" s="36" t="s">
        <v>6053</v>
      </c>
      <c r="L1686" s="36" t="s">
        <v>6036</v>
      </c>
      <c r="M1686" s="36"/>
      <c r="N1686" s="43" t="s">
        <v>6213</v>
      </c>
      <c r="O1686" s="1409"/>
      <c r="P1686" s="1393"/>
      <c r="Q1686" s="1396"/>
    </row>
    <row r="1687" spans="1:17" ht="11.1" customHeight="1">
      <c r="A1687" s="31" t="s">
        <v>9441</v>
      </c>
      <c r="B1687" s="187" t="s">
        <v>8615</v>
      </c>
      <c r="C1687" s="187">
        <v>1</v>
      </c>
      <c r="D1687" s="36" t="s">
        <v>9345</v>
      </c>
      <c r="E1687" s="195" t="s">
        <v>6251</v>
      </c>
      <c r="F1687" s="36" t="s">
        <v>7636</v>
      </c>
      <c r="G1687" s="36">
        <v>67</v>
      </c>
      <c r="H1687" s="36" t="s">
        <v>0</v>
      </c>
      <c r="I1687" s="36" t="s">
        <v>8586</v>
      </c>
      <c r="J1687" s="36" t="s">
        <v>6253</v>
      </c>
      <c r="K1687" s="36" t="s">
        <v>6035</v>
      </c>
      <c r="L1687" s="36" t="s">
        <v>6209</v>
      </c>
      <c r="M1687" s="36">
        <v>10</v>
      </c>
      <c r="N1687" s="43" t="s">
        <v>6213</v>
      </c>
      <c r="O1687" s="1409"/>
      <c r="P1687" s="1393"/>
      <c r="Q1687" s="1396"/>
    </row>
    <row r="1688" spans="1:17" ht="11.1" customHeight="1">
      <c r="A1688" s="31" t="s">
        <v>9442</v>
      </c>
      <c r="B1688" s="187" t="s">
        <v>8615</v>
      </c>
      <c r="C1688" s="187">
        <v>1</v>
      </c>
      <c r="D1688" s="36" t="s">
        <v>9373</v>
      </c>
      <c r="E1688" s="195" t="s">
        <v>6251</v>
      </c>
      <c r="F1688" s="36" t="s">
        <v>7642</v>
      </c>
      <c r="G1688" s="36">
        <v>59</v>
      </c>
      <c r="H1688" s="36" t="s">
        <v>0</v>
      </c>
      <c r="I1688" s="36" t="s">
        <v>8586</v>
      </c>
      <c r="J1688" s="36" t="s">
        <v>6253</v>
      </c>
      <c r="K1688" s="36" t="s">
        <v>6207</v>
      </c>
      <c r="L1688" s="36" t="s">
        <v>6209</v>
      </c>
      <c r="M1688" s="36">
        <v>4</v>
      </c>
      <c r="N1688" s="43" t="s">
        <v>6213</v>
      </c>
      <c r="O1688" s="1409"/>
      <c r="P1688" s="1393"/>
      <c r="Q1688" s="1396"/>
    </row>
    <row r="1689" spans="1:17" ht="11.1" customHeight="1">
      <c r="A1689" s="31" t="s">
        <v>9443</v>
      </c>
      <c r="B1689" s="187" t="s">
        <v>8615</v>
      </c>
      <c r="C1689" s="187">
        <v>1</v>
      </c>
      <c r="D1689" s="36" t="s">
        <v>9385</v>
      </c>
      <c r="E1689" s="195" t="s">
        <v>6251</v>
      </c>
      <c r="F1689" s="36" t="s">
        <v>7650</v>
      </c>
      <c r="G1689" s="36">
        <v>56</v>
      </c>
      <c r="H1689" s="36" t="s">
        <v>0</v>
      </c>
      <c r="I1689" s="36" t="s">
        <v>8586</v>
      </c>
      <c r="J1689" s="36" t="s">
        <v>6253</v>
      </c>
      <c r="K1689" s="36" t="s">
        <v>6207</v>
      </c>
      <c r="L1689" s="36" t="s">
        <v>6209</v>
      </c>
      <c r="M1689" s="36">
        <v>6</v>
      </c>
      <c r="N1689" s="43" t="s">
        <v>6213</v>
      </c>
      <c r="O1689" s="1409"/>
      <c r="P1689" s="1393"/>
      <c r="Q1689" s="1396"/>
    </row>
    <row r="1690" spans="1:17" ht="11.1" customHeight="1">
      <c r="A1690" s="44" t="s">
        <v>9444</v>
      </c>
      <c r="B1690" s="187" t="s">
        <v>8615</v>
      </c>
      <c r="C1690" s="190">
        <v>1</v>
      </c>
      <c r="D1690" s="141" t="s">
        <v>9335</v>
      </c>
      <c r="E1690" s="195" t="s">
        <v>6251</v>
      </c>
      <c r="F1690" s="141" t="s">
        <v>7656</v>
      </c>
      <c r="G1690" s="141">
        <v>59</v>
      </c>
      <c r="H1690" s="141" t="s">
        <v>0</v>
      </c>
      <c r="I1690" s="141" t="s">
        <v>8586</v>
      </c>
      <c r="J1690" s="141" t="s">
        <v>6253</v>
      </c>
      <c r="K1690" s="141" t="s">
        <v>6053</v>
      </c>
      <c r="L1690" s="141" t="s">
        <v>6209</v>
      </c>
      <c r="M1690" s="141">
        <v>1</v>
      </c>
      <c r="N1690" s="50" t="s">
        <v>6213</v>
      </c>
      <c r="O1690" s="1410"/>
      <c r="P1690" s="1394"/>
      <c r="Q1690" s="1397"/>
    </row>
    <row r="1691" spans="1:17" ht="11.1" customHeight="1">
      <c r="A1691" s="51" t="s">
        <v>9445</v>
      </c>
      <c r="B1691" s="197" t="s">
        <v>6217</v>
      </c>
      <c r="C1691" s="197">
        <v>1</v>
      </c>
      <c r="D1691" s="198" t="s">
        <v>8608</v>
      </c>
      <c r="E1691" s="199" t="s">
        <v>6262</v>
      </c>
      <c r="F1691" s="198" t="s">
        <v>9446</v>
      </c>
      <c r="G1691" s="198">
        <v>75</v>
      </c>
      <c r="H1691" s="198" t="s">
        <v>0</v>
      </c>
      <c r="I1691" s="198"/>
      <c r="J1691" s="198" t="s">
        <v>6929</v>
      </c>
      <c r="K1691" s="198"/>
      <c r="L1691" s="198" t="s">
        <v>6209</v>
      </c>
      <c r="M1691" s="198">
        <v>10</v>
      </c>
      <c r="N1691" s="200"/>
      <c r="O1691" s="1411">
        <v>2</v>
      </c>
      <c r="P1691" s="1392">
        <v>891158</v>
      </c>
      <c r="Q1691" s="1395" t="e">
        <f>P1691/SUM($P$464:$P$556)</f>
        <v>#DIV/0!</v>
      </c>
    </row>
    <row r="1692" spans="1:17" ht="11.1" customHeight="1">
      <c r="A1692" s="31" t="s">
        <v>9447</v>
      </c>
      <c r="B1692" s="231" t="s">
        <v>6217</v>
      </c>
      <c r="C1692" s="231">
        <v>2</v>
      </c>
      <c r="D1692" s="232" t="s">
        <v>8608</v>
      </c>
      <c r="E1692" s="233" t="s">
        <v>6262</v>
      </c>
      <c r="F1692" s="232" t="s">
        <v>9448</v>
      </c>
      <c r="G1692" s="232">
        <v>53</v>
      </c>
      <c r="H1692" s="232" t="s">
        <v>0</v>
      </c>
      <c r="I1692" s="232"/>
      <c r="J1692" s="232" t="s">
        <v>6929</v>
      </c>
      <c r="K1692" s="232"/>
      <c r="L1692" s="232" t="s">
        <v>6209</v>
      </c>
      <c r="M1692" s="232">
        <v>4</v>
      </c>
      <c r="N1692" s="234"/>
      <c r="O1692" s="1412"/>
      <c r="P1692" s="1393"/>
      <c r="Q1692" s="1396"/>
    </row>
    <row r="1693" spans="1:17" ht="11.1" customHeight="1">
      <c r="A1693" s="31" t="s">
        <v>9449</v>
      </c>
      <c r="B1693" s="187"/>
      <c r="C1693" s="187">
        <v>3</v>
      </c>
      <c r="D1693" s="42" t="s">
        <v>8608</v>
      </c>
      <c r="E1693" s="188" t="s">
        <v>6262</v>
      </c>
      <c r="F1693" s="42" t="s">
        <v>9450</v>
      </c>
      <c r="G1693" s="42">
        <v>39</v>
      </c>
      <c r="H1693" s="42" t="s">
        <v>0</v>
      </c>
      <c r="I1693" s="42"/>
      <c r="J1693" s="42" t="s">
        <v>6929</v>
      </c>
      <c r="K1693" s="42"/>
      <c r="L1693" s="42" t="s">
        <v>6209</v>
      </c>
      <c r="M1693" s="42">
        <v>1</v>
      </c>
      <c r="N1693" s="207"/>
      <c r="O1693" s="1412"/>
      <c r="P1693" s="1393"/>
      <c r="Q1693" s="1396"/>
    </row>
    <row r="1694" spans="1:17" ht="11.1" customHeight="1">
      <c r="A1694" s="31" t="s">
        <v>9451</v>
      </c>
      <c r="B1694" s="187"/>
      <c r="C1694" s="187">
        <v>4</v>
      </c>
      <c r="D1694" s="42" t="s">
        <v>8608</v>
      </c>
      <c r="E1694" s="188" t="s">
        <v>6262</v>
      </c>
      <c r="F1694" s="42" t="s">
        <v>9452</v>
      </c>
      <c r="G1694" s="42">
        <v>45</v>
      </c>
      <c r="H1694" s="42" t="s">
        <v>0</v>
      </c>
      <c r="I1694" s="42"/>
      <c r="J1694" s="42" t="s">
        <v>6929</v>
      </c>
      <c r="K1694" s="42"/>
      <c r="L1694" s="42" t="s">
        <v>6036</v>
      </c>
      <c r="M1694" s="42"/>
      <c r="N1694" s="207"/>
      <c r="O1694" s="1412"/>
      <c r="P1694" s="1393"/>
      <c r="Q1694" s="1396"/>
    </row>
    <row r="1695" spans="1:17" ht="11.1" customHeight="1">
      <c r="A1695" s="44" t="s">
        <v>9453</v>
      </c>
      <c r="B1695" s="190"/>
      <c r="C1695" s="190">
        <v>5</v>
      </c>
      <c r="D1695" s="49" t="s">
        <v>8608</v>
      </c>
      <c r="E1695" s="201" t="s">
        <v>6262</v>
      </c>
      <c r="F1695" s="49" t="s">
        <v>9454</v>
      </c>
      <c r="G1695" s="49">
        <v>39</v>
      </c>
      <c r="H1695" s="49" t="s">
        <v>0</v>
      </c>
      <c r="I1695" s="49"/>
      <c r="J1695" s="49" t="s">
        <v>6929</v>
      </c>
      <c r="K1695" s="49"/>
      <c r="L1695" s="49" t="s">
        <v>6036</v>
      </c>
      <c r="M1695" s="49"/>
      <c r="N1695" s="202"/>
      <c r="O1695" s="1413"/>
      <c r="P1695" s="1394"/>
      <c r="Q1695" s="1397"/>
    </row>
    <row r="1696" spans="1:17" ht="11.1" customHeight="1">
      <c r="A1696" s="51" t="s">
        <v>9455</v>
      </c>
      <c r="B1696" s="224" t="s">
        <v>6217</v>
      </c>
      <c r="C1696" s="224">
        <v>1</v>
      </c>
      <c r="D1696" s="225" t="s">
        <v>8608</v>
      </c>
      <c r="E1696" s="226" t="s">
        <v>6262</v>
      </c>
      <c r="F1696" s="225" t="s">
        <v>9456</v>
      </c>
      <c r="G1696" s="225">
        <v>63</v>
      </c>
      <c r="H1696" s="225" t="s">
        <v>0</v>
      </c>
      <c r="I1696" s="225"/>
      <c r="J1696" s="225" t="s">
        <v>6264</v>
      </c>
      <c r="K1696" s="225"/>
      <c r="L1696" s="225" t="s">
        <v>6209</v>
      </c>
      <c r="M1696" s="225">
        <v>4</v>
      </c>
      <c r="N1696" s="235"/>
      <c r="O1696" s="1402">
        <v>1</v>
      </c>
      <c r="P1696" s="1392">
        <v>486974</v>
      </c>
      <c r="Q1696" s="1395" t="e">
        <f>P1696/SUM($P$464:$P$556)</f>
        <v>#DIV/0!</v>
      </c>
    </row>
    <row r="1697" spans="1:17" ht="11.1" customHeight="1">
      <c r="A1697" s="31" t="s">
        <v>9457</v>
      </c>
      <c r="B1697" s="187"/>
      <c r="C1697" s="187">
        <v>2</v>
      </c>
      <c r="D1697" s="42" t="s">
        <v>9377</v>
      </c>
      <c r="E1697" s="188">
        <v>22.28</v>
      </c>
      <c r="F1697" s="42" t="s">
        <v>7560</v>
      </c>
      <c r="G1697" s="42">
        <v>62</v>
      </c>
      <c r="H1697" s="42" t="s">
        <v>6049</v>
      </c>
      <c r="I1697" s="42" t="s">
        <v>8586</v>
      </c>
      <c r="J1697" s="42" t="s">
        <v>6264</v>
      </c>
      <c r="K1697" s="42"/>
      <c r="L1697" s="42" t="s">
        <v>6283</v>
      </c>
      <c r="M1697" s="42">
        <v>2</v>
      </c>
      <c r="N1697" s="207"/>
      <c r="O1697" s="1403"/>
      <c r="P1697" s="1393"/>
      <c r="Q1697" s="1396"/>
    </row>
    <row r="1698" spans="1:17" ht="11.1" customHeight="1">
      <c r="A1698" s="31" t="s">
        <v>9458</v>
      </c>
      <c r="B1698" s="187"/>
      <c r="C1698" s="187">
        <v>7</v>
      </c>
      <c r="D1698" s="42" t="s">
        <v>8608</v>
      </c>
      <c r="E1698" s="188" t="s">
        <v>6262</v>
      </c>
      <c r="F1698" s="42" t="s">
        <v>9459</v>
      </c>
      <c r="G1698" s="42">
        <v>44</v>
      </c>
      <c r="H1698" s="42" t="s">
        <v>6049</v>
      </c>
      <c r="I1698" s="42"/>
      <c r="J1698" s="42" t="s">
        <v>6264</v>
      </c>
      <c r="K1698" s="42"/>
      <c r="L1698" s="42" t="s">
        <v>6036</v>
      </c>
      <c r="M1698" s="42"/>
      <c r="N1698" s="207"/>
      <c r="O1698" s="1403"/>
      <c r="P1698" s="1393"/>
      <c r="Q1698" s="1396"/>
    </row>
    <row r="1699" spans="1:17" ht="11.1" customHeight="1">
      <c r="A1699" s="31" t="s">
        <v>9460</v>
      </c>
      <c r="B1699" s="187" t="s">
        <v>6231</v>
      </c>
      <c r="C1699" s="187">
        <v>3</v>
      </c>
      <c r="D1699" s="42" t="s">
        <v>9437</v>
      </c>
      <c r="E1699" s="188">
        <v>11.36</v>
      </c>
      <c r="F1699" s="189" t="s">
        <v>7613</v>
      </c>
      <c r="G1699" s="42">
        <v>63</v>
      </c>
      <c r="H1699" s="42" t="s">
        <v>6049</v>
      </c>
      <c r="I1699" s="42" t="s">
        <v>8586</v>
      </c>
      <c r="J1699" s="42" t="s">
        <v>6264</v>
      </c>
      <c r="K1699" s="42"/>
      <c r="L1699" s="42" t="s">
        <v>6036</v>
      </c>
      <c r="M1699" s="42"/>
      <c r="N1699" s="207"/>
      <c r="O1699" s="1403"/>
      <c r="P1699" s="1393"/>
      <c r="Q1699" s="1396"/>
    </row>
    <row r="1700" spans="1:17" ht="11.1" customHeight="1">
      <c r="A1700" s="31" t="s">
        <v>9461</v>
      </c>
      <c r="B1700" s="187" t="s">
        <v>6231</v>
      </c>
      <c r="C1700" s="187">
        <v>4</v>
      </c>
      <c r="D1700" s="42" t="s">
        <v>9337</v>
      </c>
      <c r="E1700" s="188">
        <v>9.81</v>
      </c>
      <c r="F1700" s="42" t="s">
        <v>7526</v>
      </c>
      <c r="G1700" s="42">
        <v>55</v>
      </c>
      <c r="H1700" s="42" t="s">
        <v>0</v>
      </c>
      <c r="I1700" s="42" t="s">
        <v>8586</v>
      </c>
      <c r="J1700" s="42" t="s">
        <v>6264</v>
      </c>
      <c r="K1700" s="42"/>
      <c r="L1700" s="42" t="s">
        <v>6283</v>
      </c>
      <c r="M1700" s="42">
        <v>1</v>
      </c>
      <c r="N1700" s="207"/>
      <c r="O1700" s="1403"/>
      <c r="P1700" s="1393"/>
      <c r="Q1700" s="1396"/>
    </row>
    <row r="1701" spans="1:17" ht="11.1" customHeight="1">
      <c r="A1701" s="31" t="s">
        <v>9462</v>
      </c>
      <c r="B1701" s="187" t="s">
        <v>6231</v>
      </c>
      <c r="C1701" s="187">
        <v>4</v>
      </c>
      <c r="D1701" s="42" t="s">
        <v>9339</v>
      </c>
      <c r="E1701" s="188">
        <v>8.7799999999999994</v>
      </c>
      <c r="F1701" s="42" t="s">
        <v>7448</v>
      </c>
      <c r="G1701" s="42">
        <v>45</v>
      </c>
      <c r="H1701" s="42" t="s">
        <v>0</v>
      </c>
      <c r="I1701" s="42" t="s">
        <v>8586</v>
      </c>
      <c r="J1701" s="42" t="s">
        <v>6264</v>
      </c>
      <c r="K1701" s="42"/>
      <c r="L1701" s="42" t="s">
        <v>6036</v>
      </c>
      <c r="M1701" s="42"/>
      <c r="N1701" s="207"/>
      <c r="O1701" s="1403"/>
      <c r="P1701" s="1393"/>
      <c r="Q1701" s="1396"/>
    </row>
    <row r="1702" spans="1:17" ht="11.1" customHeight="1">
      <c r="A1702" s="44" t="s">
        <v>9463</v>
      </c>
      <c r="B1702" s="190" t="s">
        <v>6231</v>
      </c>
      <c r="C1702" s="190">
        <v>4</v>
      </c>
      <c r="D1702" s="49" t="s">
        <v>9373</v>
      </c>
      <c r="E1702" s="201">
        <v>8.34</v>
      </c>
      <c r="F1702" s="49" t="s">
        <v>7646</v>
      </c>
      <c r="G1702" s="49">
        <v>35</v>
      </c>
      <c r="H1702" s="49" t="s">
        <v>0</v>
      </c>
      <c r="I1702" s="49" t="s">
        <v>8586</v>
      </c>
      <c r="J1702" s="49" t="s">
        <v>6264</v>
      </c>
      <c r="K1702" s="49"/>
      <c r="L1702" s="49" t="s">
        <v>6036</v>
      </c>
      <c r="M1702" s="49"/>
      <c r="N1702" s="202"/>
      <c r="O1702" s="1404"/>
      <c r="P1702" s="1394"/>
      <c r="Q1702" s="1397"/>
    </row>
    <row r="1703" spans="1:17" ht="11.1" customHeight="1">
      <c r="A1703" s="51" t="s">
        <v>9464</v>
      </c>
      <c r="B1703" s="203"/>
      <c r="C1703" s="203">
        <v>2</v>
      </c>
      <c r="D1703" s="204" t="s">
        <v>8608</v>
      </c>
      <c r="E1703" s="205" t="s">
        <v>6262</v>
      </c>
      <c r="F1703" s="204" t="s">
        <v>9465</v>
      </c>
      <c r="G1703" s="204">
        <v>57</v>
      </c>
      <c r="H1703" s="204" t="s">
        <v>6049</v>
      </c>
      <c r="I1703" s="204"/>
      <c r="J1703" s="204" t="s">
        <v>6278</v>
      </c>
      <c r="K1703" s="204"/>
      <c r="L1703" s="204" t="s">
        <v>6036</v>
      </c>
      <c r="M1703" s="204"/>
      <c r="N1703" s="206"/>
      <c r="O1703" s="1405">
        <v>0</v>
      </c>
      <c r="P1703" s="1392">
        <v>264957</v>
      </c>
      <c r="Q1703" s="1395" t="e">
        <f>P1703/SUM($P$464:$P$556)</f>
        <v>#DIV/0!</v>
      </c>
    </row>
    <row r="1704" spans="1:17" ht="11.1" customHeight="1">
      <c r="A1704" s="44" t="s">
        <v>9466</v>
      </c>
      <c r="B1704" s="190" t="s">
        <v>6231</v>
      </c>
      <c r="C1704" s="190">
        <v>1</v>
      </c>
      <c r="D1704" s="49" t="s">
        <v>9359</v>
      </c>
      <c r="E1704" s="201">
        <v>4.97</v>
      </c>
      <c r="F1704" s="49" t="s">
        <v>7536</v>
      </c>
      <c r="G1704" s="49">
        <v>61</v>
      </c>
      <c r="H1704" s="49" t="s">
        <v>0</v>
      </c>
      <c r="I1704" s="213" t="s">
        <v>8586</v>
      </c>
      <c r="J1704" s="49" t="s">
        <v>6278</v>
      </c>
      <c r="K1704" s="49"/>
      <c r="L1704" s="49" t="s">
        <v>6036</v>
      </c>
      <c r="M1704" s="49"/>
      <c r="N1704" s="202"/>
      <c r="O1704" s="1407"/>
      <c r="P1704" s="1394"/>
      <c r="Q1704" s="1397"/>
    </row>
    <row r="1705" spans="1:17" ht="11.1" customHeight="1">
      <c r="A1705" s="51" t="s">
        <v>9467</v>
      </c>
      <c r="B1705" s="203"/>
      <c r="C1705" s="203">
        <v>1</v>
      </c>
      <c r="D1705" s="204" t="s">
        <v>8608</v>
      </c>
      <c r="E1705" s="205" t="s">
        <v>6262</v>
      </c>
      <c r="F1705" s="204" t="s">
        <v>9468</v>
      </c>
      <c r="G1705" s="204">
        <v>68</v>
      </c>
      <c r="H1705" s="204" t="s">
        <v>0</v>
      </c>
      <c r="I1705" s="204"/>
      <c r="J1705" s="204" t="s">
        <v>7280</v>
      </c>
      <c r="K1705" s="204"/>
      <c r="L1705" s="204" t="s">
        <v>6283</v>
      </c>
      <c r="M1705" s="204">
        <v>9</v>
      </c>
      <c r="N1705" s="206"/>
      <c r="O1705" s="1389">
        <v>0</v>
      </c>
      <c r="P1705" s="1392">
        <v>130212</v>
      </c>
      <c r="Q1705" s="1395" t="e">
        <f>P1705/SUM($P$464:$P$556)</f>
        <v>#DIV/0!</v>
      </c>
    </row>
    <row r="1706" spans="1:17" ht="11.1" customHeight="1">
      <c r="A1706" s="44" t="s">
        <v>9469</v>
      </c>
      <c r="B1706" s="190"/>
      <c r="C1706" s="190">
        <v>2</v>
      </c>
      <c r="D1706" s="49" t="s">
        <v>8608</v>
      </c>
      <c r="E1706" s="201" t="s">
        <v>6262</v>
      </c>
      <c r="F1706" s="49" t="s">
        <v>9470</v>
      </c>
      <c r="G1706" s="49">
        <v>60</v>
      </c>
      <c r="H1706" s="49" t="s">
        <v>0</v>
      </c>
      <c r="I1706" s="49"/>
      <c r="J1706" s="49" t="s">
        <v>7280</v>
      </c>
      <c r="K1706" s="49"/>
      <c r="L1706" s="49" t="s">
        <v>6036</v>
      </c>
      <c r="M1706" s="49"/>
      <c r="N1706" s="202"/>
      <c r="O1706" s="1391"/>
      <c r="P1706" s="1394"/>
      <c r="Q1706" s="1397"/>
    </row>
    <row r="1707" spans="1:17" ht="11.1" customHeight="1">
      <c r="A1707" s="236" t="s">
        <v>9471</v>
      </c>
      <c r="B1707" s="237" t="s">
        <v>6231</v>
      </c>
      <c r="C1707" s="237">
        <v>1</v>
      </c>
      <c r="D1707" s="5" t="s">
        <v>9349</v>
      </c>
      <c r="E1707" s="238">
        <v>17.600000000000001</v>
      </c>
      <c r="F1707" s="5" t="s">
        <v>7478</v>
      </c>
      <c r="G1707" s="5">
        <v>36</v>
      </c>
      <c r="H1707" s="5" t="s">
        <v>0</v>
      </c>
      <c r="I1707" s="5" t="s">
        <v>8586</v>
      </c>
      <c r="J1707" s="5" t="s">
        <v>6484</v>
      </c>
      <c r="K1707" s="5"/>
      <c r="L1707" s="5" t="s">
        <v>6036</v>
      </c>
      <c r="M1707" s="5"/>
      <c r="N1707" s="239"/>
      <c r="O1707" s="257">
        <v>0</v>
      </c>
      <c r="P1707" s="241">
        <v>404411</v>
      </c>
      <c r="Q1707" s="242" t="e">
        <f>P1707/SUM($P$464:$P$556)</f>
        <v>#DIV/0!</v>
      </c>
    </row>
    <row r="1708" spans="1:17" ht="11.1" customHeight="1">
      <c r="A1708" s="236" t="s">
        <v>9472</v>
      </c>
      <c r="B1708" s="237"/>
      <c r="C1708" s="237">
        <v>1</v>
      </c>
      <c r="D1708" s="5" t="s">
        <v>8608</v>
      </c>
      <c r="E1708" s="238" t="s">
        <v>6262</v>
      </c>
      <c r="F1708" s="5" t="s">
        <v>9473</v>
      </c>
      <c r="G1708" s="5">
        <v>67</v>
      </c>
      <c r="H1708" s="5" t="s">
        <v>0</v>
      </c>
      <c r="I1708" s="5"/>
      <c r="J1708" s="5" t="s">
        <v>7160</v>
      </c>
      <c r="K1708" s="5"/>
      <c r="L1708" s="5" t="s">
        <v>6036</v>
      </c>
      <c r="M1708" s="5"/>
      <c r="N1708" s="239"/>
      <c r="O1708" s="248">
        <v>0</v>
      </c>
      <c r="P1708" s="241">
        <v>72485</v>
      </c>
      <c r="Q1708" s="242" t="e">
        <f>P1708/SUM($P$464:$P$556)</f>
        <v>#DIV/0!</v>
      </c>
    </row>
    <row r="1709" spans="1:17" ht="11.1" customHeight="1">
      <c r="A1709" s="31" t="s">
        <v>9474</v>
      </c>
      <c r="B1709" s="187"/>
      <c r="C1709" s="187">
        <v>1</v>
      </c>
      <c r="D1709" s="42" t="s">
        <v>8608</v>
      </c>
      <c r="E1709" s="188" t="s">
        <v>6262</v>
      </c>
      <c r="F1709" s="42" t="s">
        <v>9475</v>
      </c>
      <c r="G1709" s="42">
        <v>50</v>
      </c>
      <c r="H1709" s="42" t="s">
        <v>0</v>
      </c>
      <c r="I1709" s="212"/>
      <c r="J1709" s="42" t="s">
        <v>6267</v>
      </c>
      <c r="K1709" s="42" t="s">
        <v>6268</v>
      </c>
      <c r="L1709" s="42" t="s">
        <v>6036</v>
      </c>
      <c r="M1709" s="42"/>
      <c r="N1709" s="207"/>
      <c r="O1709" s="1398">
        <v>0</v>
      </c>
      <c r="P1709" s="1393">
        <v>57222</v>
      </c>
      <c r="Q1709" s="1396" t="e">
        <f>P1709/SUM($P$464:$P$556)</f>
        <v>#DIV/0!</v>
      </c>
    </row>
    <row r="1710" spans="1:17" ht="11.1" customHeight="1">
      <c r="A1710" s="31" t="s">
        <v>9476</v>
      </c>
      <c r="B1710" s="187"/>
      <c r="C1710" s="187">
        <v>2</v>
      </c>
      <c r="D1710" s="42" t="s">
        <v>8608</v>
      </c>
      <c r="E1710" s="188" t="s">
        <v>6262</v>
      </c>
      <c r="F1710" s="42" t="s">
        <v>9477</v>
      </c>
      <c r="G1710" s="42">
        <v>47</v>
      </c>
      <c r="H1710" s="42" t="s">
        <v>6049</v>
      </c>
      <c r="I1710" s="42"/>
      <c r="J1710" s="42" t="s">
        <v>6267</v>
      </c>
      <c r="K1710" s="42" t="s">
        <v>6268</v>
      </c>
      <c r="L1710" s="42" t="s">
        <v>6036</v>
      </c>
      <c r="M1710" s="42"/>
      <c r="N1710" s="207"/>
      <c r="O1710" s="1398"/>
      <c r="P1710" s="1393"/>
      <c r="Q1710" s="1396"/>
    </row>
    <row r="1711" spans="1:17" ht="11.1" customHeight="1">
      <c r="A1711" s="31" t="s">
        <v>9478</v>
      </c>
      <c r="B1711" s="187"/>
      <c r="C1711" s="187">
        <v>3</v>
      </c>
      <c r="D1711" s="42" t="s">
        <v>8608</v>
      </c>
      <c r="E1711" s="188" t="s">
        <v>6262</v>
      </c>
      <c r="F1711" s="42" t="s">
        <v>9479</v>
      </c>
      <c r="G1711" s="42">
        <v>45</v>
      </c>
      <c r="H1711" s="42" t="s">
        <v>0</v>
      </c>
      <c r="I1711" s="42"/>
      <c r="J1711" s="42" t="s">
        <v>6267</v>
      </c>
      <c r="K1711" s="42" t="s">
        <v>6268</v>
      </c>
      <c r="L1711" s="42" t="s">
        <v>6036</v>
      </c>
      <c r="M1711" s="42"/>
      <c r="N1711" s="207"/>
      <c r="O1711" s="1398"/>
      <c r="P1711" s="1393"/>
      <c r="Q1711" s="1396"/>
    </row>
    <row r="1712" spans="1:17" ht="11.1" customHeight="1">
      <c r="A1712" s="31" t="s">
        <v>9480</v>
      </c>
      <c r="B1712" s="187"/>
      <c r="C1712" s="187">
        <v>4</v>
      </c>
      <c r="D1712" s="42" t="s">
        <v>8608</v>
      </c>
      <c r="E1712" s="188" t="s">
        <v>6262</v>
      </c>
      <c r="F1712" s="42" t="s">
        <v>9481</v>
      </c>
      <c r="G1712" s="42">
        <v>40</v>
      </c>
      <c r="H1712" s="42" t="s">
        <v>6049</v>
      </c>
      <c r="I1712" s="42"/>
      <c r="J1712" s="42" t="s">
        <v>6267</v>
      </c>
      <c r="K1712" s="42" t="s">
        <v>6268</v>
      </c>
      <c r="L1712" s="42" t="s">
        <v>6036</v>
      </c>
      <c r="M1712" s="42"/>
      <c r="N1712" s="207"/>
      <c r="O1712" s="1398"/>
      <c r="P1712" s="1393"/>
      <c r="Q1712" s="1396"/>
    </row>
    <row r="1713" spans="1:17" ht="11.1" customHeight="1" thickBot="1">
      <c r="A1713" s="73" t="s">
        <v>9482</v>
      </c>
      <c r="B1713" s="215"/>
      <c r="C1713" s="215">
        <v>5</v>
      </c>
      <c r="D1713" s="78" t="s">
        <v>8608</v>
      </c>
      <c r="E1713" s="216" t="s">
        <v>6262</v>
      </c>
      <c r="F1713" s="78" t="s">
        <v>9483</v>
      </c>
      <c r="G1713" s="78">
        <v>50</v>
      </c>
      <c r="H1713" s="78" t="s">
        <v>0</v>
      </c>
      <c r="I1713" s="78"/>
      <c r="J1713" s="78" t="s">
        <v>6267</v>
      </c>
      <c r="K1713" s="78" t="s">
        <v>6268</v>
      </c>
      <c r="L1713" s="78" t="s">
        <v>6036</v>
      </c>
      <c r="M1713" s="78"/>
      <c r="N1713" s="218"/>
      <c r="O1713" s="1399"/>
      <c r="P1713" s="1400"/>
      <c r="Q1713" s="1401"/>
    </row>
    <row r="1714" spans="1:17" ht="11.1" customHeight="1">
      <c r="A1714" s="80" t="s">
        <v>9484</v>
      </c>
      <c r="B1714" s="219" t="s">
        <v>6217</v>
      </c>
      <c r="C1714" s="219">
        <v>1</v>
      </c>
      <c r="D1714" s="112" t="s">
        <v>8608</v>
      </c>
      <c r="E1714" s="220" t="s">
        <v>6262</v>
      </c>
      <c r="F1714" s="112" t="s">
        <v>9485</v>
      </c>
      <c r="G1714" s="112">
        <v>56</v>
      </c>
      <c r="H1714" s="112" t="s">
        <v>6049</v>
      </c>
      <c r="I1714" s="112"/>
      <c r="J1714" s="112" t="s">
        <v>6257</v>
      </c>
      <c r="K1714" s="112" t="s">
        <v>6258</v>
      </c>
      <c r="L1714" s="112" t="s">
        <v>6209</v>
      </c>
      <c r="M1714" s="112">
        <v>1</v>
      </c>
      <c r="N1714" s="258"/>
      <c r="O1714" s="1414">
        <v>9</v>
      </c>
      <c r="P1714" s="1417">
        <v>2592451</v>
      </c>
      <c r="Q1714" s="1418" t="e">
        <f>P1714/SUM($P$557:$P$687)</f>
        <v>#DIV/0!</v>
      </c>
    </row>
    <row r="1715" spans="1:17" ht="11.1" customHeight="1">
      <c r="A1715" s="31" t="s">
        <v>9486</v>
      </c>
      <c r="B1715" s="185" t="s">
        <v>6217</v>
      </c>
      <c r="C1715" s="185">
        <v>2</v>
      </c>
      <c r="D1715" s="59" t="s">
        <v>8608</v>
      </c>
      <c r="E1715" s="186" t="s">
        <v>6262</v>
      </c>
      <c r="F1715" s="59" t="s">
        <v>9487</v>
      </c>
      <c r="G1715" s="59">
        <v>64</v>
      </c>
      <c r="H1715" s="59" t="s">
        <v>0</v>
      </c>
      <c r="I1715" s="59"/>
      <c r="J1715" s="59" t="s">
        <v>6257</v>
      </c>
      <c r="K1715" s="59" t="s">
        <v>6311</v>
      </c>
      <c r="L1715" s="59" t="s">
        <v>6209</v>
      </c>
      <c r="M1715" s="59">
        <v>5</v>
      </c>
      <c r="N1715" s="221"/>
      <c r="O1715" s="1415"/>
      <c r="P1715" s="1393"/>
      <c r="Q1715" s="1396"/>
    </row>
    <row r="1716" spans="1:17" ht="11.1" customHeight="1">
      <c r="A1716" s="31" t="s">
        <v>9488</v>
      </c>
      <c r="B1716" s="185" t="s">
        <v>6217</v>
      </c>
      <c r="C1716" s="185">
        <v>3</v>
      </c>
      <c r="D1716" s="59" t="s">
        <v>9489</v>
      </c>
      <c r="E1716" s="186">
        <v>96.1</v>
      </c>
      <c r="F1716" s="59" t="s">
        <v>8020</v>
      </c>
      <c r="G1716" s="59">
        <v>48</v>
      </c>
      <c r="H1716" s="59" t="s">
        <v>6049</v>
      </c>
      <c r="I1716" s="59" t="s">
        <v>8586</v>
      </c>
      <c r="J1716" s="59" t="s">
        <v>6257</v>
      </c>
      <c r="K1716" s="59" t="s">
        <v>6286</v>
      </c>
      <c r="L1716" s="59" t="s">
        <v>6209</v>
      </c>
      <c r="M1716" s="59">
        <v>4</v>
      </c>
      <c r="N1716" s="133" t="s">
        <v>6260</v>
      </c>
      <c r="O1716" s="1415"/>
      <c r="P1716" s="1393"/>
      <c r="Q1716" s="1396"/>
    </row>
    <row r="1717" spans="1:17" ht="11.1" customHeight="1">
      <c r="A1717" s="31" t="s">
        <v>9490</v>
      </c>
      <c r="B1717" s="185" t="s">
        <v>6217</v>
      </c>
      <c r="C1717" s="185">
        <v>3</v>
      </c>
      <c r="D1717" s="59" t="s">
        <v>9491</v>
      </c>
      <c r="E1717" s="186">
        <v>87.26</v>
      </c>
      <c r="F1717" s="59" t="s">
        <v>7871</v>
      </c>
      <c r="G1717" s="59">
        <v>68</v>
      </c>
      <c r="H1717" s="59" t="s">
        <v>0</v>
      </c>
      <c r="I1717" s="59" t="s">
        <v>8586</v>
      </c>
      <c r="J1717" s="59" t="s">
        <v>6257</v>
      </c>
      <c r="K1717" s="59" t="s">
        <v>6402</v>
      </c>
      <c r="L1717" s="59" t="s">
        <v>6209</v>
      </c>
      <c r="M1717" s="59">
        <v>4</v>
      </c>
      <c r="N1717" s="133" t="s">
        <v>6260</v>
      </c>
      <c r="O1717" s="1415"/>
      <c r="P1717" s="1393"/>
      <c r="Q1717" s="1396"/>
    </row>
    <row r="1718" spans="1:17" ht="11.1" customHeight="1">
      <c r="A1718" s="31" t="s">
        <v>9492</v>
      </c>
      <c r="B1718" s="185" t="s">
        <v>6217</v>
      </c>
      <c r="C1718" s="185">
        <v>3</v>
      </c>
      <c r="D1718" s="59" t="s">
        <v>9493</v>
      </c>
      <c r="E1718" s="186">
        <v>79.150000000000006</v>
      </c>
      <c r="F1718" s="59" t="s">
        <v>8050</v>
      </c>
      <c r="G1718" s="59">
        <v>57</v>
      </c>
      <c r="H1718" s="59" t="s">
        <v>0</v>
      </c>
      <c r="I1718" s="59" t="s">
        <v>8586</v>
      </c>
      <c r="J1718" s="59" t="s">
        <v>6257</v>
      </c>
      <c r="K1718" s="59" t="s">
        <v>6350</v>
      </c>
      <c r="L1718" s="59" t="s">
        <v>6209</v>
      </c>
      <c r="M1718" s="59">
        <v>3</v>
      </c>
      <c r="N1718" s="133" t="s">
        <v>6260</v>
      </c>
      <c r="O1718" s="1415"/>
      <c r="P1718" s="1393"/>
      <c r="Q1718" s="1396"/>
    </row>
    <row r="1719" spans="1:17" ht="11.1" customHeight="1">
      <c r="A1719" s="31" t="s">
        <v>9494</v>
      </c>
      <c r="B1719" s="185" t="s">
        <v>6217</v>
      </c>
      <c r="C1719" s="185">
        <v>3</v>
      </c>
      <c r="D1719" s="59" t="s">
        <v>9495</v>
      </c>
      <c r="E1719" s="186">
        <v>77.59</v>
      </c>
      <c r="F1719" s="59" t="s">
        <v>7828</v>
      </c>
      <c r="G1719" s="59">
        <v>38</v>
      </c>
      <c r="H1719" s="59" t="s">
        <v>0</v>
      </c>
      <c r="I1719" s="59" t="s">
        <v>8586</v>
      </c>
      <c r="J1719" s="59" t="s">
        <v>6257</v>
      </c>
      <c r="K1719" s="59" t="s">
        <v>6311</v>
      </c>
      <c r="L1719" s="59" t="s">
        <v>6209</v>
      </c>
      <c r="M1719" s="59">
        <v>2</v>
      </c>
      <c r="N1719" s="133" t="s">
        <v>6260</v>
      </c>
      <c r="O1719" s="1415"/>
      <c r="P1719" s="1393"/>
      <c r="Q1719" s="1396"/>
    </row>
    <row r="1720" spans="1:17" ht="11.1" customHeight="1">
      <c r="A1720" s="31" t="s">
        <v>9496</v>
      </c>
      <c r="B1720" s="185" t="s">
        <v>6217</v>
      </c>
      <c r="C1720" s="185">
        <v>3</v>
      </c>
      <c r="D1720" s="59" t="s">
        <v>9497</v>
      </c>
      <c r="E1720" s="186">
        <v>77.41</v>
      </c>
      <c r="F1720" s="59" t="s">
        <v>7700</v>
      </c>
      <c r="G1720" s="59">
        <v>71</v>
      </c>
      <c r="H1720" s="59" t="s">
        <v>0</v>
      </c>
      <c r="I1720" s="59" t="s">
        <v>8586</v>
      </c>
      <c r="J1720" s="59" t="s">
        <v>6257</v>
      </c>
      <c r="K1720" s="59" t="s">
        <v>6311</v>
      </c>
      <c r="L1720" s="59" t="s">
        <v>6209</v>
      </c>
      <c r="M1720" s="59">
        <v>8</v>
      </c>
      <c r="N1720" s="133" t="s">
        <v>6260</v>
      </c>
      <c r="O1720" s="1415"/>
      <c r="P1720" s="1393"/>
      <c r="Q1720" s="1396"/>
    </row>
    <row r="1721" spans="1:17" ht="11.1" customHeight="1">
      <c r="A1721" s="31" t="s">
        <v>9498</v>
      </c>
      <c r="B1721" s="185" t="s">
        <v>6217</v>
      </c>
      <c r="C1721" s="185">
        <v>3</v>
      </c>
      <c r="D1721" s="59" t="s">
        <v>9499</v>
      </c>
      <c r="E1721" s="186">
        <v>76.77</v>
      </c>
      <c r="F1721" s="59" t="s">
        <v>7955</v>
      </c>
      <c r="G1721" s="59">
        <v>57</v>
      </c>
      <c r="H1721" s="59" t="s">
        <v>0</v>
      </c>
      <c r="I1721" s="59" t="s">
        <v>8586</v>
      </c>
      <c r="J1721" s="59" t="s">
        <v>6257</v>
      </c>
      <c r="K1721" s="59" t="s">
        <v>6311</v>
      </c>
      <c r="L1721" s="59" t="s">
        <v>6209</v>
      </c>
      <c r="M1721" s="59">
        <v>2</v>
      </c>
      <c r="N1721" s="133" t="s">
        <v>6260</v>
      </c>
      <c r="O1721" s="1415"/>
      <c r="P1721" s="1393"/>
      <c r="Q1721" s="1396"/>
    </row>
    <row r="1722" spans="1:17" ht="11.1" customHeight="1">
      <c r="A1722" s="31" t="s">
        <v>9500</v>
      </c>
      <c r="B1722" s="185" t="s">
        <v>6217</v>
      </c>
      <c r="C1722" s="185">
        <v>3</v>
      </c>
      <c r="D1722" s="59" t="s">
        <v>9501</v>
      </c>
      <c r="E1722" s="186">
        <v>76.650000000000006</v>
      </c>
      <c r="F1722" s="59" t="s">
        <v>7861</v>
      </c>
      <c r="G1722" s="59">
        <v>62</v>
      </c>
      <c r="H1722" s="59" t="s">
        <v>0</v>
      </c>
      <c r="I1722" s="59" t="s">
        <v>8586</v>
      </c>
      <c r="J1722" s="59" t="s">
        <v>6257</v>
      </c>
      <c r="K1722" s="59" t="s">
        <v>6286</v>
      </c>
      <c r="L1722" s="59" t="s">
        <v>6209</v>
      </c>
      <c r="M1722" s="59">
        <v>4</v>
      </c>
      <c r="N1722" s="133" t="s">
        <v>6260</v>
      </c>
      <c r="O1722" s="1415"/>
      <c r="P1722" s="1393"/>
      <c r="Q1722" s="1396"/>
    </row>
    <row r="1723" spans="1:17" ht="11.1" customHeight="1">
      <c r="A1723" s="31" t="s">
        <v>9502</v>
      </c>
      <c r="B1723" s="187"/>
      <c r="C1723" s="187">
        <v>3</v>
      </c>
      <c r="D1723" s="42" t="s">
        <v>9503</v>
      </c>
      <c r="E1723" s="188">
        <v>76.25</v>
      </c>
      <c r="F1723" s="189" t="s">
        <v>8005</v>
      </c>
      <c r="G1723" s="42">
        <v>58</v>
      </c>
      <c r="H1723" s="42" t="s">
        <v>0</v>
      </c>
      <c r="I1723" s="42" t="s">
        <v>8586</v>
      </c>
      <c r="J1723" s="42" t="s">
        <v>6257</v>
      </c>
      <c r="K1723" s="42" t="s">
        <v>6369</v>
      </c>
      <c r="L1723" s="42" t="s">
        <v>6209</v>
      </c>
      <c r="M1723" s="42">
        <v>3</v>
      </c>
      <c r="N1723" s="43" t="s">
        <v>6260</v>
      </c>
      <c r="O1723" s="1415"/>
      <c r="P1723" s="1393"/>
      <c r="Q1723" s="1396"/>
    </row>
    <row r="1724" spans="1:17" ht="11.1" customHeight="1">
      <c r="A1724" s="31" t="s">
        <v>9504</v>
      </c>
      <c r="B1724" s="187"/>
      <c r="C1724" s="187">
        <v>3</v>
      </c>
      <c r="D1724" s="42" t="s">
        <v>9505</v>
      </c>
      <c r="E1724" s="188">
        <v>73.06</v>
      </c>
      <c r="F1724" s="42" t="s">
        <v>7670</v>
      </c>
      <c r="G1724" s="42">
        <v>44</v>
      </c>
      <c r="H1724" s="42" t="s">
        <v>0</v>
      </c>
      <c r="I1724" s="42" t="s">
        <v>8586</v>
      </c>
      <c r="J1724" s="42" t="s">
        <v>6257</v>
      </c>
      <c r="K1724" s="42" t="s">
        <v>6350</v>
      </c>
      <c r="L1724" s="42" t="s">
        <v>6209</v>
      </c>
      <c r="M1724" s="42">
        <v>1</v>
      </c>
      <c r="N1724" s="43" t="s">
        <v>6260</v>
      </c>
      <c r="O1724" s="1415"/>
      <c r="P1724" s="1393"/>
      <c r="Q1724" s="1396"/>
    </row>
    <row r="1725" spans="1:17" ht="11.1" customHeight="1">
      <c r="A1725" s="31" t="s">
        <v>9506</v>
      </c>
      <c r="B1725" s="187"/>
      <c r="C1725" s="187">
        <v>3</v>
      </c>
      <c r="D1725" s="42" t="s">
        <v>9507</v>
      </c>
      <c r="E1725" s="188">
        <v>72.8</v>
      </c>
      <c r="F1725" s="42" t="s">
        <v>7778</v>
      </c>
      <c r="G1725" s="42">
        <v>38</v>
      </c>
      <c r="H1725" s="42" t="s">
        <v>0</v>
      </c>
      <c r="I1725" s="42" t="s">
        <v>8586</v>
      </c>
      <c r="J1725" s="42" t="s">
        <v>6257</v>
      </c>
      <c r="K1725" s="42" t="s">
        <v>6286</v>
      </c>
      <c r="L1725" s="42" t="s">
        <v>6209</v>
      </c>
      <c r="M1725" s="42">
        <v>2</v>
      </c>
      <c r="N1725" s="43" t="s">
        <v>6260</v>
      </c>
      <c r="O1725" s="1415"/>
      <c r="P1725" s="1393"/>
      <c r="Q1725" s="1396"/>
    </row>
    <row r="1726" spans="1:17" ht="11.1" customHeight="1">
      <c r="A1726" s="31" t="s">
        <v>9508</v>
      </c>
      <c r="B1726" s="187"/>
      <c r="C1726" s="187">
        <v>3</v>
      </c>
      <c r="D1726" s="42" t="s">
        <v>9509</v>
      </c>
      <c r="E1726" s="188">
        <v>70.2</v>
      </c>
      <c r="F1726" s="42" t="s">
        <v>7887</v>
      </c>
      <c r="G1726" s="42">
        <v>70</v>
      </c>
      <c r="H1726" s="42" t="s">
        <v>6049</v>
      </c>
      <c r="I1726" s="42" t="s">
        <v>8586</v>
      </c>
      <c r="J1726" s="42" t="s">
        <v>6257</v>
      </c>
      <c r="K1726" s="42" t="s">
        <v>6273</v>
      </c>
      <c r="L1726" s="42" t="s">
        <v>6209</v>
      </c>
      <c r="M1726" s="42">
        <v>2</v>
      </c>
      <c r="N1726" s="43" t="s">
        <v>6260</v>
      </c>
      <c r="O1726" s="1415"/>
      <c r="P1726" s="1393"/>
      <c r="Q1726" s="1396"/>
    </row>
    <row r="1727" spans="1:17" ht="11.1" customHeight="1">
      <c r="A1727" s="31" t="s">
        <v>9510</v>
      </c>
      <c r="B1727" s="187"/>
      <c r="C1727" s="187">
        <v>3</v>
      </c>
      <c r="D1727" s="42" t="s">
        <v>9511</v>
      </c>
      <c r="E1727" s="188">
        <v>69.599999999999994</v>
      </c>
      <c r="F1727" s="42" t="s">
        <v>7993</v>
      </c>
      <c r="G1727" s="42">
        <v>61</v>
      </c>
      <c r="H1727" s="42" t="s">
        <v>0</v>
      </c>
      <c r="I1727" s="42" t="s">
        <v>8586</v>
      </c>
      <c r="J1727" s="42" t="s">
        <v>6257</v>
      </c>
      <c r="K1727" s="42" t="s">
        <v>6350</v>
      </c>
      <c r="L1727" s="42" t="s">
        <v>6209</v>
      </c>
      <c r="M1727" s="42">
        <v>6</v>
      </c>
      <c r="N1727" s="43" t="s">
        <v>6260</v>
      </c>
      <c r="O1727" s="1415"/>
      <c r="P1727" s="1393"/>
      <c r="Q1727" s="1396"/>
    </row>
    <row r="1728" spans="1:17" ht="11.1" customHeight="1">
      <c r="A1728" s="31" t="s">
        <v>9512</v>
      </c>
      <c r="B1728" s="187"/>
      <c r="C1728" s="187">
        <v>3</v>
      </c>
      <c r="D1728" s="42" t="s">
        <v>9513</v>
      </c>
      <c r="E1728" s="188">
        <v>67.91</v>
      </c>
      <c r="F1728" s="42" t="s">
        <v>7844</v>
      </c>
      <c r="G1728" s="42">
        <v>57</v>
      </c>
      <c r="H1728" s="42" t="s">
        <v>0</v>
      </c>
      <c r="I1728" s="42" t="s">
        <v>8586</v>
      </c>
      <c r="J1728" s="42" t="s">
        <v>6257</v>
      </c>
      <c r="K1728" s="42" t="s">
        <v>6369</v>
      </c>
      <c r="L1728" s="42" t="s">
        <v>6209</v>
      </c>
      <c r="M1728" s="42">
        <v>3</v>
      </c>
      <c r="N1728" s="43" t="s">
        <v>6260</v>
      </c>
      <c r="O1728" s="1415"/>
      <c r="P1728" s="1393"/>
      <c r="Q1728" s="1396"/>
    </row>
    <row r="1729" spans="1:17" ht="11.1" customHeight="1">
      <c r="A1729" s="31" t="s">
        <v>9514</v>
      </c>
      <c r="B1729" s="187"/>
      <c r="C1729" s="187">
        <v>3</v>
      </c>
      <c r="D1729" s="42" t="s">
        <v>9515</v>
      </c>
      <c r="E1729" s="188">
        <v>67.53</v>
      </c>
      <c r="F1729" s="42" t="s">
        <v>8028</v>
      </c>
      <c r="G1729" s="42">
        <v>65</v>
      </c>
      <c r="H1729" s="42" t="s">
        <v>0</v>
      </c>
      <c r="I1729" s="42" t="s">
        <v>8586</v>
      </c>
      <c r="J1729" s="42" t="s">
        <v>6257</v>
      </c>
      <c r="K1729" s="42" t="s">
        <v>6286</v>
      </c>
      <c r="L1729" s="42" t="s">
        <v>6209</v>
      </c>
      <c r="M1729" s="42">
        <v>2</v>
      </c>
      <c r="N1729" s="43" t="s">
        <v>6260</v>
      </c>
      <c r="O1729" s="1415"/>
      <c r="P1729" s="1393"/>
      <c r="Q1729" s="1396"/>
    </row>
    <row r="1730" spans="1:17" ht="11.1" customHeight="1">
      <c r="A1730" s="31" t="s">
        <v>9516</v>
      </c>
      <c r="B1730" s="187"/>
      <c r="C1730" s="187">
        <v>3</v>
      </c>
      <c r="D1730" s="42" t="s">
        <v>9517</v>
      </c>
      <c r="E1730" s="188">
        <v>67.400000000000006</v>
      </c>
      <c r="F1730" s="42" t="s">
        <v>7810</v>
      </c>
      <c r="G1730" s="42">
        <v>44</v>
      </c>
      <c r="H1730" s="42" t="s">
        <v>0</v>
      </c>
      <c r="I1730" s="42" t="s">
        <v>8586</v>
      </c>
      <c r="J1730" s="42" t="s">
        <v>6257</v>
      </c>
      <c r="K1730" s="42" t="s">
        <v>6273</v>
      </c>
      <c r="L1730" s="42" t="s">
        <v>6209</v>
      </c>
      <c r="M1730" s="42">
        <v>1</v>
      </c>
      <c r="N1730" s="43" t="s">
        <v>6260</v>
      </c>
      <c r="O1730" s="1415"/>
      <c r="P1730" s="1393"/>
      <c r="Q1730" s="1396"/>
    </row>
    <row r="1731" spans="1:17" ht="11.1" customHeight="1">
      <c r="A1731" s="31" t="s">
        <v>9518</v>
      </c>
      <c r="B1731" s="187"/>
      <c r="C1731" s="187">
        <v>3</v>
      </c>
      <c r="D1731" s="42" t="s">
        <v>9519</v>
      </c>
      <c r="E1731" s="188">
        <v>66.77</v>
      </c>
      <c r="F1731" s="42" t="s">
        <v>7750</v>
      </c>
      <c r="G1731" s="42">
        <v>72</v>
      </c>
      <c r="H1731" s="42" t="s">
        <v>0</v>
      </c>
      <c r="I1731" s="42" t="s">
        <v>8586</v>
      </c>
      <c r="J1731" s="42" t="s">
        <v>6257</v>
      </c>
      <c r="K1731" s="42" t="s">
        <v>6596</v>
      </c>
      <c r="L1731" s="42" t="s">
        <v>6209</v>
      </c>
      <c r="M1731" s="42">
        <v>9</v>
      </c>
      <c r="N1731" s="43" t="s">
        <v>6260</v>
      </c>
      <c r="O1731" s="1415"/>
      <c r="P1731" s="1393"/>
      <c r="Q1731" s="1396"/>
    </row>
    <row r="1732" spans="1:17" ht="11.1" customHeight="1">
      <c r="A1732" s="31" t="s">
        <v>9520</v>
      </c>
      <c r="B1732" s="187"/>
      <c r="C1732" s="187">
        <v>3</v>
      </c>
      <c r="D1732" s="42" t="s">
        <v>9521</v>
      </c>
      <c r="E1732" s="188">
        <v>66.349999999999994</v>
      </c>
      <c r="F1732" s="42" t="s">
        <v>7912</v>
      </c>
      <c r="G1732" s="42">
        <v>55</v>
      </c>
      <c r="H1732" s="42" t="s">
        <v>0</v>
      </c>
      <c r="I1732" s="42" t="s">
        <v>8586</v>
      </c>
      <c r="J1732" s="42" t="s">
        <v>6257</v>
      </c>
      <c r="K1732" s="42" t="s">
        <v>6402</v>
      </c>
      <c r="L1732" s="42" t="s">
        <v>6209</v>
      </c>
      <c r="M1732" s="42">
        <v>1</v>
      </c>
      <c r="N1732" s="43" t="s">
        <v>6260</v>
      </c>
      <c r="O1732" s="1415"/>
      <c r="P1732" s="1393"/>
      <c r="Q1732" s="1396"/>
    </row>
    <row r="1733" spans="1:17" ht="11.1" customHeight="1">
      <c r="A1733" s="31" t="s">
        <v>9522</v>
      </c>
      <c r="B1733" s="187"/>
      <c r="C1733" s="187">
        <v>3</v>
      </c>
      <c r="D1733" s="42" t="s">
        <v>9523</v>
      </c>
      <c r="E1733" s="188">
        <v>66.28</v>
      </c>
      <c r="F1733" s="42" t="s">
        <v>7933</v>
      </c>
      <c r="G1733" s="42">
        <v>44</v>
      </c>
      <c r="H1733" s="42" t="s">
        <v>0</v>
      </c>
      <c r="I1733" s="42" t="s">
        <v>8586</v>
      </c>
      <c r="J1733" s="42" t="s">
        <v>6257</v>
      </c>
      <c r="K1733" s="42" t="s">
        <v>6286</v>
      </c>
      <c r="L1733" s="42" t="s">
        <v>6209</v>
      </c>
      <c r="M1733" s="42">
        <v>1</v>
      </c>
      <c r="N1733" s="43" t="s">
        <v>6260</v>
      </c>
      <c r="O1733" s="1415"/>
      <c r="P1733" s="1393"/>
      <c r="Q1733" s="1396"/>
    </row>
    <row r="1734" spans="1:17" ht="11.1" customHeight="1">
      <c r="A1734" s="31" t="s">
        <v>9524</v>
      </c>
      <c r="B1734" s="187"/>
      <c r="C1734" s="187">
        <v>3</v>
      </c>
      <c r="D1734" s="42" t="s">
        <v>9525</v>
      </c>
      <c r="E1734" s="188">
        <v>65.069999999999993</v>
      </c>
      <c r="F1734" s="42" t="s">
        <v>7818</v>
      </c>
      <c r="G1734" s="42">
        <v>61</v>
      </c>
      <c r="H1734" s="42" t="s">
        <v>0</v>
      </c>
      <c r="I1734" s="42" t="s">
        <v>8586</v>
      </c>
      <c r="J1734" s="42" t="s">
        <v>6257</v>
      </c>
      <c r="K1734" s="42" t="s">
        <v>6273</v>
      </c>
      <c r="L1734" s="42" t="s">
        <v>6209</v>
      </c>
      <c r="M1734" s="42">
        <v>1</v>
      </c>
      <c r="N1734" s="43" t="s">
        <v>6260</v>
      </c>
      <c r="O1734" s="1415"/>
      <c r="P1734" s="1393"/>
      <c r="Q1734" s="1396"/>
    </row>
    <row r="1735" spans="1:17" ht="11.1" customHeight="1">
      <c r="A1735" s="31" t="s">
        <v>9526</v>
      </c>
      <c r="B1735" s="187"/>
      <c r="C1735" s="187">
        <v>3</v>
      </c>
      <c r="D1735" s="42" t="s">
        <v>9527</v>
      </c>
      <c r="E1735" s="188">
        <v>64.25</v>
      </c>
      <c r="F1735" s="42" t="s">
        <v>7904</v>
      </c>
      <c r="G1735" s="42">
        <v>62</v>
      </c>
      <c r="H1735" s="42" t="s">
        <v>0</v>
      </c>
      <c r="I1735" s="42" t="s">
        <v>8586</v>
      </c>
      <c r="J1735" s="42" t="s">
        <v>6257</v>
      </c>
      <c r="K1735" s="42" t="s">
        <v>6671</v>
      </c>
      <c r="L1735" s="42" t="s">
        <v>6209</v>
      </c>
      <c r="M1735" s="42">
        <v>3</v>
      </c>
      <c r="N1735" s="43" t="s">
        <v>6260</v>
      </c>
      <c r="O1735" s="1415"/>
      <c r="P1735" s="1393"/>
      <c r="Q1735" s="1396"/>
    </row>
    <row r="1736" spans="1:17" ht="11.1" customHeight="1">
      <c r="A1736" s="31" t="s">
        <v>9528</v>
      </c>
      <c r="B1736" s="187"/>
      <c r="C1736" s="187">
        <v>3</v>
      </c>
      <c r="D1736" s="42" t="s">
        <v>9529</v>
      </c>
      <c r="E1736" s="188">
        <v>63.44</v>
      </c>
      <c r="F1736" s="42" t="s">
        <v>7802</v>
      </c>
      <c r="G1736" s="42">
        <v>47</v>
      </c>
      <c r="H1736" s="42" t="s">
        <v>6049</v>
      </c>
      <c r="I1736" s="42" t="s">
        <v>8586</v>
      </c>
      <c r="J1736" s="42" t="s">
        <v>6257</v>
      </c>
      <c r="K1736" s="42" t="s">
        <v>6273</v>
      </c>
      <c r="L1736" s="42" t="s">
        <v>6209</v>
      </c>
      <c r="M1736" s="42">
        <v>1</v>
      </c>
      <c r="N1736" s="43" t="s">
        <v>6260</v>
      </c>
      <c r="O1736" s="1415"/>
      <c r="P1736" s="1393"/>
      <c r="Q1736" s="1396"/>
    </row>
    <row r="1737" spans="1:17" ht="11.1" customHeight="1">
      <c r="A1737" s="31" t="s">
        <v>9530</v>
      </c>
      <c r="B1737" s="187"/>
      <c r="C1737" s="187">
        <v>3</v>
      </c>
      <c r="D1737" s="42" t="s">
        <v>9531</v>
      </c>
      <c r="E1737" s="188">
        <v>60.94</v>
      </c>
      <c r="F1737" s="42" t="s">
        <v>7678</v>
      </c>
      <c r="G1737" s="42">
        <v>59</v>
      </c>
      <c r="H1737" s="42" t="s">
        <v>0</v>
      </c>
      <c r="I1737" s="42" t="s">
        <v>8586</v>
      </c>
      <c r="J1737" s="42" t="s">
        <v>6257</v>
      </c>
      <c r="K1737" s="42" t="s">
        <v>6402</v>
      </c>
      <c r="L1737" s="42" t="s">
        <v>6209</v>
      </c>
      <c r="M1737" s="42">
        <v>1</v>
      </c>
      <c r="N1737" s="43" t="s">
        <v>6260</v>
      </c>
      <c r="O1737" s="1415"/>
      <c r="P1737" s="1393"/>
      <c r="Q1737" s="1396"/>
    </row>
    <row r="1738" spans="1:17" ht="11.1" customHeight="1">
      <c r="A1738" s="31" t="s">
        <v>9532</v>
      </c>
      <c r="B1738" s="187"/>
      <c r="C1738" s="187">
        <v>3</v>
      </c>
      <c r="D1738" s="42" t="s">
        <v>9533</v>
      </c>
      <c r="E1738" s="188">
        <v>60.16</v>
      </c>
      <c r="F1738" s="42" t="s">
        <v>7961</v>
      </c>
      <c r="G1738" s="42">
        <v>50</v>
      </c>
      <c r="H1738" s="42" t="s">
        <v>0</v>
      </c>
      <c r="I1738" s="42" t="s">
        <v>8586</v>
      </c>
      <c r="J1738" s="42" t="s">
        <v>6257</v>
      </c>
      <c r="K1738" s="42" t="s">
        <v>6286</v>
      </c>
      <c r="L1738" s="42" t="s">
        <v>6209</v>
      </c>
      <c r="M1738" s="42">
        <v>1</v>
      </c>
      <c r="N1738" s="43" t="s">
        <v>6260</v>
      </c>
      <c r="O1738" s="1415"/>
      <c r="P1738" s="1393"/>
      <c r="Q1738" s="1396"/>
    </row>
    <row r="1739" spans="1:17" ht="11.1" customHeight="1">
      <c r="A1739" s="31" t="s">
        <v>9534</v>
      </c>
      <c r="B1739" s="187"/>
      <c r="C1739" s="187">
        <v>3</v>
      </c>
      <c r="D1739" s="42" t="s">
        <v>9535</v>
      </c>
      <c r="E1739" s="188">
        <v>59.94</v>
      </c>
      <c r="F1739" s="42" t="s">
        <v>8042</v>
      </c>
      <c r="G1739" s="42">
        <v>42</v>
      </c>
      <c r="H1739" s="42" t="s">
        <v>0</v>
      </c>
      <c r="I1739" s="42" t="s">
        <v>8586</v>
      </c>
      <c r="J1739" s="42" t="s">
        <v>6257</v>
      </c>
      <c r="K1739" s="42" t="s">
        <v>6286</v>
      </c>
      <c r="L1739" s="42" t="s">
        <v>6209</v>
      </c>
      <c r="M1739" s="42">
        <v>3</v>
      </c>
      <c r="N1739" s="43" t="s">
        <v>6260</v>
      </c>
      <c r="O1739" s="1415"/>
      <c r="P1739" s="1393"/>
      <c r="Q1739" s="1396"/>
    </row>
    <row r="1740" spans="1:17" ht="11.1" customHeight="1">
      <c r="A1740" s="31" t="s">
        <v>9536</v>
      </c>
      <c r="B1740" s="187"/>
      <c r="C1740" s="187">
        <v>3</v>
      </c>
      <c r="D1740" s="42" t="s">
        <v>9537</v>
      </c>
      <c r="E1740" s="188">
        <v>59.02</v>
      </c>
      <c r="F1740" s="42" t="s">
        <v>7999</v>
      </c>
      <c r="G1740" s="42">
        <v>57</v>
      </c>
      <c r="H1740" s="42" t="s">
        <v>0</v>
      </c>
      <c r="I1740" s="42" t="s">
        <v>8586</v>
      </c>
      <c r="J1740" s="42" t="s">
        <v>6257</v>
      </c>
      <c r="K1740" s="42" t="s">
        <v>6273</v>
      </c>
      <c r="L1740" s="42" t="s">
        <v>6209</v>
      </c>
      <c r="M1740" s="42">
        <v>2</v>
      </c>
      <c r="N1740" s="43" t="s">
        <v>6260</v>
      </c>
      <c r="O1740" s="1415"/>
      <c r="P1740" s="1393"/>
      <c r="Q1740" s="1396"/>
    </row>
    <row r="1741" spans="1:17" ht="11.1" customHeight="1">
      <c r="A1741" s="31" t="s">
        <v>9538</v>
      </c>
      <c r="B1741" s="187"/>
      <c r="C1741" s="187">
        <v>3</v>
      </c>
      <c r="D1741" s="42" t="s">
        <v>9539</v>
      </c>
      <c r="E1741" s="188">
        <v>55.85</v>
      </c>
      <c r="F1741" s="42" t="s">
        <v>7718</v>
      </c>
      <c r="G1741" s="42">
        <v>63</v>
      </c>
      <c r="H1741" s="42" t="s">
        <v>0</v>
      </c>
      <c r="I1741" s="42" t="s">
        <v>8586</v>
      </c>
      <c r="J1741" s="42" t="s">
        <v>6257</v>
      </c>
      <c r="K1741" s="42" t="s">
        <v>6402</v>
      </c>
      <c r="L1741" s="42" t="s">
        <v>6209</v>
      </c>
      <c r="M1741" s="42">
        <v>1</v>
      </c>
      <c r="N1741" s="43" t="s">
        <v>6260</v>
      </c>
      <c r="O1741" s="1415"/>
      <c r="P1741" s="1393"/>
      <c r="Q1741" s="1396"/>
    </row>
    <row r="1742" spans="1:17" ht="11.1" customHeight="1">
      <c r="A1742" s="31" t="s">
        <v>9540</v>
      </c>
      <c r="B1742" s="187"/>
      <c r="C1742" s="187">
        <v>3</v>
      </c>
      <c r="D1742" s="42" t="s">
        <v>9541</v>
      </c>
      <c r="E1742" s="188">
        <v>53.88</v>
      </c>
      <c r="F1742" s="212" t="s">
        <v>7692</v>
      </c>
      <c r="G1742" s="42">
        <v>30</v>
      </c>
      <c r="H1742" s="42" t="s">
        <v>0</v>
      </c>
      <c r="I1742" s="42" t="s">
        <v>8586</v>
      </c>
      <c r="J1742" s="42" t="s">
        <v>6257</v>
      </c>
      <c r="K1742" s="42" t="s">
        <v>6258</v>
      </c>
      <c r="L1742" s="42" t="s">
        <v>6036</v>
      </c>
      <c r="M1742" s="42"/>
      <c r="N1742" s="43" t="s">
        <v>6260</v>
      </c>
      <c r="O1742" s="1415"/>
      <c r="P1742" s="1393"/>
      <c r="Q1742" s="1396"/>
    </row>
    <row r="1743" spans="1:17" ht="11.1" customHeight="1">
      <c r="A1743" s="31" t="s">
        <v>9542</v>
      </c>
      <c r="B1743" s="187"/>
      <c r="C1743" s="187">
        <v>3</v>
      </c>
      <c r="D1743" s="42" t="s">
        <v>9543</v>
      </c>
      <c r="E1743" s="188">
        <v>53.07</v>
      </c>
      <c r="F1743" s="42" t="s">
        <v>7684</v>
      </c>
      <c r="G1743" s="42">
        <v>61</v>
      </c>
      <c r="H1743" s="42" t="s">
        <v>0</v>
      </c>
      <c r="I1743" s="42" t="s">
        <v>8586</v>
      </c>
      <c r="J1743" s="42" t="s">
        <v>6257</v>
      </c>
      <c r="K1743" s="42" t="s">
        <v>6311</v>
      </c>
      <c r="L1743" s="42" t="s">
        <v>6209</v>
      </c>
      <c r="M1743" s="42">
        <v>2</v>
      </c>
      <c r="N1743" s="43" t="s">
        <v>6260</v>
      </c>
      <c r="O1743" s="1415"/>
      <c r="P1743" s="1393"/>
      <c r="Q1743" s="1396"/>
    </row>
    <row r="1744" spans="1:17" ht="11.1" customHeight="1">
      <c r="A1744" s="31" t="s">
        <v>9544</v>
      </c>
      <c r="B1744" s="187"/>
      <c r="C1744" s="187">
        <v>3</v>
      </c>
      <c r="D1744" s="42" t="s">
        <v>9545</v>
      </c>
      <c r="E1744" s="188">
        <v>52.23</v>
      </c>
      <c r="F1744" s="42" t="s">
        <v>7742</v>
      </c>
      <c r="G1744" s="42">
        <v>46</v>
      </c>
      <c r="H1744" s="42" t="s">
        <v>6049</v>
      </c>
      <c r="I1744" s="42" t="s">
        <v>8586</v>
      </c>
      <c r="J1744" s="42" t="s">
        <v>6257</v>
      </c>
      <c r="K1744" s="42" t="s">
        <v>6402</v>
      </c>
      <c r="L1744" s="42" t="s">
        <v>6209</v>
      </c>
      <c r="M1744" s="42">
        <v>1</v>
      </c>
      <c r="N1744" s="43" t="s">
        <v>6260</v>
      </c>
      <c r="O1744" s="1415"/>
      <c r="P1744" s="1393"/>
      <c r="Q1744" s="1396"/>
    </row>
    <row r="1745" spans="1:17" ht="11.1" customHeight="1">
      <c r="A1745" s="31" t="s">
        <v>9546</v>
      </c>
      <c r="B1745" s="187"/>
      <c r="C1745" s="187">
        <v>3</v>
      </c>
      <c r="D1745" s="42" t="s">
        <v>9547</v>
      </c>
      <c r="E1745" s="188">
        <v>51.51</v>
      </c>
      <c r="F1745" s="42" t="s">
        <v>7969</v>
      </c>
      <c r="G1745" s="42">
        <v>67</v>
      </c>
      <c r="H1745" s="42" t="s">
        <v>0</v>
      </c>
      <c r="I1745" s="42" t="s">
        <v>8586</v>
      </c>
      <c r="J1745" s="42" t="s">
        <v>6257</v>
      </c>
      <c r="K1745" s="42" t="s">
        <v>6350</v>
      </c>
      <c r="L1745" s="42" t="s">
        <v>6209</v>
      </c>
      <c r="M1745" s="42">
        <v>2</v>
      </c>
      <c r="N1745" s="43" t="s">
        <v>6260</v>
      </c>
      <c r="O1745" s="1415"/>
      <c r="P1745" s="1393"/>
      <c r="Q1745" s="1396"/>
    </row>
    <row r="1746" spans="1:17" ht="11.1" customHeight="1">
      <c r="A1746" s="31" t="s">
        <v>9548</v>
      </c>
      <c r="B1746" s="187"/>
      <c r="C1746" s="187">
        <v>3</v>
      </c>
      <c r="D1746" s="42" t="s">
        <v>9549</v>
      </c>
      <c r="E1746" s="188">
        <v>50.88</v>
      </c>
      <c r="F1746" s="42" t="s">
        <v>8011</v>
      </c>
      <c r="G1746" s="42">
        <v>66</v>
      </c>
      <c r="H1746" s="42" t="s">
        <v>0</v>
      </c>
      <c r="I1746" s="42" t="s">
        <v>8586</v>
      </c>
      <c r="J1746" s="42" t="s">
        <v>6257</v>
      </c>
      <c r="K1746" s="42" t="s">
        <v>6273</v>
      </c>
      <c r="L1746" s="42" t="s">
        <v>6283</v>
      </c>
      <c r="M1746" s="42">
        <v>2</v>
      </c>
      <c r="N1746" s="43" t="s">
        <v>6260</v>
      </c>
      <c r="O1746" s="1415"/>
      <c r="P1746" s="1393"/>
      <c r="Q1746" s="1396"/>
    </row>
    <row r="1747" spans="1:17" ht="11.1" customHeight="1">
      <c r="A1747" s="31" t="s">
        <v>9550</v>
      </c>
      <c r="B1747" s="187"/>
      <c r="C1747" s="187">
        <v>3</v>
      </c>
      <c r="D1747" s="42" t="s">
        <v>9551</v>
      </c>
      <c r="E1747" s="188">
        <v>45.07</v>
      </c>
      <c r="F1747" s="42" t="s">
        <v>7836</v>
      </c>
      <c r="G1747" s="42">
        <v>63</v>
      </c>
      <c r="H1747" s="42" t="s">
        <v>6049</v>
      </c>
      <c r="I1747" s="42" t="s">
        <v>8586</v>
      </c>
      <c r="J1747" s="42" t="s">
        <v>6257</v>
      </c>
      <c r="K1747" s="42" t="s">
        <v>6671</v>
      </c>
      <c r="L1747" s="42" t="s">
        <v>6209</v>
      </c>
      <c r="M1747" s="42">
        <v>1</v>
      </c>
      <c r="N1747" s="43"/>
      <c r="O1747" s="1415"/>
      <c r="P1747" s="1393"/>
      <c r="Q1747" s="1396"/>
    </row>
    <row r="1748" spans="1:17" ht="11.1" customHeight="1">
      <c r="A1748" s="31" t="s">
        <v>9552</v>
      </c>
      <c r="B1748" s="187"/>
      <c r="C1748" s="187">
        <v>3</v>
      </c>
      <c r="D1748" s="42" t="s">
        <v>9553</v>
      </c>
      <c r="E1748" s="188">
        <v>42.28</v>
      </c>
      <c r="F1748" s="42" t="s">
        <v>7708</v>
      </c>
      <c r="G1748" s="42">
        <v>34</v>
      </c>
      <c r="H1748" s="42" t="s">
        <v>0</v>
      </c>
      <c r="I1748" s="42" t="s">
        <v>8586</v>
      </c>
      <c r="J1748" s="42" t="s">
        <v>6257</v>
      </c>
      <c r="K1748" s="42" t="s">
        <v>6311</v>
      </c>
      <c r="L1748" s="42" t="s">
        <v>6209</v>
      </c>
      <c r="M1748" s="42">
        <v>1</v>
      </c>
      <c r="N1748" s="43" t="s">
        <v>6260</v>
      </c>
      <c r="O1748" s="1415"/>
      <c r="P1748" s="1393"/>
      <c r="Q1748" s="1396"/>
    </row>
    <row r="1749" spans="1:17" ht="11.1" customHeight="1">
      <c r="A1749" s="31" t="s">
        <v>9554</v>
      </c>
      <c r="B1749" s="187"/>
      <c r="C1749" s="187">
        <v>3</v>
      </c>
      <c r="D1749" s="42" t="s">
        <v>9555</v>
      </c>
      <c r="E1749" s="188">
        <v>38.520000000000003</v>
      </c>
      <c r="F1749" s="42" t="s">
        <v>7762</v>
      </c>
      <c r="G1749" s="42">
        <v>39</v>
      </c>
      <c r="H1749" s="42" t="s">
        <v>6049</v>
      </c>
      <c r="I1749" s="42" t="s">
        <v>8586</v>
      </c>
      <c r="J1749" s="42" t="s">
        <v>6257</v>
      </c>
      <c r="K1749" s="42" t="s">
        <v>6671</v>
      </c>
      <c r="L1749" s="42" t="s">
        <v>6209</v>
      </c>
      <c r="M1749" s="42">
        <v>1</v>
      </c>
      <c r="N1749" s="43"/>
      <c r="O1749" s="1415"/>
      <c r="P1749" s="1393"/>
      <c r="Q1749" s="1396"/>
    </row>
    <row r="1750" spans="1:17" ht="11.1" customHeight="1">
      <c r="A1750" s="31" t="s">
        <v>9556</v>
      </c>
      <c r="B1750" s="187"/>
      <c r="C1750" s="187">
        <v>3</v>
      </c>
      <c r="D1750" s="42" t="s">
        <v>9557</v>
      </c>
      <c r="E1750" s="188">
        <v>32.14</v>
      </c>
      <c r="F1750" s="42" t="s">
        <v>7728</v>
      </c>
      <c r="G1750" s="42">
        <v>57</v>
      </c>
      <c r="H1750" s="42" t="s">
        <v>0</v>
      </c>
      <c r="I1750" s="42" t="s">
        <v>8586</v>
      </c>
      <c r="J1750" s="42" t="s">
        <v>6257</v>
      </c>
      <c r="K1750" s="42" t="s">
        <v>6258</v>
      </c>
      <c r="L1750" s="42" t="s">
        <v>6209</v>
      </c>
      <c r="M1750" s="42">
        <v>1</v>
      </c>
      <c r="N1750" s="43"/>
      <c r="O1750" s="1415"/>
      <c r="P1750" s="1393"/>
      <c r="Q1750" s="1396"/>
    </row>
    <row r="1751" spans="1:17" ht="11.1" customHeight="1">
      <c r="A1751" s="31" t="s">
        <v>9558</v>
      </c>
      <c r="B1751" s="187"/>
      <c r="C1751" s="187">
        <v>43</v>
      </c>
      <c r="D1751" s="42" t="s">
        <v>8608</v>
      </c>
      <c r="E1751" s="188" t="s">
        <v>6262</v>
      </c>
      <c r="F1751" s="42" t="s">
        <v>9559</v>
      </c>
      <c r="G1751" s="42">
        <v>67</v>
      </c>
      <c r="H1751" s="42" t="s">
        <v>0</v>
      </c>
      <c r="I1751" s="42"/>
      <c r="J1751" s="42" t="s">
        <v>6257</v>
      </c>
      <c r="K1751" s="42" t="s">
        <v>6258</v>
      </c>
      <c r="L1751" s="42" t="s">
        <v>6209</v>
      </c>
      <c r="M1751" s="42">
        <v>1</v>
      </c>
      <c r="N1751" s="207"/>
      <c r="O1751" s="1415"/>
      <c r="P1751" s="1393"/>
      <c r="Q1751" s="1396"/>
    </row>
    <row r="1752" spans="1:17" ht="11.1" customHeight="1">
      <c r="A1752" s="31" t="s">
        <v>9560</v>
      </c>
      <c r="B1752" s="187"/>
      <c r="C1752" s="187">
        <v>44</v>
      </c>
      <c r="D1752" s="42" t="s">
        <v>8608</v>
      </c>
      <c r="E1752" s="188" t="s">
        <v>6262</v>
      </c>
      <c r="F1752" s="42" t="s">
        <v>9561</v>
      </c>
      <c r="G1752" s="42">
        <v>49</v>
      </c>
      <c r="H1752" s="42" t="s">
        <v>0</v>
      </c>
      <c r="I1752" s="42"/>
      <c r="J1752" s="42" t="s">
        <v>6257</v>
      </c>
      <c r="K1752" s="42" t="s">
        <v>6671</v>
      </c>
      <c r="L1752" s="42" t="s">
        <v>6209</v>
      </c>
      <c r="M1752" s="42">
        <v>1</v>
      </c>
      <c r="N1752" s="207"/>
      <c r="O1752" s="1415"/>
      <c r="P1752" s="1393"/>
      <c r="Q1752" s="1396"/>
    </row>
    <row r="1753" spans="1:17" ht="11.1" customHeight="1">
      <c r="A1753" s="31" t="s">
        <v>9562</v>
      </c>
      <c r="B1753" s="187"/>
      <c r="C1753" s="187">
        <v>45</v>
      </c>
      <c r="D1753" s="42" t="s">
        <v>8608</v>
      </c>
      <c r="E1753" s="188" t="s">
        <v>6262</v>
      </c>
      <c r="F1753" s="42" t="s">
        <v>9563</v>
      </c>
      <c r="G1753" s="42">
        <v>61</v>
      </c>
      <c r="H1753" s="42" t="s">
        <v>0</v>
      </c>
      <c r="I1753" s="42"/>
      <c r="J1753" s="42" t="s">
        <v>6257</v>
      </c>
      <c r="K1753" s="42" t="s">
        <v>6258</v>
      </c>
      <c r="L1753" s="42" t="s">
        <v>6036</v>
      </c>
      <c r="M1753" s="42"/>
      <c r="N1753" s="207"/>
      <c r="O1753" s="1415"/>
      <c r="P1753" s="1393"/>
      <c r="Q1753" s="1396"/>
    </row>
    <row r="1754" spans="1:17" ht="11.1" customHeight="1">
      <c r="A1754" s="31" t="s">
        <v>9564</v>
      </c>
      <c r="B1754" s="187" t="s">
        <v>8615</v>
      </c>
      <c r="C1754" s="187">
        <v>3</v>
      </c>
      <c r="D1754" s="59" t="s">
        <v>9565</v>
      </c>
      <c r="E1754" s="186" t="s">
        <v>6251</v>
      </c>
      <c r="F1754" s="59" t="s">
        <v>7734</v>
      </c>
      <c r="G1754" s="59">
        <v>64</v>
      </c>
      <c r="H1754" s="59" t="s">
        <v>0</v>
      </c>
      <c r="I1754" s="59" t="s">
        <v>8586</v>
      </c>
      <c r="J1754" s="59" t="s">
        <v>6257</v>
      </c>
      <c r="K1754" s="59" t="s">
        <v>6402</v>
      </c>
      <c r="L1754" s="59" t="s">
        <v>6209</v>
      </c>
      <c r="M1754" s="59">
        <v>9</v>
      </c>
      <c r="N1754" s="43" t="s">
        <v>6260</v>
      </c>
      <c r="O1754" s="1415"/>
      <c r="P1754" s="1393"/>
      <c r="Q1754" s="1396"/>
    </row>
    <row r="1755" spans="1:17" ht="11.1" customHeight="1">
      <c r="A1755" s="31" t="s">
        <v>9566</v>
      </c>
      <c r="B1755" s="187" t="s">
        <v>8615</v>
      </c>
      <c r="C1755" s="187">
        <v>3</v>
      </c>
      <c r="D1755" s="59" t="s">
        <v>9567</v>
      </c>
      <c r="E1755" s="186" t="s">
        <v>6251</v>
      </c>
      <c r="F1755" s="59" t="s">
        <v>7850</v>
      </c>
      <c r="G1755" s="59">
        <v>69</v>
      </c>
      <c r="H1755" s="59" t="s">
        <v>0</v>
      </c>
      <c r="I1755" s="59" t="s">
        <v>8586</v>
      </c>
      <c r="J1755" s="59" t="s">
        <v>6257</v>
      </c>
      <c r="K1755" s="59" t="s">
        <v>6402</v>
      </c>
      <c r="L1755" s="59" t="s">
        <v>6209</v>
      </c>
      <c r="M1755" s="59">
        <v>4</v>
      </c>
      <c r="N1755" s="43" t="s">
        <v>6260</v>
      </c>
      <c r="O1755" s="1415"/>
      <c r="P1755" s="1393"/>
      <c r="Q1755" s="1396"/>
    </row>
    <row r="1756" spans="1:17" ht="11.1" customHeight="1">
      <c r="A1756" s="31" t="s">
        <v>9568</v>
      </c>
      <c r="B1756" s="187" t="s">
        <v>8615</v>
      </c>
      <c r="C1756" s="187">
        <v>3</v>
      </c>
      <c r="D1756" s="59" t="s">
        <v>9569</v>
      </c>
      <c r="E1756" s="186" t="s">
        <v>6251</v>
      </c>
      <c r="F1756" s="59" t="s">
        <v>7985</v>
      </c>
      <c r="G1756" s="59">
        <v>46</v>
      </c>
      <c r="H1756" s="59" t="s">
        <v>0</v>
      </c>
      <c r="I1756" s="59" t="s">
        <v>8586</v>
      </c>
      <c r="J1756" s="59" t="s">
        <v>6257</v>
      </c>
      <c r="K1756" s="59" t="s">
        <v>6286</v>
      </c>
      <c r="L1756" s="59" t="s">
        <v>6209</v>
      </c>
      <c r="M1756" s="59">
        <v>2</v>
      </c>
      <c r="N1756" s="43" t="s">
        <v>6260</v>
      </c>
      <c r="O1756" s="1415"/>
      <c r="P1756" s="1393"/>
      <c r="Q1756" s="1396"/>
    </row>
    <row r="1757" spans="1:17" ht="11.1" customHeight="1">
      <c r="A1757" s="31" t="s">
        <v>9570</v>
      </c>
      <c r="B1757" s="187" t="s">
        <v>8615</v>
      </c>
      <c r="C1757" s="187">
        <v>3</v>
      </c>
      <c r="D1757" s="59" t="s">
        <v>9571</v>
      </c>
      <c r="E1757" s="186" t="s">
        <v>6251</v>
      </c>
      <c r="F1757" s="59" t="s">
        <v>8034</v>
      </c>
      <c r="G1757" s="59">
        <v>65</v>
      </c>
      <c r="H1757" s="59" t="s">
        <v>0</v>
      </c>
      <c r="I1757" s="59" t="s">
        <v>8586</v>
      </c>
      <c r="J1757" s="59" t="s">
        <v>6257</v>
      </c>
      <c r="K1757" s="59" t="s">
        <v>6350</v>
      </c>
      <c r="L1757" s="59" t="s">
        <v>6209</v>
      </c>
      <c r="M1757" s="59">
        <v>5</v>
      </c>
      <c r="N1757" s="43" t="s">
        <v>6260</v>
      </c>
      <c r="O1757" s="1415"/>
      <c r="P1757" s="1393"/>
      <c r="Q1757" s="1396"/>
    </row>
    <row r="1758" spans="1:17" ht="11.1" customHeight="1">
      <c r="A1758" s="44" t="s">
        <v>9572</v>
      </c>
      <c r="B1758" s="187" t="s">
        <v>8615</v>
      </c>
      <c r="C1758" s="190">
        <v>3</v>
      </c>
      <c r="D1758" s="97" t="s">
        <v>9573</v>
      </c>
      <c r="E1758" s="191" t="s">
        <v>6251</v>
      </c>
      <c r="F1758" s="97" t="s">
        <v>8054</v>
      </c>
      <c r="G1758" s="97">
        <v>70</v>
      </c>
      <c r="H1758" s="97" t="s">
        <v>0</v>
      </c>
      <c r="I1758" s="97" t="s">
        <v>8586</v>
      </c>
      <c r="J1758" s="97" t="s">
        <v>6257</v>
      </c>
      <c r="K1758" s="97" t="s">
        <v>6671</v>
      </c>
      <c r="L1758" s="97" t="s">
        <v>6209</v>
      </c>
      <c r="M1758" s="97">
        <v>8</v>
      </c>
      <c r="N1758" s="50" t="s">
        <v>6260</v>
      </c>
      <c r="O1758" s="1416"/>
      <c r="P1758" s="1394"/>
      <c r="Q1758" s="1397"/>
    </row>
    <row r="1759" spans="1:17" ht="11.1" customHeight="1">
      <c r="A1759" s="51" t="s">
        <v>9574</v>
      </c>
      <c r="B1759" s="192" t="s">
        <v>6217</v>
      </c>
      <c r="C1759" s="192">
        <v>1</v>
      </c>
      <c r="D1759" s="56" t="s">
        <v>9571</v>
      </c>
      <c r="E1759" s="193">
        <v>98.08</v>
      </c>
      <c r="F1759" s="56" t="s">
        <v>8036</v>
      </c>
      <c r="G1759" s="56">
        <v>53</v>
      </c>
      <c r="H1759" s="56" t="s">
        <v>0</v>
      </c>
      <c r="I1759" s="56" t="s">
        <v>8586</v>
      </c>
      <c r="J1759" s="56" t="s">
        <v>6253</v>
      </c>
      <c r="K1759" s="56" t="s">
        <v>6053</v>
      </c>
      <c r="L1759" s="56" t="s">
        <v>6036</v>
      </c>
      <c r="M1759" s="56"/>
      <c r="N1759" s="57" t="s">
        <v>6213</v>
      </c>
      <c r="O1759" s="1408">
        <v>11</v>
      </c>
      <c r="P1759" s="1392">
        <v>4733415</v>
      </c>
      <c r="Q1759" s="1395" t="e">
        <f>P1759/SUM($P$557:$P$687)</f>
        <v>#DIV/0!</v>
      </c>
    </row>
    <row r="1760" spans="1:17" ht="11.1" customHeight="1">
      <c r="A1760" s="31" t="s">
        <v>9575</v>
      </c>
      <c r="B1760" s="194" t="s">
        <v>6217</v>
      </c>
      <c r="C1760" s="194">
        <v>1</v>
      </c>
      <c r="D1760" s="36" t="s">
        <v>9565</v>
      </c>
      <c r="E1760" s="195">
        <v>92.01</v>
      </c>
      <c r="F1760" s="36" t="s">
        <v>7736</v>
      </c>
      <c r="G1760" s="36">
        <v>35</v>
      </c>
      <c r="H1760" s="36" t="s">
        <v>6049</v>
      </c>
      <c r="I1760" s="36" t="s">
        <v>8586</v>
      </c>
      <c r="J1760" s="36" t="s">
        <v>6253</v>
      </c>
      <c r="K1760" s="36" t="s">
        <v>6053</v>
      </c>
      <c r="L1760" s="36" t="s">
        <v>6036</v>
      </c>
      <c r="M1760" s="36"/>
      <c r="N1760" s="37" t="s">
        <v>6213</v>
      </c>
      <c r="O1760" s="1409"/>
      <c r="P1760" s="1393"/>
      <c r="Q1760" s="1396"/>
    </row>
    <row r="1761" spans="1:17" ht="11.1" customHeight="1">
      <c r="A1761" s="31" t="s">
        <v>9576</v>
      </c>
      <c r="B1761" s="194" t="s">
        <v>6217</v>
      </c>
      <c r="C1761" s="194">
        <v>1</v>
      </c>
      <c r="D1761" s="36" t="s">
        <v>9573</v>
      </c>
      <c r="E1761" s="195">
        <v>87.29</v>
      </c>
      <c r="F1761" s="36" t="s">
        <v>8056</v>
      </c>
      <c r="G1761" s="36">
        <v>54</v>
      </c>
      <c r="H1761" s="36" t="s">
        <v>0</v>
      </c>
      <c r="I1761" s="36" t="s">
        <v>8586</v>
      </c>
      <c r="J1761" s="36" t="s">
        <v>6253</v>
      </c>
      <c r="K1761" s="36" t="s">
        <v>6254</v>
      </c>
      <c r="L1761" s="36" t="s">
        <v>6036</v>
      </c>
      <c r="M1761" s="36"/>
      <c r="N1761" s="37" t="s">
        <v>6213</v>
      </c>
      <c r="O1761" s="1409"/>
      <c r="P1761" s="1393"/>
      <c r="Q1761" s="1396"/>
    </row>
    <row r="1762" spans="1:17" ht="11.1" customHeight="1">
      <c r="A1762" s="31" t="s">
        <v>9577</v>
      </c>
      <c r="B1762" s="194" t="s">
        <v>6217</v>
      </c>
      <c r="C1762" s="194">
        <v>45</v>
      </c>
      <c r="D1762" s="36" t="s">
        <v>8608</v>
      </c>
      <c r="E1762" s="195" t="s">
        <v>6262</v>
      </c>
      <c r="F1762" s="36" t="s">
        <v>9578</v>
      </c>
      <c r="G1762" s="36">
        <v>53</v>
      </c>
      <c r="H1762" s="36" t="s">
        <v>6049</v>
      </c>
      <c r="I1762" s="36"/>
      <c r="J1762" s="36" t="s">
        <v>6253</v>
      </c>
      <c r="K1762" s="36" t="s">
        <v>6053</v>
      </c>
      <c r="L1762" s="36" t="s">
        <v>6036</v>
      </c>
      <c r="M1762" s="36"/>
      <c r="N1762" s="223"/>
      <c r="O1762" s="1409"/>
      <c r="P1762" s="1393"/>
      <c r="Q1762" s="1396"/>
    </row>
    <row r="1763" spans="1:17" ht="11.1" customHeight="1">
      <c r="A1763" s="31" t="s">
        <v>9579</v>
      </c>
      <c r="B1763" s="194" t="s">
        <v>6217</v>
      </c>
      <c r="C1763" s="194">
        <v>46</v>
      </c>
      <c r="D1763" s="36" t="s">
        <v>8608</v>
      </c>
      <c r="E1763" s="195" t="s">
        <v>6262</v>
      </c>
      <c r="F1763" s="36" t="s">
        <v>9580</v>
      </c>
      <c r="G1763" s="36">
        <v>64</v>
      </c>
      <c r="H1763" s="36" t="s">
        <v>0</v>
      </c>
      <c r="I1763" s="36"/>
      <c r="J1763" s="36" t="s">
        <v>6253</v>
      </c>
      <c r="K1763" s="36" t="s">
        <v>6053</v>
      </c>
      <c r="L1763" s="36" t="s">
        <v>6036</v>
      </c>
      <c r="M1763" s="36"/>
      <c r="N1763" s="223"/>
      <c r="O1763" s="1409"/>
      <c r="P1763" s="1393"/>
      <c r="Q1763" s="1396"/>
    </row>
    <row r="1764" spans="1:17" ht="11.1" customHeight="1">
      <c r="A1764" s="31" t="s">
        <v>9581</v>
      </c>
      <c r="B1764" s="194" t="s">
        <v>6217</v>
      </c>
      <c r="C1764" s="194">
        <v>47</v>
      </c>
      <c r="D1764" s="36" t="s">
        <v>8608</v>
      </c>
      <c r="E1764" s="195" t="s">
        <v>6262</v>
      </c>
      <c r="F1764" s="36" t="s">
        <v>9582</v>
      </c>
      <c r="G1764" s="36">
        <v>57</v>
      </c>
      <c r="H1764" s="36" t="s">
        <v>0</v>
      </c>
      <c r="I1764" s="36"/>
      <c r="J1764" s="36" t="s">
        <v>6253</v>
      </c>
      <c r="K1764" s="36" t="s">
        <v>6053</v>
      </c>
      <c r="L1764" s="36" t="s">
        <v>6036</v>
      </c>
      <c r="M1764" s="36"/>
      <c r="N1764" s="223"/>
      <c r="O1764" s="1409"/>
      <c r="P1764" s="1393"/>
      <c r="Q1764" s="1396"/>
    </row>
    <row r="1765" spans="1:17" ht="11.1" customHeight="1">
      <c r="A1765" s="31" t="s">
        <v>9583</v>
      </c>
      <c r="B1765" s="194" t="s">
        <v>6217</v>
      </c>
      <c r="C1765" s="194">
        <v>48</v>
      </c>
      <c r="D1765" s="36" t="s">
        <v>8608</v>
      </c>
      <c r="E1765" s="195" t="s">
        <v>6262</v>
      </c>
      <c r="F1765" s="36" t="s">
        <v>9584</v>
      </c>
      <c r="G1765" s="36">
        <v>53</v>
      </c>
      <c r="H1765" s="36" t="s">
        <v>0</v>
      </c>
      <c r="I1765" s="36"/>
      <c r="J1765" s="36" t="s">
        <v>6253</v>
      </c>
      <c r="K1765" s="36" t="s">
        <v>6035</v>
      </c>
      <c r="L1765" s="36" t="s">
        <v>6036</v>
      </c>
      <c r="M1765" s="36"/>
      <c r="N1765" s="223"/>
      <c r="O1765" s="1409"/>
      <c r="P1765" s="1393"/>
      <c r="Q1765" s="1396"/>
    </row>
    <row r="1766" spans="1:17" ht="11.1" customHeight="1">
      <c r="A1766" s="31" t="s">
        <v>9585</v>
      </c>
      <c r="B1766" s="194" t="s">
        <v>6217</v>
      </c>
      <c r="C1766" s="194">
        <v>49</v>
      </c>
      <c r="D1766" s="36" t="s">
        <v>8608</v>
      </c>
      <c r="E1766" s="195" t="s">
        <v>6262</v>
      </c>
      <c r="F1766" s="36" t="s">
        <v>9586</v>
      </c>
      <c r="G1766" s="36">
        <v>38</v>
      </c>
      <c r="H1766" s="36" t="s">
        <v>6049</v>
      </c>
      <c r="I1766" s="36"/>
      <c r="J1766" s="36" t="s">
        <v>6253</v>
      </c>
      <c r="K1766" s="36" t="s">
        <v>6053</v>
      </c>
      <c r="L1766" s="36" t="s">
        <v>6036</v>
      </c>
      <c r="M1766" s="36"/>
      <c r="N1766" s="223"/>
      <c r="O1766" s="1409"/>
      <c r="P1766" s="1393"/>
      <c r="Q1766" s="1396"/>
    </row>
    <row r="1767" spans="1:17" ht="11.1" customHeight="1">
      <c r="A1767" s="31" t="s">
        <v>9587</v>
      </c>
      <c r="B1767" s="194" t="s">
        <v>6217</v>
      </c>
      <c r="C1767" s="194">
        <v>50</v>
      </c>
      <c r="D1767" s="36" t="s">
        <v>8608</v>
      </c>
      <c r="E1767" s="195" t="s">
        <v>6262</v>
      </c>
      <c r="F1767" s="36" t="s">
        <v>9588</v>
      </c>
      <c r="G1767" s="36">
        <v>27</v>
      </c>
      <c r="H1767" s="36" t="s">
        <v>0</v>
      </c>
      <c r="I1767" s="36"/>
      <c r="J1767" s="36" t="s">
        <v>6253</v>
      </c>
      <c r="K1767" s="36" t="s">
        <v>6918</v>
      </c>
      <c r="L1767" s="36" t="s">
        <v>6036</v>
      </c>
      <c r="M1767" s="36"/>
      <c r="N1767" s="223"/>
      <c r="O1767" s="1409"/>
      <c r="P1767" s="1393"/>
      <c r="Q1767" s="1396"/>
    </row>
    <row r="1768" spans="1:17" ht="11.1" customHeight="1">
      <c r="A1768" s="31" t="s">
        <v>9589</v>
      </c>
      <c r="B1768" s="194" t="s">
        <v>6217</v>
      </c>
      <c r="C1768" s="194">
        <v>51</v>
      </c>
      <c r="D1768" s="36" t="s">
        <v>8608</v>
      </c>
      <c r="E1768" s="195" t="s">
        <v>6262</v>
      </c>
      <c r="F1768" s="36" t="s">
        <v>9590</v>
      </c>
      <c r="G1768" s="36">
        <v>60</v>
      </c>
      <c r="H1768" s="36" t="s">
        <v>0</v>
      </c>
      <c r="I1768" s="36"/>
      <c r="J1768" s="36" t="s">
        <v>6253</v>
      </c>
      <c r="K1768" s="36" t="s">
        <v>6035</v>
      </c>
      <c r="L1768" s="36" t="s">
        <v>6283</v>
      </c>
      <c r="M1768" s="36">
        <v>1</v>
      </c>
      <c r="N1768" s="223"/>
      <c r="O1768" s="1409"/>
      <c r="P1768" s="1393"/>
      <c r="Q1768" s="1396"/>
    </row>
    <row r="1769" spans="1:17" ht="11.1" customHeight="1">
      <c r="A1769" s="31" t="s">
        <v>9591</v>
      </c>
      <c r="B1769" s="194" t="s">
        <v>6217</v>
      </c>
      <c r="C1769" s="194">
        <v>52</v>
      </c>
      <c r="D1769" s="36" t="s">
        <v>8608</v>
      </c>
      <c r="E1769" s="195" t="s">
        <v>6262</v>
      </c>
      <c r="F1769" s="36" t="s">
        <v>9592</v>
      </c>
      <c r="G1769" s="36">
        <v>57</v>
      </c>
      <c r="H1769" s="36" t="s">
        <v>0</v>
      </c>
      <c r="I1769" s="36"/>
      <c r="J1769" s="36" t="s">
        <v>6253</v>
      </c>
      <c r="K1769" s="36" t="s">
        <v>6053</v>
      </c>
      <c r="L1769" s="36" t="s">
        <v>6036</v>
      </c>
      <c r="M1769" s="36"/>
      <c r="N1769" s="223"/>
      <c r="O1769" s="1409"/>
      <c r="P1769" s="1393"/>
      <c r="Q1769" s="1396"/>
    </row>
    <row r="1770" spans="1:17" ht="11.1" customHeight="1">
      <c r="A1770" s="31" t="s">
        <v>9593</v>
      </c>
      <c r="B1770" s="187" t="s">
        <v>8615</v>
      </c>
      <c r="C1770" s="187">
        <v>1</v>
      </c>
      <c r="D1770" s="36" t="s">
        <v>9505</v>
      </c>
      <c r="E1770" s="195" t="s">
        <v>6251</v>
      </c>
      <c r="F1770" s="36" t="s">
        <v>7668</v>
      </c>
      <c r="G1770" s="36">
        <v>64</v>
      </c>
      <c r="H1770" s="36" t="s">
        <v>0</v>
      </c>
      <c r="I1770" s="36" t="s">
        <v>8586</v>
      </c>
      <c r="J1770" s="36" t="s">
        <v>6253</v>
      </c>
      <c r="K1770" s="36" t="s">
        <v>6918</v>
      </c>
      <c r="L1770" s="36" t="s">
        <v>6209</v>
      </c>
      <c r="M1770" s="36">
        <v>7</v>
      </c>
      <c r="N1770" s="43" t="s">
        <v>6213</v>
      </c>
      <c r="O1770" s="1409"/>
      <c r="P1770" s="1393"/>
      <c r="Q1770" s="1396"/>
    </row>
    <row r="1771" spans="1:17" ht="11.1" customHeight="1">
      <c r="A1771" s="31" t="s">
        <v>9594</v>
      </c>
      <c r="B1771" s="187" t="s">
        <v>8615</v>
      </c>
      <c r="C1771" s="187">
        <v>1</v>
      </c>
      <c r="D1771" s="36" t="s">
        <v>9531</v>
      </c>
      <c r="E1771" s="195" t="s">
        <v>6251</v>
      </c>
      <c r="F1771" s="36" t="s">
        <v>7676</v>
      </c>
      <c r="G1771" s="36">
        <v>47</v>
      </c>
      <c r="H1771" s="36" t="s">
        <v>0</v>
      </c>
      <c r="I1771" s="36" t="s">
        <v>8586</v>
      </c>
      <c r="J1771" s="36" t="s">
        <v>6253</v>
      </c>
      <c r="K1771" s="36" t="s">
        <v>24</v>
      </c>
      <c r="L1771" s="36" t="s">
        <v>6209</v>
      </c>
      <c r="M1771" s="36">
        <v>2</v>
      </c>
      <c r="N1771" s="43" t="s">
        <v>6213</v>
      </c>
      <c r="O1771" s="1409"/>
      <c r="P1771" s="1393"/>
      <c r="Q1771" s="1396"/>
    </row>
    <row r="1772" spans="1:17" ht="11.1" customHeight="1">
      <c r="A1772" s="31" t="s">
        <v>9595</v>
      </c>
      <c r="B1772" s="187" t="s">
        <v>8615</v>
      </c>
      <c r="C1772" s="187">
        <v>1</v>
      </c>
      <c r="D1772" s="36" t="s">
        <v>9543</v>
      </c>
      <c r="E1772" s="195" t="s">
        <v>6251</v>
      </c>
      <c r="F1772" s="36" t="s">
        <v>7682</v>
      </c>
      <c r="G1772" s="36">
        <v>38</v>
      </c>
      <c r="H1772" s="36" t="s">
        <v>0</v>
      </c>
      <c r="I1772" s="36" t="s">
        <v>8586</v>
      </c>
      <c r="J1772" s="36" t="s">
        <v>6253</v>
      </c>
      <c r="K1772" s="36" t="s">
        <v>6918</v>
      </c>
      <c r="L1772" s="36" t="s">
        <v>6209</v>
      </c>
      <c r="M1772" s="36">
        <v>2</v>
      </c>
      <c r="N1772" s="43" t="s">
        <v>6213</v>
      </c>
      <c r="O1772" s="1409"/>
      <c r="P1772" s="1393"/>
      <c r="Q1772" s="1396"/>
    </row>
    <row r="1773" spans="1:17" ht="11.1" customHeight="1">
      <c r="A1773" s="31" t="s">
        <v>9596</v>
      </c>
      <c r="B1773" s="187" t="s">
        <v>8615</v>
      </c>
      <c r="C1773" s="187">
        <v>1</v>
      </c>
      <c r="D1773" s="36" t="s">
        <v>9541</v>
      </c>
      <c r="E1773" s="195" t="s">
        <v>6251</v>
      </c>
      <c r="F1773" s="36" t="s">
        <v>7690</v>
      </c>
      <c r="G1773" s="36">
        <v>65</v>
      </c>
      <c r="H1773" s="36" t="s">
        <v>0</v>
      </c>
      <c r="I1773" s="36" t="s">
        <v>8586</v>
      </c>
      <c r="J1773" s="36" t="s">
        <v>6253</v>
      </c>
      <c r="K1773" s="36" t="s">
        <v>24</v>
      </c>
      <c r="L1773" s="36" t="s">
        <v>6209</v>
      </c>
      <c r="M1773" s="36">
        <v>2</v>
      </c>
      <c r="N1773" s="43" t="s">
        <v>6213</v>
      </c>
      <c r="O1773" s="1409"/>
      <c r="P1773" s="1393"/>
      <c r="Q1773" s="1396"/>
    </row>
    <row r="1774" spans="1:17" ht="11.1" customHeight="1">
      <c r="A1774" s="31" t="s">
        <v>9597</v>
      </c>
      <c r="B1774" s="187" t="s">
        <v>8615</v>
      </c>
      <c r="C1774" s="187">
        <v>1</v>
      </c>
      <c r="D1774" s="36" t="s">
        <v>9497</v>
      </c>
      <c r="E1774" s="195" t="s">
        <v>6251</v>
      </c>
      <c r="F1774" s="36" t="s">
        <v>7698</v>
      </c>
      <c r="G1774" s="36">
        <v>50</v>
      </c>
      <c r="H1774" s="36" t="s">
        <v>0</v>
      </c>
      <c r="I1774" s="36" t="s">
        <v>8586</v>
      </c>
      <c r="J1774" s="36" t="s">
        <v>6253</v>
      </c>
      <c r="K1774" s="36" t="s">
        <v>6053</v>
      </c>
      <c r="L1774" s="36" t="s">
        <v>6036</v>
      </c>
      <c r="M1774" s="36"/>
      <c r="N1774" s="43" t="s">
        <v>6213</v>
      </c>
      <c r="O1774" s="1409"/>
      <c r="P1774" s="1393"/>
      <c r="Q1774" s="1396"/>
    </row>
    <row r="1775" spans="1:17" ht="11.1" customHeight="1">
      <c r="A1775" s="31" t="s">
        <v>9598</v>
      </c>
      <c r="B1775" s="187" t="s">
        <v>8615</v>
      </c>
      <c r="C1775" s="187">
        <v>1</v>
      </c>
      <c r="D1775" s="36" t="s">
        <v>9553</v>
      </c>
      <c r="E1775" s="195" t="s">
        <v>6251</v>
      </c>
      <c r="F1775" s="36" t="s">
        <v>7706</v>
      </c>
      <c r="G1775" s="36">
        <v>47</v>
      </c>
      <c r="H1775" s="36" t="s">
        <v>0</v>
      </c>
      <c r="I1775" s="36" t="s">
        <v>8586</v>
      </c>
      <c r="J1775" s="36" t="s">
        <v>6253</v>
      </c>
      <c r="K1775" s="36" t="s">
        <v>24</v>
      </c>
      <c r="L1775" s="36" t="s">
        <v>6209</v>
      </c>
      <c r="M1775" s="36">
        <v>5</v>
      </c>
      <c r="N1775" s="43" t="s">
        <v>6213</v>
      </c>
      <c r="O1775" s="1409"/>
      <c r="P1775" s="1393"/>
      <c r="Q1775" s="1396"/>
    </row>
    <row r="1776" spans="1:17" ht="11.1" customHeight="1">
      <c r="A1776" s="31" t="s">
        <v>9599</v>
      </c>
      <c r="B1776" s="187" t="s">
        <v>8615</v>
      </c>
      <c r="C1776" s="187">
        <v>1</v>
      </c>
      <c r="D1776" s="36" t="s">
        <v>9539</v>
      </c>
      <c r="E1776" s="195" t="s">
        <v>6251</v>
      </c>
      <c r="F1776" s="36" t="s">
        <v>7716</v>
      </c>
      <c r="G1776" s="36">
        <v>35</v>
      </c>
      <c r="H1776" s="36" t="s">
        <v>0</v>
      </c>
      <c r="I1776" s="36" t="s">
        <v>8586</v>
      </c>
      <c r="J1776" s="36" t="s">
        <v>6253</v>
      </c>
      <c r="K1776" s="36" t="s">
        <v>6053</v>
      </c>
      <c r="L1776" s="36" t="s">
        <v>6209</v>
      </c>
      <c r="M1776" s="36">
        <v>2</v>
      </c>
      <c r="N1776" s="43" t="s">
        <v>6213</v>
      </c>
      <c r="O1776" s="1409"/>
      <c r="P1776" s="1393"/>
      <c r="Q1776" s="1396"/>
    </row>
    <row r="1777" spans="1:17" ht="11.1" customHeight="1">
      <c r="A1777" s="31" t="s">
        <v>9600</v>
      </c>
      <c r="B1777" s="187" t="s">
        <v>8615</v>
      </c>
      <c r="C1777" s="187">
        <v>1</v>
      </c>
      <c r="D1777" s="36" t="s">
        <v>9557</v>
      </c>
      <c r="E1777" s="195" t="s">
        <v>6251</v>
      </c>
      <c r="F1777" s="36" t="s">
        <v>7724</v>
      </c>
      <c r="G1777" s="36">
        <v>42</v>
      </c>
      <c r="H1777" s="36" t="s">
        <v>0</v>
      </c>
      <c r="I1777" s="36" t="s">
        <v>8586</v>
      </c>
      <c r="J1777" s="36" t="s">
        <v>6253</v>
      </c>
      <c r="K1777" s="36" t="s">
        <v>6053</v>
      </c>
      <c r="L1777" s="36" t="s">
        <v>6209</v>
      </c>
      <c r="M1777" s="36">
        <v>1</v>
      </c>
      <c r="N1777" s="43"/>
      <c r="O1777" s="1409"/>
      <c r="P1777" s="1393"/>
      <c r="Q1777" s="1396"/>
    </row>
    <row r="1778" spans="1:17" ht="11.1" customHeight="1">
      <c r="A1778" s="31" t="s">
        <v>9601</v>
      </c>
      <c r="B1778" s="187" t="s">
        <v>8615</v>
      </c>
      <c r="C1778" s="187">
        <v>1</v>
      </c>
      <c r="D1778" s="36" t="s">
        <v>9545</v>
      </c>
      <c r="E1778" s="195" t="s">
        <v>6251</v>
      </c>
      <c r="F1778" s="36" t="s">
        <v>7740</v>
      </c>
      <c r="G1778" s="36">
        <v>47</v>
      </c>
      <c r="H1778" s="36" t="s">
        <v>0</v>
      </c>
      <c r="I1778" s="36" t="s">
        <v>8586</v>
      </c>
      <c r="J1778" s="36" t="s">
        <v>6253</v>
      </c>
      <c r="K1778" s="36" t="s">
        <v>24</v>
      </c>
      <c r="L1778" s="36" t="s">
        <v>6209</v>
      </c>
      <c r="M1778" s="36">
        <v>3</v>
      </c>
      <c r="N1778" s="43" t="s">
        <v>6213</v>
      </c>
      <c r="O1778" s="1409"/>
      <c r="P1778" s="1393"/>
      <c r="Q1778" s="1396"/>
    </row>
    <row r="1779" spans="1:17" ht="11.1" customHeight="1">
      <c r="A1779" s="31" t="s">
        <v>9602</v>
      </c>
      <c r="B1779" s="187" t="s">
        <v>8615</v>
      </c>
      <c r="C1779" s="187">
        <v>1</v>
      </c>
      <c r="D1779" s="36" t="s">
        <v>9519</v>
      </c>
      <c r="E1779" s="195" t="s">
        <v>6251</v>
      </c>
      <c r="F1779" s="36" t="s">
        <v>7748</v>
      </c>
      <c r="G1779" s="36">
        <v>38</v>
      </c>
      <c r="H1779" s="36" t="s">
        <v>0</v>
      </c>
      <c r="I1779" s="36" t="s">
        <v>8586</v>
      </c>
      <c r="J1779" s="36" t="s">
        <v>6253</v>
      </c>
      <c r="K1779" s="36" t="s">
        <v>6053</v>
      </c>
      <c r="L1779" s="36" t="s">
        <v>6036</v>
      </c>
      <c r="M1779" s="36"/>
      <c r="N1779" s="43" t="s">
        <v>6213</v>
      </c>
      <c r="O1779" s="1409"/>
      <c r="P1779" s="1393"/>
      <c r="Q1779" s="1396"/>
    </row>
    <row r="1780" spans="1:17" ht="11.1" customHeight="1">
      <c r="A1780" s="31" t="s">
        <v>9603</v>
      </c>
      <c r="B1780" s="187" t="s">
        <v>8615</v>
      </c>
      <c r="C1780" s="187">
        <v>1</v>
      </c>
      <c r="D1780" s="36" t="s">
        <v>9555</v>
      </c>
      <c r="E1780" s="195" t="s">
        <v>6251</v>
      </c>
      <c r="F1780" s="36" t="s">
        <v>7758</v>
      </c>
      <c r="G1780" s="36">
        <v>41</v>
      </c>
      <c r="H1780" s="36" t="s">
        <v>0</v>
      </c>
      <c r="I1780" s="36" t="s">
        <v>8586</v>
      </c>
      <c r="J1780" s="36" t="s">
        <v>6253</v>
      </c>
      <c r="K1780" s="36" t="s">
        <v>6053</v>
      </c>
      <c r="L1780" s="36" t="s">
        <v>6036</v>
      </c>
      <c r="M1780" s="36"/>
      <c r="N1780" s="43"/>
      <c r="O1780" s="1409"/>
      <c r="P1780" s="1393"/>
      <c r="Q1780" s="1396"/>
    </row>
    <row r="1781" spans="1:17" ht="11.1" customHeight="1">
      <c r="A1781" s="31" t="s">
        <v>9604</v>
      </c>
      <c r="B1781" s="187" t="s">
        <v>8615</v>
      </c>
      <c r="C1781" s="187">
        <v>1</v>
      </c>
      <c r="D1781" s="36" t="s">
        <v>9605</v>
      </c>
      <c r="E1781" s="195" t="s">
        <v>6251</v>
      </c>
      <c r="F1781" s="36" t="s">
        <v>7768</v>
      </c>
      <c r="G1781" s="36">
        <v>40</v>
      </c>
      <c r="H1781" s="36" t="s">
        <v>0</v>
      </c>
      <c r="I1781" s="36" t="s">
        <v>8586</v>
      </c>
      <c r="J1781" s="36" t="s">
        <v>6253</v>
      </c>
      <c r="K1781" s="36" t="s">
        <v>6053</v>
      </c>
      <c r="L1781" s="36" t="s">
        <v>6036</v>
      </c>
      <c r="M1781" s="36"/>
      <c r="N1781" s="43" t="s">
        <v>6213</v>
      </c>
      <c r="O1781" s="1409"/>
      <c r="P1781" s="1393"/>
      <c r="Q1781" s="1396"/>
    </row>
    <row r="1782" spans="1:17" ht="11.1" customHeight="1">
      <c r="A1782" s="31" t="s">
        <v>9606</v>
      </c>
      <c r="B1782" s="187" t="s">
        <v>8615</v>
      </c>
      <c r="C1782" s="187">
        <v>1</v>
      </c>
      <c r="D1782" s="36" t="s">
        <v>9507</v>
      </c>
      <c r="E1782" s="195" t="s">
        <v>6251</v>
      </c>
      <c r="F1782" s="36" t="s">
        <v>7776</v>
      </c>
      <c r="G1782" s="36">
        <v>47</v>
      </c>
      <c r="H1782" s="36" t="s">
        <v>0</v>
      </c>
      <c r="I1782" s="36" t="s">
        <v>8586</v>
      </c>
      <c r="J1782" s="36" t="s">
        <v>6253</v>
      </c>
      <c r="K1782" s="36" t="s">
        <v>6918</v>
      </c>
      <c r="L1782" s="36" t="s">
        <v>6283</v>
      </c>
      <c r="M1782" s="36">
        <v>3</v>
      </c>
      <c r="N1782" s="43" t="s">
        <v>6213</v>
      </c>
      <c r="O1782" s="1409"/>
      <c r="P1782" s="1393"/>
      <c r="Q1782" s="1396"/>
    </row>
    <row r="1783" spans="1:17" ht="11.1" customHeight="1">
      <c r="A1783" s="31" t="s">
        <v>9607</v>
      </c>
      <c r="B1783" s="187" t="s">
        <v>8615</v>
      </c>
      <c r="C1783" s="187">
        <v>1</v>
      </c>
      <c r="D1783" s="36" t="s">
        <v>9608</v>
      </c>
      <c r="E1783" s="195" t="s">
        <v>6251</v>
      </c>
      <c r="F1783" s="36" t="s">
        <v>7784</v>
      </c>
      <c r="G1783" s="36">
        <v>61</v>
      </c>
      <c r="H1783" s="36" t="s">
        <v>0</v>
      </c>
      <c r="I1783" s="36" t="s">
        <v>8586</v>
      </c>
      <c r="J1783" s="36" t="s">
        <v>6253</v>
      </c>
      <c r="K1783" s="36" t="s">
        <v>6254</v>
      </c>
      <c r="L1783" s="36" t="s">
        <v>6283</v>
      </c>
      <c r="M1783" s="36">
        <v>1</v>
      </c>
      <c r="N1783" s="43" t="s">
        <v>6213</v>
      </c>
      <c r="O1783" s="1409"/>
      <c r="P1783" s="1393"/>
      <c r="Q1783" s="1396"/>
    </row>
    <row r="1784" spans="1:17" ht="11.1" customHeight="1">
      <c r="A1784" s="31" t="s">
        <v>9609</v>
      </c>
      <c r="B1784" s="187" t="s">
        <v>8615</v>
      </c>
      <c r="C1784" s="187">
        <v>1</v>
      </c>
      <c r="D1784" s="36" t="s">
        <v>9610</v>
      </c>
      <c r="E1784" s="195" t="s">
        <v>6251</v>
      </c>
      <c r="F1784" s="36" t="s">
        <v>7792</v>
      </c>
      <c r="G1784" s="36">
        <v>57</v>
      </c>
      <c r="H1784" s="36" t="s">
        <v>0</v>
      </c>
      <c r="I1784" s="36" t="s">
        <v>8586</v>
      </c>
      <c r="J1784" s="36" t="s">
        <v>6253</v>
      </c>
      <c r="K1784" s="36" t="s">
        <v>6035</v>
      </c>
      <c r="L1784" s="36" t="s">
        <v>6036</v>
      </c>
      <c r="M1784" s="36"/>
      <c r="N1784" s="43" t="s">
        <v>6213</v>
      </c>
      <c r="O1784" s="1409"/>
      <c r="P1784" s="1393"/>
      <c r="Q1784" s="1396"/>
    </row>
    <row r="1785" spans="1:17" ht="11.1" customHeight="1">
      <c r="A1785" s="31" t="s">
        <v>9611</v>
      </c>
      <c r="B1785" s="187" t="s">
        <v>8615</v>
      </c>
      <c r="C1785" s="187">
        <v>1</v>
      </c>
      <c r="D1785" s="36" t="s">
        <v>9529</v>
      </c>
      <c r="E1785" s="195" t="s">
        <v>6251</v>
      </c>
      <c r="F1785" s="36" t="s">
        <v>7800</v>
      </c>
      <c r="G1785" s="36">
        <v>59</v>
      </c>
      <c r="H1785" s="36" t="s">
        <v>0</v>
      </c>
      <c r="I1785" s="36" t="s">
        <v>8586</v>
      </c>
      <c r="J1785" s="36" t="s">
        <v>6253</v>
      </c>
      <c r="K1785" s="36" t="s">
        <v>6207</v>
      </c>
      <c r="L1785" s="36" t="s">
        <v>6209</v>
      </c>
      <c r="M1785" s="36">
        <v>5</v>
      </c>
      <c r="N1785" s="43" t="s">
        <v>6465</v>
      </c>
      <c r="O1785" s="1409"/>
      <c r="P1785" s="1393"/>
      <c r="Q1785" s="1396"/>
    </row>
    <row r="1786" spans="1:17" ht="11.1" customHeight="1">
      <c r="A1786" s="31" t="s">
        <v>9612</v>
      </c>
      <c r="B1786" s="187" t="s">
        <v>8615</v>
      </c>
      <c r="C1786" s="187">
        <v>1</v>
      </c>
      <c r="D1786" s="36" t="s">
        <v>9517</v>
      </c>
      <c r="E1786" s="195" t="s">
        <v>6251</v>
      </c>
      <c r="F1786" s="36" t="s">
        <v>7808</v>
      </c>
      <c r="G1786" s="36">
        <v>68</v>
      </c>
      <c r="H1786" s="36" t="s">
        <v>0</v>
      </c>
      <c r="I1786" s="36" t="s">
        <v>8586</v>
      </c>
      <c r="J1786" s="36" t="s">
        <v>6253</v>
      </c>
      <c r="K1786" s="36" t="s">
        <v>6918</v>
      </c>
      <c r="L1786" s="36" t="s">
        <v>6283</v>
      </c>
      <c r="M1786" s="36">
        <v>10</v>
      </c>
      <c r="N1786" s="43" t="s">
        <v>6213</v>
      </c>
      <c r="O1786" s="1409"/>
      <c r="P1786" s="1393"/>
      <c r="Q1786" s="1396"/>
    </row>
    <row r="1787" spans="1:17" ht="11.1" customHeight="1">
      <c r="A1787" s="31" t="s">
        <v>9613</v>
      </c>
      <c r="B1787" s="187" t="s">
        <v>8615</v>
      </c>
      <c r="C1787" s="187">
        <v>1</v>
      </c>
      <c r="D1787" s="36" t="s">
        <v>9525</v>
      </c>
      <c r="E1787" s="195" t="s">
        <v>6251</v>
      </c>
      <c r="F1787" s="36" t="s">
        <v>7816</v>
      </c>
      <c r="G1787" s="36">
        <v>46</v>
      </c>
      <c r="H1787" s="36" t="s">
        <v>0</v>
      </c>
      <c r="I1787" s="36" t="s">
        <v>8586</v>
      </c>
      <c r="J1787" s="36" t="s">
        <v>6253</v>
      </c>
      <c r="K1787" s="36" t="s">
        <v>24</v>
      </c>
      <c r="L1787" s="36" t="s">
        <v>6283</v>
      </c>
      <c r="M1787" s="36">
        <v>2</v>
      </c>
      <c r="N1787" s="43" t="s">
        <v>6213</v>
      </c>
      <c r="O1787" s="1409"/>
      <c r="P1787" s="1393"/>
      <c r="Q1787" s="1396"/>
    </row>
    <row r="1788" spans="1:17" ht="11.1" customHeight="1">
      <c r="A1788" s="31" t="s">
        <v>9614</v>
      </c>
      <c r="B1788" s="187" t="s">
        <v>8615</v>
      </c>
      <c r="C1788" s="187">
        <v>1</v>
      </c>
      <c r="D1788" s="36" t="s">
        <v>9551</v>
      </c>
      <c r="E1788" s="195" t="s">
        <v>6251</v>
      </c>
      <c r="F1788" s="36" t="s">
        <v>7834</v>
      </c>
      <c r="G1788" s="36">
        <v>60</v>
      </c>
      <c r="H1788" s="36" t="s">
        <v>0</v>
      </c>
      <c r="I1788" s="36" t="s">
        <v>8586</v>
      </c>
      <c r="J1788" s="36" t="s">
        <v>6253</v>
      </c>
      <c r="K1788" s="36" t="s">
        <v>6254</v>
      </c>
      <c r="L1788" s="36" t="s">
        <v>6209</v>
      </c>
      <c r="M1788" s="36">
        <v>4</v>
      </c>
      <c r="N1788" s="43" t="s">
        <v>6465</v>
      </c>
      <c r="O1788" s="1409"/>
      <c r="P1788" s="1393"/>
      <c r="Q1788" s="1396"/>
    </row>
    <row r="1789" spans="1:17" ht="11.1" customHeight="1">
      <c r="A1789" s="31" t="s">
        <v>9615</v>
      </c>
      <c r="B1789" s="187" t="s">
        <v>8615</v>
      </c>
      <c r="C1789" s="187">
        <v>1</v>
      </c>
      <c r="D1789" s="36" t="s">
        <v>9513</v>
      </c>
      <c r="E1789" s="195" t="s">
        <v>6251</v>
      </c>
      <c r="F1789" s="36" t="s">
        <v>7842</v>
      </c>
      <c r="G1789" s="36">
        <v>50</v>
      </c>
      <c r="H1789" s="36" t="s">
        <v>0</v>
      </c>
      <c r="I1789" s="36" t="s">
        <v>8586</v>
      </c>
      <c r="J1789" s="36" t="s">
        <v>6253</v>
      </c>
      <c r="K1789" s="36" t="s">
        <v>6207</v>
      </c>
      <c r="L1789" s="36" t="s">
        <v>6283</v>
      </c>
      <c r="M1789" s="36">
        <v>4</v>
      </c>
      <c r="N1789" s="43" t="s">
        <v>6213</v>
      </c>
      <c r="O1789" s="1409"/>
      <c r="P1789" s="1393"/>
      <c r="Q1789" s="1396"/>
    </row>
    <row r="1790" spans="1:17" ht="11.1" customHeight="1">
      <c r="A1790" s="31" t="s">
        <v>9616</v>
      </c>
      <c r="B1790" s="187" t="s">
        <v>8615</v>
      </c>
      <c r="C1790" s="187">
        <v>1</v>
      </c>
      <c r="D1790" s="36" t="s">
        <v>9501</v>
      </c>
      <c r="E1790" s="195" t="s">
        <v>6251</v>
      </c>
      <c r="F1790" s="36" t="s">
        <v>7859</v>
      </c>
      <c r="G1790" s="36">
        <v>46</v>
      </c>
      <c r="H1790" s="36" t="s">
        <v>0</v>
      </c>
      <c r="I1790" s="36" t="s">
        <v>8586</v>
      </c>
      <c r="J1790" s="36" t="s">
        <v>6253</v>
      </c>
      <c r="K1790" s="36" t="s">
        <v>6053</v>
      </c>
      <c r="L1790" s="36" t="s">
        <v>6036</v>
      </c>
      <c r="M1790" s="36"/>
      <c r="N1790" s="43" t="s">
        <v>6213</v>
      </c>
      <c r="O1790" s="1409"/>
      <c r="P1790" s="1393"/>
      <c r="Q1790" s="1396"/>
    </row>
    <row r="1791" spans="1:17" ht="11.1" customHeight="1">
      <c r="A1791" s="31" t="s">
        <v>9617</v>
      </c>
      <c r="B1791" s="187" t="s">
        <v>8615</v>
      </c>
      <c r="C1791" s="187">
        <v>1</v>
      </c>
      <c r="D1791" s="36" t="s">
        <v>9491</v>
      </c>
      <c r="E1791" s="195" t="s">
        <v>6251</v>
      </c>
      <c r="F1791" s="36" t="s">
        <v>7869</v>
      </c>
      <c r="G1791" s="36">
        <v>38</v>
      </c>
      <c r="H1791" s="36" t="s">
        <v>0</v>
      </c>
      <c r="I1791" s="36" t="s">
        <v>8586</v>
      </c>
      <c r="J1791" s="36" t="s">
        <v>6253</v>
      </c>
      <c r="K1791" s="36" t="s">
        <v>6035</v>
      </c>
      <c r="L1791" s="36" t="s">
        <v>6036</v>
      </c>
      <c r="M1791" s="36"/>
      <c r="N1791" s="43" t="s">
        <v>6213</v>
      </c>
      <c r="O1791" s="1409"/>
      <c r="P1791" s="1393"/>
      <c r="Q1791" s="1396"/>
    </row>
    <row r="1792" spans="1:17" ht="11.1" customHeight="1">
      <c r="A1792" s="31" t="s">
        <v>9618</v>
      </c>
      <c r="B1792" s="187" t="s">
        <v>8615</v>
      </c>
      <c r="C1792" s="187">
        <v>1</v>
      </c>
      <c r="D1792" s="36" t="s">
        <v>9619</v>
      </c>
      <c r="E1792" s="195" t="s">
        <v>6251</v>
      </c>
      <c r="F1792" s="36" t="s">
        <v>7877</v>
      </c>
      <c r="G1792" s="36">
        <v>38</v>
      </c>
      <c r="H1792" s="36" t="s">
        <v>0</v>
      </c>
      <c r="I1792" s="36" t="s">
        <v>8586</v>
      </c>
      <c r="J1792" s="36" t="s">
        <v>6253</v>
      </c>
      <c r="K1792" s="36" t="s">
        <v>6053</v>
      </c>
      <c r="L1792" s="36" t="s">
        <v>6036</v>
      </c>
      <c r="M1792" s="36"/>
      <c r="N1792" s="43" t="s">
        <v>6213</v>
      </c>
      <c r="O1792" s="1409"/>
      <c r="P1792" s="1393"/>
      <c r="Q1792" s="1396"/>
    </row>
    <row r="1793" spans="1:17" ht="11.1" customHeight="1">
      <c r="A1793" s="31" t="s">
        <v>9620</v>
      </c>
      <c r="B1793" s="187" t="s">
        <v>8615</v>
      </c>
      <c r="C1793" s="187">
        <v>1</v>
      </c>
      <c r="D1793" s="36" t="s">
        <v>9509</v>
      </c>
      <c r="E1793" s="195" t="s">
        <v>6251</v>
      </c>
      <c r="F1793" s="36" t="s">
        <v>7885</v>
      </c>
      <c r="G1793" s="36">
        <v>61</v>
      </c>
      <c r="H1793" s="36" t="s">
        <v>0</v>
      </c>
      <c r="I1793" s="36" t="s">
        <v>8586</v>
      </c>
      <c r="J1793" s="36" t="s">
        <v>6253</v>
      </c>
      <c r="K1793" s="36" t="s">
        <v>6053</v>
      </c>
      <c r="L1793" s="36" t="s">
        <v>6283</v>
      </c>
      <c r="M1793" s="36">
        <v>1</v>
      </c>
      <c r="N1793" s="43" t="s">
        <v>6213</v>
      </c>
      <c r="O1793" s="1409"/>
      <c r="P1793" s="1393"/>
      <c r="Q1793" s="1396"/>
    </row>
    <row r="1794" spans="1:17" ht="11.1" customHeight="1">
      <c r="A1794" s="31" t="s">
        <v>9621</v>
      </c>
      <c r="B1794" s="187" t="s">
        <v>8615</v>
      </c>
      <c r="C1794" s="187">
        <v>1</v>
      </c>
      <c r="D1794" s="36" t="s">
        <v>9622</v>
      </c>
      <c r="E1794" s="195" t="s">
        <v>6251</v>
      </c>
      <c r="F1794" s="36" t="s">
        <v>7894</v>
      </c>
      <c r="G1794" s="36">
        <v>58</v>
      </c>
      <c r="H1794" s="36" t="s">
        <v>0</v>
      </c>
      <c r="I1794" s="36" t="s">
        <v>8586</v>
      </c>
      <c r="J1794" s="36" t="s">
        <v>6253</v>
      </c>
      <c r="K1794" s="36" t="s">
        <v>6254</v>
      </c>
      <c r="L1794" s="36" t="s">
        <v>6283</v>
      </c>
      <c r="M1794" s="36">
        <v>1</v>
      </c>
      <c r="N1794" s="43" t="s">
        <v>6213</v>
      </c>
      <c r="O1794" s="1409"/>
      <c r="P1794" s="1393"/>
      <c r="Q1794" s="1396"/>
    </row>
    <row r="1795" spans="1:17" ht="11.1" customHeight="1">
      <c r="A1795" s="31" t="s">
        <v>9623</v>
      </c>
      <c r="B1795" s="187" t="s">
        <v>8615</v>
      </c>
      <c r="C1795" s="187">
        <v>1</v>
      </c>
      <c r="D1795" s="36" t="s">
        <v>9527</v>
      </c>
      <c r="E1795" s="195" t="s">
        <v>6251</v>
      </c>
      <c r="F1795" s="36" t="s">
        <v>7902</v>
      </c>
      <c r="G1795" s="36">
        <v>40</v>
      </c>
      <c r="H1795" s="36" t="s">
        <v>0</v>
      </c>
      <c r="I1795" s="36" t="s">
        <v>8586</v>
      </c>
      <c r="J1795" s="36" t="s">
        <v>6253</v>
      </c>
      <c r="K1795" s="36" t="s">
        <v>6053</v>
      </c>
      <c r="L1795" s="36" t="s">
        <v>6209</v>
      </c>
      <c r="M1795" s="36">
        <v>2</v>
      </c>
      <c r="N1795" s="43" t="s">
        <v>6465</v>
      </c>
      <c r="O1795" s="1409"/>
      <c r="P1795" s="1393"/>
      <c r="Q1795" s="1396"/>
    </row>
    <row r="1796" spans="1:17" ht="11.1" customHeight="1">
      <c r="A1796" s="31" t="s">
        <v>9624</v>
      </c>
      <c r="B1796" s="187" t="s">
        <v>8615</v>
      </c>
      <c r="C1796" s="187">
        <v>1</v>
      </c>
      <c r="D1796" s="36" t="s">
        <v>9521</v>
      </c>
      <c r="E1796" s="195" t="s">
        <v>6251</v>
      </c>
      <c r="F1796" s="36" t="s">
        <v>7910</v>
      </c>
      <c r="G1796" s="36">
        <v>43</v>
      </c>
      <c r="H1796" s="36" t="s">
        <v>6049</v>
      </c>
      <c r="I1796" s="36" t="s">
        <v>8586</v>
      </c>
      <c r="J1796" s="36" t="s">
        <v>6253</v>
      </c>
      <c r="K1796" s="36" t="s">
        <v>6053</v>
      </c>
      <c r="L1796" s="36" t="s">
        <v>6036</v>
      </c>
      <c r="M1796" s="36"/>
      <c r="N1796" s="43" t="s">
        <v>6213</v>
      </c>
      <c r="O1796" s="1409"/>
      <c r="P1796" s="1393"/>
      <c r="Q1796" s="1396"/>
    </row>
    <row r="1797" spans="1:17" ht="11.1" customHeight="1">
      <c r="A1797" s="31" t="s">
        <v>9625</v>
      </c>
      <c r="B1797" s="187" t="s">
        <v>8615</v>
      </c>
      <c r="C1797" s="187">
        <v>1</v>
      </c>
      <c r="D1797" s="36" t="s">
        <v>9626</v>
      </c>
      <c r="E1797" s="195" t="s">
        <v>6251</v>
      </c>
      <c r="F1797" s="36" t="s">
        <v>7922</v>
      </c>
      <c r="G1797" s="36">
        <v>52</v>
      </c>
      <c r="H1797" s="36" t="s">
        <v>0</v>
      </c>
      <c r="I1797" s="36" t="s">
        <v>8586</v>
      </c>
      <c r="J1797" s="36" t="s">
        <v>6253</v>
      </c>
      <c r="K1797" s="36" t="s">
        <v>6918</v>
      </c>
      <c r="L1797" s="36" t="s">
        <v>6036</v>
      </c>
      <c r="M1797" s="36"/>
      <c r="N1797" s="43" t="s">
        <v>6213</v>
      </c>
      <c r="O1797" s="1409"/>
      <c r="P1797" s="1393"/>
      <c r="Q1797" s="1396"/>
    </row>
    <row r="1798" spans="1:17" ht="11.1" customHeight="1">
      <c r="A1798" s="31" t="s">
        <v>9627</v>
      </c>
      <c r="B1798" s="187" t="s">
        <v>8615</v>
      </c>
      <c r="C1798" s="187">
        <v>1</v>
      </c>
      <c r="D1798" s="36" t="s">
        <v>9523</v>
      </c>
      <c r="E1798" s="195" t="s">
        <v>6251</v>
      </c>
      <c r="F1798" s="36" t="s">
        <v>7930</v>
      </c>
      <c r="G1798" s="36">
        <v>70</v>
      </c>
      <c r="H1798" s="36" t="s">
        <v>0</v>
      </c>
      <c r="I1798" s="36" t="s">
        <v>8586</v>
      </c>
      <c r="J1798" s="36" t="s">
        <v>6253</v>
      </c>
      <c r="K1798" s="36" t="s">
        <v>7931</v>
      </c>
      <c r="L1798" s="36" t="s">
        <v>6209</v>
      </c>
      <c r="M1798" s="36">
        <v>6</v>
      </c>
      <c r="N1798" s="43" t="s">
        <v>6213</v>
      </c>
      <c r="O1798" s="1409"/>
      <c r="P1798" s="1393"/>
      <c r="Q1798" s="1396"/>
    </row>
    <row r="1799" spans="1:17" ht="11.1" customHeight="1">
      <c r="A1799" s="31" t="s">
        <v>9628</v>
      </c>
      <c r="B1799" s="187" t="s">
        <v>8615</v>
      </c>
      <c r="C1799" s="187">
        <v>1</v>
      </c>
      <c r="D1799" s="36" t="s">
        <v>9629</v>
      </c>
      <c r="E1799" s="195" t="s">
        <v>6251</v>
      </c>
      <c r="F1799" s="36" t="s">
        <v>7943</v>
      </c>
      <c r="G1799" s="36">
        <v>45</v>
      </c>
      <c r="H1799" s="36" t="s">
        <v>0</v>
      </c>
      <c r="I1799" s="36" t="s">
        <v>8586</v>
      </c>
      <c r="J1799" s="36" t="s">
        <v>6253</v>
      </c>
      <c r="K1799" s="36" t="s">
        <v>6053</v>
      </c>
      <c r="L1799" s="36" t="s">
        <v>6036</v>
      </c>
      <c r="M1799" s="36"/>
      <c r="N1799" s="43" t="s">
        <v>6213</v>
      </c>
      <c r="O1799" s="1409"/>
      <c r="P1799" s="1393"/>
      <c r="Q1799" s="1396"/>
    </row>
    <row r="1800" spans="1:17" ht="11.1" customHeight="1">
      <c r="A1800" s="31" t="s">
        <v>9630</v>
      </c>
      <c r="B1800" s="187" t="s">
        <v>8615</v>
      </c>
      <c r="C1800" s="187">
        <v>1</v>
      </c>
      <c r="D1800" s="36" t="s">
        <v>9499</v>
      </c>
      <c r="E1800" s="195" t="s">
        <v>6251</v>
      </c>
      <c r="F1800" s="36" t="s">
        <v>7953</v>
      </c>
      <c r="G1800" s="36">
        <v>52</v>
      </c>
      <c r="H1800" s="36" t="s">
        <v>0</v>
      </c>
      <c r="I1800" s="36" t="s">
        <v>8586</v>
      </c>
      <c r="J1800" s="36" t="s">
        <v>6253</v>
      </c>
      <c r="K1800" s="36" t="s">
        <v>6035</v>
      </c>
      <c r="L1800" s="36" t="s">
        <v>6283</v>
      </c>
      <c r="M1800" s="36">
        <v>1</v>
      </c>
      <c r="N1800" s="43" t="s">
        <v>6213</v>
      </c>
      <c r="O1800" s="1409"/>
      <c r="P1800" s="1393"/>
      <c r="Q1800" s="1396"/>
    </row>
    <row r="1801" spans="1:17" ht="11.1" customHeight="1">
      <c r="A1801" s="31" t="s">
        <v>9631</v>
      </c>
      <c r="B1801" s="187" t="s">
        <v>8615</v>
      </c>
      <c r="C1801" s="187">
        <v>1</v>
      </c>
      <c r="D1801" s="36" t="s">
        <v>9533</v>
      </c>
      <c r="E1801" s="195" t="s">
        <v>6251</v>
      </c>
      <c r="F1801" s="36" t="s">
        <v>7959</v>
      </c>
      <c r="G1801" s="36">
        <v>45</v>
      </c>
      <c r="H1801" s="36" t="s">
        <v>0</v>
      </c>
      <c r="I1801" s="36" t="s">
        <v>8586</v>
      </c>
      <c r="J1801" s="36" t="s">
        <v>6253</v>
      </c>
      <c r="K1801" s="36" t="s">
        <v>6207</v>
      </c>
      <c r="L1801" s="36" t="s">
        <v>6209</v>
      </c>
      <c r="M1801" s="36">
        <v>2</v>
      </c>
      <c r="N1801" s="43" t="s">
        <v>6213</v>
      </c>
      <c r="O1801" s="1409"/>
      <c r="P1801" s="1393"/>
      <c r="Q1801" s="1396"/>
    </row>
    <row r="1802" spans="1:17" ht="11.1" customHeight="1">
      <c r="A1802" s="31" t="s">
        <v>9632</v>
      </c>
      <c r="B1802" s="187" t="s">
        <v>8615</v>
      </c>
      <c r="C1802" s="187">
        <v>1</v>
      </c>
      <c r="D1802" s="36" t="s">
        <v>9547</v>
      </c>
      <c r="E1802" s="195" t="s">
        <v>6251</v>
      </c>
      <c r="F1802" s="36" t="s">
        <v>7967</v>
      </c>
      <c r="G1802" s="36">
        <v>38</v>
      </c>
      <c r="H1802" s="36" t="s">
        <v>0</v>
      </c>
      <c r="I1802" s="36" t="s">
        <v>8586</v>
      </c>
      <c r="J1802" s="36" t="s">
        <v>6253</v>
      </c>
      <c r="K1802" s="36" t="s">
        <v>6207</v>
      </c>
      <c r="L1802" s="36" t="s">
        <v>6036</v>
      </c>
      <c r="M1802" s="36"/>
      <c r="N1802" s="43" t="s">
        <v>6213</v>
      </c>
      <c r="O1802" s="1409"/>
      <c r="P1802" s="1393"/>
      <c r="Q1802" s="1396"/>
    </row>
    <row r="1803" spans="1:17" ht="11.1" customHeight="1">
      <c r="A1803" s="31" t="s">
        <v>9633</v>
      </c>
      <c r="B1803" s="187" t="s">
        <v>8615</v>
      </c>
      <c r="C1803" s="187">
        <v>1</v>
      </c>
      <c r="D1803" s="36" t="s">
        <v>9511</v>
      </c>
      <c r="E1803" s="195" t="s">
        <v>6251</v>
      </c>
      <c r="F1803" s="36" t="s">
        <v>7991</v>
      </c>
      <c r="G1803" s="36">
        <v>34</v>
      </c>
      <c r="H1803" s="36" t="s">
        <v>0</v>
      </c>
      <c r="I1803" s="36" t="s">
        <v>8586</v>
      </c>
      <c r="J1803" s="36" t="s">
        <v>6253</v>
      </c>
      <c r="K1803" s="36" t="s">
        <v>6053</v>
      </c>
      <c r="L1803" s="36" t="s">
        <v>6036</v>
      </c>
      <c r="M1803" s="36"/>
      <c r="N1803" s="43" t="s">
        <v>6213</v>
      </c>
      <c r="O1803" s="1409"/>
      <c r="P1803" s="1393"/>
      <c r="Q1803" s="1396"/>
    </row>
    <row r="1804" spans="1:17" ht="11.1" customHeight="1">
      <c r="A1804" s="31" t="s">
        <v>9634</v>
      </c>
      <c r="B1804" s="187" t="s">
        <v>8615</v>
      </c>
      <c r="C1804" s="187">
        <v>1</v>
      </c>
      <c r="D1804" s="36" t="s">
        <v>9537</v>
      </c>
      <c r="E1804" s="195" t="s">
        <v>6251</v>
      </c>
      <c r="F1804" s="36" t="s">
        <v>7997</v>
      </c>
      <c r="G1804" s="36">
        <v>50</v>
      </c>
      <c r="H1804" s="36" t="s">
        <v>0</v>
      </c>
      <c r="I1804" s="36" t="s">
        <v>8586</v>
      </c>
      <c r="J1804" s="36" t="s">
        <v>6253</v>
      </c>
      <c r="K1804" s="36" t="s">
        <v>6207</v>
      </c>
      <c r="L1804" s="36" t="s">
        <v>6209</v>
      </c>
      <c r="M1804" s="36">
        <v>3</v>
      </c>
      <c r="N1804" s="43" t="s">
        <v>6213</v>
      </c>
      <c r="O1804" s="1409"/>
      <c r="P1804" s="1393"/>
      <c r="Q1804" s="1396"/>
    </row>
    <row r="1805" spans="1:17" ht="11.1" customHeight="1">
      <c r="A1805" s="31" t="s">
        <v>9635</v>
      </c>
      <c r="B1805" s="187" t="s">
        <v>8615</v>
      </c>
      <c r="C1805" s="187">
        <v>1</v>
      </c>
      <c r="D1805" s="36" t="s">
        <v>9503</v>
      </c>
      <c r="E1805" s="195" t="s">
        <v>6251</v>
      </c>
      <c r="F1805" s="36" t="s">
        <v>8003</v>
      </c>
      <c r="G1805" s="36">
        <v>54</v>
      </c>
      <c r="H1805" s="36" t="s">
        <v>0</v>
      </c>
      <c r="I1805" s="36" t="s">
        <v>8586</v>
      </c>
      <c r="J1805" s="36" t="s">
        <v>6253</v>
      </c>
      <c r="K1805" s="36" t="s">
        <v>6053</v>
      </c>
      <c r="L1805" s="36" t="s">
        <v>6209</v>
      </c>
      <c r="M1805" s="36">
        <v>2</v>
      </c>
      <c r="N1805" s="43" t="s">
        <v>6213</v>
      </c>
      <c r="O1805" s="1409"/>
      <c r="P1805" s="1393"/>
      <c r="Q1805" s="1396"/>
    </row>
    <row r="1806" spans="1:17" ht="11.1" customHeight="1">
      <c r="A1806" s="31" t="s">
        <v>9636</v>
      </c>
      <c r="B1806" s="187" t="s">
        <v>8615</v>
      </c>
      <c r="C1806" s="187">
        <v>1</v>
      </c>
      <c r="D1806" s="36" t="s">
        <v>9549</v>
      </c>
      <c r="E1806" s="195" t="s">
        <v>6251</v>
      </c>
      <c r="F1806" s="36" t="s">
        <v>8009</v>
      </c>
      <c r="G1806" s="36">
        <v>49</v>
      </c>
      <c r="H1806" s="36" t="s">
        <v>0</v>
      </c>
      <c r="I1806" s="36" t="s">
        <v>8586</v>
      </c>
      <c r="J1806" s="36" t="s">
        <v>6253</v>
      </c>
      <c r="K1806" s="36" t="s">
        <v>6053</v>
      </c>
      <c r="L1806" s="36" t="s">
        <v>6209</v>
      </c>
      <c r="M1806" s="36">
        <v>2</v>
      </c>
      <c r="N1806" s="43"/>
      <c r="O1806" s="1409"/>
      <c r="P1806" s="1393"/>
      <c r="Q1806" s="1396"/>
    </row>
    <row r="1807" spans="1:17" ht="11.1" customHeight="1">
      <c r="A1807" s="31" t="s">
        <v>9637</v>
      </c>
      <c r="B1807" s="187" t="s">
        <v>8615</v>
      </c>
      <c r="C1807" s="187">
        <v>1</v>
      </c>
      <c r="D1807" s="36" t="s">
        <v>9489</v>
      </c>
      <c r="E1807" s="195" t="s">
        <v>6251</v>
      </c>
      <c r="F1807" s="36" t="s">
        <v>8017</v>
      </c>
      <c r="G1807" s="36">
        <v>70</v>
      </c>
      <c r="H1807" s="36" t="s">
        <v>0</v>
      </c>
      <c r="I1807" s="36" t="s">
        <v>8586</v>
      </c>
      <c r="J1807" s="36" t="s">
        <v>6253</v>
      </c>
      <c r="K1807" s="36" t="s">
        <v>8018</v>
      </c>
      <c r="L1807" s="36" t="s">
        <v>6209</v>
      </c>
      <c r="M1807" s="36">
        <v>4</v>
      </c>
      <c r="N1807" s="43" t="s">
        <v>6213</v>
      </c>
      <c r="O1807" s="1409"/>
      <c r="P1807" s="1393"/>
      <c r="Q1807" s="1396"/>
    </row>
    <row r="1808" spans="1:17" ht="11.1" customHeight="1">
      <c r="A1808" s="31" t="s">
        <v>9638</v>
      </c>
      <c r="B1808" s="187" t="s">
        <v>8615</v>
      </c>
      <c r="C1808" s="187">
        <v>1</v>
      </c>
      <c r="D1808" s="36" t="s">
        <v>9515</v>
      </c>
      <c r="E1808" s="195" t="s">
        <v>6251</v>
      </c>
      <c r="F1808" s="36" t="s">
        <v>8026</v>
      </c>
      <c r="G1808" s="36">
        <v>45</v>
      </c>
      <c r="H1808" s="36" t="s">
        <v>0</v>
      </c>
      <c r="I1808" s="36" t="s">
        <v>8586</v>
      </c>
      <c r="J1808" s="36" t="s">
        <v>6253</v>
      </c>
      <c r="K1808" s="36" t="s">
        <v>6053</v>
      </c>
      <c r="L1808" s="36" t="s">
        <v>6036</v>
      </c>
      <c r="M1808" s="36"/>
      <c r="N1808" s="43" t="s">
        <v>6213</v>
      </c>
      <c r="O1808" s="1409"/>
      <c r="P1808" s="1393"/>
      <c r="Q1808" s="1396"/>
    </row>
    <row r="1809" spans="1:17" ht="11.1" customHeight="1">
      <c r="A1809" s="31" t="s">
        <v>9639</v>
      </c>
      <c r="B1809" s="187" t="s">
        <v>8615</v>
      </c>
      <c r="C1809" s="187">
        <v>1</v>
      </c>
      <c r="D1809" s="36" t="s">
        <v>9535</v>
      </c>
      <c r="E1809" s="195" t="s">
        <v>6251</v>
      </c>
      <c r="F1809" s="36" t="s">
        <v>8040</v>
      </c>
      <c r="G1809" s="36">
        <v>53</v>
      </c>
      <c r="H1809" s="36" t="s">
        <v>0</v>
      </c>
      <c r="I1809" s="36" t="s">
        <v>8586</v>
      </c>
      <c r="J1809" s="36" t="s">
        <v>6253</v>
      </c>
      <c r="K1809" s="36" t="s">
        <v>6053</v>
      </c>
      <c r="L1809" s="36" t="s">
        <v>6036</v>
      </c>
      <c r="M1809" s="36"/>
      <c r="N1809" s="43" t="s">
        <v>6213</v>
      </c>
      <c r="O1809" s="1409"/>
      <c r="P1809" s="1393"/>
      <c r="Q1809" s="1396"/>
    </row>
    <row r="1810" spans="1:17" ht="11.1" customHeight="1">
      <c r="A1810" s="44" t="s">
        <v>9640</v>
      </c>
      <c r="B1810" s="190" t="s">
        <v>8615</v>
      </c>
      <c r="C1810" s="190">
        <v>1</v>
      </c>
      <c r="D1810" s="141" t="s">
        <v>9493</v>
      </c>
      <c r="E1810" s="195" t="s">
        <v>6251</v>
      </c>
      <c r="F1810" s="141" t="s">
        <v>8048</v>
      </c>
      <c r="G1810" s="141">
        <v>46</v>
      </c>
      <c r="H1810" s="141" t="s">
        <v>0</v>
      </c>
      <c r="I1810" s="141" t="s">
        <v>8586</v>
      </c>
      <c r="J1810" s="141" t="s">
        <v>6253</v>
      </c>
      <c r="K1810" s="141" t="s">
        <v>6053</v>
      </c>
      <c r="L1810" s="141" t="s">
        <v>6036</v>
      </c>
      <c r="M1810" s="141"/>
      <c r="N1810" s="50" t="s">
        <v>6213</v>
      </c>
      <c r="O1810" s="1410"/>
      <c r="P1810" s="1394"/>
      <c r="Q1810" s="1397"/>
    </row>
    <row r="1811" spans="1:17" ht="11.1" customHeight="1">
      <c r="A1811" s="51" t="s">
        <v>9641</v>
      </c>
      <c r="B1811" s="197" t="s">
        <v>6217</v>
      </c>
      <c r="C1811" s="197">
        <v>1</v>
      </c>
      <c r="D1811" s="198" t="s">
        <v>8608</v>
      </c>
      <c r="E1811" s="199" t="s">
        <v>6262</v>
      </c>
      <c r="F1811" s="198" t="s">
        <v>9642</v>
      </c>
      <c r="G1811" s="198">
        <v>67</v>
      </c>
      <c r="H1811" s="198" t="s">
        <v>6049</v>
      </c>
      <c r="I1811" s="198"/>
      <c r="J1811" s="198" t="s">
        <v>6929</v>
      </c>
      <c r="K1811" s="198"/>
      <c r="L1811" s="198" t="s">
        <v>6209</v>
      </c>
      <c r="M1811" s="198">
        <v>4</v>
      </c>
      <c r="N1811" s="200"/>
      <c r="O1811" s="1411">
        <v>5</v>
      </c>
      <c r="P1811" s="1392">
        <v>1449170</v>
      </c>
      <c r="Q1811" s="1395" t="e">
        <f>P1811/SUM($P$557:$P$687)</f>
        <v>#DIV/0!</v>
      </c>
    </row>
    <row r="1812" spans="1:17" ht="11.1" customHeight="1">
      <c r="A1812" s="31" t="s">
        <v>9643</v>
      </c>
      <c r="B1812" s="231" t="s">
        <v>6217</v>
      </c>
      <c r="C1812" s="231">
        <v>2</v>
      </c>
      <c r="D1812" s="232" t="s">
        <v>8608</v>
      </c>
      <c r="E1812" s="233" t="s">
        <v>6262</v>
      </c>
      <c r="F1812" s="232" t="s">
        <v>9644</v>
      </c>
      <c r="G1812" s="232">
        <v>60</v>
      </c>
      <c r="H1812" s="232" t="s">
        <v>0</v>
      </c>
      <c r="I1812" s="232"/>
      <c r="J1812" s="232" t="s">
        <v>6929</v>
      </c>
      <c r="K1812" s="232"/>
      <c r="L1812" s="232" t="s">
        <v>6209</v>
      </c>
      <c r="M1812" s="232">
        <v>5</v>
      </c>
      <c r="N1812" s="234"/>
      <c r="O1812" s="1412"/>
      <c r="P1812" s="1393"/>
      <c r="Q1812" s="1396"/>
    </row>
    <row r="1813" spans="1:17" ht="11.1" customHeight="1">
      <c r="A1813" s="31" t="s">
        <v>9645</v>
      </c>
      <c r="B1813" s="231" t="s">
        <v>6217</v>
      </c>
      <c r="C1813" s="231">
        <v>3</v>
      </c>
      <c r="D1813" s="232" t="s">
        <v>8608</v>
      </c>
      <c r="E1813" s="233" t="s">
        <v>6262</v>
      </c>
      <c r="F1813" s="232" t="s">
        <v>9646</v>
      </c>
      <c r="G1813" s="232">
        <v>50</v>
      </c>
      <c r="H1813" s="232" t="s">
        <v>0</v>
      </c>
      <c r="I1813" s="232"/>
      <c r="J1813" s="232" t="s">
        <v>6929</v>
      </c>
      <c r="K1813" s="232"/>
      <c r="L1813" s="232" t="s">
        <v>6209</v>
      </c>
      <c r="M1813" s="232">
        <v>5</v>
      </c>
      <c r="N1813" s="234"/>
      <c r="O1813" s="1412"/>
      <c r="P1813" s="1393"/>
      <c r="Q1813" s="1396"/>
    </row>
    <row r="1814" spans="1:17" ht="11.1" customHeight="1">
      <c r="A1814" s="31" t="s">
        <v>9647</v>
      </c>
      <c r="B1814" s="231" t="s">
        <v>6217</v>
      </c>
      <c r="C1814" s="231">
        <v>4</v>
      </c>
      <c r="D1814" s="232" t="s">
        <v>8608</v>
      </c>
      <c r="E1814" s="233" t="s">
        <v>6262</v>
      </c>
      <c r="F1814" s="232" t="s">
        <v>9648</v>
      </c>
      <c r="G1814" s="232">
        <v>51</v>
      </c>
      <c r="H1814" s="232" t="s">
        <v>0</v>
      </c>
      <c r="I1814" s="232"/>
      <c r="J1814" s="232" t="s">
        <v>6929</v>
      </c>
      <c r="K1814" s="232"/>
      <c r="L1814" s="232" t="s">
        <v>6283</v>
      </c>
      <c r="M1814" s="232">
        <v>1</v>
      </c>
      <c r="N1814" s="234"/>
      <c r="O1814" s="1412"/>
      <c r="P1814" s="1393"/>
      <c r="Q1814" s="1396"/>
    </row>
    <row r="1815" spans="1:17" ht="11.1" customHeight="1">
      <c r="A1815" s="31" t="s">
        <v>9649</v>
      </c>
      <c r="B1815" s="231" t="s">
        <v>6217</v>
      </c>
      <c r="C1815" s="231">
        <v>5</v>
      </c>
      <c r="D1815" s="232" t="s">
        <v>8608</v>
      </c>
      <c r="E1815" s="233" t="s">
        <v>6262</v>
      </c>
      <c r="F1815" s="232" t="s">
        <v>9650</v>
      </c>
      <c r="G1815" s="232">
        <v>63</v>
      </c>
      <c r="H1815" s="232" t="s">
        <v>0</v>
      </c>
      <c r="I1815" s="232"/>
      <c r="J1815" s="232" t="s">
        <v>6929</v>
      </c>
      <c r="K1815" s="232"/>
      <c r="L1815" s="232" t="s">
        <v>6209</v>
      </c>
      <c r="M1815" s="232">
        <v>5</v>
      </c>
      <c r="N1815" s="234"/>
      <c r="O1815" s="1412"/>
      <c r="P1815" s="1393"/>
      <c r="Q1815" s="1396"/>
    </row>
    <row r="1816" spans="1:17" ht="11.1" customHeight="1">
      <c r="A1816" s="31" t="s">
        <v>9651</v>
      </c>
      <c r="B1816" s="187"/>
      <c r="C1816" s="187">
        <v>6</v>
      </c>
      <c r="D1816" s="42" t="s">
        <v>8608</v>
      </c>
      <c r="E1816" s="188" t="s">
        <v>6262</v>
      </c>
      <c r="F1816" s="42" t="s">
        <v>9652</v>
      </c>
      <c r="G1816" s="42">
        <v>59</v>
      </c>
      <c r="H1816" s="42" t="s">
        <v>0</v>
      </c>
      <c r="I1816" s="42"/>
      <c r="J1816" s="42" t="s">
        <v>6929</v>
      </c>
      <c r="K1816" s="42"/>
      <c r="L1816" s="42" t="s">
        <v>6036</v>
      </c>
      <c r="M1816" s="42"/>
      <c r="N1816" s="207"/>
      <c r="O1816" s="1412"/>
      <c r="P1816" s="1393"/>
      <c r="Q1816" s="1396"/>
    </row>
    <row r="1817" spans="1:17" ht="11.1" customHeight="1">
      <c r="A1817" s="44" t="s">
        <v>9653</v>
      </c>
      <c r="B1817" s="190"/>
      <c r="C1817" s="190">
        <v>7</v>
      </c>
      <c r="D1817" s="49" t="s">
        <v>8608</v>
      </c>
      <c r="E1817" s="201" t="s">
        <v>6262</v>
      </c>
      <c r="F1817" s="49" t="s">
        <v>9654</v>
      </c>
      <c r="G1817" s="49">
        <v>60</v>
      </c>
      <c r="H1817" s="49" t="s">
        <v>6049</v>
      </c>
      <c r="I1817" s="49"/>
      <c r="J1817" s="49" t="s">
        <v>6929</v>
      </c>
      <c r="K1817" s="49"/>
      <c r="L1817" s="49" t="s">
        <v>6036</v>
      </c>
      <c r="M1817" s="49"/>
      <c r="N1817" s="202"/>
      <c r="O1817" s="1413"/>
      <c r="P1817" s="1394"/>
      <c r="Q1817" s="1397"/>
    </row>
    <row r="1818" spans="1:17" ht="11.1" customHeight="1">
      <c r="A1818" s="51" t="s">
        <v>9655</v>
      </c>
      <c r="B1818" s="224" t="s">
        <v>6217</v>
      </c>
      <c r="C1818" s="224">
        <v>1</v>
      </c>
      <c r="D1818" s="225" t="s">
        <v>9497</v>
      </c>
      <c r="E1818" s="226">
        <v>51.6</v>
      </c>
      <c r="F1818" s="225" t="s">
        <v>7702</v>
      </c>
      <c r="G1818" s="225">
        <v>62</v>
      </c>
      <c r="H1818" s="225" t="s">
        <v>0</v>
      </c>
      <c r="I1818" s="225" t="s">
        <v>8586</v>
      </c>
      <c r="J1818" s="225" t="s">
        <v>6264</v>
      </c>
      <c r="K1818" s="225"/>
      <c r="L1818" s="225" t="s">
        <v>6209</v>
      </c>
      <c r="M1818" s="225">
        <v>5</v>
      </c>
      <c r="N1818" s="235"/>
      <c r="O1818" s="1402">
        <v>3</v>
      </c>
      <c r="P1818" s="1392">
        <v>1067443</v>
      </c>
      <c r="Q1818" s="1395" t="e">
        <f>P1818/SUM($P$557:$P$687)</f>
        <v>#DIV/0!</v>
      </c>
    </row>
    <row r="1819" spans="1:17" ht="11.1" customHeight="1">
      <c r="A1819" s="31" t="s">
        <v>9656</v>
      </c>
      <c r="B1819" s="259" t="s">
        <v>6217</v>
      </c>
      <c r="C1819" s="259">
        <v>2</v>
      </c>
      <c r="D1819" s="105" t="s">
        <v>9567</v>
      </c>
      <c r="E1819" s="260">
        <v>42.41</v>
      </c>
      <c r="F1819" s="105" t="s">
        <v>7855</v>
      </c>
      <c r="G1819" s="105">
        <v>66</v>
      </c>
      <c r="H1819" s="105" t="s">
        <v>0</v>
      </c>
      <c r="I1819" s="105" t="s">
        <v>8586</v>
      </c>
      <c r="J1819" s="105" t="s">
        <v>6264</v>
      </c>
      <c r="K1819" s="105"/>
      <c r="L1819" s="105" t="s">
        <v>6209</v>
      </c>
      <c r="M1819" s="105">
        <v>6</v>
      </c>
      <c r="N1819" s="261"/>
      <c r="O1819" s="1403"/>
      <c r="P1819" s="1393"/>
      <c r="Q1819" s="1396"/>
    </row>
    <row r="1820" spans="1:17" ht="11.1" customHeight="1">
      <c r="A1820" s="31" t="s">
        <v>9657</v>
      </c>
      <c r="B1820" s="259" t="s">
        <v>6217</v>
      </c>
      <c r="C1820" s="259">
        <v>3</v>
      </c>
      <c r="D1820" s="105" t="s">
        <v>8608</v>
      </c>
      <c r="E1820" s="260" t="s">
        <v>6262</v>
      </c>
      <c r="F1820" s="105" t="s">
        <v>9658</v>
      </c>
      <c r="G1820" s="105">
        <v>49</v>
      </c>
      <c r="H1820" s="105" t="s">
        <v>0</v>
      </c>
      <c r="I1820" s="105"/>
      <c r="J1820" s="105" t="s">
        <v>6264</v>
      </c>
      <c r="K1820" s="105"/>
      <c r="L1820" s="105" t="s">
        <v>6036</v>
      </c>
      <c r="M1820" s="105"/>
      <c r="N1820" s="261"/>
      <c r="O1820" s="1403"/>
      <c r="P1820" s="1393"/>
      <c r="Q1820" s="1396"/>
    </row>
    <row r="1821" spans="1:17" ht="11.1" customHeight="1">
      <c r="A1821" s="31" t="s">
        <v>9659</v>
      </c>
      <c r="B1821" s="187"/>
      <c r="C1821" s="187">
        <v>4</v>
      </c>
      <c r="D1821" s="42" t="s">
        <v>8608</v>
      </c>
      <c r="E1821" s="188" t="s">
        <v>6262</v>
      </c>
      <c r="F1821" s="42" t="s">
        <v>9660</v>
      </c>
      <c r="G1821" s="42">
        <v>47</v>
      </c>
      <c r="H1821" s="42" t="s">
        <v>6049</v>
      </c>
      <c r="I1821" s="42"/>
      <c r="J1821" s="42" t="s">
        <v>6264</v>
      </c>
      <c r="K1821" s="42"/>
      <c r="L1821" s="42" t="s">
        <v>6036</v>
      </c>
      <c r="M1821" s="42"/>
      <c r="N1821" s="207"/>
      <c r="O1821" s="1403"/>
      <c r="P1821" s="1393"/>
      <c r="Q1821" s="1396"/>
    </row>
    <row r="1822" spans="1:17" ht="11.1" customHeight="1">
      <c r="A1822" s="31" t="s">
        <v>9661</v>
      </c>
      <c r="B1822" s="187"/>
      <c r="C1822" s="187">
        <v>5</v>
      </c>
      <c r="D1822" s="42" t="s">
        <v>9553</v>
      </c>
      <c r="E1822" s="188">
        <v>25.56</v>
      </c>
      <c r="F1822" s="42" t="s">
        <v>7710</v>
      </c>
      <c r="G1822" s="42">
        <v>42</v>
      </c>
      <c r="H1822" s="42" t="s">
        <v>0</v>
      </c>
      <c r="I1822" s="42" t="s">
        <v>8586</v>
      </c>
      <c r="J1822" s="42" t="s">
        <v>6264</v>
      </c>
      <c r="K1822" s="42"/>
      <c r="L1822" s="42" t="s">
        <v>6036</v>
      </c>
      <c r="M1822" s="42"/>
      <c r="N1822" s="207"/>
      <c r="O1822" s="1403"/>
      <c r="P1822" s="1393"/>
      <c r="Q1822" s="1396"/>
    </row>
    <row r="1823" spans="1:17" ht="11.1" customHeight="1">
      <c r="A1823" s="31" t="s">
        <v>9662</v>
      </c>
      <c r="B1823" s="187"/>
      <c r="C1823" s="187">
        <v>5</v>
      </c>
      <c r="D1823" s="42" t="s">
        <v>9529</v>
      </c>
      <c r="E1823" s="188">
        <v>23.23</v>
      </c>
      <c r="F1823" s="42" t="s">
        <v>7804</v>
      </c>
      <c r="G1823" s="42">
        <v>42</v>
      </c>
      <c r="H1823" s="42" t="s">
        <v>0</v>
      </c>
      <c r="I1823" s="42" t="s">
        <v>8586</v>
      </c>
      <c r="J1823" s="42" t="s">
        <v>6264</v>
      </c>
      <c r="K1823" s="42"/>
      <c r="L1823" s="42" t="s">
        <v>6036</v>
      </c>
      <c r="M1823" s="42"/>
      <c r="N1823" s="207"/>
      <c r="O1823" s="1403"/>
      <c r="P1823" s="1393"/>
      <c r="Q1823" s="1396"/>
    </row>
    <row r="1824" spans="1:17" ht="11.1" customHeight="1">
      <c r="A1824" s="31" t="s">
        <v>9663</v>
      </c>
      <c r="B1824" s="187" t="s">
        <v>6231</v>
      </c>
      <c r="C1824" s="187">
        <v>5</v>
      </c>
      <c r="D1824" s="42" t="s">
        <v>9515</v>
      </c>
      <c r="E1824" s="188">
        <v>19.21</v>
      </c>
      <c r="F1824" s="42" t="s">
        <v>8030</v>
      </c>
      <c r="G1824" s="42">
        <v>56</v>
      </c>
      <c r="H1824" s="42" t="s">
        <v>0</v>
      </c>
      <c r="I1824" s="42" t="s">
        <v>8586</v>
      </c>
      <c r="J1824" s="42" t="s">
        <v>6264</v>
      </c>
      <c r="K1824" s="42"/>
      <c r="L1824" s="42" t="s">
        <v>6036</v>
      </c>
      <c r="M1824" s="42"/>
      <c r="N1824" s="207"/>
      <c r="O1824" s="1403"/>
      <c r="P1824" s="1393"/>
      <c r="Q1824" s="1396"/>
    </row>
    <row r="1825" spans="1:17" ht="11.1" customHeight="1">
      <c r="A1825" s="31" t="s">
        <v>9664</v>
      </c>
      <c r="B1825" s="187" t="s">
        <v>6231</v>
      </c>
      <c r="C1825" s="187">
        <v>5</v>
      </c>
      <c r="D1825" s="42" t="s">
        <v>9523</v>
      </c>
      <c r="E1825" s="188">
        <v>18.27</v>
      </c>
      <c r="F1825" s="42" t="s">
        <v>7935</v>
      </c>
      <c r="G1825" s="42">
        <v>44</v>
      </c>
      <c r="H1825" s="42" t="s">
        <v>0</v>
      </c>
      <c r="I1825" s="42" t="s">
        <v>8586</v>
      </c>
      <c r="J1825" s="42" t="s">
        <v>6264</v>
      </c>
      <c r="K1825" s="42"/>
      <c r="L1825" s="42" t="s">
        <v>6036</v>
      </c>
      <c r="M1825" s="42"/>
      <c r="N1825" s="207"/>
      <c r="O1825" s="1403"/>
      <c r="P1825" s="1393"/>
      <c r="Q1825" s="1396"/>
    </row>
    <row r="1826" spans="1:17" ht="11.1" customHeight="1">
      <c r="A1826" s="31" t="s">
        <v>9665</v>
      </c>
      <c r="B1826" s="187" t="s">
        <v>6231</v>
      </c>
      <c r="C1826" s="187">
        <v>5</v>
      </c>
      <c r="D1826" s="42" t="s">
        <v>9505</v>
      </c>
      <c r="E1826" s="188">
        <v>17.690000000000001</v>
      </c>
      <c r="F1826" s="42" t="s">
        <v>7672</v>
      </c>
      <c r="G1826" s="42">
        <v>53</v>
      </c>
      <c r="H1826" s="42" t="s">
        <v>0</v>
      </c>
      <c r="I1826" s="42" t="s">
        <v>8586</v>
      </c>
      <c r="J1826" s="42" t="s">
        <v>6264</v>
      </c>
      <c r="K1826" s="42"/>
      <c r="L1826" s="42" t="s">
        <v>6036</v>
      </c>
      <c r="M1826" s="42"/>
      <c r="N1826" s="207"/>
      <c r="O1826" s="1403"/>
      <c r="P1826" s="1393"/>
      <c r="Q1826" s="1396"/>
    </row>
    <row r="1827" spans="1:17" ht="11.1" customHeight="1">
      <c r="A1827" s="44" t="s">
        <v>9666</v>
      </c>
      <c r="B1827" s="190" t="s">
        <v>6231</v>
      </c>
      <c r="C1827" s="190">
        <v>5</v>
      </c>
      <c r="D1827" s="49" t="s">
        <v>9535</v>
      </c>
      <c r="E1827" s="201">
        <v>10.41</v>
      </c>
      <c r="F1827" s="49" t="s">
        <v>8044</v>
      </c>
      <c r="G1827" s="49">
        <v>48</v>
      </c>
      <c r="H1827" s="49" t="s">
        <v>0</v>
      </c>
      <c r="I1827" s="49" t="s">
        <v>8586</v>
      </c>
      <c r="J1827" s="49" t="s">
        <v>6264</v>
      </c>
      <c r="K1827" s="49"/>
      <c r="L1827" s="49" t="s">
        <v>6036</v>
      </c>
      <c r="M1827" s="49"/>
      <c r="N1827" s="202"/>
      <c r="O1827" s="1404"/>
      <c r="P1827" s="1394"/>
      <c r="Q1827" s="1397"/>
    </row>
    <row r="1828" spans="1:17" ht="11.1" customHeight="1">
      <c r="A1828" s="51" t="s">
        <v>9667</v>
      </c>
      <c r="B1828" s="228" t="s">
        <v>6217</v>
      </c>
      <c r="C1828" s="228">
        <v>4</v>
      </c>
      <c r="D1828" s="122" t="s">
        <v>8608</v>
      </c>
      <c r="E1828" s="229" t="s">
        <v>6262</v>
      </c>
      <c r="F1828" s="122" t="s">
        <v>9668</v>
      </c>
      <c r="G1828" s="122">
        <v>59</v>
      </c>
      <c r="H1828" s="122" t="s">
        <v>0</v>
      </c>
      <c r="I1828" s="122"/>
      <c r="J1828" s="122" t="s">
        <v>6278</v>
      </c>
      <c r="K1828" s="122"/>
      <c r="L1828" s="122" t="s">
        <v>6036</v>
      </c>
      <c r="M1828" s="122"/>
      <c r="N1828" s="262"/>
      <c r="O1828" s="1405">
        <v>1</v>
      </c>
      <c r="P1828" s="1392">
        <v>411092</v>
      </c>
      <c r="Q1828" s="1395" t="e">
        <f>P1828/SUM($P$557:$P$687)</f>
        <v>#DIV/0!</v>
      </c>
    </row>
    <row r="1829" spans="1:17" ht="11.1" customHeight="1">
      <c r="A1829" s="31" t="s">
        <v>9669</v>
      </c>
      <c r="B1829" s="187" t="s">
        <v>6231</v>
      </c>
      <c r="C1829" s="187">
        <v>1</v>
      </c>
      <c r="D1829" s="42" t="s">
        <v>9670</v>
      </c>
      <c r="E1829" s="188">
        <v>17.670000000000002</v>
      </c>
      <c r="F1829" s="42" t="s">
        <v>7981</v>
      </c>
      <c r="G1829" s="42">
        <v>32</v>
      </c>
      <c r="H1829" s="42" t="s">
        <v>6049</v>
      </c>
      <c r="I1829" s="42" t="s">
        <v>8586</v>
      </c>
      <c r="J1829" s="42" t="s">
        <v>6278</v>
      </c>
      <c r="K1829" s="42"/>
      <c r="L1829" s="42" t="s">
        <v>6036</v>
      </c>
      <c r="M1829" s="42"/>
      <c r="N1829" s="207"/>
      <c r="O1829" s="1406"/>
      <c r="P1829" s="1393"/>
      <c r="Q1829" s="1396"/>
    </row>
    <row r="1830" spans="1:17" ht="11.1" customHeight="1">
      <c r="A1830" s="31" t="s">
        <v>9671</v>
      </c>
      <c r="B1830" s="187" t="s">
        <v>6231</v>
      </c>
      <c r="C1830" s="187">
        <v>1</v>
      </c>
      <c r="D1830" s="42" t="s">
        <v>9553</v>
      </c>
      <c r="E1830" s="188">
        <v>4.97</v>
      </c>
      <c r="F1830" s="42" t="s">
        <v>7712</v>
      </c>
      <c r="G1830" s="42">
        <v>60</v>
      </c>
      <c r="H1830" s="42" t="s">
        <v>0</v>
      </c>
      <c r="I1830" s="42" t="s">
        <v>8586</v>
      </c>
      <c r="J1830" s="42" t="s">
        <v>6278</v>
      </c>
      <c r="K1830" s="42"/>
      <c r="L1830" s="42" t="s">
        <v>6036</v>
      </c>
      <c r="M1830" s="42"/>
      <c r="N1830" s="207"/>
      <c r="O1830" s="1406"/>
      <c r="P1830" s="1393"/>
      <c r="Q1830" s="1396"/>
    </row>
    <row r="1831" spans="1:17" ht="11.1" customHeight="1">
      <c r="A1831" s="44" t="s">
        <v>9672</v>
      </c>
      <c r="B1831" s="190" t="s">
        <v>8615</v>
      </c>
      <c r="C1831" s="190">
        <v>1</v>
      </c>
      <c r="D1831" s="263" t="s">
        <v>9495</v>
      </c>
      <c r="E1831" s="264" t="s">
        <v>6251</v>
      </c>
      <c r="F1831" s="263" t="s">
        <v>7826</v>
      </c>
      <c r="G1831" s="263">
        <v>49</v>
      </c>
      <c r="H1831" s="263" t="s">
        <v>6049</v>
      </c>
      <c r="I1831" s="263" t="s">
        <v>8586</v>
      </c>
      <c r="J1831" s="263" t="s">
        <v>6278</v>
      </c>
      <c r="K1831" s="263"/>
      <c r="L1831" s="263" t="s">
        <v>6209</v>
      </c>
      <c r="M1831" s="263">
        <v>3</v>
      </c>
      <c r="N1831" s="50" t="s">
        <v>6515</v>
      </c>
      <c r="O1831" s="1407"/>
      <c r="P1831" s="1394"/>
      <c r="Q1831" s="1397"/>
    </row>
    <row r="1832" spans="1:17" ht="11.1" customHeight="1">
      <c r="A1832" s="51" t="s">
        <v>9673</v>
      </c>
      <c r="B1832" s="203"/>
      <c r="C1832" s="203">
        <v>1</v>
      </c>
      <c r="D1832" s="204" t="s">
        <v>9567</v>
      </c>
      <c r="E1832" s="205">
        <v>83.9</v>
      </c>
      <c r="F1832" s="204" t="s">
        <v>7852</v>
      </c>
      <c r="G1832" s="204">
        <v>46</v>
      </c>
      <c r="H1832" s="204" t="s">
        <v>6049</v>
      </c>
      <c r="I1832" s="204" t="s">
        <v>8586</v>
      </c>
      <c r="J1832" s="204" t="s">
        <v>7280</v>
      </c>
      <c r="K1832" s="204"/>
      <c r="L1832" s="204" t="s">
        <v>6036</v>
      </c>
      <c r="M1832" s="204"/>
      <c r="N1832" s="230" t="s">
        <v>7853</v>
      </c>
      <c r="O1832" s="1389">
        <v>0</v>
      </c>
      <c r="P1832" s="1392">
        <v>169380</v>
      </c>
      <c r="Q1832" s="1395" t="e">
        <f>P1832/SUM($P$557:$P$687)</f>
        <v>#DIV/0!</v>
      </c>
    </row>
    <row r="1833" spans="1:17" ht="11.1" customHeight="1">
      <c r="A1833" s="44" t="s">
        <v>9674</v>
      </c>
      <c r="B1833" s="190"/>
      <c r="C1833" s="190">
        <v>1</v>
      </c>
      <c r="D1833" s="49" t="s">
        <v>9569</v>
      </c>
      <c r="E1833" s="201">
        <v>56.12</v>
      </c>
      <c r="F1833" s="49" t="s">
        <v>7987</v>
      </c>
      <c r="G1833" s="49">
        <v>77</v>
      </c>
      <c r="H1833" s="49" t="s">
        <v>0</v>
      </c>
      <c r="I1833" s="49" t="s">
        <v>8586</v>
      </c>
      <c r="J1833" s="49" t="s">
        <v>7280</v>
      </c>
      <c r="K1833" s="49"/>
      <c r="L1833" s="49" t="s">
        <v>6283</v>
      </c>
      <c r="M1833" s="49">
        <v>3</v>
      </c>
      <c r="N1833" s="50" t="s">
        <v>6481</v>
      </c>
      <c r="O1833" s="1391"/>
      <c r="P1833" s="1394"/>
      <c r="Q1833" s="1397"/>
    </row>
    <row r="1834" spans="1:17" ht="11.1" customHeight="1">
      <c r="A1834" s="236" t="s">
        <v>9675</v>
      </c>
      <c r="B1834" s="237" t="s">
        <v>6231</v>
      </c>
      <c r="C1834" s="237">
        <v>1</v>
      </c>
      <c r="D1834" s="5" t="s">
        <v>9525</v>
      </c>
      <c r="E1834" s="238">
        <v>11.12</v>
      </c>
      <c r="F1834" s="5" t="s">
        <v>7822</v>
      </c>
      <c r="G1834" s="5">
        <v>42</v>
      </c>
      <c r="H1834" s="5" t="s">
        <v>0</v>
      </c>
      <c r="I1834" s="5" t="s">
        <v>8586</v>
      </c>
      <c r="J1834" s="5" t="s">
        <v>6484</v>
      </c>
      <c r="K1834" s="5"/>
      <c r="L1834" s="5" t="s">
        <v>6036</v>
      </c>
      <c r="M1834" s="5"/>
      <c r="N1834" s="265"/>
      <c r="O1834" s="257">
        <v>0</v>
      </c>
      <c r="P1834" s="241">
        <v>465591</v>
      </c>
      <c r="Q1834" s="242" t="e">
        <f>P1834/SUM($P$557:$P$687)</f>
        <v>#DIV/0!</v>
      </c>
    </row>
    <row r="1835" spans="1:17" ht="11.1" customHeight="1">
      <c r="A1835" s="236" t="s">
        <v>9676</v>
      </c>
      <c r="B1835" s="237" t="s">
        <v>6231</v>
      </c>
      <c r="C1835" s="237">
        <v>1</v>
      </c>
      <c r="D1835" s="5" t="s">
        <v>9509</v>
      </c>
      <c r="E1835" s="238">
        <v>39.549999999999997</v>
      </c>
      <c r="F1835" s="5" t="s">
        <v>7889</v>
      </c>
      <c r="G1835" s="5">
        <v>61</v>
      </c>
      <c r="H1835" s="5" t="s">
        <v>0</v>
      </c>
      <c r="I1835" s="5" t="s">
        <v>8586</v>
      </c>
      <c r="J1835" s="5" t="s">
        <v>7890</v>
      </c>
      <c r="K1835" s="5"/>
      <c r="L1835" s="5" t="s">
        <v>6209</v>
      </c>
      <c r="M1835" s="5">
        <v>5</v>
      </c>
      <c r="N1835" s="265"/>
      <c r="O1835" s="266">
        <v>0</v>
      </c>
      <c r="P1835" s="241">
        <v>58141</v>
      </c>
      <c r="Q1835" s="242" t="e">
        <f>P1835/SUM($P$557:$P$687)</f>
        <v>#DIV/0!</v>
      </c>
    </row>
    <row r="1836" spans="1:17" ht="11.1" customHeight="1">
      <c r="A1836" s="51" t="s">
        <v>9677</v>
      </c>
      <c r="B1836" s="203"/>
      <c r="C1836" s="203">
        <v>2</v>
      </c>
      <c r="D1836" s="204" t="s">
        <v>8608</v>
      </c>
      <c r="E1836" s="205" t="s">
        <v>6262</v>
      </c>
      <c r="F1836" s="204" t="s">
        <v>9678</v>
      </c>
      <c r="G1836" s="204">
        <v>71</v>
      </c>
      <c r="H1836" s="204" t="s">
        <v>0</v>
      </c>
      <c r="I1836" s="204"/>
      <c r="J1836" s="204" t="s">
        <v>7160</v>
      </c>
      <c r="K1836" s="204"/>
      <c r="L1836" s="204" t="s">
        <v>6036</v>
      </c>
      <c r="M1836" s="204"/>
      <c r="N1836" s="206"/>
      <c r="O1836" s="1419">
        <v>0</v>
      </c>
      <c r="P1836" s="1392">
        <v>133708</v>
      </c>
      <c r="Q1836" s="1395" t="e">
        <f>P1836/SUM($P$557:$P$687)</f>
        <v>#DIV/0!</v>
      </c>
    </row>
    <row r="1837" spans="1:17" ht="11.1" customHeight="1">
      <c r="A1837" s="44" t="s">
        <v>9679</v>
      </c>
      <c r="B1837" s="190" t="s">
        <v>8615</v>
      </c>
      <c r="C1837" s="190">
        <v>1</v>
      </c>
      <c r="D1837" s="267" t="s">
        <v>9670</v>
      </c>
      <c r="E1837" s="268"/>
      <c r="F1837" s="267" t="s">
        <v>7975</v>
      </c>
      <c r="G1837" s="267">
        <v>53</v>
      </c>
      <c r="H1837" s="267" t="s">
        <v>0</v>
      </c>
      <c r="I1837" s="267" t="s">
        <v>8586</v>
      </c>
      <c r="J1837" s="267" t="s">
        <v>7160</v>
      </c>
      <c r="K1837" s="267"/>
      <c r="L1837" s="267" t="s">
        <v>6036</v>
      </c>
      <c r="M1837" s="267"/>
      <c r="N1837" s="202" t="s">
        <v>6481</v>
      </c>
      <c r="O1837" s="1420"/>
      <c r="P1837" s="1394"/>
      <c r="Q1837" s="1397"/>
    </row>
    <row r="1838" spans="1:17" ht="11.1" customHeight="1">
      <c r="A1838" s="31" t="s">
        <v>9680</v>
      </c>
      <c r="B1838" s="187"/>
      <c r="C1838" s="187">
        <v>1</v>
      </c>
      <c r="D1838" s="42" t="s">
        <v>8608</v>
      </c>
      <c r="E1838" s="188" t="s">
        <v>6262</v>
      </c>
      <c r="F1838" s="42" t="s">
        <v>9681</v>
      </c>
      <c r="G1838" s="42">
        <v>53</v>
      </c>
      <c r="H1838" s="42" t="s">
        <v>0</v>
      </c>
      <c r="I1838" s="42"/>
      <c r="J1838" s="42" t="s">
        <v>6267</v>
      </c>
      <c r="K1838" s="42" t="s">
        <v>6268</v>
      </c>
      <c r="L1838" s="42" t="s">
        <v>6036</v>
      </c>
      <c r="M1838" s="42"/>
      <c r="N1838" s="207"/>
      <c r="O1838" s="1398">
        <v>0</v>
      </c>
      <c r="P1838" s="1393">
        <v>80529</v>
      </c>
      <c r="Q1838" s="1396" t="e">
        <f>P1838/SUM($P$557:$P$687)</f>
        <v>#DIV/0!</v>
      </c>
    </row>
    <row r="1839" spans="1:17" ht="11.1" customHeight="1">
      <c r="A1839" s="31" t="s">
        <v>9682</v>
      </c>
      <c r="B1839" s="187"/>
      <c r="C1839" s="187">
        <v>2</v>
      </c>
      <c r="D1839" s="42" t="s">
        <v>8608</v>
      </c>
      <c r="E1839" s="188" t="s">
        <v>6262</v>
      </c>
      <c r="F1839" s="42" t="s">
        <v>9683</v>
      </c>
      <c r="G1839" s="42">
        <v>53</v>
      </c>
      <c r="H1839" s="42" t="s">
        <v>0</v>
      </c>
      <c r="I1839" s="42"/>
      <c r="J1839" s="42" t="s">
        <v>6267</v>
      </c>
      <c r="K1839" s="42" t="s">
        <v>6268</v>
      </c>
      <c r="L1839" s="42" t="s">
        <v>6036</v>
      </c>
      <c r="M1839" s="42"/>
      <c r="N1839" s="207"/>
      <c r="O1839" s="1398"/>
      <c r="P1839" s="1393"/>
      <c r="Q1839" s="1396"/>
    </row>
    <row r="1840" spans="1:17" ht="11.1" customHeight="1">
      <c r="A1840" s="31" t="s">
        <v>9684</v>
      </c>
      <c r="B1840" s="187"/>
      <c r="C1840" s="187">
        <v>3</v>
      </c>
      <c r="D1840" s="42" t="s">
        <v>8608</v>
      </c>
      <c r="E1840" s="188" t="s">
        <v>6262</v>
      </c>
      <c r="F1840" s="42" t="s">
        <v>9685</v>
      </c>
      <c r="G1840" s="42">
        <v>41</v>
      </c>
      <c r="H1840" s="42" t="s">
        <v>0</v>
      </c>
      <c r="I1840" s="42"/>
      <c r="J1840" s="42" t="s">
        <v>6267</v>
      </c>
      <c r="K1840" s="42" t="s">
        <v>6268</v>
      </c>
      <c r="L1840" s="42" t="s">
        <v>6036</v>
      </c>
      <c r="M1840" s="42"/>
      <c r="N1840" s="207"/>
      <c r="O1840" s="1398"/>
      <c r="P1840" s="1393"/>
      <c r="Q1840" s="1396"/>
    </row>
    <row r="1841" spans="1:17" ht="11.1" customHeight="1">
      <c r="A1841" s="31" t="s">
        <v>9686</v>
      </c>
      <c r="B1841" s="187"/>
      <c r="C1841" s="187">
        <v>4</v>
      </c>
      <c r="D1841" s="42" t="s">
        <v>8608</v>
      </c>
      <c r="E1841" s="188" t="s">
        <v>6262</v>
      </c>
      <c r="F1841" s="42" t="s">
        <v>9687</v>
      </c>
      <c r="G1841" s="42">
        <v>51</v>
      </c>
      <c r="H1841" s="42" t="s">
        <v>6049</v>
      </c>
      <c r="I1841" s="42"/>
      <c r="J1841" s="42" t="s">
        <v>6267</v>
      </c>
      <c r="K1841" s="42" t="s">
        <v>6268</v>
      </c>
      <c r="L1841" s="42" t="s">
        <v>6036</v>
      </c>
      <c r="M1841" s="42"/>
      <c r="N1841" s="207"/>
      <c r="O1841" s="1398"/>
      <c r="P1841" s="1393"/>
      <c r="Q1841" s="1396"/>
    </row>
    <row r="1842" spans="1:17" ht="11.1" customHeight="1">
      <c r="A1842" s="31" t="s">
        <v>9688</v>
      </c>
      <c r="B1842" s="187"/>
      <c r="C1842" s="187">
        <v>5</v>
      </c>
      <c r="D1842" s="42" t="s">
        <v>8608</v>
      </c>
      <c r="E1842" s="188" t="s">
        <v>6262</v>
      </c>
      <c r="F1842" s="42" t="s">
        <v>9689</v>
      </c>
      <c r="G1842" s="42">
        <v>48</v>
      </c>
      <c r="H1842" s="42" t="s">
        <v>0</v>
      </c>
      <c r="I1842" s="42"/>
      <c r="J1842" s="42" t="s">
        <v>6267</v>
      </c>
      <c r="K1842" s="42" t="s">
        <v>6268</v>
      </c>
      <c r="L1842" s="42" t="s">
        <v>6036</v>
      </c>
      <c r="M1842" s="42"/>
      <c r="N1842" s="207"/>
      <c r="O1842" s="1398"/>
      <c r="P1842" s="1393"/>
      <c r="Q1842" s="1396"/>
    </row>
    <row r="1843" spans="1:17" ht="11.1" customHeight="1">
      <c r="A1843" s="31" t="s">
        <v>9690</v>
      </c>
      <c r="B1843" s="187"/>
      <c r="C1843" s="187">
        <v>6</v>
      </c>
      <c r="D1843" s="42" t="s">
        <v>8608</v>
      </c>
      <c r="E1843" s="188" t="s">
        <v>6262</v>
      </c>
      <c r="F1843" s="42" t="s">
        <v>9691</v>
      </c>
      <c r="G1843" s="42">
        <v>56</v>
      </c>
      <c r="H1843" s="42" t="s">
        <v>0</v>
      </c>
      <c r="I1843" s="42"/>
      <c r="J1843" s="42" t="s">
        <v>6267</v>
      </c>
      <c r="K1843" s="42" t="s">
        <v>6268</v>
      </c>
      <c r="L1843" s="42" t="s">
        <v>6036</v>
      </c>
      <c r="M1843" s="42"/>
      <c r="N1843" s="207"/>
      <c r="O1843" s="1398"/>
      <c r="P1843" s="1393"/>
      <c r="Q1843" s="1396"/>
    </row>
    <row r="1844" spans="1:17" ht="11.1" customHeight="1" thickBot="1">
      <c r="A1844" s="73" t="s">
        <v>9692</v>
      </c>
      <c r="B1844" s="215"/>
      <c r="C1844" s="215">
        <v>7</v>
      </c>
      <c r="D1844" s="78" t="s">
        <v>8608</v>
      </c>
      <c r="E1844" s="216" t="s">
        <v>6262</v>
      </c>
      <c r="F1844" s="78" t="s">
        <v>9693</v>
      </c>
      <c r="G1844" s="78">
        <v>53</v>
      </c>
      <c r="H1844" s="78" t="s">
        <v>6049</v>
      </c>
      <c r="I1844" s="78"/>
      <c r="J1844" s="78" t="s">
        <v>6267</v>
      </c>
      <c r="K1844" s="78" t="s">
        <v>6268</v>
      </c>
      <c r="L1844" s="78" t="s">
        <v>6036</v>
      </c>
      <c r="M1844" s="78"/>
      <c r="N1844" s="218"/>
      <c r="O1844" s="1399"/>
      <c r="P1844" s="1400"/>
      <c r="Q1844" s="1401"/>
    </row>
    <row r="1845" spans="1:17" ht="11.1" customHeight="1">
      <c r="A1845" s="80" t="s">
        <v>9694</v>
      </c>
      <c r="B1845" s="219" t="s">
        <v>6217</v>
      </c>
      <c r="C1845" s="219">
        <v>1</v>
      </c>
      <c r="D1845" s="112" t="s">
        <v>9695</v>
      </c>
      <c r="E1845" s="220">
        <v>54.89</v>
      </c>
      <c r="F1845" s="112" t="s">
        <v>8110</v>
      </c>
      <c r="G1845" s="112">
        <v>50</v>
      </c>
      <c r="H1845" s="112" t="s">
        <v>6049</v>
      </c>
      <c r="I1845" s="112" t="s">
        <v>8586</v>
      </c>
      <c r="J1845" s="112" t="s">
        <v>6257</v>
      </c>
      <c r="K1845" s="112" t="s">
        <v>6258</v>
      </c>
      <c r="L1845" s="112" t="s">
        <v>6209</v>
      </c>
      <c r="M1845" s="112">
        <v>1</v>
      </c>
      <c r="N1845" s="113" t="s">
        <v>6260</v>
      </c>
      <c r="O1845" s="1414">
        <v>4</v>
      </c>
      <c r="P1845" s="1417">
        <v>1388451</v>
      </c>
      <c r="Q1845" s="1418" t="e">
        <f>P1845/SUM($P$688:$P$749)</f>
        <v>#DIV/0!</v>
      </c>
    </row>
    <row r="1846" spans="1:17" ht="11.1" customHeight="1">
      <c r="A1846" s="31" t="s">
        <v>9696</v>
      </c>
      <c r="B1846" s="185" t="s">
        <v>6217</v>
      </c>
      <c r="C1846" s="185">
        <v>2</v>
      </c>
      <c r="D1846" s="59" t="s">
        <v>8608</v>
      </c>
      <c r="E1846" s="186" t="s">
        <v>6262</v>
      </c>
      <c r="F1846" s="59" t="s">
        <v>9697</v>
      </c>
      <c r="G1846" s="59">
        <v>65</v>
      </c>
      <c r="H1846" s="59" t="s">
        <v>0</v>
      </c>
      <c r="I1846" s="59"/>
      <c r="J1846" s="59" t="s">
        <v>6257</v>
      </c>
      <c r="K1846" s="59" t="s">
        <v>6402</v>
      </c>
      <c r="L1846" s="59" t="s">
        <v>6209</v>
      </c>
      <c r="M1846" s="59">
        <v>6</v>
      </c>
      <c r="N1846" s="221"/>
      <c r="O1846" s="1415"/>
      <c r="P1846" s="1393"/>
      <c r="Q1846" s="1396"/>
    </row>
    <row r="1847" spans="1:17" ht="11.1" customHeight="1">
      <c r="A1847" s="31" t="s">
        <v>9698</v>
      </c>
      <c r="B1847" s="185" t="s">
        <v>6217</v>
      </c>
      <c r="C1847" s="185">
        <v>3</v>
      </c>
      <c r="D1847" s="59" t="s">
        <v>8608</v>
      </c>
      <c r="E1847" s="186" t="s">
        <v>6262</v>
      </c>
      <c r="F1847" s="59" t="s">
        <v>9699</v>
      </c>
      <c r="G1847" s="59">
        <v>46</v>
      </c>
      <c r="H1847" s="59" t="s">
        <v>0</v>
      </c>
      <c r="I1847" s="59"/>
      <c r="J1847" s="59" t="s">
        <v>6257</v>
      </c>
      <c r="K1847" s="59" t="s">
        <v>6273</v>
      </c>
      <c r="L1847" s="59" t="s">
        <v>6209</v>
      </c>
      <c r="M1847" s="59">
        <v>3</v>
      </c>
      <c r="N1847" s="221"/>
      <c r="O1847" s="1415"/>
      <c r="P1847" s="1393"/>
      <c r="Q1847" s="1396"/>
    </row>
    <row r="1848" spans="1:17" ht="11.1" customHeight="1">
      <c r="A1848" s="31" t="s">
        <v>9700</v>
      </c>
      <c r="B1848" s="185" t="s">
        <v>6217</v>
      </c>
      <c r="C1848" s="185">
        <v>4</v>
      </c>
      <c r="D1848" s="59" t="s">
        <v>9701</v>
      </c>
      <c r="E1848" s="186">
        <v>94.98</v>
      </c>
      <c r="F1848" s="59" t="s">
        <v>8152</v>
      </c>
      <c r="G1848" s="59">
        <v>65</v>
      </c>
      <c r="H1848" s="59" t="s">
        <v>0</v>
      </c>
      <c r="I1848" s="59" t="s">
        <v>8586</v>
      </c>
      <c r="J1848" s="59" t="s">
        <v>6257</v>
      </c>
      <c r="K1848" s="59" t="s">
        <v>6286</v>
      </c>
      <c r="L1848" s="59" t="s">
        <v>6209</v>
      </c>
      <c r="M1848" s="59">
        <v>9</v>
      </c>
      <c r="N1848" s="133" t="s">
        <v>6260</v>
      </c>
      <c r="O1848" s="1415"/>
      <c r="P1848" s="1393"/>
      <c r="Q1848" s="1396"/>
    </row>
    <row r="1849" spans="1:17" ht="11.1" customHeight="1">
      <c r="A1849" s="31" t="s">
        <v>9702</v>
      </c>
      <c r="B1849" s="187"/>
      <c r="C1849" s="187">
        <v>4</v>
      </c>
      <c r="D1849" s="42" t="s">
        <v>9703</v>
      </c>
      <c r="E1849" s="188">
        <v>93.81</v>
      </c>
      <c r="F1849" s="42" t="s">
        <v>8158</v>
      </c>
      <c r="G1849" s="42">
        <v>51</v>
      </c>
      <c r="H1849" s="42" t="s">
        <v>0</v>
      </c>
      <c r="I1849" s="42" t="s">
        <v>8586</v>
      </c>
      <c r="J1849" s="42" t="s">
        <v>6257</v>
      </c>
      <c r="K1849" s="42" t="s">
        <v>6402</v>
      </c>
      <c r="L1849" s="42" t="s">
        <v>6209</v>
      </c>
      <c r="M1849" s="42">
        <v>2</v>
      </c>
      <c r="N1849" s="43" t="s">
        <v>6260</v>
      </c>
      <c r="O1849" s="1415"/>
      <c r="P1849" s="1393"/>
      <c r="Q1849" s="1396"/>
    </row>
    <row r="1850" spans="1:17" ht="11.1" customHeight="1">
      <c r="A1850" s="31" t="s">
        <v>9704</v>
      </c>
      <c r="B1850" s="187"/>
      <c r="C1850" s="187">
        <v>4</v>
      </c>
      <c r="D1850" s="42" t="s">
        <v>9705</v>
      </c>
      <c r="E1850" s="188">
        <v>90.11</v>
      </c>
      <c r="F1850" s="42" t="s">
        <v>8186</v>
      </c>
      <c r="G1850" s="42">
        <v>60</v>
      </c>
      <c r="H1850" s="42" t="s">
        <v>0</v>
      </c>
      <c r="I1850" s="42" t="s">
        <v>8586</v>
      </c>
      <c r="J1850" s="42" t="s">
        <v>6257</v>
      </c>
      <c r="K1850" s="42" t="s">
        <v>6258</v>
      </c>
      <c r="L1850" s="42" t="s">
        <v>6036</v>
      </c>
      <c r="M1850" s="42"/>
      <c r="N1850" s="43" t="s">
        <v>6260</v>
      </c>
      <c r="O1850" s="1415"/>
      <c r="P1850" s="1393"/>
      <c r="Q1850" s="1396"/>
    </row>
    <row r="1851" spans="1:17" ht="11.1" customHeight="1">
      <c r="A1851" s="31" t="s">
        <v>9706</v>
      </c>
      <c r="B1851" s="187"/>
      <c r="C1851" s="187">
        <v>4</v>
      </c>
      <c r="D1851" s="42" t="s">
        <v>9707</v>
      </c>
      <c r="E1851" s="188">
        <v>83.16</v>
      </c>
      <c r="F1851" s="42" t="s">
        <v>8172</v>
      </c>
      <c r="G1851" s="42">
        <v>59</v>
      </c>
      <c r="H1851" s="42" t="s">
        <v>0</v>
      </c>
      <c r="I1851" s="42" t="s">
        <v>8586</v>
      </c>
      <c r="J1851" s="42" t="s">
        <v>6257</v>
      </c>
      <c r="K1851" s="42" t="s">
        <v>6402</v>
      </c>
      <c r="L1851" s="42" t="s">
        <v>6209</v>
      </c>
      <c r="M1851" s="42">
        <v>3</v>
      </c>
      <c r="N1851" s="43" t="s">
        <v>6260</v>
      </c>
      <c r="O1851" s="1415"/>
      <c r="P1851" s="1393"/>
      <c r="Q1851" s="1396"/>
    </row>
    <row r="1852" spans="1:17" ht="11.1" customHeight="1">
      <c r="A1852" s="31" t="s">
        <v>9708</v>
      </c>
      <c r="B1852" s="187"/>
      <c r="C1852" s="187">
        <v>4</v>
      </c>
      <c r="D1852" s="42" t="s">
        <v>9709</v>
      </c>
      <c r="E1852" s="188">
        <v>73.87</v>
      </c>
      <c r="F1852" s="42" t="s">
        <v>8140</v>
      </c>
      <c r="G1852" s="42">
        <v>61</v>
      </c>
      <c r="H1852" s="42" t="s">
        <v>0</v>
      </c>
      <c r="I1852" s="42" t="s">
        <v>8586</v>
      </c>
      <c r="J1852" s="42" t="s">
        <v>6257</v>
      </c>
      <c r="K1852" s="42" t="s">
        <v>6273</v>
      </c>
      <c r="L1852" s="42" t="s">
        <v>6209</v>
      </c>
      <c r="M1852" s="42">
        <v>1</v>
      </c>
      <c r="N1852" s="43" t="s">
        <v>6260</v>
      </c>
      <c r="O1852" s="1415"/>
      <c r="P1852" s="1393"/>
      <c r="Q1852" s="1396"/>
    </row>
    <row r="1853" spans="1:17" ht="11.1" customHeight="1">
      <c r="A1853" s="31" t="s">
        <v>9710</v>
      </c>
      <c r="B1853" s="187"/>
      <c r="C1853" s="187">
        <v>4</v>
      </c>
      <c r="D1853" s="42" t="s">
        <v>9711</v>
      </c>
      <c r="E1853" s="188">
        <v>72.430000000000007</v>
      </c>
      <c r="F1853" s="42" t="s">
        <v>8116</v>
      </c>
      <c r="G1853" s="42">
        <v>35</v>
      </c>
      <c r="H1853" s="42" t="s">
        <v>0</v>
      </c>
      <c r="I1853" s="42" t="s">
        <v>8586</v>
      </c>
      <c r="J1853" s="42" t="s">
        <v>6257</v>
      </c>
      <c r="K1853" s="42" t="s">
        <v>6273</v>
      </c>
      <c r="L1853" s="42" t="s">
        <v>6209</v>
      </c>
      <c r="M1853" s="42">
        <v>1</v>
      </c>
      <c r="N1853" s="43" t="s">
        <v>6260</v>
      </c>
      <c r="O1853" s="1415"/>
      <c r="P1853" s="1393"/>
      <c r="Q1853" s="1396"/>
    </row>
    <row r="1854" spans="1:17" ht="11.1" customHeight="1">
      <c r="A1854" s="31" t="s">
        <v>9712</v>
      </c>
      <c r="B1854" s="187"/>
      <c r="C1854" s="187">
        <v>4</v>
      </c>
      <c r="D1854" s="42" t="s">
        <v>9713</v>
      </c>
      <c r="E1854" s="188">
        <v>71.69</v>
      </c>
      <c r="F1854" s="42" t="s">
        <v>8146</v>
      </c>
      <c r="G1854" s="42">
        <v>64</v>
      </c>
      <c r="H1854" s="42" t="s">
        <v>0</v>
      </c>
      <c r="I1854" s="42" t="s">
        <v>8586</v>
      </c>
      <c r="J1854" s="42" t="s">
        <v>6257</v>
      </c>
      <c r="K1854" s="42" t="s">
        <v>6311</v>
      </c>
      <c r="L1854" s="42" t="s">
        <v>6209</v>
      </c>
      <c r="M1854" s="42">
        <v>3</v>
      </c>
      <c r="N1854" s="43" t="s">
        <v>6260</v>
      </c>
      <c r="O1854" s="1415"/>
      <c r="P1854" s="1393"/>
      <c r="Q1854" s="1396"/>
    </row>
    <row r="1855" spans="1:17" ht="11.1" customHeight="1">
      <c r="A1855" s="31" t="s">
        <v>9714</v>
      </c>
      <c r="B1855" s="187"/>
      <c r="C1855" s="187">
        <v>4</v>
      </c>
      <c r="D1855" s="42" t="s">
        <v>9715</v>
      </c>
      <c r="E1855" s="188">
        <v>62.76</v>
      </c>
      <c r="F1855" s="42" t="s">
        <v>8098</v>
      </c>
      <c r="G1855" s="42">
        <v>53</v>
      </c>
      <c r="H1855" s="42" t="s">
        <v>0</v>
      </c>
      <c r="I1855" s="42" t="s">
        <v>8586</v>
      </c>
      <c r="J1855" s="42" t="s">
        <v>6257</v>
      </c>
      <c r="K1855" s="42" t="s">
        <v>6402</v>
      </c>
      <c r="L1855" s="42" t="s">
        <v>6209</v>
      </c>
      <c r="M1855" s="42">
        <v>1</v>
      </c>
      <c r="N1855" s="43" t="s">
        <v>6260</v>
      </c>
      <c r="O1855" s="1415"/>
      <c r="P1855" s="1393"/>
      <c r="Q1855" s="1396"/>
    </row>
    <row r="1856" spans="1:17" ht="11.1" customHeight="1">
      <c r="A1856" s="31" t="s">
        <v>9716</v>
      </c>
      <c r="B1856" s="187"/>
      <c r="C1856" s="187">
        <v>4</v>
      </c>
      <c r="D1856" s="42" t="s">
        <v>9717</v>
      </c>
      <c r="E1856" s="188">
        <v>50.85</v>
      </c>
      <c r="F1856" s="212" t="s">
        <v>8164</v>
      </c>
      <c r="G1856" s="42">
        <v>58</v>
      </c>
      <c r="H1856" s="212" t="s">
        <v>0</v>
      </c>
      <c r="I1856" s="42" t="s">
        <v>8586</v>
      </c>
      <c r="J1856" s="212" t="s">
        <v>6257</v>
      </c>
      <c r="K1856" s="212" t="s">
        <v>6402</v>
      </c>
      <c r="L1856" s="212" t="s">
        <v>6036</v>
      </c>
      <c r="M1856" s="212"/>
      <c r="N1856" s="43" t="s">
        <v>6260</v>
      </c>
      <c r="O1856" s="1415"/>
      <c r="P1856" s="1393"/>
      <c r="Q1856" s="1396"/>
    </row>
    <row r="1857" spans="1:17" ht="11.1" customHeight="1">
      <c r="A1857" s="31" t="s">
        <v>9718</v>
      </c>
      <c r="B1857" s="187"/>
      <c r="C1857" s="187">
        <v>23</v>
      </c>
      <c r="D1857" s="42" t="s">
        <v>8608</v>
      </c>
      <c r="E1857" s="188" t="s">
        <v>6262</v>
      </c>
      <c r="F1857" s="42" t="s">
        <v>9719</v>
      </c>
      <c r="G1857" s="42">
        <v>67</v>
      </c>
      <c r="H1857" s="42" t="s">
        <v>0</v>
      </c>
      <c r="I1857" s="42"/>
      <c r="J1857" s="42" t="s">
        <v>6257</v>
      </c>
      <c r="K1857" s="42" t="s">
        <v>6273</v>
      </c>
      <c r="L1857" s="42" t="s">
        <v>6283</v>
      </c>
      <c r="M1857" s="42">
        <v>1</v>
      </c>
      <c r="N1857" s="207"/>
      <c r="O1857" s="1415"/>
      <c r="P1857" s="1393"/>
      <c r="Q1857" s="1396"/>
    </row>
    <row r="1858" spans="1:17" ht="11.1" customHeight="1">
      <c r="A1858" s="31" t="s">
        <v>9720</v>
      </c>
      <c r="B1858" s="187"/>
      <c r="C1858" s="187">
        <v>24</v>
      </c>
      <c r="D1858" s="42" t="s">
        <v>8608</v>
      </c>
      <c r="E1858" s="188" t="s">
        <v>6262</v>
      </c>
      <c r="F1858" s="42" t="s">
        <v>9721</v>
      </c>
      <c r="G1858" s="42">
        <v>42</v>
      </c>
      <c r="H1858" s="42" t="s">
        <v>0</v>
      </c>
      <c r="I1858" s="42"/>
      <c r="J1858" s="42" t="s">
        <v>6257</v>
      </c>
      <c r="K1858" s="42" t="s">
        <v>6258</v>
      </c>
      <c r="L1858" s="42" t="s">
        <v>6036</v>
      </c>
      <c r="M1858" s="42"/>
      <c r="N1858" s="207"/>
      <c r="O1858" s="1415"/>
      <c r="P1858" s="1393"/>
      <c r="Q1858" s="1396"/>
    </row>
    <row r="1859" spans="1:17" ht="11.1" customHeight="1">
      <c r="A1859" s="31" t="s">
        <v>9722</v>
      </c>
      <c r="B1859" s="187"/>
      <c r="C1859" s="187">
        <v>25</v>
      </c>
      <c r="D1859" s="42" t="s">
        <v>8608</v>
      </c>
      <c r="E1859" s="188" t="s">
        <v>6262</v>
      </c>
      <c r="F1859" s="42" t="s">
        <v>9723</v>
      </c>
      <c r="G1859" s="42">
        <v>39</v>
      </c>
      <c r="H1859" s="42" t="s">
        <v>0</v>
      </c>
      <c r="I1859" s="42"/>
      <c r="J1859" s="42" t="s">
        <v>6257</v>
      </c>
      <c r="K1859" s="42" t="s">
        <v>6258</v>
      </c>
      <c r="L1859" s="42" t="s">
        <v>6036</v>
      </c>
      <c r="M1859" s="42"/>
      <c r="N1859" s="207"/>
      <c r="O1859" s="1415"/>
      <c r="P1859" s="1393"/>
      <c r="Q1859" s="1396"/>
    </row>
    <row r="1860" spans="1:17" ht="11.1" customHeight="1">
      <c r="A1860" s="31" t="s">
        <v>9724</v>
      </c>
      <c r="B1860" s="187" t="s">
        <v>8615</v>
      </c>
      <c r="C1860" s="187">
        <v>4</v>
      </c>
      <c r="D1860" s="59" t="s">
        <v>9725</v>
      </c>
      <c r="E1860" s="186" t="s">
        <v>6251</v>
      </c>
      <c r="F1860" s="59" t="s">
        <v>8060</v>
      </c>
      <c r="G1860" s="59">
        <v>52</v>
      </c>
      <c r="H1860" s="59" t="s">
        <v>0</v>
      </c>
      <c r="I1860" s="59" t="s">
        <v>8586</v>
      </c>
      <c r="J1860" s="59" t="s">
        <v>6257</v>
      </c>
      <c r="K1860" s="59" t="s">
        <v>6273</v>
      </c>
      <c r="L1860" s="59" t="s">
        <v>6209</v>
      </c>
      <c r="M1860" s="59">
        <v>7</v>
      </c>
      <c r="N1860" s="43" t="s">
        <v>6260</v>
      </c>
      <c r="O1860" s="1415"/>
      <c r="P1860" s="1393"/>
      <c r="Q1860" s="1396"/>
    </row>
    <row r="1861" spans="1:17" ht="11.1" customHeight="1">
      <c r="A1861" s="31" t="s">
        <v>9726</v>
      </c>
      <c r="B1861" s="187" t="s">
        <v>8615</v>
      </c>
      <c r="C1861" s="187">
        <v>4</v>
      </c>
      <c r="D1861" s="59" t="s">
        <v>9727</v>
      </c>
      <c r="E1861" s="186" t="s">
        <v>6251</v>
      </c>
      <c r="F1861" s="59" t="s">
        <v>8068</v>
      </c>
      <c r="G1861" s="59">
        <v>48</v>
      </c>
      <c r="H1861" s="59" t="s">
        <v>0</v>
      </c>
      <c r="I1861" s="59" t="s">
        <v>8586</v>
      </c>
      <c r="J1861" s="59" t="s">
        <v>6257</v>
      </c>
      <c r="K1861" s="59" t="s">
        <v>6258</v>
      </c>
      <c r="L1861" s="59" t="s">
        <v>6209</v>
      </c>
      <c r="M1861" s="59">
        <v>1</v>
      </c>
      <c r="N1861" s="43" t="s">
        <v>6260</v>
      </c>
      <c r="O1861" s="1415"/>
      <c r="P1861" s="1393"/>
      <c r="Q1861" s="1396"/>
    </row>
    <row r="1862" spans="1:17" ht="11.1" customHeight="1">
      <c r="A1862" s="31" t="s">
        <v>9728</v>
      </c>
      <c r="B1862" s="187" t="s">
        <v>8615</v>
      </c>
      <c r="C1862" s="187">
        <v>4</v>
      </c>
      <c r="D1862" s="59" t="s">
        <v>9729</v>
      </c>
      <c r="E1862" s="186" t="s">
        <v>6251</v>
      </c>
      <c r="F1862" s="59" t="s">
        <v>8074</v>
      </c>
      <c r="G1862" s="59">
        <v>65</v>
      </c>
      <c r="H1862" s="59" t="s">
        <v>0</v>
      </c>
      <c r="I1862" s="59" t="s">
        <v>8586</v>
      </c>
      <c r="J1862" s="59" t="s">
        <v>6257</v>
      </c>
      <c r="K1862" s="59" t="s">
        <v>6286</v>
      </c>
      <c r="L1862" s="59" t="s">
        <v>6209</v>
      </c>
      <c r="M1862" s="59">
        <v>6</v>
      </c>
      <c r="N1862" s="43" t="s">
        <v>6260</v>
      </c>
      <c r="O1862" s="1415"/>
      <c r="P1862" s="1393"/>
      <c r="Q1862" s="1396"/>
    </row>
    <row r="1863" spans="1:17" ht="11.1" customHeight="1">
      <c r="A1863" s="31" t="s">
        <v>9730</v>
      </c>
      <c r="B1863" s="187" t="s">
        <v>8615</v>
      </c>
      <c r="C1863" s="187">
        <v>4</v>
      </c>
      <c r="D1863" s="59" t="s">
        <v>9731</v>
      </c>
      <c r="E1863" s="186" t="s">
        <v>6251</v>
      </c>
      <c r="F1863" s="59" t="s">
        <v>8082</v>
      </c>
      <c r="G1863" s="59">
        <v>62</v>
      </c>
      <c r="H1863" s="59" t="s">
        <v>0</v>
      </c>
      <c r="I1863" s="59" t="s">
        <v>8586</v>
      </c>
      <c r="J1863" s="59" t="s">
        <v>6257</v>
      </c>
      <c r="K1863" s="59" t="s">
        <v>6273</v>
      </c>
      <c r="L1863" s="59" t="s">
        <v>6209</v>
      </c>
      <c r="M1863" s="59">
        <v>3</v>
      </c>
      <c r="N1863" s="43" t="s">
        <v>6260</v>
      </c>
      <c r="O1863" s="1415"/>
      <c r="P1863" s="1393"/>
      <c r="Q1863" s="1396"/>
    </row>
    <row r="1864" spans="1:17" ht="11.1" customHeight="1">
      <c r="A1864" s="31" t="s">
        <v>9732</v>
      </c>
      <c r="B1864" s="187" t="s">
        <v>8615</v>
      </c>
      <c r="C1864" s="187">
        <v>4</v>
      </c>
      <c r="D1864" s="59" t="s">
        <v>9733</v>
      </c>
      <c r="E1864" s="186" t="s">
        <v>6251</v>
      </c>
      <c r="F1864" s="59" t="s">
        <v>8088</v>
      </c>
      <c r="G1864" s="59">
        <v>55</v>
      </c>
      <c r="H1864" s="59" t="s">
        <v>0</v>
      </c>
      <c r="I1864" s="59" t="s">
        <v>8586</v>
      </c>
      <c r="J1864" s="59" t="s">
        <v>6257</v>
      </c>
      <c r="K1864" s="59" t="s">
        <v>6402</v>
      </c>
      <c r="L1864" s="59" t="s">
        <v>6209</v>
      </c>
      <c r="M1864" s="59">
        <v>7</v>
      </c>
      <c r="N1864" s="43" t="s">
        <v>6260</v>
      </c>
      <c r="O1864" s="1415"/>
      <c r="P1864" s="1393"/>
      <c r="Q1864" s="1396"/>
    </row>
    <row r="1865" spans="1:17" ht="11.1" customHeight="1">
      <c r="A1865" s="31" t="s">
        <v>9734</v>
      </c>
      <c r="B1865" s="187" t="s">
        <v>8615</v>
      </c>
      <c r="C1865" s="187">
        <v>4</v>
      </c>
      <c r="D1865" s="59" t="s">
        <v>9735</v>
      </c>
      <c r="E1865" s="186" t="s">
        <v>6251</v>
      </c>
      <c r="F1865" s="59" t="s">
        <v>8120</v>
      </c>
      <c r="G1865" s="59">
        <v>53</v>
      </c>
      <c r="H1865" s="59" t="s">
        <v>0</v>
      </c>
      <c r="I1865" s="59" t="s">
        <v>8586</v>
      </c>
      <c r="J1865" s="59" t="s">
        <v>6257</v>
      </c>
      <c r="K1865" s="59" t="s">
        <v>6273</v>
      </c>
      <c r="L1865" s="59" t="s">
        <v>6209</v>
      </c>
      <c r="M1865" s="59">
        <v>2</v>
      </c>
      <c r="N1865" s="43" t="s">
        <v>6260</v>
      </c>
      <c r="O1865" s="1415"/>
      <c r="P1865" s="1393"/>
      <c r="Q1865" s="1396"/>
    </row>
    <row r="1866" spans="1:17" ht="11.1" customHeight="1">
      <c r="A1866" s="31" t="s">
        <v>9736</v>
      </c>
      <c r="B1866" s="187" t="s">
        <v>8615</v>
      </c>
      <c r="C1866" s="187">
        <v>4</v>
      </c>
      <c r="D1866" s="59" t="s">
        <v>9737</v>
      </c>
      <c r="E1866" s="186" t="s">
        <v>6251</v>
      </c>
      <c r="F1866" s="59" t="s">
        <v>8126</v>
      </c>
      <c r="G1866" s="59">
        <v>52</v>
      </c>
      <c r="H1866" s="59" t="s">
        <v>0</v>
      </c>
      <c r="I1866" s="59" t="s">
        <v>8586</v>
      </c>
      <c r="J1866" s="59" t="s">
        <v>6257</v>
      </c>
      <c r="K1866" s="59" t="s">
        <v>6402</v>
      </c>
      <c r="L1866" s="59" t="s">
        <v>6209</v>
      </c>
      <c r="M1866" s="59">
        <v>5</v>
      </c>
      <c r="N1866" s="43" t="s">
        <v>6260</v>
      </c>
      <c r="O1866" s="1415"/>
      <c r="P1866" s="1393"/>
      <c r="Q1866" s="1396"/>
    </row>
    <row r="1867" spans="1:17" ht="11.1" customHeight="1">
      <c r="A1867" s="31" t="s">
        <v>9738</v>
      </c>
      <c r="B1867" s="187" t="s">
        <v>8615</v>
      </c>
      <c r="C1867" s="187">
        <v>4</v>
      </c>
      <c r="D1867" s="59" t="s">
        <v>9739</v>
      </c>
      <c r="E1867" s="186" t="s">
        <v>6251</v>
      </c>
      <c r="F1867" s="59" t="s">
        <v>8176</v>
      </c>
      <c r="G1867" s="59">
        <v>67</v>
      </c>
      <c r="H1867" s="59" t="s">
        <v>0</v>
      </c>
      <c r="I1867" s="59" t="s">
        <v>8586</v>
      </c>
      <c r="J1867" s="59" t="s">
        <v>6257</v>
      </c>
      <c r="K1867" s="59" t="s">
        <v>6369</v>
      </c>
      <c r="L1867" s="59" t="s">
        <v>6209</v>
      </c>
      <c r="M1867" s="59">
        <v>9</v>
      </c>
      <c r="N1867" s="43" t="s">
        <v>6260</v>
      </c>
      <c r="O1867" s="1415"/>
      <c r="P1867" s="1393"/>
      <c r="Q1867" s="1396"/>
    </row>
    <row r="1868" spans="1:17" ht="11.1" customHeight="1">
      <c r="A1868" s="31" t="s">
        <v>9740</v>
      </c>
      <c r="B1868" s="187" t="s">
        <v>8615</v>
      </c>
      <c r="C1868" s="187">
        <v>4</v>
      </c>
      <c r="D1868" s="59" t="s">
        <v>9741</v>
      </c>
      <c r="E1868" s="186" t="s">
        <v>6251</v>
      </c>
      <c r="F1868" s="59" t="s">
        <v>8190</v>
      </c>
      <c r="G1868" s="59">
        <v>66</v>
      </c>
      <c r="H1868" s="59" t="s">
        <v>0</v>
      </c>
      <c r="I1868" s="59" t="s">
        <v>8586</v>
      </c>
      <c r="J1868" s="59" t="s">
        <v>6257</v>
      </c>
      <c r="K1868" s="59" t="s">
        <v>6311</v>
      </c>
      <c r="L1868" s="59" t="s">
        <v>6209</v>
      </c>
      <c r="M1868" s="59">
        <v>6</v>
      </c>
      <c r="N1868" s="43" t="s">
        <v>6260</v>
      </c>
      <c r="O1868" s="1415"/>
      <c r="P1868" s="1393"/>
      <c r="Q1868" s="1396"/>
    </row>
    <row r="1869" spans="1:17" ht="11.1" customHeight="1">
      <c r="A1869" s="31" t="s">
        <v>9742</v>
      </c>
      <c r="B1869" s="187" t="s">
        <v>8615</v>
      </c>
      <c r="C1869" s="187">
        <v>4</v>
      </c>
      <c r="D1869" s="59" t="s">
        <v>9743</v>
      </c>
      <c r="E1869" s="186" t="s">
        <v>6251</v>
      </c>
      <c r="F1869" s="59" t="s">
        <v>8196</v>
      </c>
      <c r="G1869" s="59">
        <v>54</v>
      </c>
      <c r="H1869" s="59" t="s">
        <v>0</v>
      </c>
      <c r="I1869" s="59" t="s">
        <v>8586</v>
      </c>
      <c r="J1869" s="59" t="s">
        <v>6257</v>
      </c>
      <c r="K1869" s="59" t="s">
        <v>6286</v>
      </c>
      <c r="L1869" s="59" t="s">
        <v>6209</v>
      </c>
      <c r="M1869" s="59">
        <v>5</v>
      </c>
      <c r="N1869" s="43" t="s">
        <v>6260</v>
      </c>
      <c r="O1869" s="1416"/>
      <c r="P1869" s="1394"/>
      <c r="Q1869" s="1397"/>
    </row>
    <row r="1870" spans="1:17" ht="11.1" customHeight="1">
      <c r="A1870" s="51" t="s">
        <v>9744</v>
      </c>
      <c r="B1870" s="192" t="s">
        <v>6217</v>
      </c>
      <c r="C1870" s="192">
        <v>1</v>
      </c>
      <c r="D1870" s="56" t="s">
        <v>9727</v>
      </c>
      <c r="E1870" s="193">
        <v>99.26</v>
      </c>
      <c r="F1870" s="56" t="s">
        <v>8070</v>
      </c>
      <c r="G1870" s="56">
        <v>46</v>
      </c>
      <c r="H1870" s="56" t="s">
        <v>0</v>
      </c>
      <c r="I1870" s="56" t="s">
        <v>8586</v>
      </c>
      <c r="J1870" s="56" t="s">
        <v>6253</v>
      </c>
      <c r="K1870" s="56" t="s">
        <v>6053</v>
      </c>
      <c r="L1870" s="56" t="s">
        <v>6036</v>
      </c>
      <c r="M1870" s="56"/>
      <c r="N1870" s="57" t="s">
        <v>6213</v>
      </c>
      <c r="O1870" s="1408">
        <v>6</v>
      </c>
      <c r="P1870" s="1392">
        <v>1704242</v>
      </c>
      <c r="Q1870" s="1395" t="e">
        <f>P1870/SUM($P$688:$P$749)</f>
        <v>#DIV/0!</v>
      </c>
    </row>
    <row r="1871" spans="1:17" ht="11.1" customHeight="1">
      <c r="A1871" s="31" t="s">
        <v>9745</v>
      </c>
      <c r="B1871" s="194" t="s">
        <v>6217</v>
      </c>
      <c r="C1871" s="194">
        <v>1</v>
      </c>
      <c r="D1871" s="36" t="s">
        <v>9733</v>
      </c>
      <c r="E1871" s="195">
        <v>96.31</v>
      </c>
      <c r="F1871" s="36" t="s">
        <v>8090</v>
      </c>
      <c r="G1871" s="36">
        <v>39</v>
      </c>
      <c r="H1871" s="36" t="s">
        <v>0</v>
      </c>
      <c r="I1871" s="36" t="s">
        <v>8586</v>
      </c>
      <c r="J1871" s="36" t="s">
        <v>6253</v>
      </c>
      <c r="K1871" s="36" t="s">
        <v>6053</v>
      </c>
      <c r="L1871" s="36" t="s">
        <v>6036</v>
      </c>
      <c r="M1871" s="36"/>
      <c r="N1871" s="37" t="s">
        <v>6213</v>
      </c>
      <c r="O1871" s="1409"/>
      <c r="P1871" s="1393"/>
      <c r="Q1871" s="1396"/>
    </row>
    <row r="1872" spans="1:17" ht="11.1" customHeight="1">
      <c r="A1872" s="31" t="s">
        <v>9746</v>
      </c>
      <c r="B1872" s="194" t="s">
        <v>6217</v>
      </c>
      <c r="C1872" s="194">
        <v>1</v>
      </c>
      <c r="D1872" s="36" t="s">
        <v>9737</v>
      </c>
      <c r="E1872" s="195">
        <v>91.71</v>
      </c>
      <c r="F1872" s="36" t="s">
        <v>8128</v>
      </c>
      <c r="G1872" s="36">
        <v>40</v>
      </c>
      <c r="H1872" s="36" t="s">
        <v>0</v>
      </c>
      <c r="I1872" s="36" t="s">
        <v>8586</v>
      </c>
      <c r="J1872" s="36" t="s">
        <v>6253</v>
      </c>
      <c r="K1872" s="36" t="s">
        <v>6207</v>
      </c>
      <c r="L1872" s="36" t="s">
        <v>6036</v>
      </c>
      <c r="M1872" s="36"/>
      <c r="N1872" s="37" t="s">
        <v>6213</v>
      </c>
      <c r="O1872" s="1409"/>
      <c r="P1872" s="1393"/>
      <c r="Q1872" s="1396"/>
    </row>
    <row r="1873" spans="1:17" ht="11.1" customHeight="1">
      <c r="A1873" s="31" t="s">
        <v>9747</v>
      </c>
      <c r="B1873" s="194" t="s">
        <v>6217</v>
      </c>
      <c r="C1873" s="194">
        <v>1</v>
      </c>
      <c r="D1873" s="36" t="s">
        <v>9735</v>
      </c>
      <c r="E1873" s="195">
        <v>85.47</v>
      </c>
      <c r="F1873" s="36" t="s">
        <v>8122</v>
      </c>
      <c r="G1873" s="36">
        <v>43</v>
      </c>
      <c r="H1873" s="36" t="s">
        <v>0</v>
      </c>
      <c r="I1873" s="36" t="s">
        <v>8586</v>
      </c>
      <c r="J1873" s="36" t="s">
        <v>6253</v>
      </c>
      <c r="K1873" s="36" t="s">
        <v>6053</v>
      </c>
      <c r="L1873" s="36" t="s">
        <v>6036</v>
      </c>
      <c r="M1873" s="36"/>
      <c r="N1873" s="37" t="s">
        <v>6213</v>
      </c>
      <c r="O1873" s="1409"/>
      <c r="P1873" s="1393"/>
      <c r="Q1873" s="1396"/>
    </row>
    <row r="1874" spans="1:17" ht="11.1" customHeight="1">
      <c r="A1874" s="31" t="s">
        <v>9748</v>
      </c>
      <c r="B1874" s="194" t="s">
        <v>6217</v>
      </c>
      <c r="C1874" s="194">
        <v>1</v>
      </c>
      <c r="D1874" s="36" t="s">
        <v>9739</v>
      </c>
      <c r="E1874" s="195">
        <v>66.33</v>
      </c>
      <c r="F1874" s="36" t="s">
        <v>8178</v>
      </c>
      <c r="G1874" s="36">
        <v>35</v>
      </c>
      <c r="H1874" s="36" t="s">
        <v>0</v>
      </c>
      <c r="I1874" s="36" t="s">
        <v>8586</v>
      </c>
      <c r="J1874" s="36" t="s">
        <v>6253</v>
      </c>
      <c r="K1874" s="36" t="s">
        <v>6053</v>
      </c>
      <c r="L1874" s="36" t="s">
        <v>6036</v>
      </c>
      <c r="M1874" s="36"/>
      <c r="N1874" s="37" t="s">
        <v>6213</v>
      </c>
      <c r="O1874" s="1409"/>
      <c r="P1874" s="1393"/>
      <c r="Q1874" s="1396"/>
    </row>
    <row r="1875" spans="1:17" ht="11.1" customHeight="1">
      <c r="A1875" s="31" t="s">
        <v>9749</v>
      </c>
      <c r="B1875" s="194" t="s">
        <v>6217</v>
      </c>
      <c r="C1875" s="194">
        <v>1</v>
      </c>
      <c r="D1875" s="36" t="s">
        <v>9729</v>
      </c>
      <c r="E1875" s="195">
        <v>65.900000000000006</v>
      </c>
      <c r="F1875" s="36" t="s">
        <v>8076</v>
      </c>
      <c r="G1875" s="36">
        <v>48</v>
      </c>
      <c r="H1875" s="36" t="s">
        <v>0</v>
      </c>
      <c r="I1875" s="36" t="s">
        <v>8586</v>
      </c>
      <c r="J1875" s="36" t="s">
        <v>6253</v>
      </c>
      <c r="K1875" s="36" t="s">
        <v>6254</v>
      </c>
      <c r="L1875" s="36" t="s">
        <v>6036</v>
      </c>
      <c r="M1875" s="36"/>
      <c r="N1875" s="37" t="s">
        <v>6213</v>
      </c>
      <c r="O1875" s="1409"/>
      <c r="P1875" s="1393"/>
      <c r="Q1875" s="1396"/>
    </row>
    <row r="1876" spans="1:17" ht="11.1" customHeight="1">
      <c r="A1876" s="31" t="s">
        <v>9750</v>
      </c>
      <c r="B1876" s="187"/>
      <c r="C1876" s="187">
        <v>1</v>
      </c>
      <c r="D1876" s="42" t="s">
        <v>9741</v>
      </c>
      <c r="E1876" s="188">
        <v>63.72</v>
      </c>
      <c r="F1876" s="42" t="s">
        <v>8192</v>
      </c>
      <c r="G1876" s="42">
        <v>39</v>
      </c>
      <c r="H1876" s="42" t="s">
        <v>0</v>
      </c>
      <c r="I1876" s="42" t="s">
        <v>8586</v>
      </c>
      <c r="J1876" s="42" t="s">
        <v>6253</v>
      </c>
      <c r="K1876" s="42" t="s">
        <v>6035</v>
      </c>
      <c r="L1876" s="42" t="s">
        <v>6036</v>
      </c>
      <c r="M1876" s="42"/>
      <c r="N1876" s="43" t="s">
        <v>6213</v>
      </c>
      <c r="O1876" s="1409"/>
      <c r="P1876" s="1393"/>
      <c r="Q1876" s="1396"/>
    </row>
    <row r="1877" spans="1:17" ht="11.1" customHeight="1">
      <c r="A1877" s="31" t="s">
        <v>9751</v>
      </c>
      <c r="B1877" s="187"/>
      <c r="C1877" s="187">
        <v>1</v>
      </c>
      <c r="D1877" s="42" t="s">
        <v>9695</v>
      </c>
      <c r="E1877" s="188">
        <v>56.95</v>
      </c>
      <c r="F1877" s="212" t="s">
        <v>8108</v>
      </c>
      <c r="G1877" s="42">
        <v>33</v>
      </c>
      <c r="H1877" s="212" t="s">
        <v>0</v>
      </c>
      <c r="I1877" s="42" t="s">
        <v>8586</v>
      </c>
      <c r="J1877" s="42" t="s">
        <v>6253</v>
      </c>
      <c r="K1877" s="212" t="s">
        <v>6053</v>
      </c>
      <c r="L1877" s="212" t="s">
        <v>6036</v>
      </c>
      <c r="M1877" s="42"/>
      <c r="N1877" s="43"/>
      <c r="O1877" s="1409"/>
      <c r="P1877" s="1393"/>
      <c r="Q1877" s="1396"/>
    </row>
    <row r="1878" spans="1:17" ht="11.1" customHeight="1">
      <c r="A1878" s="31" t="s">
        <v>9752</v>
      </c>
      <c r="B1878" s="187"/>
      <c r="C1878" s="187">
        <v>1</v>
      </c>
      <c r="D1878" s="42" t="s">
        <v>9725</v>
      </c>
      <c r="E1878" s="188">
        <v>53.66</v>
      </c>
      <c r="F1878" s="42" t="s">
        <v>8062</v>
      </c>
      <c r="G1878" s="42">
        <v>49</v>
      </c>
      <c r="H1878" s="42" t="s">
        <v>0</v>
      </c>
      <c r="I1878" s="42" t="s">
        <v>8586</v>
      </c>
      <c r="J1878" s="42" t="s">
        <v>6253</v>
      </c>
      <c r="K1878" s="42" t="s">
        <v>6053</v>
      </c>
      <c r="L1878" s="42" t="s">
        <v>6036</v>
      </c>
      <c r="M1878" s="42"/>
      <c r="N1878" s="43" t="s">
        <v>6213</v>
      </c>
      <c r="O1878" s="1409"/>
      <c r="P1878" s="1393"/>
      <c r="Q1878" s="1396"/>
    </row>
    <row r="1879" spans="1:17" ht="11.1" customHeight="1">
      <c r="A1879" s="31" t="s">
        <v>9753</v>
      </c>
      <c r="B1879" s="187"/>
      <c r="C1879" s="187">
        <v>1</v>
      </c>
      <c r="D1879" s="42" t="s">
        <v>9743</v>
      </c>
      <c r="E1879" s="188">
        <v>48.44</v>
      </c>
      <c r="F1879" s="212" t="s">
        <v>8198</v>
      </c>
      <c r="G1879" s="42">
        <v>50</v>
      </c>
      <c r="H1879" s="269" t="s">
        <v>6049</v>
      </c>
      <c r="I1879" s="42" t="s">
        <v>8586</v>
      </c>
      <c r="J1879" s="42" t="s">
        <v>6253</v>
      </c>
      <c r="K1879" s="212" t="s">
        <v>6053</v>
      </c>
      <c r="L1879" s="42" t="s">
        <v>6036</v>
      </c>
      <c r="M1879" s="42"/>
      <c r="N1879" s="43" t="s">
        <v>6213</v>
      </c>
      <c r="O1879" s="1409"/>
      <c r="P1879" s="1393"/>
      <c r="Q1879" s="1396"/>
    </row>
    <row r="1880" spans="1:17" ht="11.1" customHeight="1">
      <c r="A1880" s="31" t="s">
        <v>9754</v>
      </c>
      <c r="B1880" s="187"/>
      <c r="C1880" s="187">
        <v>19</v>
      </c>
      <c r="D1880" s="42" t="s">
        <v>8608</v>
      </c>
      <c r="E1880" s="188" t="s">
        <v>6262</v>
      </c>
      <c r="F1880" s="42" t="s">
        <v>9755</v>
      </c>
      <c r="G1880" s="42">
        <v>41</v>
      </c>
      <c r="H1880" s="42" t="s">
        <v>0</v>
      </c>
      <c r="I1880" s="42"/>
      <c r="J1880" s="42" t="s">
        <v>6253</v>
      </c>
      <c r="K1880" s="42" t="s">
        <v>6053</v>
      </c>
      <c r="L1880" s="42" t="s">
        <v>6036</v>
      </c>
      <c r="M1880" s="42"/>
      <c r="N1880" s="207"/>
      <c r="O1880" s="1409"/>
      <c r="P1880" s="1393"/>
      <c r="Q1880" s="1396"/>
    </row>
    <row r="1881" spans="1:17" ht="11.1" customHeight="1">
      <c r="A1881" s="31" t="s">
        <v>9756</v>
      </c>
      <c r="B1881" s="187" t="s">
        <v>8615</v>
      </c>
      <c r="C1881" s="187">
        <v>1</v>
      </c>
      <c r="D1881" s="36" t="s">
        <v>9715</v>
      </c>
      <c r="E1881" s="195" t="s">
        <v>6251</v>
      </c>
      <c r="F1881" s="36" t="s">
        <v>8096</v>
      </c>
      <c r="G1881" s="36">
        <v>37</v>
      </c>
      <c r="H1881" s="36" t="s">
        <v>0</v>
      </c>
      <c r="I1881" s="36" t="s">
        <v>8586</v>
      </c>
      <c r="J1881" s="36" t="s">
        <v>6253</v>
      </c>
      <c r="K1881" s="36" t="s">
        <v>6053</v>
      </c>
      <c r="L1881" s="36" t="s">
        <v>6209</v>
      </c>
      <c r="M1881" s="36">
        <v>2</v>
      </c>
      <c r="N1881" s="43"/>
      <c r="O1881" s="1409"/>
      <c r="P1881" s="1393"/>
      <c r="Q1881" s="1396"/>
    </row>
    <row r="1882" spans="1:17" ht="11.1" customHeight="1">
      <c r="A1882" s="31" t="s">
        <v>9757</v>
      </c>
      <c r="B1882" s="187" t="s">
        <v>8615</v>
      </c>
      <c r="C1882" s="187">
        <v>1</v>
      </c>
      <c r="D1882" s="36" t="s">
        <v>9711</v>
      </c>
      <c r="E1882" s="195" t="s">
        <v>6251</v>
      </c>
      <c r="F1882" s="36" t="s">
        <v>8114</v>
      </c>
      <c r="G1882" s="36">
        <v>37</v>
      </c>
      <c r="H1882" s="36" t="s">
        <v>0</v>
      </c>
      <c r="I1882" s="36" t="s">
        <v>8586</v>
      </c>
      <c r="J1882" s="36" t="s">
        <v>6253</v>
      </c>
      <c r="K1882" s="36" t="s">
        <v>6053</v>
      </c>
      <c r="L1882" s="36" t="s">
        <v>6209</v>
      </c>
      <c r="M1882" s="36">
        <v>1</v>
      </c>
      <c r="N1882" s="43" t="s">
        <v>6213</v>
      </c>
      <c r="O1882" s="1409"/>
      <c r="P1882" s="1393"/>
      <c r="Q1882" s="1396"/>
    </row>
    <row r="1883" spans="1:17" ht="11.1" customHeight="1">
      <c r="A1883" s="31" t="s">
        <v>9758</v>
      </c>
      <c r="B1883" s="187" t="s">
        <v>8615</v>
      </c>
      <c r="C1883" s="187">
        <v>1</v>
      </c>
      <c r="D1883" s="36" t="s">
        <v>9709</v>
      </c>
      <c r="E1883" s="195" t="s">
        <v>6251</v>
      </c>
      <c r="F1883" s="36" t="s">
        <v>8138</v>
      </c>
      <c r="G1883" s="36">
        <v>38</v>
      </c>
      <c r="H1883" s="36" t="s">
        <v>0</v>
      </c>
      <c r="I1883" s="36" t="s">
        <v>8586</v>
      </c>
      <c r="J1883" s="36" t="s">
        <v>6253</v>
      </c>
      <c r="K1883" s="36" t="s">
        <v>6053</v>
      </c>
      <c r="L1883" s="36" t="s">
        <v>6209</v>
      </c>
      <c r="M1883" s="36">
        <v>2</v>
      </c>
      <c r="N1883" s="43" t="s">
        <v>6213</v>
      </c>
      <c r="O1883" s="1409"/>
      <c r="P1883" s="1393"/>
      <c r="Q1883" s="1396"/>
    </row>
    <row r="1884" spans="1:17" ht="11.1" customHeight="1">
      <c r="A1884" s="31" t="s">
        <v>9759</v>
      </c>
      <c r="B1884" s="187" t="s">
        <v>8615</v>
      </c>
      <c r="C1884" s="187">
        <v>1</v>
      </c>
      <c r="D1884" s="36" t="s">
        <v>9713</v>
      </c>
      <c r="E1884" s="195" t="s">
        <v>6251</v>
      </c>
      <c r="F1884" s="36" t="s">
        <v>8144</v>
      </c>
      <c r="G1884" s="36">
        <v>39</v>
      </c>
      <c r="H1884" s="36" t="s">
        <v>0</v>
      </c>
      <c r="I1884" s="36" t="s">
        <v>8586</v>
      </c>
      <c r="J1884" s="36" t="s">
        <v>6253</v>
      </c>
      <c r="K1884" s="36" t="s">
        <v>6053</v>
      </c>
      <c r="L1884" s="36" t="s">
        <v>6036</v>
      </c>
      <c r="M1884" s="36"/>
      <c r="N1884" s="43" t="s">
        <v>6213</v>
      </c>
      <c r="O1884" s="1409"/>
      <c r="P1884" s="1393"/>
      <c r="Q1884" s="1396"/>
    </row>
    <row r="1885" spans="1:17" ht="11.1" customHeight="1">
      <c r="A1885" s="31" t="s">
        <v>9760</v>
      </c>
      <c r="B1885" s="187" t="s">
        <v>8615</v>
      </c>
      <c r="C1885" s="187">
        <v>1</v>
      </c>
      <c r="D1885" s="36" t="s">
        <v>9701</v>
      </c>
      <c r="E1885" s="195" t="s">
        <v>6251</v>
      </c>
      <c r="F1885" s="36" t="s">
        <v>8150</v>
      </c>
      <c r="G1885" s="36">
        <v>45</v>
      </c>
      <c r="H1885" s="36" t="s">
        <v>0</v>
      </c>
      <c r="I1885" s="36" t="s">
        <v>8586</v>
      </c>
      <c r="J1885" s="36" t="s">
        <v>6253</v>
      </c>
      <c r="K1885" s="36" t="s">
        <v>6035</v>
      </c>
      <c r="L1885" s="36" t="s">
        <v>6036</v>
      </c>
      <c r="M1885" s="36"/>
      <c r="N1885" s="43" t="s">
        <v>6213</v>
      </c>
      <c r="O1885" s="1409"/>
      <c r="P1885" s="1393"/>
      <c r="Q1885" s="1396"/>
    </row>
    <row r="1886" spans="1:17" ht="11.1" customHeight="1">
      <c r="A1886" s="31" t="s">
        <v>9761</v>
      </c>
      <c r="B1886" s="187" t="s">
        <v>8615</v>
      </c>
      <c r="C1886" s="187">
        <v>1</v>
      </c>
      <c r="D1886" s="36" t="s">
        <v>9703</v>
      </c>
      <c r="E1886" s="195" t="s">
        <v>6251</v>
      </c>
      <c r="F1886" s="36" t="s">
        <v>8156</v>
      </c>
      <c r="G1886" s="36">
        <v>50</v>
      </c>
      <c r="H1886" s="36" t="s">
        <v>0</v>
      </c>
      <c r="I1886" s="36" t="s">
        <v>8586</v>
      </c>
      <c r="J1886" s="36" t="s">
        <v>6253</v>
      </c>
      <c r="K1886" s="36" t="s">
        <v>6053</v>
      </c>
      <c r="L1886" s="36" t="s">
        <v>6209</v>
      </c>
      <c r="M1886" s="36">
        <v>1</v>
      </c>
      <c r="N1886" s="43" t="s">
        <v>6213</v>
      </c>
      <c r="O1886" s="1409"/>
      <c r="P1886" s="1393"/>
      <c r="Q1886" s="1396"/>
    </row>
    <row r="1887" spans="1:17" ht="11.1" customHeight="1">
      <c r="A1887" s="31" t="s">
        <v>9762</v>
      </c>
      <c r="B1887" s="187" t="s">
        <v>8615</v>
      </c>
      <c r="C1887" s="187">
        <v>1</v>
      </c>
      <c r="D1887" s="36" t="s">
        <v>9707</v>
      </c>
      <c r="E1887" s="195" t="s">
        <v>6251</v>
      </c>
      <c r="F1887" s="36" t="s">
        <v>8170</v>
      </c>
      <c r="G1887" s="36">
        <v>46</v>
      </c>
      <c r="H1887" s="36" t="s">
        <v>0</v>
      </c>
      <c r="I1887" s="36" t="s">
        <v>8586</v>
      </c>
      <c r="J1887" s="36" t="s">
        <v>6253</v>
      </c>
      <c r="K1887" s="36" t="s">
        <v>6053</v>
      </c>
      <c r="L1887" s="36" t="s">
        <v>6209</v>
      </c>
      <c r="M1887" s="36">
        <v>2</v>
      </c>
      <c r="N1887" s="43" t="s">
        <v>6213</v>
      </c>
      <c r="O1887" s="1409"/>
      <c r="P1887" s="1393"/>
      <c r="Q1887" s="1396"/>
    </row>
    <row r="1888" spans="1:17" ht="11.1" customHeight="1">
      <c r="A1888" s="44" t="s">
        <v>9763</v>
      </c>
      <c r="B1888" s="190" t="s">
        <v>8615</v>
      </c>
      <c r="C1888" s="190">
        <v>1</v>
      </c>
      <c r="D1888" s="141" t="s">
        <v>9705</v>
      </c>
      <c r="E1888" s="196" t="s">
        <v>6251</v>
      </c>
      <c r="F1888" s="141" t="s">
        <v>8184</v>
      </c>
      <c r="G1888" s="141">
        <v>55</v>
      </c>
      <c r="H1888" s="141" t="s">
        <v>0</v>
      </c>
      <c r="I1888" s="141" t="s">
        <v>8586</v>
      </c>
      <c r="J1888" s="141" t="s">
        <v>6253</v>
      </c>
      <c r="K1888" s="141" t="s">
        <v>6053</v>
      </c>
      <c r="L1888" s="141" t="s">
        <v>6209</v>
      </c>
      <c r="M1888" s="141">
        <v>4</v>
      </c>
      <c r="N1888" s="50" t="s">
        <v>6213</v>
      </c>
      <c r="O1888" s="1410"/>
      <c r="P1888" s="1394"/>
      <c r="Q1888" s="1397"/>
    </row>
    <row r="1889" spans="1:17" ht="11.1" customHeight="1">
      <c r="A1889" s="51" t="s">
        <v>9764</v>
      </c>
      <c r="B1889" s="197" t="s">
        <v>6217</v>
      </c>
      <c r="C1889" s="197">
        <v>1</v>
      </c>
      <c r="D1889" s="198" t="s">
        <v>8608</v>
      </c>
      <c r="E1889" s="199" t="s">
        <v>6262</v>
      </c>
      <c r="F1889" s="198" t="s">
        <v>9765</v>
      </c>
      <c r="G1889" s="198">
        <v>57</v>
      </c>
      <c r="H1889" s="198" t="s">
        <v>0</v>
      </c>
      <c r="I1889" s="198"/>
      <c r="J1889" s="198" t="s">
        <v>6929</v>
      </c>
      <c r="K1889" s="198"/>
      <c r="L1889" s="198" t="s">
        <v>6209</v>
      </c>
      <c r="M1889" s="198">
        <v>5</v>
      </c>
      <c r="N1889" s="200"/>
      <c r="O1889" s="1411">
        <v>1</v>
      </c>
      <c r="P1889" s="1392">
        <v>555552</v>
      </c>
      <c r="Q1889" s="1395" t="e">
        <f>P1889/SUM($P$688:$P$749)</f>
        <v>#DIV/0!</v>
      </c>
    </row>
    <row r="1890" spans="1:17" ht="11.1" customHeight="1">
      <c r="A1890" s="31" t="s">
        <v>9766</v>
      </c>
      <c r="B1890" s="187"/>
      <c r="C1890" s="187">
        <v>2</v>
      </c>
      <c r="D1890" s="42" t="s">
        <v>8608</v>
      </c>
      <c r="E1890" s="188" t="s">
        <v>6262</v>
      </c>
      <c r="F1890" s="42" t="s">
        <v>9767</v>
      </c>
      <c r="G1890" s="42">
        <v>58</v>
      </c>
      <c r="H1890" s="42" t="s">
        <v>0</v>
      </c>
      <c r="I1890" s="42"/>
      <c r="J1890" s="42" t="s">
        <v>6929</v>
      </c>
      <c r="K1890" s="42"/>
      <c r="L1890" s="42" t="s">
        <v>6209</v>
      </c>
      <c r="M1890" s="42">
        <v>5</v>
      </c>
      <c r="N1890" s="207"/>
      <c r="O1890" s="1412"/>
      <c r="P1890" s="1393"/>
      <c r="Q1890" s="1396"/>
    </row>
    <row r="1891" spans="1:17" ht="11.1" customHeight="1">
      <c r="A1891" s="44" t="s">
        <v>9768</v>
      </c>
      <c r="B1891" s="190"/>
      <c r="C1891" s="190">
        <v>3</v>
      </c>
      <c r="D1891" s="49" t="s">
        <v>8608</v>
      </c>
      <c r="E1891" s="201" t="s">
        <v>6262</v>
      </c>
      <c r="F1891" s="49" t="s">
        <v>9769</v>
      </c>
      <c r="G1891" s="49">
        <v>45</v>
      </c>
      <c r="H1891" s="49" t="s">
        <v>0</v>
      </c>
      <c r="I1891" s="49"/>
      <c r="J1891" s="49" t="s">
        <v>6929</v>
      </c>
      <c r="K1891" s="49"/>
      <c r="L1891" s="49" t="s">
        <v>6036</v>
      </c>
      <c r="M1891" s="49"/>
      <c r="N1891" s="202"/>
      <c r="O1891" s="1413"/>
      <c r="P1891" s="1394"/>
      <c r="Q1891" s="1397"/>
    </row>
    <row r="1892" spans="1:17" ht="11.1" customHeight="1">
      <c r="A1892" s="51" t="s">
        <v>9770</v>
      </c>
      <c r="B1892" s="203"/>
      <c r="C1892" s="203">
        <v>1</v>
      </c>
      <c r="D1892" s="204" t="s">
        <v>8608</v>
      </c>
      <c r="E1892" s="205" t="s">
        <v>6262</v>
      </c>
      <c r="F1892" s="204" t="s">
        <v>9771</v>
      </c>
      <c r="G1892" s="204">
        <v>63</v>
      </c>
      <c r="H1892" s="204" t="s">
        <v>6049</v>
      </c>
      <c r="I1892" s="204"/>
      <c r="J1892" s="204" t="s">
        <v>6264</v>
      </c>
      <c r="K1892" s="204"/>
      <c r="L1892" s="204" t="s">
        <v>6283</v>
      </c>
      <c r="M1892" s="204">
        <v>4</v>
      </c>
      <c r="N1892" s="206"/>
      <c r="O1892" s="1402">
        <v>0</v>
      </c>
      <c r="P1892" s="1392">
        <v>244761</v>
      </c>
      <c r="Q1892" s="1395" t="e">
        <f>P1892/SUM($P$688:$P$749)</f>
        <v>#DIV/0!</v>
      </c>
    </row>
    <row r="1893" spans="1:17" ht="11.1" customHeight="1">
      <c r="A1893" s="31" t="s">
        <v>9772</v>
      </c>
      <c r="B1893" s="187"/>
      <c r="C1893" s="187">
        <v>7</v>
      </c>
      <c r="D1893" s="42" t="s">
        <v>8608</v>
      </c>
      <c r="E1893" s="188" t="s">
        <v>6262</v>
      </c>
      <c r="F1893" s="42" t="s">
        <v>9773</v>
      </c>
      <c r="G1893" s="42">
        <v>33</v>
      </c>
      <c r="H1893" s="42" t="s">
        <v>6049</v>
      </c>
      <c r="I1893" s="42"/>
      <c r="J1893" s="42" t="s">
        <v>6264</v>
      </c>
      <c r="K1893" s="42"/>
      <c r="L1893" s="42" t="s">
        <v>6036</v>
      </c>
      <c r="M1893" s="42"/>
      <c r="N1893" s="207"/>
      <c r="O1893" s="1403"/>
      <c r="P1893" s="1393"/>
      <c r="Q1893" s="1396"/>
    </row>
    <row r="1894" spans="1:17" ht="11.1" customHeight="1">
      <c r="A1894" s="31" t="s">
        <v>9774</v>
      </c>
      <c r="B1894" s="187" t="s">
        <v>6231</v>
      </c>
      <c r="C1894" s="187">
        <v>2</v>
      </c>
      <c r="D1894" s="42" t="s">
        <v>9737</v>
      </c>
      <c r="E1894" s="188">
        <v>9.3699999999999992</v>
      </c>
      <c r="F1894" s="42" t="s">
        <v>8130</v>
      </c>
      <c r="G1894" s="42">
        <v>54</v>
      </c>
      <c r="H1894" s="42" t="s">
        <v>0</v>
      </c>
      <c r="I1894" s="212" t="s">
        <v>8586</v>
      </c>
      <c r="J1894" s="42" t="s">
        <v>6264</v>
      </c>
      <c r="K1894" s="42"/>
      <c r="L1894" s="42" t="s">
        <v>6036</v>
      </c>
      <c r="M1894" s="42"/>
      <c r="N1894" s="207"/>
      <c r="O1894" s="1403"/>
      <c r="P1894" s="1393"/>
      <c r="Q1894" s="1396"/>
    </row>
    <row r="1895" spans="1:17" ht="11.1" customHeight="1">
      <c r="A1895" s="31" t="s">
        <v>9775</v>
      </c>
      <c r="B1895" s="187" t="s">
        <v>6231</v>
      </c>
      <c r="C1895" s="187">
        <v>2</v>
      </c>
      <c r="D1895" s="42" t="s">
        <v>9733</v>
      </c>
      <c r="E1895" s="188">
        <v>8.9499999999999993</v>
      </c>
      <c r="F1895" s="42" t="s">
        <v>8092</v>
      </c>
      <c r="G1895" s="42">
        <v>33</v>
      </c>
      <c r="H1895" s="42" t="s">
        <v>0</v>
      </c>
      <c r="I1895" s="212" t="s">
        <v>8586</v>
      </c>
      <c r="J1895" s="42" t="s">
        <v>6264</v>
      </c>
      <c r="K1895" s="42"/>
      <c r="L1895" s="42" t="s">
        <v>6036</v>
      </c>
      <c r="M1895" s="42"/>
      <c r="N1895" s="207"/>
      <c r="O1895" s="1403"/>
      <c r="P1895" s="1393"/>
      <c r="Q1895" s="1396"/>
    </row>
    <row r="1896" spans="1:17" ht="11.1" customHeight="1">
      <c r="A1896" s="31" t="s">
        <v>9776</v>
      </c>
      <c r="B1896" s="187" t="s">
        <v>6231</v>
      </c>
      <c r="C1896" s="187">
        <v>2</v>
      </c>
      <c r="D1896" s="42" t="s">
        <v>9729</v>
      </c>
      <c r="E1896" s="188">
        <v>7.28</v>
      </c>
      <c r="F1896" s="42" t="s">
        <v>8078</v>
      </c>
      <c r="G1896" s="42">
        <v>31</v>
      </c>
      <c r="H1896" s="42" t="s">
        <v>0</v>
      </c>
      <c r="I1896" s="212" t="s">
        <v>8586</v>
      </c>
      <c r="J1896" s="42" t="s">
        <v>6264</v>
      </c>
      <c r="K1896" s="42"/>
      <c r="L1896" s="42" t="s">
        <v>6036</v>
      </c>
      <c r="M1896" s="42"/>
      <c r="N1896" s="207"/>
      <c r="O1896" s="1403"/>
      <c r="P1896" s="1393"/>
      <c r="Q1896" s="1396"/>
    </row>
    <row r="1897" spans="1:17" ht="11.1" customHeight="1">
      <c r="A1897" s="31" t="s">
        <v>9777</v>
      </c>
      <c r="B1897" s="187" t="s">
        <v>6231</v>
      </c>
      <c r="C1897" s="187">
        <v>2</v>
      </c>
      <c r="D1897" s="42" t="s">
        <v>9739</v>
      </c>
      <c r="E1897" s="188">
        <v>7.12</v>
      </c>
      <c r="F1897" s="42" t="s">
        <v>8180</v>
      </c>
      <c r="G1897" s="42">
        <v>56</v>
      </c>
      <c r="H1897" s="42" t="s">
        <v>0</v>
      </c>
      <c r="I1897" s="212" t="s">
        <v>8586</v>
      </c>
      <c r="J1897" s="42" t="s">
        <v>6264</v>
      </c>
      <c r="K1897" s="42"/>
      <c r="L1897" s="42" t="s">
        <v>6036</v>
      </c>
      <c r="M1897" s="42"/>
      <c r="N1897" s="207"/>
      <c r="O1897" s="1403"/>
      <c r="P1897" s="1393"/>
      <c r="Q1897" s="1396"/>
    </row>
    <row r="1898" spans="1:17" ht="11.1" customHeight="1">
      <c r="A1898" s="44" t="s">
        <v>9778</v>
      </c>
      <c r="B1898" s="190" t="s">
        <v>6231</v>
      </c>
      <c r="C1898" s="190">
        <v>2</v>
      </c>
      <c r="D1898" s="49" t="s">
        <v>9725</v>
      </c>
      <c r="E1898" s="201">
        <v>6.21</v>
      </c>
      <c r="F1898" s="49" t="s">
        <v>8064</v>
      </c>
      <c r="G1898" s="49">
        <v>52</v>
      </c>
      <c r="H1898" s="49" t="s">
        <v>0</v>
      </c>
      <c r="I1898" s="213" t="s">
        <v>8586</v>
      </c>
      <c r="J1898" s="49" t="s">
        <v>6264</v>
      </c>
      <c r="K1898" s="49"/>
      <c r="L1898" s="49" t="s">
        <v>6036</v>
      </c>
      <c r="M1898" s="49"/>
      <c r="N1898" s="202"/>
      <c r="O1898" s="1404"/>
      <c r="P1898" s="1394"/>
      <c r="Q1898" s="1397"/>
    </row>
    <row r="1899" spans="1:17" ht="11.1" customHeight="1">
      <c r="A1899" s="236" t="s">
        <v>9779</v>
      </c>
      <c r="B1899" s="237" t="s">
        <v>6231</v>
      </c>
      <c r="C1899" s="237">
        <v>1</v>
      </c>
      <c r="D1899" s="5" t="s">
        <v>9737</v>
      </c>
      <c r="E1899" s="238">
        <v>5.7</v>
      </c>
      <c r="F1899" s="5" t="s">
        <v>8132</v>
      </c>
      <c r="G1899" s="5">
        <v>49</v>
      </c>
      <c r="H1899" s="5" t="s">
        <v>0</v>
      </c>
      <c r="I1899" s="5" t="s">
        <v>8586</v>
      </c>
      <c r="J1899" s="5" t="s">
        <v>6278</v>
      </c>
      <c r="K1899" s="5"/>
      <c r="L1899" s="5" t="s">
        <v>6036</v>
      </c>
      <c r="M1899" s="5"/>
      <c r="N1899" s="239"/>
      <c r="O1899" s="270">
        <v>0</v>
      </c>
      <c r="P1899" s="241">
        <v>156291</v>
      </c>
      <c r="Q1899" s="242" t="e">
        <f>P1899/SUM($P$688:$P$749)</f>
        <v>#DIV/0!</v>
      </c>
    </row>
    <row r="1900" spans="1:17" ht="11.1" customHeight="1">
      <c r="A1900" s="51" t="s">
        <v>9780</v>
      </c>
      <c r="B1900" s="203"/>
      <c r="C1900" s="203">
        <v>1</v>
      </c>
      <c r="D1900" s="204" t="s">
        <v>9731</v>
      </c>
      <c r="E1900" s="205">
        <v>79.97</v>
      </c>
      <c r="F1900" s="271" t="s">
        <v>8084</v>
      </c>
      <c r="G1900" s="204">
        <v>69</v>
      </c>
      <c r="H1900" s="204" t="s">
        <v>0</v>
      </c>
      <c r="I1900" s="204" t="s">
        <v>8586</v>
      </c>
      <c r="J1900" s="204" t="s">
        <v>7280</v>
      </c>
      <c r="K1900" s="204"/>
      <c r="L1900" s="204" t="s">
        <v>6209</v>
      </c>
      <c r="M1900" s="204">
        <v>5</v>
      </c>
      <c r="N1900" s="230" t="s">
        <v>7281</v>
      </c>
      <c r="O1900" s="1389">
        <v>0</v>
      </c>
      <c r="P1900" s="1392">
        <v>208208</v>
      </c>
      <c r="Q1900" s="1395" t="e">
        <f>P1900/SUM($P$688:$P$749)</f>
        <v>#DIV/0!</v>
      </c>
    </row>
    <row r="1901" spans="1:17" ht="11.1" customHeight="1">
      <c r="A1901" s="31" t="s">
        <v>9781</v>
      </c>
      <c r="B1901" s="187"/>
      <c r="C1901" s="187">
        <v>4</v>
      </c>
      <c r="D1901" s="42" t="s">
        <v>8608</v>
      </c>
      <c r="E1901" s="188" t="s">
        <v>6262</v>
      </c>
      <c r="F1901" s="42" t="s">
        <v>9782</v>
      </c>
      <c r="G1901" s="42">
        <v>65</v>
      </c>
      <c r="H1901" s="42" t="s">
        <v>0</v>
      </c>
      <c r="I1901" s="42"/>
      <c r="J1901" s="42" t="s">
        <v>7280</v>
      </c>
      <c r="K1901" s="42"/>
      <c r="L1901" s="42" t="s">
        <v>6036</v>
      </c>
      <c r="M1901" s="42"/>
      <c r="N1901" s="207"/>
      <c r="O1901" s="1390"/>
      <c r="P1901" s="1393"/>
      <c r="Q1901" s="1396"/>
    </row>
    <row r="1902" spans="1:17" ht="11.1" customHeight="1">
      <c r="A1902" s="31" t="s">
        <v>9783</v>
      </c>
      <c r="B1902" s="187" t="s">
        <v>6231</v>
      </c>
      <c r="C1902" s="187">
        <v>1</v>
      </c>
      <c r="D1902" s="42" t="s">
        <v>9715</v>
      </c>
      <c r="E1902" s="188">
        <v>5.88</v>
      </c>
      <c r="F1902" s="42" t="s">
        <v>8102</v>
      </c>
      <c r="G1902" s="42">
        <v>42</v>
      </c>
      <c r="H1902" s="42" t="s">
        <v>0</v>
      </c>
      <c r="I1902" s="42" t="s">
        <v>8586</v>
      </c>
      <c r="J1902" s="42" t="s">
        <v>7280</v>
      </c>
      <c r="K1902" s="42"/>
      <c r="L1902" s="42" t="s">
        <v>6036</v>
      </c>
      <c r="M1902" s="42"/>
      <c r="N1902" s="207"/>
      <c r="O1902" s="1390"/>
      <c r="P1902" s="1393"/>
      <c r="Q1902" s="1396"/>
    </row>
    <row r="1903" spans="1:17" ht="11.1" customHeight="1">
      <c r="A1903" s="44" t="s">
        <v>9784</v>
      </c>
      <c r="B1903" s="190" t="s">
        <v>8615</v>
      </c>
      <c r="C1903" s="190">
        <v>1</v>
      </c>
      <c r="D1903" s="272" t="s">
        <v>9717</v>
      </c>
      <c r="E1903" s="273" t="s">
        <v>6251</v>
      </c>
      <c r="F1903" s="272" t="s">
        <v>8162</v>
      </c>
      <c r="G1903" s="272">
        <v>72</v>
      </c>
      <c r="H1903" s="272" t="s">
        <v>0</v>
      </c>
      <c r="I1903" s="272" t="s">
        <v>8586</v>
      </c>
      <c r="J1903" s="272" t="s">
        <v>7280</v>
      </c>
      <c r="K1903" s="272"/>
      <c r="L1903" s="272" t="s">
        <v>6209</v>
      </c>
      <c r="M1903" s="272">
        <v>10</v>
      </c>
      <c r="N1903" s="202" t="s">
        <v>6481</v>
      </c>
      <c r="O1903" s="1391"/>
      <c r="P1903" s="1394"/>
      <c r="Q1903" s="1397"/>
    </row>
    <row r="1904" spans="1:17" ht="11.1" customHeight="1">
      <c r="A1904" s="31" t="s">
        <v>9785</v>
      </c>
      <c r="B1904" s="187"/>
      <c r="C1904" s="187">
        <v>1</v>
      </c>
      <c r="D1904" s="42" t="s">
        <v>8608</v>
      </c>
      <c r="E1904" s="188" t="s">
        <v>6262</v>
      </c>
      <c r="F1904" s="42" t="s">
        <v>9786</v>
      </c>
      <c r="G1904" s="42">
        <v>54</v>
      </c>
      <c r="H1904" s="42" t="s">
        <v>0</v>
      </c>
      <c r="I1904" s="42"/>
      <c r="J1904" s="42" t="s">
        <v>6267</v>
      </c>
      <c r="K1904" s="42" t="s">
        <v>6268</v>
      </c>
      <c r="L1904" s="42" t="s">
        <v>6036</v>
      </c>
      <c r="M1904" s="42"/>
      <c r="N1904" s="207"/>
      <c r="O1904" s="1398">
        <v>0</v>
      </c>
      <c r="P1904" s="1393">
        <v>32319</v>
      </c>
      <c r="Q1904" s="1396" t="e">
        <f>P1904/SUM($P$688:$P$749)</f>
        <v>#DIV/0!</v>
      </c>
    </row>
    <row r="1905" spans="1:17" ht="11.1" customHeight="1">
      <c r="A1905" s="31" t="s">
        <v>9787</v>
      </c>
      <c r="B1905" s="187"/>
      <c r="C1905" s="187">
        <v>2</v>
      </c>
      <c r="D1905" s="42" t="s">
        <v>8608</v>
      </c>
      <c r="E1905" s="188" t="s">
        <v>6262</v>
      </c>
      <c r="F1905" s="42" t="s">
        <v>9788</v>
      </c>
      <c r="G1905" s="42">
        <v>60</v>
      </c>
      <c r="H1905" s="42" t="s">
        <v>0</v>
      </c>
      <c r="I1905" s="42"/>
      <c r="J1905" s="42" t="s">
        <v>6267</v>
      </c>
      <c r="K1905" s="42" t="s">
        <v>6268</v>
      </c>
      <c r="L1905" s="42" t="s">
        <v>6036</v>
      </c>
      <c r="M1905" s="42"/>
      <c r="N1905" s="207"/>
      <c r="O1905" s="1398"/>
      <c r="P1905" s="1393"/>
      <c r="Q1905" s="1396"/>
    </row>
    <row r="1906" spans="1:17" ht="11.1" customHeight="1" thickBot="1">
      <c r="A1906" s="73" t="s">
        <v>9789</v>
      </c>
      <c r="B1906" s="215"/>
      <c r="C1906" s="215">
        <v>3</v>
      </c>
      <c r="D1906" s="78" t="s">
        <v>8608</v>
      </c>
      <c r="E1906" s="216" t="s">
        <v>6262</v>
      </c>
      <c r="F1906" s="78" t="s">
        <v>9790</v>
      </c>
      <c r="G1906" s="78">
        <v>50</v>
      </c>
      <c r="H1906" s="78" t="s">
        <v>0</v>
      </c>
      <c r="I1906" s="78"/>
      <c r="J1906" s="78" t="s">
        <v>6267</v>
      </c>
      <c r="K1906" s="78" t="s">
        <v>6268</v>
      </c>
      <c r="L1906" s="78" t="s">
        <v>6036</v>
      </c>
      <c r="M1906" s="78"/>
      <c r="N1906" s="218"/>
      <c r="O1906" s="1399"/>
      <c r="P1906" s="1400"/>
      <c r="Q1906" s="1401"/>
    </row>
    <row r="1907" spans="1:17" ht="11.1" customHeight="1">
      <c r="A1907" s="80" t="s">
        <v>9791</v>
      </c>
      <c r="B1907" s="219" t="s">
        <v>6217</v>
      </c>
      <c r="C1907" s="219">
        <v>1</v>
      </c>
      <c r="D1907" s="112" t="s">
        <v>9792</v>
      </c>
      <c r="E1907" s="220">
        <v>83.38</v>
      </c>
      <c r="F1907" s="112" t="s">
        <v>8226</v>
      </c>
      <c r="G1907" s="112">
        <v>51</v>
      </c>
      <c r="H1907" s="112" t="s">
        <v>0</v>
      </c>
      <c r="I1907" s="112" t="s">
        <v>8586</v>
      </c>
      <c r="J1907" s="112" t="s">
        <v>6257</v>
      </c>
      <c r="K1907" s="112" t="s">
        <v>6402</v>
      </c>
      <c r="L1907" s="112" t="s">
        <v>6209</v>
      </c>
      <c r="M1907" s="112">
        <v>3</v>
      </c>
      <c r="N1907" s="113" t="s">
        <v>6260</v>
      </c>
      <c r="O1907" s="1414">
        <v>2</v>
      </c>
      <c r="P1907" s="1417">
        <v>719594</v>
      </c>
      <c r="Q1907" s="1418" t="e">
        <f>P1907/SUM($P$750:$P$790)</f>
        <v>#DIV/0!</v>
      </c>
    </row>
    <row r="1908" spans="1:17" ht="11.1" customHeight="1">
      <c r="A1908" s="31" t="s">
        <v>9793</v>
      </c>
      <c r="B1908" s="185" t="s">
        <v>6217</v>
      </c>
      <c r="C1908" s="185">
        <v>1</v>
      </c>
      <c r="D1908" s="59" t="s">
        <v>9794</v>
      </c>
      <c r="E1908" s="186">
        <v>80.23</v>
      </c>
      <c r="F1908" s="59" t="s">
        <v>8214</v>
      </c>
      <c r="G1908" s="59">
        <v>59</v>
      </c>
      <c r="H1908" s="59" t="s">
        <v>0</v>
      </c>
      <c r="I1908" s="59" t="s">
        <v>8586</v>
      </c>
      <c r="J1908" s="59" t="s">
        <v>6257</v>
      </c>
      <c r="K1908" s="59" t="s">
        <v>6596</v>
      </c>
      <c r="L1908" s="59" t="s">
        <v>6209</v>
      </c>
      <c r="M1908" s="59">
        <v>6</v>
      </c>
      <c r="N1908" s="133" t="s">
        <v>6260</v>
      </c>
      <c r="O1908" s="1415"/>
      <c r="P1908" s="1393"/>
      <c r="Q1908" s="1396"/>
    </row>
    <row r="1909" spans="1:17" ht="11.1" customHeight="1">
      <c r="A1909" s="31" t="s">
        <v>9795</v>
      </c>
      <c r="B1909" s="187"/>
      <c r="C1909" s="187">
        <v>1</v>
      </c>
      <c r="D1909" s="42" t="s">
        <v>9796</v>
      </c>
      <c r="E1909" s="188">
        <v>77.27</v>
      </c>
      <c r="F1909" s="212" t="s">
        <v>8268</v>
      </c>
      <c r="G1909" s="42">
        <v>53</v>
      </c>
      <c r="H1909" s="42" t="s">
        <v>0</v>
      </c>
      <c r="I1909" s="42" t="s">
        <v>8586</v>
      </c>
      <c r="J1909" s="42" t="s">
        <v>6257</v>
      </c>
      <c r="K1909" s="42" t="s">
        <v>6258</v>
      </c>
      <c r="L1909" s="42" t="s">
        <v>6036</v>
      </c>
      <c r="M1909" s="42"/>
      <c r="N1909" s="43" t="s">
        <v>6260</v>
      </c>
      <c r="O1909" s="1415"/>
      <c r="P1909" s="1393"/>
      <c r="Q1909" s="1396"/>
    </row>
    <row r="1910" spans="1:17" ht="11.1" customHeight="1">
      <c r="A1910" s="31" t="s">
        <v>9797</v>
      </c>
      <c r="B1910" s="187"/>
      <c r="C1910" s="187">
        <v>1</v>
      </c>
      <c r="D1910" s="42" t="s">
        <v>9798</v>
      </c>
      <c r="E1910" s="188">
        <v>72.33</v>
      </c>
      <c r="F1910" s="42" t="s">
        <v>8234</v>
      </c>
      <c r="G1910" s="42">
        <v>61</v>
      </c>
      <c r="H1910" s="42" t="s">
        <v>0</v>
      </c>
      <c r="I1910" s="42" t="s">
        <v>8586</v>
      </c>
      <c r="J1910" s="42" t="s">
        <v>6257</v>
      </c>
      <c r="K1910" s="42" t="s">
        <v>6350</v>
      </c>
      <c r="L1910" s="42" t="s">
        <v>6209</v>
      </c>
      <c r="M1910" s="42">
        <v>7</v>
      </c>
      <c r="N1910" s="43" t="s">
        <v>6260</v>
      </c>
      <c r="O1910" s="1415"/>
      <c r="P1910" s="1393"/>
      <c r="Q1910" s="1396"/>
    </row>
    <row r="1911" spans="1:17" ht="11.1" customHeight="1">
      <c r="A1911" s="31" t="s">
        <v>9799</v>
      </c>
      <c r="B1911" s="187"/>
      <c r="C1911" s="187">
        <v>1</v>
      </c>
      <c r="D1911" s="42" t="s">
        <v>9800</v>
      </c>
      <c r="E1911" s="188">
        <v>51.82</v>
      </c>
      <c r="F1911" s="42" t="s">
        <v>8204</v>
      </c>
      <c r="G1911" s="42">
        <v>65</v>
      </c>
      <c r="H1911" s="42" t="s">
        <v>0</v>
      </c>
      <c r="I1911" s="42" t="s">
        <v>8586</v>
      </c>
      <c r="J1911" s="42" t="s">
        <v>6257</v>
      </c>
      <c r="K1911" s="42" t="s">
        <v>6273</v>
      </c>
      <c r="L1911" s="42" t="s">
        <v>6209</v>
      </c>
      <c r="M1911" s="42">
        <v>2</v>
      </c>
      <c r="N1911" s="43" t="s">
        <v>6260</v>
      </c>
      <c r="O1911" s="1415"/>
      <c r="P1911" s="1393"/>
      <c r="Q1911" s="1396"/>
    </row>
    <row r="1912" spans="1:17" ht="11.1" customHeight="1">
      <c r="A1912" s="31" t="s">
        <v>9801</v>
      </c>
      <c r="B1912" s="187"/>
      <c r="C1912" s="187">
        <v>13</v>
      </c>
      <c r="D1912" s="42" t="s">
        <v>8608</v>
      </c>
      <c r="E1912" s="188" t="s">
        <v>6262</v>
      </c>
      <c r="F1912" s="42" t="s">
        <v>9802</v>
      </c>
      <c r="G1912" s="42">
        <v>58</v>
      </c>
      <c r="H1912" s="42" t="s">
        <v>0</v>
      </c>
      <c r="I1912" s="42"/>
      <c r="J1912" s="42" t="s">
        <v>6257</v>
      </c>
      <c r="K1912" s="42" t="s">
        <v>6369</v>
      </c>
      <c r="L1912" s="42" t="s">
        <v>6209</v>
      </c>
      <c r="M1912" s="42">
        <v>5</v>
      </c>
      <c r="N1912" s="207"/>
      <c r="O1912" s="1415"/>
      <c r="P1912" s="1393"/>
      <c r="Q1912" s="1396"/>
    </row>
    <row r="1913" spans="1:17" ht="11.1" customHeight="1">
      <c r="A1913" s="31" t="s">
        <v>9803</v>
      </c>
      <c r="B1913" s="187"/>
      <c r="C1913" s="187">
        <v>14</v>
      </c>
      <c r="D1913" s="42" t="s">
        <v>8608</v>
      </c>
      <c r="E1913" s="188" t="s">
        <v>6262</v>
      </c>
      <c r="F1913" s="42" t="s">
        <v>9804</v>
      </c>
      <c r="G1913" s="42">
        <v>59</v>
      </c>
      <c r="H1913" s="42" t="s">
        <v>6049</v>
      </c>
      <c r="I1913" s="42"/>
      <c r="J1913" s="42" t="s">
        <v>6257</v>
      </c>
      <c r="K1913" s="42" t="s">
        <v>6369</v>
      </c>
      <c r="L1913" s="42" t="s">
        <v>6209</v>
      </c>
      <c r="M1913" s="42">
        <v>1</v>
      </c>
      <c r="N1913" s="207"/>
      <c r="O1913" s="1415"/>
      <c r="P1913" s="1393"/>
      <c r="Q1913" s="1396"/>
    </row>
    <row r="1914" spans="1:17" ht="11.1" customHeight="1">
      <c r="A1914" s="31" t="s">
        <v>9805</v>
      </c>
      <c r="B1914" s="187"/>
      <c r="C1914" s="187">
        <v>15</v>
      </c>
      <c r="D1914" s="42" t="s">
        <v>8608</v>
      </c>
      <c r="E1914" s="188" t="s">
        <v>6262</v>
      </c>
      <c r="F1914" s="42" t="s">
        <v>9806</v>
      </c>
      <c r="G1914" s="42">
        <v>54</v>
      </c>
      <c r="H1914" s="42" t="s">
        <v>0</v>
      </c>
      <c r="I1914" s="42"/>
      <c r="J1914" s="42" t="s">
        <v>6257</v>
      </c>
      <c r="K1914" s="42" t="s">
        <v>6258</v>
      </c>
      <c r="L1914" s="42" t="s">
        <v>6036</v>
      </c>
      <c r="M1914" s="42"/>
      <c r="N1914" s="207"/>
      <c r="O1914" s="1415"/>
      <c r="P1914" s="1393"/>
      <c r="Q1914" s="1396"/>
    </row>
    <row r="1915" spans="1:17" ht="11.1" customHeight="1">
      <c r="A1915" s="31" t="s">
        <v>9807</v>
      </c>
      <c r="B1915" s="187"/>
      <c r="C1915" s="187">
        <v>16</v>
      </c>
      <c r="D1915" s="42" t="s">
        <v>8608</v>
      </c>
      <c r="E1915" s="188" t="s">
        <v>6262</v>
      </c>
      <c r="F1915" s="42" t="s">
        <v>9808</v>
      </c>
      <c r="G1915" s="42">
        <v>61</v>
      </c>
      <c r="H1915" s="42" t="s">
        <v>0</v>
      </c>
      <c r="I1915" s="42"/>
      <c r="J1915" s="42" t="s">
        <v>6257</v>
      </c>
      <c r="K1915" s="42" t="s">
        <v>6258</v>
      </c>
      <c r="L1915" s="42" t="s">
        <v>6036</v>
      </c>
      <c r="M1915" s="42"/>
      <c r="N1915" s="207"/>
      <c r="O1915" s="1415"/>
      <c r="P1915" s="1393"/>
      <c r="Q1915" s="1396"/>
    </row>
    <row r="1916" spans="1:17" ht="11.1" customHeight="1">
      <c r="A1916" s="31" t="s">
        <v>9809</v>
      </c>
      <c r="B1916" s="187" t="s">
        <v>8615</v>
      </c>
      <c r="C1916" s="187">
        <v>1</v>
      </c>
      <c r="D1916" s="59" t="s">
        <v>9810</v>
      </c>
      <c r="E1916" s="186" t="s">
        <v>6251</v>
      </c>
      <c r="F1916" s="59" t="s">
        <v>8218</v>
      </c>
      <c r="G1916" s="59">
        <v>40</v>
      </c>
      <c r="H1916" s="59" t="s">
        <v>0</v>
      </c>
      <c r="I1916" s="59" t="s">
        <v>8586</v>
      </c>
      <c r="J1916" s="59" t="s">
        <v>6257</v>
      </c>
      <c r="K1916" s="59" t="s">
        <v>6258</v>
      </c>
      <c r="L1916" s="59" t="s">
        <v>6209</v>
      </c>
      <c r="M1916" s="59">
        <v>3</v>
      </c>
      <c r="N1916" s="43" t="s">
        <v>6260</v>
      </c>
      <c r="O1916" s="1415"/>
      <c r="P1916" s="1393"/>
      <c r="Q1916" s="1396"/>
    </row>
    <row r="1917" spans="1:17" ht="11.1" customHeight="1">
      <c r="A1917" s="31" t="s">
        <v>9811</v>
      </c>
      <c r="B1917" s="187" t="s">
        <v>8615</v>
      </c>
      <c r="C1917" s="187">
        <v>1</v>
      </c>
      <c r="D1917" s="59" t="s">
        <v>9812</v>
      </c>
      <c r="E1917" s="186" t="s">
        <v>6251</v>
      </c>
      <c r="F1917" s="59" t="s">
        <v>8248</v>
      </c>
      <c r="G1917" s="59">
        <v>58</v>
      </c>
      <c r="H1917" s="59" t="s">
        <v>0</v>
      </c>
      <c r="I1917" s="59" t="s">
        <v>8586</v>
      </c>
      <c r="J1917" s="59" t="s">
        <v>6257</v>
      </c>
      <c r="K1917" s="59" t="s">
        <v>6402</v>
      </c>
      <c r="L1917" s="59" t="s">
        <v>6209</v>
      </c>
      <c r="M1917" s="59">
        <v>4</v>
      </c>
      <c r="N1917" s="43" t="s">
        <v>6260</v>
      </c>
      <c r="O1917" s="1415"/>
      <c r="P1917" s="1393"/>
      <c r="Q1917" s="1396"/>
    </row>
    <row r="1918" spans="1:17" ht="11.1" customHeight="1">
      <c r="A1918" s="31" t="s">
        <v>9813</v>
      </c>
      <c r="B1918" s="187" t="s">
        <v>8615</v>
      </c>
      <c r="C1918" s="187">
        <v>1</v>
      </c>
      <c r="D1918" s="59" t="s">
        <v>9814</v>
      </c>
      <c r="E1918" s="186" t="s">
        <v>6251</v>
      </c>
      <c r="F1918" s="59" t="s">
        <v>8258</v>
      </c>
      <c r="G1918" s="59">
        <v>57</v>
      </c>
      <c r="H1918" s="59" t="s">
        <v>0</v>
      </c>
      <c r="I1918" s="59" t="s">
        <v>8586</v>
      </c>
      <c r="J1918" s="59" t="s">
        <v>6257</v>
      </c>
      <c r="K1918" s="59" t="s">
        <v>6369</v>
      </c>
      <c r="L1918" s="59" t="s">
        <v>6209</v>
      </c>
      <c r="M1918" s="59">
        <v>7</v>
      </c>
      <c r="N1918" s="43" t="s">
        <v>6260</v>
      </c>
      <c r="O1918" s="1415"/>
      <c r="P1918" s="1393"/>
      <c r="Q1918" s="1396"/>
    </row>
    <row r="1919" spans="1:17" ht="11.1" customHeight="1">
      <c r="A1919" s="31" t="s">
        <v>9815</v>
      </c>
      <c r="B1919" s="187" t="s">
        <v>8615</v>
      </c>
      <c r="C1919" s="187">
        <v>1</v>
      </c>
      <c r="D1919" s="59" t="s">
        <v>9816</v>
      </c>
      <c r="E1919" s="186" t="s">
        <v>6251</v>
      </c>
      <c r="F1919" s="59" t="s">
        <v>8272</v>
      </c>
      <c r="G1919" s="59">
        <v>61</v>
      </c>
      <c r="H1919" s="59" t="s">
        <v>0</v>
      </c>
      <c r="I1919" s="59" t="s">
        <v>8586</v>
      </c>
      <c r="J1919" s="59" t="s">
        <v>6257</v>
      </c>
      <c r="K1919" s="59" t="s">
        <v>6402</v>
      </c>
      <c r="L1919" s="59" t="s">
        <v>6209</v>
      </c>
      <c r="M1919" s="59">
        <v>5</v>
      </c>
      <c r="N1919" s="43" t="s">
        <v>6260</v>
      </c>
      <c r="O1919" s="1415"/>
      <c r="P1919" s="1393"/>
      <c r="Q1919" s="1396"/>
    </row>
    <row r="1920" spans="1:17" ht="11.1" customHeight="1">
      <c r="A1920" s="31" t="s">
        <v>9817</v>
      </c>
      <c r="B1920" s="187" t="s">
        <v>8615</v>
      </c>
      <c r="C1920" s="187">
        <v>1</v>
      </c>
      <c r="D1920" s="59" t="s">
        <v>9818</v>
      </c>
      <c r="E1920" s="186" t="s">
        <v>6251</v>
      </c>
      <c r="F1920" s="59" t="s">
        <v>8280</v>
      </c>
      <c r="G1920" s="59">
        <v>55</v>
      </c>
      <c r="H1920" s="59" t="s">
        <v>0</v>
      </c>
      <c r="I1920" s="59" t="s">
        <v>8586</v>
      </c>
      <c r="J1920" s="59" t="s">
        <v>6257</v>
      </c>
      <c r="K1920" s="59" t="s">
        <v>6402</v>
      </c>
      <c r="L1920" s="59" t="s">
        <v>6209</v>
      </c>
      <c r="M1920" s="59">
        <v>3</v>
      </c>
      <c r="N1920" s="43" t="s">
        <v>6260</v>
      </c>
      <c r="O1920" s="1415"/>
      <c r="P1920" s="1393"/>
      <c r="Q1920" s="1396"/>
    </row>
    <row r="1921" spans="1:17" ht="11.1" customHeight="1">
      <c r="A1921" s="31" t="s">
        <v>9819</v>
      </c>
      <c r="B1921" s="187" t="s">
        <v>8615</v>
      </c>
      <c r="C1921" s="187">
        <v>1</v>
      </c>
      <c r="D1921" s="59" t="s">
        <v>9820</v>
      </c>
      <c r="E1921" s="186" t="s">
        <v>6251</v>
      </c>
      <c r="F1921" s="59" t="s">
        <v>8290</v>
      </c>
      <c r="G1921" s="59">
        <v>51</v>
      </c>
      <c r="H1921" s="59" t="s">
        <v>0</v>
      </c>
      <c r="I1921" s="59" t="s">
        <v>8586</v>
      </c>
      <c r="J1921" s="59" t="s">
        <v>6257</v>
      </c>
      <c r="K1921" s="59" t="s">
        <v>6402</v>
      </c>
      <c r="L1921" s="59" t="s">
        <v>6209</v>
      </c>
      <c r="M1921" s="59">
        <v>6</v>
      </c>
      <c r="N1921" s="43" t="s">
        <v>6260</v>
      </c>
      <c r="O1921" s="1415"/>
      <c r="P1921" s="1393"/>
      <c r="Q1921" s="1396"/>
    </row>
    <row r="1922" spans="1:17" ht="11.1" customHeight="1">
      <c r="A1922" s="44" t="s">
        <v>9821</v>
      </c>
      <c r="B1922" s="190" t="s">
        <v>8615</v>
      </c>
      <c r="C1922" s="190">
        <v>1</v>
      </c>
      <c r="D1922" s="97" t="s">
        <v>9822</v>
      </c>
      <c r="E1922" s="186" t="s">
        <v>6251</v>
      </c>
      <c r="F1922" s="97" t="s">
        <v>8298</v>
      </c>
      <c r="G1922" s="97">
        <v>57</v>
      </c>
      <c r="H1922" s="97" t="s">
        <v>0</v>
      </c>
      <c r="I1922" s="97" t="s">
        <v>8586</v>
      </c>
      <c r="J1922" s="97" t="s">
        <v>6257</v>
      </c>
      <c r="K1922" s="97" t="s">
        <v>6369</v>
      </c>
      <c r="L1922" s="97" t="s">
        <v>6209</v>
      </c>
      <c r="M1922" s="97">
        <v>6</v>
      </c>
      <c r="N1922" s="50" t="s">
        <v>6260</v>
      </c>
      <c r="O1922" s="1416"/>
      <c r="P1922" s="1394"/>
      <c r="Q1922" s="1397"/>
    </row>
    <row r="1923" spans="1:17" ht="11.1" customHeight="1">
      <c r="A1923" s="51" t="s">
        <v>9823</v>
      </c>
      <c r="B1923" s="192" t="s">
        <v>6217</v>
      </c>
      <c r="C1923" s="192">
        <v>1</v>
      </c>
      <c r="D1923" s="56" t="s">
        <v>9810</v>
      </c>
      <c r="E1923" s="193">
        <v>98.5</v>
      </c>
      <c r="F1923" s="56" t="s">
        <v>8220</v>
      </c>
      <c r="G1923" s="56">
        <v>43</v>
      </c>
      <c r="H1923" s="56" t="s">
        <v>0</v>
      </c>
      <c r="I1923" s="56" t="s">
        <v>8586</v>
      </c>
      <c r="J1923" s="56" t="s">
        <v>6253</v>
      </c>
      <c r="K1923" s="56" t="s">
        <v>6053</v>
      </c>
      <c r="L1923" s="56" t="s">
        <v>6036</v>
      </c>
      <c r="M1923" s="56"/>
      <c r="N1923" s="57" t="s">
        <v>6213</v>
      </c>
      <c r="O1923" s="1408">
        <v>3</v>
      </c>
      <c r="P1923" s="1392">
        <v>973038</v>
      </c>
      <c r="Q1923" s="1395" t="e">
        <f>P1923/SUM($P$750:$P$790)</f>
        <v>#DIV/0!</v>
      </c>
    </row>
    <row r="1924" spans="1:17" ht="11.1" customHeight="1">
      <c r="A1924" s="31" t="s">
        <v>9824</v>
      </c>
      <c r="B1924" s="194" t="s">
        <v>6217</v>
      </c>
      <c r="C1924" s="194">
        <v>1</v>
      </c>
      <c r="D1924" s="36" t="s">
        <v>9812</v>
      </c>
      <c r="E1924" s="195">
        <v>97.88</v>
      </c>
      <c r="F1924" s="36" t="s">
        <v>8250</v>
      </c>
      <c r="G1924" s="36">
        <v>49</v>
      </c>
      <c r="H1924" s="36" t="s">
        <v>6049</v>
      </c>
      <c r="I1924" s="36" t="s">
        <v>8586</v>
      </c>
      <c r="J1924" s="36" t="s">
        <v>6253</v>
      </c>
      <c r="K1924" s="36" t="s">
        <v>6053</v>
      </c>
      <c r="L1924" s="36" t="s">
        <v>6036</v>
      </c>
      <c r="M1924" s="36"/>
      <c r="N1924" s="37" t="s">
        <v>6465</v>
      </c>
      <c r="O1924" s="1409"/>
      <c r="P1924" s="1393"/>
      <c r="Q1924" s="1396"/>
    </row>
    <row r="1925" spans="1:17" ht="11.1" customHeight="1">
      <c r="A1925" s="31" t="s">
        <v>9825</v>
      </c>
      <c r="B1925" s="194" t="s">
        <v>6217</v>
      </c>
      <c r="C1925" s="194">
        <v>1</v>
      </c>
      <c r="D1925" s="36" t="s">
        <v>9816</v>
      </c>
      <c r="E1925" s="195">
        <v>89.73</v>
      </c>
      <c r="F1925" s="36" t="s">
        <v>8274</v>
      </c>
      <c r="G1925" s="36">
        <v>37</v>
      </c>
      <c r="H1925" s="36" t="s">
        <v>0</v>
      </c>
      <c r="I1925" s="36" t="s">
        <v>8586</v>
      </c>
      <c r="J1925" s="36" t="s">
        <v>6253</v>
      </c>
      <c r="K1925" s="36" t="s">
        <v>6053</v>
      </c>
      <c r="L1925" s="36" t="s">
        <v>6036</v>
      </c>
      <c r="M1925" s="36"/>
      <c r="N1925" s="37" t="s">
        <v>6465</v>
      </c>
      <c r="O1925" s="1409"/>
      <c r="P1925" s="1393"/>
      <c r="Q1925" s="1396"/>
    </row>
    <row r="1926" spans="1:17" ht="11.1" customHeight="1">
      <c r="A1926" s="31" t="s">
        <v>9826</v>
      </c>
      <c r="B1926" s="187"/>
      <c r="C1926" s="187">
        <v>1</v>
      </c>
      <c r="D1926" s="42" t="s">
        <v>9822</v>
      </c>
      <c r="E1926" s="188">
        <v>86.96</v>
      </c>
      <c r="F1926" s="42" t="s">
        <v>8300</v>
      </c>
      <c r="G1926" s="42">
        <v>31</v>
      </c>
      <c r="H1926" s="42" t="s">
        <v>6049</v>
      </c>
      <c r="I1926" s="42" t="s">
        <v>8586</v>
      </c>
      <c r="J1926" s="42" t="s">
        <v>6253</v>
      </c>
      <c r="K1926" s="42" t="s">
        <v>6053</v>
      </c>
      <c r="L1926" s="42" t="s">
        <v>6036</v>
      </c>
      <c r="M1926" s="42"/>
      <c r="N1926" s="43" t="s">
        <v>6213</v>
      </c>
      <c r="O1926" s="1409"/>
      <c r="P1926" s="1393"/>
      <c r="Q1926" s="1396"/>
    </row>
    <row r="1927" spans="1:17" ht="11.1" customHeight="1">
      <c r="A1927" s="31" t="s">
        <v>9827</v>
      </c>
      <c r="B1927" s="187"/>
      <c r="C1927" s="187">
        <v>1</v>
      </c>
      <c r="D1927" s="42" t="s">
        <v>9818</v>
      </c>
      <c r="E1927" s="188">
        <v>86.5</v>
      </c>
      <c r="F1927" s="42" t="s">
        <v>8284</v>
      </c>
      <c r="G1927" s="42">
        <v>50</v>
      </c>
      <c r="H1927" s="42" t="s">
        <v>6049</v>
      </c>
      <c r="I1927" s="42" t="s">
        <v>8586</v>
      </c>
      <c r="J1927" s="42" t="s">
        <v>6253</v>
      </c>
      <c r="K1927" s="42" t="s">
        <v>6053</v>
      </c>
      <c r="L1927" s="42" t="s">
        <v>6036</v>
      </c>
      <c r="M1927" s="42"/>
      <c r="N1927" s="43" t="s">
        <v>6213</v>
      </c>
      <c r="O1927" s="1409"/>
      <c r="P1927" s="1393"/>
      <c r="Q1927" s="1396"/>
    </row>
    <row r="1928" spans="1:17" ht="11.1" customHeight="1">
      <c r="A1928" s="31" t="s">
        <v>9828</v>
      </c>
      <c r="B1928" s="187"/>
      <c r="C1928" s="187">
        <v>1</v>
      </c>
      <c r="D1928" s="42" t="s">
        <v>9820</v>
      </c>
      <c r="E1928" s="188">
        <v>65.97</v>
      </c>
      <c r="F1928" s="212" t="s">
        <v>8292</v>
      </c>
      <c r="G1928" s="42">
        <v>36</v>
      </c>
      <c r="H1928" s="269" t="s">
        <v>6049</v>
      </c>
      <c r="I1928" s="42" t="s">
        <v>8586</v>
      </c>
      <c r="J1928" s="42" t="s">
        <v>6253</v>
      </c>
      <c r="K1928" s="212" t="s">
        <v>6053</v>
      </c>
      <c r="L1928" s="42" t="s">
        <v>6036</v>
      </c>
      <c r="M1928" s="42"/>
      <c r="N1928" s="43" t="s">
        <v>6213</v>
      </c>
      <c r="O1928" s="1409"/>
      <c r="P1928" s="1393"/>
      <c r="Q1928" s="1396"/>
    </row>
    <row r="1929" spans="1:17" ht="11.1" customHeight="1">
      <c r="A1929" s="31" t="s">
        <v>9829</v>
      </c>
      <c r="B1929" s="187"/>
      <c r="C1929" s="187">
        <v>12</v>
      </c>
      <c r="D1929" s="42" t="s">
        <v>8608</v>
      </c>
      <c r="E1929" s="188" t="s">
        <v>6262</v>
      </c>
      <c r="F1929" s="42" t="s">
        <v>9830</v>
      </c>
      <c r="G1929" s="42">
        <v>67</v>
      </c>
      <c r="H1929" s="42" t="s">
        <v>0</v>
      </c>
      <c r="I1929" s="42"/>
      <c r="J1929" s="42" t="s">
        <v>6253</v>
      </c>
      <c r="K1929" s="42" t="s">
        <v>6053</v>
      </c>
      <c r="L1929" s="42" t="s">
        <v>6036</v>
      </c>
      <c r="M1929" s="42"/>
      <c r="N1929" s="207"/>
      <c r="O1929" s="1409"/>
      <c r="P1929" s="1393"/>
      <c r="Q1929" s="1396"/>
    </row>
    <row r="1930" spans="1:17" ht="11.1" customHeight="1">
      <c r="A1930" s="31" t="s">
        <v>9831</v>
      </c>
      <c r="B1930" s="187"/>
      <c r="C1930" s="187">
        <v>13</v>
      </c>
      <c r="D1930" s="42" t="s">
        <v>8608</v>
      </c>
      <c r="E1930" s="188" t="s">
        <v>6262</v>
      </c>
      <c r="F1930" s="42" t="s">
        <v>9832</v>
      </c>
      <c r="G1930" s="42">
        <v>50</v>
      </c>
      <c r="H1930" s="42" t="s">
        <v>6049</v>
      </c>
      <c r="I1930" s="42"/>
      <c r="J1930" s="42" t="s">
        <v>6253</v>
      </c>
      <c r="K1930" s="42" t="s">
        <v>6053</v>
      </c>
      <c r="L1930" s="42" t="s">
        <v>6036</v>
      </c>
      <c r="M1930" s="42"/>
      <c r="N1930" s="207"/>
      <c r="O1930" s="1409"/>
      <c r="P1930" s="1393"/>
      <c r="Q1930" s="1396"/>
    </row>
    <row r="1931" spans="1:17" ht="11.1" customHeight="1">
      <c r="A1931" s="31" t="s">
        <v>9833</v>
      </c>
      <c r="B1931" s="187" t="s">
        <v>8615</v>
      </c>
      <c r="C1931" s="187">
        <v>1</v>
      </c>
      <c r="D1931" s="36" t="s">
        <v>9800</v>
      </c>
      <c r="E1931" s="195" t="s">
        <v>6251</v>
      </c>
      <c r="F1931" s="36" t="s">
        <v>8202</v>
      </c>
      <c r="G1931" s="36">
        <v>63</v>
      </c>
      <c r="H1931" s="36" t="s">
        <v>0</v>
      </c>
      <c r="I1931" s="36" t="s">
        <v>8586</v>
      </c>
      <c r="J1931" s="36" t="s">
        <v>6253</v>
      </c>
      <c r="K1931" s="36" t="s">
        <v>6254</v>
      </c>
      <c r="L1931" s="36" t="s">
        <v>6209</v>
      </c>
      <c r="M1931" s="36">
        <v>5</v>
      </c>
      <c r="N1931" s="43" t="s">
        <v>6213</v>
      </c>
      <c r="O1931" s="1409"/>
      <c r="P1931" s="1393"/>
      <c r="Q1931" s="1396"/>
    </row>
    <row r="1932" spans="1:17" ht="11.1" customHeight="1">
      <c r="A1932" s="31" t="s">
        <v>9834</v>
      </c>
      <c r="B1932" s="187" t="s">
        <v>8615</v>
      </c>
      <c r="C1932" s="187">
        <v>1</v>
      </c>
      <c r="D1932" s="36" t="s">
        <v>9794</v>
      </c>
      <c r="E1932" s="195" t="s">
        <v>6251</v>
      </c>
      <c r="F1932" s="36" t="s">
        <v>8212</v>
      </c>
      <c r="G1932" s="36">
        <v>37</v>
      </c>
      <c r="H1932" s="36" t="s">
        <v>6049</v>
      </c>
      <c r="I1932" s="36" t="s">
        <v>8586</v>
      </c>
      <c r="J1932" s="36" t="s">
        <v>6253</v>
      </c>
      <c r="K1932" s="36" t="s">
        <v>6254</v>
      </c>
      <c r="L1932" s="36" t="s">
        <v>6209</v>
      </c>
      <c r="M1932" s="36">
        <v>2</v>
      </c>
      <c r="N1932" s="43"/>
      <c r="O1932" s="1409"/>
      <c r="P1932" s="1393"/>
      <c r="Q1932" s="1396"/>
    </row>
    <row r="1933" spans="1:17" ht="11.1" customHeight="1">
      <c r="A1933" s="31" t="s">
        <v>9835</v>
      </c>
      <c r="B1933" s="187" t="s">
        <v>8615</v>
      </c>
      <c r="C1933" s="187">
        <v>1</v>
      </c>
      <c r="D1933" s="36" t="s">
        <v>9792</v>
      </c>
      <c r="E1933" s="195" t="s">
        <v>6251</v>
      </c>
      <c r="F1933" s="36" t="s">
        <v>8224</v>
      </c>
      <c r="G1933" s="36">
        <v>38</v>
      </c>
      <c r="H1933" s="36" t="s">
        <v>0</v>
      </c>
      <c r="I1933" s="36" t="s">
        <v>8586</v>
      </c>
      <c r="J1933" s="36" t="s">
        <v>6253</v>
      </c>
      <c r="K1933" s="36" t="s">
        <v>6053</v>
      </c>
      <c r="L1933" s="36" t="s">
        <v>6209</v>
      </c>
      <c r="M1933" s="36">
        <v>1</v>
      </c>
      <c r="N1933" s="43" t="s">
        <v>6465</v>
      </c>
      <c r="O1933" s="1409"/>
      <c r="P1933" s="1393"/>
      <c r="Q1933" s="1396"/>
    </row>
    <row r="1934" spans="1:17" ht="11.1" customHeight="1">
      <c r="A1934" s="31" t="s">
        <v>9836</v>
      </c>
      <c r="B1934" s="187" t="s">
        <v>8615</v>
      </c>
      <c r="C1934" s="187">
        <v>1</v>
      </c>
      <c r="D1934" s="36" t="s">
        <v>9798</v>
      </c>
      <c r="E1934" s="195" t="s">
        <v>6251</v>
      </c>
      <c r="F1934" s="36" t="s">
        <v>8232</v>
      </c>
      <c r="G1934" s="36">
        <v>40</v>
      </c>
      <c r="H1934" s="36" t="s">
        <v>0</v>
      </c>
      <c r="I1934" s="36" t="s">
        <v>8586</v>
      </c>
      <c r="J1934" s="36" t="s">
        <v>6253</v>
      </c>
      <c r="K1934" s="36" t="s">
        <v>6053</v>
      </c>
      <c r="L1934" s="36" t="s">
        <v>6036</v>
      </c>
      <c r="M1934" s="36"/>
      <c r="N1934" s="43" t="s">
        <v>6465</v>
      </c>
      <c r="O1934" s="1409"/>
      <c r="P1934" s="1393"/>
      <c r="Q1934" s="1396"/>
    </row>
    <row r="1935" spans="1:17" ht="11.1" customHeight="1">
      <c r="A1935" s="44" t="s">
        <v>9837</v>
      </c>
      <c r="B1935" s="190" t="s">
        <v>8615</v>
      </c>
      <c r="C1935" s="190">
        <v>1</v>
      </c>
      <c r="D1935" s="141" t="s">
        <v>9796</v>
      </c>
      <c r="E1935" s="196" t="s">
        <v>6251</v>
      </c>
      <c r="F1935" s="141" t="s">
        <v>8266</v>
      </c>
      <c r="G1935" s="141">
        <v>46</v>
      </c>
      <c r="H1935" s="141" t="s">
        <v>0</v>
      </c>
      <c r="I1935" s="141" t="s">
        <v>8586</v>
      </c>
      <c r="J1935" s="141" t="s">
        <v>6253</v>
      </c>
      <c r="K1935" s="141" t="s">
        <v>6053</v>
      </c>
      <c r="L1935" s="141" t="s">
        <v>6036</v>
      </c>
      <c r="M1935" s="141"/>
      <c r="N1935" s="50" t="s">
        <v>6465</v>
      </c>
      <c r="O1935" s="1410"/>
      <c r="P1935" s="1394"/>
      <c r="Q1935" s="1397"/>
    </row>
    <row r="1936" spans="1:17" ht="11.1" customHeight="1">
      <c r="A1936" s="51" t="s">
        <v>9838</v>
      </c>
      <c r="B1936" s="197" t="s">
        <v>6217</v>
      </c>
      <c r="C1936" s="197">
        <v>1</v>
      </c>
      <c r="D1936" s="198" t="s">
        <v>8608</v>
      </c>
      <c r="E1936" s="199" t="s">
        <v>6262</v>
      </c>
      <c r="F1936" s="198" t="s">
        <v>9839</v>
      </c>
      <c r="G1936" s="198">
        <v>57</v>
      </c>
      <c r="H1936" s="198" t="s">
        <v>0</v>
      </c>
      <c r="I1936" s="198"/>
      <c r="J1936" s="198" t="s">
        <v>6929</v>
      </c>
      <c r="K1936" s="198"/>
      <c r="L1936" s="198" t="s">
        <v>6209</v>
      </c>
      <c r="M1936" s="198">
        <v>4</v>
      </c>
      <c r="N1936" s="200"/>
      <c r="O1936" s="1411">
        <v>1</v>
      </c>
      <c r="P1936" s="1392">
        <v>293204</v>
      </c>
      <c r="Q1936" s="1395" t="e">
        <f>P1936/SUM($P$750:$P$790)</f>
        <v>#DIV/0!</v>
      </c>
    </row>
    <row r="1937" spans="1:17" ht="11.1" customHeight="1">
      <c r="A1937" s="44" t="s">
        <v>9840</v>
      </c>
      <c r="B1937" s="190"/>
      <c r="C1937" s="190">
        <v>2</v>
      </c>
      <c r="D1937" s="49" t="s">
        <v>8608</v>
      </c>
      <c r="E1937" s="201" t="s">
        <v>6262</v>
      </c>
      <c r="F1937" s="49" t="s">
        <v>9841</v>
      </c>
      <c r="G1937" s="49">
        <v>42</v>
      </c>
      <c r="H1937" s="49" t="s">
        <v>0</v>
      </c>
      <c r="I1937" s="49"/>
      <c r="J1937" s="49" t="s">
        <v>6929</v>
      </c>
      <c r="K1937" s="49"/>
      <c r="L1937" s="49" t="s">
        <v>6036</v>
      </c>
      <c r="M1937" s="49"/>
      <c r="N1937" s="202"/>
      <c r="O1937" s="1413"/>
      <c r="P1937" s="1394"/>
      <c r="Q1937" s="1397"/>
    </row>
    <row r="1938" spans="1:17" ht="11.1" customHeight="1">
      <c r="A1938" s="51" t="s">
        <v>9842</v>
      </c>
      <c r="B1938" s="203"/>
      <c r="C1938" s="203">
        <v>1</v>
      </c>
      <c r="D1938" s="204" t="s">
        <v>8608</v>
      </c>
      <c r="E1938" s="205" t="s">
        <v>6262</v>
      </c>
      <c r="F1938" s="204" t="s">
        <v>9843</v>
      </c>
      <c r="G1938" s="204">
        <v>57</v>
      </c>
      <c r="H1938" s="204" t="s">
        <v>0</v>
      </c>
      <c r="I1938" s="204"/>
      <c r="J1938" s="204" t="s">
        <v>6264</v>
      </c>
      <c r="K1938" s="204"/>
      <c r="L1938" s="204" t="s">
        <v>6036</v>
      </c>
      <c r="M1938" s="204"/>
      <c r="N1938" s="206"/>
      <c r="O1938" s="1402">
        <v>0</v>
      </c>
      <c r="P1938" s="1392">
        <v>150171</v>
      </c>
      <c r="Q1938" s="1395" t="e">
        <f>P1938/SUM($P$750:$P$790)</f>
        <v>#DIV/0!</v>
      </c>
    </row>
    <row r="1939" spans="1:17" ht="11.1" customHeight="1">
      <c r="A1939" s="31" t="s">
        <v>9844</v>
      </c>
      <c r="B1939" s="187" t="s">
        <v>6231</v>
      </c>
      <c r="C1939" s="187">
        <v>2</v>
      </c>
      <c r="D1939" s="42" t="s">
        <v>9800</v>
      </c>
      <c r="E1939" s="188">
        <v>10.83</v>
      </c>
      <c r="F1939" s="42" t="s">
        <v>8208</v>
      </c>
      <c r="G1939" s="42">
        <v>61</v>
      </c>
      <c r="H1939" s="42" t="s">
        <v>0</v>
      </c>
      <c r="I1939" s="42" t="s">
        <v>8586</v>
      </c>
      <c r="J1939" s="42" t="s">
        <v>6264</v>
      </c>
      <c r="K1939" s="42"/>
      <c r="L1939" s="42" t="s">
        <v>6036</v>
      </c>
      <c r="M1939" s="42"/>
      <c r="N1939" s="207"/>
      <c r="O1939" s="1403"/>
      <c r="P1939" s="1393"/>
      <c r="Q1939" s="1396"/>
    </row>
    <row r="1940" spans="1:17" ht="11.1" customHeight="1">
      <c r="A1940" s="31" t="s">
        <v>9845</v>
      </c>
      <c r="B1940" s="187" t="s">
        <v>6231</v>
      </c>
      <c r="C1940" s="187">
        <v>2</v>
      </c>
      <c r="D1940" s="42" t="s">
        <v>9846</v>
      </c>
      <c r="E1940" s="188">
        <v>9.98</v>
      </c>
      <c r="F1940" s="42" t="s">
        <v>8244</v>
      </c>
      <c r="G1940" s="42">
        <v>61</v>
      </c>
      <c r="H1940" s="42" t="s">
        <v>6049</v>
      </c>
      <c r="I1940" s="212" t="s">
        <v>8586</v>
      </c>
      <c r="J1940" s="42" t="s">
        <v>6264</v>
      </c>
      <c r="K1940" s="42"/>
      <c r="L1940" s="42" t="s">
        <v>6036</v>
      </c>
      <c r="M1940" s="42"/>
      <c r="N1940" s="207"/>
      <c r="O1940" s="1403"/>
      <c r="P1940" s="1393"/>
      <c r="Q1940" s="1396"/>
    </row>
    <row r="1941" spans="1:17" ht="11.1" customHeight="1">
      <c r="A1941" s="44" t="s">
        <v>9847</v>
      </c>
      <c r="B1941" s="190" t="s">
        <v>6231</v>
      </c>
      <c r="C1941" s="190">
        <v>2</v>
      </c>
      <c r="D1941" s="49" t="s">
        <v>9812</v>
      </c>
      <c r="E1941" s="201">
        <v>6.3</v>
      </c>
      <c r="F1941" s="49" t="s">
        <v>8252</v>
      </c>
      <c r="G1941" s="49">
        <v>42</v>
      </c>
      <c r="H1941" s="49" t="s">
        <v>0</v>
      </c>
      <c r="I1941" s="49" t="s">
        <v>8586</v>
      </c>
      <c r="J1941" s="49" t="s">
        <v>6264</v>
      </c>
      <c r="K1941" s="49"/>
      <c r="L1941" s="49" t="s">
        <v>6036</v>
      </c>
      <c r="M1941" s="49"/>
      <c r="N1941" s="202"/>
      <c r="O1941" s="1404"/>
      <c r="P1941" s="1394"/>
      <c r="Q1941" s="1397"/>
    </row>
    <row r="1942" spans="1:17" ht="11.1" customHeight="1">
      <c r="A1942" s="51" t="s">
        <v>9848</v>
      </c>
      <c r="B1942" s="203"/>
      <c r="C1942" s="203">
        <v>1</v>
      </c>
      <c r="D1942" s="204" t="s">
        <v>9814</v>
      </c>
      <c r="E1942" s="205">
        <v>89.94</v>
      </c>
      <c r="F1942" s="204" t="s">
        <v>8260</v>
      </c>
      <c r="G1942" s="204">
        <v>51</v>
      </c>
      <c r="H1942" s="204" t="s">
        <v>6049</v>
      </c>
      <c r="I1942" s="204" t="s">
        <v>8586</v>
      </c>
      <c r="J1942" s="204" t="s">
        <v>6278</v>
      </c>
      <c r="K1942" s="204"/>
      <c r="L1942" s="204" t="s">
        <v>6036</v>
      </c>
      <c r="M1942" s="204"/>
      <c r="N1942" s="230" t="s">
        <v>6515</v>
      </c>
      <c r="O1942" s="1405">
        <v>0</v>
      </c>
      <c r="P1942" s="1392">
        <v>94558</v>
      </c>
      <c r="Q1942" s="1395" t="e">
        <f>P1942/SUM($P$750:$P$790)</f>
        <v>#DIV/0!</v>
      </c>
    </row>
    <row r="1943" spans="1:17" ht="11.1" customHeight="1">
      <c r="A1943" s="44" t="s">
        <v>9849</v>
      </c>
      <c r="B1943" s="190"/>
      <c r="C1943" s="190">
        <v>1</v>
      </c>
      <c r="D1943" s="49" t="s">
        <v>9846</v>
      </c>
      <c r="E1943" s="201">
        <v>73.349999999999994</v>
      </c>
      <c r="F1943" s="49" t="s">
        <v>8240</v>
      </c>
      <c r="G1943" s="49">
        <v>50</v>
      </c>
      <c r="H1943" s="49" t="s">
        <v>0</v>
      </c>
      <c r="I1943" s="49" t="s">
        <v>8586</v>
      </c>
      <c r="J1943" s="49" t="s">
        <v>6278</v>
      </c>
      <c r="K1943" s="49"/>
      <c r="L1943" s="49" t="s">
        <v>6036</v>
      </c>
      <c r="M1943" s="49"/>
      <c r="N1943" s="50" t="s">
        <v>6481</v>
      </c>
      <c r="O1943" s="1407"/>
      <c r="P1943" s="1394"/>
      <c r="Q1943" s="1397"/>
    </row>
    <row r="1944" spans="1:17" ht="11.1" customHeight="1">
      <c r="A1944" s="51" t="s">
        <v>9850</v>
      </c>
      <c r="B1944" s="203"/>
      <c r="C1944" s="203">
        <v>1</v>
      </c>
      <c r="D1944" s="204" t="s">
        <v>8608</v>
      </c>
      <c r="E1944" s="205" t="s">
        <v>6262</v>
      </c>
      <c r="F1944" s="204" t="s">
        <v>9851</v>
      </c>
      <c r="G1944" s="204">
        <v>55</v>
      </c>
      <c r="H1944" s="204" t="s">
        <v>6049</v>
      </c>
      <c r="I1944" s="204"/>
      <c r="J1944" s="204" t="s">
        <v>6267</v>
      </c>
      <c r="K1944" s="204" t="s">
        <v>6268</v>
      </c>
      <c r="L1944" s="204" t="s">
        <v>6036</v>
      </c>
      <c r="M1944" s="204"/>
      <c r="N1944" s="206"/>
      <c r="O1944" s="1398">
        <v>0</v>
      </c>
      <c r="P1944" s="1393">
        <v>19507</v>
      </c>
      <c r="Q1944" s="1396" t="e">
        <f>P1944/SUM($P$750:$P$790)</f>
        <v>#DIV/0!</v>
      </c>
    </row>
    <row r="1945" spans="1:17" ht="11.1" customHeight="1">
      <c r="A1945" s="31" t="s">
        <v>9852</v>
      </c>
      <c r="B1945" s="187"/>
      <c r="C1945" s="187">
        <v>2</v>
      </c>
      <c r="D1945" s="42" t="s">
        <v>8608</v>
      </c>
      <c r="E1945" s="188" t="s">
        <v>6262</v>
      </c>
      <c r="F1945" s="42" t="s">
        <v>9853</v>
      </c>
      <c r="G1945" s="42">
        <v>45</v>
      </c>
      <c r="H1945" s="42" t="s">
        <v>6049</v>
      </c>
      <c r="I1945" s="42"/>
      <c r="J1945" s="42" t="s">
        <v>6267</v>
      </c>
      <c r="K1945" s="42" t="s">
        <v>6268</v>
      </c>
      <c r="L1945" s="42" t="s">
        <v>6036</v>
      </c>
      <c r="M1945" s="42"/>
      <c r="N1945" s="207"/>
      <c r="O1945" s="1398"/>
      <c r="P1945" s="1393"/>
      <c r="Q1945" s="1396"/>
    </row>
    <row r="1946" spans="1:17" ht="11.1" customHeight="1">
      <c r="A1946" s="31" t="s">
        <v>9854</v>
      </c>
      <c r="B1946" s="187"/>
      <c r="C1946" s="187">
        <v>3</v>
      </c>
      <c r="D1946" s="42" t="s">
        <v>8608</v>
      </c>
      <c r="E1946" s="188" t="s">
        <v>6262</v>
      </c>
      <c r="F1946" s="42" t="s">
        <v>9855</v>
      </c>
      <c r="G1946" s="42">
        <v>51</v>
      </c>
      <c r="H1946" s="42" t="s">
        <v>0</v>
      </c>
      <c r="I1946" s="42"/>
      <c r="J1946" s="42" t="s">
        <v>6267</v>
      </c>
      <c r="K1946" s="42" t="s">
        <v>6268</v>
      </c>
      <c r="L1946" s="42" t="s">
        <v>6036</v>
      </c>
      <c r="M1946" s="42"/>
      <c r="N1946" s="207"/>
      <c r="O1946" s="1398"/>
      <c r="P1946" s="1393"/>
      <c r="Q1946" s="1396"/>
    </row>
    <row r="1947" spans="1:17" ht="11.1" customHeight="1" thickBot="1">
      <c r="A1947" s="73" t="s">
        <v>9856</v>
      </c>
      <c r="B1947" s="215"/>
      <c r="C1947" s="215">
        <v>4</v>
      </c>
      <c r="D1947" s="78" t="s">
        <v>8608</v>
      </c>
      <c r="E1947" s="216" t="s">
        <v>6262</v>
      </c>
      <c r="F1947" s="78" t="s">
        <v>9857</v>
      </c>
      <c r="G1947" s="78">
        <v>64</v>
      </c>
      <c r="H1947" s="78" t="s">
        <v>0</v>
      </c>
      <c r="I1947" s="78"/>
      <c r="J1947" s="78" t="s">
        <v>6267</v>
      </c>
      <c r="K1947" s="78" t="s">
        <v>6268</v>
      </c>
      <c r="L1947" s="78" t="s">
        <v>6036</v>
      </c>
      <c r="M1947" s="78"/>
      <c r="N1947" s="218"/>
      <c r="O1947" s="1399"/>
      <c r="P1947" s="1400"/>
      <c r="Q1947" s="1401"/>
    </row>
    <row r="1948" spans="1:17" ht="11.1" customHeight="1">
      <c r="A1948" s="80" t="s">
        <v>9858</v>
      </c>
      <c r="B1948" s="219" t="s">
        <v>6217</v>
      </c>
      <c r="C1948" s="219">
        <v>1</v>
      </c>
      <c r="D1948" s="112" t="s">
        <v>8608</v>
      </c>
      <c r="E1948" s="220" t="s">
        <v>6262</v>
      </c>
      <c r="F1948" s="112" t="s">
        <v>9859</v>
      </c>
      <c r="G1948" s="112">
        <v>67</v>
      </c>
      <c r="H1948" s="112" t="s">
        <v>0</v>
      </c>
      <c r="I1948" s="112"/>
      <c r="J1948" s="112" t="s">
        <v>6257</v>
      </c>
      <c r="K1948" s="112" t="s">
        <v>6350</v>
      </c>
      <c r="L1948" s="112" t="s">
        <v>6209</v>
      </c>
      <c r="M1948" s="112">
        <v>12</v>
      </c>
      <c r="N1948" s="258"/>
      <c r="O1948" s="1414">
        <v>7</v>
      </c>
      <c r="P1948" s="1417">
        <v>2352372</v>
      </c>
      <c r="Q1948" s="1418" t="e">
        <f>P1948/SUM($P$791:$P$889)</f>
        <v>#DIV/0!</v>
      </c>
    </row>
    <row r="1949" spans="1:17" ht="11.1" customHeight="1">
      <c r="A1949" s="31" t="s">
        <v>9860</v>
      </c>
      <c r="B1949" s="185" t="s">
        <v>6217</v>
      </c>
      <c r="C1949" s="185">
        <v>2</v>
      </c>
      <c r="D1949" s="59" t="s">
        <v>8608</v>
      </c>
      <c r="E1949" s="186" t="s">
        <v>6262</v>
      </c>
      <c r="F1949" s="59" t="s">
        <v>9861</v>
      </c>
      <c r="G1949" s="59">
        <v>61</v>
      </c>
      <c r="H1949" s="59" t="s">
        <v>0</v>
      </c>
      <c r="I1949" s="59"/>
      <c r="J1949" s="59" t="s">
        <v>6257</v>
      </c>
      <c r="K1949" s="59" t="s">
        <v>6402</v>
      </c>
      <c r="L1949" s="59" t="s">
        <v>6209</v>
      </c>
      <c r="M1949" s="59">
        <v>4</v>
      </c>
      <c r="N1949" s="221"/>
      <c r="O1949" s="1415"/>
      <c r="P1949" s="1393"/>
      <c r="Q1949" s="1396"/>
    </row>
    <row r="1950" spans="1:17" ht="11.1" customHeight="1">
      <c r="A1950" s="31" t="s">
        <v>9862</v>
      </c>
      <c r="B1950" s="185" t="s">
        <v>6217</v>
      </c>
      <c r="C1950" s="185">
        <v>3</v>
      </c>
      <c r="D1950" s="59" t="s">
        <v>9863</v>
      </c>
      <c r="E1950" s="186">
        <v>97.59</v>
      </c>
      <c r="F1950" s="59" t="s">
        <v>8424</v>
      </c>
      <c r="G1950" s="59">
        <v>68</v>
      </c>
      <c r="H1950" s="59" t="s">
        <v>0</v>
      </c>
      <c r="I1950" s="59" t="s">
        <v>8586</v>
      </c>
      <c r="J1950" s="59" t="s">
        <v>6257</v>
      </c>
      <c r="K1950" s="59" t="s">
        <v>6286</v>
      </c>
      <c r="L1950" s="59" t="s">
        <v>6209</v>
      </c>
      <c r="M1950" s="59">
        <v>2</v>
      </c>
      <c r="N1950" s="133" t="s">
        <v>6260</v>
      </c>
      <c r="O1950" s="1415"/>
      <c r="P1950" s="1393"/>
      <c r="Q1950" s="1396"/>
    </row>
    <row r="1951" spans="1:17" ht="11.1" customHeight="1">
      <c r="A1951" s="31" t="s">
        <v>9864</v>
      </c>
      <c r="B1951" s="185" t="s">
        <v>6217</v>
      </c>
      <c r="C1951" s="185">
        <v>3</v>
      </c>
      <c r="D1951" s="59" t="s">
        <v>9865</v>
      </c>
      <c r="E1951" s="186">
        <v>95.57</v>
      </c>
      <c r="F1951" s="59" t="s">
        <v>8481</v>
      </c>
      <c r="G1951" s="59">
        <v>68</v>
      </c>
      <c r="H1951" s="59" t="s">
        <v>0</v>
      </c>
      <c r="I1951" s="59" t="s">
        <v>8586</v>
      </c>
      <c r="J1951" s="59" t="s">
        <v>6257</v>
      </c>
      <c r="K1951" s="59" t="s">
        <v>6286</v>
      </c>
      <c r="L1951" s="59" t="s">
        <v>6209</v>
      </c>
      <c r="M1951" s="59">
        <v>8</v>
      </c>
      <c r="N1951" s="133" t="s">
        <v>6260</v>
      </c>
      <c r="O1951" s="1415"/>
      <c r="P1951" s="1393"/>
      <c r="Q1951" s="1396"/>
    </row>
    <row r="1952" spans="1:17" ht="11.1" customHeight="1">
      <c r="A1952" s="31" t="s">
        <v>9866</v>
      </c>
      <c r="B1952" s="185" t="s">
        <v>6217</v>
      </c>
      <c r="C1952" s="185">
        <v>3</v>
      </c>
      <c r="D1952" s="59" t="s">
        <v>9867</v>
      </c>
      <c r="E1952" s="186">
        <v>95.42</v>
      </c>
      <c r="F1952" s="59" t="s">
        <v>8430</v>
      </c>
      <c r="G1952" s="59">
        <v>62</v>
      </c>
      <c r="H1952" s="59" t="s">
        <v>0</v>
      </c>
      <c r="I1952" s="59" t="s">
        <v>8586</v>
      </c>
      <c r="J1952" s="59" t="s">
        <v>6257</v>
      </c>
      <c r="K1952" s="59" t="s">
        <v>6402</v>
      </c>
      <c r="L1952" s="59" t="s">
        <v>6209</v>
      </c>
      <c r="M1952" s="59">
        <v>3</v>
      </c>
      <c r="N1952" s="133" t="s">
        <v>6260</v>
      </c>
      <c r="O1952" s="1415"/>
      <c r="P1952" s="1393"/>
      <c r="Q1952" s="1396"/>
    </row>
    <row r="1953" spans="1:17" ht="11.1" customHeight="1">
      <c r="A1953" s="31" t="s">
        <v>9868</v>
      </c>
      <c r="B1953" s="185" t="s">
        <v>6217</v>
      </c>
      <c r="C1953" s="185">
        <v>3</v>
      </c>
      <c r="D1953" s="59" t="s">
        <v>9869</v>
      </c>
      <c r="E1953" s="186">
        <v>93.04</v>
      </c>
      <c r="F1953" s="59" t="s">
        <v>8487</v>
      </c>
      <c r="G1953" s="59">
        <v>52</v>
      </c>
      <c r="H1953" s="59" t="s">
        <v>0</v>
      </c>
      <c r="I1953" s="59" t="s">
        <v>8586</v>
      </c>
      <c r="J1953" s="59" t="s">
        <v>6257</v>
      </c>
      <c r="K1953" s="59" t="s">
        <v>6596</v>
      </c>
      <c r="L1953" s="59" t="s">
        <v>6209</v>
      </c>
      <c r="M1953" s="59">
        <v>4</v>
      </c>
      <c r="N1953" s="133" t="s">
        <v>6260</v>
      </c>
      <c r="O1953" s="1415"/>
      <c r="P1953" s="1393"/>
      <c r="Q1953" s="1396"/>
    </row>
    <row r="1954" spans="1:17" ht="11.1" customHeight="1">
      <c r="A1954" s="31" t="s">
        <v>9870</v>
      </c>
      <c r="B1954" s="185" t="s">
        <v>6217</v>
      </c>
      <c r="C1954" s="185">
        <v>3</v>
      </c>
      <c r="D1954" s="59" t="s">
        <v>9871</v>
      </c>
      <c r="E1954" s="186">
        <v>92.04</v>
      </c>
      <c r="F1954" s="59" t="s">
        <v>8390</v>
      </c>
      <c r="G1954" s="59">
        <v>62</v>
      </c>
      <c r="H1954" s="59" t="s">
        <v>0</v>
      </c>
      <c r="I1954" s="59" t="s">
        <v>8586</v>
      </c>
      <c r="J1954" s="59" t="s">
        <v>6257</v>
      </c>
      <c r="K1954" s="59" t="s">
        <v>6258</v>
      </c>
      <c r="L1954" s="59" t="s">
        <v>6209</v>
      </c>
      <c r="M1954" s="59">
        <v>4</v>
      </c>
      <c r="N1954" s="133" t="s">
        <v>6260</v>
      </c>
      <c r="O1954" s="1415"/>
      <c r="P1954" s="1393"/>
      <c r="Q1954" s="1396"/>
    </row>
    <row r="1955" spans="1:17" ht="11.1" customHeight="1">
      <c r="A1955" s="31" t="s">
        <v>9872</v>
      </c>
      <c r="B1955" s="187"/>
      <c r="C1955" s="187">
        <v>3</v>
      </c>
      <c r="D1955" s="42" t="s">
        <v>9873</v>
      </c>
      <c r="E1955" s="188">
        <v>89.41</v>
      </c>
      <c r="F1955" s="42" t="s">
        <v>8360</v>
      </c>
      <c r="G1955" s="42">
        <v>62</v>
      </c>
      <c r="H1955" s="42" t="s">
        <v>0</v>
      </c>
      <c r="I1955" s="42" t="s">
        <v>8586</v>
      </c>
      <c r="J1955" s="42" t="s">
        <v>6257</v>
      </c>
      <c r="K1955" s="42" t="s">
        <v>6273</v>
      </c>
      <c r="L1955" s="42" t="s">
        <v>6209</v>
      </c>
      <c r="M1955" s="42">
        <v>5</v>
      </c>
      <c r="N1955" s="43" t="s">
        <v>6260</v>
      </c>
      <c r="O1955" s="1415"/>
      <c r="P1955" s="1393"/>
      <c r="Q1955" s="1396"/>
    </row>
    <row r="1956" spans="1:17" ht="11.1" customHeight="1">
      <c r="A1956" s="31" t="s">
        <v>9874</v>
      </c>
      <c r="B1956" s="187"/>
      <c r="C1956" s="187">
        <v>3</v>
      </c>
      <c r="D1956" s="42" t="s">
        <v>9875</v>
      </c>
      <c r="E1956" s="188">
        <v>88.81</v>
      </c>
      <c r="F1956" s="42" t="s">
        <v>8332</v>
      </c>
      <c r="G1956" s="42">
        <v>68</v>
      </c>
      <c r="H1956" s="42" t="s">
        <v>0</v>
      </c>
      <c r="I1956" s="42" t="s">
        <v>8586</v>
      </c>
      <c r="J1956" s="42" t="s">
        <v>6257</v>
      </c>
      <c r="K1956" s="42" t="s">
        <v>6350</v>
      </c>
      <c r="L1956" s="42" t="s">
        <v>6209</v>
      </c>
      <c r="M1956" s="42">
        <v>4</v>
      </c>
      <c r="N1956" s="43" t="s">
        <v>6260</v>
      </c>
      <c r="O1956" s="1415"/>
      <c r="P1956" s="1393"/>
      <c r="Q1956" s="1396"/>
    </row>
    <row r="1957" spans="1:17" ht="11.1" customHeight="1">
      <c r="A1957" s="31" t="s">
        <v>9876</v>
      </c>
      <c r="B1957" s="187"/>
      <c r="C1957" s="187">
        <v>3</v>
      </c>
      <c r="D1957" s="42" t="s">
        <v>9877</v>
      </c>
      <c r="E1957" s="188">
        <v>88.01</v>
      </c>
      <c r="F1957" s="42" t="s">
        <v>8414</v>
      </c>
      <c r="G1957" s="42">
        <v>68</v>
      </c>
      <c r="H1957" s="42" t="s">
        <v>0</v>
      </c>
      <c r="I1957" s="42" t="s">
        <v>8586</v>
      </c>
      <c r="J1957" s="42" t="s">
        <v>6257</v>
      </c>
      <c r="K1957" s="42" t="s">
        <v>6273</v>
      </c>
      <c r="L1957" s="42" t="s">
        <v>6209</v>
      </c>
      <c r="M1957" s="42">
        <v>9</v>
      </c>
      <c r="N1957" s="43" t="s">
        <v>6260</v>
      </c>
      <c r="O1957" s="1415"/>
      <c r="P1957" s="1393"/>
      <c r="Q1957" s="1396"/>
    </row>
    <row r="1958" spans="1:17" ht="11.1" customHeight="1">
      <c r="A1958" s="31" t="s">
        <v>9878</v>
      </c>
      <c r="B1958" s="187"/>
      <c r="C1958" s="187">
        <v>3</v>
      </c>
      <c r="D1958" s="42" t="s">
        <v>9879</v>
      </c>
      <c r="E1958" s="188">
        <v>86.26</v>
      </c>
      <c r="F1958" s="42" t="s">
        <v>8368</v>
      </c>
      <c r="G1958" s="42">
        <v>63</v>
      </c>
      <c r="H1958" s="42" t="s">
        <v>6049</v>
      </c>
      <c r="I1958" s="42" t="s">
        <v>8586</v>
      </c>
      <c r="J1958" s="42" t="s">
        <v>6257</v>
      </c>
      <c r="K1958" s="42" t="s">
        <v>6311</v>
      </c>
      <c r="L1958" s="42" t="s">
        <v>6209</v>
      </c>
      <c r="M1958" s="42">
        <v>3</v>
      </c>
      <c r="N1958" s="43" t="s">
        <v>6260</v>
      </c>
      <c r="O1958" s="1415"/>
      <c r="P1958" s="1393"/>
      <c r="Q1958" s="1396"/>
    </row>
    <row r="1959" spans="1:17" ht="11.1" customHeight="1">
      <c r="A1959" s="31" t="s">
        <v>9880</v>
      </c>
      <c r="B1959" s="187"/>
      <c r="C1959" s="187">
        <v>3</v>
      </c>
      <c r="D1959" s="42" t="s">
        <v>9881</v>
      </c>
      <c r="E1959" s="188">
        <v>84.69</v>
      </c>
      <c r="F1959" s="42" t="s">
        <v>8338</v>
      </c>
      <c r="G1959" s="42">
        <v>64</v>
      </c>
      <c r="H1959" s="42" t="s">
        <v>0</v>
      </c>
      <c r="I1959" s="42" t="s">
        <v>8586</v>
      </c>
      <c r="J1959" s="42" t="s">
        <v>6257</v>
      </c>
      <c r="K1959" s="42" t="s">
        <v>6350</v>
      </c>
      <c r="L1959" s="42" t="s">
        <v>6209</v>
      </c>
      <c r="M1959" s="42">
        <v>5</v>
      </c>
      <c r="N1959" s="43" t="s">
        <v>6260</v>
      </c>
      <c r="O1959" s="1415"/>
      <c r="P1959" s="1393"/>
      <c r="Q1959" s="1396"/>
    </row>
    <row r="1960" spans="1:17" ht="11.1" customHeight="1">
      <c r="A1960" s="31" t="s">
        <v>9882</v>
      </c>
      <c r="B1960" s="187"/>
      <c r="C1960" s="187">
        <v>3</v>
      </c>
      <c r="D1960" s="42" t="s">
        <v>9883</v>
      </c>
      <c r="E1960" s="188">
        <v>81.680000000000007</v>
      </c>
      <c r="F1960" s="42" t="s">
        <v>8552</v>
      </c>
      <c r="G1960" s="42">
        <v>36</v>
      </c>
      <c r="H1960" s="42" t="s">
        <v>0</v>
      </c>
      <c r="I1960" s="42" t="s">
        <v>8586</v>
      </c>
      <c r="J1960" s="42" t="s">
        <v>6257</v>
      </c>
      <c r="K1960" s="42" t="s">
        <v>6258</v>
      </c>
      <c r="L1960" s="42" t="s">
        <v>6036</v>
      </c>
      <c r="M1960" s="42"/>
      <c r="N1960" s="43" t="s">
        <v>6260</v>
      </c>
      <c r="O1960" s="1415"/>
      <c r="P1960" s="1393"/>
      <c r="Q1960" s="1396"/>
    </row>
    <row r="1961" spans="1:17" ht="11.1" customHeight="1">
      <c r="A1961" s="31" t="s">
        <v>9884</v>
      </c>
      <c r="B1961" s="187"/>
      <c r="C1961" s="187">
        <v>3</v>
      </c>
      <c r="D1961" s="42" t="s">
        <v>9885</v>
      </c>
      <c r="E1961" s="188">
        <v>80.27</v>
      </c>
      <c r="F1961" s="42" t="s">
        <v>8518</v>
      </c>
      <c r="G1961" s="42">
        <v>70</v>
      </c>
      <c r="H1961" s="42" t="s">
        <v>0</v>
      </c>
      <c r="I1961" s="42" t="s">
        <v>8586</v>
      </c>
      <c r="J1961" s="42" t="s">
        <v>6257</v>
      </c>
      <c r="K1961" s="42" t="s">
        <v>6350</v>
      </c>
      <c r="L1961" s="42" t="s">
        <v>6209</v>
      </c>
      <c r="M1961" s="42">
        <v>11</v>
      </c>
      <c r="N1961" s="43" t="s">
        <v>6260</v>
      </c>
      <c r="O1961" s="1415"/>
      <c r="P1961" s="1393"/>
      <c r="Q1961" s="1396"/>
    </row>
    <row r="1962" spans="1:17" ht="11.1" customHeight="1">
      <c r="A1962" s="31" t="s">
        <v>9886</v>
      </c>
      <c r="B1962" s="187"/>
      <c r="C1962" s="187">
        <v>3</v>
      </c>
      <c r="D1962" s="42" t="s">
        <v>9887</v>
      </c>
      <c r="E1962" s="188">
        <v>79.900000000000006</v>
      </c>
      <c r="F1962" s="42" t="s">
        <v>8578</v>
      </c>
      <c r="G1962" s="42">
        <v>55</v>
      </c>
      <c r="H1962" s="42" t="s">
        <v>0</v>
      </c>
      <c r="I1962" s="42" t="s">
        <v>8586</v>
      </c>
      <c r="J1962" s="42" t="s">
        <v>6257</v>
      </c>
      <c r="K1962" s="42" t="s">
        <v>6273</v>
      </c>
      <c r="L1962" s="42" t="s">
        <v>6209</v>
      </c>
      <c r="M1962" s="42">
        <v>2</v>
      </c>
      <c r="N1962" s="43" t="s">
        <v>6260</v>
      </c>
      <c r="O1962" s="1415"/>
      <c r="P1962" s="1393"/>
      <c r="Q1962" s="1396"/>
    </row>
    <row r="1963" spans="1:17" ht="11.1" customHeight="1">
      <c r="A1963" s="31" t="s">
        <v>9888</v>
      </c>
      <c r="B1963" s="187"/>
      <c r="C1963" s="187">
        <v>3</v>
      </c>
      <c r="D1963" s="42" t="s">
        <v>9889</v>
      </c>
      <c r="E1963" s="188">
        <v>78.12</v>
      </c>
      <c r="F1963" s="42" t="s">
        <v>8384</v>
      </c>
      <c r="G1963" s="42">
        <v>36</v>
      </c>
      <c r="H1963" s="42" t="s">
        <v>0</v>
      </c>
      <c r="I1963" s="42" t="s">
        <v>8586</v>
      </c>
      <c r="J1963" s="42" t="s">
        <v>6257</v>
      </c>
      <c r="K1963" s="42" t="s">
        <v>6273</v>
      </c>
      <c r="L1963" s="42" t="s">
        <v>6209</v>
      </c>
      <c r="M1963" s="42">
        <v>1</v>
      </c>
      <c r="N1963" s="43" t="s">
        <v>6260</v>
      </c>
      <c r="O1963" s="1415"/>
      <c r="P1963" s="1393"/>
      <c r="Q1963" s="1396"/>
    </row>
    <row r="1964" spans="1:17" ht="11.1" customHeight="1">
      <c r="A1964" s="31" t="s">
        <v>9890</v>
      </c>
      <c r="B1964" s="187"/>
      <c r="C1964" s="187">
        <v>3</v>
      </c>
      <c r="D1964" s="42" t="s">
        <v>9891</v>
      </c>
      <c r="E1964" s="188">
        <v>75.959999999999994</v>
      </c>
      <c r="F1964" s="42" t="s">
        <v>8324</v>
      </c>
      <c r="G1964" s="42">
        <v>63</v>
      </c>
      <c r="H1964" s="42" t="s">
        <v>0</v>
      </c>
      <c r="I1964" s="42" t="s">
        <v>8586</v>
      </c>
      <c r="J1964" s="42" t="s">
        <v>6257</v>
      </c>
      <c r="K1964" s="42" t="s">
        <v>6402</v>
      </c>
      <c r="L1964" s="42" t="s">
        <v>6209</v>
      </c>
      <c r="M1964" s="42">
        <v>8</v>
      </c>
      <c r="N1964" s="43" t="s">
        <v>6260</v>
      </c>
      <c r="O1964" s="1415"/>
      <c r="P1964" s="1393"/>
      <c r="Q1964" s="1396"/>
    </row>
    <row r="1965" spans="1:17" ht="11.1" customHeight="1">
      <c r="A1965" s="31" t="s">
        <v>9892</v>
      </c>
      <c r="B1965" s="187"/>
      <c r="C1965" s="187">
        <v>3</v>
      </c>
      <c r="D1965" s="42" t="s">
        <v>9893</v>
      </c>
      <c r="E1965" s="188">
        <v>73.52</v>
      </c>
      <c r="F1965" s="42" t="s">
        <v>8534</v>
      </c>
      <c r="G1965" s="42">
        <v>68</v>
      </c>
      <c r="H1965" s="42" t="s">
        <v>0</v>
      </c>
      <c r="I1965" s="42" t="s">
        <v>8586</v>
      </c>
      <c r="J1965" s="42" t="s">
        <v>6257</v>
      </c>
      <c r="K1965" s="42" t="s">
        <v>6286</v>
      </c>
      <c r="L1965" s="42" t="s">
        <v>6209</v>
      </c>
      <c r="M1965" s="42">
        <v>6</v>
      </c>
      <c r="N1965" s="43" t="s">
        <v>6260</v>
      </c>
      <c r="O1965" s="1415"/>
      <c r="P1965" s="1393"/>
      <c r="Q1965" s="1396"/>
    </row>
    <row r="1966" spans="1:17" ht="11.1" customHeight="1">
      <c r="A1966" s="31" t="s">
        <v>9894</v>
      </c>
      <c r="B1966" s="187"/>
      <c r="C1966" s="187">
        <v>3</v>
      </c>
      <c r="D1966" s="42" t="s">
        <v>9895</v>
      </c>
      <c r="E1966" s="188">
        <v>71.81</v>
      </c>
      <c r="F1966" s="42" t="s">
        <v>8308</v>
      </c>
      <c r="G1966" s="42">
        <v>46</v>
      </c>
      <c r="H1966" s="42" t="s">
        <v>0</v>
      </c>
      <c r="I1966" s="42" t="s">
        <v>8586</v>
      </c>
      <c r="J1966" s="42" t="s">
        <v>6257</v>
      </c>
      <c r="K1966" s="42" t="s">
        <v>6596</v>
      </c>
      <c r="L1966" s="42" t="s">
        <v>6209</v>
      </c>
      <c r="M1966" s="42">
        <v>1</v>
      </c>
      <c r="N1966" s="43"/>
      <c r="O1966" s="1415"/>
      <c r="P1966" s="1393"/>
      <c r="Q1966" s="1396"/>
    </row>
    <row r="1967" spans="1:17" ht="11.1" customHeight="1">
      <c r="A1967" s="31" t="s">
        <v>9896</v>
      </c>
      <c r="B1967" s="187"/>
      <c r="C1967" s="187">
        <v>3</v>
      </c>
      <c r="D1967" s="42" t="s">
        <v>9897</v>
      </c>
      <c r="E1967" s="188">
        <v>71.2</v>
      </c>
      <c r="F1967" s="42" t="s">
        <v>8436</v>
      </c>
      <c r="G1967" s="42">
        <v>40</v>
      </c>
      <c r="H1967" s="42" t="s">
        <v>0</v>
      </c>
      <c r="I1967" s="42" t="s">
        <v>8586</v>
      </c>
      <c r="J1967" s="42" t="s">
        <v>6257</v>
      </c>
      <c r="K1967" s="42" t="s">
        <v>6273</v>
      </c>
      <c r="L1967" s="42" t="s">
        <v>6209</v>
      </c>
      <c r="M1967" s="42">
        <v>1</v>
      </c>
      <c r="N1967" s="43"/>
      <c r="O1967" s="1415"/>
      <c r="P1967" s="1393"/>
      <c r="Q1967" s="1396"/>
    </row>
    <row r="1968" spans="1:17" ht="11.1" customHeight="1">
      <c r="A1968" s="31" t="s">
        <v>9898</v>
      </c>
      <c r="B1968" s="187"/>
      <c r="C1968" s="187">
        <v>3</v>
      </c>
      <c r="D1968" s="42" t="s">
        <v>9899</v>
      </c>
      <c r="E1968" s="188">
        <v>67.650000000000006</v>
      </c>
      <c r="F1968" s="42" t="s">
        <v>8406</v>
      </c>
      <c r="G1968" s="42">
        <v>61</v>
      </c>
      <c r="H1968" s="42" t="s">
        <v>0</v>
      </c>
      <c r="I1968" s="42" t="s">
        <v>8586</v>
      </c>
      <c r="J1968" s="42" t="s">
        <v>6257</v>
      </c>
      <c r="K1968" s="42" t="s">
        <v>6350</v>
      </c>
      <c r="L1968" s="42" t="s">
        <v>6209</v>
      </c>
      <c r="M1968" s="42">
        <v>1</v>
      </c>
      <c r="N1968" s="43" t="s">
        <v>6260</v>
      </c>
      <c r="O1968" s="1415"/>
      <c r="P1968" s="1393"/>
      <c r="Q1968" s="1396"/>
    </row>
    <row r="1969" spans="1:17" ht="11.1" customHeight="1">
      <c r="A1969" s="31" t="s">
        <v>9900</v>
      </c>
      <c r="B1969" s="187"/>
      <c r="C1969" s="187">
        <v>3</v>
      </c>
      <c r="D1969" s="42" t="s">
        <v>9901</v>
      </c>
      <c r="E1969" s="188">
        <v>66.02</v>
      </c>
      <c r="F1969" s="42" t="s">
        <v>8316</v>
      </c>
      <c r="G1969" s="42">
        <v>72</v>
      </c>
      <c r="H1969" s="42" t="s">
        <v>0</v>
      </c>
      <c r="I1969" s="42" t="s">
        <v>8586</v>
      </c>
      <c r="J1969" s="42" t="s">
        <v>6257</v>
      </c>
      <c r="K1969" s="42" t="s">
        <v>6350</v>
      </c>
      <c r="L1969" s="42" t="s">
        <v>6209</v>
      </c>
      <c r="M1969" s="42">
        <v>12</v>
      </c>
      <c r="N1969" s="43" t="s">
        <v>6260</v>
      </c>
      <c r="O1969" s="1415"/>
      <c r="P1969" s="1393"/>
      <c r="Q1969" s="1396"/>
    </row>
    <row r="1970" spans="1:17" ht="11.1" customHeight="1">
      <c r="A1970" s="31" t="s">
        <v>9902</v>
      </c>
      <c r="B1970" s="187"/>
      <c r="C1970" s="187">
        <v>3</v>
      </c>
      <c r="D1970" s="42" t="s">
        <v>9903</v>
      </c>
      <c r="E1970" s="188">
        <v>59.69</v>
      </c>
      <c r="F1970" s="42" t="s">
        <v>8561</v>
      </c>
      <c r="G1970" s="42">
        <v>53</v>
      </c>
      <c r="H1970" s="42" t="s">
        <v>0</v>
      </c>
      <c r="I1970" s="42" t="s">
        <v>8586</v>
      </c>
      <c r="J1970" s="42" t="s">
        <v>6257</v>
      </c>
      <c r="K1970" s="42" t="s">
        <v>6350</v>
      </c>
      <c r="L1970" s="42" t="s">
        <v>6209</v>
      </c>
      <c r="M1970" s="42">
        <v>1</v>
      </c>
      <c r="N1970" s="43" t="s">
        <v>6260</v>
      </c>
      <c r="O1970" s="1415"/>
      <c r="P1970" s="1393"/>
      <c r="Q1970" s="1396"/>
    </row>
    <row r="1971" spans="1:17" ht="11.1" customHeight="1">
      <c r="A1971" s="31" t="s">
        <v>9904</v>
      </c>
      <c r="B1971" s="187"/>
      <c r="C1971" s="187">
        <v>3</v>
      </c>
      <c r="D1971" s="42" t="s">
        <v>9905</v>
      </c>
      <c r="E1971" s="188">
        <v>57.07</v>
      </c>
      <c r="F1971" s="42" t="s">
        <v>8473</v>
      </c>
      <c r="G1971" s="42">
        <v>40</v>
      </c>
      <c r="H1971" s="42" t="s">
        <v>0</v>
      </c>
      <c r="I1971" s="42" t="s">
        <v>8586</v>
      </c>
      <c r="J1971" s="42" t="s">
        <v>6257</v>
      </c>
      <c r="K1971" s="42" t="s">
        <v>6286</v>
      </c>
      <c r="L1971" s="42" t="s">
        <v>6036</v>
      </c>
      <c r="M1971" s="42"/>
      <c r="N1971" s="43" t="s">
        <v>6260</v>
      </c>
      <c r="O1971" s="1415"/>
      <c r="P1971" s="1393"/>
      <c r="Q1971" s="1396"/>
    </row>
    <row r="1972" spans="1:17" ht="11.1" customHeight="1">
      <c r="A1972" s="31" t="s">
        <v>9906</v>
      </c>
      <c r="B1972" s="187"/>
      <c r="C1972" s="187">
        <v>3</v>
      </c>
      <c r="D1972" s="42" t="s">
        <v>9907</v>
      </c>
      <c r="E1972" s="188">
        <v>48.75</v>
      </c>
      <c r="F1972" s="42" t="s">
        <v>8568</v>
      </c>
      <c r="G1972" s="42">
        <v>68</v>
      </c>
      <c r="H1972" s="42" t="s">
        <v>0</v>
      </c>
      <c r="I1972" s="42" t="s">
        <v>8586</v>
      </c>
      <c r="J1972" s="42" t="s">
        <v>6257</v>
      </c>
      <c r="K1972" s="42" t="s">
        <v>6286</v>
      </c>
      <c r="L1972" s="42" t="s">
        <v>6209</v>
      </c>
      <c r="M1972" s="42">
        <v>4</v>
      </c>
      <c r="N1972" s="43" t="s">
        <v>6260</v>
      </c>
      <c r="O1972" s="1415"/>
      <c r="P1972" s="1393"/>
      <c r="Q1972" s="1396"/>
    </row>
    <row r="1973" spans="1:17" ht="11.1" customHeight="1">
      <c r="A1973" s="31" t="s">
        <v>9908</v>
      </c>
      <c r="B1973" s="187" t="s">
        <v>8615</v>
      </c>
      <c r="C1973" s="187">
        <v>3</v>
      </c>
      <c r="D1973" s="59" t="s">
        <v>9909</v>
      </c>
      <c r="E1973" s="186" t="s">
        <v>6251</v>
      </c>
      <c r="F1973" s="59" t="s">
        <v>8342</v>
      </c>
      <c r="G1973" s="59">
        <v>60</v>
      </c>
      <c r="H1973" s="59" t="s">
        <v>0</v>
      </c>
      <c r="I1973" s="59" t="s">
        <v>8586</v>
      </c>
      <c r="J1973" s="59" t="s">
        <v>6257</v>
      </c>
      <c r="K1973" s="59" t="s">
        <v>6273</v>
      </c>
      <c r="L1973" s="59" t="s">
        <v>6209</v>
      </c>
      <c r="M1973" s="59">
        <v>10</v>
      </c>
      <c r="N1973" s="43" t="s">
        <v>6260</v>
      </c>
      <c r="O1973" s="1415"/>
      <c r="P1973" s="1393"/>
      <c r="Q1973" s="1396"/>
    </row>
    <row r="1974" spans="1:17" ht="11.1" customHeight="1">
      <c r="A1974" s="31" t="s">
        <v>9910</v>
      </c>
      <c r="B1974" s="187" t="s">
        <v>8615</v>
      </c>
      <c r="C1974" s="187">
        <v>3</v>
      </c>
      <c r="D1974" s="59" t="s">
        <v>9911</v>
      </c>
      <c r="E1974" s="186" t="s">
        <v>6251</v>
      </c>
      <c r="F1974" s="59" t="s">
        <v>8374</v>
      </c>
      <c r="G1974" s="59">
        <v>41</v>
      </c>
      <c r="H1974" s="59" t="s">
        <v>0</v>
      </c>
      <c r="I1974" s="59" t="s">
        <v>8586</v>
      </c>
      <c r="J1974" s="59" t="s">
        <v>6257</v>
      </c>
      <c r="K1974" s="59" t="s">
        <v>6350</v>
      </c>
      <c r="L1974" s="59" t="s">
        <v>6209</v>
      </c>
      <c r="M1974" s="59">
        <v>2</v>
      </c>
      <c r="N1974" s="43" t="s">
        <v>6260</v>
      </c>
      <c r="O1974" s="1415"/>
      <c r="P1974" s="1393"/>
      <c r="Q1974" s="1396"/>
    </row>
    <row r="1975" spans="1:17" ht="11.1" customHeight="1">
      <c r="A1975" s="31" t="s">
        <v>9912</v>
      </c>
      <c r="B1975" s="187" t="s">
        <v>8615</v>
      </c>
      <c r="C1975" s="187">
        <v>3</v>
      </c>
      <c r="D1975" s="59" t="s">
        <v>9913</v>
      </c>
      <c r="E1975" s="186" t="s">
        <v>6251</v>
      </c>
      <c r="F1975" s="59" t="s">
        <v>8448</v>
      </c>
      <c r="G1975" s="59">
        <v>58</v>
      </c>
      <c r="H1975" s="59" t="s">
        <v>0</v>
      </c>
      <c r="I1975" s="59" t="s">
        <v>8586</v>
      </c>
      <c r="J1975" s="59" t="s">
        <v>6257</v>
      </c>
      <c r="K1975" s="59" t="s">
        <v>6350</v>
      </c>
      <c r="L1975" s="59" t="s">
        <v>6209</v>
      </c>
      <c r="M1975" s="59">
        <v>2</v>
      </c>
      <c r="N1975" s="43" t="s">
        <v>6260</v>
      </c>
      <c r="O1975" s="1415"/>
      <c r="P1975" s="1393"/>
      <c r="Q1975" s="1396"/>
    </row>
    <row r="1976" spans="1:17" ht="11.1" customHeight="1">
      <c r="A1976" s="31" t="s">
        <v>9914</v>
      </c>
      <c r="B1976" s="187" t="s">
        <v>8615</v>
      </c>
      <c r="C1976" s="187">
        <v>3</v>
      </c>
      <c r="D1976" s="59" t="s">
        <v>9915</v>
      </c>
      <c r="E1976" s="186" t="s">
        <v>6251</v>
      </c>
      <c r="F1976" s="59" t="s">
        <v>8456</v>
      </c>
      <c r="G1976" s="59">
        <v>67</v>
      </c>
      <c r="H1976" s="59" t="s">
        <v>0</v>
      </c>
      <c r="I1976" s="59" t="s">
        <v>8586</v>
      </c>
      <c r="J1976" s="59" t="s">
        <v>6257</v>
      </c>
      <c r="K1976" s="59" t="s">
        <v>6402</v>
      </c>
      <c r="L1976" s="59" t="s">
        <v>6209</v>
      </c>
      <c r="M1976" s="59">
        <v>7</v>
      </c>
      <c r="N1976" s="43" t="s">
        <v>6260</v>
      </c>
      <c r="O1976" s="1415"/>
      <c r="P1976" s="1393"/>
      <c r="Q1976" s="1396"/>
    </row>
    <row r="1977" spans="1:17" ht="11.1" customHeight="1">
      <c r="A1977" s="31" t="s">
        <v>9916</v>
      </c>
      <c r="B1977" s="187" t="s">
        <v>8615</v>
      </c>
      <c r="C1977" s="187">
        <v>3</v>
      </c>
      <c r="D1977" s="59" t="s">
        <v>9917</v>
      </c>
      <c r="E1977" s="186" t="s">
        <v>6251</v>
      </c>
      <c r="F1977" s="59" t="s">
        <v>8462</v>
      </c>
      <c r="G1977" s="59">
        <v>48</v>
      </c>
      <c r="H1977" s="59" t="s">
        <v>0</v>
      </c>
      <c r="I1977" s="59" t="s">
        <v>8586</v>
      </c>
      <c r="J1977" s="59" t="s">
        <v>6257</v>
      </c>
      <c r="K1977" s="59" t="s">
        <v>6350</v>
      </c>
      <c r="L1977" s="59" t="s">
        <v>6209</v>
      </c>
      <c r="M1977" s="59">
        <v>3</v>
      </c>
      <c r="N1977" s="43" t="s">
        <v>6260</v>
      </c>
      <c r="O1977" s="1415"/>
      <c r="P1977" s="1393"/>
      <c r="Q1977" s="1396"/>
    </row>
    <row r="1978" spans="1:17" ht="11.1" customHeight="1">
      <c r="A1978" s="31" t="s">
        <v>9918</v>
      </c>
      <c r="B1978" s="187" t="s">
        <v>8615</v>
      </c>
      <c r="C1978" s="187">
        <v>3</v>
      </c>
      <c r="D1978" s="59" t="s">
        <v>9919</v>
      </c>
      <c r="E1978" s="186" t="s">
        <v>6251</v>
      </c>
      <c r="F1978" s="59" t="s">
        <v>8502</v>
      </c>
      <c r="G1978" s="59">
        <v>49</v>
      </c>
      <c r="H1978" s="59" t="s">
        <v>0</v>
      </c>
      <c r="I1978" s="59" t="s">
        <v>8586</v>
      </c>
      <c r="J1978" s="59" t="s">
        <v>6257</v>
      </c>
      <c r="K1978" s="59" t="s">
        <v>6311</v>
      </c>
      <c r="L1978" s="59" t="s">
        <v>6209</v>
      </c>
      <c r="M1978" s="59">
        <v>2</v>
      </c>
      <c r="N1978" s="43" t="s">
        <v>6260</v>
      </c>
      <c r="O1978" s="1415"/>
      <c r="P1978" s="1393"/>
      <c r="Q1978" s="1396"/>
    </row>
    <row r="1979" spans="1:17" ht="11.1" customHeight="1">
      <c r="A1979" s="31" t="s">
        <v>9920</v>
      </c>
      <c r="B1979" s="187" t="s">
        <v>8615</v>
      </c>
      <c r="C1979" s="187">
        <v>3</v>
      </c>
      <c r="D1979" s="59" t="s">
        <v>9921</v>
      </c>
      <c r="E1979" s="186" t="s">
        <v>6251</v>
      </c>
      <c r="F1979" s="59" t="s">
        <v>8510</v>
      </c>
      <c r="G1979" s="59">
        <v>44</v>
      </c>
      <c r="H1979" s="59" t="s">
        <v>0</v>
      </c>
      <c r="I1979" s="59" t="s">
        <v>8586</v>
      </c>
      <c r="J1979" s="59" t="s">
        <v>6257</v>
      </c>
      <c r="K1979" s="59" t="s">
        <v>6350</v>
      </c>
      <c r="L1979" s="59" t="s">
        <v>6209</v>
      </c>
      <c r="M1979" s="59">
        <v>2</v>
      </c>
      <c r="N1979" s="43" t="s">
        <v>6260</v>
      </c>
      <c r="O1979" s="1415"/>
      <c r="P1979" s="1393"/>
      <c r="Q1979" s="1396"/>
    </row>
    <row r="1980" spans="1:17" ht="11.1" customHeight="1">
      <c r="A1980" s="31" t="s">
        <v>9922</v>
      </c>
      <c r="B1980" s="187" t="s">
        <v>8615</v>
      </c>
      <c r="C1980" s="187">
        <v>3</v>
      </c>
      <c r="D1980" s="59" t="s">
        <v>9923</v>
      </c>
      <c r="E1980" s="186" t="s">
        <v>6251</v>
      </c>
      <c r="F1980" s="59" t="s">
        <v>8526</v>
      </c>
      <c r="G1980" s="59">
        <v>38</v>
      </c>
      <c r="H1980" s="59" t="s">
        <v>0</v>
      </c>
      <c r="I1980" s="59" t="s">
        <v>8586</v>
      </c>
      <c r="J1980" s="59" t="s">
        <v>6257</v>
      </c>
      <c r="K1980" s="59" t="s">
        <v>6402</v>
      </c>
      <c r="L1980" s="59" t="s">
        <v>6209</v>
      </c>
      <c r="M1980" s="59">
        <v>1</v>
      </c>
      <c r="N1980" s="43" t="s">
        <v>6260</v>
      </c>
      <c r="O1980" s="1415"/>
      <c r="P1980" s="1393"/>
      <c r="Q1980" s="1396"/>
    </row>
    <row r="1981" spans="1:17" ht="11.1" customHeight="1">
      <c r="A1981" s="31" t="s">
        <v>9924</v>
      </c>
      <c r="B1981" s="187" t="s">
        <v>8615</v>
      </c>
      <c r="C1981" s="187">
        <v>3</v>
      </c>
      <c r="D1981" s="59" t="s">
        <v>9925</v>
      </c>
      <c r="E1981" s="186" t="s">
        <v>6251</v>
      </c>
      <c r="F1981" s="59" t="s">
        <v>8538</v>
      </c>
      <c r="G1981" s="59">
        <v>50</v>
      </c>
      <c r="H1981" s="59" t="s">
        <v>0</v>
      </c>
      <c r="I1981" s="59" t="s">
        <v>8586</v>
      </c>
      <c r="J1981" s="59" t="s">
        <v>6257</v>
      </c>
      <c r="K1981" s="59" t="s">
        <v>6402</v>
      </c>
      <c r="L1981" s="59" t="s">
        <v>6209</v>
      </c>
      <c r="M1981" s="59">
        <v>1</v>
      </c>
      <c r="N1981" s="43" t="s">
        <v>6260</v>
      </c>
      <c r="O1981" s="1415"/>
      <c r="P1981" s="1393"/>
      <c r="Q1981" s="1396"/>
    </row>
    <row r="1982" spans="1:17" ht="11.1" customHeight="1">
      <c r="A1982" s="44" t="s">
        <v>9926</v>
      </c>
      <c r="B1982" s="190" t="s">
        <v>8615</v>
      </c>
      <c r="C1982" s="190">
        <v>3</v>
      </c>
      <c r="D1982" s="97" t="s">
        <v>9927</v>
      </c>
      <c r="E1982" s="191" t="s">
        <v>6251</v>
      </c>
      <c r="F1982" s="97" t="s">
        <v>8544</v>
      </c>
      <c r="G1982" s="97">
        <v>64</v>
      </c>
      <c r="H1982" s="97" t="s">
        <v>0</v>
      </c>
      <c r="I1982" s="97" t="s">
        <v>8586</v>
      </c>
      <c r="J1982" s="97" t="s">
        <v>6257</v>
      </c>
      <c r="K1982" s="97" t="s">
        <v>6273</v>
      </c>
      <c r="L1982" s="97" t="s">
        <v>6209</v>
      </c>
      <c r="M1982" s="97">
        <v>2</v>
      </c>
      <c r="N1982" s="50" t="s">
        <v>6260</v>
      </c>
      <c r="O1982" s="1416"/>
      <c r="P1982" s="1394"/>
      <c r="Q1982" s="1397"/>
    </row>
    <row r="1983" spans="1:17" ht="11.1" customHeight="1">
      <c r="A1983" s="51" t="s">
        <v>9928</v>
      </c>
      <c r="B1983" s="192" t="s">
        <v>6217</v>
      </c>
      <c r="C1983" s="192">
        <v>1</v>
      </c>
      <c r="D1983" s="56" t="s">
        <v>9925</v>
      </c>
      <c r="E1983" s="193">
        <v>97.21</v>
      </c>
      <c r="F1983" s="56" t="s">
        <v>8540</v>
      </c>
      <c r="G1983" s="56">
        <v>59</v>
      </c>
      <c r="H1983" s="56" t="s">
        <v>0</v>
      </c>
      <c r="I1983" s="56" t="s">
        <v>8586</v>
      </c>
      <c r="J1983" s="56" t="s">
        <v>6253</v>
      </c>
      <c r="K1983" s="56" t="s">
        <v>6254</v>
      </c>
      <c r="L1983" s="56" t="s">
        <v>6036</v>
      </c>
      <c r="M1983" s="56"/>
      <c r="N1983" s="57" t="s">
        <v>6213</v>
      </c>
      <c r="O1983" s="1408">
        <v>9</v>
      </c>
      <c r="P1983" s="1392">
        <v>3073035</v>
      </c>
      <c r="Q1983" s="1395" t="e">
        <f>P1983/SUM($P$791:$P$889)</f>
        <v>#DIV/0!</v>
      </c>
    </row>
    <row r="1984" spans="1:17" ht="11.1" customHeight="1">
      <c r="A1984" s="31" t="s">
        <v>9929</v>
      </c>
      <c r="B1984" s="194" t="s">
        <v>6217</v>
      </c>
      <c r="C1984" s="194">
        <v>1</v>
      </c>
      <c r="D1984" s="36" t="s">
        <v>9913</v>
      </c>
      <c r="E1984" s="195">
        <v>91.88</v>
      </c>
      <c r="F1984" s="36" t="s">
        <v>8450</v>
      </c>
      <c r="G1984" s="36">
        <v>42</v>
      </c>
      <c r="H1984" s="36" t="s">
        <v>0</v>
      </c>
      <c r="I1984" s="36" t="s">
        <v>8586</v>
      </c>
      <c r="J1984" s="36" t="s">
        <v>6253</v>
      </c>
      <c r="K1984" s="36" t="s">
        <v>6053</v>
      </c>
      <c r="L1984" s="36" t="s">
        <v>6036</v>
      </c>
      <c r="M1984" s="36"/>
      <c r="N1984" s="37" t="s">
        <v>6465</v>
      </c>
      <c r="O1984" s="1409"/>
      <c r="P1984" s="1393"/>
      <c r="Q1984" s="1396"/>
    </row>
    <row r="1985" spans="1:17" ht="11.1" customHeight="1">
      <c r="A1985" s="31" t="s">
        <v>9930</v>
      </c>
      <c r="B1985" s="194" t="s">
        <v>6217</v>
      </c>
      <c r="C1985" s="194">
        <v>1</v>
      </c>
      <c r="D1985" s="36" t="s">
        <v>9909</v>
      </c>
      <c r="E1985" s="195">
        <v>86.38</v>
      </c>
      <c r="F1985" s="36" t="s">
        <v>8344</v>
      </c>
      <c r="G1985" s="36">
        <v>62</v>
      </c>
      <c r="H1985" s="36" t="s">
        <v>0</v>
      </c>
      <c r="I1985" s="36" t="s">
        <v>8586</v>
      </c>
      <c r="J1985" s="36" t="s">
        <v>6253</v>
      </c>
      <c r="K1985" s="36" t="s">
        <v>6207</v>
      </c>
      <c r="L1985" s="36" t="s">
        <v>6209</v>
      </c>
      <c r="M1985" s="36">
        <v>6</v>
      </c>
      <c r="N1985" s="37" t="s">
        <v>6213</v>
      </c>
      <c r="O1985" s="1409"/>
      <c r="P1985" s="1393"/>
      <c r="Q1985" s="1396"/>
    </row>
    <row r="1986" spans="1:17" ht="11.1" customHeight="1">
      <c r="A1986" s="31" t="s">
        <v>9931</v>
      </c>
      <c r="B1986" s="194" t="s">
        <v>6217</v>
      </c>
      <c r="C1986" s="194">
        <v>1</v>
      </c>
      <c r="D1986" s="36" t="s">
        <v>9932</v>
      </c>
      <c r="E1986" s="195">
        <v>81.73</v>
      </c>
      <c r="F1986" s="36" t="s">
        <v>8350</v>
      </c>
      <c r="G1986" s="36">
        <v>51</v>
      </c>
      <c r="H1986" s="36" t="s">
        <v>0</v>
      </c>
      <c r="I1986" s="36" t="s">
        <v>8586</v>
      </c>
      <c r="J1986" s="36" t="s">
        <v>6253</v>
      </c>
      <c r="K1986" s="36" t="s">
        <v>6053</v>
      </c>
      <c r="L1986" s="36" t="s">
        <v>6036</v>
      </c>
      <c r="M1986" s="36"/>
      <c r="N1986" s="37" t="s">
        <v>6213</v>
      </c>
      <c r="O1986" s="1409"/>
      <c r="P1986" s="1393"/>
      <c r="Q1986" s="1396"/>
    </row>
    <row r="1987" spans="1:17" ht="11.1" customHeight="1">
      <c r="A1987" s="31" t="s">
        <v>9933</v>
      </c>
      <c r="B1987" s="194" t="s">
        <v>6217</v>
      </c>
      <c r="C1987" s="194">
        <v>1</v>
      </c>
      <c r="D1987" s="36" t="s">
        <v>9923</v>
      </c>
      <c r="E1987" s="195">
        <v>77.62</v>
      </c>
      <c r="F1987" s="36" t="s">
        <v>8528</v>
      </c>
      <c r="G1987" s="36">
        <v>51</v>
      </c>
      <c r="H1987" s="36" t="s">
        <v>0</v>
      </c>
      <c r="I1987" s="36" t="s">
        <v>8586</v>
      </c>
      <c r="J1987" s="36" t="s">
        <v>6253</v>
      </c>
      <c r="K1987" s="36" t="s">
        <v>7394</v>
      </c>
      <c r="L1987" s="36" t="s">
        <v>6036</v>
      </c>
      <c r="M1987" s="36"/>
      <c r="N1987" s="37" t="s">
        <v>6213</v>
      </c>
      <c r="O1987" s="1409"/>
      <c r="P1987" s="1393"/>
      <c r="Q1987" s="1396"/>
    </row>
    <row r="1988" spans="1:17" ht="11.1" customHeight="1">
      <c r="A1988" s="31" t="s">
        <v>9934</v>
      </c>
      <c r="B1988" s="194" t="s">
        <v>6217</v>
      </c>
      <c r="C1988" s="194">
        <v>1</v>
      </c>
      <c r="D1988" s="36" t="s">
        <v>9919</v>
      </c>
      <c r="E1988" s="195">
        <v>68.010000000000005</v>
      </c>
      <c r="F1988" s="36" t="s">
        <v>8504</v>
      </c>
      <c r="G1988" s="36">
        <v>56</v>
      </c>
      <c r="H1988" s="36" t="s">
        <v>0</v>
      </c>
      <c r="I1988" s="36" t="s">
        <v>8586</v>
      </c>
      <c r="J1988" s="36" t="s">
        <v>6253</v>
      </c>
      <c r="K1988" s="36" t="s">
        <v>6053</v>
      </c>
      <c r="L1988" s="36" t="s">
        <v>6036</v>
      </c>
      <c r="M1988" s="36"/>
      <c r="N1988" s="37" t="s">
        <v>6254</v>
      </c>
      <c r="O1988" s="1409"/>
      <c r="P1988" s="1393"/>
      <c r="Q1988" s="1396"/>
    </row>
    <row r="1989" spans="1:17" ht="11.1" customHeight="1">
      <c r="A1989" s="31" t="s">
        <v>9935</v>
      </c>
      <c r="B1989" s="194" t="s">
        <v>6217</v>
      </c>
      <c r="C1989" s="194">
        <v>1</v>
      </c>
      <c r="D1989" s="36" t="s">
        <v>9927</v>
      </c>
      <c r="E1989" s="195">
        <v>61.6</v>
      </c>
      <c r="F1989" s="36" t="s">
        <v>8546</v>
      </c>
      <c r="G1989" s="36">
        <v>51</v>
      </c>
      <c r="H1989" s="36" t="s">
        <v>0</v>
      </c>
      <c r="I1989" s="36" t="s">
        <v>8586</v>
      </c>
      <c r="J1989" s="36" t="s">
        <v>6253</v>
      </c>
      <c r="K1989" s="36" t="s">
        <v>6053</v>
      </c>
      <c r="L1989" s="36" t="s">
        <v>6036</v>
      </c>
      <c r="M1989" s="36"/>
      <c r="N1989" s="37"/>
      <c r="O1989" s="1409"/>
      <c r="P1989" s="1393"/>
      <c r="Q1989" s="1396"/>
    </row>
    <row r="1990" spans="1:17" ht="11.1" customHeight="1">
      <c r="A1990" s="31" t="s">
        <v>9936</v>
      </c>
      <c r="B1990" s="194" t="s">
        <v>6217</v>
      </c>
      <c r="C1990" s="194">
        <v>1</v>
      </c>
      <c r="D1990" s="36" t="s">
        <v>9937</v>
      </c>
      <c r="E1990" s="195">
        <v>58.26</v>
      </c>
      <c r="F1990" s="36" t="s">
        <v>8354</v>
      </c>
      <c r="G1990" s="36">
        <v>37</v>
      </c>
      <c r="H1990" s="36" t="s">
        <v>0</v>
      </c>
      <c r="I1990" s="36" t="s">
        <v>8586</v>
      </c>
      <c r="J1990" s="36" t="s">
        <v>6253</v>
      </c>
      <c r="K1990" s="36" t="s">
        <v>6053</v>
      </c>
      <c r="L1990" s="36" t="s">
        <v>6036</v>
      </c>
      <c r="M1990" s="36"/>
      <c r="N1990" s="37" t="s">
        <v>6213</v>
      </c>
      <c r="O1990" s="1409"/>
      <c r="P1990" s="1393"/>
      <c r="Q1990" s="1396"/>
    </row>
    <row r="1991" spans="1:17" ht="11.1" customHeight="1">
      <c r="A1991" s="31" t="s">
        <v>9938</v>
      </c>
      <c r="B1991" s="194" t="s">
        <v>6217</v>
      </c>
      <c r="C1991" s="194">
        <v>29</v>
      </c>
      <c r="D1991" s="36" t="s">
        <v>8608</v>
      </c>
      <c r="E1991" s="195" t="s">
        <v>6262</v>
      </c>
      <c r="F1991" s="36" t="s">
        <v>9939</v>
      </c>
      <c r="G1991" s="36">
        <v>66</v>
      </c>
      <c r="H1991" s="36" t="s">
        <v>0</v>
      </c>
      <c r="I1991" s="36"/>
      <c r="J1991" s="36" t="s">
        <v>6253</v>
      </c>
      <c r="K1991" s="36" t="s">
        <v>6053</v>
      </c>
      <c r="L1991" s="36" t="s">
        <v>6036</v>
      </c>
      <c r="M1991" s="36"/>
      <c r="N1991" s="223"/>
      <c r="O1991" s="1409"/>
      <c r="P1991" s="1393"/>
      <c r="Q1991" s="1396"/>
    </row>
    <row r="1992" spans="1:17" ht="11.1" customHeight="1">
      <c r="A1992" s="31" t="s">
        <v>9940</v>
      </c>
      <c r="B1992" s="187"/>
      <c r="C1992" s="187">
        <v>30</v>
      </c>
      <c r="D1992" s="42" t="s">
        <v>8608</v>
      </c>
      <c r="E1992" s="188" t="s">
        <v>6262</v>
      </c>
      <c r="F1992" s="42" t="s">
        <v>9941</v>
      </c>
      <c r="G1992" s="42">
        <v>31</v>
      </c>
      <c r="H1992" s="42" t="s">
        <v>0</v>
      </c>
      <c r="I1992" s="42"/>
      <c r="J1992" s="42" t="s">
        <v>6253</v>
      </c>
      <c r="K1992" s="42" t="s">
        <v>6053</v>
      </c>
      <c r="L1992" s="42" t="s">
        <v>6036</v>
      </c>
      <c r="M1992" s="42"/>
      <c r="N1992" s="207"/>
      <c r="O1992" s="1409"/>
      <c r="P1992" s="1393"/>
      <c r="Q1992" s="1396"/>
    </row>
    <row r="1993" spans="1:17" ht="11.1" customHeight="1">
      <c r="A1993" s="31" t="s">
        <v>9942</v>
      </c>
      <c r="B1993" s="187" t="s">
        <v>8615</v>
      </c>
      <c r="C1993" s="187">
        <v>1</v>
      </c>
      <c r="D1993" s="36" t="s">
        <v>9895</v>
      </c>
      <c r="E1993" s="195" t="s">
        <v>6251</v>
      </c>
      <c r="F1993" s="36" t="s">
        <v>8306</v>
      </c>
      <c r="G1993" s="36">
        <v>58</v>
      </c>
      <c r="H1993" s="36" t="s">
        <v>0</v>
      </c>
      <c r="I1993" s="36" t="s">
        <v>8586</v>
      </c>
      <c r="J1993" s="36" t="s">
        <v>6253</v>
      </c>
      <c r="K1993" s="36" t="s">
        <v>6254</v>
      </c>
      <c r="L1993" s="36" t="s">
        <v>6209</v>
      </c>
      <c r="M1993" s="36">
        <v>6</v>
      </c>
      <c r="N1993" s="43" t="s">
        <v>6213</v>
      </c>
      <c r="O1993" s="1409"/>
      <c r="P1993" s="1393"/>
      <c r="Q1993" s="1396"/>
    </row>
    <row r="1994" spans="1:17" ht="11.1" customHeight="1">
      <c r="A1994" s="31" t="s">
        <v>9943</v>
      </c>
      <c r="B1994" s="187" t="s">
        <v>8615</v>
      </c>
      <c r="C1994" s="187">
        <v>1</v>
      </c>
      <c r="D1994" s="36" t="s">
        <v>9901</v>
      </c>
      <c r="E1994" s="195" t="s">
        <v>6251</v>
      </c>
      <c r="F1994" s="36" t="s">
        <v>8314</v>
      </c>
      <c r="G1994" s="36">
        <v>39</v>
      </c>
      <c r="H1994" s="36" t="s">
        <v>0</v>
      </c>
      <c r="I1994" s="36" t="s">
        <v>8586</v>
      </c>
      <c r="J1994" s="36" t="s">
        <v>6253</v>
      </c>
      <c r="K1994" s="36" t="s">
        <v>6053</v>
      </c>
      <c r="L1994" s="36" t="s">
        <v>6036</v>
      </c>
      <c r="M1994" s="36"/>
      <c r="N1994" s="43" t="s">
        <v>6213</v>
      </c>
      <c r="O1994" s="1409"/>
      <c r="P1994" s="1393"/>
      <c r="Q1994" s="1396"/>
    </row>
    <row r="1995" spans="1:17" ht="11.1" customHeight="1">
      <c r="A1995" s="31" t="s">
        <v>9944</v>
      </c>
      <c r="B1995" s="187" t="s">
        <v>8615</v>
      </c>
      <c r="C1995" s="187">
        <v>1</v>
      </c>
      <c r="D1995" s="36" t="s">
        <v>9891</v>
      </c>
      <c r="E1995" s="195" t="s">
        <v>6251</v>
      </c>
      <c r="F1995" s="36" t="s">
        <v>8322</v>
      </c>
      <c r="G1995" s="36">
        <v>60</v>
      </c>
      <c r="H1995" s="36" t="s">
        <v>6049</v>
      </c>
      <c r="I1995" s="36" t="s">
        <v>8586</v>
      </c>
      <c r="J1995" s="36" t="s">
        <v>6253</v>
      </c>
      <c r="K1995" s="36" t="s">
        <v>6254</v>
      </c>
      <c r="L1995" s="36" t="s">
        <v>6283</v>
      </c>
      <c r="M1995" s="36">
        <v>1</v>
      </c>
      <c r="N1995" s="43" t="s">
        <v>6779</v>
      </c>
      <c r="O1995" s="1409"/>
      <c r="P1995" s="1393"/>
      <c r="Q1995" s="1396"/>
    </row>
    <row r="1996" spans="1:17" ht="11.1" customHeight="1">
      <c r="A1996" s="31" t="s">
        <v>9945</v>
      </c>
      <c r="B1996" s="187" t="s">
        <v>8615</v>
      </c>
      <c r="C1996" s="187">
        <v>1</v>
      </c>
      <c r="D1996" s="36" t="s">
        <v>9875</v>
      </c>
      <c r="E1996" s="195" t="s">
        <v>6251</v>
      </c>
      <c r="F1996" s="36" t="s">
        <v>8330</v>
      </c>
      <c r="G1996" s="36">
        <v>56</v>
      </c>
      <c r="H1996" s="36" t="s">
        <v>0</v>
      </c>
      <c r="I1996" s="36" t="s">
        <v>8586</v>
      </c>
      <c r="J1996" s="36" t="s">
        <v>6253</v>
      </c>
      <c r="K1996" s="36" t="s">
        <v>6207</v>
      </c>
      <c r="L1996" s="36" t="s">
        <v>6283</v>
      </c>
      <c r="M1996" s="36">
        <v>1</v>
      </c>
      <c r="N1996" s="43" t="s">
        <v>6213</v>
      </c>
      <c r="O1996" s="1409"/>
      <c r="P1996" s="1393"/>
      <c r="Q1996" s="1396"/>
    </row>
    <row r="1997" spans="1:17" ht="11.1" customHeight="1">
      <c r="A1997" s="31" t="s">
        <v>9946</v>
      </c>
      <c r="B1997" s="187" t="s">
        <v>8615</v>
      </c>
      <c r="C1997" s="187">
        <v>1</v>
      </c>
      <c r="D1997" s="36" t="s">
        <v>9881</v>
      </c>
      <c r="E1997" s="195" t="s">
        <v>6251</v>
      </c>
      <c r="F1997" s="36" t="s">
        <v>8336</v>
      </c>
      <c r="G1997" s="36">
        <v>34</v>
      </c>
      <c r="H1997" s="36" t="s">
        <v>0</v>
      </c>
      <c r="I1997" s="36" t="s">
        <v>8586</v>
      </c>
      <c r="J1997" s="36" t="s">
        <v>6253</v>
      </c>
      <c r="K1997" s="36" t="s">
        <v>6053</v>
      </c>
      <c r="L1997" s="36" t="s">
        <v>6209</v>
      </c>
      <c r="M1997" s="36">
        <v>2</v>
      </c>
      <c r="N1997" s="43" t="s">
        <v>6213</v>
      </c>
      <c r="O1997" s="1409"/>
      <c r="P1997" s="1393"/>
      <c r="Q1997" s="1396"/>
    </row>
    <row r="1998" spans="1:17" ht="11.1" customHeight="1">
      <c r="A1998" s="31" t="s">
        <v>9947</v>
      </c>
      <c r="B1998" s="187" t="s">
        <v>8615</v>
      </c>
      <c r="C1998" s="187">
        <v>1</v>
      </c>
      <c r="D1998" s="36" t="s">
        <v>9873</v>
      </c>
      <c r="E1998" s="195" t="s">
        <v>6251</v>
      </c>
      <c r="F1998" s="36" t="s">
        <v>8358</v>
      </c>
      <c r="G1998" s="36">
        <v>36</v>
      </c>
      <c r="H1998" s="36" t="s">
        <v>0</v>
      </c>
      <c r="I1998" s="36" t="s">
        <v>8586</v>
      </c>
      <c r="J1998" s="36" t="s">
        <v>6253</v>
      </c>
      <c r="K1998" s="36" t="s">
        <v>6053</v>
      </c>
      <c r="L1998" s="36" t="s">
        <v>6036</v>
      </c>
      <c r="M1998" s="36"/>
      <c r="N1998" s="43" t="s">
        <v>6213</v>
      </c>
      <c r="O1998" s="1409"/>
      <c r="P1998" s="1393"/>
      <c r="Q1998" s="1396"/>
    </row>
    <row r="1999" spans="1:17" ht="11.1" customHeight="1">
      <c r="A1999" s="31" t="s">
        <v>9948</v>
      </c>
      <c r="B1999" s="187" t="s">
        <v>8615</v>
      </c>
      <c r="C1999" s="187">
        <v>1</v>
      </c>
      <c r="D1999" s="36" t="s">
        <v>9879</v>
      </c>
      <c r="E1999" s="195" t="s">
        <v>6251</v>
      </c>
      <c r="F1999" s="36" t="s">
        <v>8366</v>
      </c>
      <c r="G1999" s="36">
        <v>36</v>
      </c>
      <c r="H1999" s="36" t="s">
        <v>0</v>
      </c>
      <c r="I1999" s="36" t="s">
        <v>8586</v>
      </c>
      <c r="J1999" s="36" t="s">
        <v>6253</v>
      </c>
      <c r="K1999" s="36" t="s">
        <v>6053</v>
      </c>
      <c r="L1999" s="36" t="s">
        <v>6283</v>
      </c>
      <c r="M1999" s="36">
        <v>1</v>
      </c>
      <c r="N1999" s="43" t="s">
        <v>6213</v>
      </c>
      <c r="O1999" s="1409"/>
      <c r="P1999" s="1393"/>
      <c r="Q1999" s="1396"/>
    </row>
    <row r="2000" spans="1:17" ht="11.1" customHeight="1">
      <c r="A2000" s="31" t="s">
        <v>9949</v>
      </c>
      <c r="B2000" s="187" t="s">
        <v>8615</v>
      </c>
      <c r="C2000" s="187">
        <v>1</v>
      </c>
      <c r="D2000" s="36" t="s">
        <v>9889</v>
      </c>
      <c r="E2000" s="195" t="s">
        <v>6251</v>
      </c>
      <c r="F2000" s="36" t="s">
        <v>8382</v>
      </c>
      <c r="G2000" s="36">
        <v>50</v>
      </c>
      <c r="H2000" s="36" t="s">
        <v>0</v>
      </c>
      <c r="I2000" s="36" t="s">
        <v>8586</v>
      </c>
      <c r="J2000" s="36" t="s">
        <v>6253</v>
      </c>
      <c r="K2000" s="36" t="s">
        <v>6207</v>
      </c>
      <c r="L2000" s="36" t="s">
        <v>6209</v>
      </c>
      <c r="M2000" s="36">
        <v>4</v>
      </c>
      <c r="N2000" s="43" t="s">
        <v>6465</v>
      </c>
      <c r="O2000" s="1409"/>
      <c r="P2000" s="1393"/>
      <c r="Q2000" s="1396"/>
    </row>
    <row r="2001" spans="1:17" ht="11.1" customHeight="1">
      <c r="A2001" s="31" t="s">
        <v>9950</v>
      </c>
      <c r="B2001" s="187" t="s">
        <v>8615</v>
      </c>
      <c r="C2001" s="187">
        <v>1</v>
      </c>
      <c r="D2001" s="36" t="s">
        <v>9871</v>
      </c>
      <c r="E2001" s="195" t="s">
        <v>6251</v>
      </c>
      <c r="F2001" s="36" t="s">
        <v>8388</v>
      </c>
      <c r="G2001" s="36">
        <v>43</v>
      </c>
      <c r="H2001" s="36" t="s">
        <v>0</v>
      </c>
      <c r="I2001" s="36" t="s">
        <v>8586</v>
      </c>
      <c r="J2001" s="36" t="s">
        <v>6253</v>
      </c>
      <c r="K2001" s="36" t="s">
        <v>6053</v>
      </c>
      <c r="L2001" s="36" t="s">
        <v>6209</v>
      </c>
      <c r="M2001" s="36">
        <v>1</v>
      </c>
      <c r="N2001" s="43" t="s">
        <v>6254</v>
      </c>
      <c r="O2001" s="1409"/>
      <c r="P2001" s="1393"/>
      <c r="Q2001" s="1396"/>
    </row>
    <row r="2002" spans="1:17" ht="11.1" customHeight="1">
      <c r="A2002" s="31" t="s">
        <v>9951</v>
      </c>
      <c r="B2002" s="187" t="s">
        <v>8615</v>
      </c>
      <c r="C2002" s="187">
        <v>1</v>
      </c>
      <c r="D2002" s="36" t="s">
        <v>9899</v>
      </c>
      <c r="E2002" s="195" t="s">
        <v>6251</v>
      </c>
      <c r="F2002" s="36" t="s">
        <v>8404</v>
      </c>
      <c r="G2002" s="36">
        <v>63</v>
      </c>
      <c r="H2002" s="36" t="s">
        <v>0</v>
      </c>
      <c r="I2002" s="36" t="s">
        <v>8586</v>
      </c>
      <c r="J2002" s="36" t="s">
        <v>6253</v>
      </c>
      <c r="K2002" s="36" t="s">
        <v>6918</v>
      </c>
      <c r="L2002" s="36" t="s">
        <v>6209</v>
      </c>
      <c r="M2002" s="36">
        <v>6</v>
      </c>
      <c r="N2002" s="43" t="s">
        <v>6213</v>
      </c>
      <c r="O2002" s="1409"/>
      <c r="P2002" s="1393"/>
      <c r="Q2002" s="1396"/>
    </row>
    <row r="2003" spans="1:17" ht="11.1" customHeight="1">
      <c r="A2003" s="31" t="s">
        <v>9952</v>
      </c>
      <c r="B2003" s="187" t="s">
        <v>8615</v>
      </c>
      <c r="C2003" s="187">
        <v>1</v>
      </c>
      <c r="D2003" s="36" t="s">
        <v>9877</v>
      </c>
      <c r="E2003" s="195" t="s">
        <v>6251</v>
      </c>
      <c r="F2003" s="36" t="s">
        <v>8412</v>
      </c>
      <c r="G2003" s="36">
        <v>28</v>
      </c>
      <c r="H2003" s="36" t="s">
        <v>6049</v>
      </c>
      <c r="I2003" s="36" t="s">
        <v>8586</v>
      </c>
      <c r="J2003" s="36" t="s">
        <v>6253</v>
      </c>
      <c r="K2003" s="36" t="s">
        <v>6053</v>
      </c>
      <c r="L2003" s="36" t="s">
        <v>6036</v>
      </c>
      <c r="M2003" s="36"/>
      <c r="N2003" s="43" t="s">
        <v>6213</v>
      </c>
      <c r="O2003" s="1409"/>
      <c r="P2003" s="1393"/>
      <c r="Q2003" s="1396"/>
    </row>
    <row r="2004" spans="1:17" ht="11.1" customHeight="1">
      <c r="A2004" s="31" t="s">
        <v>9953</v>
      </c>
      <c r="B2004" s="187" t="s">
        <v>8615</v>
      </c>
      <c r="C2004" s="187">
        <v>1</v>
      </c>
      <c r="D2004" s="36" t="s">
        <v>9863</v>
      </c>
      <c r="E2004" s="195" t="s">
        <v>6251</v>
      </c>
      <c r="F2004" s="36" t="s">
        <v>8422</v>
      </c>
      <c r="G2004" s="36">
        <v>67</v>
      </c>
      <c r="H2004" s="36" t="s">
        <v>0</v>
      </c>
      <c r="I2004" s="36" t="s">
        <v>8586</v>
      </c>
      <c r="J2004" s="36" t="s">
        <v>6253</v>
      </c>
      <c r="K2004" s="36" t="s">
        <v>6035</v>
      </c>
      <c r="L2004" s="36" t="s">
        <v>6209</v>
      </c>
      <c r="M2004" s="36">
        <v>4</v>
      </c>
      <c r="N2004" s="43" t="s">
        <v>6213</v>
      </c>
      <c r="O2004" s="1409"/>
      <c r="P2004" s="1393"/>
      <c r="Q2004" s="1396"/>
    </row>
    <row r="2005" spans="1:17" ht="11.1" customHeight="1">
      <c r="A2005" s="31" t="s">
        <v>9954</v>
      </c>
      <c r="B2005" s="187" t="s">
        <v>8615</v>
      </c>
      <c r="C2005" s="187">
        <v>1</v>
      </c>
      <c r="D2005" s="36" t="s">
        <v>9867</v>
      </c>
      <c r="E2005" s="195" t="s">
        <v>6251</v>
      </c>
      <c r="F2005" s="36" t="s">
        <v>8428</v>
      </c>
      <c r="G2005" s="36">
        <v>46</v>
      </c>
      <c r="H2005" s="36" t="s">
        <v>0</v>
      </c>
      <c r="I2005" s="36" t="s">
        <v>8586</v>
      </c>
      <c r="J2005" s="36" t="s">
        <v>6253</v>
      </c>
      <c r="K2005" s="36" t="s">
        <v>7394</v>
      </c>
      <c r="L2005" s="36" t="s">
        <v>6283</v>
      </c>
      <c r="M2005" s="36">
        <v>1</v>
      </c>
      <c r="N2005" s="43" t="s">
        <v>6213</v>
      </c>
      <c r="O2005" s="1409"/>
      <c r="P2005" s="1393"/>
      <c r="Q2005" s="1396"/>
    </row>
    <row r="2006" spans="1:17" ht="11.1" customHeight="1">
      <c r="A2006" s="31" t="s">
        <v>9955</v>
      </c>
      <c r="B2006" s="187" t="s">
        <v>8615</v>
      </c>
      <c r="C2006" s="187">
        <v>1</v>
      </c>
      <c r="D2006" s="36" t="s">
        <v>9897</v>
      </c>
      <c r="E2006" s="195" t="s">
        <v>6251</v>
      </c>
      <c r="F2006" s="36" t="s">
        <v>8434</v>
      </c>
      <c r="G2006" s="36">
        <v>48</v>
      </c>
      <c r="H2006" s="36" t="s">
        <v>0</v>
      </c>
      <c r="I2006" s="36" t="s">
        <v>8586</v>
      </c>
      <c r="J2006" s="36" t="s">
        <v>6253</v>
      </c>
      <c r="K2006" s="36" t="s">
        <v>6207</v>
      </c>
      <c r="L2006" s="36" t="s">
        <v>6209</v>
      </c>
      <c r="M2006" s="36">
        <v>3</v>
      </c>
      <c r="N2006" s="43" t="s">
        <v>6465</v>
      </c>
      <c r="O2006" s="1409"/>
      <c r="P2006" s="1393"/>
      <c r="Q2006" s="1396"/>
    </row>
    <row r="2007" spans="1:17" ht="11.1" customHeight="1">
      <c r="A2007" s="31" t="s">
        <v>9956</v>
      </c>
      <c r="B2007" s="187" t="s">
        <v>8615</v>
      </c>
      <c r="C2007" s="187">
        <v>1</v>
      </c>
      <c r="D2007" s="36" t="s">
        <v>9957</v>
      </c>
      <c r="E2007" s="195" t="s">
        <v>6251</v>
      </c>
      <c r="F2007" s="36" t="s">
        <v>8442</v>
      </c>
      <c r="G2007" s="36">
        <v>43</v>
      </c>
      <c r="H2007" s="36" t="s">
        <v>0</v>
      </c>
      <c r="I2007" s="36" t="s">
        <v>8586</v>
      </c>
      <c r="J2007" s="36" t="s">
        <v>6253</v>
      </c>
      <c r="K2007" s="36" t="s">
        <v>6053</v>
      </c>
      <c r="L2007" s="36" t="s">
        <v>6036</v>
      </c>
      <c r="M2007" s="36"/>
      <c r="N2007" s="43" t="s">
        <v>6465</v>
      </c>
      <c r="O2007" s="1409"/>
      <c r="P2007" s="1393"/>
      <c r="Q2007" s="1396"/>
    </row>
    <row r="2008" spans="1:17" ht="11.1" customHeight="1">
      <c r="A2008" s="31" t="s">
        <v>9958</v>
      </c>
      <c r="B2008" s="187" t="s">
        <v>8615</v>
      </c>
      <c r="C2008" s="187">
        <v>1</v>
      </c>
      <c r="D2008" s="36" t="s">
        <v>9905</v>
      </c>
      <c r="E2008" s="195" t="s">
        <v>6251</v>
      </c>
      <c r="F2008" s="36" t="s">
        <v>8471</v>
      </c>
      <c r="G2008" s="36">
        <v>51</v>
      </c>
      <c r="H2008" s="36" t="s">
        <v>0</v>
      </c>
      <c r="I2008" s="36" t="s">
        <v>8586</v>
      </c>
      <c r="J2008" s="36" t="s">
        <v>6253</v>
      </c>
      <c r="K2008" s="36" t="s">
        <v>6053</v>
      </c>
      <c r="L2008" s="36" t="s">
        <v>6209</v>
      </c>
      <c r="M2008" s="36">
        <v>2</v>
      </c>
      <c r="N2008" s="43"/>
      <c r="O2008" s="1409"/>
      <c r="P2008" s="1393"/>
      <c r="Q2008" s="1396"/>
    </row>
    <row r="2009" spans="1:17" ht="11.1" customHeight="1">
      <c r="A2009" s="31" t="s">
        <v>9959</v>
      </c>
      <c r="B2009" s="187" t="s">
        <v>8615</v>
      </c>
      <c r="C2009" s="187">
        <v>1</v>
      </c>
      <c r="D2009" s="36" t="s">
        <v>9869</v>
      </c>
      <c r="E2009" s="195" t="s">
        <v>6251</v>
      </c>
      <c r="F2009" s="36" t="s">
        <v>8485</v>
      </c>
      <c r="G2009" s="36">
        <v>65</v>
      </c>
      <c r="H2009" s="36" t="s">
        <v>0</v>
      </c>
      <c r="I2009" s="36" t="s">
        <v>8586</v>
      </c>
      <c r="J2009" s="36" t="s">
        <v>6253</v>
      </c>
      <c r="K2009" s="36" t="s">
        <v>6254</v>
      </c>
      <c r="L2009" s="36" t="s">
        <v>6209</v>
      </c>
      <c r="M2009" s="36">
        <v>5</v>
      </c>
      <c r="N2009" s="43" t="s">
        <v>6465</v>
      </c>
      <c r="O2009" s="1409"/>
      <c r="P2009" s="1393"/>
      <c r="Q2009" s="1396"/>
    </row>
    <row r="2010" spans="1:17" ht="11.1" customHeight="1">
      <c r="A2010" s="31" t="s">
        <v>9960</v>
      </c>
      <c r="B2010" s="187" t="s">
        <v>8615</v>
      </c>
      <c r="C2010" s="187">
        <v>1</v>
      </c>
      <c r="D2010" s="36" t="s">
        <v>9885</v>
      </c>
      <c r="E2010" s="195" t="s">
        <v>6251</v>
      </c>
      <c r="F2010" s="36" t="s">
        <v>8516</v>
      </c>
      <c r="G2010" s="36">
        <v>47</v>
      </c>
      <c r="H2010" s="36" t="s">
        <v>0</v>
      </c>
      <c r="I2010" s="36" t="s">
        <v>8586</v>
      </c>
      <c r="J2010" s="36" t="s">
        <v>6253</v>
      </c>
      <c r="K2010" s="36" t="s">
        <v>24</v>
      </c>
      <c r="L2010" s="36" t="s">
        <v>6209</v>
      </c>
      <c r="M2010" s="36">
        <v>4</v>
      </c>
      <c r="N2010" s="43" t="s">
        <v>6213</v>
      </c>
      <c r="O2010" s="1409"/>
      <c r="P2010" s="1393"/>
      <c r="Q2010" s="1396"/>
    </row>
    <row r="2011" spans="1:17" ht="11.1" customHeight="1">
      <c r="A2011" s="31" t="s">
        <v>9961</v>
      </c>
      <c r="B2011" s="187" t="s">
        <v>8615</v>
      </c>
      <c r="C2011" s="187">
        <v>1</v>
      </c>
      <c r="D2011" s="36" t="s">
        <v>9907</v>
      </c>
      <c r="E2011" s="195" t="s">
        <v>6251</v>
      </c>
      <c r="F2011" s="36" t="s">
        <v>8565</v>
      </c>
      <c r="G2011" s="36">
        <v>49</v>
      </c>
      <c r="H2011" s="36" t="s">
        <v>0</v>
      </c>
      <c r="I2011" s="36" t="s">
        <v>8586</v>
      </c>
      <c r="J2011" s="36" t="s">
        <v>6253</v>
      </c>
      <c r="K2011" s="36" t="s">
        <v>6053</v>
      </c>
      <c r="L2011" s="36" t="s">
        <v>6036</v>
      </c>
      <c r="M2011" s="36"/>
      <c r="N2011" s="43" t="s">
        <v>8566</v>
      </c>
      <c r="O2011" s="1409"/>
      <c r="P2011" s="1393"/>
      <c r="Q2011" s="1396"/>
    </row>
    <row r="2012" spans="1:17" ht="11.1" customHeight="1">
      <c r="A2012" s="44" t="s">
        <v>9962</v>
      </c>
      <c r="B2012" s="190" t="s">
        <v>8615</v>
      </c>
      <c r="C2012" s="190">
        <v>1</v>
      </c>
      <c r="D2012" s="141" t="s">
        <v>9887</v>
      </c>
      <c r="E2012" s="196" t="s">
        <v>6251</v>
      </c>
      <c r="F2012" s="141" t="s">
        <v>8576</v>
      </c>
      <c r="G2012" s="141">
        <v>50</v>
      </c>
      <c r="H2012" s="141" t="s">
        <v>0</v>
      </c>
      <c r="I2012" s="141" t="s">
        <v>8586</v>
      </c>
      <c r="J2012" s="141" t="s">
        <v>6253</v>
      </c>
      <c r="K2012" s="141" t="s">
        <v>6053</v>
      </c>
      <c r="L2012" s="141" t="s">
        <v>6036</v>
      </c>
      <c r="M2012" s="141"/>
      <c r="N2012" s="50" t="s">
        <v>8566</v>
      </c>
      <c r="O2012" s="1410"/>
      <c r="P2012" s="1394"/>
      <c r="Q2012" s="1397"/>
    </row>
    <row r="2013" spans="1:17" ht="11.1" customHeight="1">
      <c r="A2013" s="51" t="s">
        <v>9963</v>
      </c>
      <c r="B2013" s="197" t="s">
        <v>6217</v>
      </c>
      <c r="C2013" s="197">
        <v>1</v>
      </c>
      <c r="D2013" s="198" t="s">
        <v>8608</v>
      </c>
      <c r="E2013" s="199" t="s">
        <v>6262</v>
      </c>
      <c r="F2013" s="198" t="s">
        <v>9964</v>
      </c>
      <c r="G2013" s="198">
        <v>66</v>
      </c>
      <c r="H2013" s="198" t="s">
        <v>0</v>
      </c>
      <c r="I2013" s="198"/>
      <c r="J2013" s="198" t="s">
        <v>6929</v>
      </c>
      <c r="K2013" s="198"/>
      <c r="L2013" s="198" t="s">
        <v>6209</v>
      </c>
      <c r="M2013" s="198">
        <v>8</v>
      </c>
      <c r="N2013" s="200"/>
      <c r="O2013" s="1411">
        <v>3</v>
      </c>
      <c r="P2013" s="1392">
        <v>1225505</v>
      </c>
      <c r="Q2013" s="1395" t="e">
        <f>P2013/SUM($P$791:$P$889)</f>
        <v>#DIV/0!</v>
      </c>
    </row>
    <row r="2014" spans="1:17" ht="11.1" customHeight="1">
      <c r="A2014" s="31" t="s">
        <v>9965</v>
      </c>
      <c r="B2014" s="231" t="s">
        <v>6217</v>
      </c>
      <c r="C2014" s="231">
        <v>2</v>
      </c>
      <c r="D2014" s="232" t="s">
        <v>8608</v>
      </c>
      <c r="E2014" s="233" t="s">
        <v>6262</v>
      </c>
      <c r="F2014" s="232" t="s">
        <v>9966</v>
      </c>
      <c r="G2014" s="232">
        <v>62</v>
      </c>
      <c r="H2014" s="232" t="s">
        <v>0</v>
      </c>
      <c r="I2014" s="232"/>
      <c r="J2014" s="232" t="s">
        <v>6929</v>
      </c>
      <c r="K2014" s="232"/>
      <c r="L2014" s="232" t="s">
        <v>6209</v>
      </c>
      <c r="M2014" s="232">
        <v>6</v>
      </c>
      <c r="N2014" s="234"/>
      <c r="O2014" s="1412"/>
      <c r="P2014" s="1393"/>
      <c r="Q2014" s="1396"/>
    </row>
    <row r="2015" spans="1:17" ht="11.1" customHeight="1">
      <c r="A2015" s="31" t="s">
        <v>9967</v>
      </c>
      <c r="B2015" s="231" t="s">
        <v>6217</v>
      </c>
      <c r="C2015" s="231">
        <v>3</v>
      </c>
      <c r="D2015" s="232" t="s">
        <v>8608</v>
      </c>
      <c r="E2015" s="233" t="s">
        <v>6262</v>
      </c>
      <c r="F2015" s="232" t="s">
        <v>9968</v>
      </c>
      <c r="G2015" s="232">
        <v>53</v>
      </c>
      <c r="H2015" s="232" t="s">
        <v>0</v>
      </c>
      <c r="I2015" s="232"/>
      <c r="J2015" s="232" t="s">
        <v>6929</v>
      </c>
      <c r="K2015" s="232"/>
      <c r="L2015" s="232" t="s">
        <v>6209</v>
      </c>
      <c r="M2015" s="232">
        <v>3</v>
      </c>
      <c r="N2015" s="234"/>
      <c r="O2015" s="1412"/>
      <c r="P2015" s="1393"/>
      <c r="Q2015" s="1396"/>
    </row>
    <row r="2016" spans="1:17" ht="11.1" customHeight="1">
      <c r="A2016" s="31" t="s">
        <v>9969</v>
      </c>
      <c r="B2016" s="187"/>
      <c r="C2016" s="187">
        <v>4</v>
      </c>
      <c r="D2016" s="42" t="s">
        <v>8608</v>
      </c>
      <c r="E2016" s="188" t="s">
        <v>6262</v>
      </c>
      <c r="F2016" s="189" t="s">
        <v>9970</v>
      </c>
      <c r="G2016" s="42">
        <v>40</v>
      </c>
      <c r="H2016" s="42" t="s">
        <v>0</v>
      </c>
      <c r="I2016" s="42"/>
      <c r="J2016" s="42" t="s">
        <v>6929</v>
      </c>
      <c r="K2016" s="42"/>
      <c r="L2016" s="42" t="s">
        <v>6036</v>
      </c>
      <c r="M2016" s="42"/>
      <c r="N2016" s="207"/>
      <c r="O2016" s="1412"/>
      <c r="P2016" s="1393"/>
      <c r="Q2016" s="1396"/>
    </row>
    <row r="2017" spans="1:17" ht="11.1" customHeight="1">
      <c r="A2017" s="31" t="s">
        <v>9971</v>
      </c>
      <c r="B2017" s="187"/>
      <c r="C2017" s="187">
        <v>5</v>
      </c>
      <c r="D2017" s="42" t="s">
        <v>8608</v>
      </c>
      <c r="E2017" s="188" t="s">
        <v>6262</v>
      </c>
      <c r="F2017" s="212" t="s">
        <v>9972</v>
      </c>
      <c r="G2017" s="42">
        <v>39</v>
      </c>
      <c r="H2017" s="42" t="s">
        <v>0</v>
      </c>
      <c r="I2017" s="42"/>
      <c r="J2017" s="42" t="s">
        <v>6929</v>
      </c>
      <c r="K2017" s="42"/>
      <c r="L2017" s="42" t="s">
        <v>6036</v>
      </c>
      <c r="M2017" s="42"/>
      <c r="N2017" s="207"/>
      <c r="O2017" s="1412"/>
      <c r="P2017" s="1393"/>
      <c r="Q2017" s="1396"/>
    </row>
    <row r="2018" spans="1:17" ht="11.1" customHeight="1">
      <c r="A2018" s="44" t="s">
        <v>9973</v>
      </c>
      <c r="B2018" s="190"/>
      <c r="C2018" s="190">
        <v>6</v>
      </c>
      <c r="D2018" s="49" t="s">
        <v>8608</v>
      </c>
      <c r="E2018" s="201" t="s">
        <v>6262</v>
      </c>
      <c r="F2018" s="213" t="s">
        <v>9974</v>
      </c>
      <c r="G2018" s="49">
        <v>33</v>
      </c>
      <c r="H2018" s="49" t="s">
        <v>0</v>
      </c>
      <c r="I2018" s="49"/>
      <c r="J2018" s="49" t="s">
        <v>6929</v>
      </c>
      <c r="K2018" s="49"/>
      <c r="L2018" s="49" t="s">
        <v>6036</v>
      </c>
      <c r="M2018" s="49"/>
      <c r="N2018" s="202"/>
      <c r="O2018" s="1413"/>
      <c r="P2018" s="1394"/>
      <c r="Q2018" s="1397"/>
    </row>
    <row r="2019" spans="1:17" ht="11.1" customHeight="1">
      <c r="A2019" s="51" t="s">
        <v>9975</v>
      </c>
      <c r="B2019" s="224" t="s">
        <v>6217</v>
      </c>
      <c r="C2019" s="224">
        <v>1</v>
      </c>
      <c r="D2019" s="225" t="s">
        <v>8608</v>
      </c>
      <c r="E2019" s="226" t="s">
        <v>6262</v>
      </c>
      <c r="F2019" s="225" t="s">
        <v>9976</v>
      </c>
      <c r="G2019" s="225">
        <v>61</v>
      </c>
      <c r="H2019" s="225" t="s">
        <v>0</v>
      </c>
      <c r="I2019" s="225"/>
      <c r="J2019" s="225" t="s">
        <v>6264</v>
      </c>
      <c r="K2019" s="225"/>
      <c r="L2019" s="225" t="s">
        <v>6209</v>
      </c>
      <c r="M2019" s="225">
        <v>3</v>
      </c>
      <c r="N2019" s="235"/>
      <c r="O2019" s="1402">
        <v>1</v>
      </c>
      <c r="P2019" s="1392">
        <v>425276</v>
      </c>
      <c r="Q2019" s="1395" t="e">
        <f>P2019/SUM($P$791:$P$889)</f>
        <v>#DIV/0!</v>
      </c>
    </row>
    <row r="2020" spans="1:17" ht="11.1" customHeight="1">
      <c r="A2020" s="31" t="s">
        <v>9977</v>
      </c>
      <c r="B2020" s="187"/>
      <c r="C2020" s="187">
        <v>2</v>
      </c>
      <c r="D2020" s="42" t="s">
        <v>8608</v>
      </c>
      <c r="E2020" s="188" t="s">
        <v>6262</v>
      </c>
      <c r="F2020" s="42" t="s">
        <v>9978</v>
      </c>
      <c r="G2020" s="42">
        <v>48</v>
      </c>
      <c r="H2020" s="42" t="s">
        <v>0</v>
      </c>
      <c r="I2020" s="42"/>
      <c r="J2020" s="42" t="s">
        <v>6264</v>
      </c>
      <c r="K2020" s="42"/>
      <c r="L2020" s="42" t="s">
        <v>6036</v>
      </c>
      <c r="M2020" s="42"/>
      <c r="N2020" s="207"/>
      <c r="O2020" s="1403"/>
      <c r="P2020" s="1393"/>
      <c r="Q2020" s="1396"/>
    </row>
    <row r="2021" spans="1:17" ht="11.1" customHeight="1">
      <c r="A2021" s="31" t="s">
        <v>9979</v>
      </c>
      <c r="B2021" s="187" t="s">
        <v>6231</v>
      </c>
      <c r="C2021" s="187">
        <v>3</v>
      </c>
      <c r="D2021" s="42" t="s">
        <v>9879</v>
      </c>
      <c r="E2021" s="188">
        <v>18.64</v>
      </c>
      <c r="F2021" s="42" t="s">
        <v>8370</v>
      </c>
      <c r="G2021" s="42">
        <v>61</v>
      </c>
      <c r="H2021" s="42" t="s">
        <v>0</v>
      </c>
      <c r="I2021" s="212" t="s">
        <v>8586</v>
      </c>
      <c r="J2021" s="42" t="s">
        <v>6264</v>
      </c>
      <c r="K2021" s="42"/>
      <c r="L2021" s="42" t="s">
        <v>6036</v>
      </c>
      <c r="M2021" s="42"/>
      <c r="N2021" s="207"/>
      <c r="O2021" s="1403"/>
      <c r="P2021" s="1393"/>
      <c r="Q2021" s="1396"/>
    </row>
    <row r="2022" spans="1:17" ht="11.1" customHeight="1">
      <c r="A2022" s="31" t="s">
        <v>9980</v>
      </c>
      <c r="B2022" s="187" t="s">
        <v>6231</v>
      </c>
      <c r="C2022" s="187">
        <v>3</v>
      </c>
      <c r="D2022" s="42" t="s">
        <v>9895</v>
      </c>
      <c r="E2022" s="188">
        <v>14.62</v>
      </c>
      <c r="F2022" s="42" t="s">
        <v>8310</v>
      </c>
      <c r="G2022" s="42">
        <v>53</v>
      </c>
      <c r="H2022" s="42" t="s">
        <v>0</v>
      </c>
      <c r="I2022" s="42" t="s">
        <v>8586</v>
      </c>
      <c r="J2022" s="42" t="s">
        <v>6264</v>
      </c>
      <c r="K2022" s="42"/>
      <c r="L2022" s="42" t="s">
        <v>6036</v>
      </c>
      <c r="M2022" s="42"/>
      <c r="N2022" s="207"/>
      <c r="O2022" s="1403"/>
      <c r="P2022" s="1393"/>
      <c r="Q2022" s="1396"/>
    </row>
    <row r="2023" spans="1:17" ht="11.1" customHeight="1">
      <c r="A2023" s="31" t="s">
        <v>9981</v>
      </c>
      <c r="B2023" s="187" t="s">
        <v>6231</v>
      </c>
      <c r="C2023" s="187">
        <v>3</v>
      </c>
      <c r="D2023" s="42" t="s">
        <v>9899</v>
      </c>
      <c r="E2023" s="188">
        <v>11.1</v>
      </c>
      <c r="F2023" s="42" t="s">
        <v>8408</v>
      </c>
      <c r="G2023" s="42">
        <v>53</v>
      </c>
      <c r="H2023" s="42" t="s">
        <v>6049</v>
      </c>
      <c r="I2023" s="212" t="s">
        <v>8586</v>
      </c>
      <c r="J2023" s="42" t="s">
        <v>6264</v>
      </c>
      <c r="K2023" s="42"/>
      <c r="L2023" s="42" t="s">
        <v>6036</v>
      </c>
      <c r="M2023" s="42"/>
      <c r="N2023" s="207"/>
      <c r="O2023" s="1403"/>
      <c r="P2023" s="1393"/>
      <c r="Q2023" s="1396"/>
    </row>
    <row r="2024" spans="1:17" ht="11.1" customHeight="1">
      <c r="A2024" s="31" t="s">
        <v>9982</v>
      </c>
      <c r="B2024" s="187" t="s">
        <v>6231</v>
      </c>
      <c r="C2024" s="187">
        <v>3</v>
      </c>
      <c r="D2024" s="42" t="s">
        <v>9983</v>
      </c>
      <c r="E2024" s="188">
        <v>10.83</v>
      </c>
      <c r="F2024" s="42" t="s">
        <v>8400</v>
      </c>
      <c r="G2024" s="42">
        <v>30</v>
      </c>
      <c r="H2024" s="42" t="s">
        <v>0</v>
      </c>
      <c r="I2024" s="212" t="s">
        <v>8586</v>
      </c>
      <c r="J2024" s="42" t="s">
        <v>6264</v>
      </c>
      <c r="K2024" s="42"/>
      <c r="L2024" s="42" t="s">
        <v>6036</v>
      </c>
      <c r="M2024" s="42"/>
      <c r="N2024" s="207"/>
      <c r="O2024" s="1403"/>
      <c r="P2024" s="1393"/>
      <c r="Q2024" s="1396"/>
    </row>
    <row r="2025" spans="1:17" ht="11.1" customHeight="1">
      <c r="A2025" s="31" t="s">
        <v>9984</v>
      </c>
      <c r="B2025" s="187" t="s">
        <v>6231</v>
      </c>
      <c r="C2025" s="187">
        <v>3</v>
      </c>
      <c r="D2025" s="42" t="s">
        <v>9901</v>
      </c>
      <c r="E2025" s="188">
        <v>10.75</v>
      </c>
      <c r="F2025" s="42" t="s">
        <v>8318</v>
      </c>
      <c r="G2025" s="42">
        <v>29</v>
      </c>
      <c r="H2025" s="42" t="s">
        <v>6049</v>
      </c>
      <c r="I2025" s="212" t="s">
        <v>8586</v>
      </c>
      <c r="J2025" s="42" t="s">
        <v>6264</v>
      </c>
      <c r="K2025" s="42"/>
      <c r="L2025" s="42" t="s">
        <v>6036</v>
      </c>
      <c r="M2025" s="42"/>
      <c r="N2025" s="207"/>
      <c r="O2025" s="1403"/>
      <c r="P2025" s="1393"/>
      <c r="Q2025" s="1396"/>
    </row>
    <row r="2026" spans="1:17" ht="11.1" customHeight="1">
      <c r="A2026" s="31" t="s">
        <v>9985</v>
      </c>
      <c r="B2026" s="187" t="s">
        <v>6231</v>
      </c>
      <c r="C2026" s="187">
        <v>3</v>
      </c>
      <c r="D2026" s="42" t="s">
        <v>9905</v>
      </c>
      <c r="E2026" s="188">
        <v>10.46</v>
      </c>
      <c r="F2026" s="42" t="s">
        <v>8475</v>
      </c>
      <c r="G2026" s="42">
        <v>32</v>
      </c>
      <c r="H2026" s="42" t="s">
        <v>0</v>
      </c>
      <c r="I2026" s="212" t="s">
        <v>8586</v>
      </c>
      <c r="J2026" s="42" t="s">
        <v>6264</v>
      </c>
      <c r="K2026" s="42"/>
      <c r="L2026" s="42" t="s">
        <v>6036</v>
      </c>
      <c r="M2026" s="42"/>
      <c r="N2026" s="207"/>
      <c r="O2026" s="1403"/>
      <c r="P2026" s="1393"/>
      <c r="Q2026" s="1396"/>
    </row>
    <row r="2027" spans="1:17" ht="11.1" customHeight="1">
      <c r="A2027" s="31" t="s">
        <v>9986</v>
      </c>
      <c r="B2027" s="187" t="s">
        <v>6231</v>
      </c>
      <c r="C2027" s="187">
        <v>3</v>
      </c>
      <c r="D2027" s="42" t="s">
        <v>9987</v>
      </c>
      <c r="E2027" s="188">
        <v>10.18</v>
      </c>
      <c r="F2027" s="42" t="s">
        <v>8498</v>
      </c>
      <c r="G2027" s="42">
        <v>40</v>
      </c>
      <c r="H2027" s="42" t="s">
        <v>0</v>
      </c>
      <c r="I2027" s="212" t="s">
        <v>8586</v>
      </c>
      <c r="J2027" s="42" t="s">
        <v>6264</v>
      </c>
      <c r="K2027" s="42"/>
      <c r="L2027" s="42" t="s">
        <v>6036</v>
      </c>
      <c r="M2027" s="42"/>
      <c r="N2027" s="207"/>
      <c r="O2027" s="1403"/>
      <c r="P2027" s="1393"/>
      <c r="Q2027" s="1396"/>
    </row>
    <row r="2028" spans="1:17" ht="11.1" customHeight="1">
      <c r="A2028" s="31" t="s">
        <v>9988</v>
      </c>
      <c r="B2028" s="187" t="s">
        <v>6231</v>
      </c>
      <c r="C2028" s="187">
        <v>3</v>
      </c>
      <c r="D2028" s="42" t="s">
        <v>9897</v>
      </c>
      <c r="E2028" s="188">
        <v>7.1</v>
      </c>
      <c r="F2028" s="42" t="s">
        <v>8438</v>
      </c>
      <c r="G2028" s="42">
        <v>55</v>
      </c>
      <c r="H2028" s="42" t="s">
        <v>0</v>
      </c>
      <c r="I2028" s="212" t="s">
        <v>8586</v>
      </c>
      <c r="J2028" s="42" t="s">
        <v>6264</v>
      </c>
      <c r="K2028" s="42"/>
      <c r="L2028" s="42" t="s">
        <v>6036</v>
      </c>
      <c r="M2028" s="42"/>
      <c r="N2028" s="207"/>
      <c r="O2028" s="1403"/>
      <c r="P2028" s="1393"/>
      <c r="Q2028" s="1396"/>
    </row>
    <row r="2029" spans="1:17" ht="11.1" customHeight="1">
      <c r="A2029" s="44" t="s">
        <v>9989</v>
      </c>
      <c r="B2029" s="187" t="s">
        <v>6231</v>
      </c>
      <c r="C2029" s="190">
        <v>3</v>
      </c>
      <c r="D2029" s="49" t="s">
        <v>9885</v>
      </c>
      <c r="E2029" s="201">
        <v>6.82</v>
      </c>
      <c r="F2029" s="49" t="s">
        <v>8520</v>
      </c>
      <c r="G2029" s="49">
        <v>34</v>
      </c>
      <c r="H2029" s="49" t="s">
        <v>0</v>
      </c>
      <c r="I2029" s="213" t="s">
        <v>8586</v>
      </c>
      <c r="J2029" s="49" t="s">
        <v>6264</v>
      </c>
      <c r="K2029" s="49"/>
      <c r="L2029" s="49" t="s">
        <v>6036</v>
      </c>
      <c r="M2029" s="49"/>
      <c r="N2029" s="202"/>
      <c r="O2029" s="1404"/>
      <c r="P2029" s="1394"/>
      <c r="Q2029" s="1397"/>
    </row>
    <row r="2030" spans="1:17" ht="11.1" customHeight="1">
      <c r="A2030" s="51" t="s">
        <v>9990</v>
      </c>
      <c r="B2030" s="228" t="s">
        <v>6217</v>
      </c>
      <c r="C2030" s="228">
        <v>1</v>
      </c>
      <c r="D2030" s="122" t="s">
        <v>9917</v>
      </c>
      <c r="E2030" s="229">
        <v>77.180000000000007</v>
      </c>
      <c r="F2030" s="122" t="s">
        <v>8464</v>
      </c>
      <c r="G2030" s="122">
        <v>66</v>
      </c>
      <c r="H2030" s="122" t="s">
        <v>0</v>
      </c>
      <c r="I2030" s="122" t="s">
        <v>8586</v>
      </c>
      <c r="J2030" s="122" t="s">
        <v>6278</v>
      </c>
      <c r="K2030" s="122"/>
      <c r="L2030" s="122" t="s">
        <v>6036</v>
      </c>
      <c r="M2030" s="122"/>
      <c r="N2030" s="123" t="s">
        <v>6515</v>
      </c>
      <c r="O2030" s="1405">
        <v>1</v>
      </c>
      <c r="P2030" s="1392">
        <v>480257</v>
      </c>
      <c r="Q2030" s="1395" t="e">
        <f>P2030/SUM($P$791:$P$889)</f>
        <v>#DIV/0!</v>
      </c>
    </row>
    <row r="2031" spans="1:17" ht="11.1" customHeight="1">
      <c r="A2031" s="31" t="s">
        <v>9991</v>
      </c>
      <c r="B2031" s="187"/>
      <c r="C2031" s="187">
        <v>1</v>
      </c>
      <c r="D2031" s="42" t="s">
        <v>9911</v>
      </c>
      <c r="E2031" s="188">
        <v>57.55</v>
      </c>
      <c r="F2031" s="42" t="s">
        <v>8376</v>
      </c>
      <c r="G2031" s="42">
        <v>33</v>
      </c>
      <c r="H2031" s="42" t="s">
        <v>6049</v>
      </c>
      <c r="I2031" s="212" t="s">
        <v>8586</v>
      </c>
      <c r="J2031" s="42" t="s">
        <v>6278</v>
      </c>
      <c r="K2031" s="42"/>
      <c r="L2031" s="42" t="s">
        <v>6036</v>
      </c>
      <c r="M2031" s="42"/>
      <c r="N2031" s="207" t="s">
        <v>6481</v>
      </c>
      <c r="O2031" s="1406"/>
      <c r="P2031" s="1393"/>
      <c r="Q2031" s="1396"/>
    </row>
    <row r="2032" spans="1:17" ht="11.1" customHeight="1">
      <c r="A2032" s="31" t="s">
        <v>9992</v>
      </c>
      <c r="B2032" s="187"/>
      <c r="C2032" s="187">
        <v>1</v>
      </c>
      <c r="D2032" s="42" t="s">
        <v>9921</v>
      </c>
      <c r="E2032" s="188">
        <v>44.23</v>
      </c>
      <c r="F2032" s="42" t="s">
        <v>8512</v>
      </c>
      <c r="G2032" s="42">
        <v>52</v>
      </c>
      <c r="H2032" s="42" t="s">
        <v>0</v>
      </c>
      <c r="I2032" s="212" t="s">
        <v>8586</v>
      </c>
      <c r="J2032" s="42" t="s">
        <v>6278</v>
      </c>
      <c r="K2032" s="42"/>
      <c r="L2032" s="42" t="s">
        <v>6036</v>
      </c>
      <c r="M2032" s="42"/>
      <c r="N2032" s="43" t="s">
        <v>6481</v>
      </c>
      <c r="O2032" s="1406"/>
      <c r="P2032" s="1393"/>
      <c r="Q2032" s="1396"/>
    </row>
    <row r="2033" spans="1:17" ht="11.1" customHeight="1">
      <c r="A2033" s="31" t="s">
        <v>9993</v>
      </c>
      <c r="B2033" s="187"/>
      <c r="C2033" s="187">
        <v>1</v>
      </c>
      <c r="D2033" s="42" t="s">
        <v>9983</v>
      </c>
      <c r="E2033" s="188">
        <v>32.39</v>
      </c>
      <c r="F2033" s="42" t="s">
        <v>8396</v>
      </c>
      <c r="G2033" s="42">
        <v>55</v>
      </c>
      <c r="H2033" s="42" t="s">
        <v>0</v>
      </c>
      <c r="I2033" s="212" t="s">
        <v>8586</v>
      </c>
      <c r="J2033" s="42" t="s">
        <v>6278</v>
      </c>
      <c r="K2033" s="42"/>
      <c r="L2033" s="42" t="s">
        <v>6036</v>
      </c>
      <c r="M2033" s="42"/>
      <c r="N2033" s="43" t="s">
        <v>6481</v>
      </c>
      <c r="O2033" s="1406"/>
      <c r="P2033" s="1393"/>
      <c r="Q2033" s="1396"/>
    </row>
    <row r="2034" spans="1:17" ht="11.1" customHeight="1">
      <c r="A2034" s="31" t="s">
        <v>9994</v>
      </c>
      <c r="B2034" s="187"/>
      <c r="C2034" s="187">
        <v>1</v>
      </c>
      <c r="D2034" s="42" t="s">
        <v>9907</v>
      </c>
      <c r="E2034" s="188">
        <v>27.91</v>
      </c>
      <c r="F2034" s="42" t="s">
        <v>8570</v>
      </c>
      <c r="G2034" s="42">
        <v>72</v>
      </c>
      <c r="H2034" s="42" t="s">
        <v>0</v>
      </c>
      <c r="I2034" s="212" t="s">
        <v>8586</v>
      </c>
      <c r="J2034" s="42" t="s">
        <v>6278</v>
      </c>
      <c r="K2034" s="42"/>
      <c r="L2034" s="42" t="s">
        <v>6036</v>
      </c>
      <c r="M2034" s="42"/>
      <c r="N2034" s="207"/>
      <c r="O2034" s="1406"/>
      <c r="P2034" s="1393"/>
      <c r="Q2034" s="1396"/>
    </row>
    <row r="2035" spans="1:17" ht="11.1" customHeight="1">
      <c r="A2035" s="31" t="s">
        <v>9995</v>
      </c>
      <c r="B2035" s="187" t="s">
        <v>8615</v>
      </c>
      <c r="C2035" s="187">
        <v>1</v>
      </c>
      <c r="D2035" s="95" t="s">
        <v>9865</v>
      </c>
      <c r="E2035" s="274" t="s">
        <v>6251</v>
      </c>
      <c r="F2035" s="95" t="s">
        <v>8479</v>
      </c>
      <c r="G2035" s="95">
        <v>67</v>
      </c>
      <c r="H2035" s="95" t="s">
        <v>0</v>
      </c>
      <c r="I2035" s="95" t="s">
        <v>8586</v>
      </c>
      <c r="J2035" s="95" t="s">
        <v>6278</v>
      </c>
      <c r="K2035" s="95"/>
      <c r="L2035" s="95" t="s">
        <v>6209</v>
      </c>
      <c r="M2035" s="95">
        <v>2</v>
      </c>
      <c r="N2035" s="43" t="s">
        <v>6515</v>
      </c>
      <c r="O2035" s="1406"/>
      <c r="P2035" s="1393"/>
      <c r="Q2035" s="1396"/>
    </row>
    <row r="2036" spans="1:17" ht="11.1" customHeight="1">
      <c r="A2036" s="44" t="s">
        <v>9996</v>
      </c>
      <c r="B2036" s="190" t="s">
        <v>8615</v>
      </c>
      <c r="C2036" s="190">
        <v>1</v>
      </c>
      <c r="D2036" s="263" t="s">
        <v>9903</v>
      </c>
      <c r="E2036" s="264" t="s">
        <v>6251</v>
      </c>
      <c r="F2036" s="263" t="s">
        <v>8558</v>
      </c>
      <c r="G2036" s="263">
        <v>64</v>
      </c>
      <c r="H2036" s="263" t="s">
        <v>0</v>
      </c>
      <c r="I2036" s="263" t="s">
        <v>8586</v>
      </c>
      <c r="J2036" s="263" t="s">
        <v>6278</v>
      </c>
      <c r="K2036" s="263"/>
      <c r="L2036" s="263" t="s">
        <v>6209</v>
      </c>
      <c r="M2036" s="263">
        <v>2</v>
      </c>
      <c r="N2036" s="202" t="s">
        <v>8559</v>
      </c>
      <c r="O2036" s="1407"/>
      <c r="P2036" s="1394"/>
      <c r="Q2036" s="1397"/>
    </row>
    <row r="2037" spans="1:17" ht="11.1" customHeight="1">
      <c r="A2037" s="51" t="s">
        <v>9997</v>
      </c>
      <c r="B2037" s="203"/>
      <c r="C2037" s="203">
        <v>1</v>
      </c>
      <c r="D2037" s="204" t="s">
        <v>9915</v>
      </c>
      <c r="E2037" s="205">
        <v>63.61</v>
      </c>
      <c r="F2037" s="204" t="s">
        <v>8458</v>
      </c>
      <c r="G2037" s="204">
        <v>50</v>
      </c>
      <c r="H2037" s="204" t="s">
        <v>0</v>
      </c>
      <c r="I2037" s="214" t="s">
        <v>8586</v>
      </c>
      <c r="J2037" s="204" t="s">
        <v>7280</v>
      </c>
      <c r="K2037" s="204"/>
      <c r="L2037" s="204" t="s">
        <v>6036</v>
      </c>
      <c r="M2037" s="204"/>
      <c r="N2037" s="230" t="s">
        <v>7281</v>
      </c>
      <c r="O2037" s="1389">
        <v>0</v>
      </c>
      <c r="P2037" s="1392">
        <v>183242</v>
      </c>
      <c r="Q2037" s="1395" t="e">
        <f>P2037/SUM($P$791:$P$889)</f>
        <v>#DIV/0!</v>
      </c>
    </row>
    <row r="2038" spans="1:17" ht="11.1" customHeight="1">
      <c r="A2038" s="31" t="s">
        <v>9998</v>
      </c>
      <c r="B2038" s="187"/>
      <c r="C2038" s="187">
        <v>4</v>
      </c>
      <c r="D2038" s="42" t="s">
        <v>8608</v>
      </c>
      <c r="E2038" s="188" t="s">
        <v>6262</v>
      </c>
      <c r="F2038" s="42" t="s">
        <v>9999</v>
      </c>
      <c r="G2038" s="42">
        <v>58</v>
      </c>
      <c r="H2038" s="42" t="s">
        <v>0</v>
      </c>
      <c r="I2038" s="42"/>
      <c r="J2038" s="42" t="s">
        <v>7280</v>
      </c>
      <c r="K2038" s="42"/>
      <c r="L2038" s="42" t="s">
        <v>6036</v>
      </c>
      <c r="M2038" s="42"/>
      <c r="N2038" s="207"/>
      <c r="O2038" s="1390"/>
      <c r="P2038" s="1393"/>
      <c r="Q2038" s="1396"/>
    </row>
    <row r="2039" spans="1:17" ht="11.1" customHeight="1">
      <c r="A2039" s="31" t="s">
        <v>10000</v>
      </c>
      <c r="B2039" s="187" t="s">
        <v>8615</v>
      </c>
      <c r="C2039" s="187">
        <v>1</v>
      </c>
      <c r="D2039" s="275" t="s">
        <v>9893</v>
      </c>
      <c r="E2039" s="276" t="s">
        <v>6251</v>
      </c>
      <c r="F2039" s="275" t="s">
        <v>8532</v>
      </c>
      <c r="G2039" s="275">
        <v>70</v>
      </c>
      <c r="H2039" s="275" t="s">
        <v>0</v>
      </c>
      <c r="I2039" s="275" t="s">
        <v>8586</v>
      </c>
      <c r="J2039" s="275" t="s">
        <v>7280</v>
      </c>
      <c r="K2039" s="275"/>
      <c r="L2039" s="275" t="s">
        <v>6283</v>
      </c>
      <c r="M2039" s="275">
        <v>4</v>
      </c>
      <c r="N2039" s="43" t="s">
        <v>6481</v>
      </c>
      <c r="O2039" s="1390"/>
      <c r="P2039" s="1393"/>
      <c r="Q2039" s="1396"/>
    </row>
    <row r="2040" spans="1:17" ht="11.1" customHeight="1">
      <c r="A2040" s="44" t="s">
        <v>10001</v>
      </c>
      <c r="B2040" s="190" t="s">
        <v>8615</v>
      </c>
      <c r="C2040" s="190">
        <v>1</v>
      </c>
      <c r="D2040" s="272" t="s">
        <v>9883</v>
      </c>
      <c r="E2040" s="273" t="s">
        <v>6251</v>
      </c>
      <c r="F2040" s="272" t="s">
        <v>8550</v>
      </c>
      <c r="G2040" s="272">
        <v>48</v>
      </c>
      <c r="H2040" s="272" t="s">
        <v>0</v>
      </c>
      <c r="I2040" s="272" t="s">
        <v>8586</v>
      </c>
      <c r="J2040" s="272" t="s">
        <v>7280</v>
      </c>
      <c r="K2040" s="272"/>
      <c r="L2040" s="272" t="s">
        <v>6209</v>
      </c>
      <c r="M2040" s="272">
        <v>3</v>
      </c>
      <c r="N2040" s="50" t="s">
        <v>6481</v>
      </c>
      <c r="O2040" s="1391"/>
      <c r="P2040" s="1394"/>
      <c r="Q2040" s="1397"/>
    </row>
    <row r="2041" spans="1:17" ht="11.1" customHeight="1">
      <c r="A2041" s="236" t="s">
        <v>10002</v>
      </c>
      <c r="B2041" s="237"/>
      <c r="C2041" s="237">
        <v>1</v>
      </c>
      <c r="D2041" s="5" t="s">
        <v>9983</v>
      </c>
      <c r="E2041" s="238">
        <v>26.18</v>
      </c>
      <c r="F2041" s="5" t="s">
        <v>8398</v>
      </c>
      <c r="G2041" s="5">
        <v>56</v>
      </c>
      <c r="H2041" s="5" t="s">
        <v>6049</v>
      </c>
      <c r="I2041" s="5" t="s">
        <v>8586</v>
      </c>
      <c r="J2041" s="5" t="s">
        <v>6484</v>
      </c>
      <c r="K2041" s="5"/>
      <c r="L2041" s="5" t="s">
        <v>6209</v>
      </c>
      <c r="M2041" s="5">
        <v>1</v>
      </c>
      <c r="N2041" s="239"/>
      <c r="O2041" s="257">
        <v>0</v>
      </c>
      <c r="P2041" s="241">
        <v>271466</v>
      </c>
      <c r="Q2041" s="242" t="e">
        <f>P2041/SUM($P$791:$P$889)</f>
        <v>#DIV/0!</v>
      </c>
    </row>
    <row r="2042" spans="1:17" ht="11.1" customHeight="1">
      <c r="A2042" s="51" t="s">
        <v>10003</v>
      </c>
      <c r="B2042" s="203"/>
      <c r="C2042" s="203">
        <v>1</v>
      </c>
      <c r="D2042" s="204" t="s">
        <v>8608</v>
      </c>
      <c r="E2042" s="205" t="s">
        <v>6262</v>
      </c>
      <c r="F2042" s="204" t="s">
        <v>10004</v>
      </c>
      <c r="G2042" s="204">
        <v>56</v>
      </c>
      <c r="H2042" s="204" t="s">
        <v>0</v>
      </c>
      <c r="I2042" s="204"/>
      <c r="J2042" s="204" t="s">
        <v>6267</v>
      </c>
      <c r="K2042" s="204" t="s">
        <v>6268</v>
      </c>
      <c r="L2042" s="204" t="s">
        <v>6036</v>
      </c>
      <c r="M2042" s="204"/>
      <c r="N2042" s="206"/>
      <c r="O2042" s="1398">
        <v>0</v>
      </c>
      <c r="P2042" s="1393">
        <v>54231</v>
      </c>
      <c r="Q2042" s="1396" t="e">
        <f>P2042/SUM($P$791:$P$889)</f>
        <v>#DIV/0!</v>
      </c>
    </row>
    <row r="2043" spans="1:17" ht="11.1" customHeight="1">
      <c r="A2043" s="31" t="s">
        <v>10005</v>
      </c>
      <c r="B2043" s="187"/>
      <c r="C2043" s="187">
        <v>2</v>
      </c>
      <c r="D2043" s="42" t="s">
        <v>8608</v>
      </c>
      <c r="E2043" s="188" t="s">
        <v>6262</v>
      </c>
      <c r="F2043" s="42" t="s">
        <v>10006</v>
      </c>
      <c r="G2043" s="42">
        <v>55</v>
      </c>
      <c r="H2043" s="42" t="s">
        <v>0</v>
      </c>
      <c r="I2043" s="42"/>
      <c r="J2043" s="42" t="s">
        <v>6267</v>
      </c>
      <c r="K2043" s="42" t="s">
        <v>6268</v>
      </c>
      <c r="L2043" s="42" t="s">
        <v>6036</v>
      </c>
      <c r="M2043" s="42"/>
      <c r="N2043" s="207"/>
      <c r="O2043" s="1398"/>
      <c r="P2043" s="1393"/>
      <c r="Q2043" s="1396"/>
    </row>
    <row r="2044" spans="1:17" ht="11.1" customHeight="1">
      <c r="A2044" s="31" t="s">
        <v>10007</v>
      </c>
      <c r="B2044" s="187"/>
      <c r="C2044" s="187">
        <v>3</v>
      </c>
      <c r="D2044" s="42" t="s">
        <v>8608</v>
      </c>
      <c r="E2044" s="188" t="s">
        <v>6262</v>
      </c>
      <c r="F2044" s="42" t="s">
        <v>10008</v>
      </c>
      <c r="G2044" s="42">
        <v>42</v>
      </c>
      <c r="H2044" s="42" t="s">
        <v>0</v>
      </c>
      <c r="I2044" s="42"/>
      <c r="J2044" s="42" t="s">
        <v>6267</v>
      </c>
      <c r="K2044" s="42" t="s">
        <v>6268</v>
      </c>
      <c r="L2044" s="42" t="s">
        <v>6036</v>
      </c>
      <c r="M2044" s="42"/>
      <c r="N2044" s="207"/>
      <c r="O2044" s="1398"/>
      <c r="P2044" s="1393"/>
      <c r="Q2044" s="1396"/>
    </row>
    <row r="2045" spans="1:17" ht="11.1" customHeight="1">
      <c r="A2045" s="31" t="s">
        <v>10009</v>
      </c>
      <c r="B2045" s="187"/>
      <c r="C2045" s="187">
        <v>4</v>
      </c>
      <c r="D2045" s="42" t="s">
        <v>8608</v>
      </c>
      <c r="E2045" s="188" t="s">
        <v>6262</v>
      </c>
      <c r="F2045" s="42" t="s">
        <v>10010</v>
      </c>
      <c r="G2045" s="42">
        <v>37</v>
      </c>
      <c r="H2045" s="42" t="s">
        <v>0</v>
      </c>
      <c r="I2045" s="42"/>
      <c r="J2045" s="42" t="s">
        <v>6267</v>
      </c>
      <c r="K2045" s="42" t="s">
        <v>6268</v>
      </c>
      <c r="L2045" s="42" t="s">
        <v>6036</v>
      </c>
      <c r="M2045" s="42"/>
      <c r="N2045" s="207"/>
      <c r="O2045" s="1398"/>
      <c r="P2045" s="1393"/>
      <c r="Q2045" s="1396"/>
    </row>
    <row r="2046" spans="1:17" ht="11.1" customHeight="1" thickBot="1">
      <c r="A2046" s="73" t="s">
        <v>10011</v>
      </c>
      <c r="B2046" s="215"/>
      <c r="C2046" s="215">
        <v>5</v>
      </c>
      <c r="D2046" s="78" t="s">
        <v>8608</v>
      </c>
      <c r="E2046" s="216" t="s">
        <v>6262</v>
      </c>
      <c r="F2046" s="78" t="s">
        <v>10012</v>
      </c>
      <c r="G2046" s="78">
        <v>61</v>
      </c>
      <c r="H2046" s="78" t="s">
        <v>0</v>
      </c>
      <c r="I2046" s="78"/>
      <c r="J2046" s="78" t="s">
        <v>6267</v>
      </c>
      <c r="K2046" s="78" t="s">
        <v>6268</v>
      </c>
      <c r="L2046" s="78" t="s">
        <v>6036</v>
      </c>
      <c r="M2046" s="78"/>
      <c r="N2046" s="218"/>
      <c r="O2046" s="1399"/>
      <c r="P2046" s="1400"/>
      <c r="Q2046" s="1401"/>
    </row>
    <row r="2047" spans="1:17" ht="11.1" customHeight="1">
      <c r="A2047" s="277"/>
      <c r="B2047" s="278"/>
      <c r="C2047" s="278"/>
      <c r="D2047" s="278"/>
      <c r="E2047" s="278"/>
      <c r="F2047" s="278"/>
      <c r="G2047" s="278">
        <f>AVERAGE(G1159:G2046)</f>
        <v>51.751126126126124</v>
      </c>
      <c r="H2047" s="279">
        <f>COUNTIF(H1159:H2046,"女")</f>
        <v>128</v>
      </c>
      <c r="I2047" s="279">
        <f>COUNTIF(I1159:I2046,"重")</f>
        <v>653</v>
      </c>
      <c r="J2047" s="278"/>
      <c r="K2047" s="278"/>
      <c r="L2047" s="278"/>
      <c r="M2047" s="278"/>
      <c r="N2047" s="280"/>
      <c r="O2047" s="278"/>
      <c r="P2047" s="277"/>
      <c r="Q2047" s="277"/>
    </row>
    <row r="2048" spans="1:17" ht="11.1" customHeight="1" thickBot="1">
      <c r="A2048" s="277"/>
      <c r="B2048" s="278"/>
      <c r="C2048" s="278"/>
      <c r="D2048" s="1381" t="s">
        <v>10013</v>
      </c>
      <c r="E2048" s="1381"/>
      <c r="F2048" s="1381"/>
      <c r="G2048" s="1381"/>
      <c r="H2048" s="1381"/>
      <c r="I2048" s="1381"/>
      <c r="J2048" s="1381"/>
      <c r="K2048" s="1381"/>
      <c r="L2048" s="1381"/>
      <c r="M2048" s="1381"/>
      <c r="N2048" s="1381"/>
      <c r="O2048" s="1381"/>
      <c r="P2048" s="277"/>
      <c r="Q2048" s="277"/>
    </row>
    <row r="2049" spans="1:17" ht="11.1" customHeight="1" thickBot="1">
      <c r="A2049" s="277"/>
      <c r="B2049" s="278"/>
      <c r="C2049" s="278"/>
      <c r="D2049" s="155" t="s">
        <v>6235</v>
      </c>
      <c r="E2049" s="156" t="s">
        <v>6236</v>
      </c>
      <c r="F2049" s="1382" t="s">
        <v>6237</v>
      </c>
      <c r="G2049" s="1383"/>
      <c r="H2049" s="1383"/>
      <c r="I2049" s="1383"/>
      <c r="J2049" s="1383"/>
      <c r="K2049" s="1383"/>
      <c r="L2049" s="1384"/>
      <c r="M2049" s="1385" t="s">
        <v>6219</v>
      </c>
      <c r="N2049" s="1385"/>
      <c r="O2049" s="1386"/>
      <c r="P2049" s="277"/>
      <c r="Q2049" s="277"/>
    </row>
    <row r="2050" spans="1:17" ht="11.1" customHeight="1">
      <c r="A2050" s="277"/>
      <c r="B2050" s="278"/>
      <c r="C2050" s="278"/>
      <c r="D2050" s="281" t="s">
        <v>6042</v>
      </c>
      <c r="E2050" s="282">
        <f>O1159+O1206+O1283+O1371+O1479+O1559+O1621+O1714+O1845+O1907+O1948</f>
        <v>55</v>
      </c>
      <c r="F2050" s="1387">
        <f>P1159+P1206+P1283+P1371+P1479+P1559+P1621+P1714+P1845+P1907+P1948</f>
        <v>18810217</v>
      </c>
      <c r="G2050" s="1388"/>
      <c r="H2050" s="1388"/>
      <c r="I2050" s="1388"/>
      <c r="J2050" s="1388"/>
      <c r="K2050" s="1388"/>
      <c r="L2050" s="283" t="s">
        <v>6238</v>
      </c>
      <c r="M2050" s="1373" t="e">
        <f t="shared" ref="M2050:M2062" si="1">F2050/$F$906</f>
        <v>#VALUE!</v>
      </c>
      <c r="N2050" s="1373"/>
      <c r="O2050" s="1374"/>
      <c r="P2050" s="277" t="s">
        <v>10014</v>
      </c>
      <c r="Q2050" s="277"/>
    </row>
    <row r="2051" spans="1:17" ht="11.1" customHeight="1">
      <c r="A2051" s="277"/>
      <c r="B2051" s="278"/>
      <c r="C2051" s="278"/>
      <c r="D2051" s="161" t="s">
        <v>6206</v>
      </c>
      <c r="E2051" s="282">
        <f>O1174+O1234+O1312+O1406+O1507+O1580+O1650+O1759+O1870+O1923+O1983</f>
        <v>87</v>
      </c>
      <c r="F2051" s="1371">
        <f>P1174+P1234+P1312+P1406+P1507+P1580+P1650+P1759+P1870+P1923+P1983</f>
        <v>29844799</v>
      </c>
      <c r="G2051" s="1372"/>
      <c r="H2051" s="1372"/>
      <c r="I2051" s="1372"/>
      <c r="J2051" s="1372"/>
      <c r="K2051" s="1372"/>
      <c r="L2051" s="163" t="s">
        <v>6238</v>
      </c>
      <c r="M2051" s="1373" t="e">
        <f t="shared" si="1"/>
        <v>#VALUE!</v>
      </c>
      <c r="N2051" s="1373"/>
      <c r="O2051" s="1374"/>
      <c r="P2051" s="277" t="s">
        <v>10015</v>
      </c>
      <c r="Q2051" s="277"/>
    </row>
    <row r="2052" spans="1:17" ht="11.1" customHeight="1">
      <c r="A2052" s="277"/>
      <c r="B2052" s="278"/>
      <c r="C2052" s="278"/>
      <c r="D2052" s="165" t="s">
        <v>6239</v>
      </c>
      <c r="E2052" s="162">
        <f>O1189+O1262+O1348+O1448+O1537+O1601+O1691+O1811+O1889+O1936+O2013</f>
        <v>21</v>
      </c>
      <c r="F2052" s="1371">
        <f>P1189+P1262+P1348+P1448+P1537+P1601+P1691+P1811+P1889+P1936+P2013</f>
        <v>8054007</v>
      </c>
      <c r="G2052" s="1372"/>
      <c r="H2052" s="1372"/>
      <c r="I2052" s="1372"/>
      <c r="J2052" s="1372"/>
      <c r="K2052" s="1372"/>
      <c r="L2052" s="163" t="s">
        <v>6238</v>
      </c>
      <c r="M2052" s="1373" t="e">
        <f t="shared" si="1"/>
        <v>#VALUE!</v>
      </c>
      <c r="N2052" s="1373"/>
      <c r="O2052" s="1374"/>
      <c r="P2052" s="277" t="s">
        <v>10016</v>
      </c>
      <c r="Q2052" s="277"/>
    </row>
    <row r="2053" spans="1:17" ht="11.1" customHeight="1">
      <c r="A2053" s="277"/>
      <c r="B2053" s="278"/>
      <c r="C2053" s="278"/>
      <c r="D2053" s="166" t="s">
        <v>6240</v>
      </c>
      <c r="E2053" s="162">
        <f>O1191+O1265+O1352+O1453+O1541+O1603+O1696+O1818+O1892+O1938+O2019</f>
        <v>9</v>
      </c>
      <c r="F2053" s="1371">
        <f>P1191+P1265+P1352+P1453+P1541+P1603+P1696+P1818+P1892+P1938+P2019</f>
        <v>4943886</v>
      </c>
      <c r="G2053" s="1372"/>
      <c r="H2053" s="1372"/>
      <c r="I2053" s="1372"/>
      <c r="J2053" s="1372"/>
      <c r="K2053" s="1372"/>
      <c r="L2053" s="163" t="s">
        <v>6238</v>
      </c>
      <c r="M2053" s="1373" t="e">
        <f t="shared" si="1"/>
        <v>#VALUE!</v>
      </c>
      <c r="N2053" s="1373"/>
      <c r="O2053" s="1374"/>
      <c r="P2053" s="277"/>
      <c r="Q2053" s="277"/>
    </row>
    <row r="2054" spans="1:17" ht="11.1" customHeight="1">
      <c r="A2054" s="277"/>
      <c r="B2054" s="278"/>
      <c r="C2054" s="278"/>
      <c r="D2054" s="167" t="s">
        <v>6241</v>
      </c>
      <c r="E2054" s="162">
        <f>O1196+O1272+O1360+O1463+O1545+O1609+O1703+O1828+O1899+O1942+O2030</f>
        <v>4</v>
      </c>
      <c r="F2054" s="1371">
        <f>P1196+P1272+P1360+P1463+P1545+P1609+P1703+P1828+P1899+P1942+P2030</f>
        <v>3006160</v>
      </c>
      <c r="G2054" s="1372"/>
      <c r="H2054" s="1372"/>
      <c r="I2054" s="1372"/>
      <c r="J2054" s="1372"/>
      <c r="K2054" s="1372"/>
      <c r="L2054" s="163" t="s">
        <v>6238</v>
      </c>
      <c r="M2054" s="1373" t="e">
        <f t="shared" si="1"/>
        <v>#VALUE!</v>
      </c>
      <c r="N2054" s="1373"/>
      <c r="O2054" s="1374"/>
      <c r="P2054" s="277"/>
      <c r="Q2054" s="277"/>
    </row>
    <row r="2055" spans="1:17" ht="11.1" customHeight="1">
      <c r="A2055" s="277"/>
      <c r="B2055" s="278"/>
      <c r="C2055" s="278"/>
      <c r="D2055" s="168" t="s">
        <v>6242</v>
      </c>
      <c r="E2055" s="162">
        <f>O1363+O1466+O1547+O1614+O1705+O1832+O1900+O2037</f>
        <v>0</v>
      </c>
      <c r="F2055" s="1371">
        <f>P1363+P1466+P1547+P1614+P1705+P1832+P1900+P2037</f>
        <v>1219767</v>
      </c>
      <c r="G2055" s="1372"/>
      <c r="H2055" s="1372"/>
      <c r="I2055" s="1372"/>
      <c r="J2055" s="1372"/>
      <c r="K2055" s="1372"/>
      <c r="L2055" s="163" t="s">
        <v>6238</v>
      </c>
      <c r="M2055" s="1373" t="e">
        <f t="shared" si="1"/>
        <v>#VALUE!</v>
      </c>
      <c r="N2055" s="1373"/>
      <c r="O2055" s="1374"/>
      <c r="P2055" s="277"/>
      <c r="Q2055" s="277"/>
    </row>
    <row r="2056" spans="1:17" ht="11.1" customHeight="1">
      <c r="A2056" s="277"/>
      <c r="B2056" s="278"/>
      <c r="C2056" s="278"/>
      <c r="D2056" s="169" t="s">
        <v>6243</v>
      </c>
      <c r="E2056" s="162">
        <f>O1278+O1364+O1467+O1549+O1707+O1834+O2041</f>
        <v>3</v>
      </c>
      <c r="F2056" s="1371">
        <f>P1278+P1364+P1467+P1549+P1707+P1834+P2041</f>
        <v>3005199</v>
      </c>
      <c r="G2056" s="1372"/>
      <c r="H2056" s="1372"/>
      <c r="I2056" s="1372"/>
      <c r="J2056" s="1372"/>
      <c r="K2056" s="1372"/>
      <c r="L2056" s="163" t="s">
        <v>6238</v>
      </c>
      <c r="M2056" s="1373" t="e">
        <f t="shared" si="1"/>
        <v>#VALUE!</v>
      </c>
      <c r="N2056" s="1373"/>
      <c r="O2056" s="1374"/>
      <c r="P2056" s="277" t="s">
        <v>10017</v>
      </c>
      <c r="Q2056" s="277"/>
    </row>
    <row r="2057" spans="1:17" ht="11.1" customHeight="1">
      <c r="A2057" s="277"/>
      <c r="B2057" s="278"/>
      <c r="C2057" s="278"/>
      <c r="D2057" s="170" t="s">
        <v>6244</v>
      </c>
      <c r="E2057" s="162">
        <f>O1835</f>
        <v>0</v>
      </c>
      <c r="F2057" s="1371">
        <f>P1835</f>
        <v>58141</v>
      </c>
      <c r="G2057" s="1372"/>
      <c r="H2057" s="1372"/>
      <c r="I2057" s="1372"/>
      <c r="J2057" s="1372"/>
      <c r="K2057" s="1372"/>
      <c r="L2057" s="163" t="s">
        <v>6238</v>
      </c>
      <c r="M2057" s="1373" t="e">
        <f t="shared" si="1"/>
        <v>#VALUE!</v>
      </c>
      <c r="N2057" s="1373"/>
      <c r="O2057" s="1374"/>
      <c r="P2057" s="277"/>
      <c r="Q2057" s="277"/>
    </row>
    <row r="2058" spans="1:17" ht="11.1" customHeight="1">
      <c r="A2058" s="277"/>
      <c r="B2058" s="278"/>
      <c r="C2058" s="278"/>
      <c r="D2058" s="171" t="s">
        <v>6245</v>
      </c>
      <c r="E2058" s="162">
        <f>O1366+O1473+O1550+O1616+O1708+O1836</f>
        <v>0</v>
      </c>
      <c r="F2058" s="1371">
        <f>P1366+P1473+P1550+P1616+P1708+P1836</f>
        <v>528171</v>
      </c>
      <c r="G2058" s="1372"/>
      <c r="H2058" s="1372"/>
      <c r="I2058" s="1372"/>
      <c r="J2058" s="1372"/>
      <c r="K2058" s="1372"/>
      <c r="L2058" s="163" t="s">
        <v>6238</v>
      </c>
      <c r="M2058" s="1373" t="e">
        <f t="shared" si="1"/>
        <v>#VALUE!</v>
      </c>
      <c r="N2058" s="1373"/>
      <c r="O2058" s="1374"/>
      <c r="P2058" s="277"/>
      <c r="Q2058" s="277"/>
    </row>
    <row r="2059" spans="1:17" ht="11.1" customHeight="1" thickBot="1">
      <c r="A2059" s="277"/>
      <c r="B2059" s="278"/>
      <c r="C2059" s="278"/>
      <c r="D2059" s="284" t="s">
        <v>6246</v>
      </c>
      <c r="E2059" s="174">
        <f>SUM(E2060:E2062)</f>
        <v>1</v>
      </c>
      <c r="F2059" s="1375">
        <f>SUM(F2060:F2062)</f>
        <v>899908</v>
      </c>
      <c r="G2059" s="1376"/>
      <c r="H2059" s="1376"/>
      <c r="I2059" s="1376"/>
      <c r="J2059" s="1376"/>
      <c r="K2059" s="1376"/>
      <c r="L2059" s="175" t="s">
        <v>6238</v>
      </c>
      <c r="M2059" s="1373" t="e">
        <f t="shared" si="1"/>
        <v>#VALUE!</v>
      </c>
      <c r="N2059" s="1373"/>
      <c r="O2059" s="1374"/>
      <c r="P2059" s="277"/>
      <c r="Q2059" s="277"/>
    </row>
    <row r="2060" spans="1:17" ht="11.1" customHeight="1">
      <c r="A2060" s="277"/>
      <c r="B2060" s="278"/>
      <c r="C2060" s="278"/>
      <c r="D2060" s="285" t="s">
        <v>10018</v>
      </c>
      <c r="E2060" s="286">
        <f>O1198</f>
        <v>1</v>
      </c>
      <c r="F2060" s="1377">
        <f>P1198</f>
        <v>433122</v>
      </c>
      <c r="G2060" s="1378"/>
      <c r="H2060" s="1378"/>
      <c r="I2060" s="1378"/>
      <c r="J2060" s="1378"/>
      <c r="K2060" s="1378"/>
      <c r="L2060" s="287" t="s">
        <v>6238</v>
      </c>
      <c r="M2060" s="1379" t="e">
        <f t="shared" si="1"/>
        <v>#VALUE!</v>
      </c>
      <c r="N2060" s="1379"/>
      <c r="O2060" s="1380"/>
      <c r="P2060" s="277"/>
      <c r="Q2060" s="277"/>
    </row>
    <row r="2061" spans="1:17" ht="11.1" customHeight="1">
      <c r="A2061" s="277"/>
      <c r="B2061" s="278"/>
      <c r="C2061" s="278"/>
      <c r="D2061" s="288" t="s">
        <v>10019</v>
      </c>
      <c r="E2061" s="289">
        <f>O1202+O1280+O1367+O1474+O1552+O1617+O1709+O1838+O1904+O1944+O2042</f>
        <v>0</v>
      </c>
      <c r="F2061" s="1359">
        <f>P1202+P1280+P1367+P1474+P1552+P1617+P1709+P1838+P1904+P1944+P2042</f>
        <v>459387</v>
      </c>
      <c r="G2061" s="1360"/>
      <c r="H2061" s="1360"/>
      <c r="I2061" s="1360"/>
      <c r="J2061" s="1360"/>
      <c r="K2061" s="1360"/>
      <c r="L2061" s="290" t="s">
        <v>6238</v>
      </c>
      <c r="M2061" s="1361" t="e">
        <f t="shared" si="1"/>
        <v>#VALUE!</v>
      </c>
      <c r="N2061" s="1361"/>
      <c r="O2061" s="1362"/>
      <c r="P2061" s="277"/>
      <c r="Q2061" s="277"/>
    </row>
    <row r="2062" spans="1:17" ht="11.1" customHeight="1" thickBot="1">
      <c r="A2062" s="277"/>
      <c r="B2062" s="278"/>
      <c r="C2062" s="278"/>
      <c r="D2062" s="291" t="s">
        <v>10020</v>
      </c>
      <c r="E2062" s="292">
        <f>O1204</f>
        <v>0</v>
      </c>
      <c r="F2062" s="1363">
        <f>P1204</f>
        <v>7399</v>
      </c>
      <c r="G2062" s="1364"/>
      <c r="H2062" s="1364"/>
      <c r="I2062" s="1364"/>
      <c r="J2062" s="1364"/>
      <c r="K2062" s="1364"/>
      <c r="L2062" s="293" t="s">
        <v>6238</v>
      </c>
      <c r="M2062" s="1365" t="e">
        <f t="shared" si="1"/>
        <v>#VALUE!</v>
      </c>
      <c r="N2062" s="1365"/>
      <c r="O2062" s="1366"/>
      <c r="P2062" s="277"/>
      <c r="Q2062" s="277"/>
    </row>
    <row r="2063" spans="1:17" ht="11.1" customHeight="1" thickBot="1">
      <c r="A2063" s="277"/>
      <c r="B2063" s="278"/>
      <c r="C2063" s="278"/>
      <c r="D2063" s="177" t="s">
        <v>6248</v>
      </c>
      <c r="E2063" s="178">
        <f>SUM(E2050:E2059)</f>
        <v>180</v>
      </c>
      <c r="F2063" s="1367">
        <f>SUM(F2050:K2059)</f>
        <v>70370255</v>
      </c>
      <c r="G2063" s="1368"/>
      <c r="H2063" s="1368"/>
      <c r="I2063" s="1368"/>
      <c r="J2063" s="1368"/>
      <c r="K2063" s="1368"/>
      <c r="L2063" s="294" t="s">
        <v>6238</v>
      </c>
      <c r="M2063" s="1369"/>
      <c r="N2063" s="1369"/>
      <c r="O2063" s="1370"/>
      <c r="P2063" s="277"/>
      <c r="Q2063" s="277"/>
    </row>
    <row r="2064" spans="1:17" ht="11.1" customHeight="1" thickBot="1">
      <c r="A2064" s="277"/>
      <c r="B2064" s="278"/>
      <c r="C2064" s="278"/>
      <c r="D2064" s="295" t="s">
        <v>6249</v>
      </c>
      <c r="E2064" s="296">
        <f>180-E2063</f>
        <v>0</v>
      </c>
      <c r="N2064" s="297"/>
      <c r="O2064" s="298"/>
      <c r="P2064" s="277"/>
      <c r="Q2064" s="277"/>
    </row>
  </sheetData>
  <mergeCells count="290">
    <mergeCell ref="C1142:J1142"/>
    <mergeCell ref="E1143:I1143"/>
    <mergeCell ref="E1144:H1144"/>
    <mergeCell ref="M1144:N1144"/>
    <mergeCell ref="E1145:H1145"/>
    <mergeCell ref="M1145:N1145"/>
    <mergeCell ref="E1149:H1149"/>
    <mergeCell ref="M1149:N1149"/>
    <mergeCell ref="E1150:H1150"/>
    <mergeCell ref="M1150:N1150"/>
    <mergeCell ref="E1151:H1151"/>
    <mergeCell ref="M1151:N1151"/>
    <mergeCell ref="E1146:H1146"/>
    <mergeCell ref="M1146:N1146"/>
    <mergeCell ref="E1147:H1147"/>
    <mergeCell ref="M1147:N1147"/>
    <mergeCell ref="E1148:H1148"/>
    <mergeCell ref="M1148:N1148"/>
    <mergeCell ref="E1155:H1155"/>
    <mergeCell ref="O1159:O1173"/>
    <mergeCell ref="P1159:P1173"/>
    <mergeCell ref="Q1159:Q1173"/>
    <mergeCell ref="O1174:O1188"/>
    <mergeCell ref="P1174:P1188"/>
    <mergeCell ref="Q1174:Q1188"/>
    <mergeCell ref="E1152:H1152"/>
    <mergeCell ref="M1152:N1152"/>
    <mergeCell ref="E1153:H1153"/>
    <mergeCell ref="M1153:N1153"/>
    <mergeCell ref="E1154:H1154"/>
    <mergeCell ref="M1154:N1154"/>
    <mergeCell ref="O1196:O1197"/>
    <mergeCell ref="P1196:P1197"/>
    <mergeCell ref="Q1196:Q1197"/>
    <mergeCell ref="O1198:O1201"/>
    <mergeCell ref="P1198:P1201"/>
    <mergeCell ref="Q1198:Q1201"/>
    <mergeCell ref="O1189:O1190"/>
    <mergeCell ref="P1189:P1190"/>
    <mergeCell ref="Q1189:Q1190"/>
    <mergeCell ref="O1191:O1195"/>
    <mergeCell ref="P1191:P1195"/>
    <mergeCell ref="Q1191:Q1195"/>
    <mergeCell ref="O1206:O1233"/>
    <mergeCell ref="P1206:P1233"/>
    <mergeCell ref="Q1206:Q1233"/>
    <mergeCell ref="O1234:O1261"/>
    <mergeCell ref="P1234:P1261"/>
    <mergeCell ref="Q1234:Q1261"/>
    <mergeCell ref="O1202:O1203"/>
    <mergeCell ref="P1202:P1203"/>
    <mergeCell ref="Q1202:Q1203"/>
    <mergeCell ref="O1204:O1205"/>
    <mergeCell ref="P1204:P1205"/>
    <mergeCell ref="Q1204:Q1205"/>
    <mergeCell ref="O1272:O1277"/>
    <mergeCell ref="P1272:P1277"/>
    <mergeCell ref="Q1272:Q1277"/>
    <mergeCell ref="O1278:O1279"/>
    <mergeCell ref="P1278:P1279"/>
    <mergeCell ref="Q1278:Q1279"/>
    <mergeCell ref="O1262:O1264"/>
    <mergeCell ref="P1262:P1264"/>
    <mergeCell ref="Q1262:Q1264"/>
    <mergeCell ref="O1265:O1271"/>
    <mergeCell ref="P1265:P1271"/>
    <mergeCell ref="Q1265:Q1271"/>
    <mergeCell ref="O1312:O1347"/>
    <mergeCell ref="P1312:P1347"/>
    <mergeCell ref="Q1312:Q1347"/>
    <mergeCell ref="O1348:O1351"/>
    <mergeCell ref="P1348:P1351"/>
    <mergeCell ref="Q1348:Q1351"/>
    <mergeCell ref="O1280:O1282"/>
    <mergeCell ref="P1280:P1282"/>
    <mergeCell ref="Q1280:Q1282"/>
    <mergeCell ref="O1283:O1311"/>
    <mergeCell ref="P1283:P1311"/>
    <mergeCell ref="Q1283:Q1311"/>
    <mergeCell ref="O1364:O1365"/>
    <mergeCell ref="P1364:P1365"/>
    <mergeCell ref="Q1364:Q1365"/>
    <mergeCell ref="O1367:O1370"/>
    <mergeCell ref="P1367:P1370"/>
    <mergeCell ref="Q1367:Q1370"/>
    <mergeCell ref="O1352:O1359"/>
    <mergeCell ref="P1352:P1359"/>
    <mergeCell ref="Q1352:Q1359"/>
    <mergeCell ref="O1360:O1362"/>
    <mergeCell ref="P1360:P1362"/>
    <mergeCell ref="Q1360:Q1362"/>
    <mergeCell ref="O1448:O1452"/>
    <mergeCell ref="P1448:P1452"/>
    <mergeCell ref="Q1448:Q1452"/>
    <mergeCell ref="O1453:O1462"/>
    <mergeCell ref="P1453:P1462"/>
    <mergeCell ref="Q1453:Q1462"/>
    <mergeCell ref="O1371:O1405"/>
    <mergeCell ref="P1371:P1405"/>
    <mergeCell ref="Q1371:Q1405"/>
    <mergeCell ref="O1406:O1447"/>
    <mergeCell ref="P1406:P1447"/>
    <mergeCell ref="Q1406:Q1447"/>
    <mergeCell ref="O1474:O1478"/>
    <mergeCell ref="P1474:P1478"/>
    <mergeCell ref="Q1474:Q1478"/>
    <mergeCell ref="O1479:O1506"/>
    <mergeCell ref="P1479:P1506"/>
    <mergeCell ref="Q1479:Q1506"/>
    <mergeCell ref="O1463:O1465"/>
    <mergeCell ref="P1463:P1465"/>
    <mergeCell ref="Q1463:Q1465"/>
    <mergeCell ref="O1467:O1472"/>
    <mergeCell ref="P1467:P1472"/>
    <mergeCell ref="Q1467:Q1472"/>
    <mergeCell ref="O1541:O1544"/>
    <mergeCell ref="P1541:P1544"/>
    <mergeCell ref="Q1541:Q1544"/>
    <mergeCell ref="O1545:O1546"/>
    <mergeCell ref="P1545:P1546"/>
    <mergeCell ref="Q1545:Q1546"/>
    <mergeCell ref="O1507:O1536"/>
    <mergeCell ref="P1507:P1536"/>
    <mergeCell ref="Q1507:Q1536"/>
    <mergeCell ref="O1537:O1540"/>
    <mergeCell ref="P1537:P1540"/>
    <mergeCell ref="Q1537:Q1540"/>
    <mergeCell ref="O1552:O1558"/>
    <mergeCell ref="P1552:P1558"/>
    <mergeCell ref="Q1552:Q1558"/>
    <mergeCell ref="O1559:O1579"/>
    <mergeCell ref="P1559:P1579"/>
    <mergeCell ref="Q1559:Q1579"/>
    <mergeCell ref="O1547:O1548"/>
    <mergeCell ref="P1547:P1548"/>
    <mergeCell ref="Q1547:Q1548"/>
    <mergeCell ref="O1550:O1551"/>
    <mergeCell ref="P1550:P1551"/>
    <mergeCell ref="Q1550:Q1551"/>
    <mergeCell ref="O1603:O1608"/>
    <mergeCell ref="P1603:P1608"/>
    <mergeCell ref="Q1603:Q1608"/>
    <mergeCell ref="O1609:O1613"/>
    <mergeCell ref="P1609:P1613"/>
    <mergeCell ref="Q1609:Q1613"/>
    <mergeCell ref="O1580:O1600"/>
    <mergeCell ref="P1580:P1600"/>
    <mergeCell ref="Q1580:Q1600"/>
    <mergeCell ref="O1601:O1602"/>
    <mergeCell ref="P1601:P1602"/>
    <mergeCell ref="Q1601:Q1602"/>
    <mergeCell ref="O1621:O1649"/>
    <mergeCell ref="P1621:P1649"/>
    <mergeCell ref="Q1621:Q1649"/>
    <mergeCell ref="O1650:O1690"/>
    <mergeCell ref="P1650:P1690"/>
    <mergeCell ref="Q1650:Q1690"/>
    <mergeCell ref="O1614:O1615"/>
    <mergeCell ref="P1614:P1615"/>
    <mergeCell ref="Q1614:Q1615"/>
    <mergeCell ref="O1617:O1620"/>
    <mergeCell ref="P1617:P1620"/>
    <mergeCell ref="Q1617:Q1620"/>
    <mergeCell ref="O1703:O1704"/>
    <mergeCell ref="P1703:P1704"/>
    <mergeCell ref="Q1703:Q1704"/>
    <mergeCell ref="O1705:O1706"/>
    <mergeCell ref="P1705:P1706"/>
    <mergeCell ref="Q1705:Q1706"/>
    <mergeCell ref="O1691:O1695"/>
    <mergeCell ref="P1691:P1695"/>
    <mergeCell ref="Q1691:Q1695"/>
    <mergeCell ref="O1696:O1702"/>
    <mergeCell ref="P1696:P1702"/>
    <mergeCell ref="Q1696:Q1702"/>
    <mergeCell ref="O1759:O1810"/>
    <mergeCell ref="P1759:P1810"/>
    <mergeCell ref="Q1759:Q1810"/>
    <mergeCell ref="O1811:O1817"/>
    <mergeCell ref="P1811:P1817"/>
    <mergeCell ref="Q1811:Q1817"/>
    <mergeCell ref="O1709:O1713"/>
    <mergeCell ref="P1709:P1713"/>
    <mergeCell ref="Q1709:Q1713"/>
    <mergeCell ref="O1714:O1758"/>
    <mergeCell ref="P1714:P1758"/>
    <mergeCell ref="Q1714:Q1758"/>
    <mergeCell ref="O1832:O1833"/>
    <mergeCell ref="P1832:P1833"/>
    <mergeCell ref="Q1832:Q1833"/>
    <mergeCell ref="O1836:O1837"/>
    <mergeCell ref="P1836:P1837"/>
    <mergeCell ref="Q1836:Q1837"/>
    <mergeCell ref="O1818:O1827"/>
    <mergeCell ref="P1818:P1827"/>
    <mergeCell ref="Q1818:Q1827"/>
    <mergeCell ref="O1828:O1831"/>
    <mergeCell ref="P1828:P1831"/>
    <mergeCell ref="Q1828:Q1831"/>
    <mergeCell ref="O1870:O1888"/>
    <mergeCell ref="P1870:P1888"/>
    <mergeCell ref="Q1870:Q1888"/>
    <mergeCell ref="O1889:O1891"/>
    <mergeCell ref="P1889:P1891"/>
    <mergeCell ref="Q1889:Q1891"/>
    <mergeCell ref="O1838:O1844"/>
    <mergeCell ref="P1838:P1844"/>
    <mergeCell ref="Q1838:Q1844"/>
    <mergeCell ref="O1845:O1869"/>
    <mergeCell ref="P1845:P1869"/>
    <mergeCell ref="Q1845:Q1869"/>
    <mergeCell ref="O1904:O1906"/>
    <mergeCell ref="P1904:P1906"/>
    <mergeCell ref="Q1904:Q1906"/>
    <mergeCell ref="O1907:O1922"/>
    <mergeCell ref="P1907:P1922"/>
    <mergeCell ref="Q1907:Q1922"/>
    <mergeCell ref="O1892:O1898"/>
    <mergeCell ref="P1892:P1898"/>
    <mergeCell ref="Q1892:Q1898"/>
    <mergeCell ref="O1900:O1903"/>
    <mergeCell ref="P1900:P1903"/>
    <mergeCell ref="Q1900:Q1903"/>
    <mergeCell ref="O1938:O1941"/>
    <mergeCell ref="P1938:P1941"/>
    <mergeCell ref="Q1938:Q1941"/>
    <mergeCell ref="O1942:O1943"/>
    <mergeCell ref="P1942:P1943"/>
    <mergeCell ref="Q1942:Q1943"/>
    <mergeCell ref="O1923:O1935"/>
    <mergeCell ref="P1923:P1935"/>
    <mergeCell ref="Q1923:Q1935"/>
    <mergeCell ref="O1936:O1937"/>
    <mergeCell ref="P1936:P1937"/>
    <mergeCell ref="Q1936:Q1937"/>
    <mergeCell ref="O1983:O2012"/>
    <mergeCell ref="P1983:P2012"/>
    <mergeCell ref="Q1983:Q2012"/>
    <mergeCell ref="O2013:O2018"/>
    <mergeCell ref="P2013:P2018"/>
    <mergeCell ref="Q2013:Q2018"/>
    <mergeCell ref="O1944:O1947"/>
    <mergeCell ref="P1944:P1947"/>
    <mergeCell ref="Q1944:Q1947"/>
    <mergeCell ref="O1948:O1982"/>
    <mergeCell ref="P1948:P1982"/>
    <mergeCell ref="Q1948:Q1982"/>
    <mergeCell ref="Q2037:Q2040"/>
    <mergeCell ref="O2042:O2046"/>
    <mergeCell ref="P2042:P2046"/>
    <mergeCell ref="Q2042:Q2046"/>
    <mergeCell ref="O2019:O2029"/>
    <mergeCell ref="P2019:P2029"/>
    <mergeCell ref="Q2019:Q2029"/>
    <mergeCell ref="O2030:O2036"/>
    <mergeCell ref="P2030:P2036"/>
    <mergeCell ref="Q2030:Q2036"/>
    <mergeCell ref="D2048:O2048"/>
    <mergeCell ref="F2049:L2049"/>
    <mergeCell ref="M2049:O2049"/>
    <mergeCell ref="F2050:K2050"/>
    <mergeCell ref="M2050:O2050"/>
    <mergeCell ref="F2051:K2051"/>
    <mergeCell ref="M2051:O2051"/>
    <mergeCell ref="O2037:O2040"/>
    <mergeCell ref="P2037:P2040"/>
    <mergeCell ref="F2055:K2055"/>
    <mergeCell ref="M2055:O2055"/>
    <mergeCell ref="F2056:K2056"/>
    <mergeCell ref="M2056:O2056"/>
    <mergeCell ref="F2057:K2057"/>
    <mergeCell ref="M2057:O2057"/>
    <mergeCell ref="F2052:K2052"/>
    <mergeCell ref="M2052:O2052"/>
    <mergeCell ref="F2053:K2053"/>
    <mergeCell ref="M2053:O2053"/>
    <mergeCell ref="F2054:K2054"/>
    <mergeCell ref="M2054:O2054"/>
    <mergeCell ref="F2061:K2061"/>
    <mergeCell ref="M2061:O2061"/>
    <mergeCell ref="F2062:K2062"/>
    <mergeCell ref="M2062:O2062"/>
    <mergeCell ref="F2063:K2063"/>
    <mergeCell ref="M2063:O2063"/>
    <mergeCell ref="F2058:K2058"/>
    <mergeCell ref="M2058:O2058"/>
    <mergeCell ref="F2059:K2059"/>
    <mergeCell ref="M2059:O2059"/>
    <mergeCell ref="F2060:K2060"/>
    <mergeCell ref="M2060:O2060"/>
  </mergeCells>
  <phoneticPr fontId="3"/>
  <conditionalFormatting sqref="I1:N1 A1:G1">
    <cfRule type="cellIs" dxfId="443" priority="8" stopIfTrue="1" operator="equal">
      <formula>"？"</formula>
    </cfRule>
  </conditionalFormatting>
  <conditionalFormatting sqref="H1">
    <cfRule type="cellIs" dxfId="442" priority="9" stopIfTrue="1" operator="equal">
      <formula>"？"</formula>
    </cfRule>
    <cfRule type="cellIs" dxfId="441" priority="10" stopIfTrue="1" operator="equal">
      <formula>"女"</formula>
    </cfRule>
  </conditionalFormatting>
  <conditionalFormatting sqref="B2:B1140">
    <cfRule type="cellIs" dxfId="440" priority="11" stopIfTrue="1" operator="equal">
      <formula>"当選"</formula>
    </cfRule>
    <cfRule type="cellIs" dxfId="439" priority="12" stopIfTrue="1" operator="equal">
      <formula>"△比"</formula>
    </cfRule>
    <cfRule type="cellIs" dxfId="438" priority="13" stopIfTrue="1" operator="equal">
      <formula>"比"</formula>
    </cfRule>
  </conditionalFormatting>
  <conditionalFormatting sqref="A1158:A2064 B2047:B2064 B1158 O2037:P2037 O2041:P2042 O1158:Q1158 O1189:P1189 O1191:P1191 O1196:P1196 O1198:P1198 O1202:P1202 O1204:P1204 O1206:P1278 O1280:P1280 O1283:P1283 O1312:P1312 O1348:P1348 O1352:P1352 O1360:P1360 O1363:P1364 O1366:P1367 O1371:P1371 O1406:P1406 O1448:P1448 O1453:P1453 O1463:P1467 O1473:P1474 O1479:P1479 O1507:P1507 O1537:P1537 O1541:P1541 O1545:P1545 O1547:P1547 O1549:P1550 O1552:P1552 O1559:P1559 O1580:P1580 O1601:P1601 O1603:P1603 O1609:P1609 O1614:P1614 O1616:P1617 O1621:P1621 O1650:P1650 O1691:P1691 O1696:P1696 O1703:P1703 O1705:P1705 O1707:P1709 O1714:P1714 O1759:P1759 O1811:P1811 O1818:P1818 O1828:P1828 O1832:P1832 O1834:P1836 O1838:P1838 O1845:P1845 O1870:P1870 O1889:P1889 O1892:P1892 O1899:P1900 O1904:P1904 O1907:P1907 O1923:P1923 O1936:P1936 O1938:P1938 O1942:P1942 O1944:P1944 O1948:P1948 O1983:P1983 O2013:P2013 O2019:P2019 O2030:P2030 P2047:Q2064 O2047 C1158:C2064 D1158:N2047 O1159:P1174">
    <cfRule type="cellIs" dxfId="437" priority="3" stopIfTrue="1" operator="equal">
      <formula>"女"</formula>
    </cfRule>
    <cfRule type="cellIs" dxfId="436" priority="4" stopIfTrue="1" operator="equal">
      <formula>"？"</formula>
    </cfRule>
  </conditionalFormatting>
  <conditionalFormatting sqref="B1159:B2046">
    <cfRule type="cellIs" dxfId="435" priority="5" stopIfTrue="1" operator="equal">
      <formula>"女"</formula>
    </cfRule>
    <cfRule type="cellIs" dxfId="434" priority="6" stopIfTrue="1" operator="equal">
      <formula>"当選"</formula>
    </cfRule>
    <cfRule type="cellIs" dxfId="433" priority="7" stopIfTrue="1" operator="equal">
      <formula>"小当"</formula>
    </cfRule>
  </conditionalFormatting>
  <conditionalFormatting sqref="Q2037 Q2041:Q2042 Q1159:Q1174 Q1189 Q1191 Q1196 Q1198 Q1202 Q1204 Q1206:Q1278 Q1280 Q1283 Q1312 Q1348 Q1352 Q1360 Q1363:Q1364 Q1366:Q1367 Q1371 Q1406 Q1448 Q1453 Q1463:Q1467 Q1473:Q1474 Q1479 Q1507 Q1537 Q1541 Q1545 Q1547 Q1549:Q1550 Q1552 Q1559 Q1580 Q1601 Q1603 Q1609 Q1614 Q1616:Q1617 Q1621 Q1650 Q1691 Q1696 Q1703 Q1705 Q1707:Q1709 Q1714 Q1759 Q1811 Q1818 Q1828 Q1832 Q1834:Q1836 Q1838 Q1845 Q1870 Q1889 Q1892 Q1899:Q1900 Q1904 Q1907 Q1923 Q1936 Q1938 Q1942 Q1944 Q1948 Q1983 Q2013 Q2019 Q2030">
    <cfRule type="cellIs" dxfId="432" priority="1" stopIfTrue="1" operator="equal">
      <formula>"女"</formula>
    </cfRule>
    <cfRule type="cellIs" dxfId="431" priority="2" stopIfTrue="1" operator="equal">
      <formula>"？"</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Q1797"/>
  <sheetViews>
    <sheetView workbookViewId="0"/>
  </sheetViews>
  <sheetFormatPr defaultRowHeight="11.1" customHeight="1"/>
  <cols>
    <col min="1" max="1" width="11.625" style="942" customWidth="1"/>
    <col min="2" max="2" width="4.125" style="29" customWidth="1"/>
    <col min="3" max="3" width="8.625" style="29" customWidth="1"/>
    <col min="4" max="4" width="6.625" style="491" customWidth="1"/>
    <col min="5" max="5" width="5.625" style="491" customWidth="1"/>
    <col min="6" max="6" width="10.625" style="29" customWidth="1"/>
    <col min="7" max="9" width="2.625" style="29" customWidth="1"/>
    <col min="10" max="10" width="7.625" style="29" customWidth="1"/>
    <col min="11" max="11" width="5.625" style="29" customWidth="1"/>
    <col min="12" max="13" width="2.625" style="29" customWidth="1"/>
    <col min="14" max="14" width="3.625" style="29" customWidth="1"/>
    <col min="16" max="16" width="10.625" customWidth="1"/>
  </cols>
  <sheetData>
    <row r="1" spans="1:14" ht="11.1" customHeight="1" thickBot="1">
      <c r="A1" s="394" t="s">
        <v>10021</v>
      </c>
      <c r="B1" s="395" t="s">
        <v>10050</v>
      </c>
      <c r="C1" s="395" t="s">
        <v>11985</v>
      </c>
      <c r="D1" s="395" t="s">
        <v>10047</v>
      </c>
      <c r="E1" s="395" t="s">
        <v>10027</v>
      </c>
      <c r="F1" s="395" t="s">
        <v>10029</v>
      </c>
      <c r="G1" s="395" t="s">
        <v>10031</v>
      </c>
      <c r="H1" s="395" t="s">
        <v>10033</v>
      </c>
      <c r="I1" s="395" t="s">
        <v>10025</v>
      </c>
      <c r="J1" s="395" t="s">
        <v>10035</v>
      </c>
      <c r="K1" s="395" t="s">
        <v>10037</v>
      </c>
      <c r="L1" s="395" t="s">
        <v>10039</v>
      </c>
      <c r="M1" s="395" t="s">
        <v>10041</v>
      </c>
      <c r="N1" s="396" t="s">
        <v>10043</v>
      </c>
    </row>
    <row r="2" spans="1:14" ht="11.1" customHeight="1" thickTop="1">
      <c r="A2" s="400" t="s">
        <v>6250</v>
      </c>
      <c r="B2" s="397" t="s">
        <v>10050</v>
      </c>
      <c r="C2" s="33">
        <v>143564</v>
      </c>
      <c r="D2" s="35">
        <v>45.734273308506609</v>
      </c>
      <c r="E2" s="398" t="s">
        <v>6251</v>
      </c>
      <c r="F2" s="36" t="s">
        <v>6252</v>
      </c>
      <c r="G2" s="36">
        <v>64</v>
      </c>
      <c r="H2" s="36" t="s">
        <v>0</v>
      </c>
      <c r="I2" s="36" t="s">
        <v>6233</v>
      </c>
      <c r="J2" s="36" t="s">
        <v>6253</v>
      </c>
      <c r="K2" s="36" t="s">
        <v>11989</v>
      </c>
      <c r="L2" s="36" t="s">
        <v>6209</v>
      </c>
      <c r="M2" s="36">
        <v>8</v>
      </c>
      <c r="N2" s="399">
        <v>0</v>
      </c>
    </row>
    <row r="3" spans="1:14" ht="11.1" customHeight="1">
      <c r="A3" s="400" t="s">
        <v>6255</v>
      </c>
      <c r="B3" s="401" t="s">
        <v>6230</v>
      </c>
      <c r="C3" s="116">
        <v>128166</v>
      </c>
      <c r="D3" s="93">
        <v>40.829030069223883</v>
      </c>
      <c r="E3" s="93">
        <v>89.274469922821879</v>
      </c>
      <c r="F3" s="212" t="s">
        <v>11990</v>
      </c>
      <c r="G3" s="212">
        <v>39</v>
      </c>
      <c r="H3" s="212" t="s">
        <v>0</v>
      </c>
      <c r="I3" s="212" t="s">
        <v>6233</v>
      </c>
      <c r="J3" s="212" t="s">
        <v>6257</v>
      </c>
      <c r="K3" s="212" t="s">
        <v>6258</v>
      </c>
      <c r="L3" s="212" t="s">
        <v>6036</v>
      </c>
      <c r="M3" s="212">
        <v>0</v>
      </c>
      <c r="N3" s="402">
        <v>0</v>
      </c>
    </row>
    <row r="4" spans="1:14" ht="11.1" customHeight="1">
      <c r="A4" s="400" t="s">
        <v>6261</v>
      </c>
      <c r="B4" s="401" t="s">
        <v>6231</v>
      </c>
      <c r="C4" s="116">
        <v>25481</v>
      </c>
      <c r="D4" s="93">
        <v>8.11732062476705</v>
      </c>
      <c r="E4" s="403" t="s">
        <v>6262</v>
      </c>
      <c r="F4" s="212" t="s">
        <v>11991</v>
      </c>
      <c r="G4" s="212">
        <v>63</v>
      </c>
      <c r="H4" s="212" t="s">
        <v>6049</v>
      </c>
      <c r="I4" s="212">
        <v>0</v>
      </c>
      <c r="J4" s="212" t="s">
        <v>6264</v>
      </c>
      <c r="K4" s="212">
        <v>0</v>
      </c>
      <c r="L4" s="212" t="s">
        <v>6036</v>
      </c>
      <c r="M4" s="212">
        <v>0</v>
      </c>
      <c r="N4" s="402">
        <v>0</v>
      </c>
    </row>
    <row r="5" spans="1:14" ht="11.1" customHeight="1">
      <c r="A5" s="817" t="s">
        <v>6265</v>
      </c>
      <c r="B5" s="404" t="s">
        <v>6231</v>
      </c>
      <c r="C5" s="405">
        <v>16698</v>
      </c>
      <c r="D5" s="406">
        <v>5.319375997502461</v>
      </c>
      <c r="E5" s="407" t="s">
        <v>6262</v>
      </c>
      <c r="F5" s="213" t="s">
        <v>11992</v>
      </c>
      <c r="G5" s="213">
        <v>49</v>
      </c>
      <c r="H5" s="213" t="s">
        <v>0</v>
      </c>
      <c r="I5" s="213">
        <v>0</v>
      </c>
      <c r="J5" s="213" t="s">
        <v>11993</v>
      </c>
      <c r="K5" s="213" t="s">
        <v>8651</v>
      </c>
      <c r="L5" s="213" t="s">
        <v>6036</v>
      </c>
      <c r="M5" s="213">
        <v>0</v>
      </c>
      <c r="N5" s="408">
        <v>0</v>
      </c>
    </row>
    <row r="6" spans="1:14" ht="11.1" customHeight="1">
      <c r="A6" s="940" t="s">
        <v>6269</v>
      </c>
      <c r="B6" s="409" t="s">
        <v>10050</v>
      </c>
      <c r="C6" s="53">
        <v>129357</v>
      </c>
      <c r="D6" s="55">
        <v>45.305916593991995</v>
      </c>
      <c r="E6" s="410" t="s">
        <v>6251</v>
      </c>
      <c r="F6" s="56" t="s">
        <v>6270</v>
      </c>
      <c r="G6" s="56">
        <v>62</v>
      </c>
      <c r="H6" s="56" t="s">
        <v>0</v>
      </c>
      <c r="I6" s="56" t="s">
        <v>6233</v>
      </c>
      <c r="J6" s="56" t="s">
        <v>6253</v>
      </c>
      <c r="K6" s="56" t="s">
        <v>11994</v>
      </c>
      <c r="L6" s="56" t="s">
        <v>6209</v>
      </c>
      <c r="M6" s="56">
        <v>2</v>
      </c>
      <c r="N6" s="411">
        <v>0</v>
      </c>
    </row>
    <row r="7" spans="1:14" ht="11.1" customHeight="1">
      <c r="A7" s="400" t="s">
        <v>6271</v>
      </c>
      <c r="B7" s="401" t="s">
        <v>11986</v>
      </c>
      <c r="C7" s="116">
        <v>127031</v>
      </c>
      <c r="D7" s="93">
        <v>44.491259776056935</v>
      </c>
      <c r="E7" s="93">
        <v>98.201875430011512</v>
      </c>
      <c r="F7" s="212" t="s">
        <v>6272</v>
      </c>
      <c r="G7" s="212">
        <v>54</v>
      </c>
      <c r="H7" s="212" t="s">
        <v>0</v>
      </c>
      <c r="I7" s="212" t="s">
        <v>6233</v>
      </c>
      <c r="J7" s="212" t="s">
        <v>6257</v>
      </c>
      <c r="K7" s="212" t="s">
        <v>11995</v>
      </c>
      <c r="L7" s="212" t="s">
        <v>6283</v>
      </c>
      <c r="M7" s="212">
        <v>2</v>
      </c>
      <c r="N7" s="402" t="s">
        <v>6260</v>
      </c>
    </row>
    <row r="8" spans="1:14" ht="11.1" customHeight="1">
      <c r="A8" s="817" t="s">
        <v>6274</v>
      </c>
      <c r="B8" s="404"/>
      <c r="C8" s="405">
        <v>29131</v>
      </c>
      <c r="D8" s="406">
        <v>10.202823629951071</v>
      </c>
      <c r="E8" s="407" t="s">
        <v>6262</v>
      </c>
      <c r="F8" s="213" t="s">
        <v>11996</v>
      </c>
      <c r="G8" s="213">
        <v>30</v>
      </c>
      <c r="H8" s="213" t="s">
        <v>0</v>
      </c>
      <c r="I8" s="213">
        <v>0</v>
      </c>
      <c r="J8" s="213" t="s">
        <v>6264</v>
      </c>
      <c r="K8" s="213">
        <v>0</v>
      </c>
      <c r="L8" s="213" t="s">
        <v>6036</v>
      </c>
      <c r="M8" s="213">
        <v>0</v>
      </c>
      <c r="N8" s="408">
        <v>0</v>
      </c>
    </row>
    <row r="9" spans="1:14" ht="11.1" customHeight="1">
      <c r="A9" s="940" t="s">
        <v>6284</v>
      </c>
      <c r="B9" s="412" t="s">
        <v>10050</v>
      </c>
      <c r="C9" s="413">
        <v>138765</v>
      </c>
      <c r="D9" s="414">
        <v>48.385409583982764</v>
      </c>
      <c r="E9" s="415" t="s">
        <v>6251</v>
      </c>
      <c r="F9" s="416" t="s">
        <v>11997</v>
      </c>
      <c r="G9" s="416">
        <v>50</v>
      </c>
      <c r="H9" s="416" t="s">
        <v>0</v>
      </c>
      <c r="I9" s="416" t="s">
        <v>6233</v>
      </c>
      <c r="J9" s="416" t="s">
        <v>6257</v>
      </c>
      <c r="K9" s="416" t="s">
        <v>11998</v>
      </c>
      <c r="L9" s="416" t="s">
        <v>6209</v>
      </c>
      <c r="M9" s="416">
        <v>2</v>
      </c>
      <c r="N9" s="417" t="s">
        <v>6260</v>
      </c>
    </row>
    <row r="10" spans="1:14" ht="11.1" customHeight="1">
      <c r="A10" s="400" t="s">
        <v>6281</v>
      </c>
      <c r="B10" s="401" t="s">
        <v>11986</v>
      </c>
      <c r="C10" s="116">
        <v>125445</v>
      </c>
      <c r="D10" s="93">
        <v>43.740912371727148</v>
      </c>
      <c r="E10" s="93">
        <v>90.401037725651278</v>
      </c>
      <c r="F10" s="212" t="s">
        <v>11999</v>
      </c>
      <c r="G10" s="212">
        <v>59</v>
      </c>
      <c r="H10" s="212" t="s">
        <v>0</v>
      </c>
      <c r="I10" s="212" t="s">
        <v>6233</v>
      </c>
      <c r="J10" s="212" t="s">
        <v>6253</v>
      </c>
      <c r="K10" s="212" t="s">
        <v>12000</v>
      </c>
      <c r="L10" s="212" t="s">
        <v>6209</v>
      </c>
      <c r="M10" s="212">
        <v>3</v>
      </c>
      <c r="N10" s="402">
        <v>0</v>
      </c>
    </row>
    <row r="11" spans="1:14" ht="11.1" customHeight="1">
      <c r="A11" s="817" t="s">
        <v>6287</v>
      </c>
      <c r="B11" s="404" t="s">
        <v>6231</v>
      </c>
      <c r="C11" s="405">
        <v>22581</v>
      </c>
      <c r="D11" s="406">
        <v>7.8736780442900924</v>
      </c>
      <c r="E11" s="407" t="s">
        <v>6262</v>
      </c>
      <c r="F11" s="213" t="s">
        <v>12001</v>
      </c>
      <c r="G11" s="213">
        <v>33</v>
      </c>
      <c r="H11" s="213" t="s">
        <v>0</v>
      </c>
      <c r="I11" s="213">
        <v>0</v>
      </c>
      <c r="J11" s="213" t="s">
        <v>6264</v>
      </c>
      <c r="K11" s="213">
        <v>0</v>
      </c>
      <c r="L11" s="213" t="s">
        <v>6036</v>
      </c>
      <c r="M11" s="213">
        <v>0</v>
      </c>
      <c r="N11" s="408">
        <v>0</v>
      </c>
    </row>
    <row r="12" spans="1:14" ht="11.1" customHeight="1">
      <c r="A12" s="940" t="s">
        <v>6289</v>
      </c>
      <c r="B12" s="409" t="s">
        <v>10050</v>
      </c>
      <c r="C12" s="53">
        <v>108023</v>
      </c>
      <c r="D12" s="55">
        <v>47.180062806004571</v>
      </c>
      <c r="E12" s="410" t="s">
        <v>6262</v>
      </c>
      <c r="F12" s="56" t="s">
        <v>6290</v>
      </c>
      <c r="G12" s="56">
        <v>57</v>
      </c>
      <c r="H12" s="56" t="s">
        <v>0</v>
      </c>
      <c r="I12" s="56">
        <v>0</v>
      </c>
      <c r="J12" s="56" t="s">
        <v>6253</v>
      </c>
      <c r="K12" s="56" t="s">
        <v>11989</v>
      </c>
      <c r="L12" s="56" t="s">
        <v>6209</v>
      </c>
      <c r="M12" s="56">
        <v>5</v>
      </c>
      <c r="N12" s="411">
        <v>0</v>
      </c>
    </row>
    <row r="13" spans="1:14" ht="11.1" customHeight="1">
      <c r="A13" s="400" t="s">
        <v>6291</v>
      </c>
      <c r="B13" s="401" t="s">
        <v>6230</v>
      </c>
      <c r="C13" s="116">
        <v>100170</v>
      </c>
      <c r="D13" s="93">
        <v>43.750191082246168</v>
      </c>
      <c r="E13" s="93">
        <v>92.730251890801028</v>
      </c>
      <c r="F13" s="212" t="s">
        <v>12002</v>
      </c>
      <c r="G13" s="212">
        <v>63</v>
      </c>
      <c r="H13" s="212" t="s">
        <v>0</v>
      </c>
      <c r="I13" s="212" t="s">
        <v>6233</v>
      </c>
      <c r="J13" s="212" t="s">
        <v>6257</v>
      </c>
      <c r="K13" s="212" t="s">
        <v>6258</v>
      </c>
      <c r="L13" s="212" t="s">
        <v>6283</v>
      </c>
      <c r="M13" s="212">
        <v>4</v>
      </c>
      <c r="N13" s="402" t="s">
        <v>6260</v>
      </c>
    </row>
    <row r="14" spans="1:14" ht="11.1" customHeight="1">
      <c r="A14" s="817" t="s">
        <v>6293</v>
      </c>
      <c r="B14" s="404" t="s">
        <v>6231</v>
      </c>
      <c r="C14" s="405">
        <v>20766</v>
      </c>
      <c r="D14" s="406">
        <v>9.0697461117492644</v>
      </c>
      <c r="E14" s="407" t="s">
        <v>6262</v>
      </c>
      <c r="F14" s="213" t="s">
        <v>12003</v>
      </c>
      <c r="G14" s="213">
        <v>69</v>
      </c>
      <c r="H14" s="213" t="s">
        <v>6049</v>
      </c>
      <c r="I14" s="213">
        <v>0</v>
      </c>
      <c r="J14" s="213" t="s">
        <v>6264</v>
      </c>
      <c r="K14" s="213">
        <v>0</v>
      </c>
      <c r="L14" s="213" t="s">
        <v>6036</v>
      </c>
      <c r="M14" s="213">
        <v>0</v>
      </c>
      <c r="N14" s="408">
        <v>0</v>
      </c>
    </row>
    <row r="15" spans="1:14" ht="11.1" customHeight="1">
      <c r="A15" s="940" t="s">
        <v>6297</v>
      </c>
      <c r="B15" s="412" t="s">
        <v>10050</v>
      </c>
      <c r="C15" s="413">
        <v>173947</v>
      </c>
      <c r="D15" s="414">
        <v>54.186564490755885</v>
      </c>
      <c r="E15" s="415" t="s">
        <v>6251</v>
      </c>
      <c r="F15" s="416" t="s">
        <v>6298</v>
      </c>
      <c r="G15" s="416">
        <v>60</v>
      </c>
      <c r="H15" s="416" t="s">
        <v>0</v>
      </c>
      <c r="I15" s="416" t="s">
        <v>6233</v>
      </c>
      <c r="J15" s="416" t="s">
        <v>6257</v>
      </c>
      <c r="K15" s="416" t="s">
        <v>11998</v>
      </c>
      <c r="L15" s="416" t="s">
        <v>6209</v>
      </c>
      <c r="M15" s="416">
        <v>7</v>
      </c>
      <c r="N15" s="417" t="s">
        <v>6260</v>
      </c>
    </row>
    <row r="16" spans="1:14" ht="11.1" customHeight="1">
      <c r="A16" s="400" t="s">
        <v>6295</v>
      </c>
      <c r="B16" s="401" t="s">
        <v>6230</v>
      </c>
      <c r="C16" s="116">
        <v>124547</v>
      </c>
      <c r="D16" s="93">
        <v>38.797875488684326</v>
      </c>
      <c r="E16" s="93">
        <v>71.600544993590006</v>
      </c>
      <c r="F16" s="212" t="s">
        <v>6296</v>
      </c>
      <c r="G16" s="212">
        <v>36</v>
      </c>
      <c r="H16" s="212" t="s">
        <v>6049</v>
      </c>
      <c r="I16" s="212" t="s">
        <v>6233</v>
      </c>
      <c r="J16" s="212" t="s">
        <v>6253</v>
      </c>
      <c r="K16" s="212" t="s">
        <v>11989</v>
      </c>
      <c r="L16" s="212" t="s">
        <v>6209</v>
      </c>
      <c r="M16" s="212">
        <v>1</v>
      </c>
      <c r="N16" s="402">
        <v>0</v>
      </c>
    </row>
    <row r="17" spans="1:14" ht="11.1" customHeight="1">
      <c r="A17" s="817" t="s">
        <v>6299</v>
      </c>
      <c r="B17" s="404" t="s">
        <v>6231</v>
      </c>
      <c r="C17" s="405">
        <v>22521</v>
      </c>
      <c r="D17" s="406">
        <v>7.0155600205597866</v>
      </c>
      <c r="E17" s="407" t="s">
        <v>6262</v>
      </c>
      <c r="F17" s="213" t="s">
        <v>12004</v>
      </c>
      <c r="G17" s="213">
        <v>31</v>
      </c>
      <c r="H17" s="213" t="s">
        <v>0</v>
      </c>
      <c r="I17" s="213">
        <v>0</v>
      </c>
      <c r="J17" s="213" t="s">
        <v>6264</v>
      </c>
      <c r="K17" s="213">
        <v>0</v>
      </c>
      <c r="L17" s="213" t="s">
        <v>6036</v>
      </c>
      <c r="M17" s="213">
        <v>0</v>
      </c>
      <c r="N17" s="408">
        <v>0</v>
      </c>
    </row>
    <row r="18" spans="1:14" ht="11.1" customHeight="1">
      <c r="A18" s="940" t="s">
        <v>6301</v>
      </c>
      <c r="B18" s="409" t="s">
        <v>10050</v>
      </c>
      <c r="C18" s="53">
        <v>143860</v>
      </c>
      <c r="D18" s="55">
        <v>46.662039169385864</v>
      </c>
      <c r="E18" s="410" t="s">
        <v>6251</v>
      </c>
      <c r="F18" s="56" t="s">
        <v>6302</v>
      </c>
      <c r="G18" s="56">
        <v>56</v>
      </c>
      <c r="H18" s="56" t="s">
        <v>0</v>
      </c>
      <c r="I18" s="56" t="s">
        <v>6233</v>
      </c>
      <c r="J18" s="56" t="s">
        <v>6253</v>
      </c>
      <c r="K18" s="56" t="s">
        <v>11989</v>
      </c>
      <c r="L18" s="56" t="s">
        <v>6036</v>
      </c>
      <c r="M18" s="56">
        <v>0</v>
      </c>
      <c r="N18" s="411">
        <v>0</v>
      </c>
    </row>
    <row r="19" spans="1:14" ht="11.1" customHeight="1">
      <c r="A19" s="400" t="s">
        <v>6303</v>
      </c>
      <c r="B19" s="401" t="s">
        <v>6230</v>
      </c>
      <c r="C19" s="116">
        <v>141099</v>
      </c>
      <c r="D19" s="93">
        <v>45.766488702635726</v>
      </c>
      <c r="E19" s="93">
        <v>98.08077297372445</v>
      </c>
      <c r="F19" s="212" t="s">
        <v>12005</v>
      </c>
      <c r="G19" s="212">
        <v>62</v>
      </c>
      <c r="H19" s="212" t="s">
        <v>0</v>
      </c>
      <c r="I19" s="212" t="s">
        <v>6233</v>
      </c>
      <c r="J19" s="212" t="s">
        <v>6257</v>
      </c>
      <c r="K19" s="212" t="s">
        <v>11998</v>
      </c>
      <c r="L19" s="212" t="s">
        <v>6209</v>
      </c>
      <c r="M19" s="212">
        <v>4</v>
      </c>
      <c r="N19" s="402" t="s">
        <v>6260</v>
      </c>
    </row>
    <row r="20" spans="1:14" ht="11.1" customHeight="1">
      <c r="A20" s="817" t="s">
        <v>6305</v>
      </c>
      <c r="B20" s="404" t="s">
        <v>6231</v>
      </c>
      <c r="C20" s="405">
        <v>23343</v>
      </c>
      <c r="D20" s="406">
        <v>7.571472127978411</v>
      </c>
      <c r="E20" s="407" t="s">
        <v>6262</v>
      </c>
      <c r="F20" s="213" t="s">
        <v>12006</v>
      </c>
      <c r="G20" s="213">
        <v>62</v>
      </c>
      <c r="H20" s="213" t="s">
        <v>0</v>
      </c>
      <c r="I20" s="213">
        <v>0</v>
      </c>
      <c r="J20" s="213" t="s">
        <v>6264</v>
      </c>
      <c r="K20" s="213">
        <v>0</v>
      </c>
      <c r="L20" s="213" t="s">
        <v>6036</v>
      </c>
      <c r="M20" s="213">
        <v>0</v>
      </c>
      <c r="N20" s="408">
        <v>0</v>
      </c>
    </row>
    <row r="21" spans="1:14" ht="11.1" customHeight="1">
      <c r="A21" s="940" t="s">
        <v>6312</v>
      </c>
      <c r="B21" s="409" t="s">
        <v>10050</v>
      </c>
      <c r="C21" s="53">
        <v>95473</v>
      </c>
      <c r="D21" s="55">
        <v>48.258902620870927</v>
      </c>
      <c r="E21" s="410" t="s">
        <v>6251</v>
      </c>
      <c r="F21" s="56" t="s">
        <v>6313</v>
      </c>
      <c r="G21" s="56">
        <v>46</v>
      </c>
      <c r="H21" s="56" t="s">
        <v>6049</v>
      </c>
      <c r="I21" s="56" t="s">
        <v>6233</v>
      </c>
      <c r="J21" s="56" t="s">
        <v>6253</v>
      </c>
      <c r="K21" s="56" t="s">
        <v>12007</v>
      </c>
      <c r="L21" s="56" t="s">
        <v>6209</v>
      </c>
      <c r="M21" s="56">
        <v>1</v>
      </c>
      <c r="N21" s="411">
        <v>0</v>
      </c>
    </row>
    <row r="22" spans="1:14" ht="11.1" customHeight="1">
      <c r="A22" s="400" t="s">
        <v>6309</v>
      </c>
      <c r="B22" s="401" t="s">
        <v>6230</v>
      </c>
      <c r="C22" s="116">
        <v>86924</v>
      </c>
      <c r="D22" s="93">
        <v>43.937624788333714</v>
      </c>
      <c r="E22" s="93">
        <v>91.045635938956565</v>
      </c>
      <c r="F22" s="212" t="s">
        <v>12008</v>
      </c>
      <c r="G22" s="212">
        <v>58</v>
      </c>
      <c r="H22" s="212" t="s">
        <v>0</v>
      </c>
      <c r="I22" s="212" t="s">
        <v>6233</v>
      </c>
      <c r="J22" s="212" t="s">
        <v>6257</v>
      </c>
      <c r="K22" s="212" t="s">
        <v>12009</v>
      </c>
      <c r="L22" s="212" t="s">
        <v>6209</v>
      </c>
      <c r="M22" s="212">
        <v>6</v>
      </c>
      <c r="N22" s="402" t="s">
        <v>6260</v>
      </c>
    </row>
    <row r="23" spans="1:14" ht="11.1" customHeight="1">
      <c r="A23" s="817" t="s">
        <v>6314</v>
      </c>
      <c r="B23" s="404" t="s">
        <v>6231</v>
      </c>
      <c r="C23" s="405">
        <v>15438</v>
      </c>
      <c r="D23" s="406">
        <v>7.8034725907953595</v>
      </c>
      <c r="E23" s="407" t="s">
        <v>6262</v>
      </c>
      <c r="F23" s="213" t="s">
        <v>12010</v>
      </c>
      <c r="G23" s="213">
        <v>45</v>
      </c>
      <c r="H23" s="213" t="s">
        <v>0</v>
      </c>
      <c r="I23" s="213">
        <v>0</v>
      </c>
      <c r="J23" s="213" t="s">
        <v>6264</v>
      </c>
      <c r="K23" s="213">
        <v>0</v>
      </c>
      <c r="L23" s="213" t="s">
        <v>6036</v>
      </c>
      <c r="M23" s="213">
        <v>0</v>
      </c>
      <c r="N23" s="408">
        <v>0</v>
      </c>
    </row>
    <row r="24" spans="1:14" ht="11.1" customHeight="1">
      <c r="A24" s="940" t="s">
        <v>6316</v>
      </c>
      <c r="B24" s="409" t="s">
        <v>10050</v>
      </c>
      <c r="C24" s="53">
        <v>134963</v>
      </c>
      <c r="D24" s="55">
        <v>49.802763888632633</v>
      </c>
      <c r="E24" s="410" t="s">
        <v>6251</v>
      </c>
      <c r="F24" s="56" t="s">
        <v>12011</v>
      </c>
      <c r="G24" s="56">
        <v>57</v>
      </c>
      <c r="H24" s="56" t="s">
        <v>0</v>
      </c>
      <c r="I24" s="56" t="s">
        <v>6233</v>
      </c>
      <c r="J24" s="56" t="s">
        <v>6253</v>
      </c>
      <c r="K24" s="56" t="s">
        <v>12000</v>
      </c>
      <c r="L24" s="56" t="s">
        <v>6209</v>
      </c>
      <c r="M24" s="56">
        <v>4</v>
      </c>
      <c r="N24" s="411">
        <v>0</v>
      </c>
    </row>
    <row r="25" spans="1:14" ht="11.1" customHeight="1">
      <c r="A25" s="400" t="s">
        <v>6318</v>
      </c>
      <c r="B25" s="401" t="s">
        <v>6230</v>
      </c>
      <c r="C25" s="116">
        <v>114141</v>
      </c>
      <c r="D25" s="93">
        <v>42.119227292016461</v>
      </c>
      <c r="E25" s="93">
        <v>84.572067900091142</v>
      </c>
      <c r="F25" s="212" t="s">
        <v>6321</v>
      </c>
      <c r="G25" s="212">
        <v>48</v>
      </c>
      <c r="H25" s="212" t="s">
        <v>0</v>
      </c>
      <c r="I25" s="212" t="s">
        <v>6233</v>
      </c>
      <c r="J25" s="212" t="s">
        <v>6257</v>
      </c>
      <c r="K25" s="212" t="s">
        <v>12012</v>
      </c>
      <c r="L25" s="212" t="s">
        <v>6036</v>
      </c>
      <c r="M25" s="212">
        <v>0</v>
      </c>
      <c r="N25" s="402">
        <v>0</v>
      </c>
    </row>
    <row r="26" spans="1:14" ht="11.1" customHeight="1">
      <c r="A26" s="817" t="s">
        <v>6324</v>
      </c>
      <c r="B26" s="404" t="s">
        <v>6231</v>
      </c>
      <c r="C26" s="405">
        <v>21891</v>
      </c>
      <c r="D26" s="406">
        <v>8.0780088193509112</v>
      </c>
      <c r="E26" s="407" t="s">
        <v>6262</v>
      </c>
      <c r="F26" s="213" t="s">
        <v>12013</v>
      </c>
      <c r="G26" s="213">
        <v>57</v>
      </c>
      <c r="H26" s="213" t="s">
        <v>0</v>
      </c>
      <c r="I26" s="213">
        <v>0</v>
      </c>
      <c r="J26" s="213" t="s">
        <v>6264</v>
      </c>
      <c r="K26" s="213">
        <v>0</v>
      </c>
      <c r="L26" s="213" t="s">
        <v>6036</v>
      </c>
      <c r="M26" s="213">
        <v>0</v>
      </c>
      <c r="N26" s="408">
        <v>0</v>
      </c>
    </row>
    <row r="27" spans="1:14" ht="11.1" customHeight="1">
      <c r="A27" s="940" t="s">
        <v>6326</v>
      </c>
      <c r="B27" s="409" t="s">
        <v>10050</v>
      </c>
      <c r="C27" s="53">
        <v>150050</v>
      </c>
      <c r="D27" s="55">
        <v>49.26456103486769</v>
      </c>
      <c r="E27" s="410" t="s">
        <v>6251</v>
      </c>
      <c r="F27" s="56" t="s">
        <v>6327</v>
      </c>
      <c r="G27" s="56">
        <v>58</v>
      </c>
      <c r="H27" s="56" t="s">
        <v>0</v>
      </c>
      <c r="I27" s="56" t="s">
        <v>6233</v>
      </c>
      <c r="J27" s="56" t="s">
        <v>6253</v>
      </c>
      <c r="K27" s="56" t="s">
        <v>12000</v>
      </c>
      <c r="L27" s="56" t="s">
        <v>6209</v>
      </c>
      <c r="M27" s="56">
        <v>6</v>
      </c>
      <c r="N27" s="411">
        <v>0</v>
      </c>
    </row>
    <row r="28" spans="1:14" ht="11.1" customHeight="1">
      <c r="A28" s="400" t="s">
        <v>6328</v>
      </c>
      <c r="B28" s="401" t="s">
        <v>6230</v>
      </c>
      <c r="C28" s="116">
        <v>131130</v>
      </c>
      <c r="D28" s="93">
        <v>43.052728347232254</v>
      </c>
      <c r="E28" s="93">
        <v>87.390869710096638</v>
      </c>
      <c r="F28" s="212" t="s">
        <v>12014</v>
      </c>
      <c r="G28" s="212">
        <v>55</v>
      </c>
      <c r="H28" s="212" t="s">
        <v>0</v>
      </c>
      <c r="I28" s="212" t="s">
        <v>6233</v>
      </c>
      <c r="J28" s="212" t="s">
        <v>6257</v>
      </c>
      <c r="K28" s="212" t="s">
        <v>11995</v>
      </c>
      <c r="L28" s="212" t="s">
        <v>6283</v>
      </c>
      <c r="M28" s="212">
        <v>1</v>
      </c>
      <c r="N28" s="402" t="s">
        <v>6260</v>
      </c>
    </row>
    <row r="29" spans="1:14" ht="11.1" customHeight="1">
      <c r="A29" s="817" t="s">
        <v>6330</v>
      </c>
      <c r="B29" s="404" t="s">
        <v>6231</v>
      </c>
      <c r="C29" s="405">
        <v>23400</v>
      </c>
      <c r="D29" s="406">
        <v>7.6827106179000593</v>
      </c>
      <c r="E29" s="407" t="s">
        <v>6262</v>
      </c>
      <c r="F29" s="213" t="s">
        <v>6331</v>
      </c>
      <c r="G29" s="213">
        <v>62</v>
      </c>
      <c r="H29" s="213" t="s">
        <v>6049</v>
      </c>
      <c r="I29" s="213">
        <v>0</v>
      </c>
      <c r="J29" s="213" t="s">
        <v>6264</v>
      </c>
      <c r="K29" s="213">
        <v>0</v>
      </c>
      <c r="L29" s="213" t="s">
        <v>6036</v>
      </c>
      <c r="M29" s="213">
        <v>0</v>
      </c>
      <c r="N29" s="408">
        <v>0</v>
      </c>
    </row>
    <row r="30" spans="1:14" ht="11.1" customHeight="1">
      <c r="A30" s="940" t="s">
        <v>6334</v>
      </c>
      <c r="B30" s="409" t="s">
        <v>10050</v>
      </c>
      <c r="C30" s="53">
        <v>109422</v>
      </c>
      <c r="D30" s="55">
        <v>40.868295342922131</v>
      </c>
      <c r="E30" s="410" t="s">
        <v>6251</v>
      </c>
      <c r="F30" s="56" t="s">
        <v>6335</v>
      </c>
      <c r="G30" s="56">
        <v>63</v>
      </c>
      <c r="H30" s="56" t="s">
        <v>0</v>
      </c>
      <c r="I30" s="56" t="s">
        <v>6233</v>
      </c>
      <c r="J30" s="56" t="s">
        <v>6253</v>
      </c>
      <c r="K30" s="56" t="s">
        <v>12000</v>
      </c>
      <c r="L30" s="56" t="s">
        <v>6209</v>
      </c>
      <c r="M30" s="56">
        <v>5</v>
      </c>
      <c r="N30" s="411">
        <v>0</v>
      </c>
    </row>
    <row r="31" spans="1:14" ht="11.1" customHeight="1">
      <c r="A31" s="400" t="s">
        <v>12015</v>
      </c>
      <c r="B31" s="401" t="s">
        <v>6230</v>
      </c>
      <c r="C31" s="116">
        <v>78604</v>
      </c>
      <c r="D31" s="93">
        <v>29.358003757334458</v>
      </c>
      <c r="E31" s="403" t="s">
        <v>6262</v>
      </c>
      <c r="F31" s="212" t="s">
        <v>12016</v>
      </c>
      <c r="G31" s="212">
        <v>52</v>
      </c>
      <c r="H31" s="212" t="s">
        <v>0</v>
      </c>
      <c r="I31" s="212">
        <v>0</v>
      </c>
      <c r="J31" s="212" t="s">
        <v>12017</v>
      </c>
      <c r="K31" s="212" t="s">
        <v>12018</v>
      </c>
      <c r="L31" s="212" t="s">
        <v>6209</v>
      </c>
      <c r="M31" s="212">
        <v>1</v>
      </c>
      <c r="N31" s="402">
        <v>0</v>
      </c>
    </row>
    <row r="32" spans="1:14" ht="11.1" customHeight="1">
      <c r="A32" s="400" t="s">
        <v>6336</v>
      </c>
      <c r="B32" s="401" t="s">
        <v>11986</v>
      </c>
      <c r="C32" s="116">
        <v>62100</v>
      </c>
      <c r="D32" s="93">
        <v>23.193883686968473</v>
      </c>
      <c r="E32" s="93">
        <v>56.75275538739924</v>
      </c>
      <c r="F32" s="212" t="s">
        <v>6337</v>
      </c>
      <c r="G32" s="212">
        <v>41</v>
      </c>
      <c r="H32" s="212" t="s">
        <v>6049</v>
      </c>
      <c r="I32" s="212" t="s">
        <v>6233</v>
      </c>
      <c r="J32" s="212" t="s">
        <v>6257</v>
      </c>
      <c r="K32" s="212" t="s">
        <v>6258</v>
      </c>
      <c r="L32" s="212" t="s">
        <v>6036</v>
      </c>
      <c r="M32" s="212">
        <v>0</v>
      </c>
      <c r="N32" s="402">
        <v>0</v>
      </c>
    </row>
    <row r="33" spans="1:14" ht="11.1" customHeight="1">
      <c r="A33" s="817" t="s">
        <v>6338</v>
      </c>
      <c r="B33" s="404" t="s">
        <v>6231</v>
      </c>
      <c r="C33" s="405">
        <v>17617</v>
      </c>
      <c r="D33" s="406">
        <v>6.5798172127749375</v>
      </c>
      <c r="E33" s="407" t="s">
        <v>6262</v>
      </c>
      <c r="F33" s="213" t="s">
        <v>12019</v>
      </c>
      <c r="G33" s="213">
        <v>62</v>
      </c>
      <c r="H33" s="213" t="s">
        <v>0</v>
      </c>
      <c r="I33" s="213">
        <v>0</v>
      </c>
      <c r="J33" s="213" t="s">
        <v>6264</v>
      </c>
      <c r="K33" s="213">
        <v>0</v>
      </c>
      <c r="L33" s="213" t="s">
        <v>6036</v>
      </c>
      <c r="M33" s="213">
        <v>0</v>
      </c>
      <c r="N33" s="408">
        <v>0</v>
      </c>
    </row>
    <row r="34" spans="1:14" ht="11.1" customHeight="1">
      <c r="A34" s="940" t="s">
        <v>6342</v>
      </c>
      <c r="B34" s="412" t="s">
        <v>10050</v>
      </c>
      <c r="C34" s="413">
        <v>107056</v>
      </c>
      <c r="D34" s="414">
        <v>51.512074946951067</v>
      </c>
      <c r="E34" s="415" t="s">
        <v>6251</v>
      </c>
      <c r="F34" s="416" t="s">
        <v>6343</v>
      </c>
      <c r="G34" s="416">
        <v>52</v>
      </c>
      <c r="H34" s="416" t="s">
        <v>0</v>
      </c>
      <c r="I34" s="416" t="s">
        <v>6233</v>
      </c>
      <c r="J34" s="416" t="s">
        <v>6257</v>
      </c>
      <c r="K34" s="416" t="s">
        <v>12012</v>
      </c>
      <c r="L34" s="416" t="s">
        <v>6209</v>
      </c>
      <c r="M34" s="416">
        <v>7</v>
      </c>
      <c r="N34" s="417" t="s">
        <v>6260</v>
      </c>
    </row>
    <row r="35" spans="1:14" ht="11.1" customHeight="1">
      <c r="A35" s="400" t="s">
        <v>6340</v>
      </c>
      <c r="B35" s="401" t="s">
        <v>6230</v>
      </c>
      <c r="C35" s="116">
        <v>84626</v>
      </c>
      <c r="D35" s="93">
        <v>40.71944453800517</v>
      </c>
      <c r="E35" s="93">
        <v>79.048348527873259</v>
      </c>
      <c r="F35" s="212" t="s">
        <v>6341</v>
      </c>
      <c r="G35" s="212">
        <v>32</v>
      </c>
      <c r="H35" s="212" t="s">
        <v>0</v>
      </c>
      <c r="I35" s="212" t="s">
        <v>6233</v>
      </c>
      <c r="J35" s="212" t="s">
        <v>6253</v>
      </c>
      <c r="K35" s="212" t="s">
        <v>12020</v>
      </c>
      <c r="L35" s="212" t="s">
        <v>6036</v>
      </c>
      <c r="M35" s="212">
        <v>0</v>
      </c>
      <c r="N35" s="402">
        <v>0</v>
      </c>
    </row>
    <row r="36" spans="1:14" ht="11.1" customHeight="1">
      <c r="A36" s="817" t="s">
        <v>6344</v>
      </c>
      <c r="B36" s="404" t="s">
        <v>6231</v>
      </c>
      <c r="C36" s="405">
        <v>16145</v>
      </c>
      <c r="D36" s="406">
        <v>7.7684805150437626</v>
      </c>
      <c r="E36" s="407" t="s">
        <v>6262</v>
      </c>
      <c r="F36" s="213" t="s">
        <v>12021</v>
      </c>
      <c r="G36" s="213">
        <v>61</v>
      </c>
      <c r="H36" s="213" t="s">
        <v>0</v>
      </c>
      <c r="I36" s="213">
        <v>0</v>
      </c>
      <c r="J36" s="213" t="s">
        <v>6264</v>
      </c>
      <c r="K36" s="213">
        <v>0</v>
      </c>
      <c r="L36" s="213" t="s">
        <v>6036</v>
      </c>
      <c r="M36" s="213">
        <v>0</v>
      </c>
      <c r="N36" s="408">
        <v>0</v>
      </c>
    </row>
    <row r="37" spans="1:14" ht="11.1" customHeight="1">
      <c r="A37" s="940" t="s">
        <v>6348</v>
      </c>
      <c r="B37" s="412" t="s">
        <v>10050</v>
      </c>
      <c r="C37" s="413">
        <v>124465</v>
      </c>
      <c r="D37" s="414">
        <v>51.606255856573043</v>
      </c>
      <c r="E37" s="415" t="s">
        <v>6251</v>
      </c>
      <c r="F37" s="416" t="s">
        <v>12022</v>
      </c>
      <c r="G37" s="416">
        <v>64</v>
      </c>
      <c r="H37" s="416" t="s">
        <v>0</v>
      </c>
      <c r="I37" s="416" t="s">
        <v>6233</v>
      </c>
      <c r="J37" s="416" t="s">
        <v>6257</v>
      </c>
      <c r="K37" s="416" t="s">
        <v>6258</v>
      </c>
      <c r="L37" s="416" t="s">
        <v>6209</v>
      </c>
      <c r="M37" s="416">
        <v>6</v>
      </c>
      <c r="N37" s="417" t="s">
        <v>6260</v>
      </c>
    </row>
    <row r="38" spans="1:14" ht="11.1" customHeight="1">
      <c r="A38" s="400" t="s">
        <v>6346</v>
      </c>
      <c r="B38" s="401" t="s">
        <v>11986</v>
      </c>
      <c r="C38" s="116">
        <v>101835</v>
      </c>
      <c r="D38" s="93">
        <v>42.223300246287039</v>
      </c>
      <c r="E38" s="93">
        <v>81.818181818181813</v>
      </c>
      <c r="F38" s="212" t="s">
        <v>6347</v>
      </c>
      <c r="G38" s="212">
        <v>46</v>
      </c>
      <c r="H38" s="212" t="s">
        <v>0</v>
      </c>
      <c r="I38" s="212" t="s">
        <v>6233</v>
      </c>
      <c r="J38" s="212" t="s">
        <v>6253</v>
      </c>
      <c r="K38" s="212" t="s">
        <v>12020</v>
      </c>
      <c r="L38" s="212" t="s">
        <v>6209</v>
      </c>
      <c r="M38" s="212">
        <v>1</v>
      </c>
      <c r="N38" s="402">
        <v>0</v>
      </c>
    </row>
    <row r="39" spans="1:14" ht="11.1" customHeight="1" thickBot="1">
      <c r="A39" s="418" t="s">
        <v>6351</v>
      </c>
      <c r="B39" s="419" t="s">
        <v>6231</v>
      </c>
      <c r="C39" s="420">
        <v>14882</v>
      </c>
      <c r="D39" s="421">
        <v>6.1704438971399194</v>
      </c>
      <c r="E39" s="422" t="s">
        <v>6262</v>
      </c>
      <c r="F39" s="423" t="s">
        <v>12023</v>
      </c>
      <c r="G39" s="423">
        <v>32</v>
      </c>
      <c r="H39" s="423" t="s">
        <v>0</v>
      </c>
      <c r="I39" s="423">
        <v>0</v>
      </c>
      <c r="J39" s="423" t="s">
        <v>6264</v>
      </c>
      <c r="K39" s="423">
        <v>0</v>
      </c>
      <c r="L39" s="423" t="s">
        <v>6036</v>
      </c>
      <c r="M39" s="423">
        <v>0</v>
      </c>
      <c r="N39" s="424">
        <v>0</v>
      </c>
    </row>
    <row r="40" spans="1:14" ht="11.1" customHeight="1" thickTop="1">
      <c r="A40" s="400" t="s">
        <v>6353</v>
      </c>
      <c r="B40" s="425" t="s">
        <v>10050</v>
      </c>
      <c r="C40" s="426">
        <v>94072</v>
      </c>
      <c r="D40" s="427">
        <v>40.415184478699459</v>
      </c>
      <c r="E40" s="428" t="s">
        <v>6262</v>
      </c>
      <c r="F40" s="303" t="s">
        <v>12024</v>
      </c>
      <c r="G40" s="303">
        <v>75</v>
      </c>
      <c r="H40" s="303" t="s">
        <v>0</v>
      </c>
      <c r="I40" s="303">
        <v>0</v>
      </c>
      <c r="J40" s="303" t="s">
        <v>6257</v>
      </c>
      <c r="K40" s="303" t="s">
        <v>11995</v>
      </c>
      <c r="L40" s="303" t="s">
        <v>6209</v>
      </c>
      <c r="M40" s="303">
        <v>10</v>
      </c>
      <c r="N40" s="429" t="s">
        <v>6260</v>
      </c>
    </row>
    <row r="41" spans="1:14" ht="11.1" customHeight="1">
      <c r="A41" s="400" t="s">
        <v>6363</v>
      </c>
      <c r="B41" s="401" t="s">
        <v>11986</v>
      </c>
      <c r="C41" s="116">
        <v>79323</v>
      </c>
      <c r="D41" s="93">
        <v>34.078723513945455</v>
      </c>
      <c r="E41" s="93">
        <v>84.321583467981966</v>
      </c>
      <c r="F41" s="212" t="s">
        <v>6354</v>
      </c>
      <c r="G41" s="212">
        <v>41</v>
      </c>
      <c r="H41" s="212" t="s">
        <v>0</v>
      </c>
      <c r="I41" s="212" t="s">
        <v>6233</v>
      </c>
      <c r="J41" s="212" t="s">
        <v>6253</v>
      </c>
      <c r="K41" s="212" t="s">
        <v>12007</v>
      </c>
      <c r="L41" s="212" t="s">
        <v>6036</v>
      </c>
      <c r="M41" s="212">
        <v>0</v>
      </c>
      <c r="N41" s="402">
        <v>0</v>
      </c>
    </row>
    <row r="42" spans="1:14" ht="11.1" customHeight="1">
      <c r="A42" s="400" t="s">
        <v>6358</v>
      </c>
      <c r="B42" s="401"/>
      <c r="C42" s="116">
        <v>26380</v>
      </c>
      <c r="D42" s="93">
        <v>11.333367702909385</v>
      </c>
      <c r="E42" s="403" t="s">
        <v>6262</v>
      </c>
      <c r="F42" s="212" t="s">
        <v>6359</v>
      </c>
      <c r="G42" s="212">
        <v>48</v>
      </c>
      <c r="H42" s="212" t="s">
        <v>0</v>
      </c>
      <c r="I42" s="212">
        <v>0</v>
      </c>
      <c r="J42" s="212" t="s">
        <v>12017</v>
      </c>
      <c r="K42" s="212" t="s">
        <v>6323</v>
      </c>
      <c r="L42" s="212" t="s">
        <v>6036</v>
      </c>
      <c r="M42" s="212">
        <v>0</v>
      </c>
      <c r="N42" s="402">
        <v>0</v>
      </c>
    </row>
    <row r="43" spans="1:14" ht="11.1" customHeight="1">
      <c r="A43" s="400" t="s">
        <v>6355</v>
      </c>
      <c r="B43" s="401" t="s">
        <v>6231</v>
      </c>
      <c r="C43" s="116">
        <v>12636</v>
      </c>
      <c r="D43" s="93">
        <v>5.4286745372995826</v>
      </c>
      <c r="E43" s="403" t="s">
        <v>6262</v>
      </c>
      <c r="F43" s="212" t="s">
        <v>12025</v>
      </c>
      <c r="G43" s="212">
        <v>43</v>
      </c>
      <c r="H43" s="212" t="s">
        <v>0</v>
      </c>
      <c r="I43" s="212">
        <v>0</v>
      </c>
      <c r="J43" s="212" t="s">
        <v>12017</v>
      </c>
      <c r="K43" s="212" t="s">
        <v>6323</v>
      </c>
      <c r="L43" s="212" t="s">
        <v>6036</v>
      </c>
      <c r="M43" s="212">
        <v>0</v>
      </c>
      <c r="N43" s="402">
        <v>0</v>
      </c>
    </row>
    <row r="44" spans="1:14" ht="11.1" customHeight="1">
      <c r="A44" s="400" t="s">
        <v>6365</v>
      </c>
      <c r="B44" s="401" t="s">
        <v>6231</v>
      </c>
      <c r="C44" s="116">
        <v>11521</v>
      </c>
      <c r="D44" s="93">
        <v>4.9496485710848761</v>
      </c>
      <c r="E44" s="93">
        <v>12.247002296113616</v>
      </c>
      <c r="F44" s="212" t="s">
        <v>12026</v>
      </c>
      <c r="G44" s="212">
        <v>65</v>
      </c>
      <c r="H44" s="212" t="s">
        <v>6049</v>
      </c>
      <c r="I44" s="212" t="s">
        <v>6233</v>
      </c>
      <c r="J44" s="212" t="s">
        <v>6278</v>
      </c>
      <c r="K44" s="212">
        <v>0</v>
      </c>
      <c r="L44" s="212" t="s">
        <v>6036</v>
      </c>
      <c r="M44" s="212">
        <v>0</v>
      </c>
      <c r="N44" s="402">
        <v>0</v>
      </c>
    </row>
    <row r="45" spans="1:14" ht="11.1" customHeight="1">
      <c r="A45" s="817" t="s">
        <v>6361</v>
      </c>
      <c r="B45" s="404" t="s">
        <v>6231</v>
      </c>
      <c r="C45" s="405">
        <v>8832</v>
      </c>
      <c r="D45" s="406">
        <v>3.7944011960612465</v>
      </c>
      <c r="E45" s="407" t="s">
        <v>6262</v>
      </c>
      <c r="F45" s="213" t="s">
        <v>12027</v>
      </c>
      <c r="G45" s="213">
        <v>35</v>
      </c>
      <c r="H45" s="213" t="s">
        <v>0</v>
      </c>
      <c r="I45" s="213">
        <v>0</v>
      </c>
      <c r="J45" s="213" t="s">
        <v>6264</v>
      </c>
      <c r="K45" s="213">
        <v>0</v>
      </c>
      <c r="L45" s="213" t="s">
        <v>6036</v>
      </c>
      <c r="M45" s="213">
        <v>0</v>
      </c>
      <c r="N45" s="408">
        <v>0</v>
      </c>
    </row>
    <row r="46" spans="1:14" ht="11.1" customHeight="1">
      <c r="A46" s="940" t="s">
        <v>6367</v>
      </c>
      <c r="B46" s="412" t="s">
        <v>10050</v>
      </c>
      <c r="C46" s="413">
        <v>89887</v>
      </c>
      <c r="D46" s="414">
        <v>58.262628095852321</v>
      </c>
      <c r="E46" s="415" t="s">
        <v>6251</v>
      </c>
      <c r="F46" s="416" t="s">
        <v>6368</v>
      </c>
      <c r="G46" s="416">
        <v>49</v>
      </c>
      <c r="H46" s="416" t="s">
        <v>0</v>
      </c>
      <c r="I46" s="416" t="s">
        <v>6233</v>
      </c>
      <c r="J46" s="416" t="s">
        <v>6257</v>
      </c>
      <c r="K46" s="416" t="s">
        <v>12028</v>
      </c>
      <c r="L46" s="416" t="s">
        <v>6209</v>
      </c>
      <c r="M46" s="416">
        <v>2</v>
      </c>
      <c r="N46" s="417" t="s">
        <v>6260</v>
      </c>
    </row>
    <row r="47" spans="1:14" ht="11.1" customHeight="1">
      <c r="A47" s="400" t="s">
        <v>6370</v>
      </c>
      <c r="B47" s="401" t="s">
        <v>6230</v>
      </c>
      <c r="C47" s="116">
        <v>46124</v>
      </c>
      <c r="D47" s="93">
        <v>29.896486235975082</v>
      </c>
      <c r="E47" s="93">
        <v>51.313315607373703</v>
      </c>
      <c r="F47" s="212" t="s">
        <v>12029</v>
      </c>
      <c r="G47" s="212">
        <v>50</v>
      </c>
      <c r="H47" s="212" t="s">
        <v>0</v>
      </c>
      <c r="I47" s="212" t="s">
        <v>6233</v>
      </c>
      <c r="J47" s="212" t="s">
        <v>6253</v>
      </c>
      <c r="K47" s="212" t="s">
        <v>12007</v>
      </c>
      <c r="L47" s="212" t="s">
        <v>6036</v>
      </c>
      <c r="M47" s="212">
        <v>0</v>
      </c>
      <c r="N47" s="402">
        <v>0</v>
      </c>
    </row>
    <row r="48" spans="1:14" ht="11.1" customHeight="1">
      <c r="A48" s="400" t="s">
        <v>6372</v>
      </c>
      <c r="B48" s="401" t="s">
        <v>6231</v>
      </c>
      <c r="C48" s="116">
        <v>13327</v>
      </c>
      <c r="D48" s="93">
        <v>8.6382462940516849</v>
      </c>
      <c r="E48" s="93">
        <v>14.826393138051108</v>
      </c>
      <c r="F48" s="212" t="s">
        <v>12030</v>
      </c>
      <c r="G48" s="212">
        <v>72</v>
      </c>
      <c r="H48" s="212" t="s">
        <v>0</v>
      </c>
      <c r="I48" s="212" t="s">
        <v>6233</v>
      </c>
      <c r="J48" s="212" t="s">
        <v>6278</v>
      </c>
      <c r="K48" s="212">
        <v>0</v>
      </c>
      <c r="L48" s="212" t="s">
        <v>6036</v>
      </c>
      <c r="M48" s="212">
        <v>0</v>
      </c>
      <c r="N48" s="402">
        <v>0</v>
      </c>
    </row>
    <row r="49" spans="1:14" ht="11.1" customHeight="1">
      <c r="A49" s="817" t="s">
        <v>6374</v>
      </c>
      <c r="B49" s="404" t="s">
        <v>6231</v>
      </c>
      <c r="C49" s="405">
        <v>4941</v>
      </c>
      <c r="D49" s="406">
        <v>3.2026393741209107</v>
      </c>
      <c r="E49" s="407" t="s">
        <v>6262</v>
      </c>
      <c r="F49" s="213" t="s">
        <v>12031</v>
      </c>
      <c r="G49" s="213">
        <v>46</v>
      </c>
      <c r="H49" s="213" t="s">
        <v>0</v>
      </c>
      <c r="I49" s="213">
        <v>0</v>
      </c>
      <c r="J49" s="213" t="s">
        <v>6264</v>
      </c>
      <c r="K49" s="213">
        <v>0</v>
      </c>
      <c r="L49" s="213" t="s">
        <v>6036</v>
      </c>
      <c r="M49" s="213">
        <v>0</v>
      </c>
      <c r="N49" s="408">
        <v>0</v>
      </c>
    </row>
    <row r="50" spans="1:14" ht="11.1" customHeight="1">
      <c r="A50" s="940" t="s">
        <v>6376</v>
      </c>
      <c r="B50" s="412" t="s">
        <v>10050</v>
      </c>
      <c r="C50" s="413">
        <v>90925</v>
      </c>
      <c r="D50" s="414">
        <v>53.103883285344672</v>
      </c>
      <c r="E50" s="415" t="s">
        <v>6251</v>
      </c>
      <c r="F50" s="416" t="s">
        <v>6377</v>
      </c>
      <c r="G50" s="416">
        <v>59</v>
      </c>
      <c r="H50" s="416" t="s">
        <v>0</v>
      </c>
      <c r="I50" s="416" t="s">
        <v>6233</v>
      </c>
      <c r="J50" s="416" t="s">
        <v>6257</v>
      </c>
      <c r="K50" s="416" t="s">
        <v>12028</v>
      </c>
      <c r="L50" s="416" t="s">
        <v>6209</v>
      </c>
      <c r="M50" s="416">
        <v>7</v>
      </c>
      <c r="N50" s="417" t="s">
        <v>6260</v>
      </c>
    </row>
    <row r="51" spans="1:14" ht="11.1" customHeight="1">
      <c r="A51" s="400" t="s">
        <v>6378</v>
      </c>
      <c r="B51" s="401" t="s">
        <v>11986</v>
      </c>
      <c r="C51" s="116">
        <v>73846</v>
      </c>
      <c r="D51" s="93">
        <v>43.129055431284712</v>
      </c>
      <c r="E51" s="93">
        <v>81.216387132251853</v>
      </c>
      <c r="F51" s="212" t="s">
        <v>6379</v>
      </c>
      <c r="G51" s="212">
        <v>36</v>
      </c>
      <c r="H51" s="212" t="s">
        <v>6049</v>
      </c>
      <c r="I51" s="212" t="s">
        <v>6233</v>
      </c>
      <c r="J51" s="212" t="s">
        <v>6253</v>
      </c>
      <c r="K51" s="212" t="s">
        <v>11994</v>
      </c>
      <c r="L51" s="212" t="s">
        <v>6283</v>
      </c>
      <c r="M51" s="212">
        <v>1</v>
      </c>
      <c r="N51" s="402">
        <v>0</v>
      </c>
    </row>
    <row r="52" spans="1:14" ht="11.1" customHeight="1">
      <c r="A52" s="817" t="s">
        <v>6380</v>
      </c>
      <c r="B52" s="404" t="s">
        <v>6231</v>
      </c>
      <c r="C52" s="405">
        <v>6450</v>
      </c>
      <c r="D52" s="406">
        <v>3.7670612833706145</v>
      </c>
      <c r="E52" s="407" t="s">
        <v>6262</v>
      </c>
      <c r="F52" s="213" t="s">
        <v>12032</v>
      </c>
      <c r="G52" s="213">
        <v>56</v>
      </c>
      <c r="H52" s="213" t="s">
        <v>0</v>
      </c>
      <c r="I52" s="213">
        <v>0</v>
      </c>
      <c r="J52" s="213" t="s">
        <v>6264</v>
      </c>
      <c r="K52" s="213">
        <v>0</v>
      </c>
      <c r="L52" s="213" t="s">
        <v>6036</v>
      </c>
      <c r="M52" s="213">
        <v>0</v>
      </c>
      <c r="N52" s="408">
        <v>0</v>
      </c>
    </row>
    <row r="53" spans="1:14" ht="11.1" customHeight="1">
      <c r="A53" s="940" t="s">
        <v>6382</v>
      </c>
      <c r="B53" s="412" t="s">
        <v>10050</v>
      </c>
      <c r="C53" s="413">
        <v>113704</v>
      </c>
      <c r="D53" s="414">
        <v>55.890130848104128</v>
      </c>
      <c r="E53" s="415" t="s">
        <v>6251</v>
      </c>
      <c r="F53" s="416" t="s">
        <v>6383</v>
      </c>
      <c r="G53" s="416">
        <v>40</v>
      </c>
      <c r="H53" s="416" t="s">
        <v>0</v>
      </c>
      <c r="I53" s="416" t="s">
        <v>6233</v>
      </c>
      <c r="J53" s="416" t="s">
        <v>6257</v>
      </c>
      <c r="K53" s="416" t="s">
        <v>11998</v>
      </c>
      <c r="L53" s="416" t="s">
        <v>6209</v>
      </c>
      <c r="M53" s="416">
        <v>3</v>
      </c>
      <c r="N53" s="417" t="s">
        <v>6260</v>
      </c>
    </row>
    <row r="54" spans="1:14" ht="11.1" customHeight="1">
      <c r="A54" s="400" t="s">
        <v>6384</v>
      </c>
      <c r="B54" s="401" t="s">
        <v>6230</v>
      </c>
      <c r="C54" s="116">
        <v>41489</v>
      </c>
      <c r="D54" s="93">
        <v>20.393527393556887</v>
      </c>
      <c r="E54" s="93">
        <v>36.488601984099063</v>
      </c>
      <c r="F54" s="212" t="s">
        <v>12033</v>
      </c>
      <c r="G54" s="212">
        <v>55</v>
      </c>
      <c r="H54" s="212" t="s">
        <v>0</v>
      </c>
      <c r="I54" s="212" t="s">
        <v>6233</v>
      </c>
      <c r="J54" s="212" t="s">
        <v>6253</v>
      </c>
      <c r="K54" s="212" t="s">
        <v>12000</v>
      </c>
      <c r="L54" s="212" t="s">
        <v>6283</v>
      </c>
      <c r="M54" s="212">
        <v>2</v>
      </c>
      <c r="N54" s="402">
        <v>0</v>
      </c>
    </row>
    <row r="55" spans="1:14" ht="11.1" customHeight="1">
      <c r="A55" s="400" t="s">
        <v>12034</v>
      </c>
      <c r="B55" s="401" t="s">
        <v>6230</v>
      </c>
      <c r="C55" s="116">
        <v>38027</v>
      </c>
      <c r="D55" s="93">
        <v>18.691813883072324</v>
      </c>
      <c r="E55" s="93">
        <v>33.443854217969466</v>
      </c>
      <c r="F55" s="212" t="s">
        <v>6385</v>
      </c>
      <c r="G55" s="212">
        <v>51</v>
      </c>
      <c r="H55" s="212" t="s">
        <v>0</v>
      </c>
      <c r="I55" s="212" t="s">
        <v>6233</v>
      </c>
      <c r="J55" s="212" t="s">
        <v>7280</v>
      </c>
      <c r="K55" s="212" t="s">
        <v>12035</v>
      </c>
      <c r="L55" s="212" t="s">
        <v>6209</v>
      </c>
      <c r="M55" s="212">
        <v>2</v>
      </c>
      <c r="N55" s="402">
        <v>0</v>
      </c>
    </row>
    <row r="56" spans="1:14" ht="11.1" customHeight="1" thickBot="1">
      <c r="A56" s="430" t="s">
        <v>6386</v>
      </c>
      <c r="B56" s="431" t="s">
        <v>6231</v>
      </c>
      <c r="C56" s="432">
        <v>10222</v>
      </c>
      <c r="D56" s="433">
        <v>5.0245278752666609</v>
      </c>
      <c r="E56" s="434" t="s">
        <v>6262</v>
      </c>
      <c r="F56" s="217" t="s">
        <v>12036</v>
      </c>
      <c r="G56" s="217">
        <v>59</v>
      </c>
      <c r="H56" s="217" t="s">
        <v>0</v>
      </c>
      <c r="I56" s="217">
        <v>0</v>
      </c>
      <c r="J56" s="217" t="s">
        <v>6264</v>
      </c>
      <c r="K56" s="217">
        <v>0</v>
      </c>
      <c r="L56" s="217" t="s">
        <v>6036</v>
      </c>
      <c r="M56" s="217">
        <v>0</v>
      </c>
      <c r="N56" s="435">
        <v>0</v>
      </c>
    </row>
    <row r="57" spans="1:14" ht="11.1" customHeight="1">
      <c r="A57" s="941" t="s">
        <v>6388</v>
      </c>
      <c r="B57" s="436" t="s">
        <v>10050</v>
      </c>
      <c r="C57" s="82">
        <v>95109</v>
      </c>
      <c r="D57" s="84">
        <v>51.688269340507048</v>
      </c>
      <c r="E57" s="437" t="s">
        <v>6251</v>
      </c>
      <c r="F57" s="85" t="s">
        <v>12037</v>
      </c>
      <c r="G57" s="85">
        <v>41</v>
      </c>
      <c r="H57" s="85" t="s">
        <v>0</v>
      </c>
      <c r="I57" s="85" t="s">
        <v>6233</v>
      </c>
      <c r="J57" s="85" t="s">
        <v>6253</v>
      </c>
      <c r="K57" s="85" t="s">
        <v>12020</v>
      </c>
      <c r="L57" s="85" t="s">
        <v>6209</v>
      </c>
      <c r="M57" s="85">
        <v>3</v>
      </c>
      <c r="N57" s="438">
        <v>0</v>
      </c>
    </row>
    <row r="58" spans="1:14" ht="11.1" customHeight="1">
      <c r="A58" s="400" t="s">
        <v>6390</v>
      </c>
      <c r="B58" s="401" t="s">
        <v>6230</v>
      </c>
      <c r="C58" s="116">
        <v>65187</v>
      </c>
      <c r="D58" s="93">
        <v>35.426754707752508</v>
      </c>
      <c r="E58" s="93">
        <v>68.539254960098418</v>
      </c>
      <c r="F58" s="212" t="s">
        <v>12038</v>
      </c>
      <c r="G58" s="212">
        <v>38</v>
      </c>
      <c r="H58" s="212" t="s">
        <v>0</v>
      </c>
      <c r="I58" s="212" t="s">
        <v>6233</v>
      </c>
      <c r="J58" s="212" t="s">
        <v>6257</v>
      </c>
      <c r="K58" s="212" t="s">
        <v>6258</v>
      </c>
      <c r="L58" s="212" t="s">
        <v>6036</v>
      </c>
      <c r="M58" s="212">
        <v>0</v>
      </c>
      <c r="N58" s="402" t="s">
        <v>6260</v>
      </c>
    </row>
    <row r="59" spans="1:14" ht="11.1" customHeight="1">
      <c r="A59" s="400" t="s">
        <v>6392</v>
      </c>
      <c r="B59" s="401" t="s">
        <v>6231</v>
      </c>
      <c r="C59" s="116">
        <v>14050</v>
      </c>
      <c r="D59" s="93">
        <v>7.6356620744001518</v>
      </c>
      <c r="E59" s="93">
        <v>14.772524156494129</v>
      </c>
      <c r="F59" s="212" t="s">
        <v>12039</v>
      </c>
      <c r="G59" s="212">
        <v>56</v>
      </c>
      <c r="H59" s="212" t="s">
        <v>0</v>
      </c>
      <c r="I59" s="212" t="s">
        <v>6233</v>
      </c>
      <c r="J59" s="212" t="s">
        <v>6278</v>
      </c>
      <c r="K59" s="212">
        <v>0</v>
      </c>
      <c r="L59" s="212" t="s">
        <v>6036</v>
      </c>
      <c r="M59" s="212">
        <v>0</v>
      </c>
      <c r="N59" s="402">
        <v>0</v>
      </c>
    </row>
    <row r="60" spans="1:14" ht="11.1" customHeight="1">
      <c r="A60" s="817" t="s">
        <v>6394</v>
      </c>
      <c r="B60" s="404" t="s">
        <v>6231</v>
      </c>
      <c r="C60" s="405">
        <v>9659</v>
      </c>
      <c r="D60" s="406">
        <v>5.2493138773402901</v>
      </c>
      <c r="E60" s="407" t="s">
        <v>6262</v>
      </c>
      <c r="F60" s="213" t="s">
        <v>12040</v>
      </c>
      <c r="G60" s="213">
        <v>31</v>
      </c>
      <c r="H60" s="213" t="s">
        <v>0</v>
      </c>
      <c r="I60" s="213">
        <v>0</v>
      </c>
      <c r="J60" s="213" t="s">
        <v>6264</v>
      </c>
      <c r="K60" s="213">
        <v>0</v>
      </c>
      <c r="L60" s="213" t="s">
        <v>6036</v>
      </c>
      <c r="M60" s="213">
        <v>0</v>
      </c>
      <c r="N60" s="408">
        <v>0</v>
      </c>
    </row>
    <row r="61" spans="1:14" ht="11.1" customHeight="1">
      <c r="A61" s="940" t="s">
        <v>6400</v>
      </c>
      <c r="B61" s="412" t="s">
        <v>10050</v>
      </c>
      <c r="C61" s="413">
        <v>116448</v>
      </c>
      <c r="D61" s="414">
        <v>55.308416807967966</v>
      </c>
      <c r="E61" s="415" t="s">
        <v>6251</v>
      </c>
      <c r="F61" s="416" t="s">
        <v>6401</v>
      </c>
      <c r="G61" s="416">
        <v>52</v>
      </c>
      <c r="H61" s="416" t="s">
        <v>0</v>
      </c>
      <c r="I61" s="416" t="s">
        <v>6233</v>
      </c>
      <c r="J61" s="416" t="s">
        <v>6257</v>
      </c>
      <c r="K61" s="416" t="s">
        <v>12009</v>
      </c>
      <c r="L61" s="416" t="s">
        <v>6209</v>
      </c>
      <c r="M61" s="416">
        <v>5</v>
      </c>
      <c r="N61" s="417" t="s">
        <v>6260</v>
      </c>
    </row>
    <row r="62" spans="1:14" ht="11.1" customHeight="1">
      <c r="A62" s="817" t="s">
        <v>6398</v>
      </c>
      <c r="B62" s="404" t="s">
        <v>6230</v>
      </c>
      <c r="C62" s="405">
        <v>94095</v>
      </c>
      <c r="D62" s="406">
        <v>44.691583192032034</v>
      </c>
      <c r="E62" s="406">
        <v>80.804307502061008</v>
      </c>
      <c r="F62" s="213" t="s">
        <v>12041</v>
      </c>
      <c r="G62" s="213">
        <v>41</v>
      </c>
      <c r="H62" s="213" t="s">
        <v>0</v>
      </c>
      <c r="I62" s="213" t="s">
        <v>6233</v>
      </c>
      <c r="J62" s="213" t="s">
        <v>6253</v>
      </c>
      <c r="K62" s="213" t="s">
        <v>12007</v>
      </c>
      <c r="L62" s="213" t="s">
        <v>6036</v>
      </c>
      <c r="M62" s="213">
        <v>0</v>
      </c>
      <c r="N62" s="408">
        <v>0</v>
      </c>
    </row>
    <row r="63" spans="1:14" ht="11.1" customHeight="1">
      <c r="A63" s="940" t="s">
        <v>6405</v>
      </c>
      <c r="B63" s="409" t="s">
        <v>10050</v>
      </c>
      <c r="C63" s="53">
        <v>102477</v>
      </c>
      <c r="D63" s="55">
        <v>55.062597388641123</v>
      </c>
      <c r="E63" s="410" t="s">
        <v>6251</v>
      </c>
      <c r="F63" s="56" t="s">
        <v>6406</v>
      </c>
      <c r="G63" s="56">
        <v>51</v>
      </c>
      <c r="H63" s="56" t="s">
        <v>0</v>
      </c>
      <c r="I63" s="56" t="s">
        <v>6233</v>
      </c>
      <c r="J63" s="56" t="s">
        <v>6253</v>
      </c>
      <c r="K63" s="56" t="s">
        <v>12020</v>
      </c>
      <c r="L63" s="56" t="s">
        <v>6209</v>
      </c>
      <c r="M63" s="56">
        <v>2</v>
      </c>
      <c r="N63" s="411">
        <v>0</v>
      </c>
    </row>
    <row r="64" spans="1:14" ht="11.1" customHeight="1">
      <c r="A64" s="400" t="s">
        <v>6407</v>
      </c>
      <c r="B64" s="401" t="s">
        <v>6230</v>
      </c>
      <c r="C64" s="116">
        <v>69817</v>
      </c>
      <c r="D64" s="93">
        <v>37.513835903497935</v>
      </c>
      <c r="E64" s="93">
        <v>68.12943392175805</v>
      </c>
      <c r="F64" s="212" t="s">
        <v>6408</v>
      </c>
      <c r="G64" s="212">
        <v>38</v>
      </c>
      <c r="H64" s="212" t="s">
        <v>0</v>
      </c>
      <c r="I64" s="212" t="s">
        <v>6233</v>
      </c>
      <c r="J64" s="212" t="s">
        <v>6257</v>
      </c>
      <c r="K64" s="212" t="s">
        <v>11998</v>
      </c>
      <c r="L64" s="212" t="s">
        <v>6036</v>
      </c>
      <c r="M64" s="212">
        <v>0</v>
      </c>
      <c r="N64" s="402" t="s">
        <v>6260</v>
      </c>
    </row>
    <row r="65" spans="1:14" ht="11.1" customHeight="1">
      <c r="A65" s="817" t="s">
        <v>6409</v>
      </c>
      <c r="B65" s="404" t="s">
        <v>6231</v>
      </c>
      <c r="C65" s="405">
        <v>13816</v>
      </c>
      <c r="D65" s="406">
        <v>7.4235667078609424</v>
      </c>
      <c r="E65" s="407" t="s">
        <v>6262</v>
      </c>
      <c r="F65" s="213" t="s">
        <v>12042</v>
      </c>
      <c r="G65" s="213">
        <v>46</v>
      </c>
      <c r="H65" s="213" t="s">
        <v>0</v>
      </c>
      <c r="I65" s="213">
        <v>0</v>
      </c>
      <c r="J65" s="213" t="s">
        <v>6264</v>
      </c>
      <c r="K65" s="213">
        <v>0</v>
      </c>
      <c r="L65" s="213" t="s">
        <v>6036</v>
      </c>
      <c r="M65" s="213">
        <v>0</v>
      </c>
      <c r="N65" s="408">
        <v>0</v>
      </c>
    </row>
    <row r="66" spans="1:14" ht="11.1" customHeight="1">
      <c r="A66" s="940" t="s">
        <v>6411</v>
      </c>
      <c r="B66" s="409" t="s">
        <v>10050</v>
      </c>
      <c r="C66" s="53">
        <v>124578</v>
      </c>
      <c r="D66" s="55">
        <v>59.945721737289361</v>
      </c>
      <c r="E66" s="410" t="s">
        <v>6262</v>
      </c>
      <c r="F66" s="56" t="s">
        <v>6412</v>
      </c>
      <c r="G66" s="56">
        <v>63</v>
      </c>
      <c r="H66" s="56" t="s">
        <v>0</v>
      </c>
      <c r="I66" s="56">
        <v>0</v>
      </c>
      <c r="J66" s="56" t="s">
        <v>6253</v>
      </c>
      <c r="K66" s="56" t="s">
        <v>12020</v>
      </c>
      <c r="L66" s="56" t="s">
        <v>6209</v>
      </c>
      <c r="M66" s="56">
        <v>12</v>
      </c>
      <c r="N66" s="411">
        <v>0</v>
      </c>
    </row>
    <row r="67" spans="1:14" ht="11.1" customHeight="1">
      <c r="A67" s="400" t="s">
        <v>6413</v>
      </c>
      <c r="B67" s="401" t="s">
        <v>11986</v>
      </c>
      <c r="C67" s="116">
        <v>48093</v>
      </c>
      <c r="D67" s="93">
        <v>23.141883763677832</v>
      </c>
      <c r="E67" s="93">
        <v>38.604729567018254</v>
      </c>
      <c r="F67" s="212" t="s">
        <v>12043</v>
      </c>
      <c r="G67" s="212">
        <v>67</v>
      </c>
      <c r="H67" s="212" t="s">
        <v>0</v>
      </c>
      <c r="I67" s="212" t="s">
        <v>6233</v>
      </c>
      <c r="J67" s="212" t="s">
        <v>6257</v>
      </c>
      <c r="K67" s="212" t="s">
        <v>11998</v>
      </c>
      <c r="L67" s="212" t="s">
        <v>6209</v>
      </c>
      <c r="M67" s="212">
        <v>8</v>
      </c>
      <c r="N67" s="402" t="s">
        <v>6260</v>
      </c>
    </row>
    <row r="68" spans="1:14" ht="11.1" customHeight="1">
      <c r="A68" s="400" t="s">
        <v>6415</v>
      </c>
      <c r="B68" s="401"/>
      <c r="C68" s="116">
        <v>23727</v>
      </c>
      <c r="D68" s="93">
        <v>11.41720158985266</v>
      </c>
      <c r="E68" s="93">
        <v>19.045898954871646</v>
      </c>
      <c r="F68" s="212" t="s">
        <v>12044</v>
      </c>
      <c r="G68" s="212">
        <v>51</v>
      </c>
      <c r="H68" s="212" t="s">
        <v>0</v>
      </c>
      <c r="I68" s="212" t="s">
        <v>6233</v>
      </c>
      <c r="J68" s="212" t="s">
        <v>6278</v>
      </c>
      <c r="K68" s="212">
        <v>0</v>
      </c>
      <c r="L68" s="212" t="s">
        <v>6036</v>
      </c>
      <c r="M68" s="212">
        <v>0</v>
      </c>
      <c r="N68" s="402">
        <v>0</v>
      </c>
    </row>
    <row r="69" spans="1:14" ht="11.1" customHeight="1" thickBot="1">
      <c r="A69" s="430" t="s">
        <v>6417</v>
      </c>
      <c r="B69" s="431" t="s">
        <v>6231</v>
      </c>
      <c r="C69" s="432">
        <v>11420</v>
      </c>
      <c r="D69" s="433">
        <v>5.4951929091801484</v>
      </c>
      <c r="E69" s="434" t="s">
        <v>6262</v>
      </c>
      <c r="F69" s="217" t="s">
        <v>12045</v>
      </c>
      <c r="G69" s="217">
        <v>57</v>
      </c>
      <c r="H69" s="217" t="s">
        <v>0</v>
      </c>
      <c r="I69" s="217">
        <v>0</v>
      </c>
      <c r="J69" s="217" t="s">
        <v>6264</v>
      </c>
      <c r="K69" s="217">
        <v>0</v>
      </c>
      <c r="L69" s="217" t="s">
        <v>6036</v>
      </c>
      <c r="M69" s="217">
        <v>0</v>
      </c>
      <c r="N69" s="435">
        <v>0</v>
      </c>
    </row>
    <row r="70" spans="1:14" ht="11.1" customHeight="1">
      <c r="A70" s="941" t="s">
        <v>6423</v>
      </c>
      <c r="B70" s="439" t="s">
        <v>10050</v>
      </c>
      <c r="C70" s="440">
        <v>117236</v>
      </c>
      <c r="D70" s="441">
        <v>47.278299794329961</v>
      </c>
      <c r="E70" s="442" t="s">
        <v>6251</v>
      </c>
      <c r="F70" s="337" t="s">
        <v>12046</v>
      </c>
      <c r="G70" s="337">
        <v>47</v>
      </c>
      <c r="H70" s="337" t="s">
        <v>0</v>
      </c>
      <c r="I70" s="337" t="s">
        <v>6233</v>
      </c>
      <c r="J70" s="337" t="s">
        <v>6257</v>
      </c>
      <c r="K70" s="337" t="s">
        <v>6258</v>
      </c>
      <c r="L70" s="337" t="s">
        <v>6036</v>
      </c>
      <c r="M70" s="337">
        <v>0</v>
      </c>
      <c r="N70" s="443" t="s">
        <v>6260</v>
      </c>
    </row>
    <row r="71" spans="1:14" ht="11.1" customHeight="1">
      <c r="A71" s="400" t="s">
        <v>6421</v>
      </c>
      <c r="B71" s="401" t="s">
        <v>11986</v>
      </c>
      <c r="C71" s="116">
        <v>115264</v>
      </c>
      <c r="D71" s="93">
        <v>46.483042303504455</v>
      </c>
      <c r="E71" s="93">
        <v>98.317922822341259</v>
      </c>
      <c r="F71" s="212" t="s">
        <v>12047</v>
      </c>
      <c r="G71" s="212">
        <v>48</v>
      </c>
      <c r="H71" s="212" t="s">
        <v>6049</v>
      </c>
      <c r="I71" s="212" t="s">
        <v>6233</v>
      </c>
      <c r="J71" s="212" t="s">
        <v>6253</v>
      </c>
      <c r="K71" s="212" t="s">
        <v>12007</v>
      </c>
      <c r="L71" s="212" t="s">
        <v>6036</v>
      </c>
      <c r="M71" s="212">
        <v>0</v>
      </c>
      <c r="N71" s="402">
        <v>0</v>
      </c>
    </row>
    <row r="72" spans="1:14" ht="11.1" customHeight="1">
      <c r="A72" s="817" t="s">
        <v>6425</v>
      </c>
      <c r="B72" s="404" t="s">
        <v>6231</v>
      </c>
      <c r="C72" s="405">
        <v>15470</v>
      </c>
      <c r="D72" s="406">
        <v>6.2386579021655848</v>
      </c>
      <c r="E72" s="407" t="s">
        <v>6262</v>
      </c>
      <c r="F72" s="213" t="s">
        <v>6426</v>
      </c>
      <c r="G72" s="213">
        <v>46</v>
      </c>
      <c r="H72" s="213" t="s">
        <v>0</v>
      </c>
      <c r="I72" s="213">
        <v>0</v>
      </c>
      <c r="J72" s="213" t="s">
        <v>6264</v>
      </c>
      <c r="K72" s="213">
        <v>0</v>
      </c>
      <c r="L72" s="213" t="s">
        <v>6036</v>
      </c>
      <c r="M72" s="213">
        <v>0</v>
      </c>
      <c r="N72" s="408">
        <v>0</v>
      </c>
    </row>
    <row r="73" spans="1:14" ht="11.1" customHeight="1">
      <c r="A73" s="940" t="s">
        <v>6433</v>
      </c>
      <c r="B73" s="412" t="s">
        <v>10050</v>
      </c>
      <c r="C73" s="413">
        <v>130257</v>
      </c>
      <c r="D73" s="414">
        <v>52.776652296521995</v>
      </c>
      <c r="E73" s="415" t="s">
        <v>6251</v>
      </c>
      <c r="F73" s="416" t="s">
        <v>8670</v>
      </c>
      <c r="G73" s="416">
        <v>43</v>
      </c>
      <c r="H73" s="416" t="s">
        <v>0</v>
      </c>
      <c r="I73" s="416" t="s">
        <v>6233</v>
      </c>
      <c r="J73" s="416" t="s">
        <v>6257</v>
      </c>
      <c r="K73" s="416" t="s">
        <v>6258</v>
      </c>
      <c r="L73" s="416" t="s">
        <v>6209</v>
      </c>
      <c r="M73" s="416">
        <v>1</v>
      </c>
      <c r="N73" s="417" t="s">
        <v>6260</v>
      </c>
    </row>
    <row r="74" spans="1:14" ht="11.1" customHeight="1">
      <c r="A74" s="400" t="s">
        <v>6431</v>
      </c>
      <c r="B74" s="401" t="s">
        <v>6230</v>
      </c>
      <c r="C74" s="116">
        <v>98645</v>
      </c>
      <c r="D74" s="93">
        <v>39.96831545168714</v>
      </c>
      <c r="E74" s="93">
        <v>75.73105476097254</v>
      </c>
      <c r="F74" s="212" t="s">
        <v>12048</v>
      </c>
      <c r="G74" s="212">
        <v>30</v>
      </c>
      <c r="H74" s="212" t="s">
        <v>6049</v>
      </c>
      <c r="I74" s="212" t="s">
        <v>6233</v>
      </c>
      <c r="J74" s="212" t="s">
        <v>6253</v>
      </c>
      <c r="K74" s="212" t="s">
        <v>12020</v>
      </c>
      <c r="L74" s="212" t="s">
        <v>6036</v>
      </c>
      <c r="M74" s="212">
        <v>0</v>
      </c>
      <c r="N74" s="402">
        <v>0</v>
      </c>
    </row>
    <row r="75" spans="1:14" ht="11.1" customHeight="1">
      <c r="A75" s="817" t="s">
        <v>6437</v>
      </c>
      <c r="B75" s="404" t="s">
        <v>6231</v>
      </c>
      <c r="C75" s="405">
        <v>17906</v>
      </c>
      <c r="D75" s="406">
        <v>7.2550322517908654</v>
      </c>
      <c r="E75" s="406">
        <v>13.746670044604128</v>
      </c>
      <c r="F75" s="213" t="s">
        <v>12049</v>
      </c>
      <c r="G75" s="213">
        <v>54</v>
      </c>
      <c r="H75" s="213" t="s">
        <v>0</v>
      </c>
      <c r="I75" s="213" t="s">
        <v>6233</v>
      </c>
      <c r="J75" s="213" t="s">
        <v>6264</v>
      </c>
      <c r="K75" s="213">
        <v>0</v>
      </c>
      <c r="L75" s="213" t="s">
        <v>6036</v>
      </c>
      <c r="M75" s="213">
        <v>0</v>
      </c>
      <c r="N75" s="408">
        <v>0</v>
      </c>
    </row>
    <row r="76" spans="1:14" ht="11.1" customHeight="1">
      <c r="A76" s="940" t="s">
        <v>6441</v>
      </c>
      <c r="B76" s="412" t="s">
        <v>10050</v>
      </c>
      <c r="C76" s="413">
        <v>98269</v>
      </c>
      <c r="D76" s="414">
        <v>52.262960835620227</v>
      </c>
      <c r="E76" s="415" t="s">
        <v>6251</v>
      </c>
      <c r="F76" s="416" t="s">
        <v>6442</v>
      </c>
      <c r="G76" s="416">
        <v>45</v>
      </c>
      <c r="H76" s="416" t="s">
        <v>0</v>
      </c>
      <c r="I76" s="416" t="s">
        <v>6233</v>
      </c>
      <c r="J76" s="416" t="s">
        <v>6257</v>
      </c>
      <c r="K76" s="416" t="s">
        <v>11998</v>
      </c>
      <c r="L76" s="416" t="s">
        <v>6209</v>
      </c>
      <c r="M76" s="416">
        <v>1</v>
      </c>
      <c r="N76" s="417" t="s">
        <v>6260</v>
      </c>
    </row>
    <row r="77" spans="1:14" ht="11.1" customHeight="1">
      <c r="A77" s="400" t="s">
        <v>6439</v>
      </c>
      <c r="B77" s="401" t="s">
        <v>6230</v>
      </c>
      <c r="C77" s="116">
        <v>78503</v>
      </c>
      <c r="D77" s="93">
        <v>41.750696704746105</v>
      </c>
      <c r="E77" s="93">
        <v>79.88582360663078</v>
      </c>
      <c r="F77" s="212" t="s">
        <v>6440</v>
      </c>
      <c r="G77" s="212">
        <v>34</v>
      </c>
      <c r="H77" s="212" t="s">
        <v>0</v>
      </c>
      <c r="I77" s="212" t="s">
        <v>6233</v>
      </c>
      <c r="J77" s="212" t="s">
        <v>6253</v>
      </c>
      <c r="K77" s="212" t="s">
        <v>11994</v>
      </c>
      <c r="L77" s="212" t="s">
        <v>6209</v>
      </c>
      <c r="M77" s="212">
        <v>1</v>
      </c>
      <c r="N77" s="402">
        <v>0</v>
      </c>
    </row>
    <row r="78" spans="1:14" ht="11.1" customHeight="1">
      <c r="A78" s="817" t="s">
        <v>6443</v>
      </c>
      <c r="B78" s="404" t="s">
        <v>6231</v>
      </c>
      <c r="C78" s="405">
        <v>11256</v>
      </c>
      <c r="D78" s="406">
        <v>5.9863424596336712</v>
      </c>
      <c r="E78" s="407" t="s">
        <v>6262</v>
      </c>
      <c r="F78" s="213" t="s">
        <v>12050</v>
      </c>
      <c r="G78" s="213">
        <v>54</v>
      </c>
      <c r="H78" s="213" t="s">
        <v>0</v>
      </c>
      <c r="I78" s="213">
        <v>0</v>
      </c>
      <c r="J78" s="213" t="s">
        <v>6264</v>
      </c>
      <c r="K78" s="213">
        <v>0</v>
      </c>
      <c r="L78" s="213" t="s">
        <v>6036</v>
      </c>
      <c r="M78" s="213">
        <v>0</v>
      </c>
      <c r="N78" s="408">
        <v>0</v>
      </c>
    </row>
    <row r="79" spans="1:14" ht="11.1" customHeight="1">
      <c r="A79" s="940" t="s">
        <v>6447</v>
      </c>
      <c r="B79" s="412" t="s">
        <v>10050</v>
      </c>
      <c r="C79" s="413">
        <v>114245</v>
      </c>
      <c r="D79" s="414">
        <v>54.543675043923308</v>
      </c>
      <c r="E79" s="415" t="s">
        <v>6251</v>
      </c>
      <c r="F79" s="416" t="s">
        <v>6448</v>
      </c>
      <c r="G79" s="416">
        <v>52</v>
      </c>
      <c r="H79" s="416" t="s">
        <v>0</v>
      </c>
      <c r="I79" s="416" t="s">
        <v>6233</v>
      </c>
      <c r="J79" s="416" t="s">
        <v>6257</v>
      </c>
      <c r="K79" s="416" t="s">
        <v>12028</v>
      </c>
      <c r="L79" s="416" t="s">
        <v>6209</v>
      </c>
      <c r="M79" s="416">
        <v>2</v>
      </c>
      <c r="N79" s="417" t="s">
        <v>6260</v>
      </c>
    </row>
    <row r="80" spans="1:14" ht="11.1" customHeight="1">
      <c r="A80" s="400" t="s">
        <v>6445</v>
      </c>
      <c r="B80" s="401" t="s">
        <v>6230</v>
      </c>
      <c r="C80" s="116">
        <v>78627</v>
      </c>
      <c r="D80" s="93">
        <v>37.538671606447174</v>
      </c>
      <c r="E80" s="93">
        <v>68.823143244780951</v>
      </c>
      <c r="F80" s="212" t="s">
        <v>6446</v>
      </c>
      <c r="G80" s="212">
        <v>35</v>
      </c>
      <c r="H80" s="212" t="s">
        <v>0</v>
      </c>
      <c r="I80" s="212" t="s">
        <v>6233</v>
      </c>
      <c r="J80" s="212" t="s">
        <v>6253</v>
      </c>
      <c r="K80" s="212" t="s">
        <v>12007</v>
      </c>
      <c r="L80" s="212" t="s">
        <v>6036</v>
      </c>
      <c r="M80" s="212">
        <v>0</v>
      </c>
      <c r="N80" s="402">
        <v>0</v>
      </c>
    </row>
    <row r="81" spans="1:14" ht="11.1" customHeight="1">
      <c r="A81" s="817" t="s">
        <v>6449</v>
      </c>
      <c r="B81" s="404" t="s">
        <v>6231</v>
      </c>
      <c r="C81" s="405">
        <v>16584</v>
      </c>
      <c r="D81" s="406">
        <v>7.9176533496295161</v>
      </c>
      <c r="E81" s="407" t="s">
        <v>6262</v>
      </c>
      <c r="F81" s="213" t="s">
        <v>12051</v>
      </c>
      <c r="G81" s="213">
        <v>49</v>
      </c>
      <c r="H81" s="213" t="s">
        <v>0</v>
      </c>
      <c r="I81" s="213">
        <v>0</v>
      </c>
      <c r="J81" s="213" t="s">
        <v>6264</v>
      </c>
      <c r="K81" s="213">
        <v>0</v>
      </c>
      <c r="L81" s="213" t="s">
        <v>6036</v>
      </c>
      <c r="M81" s="213">
        <v>0</v>
      </c>
      <c r="N81" s="408">
        <v>0</v>
      </c>
    </row>
    <row r="82" spans="1:14" ht="11.1" customHeight="1">
      <c r="A82" s="940" t="s">
        <v>6453</v>
      </c>
      <c r="B82" s="409" t="s">
        <v>10050</v>
      </c>
      <c r="C82" s="53">
        <v>78205</v>
      </c>
      <c r="D82" s="55">
        <v>50.657140451221331</v>
      </c>
      <c r="E82" s="410" t="s">
        <v>6251</v>
      </c>
      <c r="F82" s="56" t="s">
        <v>12052</v>
      </c>
      <c r="G82" s="56">
        <v>43</v>
      </c>
      <c r="H82" s="56" t="s">
        <v>0</v>
      </c>
      <c r="I82" s="56" t="s">
        <v>6233</v>
      </c>
      <c r="J82" s="56" t="s">
        <v>6253</v>
      </c>
      <c r="K82" s="56" t="s">
        <v>12000</v>
      </c>
      <c r="L82" s="56" t="s">
        <v>6209</v>
      </c>
      <c r="M82" s="56">
        <v>3</v>
      </c>
      <c r="N82" s="411">
        <v>0</v>
      </c>
    </row>
    <row r="83" spans="1:14" ht="11.1" customHeight="1">
      <c r="A83" s="400" t="s">
        <v>6455</v>
      </c>
      <c r="B83" s="401" t="s">
        <v>6230</v>
      </c>
      <c r="C83" s="116">
        <v>68485</v>
      </c>
      <c r="D83" s="93">
        <v>44.361028883087947</v>
      </c>
      <c r="E83" s="93">
        <v>87.571127165782244</v>
      </c>
      <c r="F83" s="212" t="s">
        <v>6456</v>
      </c>
      <c r="G83" s="212">
        <v>50</v>
      </c>
      <c r="H83" s="212" t="s">
        <v>0</v>
      </c>
      <c r="I83" s="212" t="s">
        <v>6233</v>
      </c>
      <c r="J83" s="212" t="s">
        <v>6257</v>
      </c>
      <c r="K83" s="212" t="s">
        <v>6258</v>
      </c>
      <c r="L83" s="212" t="s">
        <v>6036</v>
      </c>
      <c r="M83" s="212">
        <v>0</v>
      </c>
      <c r="N83" s="402" t="s">
        <v>6260</v>
      </c>
    </row>
    <row r="84" spans="1:14" ht="11.1" customHeight="1">
      <c r="A84" s="817" t="s">
        <v>12053</v>
      </c>
      <c r="B84" s="404" t="s">
        <v>6231</v>
      </c>
      <c r="C84" s="405">
        <v>7691</v>
      </c>
      <c r="D84" s="406">
        <v>4.9818306656907261</v>
      </c>
      <c r="E84" s="407" t="s">
        <v>6262</v>
      </c>
      <c r="F84" s="213" t="s">
        <v>12054</v>
      </c>
      <c r="G84" s="213">
        <v>62</v>
      </c>
      <c r="H84" s="213" t="s">
        <v>0</v>
      </c>
      <c r="I84" s="213">
        <v>0</v>
      </c>
      <c r="J84" s="213" t="s">
        <v>6264</v>
      </c>
      <c r="K84" s="213">
        <v>0</v>
      </c>
      <c r="L84" s="213" t="s">
        <v>6036</v>
      </c>
      <c r="M84" s="213">
        <v>0</v>
      </c>
      <c r="N84" s="408">
        <v>0</v>
      </c>
    </row>
    <row r="85" spans="1:14" ht="11.1" customHeight="1">
      <c r="A85" s="940" t="s">
        <v>6457</v>
      </c>
      <c r="B85" s="412" t="s">
        <v>10050</v>
      </c>
      <c r="C85" s="413">
        <v>100359</v>
      </c>
      <c r="D85" s="414">
        <v>63.528004253810707</v>
      </c>
      <c r="E85" s="415" t="s">
        <v>6251</v>
      </c>
      <c r="F85" s="416" t="s">
        <v>6458</v>
      </c>
      <c r="G85" s="416">
        <v>45</v>
      </c>
      <c r="H85" s="416" t="s">
        <v>0</v>
      </c>
      <c r="I85" s="416" t="s">
        <v>6233</v>
      </c>
      <c r="J85" s="416" t="s">
        <v>6257</v>
      </c>
      <c r="K85" s="416" t="s">
        <v>12009</v>
      </c>
      <c r="L85" s="416" t="s">
        <v>6209</v>
      </c>
      <c r="M85" s="416">
        <v>2</v>
      </c>
      <c r="N85" s="417" t="s">
        <v>6260</v>
      </c>
    </row>
    <row r="86" spans="1:14" ht="11.1" customHeight="1">
      <c r="A86" s="400" t="s">
        <v>6461</v>
      </c>
      <c r="B86" s="401" t="s">
        <v>11986</v>
      </c>
      <c r="C86" s="116">
        <v>49263</v>
      </c>
      <c r="D86" s="93">
        <v>31.183850711500479</v>
      </c>
      <c r="E86" s="93">
        <v>49.086778465309536</v>
      </c>
      <c r="F86" s="212" t="s">
        <v>6460</v>
      </c>
      <c r="G86" s="212">
        <v>56</v>
      </c>
      <c r="H86" s="212" t="s">
        <v>0</v>
      </c>
      <c r="I86" s="212" t="s">
        <v>6233</v>
      </c>
      <c r="J86" s="212" t="s">
        <v>6278</v>
      </c>
      <c r="K86" s="212">
        <v>0</v>
      </c>
      <c r="L86" s="212" t="s">
        <v>6283</v>
      </c>
      <c r="M86" s="212">
        <v>1</v>
      </c>
      <c r="N86" s="402">
        <v>0</v>
      </c>
    </row>
    <row r="87" spans="1:14" ht="11.1" customHeight="1" thickBot="1">
      <c r="A87" s="400" t="s">
        <v>6459</v>
      </c>
      <c r="B87" s="401" t="s">
        <v>6231</v>
      </c>
      <c r="C87" s="116">
        <v>8354</v>
      </c>
      <c r="D87" s="93">
        <v>5.2881450346888137</v>
      </c>
      <c r="E87" s="403" t="s">
        <v>6262</v>
      </c>
      <c r="F87" s="212" t="s">
        <v>12055</v>
      </c>
      <c r="G87" s="212">
        <v>63</v>
      </c>
      <c r="H87" s="212" t="s">
        <v>0</v>
      </c>
      <c r="I87" s="212">
        <v>0</v>
      </c>
      <c r="J87" s="212" t="s">
        <v>6264</v>
      </c>
      <c r="K87" s="212">
        <v>0</v>
      </c>
      <c r="L87" s="212" t="s">
        <v>6036</v>
      </c>
      <c r="M87" s="212">
        <v>0</v>
      </c>
      <c r="N87" s="402">
        <v>0</v>
      </c>
    </row>
    <row r="88" spans="1:14" ht="11.1" customHeight="1">
      <c r="A88" s="941" t="s">
        <v>6463</v>
      </c>
      <c r="B88" s="436" t="s">
        <v>10050</v>
      </c>
      <c r="C88" s="82">
        <v>77135</v>
      </c>
      <c r="D88" s="84">
        <v>44.395266653620801</v>
      </c>
      <c r="E88" s="437" t="s">
        <v>6251</v>
      </c>
      <c r="F88" s="85" t="s">
        <v>12056</v>
      </c>
      <c r="G88" s="85">
        <v>28</v>
      </c>
      <c r="H88" s="85" t="s">
        <v>0</v>
      </c>
      <c r="I88" s="85" t="s">
        <v>6233</v>
      </c>
      <c r="J88" s="85" t="s">
        <v>6253</v>
      </c>
      <c r="K88" s="85" t="s">
        <v>12007</v>
      </c>
      <c r="L88" s="85" t="s">
        <v>6209</v>
      </c>
      <c r="M88" s="85">
        <v>1</v>
      </c>
      <c r="N88" s="438">
        <v>0</v>
      </c>
    </row>
    <row r="89" spans="1:14" ht="11.1" customHeight="1">
      <c r="A89" s="400" t="s">
        <v>6466</v>
      </c>
      <c r="B89" s="401" t="s">
        <v>11986</v>
      </c>
      <c r="C89" s="116">
        <v>68526</v>
      </c>
      <c r="D89" s="93">
        <v>39.440332439307959</v>
      </c>
      <c r="E89" s="93">
        <v>88.839048421598491</v>
      </c>
      <c r="F89" s="212" t="s">
        <v>6467</v>
      </c>
      <c r="G89" s="212">
        <v>67</v>
      </c>
      <c r="H89" s="212" t="s">
        <v>0</v>
      </c>
      <c r="I89" s="212" t="s">
        <v>6233</v>
      </c>
      <c r="J89" s="212" t="s">
        <v>6257</v>
      </c>
      <c r="K89" s="212" t="s">
        <v>12009</v>
      </c>
      <c r="L89" s="212" t="s">
        <v>6209</v>
      </c>
      <c r="M89" s="212">
        <v>6</v>
      </c>
      <c r="N89" s="402" t="s">
        <v>6260</v>
      </c>
    </row>
    <row r="90" spans="1:14" ht="11.1" customHeight="1">
      <c r="A90" s="400" t="s">
        <v>6472</v>
      </c>
      <c r="B90" s="401" t="s">
        <v>6231</v>
      </c>
      <c r="C90" s="116">
        <v>14751</v>
      </c>
      <c r="D90" s="93">
        <v>8.4899796254302249</v>
      </c>
      <c r="E90" s="93">
        <v>19.123614442211707</v>
      </c>
      <c r="F90" s="212" t="s">
        <v>12057</v>
      </c>
      <c r="G90" s="212">
        <v>66</v>
      </c>
      <c r="H90" s="212" t="s">
        <v>0</v>
      </c>
      <c r="I90" s="212" t="s">
        <v>6233</v>
      </c>
      <c r="J90" s="212" t="s">
        <v>7280</v>
      </c>
      <c r="K90" s="212">
        <v>0</v>
      </c>
      <c r="L90" s="212" t="s">
        <v>6036</v>
      </c>
      <c r="M90" s="212">
        <v>0</v>
      </c>
      <c r="N90" s="402">
        <v>0</v>
      </c>
    </row>
    <row r="91" spans="1:14" ht="11.1" customHeight="1">
      <c r="A91" s="817" t="s">
        <v>6468</v>
      </c>
      <c r="B91" s="404" t="s">
        <v>6231</v>
      </c>
      <c r="C91" s="405">
        <v>13334</v>
      </c>
      <c r="D91" s="406">
        <v>7.674421281641016</v>
      </c>
      <c r="E91" s="407" t="s">
        <v>6262</v>
      </c>
      <c r="F91" s="213" t="s">
        <v>12058</v>
      </c>
      <c r="G91" s="213">
        <v>40</v>
      </c>
      <c r="H91" s="213" t="s">
        <v>0</v>
      </c>
      <c r="I91" s="213">
        <v>0</v>
      </c>
      <c r="J91" s="213" t="s">
        <v>6264</v>
      </c>
      <c r="K91" s="213">
        <v>0</v>
      </c>
      <c r="L91" s="213" t="s">
        <v>6036</v>
      </c>
      <c r="M91" s="213">
        <v>0</v>
      </c>
      <c r="N91" s="408">
        <v>0</v>
      </c>
    </row>
    <row r="92" spans="1:14" ht="11.1" customHeight="1">
      <c r="A92" s="940" t="s">
        <v>6474</v>
      </c>
      <c r="B92" s="444" t="s">
        <v>10050</v>
      </c>
      <c r="C92" s="445">
        <v>80974</v>
      </c>
      <c r="D92" s="446">
        <v>37.612292485345073</v>
      </c>
      <c r="E92" s="447" t="s">
        <v>6262</v>
      </c>
      <c r="F92" s="448" t="s">
        <v>12059</v>
      </c>
      <c r="G92" s="448">
        <v>75</v>
      </c>
      <c r="H92" s="448" t="s">
        <v>0</v>
      </c>
      <c r="I92" s="448">
        <v>0</v>
      </c>
      <c r="J92" s="448" t="s">
        <v>12017</v>
      </c>
      <c r="K92" s="448" t="s">
        <v>12035</v>
      </c>
      <c r="L92" s="448" t="s">
        <v>6209</v>
      </c>
      <c r="M92" s="448">
        <v>7</v>
      </c>
      <c r="N92" s="449">
        <v>0</v>
      </c>
    </row>
    <row r="93" spans="1:14" ht="11.1" customHeight="1">
      <c r="A93" s="400" t="s">
        <v>6477</v>
      </c>
      <c r="B93" s="401" t="s">
        <v>6230</v>
      </c>
      <c r="C93" s="116">
        <v>53555</v>
      </c>
      <c r="D93" s="93">
        <v>24.876211179547209</v>
      </c>
      <c r="E93" s="93">
        <v>66.138513596957054</v>
      </c>
      <c r="F93" s="212" t="s">
        <v>12060</v>
      </c>
      <c r="G93" s="212">
        <v>34</v>
      </c>
      <c r="H93" s="212" t="s">
        <v>0</v>
      </c>
      <c r="I93" s="212" t="s">
        <v>6233</v>
      </c>
      <c r="J93" s="212" t="s">
        <v>6257</v>
      </c>
      <c r="K93" s="212" t="s">
        <v>6258</v>
      </c>
      <c r="L93" s="212" t="s">
        <v>6036</v>
      </c>
      <c r="M93" s="212">
        <v>0</v>
      </c>
      <c r="N93" s="402">
        <v>0</v>
      </c>
    </row>
    <row r="94" spans="1:14" ht="11.1" customHeight="1">
      <c r="A94" s="400" t="s">
        <v>6479</v>
      </c>
      <c r="B94" s="401" t="s">
        <v>6230</v>
      </c>
      <c r="C94" s="116">
        <v>45020</v>
      </c>
      <c r="D94" s="93">
        <v>20.911717436340496</v>
      </c>
      <c r="E94" s="93">
        <v>55.598093215106083</v>
      </c>
      <c r="F94" s="212" t="s">
        <v>6483</v>
      </c>
      <c r="G94" s="212">
        <v>35</v>
      </c>
      <c r="H94" s="212" t="s">
        <v>0</v>
      </c>
      <c r="I94" s="212" t="s">
        <v>6233</v>
      </c>
      <c r="J94" s="212" t="s">
        <v>6253</v>
      </c>
      <c r="K94" s="212" t="s">
        <v>12007</v>
      </c>
      <c r="L94" s="212" t="s">
        <v>6036</v>
      </c>
      <c r="M94" s="212">
        <v>0</v>
      </c>
      <c r="N94" s="402">
        <v>0</v>
      </c>
    </row>
    <row r="95" spans="1:14" ht="11.1" customHeight="1">
      <c r="A95" s="400" t="s">
        <v>6485</v>
      </c>
      <c r="B95" s="401"/>
      <c r="C95" s="116">
        <v>28131</v>
      </c>
      <c r="D95" s="93">
        <v>13.066804158189571</v>
      </c>
      <c r="E95" s="93">
        <v>34.740780991429347</v>
      </c>
      <c r="F95" s="212" t="s">
        <v>6480</v>
      </c>
      <c r="G95" s="212">
        <v>49</v>
      </c>
      <c r="H95" s="212" t="s">
        <v>0</v>
      </c>
      <c r="I95" s="212" t="s">
        <v>6233</v>
      </c>
      <c r="J95" s="212" t="s">
        <v>6278</v>
      </c>
      <c r="K95" s="212">
        <v>0</v>
      </c>
      <c r="L95" s="212" t="s">
        <v>6209</v>
      </c>
      <c r="M95" s="212">
        <v>1</v>
      </c>
      <c r="N95" s="402">
        <v>0</v>
      </c>
    </row>
    <row r="96" spans="1:14" ht="11.1" customHeight="1">
      <c r="A96" s="817" t="s">
        <v>6482</v>
      </c>
      <c r="B96" s="404" t="s">
        <v>6231</v>
      </c>
      <c r="C96" s="405">
        <v>7606</v>
      </c>
      <c r="D96" s="406">
        <v>3.5329747405776502</v>
      </c>
      <c r="E96" s="407" t="s">
        <v>6262</v>
      </c>
      <c r="F96" s="213" t="s">
        <v>12061</v>
      </c>
      <c r="G96" s="213">
        <v>59</v>
      </c>
      <c r="H96" s="213" t="s">
        <v>0</v>
      </c>
      <c r="I96" s="213">
        <v>0</v>
      </c>
      <c r="J96" s="213" t="s">
        <v>6264</v>
      </c>
      <c r="K96" s="213">
        <v>0</v>
      </c>
      <c r="L96" s="213" t="s">
        <v>6036</v>
      </c>
      <c r="M96" s="213">
        <v>0</v>
      </c>
      <c r="N96" s="408">
        <v>0</v>
      </c>
    </row>
    <row r="97" spans="1:14" ht="11.1" customHeight="1">
      <c r="A97" s="940" t="s">
        <v>6489</v>
      </c>
      <c r="B97" s="412" t="s">
        <v>10050</v>
      </c>
      <c r="C97" s="413">
        <v>114228</v>
      </c>
      <c r="D97" s="414">
        <v>41.317046880821216</v>
      </c>
      <c r="E97" s="415" t="s">
        <v>6251</v>
      </c>
      <c r="F97" s="416" t="s">
        <v>6490</v>
      </c>
      <c r="G97" s="416">
        <v>41</v>
      </c>
      <c r="H97" s="416" t="s">
        <v>0</v>
      </c>
      <c r="I97" s="416" t="s">
        <v>6233</v>
      </c>
      <c r="J97" s="416" t="s">
        <v>6257</v>
      </c>
      <c r="K97" s="416" t="s">
        <v>6258</v>
      </c>
      <c r="L97" s="416" t="s">
        <v>6209</v>
      </c>
      <c r="M97" s="416">
        <v>1</v>
      </c>
      <c r="N97" s="417" t="s">
        <v>6260</v>
      </c>
    </row>
    <row r="98" spans="1:14" ht="11.1" customHeight="1">
      <c r="A98" s="400" t="s">
        <v>6487</v>
      </c>
      <c r="B98" s="401" t="s">
        <v>6230</v>
      </c>
      <c r="C98" s="116">
        <v>82480</v>
      </c>
      <c r="D98" s="93">
        <v>29.833578691127695</v>
      </c>
      <c r="E98" s="93">
        <v>72.206464264453544</v>
      </c>
      <c r="F98" s="212" t="s">
        <v>6488</v>
      </c>
      <c r="G98" s="212">
        <v>55</v>
      </c>
      <c r="H98" s="212" t="s">
        <v>6049</v>
      </c>
      <c r="I98" s="212" t="s">
        <v>6233</v>
      </c>
      <c r="J98" s="212" t="s">
        <v>6253</v>
      </c>
      <c r="K98" s="212" t="s">
        <v>12007</v>
      </c>
      <c r="L98" s="212" t="s">
        <v>6036</v>
      </c>
      <c r="M98" s="212">
        <v>0</v>
      </c>
      <c r="N98" s="402">
        <v>0</v>
      </c>
    </row>
    <row r="99" spans="1:14" ht="11.1" customHeight="1" thickBot="1">
      <c r="A99" s="430" t="s">
        <v>6493</v>
      </c>
      <c r="B99" s="431" t="s">
        <v>6230</v>
      </c>
      <c r="C99" s="432">
        <v>79759</v>
      </c>
      <c r="D99" s="433">
        <v>28.849374428051089</v>
      </c>
      <c r="E99" s="434" t="s">
        <v>6262</v>
      </c>
      <c r="F99" s="217" t="s">
        <v>6492</v>
      </c>
      <c r="G99" s="217">
        <v>45</v>
      </c>
      <c r="H99" s="217" t="s">
        <v>0</v>
      </c>
      <c r="I99" s="217">
        <v>0</v>
      </c>
      <c r="J99" s="217" t="s">
        <v>12017</v>
      </c>
      <c r="K99" s="217" t="s">
        <v>6323</v>
      </c>
      <c r="L99" s="217" t="s">
        <v>6036</v>
      </c>
      <c r="M99" s="217">
        <v>0</v>
      </c>
      <c r="N99" s="435">
        <v>0</v>
      </c>
    </row>
    <row r="100" spans="1:14" ht="11.1" customHeight="1">
      <c r="A100" s="941" t="s">
        <v>6497</v>
      </c>
      <c r="B100" s="439" t="s">
        <v>10050</v>
      </c>
      <c r="C100" s="440">
        <v>125774</v>
      </c>
      <c r="D100" s="441">
        <v>56.38446192813754</v>
      </c>
      <c r="E100" s="442" t="s">
        <v>6251</v>
      </c>
      <c r="F100" s="337" t="s">
        <v>6498</v>
      </c>
      <c r="G100" s="337">
        <v>55</v>
      </c>
      <c r="H100" s="337" t="s">
        <v>0</v>
      </c>
      <c r="I100" s="337" t="s">
        <v>6233</v>
      </c>
      <c r="J100" s="337" t="s">
        <v>6257</v>
      </c>
      <c r="K100" s="337" t="s">
        <v>12062</v>
      </c>
      <c r="L100" s="337" t="s">
        <v>6209</v>
      </c>
      <c r="M100" s="337">
        <v>3</v>
      </c>
      <c r="N100" s="443" t="s">
        <v>6260</v>
      </c>
    </row>
    <row r="101" spans="1:14" ht="11.1" customHeight="1">
      <c r="A101" s="400" t="s">
        <v>6495</v>
      </c>
      <c r="B101" s="401" t="s">
        <v>6230</v>
      </c>
      <c r="C101" s="116">
        <v>86755</v>
      </c>
      <c r="D101" s="93">
        <v>38.892251137560798</v>
      </c>
      <c r="E101" s="93">
        <v>68.976895065752856</v>
      </c>
      <c r="F101" s="212" t="s">
        <v>6496</v>
      </c>
      <c r="G101" s="212">
        <v>63</v>
      </c>
      <c r="H101" s="212" t="s">
        <v>0</v>
      </c>
      <c r="I101" s="212" t="s">
        <v>6233</v>
      </c>
      <c r="J101" s="212" t="s">
        <v>6253</v>
      </c>
      <c r="K101" s="212" t="s">
        <v>11994</v>
      </c>
      <c r="L101" s="212" t="s">
        <v>6209</v>
      </c>
      <c r="M101" s="212">
        <v>10</v>
      </c>
      <c r="N101" s="402">
        <v>0</v>
      </c>
    </row>
    <row r="102" spans="1:14" ht="11.1" customHeight="1">
      <c r="A102" s="817" t="s">
        <v>6501</v>
      </c>
      <c r="B102" s="404" t="s">
        <v>6231</v>
      </c>
      <c r="C102" s="405">
        <v>10536</v>
      </c>
      <c r="D102" s="406">
        <v>4.7232869343016608</v>
      </c>
      <c r="E102" s="407" t="s">
        <v>6262</v>
      </c>
      <c r="F102" s="213" t="s">
        <v>12063</v>
      </c>
      <c r="G102" s="213">
        <v>31</v>
      </c>
      <c r="H102" s="213" t="s">
        <v>0</v>
      </c>
      <c r="I102" s="213">
        <v>0</v>
      </c>
      <c r="J102" s="213" t="s">
        <v>6264</v>
      </c>
      <c r="K102" s="213">
        <v>0</v>
      </c>
      <c r="L102" s="213" t="s">
        <v>6036</v>
      </c>
      <c r="M102" s="213">
        <v>0</v>
      </c>
      <c r="N102" s="408">
        <v>0</v>
      </c>
    </row>
    <row r="103" spans="1:14" ht="11.1" customHeight="1">
      <c r="A103" s="940" t="s">
        <v>6507</v>
      </c>
      <c r="B103" s="412" t="s">
        <v>10050</v>
      </c>
      <c r="C103" s="413">
        <v>142342</v>
      </c>
      <c r="D103" s="414">
        <v>54.841207768740873</v>
      </c>
      <c r="E103" s="415" t="s">
        <v>6251</v>
      </c>
      <c r="F103" s="416" t="s">
        <v>12064</v>
      </c>
      <c r="G103" s="416">
        <v>66</v>
      </c>
      <c r="H103" s="416" t="s">
        <v>0</v>
      </c>
      <c r="I103" s="416" t="s">
        <v>6233</v>
      </c>
      <c r="J103" s="416" t="s">
        <v>6257</v>
      </c>
      <c r="K103" s="416" t="s">
        <v>6350</v>
      </c>
      <c r="L103" s="416" t="s">
        <v>6209</v>
      </c>
      <c r="M103" s="416">
        <v>5</v>
      </c>
      <c r="N103" s="417" t="s">
        <v>6260</v>
      </c>
    </row>
    <row r="104" spans="1:14" ht="11.1" customHeight="1">
      <c r="A104" s="817" t="s">
        <v>6505</v>
      </c>
      <c r="B104" s="404" t="s">
        <v>11986</v>
      </c>
      <c r="C104" s="405">
        <v>117211</v>
      </c>
      <c r="D104" s="406">
        <v>45.158792231259127</v>
      </c>
      <c r="E104" s="406">
        <v>82.344634752919021</v>
      </c>
      <c r="F104" s="213" t="s">
        <v>6506</v>
      </c>
      <c r="G104" s="213">
        <v>40</v>
      </c>
      <c r="H104" s="213" t="s">
        <v>0</v>
      </c>
      <c r="I104" s="213" t="s">
        <v>6233</v>
      </c>
      <c r="J104" s="213" t="s">
        <v>6253</v>
      </c>
      <c r="K104" s="213" t="s">
        <v>12007</v>
      </c>
      <c r="L104" s="213" t="s">
        <v>6209</v>
      </c>
      <c r="M104" s="213">
        <v>1</v>
      </c>
      <c r="N104" s="408">
        <v>0</v>
      </c>
    </row>
    <row r="105" spans="1:14" ht="11.1" customHeight="1">
      <c r="A105" s="940" t="s">
        <v>6511</v>
      </c>
      <c r="B105" s="412" t="s">
        <v>10050</v>
      </c>
      <c r="C105" s="413">
        <v>159486</v>
      </c>
      <c r="D105" s="414">
        <v>69.583769633507856</v>
      </c>
      <c r="E105" s="415" t="s">
        <v>6251</v>
      </c>
      <c r="F105" s="416" t="s">
        <v>6512</v>
      </c>
      <c r="G105" s="416">
        <v>66</v>
      </c>
      <c r="H105" s="416" t="s">
        <v>0</v>
      </c>
      <c r="I105" s="416" t="s">
        <v>6233</v>
      </c>
      <c r="J105" s="416" t="s">
        <v>6257</v>
      </c>
      <c r="K105" s="416" t="s">
        <v>12062</v>
      </c>
      <c r="L105" s="416" t="s">
        <v>6209</v>
      </c>
      <c r="M105" s="416">
        <v>11</v>
      </c>
      <c r="N105" s="417" t="s">
        <v>6260</v>
      </c>
    </row>
    <row r="106" spans="1:14" ht="11.1" customHeight="1">
      <c r="A106" s="400" t="s">
        <v>6513</v>
      </c>
      <c r="B106" s="401" t="s">
        <v>6230</v>
      </c>
      <c r="C106" s="116">
        <v>49057</v>
      </c>
      <c r="D106" s="93">
        <v>21.403577661431065</v>
      </c>
      <c r="E106" s="93">
        <v>30.759439700036367</v>
      </c>
      <c r="F106" s="212" t="s">
        <v>12065</v>
      </c>
      <c r="G106" s="212">
        <v>58</v>
      </c>
      <c r="H106" s="212" t="s">
        <v>0</v>
      </c>
      <c r="I106" s="212" t="s">
        <v>6233</v>
      </c>
      <c r="J106" s="212" t="s">
        <v>6278</v>
      </c>
      <c r="K106" s="212">
        <v>0</v>
      </c>
      <c r="L106" s="212" t="s">
        <v>6036</v>
      </c>
      <c r="M106" s="212">
        <v>0</v>
      </c>
      <c r="N106" s="402">
        <v>0</v>
      </c>
    </row>
    <row r="107" spans="1:14" ht="11.1" customHeight="1" thickBot="1">
      <c r="A107" s="430" t="s">
        <v>6516</v>
      </c>
      <c r="B107" s="431" t="s">
        <v>6231</v>
      </c>
      <c r="C107" s="432">
        <v>20657</v>
      </c>
      <c r="D107" s="433">
        <v>9.0126527050610825</v>
      </c>
      <c r="E107" s="434" t="s">
        <v>6262</v>
      </c>
      <c r="F107" s="217" t="s">
        <v>6502</v>
      </c>
      <c r="G107" s="217">
        <v>32</v>
      </c>
      <c r="H107" s="217" t="s">
        <v>0</v>
      </c>
      <c r="I107" s="217">
        <v>0</v>
      </c>
      <c r="J107" s="217" t="s">
        <v>6264</v>
      </c>
      <c r="K107" s="217">
        <v>0</v>
      </c>
      <c r="L107" s="217" t="s">
        <v>6036</v>
      </c>
      <c r="M107" s="217">
        <v>0</v>
      </c>
      <c r="N107" s="435">
        <v>0</v>
      </c>
    </row>
    <row r="108" spans="1:14" ht="11.1" customHeight="1">
      <c r="A108" s="941" t="s">
        <v>6522</v>
      </c>
      <c r="B108" s="439" t="s">
        <v>10050</v>
      </c>
      <c r="C108" s="440">
        <v>171507</v>
      </c>
      <c r="D108" s="441">
        <v>56.844229966126861</v>
      </c>
      <c r="E108" s="442" t="s">
        <v>6251</v>
      </c>
      <c r="F108" s="337" t="s">
        <v>6523</v>
      </c>
      <c r="G108" s="337">
        <v>50</v>
      </c>
      <c r="H108" s="337" t="s">
        <v>0</v>
      </c>
      <c r="I108" s="337" t="s">
        <v>6233</v>
      </c>
      <c r="J108" s="337" t="s">
        <v>6257</v>
      </c>
      <c r="K108" s="337" t="s">
        <v>11998</v>
      </c>
      <c r="L108" s="337" t="s">
        <v>6036</v>
      </c>
      <c r="M108" s="337">
        <v>0</v>
      </c>
      <c r="N108" s="443" t="s">
        <v>6260</v>
      </c>
    </row>
    <row r="109" spans="1:14" ht="11.1" customHeight="1">
      <c r="A109" s="400" t="s">
        <v>6520</v>
      </c>
      <c r="B109" s="401" t="s">
        <v>6230</v>
      </c>
      <c r="C109" s="116">
        <v>109795</v>
      </c>
      <c r="D109" s="93">
        <v>36.390422718203332</v>
      </c>
      <c r="E109" s="93">
        <v>64.017795192032978</v>
      </c>
      <c r="F109" s="212" t="s">
        <v>12066</v>
      </c>
      <c r="G109" s="212">
        <v>38</v>
      </c>
      <c r="H109" s="212" t="s">
        <v>0</v>
      </c>
      <c r="I109" s="212" t="s">
        <v>6233</v>
      </c>
      <c r="J109" s="212" t="s">
        <v>6253</v>
      </c>
      <c r="K109" s="212" t="s">
        <v>12020</v>
      </c>
      <c r="L109" s="212" t="s">
        <v>6036</v>
      </c>
      <c r="M109" s="212">
        <v>0</v>
      </c>
      <c r="N109" s="402">
        <v>0</v>
      </c>
    </row>
    <row r="110" spans="1:14" ht="11.1" customHeight="1">
      <c r="A110" s="817" t="s">
        <v>6524</v>
      </c>
      <c r="B110" s="404" t="s">
        <v>6231</v>
      </c>
      <c r="C110" s="405">
        <v>20412</v>
      </c>
      <c r="D110" s="406">
        <v>6.7653473156698061</v>
      </c>
      <c r="E110" s="407" t="s">
        <v>6262</v>
      </c>
      <c r="F110" s="213" t="s">
        <v>12067</v>
      </c>
      <c r="G110" s="213">
        <v>50</v>
      </c>
      <c r="H110" s="213" t="s">
        <v>0</v>
      </c>
      <c r="I110" s="213">
        <v>0</v>
      </c>
      <c r="J110" s="213" t="s">
        <v>6264</v>
      </c>
      <c r="K110" s="213">
        <v>0</v>
      </c>
      <c r="L110" s="213" t="s">
        <v>6036</v>
      </c>
      <c r="M110" s="213">
        <v>0</v>
      </c>
      <c r="N110" s="408">
        <v>0</v>
      </c>
    </row>
    <row r="111" spans="1:14" ht="11.1" customHeight="1">
      <c r="A111" s="940" t="s">
        <v>6530</v>
      </c>
      <c r="B111" s="412" t="s">
        <v>10050</v>
      </c>
      <c r="C111" s="413">
        <v>125447</v>
      </c>
      <c r="D111" s="414">
        <v>52.793781589701076</v>
      </c>
      <c r="E111" s="415" t="s">
        <v>6251</v>
      </c>
      <c r="F111" s="416" t="s">
        <v>12068</v>
      </c>
      <c r="G111" s="416">
        <v>54</v>
      </c>
      <c r="H111" s="416" t="s">
        <v>0</v>
      </c>
      <c r="I111" s="416" t="s">
        <v>6233</v>
      </c>
      <c r="J111" s="416" t="s">
        <v>6257</v>
      </c>
      <c r="K111" s="416" t="s">
        <v>12009</v>
      </c>
      <c r="L111" s="416" t="s">
        <v>6209</v>
      </c>
      <c r="M111" s="416">
        <v>4</v>
      </c>
      <c r="N111" s="417" t="s">
        <v>6260</v>
      </c>
    </row>
    <row r="112" spans="1:14" ht="11.1" customHeight="1">
      <c r="A112" s="400" t="s">
        <v>6528</v>
      </c>
      <c r="B112" s="401" t="s">
        <v>6230</v>
      </c>
      <c r="C112" s="116">
        <v>100949</v>
      </c>
      <c r="D112" s="93">
        <v>42.483913188029476</v>
      </c>
      <c r="E112" s="93">
        <v>80.471434151474327</v>
      </c>
      <c r="F112" s="212" t="s">
        <v>12069</v>
      </c>
      <c r="G112" s="212">
        <v>57</v>
      </c>
      <c r="H112" s="212" t="s">
        <v>0</v>
      </c>
      <c r="I112" s="212" t="s">
        <v>6233</v>
      </c>
      <c r="J112" s="212" t="s">
        <v>6253</v>
      </c>
      <c r="K112" s="212" t="s">
        <v>11994</v>
      </c>
      <c r="L112" s="212" t="s">
        <v>6209</v>
      </c>
      <c r="M112" s="212">
        <v>3</v>
      </c>
      <c r="N112" s="402">
        <v>0</v>
      </c>
    </row>
    <row r="113" spans="1:14" ht="11.1" customHeight="1">
      <c r="A113" s="817" t="s">
        <v>6532</v>
      </c>
      <c r="B113" s="404" t="s">
        <v>6231</v>
      </c>
      <c r="C113" s="405">
        <v>11221</v>
      </c>
      <c r="D113" s="406">
        <v>4.7223052222694504</v>
      </c>
      <c r="E113" s="407" t="s">
        <v>6262</v>
      </c>
      <c r="F113" s="213" t="s">
        <v>12070</v>
      </c>
      <c r="G113" s="213">
        <v>50</v>
      </c>
      <c r="H113" s="213" t="s">
        <v>0</v>
      </c>
      <c r="I113" s="213">
        <v>0</v>
      </c>
      <c r="J113" s="213" t="s">
        <v>6264</v>
      </c>
      <c r="K113" s="213">
        <v>0</v>
      </c>
      <c r="L113" s="213" t="s">
        <v>6036</v>
      </c>
      <c r="M113" s="213">
        <v>0</v>
      </c>
      <c r="N113" s="408">
        <v>0</v>
      </c>
    </row>
    <row r="114" spans="1:14" ht="11.1" customHeight="1">
      <c r="A114" s="940" t="s">
        <v>6534</v>
      </c>
      <c r="B114" s="409" t="s">
        <v>10050</v>
      </c>
      <c r="C114" s="53">
        <v>143850</v>
      </c>
      <c r="D114" s="55">
        <v>68.550270198145313</v>
      </c>
      <c r="E114" s="410" t="s">
        <v>6251</v>
      </c>
      <c r="F114" s="56" t="s">
        <v>6535</v>
      </c>
      <c r="G114" s="56">
        <v>41</v>
      </c>
      <c r="H114" s="56" t="s">
        <v>0</v>
      </c>
      <c r="I114" s="56" t="s">
        <v>6233</v>
      </c>
      <c r="J114" s="56" t="s">
        <v>6253</v>
      </c>
      <c r="K114" s="56" t="s">
        <v>12000</v>
      </c>
      <c r="L114" s="56" t="s">
        <v>6209</v>
      </c>
      <c r="M114" s="56">
        <v>4</v>
      </c>
      <c r="N114" s="411">
        <v>0</v>
      </c>
    </row>
    <row r="115" spans="1:14" ht="11.1" customHeight="1">
      <c r="A115" s="817" t="s">
        <v>6536</v>
      </c>
      <c r="B115" s="404" t="s">
        <v>6230</v>
      </c>
      <c r="C115" s="405">
        <v>65996</v>
      </c>
      <c r="D115" s="406">
        <v>31.449729801854694</v>
      </c>
      <c r="E115" s="406">
        <v>45.878345498783453</v>
      </c>
      <c r="F115" s="213" t="s">
        <v>12071</v>
      </c>
      <c r="G115" s="213">
        <v>71</v>
      </c>
      <c r="H115" s="213" t="s">
        <v>0</v>
      </c>
      <c r="I115" s="213" t="s">
        <v>6233</v>
      </c>
      <c r="J115" s="213" t="s">
        <v>6257</v>
      </c>
      <c r="K115" s="213" t="s">
        <v>11998</v>
      </c>
      <c r="L115" s="213" t="s">
        <v>6209</v>
      </c>
      <c r="M115" s="213">
        <v>4</v>
      </c>
      <c r="N115" s="408" t="s">
        <v>6260</v>
      </c>
    </row>
    <row r="116" spans="1:14" ht="11.1" customHeight="1">
      <c r="A116" s="940" t="s">
        <v>6538</v>
      </c>
      <c r="B116" s="409" t="s">
        <v>10050</v>
      </c>
      <c r="C116" s="53">
        <v>91440</v>
      </c>
      <c r="D116" s="55">
        <v>48.483820168717756</v>
      </c>
      <c r="E116" s="410" t="s">
        <v>6251</v>
      </c>
      <c r="F116" s="56" t="s">
        <v>6539</v>
      </c>
      <c r="G116" s="56">
        <v>73</v>
      </c>
      <c r="H116" s="56" t="s">
        <v>0</v>
      </c>
      <c r="I116" s="56" t="s">
        <v>6233</v>
      </c>
      <c r="J116" s="56" t="s">
        <v>6253</v>
      </c>
      <c r="K116" s="56" t="s">
        <v>12007</v>
      </c>
      <c r="L116" s="56" t="s">
        <v>6209</v>
      </c>
      <c r="M116" s="56">
        <v>12</v>
      </c>
      <c r="N116" s="411">
        <v>0</v>
      </c>
    </row>
    <row r="117" spans="1:14" ht="11.1" customHeight="1">
      <c r="A117" s="400" t="s">
        <v>6540</v>
      </c>
      <c r="B117" s="401" t="s">
        <v>11986</v>
      </c>
      <c r="C117" s="116">
        <v>84803</v>
      </c>
      <c r="D117" s="93">
        <v>44.964713492648421</v>
      </c>
      <c r="E117" s="93">
        <v>92.741688538932635</v>
      </c>
      <c r="F117" s="212" t="s">
        <v>12072</v>
      </c>
      <c r="G117" s="212">
        <v>53</v>
      </c>
      <c r="H117" s="212" t="s">
        <v>0</v>
      </c>
      <c r="I117" s="212" t="s">
        <v>6233</v>
      </c>
      <c r="J117" s="212" t="s">
        <v>6257</v>
      </c>
      <c r="K117" s="212" t="s">
        <v>11995</v>
      </c>
      <c r="L117" s="212" t="s">
        <v>6036</v>
      </c>
      <c r="M117" s="212">
        <v>0</v>
      </c>
      <c r="N117" s="402" t="s">
        <v>6260</v>
      </c>
    </row>
    <row r="118" spans="1:14" ht="11.1" customHeight="1">
      <c r="A118" s="817" t="s">
        <v>6542</v>
      </c>
      <c r="B118" s="404" t="s">
        <v>6231</v>
      </c>
      <c r="C118" s="405">
        <v>12356</v>
      </c>
      <c r="D118" s="406">
        <v>6.551466338633821</v>
      </c>
      <c r="E118" s="407" t="s">
        <v>6262</v>
      </c>
      <c r="F118" s="213" t="s">
        <v>12073</v>
      </c>
      <c r="G118" s="213">
        <v>46</v>
      </c>
      <c r="H118" s="213" t="s">
        <v>0</v>
      </c>
      <c r="I118" s="213">
        <v>0</v>
      </c>
      <c r="J118" s="213" t="s">
        <v>6264</v>
      </c>
      <c r="K118" s="213">
        <v>0</v>
      </c>
      <c r="L118" s="213" t="s">
        <v>6036</v>
      </c>
      <c r="M118" s="213">
        <v>0</v>
      </c>
      <c r="N118" s="408">
        <v>0</v>
      </c>
    </row>
    <row r="119" spans="1:14" ht="11.1" customHeight="1">
      <c r="A119" s="940" t="s">
        <v>6548</v>
      </c>
      <c r="B119" s="412" t="s">
        <v>10050</v>
      </c>
      <c r="C119" s="413">
        <v>112808</v>
      </c>
      <c r="D119" s="414">
        <v>47.624234287861327</v>
      </c>
      <c r="E119" s="415" t="s">
        <v>6251</v>
      </c>
      <c r="F119" s="416" t="s">
        <v>6537</v>
      </c>
      <c r="G119" s="416">
        <v>57</v>
      </c>
      <c r="H119" s="416" t="s">
        <v>0</v>
      </c>
      <c r="I119" s="416" t="s">
        <v>6233</v>
      </c>
      <c r="J119" s="416" t="s">
        <v>6257</v>
      </c>
      <c r="K119" s="416" t="s">
        <v>11998</v>
      </c>
      <c r="L119" s="416" t="s">
        <v>6209</v>
      </c>
      <c r="M119" s="416">
        <v>2</v>
      </c>
      <c r="N119" s="417" t="s">
        <v>6260</v>
      </c>
    </row>
    <row r="120" spans="1:14" ht="11.1" customHeight="1">
      <c r="A120" s="400" t="s">
        <v>6546</v>
      </c>
      <c r="B120" s="401" t="s">
        <v>11986</v>
      </c>
      <c r="C120" s="116">
        <v>92935</v>
      </c>
      <c r="D120" s="93">
        <v>39.23443562107645</v>
      </c>
      <c r="E120" s="93">
        <v>82.383341606978234</v>
      </c>
      <c r="F120" s="212" t="s">
        <v>12074</v>
      </c>
      <c r="G120" s="212">
        <v>56</v>
      </c>
      <c r="H120" s="212" t="s">
        <v>0</v>
      </c>
      <c r="I120" s="212" t="s">
        <v>6233</v>
      </c>
      <c r="J120" s="212" t="s">
        <v>6253</v>
      </c>
      <c r="K120" s="212" t="s">
        <v>12007</v>
      </c>
      <c r="L120" s="212" t="s">
        <v>6209</v>
      </c>
      <c r="M120" s="212">
        <v>1</v>
      </c>
      <c r="N120" s="402">
        <v>0</v>
      </c>
    </row>
    <row r="121" spans="1:14" ht="11.1" customHeight="1">
      <c r="A121" s="400" t="s">
        <v>6550</v>
      </c>
      <c r="B121" s="401" t="s">
        <v>6231</v>
      </c>
      <c r="C121" s="116">
        <v>18783</v>
      </c>
      <c r="D121" s="93">
        <v>7.9296325848246516</v>
      </c>
      <c r="E121" s="403" t="s">
        <v>6262</v>
      </c>
      <c r="F121" s="212" t="s">
        <v>12075</v>
      </c>
      <c r="G121" s="212">
        <v>46</v>
      </c>
      <c r="H121" s="212" t="s">
        <v>0</v>
      </c>
      <c r="I121" s="212">
        <v>0</v>
      </c>
      <c r="J121" s="212" t="s">
        <v>6264</v>
      </c>
      <c r="K121" s="212">
        <v>0</v>
      </c>
      <c r="L121" s="212" t="s">
        <v>6036</v>
      </c>
      <c r="M121" s="212">
        <v>0</v>
      </c>
      <c r="N121" s="402">
        <v>0</v>
      </c>
    </row>
    <row r="122" spans="1:14" ht="11.1" customHeight="1" thickBot="1">
      <c r="A122" s="418" t="s">
        <v>12076</v>
      </c>
      <c r="B122" s="419" t="s">
        <v>6231</v>
      </c>
      <c r="C122" s="420">
        <v>12345</v>
      </c>
      <c r="D122" s="421">
        <v>5.2116975062375728</v>
      </c>
      <c r="E122" s="421">
        <v>10.943372810438976</v>
      </c>
      <c r="F122" s="423" t="s">
        <v>12077</v>
      </c>
      <c r="G122" s="423">
        <v>61</v>
      </c>
      <c r="H122" s="423">
        <v>0</v>
      </c>
      <c r="I122" s="423" t="s">
        <v>6233</v>
      </c>
      <c r="J122" s="423" t="s">
        <v>7280</v>
      </c>
      <c r="K122" s="423">
        <v>0</v>
      </c>
      <c r="L122" s="423" t="s">
        <v>6036</v>
      </c>
      <c r="M122" s="423">
        <v>0</v>
      </c>
      <c r="N122" s="424">
        <v>0</v>
      </c>
    </row>
    <row r="123" spans="1:14" ht="11.1" customHeight="1" thickTop="1">
      <c r="A123" s="400" t="s">
        <v>6554</v>
      </c>
      <c r="B123" s="425" t="s">
        <v>10050</v>
      </c>
      <c r="C123" s="426">
        <v>144499</v>
      </c>
      <c r="D123" s="427">
        <v>58.271834950438354</v>
      </c>
      <c r="E123" s="428" t="s">
        <v>6251</v>
      </c>
      <c r="F123" s="303" t="s">
        <v>6555</v>
      </c>
      <c r="G123" s="303">
        <v>46</v>
      </c>
      <c r="H123" s="303" t="s">
        <v>0</v>
      </c>
      <c r="I123" s="303" t="s">
        <v>6233</v>
      </c>
      <c r="J123" s="303" t="s">
        <v>6257</v>
      </c>
      <c r="K123" s="303" t="s">
        <v>12028</v>
      </c>
      <c r="L123" s="303" t="s">
        <v>6209</v>
      </c>
      <c r="M123" s="303">
        <v>5</v>
      </c>
      <c r="N123" s="429" t="s">
        <v>6260</v>
      </c>
    </row>
    <row r="124" spans="1:14" ht="11.1" customHeight="1">
      <c r="A124" s="400" t="s">
        <v>6552</v>
      </c>
      <c r="B124" s="401" t="s">
        <v>6230</v>
      </c>
      <c r="C124" s="116">
        <v>86999</v>
      </c>
      <c r="D124" s="93">
        <v>35.083920088396361</v>
      </c>
      <c r="E124" s="93">
        <v>60.207337074997056</v>
      </c>
      <c r="F124" s="212" t="s">
        <v>6553</v>
      </c>
      <c r="G124" s="212">
        <v>35</v>
      </c>
      <c r="H124" s="212" t="s">
        <v>0</v>
      </c>
      <c r="I124" s="212" t="s">
        <v>6233</v>
      </c>
      <c r="J124" s="212" t="s">
        <v>6253</v>
      </c>
      <c r="K124" s="212" t="s">
        <v>12007</v>
      </c>
      <c r="L124" s="212" t="s">
        <v>6036</v>
      </c>
      <c r="M124" s="212">
        <v>0</v>
      </c>
      <c r="N124" s="402">
        <v>0</v>
      </c>
    </row>
    <row r="125" spans="1:14" ht="11.1" customHeight="1">
      <c r="A125" s="817" t="s">
        <v>6556</v>
      </c>
      <c r="B125" s="404" t="s">
        <v>6231</v>
      </c>
      <c r="C125" s="405">
        <v>16476</v>
      </c>
      <c r="D125" s="406">
        <v>6.6442449611652838</v>
      </c>
      <c r="E125" s="406">
        <v>11.402155032214756</v>
      </c>
      <c r="F125" s="213" t="s">
        <v>6557</v>
      </c>
      <c r="G125" s="213">
        <v>54</v>
      </c>
      <c r="H125" s="213" t="s">
        <v>0</v>
      </c>
      <c r="I125" s="213" t="s">
        <v>6233</v>
      </c>
      <c r="J125" s="213" t="s">
        <v>6264</v>
      </c>
      <c r="K125" s="213">
        <v>0</v>
      </c>
      <c r="L125" s="213" t="s">
        <v>6036</v>
      </c>
      <c r="M125" s="213">
        <v>0</v>
      </c>
      <c r="N125" s="408">
        <v>0</v>
      </c>
    </row>
    <row r="126" spans="1:14" ht="11.1" customHeight="1">
      <c r="A126" s="940" t="s">
        <v>6562</v>
      </c>
      <c r="B126" s="412" t="s">
        <v>10050</v>
      </c>
      <c r="C126" s="413">
        <v>138728</v>
      </c>
      <c r="D126" s="414">
        <v>64.749014025343627</v>
      </c>
      <c r="E126" s="415" t="s">
        <v>6251</v>
      </c>
      <c r="F126" s="416" t="s">
        <v>6563</v>
      </c>
      <c r="G126" s="416">
        <v>61</v>
      </c>
      <c r="H126" s="416" t="s">
        <v>0</v>
      </c>
      <c r="I126" s="416" t="s">
        <v>6233</v>
      </c>
      <c r="J126" s="416" t="s">
        <v>6257</v>
      </c>
      <c r="K126" s="416" t="s">
        <v>11995</v>
      </c>
      <c r="L126" s="416" t="s">
        <v>6209</v>
      </c>
      <c r="M126" s="416">
        <v>7</v>
      </c>
      <c r="N126" s="417" t="s">
        <v>6260</v>
      </c>
    </row>
    <row r="127" spans="1:14" ht="11.1" customHeight="1">
      <c r="A127" s="400" t="s">
        <v>6560</v>
      </c>
      <c r="B127" s="401"/>
      <c r="C127" s="116">
        <v>65268</v>
      </c>
      <c r="D127" s="93">
        <v>30.462766329840612</v>
      </c>
      <c r="E127" s="93">
        <v>47.047459777406146</v>
      </c>
      <c r="F127" s="212" t="s">
        <v>12078</v>
      </c>
      <c r="G127" s="212">
        <v>27</v>
      </c>
      <c r="H127" s="212" t="s">
        <v>0</v>
      </c>
      <c r="I127" s="212" t="s">
        <v>6233</v>
      </c>
      <c r="J127" s="212" t="s">
        <v>6253</v>
      </c>
      <c r="K127" s="212" t="s">
        <v>12007</v>
      </c>
      <c r="L127" s="212" t="s">
        <v>6036</v>
      </c>
      <c r="M127" s="212">
        <v>0</v>
      </c>
      <c r="N127" s="402">
        <v>0</v>
      </c>
    </row>
    <row r="128" spans="1:14" ht="11.1" customHeight="1">
      <c r="A128" s="817" t="s">
        <v>6564</v>
      </c>
      <c r="B128" s="404"/>
      <c r="C128" s="405">
        <v>10259</v>
      </c>
      <c r="D128" s="406">
        <v>4.788219644815757</v>
      </c>
      <c r="E128" s="407" t="s">
        <v>6262</v>
      </c>
      <c r="F128" s="213" t="s">
        <v>12079</v>
      </c>
      <c r="G128" s="213">
        <v>55</v>
      </c>
      <c r="H128" s="213" t="s">
        <v>0</v>
      </c>
      <c r="I128" s="213">
        <v>0</v>
      </c>
      <c r="J128" s="213" t="s">
        <v>6264</v>
      </c>
      <c r="K128" s="213">
        <v>0</v>
      </c>
      <c r="L128" s="213" t="s">
        <v>6036</v>
      </c>
      <c r="M128" s="213">
        <v>0</v>
      </c>
      <c r="N128" s="408">
        <v>0</v>
      </c>
    </row>
    <row r="129" spans="1:14" ht="11.1" customHeight="1">
      <c r="A129" s="940" t="s">
        <v>6568</v>
      </c>
      <c r="B129" s="412" t="s">
        <v>10050</v>
      </c>
      <c r="C129" s="413">
        <v>113977</v>
      </c>
      <c r="D129" s="414">
        <v>46.819916446554963</v>
      </c>
      <c r="E129" s="415" t="s">
        <v>6251</v>
      </c>
      <c r="F129" s="416" t="s">
        <v>6569</v>
      </c>
      <c r="G129" s="416">
        <v>45</v>
      </c>
      <c r="H129" s="416" t="s">
        <v>0</v>
      </c>
      <c r="I129" s="416" t="s">
        <v>6233</v>
      </c>
      <c r="J129" s="416" t="s">
        <v>6257</v>
      </c>
      <c r="K129" s="416" t="s">
        <v>12009</v>
      </c>
      <c r="L129" s="416" t="s">
        <v>6209</v>
      </c>
      <c r="M129" s="416">
        <v>1</v>
      </c>
      <c r="N129" s="417" t="s">
        <v>6260</v>
      </c>
    </row>
    <row r="130" spans="1:14" ht="11.1" customHeight="1">
      <c r="A130" s="400" t="s">
        <v>6566</v>
      </c>
      <c r="B130" s="401" t="s">
        <v>6230</v>
      </c>
      <c r="C130" s="116">
        <v>82841</v>
      </c>
      <c r="D130" s="93">
        <v>34.029748969959371</v>
      </c>
      <c r="E130" s="93">
        <v>72.682207813857175</v>
      </c>
      <c r="F130" s="212" t="s">
        <v>6567</v>
      </c>
      <c r="G130" s="212">
        <v>48</v>
      </c>
      <c r="H130" s="212" t="s">
        <v>0</v>
      </c>
      <c r="I130" s="212" t="s">
        <v>6233</v>
      </c>
      <c r="J130" s="212" t="s">
        <v>6253</v>
      </c>
      <c r="K130" s="212" t="s">
        <v>12007</v>
      </c>
      <c r="L130" s="212" t="s">
        <v>6209</v>
      </c>
      <c r="M130" s="212">
        <v>2</v>
      </c>
      <c r="N130" s="402">
        <v>0</v>
      </c>
    </row>
    <row r="131" spans="1:14" ht="11.1" customHeight="1">
      <c r="A131" s="400" t="s">
        <v>12080</v>
      </c>
      <c r="B131" s="401"/>
      <c r="C131" s="116">
        <v>29416</v>
      </c>
      <c r="D131" s="93">
        <v>12.083619170462995</v>
      </c>
      <c r="E131" s="403" t="s">
        <v>6262</v>
      </c>
      <c r="F131" s="212" t="s">
        <v>12081</v>
      </c>
      <c r="G131" s="212">
        <v>42</v>
      </c>
      <c r="H131" s="212" t="s">
        <v>0</v>
      </c>
      <c r="I131" s="212">
        <v>0</v>
      </c>
      <c r="J131" s="212" t="s">
        <v>12017</v>
      </c>
      <c r="K131" s="212" t="s">
        <v>12082</v>
      </c>
      <c r="L131" s="212" t="s">
        <v>6036</v>
      </c>
      <c r="M131" s="212">
        <v>0</v>
      </c>
      <c r="N131" s="402">
        <v>0</v>
      </c>
    </row>
    <row r="132" spans="1:14" ht="11.1" customHeight="1">
      <c r="A132" s="400" t="s">
        <v>6570</v>
      </c>
      <c r="B132" s="401" t="s">
        <v>6231</v>
      </c>
      <c r="C132" s="116">
        <v>11859</v>
      </c>
      <c r="D132" s="93">
        <v>4.871486257224662</v>
      </c>
      <c r="E132" s="403" t="s">
        <v>6262</v>
      </c>
      <c r="F132" s="212" t="s">
        <v>12083</v>
      </c>
      <c r="G132" s="212">
        <v>40</v>
      </c>
      <c r="H132" s="212" t="s">
        <v>0</v>
      </c>
      <c r="I132" s="212">
        <v>0</v>
      </c>
      <c r="J132" s="212" t="s">
        <v>6264</v>
      </c>
      <c r="K132" s="212">
        <v>0</v>
      </c>
      <c r="L132" s="212" t="s">
        <v>6036</v>
      </c>
      <c r="M132" s="212">
        <v>0</v>
      </c>
      <c r="N132" s="402">
        <v>0</v>
      </c>
    </row>
    <row r="133" spans="1:14" ht="11.1" customHeight="1">
      <c r="A133" s="817" t="s">
        <v>12084</v>
      </c>
      <c r="B133" s="404" t="s">
        <v>6231</v>
      </c>
      <c r="C133" s="405">
        <v>5344</v>
      </c>
      <c r="D133" s="406">
        <v>2.1952291557980095</v>
      </c>
      <c r="E133" s="406">
        <v>4.6886652570255398</v>
      </c>
      <c r="F133" s="213" t="s">
        <v>12085</v>
      </c>
      <c r="G133" s="213">
        <v>27</v>
      </c>
      <c r="H133" s="213" t="s">
        <v>6049</v>
      </c>
      <c r="I133" s="213" t="s">
        <v>6233</v>
      </c>
      <c r="J133" s="213" t="s">
        <v>6278</v>
      </c>
      <c r="K133" s="213">
        <v>0</v>
      </c>
      <c r="L133" s="213" t="s">
        <v>6036</v>
      </c>
      <c r="M133" s="213">
        <v>0</v>
      </c>
      <c r="N133" s="408">
        <v>0</v>
      </c>
    </row>
    <row r="134" spans="1:14" ht="11.1" customHeight="1">
      <c r="A134" s="940" t="s">
        <v>6572</v>
      </c>
      <c r="B134" s="412" t="s">
        <v>10050</v>
      </c>
      <c r="C134" s="413">
        <v>122200</v>
      </c>
      <c r="D134" s="414">
        <v>63.200467538646933</v>
      </c>
      <c r="E134" s="415" t="s">
        <v>6251</v>
      </c>
      <c r="F134" s="416" t="s">
        <v>6573</v>
      </c>
      <c r="G134" s="416">
        <v>49</v>
      </c>
      <c r="H134" s="416" t="s">
        <v>0</v>
      </c>
      <c r="I134" s="416" t="s">
        <v>6233</v>
      </c>
      <c r="J134" s="416" t="s">
        <v>6257</v>
      </c>
      <c r="K134" s="416" t="s">
        <v>6258</v>
      </c>
      <c r="L134" s="416" t="s">
        <v>6209</v>
      </c>
      <c r="M134" s="416">
        <v>2</v>
      </c>
      <c r="N134" s="417" t="s">
        <v>6260</v>
      </c>
    </row>
    <row r="135" spans="1:14" ht="11.1" customHeight="1">
      <c r="A135" s="400" t="s">
        <v>6574</v>
      </c>
      <c r="B135" s="401" t="s">
        <v>6230</v>
      </c>
      <c r="C135" s="116">
        <v>59941</v>
      </c>
      <c r="D135" s="93">
        <v>31.000811986366905</v>
      </c>
      <c r="E135" s="93">
        <v>49.051554828150572</v>
      </c>
      <c r="F135" s="212" t="s">
        <v>12086</v>
      </c>
      <c r="G135" s="212">
        <v>46</v>
      </c>
      <c r="H135" s="212" t="s">
        <v>0</v>
      </c>
      <c r="I135" s="212" t="s">
        <v>6233</v>
      </c>
      <c r="J135" s="212" t="s">
        <v>6253</v>
      </c>
      <c r="K135" s="212" t="s">
        <v>12007</v>
      </c>
      <c r="L135" s="212" t="s">
        <v>6036</v>
      </c>
      <c r="M135" s="212">
        <v>0</v>
      </c>
      <c r="N135" s="402">
        <v>0</v>
      </c>
    </row>
    <row r="136" spans="1:14" ht="11.1" customHeight="1">
      <c r="A136" s="817" t="s">
        <v>6576</v>
      </c>
      <c r="B136" s="404" t="s">
        <v>6231</v>
      </c>
      <c r="C136" s="405">
        <v>11212</v>
      </c>
      <c r="D136" s="406">
        <v>5.7987204749861654</v>
      </c>
      <c r="E136" s="407" t="s">
        <v>6262</v>
      </c>
      <c r="F136" s="213" t="s">
        <v>12087</v>
      </c>
      <c r="G136" s="213">
        <v>52</v>
      </c>
      <c r="H136" s="213" t="s">
        <v>6049</v>
      </c>
      <c r="I136" s="213">
        <v>0</v>
      </c>
      <c r="J136" s="213" t="s">
        <v>6264</v>
      </c>
      <c r="K136" s="213">
        <v>0</v>
      </c>
      <c r="L136" s="213" t="s">
        <v>6036</v>
      </c>
      <c r="M136" s="213">
        <v>0</v>
      </c>
      <c r="N136" s="408">
        <v>0</v>
      </c>
    </row>
    <row r="137" spans="1:14" ht="11.1" customHeight="1">
      <c r="A137" s="940" t="s">
        <v>6578</v>
      </c>
      <c r="B137" s="409" t="s">
        <v>10050</v>
      </c>
      <c r="C137" s="53">
        <v>74753</v>
      </c>
      <c r="D137" s="55">
        <v>49.386900278801811</v>
      </c>
      <c r="E137" s="410" t="s">
        <v>6251</v>
      </c>
      <c r="F137" s="56" t="s">
        <v>6579</v>
      </c>
      <c r="G137" s="56">
        <v>57</v>
      </c>
      <c r="H137" s="56" t="s">
        <v>0</v>
      </c>
      <c r="I137" s="56" t="s">
        <v>6233</v>
      </c>
      <c r="J137" s="56" t="s">
        <v>6253</v>
      </c>
      <c r="K137" s="56" t="s">
        <v>11989</v>
      </c>
      <c r="L137" s="56" t="s">
        <v>6209</v>
      </c>
      <c r="M137" s="56">
        <v>5</v>
      </c>
      <c r="N137" s="411">
        <v>0</v>
      </c>
    </row>
    <row r="138" spans="1:14" ht="11.1" customHeight="1">
      <c r="A138" s="400" t="s">
        <v>6580</v>
      </c>
      <c r="B138" s="401" t="s">
        <v>11986</v>
      </c>
      <c r="C138" s="116">
        <v>70098</v>
      </c>
      <c r="D138" s="93">
        <v>46.31149165576565</v>
      </c>
      <c r="E138" s="93">
        <v>93.772825170896155</v>
      </c>
      <c r="F138" s="212" t="s">
        <v>6581</v>
      </c>
      <c r="G138" s="212">
        <v>46</v>
      </c>
      <c r="H138" s="212" t="s">
        <v>0</v>
      </c>
      <c r="I138" s="212" t="s">
        <v>6233</v>
      </c>
      <c r="J138" s="212" t="s">
        <v>6257</v>
      </c>
      <c r="K138" s="212" t="s">
        <v>11998</v>
      </c>
      <c r="L138" s="212" t="s">
        <v>6036</v>
      </c>
      <c r="M138" s="212">
        <v>0</v>
      </c>
      <c r="N138" s="402">
        <v>0</v>
      </c>
    </row>
    <row r="139" spans="1:14" ht="11.1" customHeight="1">
      <c r="A139" s="817" t="s">
        <v>6582</v>
      </c>
      <c r="B139" s="404" t="s">
        <v>6231</v>
      </c>
      <c r="C139" s="405">
        <v>6511</v>
      </c>
      <c r="D139" s="406">
        <v>4.3016080654325393</v>
      </c>
      <c r="E139" s="407" t="s">
        <v>6262</v>
      </c>
      <c r="F139" s="213" t="s">
        <v>12088</v>
      </c>
      <c r="G139" s="213">
        <v>54</v>
      </c>
      <c r="H139" s="213" t="s">
        <v>0</v>
      </c>
      <c r="I139" s="213">
        <v>0</v>
      </c>
      <c r="J139" s="213" t="s">
        <v>6264</v>
      </c>
      <c r="K139" s="213">
        <v>0</v>
      </c>
      <c r="L139" s="213" t="s">
        <v>6036</v>
      </c>
      <c r="M139" s="213">
        <v>0</v>
      </c>
      <c r="N139" s="408">
        <v>0</v>
      </c>
    </row>
    <row r="140" spans="1:14" ht="11.1" customHeight="1">
      <c r="A140" s="940" t="s">
        <v>6586</v>
      </c>
      <c r="B140" s="412" t="s">
        <v>10050</v>
      </c>
      <c r="C140" s="413">
        <v>141212</v>
      </c>
      <c r="D140" s="414">
        <v>56.607298193290283</v>
      </c>
      <c r="E140" s="415" t="s">
        <v>6251</v>
      </c>
      <c r="F140" s="416" t="s">
        <v>6587</v>
      </c>
      <c r="G140" s="416">
        <v>61</v>
      </c>
      <c r="H140" s="416" t="s">
        <v>0</v>
      </c>
      <c r="I140" s="416" t="s">
        <v>6233</v>
      </c>
      <c r="J140" s="416" t="s">
        <v>6257</v>
      </c>
      <c r="K140" s="416" t="s">
        <v>12009</v>
      </c>
      <c r="L140" s="416" t="s">
        <v>6209</v>
      </c>
      <c r="M140" s="416">
        <v>9</v>
      </c>
      <c r="N140" s="417" t="s">
        <v>6260</v>
      </c>
    </row>
    <row r="141" spans="1:14" ht="11.1" customHeight="1">
      <c r="A141" s="400" t="s">
        <v>6584</v>
      </c>
      <c r="B141" s="401" t="s">
        <v>6230</v>
      </c>
      <c r="C141" s="116">
        <v>76798</v>
      </c>
      <c r="D141" s="93">
        <v>30.785820515595749</v>
      </c>
      <c r="E141" s="93">
        <v>54.384896467722292</v>
      </c>
      <c r="F141" s="212" t="s">
        <v>12089</v>
      </c>
      <c r="G141" s="212">
        <v>40</v>
      </c>
      <c r="H141" s="212" t="s">
        <v>0</v>
      </c>
      <c r="I141" s="212" t="s">
        <v>6233</v>
      </c>
      <c r="J141" s="212" t="s">
        <v>6253</v>
      </c>
      <c r="K141" s="212" t="s">
        <v>12007</v>
      </c>
      <c r="L141" s="212" t="s">
        <v>6036</v>
      </c>
      <c r="M141" s="212">
        <v>0</v>
      </c>
      <c r="N141" s="402">
        <v>0</v>
      </c>
    </row>
    <row r="142" spans="1:14" ht="11.1" customHeight="1">
      <c r="A142" s="400" t="s">
        <v>12090</v>
      </c>
      <c r="B142" s="401" t="s">
        <v>6231</v>
      </c>
      <c r="C142" s="116">
        <v>16769</v>
      </c>
      <c r="D142" s="93">
        <v>6.7221467255140119</v>
      </c>
      <c r="E142" s="403" t="s">
        <v>6262</v>
      </c>
      <c r="F142" s="212" t="s">
        <v>12091</v>
      </c>
      <c r="G142" s="212">
        <v>63</v>
      </c>
      <c r="H142" s="212" t="s">
        <v>6049</v>
      </c>
      <c r="I142" s="212">
        <v>0</v>
      </c>
      <c r="J142" s="212" t="s">
        <v>12017</v>
      </c>
      <c r="K142" s="212" t="s">
        <v>6323</v>
      </c>
      <c r="L142" s="212" t="s">
        <v>6036</v>
      </c>
      <c r="M142" s="212">
        <v>0</v>
      </c>
      <c r="N142" s="402">
        <v>0</v>
      </c>
    </row>
    <row r="143" spans="1:14" ht="11.1" customHeight="1">
      <c r="A143" s="817" t="s">
        <v>6588</v>
      </c>
      <c r="B143" s="404" t="s">
        <v>6231</v>
      </c>
      <c r="C143" s="405">
        <v>14680</v>
      </c>
      <c r="D143" s="406">
        <v>5.8847345655999579</v>
      </c>
      <c r="E143" s="407" t="s">
        <v>6262</v>
      </c>
      <c r="F143" s="213" t="s">
        <v>12092</v>
      </c>
      <c r="G143" s="213">
        <v>61</v>
      </c>
      <c r="H143" s="213" t="s">
        <v>0</v>
      </c>
      <c r="I143" s="213">
        <v>0</v>
      </c>
      <c r="J143" s="213" t="s">
        <v>6264</v>
      </c>
      <c r="K143" s="213">
        <v>0</v>
      </c>
      <c r="L143" s="213" t="s">
        <v>6036</v>
      </c>
      <c r="M143" s="213">
        <v>0</v>
      </c>
      <c r="N143" s="408">
        <v>0</v>
      </c>
    </row>
    <row r="144" spans="1:14" ht="11.1" customHeight="1">
      <c r="A144" s="940" t="s">
        <v>6590</v>
      </c>
      <c r="B144" s="444" t="s">
        <v>10050</v>
      </c>
      <c r="C144" s="445">
        <v>89099</v>
      </c>
      <c r="D144" s="446">
        <v>42.137347540068767</v>
      </c>
      <c r="E144" s="447" t="s">
        <v>6262</v>
      </c>
      <c r="F144" s="448" t="s">
        <v>6591</v>
      </c>
      <c r="G144" s="448">
        <v>56</v>
      </c>
      <c r="H144" s="448" t="s">
        <v>0</v>
      </c>
      <c r="I144" s="448">
        <v>0</v>
      </c>
      <c r="J144" s="448" t="s">
        <v>12017</v>
      </c>
      <c r="K144" s="448" t="s">
        <v>6323</v>
      </c>
      <c r="L144" s="448" t="s">
        <v>6283</v>
      </c>
      <c r="M144" s="448">
        <v>9</v>
      </c>
      <c r="N144" s="449">
        <v>0</v>
      </c>
    </row>
    <row r="145" spans="1:14" ht="11.1" customHeight="1">
      <c r="A145" s="400" t="s">
        <v>6594</v>
      </c>
      <c r="B145" s="401" t="s">
        <v>11986</v>
      </c>
      <c r="C145" s="116">
        <v>81230</v>
      </c>
      <c r="D145" s="93">
        <v>38.415882789703424</v>
      </c>
      <c r="E145" s="93">
        <v>91.168251046588622</v>
      </c>
      <c r="F145" s="212" t="s">
        <v>6595</v>
      </c>
      <c r="G145" s="212">
        <v>51</v>
      </c>
      <c r="H145" s="212" t="s">
        <v>6049</v>
      </c>
      <c r="I145" s="212" t="s">
        <v>6233</v>
      </c>
      <c r="J145" s="212" t="s">
        <v>6257</v>
      </c>
      <c r="K145" s="212" t="s">
        <v>12012</v>
      </c>
      <c r="L145" s="212" t="s">
        <v>6036</v>
      </c>
      <c r="M145" s="212">
        <v>0</v>
      </c>
      <c r="N145" s="402" t="s">
        <v>6260</v>
      </c>
    </row>
    <row r="146" spans="1:14" ht="11.1" customHeight="1">
      <c r="A146" s="400" t="s">
        <v>6592</v>
      </c>
      <c r="B146" s="401"/>
      <c r="C146" s="116">
        <v>33266</v>
      </c>
      <c r="D146" s="93">
        <v>15.732398829032059</v>
      </c>
      <c r="E146" s="93">
        <v>37.335997037003786</v>
      </c>
      <c r="F146" s="212" t="s">
        <v>12093</v>
      </c>
      <c r="G146" s="212">
        <v>61</v>
      </c>
      <c r="H146" s="212" t="s">
        <v>6049</v>
      </c>
      <c r="I146" s="212" t="s">
        <v>6233</v>
      </c>
      <c r="J146" s="212" t="s">
        <v>6253</v>
      </c>
      <c r="K146" s="212" t="s">
        <v>12007</v>
      </c>
      <c r="L146" s="212" t="s">
        <v>6036</v>
      </c>
      <c r="M146" s="212">
        <v>0</v>
      </c>
      <c r="N146" s="402">
        <v>0</v>
      </c>
    </row>
    <row r="147" spans="1:14" ht="11.1" customHeight="1" thickBot="1">
      <c r="A147" s="430" t="s">
        <v>6597</v>
      </c>
      <c r="B147" s="431" t="s">
        <v>6231</v>
      </c>
      <c r="C147" s="432">
        <v>7854</v>
      </c>
      <c r="D147" s="433">
        <v>3.7143708411957492</v>
      </c>
      <c r="E147" s="434" t="s">
        <v>6262</v>
      </c>
      <c r="F147" s="217" t="s">
        <v>12094</v>
      </c>
      <c r="G147" s="217">
        <v>43</v>
      </c>
      <c r="H147" s="217">
        <v>0</v>
      </c>
      <c r="I147" s="217">
        <v>0</v>
      </c>
      <c r="J147" s="217" t="s">
        <v>6264</v>
      </c>
      <c r="K147" s="217">
        <v>0</v>
      </c>
      <c r="L147" s="217" t="s">
        <v>6036</v>
      </c>
      <c r="M147" s="217">
        <v>0</v>
      </c>
      <c r="N147" s="435">
        <v>0</v>
      </c>
    </row>
    <row r="148" spans="1:14" ht="11.1" customHeight="1">
      <c r="A148" s="941" t="s">
        <v>6601</v>
      </c>
      <c r="B148" s="439" t="s">
        <v>10050</v>
      </c>
      <c r="C148" s="440">
        <v>141868</v>
      </c>
      <c r="D148" s="441">
        <v>55.433211162601687</v>
      </c>
      <c r="E148" s="442" t="s">
        <v>6251</v>
      </c>
      <c r="F148" s="337" t="s">
        <v>12095</v>
      </c>
      <c r="G148" s="337">
        <v>51</v>
      </c>
      <c r="H148" s="337" t="s">
        <v>0</v>
      </c>
      <c r="I148" s="337" t="s">
        <v>6233</v>
      </c>
      <c r="J148" s="337" t="s">
        <v>6257</v>
      </c>
      <c r="K148" s="337" t="s">
        <v>11995</v>
      </c>
      <c r="L148" s="337" t="s">
        <v>6209</v>
      </c>
      <c r="M148" s="337">
        <v>8</v>
      </c>
      <c r="N148" s="443" t="s">
        <v>6260</v>
      </c>
    </row>
    <row r="149" spans="1:14" ht="11.1" customHeight="1">
      <c r="A149" s="400" t="s">
        <v>6599</v>
      </c>
      <c r="B149" s="401" t="s">
        <v>6230</v>
      </c>
      <c r="C149" s="116">
        <v>103757</v>
      </c>
      <c r="D149" s="93">
        <v>40.541797238264188</v>
      </c>
      <c r="E149" s="93">
        <v>73.136295711506477</v>
      </c>
      <c r="F149" s="212" t="s">
        <v>12096</v>
      </c>
      <c r="G149" s="212">
        <v>37</v>
      </c>
      <c r="H149" s="212" t="s">
        <v>6049</v>
      </c>
      <c r="I149" s="212" t="s">
        <v>6233</v>
      </c>
      <c r="J149" s="212" t="s">
        <v>6253</v>
      </c>
      <c r="K149" s="212" t="s">
        <v>12007</v>
      </c>
      <c r="L149" s="212" t="s">
        <v>6209</v>
      </c>
      <c r="M149" s="212">
        <v>2</v>
      </c>
      <c r="N149" s="402">
        <v>0</v>
      </c>
    </row>
    <row r="150" spans="1:14" ht="11.1" customHeight="1">
      <c r="A150" s="817" t="s">
        <v>6603</v>
      </c>
      <c r="B150" s="404" t="s">
        <v>6231</v>
      </c>
      <c r="C150" s="405">
        <v>10301</v>
      </c>
      <c r="D150" s="406">
        <v>4.0249915991341245</v>
      </c>
      <c r="E150" s="407" t="s">
        <v>6262</v>
      </c>
      <c r="F150" s="213" t="s">
        <v>12097</v>
      </c>
      <c r="G150" s="213">
        <v>52</v>
      </c>
      <c r="H150" s="213" t="s">
        <v>6049</v>
      </c>
      <c r="I150" s="213">
        <v>0</v>
      </c>
      <c r="J150" s="213" t="s">
        <v>6264</v>
      </c>
      <c r="K150" s="213">
        <v>0</v>
      </c>
      <c r="L150" s="213" t="s">
        <v>6036</v>
      </c>
      <c r="M150" s="213">
        <v>0</v>
      </c>
      <c r="N150" s="408">
        <v>0</v>
      </c>
    </row>
    <row r="151" spans="1:14" ht="11.1" customHeight="1">
      <c r="A151" s="940" t="s">
        <v>6609</v>
      </c>
      <c r="B151" s="412" t="s">
        <v>10050</v>
      </c>
      <c r="C151" s="413">
        <v>99115</v>
      </c>
      <c r="D151" s="414">
        <v>53.306836333517985</v>
      </c>
      <c r="E151" s="415" t="s">
        <v>6262</v>
      </c>
      <c r="F151" s="416" t="s">
        <v>12098</v>
      </c>
      <c r="G151" s="416">
        <v>77</v>
      </c>
      <c r="H151" s="416" t="s">
        <v>6049</v>
      </c>
      <c r="I151" s="416">
        <v>0</v>
      </c>
      <c r="J151" s="416" t="s">
        <v>6257</v>
      </c>
      <c r="K151" s="416" t="s">
        <v>12028</v>
      </c>
      <c r="L151" s="416" t="s">
        <v>6209</v>
      </c>
      <c r="M151" s="416">
        <v>3</v>
      </c>
      <c r="N151" s="417" t="s">
        <v>6260</v>
      </c>
    </row>
    <row r="152" spans="1:14" ht="11.1" customHeight="1">
      <c r="A152" s="817" t="s">
        <v>6607</v>
      </c>
      <c r="B152" s="404" t="s">
        <v>11986</v>
      </c>
      <c r="C152" s="405">
        <v>86818</v>
      </c>
      <c r="D152" s="406">
        <v>46.693163666482015</v>
      </c>
      <c r="E152" s="406">
        <v>87.593199818392776</v>
      </c>
      <c r="F152" s="213" t="s">
        <v>6608</v>
      </c>
      <c r="G152" s="213">
        <v>57</v>
      </c>
      <c r="H152" s="213" t="s">
        <v>0</v>
      </c>
      <c r="I152" s="213" t="s">
        <v>6233</v>
      </c>
      <c r="J152" s="213" t="s">
        <v>6253</v>
      </c>
      <c r="K152" s="213" t="s">
        <v>12007</v>
      </c>
      <c r="L152" s="213" t="s">
        <v>6036</v>
      </c>
      <c r="M152" s="213">
        <v>0</v>
      </c>
      <c r="N152" s="408">
        <v>0</v>
      </c>
    </row>
    <row r="153" spans="1:14" ht="11.1" customHeight="1">
      <c r="A153" s="940" t="s">
        <v>6613</v>
      </c>
      <c r="B153" s="412" t="s">
        <v>10050</v>
      </c>
      <c r="C153" s="413">
        <v>98889</v>
      </c>
      <c r="D153" s="414">
        <v>63.991742917416232</v>
      </c>
      <c r="E153" s="415" t="s">
        <v>6251</v>
      </c>
      <c r="F153" s="416" t="s">
        <v>6614</v>
      </c>
      <c r="G153" s="416">
        <v>53</v>
      </c>
      <c r="H153" s="416" t="s">
        <v>0</v>
      </c>
      <c r="I153" s="416" t="s">
        <v>6233</v>
      </c>
      <c r="J153" s="416" t="s">
        <v>6257</v>
      </c>
      <c r="K153" s="416" t="s">
        <v>6258</v>
      </c>
      <c r="L153" s="416" t="s">
        <v>6209</v>
      </c>
      <c r="M153" s="416">
        <v>3</v>
      </c>
      <c r="N153" s="417" t="s">
        <v>6260</v>
      </c>
    </row>
    <row r="154" spans="1:14" ht="11.1" customHeight="1">
      <c r="A154" s="400" t="s">
        <v>6615</v>
      </c>
      <c r="B154" s="401" t="s">
        <v>6230</v>
      </c>
      <c r="C154" s="116">
        <v>41776</v>
      </c>
      <c r="D154" s="93">
        <v>27.033533073627812</v>
      </c>
      <c r="E154" s="93">
        <v>42.245345791746303</v>
      </c>
      <c r="F154" s="212" t="s">
        <v>12099</v>
      </c>
      <c r="G154" s="212">
        <v>42</v>
      </c>
      <c r="H154" s="212" t="s">
        <v>0</v>
      </c>
      <c r="I154" s="212" t="s">
        <v>6233</v>
      </c>
      <c r="J154" s="212" t="s">
        <v>6253</v>
      </c>
      <c r="K154" s="212" t="s">
        <v>12007</v>
      </c>
      <c r="L154" s="212" t="s">
        <v>6036</v>
      </c>
      <c r="M154" s="212">
        <v>0</v>
      </c>
      <c r="N154" s="402">
        <v>0</v>
      </c>
    </row>
    <row r="155" spans="1:14" ht="11.1" customHeight="1">
      <c r="A155" s="400" t="s">
        <v>12100</v>
      </c>
      <c r="B155" s="401" t="s">
        <v>6231</v>
      </c>
      <c r="C155" s="116">
        <v>6346</v>
      </c>
      <c r="D155" s="93">
        <v>4.106539661174887</v>
      </c>
      <c r="E155" s="93">
        <v>6.4172961603413929</v>
      </c>
      <c r="F155" s="212" t="s">
        <v>12101</v>
      </c>
      <c r="G155" s="212">
        <v>58</v>
      </c>
      <c r="H155" s="212" t="s">
        <v>6049</v>
      </c>
      <c r="I155" s="212" t="s">
        <v>6233</v>
      </c>
      <c r="J155" s="212" t="s">
        <v>6278</v>
      </c>
      <c r="K155" s="212">
        <v>0</v>
      </c>
      <c r="L155" s="212" t="s">
        <v>6036</v>
      </c>
      <c r="M155" s="212">
        <v>0</v>
      </c>
      <c r="N155" s="402">
        <v>0</v>
      </c>
    </row>
    <row r="156" spans="1:14" ht="11.1" customHeight="1">
      <c r="A156" s="400" t="s">
        <v>12102</v>
      </c>
      <c r="B156" s="401" t="s">
        <v>6231</v>
      </c>
      <c r="C156" s="116">
        <v>5905</v>
      </c>
      <c r="D156" s="93">
        <v>3.821165568742154</v>
      </c>
      <c r="E156" s="403" t="s">
        <v>6262</v>
      </c>
      <c r="F156" s="212" t="s">
        <v>12103</v>
      </c>
      <c r="G156" s="212">
        <v>61</v>
      </c>
      <c r="H156" s="212" t="s">
        <v>0</v>
      </c>
      <c r="I156" s="212">
        <v>0</v>
      </c>
      <c r="J156" s="212" t="s">
        <v>6264</v>
      </c>
      <c r="K156" s="212">
        <v>0</v>
      </c>
      <c r="L156" s="212" t="s">
        <v>6036</v>
      </c>
      <c r="M156" s="212">
        <v>0</v>
      </c>
      <c r="N156" s="402">
        <v>0</v>
      </c>
    </row>
    <row r="157" spans="1:14" ht="11.1" customHeight="1">
      <c r="A157" s="817" t="s">
        <v>12104</v>
      </c>
      <c r="B157" s="404" t="s">
        <v>6231</v>
      </c>
      <c r="C157" s="405">
        <v>1618</v>
      </c>
      <c r="D157" s="406">
        <v>1.0470187790389169</v>
      </c>
      <c r="E157" s="407" t="s">
        <v>6262</v>
      </c>
      <c r="F157" s="213" t="s">
        <v>12105</v>
      </c>
      <c r="G157" s="213">
        <v>62</v>
      </c>
      <c r="H157" s="213" t="s">
        <v>0</v>
      </c>
      <c r="I157" s="213">
        <v>0</v>
      </c>
      <c r="J157" s="213" t="s">
        <v>12017</v>
      </c>
      <c r="K157" s="213">
        <v>0</v>
      </c>
      <c r="L157" s="213" t="s">
        <v>6036</v>
      </c>
      <c r="M157" s="213">
        <v>0</v>
      </c>
      <c r="N157" s="408">
        <v>0</v>
      </c>
    </row>
    <row r="158" spans="1:14" ht="11.1" customHeight="1">
      <c r="A158" s="940" t="s">
        <v>6619</v>
      </c>
      <c r="B158" s="412" t="s">
        <v>10050</v>
      </c>
      <c r="C158" s="413">
        <v>140304</v>
      </c>
      <c r="D158" s="414">
        <v>54.239070346416575</v>
      </c>
      <c r="E158" s="415" t="s">
        <v>6251</v>
      </c>
      <c r="F158" s="416" t="s">
        <v>12106</v>
      </c>
      <c r="G158" s="416">
        <v>53</v>
      </c>
      <c r="H158" s="416" t="s">
        <v>0</v>
      </c>
      <c r="I158" s="416" t="s">
        <v>6233</v>
      </c>
      <c r="J158" s="416" t="s">
        <v>6257</v>
      </c>
      <c r="K158" s="416" t="s">
        <v>12062</v>
      </c>
      <c r="L158" s="416" t="s">
        <v>6209</v>
      </c>
      <c r="M158" s="416">
        <v>3</v>
      </c>
      <c r="N158" s="417" t="s">
        <v>6260</v>
      </c>
    </row>
    <row r="159" spans="1:14" ht="11.1" customHeight="1">
      <c r="A159" s="400" t="s">
        <v>6617</v>
      </c>
      <c r="B159" s="401" t="s">
        <v>11986</v>
      </c>
      <c r="C159" s="116">
        <v>108473</v>
      </c>
      <c r="D159" s="93">
        <v>41.933762955345856</v>
      </c>
      <c r="E159" s="93">
        <v>77.312834986885619</v>
      </c>
      <c r="F159" s="212" t="s">
        <v>6618</v>
      </c>
      <c r="G159" s="212">
        <v>62</v>
      </c>
      <c r="H159" s="212" t="s">
        <v>0</v>
      </c>
      <c r="I159" s="212" t="s">
        <v>6233</v>
      </c>
      <c r="J159" s="212" t="s">
        <v>6253</v>
      </c>
      <c r="K159" s="212" t="s">
        <v>12020</v>
      </c>
      <c r="L159" s="212" t="s">
        <v>6209</v>
      </c>
      <c r="M159" s="212">
        <v>3</v>
      </c>
      <c r="N159" s="402">
        <v>0</v>
      </c>
    </row>
    <row r="160" spans="1:14" ht="11.1" customHeight="1">
      <c r="A160" s="817" t="s">
        <v>6623</v>
      </c>
      <c r="B160" s="404" t="s">
        <v>6231</v>
      </c>
      <c r="C160" s="405">
        <v>9900</v>
      </c>
      <c r="D160" s="406">
        <v>3.8271666982375705</v>
      </c>
      <c r="E160" s="407" t="s">
        <v>6262</v>
      </c>
      <c r="F160" s="213" t="s">
        <v>12107</v>
      </c>
      <c r="G160" s="213">
        <v>52</v>
      </c>
      <c r="H160" s="213" t="s">
        <v>0</v>
      </c>
      <c r="I160" s="213">
        <v>0</v>
      </c>
      <c r="J160" s="213" t="s">
        <v>6264</v>
      </c>
      <c r="K160" s="213">
        <v>0</v>
      </c>
      <c r="L160" s="213" t="s">
        <v>6036</v>
      </c>
      <c r="M160" s="213">
        <v>0</v>
      </c>
      <c r="N160" s="408">
        <v>0</v>
      </c>
    </row>
    <row r="161" spans="1:14" ht="11.1" customHeight="1">
      <c r="A161" s="940" t="s">
        <v>6625</v>
      </c>
      <c r="B161" s="412" t="s">
        <v>10050</v>
      </c>
      <c r="C161" s="413">
        <v>125773</v>
      </c>
      <c r="D161" s="414">
        <v>68.934465314354924</v>
      </c>
      <c r="E161" s="415" t="s">
        <v>6251</v>
      </c>
      <c r="F161" s="416" t="s">
        <v>6626</v>
      </c>
      <c r="G161" s="416">
        <v>49</v>
      </c>
      <c r="H161" s="416" t="s">
        <v>0</v>
      </c>
      <c r="I161" s="416" t="s">
        <v>6233</v>
      </c>
      <c r="J161" s="416" t="s">
        <v>6257</v>
      </c>
      <c r="K161" s="416" t="s">
        <v>11995</v>
      </c>
      <c r="L161" s="416" t="s">
        <v>6209</v>
      </c>
      <c r="M161" s="416">
        <v>4</v>
      </c>
      <c r="N161" s="417" t="s">
        <v>6260</v>
      </c>
    </row>
    <row r="162" spans="1:14" ht="11.1" customHeight="1" thickBot="1">
      <c r="A162" s="430" t="s">
        <v>6627</v>
      </c>
      <c r="B162" s="431" t="s">
        <v>6230</v>
      </c>
      <c r="C162" s="432">
        <v>56680</v>
      </c>
      <c r="D162" s="433">
        <v>31.065534685645069</v>
      </c>
      <c r="E162" s="433">
        <v>45.065316085328327</v>
      </c>
      <c r="F162" s="217" t="s">
        <v>6628</v>
      </c>
      <c r="G162" s="217">
        <v>38</v>
      </c>
      <c r="H162" s="217" t="s">
        <v>0</v>
      </c>
      <c r="I162" s="217" t="s">
        <v>6233</v>
      </c>
      <c r="J162" s="217" t="s">
        <v>6253</v>
      </c>
      <c r="K162" s="217" t="s">
        <v>12007</v>
      </c>
      <c r="L162" s="217" t="s">
        <v>6036</v>
      </c>
      <c r="M162" s="217">
        <v>0</v>
      </c>
      <c r="N162" s="435">
        <v>0</v>
      </c>
    </row>
    <row r="163" spans="1:14" ht="11.1" customHeight="1">
      <c r="A163" s="941" t="s">
        <v>6633</v>
      </c>
      <c r="B163" s="439" t="s">
        <v>10050</v>
      </c>
      <c r="C163" s="440">
        <v>136920</v>
      </c>
      <c r="D163" s="441">
        <v>55.823055753745798</v>
      </c>
      <c r="E163" s="442" t="s">
        <v>6251</v>
      </c>
      <c r="F163" s="337" t="s">
        <v>8789</v>
      </c>
      <c r="G163" s="337">
        <v>52</v>
      </c>
      <c r="H163" s="337" t="s">
        <v>0</v>
      </c>
      <c r="I163" s="337" t="s">
        <v>6233</v>
      </c>
      <c r="J163" s="337" t="s">
        <v>6257</v>
      </c>
      <c r="K163" s="337" t="s">
        <v>11995</v>
      </c>
      <c r="L163" s="337" t="s">
        <v>6209</v>
      </c>
      <c r="M163" s="337">
        <v>5</v>
      </c>
      <c r="N163" s="443" t="s">
        <v>6260</v>
      </c>
    </row>
    <row r="164" spans="1:14" ht="11.1" customHeight="1">
      <c r="A164" s="400" t="s">
        <v>6631</v>
      </c>
      <c r="B164" s="401" t="s">
        <v>6230</v>
      </c>
      <c r="C164" s="116">
        <v>78544</v>
      </c>
      <c r="D164" s="93">
        <v>32.022831515645706</v>
      </c>
      <c r="E164" s="93">
        <v>57.364884604148408</v>
      </c>
      <c r="F164" s="212" t="s">
        <v>12108</v>
      </c>
      <c r="G164" s="212">
        <v>40</v>
      </c>
      <c r="H164" s="212" t="s">
        <v>0</v>
      </c>
      <c r="I164" s="212" t="s">
        <v>6233</v>
      </c>
      <c r="J164" s="212" t="s">
        <v>6253</v>
      </c>
      <c r="K164" s="212" t="s">
        <v>12007</v>
      </c>
      <c r="L164" s="212" t="s">
        <v>6036</v>
      </c>
      <c r="M164" s="212">
        <v>0</v>
      </c>
      <c r="N164" s="402">
        <v>0</v>
      </c>
    </row>
    <row r="165" spans="1:14" ht="11.1" customHeight="1">
      <c r="A165" s="400" t="s">
        <v>6635</v>
      </c>
      <c r="B165" s="401" t="s">
        <v>6231</v>
      </c>
      <c r="C165" s="116">
        <v>18578</v>
      </c>
      <c r="D165" s="93">
        <v>7.5743553154622365</v>
      </c>
      <c r="E165" s="403" t="s">
        <v>6262</v>
      </c>
      <c r="F165" s="212" t="s">
        <v>12109</v>
      </c>
      <c r="G165" s="212">
        <v>48</v>
      </c>
      <c r="H165" s="212" t="s">
        <v>6049</v>
      </c>
      <c r="I165" s="212">
        <v>0</v>
      </c>
      <c r="J165" s="212" t="s">
        <v>6264</v>
      </c>
      <c r="K165" s="212">
        <v>0</v>
      </c>
      <c r="L165" s="212" t="s">
        <v>6036</v>
      </c>
      <c r="M165" s="212">
        <v>0</v>
      </c>
      <c r="N165" s="402">
        <v>0</v>
      </c>
    </row>
    <row r="166" spans="1:14" ht="11.1" customHeight="1">
      <c r="A166" s="817" t="s">
        <v>6639</v>
      </c>
      <c r="B166" s="404" t="s">
        <v>6231</v>
      </c>
      <c r="C166" s="405">
        <v>11233</v>
      </c>
      <c r="D166" s="406">
        <v>4.5797574151462648</v>
      </c>
      <c r="E166" s="406">
        <v>8.2040607654104587</v>
      </c>
      <c r="F166" s="213" t="s">
        <v>6664</v>
      </c>
      <c r="G166" s="213">
        <v>68</v>
      </c>
      <c r="H166" s="213" t="s">
        <v>0</v>
      </c>
      <c r="I166" s="213" t="s">
        <v>6233</v>
      </c>
      <c r="J166" s="213" t="s">
        <v>6278</v>
      </c>
      <c r="K166" s="213">
        <v>0</v>
      </c>
      <c r="L166" s="213" t="s">
        <v>6036</v>
      </c>
      <c r="M166" s="213">
        <v>0</v>
      </c>
      <c r="N166" s="408">
        <v>0</v>
      </c>
    </row>
    <row r="167" spans="1:14" ht="11.1" customHeight="1">
      <c r="A167" s="940" t="s">
        <v>6643</v>
      </c>
      <c r="B167" s="412" t="s">
        <v>10050</v>
      </c>
      <c r="C167" s="413">
        <v>99919</v>
      </c>
      <c r="D167" s="414">
        <v>47.299382716049379</v>
      </c>
      <c r="E167" s="415" t="s">
        <v>6251</v>
      </c>
      <c r="F167" s="416" t="s">
        <v>12110</v>
      </c>
      <c r="G167" s="416">
        <v>69</v>
      </c>
      <c r="H167" s="416" t="s">
        <v>0</v>
      </c>
      <c r="I167" s="416" t="s">
        <v>6233</v>
      </c>
      <c r="J167" s="416" t="s">
        <v>6257</v>
      </c>
      <c r="K167" s="416" t="s">
        <v>11995</v>
      </c>
      <c r="L167" s="416" t="s">
        <v>6209</v>
      </c>
      <c r="M167" s="416">
        <v>6</v>
      </c>
      <c r="N167" s="417" t="s">
        <v>6260</v>
      </c>
    </row>
    <row r="168" spans="1:14" ht="11.1" customHeight="1">
      <c r="A168" s="400" t="s">
        <v>6641</v>
      </c>
      <c r="B168" s="401" t="s">
        <v>11986</v>
      </c>
      <c r="C168" s="116">
        <v>98497</v>
      </c>
      <c r="D168" s="93">
        <v>46.626240248428388</v>
      </c>
      <c r="E168" s="93">
        <v>98.57684724626948</v>
      </c>
      <c r="F168" s="212" t="s">
        <v>6642</v>
      </c>
      <c r="G168" s="212">
        <v>33</v>
      </c>
      <c r="H168" s="212" t="s">
        <v>0</v>
      </c>
      <c r="I168" s="212" t="s">
        <v>6233</v>
      </c>
      <c r="J168" s="212" t="s">
        <v>6253</v>
      </c>
      <c r="K168" s="212" t="s">
        <v>12007</v>
      </c>
      <c r="L168" s="212" t="s">
        <v>6036</v>
      </c>
      <c r="M168" s="212">
        <v>0</v>
      </c>
      <c r="N168" s="402">
        <v>0</v>
      </c>
    </row>
    <row r="169" spans="1:14" ht="11.1" customHeight="1">
      <c r="A169" s="817" t="s">
        <v>6647</v>
      </c>
      <c r="B169" s="404" t="s">
        <v>6231</v>
      </c>
      <c r="C169" s="405">
        <v>12832</v>
      </c>
      <c r="D169" s="406">
        <v>6.0743770355222297</v>
      </c>
      <c r="E169" s="407" t="s">
        <v>6262</v>
      </c>
      <c r="F169" s="213" t="s">
        <v>12111</v>
      </c>
      <c r="G169" s="213">
        <v>59</v>
      </c>
      <c r="H169" s="213" t="s">
        <v>0</v>
      </c>
      <c r="I169" s="213">
        <v>0</v>
      </c>
      <c r="J169" s="213" t="s">
        <v>6264</v>
      </c>
      <c r="K169" s="213">
        <v>0</v>
      </c>
      <c r="L169" s="213" t="s">
        <v>6036</v>
      </c>
      <c r="M169" s="213">
        <v>0</v>
      </c>
      <c r="N169" s="408">
        <v>0</v>
      </c>
    </row>
    <row r="170" spans="1:14" ht="11.1" customHeight="1">
      <c r="A170" s="940" t="s">
        <v>6651</v>
      </c>
      <c r="B170" s="412" t="s">
        <v>10050</v>
      </c>
      <c r="C170" s="413">
        <v>111034</v>
      </c>
      <c r="D170" s="414">
        <v>58.068531263728218</v>
      </c>
      <c r="E170" s="415" t="s">
        <v>6251</v>
      </c>
      <c r="F170" s="416" t="s">
        <v>6652</v>
      </c>
      <c r="G170" s="416">
        <v>71</v>
      </c>
      <c r="H170" s="416" t="s">
        <v>0</v>
      </c>
      <c r="I170" s="416" t="s">
        <v>6233</v>
      </c>
      <c r="J170" s="416" t="s">
        <v>6257</v>
      </c>
      <c r="K170" s="416" t="s">
        <v>12012</v>
      </c>
      <c r="L170" s="416" t="s">
        <v>6209</v>
      </c>
      <c r="M170" s="416">
        <v>6</v>
      </c>
      <c r="N170" s="417" t="s">
        <v>6260</v>
      </c>
    </row>
    <row r="171" spans="1:14" ht="11.1" customHeight="1">
      <c r="A171" s="400" t="s">
        <v>6649</v>
      </c>
      <c r="B171" s="401" t="s">
        <v>6230</v>
      </c>
      <c r="C171" s="116">
        <v>69734</v>
      </c>
      <c r="D171" s="93">
        <v>36.46946844340313</v>
      </c>
      <c r="E171" s="93">
        <v>62.80418610515698</v>
      </c>
      <c r="F171" s="212" t="s">
        <v>6650</v>
      </c>
      <c r="G171" s="212">
        <v>39</v>
      </c>
      <c r="H171" s="212" t="s">
        <v>0</v>
      </c>
      <c r="I171" s="212" t="s">
        <v>6233</v>
      </c>
      <c r="J171" s="212" t="s">
        <v>6253</v>
      </c>
      <c r="K171" s="212" t="s">
        <v>12007</v>
      </c>
      <c r="L171" s="212" t="s">
        <v>6036</v>
      </c>
      <c r="M171" s="212">
        <v>0</v>
      </c>
      <c r="N171" s="402">
        <v>0</v>
      </c>
    </row>
    <row r="172" spans="1:14" ht="11.1" customHeight="1">
      <c r="A172" s="817" t="s">
        <v>6653</v>
      </c>
      <c r="B172" s="404" t="s">
        <v>6231</v>
      </c>
      <c r="C172" s="405">
        <v>10444</v>
      </c>
      <c r="D172" s="406">
        <v>5.4620002928686482</v>
      </c>
      <c r="E172" s="407" t="s">
        <v>6262</v>
      </c>
      <c r="F172" s="213" t="s">
        <v>12112</v>
      </c>
      <c r="G172" s="213">
        <v>54</v>
      </c>
      <c r="H172" s="213" t="s">
        <v>0</v>
      </c>
      <c r="I172" s="213">
        <v>0</v>
      </c>
      <c r="J172" s="213" t="s">
        <v>6264</v>
      </c>
      <c r="K172" s="213">
        <v>0</v>
      </c>
      <c r="L172" s="213" t="s">
        <v>6036</v>
      </c>
      <c r="M172" s="213">
        <v>0</v>
      </c>
      <c r="N172" s="408">
        <v>0</v>
      </c>
    </row>
    <row r="173" spans="1:14" ht="11.1" customHeight="1">
      <c r="A173" s="940" t="s">
        <v>6655</v>
      </c>
      <c r="B173" s="412" t="s">
        <v>10050</v>
      </c>
      <c r="C173" s="413">
        <v>118517</v>
      </c>
      <c r="D173" s="414">
        <v>62.810429805501087</v>
      </c>
      <c r="E173" s="415" t="s">
        <v>6251</v>
      </c>
      <c r="F173" s="416" t="s">
        <v>6656</v>
      </c>
      <c r="G173" s="416">
        <v>69</v>
      </c>
      <c r="H173" s="416" t="s">
        <v>0</v>
      </c>
      <c r="I173" s="416" t="s">
        <v>6233</v>
      </c>
      <c r="J173" s="416" t="s">
        <v>6257</v>
      </c>
      <c r="K173" s="416" t="s">
        <v>11998</v>
      </c>
      <c r="L173" s="416" t="s">
        <v>6209</v>
      </c>
      <c r="M173" s="416">
        <v>5</v>
      </c>
      <c r="N173" s="417" t="s">
        <v>6260</v>
      </c>
    </row>
    <row r="174" spans="1:14" ht="11.1" customHeight="1">
      <c r="A174" s="400" t="s">
        <v>6657</v>
      </c>
      <c r="B174" s="401" t="s">
        <v>6230</v>
      </c>
      <c r="C174" s="116">
        <v>56364</v>
      </c>
      <c r="D174" s="93">
        <v>29.871217340611587</v>
      </c>
      <c r="E174" s="93">
        <v>47.557734333471146</v>
      </c>
      <c r="F174" s="212" t="s">
        <v>8858</v>
      </c>
      <c r="G174" s="212">
        <v>52</v>
      </c>
      <c r="H174" s="212" t="s">
        <v>0</v>
      </c>
      <c r="I174" s="212" t="s">
        <v>6233</v>
      </c>
      <c r="J174" s="212" t="s">
        <v>6253</v>
      </c>
      <c r="K174" s="212" t="s">
        <v>12000</v>
      </c>
      <c r="L174" s="212" t="s">
        <v>6036</v>
      </c>
      <c r="M174" s="212">
        <v>0</v>
      </c>
      <c r="N174" s="402">
        <v>0</v>
      </c>
    </row>
    <row r="175" spans="1:14" ht="11.1" customHeight="1">
      <c r="A175" s="817" t="s">
        <v>6659</v>
      </c>
      <c r="B175" s="404" t="s">
        <v>6231</v>
      </c>
      <c r="C175" s="405">
        <v>13809</v>
      </c>
      <c r="D175" s="406">
        <v>7.3183528538873288</v>
      </c>
      <c r="E175" s="407" t="s">
        <v>6262</v>
      </c>
      <c r="F175" s="213" t="s">
        <v>12113</v>
      </c>
      <c r="G175" s="213">
        <v>51</v>
      </c>
      <c r="H175" s="213" t="s">
        <v>0</v>
      </c>
      <c r="I175" s="213">
        <v>0</v>
      </c>
      <c r="J175" s="213" t="s">
        <v>6264</v>
      </c>
      <c r="K175" s="213">
        <v>0</v>
      </c>
      <c r="L175" s="213" t="s">
        <v>6036</v>
      </c>
      <c r="M175" s="213">
        <v>0</v>
      </c>
      <c r="N175" s="408">
        <v>0</v>
      </c>
    </row>
    <row r="176" spans="1:14" ht="11.1" customHeight="1">
      <c r="A176" s="940" t="s">
        <v>6661</v>
      </c>
      <c r="B176" s="412" t="s">
        <v>10050</v>
      </c>
      <c r="C176" s="413">
        <v>144782</v>
      </c>
      <c r="D176" s="414">
        <v>67.842181715945827</v>
      </c>
      <c r="E176" s="415" t="s">
        <v>6251</v>
      </c>
      <c r="F176" s="416" t="s">
        <v>6662</v>
      </c>
      <c r="G176" s="416">
        <v>31</v>
      </c>
      <c r="H176" s="416" t="s">
        <v>6049</v>
      </c>
      <c r="I176" s="416" t="s">
        <v>6233</v>
      </c>
      <c r="J176" s="416" t="s">
        <v>6257</v>
      </c>
      <c r="K176" s="416" t="s">
        <v>11995</v>
      </c>
      <c r="L176" s="416" t="s">
        <v>6209</v>
      </c>
      <c r="M176" s="416">
        <v>2</v>
      </c>
      <c r="N176" s="417" t="s">
        <v>6260</v>
      </c>
    </row>
    <row r="177" spans="1:14" ht="11.1" customHeight="1">
      <c r="A177" s="400" t="s">
        <v>6663</v>
      </c>
      <c r="B177" s="401" t="s">
        <v>6230</v>
      </c>
      <c r="C177" s="116">
        <v>52394</v>
      </c>
      <c r="D177" s="93">
        <v>24.550864533058434</v>
      </c>
      <c r="E177" s="93">
        <v>36.188200190631434</v>
      </c>
      <c r="F177" s="212" t="s">
        <v>12114</v>
      </c>
      <c r="G177" s="212">
        <v>36</v>
      </c>
      <c r="H177" s="212" t="s">
        <v>0</v>
      </c>
      <c r="I177" s="212" t="s">
        <v>6233</v>
      </c>
      <c r="J177" s="212" t="s">
        <v>6253</v>
      </c>
      <c r="K177" s="212" t="s">
        <v>12000</v>
      </c>
      <c r="L177" s="212" t="s">
        <v>6036</v>
      </c>
      <c r="M177" s="212">
        <v>0</v>
      </c>
      <c r="N177" s="402">
        <v>0</v>
      </c>
    </row>
    <row r="178" spans="1:14" ht="11.1" customHeight="1" thickBot="1">
      <c r="A178" s="430" t="s">
        <v>6665</v>
      </c>
      <c r="B178" s="431" t="s">
        <v>6231</v>
      </c>
      <c r="C178" s="432">
        <v>16234</v>
      </c>
      <c r="D178" s="433">
        <v>7.6069537509957357</v>
      </c>
      <c r="E178" s="434" t="s">
        <v>6262</v>
      </c>
      <c r="F178" s="217" t="s">
        <v>12115</v>
      </c>
      <c r="G178" s="217">
        <v>52</v>
      </c>
      <c r="H178" s="217" t="s">
        <v>6049</v>
      </c>
      <c r="I178" s="217">
        <v>0</v>
      </c>
      <c r="J178" s="217" t="s">
        <v>6264</v>
      </c>
      <c r="K178" s="217">
        <v>0</v>
      </c>
      <c r="L178" s="217" t="s">
        <v>6036</v>
      </c>
      <c r="M178" s="217">
        <v>0</v>
      </c>
      <c r="N178" s="435">
        <v>0</v>
      </c>
    </row>
    <row r="179" spans="1:14" ht="11.1" customHeight="1">
      <c r="A179" s="941" t="s">
        <v>6667</v>
      </c>
      <c r="B179" s="436" t="s">
        <v>10050</v>
      </c>
      <c r="C179" s="82">
        <v>115262</v>
      </c>
      <c r="D179" s="84">
        <v>44.197246826948884</v>
      </c>
      <c r="E179" s="437" t="s">
        <v>6251</v>
      </c>
      <c r="F179" s="85" t="s">
        <v>6668</v>
      </c>
      <c r="G179" s="85">
        <v>44</v>
      </c>
      <c r="H179" s="85" t="s">
        <v>0</v>
      </c>
      <c r="I179" s="85" t="s">
        <v>6233</v>
      </c>
      <c r="J179" s="85" t="s">
        <v>6253</v>
      </c>
      <c r="K179" s="85" t="s">
        <v>12116</v>
      </c>
      <c r="L179" s="85" t="s">
        <v>6209</v>
      </c>
      <c r="M179" s="85">
        <v>2</v>
      </c>
      <c r="N179" s="438">
        <v>0</v>
      </c>
    </row>
    <row r="180" spans="1:14" ht="11.1" customHeight="1">
      <c r="A180" s="400" t="s">
        <v>6669</v>
      </c>
      <c r="B180" s="401" t="s">
        <v>11986</v>
      </c>
      <c r="C180" s="116">
        <v>112340</v>
      </c>
      <c r="D180" s="93">
        <v>43.076805092219793</v>
      </c>
      <c r="E180" s="93">
        <v>97.464906040152002</v>
      </c>
      <c r="F180" s="212" t="s">
        <v>6670</v>
      </c>
      <c r="G180" s="212">
        <v>61</v>
      </c>
      <c r="H180" s="212" t="s">
        <v>0</v>
      </c>
      <c r="I180" s="212" t="s">
        <v>6233</v>
      </c>
      <c r="J180" s="212" t="s">
        <v>6257</v>
      </c>
      <c r="K180" s="212" t="s">
        <v>6258</v>
      </c>
      <c r="L180" s="212" t="s">
        <v>6283</v>
      </c>
      <c r="M180" s="212">
        <v>1</v>
      </c>
      <c r="N180" s="402" t="s">
        <v>6260</v>
      </c>
    </row>
    <row r="181" spans="1:14" ht="11.1" customHeight="1">
      <c r="A181" s="400" t="s">
        <v>6672</v>
      </c>
      <c r="B181" s="401" t="s">
        <v>6231</v>
      </c>
      <c r="C181" s="116">
        <v>19319</v>
      </c>
      <c r="D181" s="93">
        <v>7.4078760688676715</v>
      </c>
      <c r="E181" s="403" t="s">
        <v>6262</v>
      </c>
      <c r="F181" s="212" t="s">
        <v>12117</v>
      </c>
      <c r="G181" s="212">
        <v>45</v>
      </c>
      <c r="H181" s="212" t="s">
        <v>0</v>
      </c>
      <c r="I181" s="212">
        <v>0</v>
      </c>
      <c r="J181" s="212" t="s">
        <v>6264</v>
      </c>
      <c r="K181" s="212">
        <v>0</v>
      </c>
      <c r="L181" s="212" t="s">
        <v>6036</v>
      </c>
      <c r="M181" s="212">
        <v>0</v>
      </c>
      <c r="N181" s="402">
        <v>0</v>
      </c>
    </row>
    <row r="182" spans="1:14" ht="11.1" customHeight="1">
      <c r="A182" s="817" t="s">
        <v>6674</v>
      </c>
      <c r="B182" s="404" t="s">
        <v>6231</v>
      </c>
      <c r="C182" s="405">
        <v>13869</v>
      </c>
      <c r="D182" s="406">
        <v>5.3180720119636486</v>
      </c>
      <c r="E182" s="407" t="s">
        <v>6262</v>
      </c>
      <c r="F182" s="213" t="s">
        <v>12118</v>
      </c>
      <c r="G182" s="213">
        <v>46</v>
      </c>
      <c r="H182" s="213" t="s">
        <v>6049</v>
      </c>
      <c r="I182" s="213">
        <v>0</v>
      </c>
      <c r="J182" s="213" t="s">
        <v>6278</v>
      </c>
      <c r="K182" s="213">
        <v>0</v>
      </c>
      <c r="L182" s="213" t="s">
        <v>6036</v>
      </c>
      <c r="M182" s="213">
        <v>0</v>
      </c>
      <c r="N182" s="408">
        <v>0</v>
      </c>
    </row>
    <row r="183" spans="1:14" ht="11.1" customHeight="1">
      <c r="A183" s="940" t="s">
        <v>6678</v>
      </c>
      <c r="B183" s="412" t="s">
        <v>10050</v>
      </c>
      <c r="C183" s="413">
        <v>138376</v>
      </c>
      <c r="D183" s="414">
        <v>51.804292565318796</v>
      </c>
      <c r="E183" s="415" t="s">
        <v>6251</v>
      </c>
      <c r="F183" s="416" t="s">
        <v>6679</v>
      </c>
      <c r="G183" s="416">
        <v>47</v>
      </c>
      <c r="H183" s="416" t="s">
        <v>0</v>
      </c>
      <c r="I183" s="416" t="s">
        <v>6233</v>
      </c>
      <c r="J183" s="416" t="s">
        <v>6257</v>
      </c>
      <c r="K183" s="416" t="s">
        <v>11995</v>
      </c>
      <c r="L183" s="416" t="s">
        <v>6283</v>
      </c>
      <c r="M183" s="416">
        <v>2</v>
      </c>
      <c r="N183" s="417">
        <v>0</v>
      </c>
    </row>
    <row r="184" spans="1:14" ht="11.1" customHeight="1">
      <c r="A184" s="400" t="s">
        <v>6676</v>
      </c>
      <c r="B184" s="401" t="s">
        <v>6230</v>
      </c>
      <c r="C184" s="116">
        <v>105080</v>
      </c>
      <c r="D184" s="93">
        <v>39.339156087498552</v>
      </c>
      <c r="E184" s="93">
        <v>75.938023934786372</v>
      </c>
      <c r="F184" s="212" t="s">
        <v>6677</v>
      </c>
      <c r="G184" s="212">
        <v>50</v>
      </c>
      <c r="H184" s="212" t="s">
        <v>0</v>
      </c>
      <c r="I184" s="212" t="s">
        <v>6233</v>
      </c>
      <c r="J184" s="212" t="s">
        <v>6253</v>
      </c>
      <c r="K184" s="212" t="s">
        <v>12007</v>
      </c>
      <c r="L184" s="212" t="s">
        <v>6209</v>
      </c>
      <c r="M184" s="212">
        <v>3</v>
      </c>
      <c r="N184" s="402">
        <v>0</v>
      </c>
    </row>
    <row r="185" spans="1:14" ht="11.1" customHeight="1">
      <c r="A185" s="817" t="s">
        <v>6680</v>
      </c>
      <c r="B185" s="404" t="s">
        <v>6231</v>
      </c>
      <c r="C185" s="405">
        <v>23657</v>
      </c>
      <c r="D185" s="406">
        <v>8.8565513471826538</v>
      </c>
      <c r="E185" s="407" t="s">
        <v>6262</v>
      </c>
      <c r="F185" s="213" t="s">
        <v>12119</v>
      </c>
      <c r="G185" s="213">
        <v>32</v>
      </c>
      <c r="H185" s="213" t="s">
        <v>0</v>
      </c>
      <c r="I185" s="213">
        <v>0</v>
      </c>
      <c r="J185" s="213" t="s">
        <v>6264</v>
      </c>
      <c r="K185" s="213">
        <v>0</v>
      </c>
      <c r="L185" s="213" t="s">
        <v>6036</v>
      </c>
      <c r="M185" s="213">
        <v>0</v>
      </c>
      <c r="N185" s="408">
        <v>0</v>
      </c>
    </row>
    <row r="186" spans="1:14" ht="11.1" customHeight="1">
      <c r="A186" s="940" t="s">
        <v>6686</v>
      </c>
      <c r="B186" s="412" t="s">
        <v>10050</v>
      </c>
      <c r="C186" s="413">
        <v>140010</v>
      </c>
      <c r="D186" s="414">
        <v>51.334980824087587</v>
      </c>
      <c r="E186" s="415" t="s">
        <v>6251</v>
      </c>
      <c r="F186" s="416" t="s">
        <v>12120</v>
      </c>
      <c r="G186" s="416">
        <v>64</v>
      </c>
      <c r="H186" s="416" t="s">
        <v>0</v>
      </c>
      <c r="I186" s="416" t="s">
        <v>6233</v>
      </c>
      <c r="J186" s="416" t="s">
        <v>6257</v>
      </c>
      <c r="K186" s="416" t="s">
        <v>12009</v>
      </c>
      <c r="L186" s="416" t="s">
        <v>6209</v>
      </c>
      <c r="M186" s="416">
        <v>3</v>
      </c>
      <c r="N186" s="417" t="s">
        <v>6260</v>
      </c>
    </row>
    <row r="187" spans="1:14" ht="11.1" customHeight="1">
      <c r="A187" s="400" t="s">
        <v>6684</v>
      </c>
      <c r="B187" s="401" t="s">
        <v>11986</v>
      </c>
      <c r="C187" s="116">
        <v>109816</v>
      </c>
      <c r="D187" s="93">
        <v>40.264282938204431</v>
      </c>
      <c r="E187" s="93">
        <v>78.434397543032645</v>
      </c>
      <c r="F187" s="212" t="s">
        <v>6685</v>
      </c>
      <c r="G187" s="212">
        <v>62</v>
      </c>
      <c r="H187" s="212" t="s">
        <v>0</v>
      </c>
      <c r="I187" s="212" t="s">
        <v>6233</v>
      </c>
      <c r="J187" s="212" t="s">
        <v>6253</v>
      </c>
      <c r="K187" s="212" t="s">
        <v>11989</v>
      </c>
      <c r="L187" s="212" t="s">
        <v>6209</v>
      </c>
      <c r="M187" s="212">
        <v>5</v>
      </c>
      <c r="N187" s="402">
        <v>0</v>
      </c>
    </row>
    <row r="188" spans="1:14" ht="11.1" customHeight="1">
      <c r="A188" s="817" t="s">
        <v>6688</v>
      </c>
      <c r="B188" s="404" t="s">
        <v>6231</v>
      </c>
      <c r="C188" s="405">
        <v>22912</v>
      </c>
      <c r="D188" s="406">
        <v>8.4007362377079833</v>
      </c>
      <c r="E188" s="407" t="s">
        <v>6262</v>
      </c>
      <c r="F188" s="213" t="s">
        <v>12121</v>
      </c>
      <c r="G188" s="213">
        <v>58</v>
      </c>
      <c r="H188" s="213" t="s">
        <v>0</v>
      </c>
      <c r="I188" s="213">
        <v>0</v>
      </c>
      <c r="J188" s="213" t="s">
        <v>6264</v>
      </c>
      <c r="K188" s="213">
        <v>0</v>
      </c>
      <c r="L188" s="213" t="s">
        <v>6036</v>
      </c>
      <c r="M188" s="213">
        <v>0</v>
      </c>
      <c r="N188" s="408">
        <v>0</v>
      </c>
    </row>
    <row r="189" spans="1:14" ht="11.1" customHeight="1">
      <c r="A189" s="940" t="s">
        <v>6692</v>
      </c>
      <c r="B189" s="412" t="s">
        <v>10050</v>
      </c>
      <c r="C189" s="413">
        <v>103366</v>
      </c>
      <c r="D189" s="414">
        <v>48.776643685971393</v>
      </c>
      <c r="E189" s="415" t="s">
        <v>6251</v>
      </c>
      <c r="F189" s="416" t="s">
        <v>6693</v>
      </c>
      <c r="G189" s="416">
        <v>60</v>
      </c>
      <c r="H189" s="416" t="s">
        <v>0</v>
      </c>
      <c r="I189" s="416" t="s">
        <v>6233</v>
      </c>
      <c r="J189" s="416" t="s">
        <v>6257</v>
      </c>
      <c r="K189" s="416" t="s">
        <v>12012</v>
      </c>
      <c r="L189" s="416" t="s">
        <v>6036</v>
      </c>
      <c r="M189" s="416">
        <v>0</v>
      </c>
      <c r="N189" s="417" t="s">
        <v>6260</v>
      </c>
    </row>
    <row r="190" spans="1:14" ht="11.1" customHeight="1">
      <c r="A190" s="400" t="s">
        <v>6690</v>
      </c>
      <c r="B190" s="401" t="s">
        <v>11986</v>
      </c>
      <c r="C190" s="116">
        <v>86229</v>
      </c>
      <c r="D190" s="93">
        <v>40.68998711759793</v>
      </c>
      <c r="E190" s="93">
        <v>83.42104753980999</v>
      </c>
      <c r="F190" s="212" t="s">
        <v>6691</v>
      </c>
      <c r="G190" s="212">
        <v>43</v>
      </c>
      <c r="H190" s="212" t="s">
        <v>0</v>
      </c>
      <c r="I190" s="212" t="s">
        <v>6233</v>
      </c>
      <c r="J190" s="212" t="s">
        <v>6253</v>
      </c>
      <c r="K190" s="212" t="s">
        <v>12007</v>
      </c>
      <c r="L190" s="212" t="s">
        <v>6209</v>
      </c>
      <c r="M190" s="212">
        <v>1</v>
      </c>
      <c r="N190" s="402">
        <v>0</v>
      </c>
    </row>
    <row r="191" spans="1:14" ht="11.1" customHeight="1">
      <c r="A191" s="817" t="s">
        <v>6694</v>
      </c>
      <c r="B191" s="404"/>
      <c r="C191" s="405">
        <v>22322</v>
      </c>
      <c r="D191" s="406">
        <v>10.533369196430678</v>
      </c>
      <c r="E191" s="407" t="s">
        <v>6262</v>
      </c>
      <c r="F191" s="213" t="s">
        <v>6695</v>
      </c>
      <c r="G191" s="213">
        <v>49</v>
      </c>
      <c r="H191" s="213" t="s">
        <v>6049</v>
      </c>
      <c r="I191" s="213">
        <v>0</v>
      </c>
      <c r="J191" s="213" t="s">
        <v>6264</v>
      </c>
      <c r="K191" s="213">
        <v>0</v>
      </c>
      <c r="L191" s="213" t="s">
        <v>6036</v>
      </c>
      <c r="M191" s="213">
        <v>0</v>
      </c>
      <c r="N191" s="408">
        <v>0</v>
      </c>
    </row>
    <row r="192" spans="1:14" ht="11.1" customHeight="1">
      <c r="A192" s="940" t="s">
        <v>6698</v>
      </c>
      <c r="B192" s="409" t="s">
        <v>10050</v>
      </c>
      <c r="C192" s="53">
        <v>103014</v>
      </c>
      <c r="D192" s="55">
        <v>48.677383686314535</v>
      </c>
      <c r="E192" s="410" t="s">
        <v>6251</v>
      </c>
      <c r="F192" s="56" t="s">
        <v>6699</v>
      </c>
      <c r="G192" s="56">
        <v>41</v>
      </c>
      <c r="H192" s="56" t="s">
        <v>0</v>
      </c>
      <c r="I192" s="56" t="s">
        <v>6233</v>
      </c>
      <c r="J192" s="56" t="s">
        <v>6253</v>
      </c>
      <c r="K192" s="56" t="s">
        <v>12000</v>
      </c>
      <c r="L192" s="56" t="s">
        <v>6209</v>
      </c>
      <c r="M192" s="56">
        <v>4</v>
      </c>
      <c r="N192" s="411">
        <v>0</v>
      </c>
    </row>
    <row r="193" spans="1:14" ht="11.1" customHeight="1">
      <c r="A193" s="400" t="s">
        <v>6700</v>
      </c>
      <c r="B193" s="401" t="s">
        <v>11986</v>
      </c>
      <c r="C193" s="116">
        <v>91472</v>
      </c>
      <c r="D193" s="93">
        <v>43.223422452817708</v>
      </c>
      <c r="E193" s="93">
        <v>88.795697672161069</v>
      </c>
      <c r="F193" s="212" t="s">
        <v>6701</v>
      </c>
      <c r="G193" s="212">
        <v>34</v>
      </c>
      <c r="H193" s="212" t="s">
        <v>0</v>
      </c>
      <c r="I193" s="212" t="s">
        <v>6233</v>
      </c>
      <c r="J193" s="212" t="s">
        <v>6257</v>
      </c>
      <c r="K193" s="212" t="s">
        <v>6258</v>
      </c>
      <c r="L193" s="212" t="s">
        <v>6036</v>
      </c>
      <c r="M193" s="212">
        <v>0</v>
      </c>
      <c r="N193" s="402" t="s">
        <v>6260</v>
      </c>
    </row>
    <row r="194" spans="1:14" ht="11.1" customHeight="1">
      <c r="A194" s="817" t="s">
        <v>6702</v>
      </c>
      <c r="B194" s="404" t="s">
        <v>6231</v>
      </c>
      <c r="C194" s="405">
        <v>17140</v>
      </c>
      <c r="D194" s="406">
        <v>8.0991938608677572</v>
      </c>
      <c r="E194" s="407"/>
      <c r="F194" s="213" t="s">
        <v>12122</v>
      </c>
      <c r="G194" s="213">
        <v>60</v>
      </c>
      <c r="H194" s="213" t="s">
        <v>0</v>
      </c>
      <c r="I194" s="213" t="s">
        <v>6233</v>
      </c>
      <c r="J194" s="213" t="s">
        <v>6264</v>
      </c>
      <c r="K194" s="213">
        <v>0</v>
      </c>
      <c r="L194" s="213" t="s">
        <v>6036</v>
      </c>
      <c r="M194" s="213">
        <v>0</v>
      </c>
      <c r="N194" s="408">
        <v>0</v>
      </c>
    </row>
    <row r="195" spans="1:14" ht="11.1" customHeight="1">
      <c r="A195" s="940" t="s">
        <v>6704</v>
      </c>
      <c r="B195" s="409" t="s">
        <v>10050</v>
      </c>
      <c r="C195" s="53">
        <v>123159</v>
      </c>
      <c r="D195" s="55">
        <v>45.641829542169745</v>
      </c>
      <c r="E195" s="410" t="s">
        <v>6251</v>
      </c>
      <c r="F195" s="56" t="s">
        <v>12123</v>
      </c>
      <c r="G195" s="56">
        <v>48</v>
      </c>
      <c r="H195" s="56" t="s">
        <v>0</v>
      </c>
      <c r="I195" s="56" t="s">
        <v>6233</v>
      </c>
      <c r="J195" s="56" t="s">
        <v>6253</v>
      </c>
      <c r="K195" s="56" t="s">
        <v>12007</v>
      </c>
      <c r="L195" s="56" t="s">
        <v>6209</v>
      </c>
      <c r="M195" s="56">
        <v>2</v>
      </c>
      <c r="N195" s="411">
        <v>0</v>
      </c>
    </row>
    <row r="196" spans="1:14" ht="11.1" customHeight="1">
      <c r="A196" s="400" t="s">
        <v>6706</v>
      </c>
      <c r="B196" s="401" t="s">
        <v>11986</v>
      </c>
      <c r="C196" s="116">
        <v>121665</v>
      </c>
      <c r="D196" s="93">
        <v>45.088164009516824</v>
      </c>
      <c r="E196" s="93">
        <v>98.786933963413148</v>
      </c>
      <c r="F196" s="212" t="s">
        <v>6707</v>
      </c>
      <c r="G196" s="212">
        <v>36</v>
      </c>
      <c r="H196" s="212" t="s">
        <v>0</v>
      </c>
      <c r="I196" s="212" t="s">
        <v>6233</v>
      </c>
      <c r="J196" s="212" t="s">
        <v>6257</v>
      </c>
      <c r="K196" s="212" t="s">
        <v>11998</v>
      </c>
      <c r="L196" s="212" t="s">
        <v>6036</v>
      </c>
      <c r="M196" s="212">
        <v>0</v>
      </c>
      <c r="N196" s="402" t="s">
        <v>6260</v>
      </c>
    </row>
    <row r="197" spans="1:14" ht="11.1" customHeight="1">
      <c r="A197" s="817" t="s">
        <v>6708</v>
      </c>
      <c r="B197" s="404" t="s">
        <v>6231</v>
      </c>
      <c r="C197" s="405">
        <v>25014</v>
      </c>
      <c r="D197" s="406">
        <v>9.270006448313433</v>
      </c>
      <c r="E197" s="406">
        <v>20.310330548315591</v>
      </c>
      <c r="F197" s="213" t="s">
        <v>12124</v>
      </c>
      <c r="G197" s="213">
        <v>46</v>
      </c>
      <c r="H197" s="213" t="s">
        <v>6049</v>
      </c>
      <c r="I197" s="213" t="s">
        <v>6233</v>
      </c>
      <c r="J197" s="213" t="s">
        <v>6264</v>
      </c>
      <c r="K197" s="213">
        <v>0</v>
      </c>
      <c r="L197" s="213" t="s">
        <v>6036</v>
      </c>
      <c r="M197" s="213">
        <v>0</v>
      </c>
      <c r="N197" s="408">
        <v>0</v>
      </c>
    </row>
    <row r="198" spans="1:14" ht="11.1" customHeight="1">
      <c r="A198" s="940" t="s">
        <v>6712</v>
      </c>
      <c r="B198" s="412" t="s">
        <v>10050</v>
      </c>
      <c r="C198" s="413">
        <v>122274</v>
      </c>
      <c r="D198" s="414">
        <v>48.770895572990412</v>
      </c>
      <c r="E198" s="415" t="s">
        <v>6251</v>
      </c>
      <c r="F198" s="416" t="s">
        <v>12125</v>
      </c>
      <c r="G198" s="416">
        <v>69</v>
      </c>
      <c r="H198" s="416" t="s">
        <v>0</v>
      </c>
      <c r="I198" s="416" t="s">
        <v>6233</v>
      </c>
      <c r="J198" s="416" t="s">
        <v>6257</v>
      </c>
      <c r="K198" s="416" t="s">
        <v>12012</v>
      </c>
      <c r="L198" s="416" t="s">
        <v>6209</v>
      </c>
      <c r="M198" s="416">
        <v>3</v>
      </c>
      <c r="N198" s="417" t="s">
        <v>6260</v>
      </c>
    </row>
    <row r="199" spans="1:14" ht="11.1" customHeight="1">
      <c r="A199" s="400" t="s">
        <v>6710</v>
      </c>
      <c r="B199" s="401" t="s">
        <v>11986</v>
      </c>
      <c r="C199" s="116">
        <v>106542</v>
      </c>
      <c r="D199" s="93">
        <v>42.495941542253831</v>
      </c>
      <c r="E199" s="93">
        <v>87.133814220521131</v>
      </c>
      <c r="F199" s="212" t="s">
        <v>6711</v>
      </c>
      <c r="G199" s="212">
        <v>40</v>
      </c>
      <c r="H199" s="212" t="s">
        <v>6049</v>
      </c>
      <c r="I199" s="212" t="s">
        <v>6233</v>
      </c>
      <c r="J199" s="212" t="s">
        <v>6253</v>
      </c>
      <c r="K199" s="212" t="s">
        <v>12020</v>
      </c>
      <c r="L199" s="212" t="s">
        <v>6209</v>
      </c>
      <c r="M199" s="212">
        <v>1</v>
      </c>
      <c r="N199" s="402">
        <v>0</v>
      </c>
    </row>
    <row r="200" spans="1:14" ht="11.1" customHeight="1">
      <c r="A200" s="817" t="s">
        <v>6714</v>
      </c>
      <c r="B200" s="404" t="s">
        <v>6231</v>
      </c>
      <c r="C200" s="405">
        <v>21895</v>
      </c>
      <c r="D200" s="406">
        <v>8.733162884755755</v>
      </c>
      <c r="E200" s="407" t="s">
        <v>6262</v>
      </c>
      <c r="F200" s="213" t="s">
        <v>12126</v>
      </c>
      <c r="G200" s="213">
        <v>57</v>
      </c>
      <c r="H200" s="213" t="s">
        <v>0</v>
      </c>
      <c r="I200" s="213">
        <v>0</v>
      </c>
      <c r="J200" s="213" t="s">
        <v>6264</v>
      </c>
      <c r="K200" s="213">
        <v>0</v>
      </c>
      <c r="L200" s="213" t="s">
        <v>6036</v>
      </c>
      <c r="M200" s="213">
        <v>0</v>
      </c>
      <c r="N200" s="408">
        <v>0</v>
      </c>
    </row>
    <row r="201" spans="1:14" ht="11.1" customHeight="1">
      <c r="A201" s="940" t="s">
        <v>6722</v>
      </c>
      <c r="B201" s="412" t="s">
        <v>10050</v>
      </c>
      <c r="C201" s="413">
        <v>115223</v>
      </c>
      <c r="D201" s="414">
        <v>52.526896425966449</v>
      </c>
      <c r="E201" s="415" t="s">
        <v>6251</v>
      </c>
      <c r="F201" s="416" t="s">
        <v>6723</v>
      </c>
      <c r="G201" s="416">
        <v>39</v>
      </c>
      <c r="H201" s="416" t="s">
        <v>0</v>
      </c>
      <c r="I201" s="416" t="s">
        <v>6233</v>
      </c>
      <c r="J201" s="416" t="s">
        <v>6257</v>
      </c>
      <c r="K201" s="416" t="s">
        <v>11998</v>
      </c>
      <c r="L201" s="416" t="s">
        <v>6209</v>
      </c>
      <c r="M201" s="416">
        <v>1</v>
      </c>
      <c r="N201" s="417" t="s">
        <v>6260</v>
      </c>
    </row>
    <row r="202" spans="1:14" ht="11.1" customHeight="1">
      <c r="A202" s="400" t="s">
        <v>6720</v>
      </c>
      <c r="B202" s="401" t="s">
        <v>6230</v>
      </c>
      <c r="C202" s="116">
        <v>76354</v>
      </c>
      <c r="D202" s="93">
        <v>34.807622173595917</v>
      </c>
      <c r="E202" s="93">
        <v>66.26628364128689</v>
      </c>
      <c r="F202" s="212" t="s">
        <v>12127</v>
      </c>
      <c r="G202" s="212">
        <v>61</v>
      </c>
      <c r="H202" s="212" t="s">
        <v>0</v>
      </c>
      <c r="I202" s="212" t="s">
        <v>6233</v>
      </c>
      <c r="J202" s="212" t="s">
        <v>6253</v>
      </c>
      <c r="K202" s="212" t="s">
        <v>12007</v>
      </c>
      <c r="L202" s="212" t="s">
        <v>6209</v>
      </c>
      <c r="M202" s="212">
        <v>2</v>
      </c>
      <c r="N202" s="402">
        <v>0</v>
      </c>
    </row>
    <row r="203" spans="1:14" ht="11.1" customHeight="1">
      <c r="A203" s="817" t="s">
        <v>6724</v>
      </c>
      <c r="B203" s="404" t="s">
        <v>10055</v>
      </c>
      <c r="C203" s="405">
        <v>27783</v>
      </c>
      <c r="D203" s="406">
        <v>12.665481400437637</v>
      </c>
      <c r="E203" s="406">
        <v>24.112373397672339</v>
      </c>
      <c r="F203" s="213" t="s">
        <v>6725</v>
      </c>
      <c r="G203" s="213">
        <v>43</v>
      </c>
      <c r="H203" s="213" t="s">
        <v>0</v>
      </c>
      <c r="I203" s="213" t="s">
        <v>6233</v>
      </c>
      <c r="J203" s="213" t="s">
        <v>6264</v>
      </c>
      <c r="K203" s="213">
        <v>0</v>
      </c>
      <c r="L203" s="213" t="s">
        <v>6209</v>
      </c>
      <c r="M203" s="213">
        <v>2</v>
      </c>
      <c r="N203" s="408">
        <v>0</v>
      </c>
    </row>
    <row r="204" spans="1:14" ht="11.1" customHeight="1">
      <c r="A204" s="940" t="s">
        <v>6730</v>
      </c>
      <c r="B204" s="412" t="s">
        <v>10050</v>
      </c>
      <c r="C204" s="413">
        <v>139211</v>
      </c>
      <c r="D204" s="414">
        <v>53.776205136921476</v>
      </c>
      <c r="E204" s="415" t="s">
        <v>6251</v>
      </c>
      <c r="F204" s="416" t="s">
        <v>12128</v>
      </c>
      <c r="G204" s="416">
        <v>69</v>
      </c>
      <c r="H204" s="416" t="s">
        <v>0</v>
      </c>
      <c r="I204" s="416" t="s">
        <v>6233</v>
      </c>
      <c r="J204" s="416" t="s">
        <v>6257</v>
      </c>
      <c r="K204" s="416" t="s">
        <v>11998</v>
      </c>
      <c r="L204" s="416" t="s">
        <v>6209</v>
      </c>
      <c r="M204" s="416">
        <v>3</v>
      </c>
      <c r="N204" s="417" t="s">
        <v>6260</v>
      </c>
    </row>
    <row r="205" spans="1:14" ht="11.1" customHeight="1">
      <c r="A205" s="400" t="s">
        <v>6728</v>
      </c>
      <c r="B205" s="401" t="s">
        <v>6230</v>
      </c>
      <c r="C205" s="116">
        <v>97348</v>
      </c>
      <c r="D205" s="93">
        <v>37.604830205005584</v>
      </c>
      <c r="E205" s="93">
        <v>69.928382096242402</v>
      </c>
      <c r="F205" s="212" t="s">
        <v>6729</v>
      </c>
      <c r="G205" s="212">
        <v>56</v>
      </c>
      <c r="H205" s="212" t="s">
        <v>0</v>
      </c>
      <c r="I205" s="212" t="s">
        <v>6233</v>
      </c>
      <c r="J205" s="212" t="s">
        <v>6253</v>
      </c>
      <c r="K205" s="212" t="s">
        <v>12000</v>
      </c>
      <c r="L205" s="212" t="s">
        <v>6209</v>
      </c>
      <c r="M205" s="212">
        <v>3</v>
      </c>
      <c r="N205" s="402">
        <v>0</v>
      </c>
    </row>
    <row r="206" spans="1:14" ht="11.1" customHeight="1">
      <c r="A206" s="817" t="s">
        <v>6732</v>
      </c>
      <c r="B206" s="404" t="s">
        <v>6231</v>
      </c>
      <c r="C206" s="405">
        <v>22312</v>
      </c>
      <c r="D206" s="406">
        <v>8.6189646580729402</v>
      </c>
      <c r="E206" s="407" t="s">
        <v>6262</v>
      </c>
      <c r="F206" s="213" t="s">
        <v>12129</v>
      </c>
      <c r="G206" s="213">
        <v>33</v>
      </c>
      <c r="H206" s="213" t="s">
        <v>0</v>
      </c>
      <c r="I206" s="213">
        <v>0</v>
      </c>
      <c r="J206" s="213" t="s">
        <v>6264</v>
      </c>
      <c r="K206" s="213">
        <v>0</v>
      </c>
      <c r="L206" s="213" t="s">
        <v>6036</v>
      </c>
      <c r="M206" s="213">
        <v>0</v>
      </c>
      <c r="N206" s="408">
        <v>0</v>
      </c>
    </row>
    <row r="207" spans="1:14" ht="11.1" customHeight="1">
      <c r="A207" s="940" t="s">
        <v>6736</v>
      </c>
      <c r="B207" s="412" t="s">
        <v>10050</v>
      </c>
      <c r="C207" s="413">
        <v>117477</v>
      </c>
      <c r="D207" s="414">
        <v>54.966428822084453</v>
      </c>
      <c r="E207" s="415" t="s">
        <v>6251</v>
      </c>
      <c r="F207" s="416" t="s">
        <v>6737</v>
      </c>
      <c r="G207" s="416">
        <v>56</v>
      </c>
      <c r="H207" s="416" t="s">
        <v>0</v>
      </c>
      <c r="I207" s="416" t="s">
        <v>6233</v>
      </c>
      <c r="J207" s="416" t="s">
        <v>6257</v>
      </c>
      <c r="K207" s="416" t="s">
        <v>11995</v>
      </c>
      <c r="L207" s="416" t="s">
        <v>6209</v>
      </c>
      <c r="M207" s="416">
        <v>3</v>
      </c>
      <c r="N207" s="417" t="s">
        <v>6260</v>
      </c>
    </row>
    <row r="208" spans="1:14" ht="11.1" customHeight="1">
      <c r="A208" s="400" t="s">
        <v>6734</v>
      </c>
      <c r="B208" s="401" t="s">
        <v>6230</v>
      </c>
      <c r="C208" s="116">
        <v>78578</v>
      </c>
      <c r="D208" s="93">
        <v>36.765937536553984</v>
      </c>
      <c r="E208" s="93">
        <v>66.887986584608058</v>
      </c>
      <c r="F208" s="212" t="s">
        <v>6735</v>
      </c>
      <c r="G208" s="212">
        <v>55</v>
      </c>
      <c r="H208" s="212" t="s">
        <v>0</v>
      </c>
      <c r="I208" s="212" t="s">
        <v>6233</v>
      </c>
      <c r="J208" s="212" t="s">
        <v>6253</v>
      </c>
      <c r="K208" s="212" t="s">
        <v>12116</v>
      </c>
      <c r="L208" s="212" t="s">
        <v>6209</v>
      </c>
      <c r="M208" s="212">
        <v>1</v>
      </c>
      <c r="N208" s="402">
        <v>0</v>
      </c>
    </row>
    <row r="209" spans="1:14" ht="11.1" customHeight="1">
      <c r="A209" s="817" t="s">
        <v>6738</v>
      </c>
      <c r="B209" s="404" t="s">
        <v>6231</v>
      </c>
      <c r="C209" s="405">
        <v>17670</v>
      </c>
      <c r="D209" s="406">
        <v>8.267633641361563</v>
      </c>
      <c r="E209" s="407" t="s">
        <v>6262</v>
      </c>
      <c r="F209" s="213" t="s">
        <v>12130</v>
      </c>
      <c r="G209" s="213">
        <v>56</v>
      </c>
      <c r="H209" s="213" t="s">
        <v>0</v>
      </c>
      <c r="I209" s="213">
        <v>0</v>
      </c>
      <c r="J209" s="213" t="s">
        <v>6264</v>
      </c>
      <c r="K209" s="213">
        <v>0</v>
      </c>
      <c r="L209" s="213" t="s">
        <v>6036</v>
      </c>
      <c r="M209" s="213">
        <v>0</v>
      </c>
      <c r="N209" s="408">
        <v>0</v>
      </c>
    </row>
    <row r="210" spans="1:14" ht="11.1" customHeight="1">
      <c r="A210" s="940" t="s">
        <v>6742</v>
      </c>
      <c r="B210" s="412" t="s">
        <v>10050</v>
      </c>
      <c r="C210" s="413">
        <v>97928</v>
      </c>
      <c r="D210" s="414">
        <v>40.140184042793024</v>
      </c>
      <c r="E210" s="415" t="s">
        <v>6251</v>
      </c>
      <c r="F210" s="416" t="s">
        <v>6743</v>
      </c>
      <c r="G210" s="416">
        <v>48</v>
      </c>
      <c r="H210" s="416" t="s">
        <v>0</v>
      </c>
      <c r="I210" s="416" t="s">
        <v>6233</v>
      </c>
      <c r="J210" s="416" t="s">
        <v>6257</v>
      </c>
      <c r="K210" s="416" t="s">
        <v>6258</v>
      </c>
      <c r="L210" s="416" t="s">
        <v>6036</v>
      </c>
      <c r="M210" s="416">
        <v>0</v>
      </c>
      <c r="N210" s="417" t="s">
        <v>6260</v>
      </c>
    </row>
    <row r="211" spans="1:14" ht="11.1" customHeight="1">
      <c r="A211" s="400" t="s">
        <v>12131</v>
      </c>
      <c r="B211" s="401" t="s">
        <v>6230</v>
      </c>
      <c r="C211" s="116">
        <v>93008</v>
      </c>
      <c r="D211" s="93">
        <v>38.123501321910929</v>
      </c>
      <c r="E211" s="403" t="s">
        <v>6262</v>
      </c>
      <c r="F211" s="212" t="s">
        <v>6741</v>
      </c>
      <c r="G211" s="212">
        <v>52</v>
      </c>
      <c r="H211" s="212" t="s">
        <v>0</v>
      </c>
      <c r="I211" s="212">
        <v>0</v>
      </c>
      <c r="J211" s="212" t="s">
        <v>12017</v>
      </c>
      <c r="K211" s="212" t="s">
        <v>12035</v>
      </c>
      <c r="L211" s="212" t="s">
        <v>6209</v>
      </c>
      <c r="M211" s="212">
        <v>2</v>
      </c>
      <c r="N211" s="402">
        <v>0</v>
      </c>
    </row>
    <row r="212" spans="1:14" ht="11.1" customHeight="1">
      <c r="A212" s="400" t="s">
        <v>6744</v>
      </c>
      <c r="B212" s="401"/>
      <c r="C212" s="116">
        <v>36119</v>
      </c>
      <c r="D212" s="93">
        <v>14.80499251941877</v>
      </c>
      <c r="E212" s="93">
        <v>36.883220325136833</v>
      </c>
      <c r="F212" s="212" t="s">
        <v>12132</v>
      </c>
      <c r="G212" s="212">
        <v>34</v>
      </c>
      <c r="H212" s="212" t="s">
        <v>0</v>
      </c>
      <c r="I212" s="212" t="s">
        <v>6233</v>
      </c>
      <c r="J212" s="212" t="s">
        <v>6253</v>
      </c>
      <c r="K212" s="212" t="s">
        <v>12007</v>
      </c>
      <c r="L212" s="212" t="s">
        <v>6036</v>
      </c>
      <c r="M212" s="212">
        <v>0</v>
      </c>
      <c r="N212" s="402">
        <v>0</v>
      </c>
    </row>
    <row r="213" spans="1:14" ht="11.1" customHeight="1">
      <c r="A213" s="817" t="s">
        <v>6740</v>
      </c>
      <c r="B213" s="404" t="s">
        <v>6231</v>
      </c>
      <c r="C213" s="405">
        <v>16910</v>
      </c>
      <c r="D213" s="406">
        <v>6.9313221158772773</v>
      </c>
      <c r="E213" s="407" t="s">
        <v>6262</v>
      </c>
      <c r="F213" s="213" t="s">
        <v>12133</v>
      </c>
      <c r="G213" s="213">
        <v>52</v>
      </c>
      <c r="H213" s="213" t="s">
        <v>6049</v>
      </c>
      <c r="I213" s="213">
        <v>0</v>
      </c>
      <c r="J213" s="213" t="s">
        <v>6264</v>
      </c>
      <c r="K213" s="213">
        <v>0</v>
      </c>
      <c r="L213" s="213" t="s">
        <v>6036</v>
      </c>
      <c r="M213" s="213">
        <v>0</v>
      </c>
      <c r="N213" s="408">
        <v>0</v>
      </c>
    </row>
    <row r="214" spans="1:14" ht="11.1" customHeight="1">
      <c r="A214" s="940" t="s">
        <v>6748</v>
      </c>
      <c r="B214" s="412" t="s">
        <v>10050</v>
      </c>
      <c r="C214" s="413">
        <v>129783</v>
      </c>
      <c r="D214" s="414">
        <v>55.999361402842624</v>
      </c>
      <c r="E214" s="415" t="s">
        <v>6251</v>
      </c>
      <c r="F214" s="416" t="s">
        <v>6749</v>
      </c>
      <c r="G214" s="416">
        <v>65</v>
      </c>
      <c r="H214" s="416" t="s">
        <v>0</v>
      </c>
      <c r="I214" s="416" t="s">
        <v>6233</v>
      </c>
      <c r="J214" s="416" t="s">
        <v>6257</v>
      </c>
      <c r="K214" s="416" t="s">
        <v>12012</v>
      </c>
      <c r="L214" s="416" t="s">
        <v>6209</v>
      </c>
      <c r="M214" s="416">
        <v>3</v>
      </c>
      <c r="N214" s="417" t="s">
        <v>6260</v>
      </c>
    </row>
    <row r="215" spans="1:14" ht="11.1" customHeight="1">
      <c r="A215" s="400" t="s">
        <v>6746</v>
      </c>
      <c r="B215" s="401" t="s">
        <v>6230</v>
      </c>
      <c r="C215" s="116">
        <v>84705</v>
      </c>
      <c r="D215" s="93">
        <v>36.548900145841785</v>
      </c>
      <c r="E215" s="93">
        <v>65.266637387022953</v>
      </c>
      <c r="F215" s="212" t="s">
        <v>6747</v>
      </c>
      <c r="G215" s="212">
        <v>40</v>
      </c>
      <c r="H215" s="212" t="s">
        <v>0</v>
      </c>
      <c r="I215" s="212" t="s">
        <v>6233</v>
      </c>
      <c r="J215" s="212" t="s">
        <v>6253</v>
      </c>
      <c r="K215" s="212" t="s">
        <v>12000</v>
      </c>
      <c r="L215" s="212" t="s">
        <v>6209</v>
      </c>
      <c r="M215" s="212">
        <v>1</v>
      </c>
      <c r="N215" s="402">
        <v>0</v>
      </c>
    </row>
    <row r="216" spans="1:14" ht="11.1" customHeight="1">
      <c r="A216" s="817" t="s">
        <v>6750</v>
      </c>
      <c r="B216" s="404" t="s">
        <v>6231</v>
      </c>
      <c r="C216" s="405">
        <v>17270</v>
      </c>
      <c r="D216" s="406">
        <v>7.4517384513155962</v>
      </c>
      <c r="E216" s="407" t="s">
        <v>6262</v>
      </c>
      <c r="F216" s="213" t="s">
        <v>12134</v>
      </c>
      <c r="G216" s="213">
        <v>50</v>
      </c>
      <c r="H216" s="213" t="s">
        <v>6049</v>
      </c>
      <c r="I216" s="213">
        <v>0</v>
      </c>
      <c r="J216" s="213" t="s">
        <v>6264</v>
      </c>
      <c r="K216" s="213">
        <v>0</v>
      </c>
      <c r="L216" s="213" t="s">
        <v>6036</v>
      </c>
      <c r="M216" s="213">
        <v>0</v>
      </c>
      <c r="N216" s="408">
        <v>0</v>
      </c>
    </row>
    <row r="217" spans="1:14" ht="11.1" customHeight="1">
      <c r="A217" s="940" t="s">
        <v>6754</v>
      </c>
      <c r="B217" s="412" t="s">
        <v>10050</v>
      </c>
      <c r="C217" s="413">
        <v>124494</v>
      </c>
      <c r="D217" s="414">
        <v>54.118178933320578</v>
      </c>
      <c r="E217" s="415" t="s">
        <v>6251</v>
      </c>
      <c r="F217" s="416" t="s">
        <v>6755</v>
      </c>
      <c r="G217" s="416">
        <v>53</v>
      </c>
      <c r="H217" s="416" t="s">
        <v>6049</v>
      </c>
      <c r="I217" s="416" t="s">
        <v>6233</v>
      </c>
      <c r="J217" s="416" t="s">
        <v>6257</v>
      </c>
      <c r="K217" s="416" t="s">
        <v>6258</v>
      </c>
      <c r="L217" s="416" t="s">
        <v>6209</v>
      </c>
      <c r="M217" s="416">
        <v>3</v>
      </c>
      <c r="N217" s="417" t="s">
        <v>6260</v>
      </c>
    </row>
    <row r="218" spans="1:14" ht="11.1" customHeight="1">
      <c r="A218" s="400" t="s">
        <v>6752</v>
      </c>
      <c r="B218" s="401" t="s">
        <v>6230</v>
      </c>
      <c r="C218" s="116">
        <v>85619</v>
      </c>
      <c r="D218" s="93">
        <v>37.219017479492784</v>
      </c>
      <c r="E218" s="93">
        <v>68.773595514643276</v>
      </c>
      <c r="F218" s="212" t="s">
        <v>6759</v>
      </c>
      <c r="G218" s="212">
        <v>58</v>
      </c>
      <c r="H218" s="212" t="s">
        <v>6049</v>
      </c>
      <c r="I218" s="212" t="s">
        <v>6233</v>
      </c>
      <c r="J218" s="212" t="s">
        <v>6253</v>
      </c>
      <c r="K218" s="212" t="s">
        <v>12020</v>
      </c>
      <c r="L218" s="212" t="s">
        <v>6209</v>
      </c>
      <c r="M218" s="212">
        <v>4</v>
      </c>
      <c r="N218" s="402">
        <v>0</v>
      </c>
    </row>
    <row r="219" spans="1:14" ht="11.1" customHeight="1">
      <c r="A219" s="817" t="s">
        <v>6756</v>
      </c>
      <c r="B219" s="404" t="s">
        <v>6231</v>
      </c>
      <c r="C219" s="405">
        <v>19928</v>
      </c>
      <c r="D219" s="406">
        <v>8.662803587186632</v>
      </c>
      <c r="E219" s="407" t="s">
        <v>6262</v>
      </c>
      <c r="F219" s="213" t="s">
        <v>12135</v>
      </c>
      <c r="G219" s="213">
        <v>44</v>
      </c>
      <c r="H219" s="213" t="s">
        <v>0</v>
      </c>
      <c r="I219" s="213">
        <v>0</v>
      </c>
      <c r="J219" s="213" t="s">
        <v>6264</v>
      </c>
      <c r="K219" s="213">
        <v>0</v>
      </c>
      <c r="L219" s="213" t="s">
        <v>6036</v>
      </c>
      <c r="M219" s="213">
        <v>0</v>
      </c>
      <c r="N219" s="408">
        <v>0</v>
      </c>
    </row>
    <row r="220" spans="1:14" ht="11.1" customHeight="1">
      <c r="A220" s="940" t="s">
        <v>6765</v>
      </c>
      <c r="B220" s="412" t="s">
        <v>10050</v>
      </c>
      <c r="C220" s="413">
        <v>128642</v>
      </c>
      <c r="D220" s="414">
        <v>53.116148478467316</v>
      </c>
      <c r="E220" s="415" t="s">
        <v>6251</v>
      </c>
      <c r="F220" s="416" t="s">
        <v>6766</v>
      </c>
      <c r="G220" s="416">
        <v>52</v>
      </c>
      <c r="H220" s="416" t="s">
        <v>0</v>
      </c>
      <c r="I220" s="416" t="s">
        <v>6233</v>
      </c>
      <c r="J220" s="416" t="s">
        <v>6257</v>
      </c>
      <c r="K220" s="416" t="s">
        <v>11998</v>
      </c>
      <c r="L220" s="416" t="s">
        <v>6209</v>
      </c>
      <c r="M220" s="416">
        <v>2</v>
      </c>
      <c r="N220" s="417" t="s">
        <v>6260</v>
      </c>
    </row>
    <row r="221" spans="1:14" ht="11.1" customHeight="1">
      <c r="A221" s="400" t="s">
        <v>6763</v>
      </c>
      <c r="B221" s="401" t="s">
        <v>6230</v>
      </c>
      <c r="C221" s="116">
        <v>92584</v>
      </c>
      <c r="D221" s="93">
        <v>38.227837648127505</v>
      </c>
      <c r="E221" s="93">
        <v>71.97027409399729</v>
      </c>
      <c r="F221" s="212" t="s">
        <v>12136</v>
      </c>
      <c r="G221" s="212">
        <v>38</v>
      </c>
      <c r="H221" s="212" t="s">
        <v>0</v>
      </c>
      <c r="I221" s="212" t="s">
        <v>6233</v>
      </c>
      <c r="J221" s="212" t="s">
        <v>6253</v>
      </c>
      <c r="K221" s="212" t="s">
        <v>12007</v>
      </c>
      <c r="L221" s="212" t="s">
        <v>6036</v>
      </c>
      <c r="M221" s="212">
        <v>0</v>
      </c>
      <c r="N221" s="402">
        <v>0</v>
      </c>
    </row>
    <row r="222" spans="1:14" ht="11.1" customHeight="1">
      <c r="A222" s="817" t="s">
        <v>6767</v>
      </c>
      <c r="B222" s="404" t="s">
        <v>6231</v>
      </c>
      <c r="C222" s="405">
        <v>20964</v>
      </c>
      <c r="D222" s="406">
        <v>8.6560138734051773</v>
      </c>
      <c r="E222" s="407" t="s">
        <v>6262</v>
      </c>
      <c r="F222" s="213" t="s">
        <v>12137</v>
      </c>
      <c r="G222" s="213">
        <v>49</v>
      </c>
      <c r="H222" s="213" t="s">
        <v>0</v>
      </c>
      <c r="I222" s="213">
        <v>0</v>
      </c>
      <c r="J222" s="213" t="s">
        <v>6264</v>
      </c>
      <c r="K222" s="213">
        <v>0</v>
      </c>
      <c r="L222" s="213" t="s">
        <v>6036</v>
      </c>
      <c r="M222" s="213">
        <v>0</v>
      </c>
      <c r="N222" s="408">
        <v>0</v>
      </c>
    </row>
    <row r="223" spans="1:14" ht="11.1" customHeight="1">
      <c r="A223" s="940" t="s">
        <v>6771</v>
      </c>
      <c r="B223" s="412" t="s">
        <v>10050</v>
      </c>
      <c r="C223" s="413">
        <v>106961</v>
      </c>
      <c r="D223" s="414">
        <v>49.000618457521128</v>
      </c>
      <c r="E223" s="415" t="s">
        <v>6251</v>
      </c>
      <c r="F223" s="416" t="s">
        <v>6772</v>
      </c>
      <c r="G223" s="416">
        <v>41</v>
      </c>
      <c r="H223" s="416" t="s">
        <v>0</v>
      </c>
      <c r="I223" s="416" t="s">
        <v>6233</v>
      </c>
      <c r="J223" s="416" t="s">
        <v>6257</v>
      </c>
      <c r="K223" s="416" t="s">
        <v>6258</v>
      </c>
      <c r="L223" s="416" t="s">
        <v>6036</v>
      </c>
      <c r="M223" s="416">
        <v>0</v>
      </c>
      <c r="N223" s="417" t="s">
        <v>6260</v>
      </c>
    </row>
    <row r="224" spans="1:14" ht="11.1" customHeight="1">
      <c r="A224" s="400" t="s">
        <v>6769</v>
      </c>
      <c r="B224" s="401" t="s">
        <v>11986</v>
      </c>
      <c r="C224" s="116">
        <v>85276</v>
      </c>
      <c r="D224" s="93">
        <v>39.066358201433907</v>
      </c>
      <c r="E224" s="93">
        <v>79.726255364104674</v>
      </c>
      <c r="F224" s="212" t="s">
        <v>6770</v>
      </c>
      <c r="G224" s="212">
        <v>35</v>
      </c>
      <c r="H224" s="212" t="s">
        <v>0</v>
      </c>
      <c r="I224" s="212" t="s">
        <v>6233</v>
      </c>
      <c r="J224" s="212" t="s">
        <v>6253</v>
      </c>
      <c r="K224" s="212" t="s">
        <v>12020</v>
      </c>
      <c r="L224" s="212" t="s">
        <v>6209</v>
      </c>
      <c r="M224" s="212">
        <v>1</v>
      </c>
      <c r="N224" s="402">
        <v>0</v>
      </c>
    </row>
    <row r="225" spans="1:14" ht="11.1" customHeight="1">
      <c r="A225" s="400" t="s">
        <v>6773</v>
      </c>
      <c r="B225" s="401"/>
      <c r="C225" s="116">
        <v>22091</v>
      </c>
      <c r="D225" s="93">
        <v>10.120255629108733</v>
      </c>
      <c r="E225" s="403" t="s">
        <v>6262</v>
      </c>
      <c r="F225" s="212" t="s">
        <v>6774</v>
      </c>
      <c r="G225" s="212">
        <v>33</v>
      </c>
      <c r="H225" s="212" t="s">
        <v>6049</v>
      </c>
      <c r="I225" s="212">
        <v>0</v>
      </c>
      <c r="J225" s="212" t="s">
        <v>6264</v>
      </c>
      <c r="K225" s="212">
        <v>0</v>
      </c>
      <c r="L225" s="212" t="s">
        <v>6036</v>
      </c>
      <c r="M225" s="212">
        <v>0</v>
      </c>
      <c r="N225" s="402">
        <v>0</v>
      </c>
    </row>
    <row r="226" spans="1:14" ht="11.1" customHeight="1" thickBot="1">
      <c r="A226" s="418" t="s">
        <v>6775</v>
      </c>
      <c r="B226" s="419" t="s">
        <v>6231</v>
      </c>
      <c r="C226" s="420">
        <v>3957</v>
      </c>
      <c r="D226" s="421">
        <v>1.8127677119362302</v>
      </c>
      <c r="E226" s="422" t="s">
        <v>6262</v>
      </c>
      <c r="F226" s="423" t="s">
        <v>12138</v>
      </c>
      <c r="G226" s="423">
        <v>55</v>
      </c>
      <c r="H226" s="423" t="s">
        <v>0</v>
      </c>
      <c r="I226" s="423">
        <v>0</v>
      </c>
      <c r="J226" s="423" t="s">
        <v>12017</v>
      </c>
      <c r="K226" s="423">
        <v>0</v>
      </c>
      <c r="L226" s="423" t="s">
        <v>6036</v>
      </c>
      <c r="M226" s="423">
        <v>0</v>
      </c>
      <c r="N226" s="424">
        <v>0</v>
      </c>
    </row>
    <row r="227" spans="1:14" ht="11.1" customHeight="1" thickTop="1">
      <c r="A227" s="400" t="s">
        <v>6780</v>
      </c>
      <c r="B227" s="425" t="s">
        <v>10050</v>
      </c>
      <c r="C227" s="426">
        <v>124292</v>
      </c>
      <c r="D227" s="427">
        <v>51.108168787058894</v>
      </c>
      <c r="E227" s="428" t="s">
        <v>6251</v>
      </c>
      <c r="F227" s="303" t="s">
        <v>12139</v>
      </c>
      <c r="G227" s="303">
        <v>66</v>
      </c>
      <c r="H227" s="303" t="s">
        <v>0</v>
      </c>
      <c r="I227" s="303" t="s">
        <v>6233</v>
      </c>
      <c r="J227" s="303" t="s">
        <v>6257</v>
      </c>
      <c r="K227" s="303" t="s">
        <v>12028</v>
      </c>
      <c r="L227" s="303" t="s">
        <v>6283</v>
      </c>
      <c r="M227" s="303">
        <v>7</v>
      </c>
      <c r="N227" s="429" t="s">
        <v>6260</v>
      </c>
    </row>
    <row r="228" spans="1:14" ht="11.1" customHeight="1">
      <c r="A228" s="400" t="s">
        <v>6777</v>
      </c>
      <c r="B228" s="401" t="s">
        <v>11986</v>
      </c>
      <c r="C228" s="116">
        <v>105459</v>
      </c>
      <c r="D228" s="93">
        <v>43.364145497010618</v>
      </c>
      <c r="E228" s="93">
        <v>84.84777781353587</v>
      </c>
      <c r="F228" s="212" t="s">
        <v>12140</v>
      </c>
      <c r="G228" s="212">
        <v>43</v>
      </c>
      <c r="H228" s="212" t="s">
        <v>0</v>
      </c>
      <c r="I228" s="212" t="s">
        <v>6233</v>
      </c>
      <c r="J228" s="212" t="s">
        <v>6253</v>
      </c>
      <c r="K228" s="212" t="s">
        <v>12007</v>
      </c>
      <c r="L228" s="212" t="s">
        <v>6209</v>
      </c>
      <c r="M228" s="212">
        <v>1</v>
      </c>
      <c r="N228" s="402">
        <v>0</v>
      </c>
    </row>
    <row r="229" spans="1:14" ht="11.1" customHeight="1">
      <c r="A229" s="817" t="s">
        <v>6782</v>
      </c>
      <c r="B229" s="404" t="s">
        <v>6231</v>
      </c>
      <c r="C229" s="405">
        <v>13443</v>
      </c>
      <c r="D229" s="406">
        <v>5.5276857159304917</v>
      </c>
      <c r="E229" s="407" t="s">
        <v>6262</v>
      </c>
      <c r="F229" s="213" t="s">
        <v>12141</v>
      </c>
      <c r="G229" s="213">
        <v>26</v>
      </c>
      <c r="H229" s="213" t="s">
        <v>0</v>
      </c>
      <c r="I229" s="213">
        <v>0</v>
      </c>
      <c r="J229" s="213" t="s">
        <v>6264</v>
      </c>
      <c r="K229" s="213">
        <v>0</v>
      </c>
      <c r="L229" s="213" t="s">
        <v>6036</v>
      </c>
      <c r="M229" s="213">
        <v>0</v>
      </c>
      <c r="N229" s="408">
        <v>0</v>
      </c>
    </row>
    <row r="230" spans="1:14" ht="11.1" customHeight="1">
      <c r="A230" s="940" t="s">
        <v>6788</v>
      </c>
      <c r="B230" s="412" t="s">
        <v>10050</v>
      </c>
      <c r="C230" s="413">
        <v>124261</v>
      </c>
      <c r="D230" s="414">
        <v>46.913249318543912</v>
      </c>
      <c r="E230" s="415" t="s">
        <v>6251</v>
      </c>
      <c r="F230" s="416" t="s">
        <v>6789</v>
      </c>
      <c r="G230" s="416">
        <v>59</v>
      </c>
      <c r="H230" s="416" t="s">
        <v>6049</v>
      </c>
      <c r="I230" s="416" t="s">
        <v>6233</v>
      </c>
      <c r="J230" s="416" t="s">
        <v>6257</v>
      </c>
      <c r="K230" s="416" t="s">
        <v>6258</v>
      </c>
      <c r="L230" s="416" t="s">
        <v>6283</v>
      </c>
      <c r="M230" s="416">
        <v>1</v>
      </c>
      <c r="N230" s="417" t="s">
        <v>6260</v>
      </c>
    </row>
    <row r="231" spans="1:14" ht="11.1" customHeight="1">
      <c r="A231" s="400" t="s">
        <v>6786</v>
      </c>
      <c r="B231" s="401" t="s">
        <v>11986</v>
      </c>
      <c r="C231" s="116">
        <v>112943</v>
      </c>
      <c r="D231" s="93">
        <v>42.640274243602619</v>
      </c>
      <c r="E231" s="93">
        <v>90.891752038048949</v>
      </c>
      <c r="F231" s="212" t="s">
        <v>12142</v>
      </c>
      <c r="G231" s="212">
        <v>36</v>
      </c>
      <c r="H231" s="212" t="s">
        <v>0</v>
      </c>
      <c r="I231" s="212" t="s">
        <v>6233</v>
      </c>
      <c r="J231" s="212" t="s">
        <v>6253</v>
      </c>
      <c r="K231" s="212" t="s">
        <v>12007</v>
      </c>
      <c r="L231" s="212" t="s">
        <v>6209</v>
      </c>
      <c r="M231" s="212">
        <v>2</v>
      </c>
      <c r="N231" s="402">
        <v>0</v>
      </c>
    </row>
    <row r="232" spans="1:14" ht="11.1" customHeight="1">
      <c r="A232" s="400" t="s">
        <v>6790</v>
      </c>
      <c r="B232" s="401" t="s">
        <v>6231</v>
      </c>
      <c r="C232" s="116">
        <v>16497</v>
      </c>
      <c r="D232" s="93">
        <v>6.2282443727961221</v>
      </c>
      <c r="E232" s="403" t="s">
        <v>6262</v>
      </c>
      <c r="F232" s="212" t="s">
        <v>12143</v>
      </c>
      <c r="G232" s="212">
        <v>57</v>
      </c>
      <c r="H232" s="212" t="s">
        <v>0</v>
      </c>
      <c r="I232" s="212">
        <v>0</v>
      </c>
      <c r="J232" s="212" t="s">
        <v>6264</v>
      </c>
      <c r="K232" s="212">
        <v>0</v>
      </c>
      <c r="L232" s="212" t="s">
        <v>6036</v>
      </c>
      <c r="M232" s="212">
        <v>0</v>
      </c>
      <c r="N232" s="402">
        <v>0</v>
      </c>
    </row>
    <row r="233" spans="1:14" ht="11.1" customHeight="1">
      <c r="A233" s="400" t="s">
        <v>6792</v>
      </c>
      <c r="B233" s="401" t="s">
        <v>6231</v>
      </c>
      <c r="C233" s="116">
        <v>8772</v>
      </c>
      <c r="D233" s="93">
        <v>3.3117633289790618</v>
      </c>
      <c r="E233" s="93">
        <v>7.7667495993554274</v>
      </c>
      <c r="F233" s="212" t="s">
        <v>12144</v>
      </c>
      <c r="G233" s="212">
        <v>64</v>
      </c>
      <c r="H233" s="212" t="s">
        <v>0</v>
      </c>
      <c r="I233" s="212" t="s">
        <v>6233</v>
      </c>
      <c r="J233" s="212" t="s">
        <v>6278</v>
      </c>
      <c r="K233" s="212">
        <v>0</v>
      </c>
      <c r="L233" s="212" t="s">
        <v>6036</v>
      </c>
      <c r="M233" s="212">
        <v>0</v>
      </c>
      <c r="N233" s="402">
        <v>0</v>
      </c>
    </row>
    <row r="234" spans="1:14" ht="11.1" customHeight="1">
      <c r="A234" s="817" t="s">
        <v>12145</v>
      </c>
      <c r="B234" s="404" t="s">
        <v>6231</v>
      </c>
      <c r="C234" s="405">
        <v>2401</v>
      </c>
      <c r="D234" s="406">
        <v>0.90646873607828626</v>
      </c>
      <c r="E234" s="407" t="s">
        <v>6262</v>
      </c>
      <c r="F234" s="213" t="s">
        <v>12146</v>
      </c>
      <c r="G234" s="213">
        <v>63</v>
      </c>
      <c r="H234" s="213" t="s">
        <v>0</v>
      </c>
      <c r="I234" s="213">
        <v>0</v>
      </c>
      <c r="J234" s="213" t="s">
        <v>12017</v>
      </c>
      <c r="K234" s="213">
        <v>0</v>
      </c>
      <c r="L234" s="213" t="s">
        <v>6036</v>
      </c>
      <c r="M234" s="213">
        <v>0</v>
      </c>
      <c r="N234" s="408">
        <v>0</v>
      </c>
    </row>
    <row r="235" spans="1:14" ht="11.1" customHeight="1">
      <c r="A235" s="940" t="s">
        <v>6796</v>
      </c>
      <c r="B235" s="412" t="s">
        <v>10050</v>
      </c>
      <c r="C235" s="413">
        <v>108937</v>
      </c>
      <c r="D235" s="414">
        <v>53.243630285286976</v>
      </c>
      <c r="E235" s="415" t="s">
        <v>6251</v>
      </c>
      <c r="F235" s="416" t="s">
        <v>6797</v>
      </c>
      <c r="G235" s="416">
        <v>42</v>
      </c>
      <c r="H235" s="416" t="s">
        <v>0</v>
      </c>
      <c r="I235" s="416" t="s">
        <v>6233</v>
      </c>
      <c r="J235" s="416" t="s">
        <v>6257</v>
      </c>
      <c r="K235" s="416" t="s">
        <v>11998</v>
      </c>
      <c r="L235" s="416" t="s">
        <v>6209</v>
      </c>
      <c r="M235" s="416">
        <v>2</v>
      </c>
      <c r="N235" s="417" t="s">
        <v>6260</v>
      </c>
    </row>
    <row r="236" spans="1:14" ht="11.1" customHeight="1">
      <c r="A236" s="400" t="s">
        <v>6794</v>
      </c>
      <c r="B236" s="401" t="s">
        <v>6230</v>
      </c>
      <c r="C236" s="116">
        <v>85707</v>
      </c>
      <c r="D236" s="93">
        <v>41.889824585412583</v>
      </c>
      <c r="E236" s="93">
        <v>78.675748368322971</v>
      </c>
      <c r="F236" s="212" t="s">
        <v>6795</v>
      </c>
      <c r="G236" s="212">
        <v>47</v>
      </c>
      <c r="H236" s="212" t="s">
        <v>0</v>
      </c>
      <c r="I236" s="212" t="s">
        <v>6233</v>
      </c>
      <c r="J236" s="212" t="s">
        <v>6253</v>
      </c>
      <c r="K236" s="212" t="s">
        <v>12020</v>
      </c>
      <c r="L236" s="212" t="s">
        <v>6209</v>
      </c>
      <c r="M236" s="212">
        <v>1</v>
      </c>
      <c r="N236" s="402">
        <v>0</v>
      </c>
    </row>
    <row r="237" spans="1:14" ht="11.1" customHeight="1">
      <c r="A237" s="817" t="s">
        <v>6798</v>
      </c>
      <c r="B237" s="404" t="s">
        <v>6231</v>
      </c>
      <c r="C237" s="405">
        <v>9957</v>
      </c>
      <c r="D237" s="406">
        <v>4.8665451293004436</v>
      </c>
      <c r="E237" s="407" t="s">
        <v>6262</v>
      </c>
      <c r="F237" s="213" t="s">
        <v>12147</v>
      </c>
      <c r="G237" s="213">
        <v>57</v>
      </c>
      <c r="H237" s="213" t="s">
        <v>0</v>
      </c>
      <c r="I237" s="213">
        <v>0</v>
      </c>
      <c r="J237" s="213" t="s">
        <v>6264</v>
      </c>
      <c r="K237" s="213">
        <v>0</v>
      </c>
      <c r="L237" s="213" t="s">
        <v>6036</v>
      </c>
      <c r="M237" s="213">
        <v>0</v>
      </c>
      <c r="N237" s="408">
        <v>0</v>
      </c>
    </row>
    <row r="238" spans="1:14" ht="11.1" customHeight="1">
      <c r="A238" s="940" t="s">
        <v>6800</v>
      </c>
      <c r="B238" s="409" t="s">
        <v>10050</v>
      </c>
      <c r="C238" s="53">
        <v>129834</v>
      </c>
      <c r="D238" s="55">
        <v>44.898382629083628</v>
      </c>
      <c r="E238" s="410" t="s">
        <v>6251</v>
      </c>
      <c r="F238" s="56" t="s">
        <v>6801</v>
      </c>
      <c r="G238" s="56">
        <v>48</v>
      </c>
      <c r="H238" s="56" t="s">
        <v>0</v>
      </c>
      <c r="I238" s="56" t="s">
        <v>6233</v>
      </c>
      <c r="J238" s="56" t="s">
        <v>6253</v>
      </c>
      <c r="K238" s="56" t="s">
        <v>11994</v>
      </c>
      <c r="L238" s="56" t="s">
        <v>6209</v>
      </c>
      <c r="M238" s="56">
        <v>3</v>
      </c>
      <c r="N238" s="411">
        <v>0</v>
      </c>
    </row>
    <row r="239" spans="1:14" ht="11.1" customHeight="1">
      <c r="A239" s="400" t="s">
        <v>6802</v>
      </c>
      <c r="B239" s="401" t="s">
        <v>11986</v>
      </c>
      <c r="C239" s="116">
        <v>128890</v>
      </c>
      <c r="D239" s="93">
        <v>44.571934447545239</v>
      </c>
      <c r="E239" s="93">
        <v>99.272917725711295</v>
      </c>
      <c r="F239" s="212" t="s">
        <v>6803</v>
      </c>
      <c r="G239" s="212">
        <v>36</v>
      </c>
      <c r="H239" s="212" t="s">
        <v>0</v>
      </c>
      <c r="I239" s="212" t="s">
        <v>6233</v>
      </c>
      <c r="J239" s="212" t="s">
        <v>6257</v>
      </c>
      <c r="K239" s="212" t="s">
        <v>6258</v>
      </c>
      <c r="L239" s="212" t="s">
        <v>6036</v>
      </c>
      <c r="M239" s="212">
        <v>0</v>
      </c>
      <c r="N239" s="402" t="s">
        <v>6260</v>
      </c>
    </row>
    <row r="240" spans="1:14" ht="11.1" customHeight="1">
      <c r="A240" s="400" t="s">
        <v>6806</v>
      </c>
      <c r="B240" s="401" t="s">
        <v>6231</v>
      </c>
      <c r="C240" s="116">
        <v>24138</v>
      </c>
      <c r="D240" s="93">
        <v>8.3472523368364264</v>
      </c>
      <c r="E240" s="403" t="s">
        <v>6262</v>
      </c>
      <c r="F240" s="212" t="s">
        <v>12148</v>
      </c>
      <c r="G240" s="212">
        <v>53</v>
      </c>
      <c r="H240" s="212" t="s">
        <v>0</v>
      </c>
      <c r="I240" s="212">
        <v>0</v>
      </c>
      <c r="J240" s="212" t="s">
        <v>6264</v>
      </c>
      <c r="K240" s="212">
        <v>0</v>
      </c>
      <c r="L240" s="212" t="s">
        <v>6036</v>
      </c>
      <c r="M240" s="212">
        <v>0</v>
      </c>
      <c r="N240" s="402">
        <v>0</v>
      </c>
    </row>
    <row r="241" spans="1:14" ht="11.1" customHeight="1">
      <c r="A241" s="817" t="s">
        <v>6804</v>
      </c>
      <c r="B241" s="404" t="s">
        <v>6231</v>
      </c>
      <c r="C241" s="405">
        <v>6311</v>
      </c>
      <c r="D241" s="406">
        <v>2.182430586534704</v>
      </c>
      <c r="E241" s="407" t="s">
        <v>6262</v>
      </c>
      <c r="F241" s="213" t="s">
        <v>12149</v>
      </c>
      <c r="G241" s="213">
        <v>57</v>
      </c>
      <c r="H241" s="213" t="s">
        <v>0</v>
      </c>
      <c r="I241" s="213">
        <v>0</v>
      </c>
      <c r="J241" s="213" t="s">
        <v>12017</v>
      </c>
      <c r="K241" s="213">
        <v>0</v>
      </c>
      <c r="L241" s="213" t="s">
        <v>6036</v>
      </c>
      <c r="M241" s="213">
        <v>0</v>
      </c>
      <c r="N241" s="408">
        <v>0</v>
      </c>
    </row>
    <row r="242" spans="1:14" ht="11.1" customHeight="1">
      <c r="A242" s="940" t="s">
        <v>6812</v>
      </c>
      <c r="B242" s="412" t="s">
        <v>10050</v>
      </c>
      <c r="C242" s="413">
        <v>132691</v>
      </c>
      <c r="D242" s="414">
        <v>54.061178426211875</v>
      </c>
      <c r="E242" s="415" t="s">
        <v>6251</v>
      </c>
      <c r="F242" s="416" t="s">
        <v>6813</v>
      </c>
      <c r="G242" s="416">
        <v>33</v>
      </c>
      <c r="H242" s="416" t="s">
        <v>0</v>
      </c>
      <c r="I242" s="416" t="s">
        <v>6233</v>
      </c>
      <c r="J242" s="416" t="s">
        <v>6257</v>
      </c>
      <c r="K242" s="416" t="s">
        <v>12150</v>
      </c>
      <c r="L242" s="416" t="s">
        <v>6036</v>
      </c>
      <c r="M242" s="416">
        <v>0</v>
      </c>
      <c r="N242" s="417" t="s">
        <v>6260</v>
      </c>
    </row>
    <row r="243" spans="1:14" ht="11.1" customHeight="1">
      <c r="A243" s="400" t="s">
        <v>6810</v>
      </c>
      <c r="B243" s="401" t="s">
        <v>6230</v>
      </c>
      <c r="C243" s="116">
        <v>94528</v>
      </c>
      <c r="D243" s="93">
        <v>38.512748221604753</v>
      </c>
      <c r="E243" s="93">
        <v>71.239194821050404</v>
      </c>
      <c r="F243" s="212" t="s">
        <v>6811</v>
      </c>
      <c r="G243" s="212">
        <v>31</v>
      </c>
      <c r="H243" s="212" t="s">
        <v>0</v>
      </c>
      <c r="I243" s="212" t="s">
        <v>6233</v>
      </c>
      <c r="J243" s="212" t="s">
        <v>6253</v>
      </c>
      <c r="K243" s="212" t="s">
        <v>12007</v>
      </c>
      <c r="L243" s="212" t="s">
        <v>6036</v>
      </c>
      <c r="M243" s="212">
        <v>0</v>
      </c>
      <c r="N243" s="402">
        <v>0</v>
      </c>
    </row>
    <row r="244" spans="1:14" ht="11.1" customHeight="1">
      <c r="A244" s="817" t="s">
        <v>6814</v>
      </c>
      <c r="B244" s="404" t="s">
        <v>6231</v>
      </c>
      <c r="C244" s="405">
        <v>18227</v>
      </c>
      <c r="D244" s="406">
        <v>7.4260733521833719</v>
      </c>
      <c r="E244" s="407" t="s">
        <v>6262</v>
      </c>
      <c r="F244" s="213" t="s">
        <v>12151</v>
      </c>
      <c r="G244" s="213">
        <v>30</v>
      </c>
      <c r="H244" s="213" t="s">
        <v>0</v>
      </c>
      <c r="I244" s="213">
        <v>0</v>
      </c>
      <c r="J244" s="213" t="s">
        <v>6264</v>
      </c>
      <c r="K244" s="213">
        <v>0</v>
      </c>
      <c r="L244" s="213" t="s">
        <v>6036</v>
      </c>
      <c r="M244" s="213">
        <v>0</v>
      </c>
      <c r="N244" s="408">
        <v>0</v>
      </c>
    </row>
    <row r="245" spans="1:14" ht="11.1" customHeight="1">
      <c r="A245" s="940" t="s">
        <v>6820</v>
      </c>
      <c r="B245" s="412" t="s">
        <v>10050</v>
      </c>
      <c r="C245" s="413">
        <v>112397</v>
      </c>
      <c r="D245" s="414">
        <v>52.928572774020985</v>
      </c>
      <c r="E245" s="415" t="s">
        <v>6251</v>
      </c>
      <c r="F245" s="416" t="s">
        <v>6821</v>
      </c>
      <c r="G245" s="416">
        <v>55</v>
      </c>
      <c r="H245" s="416" t="s">
        <v>0</v>
      </c>
      <c r="I245" s="416" t="s">
        <v>6233</v>
      </c>
      <c r="J245" s="416" t="s">
        <v>6257</v>
      </c>
      <c r="K245" s="416" t="s">
        <v>11995</v>
      </c>
      <c r="L245" s="416" t="s">
        <v>6209</v>
      </c>
      <c r="M245" s="416">
        <v>3</v>
      </c>
      <c r="N245" s="417" t="s">
        <v>6260</v>
      </c>
    </row>
    <row r="246" spans="1:14" ht="11.1" customHeight="1">
      <c r="A246" s="400" t="s">
        <v>6818</v>
      </c>
      <c r="B246" s="401" t="s">
        <v>6230</v>
      </c>
      <c r="C246" s="116">
        <v>82636</v>
      </c>
      <c r="D246" s="93">
        <v>38.913899301173501</v>
      </c>
      <c r="E246" s="93">
        <v>73.521535272293747</v>
      </c>
      <c r="F246" s="212" t="s">
        <v>6819</v>
      </c>
      <c r="G246" s="212">
        <v>57</v>
      </c>
      <c r="H246" s="212" t="s">
        <v>0</v>
      </c>
      <c r="I246" s="212" t="s">
        <v>6233</v>
      </c>
      <c r="J246" s="212" t="s">
        <v>6253</v>
      </c>
      <c r="K246" s="212" t="s">
        <v>12000</v>
      </c>
      <c r="L246" s="212" t="s">
        <v>6209</v>
      </c>
      <c r="M246" s="212">
        <v>3</v>
      </c>
      <c r="N246" s="402">
        <v>0</v>
      </c>
    </row>
    <row r="247" spans="1:14" ht="11.1" customHeight="1">
      <c r="A247" s="817" t="s">
        <v>6824</v>
      </c>
      <c r="B247" s="404" t="s">
        <v>6231</v>
      </c>
      <c r="C247" s="405">
        <v>17323</v>
      </c>
      <c r="D247" s="406">
        <v>8.1575279248055157</v>
      </c>
      <c r="E247" s="407" t="s">
        <v>6262</v>
      </c>
      <c r="F247" s="213" t="s">
        <v>12152</v>
      </c>
      <c r="G247" s="213">
        <v>61</v>
      </c>
      <c r="H247" s="213" t="s">
        <v>6049</v>
      </c>
      <c r="I247" s="213">
        <v>0</v>
      </c>
      <c r="J247" s="213" t="s">
        <v>6264</v>
      </c>
      <c r="K247" s="213">
        <v>0</v>
      </c>
      <c r="L247" s="213" t="s">
        <v>6036</v>
      </c>
      <c r="M247" s="213">
        <v>0</v>
      </c>
      <c r="N247" s="408">
        <v>0</v>
      </c>
    </row>
    <row r="248" spans="1:14" ht="11.1" customHeight="1">
      <c r="A248" s="940" t="s">
        <v>6832</v>
      </c>
      <c r="B248" s="412" t="s">
        <v>10050</v>
      </c>
      <c r="C248" s="413">
        <v>118801</v>
      </c>
      <c r="D248" s="414">
        <v>49.073274704757338</v>
      </c>
      <c r="E248" s="415" t="s">
        <v>6251</v>
      </c>
      <c r="F248" s="416" t="s">
        <v>6827</v>
      </c>
      <c r="G248" s="416">
        <v>40</v>
      </c>
      <c r="H248" s="416" t="s">
        <v>0</v>
      </c>
      <c r="I248" s="416" t="s">
        <v>6233</v>
      </c>
      <c r="J248" s="416" t="s">
        <v>6257</v>
      </c>
      <c r="K248" s="416" t="s">
        <v>11998</v>
      </c>
      <c r="L248" s="416" t="s">
        <v>6036</v>
      </c>
      <c r="M248" s="416">
        <v>0</v>
      </c>
      <c r="N248" s="417" t="s">
        <v>6260</v>
      </c>
    </row>
    <row r="249" spans="1:14" ht="11.1" customHeight="1">
      <c r="A249" s="400" t="s">
        <v>6830</v>
      </c>
      <c r="B249" s="401" t="s">
        <v>11986</v>
      </c>
      <c r="C249" s="116">
        <v>104630</v>
      </c>
      <c r="D249" s="93">
        <v>43.219642362932639</v>
      </c>
      <c r="E249" s="93">
        <v>88.071649228541844</v>
      </c>
      <c r="F249" s="212" t="s">
        <v>12153</v>
      </c>
      <c r="G249" s="212">
        <v>51</v>
      </c>
      <c r="H249" s="212" t="s">
        <v>0</v>
      </c>
      <c r="I249" s="212" t="s">
        <v>6233</v>
      </c>
      <c r="J249" s="212" t="s">
        <v>6253</v>
      </c>
      <c r="K249" s="212" t="s">
        <v>12007</v>
      </c>
      <c r="L249" s="212" t="s">
        <v>6209</v>
      </c>
      <c r="M249" s="212">
        <v>1</v>
      </c>
      <c r="N249" s="402">
        <v>0</v>
      </c>
    </row>
    <row r="250" spans="1:14" ht="11.1" customHeight="1">
      <c r="A250" s="817" t="s">
        <v>6834</v>
      </c>
      <c r="B250" s="404" t="s">
        <v>6231</v>
      </c>
      <c r="C250" s="405">
        <v>18658</v>
      </c>
      <c r="D250" s="406">
        <v>7.7070829323100183</v>
      </c>
      <c r="E250" s="407" t="s">
        <v>6262</v>
      </c>
      <c r="F250" s="213" t="s">
        <v>12154</v>
      </c>
      <c r="G250" s="213">
        <v>52</v>
      </c>
      <c r="H250" s="213" t="s">
        <v>6049</v>
      </c>
      <c r="I250" s="213">
        <v>0</v>
      </c>
      <c r="J250" s="213" t="s">
        <v>6264</v>
      </c>
      <c r="K250" s="213">
        <v>0</v>
      </c>
      <c r="L250" s="213" t="s">
        <v>6036</v>
      </c>
      <c r="M250" s="213">
        <v>0</v>
      </c>
      <c r="N250" s="408">
        <v>0</v>
      </c>
    </row>
    <row r="251" spans="1:14" ht="11.1" customHeight="1">
      <c r="A251" s="940" t="s">
        <v>6840</v>
      </c>
      <c r="B251" s="412" t="s">
        <v>10050</v>
      </c>
      <c r="C251" s="413">
        <v>128659</v>
      </c>
      <c r="D251" s="414">
        <v>51.865035373793162</v>
      </c>
      <c r="E251" s="415" t="s">
        <v>6251</v>
      </c>
      <c r="F251" s="416" t="s">
        <v>6841</v>
      </c>
      <c r="G251" s="416">
        <v>55</v>
      </c>
      <c r="H251" s="416" t="s">
        <v>0</v>
      </c>
      <c r="I251" s="416" t="s">
        <v>6233</v>
      </c>
      <c r="J251" s="416" t="s">
        <v>6257</v>
      </c>
      <c r="K251" s="416" t="s">
        <v>11995</v>
      </c>
      <c r="L251" s="416" t="s">
        <v>6209</v>
      </c>
      <c r="M251" s="416">
        <v>3</v>
      </c>
      <c r="N251" s="417" t="s">
        <v>6260</v>
      </c>
    </row>
    <row r="252" spans="1:14" ht="11.1" customHeight="1">
      <c r="A252" s="400" t="s">
        <v>6838</v>
      </c>
      <c r="B252" s="401" t="s">
        <v>6230</v>
      </c>
      <c r="C252" s="116">
        <v>99204</v>
      </c>
      <c r="D252" s="93">
        <v>39.991131356700862</v>
      </c>
      <c r="E252" s="93">
        <v>77.106148811975842</v>
      </c>
      <c r="F252" s="212" t="s">
        <v>6839</v>
      </c>
      <c r="G252" s="212">
        <v>62</v>
      </c>
      <c r="H252" s="212" t="s">
        <v>0</v>
      </c>
      <c r="I252" s="212" t="s">
        <v>6233</v>
      </c>
      <c r="J252" s="212" t="s">
        <v>6253</v>
      </c>
      <c r="K252" s="212" t="s">
        <v>11994</v>
      </c>
      <c r="L252" s="212" t="s">
        <v>6209</v>
      </c>
      <c r="M252" s="212">
        <v>3</v>
      </c>
      <c r="N252" s="402">
        <v>0</v>
      </c>
    </row>
    <row r="253" spans="1:14" ht="11.1" customHeight="1">
      <c r="A253" s="400" t="s">
        <v>6842</v>
      </c>
      <c r="B253" s="401" t="s">
        <v>6231</v>
      </c>
      <c r="C253" s="116">
        <v>16588</v>
      </c>
      <c r="D253" s="93">
        <v>6.686957047548022</v>
      </c>
      <c r="E253" s="403" t="s">
        <v>6262</v>
      </c>
      <c r="F253" s="212" t="s">
        <v>12155</v>
      </c>
      <c r="G253" s="212">
        <v>48</v>
      </c>
      <c r="H253" s="212" t="s">
        <v>0</v>
      </c>
      <c r="I253" s="212">
        <v>0</v>
      </c>
      <c r="J253" s="212" t="s">
        <v>6264</v>
      </c>
      <c r="K253" s="212">
        <v>0</v>
      </c>
      <c r="L253" s="212" t="s">
        <v>6036</v>
      </c>
      <c r="M253" s="212">
        <v>0</v>
      </c>
      <c r="N253" s="402">
        <v>0</v>
      </c>
    </row>
    <row r="254" spans="1:14" ht="11.1" customHeight="1">
      <c r="A254" s="817" t="s">
        <v>6844</v>
      </c>
      <c r="B254" s="404" t="s">
        <v>6231</v>
      </c>
      <c r="C254" s="405">
        <v>3614</v>
      </c>
      <c r="D254" s="406">
        <v>1.4568762219579545</v>
      </c>
      <c r="E254" s="407" t="s">
        <v>6262</v>
      </c>
      <c r="F254" s="213" t="s">
        <v>12156</v>
      </c>
      <c r="G254" s="213">
        <v>47</v>
      </c>
      <c r="H254" s="213" t="s">
        <v>0</v>
      </c>
      <c r="I254" s="213">
        <v>0</v>
      </c>
      <c r="J254" s="213" t="s">
        <v>12017</v>
      </c>
      <c r="K254" s="213">
        <v>0</v>
      </c>
      <c r="L254" s="213" t="s">
        <v>6036</v>
      </c>
      <c r="M254" s="213">
        <v>0</v>
      </c>
      <c r="N254" s="408">
        <v>0</v>
      </c>
    </row>
    <row r="255" spans="1:14" ht="11.1" customHeight="1">
      <c r="A255" s="940" t="s">
        <v>6848</v>
      </c>
      <c r="B255" s="412" t="s">
        <v>10050</v>
      </c>
      <c r="C255" s="413">
        <v>140838</v>
      </c>
      <c r="D255" s="414">
        <v>56.92609284371779</v>
      </c>
      <c r="E255" s="415" t="s">
        <v>6251</v>
      </c>
      <c r="F255" s="416" t="s">
        <v>6849</v>
      </c>
      <c r="G255" s="416">
        <v>39</v>
      </c>
      <c r="H255" s="416" t="s">
        <v>0</v>
      </c>
      <c r="I255" s="416" t="s">
        <v>6233</v>
      </c>
      <c r="J255" s="416" t="s">
        <v>6257</v>
      </c>
      <c r="K255" s="416" t="s">
        <v>6258</v>
      </c>
      <c r="L255" s="416" t="s">
        <v>6209</v>
      </c>
      <c r="M255" s="416">
        <v>3</v>
      </c>
      <c r="N255" s="417" t="s">
        <v>6260</v>
      </c>
    </row>
    <row r="256" spans="1:14" ht="11.1" customHeight="1">
      <c r="A256" s="400" t="s">
        <v>6846</v>
      </c>
      <c r="B256" s="401" t="s">
        <v>6230</v>
      </c>
      <c r="C256" s="116">
        <v>79514</v>
      </c>
      <c r="D256" s="93">
        <v>32.139204947353527</v>
      </c>
      <c r="E256" s="93">
        <v>56.457774180263847</v>
      </c>
      <c r="F256" s="212" t="s">
        <v>12157</v>
      </c>
      <c r="G256" s="212">
        <v>48</v>
      </c>
      <c r="H256" s="212" t="s">
        <v>0</v>
      </c>
      <c r="I256" s="212" t="s">
        <v>6233</v>
      </c>
      <c r="J256" s="212" t="s">
        <v>6253</v>
      </c>
      <c r="K256" s="212" t="s">
        <v>11994</v>
      </c>
      <c r="L256" s="212" t="s">
        <v>6209</v>
      </c>
      <c r="M256" s="212">
        <v>2</v>
      </c>
      <c r="N256" s="402">
        <v>0</v>
      </c>
    </row>
    <row r="257" spans="1:14" ht="11.1" customHeight="1">
      <c r="A257" s="400" t="s">
        <v>6852</v>
      </c>
      <c r="B257" s="401" t="s">
        <v>6231</v>
      </c>
      <c r="C257" s="116">
        <v>16307</v>
      </c>
      <c r="D257" s="93">
        <v>6.5912168307026944</v>
      </c>
      <c r="E257" s="403" t="s">
        <v>6262</v>
      </c>
      <c r="F257" s="212" t="s">
        <v>6791</v>
      </c>
      <c r="G257" s="212">
        <v>44</v>
      </c>
      <c r="H257" s="212" t="s">
        <v>0</v>
      </c>
      <c r="I257" s="212">
        <v>0</v>
      </c>
      <c r="J257" s="212" t="s">
        <v>6264</v>
      </c>
      <c r="K257" s="212">
        <v>0</v>
      </c>
      <c r="L257" s="212" t="s">
        <v>6036</v>
      </c>
      <c r="M257" s="212">
        <v>0</v>
      </c>
      <c r="N257" s="402">
        <v>0</v>
      </c>
    </row>
    <row r="258" spans="1:14" ht="11.1" customHeight="1">
      <c r="A258" s="817" t="s">
        <v>6850</v>
      </c>
      <c r="B258" s="404" t="s">
        <v>6231</v>
      </c>
      <c r="C258" s="405">
        <v>10746</v>
      </c>
      <c r="D258" s="406">
        <v>4.3434853782259859</v>
      </c>
      <c r="E258" s="407" t="s">
        <v>6262</v>
      </c>
      <c r="F258" s="213" t="s">
        <v>12158</v>
      </c>
      <c r="G258" s="213">
        <v>65</v>
      </c>
      <c r="H258" s="213" t="s">
        <v>0</v>
      </c>
      <c r="I258" s="213">
        <v>0</v>
      </c>
      <c r="J258" s="213" t="s">
        <v>7280</v>
      </c>
      <c r="K258" s="213">
        <v>0</v>
      </c>
      <c r="L258" s="213" t="s">
        <v>6036</v>
      </c>
      <c r="M258" s="213">
        <v>0</v>
      </c>
      <c r="N258" s="408">
        <v>0</v>
      </c>
    </row>
    <row r="259" spans="1:14" ht="11.1" customHeight="1">
      <c r="A259" s="940" t="s">
        <v>6856</v>
      </c>
      <c r="B259" s="412" t="s">
        <v>10050</v>
      </c>
      <c r="C259" s="413">
        <v>128174</v>
      </c>
      <c r="D259" s="414">
        <v>56.273186665554441</v>
      </c>
      <c r="E259" s="415" t="s">
        <v>6251</v>
      </c>
      <c r="F259" s="416" t="s">
        <v>12159</v>
      </c>
      <c r="G259" s="416">
        <v>58</v>
      </c>
      <c r="H259" s="416" t="s">
        <v>0</v>
      </c>
      <c r="I259" s="416" t="s">
        <v>6233</v>
      </c>
      <c r="J259" s="416" t="s">
        <v>6257</v>
      </c>
      <c r="K259" s="416" t="s">
        <v>6350</v>
      </c>
      <c r="L259" s="416" t="s">
        <v>6209</v>
      </c>
      <c r="M259" s="416">
        <v>4</v>
      </c>
      <c r="N259" s="417" t="s">
        <v>6260</v>
      </c>
    </row>
    <row r="260" spans="1:14" ht="11.1" customHeight="1">
      <c r="A260" s="400" t="s">
        <v>6854</v>
      </c>
      <c r="B260" s="401" t="s">
        <v>6230</v>
      </c>
      <c r="C260" s="116">
        <v>89183</v>
      </c>
      <c r="D260" s="93">
        <v>39.154677285519227</v>
      </c>
      <c r="E260" s="93">
        <v>69.579633935119446</v>
      </c>
      <c r="F260" s="212" t="s">
        <v>6855</v>
      </c>
      <c r="G260" s="212">
        <v>42</v>
      </c>
      <c r="H260" s="212" t="s">
        <v>0</v>
      </c>
      <c r="I260" s="212" t="s">
        <v>6233</v>
      </c>
      <c r="J260" s="212" t="s">
        <v>6253</v>
      </c>
      <c r="K260" s="212" t="s">
        <v>12007</v>
      </c>
      <c r="L260" s="212" t="s">
        <v>6036</v>
      </c>
      <c r="M260" s="212">
        <v>0</v>
      </c>
      <c r="N260" s="402">
        <v>0</v>
      </c>
    </row>
    <row r="261" spans="1:14" ht="11.1" customHeight="1">
      <c r="A261" s="817" t="s">
        <v>6858</v>
      </c>
      <c r="B261" s="404" t="s">
        <v>6231</v>
      </c>
      <c r="C261" s="405">
        <v>10414</v>
      </c>
      <c r="D261" s="406">
        <v>4.5721360489263336</v>
      </c>
      <c r="E261" s="407" t="s">
        <v>6262</v>
      </c>
      <c r="F261" s="213" t="s">
        <v>12160</v>
      </c>
      <c r="G261" s="213">
        <v>61</v>
      </c>
      <c r="H261" s="213" t="s">
        <v>0</v>
      </c>
      <c r="I261" s="213">
        <v>0</v>
      </c>
      <c r="J261" s="213" t="s">
        <v>6264</v>
      </c>
      <c r="K261" s="213">
        <v>0</v>
      </c>
      <c r="L261" s="213" t="s">
        <v>6036</v>
      </c>
      <c r="M261" s="213">
        <v>0</v>
      </c>
      <c r="N261" s="408">
        <v>0</v>
      </c>
    </row>
    <row r="262" spans="1:14" ht="11.1" customHeight="1">
      <c r="A262" s="940" t="s">
        <v>6860</v>
      </c>
      <c r="B262" s="412" t="s">
        <v>10050</v>
      </c>
      <c r="C262" s="413">
        <v>145176</v>
      </c>
      <c r="D262" s="414">
        <v>62.647961231244579</v>
      </c>
      <c r="E262" s="415" t="s">
        <v>6251</v>
      </c>
      <c r="F262" s="416" t="s">
        <v>12161</v>
      </c>
      <c r="G262" s="416">
        <v>57</v>
      </c>
      <c r="H262" s="416" t="s">
        <v>0</v>
      </c>
      <c r="I262" s="416" t="s">
        <v>6233</v>
      </c>
      <c r="J262" s="416" t="s">
        <v>6257</v>
      </c>
      <c r="K262" s="416" t="s">
        <v>12150</v>
      </c>
      <c r="L262" s="416" t="s">
        <v>6209</v>
      </c>
      <c r="M262" s="416">
        <v>5</v>
      </c>
      <c r="N262" s="417" t="s">
        <v>6260</v>
      </c>
    </row>
    <row r="263" spans="1:14" ht="11.1" customHeight="1">
      <c r="A263" s="400" t="s">
        <v>6862</v>
      </c>
      <c r="B263" s="401" t="s">
        <v>6230</v>
      </c>
      <c r="C263" s="116">
        <v>70589</v>
      </c>
      <c r="D263" s="93">
        <v>30.461349915635665</v>
      </c>
      <c r="E263" s="93">
        <v>48.62305064197939</v>
      </c>
      <c r="F263" s="212" t="s">
        <v>12162</v>
      </c>
      <c r="G263" s="212">
        <v>39</v>
      </c>
      <c r="H263" s="212" t="s">
        <v>0</v>
      </c>
      <c r="I263" s="212" t="s">
        <v>6233</v>
      </c>
      <c r="J263" s="212" t="s">
        <v>6253</v>
      </c>
      <c r="K263" s="212" t="s">
        <v>12007</v>
      </c>
      <c r="L263" s="212" t="s">
        <v>6036</v>
      </c>
      <c r="M263" s="212">
        <v>0</v>
      </c>
      <c r="N263" s="402">
        <v>0</v>
      </c>
    </row>
    <row r="264" spans="1:14" ht="11.1" customHeight="1">
      <c r="A264" s="817" t="s">
        <v>6864</v>
      </c>
      <c r="B264" s="404" t="s">
        <v>6231</v>
      </c>
      <c r="C264" s="405">
        <v>15968</v>
      </c>
      <c r="D264" s="406">
        <v>6.8906888531197543</v>
      </c>
      <c r="E264" s="407" t="s">
        <v>6262</v>
      </c>
      <c r="F264" s="213" t="s">
        <v>12163</v>
      </c>
      <c r="G264" s="213">
        <v>60</v>
      </c>
      <c r="H264" s="213" t="s">
        <v>0</v>
      </c>
      <c r="I264" s="213">
        <v>0</v>
      </c>
      <c r="J264" s="213" t="s">
        <v>6264</v>
      </c>
      <c r="K264" s="213">
        <v>0</v>
      </c>
      <c r="L264" s="213" t="s">
        <v>6036</v>
      </c>
      <c r="M264" s="213">
        <v>0</v>
      </c>
      <c r="N264" s="408">
        <v>0</v>
      </c>
    </row>
    <row r="265" spans="1:14" ht="11.1" customHeight="1">
      <c r="A265" s="940" t="s">
        <v>6866</v>
      </c>
      <c r="B265" s="412" t="s">
        <v>10050</v>
      </c>
      <c r="C265" s="413">
        <v>143780</v>
      </c>
      <c r="D265" s="414">
        <v>57.622635460083359</v>
      </c>
      <c r="E265" s="415" t="s">
        <v>6251</v>
      </c>
      <c r="F265" s="416" t="s">
        <v>6867</v>
      </c>
      <c r="G265" s="416">
        <v>49</v>
      </c>
      <c r="H265" s="416" t="s">
        <v>0</v>
      </c>
      <c r="I265" s="416" t="s">
        <v>6233</v>
      </c>
      <c r="J265" s="416" t="s">
        <v>6257</v>
      </c>
      <c r="K265" s="416" t="s">
        <v>6258</v>
      </c>
      <c r="L265" s="416" t="s">
        <v>6209</v>
      </c>
      <c r="M265" s="416">
        <v>4</v>
      </c>
      <c r="N265" s="417" t="s">
        <v>6260</v>
      </c>
    </row>
    <row r="266" spans="1:14" ht="11.1" customHeight="1">
      <c r="A266" s="400" t="s">
        <v>6868</v>
      </c>
      <c r="B266" s="401" t="s">
        <v>6230</v>
      </c>
      <c r="C266" s="116">
        <v>92611</v>
      </c>
      <c r="D266" s="93">
        <v>37.115662071176658</v>
      </c>
      <c r="E266" s="93">
        <v>64.411601057170671</v>
      </c>
      <c r="F266" s="212" t="s">
        <v>12164</v>
      </c>
      <c r="G266" s="212">
        <v>40</v>
      </c>
      <c r="H266" s="212" t="s">
        <v>6049</v>
      </c>
      <c r="I266" s="212" t="s">
        <v>6233</v>
      </c>
      <c r="J266" s="212" t="s">
        <v>6253</v>
      </c>
      <c r="K266" s="212" t="s">
        <v>12007</v>
      </c>
      <c r="L266" s="212" t="s">
        <v>6209</v>
      </c>
      <c r="M266" s="212">
        <v>1</v>
      </c>
      <c r="N266" s="402">
        <v>0</v>
      </c>
    </row>
    <row r="267" spans="1:14" ht="11.1" customHeight="1">
      <c r="A267" s="817" t="s">
        <v>6870</v>
      </c>
      <c r="B267" s="404" t="s">
        <v>6231</v>
      </c>
      <c r="C267" s="405">
        <v>13129</v>
      </c>
      <c r="D267" s="406">
        <v>5.2617024687399807</v>
      </c>
      <c r="E267" s="407" t="s">
        <v>6262</v>
      </c>
      <c r="F267" s="213" t="s">
        <v>12165</v>
      </c>
      <c r="G267" s="213">
        <v>50</v>
      </c>
      <c r="H267" s="213" t="s">
        <v>6049</v>
      </c>
      <c r="I267" s="213">
        <v>0</v>
      </c>
      <c r="J267" s="213" t="s">
        <v>6264</v>
      </c>
      <c r="K267" s="213">
        <v>0</v>
      </c>
      <c r="L267" s="213" t="s">
        <v>6036</v>
      </c>
      <c r="M267" s="213">
        <v>0</v>
      </c>
      <c r="N267" s="408">
        <v>0</v>
      </c>
    </row>
    <row r="268" spans="1:14" ht="11.1" customHeight="1">
      <c r="A268" s="940" t="s">
        <v>6874</v>
      </c>
      <c r="B268" s="412" t="s">
        <v>10050</v>
      </c>
      <c r="C268" s="413">
        <v>106994</v>
      </c>
      <c r="D268" s="414">
        <v>54.405849719565339</v>
      </c>
      <c r="E268" s="415" t="s">
        <v>6251</v>
      </c>
      <c r="F268" s="416" t="s">
        <v>6875</v>
      </c>
      <c r="G268" s="416">
        <v>61</v>
      </c>
      <c r="H268" s="416" t="s">
        <v>0</v>
      </c>
      <c r="I268" s="416" t="s">
        <v>6233</v>
      </c>
      <c r="J268" s="416" t="s">
        <v>6257</v>
      </c>
      <c r="K268" s="416" t="s">
        <v>12009</v>
      </c>
      <c r="L268" s="416" t="s">
        <v>6209</v>
      </c>
      <c r="M268" s="416">
        <v>4</v>
      </c>
      <c r="N268" s="417" t="s">
        <v>6260</v>
      </c>
    </row>
    <row r="269" spans="1:14" ht="11.1" customHeight="1">
      <c r="A269" s="400" t="s">
        <v>6872</v>
      </c>
      <c r="B269" s="401" t="s">
        <v>6230</v>
      </c>
      <c r="C269" s="116">
        <v>75909</v>
      </c>
      <c r="D269" s="93">
        <v>38.599301328695866</v>
      </c>
      <c r="E269" s="93">
        <v>70.946968988915273</v>
      </c>
      <c r="F269" s="212" t="s">
        <v>6873</v>
      </c>
      <c r="G269" s="212">
        <v>59</v>
      </c>
      <c r="H269" s="212" t="s">
        <v>0</v>
      </c>
      <c r="I269" s="212" t="s">
        <v>6233</v>
      </c>
      <c r="J269" s="212" t="s">
        <v>6253</v>
      </c>
      <c r="K269" s="212" t="s">
        <v>12007</v>
      </c>
      <c r="L269" s="212" t="s">
        <v>6209</v>
      </c>
      <c r="M269" s="212">
        <v>1</v>
      </c>
      <c r="N269" s="402">
        <v>0</v>
      </c>
    </row>
    <row r="270" spans="1:14" ht="11.1" customHeight="1" thickBot="1">
      <c r="A270" s="430" t="s">
        <v>6876</v>
      </c>
      <c r="B270" s="431" t="s">
        <v>6231</v>
      </c>
      <c r="C270" s="432">
        <v>13756</v>
      </c>
      <c r="D270" s="433">
        <v>6.9948489517387964</v>
      </c>
      <c r="E270" s="434" t="s">
        <v>6262</v>
      </c>
      <c r="F270" s="217" t="s">
        <v>12166</v>
      </c>
      <c r="G270" s="217">
        <v>33</v>
      </c>
      <c r="H270" s="217" t="s">
        <v>0</v>
      </c>
      <c r="I270" s="217">
        <v>0</v>
      </c>
      <c r="J270" s="217" t="s">
        <v>6264</v>
      </c>
      <c r="K270" s="217">
        <v>0</v>
      </c>
      <c r="L270" s="217" t="s">
        <v>6036</v>
      </c>
      <c r="M270" s="217">
        <v>0</v>
      </c>
      <c r="N270" s="435">
        <v>0</v>
      </c>
    </row>
    <row r="271" spans="1:14" ht="11.1" customHeight="1">
      <c r="A271" s="941" t="s">
        <v>6882</v>
      </c>
      <c r="B271" s="439" t="s">
        <v>10050</v>
      </c>
      <c r="C271" s="440">
        <v>161702</v>
      </c>
      <c r="D271" s="441">
        <v>58.267001538633394</v>
      </c>
      <c r="E271" s="442" t="s">
        <v>6251</v>
      </c>
      <c r="F271" s="337" t="s">
        <v>12167</v>
      </c>
      <c r="G271" s="337">
        <v>55</v>
      </c>
      <c r="H271" s="337" t="s">
        <v>0</v>
      </c>
      <c r="I271" s="337" t="s">
        <v>6233</v>
      </c>
      <c r="J271" s="337" t="s">
        <v>6257</v>
      </c>
      <c r="K271" s="337" t="s">
        <v>12150</v>
      </c>
      <c r="L271" s="337" t="s">
        <v>6209</v>
      </c>
      <c r="M271" s="337">
        <v>2</v>
      </c>
      <c r="N271" s="443">
        <v>0</v>
      </c>
    </row>
    <row r="272" spans="1:14" ht="11.1" customHeight="1">
      <c r="A272" s="400" t="s">
        <v>6880</v>
      </c>
      <c r="B272" s="401" t="s">
        <v>6230</v>
      </c>
      <c r="C272" s="116">
        <v>95601</v>
      </c>
      <c r="D272" s="93">
        <v>34.448452178049074</v>
      </c>
      <c r="E272" s="93">
        <v>59.121717727671893</v>
      </c>
      <c r="F272" s="212" t="s">
        <v>12168</v>
      </c>
      <c r="G272" s="212">
        <v>58</v>
      </c>
      <c r="H272" s="212" t="s">
        <v>0</v>
      </c>
      <c r="I272" s="212" t="s">
        <v>6233</v>
      </c>
      <c r="J272" s="212" t="s">
        <v>6253</v>
      </c>
      <c r="K272" s="212" t="s">
        <v>12000</v>
      </c>
      <c r="L272" s="212" t="s">
        <v>6209</v>
      </c>
      <c r="M272" s="212">
        <v>5</v>
      </c>
      <c r="N272" s="402" t="s">
        <v>6170</v>
      </c>
    </row>
    <row r="273" spans="1:14" ht="11.1" customHeight="1">
      <c r="A273" s="817" t="s">
        <v>6884</v>
      </c>
      <c r="B273" s="404" t="s">
        <v>6231</v>
      </c>
      <c r="C273" s="405">
        <v>20216</v>
      </c>
      <c r="D273" s="406">
        <v>7.284546283317539</v>
      </c>
      <c r="E273" s="407" t="s">
        <v>6262</v>
      </c>
      <c r="F273" s="213" t="s">
        <v>12169</v>
      </c>
      <c r="G273" s="213">
        <v>49</v>
      </c>
      <c r="H273" s="213" t="s">
        <v>0</v>
      </c>
      <c r="I273" s="213">
        <v>0</v>
      </c>
      <c r="J273" s="213" t="s">
        <v>6264</v>
      </c>
      <c r="K273" s="213">
        <v>0</v>
      </c>
      <c r="L273" s="213" t="s">
        <v>6036</v>
      </c>
      <c r="M273" s="213">
        <v>0</v>
      </c>
      <c r="N273" s="408">
        <v>0</v>
      </c>
    </row>
    <row r="274" spans="1:14" ht="11.1" customHeight="1">
      <c r="A274" s="940" t="s">
        <v>6888</v>
      </c>
      <c r="B274" s="412" t="s">
        <v>10050</v>
      </c>
      <c r="C274" s="413">
        <v>160111</v>
      </c>
      <c r="D274" s="414">
        <v>58.409517069291326</v>
      </c>
      <c r="E274" s="415" t="s">
        <v>6251</v>
      </c>
      <c r="F274" s="416" t="s">
        <v>12170</v>
      </c>
      <c r="G274" s="416">
        <v>56</v>
      </c>
      <c r="H274" s="416" t="s">
        <v>0</v>
      </c>
      <c r="I274" s="416" t="s">
        <v>6233</v>
      </c>
      <c r="J274" s="416" t="s">
        <v>6257</v>
      </c>
      <c r="K274" s="416" t="s">
        <v>12009</v>
      </c>
      <c r="L274" s="416" t="s">
        <v>6209</v>
      </c>
      <c r="M274" s="416">
        <v>3</v>
      </c>
      <c r="N274" s="417">
        <v>0</v>
      </c>
    </row>
    <row r="275" spans="1:14" ht="11.1" customHeight="1">
      <c r="A275" s="400" t="s">
        <v>6890</v>
      </c>
      <c r="B275" s="401" t="s">
        <v>6230</v>
      </c>
      <c r="C275" s="116">
        <v>91723</v>
      </c>
      <c r="D275" s="93">
        <v>33.461137174501495</v>
      </c>
      <c r="E275" s="93">
        <v>57.28713205213883</v>
      </c>
      <c r="F275" s="212" t="s">
        <v>12171</v>
      </c>
      <c r="G275" s="212">
        <v>54</v>
      </c>
      <c r="H275" s="212" t="s">
        <v>0</v>
      </c>
      <c r="I275" s="212" t="s">
        <v>6233</v>
      </c>
      <c r="J275" s="212" t="s">
        <v>6253</v>
      </c>
      <c r="K275" s="212" t="s">
        <v>11989</v>
      </c>
      <c r="L275" s="212" t="s">
        <v>6209</v>
      </c>
      <c r="M275" s="212">
        <v>2</v>
      </c>
      <c r="N275" s="402">
        <v>0</v>
      </c>
    </row>
    <row r="276" spans="1:14" ht="11.1" customHeight="1">
      <c r="A276" s="817" t="s">
        <v>6892</v>
      </c>
      <c r="B276" s="404" t="s">
        <v>6231</v>
      </c>
      <c r="C276" s="405">
        <v>22284</v>
      </c>
      <c r="D276" s="406">
        <v>8.1293457562071811</v>
      </c>
      <c r="E276" s="407" t="s">
        <v>6262</v>
      </c>
      <c r="F276" s="213" t="s">
        <v>12172</v>
      </c>
      <c r="G276" s="213">
        <v>61</v>
      </c>
      <c r="H276" s="213" t="s">
        <v>6049</v>
      </c>
      <c r="I276" s="213">
        <v>0</v>
      </c>
      <c r="J276" s="213" t="s">
        <v>6264</v>
      </c>
      <c r="K276" s="213">
        <v>0</v>
      </c>
      <c r="L276" s="213" t="s">
        <v>6036</v>
      </c>
      <c r="M276" s="213">
        <v>0</v>
      </c>
      <c r="N276" s="408">
        <v>0</v>
      </c>
    </row>
    <row r="277" spans="1:14" ht="11.1" customHeight="1">
      <c r="A277" s="940" t="s">
        <v>6896</v>
      </c>
      <c r="B277" s="412" t="s">
        <v>10050</v>
      </c>
      <c r="C277" s="413">
        <v>131831</v>
      </c>
      <c r="D277" s="414">
        <v>53.198418142932084</v>
      </c>
      <c r="E277" s="415" t="s">
        <v>6251</v>
      </c>
      <c r="F277" s="416" t="s">
        <v>6897</v>
      </c>
      <c r="G277" s="416">
        <v>40</v>
      </c>
      <c r="H277" s="416" t="s">
        <v>0</v>
      </c>
      <c r="I277" s="416" t="s">
        <v>6233</v>
      </c>
      <c r="J277" s="416" t="s">
        <v>6257</v>
      </c>
      <c r="K277" s="416" t="s">
        <v>6258</v>
      </c>
      <c r="L277" s="416" t="s">
        <v>6209</v>
      </c>
      <c r="M277" s="416">
        <v>4</v>
      </c>
      <c r="N277" s="417">
        <v>0</v>
      </c>
    </row>
    <row r="278" spans="1:14" ht="11.1" customHeight="1">
      <c r="A278" s="400" t="s">
        <v>6894</v>
      </c>
      <c r="B278" s="401" t="s">
        <v>6230</v>
      </c>
      <c r="C278" s="116">
        <v>76625</v>
      </c>
      <c r="D278" s="93">
        <v>30.920866793107624</v>
      </c>
      <c r="E278" s="93">
        <v>58.123658320121976</v>
      </c>
      <c r="F278" s="212" t="s">
        <v>12173</v>
      </c>
      <c r="G278" s="212">
        <v>68</v>
      </c>
      <c r="H278" s="212" t="s">
        <v>0</v>
      </c>
      <c r="I278" s="212" t="s">
        <v>6233</v>
      </c>
      <c r="J278" s="212" t="s">
        <v>6253</v>
      </c>
      <c r="K278" s="212" t="s">
        <v>12000</v>
      </c>
      <c r="L278" s="212" t="s">
        <v>6209</v>
      </c>
      <c r="M278" s="212">
        <v>1</v>
      </c>
      <c r="N278" s="402">
        <v>0</v>
      </c>
    </row>
    <row r="279" spans="1:14" ht="11.1" customHeight="1">
      <c r="A279" s="400" t="s">
        <v>6900</v>
      </c>
      <c r="B279" s="401" t="s">
        <v>6231</v>
      </c>
      <c r="C279" s="116">
        <v>21810</v>
      </c>
      <c r="D279" s="93">
        <v>8.8010976151083486</v>
      </c>
      <c r="E279" s="403" t="s">
        <v>6262</v>
      </c>
      <c r="F279" s="212" t="s">
        <v>12174</v>
      </c>
      <c r="G279" s="212">
        <v>55</v>
      </c>
      <c r="H279" s="212" t="s">
        <v>0</v>
      </c>
      <c r="I279" s="212">
        <v>0</v>
      </c>
      <c r="J279" s="212" t="s">
        <v>6264</v>
      </c>
      <c r="K279" s="212">
        <v>0</v>
      </c>
      <c r="L279" s="212" t="s">
        <v>6036</v>
      </c>
      <c r="M279" s="212">
        <v>0</v>
      </c>
      <c r="N279" s="402">
        <v>0</v>
      </c>
    </row>
    <row r="280" spans="1:14" ht="11.1" customHeight="1">
      <c r="A280" s="400" t="s">
        <v>6898</v>
      </c>
      <c r="B280" s="401" t="s">
        <v>6231</v>
      </c>
      <c r="C280" s="116">
        <v>12537</v>
      </c>
      <c r="D280" s="93">
        <v>5.0591178725636574</v>
      </c>
      <c r="E280" s="93">
        <v>9.5099028301385857</v>
      </c>
      <c r="F280" s="212" t="s">
        <v>9092</v>
      </c>
      <c r="G280" s="212">
        <v>48</v>
      </c>
      <c r="H280" s="212" t="s">
        <v>0</v>
      </c>
      <c r="I280" s="212" t="s">
        <v>6233</v>
      </c>
      <c r="J280" s="212" t="s">
        <v>12175</v>
      </c>
      <c r="K280" s="212">
        <v>0</v>
      </c>
      <c r="L280" s="212" t="s">
        <v>6036</v>
      </c>
      <c r="M280" s="212">
        <v>0</v>
      </c>
      <c r="N280" s="402">
        <v>0</v>
      </c>
    </row>
    <row r="281" spans="1:14" ht="11.1" customHeight="1">
      <c r="A281" s="817" t="s">
        <v>6904</v>
      </c>
      <c r="B281" s="404" t="s">
        <v>6231</v>
      </c>
      <c r="C281" s="405">
        <v>5007</v>
      </c>
      <c r="D281" s="406">
        <v>2.0204995762882856</v>
      </c>
      <c r="E281" s="407" t="s">
        <v>6262</v>
      </c>
      <c r="F281" s="213" t="s">
        <v>6903</v>
      </c>
      <c r="G281" s="213">
        <v>53</v>
      </c>
      <c r="H281" s="213" t="s">
        <v>0</v>
      </c>
      <c r="I281" s="213">
        <v>0</v>
      </c>
      <c r="J281" s="213" t="s">
        <v>12017</v>
      </c>
      <c r="K281" s="213">
        <v>0</v>
      </c>
      <c r="L281" s="213" t="s">
        <v>6036</v>
      </c>
      <c r="M281" s="213">
        <v>0</v>
      </c>
      <c r="N281" s="408">
        <v>0</v>
      </c>
    </row>
    <row r="282" spans="1:14" ht="11.1" customHeight="1">
      <c r="A282" s="940" t="s">
        <v>6910</v>
      </c>
      <c r="B282" s="412" t="s">
        <v>10050</v>
      </c>
      <c r="C282" s="413">
        <v>119618</v>
      </c>
      <c r="D282" s="414">
        <v>52.538003065719721</v>
      </c>
      <c r="E282" s="415" t="s">
        <v>6251</v>
      </c>
      <c r="F282" s="416" t="s">
        <v>12176</v>
      </c>
      <c r="G282" s="416">
        <v>32</v>
      </c>
      <c r="H282" s="416" t="s">
        <v>0</v>
      </c>
      <c r="I282" s="416" t="s">
        <v>6233</v>
      </c>
      <c r="J282" s="416" t="s">
        <v>6257</v>
      </c>
      <c r="K282" s="416" t="s">
        <v>12062</v>
      </c>
      <c r="L282" s="416" t="s">
        <v>6036</v>
      </c>
      <c r="M282" s="416">
        <v>0</v>
      </c>
      <c r="N282" s="417" t="s">
        <v>6260</v>
      </c>
    </row>
    <row r="283" spans="1:14" ht="11.1" customHeight="1">
      <c r="A283" s="400" t="s">
        <v>6906</v>
      </c>
      <c r="B283" s="401" t="s">
        <v>6230</v>
      </c>
      <c r="C283" s="116">
        <v>78326</v>
      </c>
      <c r="D283" s="93">
        <v>34.401943086538502</v>
      </c>
      <c r="E283" s="93">
        <v>65.480111688876249</v>
      </c>
      <c r="F283" s="212" t="s">
        <v>12177</v>
      </c>
      <c r="G283" s="212">
        <v>69</v>
      </c>
      <c r="H283" s="212" t="s">
        <v>6049</v>
      </c>
      <c r="I283" s="212" t="s">
        <v>6233</v>
      </c>
      <c r="J283" s="212" t="s">
        <v>6253</v>
      </c>
      <c r="K283" s="212" t="s">
        <v>12178</v>
      </c>
      <c r="L283" s="212" t="s">
        <v>6209</v>
      </c>
      <c r="M283" s="212">
        <v>2</v>
      </c>
      <c r="N283" s="402">
        <v>0</v>
      </c>
    </row>
    <row r="284" spans="1:14" ht="11.1" customHeight="1">
      <c r="A284" s="400" t="s">
        <v>6914</v>
      </c>
      <c r="B284" s="401" t="s">
        <v>6231</v>
      </c>
      <c r="C284" s="116">
        <v>15961</v>
      </c>
      <c r="D284" s="93">
        <v>7.010308372752867</v>
      </c>
      <c r="E284" s="93">
        <v>13.34330953535421</v>
      </c>
      <c r="F284" s="212" t="s">
        <v>12179</v>
      </c>
      <c r="G284" s="212">
        <v>57</v>
      </c>
      <c r="H284" s="212" t="s">
        <v>0</v>
      </c>
      <c r="I284" s="212" t="s">
        <v>6233</v>
      </c>
      <c r="J284" s="212" t="s">
        <v>12175</v>
      </c>
      <c r="K284" s="212">
        <v>0</v>
      </c>
      <c r="L284" s="212" t="s">
        <v>6036</v>
      </c>
      <c r="M284" s="212">
        <v>0</v>
      </c>
      <c r="N284" s="402">
        <v>0</v>
      </c>
    </row>
    <row r="285" spans="1:14" ht="11.1" customHeight="1">
      <c r="A285" s="817" t="s">
        <v>6908</v>
      </c>
      <c r="B285" s="404" t="s">
        <v>6231</v>
      </c>
      <c r="C285" s="405">
        <v>13774</v>
      </c>
      <c r="D285" s="406">
        <v>6.0497454749889101</v>
      </c>
      <c r="E285" s="407" t="s">
        <v>6262</v>
      </c>
      <c r="F285" s="213" t="s">
        <v>12180</v>
      </c>
      <c r="G285" s="213">
        <v>39</v>
      </c>
      <c r="H285" s="213" t="s">
        <v>0</v>
      </c>
      <c r="I285" s="213">
        <v>0</v>
      </c>
      <c r="J285" s="213" t="s">
        <v>6264</v>
      </c>
      <c r="K285" s="213">
        <v>0</v>
      </c>
      <c r="L285" s="213" t="s">
        <v>6036</v>
      </c>
      <c r="M285" s="213">
        <v>0</v>
      </c>
      <c r="N285" s="408">
        <v>0</v>
      </c>
    </row>
    <row r="286" spans="1:14" ht="11.1" customHeight="1">
      <c r="A286" s="940" t="s">
        <v>6919</v>
      </c>
      <c r="B286" s="412" t="s">
        <v>10050</v>
      </c>
      <c r="C286" s="413">
        <v>151617</v>
      </c>
      <c r="D286" s="414">
        <v>51.077011184476483</v>
      </c>
      <c r="E286" s="415" t="s">
        <v>6251</v>
      </c>
      <c r="F286" s="416" t="s">
        <v>12181</v>
      </c>
      <c r="G286" s="416">
        <v>40</v>
      </c>
      <c r="H286" s="416" t="s">
        <v>0</v>
      </c>
      <c r="I286" s="416" t="s">
        <v>6233</v>
      </c>
      <c r="J286" s="416" t="s">
        <v>6257</v>
      </c>
      <c r="K286" s="416" t="s">
        <v>6258</v>
      </c>
      <c r="L286" s="416" t="s">
        <v>6036</v>
      </c>
      <c r="M286" s="416">
        <v>0</v>
      </c>
      <c r="N286" s="417" t="s">
        <v>6260</v>
      </c>
    </row>
    <row r="287" spans="1:14" ht="11.1" customHeight="1">
      <c r="A287" s="400" t="s">
        <v>6916</v>
      </c>
      <c r="B287" s="401" t="s">
        <v>6230</v>
      </c>
      <c r="C287" s="116">
        <v>114816</v>
      </c>
      <c r="D287" s="93">
        <v>38.67942325832098</v>
      </c>
      <c r="E287" s="93">
        <v>75.727655869724373</v>
      </c>
      <c r="F287" s="212" t="s">
        <v>6917</v>
      </c>
      <c r="G287" s="212">
        <v>67</v>
      </c>
      <c r="H287" s="212" t="s">
        <v>0</v>
      </c>
      <c r="I287" s="212" t="s">
        <v>6233</v>
      </c>
      <c r="J287" s="212" t="s">
        <v>6253</v>
      </c>
      <c r="K287" s="212" t="s">
        <v>12178</v>
      </c>
      <c r="L287" s="212" t="s">
        <v>6209</v>
      </c>
      <c r="M287" s="212">
        <v>5</v>
      </c>
      <c r="N287" s="402" t="s">
        <v>12182</v>
      </c>
    </row>
    <row r="288" spans="1:14" ht="11.1" customHeight="1">
      <c r="A288" s="817" t="s">
        <v>6921</v>
      </c>
      <c r="B288" s="404" t="s">
        <v>6231</v>
      </c>
      <c r="C288" s="405">
        <v>30407</v>
      </c>
      <c r="D288" s="406">
        <v>10.243565557202533</v>
      </c>
      <c r="E288" s="406">
        <v>20.055138935607484</v>
      </c>
      <c r="F288" s="213" t="s">
        <v>12183</v>
      </c>
      <c r="G288" s="213">
        <v>60</v>
      </c>
      <c r="H288" s="213" t="s">
        <v>0</v>
      </c>
      <c r="I288" s="213" t="s">
        <v>6233</v>
      </c>
      <c r="J288" s="213" t="s">
        <v>6264</v>
      </c>
      <c r="K288" s="213">
        <v>0</v>
      </c>
      <c r="L288" s="213" t="s">
        <v>6283</v>
      </c>
      <c r="M288" s="213">
        <v>2</v>
      </c>
      <c r="N288" s="408">
        <v>0</v>
      </c>
    </row>
    <row r="289" spans="1:14" ht="11.1" customHeight="1">
      <c r="A289" s="940" t="s">
        <v>6927</v>
      </c>
      <c r="B289" s="450" t="s">
        <v>10050</v>
      </c>
      <c r="C289" s="451">
        <v>123040</v>
      </c>
      <c r="D289" s="452">
        <v>49.891531334265963</v>
      </c>
      <c r="E289" s="453" t="s">
        <v>6262</v>
      </c>
      <c r="F289" s="198" t="s">
        <v>12184</v>
      </c>
      <c r="G289" s="198">
        <v>47</v>
      </c>
      <c r="H289" s="198" t="s">
        <v>0</v>
      </c>
      <c r="I289" s="198">
        <v>0</v>
      </c>
      <c r="J289" s="198" t="s">
        <v>6929</v>
      </c>
      <c r="K289" s="198">
        <v>0</v>
      </c>
      <c r="L289" s="198" t="s">
        <v>6209</v>
      </c>
      <c r="M289" s="198">
        <v>4</v>
      </c>
      <c r="N289" s="454" t="s">
        <v>7394</v>
      </c>
    </row>
    <row r="290" spans="1:14" ht="11.1" customHeight="1">
      <c r="A290" s="400" t="s">
        <v>6925</v>
      </c>
      <c r="B290" s="401" t="s">
        <v>6230</v>
      </c>
      <c r="C290" s="116">
        <v>102429</v>
      </c>
      <c r="D290" s="93">
        <v>41.533969953165865</v>
      </c>
      <c r="E290" s="93">
        <v>83.248537061118341</v>
      </c>
      <c r="F290" s="212" t="s">
        <v>6926</v>
      </c>
      <c r="G290" s="212">
        <v>64</v>
      </c>
      <c r="H290" s="212" t="s">
        <v>0</v>
      </c>
      <c r="I290" s="212" t="s">
        <v>6233</v>
      </c>
      <c r="J290" s="212" t="s">
        <v>6253</v>
      </c>
      <c r="K290" s="212" t="s">
        <v>11989</v>
      </c>
      <c r="L290" s="212" t="s">
        <v>6209</v>
      </c>
      <c r="M290" s="212">
        <v>4</v>
      </c>
      <c r="N290" s="402">
        <v>0</v>
      </c>
    </row>
    <row r="291" spans="1:14" ht="11.1" customHeight="1">
      <c r="A291" s="817" t="s">
        <v>6931</v>
      </c>
      <c r="B291" s="404" t="s">
        <v>6231</v>
      </c>
      <c r="C291" s="405">
        <v>21146</v>
      </c>
      <c r="D291" s="406">
        <v>8.5744987125681735</v>
      </c>
      <c r="E291" s="407" t="s">
        <v>6262</v>
      </c>
      <c r="F291" s="213" t="s">
        <v>12185</v>
      </c>
      <c r="G291" s="213">
        <v>50</v>
      </c>
      <c r="H291" s="213" t="s">
        <v>0</v>
      </c>
      <c r="I291" s="213">
        <v>0</v>
      </c>
      <c r="J291" s="213" t="s">
        <v>6264</v>
      </c>
      <c r="K291" s="213">
        <v>0</v>
      </c>
      <c r="L291" s="213" t="s">
        <v>6036</v>
      </c>
      <c r="M291" s="213">
        <v>0</v>
      </c>
      <c r="N291" s="408">
        <v>0</v>
      </c>
    </row>
    <row r="292" spans="1:14" ht="11.1" customHeight="1">
      <c r="A292" s="940" t="s">
        <v>6937</v>
      </c>
      <c r="B292" s="412" t="s">
        <v>10050</v>
      </c>
      <c r="C292" s="413">
        <v>145371</v>
      </c>
      <c r="D292" s="414">
        <v>57.05723739211323</v>
      </c>
      <c r="E292" s="415" t="s">
        <v>6251</v>
      </c>
      <c r="F292" s="416" t="s">
        <v>12186</v>
      </c>
      <c r="G292" s="416">
        <v>64</v>
      </c>
      <c r="H292" s="416" t="s">
        <v>0</v>
      </c>
      <c r="I292" s="416" t="s">
        <v>6233</v>
      </c>
      <c r="J292" s="416" t="s">
        <v>6257</v>
      </c>
      <c r="K292" s="416" t="s">
        <v>12150</v>
      </c>
      <c r="L292" s="416" t="s">
        <v>6209</v>
      </c>
      <c r="M292" s="416">
        <v>5</v>
      </c>
      <c r="N292" s="417">
        <v>0</v>
      </c>
    </row>
    <row r="293" spans="1:14" ht="11.1" customHeight="1">
      <c r="A293" s="400" t="s">
        <v>6935</v>
      </c>
      <c r="B293" s="401" t="s">
        <v>6230</v>
      </c>
      <c r="C293" s="116">
        <v>92721</v>
      </c>
      <c r="D293" s="93">
        <v>36.392431146749558</v>
      </c>
      <c r="E293" s="93">
        <v>63.782322471469548</v>
      </c>
      <c r="F293" s="212" t="s">
        <v>6936</v>
      </c>
      <c r="G293" s="212">
        <v>60</v>
      </c>
      <c r="H293" s="212" t="s">
        <v>0</v>
      </c>
      <c r="I293" s="212" t="s">
        <v>6233</v>
      </c>
      <c r="J293" s="212" t="s">
        <v>6253</v>
      </c>
      <c r="K293" s="212" t="s">
        <v>12007</v>
      </c>
      <c r="L293" s="212" t="s">
        <v>6209</v>
      </c>
      <c r="M293" s="212">
        <v>2</v>
      </c>
      <c r="N293" s="402" t="s">
        <v>6170</v>
      </c>
    </row>
    <row r="294" spans="1:14" ht="11.1" customHeight="1">
      <c r="A294" s="817" t="s">
        <v>6939</v>
      </c>
      <c r="B294" s="404" t="s">
        <v>6231</v>
      </c>
      <c r="C294" s="405">
        <v>16689</v>
      </c>
      <c r="D294" s="406">
        <v>6.5503314611372119</v>
      </c>
      <c r="E294" s="407" t="s">
        <v>6262</v>
      </c>
      <c r="F294" s="213" t="s">
        <v>12187</v>
      </c>
      <c r="G294" s="213">
        <v>46</v>
      </c>
      <c r="H294" s="213" t="s">
        <v>0</v>
      </c>
      <c r="I294" s="213">
        <v>0</v>
      </c>
      <c r="J294" s="213" t="s">
        <v>6264</v>
      </c>
      <c r="K294" s="213">
        <v>0</v>
      </c>
      <c r="L294" s="213" t="s">
        <v>6036</v>
      </c>
      <c r="M294" s="213">
        <v>0</v>
      </c>
      <c r="N294" s="408">
        <v>0</v>
      </c>
    </row>
    <row r="295" spans="1:14" ht="11.1" customHeight="1">
      <c r="A295" s="940" t="s">
        <v>6947</v>
      </c>
      <c r="B295" s="444" t="s">
        <v>10050</v>
      </c>
      <c r="C295" s="445">
        <v>88098</v>
      </c>
      <c r="D295" s="446">
        <v>34.830292367604322</v>
      </c>
      <c r="E295" s="447" t="s">
        <v>6262</v>
      </c>
      <c r="F295" s="448" t="s">
        <v>6942</v>
      </c>
      <c r="G295" s="448">
        <v>49</v>
      </c>
      <c r="H295" s="448" t="s">
        <v>0</v>
      </c>
      <c r="I295" s="448">
        <v>0</v>
      </c>
      <c r="J295" s="448" t="s">
        <v>12017</v>
      </c>
      <c r="K295" s="448">
        <v>0</v>
      </c>
      <c r="L295" s="448" t="s">
        <v>6283</v>
      </c>
      <c r="M295" s="448">
        <v>1</v>
      </c>
      <c r="N295" s="449" t="s">
        <v>6170</v>
      </c>
    </row>
    <row r="296" spans="1:14" ht="11.1" customHeight="1">
      <c r="A296" s="400" t="s">
        <v>6943</v>
      </c>
      <c r="B296" s="401" t="s">
        <v>11986</v>
      </c>
      <c r="C296" s="116">
        <v>78860</v>
      </c>
      <c r="D296" s="93">
        <v>31.177970624864095</v>
      </c>
      <c r="E296" s="93">
        <v>89.513950373447756</v>
      </c>
      <c r="F296" s="212" t="s">
        <v>12188</v>
      </c>
      <c r="G296" s="212">
        <v>69</v>
      </c>
      <c r="H296" s="212" t="s">
        <v>0</v>
      </c>
      <c r="I296" s="212" t="s">
        <v>6233</v>
      </c>
      <c r="J296" s="212" t="s">
        <v>6253</v>
      </c>
      <c r="K296" s="212" t="s">
        <v>11994</v>
      </c>
      <c r="L296" s="212" t="s">
        <v>6209</v>
      </c>
      <c r="M296" s="212">
        <v>3</v>
      </c>
      <c r="N296" s="402">
        <v>0</v>
      </c>
    </row>
    <row r="297" spans="1:14" ht="11.1" customHeight="1">
      <c r="A297" s="400" t="s">
        <v>6945</v>
      </c>
      <c r="B297" s="401" t="s">
        <v>11986</v>
      </c>
      <c r="C297" s="116">
        <v>74399</v>
      </c>
      <c r="D297" s="93">
        <v>29.414276395121277</v>
      </c>
      <c r="E297" s="93">
        <v>84.450271288792024</v>
      </c>
      <c r="F297" s="212" t="s">
        <v>6946</v>
      </c>
      <c r="G297" s="212">
        <v>41</v>
      </c>
      <c r="H297" s="212" t="s">
        <v>0</v>
      </c>
      <c r="I297" s="212" t="s">
        <v>6233</v>
      </c>
      <c r="J297" s="212" t="s">
        <v>6257</v>
      </c>
      <c r="K297" s="212" t="s">
        <v>6350</v>
      </c>
      <c r="L297" s="212" t="s">
        <v>6036</v>
      </c>
      <c r="M297" s="212">
        <v>0</v>
      </c>
      <c r="N297" s="402" t="s">
        <v>6260</v>
      </c>
    </row>
    <row r="298" spans="1:14" ht="11.1" customHeight="1">
      <c r="A298" s="817" t="s">
        <v>6941</v>
      </c>
      <c r="B298" s="404" t="s">
        <v>6231</v>
      </c>
      <c r="C298" s="405">
        <v>11578</v>
      </c>
      <c r="D298" s="406">
        <v>4.5774606124103032</v>
      </c>
      <c r="E298" s="407" t="s">
        <v>6262</v>
      </c>
      <c r="F298" s="213" t="s">
        <v>12189</v>
      </c>
      <c r="G298" s="213">
        <v>61</v>
      </c>
      <c r="H298" s="213" t="s">
        <v>0</v>
      </c>
      <c r="I298" s="213">
        <v>0</v>
      </c>
      <c r="J298" s="213" t="s">
        <v>6264</v>
      </c>
      <c r="K298" s="213">
        <v>0</v>
      </c>
      <c r="L298" s="213" t="s">
        <v>6036</v>
      </c>
      <c r="M298" s="213">
        <v>0</v>
      </c>
      <c r="N298" s="408">
        <v>0</v>
      </c>
    </row>
    <row r="299" spans="1:14" ht="11.1" customHeight="1">
      <c r="A299" s="940" t="s">
        <v>6951</v>
      </c>
      <c r="B299" s="412" t="s">
        <v>10050</v>
      </c>
      <c r="C299" s="413">
        <v>86673</v>
      </c>
      <c r="D299" s="414">
        <v>46.551585234200026</v>
      </c>
      <c r="E299" s="415" t="s">
        <v>6251</v>
      </c>
      <c r="F299" s="416" t="s">
        <v>8919</v>
      </c>
      <c r="G299" s="416">
        <v>32</v>
      </c>
      <c r="H299" s="416" t="s">
        <v>0</v>
      </c>
      <c r="I299" s="416" t="s">
        <v>6233</v>
      </c>
      <c r="J299" s="416" t="s">
        <v>6257</v>
      </c>
      <c r="K299" s="416" t="s">
        <v>6258</v>
      </c>
      <c r="L299" s="416" t="s">
        <v>6036</v>
      </c>
      <c r="M299" s="416">
        <v>0</v>
      </c>
      <c r="N299" s="417" t="s">
        <v>6260</v>
      </c>
    </row>
    <row r="300" spans="1:14" ht="11.1" customHeight="1">
      <c r="A300" s="400" t="s">
        <v>6949</v>
      </c>
      <c r="B300" s="401" t="s">
        <v>11986</v>
      </c>
      <c r="C300" s="116">
        <v>82878</v>
      </c>
      <c r="D300" s="93">
        <v>44.513311885362569</v>
      </c>
      <c r="E300" s="93">
        <v>95.621473815375026</v>
      </c>
      <c r="F300" s="212" t="s">
        <v>12190</v>
      </c>
      <c r="G300" s="212">
        <v>40</v>
      </c>
      <c r="H300" s="212" t="s">
        <v>0</v>
      </c>
      <c r="I300" s="212" t="s">
        <v>6233</v>
      </c>
      <c r="J300" s="212" t="s">
        <v>6253</v>
      </c>
      <c r="K300" s="212" t="s">
        <v>12007</v>
      </c>
      <c r="L300" s="212" t="s">
        <v>6209</v>
      </c>
      <c r="M300" s="212">
        <v>1</v>
      </c>
      <c r="N300" s="402">
        <v>0</v>
      </c>
    </row>
    <row r="301" spans="1:14" ht="11.1" customHeight="1">
      <c r="A301" s="817" t="s">
        <v>6953</v>
      </c>
      <c r="B301" s="404" t="s">
        <v>6231</v>
      </c>
      <c r="C301" s="405">
        <v>16636</v>
      </c>
      <c r="D301" s="406">
        <v>8.9351028804374089</v>
      </c>
      <c r="E301" s="407" t="s">
        <v>6262</v>
      </c>
      <c r="F301" s="213" t="s">
        <v>12191</v>
      </c>
      <c r="G301" s="213">
        <v>27</v>
      </c>
      <c r="H301" s="213" t="s">
        <v>0</v>
      </c>
      <c r="I301" s="213">
        <v>0</v>
      </c>
      <c r="J301" s="213" t="s">
        <v>6264</v>
      </c>
      <c r="K301" s="213">
        <v>0</v>
      </c>
      <c r="L301" s="213" t="s">
        <v>6036</v>
      </c>
      <c r="M301" s="213">
        <v>0</v>
      </c>
      <c r="N301" s="408">
        <v>0</v>
      </c>
    </row>
    <row r="302" spans="1:14" ht="11.1" customHeight="1">
      <c r="A302" s="940" t="s">
        <v>6961</v>
      </c>
      <c r="B302" s="412" t="s">
        <v>10050</v>
      </c>
      <c r="C302" s="413">
        <v>160669</v>
      </c>
      <c r="D302" s="414">
        <v>56.441431155920114</v>
      </c>
      <c r="E302" s="415" t="s">
        <v>6251</v>
      </c>
      <c r="F302" s="416" t="s">
        <v>6962</v>
      </c>
      <c r="G302" s="416">
        <v>56</v>
      </c>
      <c r="H302" s="416" t="s">
        <v>0</v>
      </c>
      <c r="I302" s="416" t="s">
        <v>6233</v>
      </c>
      <c r="J302" s="416" t="s">
        <v>6257</v>
      </c>
      <c r="K302" s="416" t="s">
        <v>6350</v>
      </c>
      <c r="L302" s="416" t="s">
        <v>6209</v>
      </c>
      <c r="M302" s="416">
        <v>3</v>
      </c>
      <c r="N302" s="417">
        <v>0</v>
      </c>
    </row>
    <row r="303" spans="1:14" ht="11.1" customHeight="1">
      <c r="A303" s="400" t="s">
        <v>6959</v>
      </c>
      <c r="B303" s="401" t="s">
        <v>6230</v>
      </c>
      <c r="C303" s="116">
        <v>89025</v>
      </c>
      <c r="D303" s="93">
        <v>31.273602304463139</v>
      </c>
      <c r="E303" s="93">
        <v>55.408946343102897</v>
      </c>
      <c r="F303" s="212" t="s">
        <v>12192</v>
      </c>
      <c r="G303" s="212">
        <v>60</v>
      </c>
      <c r="H303" s="212" t="s">
        <v>0</v>
      </c>
      <c r="I303" s="212" t="s">
        <v>6233</v>
      </c>
      <c r="J303" s="212" t="s">
        <v>6253</v>
      </c>
      <c r="K303" s="212" t="s">
        <v>12178</v>
      </c>
      <c r="L303" s="212" t="s">
        <v>6209</v>
      </c>
      <c r="M303" s="212">
        <v>1</v>
      </c>
      <c r="N303" s="402">
        <v>0</v>
      </c>
    </row>
    <row r="304" spans="1:14" ht="11.1" customHeight="1">
      <c r="A304" s="817" t="s">
        <v>6963</v>
      </c>
      <c r="B304" s="404"/>
      <c r="C304" s="405">
        <v>34971</v>
      </c>
      <c r="D304" s="406">
        <v>12.284966539616743</v>
      </c>
      <c r="E304" s="406">
        <v>21.765866470818889</v>
      </c>
      <c r="F304" s="213" t="s">
        <v>12193</v>
      </c>
      <c r="G304" s="213">
        <v>58</v>
      </c>
      <c r="H304" s="213" t="s">
        <v>0</v>
      </c>
      <c r="I304" s="213" t="s">
        <v>6233</v>
      </c>
      <c r="J304" s="213" t="s">
        <v>6264</v>
      </c>
      <c r="K304" s="213">
        <v>0</v>
      </c>
      <c r="L304" s="213" t="s">
        <v>6036</v>
      </c>
      <c r="M304" s="213">
        <v>0</v>
      </c>
      <c r="N304" s="408">
        <v>0</v>
      </c>
    </row>
    <row r="305" spans="1:14" ht="11.1" customHeight="1">
      <c r="A305" s="940" t="s">
        <v>6967</v>
      </c>
      <c r="B305" s="412" t="s">
        <v>10050</v>
      </c>
      <c r="C305" s="413">
        <v>197037</v>
      </c>
      <c r="D305" s="414">
        <v>73.162553747670003</v>
      </c>
      <c r="E305" s="415" t="s">
        <v>6262</v>
      </c>
      <c r="F305" s="416" t="s">
        <v>12194</v>
      </c>
      <c r="G305" s="416">
        <v>63</v>
      </c>
      <c r="H305" s="416" t="s">
        <v>0</v>
      </c>
      <c r="I305" s="416">
        <v>0</v>
      </c>
      <c r="J305" s="416" t="s">
        <v>6257</v>
      </c>
      <c r="K305" s="416" t="s">
        <v>6258</v>
      </c>
      <c r="L305" s="416" t="s">
        <v>6209</v>
      </c>
      <c r="M305" s="416">
        <v>11</v>
      </c>
      <c r="N305" s="417">
        <v>0</v>
      </c>
    </row>
    <row r="306" spans="1:14" ht="11.1" customHeight="1">
      <c r="A306" s="400" t="s">
        <v>6969</v>
      </c>
      <c r="B306" s="401" t="s">
        <v>6230</v>
      </c>
      <c r="C306" s="116">
        <v>50551</v>
      </c>
      <c r="D306" s="93">
        <v>18.770283015364964</v>
      </c>
      <c r="E306" s="93">
        <v>25.655587529245775</v>
      </c>
      <c r="F306" s="212" t="s">
        <v>12195</v>
      </c>
      <c r="G306" s="212">
        <v>60</v>
      </c>
      <c r="H306" s="212" t="s">
        <v>0</v>
      </c>
      <c r="I306" s="212" t="s">
        <v>6233</v>
      </c>
      <c r="J306" s="212" t="s">
        <v>6253</v>
      </c>
      <c r="K306" s="212" t="s">
        <v>11989</v>
      </c>
      <c r="L306" s="212" t="s">
        <v>6036</v>
      </c>
      <c r="M306" s="212">
        <v>0</v>
      </c>
      <c r="N306" s="402" t="s">
        <v>6170</v>
      </c>
    </row>
    <row r="307" spans="1:14" ht="11.1" customHeight="1">
      <c r="A307" s="400" t="s">
        <v>6971</v>
      </c>
      <c r="B307" s="401" t="s">
        <v>6231</v>
      </c>
      <c r="C307" s="116">
        <v>11377</v>
      </c>
      <c r="D307" s="93">
        <v>4.2244369026489528</v>
      </c>
      <c r="E307" s="403" t="s">
        <v>6262</v>
      </c>
      <c r="F307" s="212" t="s">
        <v>12196</v>
      </c>
      <c r="G307" s="212">
        <v>53</v>
      </c>
      <c r="H307" s="212" t="s">
        <v>0</v>
      </c>
      <c r="I307" s="212">
        <v>0</v>
      </c>
      <c r="J307" s="212" t="s">
        <v>6264</v>
      </c>
      <c r="K307" s="212">
        <v>0</v>
      </c>
      <c r="L307" s="212" t="s">
        <v>6036</v>
      </c>
      <c r="M307" s="212">
        <v>0</v>
      </c>
      <c r="N307" s="402">
        <v>0</v>
      </c>
    </row>
    <row r="308" spans="1:14" ht="11.1" customHeight="1">
      <c r="A308" s="400" t="s">
        <v>6973</v>
      </c>
      <c r="B308" s="401" t="s">
        <v>6231</v>
      </c>
      <c r="C308" s="116">
        <v>7475</v>
      </c>
      <c r="D308" s="93">
        <v>2.7755705236266959</v>
      </c>
      <c r="E308" s="403" t="s">
        <v>6262</v>
      </c>
      <c r="F308" s="212" t="s">
        <v>12197</v>
      </c>
      <c r="G308" s="212">
        <v>58</v>
      </c>
      <c r="H308" s="212" t="s">
        <v>0</v>
      </c>
      <c r="I308" s="212">
        <v>0</v>
      </c>
      <c r="J308" s="212" t="s">
        <v>12017</v>
      </c>
      <c r="K308" s="212">
        <v>0</v>
      </c>
      <c r="L308" s="212" t="s">
        <v>6036</v>
      </c>
      <c r="M308" s="212">
        <v>0</v>
      </c>
      <c r="N308" s="402">
        <v>0</v>
      </c>
    </row>
    <row r="309" spans="1:14" ht="11.1" customHeight="1">
      <c r="A309" s="817" t="s">
        <v>6975</v>
      </c>
      <c r="B309" s="404" t="s">
        <v>6231</v>
      </c>
      <c r="C309" s="405">
        <v>2874</v>
      </c>
      <c r="D309" s="406">
        <v>1.0671558106893813</v>
      </c>
      <c r="E309" s="407" t="s">
        <v>6262</v>
      </c>
      <c r="F309" s="213" t="s">
        <v>12198</v>
      </c>
      <c r="G309" s="213">
        <v>55</v>
      </c>
      <c r="H309" s="213" t="s">
        <v>0</v>
      </c>
      <c r="I309" s="213">
        <v>0</v>
      </c>
      <c r="J309" s="213" t="s">
        <v>12017</v>
      </c>
      <c r="K309" s="213">
        <v>0</v>
      </c>
      <c r="L309" s="213" t="s">
        <v>6036</v>
      </c>
      <c r="M309" s="213">
        <v>0</v>
      </c>
      <c r="N309" s="408">
        <v>0</v>
      </c>
    </row>
    <row r="310" spans="1:14" ht="11.1" customHeight="1">
      <c r="A310" s="940" t="s">
        <v>6979</v>
      </c>
      <c r="B310" s="412" t="s">
        <v>10050</v>
      </c>
      <c r="C310" s="413">
        <v>108898</v>
      </c>
      <c r="D310" s="414">
        <v>46.917154588185625</v>
      </c>
      <c r="E310" s="415" t="s">
        <v>6251</v>
      </c>
      <c r="F310" s="416" t="s">
        <v>6980</v>
      </c>
      <c r="G310" s="416">
        <v>61</v>
      </c>
      <c r="H310" s="416" t="s">
        <v>0</v>
      </c>
      <c r="I310" s="416" t="s">
        <v>6233</v>
      </c>
      <c r="J310" s="416" t="s">
        <v>6257</v>
      </c>
      <c r="K310" s="416" t="s">
        <v>12150</v>
      </c>
      <c r="L310" s="416" t="s">
        <v>6209</v>
      </c>
      <c r="M310" s="416">
        <v>2</v>
      </c>
      <c r="N310" s="417">
        <v>0</v>
      </c>
    </row>
    <row r="311" spans="1:14" ht="11.1" customHeight="1">
      <c r="A311" s="400" t="s">
        <v>6977</v>
      </c>
      <c r="B311" s="401" t="s">
        <v>6230</v>
      </c>
      <c r="C311" s="116">
        <v>75865</v>
      </c>
      <c r="D311" s="93">
        <v>32.685356322730463</v>
      </c>
      <c r="E311" s="93">
        <v>69.6661095704237</v>
      </c>
      <c r="F311" s="212" t="s">
        <v>6978</v>
      </c>
      <c r="G311" s="212">
        <v>40</v>
      </c>
      <c r="H311" s="212" t="s">
        <v>0</v>
      </c>
      <c r="I311" s="212" t="s">
        <v>6233</v>
      </c>
      <c r="J311" s="212" t="s">
        <v>6253</v>
      </c>
      <c r="K311" s="212" t="s">
        <v>12020</v>
      </c>
      <c r="L311" s="212" t="s">
        <v>6209</v>
      </c>
      <c r="M311" s="212">
        <v>2</v>
      </c>
      <c r="N311" s="402">
        <v>0</v>
      </c>
    </row>
    <row r="312" spans="1:14" ht="11.1" customHeight="1">
      <c r="A312" s="400" t="s">
        <v>6981</v>
      </c>
      <c r="B312" s="401" t="s">
        <v>10055</v>
      </c>
      <c r="C312" s="116">
        <v>35133</v>
      </c>
      <c r="D312" s="93">
        <v>15.136553399940544</v>
      </c>
      <c r="E312" s="93">
        <v>32.262300501386619</v>
      </c>
      <c r="F312" s="212" t="s">
        <v>6982</v>
      </c>
      <c r="G312" s="212">
        <v>57</v>
      </c>
      <c r="H312" s="212" t="s">
        <v>6049</v>
      </c>
      <c r="I312" s="212" t="s">
        <v>6233</v>
      </c>
      <c r="J312" s="212" t="s">
        <v>6278</v>
      </c>
      <c r="K312" s="212">
        <v>0</v>
      </c>
      <c r="L312" s="212" t="s">
        <v>6209</v>
      </c>
      <c r="M312" s="212">
        <v>2</v>
      </c>
      <c r="N312" s="402" t="s">
        <v>12182</v>
      </c>
    </row>
    <row r="313" spans="1:14" ht="11.1" customHeight="1">
      <c r="A313" s="817" t="s">
        <v>6983</v>
      </c>
      <c r="B313" s="404" t="s">
        <v>6231</v>
      </c>
      <c r="C313" s="405">
        <v>12211</v>
      </c>
      <c r="D313" s="406">
        <v>5.260935689143369</v>
      </c>
      <c r="E313" s="407" t="s">
        <v>6262</v>
      </c>
      <c r="F313" s="213" t="s">
        <v>12199</v>
      </c>
      <c r="G313" s="213">
        <v>47</v>
      </c>
      <c r="H313" s="213" t="s">
        <v>0</v>
      </c>
      <c r="I313" s="213">
        <v>0</v>
      </c>
      <c r="J313" s="213" t="s">
        <v>6264</v>
      </c>
      <c r="K313" s="213">
        <v>0</v>
      </c>
      <c r="L313" s="213" t="s">
        <v>6036</v>
      </c>
      <c r="M313" s="213">
        <v>0</v>
      </c>
      <c r="N313" s="408">
        <v>0</v>
      </c>
    </row>
    <row r="314" spans="1:14" ht="11.1" customHeight="1">
      <c r="A314" s="940" t="s">
        <v>6989</v>
      </c>
      <c r="B314" s="412" t="s">
        <v>10050</v>
      </c>
      <c r="C314" s="413">
        <v>174361</v>
      </c>
      <c r="D314" s="414">
        <v>61.08541960075393</v>
      </c>
      <c r="E314" s="415" t="s">
        <v>6262</v>
      </c>
      <c r="F314" s="416" t="s">
        <v>12200</v>
      </c>
      <c r="G314" s="416">
        <v>56</v>
      </c>
      <c r="H314" s="416" t="s">
        <v>0</v>
      </c>
      <c r="I314" s="416">
        <v>0</v>
      </c>
      <c r="J314" s="416" t="s">
        <v>6257</v>
      </c>
      <c r="K314" s="416" t="s">
        <v>6350</v>
      </c>
      <c r="L314" s="416" t="s">
        <v>6209</v>
      </c>
      <c r="M314" s="416">
        <v>7</v>
      </c>
      <c r="N314" s="417">
        <v>0</v>
      </c>
    </row>
    <row r="315" spans="1:14" ht="11.1" customHeight="1">
      <c r="A315" s="400" t="s">
        <v>6987</v>
      </c>
      <c r="B315" s="401" t="s">
        <v>6230</v>
      </c>
      <c r="C315" s="116">
        <v>88170</v>
      </c>
      <c r="D315" s="93">
        <v>30.889370020810123</v>
      </c>
      <c r="E315" s="93">
        <v>50.567500759917642</v>
      </c>
      <c r="F315" s="212" t="s">
        <v>12201</v>
      </c>
      <c r="G315" s="212">
        <v>53</v>
      </c>
      <c r="H315" s="212" t="s">
        <v>0</v>
      </c>
      <c r="I315" s="212" t="s">
        <v>6233</v>
      </c>
      <c r="J315" s="212" t="s">
        <v>6253</v>
      </c>
      <c r="K315" s="212" t="s">
        <v>12020</v>
      </c>
      <c r="L315" s="212" t="s">
        <v>6283</v>
      </c>
      <c r="M315" s="212">
        <v>2</v>
      </c>
      <c r="N315" s="402" t="s">
        <v>12182</v>
      </c>
    </row>
    <row r="316" spans="1:14" ht="11.1" customHeight="1">
      <c r="A316" s="817" t="s">
        <v>6991</v>
      </c>
      <c r="B316" s="404" t="s">
        <v>6231</v>
      </c>
      <c r="C316" s="405">
        <v>22907</v>
      </c>
      <c r="D316" s="406">
        <v>8.025210378435947</v>
      </c>
      <c r="E316" s="407" t="s">
        <v>6262</v>
      </c>
      <c r="F316" s="213" t="s">
        <v>12202</v>
      </c>
      <c r="G316" s="213">
        <v>56</v>
      </c>
      <c r="H316" s="213" t="s">
        <v>0</v>
      </c>
      <c r="I316" s="213">
        <v>0</v>
      </c>
      <c r="J316" s="213" t="s">
        <v>6264</v>
      </c>
      <c r="K316" s="213">
        <v>0</v>
      </c>
      <c r="L316" s="213" t="s">
        <v>6036</v>
      </c>
      <c r="M316" s="213">
        <v>0</v>
      </c>
      <c r="N316" s="408">
        <v>0</v>
      </c>
    </row>
    <row r="317" spans="1:14" ht="11.1" customHeight="1">
      <c r="A317" s="940" t="s">
        <v>6997</v>
      </c>
      <c r="B317" s="412" t="s">
        <v>10050</v>
      </c>
      <c r="C317" s="413">
        <v>135719</v>
      </c>
      <c r="D317" s="414">
        <v>50.947291762859855</v>
      </c>
      <c r="E317" s="415" t="s">
        <v>6251</v>
      </c>
      <c r="F317" s="416" t="s">
        <v>6998</v>
      </c>
      <c r="G317" s="416">
        <v>37</v>
      </c>
      <c r="H317" s="416" t="s">
        <v>0</v>
      </c>
      <c r="I317" s="416" t="s">
        <v>6233</v>
      </c>
      <c r="J317" s="416" t="s">
        <v>6257</v>
      </c>
      <c r="K317" s="416" t="s">
        <v>6258</v>
      </c>
      <c r="L317" s="416" t="s">
        <v>6036</v>
      </c>
      <c r="M317" s="416">
        <v>0</v>
      </c>
      <c r="N317" s="417" t="s">
        <v>6260</v>
      </c>
    </row>
    <row r="318" spans="1:14" ht="11.1" customHeight="1">
      <c r="A318" s="400" t="s">
        <v>6995</v>
      </c>
      <c r="B318" s="401" t="s">
        <v>6230</v>
      </c>
      <c r="C318" s="116">
        <v>107608</v>
      </c>
      <c r="D318" s="93">
        <v>40.394758081166408</v>
      </c>
      <c r="E318" s="93">
        <v>79.287351070962799</v>
      </c>
      <c r="F318" s="212" t="s">
        <v>9010</v>
      </c>
      <c r="G318" s="212">
        <v>73</v>
      </c>
      <c r="H318" s="212" t="s">
        <v>0</v>
      </c>
      <c r="I318" s="212" t="s">
        <v>6233</v>
      </c>
      <c r="J318" s="212" t="s">
        <v>6253</v>
      </c>
      <c r="K318" s="212" t="s">
        <v>12020</v>
      </c>
      <c r="L318" s="212" t="s">
        <v>6209</v>
      </c>
      <c r="M318" s="212">
        <v>5</v>
      </c>
      <c r="N318" s="402">
        <v>0</v>
      </c>
    </row>
    <row r="319" spans="1:14" ht="11.1" customHeight="1">
      <c r="A319" s="817" t="s">
        <v>6999</v>
      </c>
      <c r="B319" s="404" t="s">
        <v>6231</v>
      </c>
      <c r="C319" s="405">
        <v>23064</v>
      </c>
      <c r="D319" s="406">
        <v>8.6579501559737384</v>
      </c>
      <c r="E319" s="407" t="s">
        <v>6262</v>
      </c>
      <c r="F319" s="213" t="s">
        <v>12203</v>
      </c>
      <c r="G319" s="213">
        <v>33</v>
      </c>
      <c r="H319" s="213" t="s">
        <v>0</v>
      </c>
      <c r="I319" s="213">
        <v>0</v>
      </c>
      <c r="J319" s="213" t="s">
        <v>6264</v>
      </c>
      <c r="K319" s="213">
        <v>0</v>
      </c>
      <c r="L319" s="213" t="s">
        <v>6036</v>
      </c>
      <c r="M319" s="213">
        <v>0</v>
      </c>
      <c r="N319" s="408">
        <v>0</v>
      </c>
    </row>
    <row r="320" spans="1:14" ht="11.1" customHeight="1">
      <c r="A320" s="940" t="s">
        <v>7005</v>
      </c>
      <c r="B320" s="412" t="s">
        <v>10050</v>
      </c>
      <c r="C320" s="413">
        <v>186770</v>
      </c>
      <c r="D320" s="414">
        <v>63.875047452282665</v>
      </c>
      <c r="E320" s="415" t="s">
        <v>6251</v>
      </c>
      <c r="F320" s="416" t="s">
        <v>7006</v>
      </c>
      <c r="G320" s="416">
        <v>42</v>
      </c>
      <c r="H320" s="416" t="s">
        <v>0</v>
      </c>
      <c r="I320" s="416" t="s">
        <v>6233</v>
      </c>
      <c r="J320" s="416" t="s">
        <v>6257</v>
      </c>
      <c r="K320" s="416" t="s">
        <v>12150</v>
      </c>
      <c r="L320" s="416" t="s">
        <v>6209</v>
      </c>
      <c r="M320" s="416">
        <v>3</v>
      </c>
      <c r="N320" s="417">
        <v>0</v>
      </c>
    </row>
    <row r="321" spans="1:14" ht="11.1" customHeight="1">
      <c r="A321" s="400" t="s">
        <v>7007</v>
      </c>
      <c r="B321" s="401" t="s">
        <v>6230</v>
      </c>
      <c r="C321" s="116">
        <v>83490</v>
      </c>
      <c r="D321" s="93">
        <v>28.553449225202549</v>
      </c>
      <c r="E321" s="93">
        <v>44.702039942174871</v>
      </c>
      <c r="F321" s="212" t="s">
        <v>7008</v>
      </c>
      <c r="G321" s="212">
        <v>42</v>
      </c>
      <c r="H321" s="212" t="s">
        <v>0</v>
      </c>
      <c r="I321" s="212" t="s">
        <v>6233</v>
      </c>
      <c r="J321" s="212" t="s">
        <v>6253</v>
      </c>
      <c r="K321" s="212" t="s">
        <v>12000</v>
      </c>
      <c r="L321" s="212" t="s">
        <v>6036</v>
      </c>
      <c r="M321" s="212">
        <v>0</v>
      </c>
      <c r="N321" s="402" t="s">
        <v>12204</v>
      </c>
    </row>
    <row r="322" spans="1:14" ht="11.1" customHeight="1">
      <c r="A322" s="817" t="s">
        <v>7009</v>
      </c>
      <c r="B322" s="404" t="s">
        <v>6231</v>
      </c>
      <c r="C322" s="405">
        <v>22139</v>
      </c>
      <c r="D322" s="406">
        <v>7.5715033225147828</v>
      </c>
      <c r="E322" s="407" t="s">
        <v>6262</v>
      </c>
      <c r="F322" s="213" t="s">
        <v>7010</v>
      </c>
      <c r="G322" s="213">
        <v>28</v>
      </c>
      <c r="H322" s="213" t="s">
        <v>0</v>
      </c>
      <c r="I322" s="213">
        <v>0</v>
      </c>
      <c r="J322" s="213" t="s">
        <v>6264</v>
      </c>
      <c r="K322" s="213">
        <v>0</v>
      </c>
      <c r="L322" s="213" t="s">
        <v>6036</v>
      </c>
      <c r="M322" s="213">
        <v>0</v>
      </c>
      <c r="N322" s="408">
        <v>0</v>
      </c>
    </row>
    <row r="323" spans="1:14" ht="11.1" customHeight="1">
      <c r="A323" s="940" t="s">
        <v>7015</v>
      </c>
      <c r="B323" s="412" t="s">
        <v>10050</v>
      </c>
      <c r="C323" s="413">
        <v>159268</v>
      </c>
      <c r="D323" s="414">
        <v>59.259645114840957</v>
      </c>
      <c r="E323" s="415" t="s">
        <v>6251</v>
      </c>
      <c r="F323" s="416" t="s">
        <v>12205</v>
      </c>
      <c r="G323" s="416">
        <v>69</v>
      </c>
      <c r="H323" s="416" t="s">
        <v>0</v>
      </c>
      <c r="I323" s="416" t="s">
        <v>6233</v>
      </c>
      <c r="J323" s="416" t="s">
        <v>6257</v>
      </c>
      <c r="K323" s="416" t="s">
        <v>6350</v>
      </c>
      <c r="L323" s="416" t="s">
        <v>6209</v>
      </c>
      <c r="M323" s="416">
        <v>8</v>
      </c>
      <c r="N323" s="417">
        <v>0</v>
      </c>
    </row>
    <row r="324" spans="1:14" ht="11.1" customHeight="1">
      <c r="A324" s="400" t="s">
        <v>7013</v>
      </c>
      <c r="B324" s="401" t="s">
        <v>6230</v>
      </c>
      <c r="C324" s="116">
        <v>87991</v>
      </c>
      <c r="D324" s="93">
        <v>32.73925354308443</v>
      </c>
      <c r="E324" s="93">
        <v>55.247130622598391</v>
      </c>
      <c r="F324" s="212" t="s">
        <v>12206</v>
      </c>
      <c r="G324" s="212">
        <v>31</v>
      </c>
      <c r="H324" s="212" t="s">
        <v>0</v>
      </c>
      <c r="I324" s="212" t="s">
        <v>6233</v>
      </c>
      <c r="J324" s="212" t="s">
        <v>6253</v>
      </c>
      <c r="K324" s="212" t="s">
        <v>12178</v>
      </c>
      <c r="L324" s="212" t="s">
        <v>6036</v>
      </c>
      <c r="M324" s="212">
        <v>0</v>
      </c>
      <c r="N324" s="402" t="s">
        <v>12182</v>
      </c>
    </row>
    <row r="325" spans="1:14" ht="11.1" customHeight="1">
      <c r="A325" s="817" t="s">
        <v>7017</v>
      </c>
      <c r="B325" s="404" t="s">
        <v>6231</v>
      </c>
      <c r="C325" s="405">
        <v>21504</v>
      </c>
      <c r="D325" s="406">
        <v>8.001101342074616</v>
      </c>
      <c r="E325" s="407" t="s">
        <v>6262</v>
      </c>
      <c r="F325" s="213" t="s">
        <v>12207</v>
      </c>
      <c r="G325" s="213">
        <v>42</v>
      </c>
      <c r="H325" s="213" t="s">
        <v>6049</v>
      </c>
      <c r="I325" s="213">
        <v>0</v>
      </c>
      <c r="J325" s="213" t="s">
        <v>6264</v>
      </c>
      <c r="K325" s="213">
        <v>0</v>
      </c>
      <c r="L325" s="213" t="s">
        <v>6036</v>
      </c>
      <c r="M325" s="213">
        <v>0</v>
      </c>
      <c r="N325" s="408">
        <v>0</v>
      </c>
    </row>
    <row r="326" spans="1:14" ht="11.1" customHeight="1">
      <c r="A326" s="940" t="s">
        <v>7021</v>
      </c>
      <c r="B326" s="412" t="s">
        <v>10050</v>
      </c>
      <c r="C326" s="413">
        <v>169825</v>
      </c>
      <c r="D326" s="414">
        <v>60.685813116640404</v>
      </c>
      <c r="E326" s="415" t="s">
        <v>6251</v>
      </c>
      <c r="F326" s="416" t="s">
        <v>12208</v>
      </c>
      <c r="G326" s="416">
        <v>68</v>
      </c>
      <c r="H326" s="416" t="s">
        <v>0</v>
      </c>
      <c r="I326" s="416" t="s">
        <v>6233</v>
      </c>
      <c r="J326" s="416" t="s">
        <v>6257</v>
      </c>
      <c r="K326" s="416" t="s">
        <v>12150</v>
      </c>
      <c r="L326" s="416" t="s">
        <v>6209</v>
      </c>
      <c r="M326" s="416">
        <v>13</v>
      </c>
      <c r="N326" s="417">
        <v>0</v>
      </c>
    </row>
    <row r="327" spans="1:14" ht="11.1" customHeight="1">
      <c r="A327" s="400" t="s">
        <v>7019</v>
      </c>
      <c r="B327" s="401" t="s">
        <v>6230</v>
      </c>
      <c r="C327" s="116">
        <v>89901</v>
      </c>
      <c r="D327" s="93">
        <v>32.125513234206323</v>
      </c>
      <c r="E327" s="93">
        <v>52.937435595465921</v>
      </c>
      <c r="F327" s="212" t="s">
        <v>8048</v>
      </c>
      <c r="G327" s="212">
        <v>42</v>
      </c>
      <c r="H327" s="212" t="s">
        <v>0</v>
      </c>
      <c r="I327" s="212" t="s">
        <v>6233</v>
      </c>
      <c r="J327" s="212" t="s">
        <v>6253</v>
      </c>
      <c r="K327" s="212" t="s">
        <v>12007</v>
      </c>
      <c r="L327" s="212" t="s">
        <v>6036</v>
      </c>
      <c r="M327" s="212">
        <v>0</v>
      </c>
      <c r="N327" s="402" t="s">
        <v>6170</v>
      </c>
    </row>
    <row r="328" spans="1:14" ht="11.1" customHeight="1">
      <c r="A328" s="817" t="s">
        <v>7026</v>
      </c>
      <c r="B328" s="404" t="s">
        <v>6231</v>
      </c>
      <c r="C328" s="405">
        <v>20117</v>
      </c>
      <c r="D328" s="406">
        <v>7.1886736491532757</v>
      </c>
      <c r="E328" s="407" t="s">
        <v>6262</v>
      </c>
      <c r="F328" s="213" t="s">
        <v>12209</v>
      </c>
      <c r="G328" s="213">
        <v>58</v>
      </c>
      <c r="H328" s="213" t="s">
        <v>0</v>
      </c>
      <c r="I328" s="213">
        <v>0</v>
      </c>
      <c r="J328" s="213" t="s">
        <v>6264</v>
      </c>
      <c r="K328" s="213">
        <v>0</v>
      </c>
      <c r="L328" s="213" t="s">
        <v>6036</v>
      </c>
      <c r="M328" s="213">
        <v>0</v>
      </c>
      <c r="N328" s="408">
        <v>0</v>
      </c>
    </row>
    <row r="329" spans="1:14" ht="11.1" customHeight="1">
      <c r="A329" s="940" t="s">
        <v>7030</v>
      </c>
      <c r="B329" s="412" t="s">
        <v>10050</v>
      </c>
      <c r="C329" s="413">
        <v>111787</v>
      </c>
      <c r="D329" s="414">
        <v>53.741424649894959</v>
      </c>
      <c r="E329" s="415" t="s">
        <v>6251</v>
      </c>
      <c r="F329" s="416" t="s">
        <v>7031</v>
      </c>
      <c r="G329" s="416">
        <v>36</v>
      </c>
      <c r="H329" s="416" t="s">
        <v>0</v>
      </c>
      <c r="I329" s="416" t="s">
        <v>6233</v>
      </c>
      <c r="J329" s="416" t="s">
        <v>6257</v>
      </c>
      <c r="K329" s="416" t="s">
        <v>6350</v>
      </c>
      <c r="L329" s="416" t="s">
        <v>6209</v>
      </c>
      <c r="M329" s="416">
        <v>1</v>
      </c>
      <c r="N329" s="417">
        <v>0</v>
      </c>
    </row>
    <row r="330" spans="1:14" ht="11.1" customHeight="1">
      <c r="A330" s="400" t="s">
        <v>7028</v>
      </c>
      <c r="B330" s="401" t="s">
        <v>6230</v>
      </c>
      <c r="C330" s="116">
        <v>77877</v>
      </c>
      <c r="D330" s="93">
        <v>37.439245417265596</v>
      </c>
      <c r="E330" s="93">
        <v>69.665524613774409</v>
      </c>
      <c r="F330" s="212" t="s">
        <v>12210</v>
      </c>
      <c r="G330" s="212">
        <v>39</v>
      </c>
      <c r="H330" s="212" t="s">
        <v>0</v>
      </c>
      <c r="I330" s="212" t="s">
        <v>6233</v>
      </c>
      <c r="J330" s="212" t="s">
        <v>6253</v>
      </c>
      <c r="K330" s="212" t="s">
        <v>12020</v>
      </c>
      <c r="L330" s="212" t="s">
        <v>6209</v>
      </c>
      <c r="M330" s="212">
        <v>2</v>
      </c>
      <c r="N330" s="402" t="s">
        <v>12182</v>
      </c>
    </row>
    <row r="331" spans="1:14" ht="11.1" customHeight="1" thickBot="1">
      <c r="A331" s="430" t="s">
        <v>7032</v>
      </c>
      <c r="B331" s="431" t="s">
        <v>6231</v>
      </c>
      <c r="C331" s="432">
        <v>18345</v>
      </c>
      <c r="D331" s="433">
        <v>8.8193299328394446</v>
      </c>
      <c r="E331" s="434" t="s">
        <v>6262</v>
      </c>
      <c r="F331" s="217" t="s">
        <v>7033</v>
      </c>
      <c r="G331" s="217">
        <v>46</v>
      </c>
      <c r="H331" s="217" t="s">
        <v>0</v>
      </c>
      <c r="I331" s="217">
        <v>0</v>
      </c>
      <c r="J331" s="217" t="s">
        <v>6264</v>
      </c>
      <c r="K331" s="217">
        <v>0</v>
      </c>
      <c r="L331" s="217" t="s">
        <v>6036</v>
      </c>
      <c r="M331" s="217">
        <v>0</v>
      </c>
      <c r="N331" s="435">
        <v>0</v>
      </c>
    </row>
    <row r="332" spans="1:14" ht="11.1" customHeight="1">
      <c r="A332" s="941" t="s">
        <v>7038</v>
      </c>
      <c r="B332" s="436" t="s">
        <v>10050</v>
      </c>
      <c r="C332" s="82">
        <v>70281</v>
      </c>
      <c r="D332" s="84">
        <v>47.525696510684341</v>
      </c>
      <c r="E332" s="437" t="s">
        <v>6251</v>
      </c>
      <c r="F332" s="85" t="s">
        <v>7039</v>
      </c>
      <c r="G332" s="85">
        <v>51</v>
      </c>
      <c r="H332" s="85" t="s">
        <v>0</v>
      </c>
      <c r="I332" s="85" t="s">
        <v>6233</v>
      </c>
      <c r="J332" s="85" t="s">
        <v>6253</v>
      </c>
      <c r="K332" s="85" t="s">
        <v>12000</v>
      </c>
      <c r="L332" s="85" t="s">
        <v>6209</v>
      </c>
      <c r="M332" s="85">
        <v>4</v>
      </c>
      <c r="N332" s="438">
        <v>0</v>
      </c>
    </row>
    <row r="333" spans="1:14" ht="11.1" customHeight="1">
      <c r="A333" s="400" t="s">
        <v>7040</v>
      </c>
      <c r="B333" s="401" t="s">
        <v>11986</v>
      </c>
      <c r="C333" s="116">
        <v>65426</v>
      </c>
      <c r="D333" s="93">
        <v>44.24262915877739</v>
      </c>
      <c r="E333" s="93">
        <v>93.092016334428934</v>
      </c>
      <c r="F333" s="212" t="s">
        <v>7041</v>
      </c>
      <c r="G333" s="212">
        <v>44</v>
      </c>
      <c r="H333" s="212" t="s">
        <v>0</v>
      </c>
      <c r="I333" s="212" t="s">
        <v>6233</v>
      </c>
      <c r="J333" s="212" t="s">
        <v>6257</v>
      </c>
      <c r="K333" s="212" t="s">
        <v>6258</v>
      </c>
      <c r="L333" s="212" t="s">
        <v>6036</v>
      </c>
      <c r="M333" s="212">
        <v>0</v>
      </c>
      <c r="N333" s="402">
        <v>0</v>
      </c>
    </row>
    <row r="334" spans="1:14" ht="11.1" customHeight="1">
      <c r="A334" s="817" t="s">
        <v>7042</v>
      </c>
      <c r="B334" s="404" t="s">
        <v>6231</v>
      </c>
      <c r="C334" s="405">
        <v>12173</v>
      </c>
      <c r="D334" s="406">
        <v>8.231674330538274</v>
      </c>
      <c r="E334" s="407" t="s">
        <v>6262</v>
      </c>
      <c r="F334" s="213" t="s">
        <v>7043</v>
      </c>
      <c r="G334" s="213">
        <v>53</v>
      </c>
      <c r="H334" s="213" t="s">
        <v>6049</v>
      </c>
      <c r="I334" s="213">
        <v>0</v>
      </c>
      <c r="J334" s="213" t="s">
        <v>6264</v>
      </c>
      <c r="K334" s="213">
        <v>0</v>
      </c>
      <c r="L334" s="213" t="s">
        <v>6036</v>
      </c>
      <c r="M334" s="213">
        <v>0</v>
      </c>
      <c r="N334" s="408">
        <v>0</v>
      </c>
    </row>
    <row r="335" spans="1:14" ht="11.1" customHeight="1">
      <c r="A335" s="940" t="s">
        <v>7048</v>
      </c>
      <c r="B335" s="444" t="s">
        <v>10050</v>
      </c>
      <c r="C335" s="445">
        <v>63758</v>
      </c>
      <c r="D335" s="446">
        <v>38.03677321592631</v>
      </c>
      <c r="E335" s="447" t="s">
        <v>6262</v>
      </c>
      <c r="F335" s="448" t="s">
        <v>7051</v>
      </c>
      <c r="G335" s="448">
        <v>75</v>
      </c>
      <c r="H335" s="448" t="s">
        <v>0</v>
      </c>
      <c r="I335" s="448">
        <v>0</v>
      </c>
      <c r="J335" s="448" t="s">
        <v>12017</v>
      </c>
      <c r="K335" s="448" t="s">
        <v>12211</v>
      </c>
      <c r="L335" s="448" t="s">
        <v>6209</v>
      </c>
      <c r="M335" s="448">
        <v>9</v>
      </c>
      <c r="N335" s="449">
        <v>0</v>
      </c>
    </row>
    <row r="336" spans="1:14" ht="11.1" customHeight="1">
      <c r="A336" s="400" t="s">
        <v>7050</v>
      </c>
      <c r="B336" s="401" t="s">
        <v>11986</v>
      </c>
      <c r="C336" s="116">
        <v>62821</v>
      </c>
      <c r="D336" s="93">
        <v>37.47777738005751</v>
      </c>
      <c r="E336" s="93">
        <v>98.530380501270429</v>
      </c>
      <c r="F336" s="212" t="s">
        <v>7049</v>
      </c>
      <c r="G336" s="212">
        <v>37</v>
      </c>
      <c r="H336" s="212" t="s">
        <v>0</v>
      </c>
      <c r="I336" s="212" t="s">
        <v>6233</v>
      </c>
      <c r="J336" s="212" t="s">
        <v>6257</v>
      </c>
      <c r="K336" s="212" t="s">
        <v>6258</v>
      </c>
      <c r="L336" s="212" t="s">
        <v>6036</v>
      </c>
      <c r="M336" s="212">
        <v>0</v>
      </c>
      <c r="N336" s="402">
        <v>0</v>
      </c>
    </row>
    <row r="337" spans="1:14" ht="11.1" customHeight="1">
      <c r="A337" s="400" t="s">
        <v>7046</v>
      </c>
      <c r="B337" s="401" t="s">
        <v>6230</v>
      </c>
      <c r="C337" s="116">
        <v>33827</v>
      </c>
      <c r="D337" s="93">
        <v>20.180525229385164</v>
      </c>
      <c r="E337" s="93">
        <v>53.055302863954324</v>
      </c>
      <c r="F337" s="212" t="s">
        <v>7047</v>
      </c>
      <c r="G337" s="212">
        <v>34</v>
      </c>
      <c r="H337" s="212" t="s">
        <v>0</v>
      </c>
      <c r="I337" s="212" t="s">
        <v>6233</v>
      </c>
      <c r="J337" s="212" t="s">
        <v>6253</v>
      </c>
      <c r="K337" s="212" t="s">
        <v>12007</v>
      </c>
      <c r="L337" s="212" t="s">
        <v>6036</v>
      </c>
      <c r="M337" s="212">
        <v>0</v>
      </c>
      <c r="N337" s="402">
        <v>0</v>
      </c>
    </row>
    <row r="338" spans="1:14" ht="11.1" customHeight="1">
      <c r="A338" s="817" t="s">
        <v>7052</v>
      </c>
      <c r="B338" s="404" t="s">
        <v>6231</v>
      </c>
      <c r="C338" s="405">
        <v>7216</v>
      </c>
      <c r="D338" s="406">
        <v>4.3049241746310152</v>
      </c>
      <c r="E338" s="407" t="s">
        <v>6262</v>
      </c>
      <c r="F338" s="213" t="s">
        <v>12212</v>
      </c>
      <c r="G338" s="213">
        <v>46</v>
      </c>
      <c r="H338" s="213" t="s">
        <v>0</v>
      </c>
      <c r="I338" s="213">
        <v>0</v>
      </c>
      <c r="J338" s="213" t="s">
        <v>6264</v>
      </c>
      <c r="K338" s="213">
        <v>0</v>
      </c>
      <c r="L338" s="213" t="s">
        <v>6036</v>
      </c>
      <c r="M338" s="213">
        <v>0</v>
      </c>
      <c r="N338" s="408">
        <v>0</v>
      </c>
    </row>
    <row r="339" spans="1:14" ht="11.1" customHeight="1">
      <c r="A339" s="940" t="s">
        <v>7058</v>
      </c>
      <c r="B339" s="444" t="s">
        <v>10050</v>
      </c>
      <c r="C339" s="445">
        <v>63659</v>
      </c>
      <c r="D339" s="446">
        <v>36.028026011217193</v>
      </c>
      <c r="E339" s="447" t="s">
        <v>6262</v>
      </c>
      <c r="F339" s="448" t="s">
        <v>12213</v>
      </c>
      <c r="G339" s="448">
        <v>60</v>
      </c>
      <c r="H339" s="448" t="s">
        <v>0</v>
      </c>
      <c r="I339" s="448">
        <v>0</v>
      </c>
      <c r="J339" s="448" t="s">
        <v>12017</v>
      </c>
      <c r="K339" s="448" t="s">
        <v>12035</v>
      </c>
      <c r="L339" s="448" t="s">
        <v>6209</v>
      </c>
      <c r="M339" s="448">
        <v>2</v>
      </c>
      <c r="N339" s="449">
        <v>0</v>
      </c>
    </row>
    <row r="340" spans="1:14" ht="11.1" customHeight="1">
      <c r="A340" s="400" t="s">
        <v>7054</v>
      </c>
      <c r="B340" s="401" t="s">
        <v>11986</v>
      </c>
      <c r="C340" s="116">
        <v>61716</v>
      </c>
      <c r="D340" s="93">
        <v>34.928378600170916</v>
      </c>
      <c r="E340" s="93">
        <v>96.947799996858265</v>
      </c>
      <c r="F340" s="212" t="s">
        <v>12214</v>
      </c>
      <c r="G340" s="212">
        <v>48</v>
      </c>
      <c r="H340" s="212" t="s">
        <v>0</v>
      </c>
      <c r="I340" s="212" t="s">
        <v>6233</v>
      </c>
      <c r="J340" s="212" t="s">
        <v>6253</v>
      </c>
      <c r="K340" s="212" t="s">
        <v>11994</v>
      </c>
      <c r="L340" s="212" t="s">
        <v>6283</v>
      </c>
      <c r="M340" s="212">
        <v>1</v>
      </c>
      <c r="N340" s="402">
        <v>0</v>
      </c>
    </row>
    <row r="341" spans="1:14" ht="11.1" customHeight="1" thickBot="1">
      <c r="A341" s="418" t="s">
        <v>7056</v>
      </c>
      <c r="B341" s="419" t="s">
        <v>11986</v>
      </c>
      <c r="C341" s="420">
        <v>51318</v>
      </c>
      <c r="D341" s="421">
        <v>29.043595388611887</v>
      </c>
      <c r="E341" s="421">
        <v>80.613895914167671</v>
      </c>
      <c r="F341" s="423" t="s">
        <v>7057</v>
      </c>
      <c r="G341" s="423">
        <v>52</v>
      </c>
      <c r="H341" s="423" t="s">
        <v>0</v>
      </c>
      <c r="I341" s="423" t="s">
        <v>6233</v>
      </c>
      <c r="J341" s="423" t="s">
        <v>6257</v>
      </c>
      <c r="K341" s="423" t="s">
        <v>6258</v>
      </c>
      <c r="L341" s="423" t="s">
        <v>6036</v>
      </c>
      <c r="M341" s="423">
        <v>0</v>
      </c>
      <c r="N341" s="424">
        <v>0</v>
      </c>
    </row>
    <row r="342" spans="1:14" ht="11.1" customHeight="1" thickTop="1">
      <c r="A342" s="400" t="s">
        <v>7063</v>
      </c>
      <c r="B342" s="425" t="s">
        <v>10050</v>
      </c>
      <c r="C342" s="426">
        <v>149894</v>
      </c>
      <c r="D342" s="427">
        <v>54.578158395869515</v>
      </c>
      <c r="E342" s="428" t="s">
        <v>6251</v>
      </c>
      <c r="F342" s="303" t="s">
        <v>7064</v>
      </c>
      <c r="G342" s="303">
        <v>67</v>
      </c>
      <c r="H342" s="303" t="s">
        <v>0</v>
      </c>
      <c r="I342" s="303" t="s">
        <v>6233</v>
      </c>
      <c r="J342" s="303" t="s">
        <v>6257</v>
      </c>
      <c r="K342" s="303" t="s">
        <v>6258</v>
      </c>
      <c r="L342" s="303" t="s">
        <v>6209</v>
      </c>
      <c r="M342" s="303">
        <v>8</v>
      </c>
      <c r="N342" s="429" t="s">
        <v>6260</v>
      </c>
    </row>
    <row r="343" spans="1:14" ht="11.1" customHeight="1">
      <c r="A343" s="400" t="s">
        <v>7060</v>
      </c>
      <c r="B343" s="401" t="s">
        <v>6230</v>
      </c>
      <c r="C343" s="116">
        <v>101396</v>
      </c>
      <c r="D343" s="93">
        <v>36.91946941643819</v>
      </c>
      <c r="E343" s="93">
        <v>67.645135896033196</v>
      </c>
      <c r="F343" s="212" t="s">
        <v>7061</v>
      </c>
      <c r="G343" s="212">
        <v>56</v>
      </c>
      <c r="H343" s="212" t="s">
        <v>0</v>
      </c>
      <c r="I343" s="212" t="s">
        <v>6233</v>
      </c>
      <c r="J343" s="212" t="s">
        <v>6253</v>
      </c>
      <c r="K343" s="212" t="s">
        <v>12215</v>
      </c>
      <c r="L343" s="212" t="s">
        <v>6209</v>
      </c>
      <c r="M343" s="212">
        <v>4</v>
      </c>
      <c r="N343" s="402">
        <v>0</v>
      </c>
    </row>
    <row r="344" spans="1:14" ht="11.1" customHeight="1">
      <c r="A344" s="400" t="s">
        <v>7065</v>
      </c>
      <c r="B344" s="401" t="s">
        <v>6231</v>
      </c>
      <c r="C344" s="116">
        <v>21794</v>
      </c>
      <c r="D344" s="93">
        <v>7.9354502787275027</v>
      </c>
      <c r="E344" s="403" t="s">
        <v>6262</v>
      </c>
      <c r="F344" s="212" t="s">
        <v>12216</v>
      </c>
      <c r="G344" s="212">
        <v>51</v>
      </c>
      <c r="H344" s="212" t="s">
        <v>0</v>
      </c>
      <c r="I344" s="212">
        <v>0</v>
      </c>
      <c r="J344" s="212" t="s">
        <v>6264</v>
      </c>
      <c r="K344" s="212">
        <v>0</v>
      </c>
      <c r="L344" s="212" t="s">
        <v>6036</v>
      </c>
      <c r="M344" s="212">
        <v>0</v>
      </c>
      <c r="N344" s="402">
        <v>0</v>
      </c>
    </row>
    <row r="345" spans="1:14" ht="11.1" customHeight="1">
      <c r="A345" s="817" t="s">
        <v>7075</v>
      </c>
      <c r="B345" s="404" t="s">
        <v>6231</v>
      </c>
      <c r="C345" s="405">
        <v>1557</v>
      </c>
      <c r="D345" s="406">
        <v>0.566921908964794</v>
      </c>
      <c r="E345" s="407" t="s">
        <v>6262</v>
      </c>
      <c r="F345" s="213" t="s">
        <v>7076</v>
      </c>
      <c r="G345" s="213">
        <v>61</v>
      </c>
      <c r="H345" s="213" t="s">
        <v>0</v>
      </c>
      <c r="I345" s="213">
        <v>0</v>
      </c>
      <c r="J345" s="213" t="s">
        <v>11993</v>
      </c>
      <c r="K345" s="213">
        <v>0</v>
      </c>
      <c r="L345" s="213" t="s">
        <v>6036</v>
      </c>
      <c r="M345" s="213">
        <v>0</v>
      </c>
      <c r="N345" s="408">
        <v>0</v>
      </c>
    </row>
    <row r="346" spans="1:14" ht="11.1" customHeight="1">
      <c r="A346" s="940" t="s">
        <v>7082</v>
      </c>
      <c r="B346" s="412" t="s">
        <v>10050</v>
      </c>
      <c r="C346" s="413">
        <v>127889</v>
      </c>
      <c r="D346" s="414">
        <v>50.937181366301303</v>
      </c>
      <c r="E346" s="415" t="s">
        <v>6251</v>
      </c>
      <c r="F346" s="416" t="s">
        <v>7083</v>
      </c>
      <c r="G346" s="416">
        <v>69</v>
      </c>
      <c r="H346" s="416" t="s">
        <v>0</v>
      </c>
      <c r="I346" s="416" t="s">
        <v>6233</v>
      </c>
      <c r="J346" s="416" t="s">
        <v>6257</v>
      </c>
      <c r="K346" s="416" t="s">
        <v>6350</v>
      </c>
      <c r="L346" s="416" t="s">
        <v>6283</v>
      </c>
      <c r="M346" s="416">
        <v>8</v>
      </c>
      <c r="N346" s="417" t="s">
        <v>6260</v>
      </c>
    </row>
    <row r="347" spans="1:14" ht="11.1" customHeight="1">
      <c r="A347" s="400" t="s">
        <v>7080</v>
      </c>
      <c r="B347" s="401" t="s">
        <v>6230</v>
      </c>
      <c r="C347" s="116">
        <v>98335</v>
      </c>
      <c r="D347" s="93">
        <v>39.166055952077492</v>
      </c>
      <c r="E347" s="93">
        <v>76.890897575241027</v>
      </c>
      <c r="F347" s="212" t="s">
        <v>7081</v>
      </c>
      <c r="G347" s="212">
        <v>60</v>
      </c>
      <c r="H347" s="212" t="s">
        <v>0</v>
      </c>
      <c r="I347" s="212" t="s">
        <v>6233</v>
      </c>
      <c r="J347" s="212" t="s">
        <v>6253</v>
      </c>
      <c r="K347" s="212" t="s">
        <v>12007</v>
      </c>
      <c r="L347" s="212" t="s">
        <v>6209</v>
      </c>
      <c r="M347" s="212">
        <v>3</v>
      </c>
      <c r="N347" s="402">
        <v>0</v>
      </c>
    </row>
    <row r="348" spans="1:14" ht="11.1" customHeight="1">
      <c r="A348" s="817" t="s">
        <v>7084</v>
      </c>
      <c r="B348" s="404" t="s">
        <v>6231</v>
      </c>
      <c r="C348" s="405">
        <v>24848</v>
      </c>
      <c r="D348" s="406">
        <v>9.8967626816212082</v>
      </c>
      <c r="E348" s="407" t="s">
        <v>6262</v>
      </c>
      <c r="F348" s="213" t="s">
        <v>12217</v>
      </c>
      <c r="G348" s="213">
        <v>61</v>
      </c>
      <c r="H348" s="213" t="s">
        <v>0</v>
      </c>
      <c r="I348" s="213">
        <v>0</v>
      </c>
      <c r="J348" s="213" t="s">
        <v>6264</v>
      </c>
      <c r="K348" s="213">
        <v>0</v>
      </c>
      <c r="L348" s="213" t="s">
        <v>6036</v>
      </c>
      <c r="M348" s="213">
        <v>0</v>
      </c>
      <c r="N348" s="408">
        <v>0</v>
      </c>
    </row>
    <row r="349" spans="1:14" ht="11.1" customHeight="1">
      <c r="A349" s="940" t="s">
        <v>7094</v>
      </c>
      <c r="B349" s="412" t="s">
        <v>10050</v>
      </c>
      <c r="C349" s="413">
        <v>151989</v>
      </c>
      <c r="D349" s="414">
        <v>50.730810182944538</v>
      </c>
      <c r="E349" s="415" t="s">
        <v>6251</v>
      </c>
      <c r="F349" s="416" t="s">
        <v>7095</v>
      </c>
      <c r="G349" s="416">
        <v>41</v>
      </c>
      <c r="H349" s="416" t="s">
        <v>0</v>
      </c>
      <c r="I349" s="416" t="s">
        <v>6233</v>
      </c>
      <c r="J349" s="416" t="s">
        <v>6257</v>
      </c>
      <c r="K349" s="416" t="s">
        <v>6258</v>
      </c>
      <c r="L349" s="416" t="s">
        <v>6036</v>
      </c>
      <c r="M349" s="416">
        <v>0</v>
      </c>
      <c r="N349" s="417">
        <v>0</v>
      </c>
    </row>
    <row r="350" spans="1:14" ht="11.1" customHeight="1">
      <c r="A350" s="400" t="s">
        <v>7092</v>
      </c>
      <c r="B350" s="401" t="s">
        <v>11986</v>
      </c>
      <c r="C350" s="116">
        <v>123999</v>
      </c>
      <c r="D350" s="93">
        <v>41.388322390929211</v>
      </c>
      <c r="E350" s="93">
        <v>81.584193592957391</v>
      </c>
      <c r="F350" s="212" t="s">
        <v>12218</v>
      </c>
      <c r="G350" s="212">
        <v>49</v>
      </c>
      <c r="H350" s="212" t="s">
        <v>0</v>
      </c>
      <c r="I350" s="212" t="s">
        <v>6233</v>
      </c>
      <c r="J350" s="212" t="s">
        <v>6253</v>
      </c>
      <c r="K350" s="212" t="s">
        <v>11994</v>
      </c>
      <c r="L350" s="212" t="s">
        <v>6209</v>
      </c>
      <c r="M350" s="212">
        <v>2</v>
      </c>
      <c r="N350" s="402" t="s">
        <v>6170</v>
      </c>
    </row>
    <row r="351" spans="1:14" ht="11.1" customHeight="1">
      <c r="A351" s="817" t="s">
        <v>7096</v>
      </c>
      <c r="B351" s="404" t="s">
        <v>6231</v>
      </c>
      <c r="C351" s="405">
        <v>23611</v>
      </c>
      <c r="D351" s="406">
        <v>7.8808674261262555</v>
      </c>
      <c r="E351" s="407" t="s">
        <v>6262</v>
      </c>
      <c r="F351" s="213" t="s">
        <v>12219</v>
      </c>
      <c r="G351" s="213">
        <v>44</v>
      </c>
      <c r="H351" s="213" t="s">
        <v>0</v>
      </c>
      <c r="I351" s="213">
        <v>0</v>
      </c>
      <c r="J351" s="213" t="s">
        <v>6264</v>
      </c>
      <c r="K351" s="213">
        <v>0</v>
      </c>
      <c r="L351" s="213" t="s">
        <v>6036</v>
      </c>
      <c r="M351" s="213">
        <v>0</v>
      </c>
      <c r="N351" s="408">
        <v>0</v>
      </c>
    </row>
    <row r="352" spans="1:14" ht="11.1" customHeight="1">
      <c r="A352" s="940" t="s">
        <v>7100</v>
      </c>
      <c r="B352" s="412" t="s">
        <v>10050</v>
      </c>
      <c r="C352" s="413">
        <v>119812</v>
      </c>
      <c r="D352" s="414">
        <v>46.708328297811789</v>
      </c>
      <c r="E352" s="415" t="s">
        <v>6251</v>
      </c>
      <c r="F352" s="416" t="s">
        <v>12220</v>
      </c>
      <c r="G352" s="416">
        <v>38</v>
      </c>
      <c r="H352" s="416" t="s">
        <v>0</v>
      </c>
      <c r="I352" s="416" t="s">
        <v>6233</v>
      </c>
      <c r="J352" s="416" t="s">
        <v>6257</v>
      </c>
      <c r="K352" s="416" t="s">
        <v>6258</v>
      </c>
      <c r="L352" s="416" t="s">
        <v>6036</v>
      </c>
      <c r="M352" s="416">
        <v>0</v>
      </c>
      <c r="N352" s="417" t="s">
        <v>6260</v>
      </c>
    </row>
    <row r="353" spans="1:14" ht="11.1" customHeight="1">
      <c r="A353" s="400" t="s">
        <v>7098</v>
      </c>
      <c r="B353" s="401" t="s">
        <v>6230</v>
      </c>
      <c r="C353" s="116">
        <v>86354</v>
      </c>
      <c r="D353" s="93">
        <v>33.664833087080083</v>
      </c>
      <c r="E353" s="93">
        <v>72.074583514172204</v>
      </c>
      <c r="F353" s="212" t="s">
        <v>7103</v>
      </c>
      <c r="G353" s="212">
        <v>38</v>
      </c>
      <c r="H353" s="212" t="s">
        <v>0</v>
      </c>
      <c r="I353" s="212" t="s">
        <v>6233</v>
      </c>
      <c r="J353" s="212" t="s">
        <v>6253</v>
      </c>
      <c r="K353" s="212" t="s">
        <v>12000</v>
      </c>
      <c r="L353" s="212" t="s">
        <v>6209</v>
      </c>
      <c r="M353" s="212">
        <v>2</v>
      </c>
      <c r="N353" s="402" t="s">
        <v>6170</v>
      </c>
    </row>
    <row r="354" spans="1:14" ht="11.1" customHeight="1">
      <c r="A354" s="400" t="s">
        <v>7104</v>
      </c>
      <c r="B354" s="401" t="s">
        <v>6231</v>
      </c>
      <c r="C354" s="116">
        <v>25077</v>
      </c>
      <c r="D354" s="93">
        <v>9.7761889353672942</v>
      </c>
      <c r="E354" s="403" t="s">
        <v>6262</v>
      </c>
      <c r="F354" s="212" t="s">
        <v>12221</v>
      </c>
      <c r="G354" s="212">
        <v>52</v>
      </c>
      <c r="H354" s="212" t="s">
        <v>0</v>
      </c>
      <c r="I354" s="212">
        <v>0</v>
      </c>
      <c r="J354" s="212" t="s">
        <v>6264</v>
      </c>
      <c r="K354" s="212">
        <v>0</v>
      </c>
      <c r="L354" s="212" t="s">
        <v>6036</v>
      </c>
      <c r="M354" s="212">
        <v>0</v>
      </c>
      <c r="N354" s="402">
        <v>0</v>
      </c>
    </row>
    <row r="355" spans="1:14" ht="11.1" customHeight="1">
      <c r="A355" s="400" t="s">
        <v>7106</v>
      </c>
      <c r="B355" s="401" t="s">
        <v>6231</v>
      </c>
      <c r="C355" s="116">
        <v>19955</v>
      </c>
      <c r="D355" s="93">
        <v>7.7793934763031602</v>
      </c>
      <c r="E355" s="403" t="s">
        <v>6262</v>
      </c>
      <c r="F355" s="212" t="s">
        <v>12222</v>
      </c>
      <c r="G355" s="212">
        <v>41</v>
      </c>
      <c r="H355" s="212" t="s">
        <v>0</v>
      </c>
      <c r="I355" s="212">
        <v>0</v>
      </c>
      <c r="J355" s="212" t="s">
        <v>12017</v>
      </c>
      <c r="K355" s="212" t="s">
        <v>6323</v>
      </c>
      <c r="L355" s="212" t="s">
        <v>6036</v>
      </c>
      <c r="M355" s="212">
        <v>0</v>
      </c>
      <c r="N355" s="402">
        <v>0</v>
      </c>
    </row>
    <row r="356" spans="1:14" ht="11.1" customHeight="1">
      <c r="A356" s="817" t="s">
        <v>7102</v>
      </c>
      <c r="B356" s="404" t="s">
        <v>6231</v>
      </c>
      <c r="C356" s="405">
        <v>5313</v>
      </c>
      <c r="D356" s="406">
        <v>2.0712562034376694</v>
      </c>
      <c r="E356" s="407" t="s">
        <v>6262</v>
      </c>
      <c r="F356" s="213" t="s">
        <v>12223</v>
      </c>
      <c r="G356" s="213">
        <v>56</v>
      </c>
      <c r="H356" s="213" t="s">
        <v>0</v>
      </c>
      <c r="I356" s="213">
        <v>0</v>
      </c>
      <c r="J356" s="213" t="s">
        <v>12017</v>
      </c>
      <c r="K356" s="213">
        <v>0</v>
      </c>
      <c r="L356" s="213" t="s">
        <v>6036</v>
      </c>
      <c r="M356" s="213">
        <v>0</v>
      </c>
      <c r="N356" s="408">
        <v>0</v>
      </c>
    </row>
    <row r="357" spans="1:14" ht="11.1" customHeight="1">
      <c r="A357" s="940" t="s">
        <v>7110</v>
      </c>
      <c r="B357" s="412" t="s">
        <v>10050</v>
      </c>
      <c r="C357" s="413">
        <v>150667</v>
      </c>
      <c r="D357" s="414">
        <v>53.353848550950453</v>
      </c>
      <c r="E357" s="415" t="s">
        <v>6251</v>
      </c>
      <c r="F357" s="416" t="s">
        <v>12224</v>
      </c>
      <c r="G357" s="416">
        <v>69</v>
      </c>
      <c r="H357" s="416" t="s">
        <v>0</v>
      </c>
      <c r="I357" s="416" t="s">
        <v>6233</v>
      </c>
      <c r="J357" s="416" t="s">
        <v>6257</v>
      </c>
      <c r="K357" s="416" t="s">
        <v>6350</v>
      </c>
      <c r="L357" s="416" t="s">
        <v>6209</v>
      </c>
      <c r="M357" s="416">
        <v>7</v>
      </c>
      <c r="N357" s="417" t="s">
        <v>6260</v>
      </c>
    </row>
    <row r="358" spans="1:14" ht="11.1" customHeight="1">
      <c r="A358" s="400" t="s">
        <v>7108</v>
      </c>
      <c r="B358" s="401" t="s">
        <v>6230</v>
      </c>
      <c r="C358" s="116">
        <v>109618</v>
      </c>
      <c r="D358" s="93">
        <v>38.81767188872206</v>
      </c>
      <c r="E358" s="93">
        <v>72.755148771794751</v>
      </c>
      <c r="F358" s="212" t="s">
        <v>7109</v>
      </c>
      <c r="G358" s="212">
        <v>38</v>
      </c>
      <c r="H358" s="212" t="s">
        <v>0</v>
      </c>
      <c r="I358" s="212" t="s">
        <v>6233</v>
      </c>
      <c r="J358" s="212" t="s">
        <v>6253</v>
      </c>
      <c r="K358" s="212" t="s">
        <v>12116</v>
      </c>
      <c r="L358" s="212" t="s">
        <v>6209</v>
      </c>
      <c r="M358" s="212">
        <v>2</v>
      </c>
      <c r="N358" s="402" t="s">
        <v>6170</v>
      </c>
    </row>
    <row r="359" spans="1:14" ht="11.1" customHeight="1">
      <c r="A359" s="817" t="s">
        <v>7112</v>
      </c>
      <c r="B359" s="404" t="s">
        <v>6231</v>
      </c>
      <c r="C359" s="405">
        <v>22107</v>
      </c>
      <c r="D359" s="406">
        <v>7.8284795603274882</v>
      </c>
      <c r="E359" s="407" t="s">
        <v>6262</v>
      </c>
      <c r="F359" s="213" t="s">
        <v>12225</v>
      </c>
      <c r="G359" s="213">
        <v>48</v>
      </c>
      <c r="H359" s="213" t="s">
        <v>6049</v>
      </c>
      <c r="I359" s="213">
        <v>0</v>
      </c>
      <c r="J359" s="213" t="s">
        <v>6264</v>
      </c>
      <c r="K359" s="213">
        <v>0</v>
      </c>
      <c r="L359" s="213" t="s">
        <v>6036</v>
      </c>
      <c r="M359" s="213">
        <v>0</v>
      </c>
      <c r="N359" s="408">
        <v>0</v>
      </c>
    </row>
    <row r="360" spans="1:14" ht="11.1" customHeight="1">
      <c r="A360" s="940" t="s">
        <v>7119</v>
      </c>
      <c r="B360" s="412" t="s">
        <v>10050</v>
      </c>
      <c r="C360" s="413">
        <v>136750</v>
      </c>
      <c r="D360" s="414">
        <v>46.311190883383851</v>
      </c>
      <c r="E360" s="415" t="s">
        <v>6251</v>
      </c>
      <c r="F360" s="416" t="s">
        <v>7120</v>
      </c>
      <c r="G360" s="416">
        <v>41</v>
      </c>
      <c r="H360" s="416" t="s">
        <v>0</v>
      </c>
      <c r="I360" s="416" t="s">
        <v>6233</v>
      </c>
      <c r="J360" s="416" t="s">
        <v>6257</v>
      </c>
      <c r="K360" s="416" t="s">
        <v>11998</v>
      </c>
      <c r="L360" s="416" t="s">
        <v>6036</v>
      </c>
      <c r="M360" s="416">
        <v>0</v>
      </c>
      <c r="N360" s="417" t="s">
        <v>6260</v>
      </c>
    </row>
    <row r="361" spans="1:14" ht="11.1" customHeight="1">
      <c r="A361" s="400" t="s">
        <v>7116</v>
      </c>
      <c r="B361" s="401" t="s">
        <v>11986</v>
      </c>
      <c r="C361" s="116">
        <v>130283</v>
      </c>
      <c r="D361" s="93">
        <v>44.121103340840207</v>
      </c>
      <c r="E361" s="93">
        <v>95.270932358318092</v>
      </c>
      <c r="F361" s="212" t="s">
        <v>7117</v>
      </c>
      <c r="G361" s="212">
        <v>56</v>
      </c>
      <c r="H361" s="212" t="s">
        <v>6049</v>
      </c>
      <c r="I361" s="212" t="s">
        <v>6233</v>
      </c>
      <c r="J361" s="212" t="s">
        <v>6253</v>
      </c>
      <c r="K361" s="212" t="s">
        <v>12007</v>
      </c>
      <c r="L361" s="212" t="s">
        <v>6209</v>
      </c>
      <c r="M361" s="212">
        <v>2</v>
      </c>
      <c r="N361" s="402" t="s">
        <v>6170</v>
      </c>
    </row>
    <row r="362" spans="1:14" ht="11.1" customHeight="1">
      <c r="A362" s="817" t="s">
        <v>7121</v>
      </c>
      <c r="B362" s="404" t="s">
        <v>6231</v>
      </c>
      <c r="C362" s="405">
        <v>28252</v>
      </c>
      <c r="D362" s="406">
        <v>9.5677057757759449</v>
      </c>
      <c r="E362" s="407" t="s">
        <v>6262</v>
      </c>
      <c r="F362" s="213" t="s">
        <v>12226</v>
      </c>
      <c r="G362" s="213">
        <v>58</v>
      </c>
      <c r="H362" s="213" t="s">
        <v>6049</v>
      </c>
      <c r="I362" s="213">
        <v>0</v>
      </c>
      <c r="J362" s="213" t="s">
        <v>6264</v>
      </c>
      <c r="K362" s="213">
        <v>0</v>
      </c>
      <c r="L362" s="213" t="s">
        <v>6036</v>
      </c>
      <c r="M362" s="213">
        <v>0</v>
      </c>
      <c r="N362" s="408">
        <v>0</v>
      </c>
    </row>
    <row r="363" spans="1:14" ht="11.1" customHeight="1">
      <c r="A363" s="940" t="s">
        <v>7127</v>
      </c>
      <c r="B363" s="412" t="s">
        <v>10050</v>
      </c>
      <c r="C363" s="413">
        <v>131464</v>
      </c>
      <c r="D363" s="414">
        <v>48.908647854312768</v>
      </c>
      <c r="E363" s="415" t="s">
        <v>6251</v>
      </c>
      <c r="F363" s="416" t="s">
        <v>7128</v>
      </c>
      <c r="G363" s="416">
        <v>56</v>
      </c>
      <c r="H363" s="416" t="s">
        <v>0</v>
      </c>
      <c r="I363" s="416" t="s">
        <v>6233</v>
      </c>
      <c r="J363" s="416" t="s">
        <v>6257</v>
      </c>
      <c r="K363" s="416" t="s">
        <v>11998</v>
      </c>
      <c r="L363" s="416" t="s">
        <v>6036</v>
      </c>
      <c r="M363" s="416">
        <v>0</v>
      </c>
      <c r="N363" s="417" t="s">
        <v>6260</v>
      </c>
    </row>
    <row r="364" spans="1:14" ht="11.1" customHeight="1">
      <c r="A364" s="400" t="s">
        <v>7125</v>
      </c>
      <c r="B364" s="401" t="s">
        <v>11986</v>
      </c>
      <c r="C364" s="116">
        <v>113221</v>
      </c>
      <c r="D364" s="93">
        <v>42.121691251697392</v>
      </c>
      <c r="E364" s="93">
        <v>86.123197225095851</v>
      </c>
      <c r="F364" s="212" t="s">
        <v>12227</v>
      </c>
      <c r="G364" s="212">
        <v>45</v>
      </c>
      <c r="H364" s="212" t="s">
        <v>0</v>
      </c>
      <c r="I364" s="212" t="s">
        <v>6233</v>
      </c>
      <c r="J364" s="212" t="s">
        <v>6253</v>
      </c>
      <c r="K364" s="212" t="s">
        <v>12000</v>
      </c>
      <c r="L364" s="212" t="s">
        <v>6209</v>
      </c>
      <c r="M364" s="212">
        <v>2</v>
      </c>
      <c r="N364" s="402" t="s">
        <v>6170</v>
      </c>
    </row>
    <row r="365" spans="1:14" ht="11.1" customHeight="1">
      <c r="A365" s="817" t="s">
        <v>7129</v>
      </c>
      <c r="B365" s="404" t="s">
        <v>6231</v>
      </c>
      <c r="C365" s="405">
        <v>24110</v>
      </c>
      <c r="D365" s="406">
        <v>8.9696608939898432</v>
      </c>
      <c r="E365" s="407" t="s">
        <v>6262</v>
      </c>
      <c r="F365" s="213" t="s">
        <v>7130</v>
      </c>
      <c r="G365" s="213">
        <v>29</v>
      </c>
      <c r="H365" s="213" t="s">
        <v>0</v>
      </c>
      <c r="I365" s="213">
        <v>0</v>
      </c>
      <c r="J365" s="213" t="s">
        <v>6264</v>
      </c>
      <c r="K365" s="213">
        <v>0</v>
      </c>
      <c r="L365" s="213" t="s">
        <v>6036</v>
      </c>
      <c r="M365" s="213">
        <v>0</v>
      </c>
      <c r="N365" s="408">
        <v>0</v>
      </c>
    </row>
    <row r="366" spans="1:14" ht="11.1" customHeight="1">
      <c r="A366" s="940" t="s">
        <v>7133</v>
      </c>
      <c r="B366" s="412" t="s">
        <v>10050</v>
      </c>
      <c r="C366" s="413">
        <v>161966</v>
      </c>
      <c r="D366" s="414">
        <v>57.260331119038106</v>
      </c>
      <c r="E366" s="415" t="s">
        <v>6251</v>
      </c>
      <c r="F366" s="416" t="s">
        <v>7134</v>
      </c>
      <c r="G366" s="416">
        <v>48</v>
      </c>
      <c r="H366" s="416" t="s">
        <v>0</v>
      </c>
      <c r="I366" s="416" t="s">
        <v>6233</v>
      </c>
      <c r="J366" s="416" t="s">
        <v>6257</v>
      </c>
      <c r="K366" s="416" t="s">
        <v>6258</v>
      </c>
      <c r="L366" s="416" t="s">
        <v>6209</v>
      </c>
      <c r="M366" s="416">
        <v>5</v>
      </c>
      <c r="N366" s="417">
        <v>0</v>
      </c>
    </row>
    <row r="367" spans="1:14" ht="11.1" customHeight="1">
      <c r="A367" s="400" t="s">
        <v>7138</v>
      </c>
      <c r="B367" s="401" t="s">
        <v>6230</v>
      </c>
      <c r="C367" s="116">
        <v>94074</v>
      </c>
      <c r="D367" s="93">
        <v>33.258266486129131</v>
      </c>
      <c r="E367" s="93">
        <v>58.082560537396738</v>
      </c>
      <c r="F367" s="212" t="s">
        <v>12228</v>
      </c>
      <c r="G367" s="212">
        <v>39</v>
      </c>
      <c r="H367" s="212" t="s">
        <v>0</v>
      </c>
      <c r="I367" s="212" t="s">
        <v>6233</v>
      </c>
      <c r="J367" s="212" t="s">
        <v>6253</v>
      </c>
      <c r="K367" s="212" t="s">
        <v>12020</v>
      </c>
      <c r="L367" s="212" t="s">
        <v>6036</v>
      </c>
      <c r="M367" s="212">
        <v>0</v>
      </c>
      <c r="N367" s="402" t="s">
        <v>6170</v>
      </c>
    </row>
    <row r="368" spans="1:14" ht="11.1" customHeight="1">
      <c r="A368" s="817" t="s">
        <v>7135</v>
      </c>
      <c r="B368" s="404" t="s">
        <v>6231</v>
      </c>
      <c r="C368" s="405">
        <v>26819</v>
      </c>
      <c r="D368" s="406">
        <v>9.4814023948327613</v>
      </c>
      <c r="E368" s="407" t="s">
        <v>6262</v>
      </c>
      <c r="F368" s="213" t="s">
        <v>7139</v>
      </c>
      <c r="G368" s="213">
        <v>54</v>
      </c>
      <c r="H368" s="213" t="s">
        <v>0</v>
      </c>
      <c r="I368" s="213">
        <v>0</v>
      </c>
      <c r="J368" s="213" t="s">
        <v>6264</v>
      </c>
      <c r="K368" s="213">
        <v>0</v>
      </c>
      <c r="L368" s="213" t="s">
        <v>6036</v>
      </c>
      <c r="M368" s="213">
        <v>0</v>
      </c>
      <c r="N368" s="408">
        <v>0</v>
      </c>
    </row>
    <row r="369" spans="1:14" ht="11.1" customHeight="1">
      <c r="A369" s="940" t="s">
        <v>7144</v>
      </c>
      <c r="B369" s="412" t="s">
        <v>10050</v>
      </c>
      <c r="C369" s="413">
        <v>153309</v>
      </c>
      <c r="D369" s="414">
        <v>53.85990921993789</v>
      </c>
      <c r="E369" s="415" t="s">
        <v>6251</v>
      </c>
      <c r="F369" s="416" t="s">
        <v>7145</v>
      </c>
      <c r="G369" s="416">
        <v>43</v>
      </c>
      <c r="H369" s="416" t="s">
        <v>0</v>
      </c>
      <c r="I369" s="416" t="s">
        <v>6233</v>
      </c>
      <c r="J369" s="416" t="s">
        <v>6257</v>
      </c>
      <c r="K369" s="416" t="s">
        <v>6258</v>
      </c>
      <c r="L369" s="416" t="s">
        <v>6209</v>
      </c>
      <c r="M369" s="416">
        <v>1</v>
      </c>
      <c r="N369" s="417" t="s">
        <v>6260</v>
      </c>
    </row>
    <row r="370" spans="1:14" ht="11.1" customHeight="1">
      <c r="A370" s="400" t="s">
        <v>7142</v>
      </c>
      <c r="B370" s="401" t="s">
        <v>6230</v>
      </c>
      <c r="C370" s="116">
        <v>87890</v>
      </c>
      <c r="D370" s="93">
        <v>30.877165863324013</v>
      </c>
      <c r="E370" s="93">
        <v>57.328663026958623</v>
      </c>
      <c r="F370" s="212" t="s">
        <v>9168</v>
      </c>
      <c r="G370" s="212">
        <v>41</v>
      </c>
      <c r="H370" s="212" t="s">
        <v>0</v>
      </c>
      <c r="I370" s="212" t="s">
        <v>6233</v>
      </c>
      <c r="J370" s="212" t="s">
        <v>6253</v>
      </c>
      <c r="K370" s="212" t="s">
        <v>12020</v>
      </c>
      <c r="L370" s="212" t="s">
        <v>6036</v>
      </c>
      <c r="M370" s="212">
        <v>0</v>
      </c>
      <c r="N370" s="402">
        <v>0</v>
      </c>
    </row>
    <row r="371" spans="1:14" ht="11.1" customHeight="1">
      <c r="A371" s="400" t="s">
        <v>7146</v>
      </c>
      <c r="B371" s="401"/>
      <c r="C371" s="116">
        <v>28493</v>
      </c>
      <c r="D371" s="93">
        <v>10.010047638453647</v>
      </c>
      <c r="E371" s="403" t="s">
        <v>6262</v>
      </c>
      <c r="F371" s="212" t="s">
        <v>12229</v>
      </c>
      <c r="G371" s="212">
        <v>49</v>
      </c>
      <c r="H371" s="212" t="s">
        <v>6049</v>
      </c>
      <c r="I371" s="212">
        <v>0</v>
      </c>
      <c r="J371" s="212" t="s">
        <v>6264</v>
      </c>
      <c r="K371" s="212">
        <v>0</v>
      </c>
      <c r="L371" s="212" t="s">
        <v>6036</v>
      </c>
      <c r="M371" s="212">
        <v>0</v>
      </c>
      <c r="N371" s="402">
        <v>0</v>
      </c>
    </row>
    <row r="372" spans="1:14" ht="11.1" customHeight="1">
      <c r="A372" s="817" t="s">
        <v>7148</v>
      </c>
      <c r="B372" s="404" t="s">
        <v>6231</v>
      </c>
      <c r="C372" s="405">
        <v>14952</v>
      </c>
      <c r="D372" s="406">
        <v>5.2528772782844539</v>
      </c>
      <c r="E372" s="406">
        <v>9.7528520830479621</v>
      </c>
      <c r="F372" s="213" t="s">
        <v>12230</v>
      </c>
      <c r="G372" s="213">
        <v>48</v>
      </c>
      <c r="H372" s="213" t="s">
        <v>0</v>
      </c>
      <c r="I372" s="213" t="s">
        <v>6233</v>
      </c>
      <c r="J372" s="213" t="s">
        <v>6278</v>
      </c>
      <c r="K372" s="213">
        <v>0</v>
      </c>
      <c r="L372" s="213" t="s">
        <v>6036</v>
      </c>
      <c r="M372" s="213">
        <v>0</v>
      </c>
      <c r="N372" s="408">
        <v>0</v>
      </c>
    </row>
    <row r="373" spans="1:14" ht="11.1" customHeight="1">
      <c r="A373" s="940" t="s">
        <v>7152</v>
      </c>
      <c r="B373" s="412" t="s">
        <v>10050</v>
      </c>
      <c r="C373" s="413">
        <v>109764</v>
      </c>
      <c r="D373" s="414">
        <v>50.047875687358079</v>
      </c>
      <c r="E373" s="415" t="s">
        <v>6251</v>
      </c>
      <c r="F373" s="416" t="s">
        <v>7153</v>
      </c>
      <c r="G373" s="416">
        <v>53</v>
      </c>
      <c r="H373" s="416" t="s">
        <v>6049</v>
      </c>
      <c r="I373" s="416" t="s">
        <v>6233</v>
      </c>
      <c r="J373" s="416" t="s">
        <v>6257</v>
      </c>
      <c r="K373" s="416" t="s">
        <v>11998</v>
      </c>
      <c r="L373" s="416" t="s">
        <v>6209</v>
      </c>
      <c r="M373" s="416">
        <v>4</v>
      </c>
      <c r="N373" s="417" t="s">
        <v>6260</v>
      </c>
    </row>
    <row r="374" spans="1:14" ht="11.1" customHeight="1">
      <c r="A374" s="400" t="s">
        <v>7150</v>
      </c>
      <c r="B374" s="401" t="s">
        <v>6230</v>
      </c>
      <c r="C374" s="116">
        <v>50536</v>
      </c>
      <c r="D374" s="93">
        <v>23.042340345981636</v>
      </c>
      <c r="E374" s="93">
        <v>46.04059618818556</v>
      </c>
      <c r="F374" s="212" t="s">
        <v>12231</v>
      </c>
      <c r="G374" s="212">
        <v>61</v>
      </c>
      <c r="H374" s="212" t="s">
        <v>0</v>
      </c>
      <c r="I374" s="212" t="s">
        <v>6233</v>
      </c>
      <c r="J374" s="212" t="s">
        <v>6253</v>
      </c>
      <c r="K374" s="212" t="s">
        <v>11994</v>
      </c>
      <c r="L374" s="212" t="s">
        <v>6209</v>
      </c>
      <c r="M374" s="212">
        <v>3</v>
      </c>
      <c r="N374" s="402" t="s">
        <v>6170</v>
      </c>
    </row>
    <row r="375" spans="1:14" ht="11.1" customHeight="1">
      <c r="A375" s="400" t="s">
        <v>12232</v>
      </c>
      <c r="B375" s="401" t="s">
        <v>6230</v>
      </c>
      <c r="C375" s="116">
        <v>41089</v>
      </c>
      <c r="D375" s="93">
        <v>18.734896360535842</v>
      </c>
      <c r="E375" s="93">
        <v>37.433949200102035</v>
      </c>
      <c r="F375" s="212" t="s">
        <v>9165</v>
      </c>
      <c r="G375" s="212">
        <v>61</v>
      </c>
      <c r="H375" s="212" t="s">
        <v>0</v>
      </c>
      <c r="I375" s="212" t="s">
        <v>6233</v>
      </c>
      <c r="J375" s="212" t="s">
        <v>12175</v>
      </c>
      <c r="K375" s="212" t="s">
        <v>12018</v>
      </c>
      <c r="L375" s="212" t="s">
        <v>6209</v>
      </c>
      <c r="M375" s="212">
        <v>4</v>
      </c>
      <c r="N375" s="402">
        <v>0</v>
      </c>
    </row>
    <row r="376" spans="1:14" ht="11.1" customHeight="1">
      <c r="A376" s="817" t="s">
        <v>7154</v>
      </c>
      <c r="B376" s="404" t="s">
        <v>6231</v>
      </c>
      <c r="C376" s="405">
        <v>17929</v>
      </c>
      <c r="D376" s="406">
        <v>8.1748876061244395</v>
      </c>
      <c r="E376" s="407" t="s">
        <v>6262</v>
      </c>
      <c r="F376" s="213" t="s">
        <v>7155</v>
      </c>
      <c r="G376" s="213">
        <v>56</v>
      </c>
      <c r="H376" s="213" t="s">
        <v>6049</v>
      </c>
      <c r="I376" s="213">
        <v>0</v>
      </c>
      <c r="J376" s="213" t="s">
        <v>6264</v>
      </c>
      <c r="K376" s="213">
        <v>0</v>
      </c>
      <c r="L376" s="213" t="s">
        <v>6036</v>
      </c>
      <c r="M376" s="213">
        <v>0</v>
      </c>
      <c r="N376" s="408">
        <v>0</v>
      </c>
    </row>
    <row r="377" spans="1:14" ht="11.1" customHeight="1">
      <c r="A377" s="940" t="s">
        <v>7156</v>
      </c>
      <c r="B377" s="412" t="s">
        <v>10050</v>
      </c>
      <c r="C377" s="413">
        <v>148099</v>
      </c>
      <c r="D377" s="414">
        <v>55.021845417663577</v>
      </c>
      <c r="E377" s="415" t="s">
        <v>6251</v>
      </c>
      <c r="F377" s="416" t="s">
        <v>7157</v>
      </c>
      <c r="G377" s="416">
        <v>51</v>
      </c>
      <c r="H377" s="416" t="s">
        <v>0</v>
      </c>
      <c r="I377" s="416" t="s">
        <v>6233</v>
      </c>
      <c r="J377" s="416" t="s">
        <v>6257</v>
      </c>
      <c r="K377" s="416" t="s">
        <v>11998</v>
      </c>
      <c r="L377" s="416" t="s">
        <v>6209</v>
      </c>
      <c r="M377" s="416">
        <v>3</v>
      </c>
      <c r="N377" s="417" t="s">
        <v>6260</v>
      </c>
    </row>
    <row r="378" spans="1:14" ht="11.1" customHeight="1">
      <c r="A378" s="400" t="s">
        <v>7162</v>
      </c>
      <c r="B378" s="401" t="s">
        <v>6230</v>
      </c>
      <c r="C378" s="116">
        <v>85832</v>
      </c>
      <c r="D378" s="93">
        <v>31.8883654574906</v>
      </c>
      <c r="E378" s="93">
        <v>57.955826845556011</v>
      </c>
      <c r="F378" s="212" t="s">
        <v>9172</v>
      </c>
      <c r="G378" s="212">
        <v>61</v>
      </c>
      <c r="H378" s="212" t="s">
        <v>0</v>
      </c>
      <c r="I378" s="212" t="s">
        <v>6233</v>
      </c>
      <c r="J378" s="212" t="s">
        <v>6253</v>
      </c>
      <c r="K378" s="212" t="s">
        <v>12020</v>
      </c>
      <c r="L378" s="212" t="s">
        <v>6283</v>
      </c>
      <c r="M378" s="212">
        <v>1</v>
      </c>
      <c r="N378" s="402">
        <v>0</v>
      </c>
    </row>
    <row r="379" spans="1:14" ht="11.1" customHeight="1">
      <c r="A379" s="817" t="s">
        <v>7158</v>
      </c>
      <c r="B379" s="404"/>
      <c r="C379" s="405">
        <v>35233</v>
      </c>
      <c r="D379" s="406">
        <v>13.089789124845819</v>
      </c>
      <c r="E379" s="407" t="s">
        <v>6262</v>
      </c>
      <c r="F379" s="213" t="s">
        <v>7163</v>
      </c>
      <c r="G379" s="213">
        <v>53</v>
      </c>
      <c r="H379" s="213" t="s">
        <v>0</v>
      </c>
      <c r="I379" s="213">
        <v>0</v>
      </c>
      <c r="J379" s="213" t="s">
        <v>6264</v>
      </c>
      <c r="K379" s="213">
        <v>0</v>
      </c>
      <c r="L379" s="213" t="s">
        <v>6036</v>
      </c>
      <c r="M379" s="213">
        <v>0</v>
      </c>
      <c r="N379" s="408">
        <v>0</v>
      </c>
    </row>
    <row r="380" spans="1:14" ht="11.1" customHeight="1">
      <c r="A380" s="940" t="s">
        <v>7171</v>
      </c>
      <c r="B380" s="450" t="s">
        <v>10050</v>
      </c>
      <c r="C380" s="451">
        <v>109636</v>
      </c>
      <c r="D380" s="452">
        <v>43.17635846663989</v>
      </c>
      <c r="E380" s="453" t="s">
        <v>6262</v>
      </c>
      <c r="F380" s="198" t="s">
        <v>7172</v>
      </c>
      <c r="G380" s="198">
        <v>59</v>
      </c>
      <c r="H380" s="198" t="s">
        <v>0</v>
      </c>
      <c r="I380" s="198">
        <v>0</v>
      </c>
      <c r="J380" s="198" t="s">
        <v>6929</v>
      </c>
      <c r="K380" s="198">
        <v>0</v>
      </c>
      <c r="L380" s="198" t="s">
        <v>6209</v>
      </c>
      <c r="M380" s="198">
        <v>4</v>
      </c>
      <c r="N380" s="454" t="s">
        <v>7394</v>
      </c>
    </row>
    <row r="381" spans="1:14" ht="11.1" customHeight="1">
      <c r="A381" s="400" t="s">
        <v>7169</v>
      </c>
      <c r="B381" s="401" t="s">
        <v>6230</v>
      </c>
      <c r="C381" s="116">
        <v>73943</v>
      </c>
      <c r="D381" s="93">
        <v>29.119901073541111</v>
      </c>
      <c r="E381" s="93">
        <v>67.444087708416944</v>
      </c>
      <c r="F381" s="212" t="s">
        <v>12233</v>
      </c>
      <c r="G381" s="212">
        <v>55</v>
      </c>
      <c r="H381" s="212" t="s">
        <v>0</v>
      </c>
      <c r="I381" s="212" t="s">
        <v>6233</v>
      </c>
      <c r="J381" s="212" t="s">
        <v>6253</v>
      </c>
      <c r="K381" s="212" t="s">
        <v>12007</v>
      </c>
      <c r="L381" s="212" t="s">
        <v>6209</v>
      </c>
      <c r="M381" s="212">
        <v>2</v>
      </c>
      <c r="N381" s="402">
        <v>0</v>
      </c>
    </row>
    <row r="382" spans="1:14" ht="11.1" customHeight="1">
      <c r="A382" s="400" t="s">
        <v>7175</v>
      </c>
      <c r="B382" s="401" t="s">
        <v>6230</v>
      </c>
      <c r="C382" s="116">
        <v>44279</v>
      </c>
      <c r="D382" s="93">
        <v>17.43775745689689</v>
      </c>
      <c r="E382" s="403" t="s">
        <v>6262</v>
      </c>
      <c r="F382" s="212" t="s">
        <v>8653</v>
      </c>
      <c r="G382" s="212">
        <v>68</v>
      </c>
      <c r="H382" s="212" t="s">
        <v>0</v>
      </c>
      <c r="I382" s="212">
        <v>0</v>
      </c>
      <c r="J382" s="212" t="s">
        <v>12017</v>
      </c>
      <c r="K382" s="212" t="s">
        <v>12035</v>
      </c>
      <c r="L382" s="212" t="s">
        <v>6209</v>
      </c>
      <c r="M382" s="212">
        <v>3</v>
      </c>
      <c r="N382" s="402">
        <v>0</v>
      </c>
    </row>
    <row r="383" spans="1:14" ht="11.1" customHeight="1">
      <c r="A383" s="817" t="s">
        <v>7173</v>
      </c>
      <c r="B383" s="404"/>
      <c r="C383" s="405">
        <v>26068</v>
      </c>
      <c r="D383" s="406">
        <v>10.265983002922111</v>
      </c>
      <c r="E383" s="407" t="s">
        <v>6262</v>
      </c>
      <c r="F383" s="213" t="s">
        <v>12234</v>
      </c>
      <c r="G383" s="213">
        <v>42</v>
      </c>
      <c r="H383" s="213" t="s">
        <v>0</v>
      </c>
      <c r="I383" s="213">
        <v>0</v>
      </c>
      <c r="J383" s="213" t="s">
        <v>6264</v>
      </c>
      <c r="K383" s="213">
        <v>0</v>
      </c>
      <c r="L383" s="213" t="s">
        <v>6036</v>
      </c>
      <c r="M383" s="213">
        <v>0</v>
      </c>
      <c r="N383" s="408">
        <v>0</v>
      </c>
    </row>
    <row r="384" spans="1:14" ht="11.1" customHeight="1">
      <c r="A384" s="940" t="s">
        <v>7179</v>
      </c>
      <c r="B384" s="412" t="s">
        <v>10050</v>
      </c>
      <c r="C384" s="413">
        <v>129586</v>
      </c>
      <c r="D384" s="414">
        <v>53.821489388212818</v>
      </c>
      <c r="E384" s="415" t="s">
        <v>6251</v>
      </c>
      <c r="F384" s="416" t="s">
        <v>7180</v>
      </c>
      <c r="G384" s="416">
        <v>56</v>
      </c>
      <c r="H384" s="416" t="s">
        <v>0</v>
      </c>
      <c r="I384" s="416" t="s">
        <v>6233</v>
      </c>
      <c r="J384" s="416" t="s">
        <v>6257</v>
      </c>
      <c r="K384" s="416" t="s">
        <v>11995</v>
      </c>
      <c r="L384" s="416" t="s">
        <v>6209</v>
      </c>
      <c r="M384" s="416">
        <v>4</v>
      </c>
      <c r="N384" s="417" t="s">
        <v>6260</v>
      </c>
    </row>
    <row r="385" spans="1:14" ht="11.1" customHeight="1">
      <c r="A385" s="400" t="s">
        <v>7177</v>
      </c>
      <c r="B385" s="401" t="s">
        <v>6230</v>
      </c>
      <c r="C385" s="116">
        <v>80378</v>
      </c>
      <c r="D385" s="93">
        <v>33.38372720853927</v>
      </c>
      <c r="E385" s="93">
        <v>62.02676215023228</v>
      </c>
      <c r="F385" s="212" t="s">
        <v>12235</v>
      </c>
      <c r="G385" s="212">
        <v>58</v>
      </c>
      <c r="H385" s="212" t="s">
        <v>0</v>
      </c>
      <c r="I385" s="212" t="s">
        <v>6233</v>
      </c>
      <c r="J385" s="212" t="s">
        <v>6253</v>
      </c>
      <c r="K385" s="212" t="s">
        <v>12178</v>
      </c>
      <c r="L385" s="212" t="s">
        <v>6209</v>
      </c>
      <c r="M385" s="212">
        <v>3</v>
      </c>
      <c r="N385" s="402" t="s">
        <v>6170</v>
      </c>
    </row>
    <row r="386" spans="1:14" ht="11.1" customHeight="1">
      <c r="A386" s="817" t="s">
        <v>7181</v>
      </c>
      <c r="B386" s="404"/>
      <c r="C386" s="405">
        <v>30806</v>
      </c>
      <c r="D386" s="406">
        <v>12.794783403247912</v>
      </c>
      <c r="E386" s="406">
        <v>23.772629759387588</v>
      </c>
      <c r="F386" s="213" t="s">
        <v>12236</v>
      </c>
      <c r="G386" s="213">
        <v>40</v>
      </c>
      <c r="H386" s="213" t="s">
        <v>6049</v>
      </c>
      <c r="I386" s="213" t="s">
        <v>6233</v>
      </c>
      <c r="J386" s="213" t="s">
        <v>6264</v>
      </c>
      <c r="K386" s="213">
        <v>0</v>
      </c>
      <c r="L386" s="213" t="s">
        <v>6036</v>
      </c>
      <c r="M386" s="213">
        <v>0</v>
      </c>
      <c r="N386" s="408">
        <v>0</v>
      </c>
    </row>
    <row r="387" spans="1:14" ht="11.1" customHeight="1">
      <c r="A387" s="940" t="s">
        <v>7187</v>
      </c>
      <c r="B387" s="412" t="s">
        <v>10050</v>
      </c>
      <c r="C387" s="413">
        <v>118771</v>
      </c>
      <c r="D387" s="414">
        <v>55.374193428070569</v>
      </c>
      <c r="E387" s="415" t="s">
        <v>6251</v>
      </c>
      <c r="F387" s="416" t="s">
        <v>7188</v>
      </c>
      <c r="G387" s="416">
        <v>49</v>
      </c>
      <c r="H387" s="416" t="s">
        <v>6049</v>
      </c>
      <c r="I387" s="416" t="s">
        <v>6233</v>
      </c>
      <c r="J387" s="416" t="s">
        <v>6257</v>
      </c>
      <c r="K387" s="416" t="s">
        <v>11998</v>
      </c>
      <c r="L387" s="416" t="s">
        <v>6209</v>
      </c>
      <c r="M387" s="416">
        <v>2</v>
      </c>
      <c r="N387" s="417" t="s">
        <v>6260</v>
      </c>
    </row>
    <row r="388" spans="1:14" ht="11.1" customHeight="1">
      <c r="A388" s="400" t="s">
        <v>7185</v>
      </c>
      <c r="B388" s="401" t="s">
        <v>6230</v>
      </c>
      <c r="C388" s="116">
        <v>69108</v>
      </c>
      <c r="D388" s="93">
        <v>32.219984334787959</v>
      </c>
      <c r="E388" s="93">
        <v>58.185920805583855</v>
      </c>
      <c r="F388" s="212" t="s">
        <v>12237</v>
      </c>
      <c r="G388" s="212">
        <v>53</v>
      </c>
      <c r="H388" s="212" t="s">
        <v>0</v>
      </c>
      <c r="I388" s="212" t="s">
        <v>6233</v>
      </c>
      <c r="J388" s="212" t="s">
        <v>6253</v>
      </c>
      <c r="K388" s="212" t="s">
        <v>12000</v>
      </c>
      <c r="L388" s="212" t="s">
        <v>6209</v>
      </c>
      <c r="M388" s="212">
        <v>2</v>
      </c>
      <c r="N388" s="402">
        <v>0</v>
      </c>
    </row>
    <row r="389" spans="1:14" ht="11.1" customHeight="1">
      <c r="A389" s="400" t="s">
        <v>7189</v>
      </c>
      <c r="B389" s="401"/>
      <c r="C389" s="116">
        <v>22131</v>
      </c>
      <c r="D389" s="93">
        <v>10.318059751594495</v>
      </c>
      <c r="E389" s="403" t="s">
        <v>6262</v>
      </c>
      <c r="F389" s="212" t="s">
        <v>7190</v>
      </c>
      <c r="G389" s="212">
        <v>61</v>
      </c>
      <c r="H389" s="212" t="s">
        <v>0</v>
      </c>
      <c r="I389" s="212">
        <v>0</v>
      </c>
      <c r="J389" s="212" t="s">
        <v>6264</v>
      </c>
      <c r="K389" s="212">
        <v>0</v>
      </c>
      <c r="L389" s="212" t="s">
        <v>6036</v>
      </c>
      <c r="M389" s="212">
        <v>0</v>
      </c>
      <c r="N389" s="402">
        <v>0</v>
      </c>
    </row>
    <row r="390" spans="1:14" ht="11.1" customHeight="1">
      <c r="A390" s="817" t="s">
        <v>7191</v>
      </c>
      <c r="B390" s="404" t="s">
        <v>6231</v>
      </c>
      <c r="C390" s="405">
        <v>4478</v>
      </c>
      <c r="D390" s="406">
        <v>2.087762485546977</v>
      </c>
      <c r="E390" s="407" t="s">
        <v>6262</v>
      </c>
      <c r="F390" s="213" t="s">
        <v>12238</v>
      </c>
      <c r="G390" s="213">
        <v>29</v>
      </c>
      <c r="H390" s="213" t="s">
        <v>0</v>
      </c>
      <c r="I390" s="213">
        <v>0</v>
      </c>
      <c r="J390" s="213" t="s">
        <v>12017</v>
      </c>
      <c r="K390" s="213">
        <v>0</v>
      </c>
      <c r="L390" s="213" t="s">
        <v>6036</v>
      </c>
      <c r="M390" s="213">
        <v>0</v>
      </c>
      <c r="N390" s="408">
        <v>0</v>
      </c>
    </row>
    <row r="391" spans="1:14" ht="11.1" customHeight="1">
      <c r="A391" s="940" t="s">
        <v>7195</v>
      </c>
      <c r="B391" s="412" t="s">
        <v>10050</v>
      </c>
      <c r="C391" s="413">
        <v>123021</v>
      </c>
      <c r="D391" s="414">
        <v>54.361668750911399</v>
      </c>
      <c r="E391" s="415" t="s">
        <v>6251</v>
      </c>
      <c r="F391" s="416" t="s">
        <v>12239</v>
      </c>
      <c r="G391" s="416">
        <v>66</v>
      </c>
      <c r="H391" s="416" t="s">
        <v>0</v>
      </c>
      <c r="I391" s="416" t="s">
        <v>6233</v>
      </c>
      <c r="J391" s="416" t="s">
        <v>6257</v>
      </c>
      <c r="K391" s="416" t="s">
        <v>6350</v>
      </c>
      <c r="L391" s="416" t="s">
        <v>6209</v>
      </c>
      <c r="M391" s="416">
        <v>2</v>
      </c>
      <c r="N391" s="417" t="s">
        <v>6260</v>
      </c>
    </row>
    <row r="392" spans="1:14" ht="11.1" customHeight="1">
      <c r="A392" s="400" t="s">
        <v>7193</v>
      </c>
      <c r="B392" s="401" t="s">
        <v>6230</v>
      </c>
      <c r="C392" s="116">
        <v>79621</v>
      </c>
      <c r="D392" s="93">
        <v>35.183671305031794</v>
      </c>
      <c r="E392" s="93">
        <v>64.721470318075774</v>
      </c>
      <c r="F392" s="212" t="s">
        <v>12240</v>
      </c>
      <c r="G392" s="212">
        <v>54</v>
      </c>
      <c r="H392" s="212" t="s">
        <v>0</v>
      </c>
      <c r="I392" s="212" t="s">
        <v>6233</v>
      </c>
      <c r="J392" s="212" t="s">
        <v>6253</v>
      </c>
      <c r="K392" s="212" t="s">
        <v>12020</v>
      </c>
      <c r="L392" s="212" t="s">
        <v>6283</v>
      </c>
      <c r="M392" s="212">
        <v>4</v>
      </c>
      <c r="N392" s="402" t="s">
        <v>6170</v>
      </c>
    </row>
    <row r="393" spans="1:14" ht="11.1" customHeight="1">
      <c r="A393" s="817" t="s">
        <v>7199</v>
      </c>
      <c r="B393" s="404"/>
      <c r="C393" s="405">
        <v>23659</v>
      </c>
      <c r="D393" s="406">
        <v>10.454659944056809</v>
      </c>
      <c r="E393" s="407" t="s">
        <v>6262</v>
      </c>
      <c r="F393" s="213" t="s">
        <v>7200</v>
      </c>
      <c r="G393" s="213">
        <v>57</v>
      </c>
      <c r="H393" s="213" t="s">
        <v>0</v>
      </c>
      <c r="I393" s="213">
        <v>0</v>
      </c>
      <c r="J393" s="213" t="s">
        <v>6264</v>
      </c>
      <c r="K393" s="213">
        <v>0</v>
      </c>
      <c r="L393" s="213" t="s">
        <v>6036</v>
      </c>
      <c r="M393" s="213">
        <v>0</v>
      </c>
      <c r="N393" s="408">
        <v>0</v>
      </c>
    </row>
    <row r="394" spans="1:14" ht="11.1" customHeight="1">
      <c r="A394" s="940" t="s">
        <v>7205</v>
      </c>
      <c r="B394" s="412" t="s">
        <v>10050</v>
      </c>
      <c r="C394" s="413">
        <v>145439</v>
      </c>
      <c r="D394" s="414">
        <v>56.96096439523599</v>
      </c>
      <c r="E394" s="415" t="s">
        <v>6251</v>
      </c>
      <c r="F394" s="416" t="s">
        <v>7206</v>
      </c>
      <c r="G394" s="416">
        <v>71</v>
      </c>
      <c r="H394" s="416" t="s">
        <v>0</v>
      </c>
      <c r="I394" s="416" t="s">
        <v>6233</v>
      </c>
      <c r="J394" s="416" t="s">
        <v>6257</v>
      </c>
      <c r="K394" s="416" t="s">
        <v>12012</v>
      </c>
      <c r="L394" s="416" t="s">
        <v>6209</v>
      </c>
      <c r="M394" s="416">
        <v>8</v>
      </c>
      <c r="N394" s="417" t="s">
        <v>6260</v>
      </c>
    </row>
    <row r="395" spans="1:14" ht="11.1" customHeight="1">
      <c r="A395" s="400" t="s">
        <v>7203</v>
      </c>
      <c r="B395" s="401" t="s">
        <v>6230</v>
      </c>
      <c r="C395" s="116">
        <v>84564</v>
      </c>
      <c r="D395" s="93">
        <v>33.119362709580898</v>
      </c>
      <c r="E395" s="93">
        <v>58.14396413616705</v>
      </c>
      <c r="F395" s="212" t="s">
        <v>9170</v>
      </c>
      <c r="G395" s="212">
        <v>56</v>
      </c>
      <c r="H395" s="212" t="s">
        <v>0</v>
      </c>
      <c r="I395" s="212" t="s">
        <v>6233</v>
      </c>
      <c r="J395" s="212" t="s">
        <v>6253</v>
      </c>
      <c r="K395" s="212" t="s">
        <v>11994</v>
      </c>
      <c r="L395" s="212" t="s">
        <v>6209</v>
      </c>
      <c r="M395" s="212">
        <v>2</v>
      </c>
      <c r="N395" s="402" t="s">
        <v>6170</v>
      </c>
    </row>
    <row r="396" spans="1:14" ht="11.1" customHeight="1">
      <c r="A396" s="817" t="s">
        <v>7207</v>
      </c>
      <c r="B396" s="404" t="s">
        <v>6231</v>
      </c>
      <c r="C396" s="405">
        <v>25328</v>
      </c>
      <c r="D396" s="406">
        <v>9.9196728951831155</v>
      </c>
      <c r="E396" s="407" t="s">
        <v>6262</v>
      </c>
      <c r="F396" s="213" t="s">
        <v>12241</v>
      </c>
      <c r="G396" s="213">
        <v>49</v>
      </c>
      <c r="H396" s="213" t="s">
        <v>0</v>
      </c>
      <c r="I396" s="213">
        <v>0</v>
      </c>
      <c r="J396" s="213" t="s">
        <v>6264</v>
      </c>
      <c r="K396" s="213">
        <v>0</v>
      </c>
      <c r="L396" s="213" t="s">
        <v>6036</v>
      </c>
      <c r="M396" s="213">
        <v>0</v>
      </c>
      <c r="N396" s="408">
        <v>0</v>
      </c>
    </row>
    <row r="397" spans="1:14" ht="11.1" customHeight="1">
      <c r="A397" s="940" t="s">
        <v>7211</v>
      </c>
      <c r="B397" s="412" t="s">
        <v>10050</v>
      </c>
      <c r="C397" s="413">
        <v>161324</v>
      </c>
      <c r="D397" s="414">
        <v>62.962832866939088</v>
      </c>
      <c r="E397" s="415" t="s">
        <v>6251</v>
      </c>
      <c r="F397" s="416" t="s">
        <v>7212</v>
      </c>
      <c r="G397" s="416">
        <v>60</v>
      </c>
      <c r="H397" s="416" t="s">
        <v>0</v>
      </c>
      <c r="I397" s="416" t="s">
        <v>6233</v>
      </c>
      <c r="J397" s="416" t="s">
        <v>6257</v>
      </c>
      <c r="K397" s="416" t="s">
        <v>6350</v>
      </c>
      <c r="L397" s="416" t="s">
        <v>6209</v>
      </c>
      <c r="M397" s="416">
        <v>3</v>
      </c>
      <c r="N397" s="417">
        <v>0</v>
      </c>
    </row>
    <row r="398" spans="1:14" ht="11.1" customHeight="1">
      <c r="A398" s="400" t="s">
        <v>7213</v>
      </c>
      <c r="B398" s="401" t="s">
        <v>6230</v>
      </c>
      <c r="C398" s="116">
        <v>67300</v>
      </c>
      <c r="D398" s="93">
        <v>26.266387220407381</v>
      </c>
      <c r="E398" s="93">
        <v>41.717289429967025</v>
      </c>
      <c r="F398" s="212" t="s">
        <v>12242</v>
      </c>
      <c r="G398" s="212">
        <v>60</v>
      </c>
      <c r="H398" s="212" t="s">
        <v>0</v>
      </c>
      <c r="I398" s="212" t="s">
        <v>6233</v>
      </c>
      <c r="J398" s="212" t="s">
        <v>6253</v>
      </c>
      <c r="K398" s="212" t="s">
        <v>12000</v>
      </c>
      <c r="L398" s="212" t="s">
        <v>6283</v>
      </c>
      <c r="M398" s="212">
        <v>1</v>
      </c>
      <c r="N398" s="402" t="s">
        <v>6170</v>
      </c>
    </row>
    <row r="399" spans="1:14" ht="11.1" customHeight="1">
      <c r="A399" s="817" t="s">
        <v>7215</v>
      </c>
      <c r="B399" s="404"/>
      <c r="C399" s="405">
        <v>27597</v>
      </c>
      <c r="D399" s="406">
        <v>10.770779912653529</v>
      </c>
      <c r="E399" s="407" t="s">
        <v>6262</v>
      </c>
      <c r="F399" s="213" t="s">
        <v>12243</v>
      </c>
      <c r="G399" s="213">
        <v>61</v>
      </c>
      <c r="H399" s="213" t="s">
        <v>6049</v>
      </c>
      <c r="I399" s="213">
        <v>0</v>
      </c>
      <c r="J399" s="213" t="s">
        <v>6264</v>
      </c>
      <c r="K399" s="213">
        <v>0</v>
      </c>
      <c r="L399" s="213" t="s">
        <v>6036</v>
      </c>
      <c r="M399" s="213">
        <v>0</v>
      </c>
      <c r="N399" s="408">
        <v>0</v>
      </c>
    </row>
    <row r="400" spans="1:14" ht="11.1" customHeight="1">
      <c r="A400" s="940" t="s">
        <v>7219</v>
      </c>
      <c r="B400" s="409" t="s">
        <v>10050</v>
      </c>
      <c r="C400" s="53">
        <v>126716</v>
      </c>
      <c r="D400" s="55">
        <v>47.434836806582389</v>
      </c>
      <c r="E400" s="410" t="s">
        <v>6251</v>
      </c>
      <c r="F400" s="56" t="s">
        <v>12244</v>
      </c>
      <c r="G400" s="56">
        <v>58</v>
      </c>
      <c r="H400" s="56" t="s">
        <v>0</v>
      </c>
      <c r="I400" s="56" t="s">
        <v>6233</v>
      </c>
      <c r="J400" s="56" t="s">
        <v>6253</v>
      </c>
      <c r="K400" s="56" t="s">
        <v>12000</v>
      </c>
      <c r="L400" s="56" t="s">
        <v>6209</v>
      </c>
      <c r="M400" s="56">
        <v>8</v>
      </c>
      <c r="N400" s="411" t="s">
        <v>6170</v>
      </c>
    </row>
    <row r="401" spans="1:14" ht="11.1" customHeight="1">
      <c r="A401" s="400" t="s">
        <v>7221</v>
      </c>
      <c r="B401" s="401" t="s">
        <v>11986</v>
      </c>
      <c r="C401" s="116">
        <v>118879</v>
      </c>
      <c r="D401" s="93">
        <v>44.50113612116629</v>
      </c>
      <c r="E401" s="93">
        <v>93.815303513368477</v>
      </c>
      <c r="F401" s="212" t="s">
        <v>7222</v>
      </c>
      <c r="G401" s="212">
        <v>63</v>
      </c>
      <c r="H401" s="212" t="s">
        <v>0</v>
      </c>
      <c r="I401" s="212" t="s">
        <v>6233</v>
      </c>
      <c r="J401" s="212" t="s">
        <v>6257</v>
      </c>
      <c r="K401" s="212" t="s">
        <v>6258</v>
      </c>
      <c r="L401" s="212" t="s">
        <v>6036</v>
      </c>
      <c r="M401" s="212">
        <v>0</v>
      </c>
      <c r="N401" s="402" t="s">
        <v>6260</v>
      </c>
    </row>
    <row r="402" spans="1:14" ht="11.1" customHeight="1">
      <c r="A402" s="817" t="s">
        <v>7223</v>
      </c>
      <c r="B402" s="404" t="s">
        <v>6231</v>
      </c>
      <c r="C402" s="405">
        <v>21542</v>
      </c>
      <c r="D402" s="406">
        <v>8.0640270722513172</v>
      </c>
      <c r="E402" s="407" t="s">
        <v>6262</v>
      </c>
      <c r="F402" s="213" t="s">
        <v>12245</v>
      </c>
      <c r="G402" s="213">
        <v>33</v>
      </c>
      <c r="H402" s="213" t="s">
        <v>0</v>
      </c>
      <c r="I402" s="213">
        <v>0</v>
      </c>
      <c r="J402" s="213" t="s">
        <v>6264</v>
      </c>
      <c r="K402" s="213">
        <v>0</v>
      </c>
      <c r="L402" s="213" t="s">
        <v>6036</v>
      </c>
      <c r="M402" s="213">
        <v>0</v>
      </c>
      <c r="N402" s="408">
        <v>0</v>
      </c>
    </row>
    <row r="403" spans="1:14" ht="11.1" customHeight="1">
      <c r="A403" s="940" t="s">
        <v>7229</v>
      </c>
      <c r="B403" s="412" t="s">
        <v>10050</v>
      </c>
      <c r="C403" s="413">
        <v>138596</v>
      </c>
      <c r="D403" s="414">
        <v>46.262354508039401</v>
      </c>
      <c r="E403" s="415" t="s">
        <v>6251</v>
      </c>
      <c r="F403" s="416" t="s">
        <v>7230</v>
      </c>
      <c r="G403" s="416">
        <v>32</v>
      </c>
      <c r="H403" s="416" t="s">
        <v>0</v>
      </c>
      <c r="I403" s="416" t="s">
        <v>6233</v>
      </c>
      <c r="J403" s="416" t="s">
        <v>6257</v>
      </c>
      <c r="K403" s="416" t="s">
        <v>6258</v>
      </c>
      <c r="L403" s="416" t="s">
        <v>6036</v>
      </c>
      <c r="M403" s="416">
        <v>0</v>
      </c>
      <c r="N403" s="417" t="s">
        <v>6260</v>
      </c>
    </row>
    <row r="404" spans="1:14" ht="11.1" customHeight="1">
      <c r="A404" s="400" t="s">
        <v>7227</v>
      </c>
      <c r="B404" s="401" t="s">
        <v>11986</v>
      </c>
      <c r="C404" s="116">
        <v>133180</v>
      </c>
      <c r="D404" s="93">
        <v>44.454532406279313</v>
      </c>
      <c r="E404" s="93">
        <v>96.092239314265925</v>
      </c>
      <c r="F404" s="212" t="s">
        <v>7228</v>
      </c>
      <c r="G404" s="212">
        <v>48</v>
      </c>
      <c r="H404" s="212" t="s">
        <v>0</v>
      </c>
      <c r="I404" s="212" t="s">
        <v>6233</v>
      </c>
      <c r="J404" s="212" t="s">
        <v>6253</v>
      </c>
      <c r="K404" s="212" t="s">
        <v>12000</v>
      </c>
      <c r="L404" s="212" t="s">
        <v>6209</v>
      </c>
      <c r="M404" s="212">
        <v>3</v>
      </c>
      <c r="N404" s="402" t="s">
        <v>6170</v>
      </c>
    </row>
    <row r="405" spans="1:14" ht="11.1" customHeight="1">
      <c r="A405" s="817" t="s">
        <v>7231</v>
      </c>
      <c r="B405" s="404" t="s">
        <v>6231</v>
      </c>
      <c r="C405" s="405">
        <v>27811</v>
      </c>
      <c r="D405" s="406">
        <v>9.283113085681288</v>
      </c>
      <c r="E405" s="407" t="s">
        <v>6262</v>
      </c>
      <c r="F405" s="213" t="s">
        <v>7232</v>
      </c>
      <c r="G405" s="213">
        <v>54</v>
      </c>
      <c r="H405" s="213" t="s">
        <v>0</v>
      </c>
      <c r="I405" s="213">
        <v>0</v>
      </c>
      <c r="J405" s="213" t="s">
        <v>6264</v>
      </c>
      <c r="K405" s="213">
        <v>0</v>
      </c>
      <c r="L405" s="213" t="s">
        <v>6036</v>
      </c>
      <c r="M405" s="213">
        <v>0</v>
      </c>
      <c r="N405" s="408">
        <v>0</v>
      </c>
    </row>
    <row r="406" spans="1:14" ht="11.1" customHeight="1">
      <c r="A406" s="940" t="s">
        <v>7239</v>
      </c>
      <c r="B406" s="412" t="s">
        <v>10050</v>
      </c>
      <c r="C406" s="413">
        <v>112634</v>
      </c>
      <c r="D406" s="414">
        <v>44.545954304743148</v>
      </c>
      <c r="E406" s="415" t="s">
        <v>6251</v>
      </c>
      <c r="F406" s="416" t="s">
        <v>7240</v>
      </c>
      <c r="G406" s="416">
        <v>35</v>
      </c>
      <c r="H406" s="416" t="s">
        <v>0</v>
      </c>
      <c r="I406" s="416" t="s">
        <v>6233</v>
      </c>
      <c r="J406" s="416" t="s">
        <v>6257</v>
      </c>
      <c r="K406" s="416" t="s">
        <v>6258</v>
      </c>
      <c r="L406" s="416" t="s">
        <v>6036</v>
      </c>
      <c r="M406" s="416">
        <v>0</v>
      </c>
      <c r="N406" s="417" t="s">
        <v>6260</v>
      </c>
    </row>
    <row r="407" spans="1:14" ht="11.1" customHeight="1">
      <c r="A407" s="400" t="s">
        <v>7237</v>
      </c>
      <c r="B407" s="401" t="s">
        <v>11986</v>
      </c>
      <c r="C407" s="116">
        <v>107916</v>
      </c>
      <c r="D407" s="93">
        <v>42.680018509070628</v>
      </c>
      <c r="E407" s="93">
        <v>95.811211534705322</v>
      </c>
      <c r="F407" s="212" t="s">
        <v>7238</v>
      </c>
      <c r="G407" s="212">
        <v>41</v>
      </c>
      <c r="H407" s="212" t="s">
        <v>0</v>
      </c>
      <c r="I407" s="212" t="s">
        <v>6233</v>
      </c>
      <c r="J407" s="212" t="s">
        <v>6253</v>
      </c>
      <c r="K407" s="212" t="s">
        <v>12007</v>
      </c>
      <c r="L407" s="212" t="s">
        <v>6209</v>
      </c>
      <c r="M407" s="212">
        <v>2</v>
      </c>
      <c r="N407" s="402" t="s">
        <v>6170</v>
      </c>
    </row>
    <row r="408" spans="1:14" ht="11.1" customHeight="1">
      <c r="A408" s="817" t="s">
        <v>7241</v>
      </c>
      <c r="B408" s="404"/>
      <c r="C408" s="405">
        <v>32299</v>
      </c>
      <c r="D408" s="406">
        <v>12.774027186186222</v>
      </c>
      <c r="E408" s="406">
        <v>28.676065841575369</v>
      </c>
      <c r="F408" s="213" t="s">
        <v>7242</v>
      </c>
      <c r="G408" s="213">
        <v>50</v>
      </c>
      <c r="H408" s="213" t="s">
        <v>6049</v>
      </c>
      <c r="I408" s="213" t="s">
        <v>6233</v>
      </c>
      <c r="J408" s="213" t="s">
        <v>6264</v>
      </c>
      <c r="K408" s="213">
        <v>0</v>
      </c>
      <c r="L408" s="213" t="s">
        <v>6036</v>
      </c>
      <c r="M408" s="213">
        <v>0</v>
      </c>
      <c r="N408" s="408">
        <v>0</v>
      </c>
    </row>
    <row r="409" spans="1:14" ht="11.1" customHeight="1">
      <c r="A409" s="940" t="s">
        <v>7247</v>
      </c>
      <c r="B409" s="412" t="s">
        <v>10050</v>
      </c>
      <c r="C409" s="413">
        <v>109310</v>
      </c>
      <c r="D409" s="414">
        <v>46.067742465684148</v>
      </c>
      <c r="E409" s="415" t="s">
        <v>6251</v>
      </c>
      <c r="F409" s="416" t="s">
        <v>7248</v>
      </c>
      <c r="G409" s="416">
        <v>59</v>
      </c>
      <c r="H409" s="416" t="s">
        <v>0</v>
      </c>
      <c r="I409" s="416" t="s">
        <v>6233</v>
      </c>
      <c r="J409" s="416" t="s">
        <v>6257</v>
      </c>
      <c r="K409" s="416" t="s">
        <v>11998</v>
      </c>
      <c r="L409" s="416" t="s">
        <v>6036</v>
      </c>
      <c r="M409" s="416">
        <v>0</v>
      </c>
      <c r="N409" s="417" t="s">
        <v>6260</v>
      </c>
    </row>
    <row r="410" spans="1:14" ht="11.1" customHeight="1">
      <c r="A410" s="400" t="s">
        <v>7245</v>
      </c>
      <c r="B410" s="401" t="s">
        <v>11986</v>
      </c>
      <c r="C410" s="116">
        <v>98749</v>
      </c>
      <c r="D410" s="93">
        <v>41.616901479680209</v>
      </c>
      <c r="E410" s="93">
        <v>90.338486872198331</v>
      </c>
      <c r="F410" s="212" t="s">
        <v>7246</v>
      </c>
      <c r="G410" s="212">
        <v>43</v>
      </c>
      <c r="H410" s="212" t="s">
        <v>0</v>
      </c>
      <c r="I410" s="212" t="s">
        <v>6233</v>
      </c>
      <c r="J410" s="212" t="s">
        <v>6253</v>
      </c>
      <c r="K410" s="212" t="s">
        <v>12007</v>
      </c>
      <c r="L410" s="212" t="s">
        <v>6209</v>
      </c>
      <c r="M410" s="212">
        <v>1</v>
      </c>
      <c r="N410" s="402" t="s">
        <v>6170</v>
      </c>
    </row>
    <row r="411" spans="1:14" ht="11.1" customHeight="1">
      <c r="A411" s="400" t="s">
        <v>7249</v>
      </c>
      <c r="B411" s="401"/>
      <c r="C411" s="116">
        <v>25483</v>
      </c>
      <c r="D411" s="93">
        <v>10.739587240444873</v>
      </c>
      <c r="E411" s="403" t="s">
        <v>6262</v>
      </c>
      <c r="F411" s="212" t="s">
        <v>12246</v>
      </c>
      <c r="G411" s="212">
        <v>36</v>
      </c>
      <c r="H411" s="212" t="s">
        <v>0</v>
      </c>
      <c r="I411" s="212">
        <v>0</v>
      </c>
      <c r="J411" s="212" t="s">
        <v>6264</v>
      </c>
      <c r="K411" s="212">
        <v>0</v>
      </c>
      <c r="L411" s="212" t="s">
        <v>6036</v>
      </c>
      <c r="M411" s="212">
        <v>0</v>
      </c>
      <c r="N411" s="402">
        <v>0</v>
      </c>
    </row>
    <row r="412" spans="1:14" ht="11.1" customHeight="1">
      <c r="A412" s="817" t="s">
        <v>7251</v>
      </c>
      <c r="B412" s="404" t="s">
        <v>6231</v>
      </c>
      <c r="C412" s="405">
        <v>3739</v>
      </c>
      <c r="D412" s="406">
        <v>1.5757688141907695</v>
      </c>
      <c r="E412" s="407" t="s">
        <v>6262</v>
      </c>
      <c r="F412" s="213" t="s">
        <v>12247</v>
      </c>
      <c r="G412" s="213">
        <v>62</v>
      </c>
      <c r="H412" s="213" t="s">
        <v>0</v>
      </c>
      <c r="I412" s="213">
        <v>0</v>
      </c>
      <c r="J412" s="213" t="s">
        <v>12017</v>
      </c>
      <c r="K412" s="213">
        <v>0</v>
      </c>
      <c r="L412" s="213" t="s">
        <v>6036</v>
      </c>
      <c r="M412" s="213">
        <v>0</v>
      </c>
      <c r="N412" s="408">
        <v>0</v>
      </c>
    </row>
    <row r="413" spans="1:14" ht="11.1" customHeight="1">
      <c r="A413" s="940" t="s">
        <v>7255</v>
      </c>
      <c r="B413" s="412" t="s">
        <v>10050</v>
      </c>
      <c r="C413" s="413">
        <v>150404</v>
      </c>
      <c r="D413" s="414">
        <v>52.104205639853113</v>
      </c>
      <c r="E413" s="415" t="s">
        <v>6251</v>
      </c>
      <c r="F413" s="416" t="s">
        <v>7256</v>
      </c>
      <c r="G413" s="416">
        <v>44</v>
      </c>
      <c r="H413" s="416" t="s">
        <v>0</v>
      </c>
      <c r="I413" s="416" t="s">
        <v>6233</v>
      </c>
      <c r="J413" s="416" t="s">
        <v>6257</v>
      </c>
      <c r="K413" s="416" t="s">
        <v>11995</v>
      </c>
      <c r="L413" s="416" t="s">
        <v>6209</v>
      </c>
      <c r="M413" s="416">
        <v>4</v>
      </c>
      <c r="N413" s="417" t="s">
        <v>6260</v>
      </c>
    </row>
    <row r="414" spans="1:14" ht="11.1" customHeight="1">
      <c r="A414" s="400" t="s">
        <v>7253</v>
      </c>
      <c r="B414" s="401" t="s">
        <v>6230</v>
      </c>
      <c r="C414" s="116">
        <v>107417</v>
      </c>
      <c r="D414" s="93">
        <v>37.212291276934799</v>
      </c>
      <c r="E414" s="93">
        <v>71.418978218664392</v>
      </c>
      <c r="F414" s="212" t="s">
        <v>7254</v>
      </c>
      <c r="G414" s="212">
        <v>38</v>
      </c>
      <c r="H414" s="212" t="s">
        <v>0</v>
      </c>
      <c r="I414" s="212" t="s">
        <v>6233</v>
      </c>
      <c r="J414" s="212" t="s">
        <v>6253</v>
      </c>
      <c r="K414" s="212" t="s">
        <v>12215</v>
      </c>
      <c r="L414" s="212" t="s">
        <v>6209</v>
      </c>
      <c r="M414" s="212">
        <v>2</v>
      </c>
      <c r="N414" s="402" t="s">
        <v>6170</v>
      </c>
    </row>
    <row r="415" spans="1:14" ht="11.1" customHeight="1">
      <c r="A415" s="400" t="s">
        <v>7257</v>
      </c>
      <c r="B415" s="401" t="s">
        <v>6231</v>
      </c>
      <c r="C415" s="116">
        <v>28356</v>
      </c>
      <c r="D415" s="93">
        <v>9.8233215547703185</v>
      </c>
      <c r="E415" s="93">
        <v>18.853221988776895</v>
      </c>
      <c r="F415" s="212" t="s">
        <v>12248</v>
      </c>
      <c r="G415" s="212">
        <v>55</v>
      </c>
      <c r="H415" s="212" t="s">
        <v>0</v>
      </c>
      <c r="I415" s="212" t="s">
        <v>6233</v>
      </c>
      <c r="J415" s="212" t="s">
        <v>6264</v>
      </c>
      <c r="K415" s="212">
        <v>0</v>
      </c>
      <c r="L415" s="212" t="s">
        <v>6036</v>
      </c>
      <c r="M415" s="212">
        <v>0</v>
      </c>
      <c r="N415" s="402">
        <v>0</v>
      </c>
    </row>
    <row r="416" spans="1:14" ht="11.1" customHeight="1">
      <c r="A416" s="817" t="s">
        <v>7259</v>
      </c>
      <c r="B416" s="404" t="s">
        <v>6231</v>
      </c>
      <c r="C416" s="405">
        <v>2483</v>
      </c>
      <c r="D416" s="406">
        <v>0.86018152844176543</v>
      </c>
      <c r="E416" s="407" t="s">
        <v>6262</v>
      </c>
      <c r="F416" s="213" t="s">
        <v>12249</v>
      </c>
      <c r="G416" s="213">
        <v>25</v>
      </c>
      <c r="H416" s="213" t="s">
        <v>0</v>
      </c>
      <c r="I416" s="213">
        <v>0</v>
      </c>
      <c r="J416" s="213" t="s">
        <v>12017</v>
      </c>
      <c r="K416" s="213">
        <v>0</v>
      </c>
      <c r="L416" s="213" t="s">
        <v>6036</v>
      </c>
      <c r="M416" s="213">
        <v>0</v>
      </c>
      <c r="N416" s="408">
        <v>0</v>
      </c>
    </row>
    <row r="417" spans="1:14" ht="11.1" customHeight="1">
      <c r="A417" s="940" t="s">
        <v>7263</v>
      </c>
      <c r="B417" s="412" t="s">
        <v>10050</v>
      </c>
      <c r="C417" s="413">
        <v>162351</v>
      </c>
      <c r="D417" s="414">
        <v>54.71540413657366</v>
      </c>
      <c r="E417" s="415" t="s">
        <v>6251</v>
      </c>
      <c r="F417" s="416" t="s">
        <v>7264</v>
      </c>
      <c r="G417" s="416">
        <v>63</v>
      </c>
      <c r="H417" s="416" t="s">
        <v>0</v>
      </c>
      <c r="I417" s="416" t="s">
        <v>6233</v>
      </c>
      <c r="J417" s="416" t="s">
        <v>6257</v>
      </c>
      <c r="K417" s="416" t="s">
        <v>11998</v>
      </c>
      <c r="L417" s="416" t="s">
        <v>6209</v>
      </c>
      <c r="M417" s="416">
        <v>8</v>
      </c>
      <c r="N417" s="417" t="s">
        <v>6260</v>
      </c>
    </row>
    <row r="418" spans="1:14" ht="11.1" customHeight="1">
      <c r="A418" s="400" t="s">
        <v>7261</v>
      </c>
      <c r="B418" s="401" t="s">
        <v>6230</v>
      </c>
      <c r="C418" s="116">
        <v>107136</v>
      </c>
      <c r="D418" s="93">
        <v>36.106889009466869</v>
      </c>
      <c r="E418" s="93">
        <v>65.990354232496259</v>
      </c>
      <c r="F418" s="212" t="s">
        <v>9163</v>
      </c>
      <c r="G418" s="212">
        <v>67</v>
      </c>
      <c r="H418" s="212" t="s">
        <v>6049</v>
      </c>
      <c r="I418" s="212" t="s">
        <v>6233</v>
      </c>
      <c r="J418" s="212" t="s">
        <v>6253</v>
      </c>
      <c r="K418" s="212" t="s">
        <v>12007</v>
      </c>
      <c r="L418" s="212" t="s">
        <v>6209</v>
      </c>
      <c r="M418" s="212">
        <v>3</v>
      </c>
      <c r="N418" s="402" t="s">
        <v>6170</v>
      </c>
    </row>
    <row r="419" spans="1:14" ht="11.1" customHeight="1">
      <c r="A419" s="817" t="s">
        <v>7265</v>
      </c>
      <c r="B419" s="455" t="s">
        <v>6231</v>
      </c>
      <c r="C419" s="46">
        <v>27232</v>
      </c>
      <c r="D419" s="48">
        <v>9.1777068539594708</v>
      </c>
      <c r="E419" s="456" t="s">
        <v>6262</v>
      </c>
      <c r="F419" s="49" t="s">
        <v>12250</v>
      </c>
      <c r="G419" s="49">
        <v>56</v>
      </c>
      <c r="H419" s="49" t="s">
        <v>0</v>
      </c>
      <c r="I419" s="49">
        <v>0</v>
      </c>
      <c r="J419" s="49" t="s">
        <v>6264</v>
      </c>
      <c r="K419" s="49">
        <v>0</v>
      </c>
      <c r="L419" s="49" t="s">
        <v>6036</v>
      </c>
      <c r="M419" s="49">
        <v>0</v>
      </c>
      <c r="N419" s="457">
        <v>0</v>
      </c>
    </row>
    <row r="420" spans="1:14" ht="11.1" customHeight="1">
      <c r="A420" s="940" t="s">
        <v>7271</v>
      </c>
      <c r="B420" s="412" t="s">
        <v>10050</v>
      </c>
      <c r="C420" s="413">
        <v>150552</v>
      </c>
      <c r="D420" s="414">
        <v>53.152758752171273</v>
      </c>
      <c r="E420" s="415" t="s">
        <v>6251</v>
      </c>
      <c r="F420" s="416" t="s">
        <v>7272</v>
      </c>
      <c r="G420" s="416">
        <v>42</v>
      </c>
      <c r="H420" s="416" t="s">
        <v>0</v>
      </c>
      <c r="I420" s="416" t="s">
        <v>6233</v>
      </c>
      <c r="J420" s="416" t="s">
        <v>6257</v>
      </c>
      <c r="K420" s="416" t="s">
        <v>11998</v>
      </c>
      <c r="L420" s="416" t="s">
        <v>6209</v>
      </c>
      <c r="M420" s="416">
        <v>1</v>
      </c>
      <c r="N420" s="417" t="s">
        <v>6260</v>
      </c>
    </row>
    <row r="421" spans="1:14" ht="11.1" customHeight="1">
      <c r="A421" s="400" t="s">
        <v>7269</v>
      </c>
      <c r="B421" s="458" t="s">
        <v>6230</v>
      </c>
      <c r="C421" s="39">
        <v>106459</v>
      </c>
      <c r="D421" s="41">
        <v>37.585615229272285</v>
      </c>
      <c r="E421" s="41">
        <v>70.712444869546729</v>
      </c>
      <c r="F421" s="42" t="s">
        <v>7270</v>
      </c>
      <c r="G421" s="42">
        <v>49</v>
      </c>
      <c r="H421" s="42" t="s">
        <v>0</v>
      </c>
      <c r="I421" s="42" t="s">
        <v>6233</v>
      </c>
      <c r="J421" s="42" t="s">
        <v>6253</v>
      </c>
      <c r="K421" s="42" t="s">
        <v>12000</v>
      </c>
      <c r="L421" s="42" t="s">
        <v>6209</v>
      </c>
      <c r="M421" s="42">
        <v>2</v>
      </c>
      <c r="N421" s="459" t="s">
        <v>6170</v>
      </c>
    </row>
    <row r="422" spans="1:14" ht="11.1" customHeight="1">
      <c r="A422" s="817" t="s">
        <v>7273</v>
      </c>
      <c r="B422" s="455" t="s">
        <v>6231</v>
      </c>
      <c r="C422" s="46">
        <v>26233</v>
      </c>
      <c r="D422" s="48">
        <v>9.2616260185564396</v>
      </c>
      <c r="E422" s="456" t="s">
        <v>6262</v>
      </c>
      <c r="F422" s="49" t="s">
        <v>7274</v>
      </c>
      <c r="G422" s="49">
        <v>33</v>
      </c>
      <c r="H422" s="49" t="s">
        <v>0</v>
      </c>
      <c r="I422" s="49">
        <v>0</v>
      </c>
      <c r="J422" s="49" t="s">
        <v>6264</v>
      </c>
      <c r="K422" s="49">
        <v>0</v>
      </c>
      <c r="L422" s="49" t="s">
        <v>6036</v>
      </c>
      <c r="M422" s="49">
        <v>0</v>
      </c>
      <c r="N422" s="457">
        <v>0</v>
      </c>
    </row>
    <row r="423" spans="1:14" ht="11.1" customHeight="1">
      <c r="A423" s="940" t="s">
        <v>7277</v>
      </c>
      <c r="B423" s="412" t="s">
        <v>10050</v>
      </c>
      <c r="C423" s="413">
        <v>113800</v>
      </c>
      <c r="D423" s="414">
        <v>56.967791672089788</v>
      </c>
      <c r="E423" s="415" t="s">
        <v>6251</v>
      </c>
      <c r="F423" s="416" t="s">
        <v>7278</v>
      </c>
      <c r="G423" s="416">
        <v>35</v>
      </c>
      <c r="H423" s="416" t="s">
        <v>0</v>
      </c>
      <c r="I423" s="416" t="s">
        <v>6233</v>
      </c>
      <c r="J423" s="416" t="s">
        <v>6257</v>
      </c>
      <c r="K423" s="416" t="s">
        <v>12150</v>
      </c>
      <c r="L423" s="416" t="s">
        <v>6209</v>
      </c>
      <c r="M423" s="416">
        <v>1</v>
      </c>
      <c r="N423" s="417" t="s">
        <v>6260</v>
      </c>
    </row>
    <row r="424" spans="1:14" ht="11.1" customHeight="1">
      <c r="A424" s="400" t="s">
        <v>7282</v>
      </c>
      <c r="B424" s="458" t="s">
        <v>6230</v>
      </c>
      <c r="C424" s="39">
        <v>66008</v>
      </c>
      <c r="D424" s="41">
        <v>33.043321552647647</v>
      </c>
      <c r="E424" s="41">
        <v>58.003514938488578</v>
      </c>
      <c r="F424" s="42" t="s">
        <v>12251</v>
      </c>
      <c r="G424" s="42">
        <v>70</v>
      </c>
      <c r="H424" s="42" t="s">
        <v>0</v>
      </c>
      <c r="I424" s="42" t="s">
        <v>6233</v>
      </c>
      <c r="J424" s="42" t="s">
        <v>6253</v>
      </c>
      <c r="K424" s="42" t="s">
        <v>11989</v>
      </c>
      <c r="L424" s="42" t="s">
        <v>6209</v>
      </c>
      <c r="M424" s="42">
        <v>1</v>
      </c>
      <c r="N424" s="459">
        <v>0</v>
      </c>
    </row>
    <row r="425" spans="1:14" ht="11.1" customHeight="1" thickBot="1">
      <c r="A425" s="418" t="s">
        <v>7279</v>
      </c>
      <c r="B425" s="460" t="s">
        <v>6231</v>
      </c>
      <c r="C425" s="68">
        <v>19954</v>
      </c>
      <c r="D425" s="70">
        <v>9.9888867752625625</v>
      </c>
      <c r="E425" s="461" t="s">
        <v>6262</v>
      </c>
      <c r="F425" s="71" t="s">
        <v>12252</v>
      </c>
      <c r="G425" s="71">
        <v>35</v>
      </c>
      <c r="H425" s="71" t="s">
        <v>0</v>
      </c>
      <c r="I425" s="71">
        <v>0</v>
      </c>
      <c r="J425" s="71" t="s">
        <v>6264</v>
      </c>
      <c r="K425" s="71">
        <v>0</v>
      </c>
      <c r="L425" s="71" t="s">
        <v>6036</v>
      </c>
      <c r="M425" s="71">
        <v>0</v>
      </c>
      <c r="N425" s="462">
        <v>0</v>
      </c>
    </row>
    <row r="426" spans="1:14" ht="11.1" customHeight="1" thickTop="1">
      <c r="A426" s="400" t="s">
        <v>7288</v>
      </c>
      <c r="B426" s="397" t="s">
        <v>10050</v>
      </c>
      <c r="C426" s="33">
        <v>136391</v>
      </c>
      <c r="D426" s="35">
        <v>49.67186726102031</v>
      </c>
      <c r="E426" s="398" t="s">
        <v>6251</v>
      </c>
      <c r="F426" s="36" t="s">
        <v>7289</v>
      </c>
      <c r="G426" s="36">
        <v>38</v>
      </c>
      <c r="H426" s="36" t="s">
        <v>6049</v>
      </c>
      <c r="I426" s="36" t="s">
        <v>6233</v>
      </c>
      <c r="J426" s="36" t="s">
        <v>6253</v>
      </c>
      <c r="K426" s="36" t="s">
        <v>12007</v>
      </c>
      <c r="L426" s="36" t="s">
        <v>6209</v>
      </c>
      <c r="M426" s="36">
        <v>1</v>
      </c>
      <c r="N426" s="399">
        <v>0</v>
      </c>
    </row>
    <row r="427" spans="1:14" ht="11.1" customHeight="1">
      <c r="A427" s="400" t="s">
        <v>7290</v>
      </c>
      <c r="B427" s="458" t="s">
        <v>11986</v>
      </c>
      <c r="C427" s="39">
        <v>117652</v>
      </c>
      <c r="D427" s="41">
        <v>42.847361827346091</v>
      </c>
      <c r="E427" s="41">
        <v>86.260823661385288</v>
      </c>
      <c r="F427" s="42" t="s">
        <v>7291</v>
      </c>
      <c r="G427" s="42">
        <v>65</v>
      </c>
      <c r="H427" s="42" t="s">
        <v>0</v>
      </c>
      <c r="I427" s="42" t="s">
        <v>6233</v>
      </c>
      <c r="J427" s="42" t="s">
        <v>6257</v>
      </c>
      <c r="K427" s="42" t="s">
        <v>6258</v>
      </c>
      <c r="L427" s="42" t="s">
        <v>6209</v>
      </c>
      <c r="M427" s="42">
        <v>2</v>
      </c>
      <c r="N427" s="459" t="s">
        <v>6260</v>
      </c>
    </row>
    <row r="428" spans="1:14" ht="11.1" customHeight="1">
      <c r="A428" s="817" t="s">
        <v>7292</v>
      </c>
      <c r="B428" s="455" t="s">
        <v>6231</v>
      </c>
      <c r="C428" s="46">
        <v>20541</v>
      </c>
      <c r="D428" s="48">
        <v>7.4807709116335985</v>
      </c>
      <c r="E428" s="48">
        <v>15.060377884171244</v>
      </c>
      <c r="F428" s="49" t="s">
        <v>12253</v>
      </c>
      <c r="G428" s="49">
        <v>50</v>
      </c>
      <c r="H428" s="49" t="s">
        <v>0</v>
      </c>
      <c r="I428" s="49" t="s">
        <v>6233</v>
      </c>
      <c r="J428" s="49" t="s">
        <v>6264</v>
      </c>
      <c r="K428" s="49">
        <v>0</v>
      </c>
      <c r="L428" s="49" t="s">
        <v>6036</v>
      </c>
      <c r="M428" s="49">
        <v>0</v>
      </c>
      <c r="N428" s="457">
        <v>0</v>
      </c>
    </row>
    <row r="429" spans="1:14" ht="11.1" customHeight="1">
      <c r="A429" s="940" t="s">
        <v>7298</v>
      </c>
      <c r="B429" s="412" t="s">
        <v>10050</v>
      </c>
      <c r="C429" s="413">
        <v>113916</v>
      </c>
      <c r="D429" s="414">
        <v>49.684228890439634</v>
      </c>
      <c r="E429" s="415" t="s">
        <v>6251</v>
      </c>
      <c r="F429" s="416" t="s">
        <v>7299</v>
      </c>
      <c r="G429" s="416">
        <v>51</v>
      </c>
      <c r="H429" s="416" t="s">
        <v>0</v>
      </c>
      <c r="I429" s="416" t="s">
        <v>6233</v>
      </c>
      <c r="J429" s="416" t="s">
        <v>6257</v>
      </c>
      <c r="K429" s="416" t="s">
        <v>12009</v>
      </c>
      <c r="L429" s="416" t="s">
        <v>6209</v>
      </c>
      <c r="M429" s="416">
        <v>2</v>
      </c>
      <c r="N429" s="417" t="s">
        <v>6260</v>
      </c>
    </row>
    <row r="430" spans="1:14" ht="11.1" customHeight="1">
      <c r="A430" s="400" t="s">
        <v>7296</v>
      </c>
      <c r="B430" s="458" t="s">
        <v>11986</v>
      </c>
      <c r="C430" s="39">
        <v>101637</v>
      </c>
      <c r="D430" s="41">
        <v>44.328768318213541</v>
      </c>
      <c r="E430" s="41">
        <v>89.221004951016539</v>
      </c>
      <c r="F430" s="42" t="s">
        <v>7297</v>
      </c>
      <c r="G430" s="42">
        <v>28</v>
      </c>
      <c r="H430" s="42" t="s">
        <v>0</v>
      </c>
      <c r="I430" s="42" t="s">
        <v>6233</v>
      </c>
      <c r="J430" s="42" t="s">
        <v>6253</v>
      </c>
      <c r="K430" s="42" t="s">
        <v>12007</v>
      </c>
      <c r="L430" s="42" t="s">
        <v>6036</v>
      </c>
      <c r="M430" s="42">
        <v>0</v>
      </c>
      <c r="N430" s="459">
        <v>0</v>
      </c>
    </row>
    <row r="431" spans="1:14" ht="11.1" customHeight="1">
      <c r="A431" s="817" t="s">
        <v>7300</v>
      </c>
      <c r="B431" s="455" t="s">
        <v>6231</v>
      </c>
      <c r="C431" s="46">
        <v>13727</v>
      </c>
      <c r="D431" s="48">
        <v>5.9870027913468249</v>
      </c>
      <c r="E431" s="456" t="s">
        <v>6262</v>
      </c>
      <c r="F431" s="49" t="s">
        <v>12254</v>
      </c>
      <c r="G431" s="49">
        <v>56</v>
      </c>
      <c r="H431" s="49" t="s">
        <v>0</v>
      </c>
      <c r="I431" s="49">
        <v>0</v>
      </c>
      <c r="J431" s="49" t="s">
        <v>6264</v>
      </c>
      <c r="K431" s="49">
        <v>0</v>
      </c>
      <c r="L431" s="49" t="s">
        <v>6036</v>
      </c>
      <c r="M431" s="49">
        <v>0</v>
      </c>
      <c r="N431" s="457">
        <v>0</v>
      </c>
    </row>
    <row r="432" spans="1:14" ht="11.1" customHeight="1">
      <c r="A432" s="940" t="s">
        <v>7306</v>
      </c>
      <c r="B432" s="412" t="s">
        <v>10050</v>
      </c>
      <c r="C432" s="413">
        <v>111695</v>
      </c>
      <c r="D432" s="414">
        <v>50.135556094189042</v>
      </c>
      <c r="E432" s="415" t="s">
        <v>6251</v>
      </c>
      <c r="F432" s="416" t="s">
        <v>7307</v>
      </c>
      <c r="G432" s="416">
        <v>61</v>
      </c>
      <c r="H432" s="416" t="s">
        <v>0</v>
      </c>
      <c r="I432" s="416" t="s">
        <v>6233</v>
      </c>
      <c r="J432" s="416" t="s">
        <v>6257</v>
      </c>
      <c r="K432" s="416" t="s">
        <v>6350</v>
      </c>
      <c r="L432" s="416" t="s">
        <v>6209</v>
      </c>
      <c r="M432" s="416">
        <v>4</v>
      </c>
      <c r="N432" s="417" t="s">
        <v>6260</v>
      </c>
    </row>
    <row r="433" spans="1:14" ht="11.1" customHeight="1">
      <c r="A433" s="400" t="s">
        <v>7308</v>
      </c>
      <c r="B433" s="458" t="s">
        <v>6230</v>
      </c>
      <c r="C433" s="39">
        <v>73114</v>
      </c>
      <c r="D433" s="41">
        <v>32.818040630919356</v>
      </c>
      <c r="E433" s="41">
        <v>65.458614978289091</v>
      </c>
      <c r="F433" s="42" t="s">
        <v>12255</v>
      </c>
      <c r="G433" s="42">
        <v>54</v>
      </c>
      <c r="H433" s="42" t="s">
        <v>0</v>
      </c>
      <c r="I433" s="42" t="s">
        <v>6233</v>
      </c>
      <c r="J433" s="42" t="s">
        <v>6278</v>
      </c>
      <c r="K433" s="42">
        <v>0</v>
      </c>
      <c r="L433" s="42" t="s">
        <v>6036</v>
      </c>
      <c r="M433" s="42">
        <v>0</v>
      </c>
      <c r="N433" s="459">
        <v>0</v>
      </c>
    </row>
    <row r="434" spans="1:14" ht="11.1" customHeight="1">
      <c r="A434" s="400" t="s">
        <v>12256</v>
      </c>
      <c r="B434" s="458"/>
      <c r="C434" s="39">
        <v>23845</v>
      </c>
      <c r="D434" s="41">
        <v>10.703096244826874</v>
      </c>
      <c r="E434" s="41">
        <v>21.348314606741575</v>
      </c>
      <c r="F434" s="42" t="s">
        <v>12257</v>
      </c>
      <c r="G434" s="42">
        <v>45</v>
      </c>
      <c r="H434" s="42" t="s">
        <v>0</v>
      </c>
      <c r="I434" s="42" t="s">
        <v>6233</v>
      </c>
      <c r="J434" s="42" t="s">
        <v>7280</v>
      </c>
      <c r="K434" s="42">
        <v>0</v>
      </c>
      <c r="L434" s="42" t="s">
        <v>6036</v>
      </c>
      <c r="M434" s="42">
        <v>0</v>
      </c>
      <c r="N434" s="459">
        <v>0</v>
      </c>
    </row>
    <row r="435" spans="1:14" ht="11.1" customHeight="1">
      <c r="A435" s="817" t="s">
        <v>7304</v>
      </c>
      <c r="B435" s="455" t="s">
        <v>6231</v>
      </c>
      <c r="C435" s="46">
        <v>14132</v>
      </c>
      <c r="D435" s="48">
        <v>6.3433070300647261</v>
      </c>
      <c r="E435" s="456" t="s">
        <v>6262</v>
      </c>
      <c r="F435" s="49" t="s">
        <v>12258</v>
      </c>
      <c r="G435" s="49">
        <v>43</v>
      </c>
      <c r="H435" s="49" t="s">
        <v>0</v>
      </c>
      <c r="I435" s="49">
        <v>0</v>
      </c>
      <c r="J435" s="49" t="s">
        <v>6264</v>
      </c>
      <c r="K435" s="49">
        <v>0</v>
      </c>
      <c r="L435" s="49" t="s">
        <v>6036</v>
      </c>
      <c r="M435" s="49">
        <v>0</v>
      </c>
      <c r="N435" s="457">
        <v>0</v>
      </c>
    </row>
    <row r="436" spans="1:14" ht="11.1" customHeight="1">
      <c r="A436" s="940" t="s">
        <v>7310</v>
      </c>
      <c r="B436" s="409" t="s">
        <v>10050</v>
      </c>
      <c r="C436" s="53">
        <v>114843</v>
      </c>
      <c r="D436" s="55">
        <v>50.521078493909386</v>
      </c>
      <c r="E436" s="410" t="s">
        <v>6251</v>
      </c>
      <c r="F436" s="56" t="s">
        <v>7311</v>
      </c>
      <c r="G436" s="56">
        <v>35</v>
      </c>
      <c r="H436" s="56" t="s">
        <v>6049</v>
      </c>
      <c r="I436" s="56" t="s">
        <v>6233</v>
      </c>
      <c r="J436" s="56" t="s">
        <v>6253</v>
      </c>
      <c r="K436" s="56" t="s">
        <v>12020</v>
      </c>
      <c r="L436" s="56" t="s">
        <v>6209</v>
      </c>
      <c r="M436" s="56">
        <v>1</v>
      </c>
      <c r="N436" s="411">
        <v>0</v>
      </c>
    </row>
    <row r="437" spans="1:14" ht="11.1" customHeight="1">
      <c r="A437" s="400" t="s">
        <v>7312</v>
      </c>
      <c r="B437" s="458" t="s">
        <v>6230</v>
      </c>
      <c r="C437" s="39">
        <v>93971</v>
      </c>
      <c r="D437" s="41">
        <v>41.339187126347788</v>
      </c>
      <c r="E437" s="41">
        <v>81.825622806788402</v>
      </c>
      <c r="F437" s="42" t="s">
        <v>7313</v>
      </c>
      <c r="G437" s="42">
        <v>34</v>
      </c>
      <c r="H437" s="42" t="s">
        <v>0</v>
      </c>
      <c r="I437" s="42" t="s">
        <v>6233</v>
      </c>
      <c r="J437" s="42" t="s">
        <v>6257</v>
      </c>
      <c r="K437" s="42" t="s">
        <v>6258</v>
      </c>
      <c r="L437" s="42" t="s">
        <v>6036</v>
      </c>
      <c r="M437" s="42">
        <v>0</v>
      </c>
      <c r="N437" s="459" t="s">
        <v>6260</v>
      </c>
    </row>
    <row r="438" spans="1:14" ht="11.1" customHeight="1">
      <c r="A438" s="817" t="s">
        <v>7314</v>
      </c>
      <c r="B438" s="455" t="s">
        <v>6231</v>
      </c>
      <c r="C438" s="46">
        <v>18503</v>
      </c>
      <c r="D438" s="48">
        <v>8.1397343797428263</v>
      </c>
      <c r="E438" s="456" t="s">
        <v>6262</v>
      </c>
      <c r="F438" s="49" t="s">
        <v>12259</v>
      </c>
      <c r="G438" s="49">
        <v>48</v>
      </c>
      <c r="H438" s="49" t="s">
        <v>6049</v>
      </c>
      <c r="I438" s="49">
        <v>0</v>
      </c>
      <c r="J438" s="49" t="s">
        <v>6264</v>
      </c>
      <c r="K438" s="49">
        <v>0</v>
      </c>
      <c r="L438" s="49" t="s">
        <v>6036</v>
      </c>
      <c r="M438" s="49">
        <v>0</v>
      </c>
      <c r="N438" s="457">
        <v>0</v>
      </c>
    </row>
    <row r="439" spans="1:14" ht="11.1" customHeight="1">
      <c r="A439" s="940" t="s">
        <v>7320</v>
      </c>
      <c r="B439" s="444" t="s">
        <v>10050</v>
      </c>
      <c r="C439" s="445">
        <v>105484</v>
      </c>
      <c r="D439" s="446">
        <v>51.16360285201533</v>
      </c>
      <c r="E439" s="447" t="s">
        <v>6262</v>
      </c>
      <c r="F439" s="448" t="s">
        <v>7317</v>
      </c>
      <c r="G439" s="448">
        <v>61</v>
      </c>
      <c r="H439" s="448" t="s">
        <v>6049</v>
      </c>
      <c r="I439" s="448">
        <v>0</v>
      </c>
      <c r="J439" s="448" t="s">
        <v>12017</v>
      </c>
      <c r="K439" s="448" t="s">
        <v>6476</v>
      </c>
      <c r="L439" s="448" t="s">
        <v>6209</v>
      </c>
      <c r="M439" s="448">
        <v>4</v>
      </c>
      <c r="N439" s="449">
        <v>0</v>
      </c>
    </row>
    <row r="440" spans="1:14" ht="11.1" customHeight="1">
      <c r="A440" s="400" t="s">
        <v>7318</v>
      </c>
      <c r="B440" s="458" t="s">
        <v>6230</v>
      </c>
      <c r="C440" s="39">
        <v>82993</v>
      </c>
      <c r="D440" s="41">
        <v>40.254644225639034</v>
      </c>
      <c r="E440" s="41">
        <v>78.678282962344994</v>
      </c>
      <c r="F440" s="42" t="s">
        <v>7319</v>
      </c>
      <c r="G440" s="42">
        <v>38</v>
      </c>
      <c r="H440" s="42" t="s">
        <v>0</v>
      </c>
      <c r="I440" s="42" t="s">
        <v>6233</v>
      </c>
      <c r="J440" s="42" t="s">
        <v>6257</v>
      </c>
      <c r="K440" s="42" t="s">
        <v>6258</v>
      </c>
      <c r="L440" s="42" t="s">
        <v>6036</v>
      </c>
      <c r="M440" s="42">
        <v>0</v>
      </c>
      <c r="N440" s="459" t="s">
        <v>6260</v>
      </c>
    </row>
    <row r="441" spans="1:14" ht="11.1" customHeight="1">
      <c r="A441" s="817" t="s">
        <v>7316</v>
      </c>
      <c r="B441" s="455" t="s">
        <v>6231</v>
      </c>
      <c r="C441" s="46">
        <v>17693</v>
      </c>
      <c r="D441" s="48">
        <v>8.5817529223456379</v>
      </c>
      <c r="E441" s="456" t="s">
        <v>6262</v>
      </c>
      <c r="F441" s="49" t="s">
        <v>12260</v>
      </c>
      <c r="G441" s="49">
        <v>47</v>
      </c>
      <c r="H441" s="49" t="s">
        <v>0</v>
      </c>
      <c r="I441" s="49">
        <v>0</v>
      </c>
      <c r="J441" s="49" t="s">
        <v>6264</v>
      </c>
      <c r="K441" s="49">
        <v>0</v>
      </c>
      <c r="L441" s="49" t="s">
        <v>6036</v>
      </c>
      <c r="M441" s="49">
        <v>0</v>
      </c>
      <c r="N441" s="457">
        <v>0</v>
      </c>
    </row>
    <row r="442" spans="1:14" ht="11.1" customHeight="1">
      <c r="A442" s="940" t="s">
        <v>7326</v>
      </c>
      <c r="B442" s="409" t="s">
        <v>10050</v>
      </c>
      <c r="C442" s="53">
        <v>114081</v>
      </c>
      <c r="D442" s="55">
        <v>50.166222527110101</v>
      </c>
      <c r="E442" s="410" t="s">
        <v>6251</v>
      </c>
      <c r="F442" s="56" t="s">
        <v>7327</v>
      </c>
      <c r="G442" s="56">
        <v>60</v>
      </c>
      <c r="H442" s="56" t="s">
        <v>0</v>
      </c>
      <c r="I442" s="56" t="s">
        <v>6233</v>
      </c>
      <c r="J442" s="56" t="s">
        <v>6253</v>
      </c>
      <c r="K442" s="56" t="s">
        <v>11989</v>
      </c>
      <c r="L442" s="56" t="s">
        <v>6209</v>
      </c>
      <c r="M442" s="56">
        <v>3</v>
      </c>
      <c r="N442" s="411">
        <v>0</v>
      </c>
    </row>
    <row r="443" spans="1:14" ht="11.1" customHeight="1">
      <c r="A443" s="400" t="s">
        <v>7328</v>
      </c>
      <c r="B443" s="458" t="s">
        <v>11986</v>
      </c>
      <c r="C443" s="39">
        <v>102187</v>
      </c>
      <c r="D443" s="41">
        <v>44.935929570899624</v>
      </c>
      <c r="E443" s="41">
        <v>89.5740745610575</v>
      </c>
      <c r="F443" s="42" t="s">
        <v>7329</v>
      </c>
      <c r="G443" s="42">
        <v>44</v>
      </c>
      <c r="H443" s="42" t="s">
        <v>0</v>
      </c>
      <c r="I443" s="42" t="s">
        <v>6233</v>
      </c>
      <c r="J443" s="42" t="s">
        <v>6257</v>
      </c>
      <c r="K443" s="42" t="s">
        <v>11998</v>
      </c>
      <c r="L443" s="42" t="s">
        <v>6036</v>
      </c>
      <c r="M443" s="42">
        <v>0</v>
      </c>
      <c r="N443" s="459" t="s">
        <v>6260</v>
      </c>
    </row>
    <row r="444" spans="1:14" ht="11.1" customHeight="1" thickBot="1">
      <c r="A444" s="430" t="s">
        <v>7330</v>
      </c>
      <c r="B444" s="463" t="s">
        <v>6231</v>
      </c>
      <c r="C444" s="75">
        <v>11138</v>
      </c>
      <c r="D444" s="77">
        <v>4.8978479019902732</v>
      </c>
      <c r="E444" s="464" t="s">
        <v>6262</v>
      </c>
      <c r="F444" s="78" t="s">
        <v>7293</v>
      </c>
      <c r="G444" s="78">
        <v>41</v>
      </c>
      <c r="H444" s="78" t="s">
        <v>0</v>
      </c>
      <c r="I444" s="78">
        <v>0</v>
      </c>
      <c r="J444" s="78" t="s">
        <v>6264</v>
      </c>
      <c r="K444" s="78">
        <v>0</v>
      </c>
      <c r="L444" s="78" t="s">
        <v>6036</v>
      </c>
      <c r="M444" s="78">
        <v>0</v>
      </c>
      <c r="N444" s="465">
        <v>0</v>
      </c>
    </row>
    <row r="445" spans="1:14" ht="11.1" customHeight="1">
      <c r="A445" s="941" t="s">
        <v>7336</v>
      </c>
      <c r="B445" s="439" t="s">
        <v>10050</v>
      </c>
      <c r="C445" s="440">
        <v>88840</v>
      </c>
      <c r="D445" s="441">
        <v>52.310826645312105</v>
      </c>
      <c r="E445" s="442" t="s">
        <v>6251</v>
      </c>
      <c r="F445" s="337" t="s">
        <v>7337</v>
      </c>
      <c r="G445" s="337">
        <v>61</v>
      </c>
      <c r="H445" s="337" t="s">
        <v>0</v>
      </c>
      <c r="I445" s="337" t="s">
        <v>6233</v>
      </c>
      <c r="J445" s="337" t="s">
        <v>6257</v>
      </c>
      <c r="K445" s="337" t="s">
        <v>11998</v>
      </c>
      <c r="L445" s="337" t="s">
        <v>6209</v>
      </c>
      <c r="M445" s="337">
        <v>5</v>
      </c>
      <c r="N445" s="443" t="s">
        <v>6260</v>
      </c>
    </row>
    <row r="446" spans="1:14" ht="11.1" customHeight="1">
      <c r="A446" s="400" t="s">
        <v>7334</v>
      </c>
      <c r="B446" s="458" t="s">
        <v>11986</v>
      </c>
      <c r="C446" s="39">
        <v>71072</v>
      </c>
      <c r="D446" s="41">
        <v>41.848661316249682</v>
      </c>
      <c r="E446" s="41">
        <v>80</v>
      </c>
      <c r="F446" s="42" t="s">
        <v>7335</v>
      </c>
      <c r="G446" s="42">
        <v>32</v>
      </c>
      <c r="H446" s="42" t="s">
        <v>0</v>
      </c>
      <c r="I446" s="42" t="s">
        <v>6233</v>
      </c>
      <c r="J446" s="42" t="s">
        <v>6253</v>
      </c>
      <c r="K446" s="42" t="s">
        <v>12007</v>
      </c>
      <c r="L446" s="42" t="s">
        <v>6209</v>
      </c>
      <c r="M446" s="42">
        <v>1</v>
      </c>
      <c r="N446" s="459">
        <v>0</v>
      </c>
    </row>
    <row r="447" spans="1:14" ht="11.1" customHeight="1">
      <c r="A447" s="817" t="s">
        <v>7338</v>
      </c>
      <c r="B447" s="455" t="s">
        <v>6231</v>
      </c>
      <c r="C447" s="46">
        <v>9919</v>
      </c>
      <c r="D447" s="48">
        <v>5.8405120384382121</v>
      </c>
      <c r="E447" s="456" t="s">
        <v>6262</v>
      </c>
      <c r="F447" s="49" t="s">
        <v>12261</v>
      </c>
      <c r="G447" s="49">
        <v>57</v>
      </c>
      <c r="H447" s="49" t="s">
        <v>0</v>
      </c>
      <c r="I447" s="49">
        <v>0</v>
      </c>
      <c r="J447" s="49" t="s">
        <v>6264</v>
      </c>
      <c r="K447" s="49">
        <v>0</v>
      </c>
      <c r="L447" s="49" t="s">
        <v>6036</v>
      </c>
      <c r="M447" s="49">
        <v>0</v>
      </c>
      <c r="N447" s="457">
        <v>0</v>
      </c>
    </row>
    <row r="448" spans="1:14" ht="11.1" customHeight="1">
      <c r="A448" s="940" t="s">
        <v>7342</v>
      </c>
      <c r="B448" s="412" t="s">
        <v>10050</v>
      </c>
      <c r="C448" s="413">
        <v>101830</v>
      </c>
      <c r="D448" s="414">
        <v>57.491121988674536</v>
      </c>
      <c r="E448" s="415" t="s">
        <v>6251</v>
      </c>
      <c r="F448" s="416" t="s">
        <v>7343</v>
      </c>
      <c r="G448" s="416">
        <v>54</v>
      </c>
      <c r="H448" s="416" t="s">
        <v>0</v>
      </c>
      <c r="I448" s="416" t="s">
        <v>6233</v>
      </c>
      <c r="J448" s="416" t="s">
        <v>6257</v>
      </c>
      <c r="K448" s="416" t="s">
        <v>12009</v>
      </c>
      <c r="L448" s="416" t="s">
        <v>6209</v>
      </c>
      <c r="M448" s="416">
        <v>3</v>
      </c>
      <c r="N448" s="417" t="s">
        <v>6260</v>
      </c>
    </row>
    <row r="449" spans="1:14" ht="11.1" customHeight="1">
      <c r="A449" s="400" t="s">
        <v>7344</v>
      </c>
      <c r="B449" s="458" t="s">
        <v>6230</v>
      </c>
      <c r="C449" s="39">
        <v>54701</v>
      </c>
      <c r="D449" s="41">
        <v>30.883058665447177</v>
      </c>
      <c r="E449" s="41">
        <v>53.717961308062456</v>
      </c>
      <c r="F449" s="42" t="s">
        <v>12262</v>
      </c>
      <c r="G449" s="42">
        <v>44</v>
      </c>
      <c r="H449" s="42" t="s">
        <v>0</v>
      </c>
      <c r="I449" s="42" t="s">
        <v>6233</v>
      </c>
      <c r="J449" s="42" t="s">
        <v>6253</v>
      </c>
      <c r="K449" s="42" t="s">
        <v>12020</v>
      </c>
      <c r="L449" s="42" t="s">
        <v>6036</v>
      </c>
      <c r="M449" s="42">
        <v>0</v>
      </c>
      <c r="N449" s="459">
        <v>0</v>
      </c>
    </row>
    <row r="450" spans="1:14" ht="11.1" customHeight="1">
      <c r="A450" s="400" t="s">
        <v>12263</v>
      </c>
      <c r="B450" s="458" t="s">
        <v>6231</v>
      </c>
      <c r="C450" s="39">
        <v>13272</v>
      </c>
      <c r="D450" s="41">
        <v>7.4930980166325094</v>
      </c>
      <c r="E450" s="41">
        <v>13.033487184523224</v>
      </c>
      <c r="F450" s="42" t="s">
        <v>12264</v>
      </c>
      <c r="G450" s="42">
        <v>64</v>
      </c>
      <c r="H450" s="42" t="s">
        <v>0</v>
      </c>
      <c r="I450" s="42" t="s">
        <v>6233</v>
      </c>
      <c r="J450" s="42" t="s">
        <v>6278</v>
      </c>
      <c r="K450" s="42">
        <v>0</v>
      </c>
      <c r="L450" s="42" t="s">
        <v>6036</v>
      </c>
      <c r="M450" s="42">
        <v>0</v>
      </c>
      <c r="N450" s="459">
        <v>0</v>
      </c>
    </row>
    <row r="451" spans="1:14" ht="11.1" customHeight="1">
      <c r="A451" s="817" t="s">
        <v>7346</v>
      </c>
      <c r="B451" s="455" t="s">
        <v>6231</v>
      </c>
      <c r="C451" s="46">
        <v>7320</v>
      </c>
      <c r="D451" s="48">
        <v>4.1327213292457783</v>
      </c>
      <c r="E451" s="456" t="s">
        <v>6262</v>
      </c>
      <c r="F451" s="49" t="s">
        <v>12265</v>
      </c>
      <c r="G451" s="49">
        <v>49</v>
      </c>
      <c r="H451" s="49" t="s">
        <v>0</v>
      </c>
      <c r="I451" s="49">
        <v>0</v>
      </c>
      <c r="J451" s="49" t="s">
        <v>6264</v>
      </c>
      <c r="K451" s="49">
        <v>0</v>
      </c>
      <c r="L451" s="49" t="s">
        <v>6036</v>
      </c>
      <c r="M451" s="49">
        <v>0</v>
      </c>
      <c r="N451" s="457">
        <v>0</v>
      </c>
    </row>
    <row r="452" spans="1:14" ht="11.1" customHeight="1">
      <c r="A452" s="940" t="s">
        <v>12266</v>
      </c>
      <c r="B452" s="466" t="s">
        <v>10050</v>
      </c>
      <c r="C452" s="135">
        <v>120083</v>
      </c>
      <c r="D452" s="137">
        <v>41.292454549518418</v>
      </c>
      <c r="E452" s="467" t="s">
        <v>6251</v>
      </c>
      <c r="F452" s="138" t="s">
        <v>9321</v>
      </c>
      <c r="G452" s="138">
        <v>78</v>
      </c>
      <c r="H452" s="138" t="s">
        <v>0</v>
      </c>
      <c r="I452" s="138" t="s">
        <v>6233</v>
      </c>
      <c r="J452" s="138" t="s">
        <v>7280</v>
      </c>
      <c r="K452" s="138" t="s">
        <v>12035</v>
      </c>
      <c r="L452" s="138" t="s">
        <v>6209</v>
      </c>
      <c r="M452" s="138">
        <v>12</v>
      </c>
      <c r="N452" s="468">
        <v>0</v>
      </c>
    </row>
    <row r="453" spans="1:14" ht="11.1" customHeight="1">
      <c r="A453" s="400" t="s">
        <v>7348</v>
      </c>
      <c r="B453" s="458" t="s">
        <v>11986</v>
      </c>
      <c r="C453" s="39">
        <v>100586</v>
      </c>
      <c r="D453" s="41">
        <v>34.588100175027769</v>
      </c>
      <c r="E453" s="41">
        <v>83.763730086690046</v>
      </c>
      <c r="F453" s="42" t="s">
        <v>12267</v>
      </c>
      <c r="G453" s="42">
        <v>73</v>
      </c>
      <c r="H453" s="42" t="s">
        <v>0</v>
      </c>
      <c r="I453" s="42" t="s">
        <v>6233</v>
      </c>
      <c r="J453" s="42" t="s">
        <v>6257</v>
      </c>
      <c r="K453" s="42" t="s">
        <v>12012</v>
      </c>
      <c r="L453" s="42" t="s">
        <v>6209</v>
      </c>
      <c r="M453" s="42">
        <v>5</v>
      </c>
      <c r="N453" s="459">
        <v>0</v>
      </c>
    </row>
    <row r="454" spans="1:14" ht="11.1" customHeight="1">
      <c r="A454" s="400" t="s">
        <v>7356</v>
      </c>
      <c r="B454" s="458"/>
      <c r="C454" s="39">
        <v>47735</v>
      </c>
      <c r="D454" s="41">
        <v>16.414440994322774</v>
      </c>
      <c r="E454" s="41">
        <v>39.751671760365745</v>
      </c>
      <c r="F454" s="42" t="s">
        <v>12268</v>
      </c>
      <c r="G454" s="42">
        <v>59</v>
      </c>
      <c r="H454" s="42" t="s">
        <v>0</v>
      </c>
      <c r="I454" s="42" t="s">
        <v>6233</v>
      </c>
      <c r="J454" s="42" t="s">
        <v>6253</v>
      </c>
      <c r="K454" s="42" t="s">
        <v>12007</v>
      </c>
      <c r="L454" s="42" t="s">
        <v>6036</v>
      </c>
      <c r="M454" s="42">
        <v>0</v>
      </c>
      <c r="N454" s="459">
        <v>0</v>
      </c>
    </row>
    <row r="455" spans="1:14" ht="11.1" customHeight="1">
      <c r="A455" s="400" t="s">
        <v>7353</v>
      </c>
      <c r="B455" s="458" t="s">
        <v>6231</v>
      </c>
      <c r="C455" s="39">
        <v>15163</v>
      </c>
      <c r="D455" s="41">
        <v>5.2140393588963274</v>
      </c>
      <c r="E455" s="41">
        <v>12.62709958945063</v>
      </c>
      <c r="F455" s="42" t="s">
        <v>12269</v>
      </c>
      <c r="G455" s="42">
        <v>58</v>
      </c>
      <c r="H455" s="42" t="s">
        <v>0</v>
      </c>
      <c r="I455" s="42" t="s">
        <v>6233</v>
      </c>
      <c r="J455" s="42" t="s">
        <v>6278</v>
      </c>
      <c r="K455" s="42">
        <v>0</v>
      </c>
      <c r="L455" s="42" t="s">
        <v>6036</v>
      </c>
      <c r="M455" s="42">
        <v>0</v>
      </c>
      <c r="N455" s="459">
        <v>0</v>
      </c>
    </row>
    <row r="456" spans="1:14" ht="11.1" customHeight="1" thickBot="1">
      <c r="A456" s="430" t="s">
        <v>7350</v>
      </c>
      <c r="B456" s="463" t="s">
        <v>6231</v>
      </c>
      <c r="C456" s="75">
        <v>7244</v>
      </c>
      <c r="D456" s="77">
        <v>2.4909649222347161</v>
      </c>
      <c r="E456" s="464" t="s">
        <v>6262</v>
      </c>
      <c r="F456" s="78" t="s">
        <v>12270</v>
      </c>
      <c r="G456" s="78">
        <v>35</v>
      </c>
      <c r="H456" s="78" t="s">
        <v>0</v>
      </c>
      <c r="I456" s="78">
        <v>0</v>
      </c>
      <c r="J456" s="78" t="s">
        <v>6264</v>
      </c>
      <c r="K456" s="78">
        <v>0</v>
      </c>
      <c r="L456" s="78" t="s">
        <v>6036</v>
      </c>
      <c r="M456" s="78">
        <v>0</v>
      </c>
      <c r="N456" s="465">
        <v>0</v>
      </c>
    </row>
    <row r="457" spans="1:14" ht="11.1" customHeight="1">
      <c r="A457" s="941" t="s">
        <v>7360</v>
      </c>
      <c r="B457" s="439" t="s">
        <v>10050</v>
      </c>
      <c r="C457" s="440">
        <v>129142</v>
      </c>
      <c r="D457" s="441">
        <v>53.732821283093607</v>
      </c>
      <c r="E457" s="442" t="s">
        <v>6262</v>
      </c>
      <c r="F457" s="337" t="s">
        <v>12271</v>
      </c>
      <c r="G457" s="337">
        <v>44</v>
      </c>
      <c r="H457" s="337" t="s">
        <v>0</v>
      </c>
      <c r="I457" s="337">
        <v>0</v>
      </c>
      <c r="J457" s="337" t="s">
        <v>6257</v>
      </c>
      <c r="K457" s="337" t="s">
        <v>11998</v>
      </c>
      <c r="L457" s="337" t="s">
        <v>6209</v>
      </c>
      <c r="M457" s="337">
        <v>2</v>
      </c>
      <c r="N457" s="443" t="s">
        <v>6260</v>
      </c>
    </row>
    <row r="458" spans="1:14" ht="11.1" customHeight="1">
      <c r="A458" s="400" t="s">
        <v>7358</v>
      </c>
      <c r="B458" s="458" t="s">
        <v>6230</v>
      </c>
      <c r="C458" s="39">
        <v>99397</v>
      </c>
      <c r="D458" s="41">
        <v>41.356655751619577</v>
      </c>
      <c r="E458" s="41">
        <v>76.967214384166269</v>
      </c>
      <c r="F458" s="42" t="s">
        <v>12272</v>
      </c>
      <c r="G458" s="42">
        <v>46</v>
      </c>
      <c r="H458" s="42" t="s">
        <v>0</v>
      </c>
      <c r="I458" s="42" t="s">
        <v>6233</v>
      </c>
      <c r="J458" s="42" t="s">
        <v>6253</v>
      </c>
      <c r="K458" s="42" t="s">
        <v>12007</v>
      </c>
      <c r="L458" s="42" t="s">
        <v>6209</v>
      </c>
      <c r="M458" s="42">
        <v>3</v>
      </c>
      <c r="N458" s="459">
        <v>0</v>
      </c>
    </row>
    <row r="459" spans="1:14" ht="11.1" customHeight="1">
      <c r="A459" s="817" t="s">
        <v>7362</v>
      </c>
      <c r="B459" s="455" t="s">
        <v>6231</v>
      </c>
      <c r="C459" s="46">
        <v>11802</v>
      </c>
      <c r="D459" s="48">
        <v>4.9105229652868214</v>
      </c>
      <c r="E459" s="456" t="s">
        <v>6262</v>
      </c>
      <c r="F459" s="49" t="s">
        <v>7363</v>
      </c>
      <c r="G459" s="49">
        <v>37</v>
      </c>
      <c r="H459" s="49" t="s">
        <v>0</v>
      </c>
      <c r="I459" s="49">
        <v>0</v>
      </c>
      <c r="J459" s="49" t="s">
        <v>6264</v>
      </c>
      <c r="K459" s="49">
        <v>0</v>
      </c>
      <c r="L459" s="49" t="s">
        <v>6036</v>
      </c>
      <c r="M459" s="49">
        <v>0</v>
      </c>
      <c r="N459" s="457">
        <v>0</v>
      </c>
    </row>
    <row r="460" spans="1:14" ht="11.1" customHeight="1">
      <c r="A460" s="940" t="s">
        <v>7366</v>
      </c>
      <c r="B460" s="412" t="s">
        <v>10050</v>
      </c>
      <c r="C460" s="413">
        <v>129785</v>
      </c>
      <c r="D460" s="414">
        <v>57.629715148420331</v>
      </c>
      <c r="E460" s="415" t="s">
        <v>6251</v>
      </c>
      <c r="F460" s="416" t="s">
        <v>12273</v>
      </c>
      <c r="G460" s="416">
        <v>68</v>
      </c>
      <c r="H460" s="416" t="s">
        <v>0</v>
      </c>
      <c r="I460" s="416" t="s">
        <v>6233</v>
      </c>
      <c r="J460" s="416" t="s">
        <v>6257</v>
      </c>
      <c r="K460" s="416" t="s">
        <v>11998</v>
      </c>
      <c r="L460" s="416" t="s">
        <v>6209</v>
      </c>
      <c r="M460" s="416">
        <v>12</v>
      </c>
      <c r="N460" s="417" t="s">
        <v>6260</v>
      </c>
    </row>
    <row r="461" spans="1:14" ht="11.1" customHeight="1">
      <c r="A461" s="400" t="s">
        <v>7368</v>
      </c>
      <c r="B461" s="458" t="s">
        <v>6230</v>
      </c>
      <c r="C461" s="39">
        <v>83905</v>
      </c>
      <c r="D461" s="41">
        <v>37.257165693479273</v>
      </c>
      <c r="E461" s="41">
        <v>64.649227568671265</v>
      </c>
      <c r="F461" s="42" t="s">
        <v>12274</v>
      </c>
      <c r="G461" s="42">
        <v>63</v>
      </c>
      <c r="H461" s="42" t="s">
        <v>0</v>
      </c>
      <c r="I461" s="42" t="s">
        <v>6233</v>
      </c>
      <c r="J461" s="42" t="s">
        <v>6253</v>
      </c>
      <c r="K461" s="42" t="s">
        <v>12020</v>
      </c>
      <c r="L461" s="42" t="s">
        <v>6209</v>
      </c>
      <c r="M461" s="42">
        <v>3</v>
      </c>
      <c r="N461" s="459">
        <v>0</v>
      </c>
    </row>
    <row r="462" spans="1:14" ht="11.1" customHeight="1">
      <c r="A462" s="817" t="s">
        <v>7370</v>
      </c>
      <c r="B462" s="455" t="s">
        <v>6231</v>
      </c>
      <c r="C462" s="46">
        <v>11515</v>
      </c>
      <c r="D462" s="48">
        <v>5.1131191581003979</v>
      </c>
      <c r="E462" s="456" t="s">
        <v>6262</v>
      </c>
      <c r="F462" s="49" t="s">
        <v>12275</v>
      </c>
      <c r="G462" s="49">
        <v>50</v>
      </c>
      <c r="H462" s="49" t="s">
        <v>0</v>
      </c>
      <c r="I462" s="49">
        <v>0</v>
      </c>
      <c r="J462" s="49" t="s">
        <v>6264</v>
      </c>
      <c r="K462" s="49">
        <v>0</v>
      </c>
      <c r="L462" s="49" t="s">
        <v>6036</v>
      </c>
      <c r="M462" s="49">
        <v>0</v>
      </c>
      <c r="N462" s="457">
        <v>0</v>
      </c>
    </row>
    <row r="463" spans="1:14" ht="11.1" customHeight="1">
      <c r="A463" s="940" t="s">
        <v>7374</v>
      </c>
      <c r="B463" s="412" t="s">
        <v>10050</v>
      </c>
      <c r="C463" s="413">
        <v>116215</v>
      </c>
      <c r="D463" s="414">
        <v>60.0042338314109</v>
      </c>
      <c r="E463" s="415" t="s">
        <v>6251</v>
      </c>
      <c r="F463" s="416" t="s">
        <v>7375</v>
      </c>
      <c r="G463" s="416">
        <v>59</v>
      </c>
      <c r="H463" s="416" t="s">
        <v>0</v>
      </c>
      <c r="I463" s="416" t="s">
        <v>6233</v>
      </c>
      <c r="J463" s="416" t="s">
        <v>6257</v>
      </c>
      <c r="K463" s="416" t="s">
        <v>6258</v>
      </c>
      <c r="L463" s="416" t="s">
        <v>6036</v>
      </c>
      <c r="M463" s="416">
        <v>0</v>
      </c>
      <c r="N463" s="417" t="s">
        <v>6260</v>
      </c>
    </row>
    <row r="464" spans="1:14" ht="11.1" customHeight="1" thickBot="1">
      <c r="A464" s="430" t="s">
        <v>7372</v>
      </c>
      <c r="B464" s="463" t="s">
        <v>6230</v>
      </c>
      <c r="C464" s="75">
        <v>77463</v>
      </c>
      <c r="D464" s="77">
        <v>39.9957661685891</v>
      </c>
      <c r="E464" s="77">
        <v>66.65490685367638</v>
      </c>
      <c r="F464" s="78" t="s">
        <v>12276</v>
      </c>
      <c r="G464" s="78">
        <v>59</v>
      </c>
      <c r="H464" s="78" t="s">
        <v>0</v>
      </c>
      <c r="I464" s="78" t="s">
        <v>6233</v>
      </c>
      <c r="J464" s="78" t="s">
        <v>6253</v>
      </c>
      <c r="K464" s="78" t="s">
        <v>11989</v>
      </c>
      <c r="L464" s="78" t="s">
        <v>6283</v>
      </c>
      <c r="M464" s="78">
        <v>2</v>
      </c>
      <c r="N464" s="465">
        <v>0</v>
      </c>
    </row>
    <row r="465" spans="1:14" ht="11.1" customHeight="1">
      <c r="A465" s="941" t="s">
        <v>7378</v>
      </c>
      <c r="B465" s="439" t="s">
        <v>10050</v>
      </c>
      <c r="C465" s="440">
        <v>51242</v>
      </c>
      <c r="D465" s="441">
        <v>33.397422945819294</v>
      </c>
      <c r="E465" s="442" t="s">
        <v>6251</v>
      </c>
      <c r="F465" s="337" t="s">
        <v>7379</v>
      </c>
      <c r="G465" s="337">
        <v>46</v>
      </c>
      <c r="H465" s="337" t="s">
        <v>6049</v>
      </c>
      <c r="I465" s="337" t="s">
        <v>6233</v>
      </c>
      <c r="J465" s="337" t="s">
        <v>6257</v>
      </c>
      <c r="K465" s="337" t="s">
        <v>11998</v>
      </c>
      <c r="L465" s="337" t="s">
        <v>6036</v>
      </c>
      <c r="M465" s="337">
        <v>0</v>
      </c>
      <c r="N465" s="443">
        <v>0</v>
      </c>
    </row>
    <row r="466" spans="1:14" ht="11.1" customHeight="1">
      <c r="A466" s="400" t="s">
        <v>7380</v>
      </c>
      <c r="B466" s="458" t="s">
        <v>11986</v>
      </c>
      <c r="C466" s="39">
        <v>50869</v>
      </c>
      <c r="D466" s="41">
        <v>33.154316924220005</v>
      </c>
      <c r="E466" s="41">
        <v>99.272081495648095</v>
      </c>
      <c r="F466" s="42" t="s">
        <v>7381</v>
      </c>
      <c r="G466" s="42">
        <v>48</v>
      </c>
      <c r="H466" s="42" t="s">
        <v>0</v>
      </c>
      <c r="I466" s="42" t="s">
        <v>6233</v>
      </c>
      <c r="J466" s="42" t="s">
        <v>6253</v>
      </c>
      <c r="K466" s="42" t="s">
        <v>12007</v>
      </c>
      <c r="L466" s="42" t="s">
        <v>6283</v>
      </c>
      <c r="M466" s="42">
        <v>2</v>
      </c>
      <c r="N466" s="459">
        <v>0</v>
      </c>
    </row>
    <row r="467" spans="1:14" ht="11.1" customHeight="1">
      <c r="A467" s="400" t="s">
        <v>12277</v>
      </c>
      <c r="B467" s="458" t="s">
        <v>6230</v>
      </c>
      <c r="C467" s="39">
        <v>45332</v>
      </c>
      <c r="D467" s="41">
        <v>29.545528608951255</v>
      </c>
      <c r="E467" s="469" t="s">
        <v>6262</v>
      </c>
      <c r="F467" s="42" t="s">
        <v>12278</v>
      </c>
      <c r="G467" s="42">
        <v>61</v>
      </c>
      <c r="H467" s="42" t="s">
        <v>0</v>
      </c>
      <c r="I467" s="42">
        <v>0</v>
      </c>
      <c r="J467" s="42" t="s">
        <v>12017</v>
      </c>
      <c r="K467" s="42" t="s">
        <v>12018</v>
      </c>
      <c r="L467" s="42" t="s">
        <v>6209</v>
      </c>
      <c r="M467" s="42">
        <v>2</v>
      </c>
      <c r="N467" s="459">
        <v>0</v>
      </c>
    </row>
    <row r="468" spans="1:14" ht="11.1" customHeight="1">
      <c r="A468" s="817" t="s">
        <v>7382</v>
      </c>
      <c r="B468" s="455" t="s">
        <v>6231</v>
      </c>
      <c r="C468" s="46">
        <v>5988</v>
      </c>
      <c r="D468" s="48">
        <v>3.9027315210094442</v>
      </c>
      <c r="E468" s="456" t="s">
        <v>6262</v>
      </c>
      <c r="F468" s="49" t="s">
        <v>7383</v>
      </c>
      <c r="G468" s="49">
        <v>47</v>
      </c>
      <c r="H468" s="49" t="s">
        <v>6049</v>
      </c>
      <c r="I468" s="49">
        <v>0</v>
      </c>
      <c r="J468" s="49" t="s">
        <v>6264</v>
      </c>
      <c r="K468" s="49">
        <v>0</v>
      </c>
      <c r="L468" s="49" t="s">
        <v>6036</v>
      </c>
      <c r="M468" s="49">
        <v>0</v>
      </c>
      <c r="N468" s="457">
        <v>0</v>
      </c>
    </row>
    <row r="469" spans="1:14" ht="11.1" customHeight="1">
      <c r="A469" s="940" t="s">
        <v>7384</v>
      </c>
      <c r="B469" s="412" t="s">
        <v>10050</v>
      </c>
      <c r="C469" s="413">
        <v>96245</v>
      </c>
      <c r="D469" s="414">
        <v>62.598781130283776</v>
      </c>
      <c r="E469" s="415" t="s">
        <v>6251</v>
      </c>
      <c r="F469" s="416" t="s">
        <v>12279</v>
      </c>
      <c r="G469" s="416">
        <v>53</v>
      </c>
      <c r="H469" s="416" t="s">
        <v>0</v>
      </c>
      <c r="I469" s="416" t="s">
        <v>6233</v>
      </c>
      <c r="J469" s="416" t="s">
        <v>6257</v>
      </c>
      <c r="K469" s="416" t="s">
        <v>11998</v>
      </c>
      <c r="L469" s="416" t="s">
        <v>6209</v>
      </c>
      <c r="M469" s="416">
        <v>3</v>
      </c>
      <c r="N469" s="417" t="s">
        <v>6260</v>
      </c>
    </row>
    <row r="470" spans="1:14" ht="11.1" customHeight="1">
      <c r="A470" s="817" t="s">
        <v>7386</v>
      </c>
      <c r="B470" s="455" t="s">
        <v>6230</v>
      </c>
      <c r="C470" s="46">
        <v>57504</v>
      </c>
      <c r="D470" s="48">
        <v>37.401218869716224</v>
      </c>
      <c r="E470" s="48">
        <v>59.747519351654631</v>
      </c>
      <c r="F470" s="49" t="s">
        <v>9286</v>
      </c>
      <c r="G470" s="49">
        <v>60</v>
      </c>
      <c r="H470" s="49" t="s">
        <v>0</v>
      </c>
      <c r="I470" s="49" t="s">
        <v>6233</v>
      </c>
      <c r="J470" s="49" t="s">
        <v>6253</v>
      </c>
      <c r="K470" s="49" t="s">
        <v>12007</v>
      </c>
      <c r="L470" s="49" t="s">
        <v>6209</v>
      </c>
      <c r="M470" s="49">
        <v>1</v>
      </c>
      <c r="N470" s="457">
        <v>0</v>
      </c>
    </row>
    <row r="471" spans="1:14" ht="11.1" customHeight="1">
      <c r="A471" s="940" t="s">
        <v>7390</v>
      </c>
      <c r="B471" s="412" t="s">
        <v>10050</v>
      </c>
      <c r="C471" s="413">
        <v>93451</v>
      </c>
      <c r="D471" s="414">
        <v>60.823071515971989</v>
      </c>
      <c r="E471" s="415" t="s">
        <v>6251</v>
      </c>
      <c r="F471" s="416" t="s">
        <v>12280</v>
      </c>
      <c r="G471" s="416">
        <v>49</v>
      </c>
      <c r="H471" s="416" t="s">
        <v>0</v>
      </c>
      <c r="I471" s="416" t="s">
        <v>6233</v>
      </c>
      <c r="J471" s="416" t="s">
        <v>6257</v>
      </c>
      <c r="K471" s="416" t="s">
        <v>11998</v>
      </c>
      <c r="L471" s="416" t="s">
        <v>6209</v>
      </c>
      <c r="M471" s="416">
        <v>2</v>
      </c>
      <c r="N471" s="417" t="s">
        <v>6260</v>
      </c>
    </row>
    <row r="472" spans="1:14" ht="11.1" customHeight="1" thickBot="1">
      <c r="A472" s="430" t="s">
        <v>7392</v>
      </c>
      <c r="B472" s="463" t="s">
        <v>6230</v>
      </c>
      <c r="C472" s="75">
        <v>60193</v>
      </c>
      <c r="D472" s="77">
        <v>39.176928484028011</v>
      </c>
      <c r="E472" s="77">
        <v>64.411295759274921</v>
      </c>
      <c r="F472" s="78" t="s">
        <v>12281</v>
      </c>
      <c r="G472" s="78">
        <v>55</v>
      </c>
      <c r="H472" s="78" t="s">
        <v>0</v>
      </c>
      <c r="I472" s="78" t="s">
        <v>6233</v>
      </c>
      <c r="J472" s="78" t="s">
        <v>6253</v>
      </c>
      <c r="K472" s="78" t="s">
        <v>12178</v>
      </c>
      <c r="L472" s="78" t="s">
        <v>6036</v>
      </c>
      <c r="M472" s="78">
        <v>0</v>
      </c>
      <c r="N472" s="465">
        <v>0</v>
      </c>
    </row>
    <row r="473" spans="1:14" ht="11.1" customHeight="1">
      <c r="A473" s="941" t="s">
        <v>7399</v>
      </c>
      <c r="B473" s="439" t="s">
        <v>10050</v>
      </c>
      <c r="C473" s="440">
        <v>140831</v>
      </c>
      <c r="D473" s="441">
        <v>47.436212674941473</v>
      </c>
      <c r="E473" s="442" t="s">
        <v>6251</v>
      </c>
      <c r="F473" s="337" t="s">
        <v>7400</v>
      </c>
      <c r="G473" s="337">
        <v>59</v>
      </c>
      <c r="H473" s="337" t="s">
        <v>0</v>
      </c>
      <c r="I473" s="337" t="s">
        <v>6233</v>
      </c>
      <c r="J473" s="337" t="s">
        <v>6257</v>
      </c>
      <c r="K473" s="337" t="s">
        <v>11995</v>
      </c>
      <c r="L473" s="337" t="s">
        <v>6209</v>
      </c>
      <c r="M473" s="337">
        <v>5</v>
      </c>
      <c r="N473" s="443" t="s">
        <v>6260</v>
      </c>
    </row>
    <row r="474" spans="1:14" ht="11.1" customHeight="1">
      <c r="A474" s="400" t="s">
        <v>7397</v>
      </c>
      <c r="B474" s="458" t="s">
        <v>11986</v>
      </c>
      <c r="C474" s="39">
        <v>121185</v>
      </c>
      <c r="D474" s="41">
        <v>40.818835576064807</v>
      </c>
      <c r="E474" s="41">
        <v>86.049946389644319</v>
      </c>
      <c r="F474" s="42" t="s">
        <v>12282</v>
      </c>
      <c r="G474" s="42">
        <v>57</v>
      </c>
      <c r="H474" s="42" t="s">
        <v>0</v>
      </c>
      <c r="I474" s="42" t="s">
        <v>6233</v>
      </c>
      <c r="J474" s="42" t="s">
        <v>6253</v>
      </c>
      <c r="K474" s="42" t="s">
        <v>12007</v>
      </c>
      <c r="L474" s="42" t="s">
        <v>6209</v>
      </c>
      <c r="M474" s="42">
        <v>1</v>
      </c>
      <c r="N474" s="459">
        <v>0</v>
      </c>
    </row>
    <row r="475" spans="1:14" ht="11.1" customHeight="1">
      <c r="A475" s="817" t="s">
        <v>7401</v>
      </c>
      <c r="B475" s="455"/>
      <c r="C475" s="46">
        <v>34869</v>
      </c>
      <c r="D475" s="48">
        <v>11.744951748993719</v>
      </c>
      <c r="E475" s="48">
        <v>24.759463470400693</v>
      </c>
      <c r="F475" s="49" t="s">
        <v>9309</v>
      </c>
      <c r="G475" s="49">
        <v>57</v>
      </c>
      <c r="H475" s="49" t="s">
        <v>6049</v>
      </c>
      <c r="I475" s="49" t="s">
        <v>6233</v>
      </c>
      <c r="J475" s="49" t="s">
        <v>6264</v>
      </c>
      <c r="K475" s="49">
        <v>0</v>
      </c>
      <c r="L475" s="49" t="s">
        <v>6036</v>
      </c>
      <c r="M475" s="49">
        <v>0</v>
      </c>
      <c r="N475" s="457">
        <v>0</v>
      </c>
    </row>
    <row r="476" spans="1:14" ht="11.1" customHeight="1">
      <c r="A476" s="940" t="s">
        <v>7405</v>
      </c>
      <c r="B476" s="409" t="s">
        <v>10050</v>
      </c>
      <c r="C476" s="53">
        <v>124973</v>
      </c>
      <c r="D476" s="55">
        <v>46.741419226468089</v>
      </c>
      <c r="E476" s="410" t="s">
        <v>6251</v>
      </c>
      <c r="F476" s="56" t="s">
        <v>7406</v>
      </c>
      <c r="G476" s="56">
        <v>49</v>
      </c>
      <c r="H476" s="56" t="s">
        <v>0</v>
      </c>
      <c r="I476" s="56" t="s">
        <v>6233</v>
      </c>
      <c r="J476" s="56" t="s">
        <v>6253</v>
      </c>
      <c r="K476" s="56" t="s">
        <v>12007</v>
      </c>
      <c r="L476" s="56" t="s">
        <v>6209</v>
      </c>
      <c r="M476" s="56">
        <v>1</v>
      </c>
      <c r="N476" s="411">
        <v>0</v>
      </c>
    </row>
    <row r="477" spans="1:14" ht="11.1" customHeight="1">
      <c r="A477" s="400" t="s">
        <v>7407</v>
      </c>
      <c r="B477" s="458" t="s">
        <v>6230</v>
      </c>
      <c r="C477" s="39">
        <v>86735</v>
      </c>
      <c r="D477" s="41">
        <v>32.439943000549796</v>
      </c>
      <c r="E477" s="41">
        <v>69.402991046065949</v>
      </c>
      <c r="F477" s="42" t="s">
        <v>12283</v>
      </c>
      <c r="G477" s="42">
        <v>37</v>
      </c>
      <c r="H477" s="42" t="s">
        <v>0</v>
      </c>
      <c r="I477" s="42" t="s">
        <v>6233</v>
      </c>
      <c r="J477" s="42" t="s">
        <v>6257</v>
      </c>
      <c r="K477" s="42" t="s">
        <v>6258</v>
      </c>
      <c r="L477" s="42" t="s">
        <v>6036</v>
      </c>
      <c r="M477" s="42">
        <v>0</v>
      </c>
      <c r="N477" s="459" t="s">
        <v>6260</v>
      </c>
    </row>
    <row r="478" spans="1:14" ht="11.1" customHeight="1">
      <c r="A478" s="400" t="s">
        <v>7409</v>
      </c>
      <c r="B478" s="458"/>
      <c r="C478" s="39">
        <v>30991</v>
      </c>
      <c r="D478" s="41">
        <v>11.591010244192526</v>
      </c>
      <c r="E478" s="41">
        <v>24.798156401782784</v>
      </c>
      <c r="F478" s="42" t="s">
        <v>12284</v>
      </c>
      <c r="G478" s="42">
        <v>70</v>
      </c>
      <c r="H478" s="42" t="s">
        <v>6049</v>
      </c>
      <c r="I478" s="42" t="s">
        <v>6233</v>
      </c>
      <c r="J478" s="42" t="s">
        <v>6278</v>
      </c>
      <c r="K478" s="42">
        <v>0</v>
      </c>
      <c r="L478" s="42" t="s">
        <v>6283</v>
      </c>
      <c r="M478" s="42">
        <v>1</v>
      </c>
      <c r="N478" s="459">
        <v>0</v>
      </c>
    </row>
    <row r="479" spans="1:14" ht="11.1" customHeight="1">
      <c r="A479" s="400" t="s">
        <v>7411</v>
      </c>
      <c r="B479" s="458" t="s">
        <v>6231</v>
      </c>
      <c r="C479" s="39">
        <v>17081</v>
      </c>
      <c r="D479" s="41">
        <v>6.3885013707544944</v>
      </c>
      <c r="E479" s="469" t="s">
        <v>6262</v>
      </c>
      <c r="F479" s="42" t="s">
        <v>7412</v>
      </c>
      <c r="G479" s="42">
        <v>39</v>
      </c>
      <c r="H479" s="42" t="s">
        <v>0</v>
      </c>
      <c r="I479" s="42">
        <v>0</v>
      </c>
      <c r="J479" s="42" t="s">
        <v>6264</v>
      </c>
      <c r="K479" s="42">
        <v>0</v>
      </c>
      <c r="L479" s="42" t="s">
        <v>6036</v>
      </c>
      <c r="M479" s="42">
        <v>0</v>
      </c>
      <c r="N479" s="459">
        <v>0</v>
      </c>
    </row>
    <row r="480" spans="1:14" ht="11.1" customHeight="1">
      <c r="A480" s="817" t="s">
        <v>7415</v>
      </c>
      <c r="B480" s="455" t="s">
        <v>6231</v>
      </c>
      <c r="C480" s="46">
        <v>7591</v>
      </c>
      <c r="D480" s="48">
        <v>2.8391261580350897</v>
      </c>
      <c r="E480" s="456" t="s">
        <v>6262</v>
      </c>
      <c r="F480" s="49" t="s">
        <v>12285</v>
      </c>
      <c r="G480" s="49">
        <v>34</v>
      </c>
      <c r="H480" s="49" t="s">
        <v>6049</v>
      </c>
      <c r="I480" s="49">
        <v>0</v>
      </c>
      <c r="J480" s="49" t="s">
        <v>12017</v>
      </c>
      <c r="K480" s="49">
        <v>0</v>
      </c>
      <c r="L480" s="49" t="s">
        <v>6036</v>
      </c>
      <c r="M480" s="49">
        <v>0</v>
      </c>
      <c r="N480" s="457">
        <v>0</v>
      </c>
    </row>
    <row r="481" spans="1:14" ht="11.1" customHeight="1">
      <c r="A481" s="940" t="s">
        <v>7417</v>
      </c>
      <c r="B481" s="409" t="s">
        <v>10050</v>
      </c>
      <c r="C481" s="53">
        <v>143728</v>
      </c>
      <c r="D481" s="55">
        <v>51.096748505080235</v>
      </c>
      <c r="E481" s="410" t="s">
        <v>6251</v>
      </c>
      <c r="F481" s="56" t="s">
        <v>12286</v>
      </c>
      <c r="G481" s="56">
        <v>70</v>
      </c>
      <c r="H481" s="56" t="s">
        <v>0</v>
      </c>
      <c r="I481" s="56" t="s">
        <v>6233</v>
      </c>
      <c r="J481" s="56" t="s">
        <v>6253</v>
      </c>
      <c r="K481" s="56" t="s">
        <v>11994</v>
      </c>
      <c r="L481" s="56" t="s">
        <v>6209</v>
      </c>
      <c r="M481" s="56">
        <v>12</v>
      </c>
      <c r="N481" s="411">
        <v>0</v>
      </c>
    </row>
    <row r="482" spans="1:14" ht="11.1" customHeight="1">
      <c r="A482" s="400" t="s">
        <v>7419</v>
      </c>
      <c r="B482" s="458" t="s">
        <v>6230</v>
      </c>
      <c r="C482" s="39">
        <v>102889</v>
      </c>
      <c r="D482" s="41">
        <v>36.5780735621396</v>
      </c>
      <c r="E482" s="41">
        <v>71.585912278748751</v>
      </c>
      <c r="F482" s="42" t="s">
        <v>7420</v>
      </c>
      <c r="G482" s="42">
        <v>62</v>
      </c>
      <c r="H482" s="42" t="s">
        <v>0</v>
      </c>
      <c r="I482" s="42" t="s">
        <v>6233</v>
      </c>
      <c r="J482" s="42" t="s">
        <v>6257</v>
      </c>
      <c r="K482" s="42" t="s">
        <v>11995</v>
      </c>
      <c r="L482" s="42" t="s">
        <v>6209</v>
      </c>
      <c r="M482" s="42">
        <v>2</v>
      </c>
      <c r="N482" s="459" t="s">
        <v>6260</v>
      </c>
    </row>
    <row r="483" spans="1:14" ht="11.1" customHeight="1">
      <c r="A483" s="817" t="s">
        <v>7421</v>
      </c>
      <c r="B483" s="455"/>
      <c r="C483" s="46">
        <v>34669</v>
      </c>
      <c r="D483" s="48">
        <v>12.325177932780159</v>
      </c>
      <c r="E483" s="456" t="s">
        <v>6262</v>
      </c>
      <c r="F483" s="49" t="s">
        <v>7422</v>
      </c>
      <c r="G483" s="49">
        <v>51</v>
      </c>
      <c r="H483" s="49" t="s">
        <v>0</v>
      </c>
      <c r="I483" s="49">
        <v>0</v>
      </c>
      <c r="J483" s="49" t="s">
        <v>6264</v>
      </c>
      <c r="K483" s="49">
        <v>0</v>
      </c>
      <c r="L483" s="49" t="s">
        <v>6036</v>
      </c>
      <c r="M483" s="49">
        <v>0</v>
      </c>
      <c r="N483" s="457">
        <v>0</v>
      </c>
    </row>
    <row r="484" spans="1:14" ht="11.1" customHeight="1">
      <c r="A484" s="940" t="s">
        <v>7427</v>
      </c>
      <c r="B484" s="412" t="s">
        <v>10050</v>
      </c>
      <c r="C484" s="413">
        <v>87859</v>
      </c>
      <c r="D484" s="414">
        <v>49.71903277102161</v>
      </c>
      <c r="E484" s="415" t="s">
        <v>6251</v>
      </c>
      <c r="F484" s="416" t="s">
        <v>7428</v>
      </c>
      <c r="G484" s="416">
        <v>49</v>
      </c>
      <c r="H484" s="416" t="s">
        <v>0</v>
      </c>
      <c r="I484" s="416" t="s">
        <v>6233</v>
      </c>
      <c r="J484" s="416" t="s">
        <v>6257</v>
      </c>
      <c r="K484" s="416" t="s">
        <v>6258</v>
      </c>
      <c r="L484" s="416" t="s">
        <v>6209</v>
      </c>
      <c r="M484" s="416">
        <v>2</v>
      </c>
      <c r="N484" s="417" t="s">
        <v>6260</v>
      </c>
    </row>
    <row r="485" spans="1:14" ht="11.1" customHeight="1">
      <c r="A485" s="400" t="s">
        <v>7425</v>
      </c>
      <c r="B485" s="458" t="s">
        <v>6230</v>
      </c>
      <c r="C485" s="39">
        <v>66503</v>
      </c>
      <c r="D485" s="41">
        <v>37.63376360271856</v>
      </c>
      <c r="E485" s="41">
        <v>75.692871532796872</v>
      </c>
      <c r="F485" s="42" t="s">
        <v>12287</v>
      </c>
      <c r="G485" s="42">
        <v>63</v>
      </c>
      <c r="H485" s="42" t="s">
        <v>0</v>
      </c>
      <c r="I485" s="42" t="s">
        <v>6233</v>
      </c>
      <c r="J485" s="42" t="s">
        <v>6253</v>
      </c>
      <c r="K485" s="42" t="s">
        <v>11994</v>
      </c>
      <c r="L485" s="42" t="s">
        <v>6209</v>
      </c>
      <c r="M485" s="42">
        <v>5</v>
      </c>
      <c r="N485" s="459">
        <v>0</v>
      </c>
    </row>
    <row r="486" spans="1:14" ht="11.1" customHeight="1">
      <c r="A486" s="817" t="s">
        <v>7429</v>
      </c>
      <c r="B486" s="455"/>
      <c r="C486" s="46">
        <v>22349</v>
      </c>
      <c r="D486" s="48">
        <v>12.647203626259826</v>
      </c>
      <c r="E486" s="456" t="s">
        <v>6262</v>
      </c>
      <c r="F486" s="49" t="s">
        <v>7430</v>
      </c>
      <c r="G486" s="49">
        <v>51</v>
      </c>
      <c r="H486" s="49" t="s">
        <v>0</v>
      </c>
      <c r="I486" s="49">
        <v>0</v>
      </c>
      <c r="J486" s="49" t="s">
        <v>6264</v>
      </c>
      <c r="K486" s="49">
        <v>0</v>
      </c>
      <c r="L486" s="49" t="s">
        <v>6036</v>
      </c>
      <c r="M486" s="49">
        <v>0</v>
      </c>
      <c r="N486" s="457">
        <v>0</v>
      </c>
    </row>
    <row r="487" spans="1:14" ht="11.1" customHeight="1">
      <c r="A487" s="940" t="s">
        <v>7435</v>
      </c>
      <c r="B487" s="412" t="s">
        <v>10050</v>
      </c>
      <c r="C487" s="413">
        <v>120025</v>
      </c>
      <c r="D487" s="414">
        <v>54.832726491938985</v>
      </c>
      <c r="E487" s="415" t="s">
        <v>6251</v>
      </c>
      <c r="F487" s="416" t="s">
        <v>7436</v>
      </c>
      <c r="G487" s="416">
        <v>47</v>
      </c>
      <c r="H487" s="416" t="s">
        <v>0</v>
      </c>
      <c r="I487" s="416" t="s">
        <v>6233</v>
      </c>
      <c r="J487" s="416" t="s">
        <v>6257</v>
      </c>
      <c r="K487" s="416" t="s">
        <v>11998</v>
      </c>
      <c r="L487" s="416" t="s">
        <v>6209</v>
      </c>
      <c r="M487" s="416">
        <v>1</v>
      </c>
      <c r="N487" s="417" t="s">
        <v>6260</v>
      </c>
    </row>
    <row r="488" spans="1:14" ht="11.1" customHeight="1">
      <c r="A488" s="400" t="s">
        <v>7433</v>
      </c>
      <c r="B488" s="458" t="s">
        <v>6230</v>
      </c>
      <c r="C488" s="39">
        <v>72505</v>
      </c>
      <c r="D488" s="41">
        <v>33.123489558825547</v>
      </c>
      <c r="E488" s="41">
        <v>60.408248281607996</v>
      </c>
      <c r="F488" s="42" t="s">
        <v>12288</v>
      </c>
      <c r="G488" s="42">
        <v>36</v>
      </c>
      <c r="H488" s="42" t="s">
        <v>0</v>
      </c>
      <c r="I488" s="42" t="s">
        <v>6233</v>
      </c>
      <c r="J488" s="42" t="s">
        <v>6253</v>
      </c>
      <c r="K488" s="42" t="s">
        <v>12007</v>
      </c>
      <c r="L488" s="42" t="s">
        <v>6036</v>
      </c>
      <c r="M488" s="42">
        <v>0</v>
      </c>
      <c r="N488" s="459">
        <v>0</v>
      </c>
    </row>
    <row r="489" spans="1:14" ht="11.1" customHeight="1" thickBot="1">
      <c r="A489" s="418" t="s">
        <v>7437</v>
      </c>
      <c r="B489" s="460"/>
      <c r="C489" s="68">
        <v>26363</v>
      </c>
      <c r="D489" s="70">
        <v>12.043783949235472</v>
      </c>
      <c r="E489" s="461" t="s">
        <v>6262</v>
      </c>
      <c r="F489" s="71" t="s">
        <v>7438</v>
      </c>
      <c r="G489" s="71">
        <v>61</v>
      </c>
      <c r="H489" s="71" t="s">
        <v>0</v>
      </c>
      <c r="I489" s="71">
        <v>0</v>
      </c>
      <c r="J489" s="71" t="s">
        <v>6264</v>
      </c>
      <c r="K489" s="71">
        <v>0</v>
      </c>
      <c r="L489" s="71" t="s">
        <v>6036</v>
      </c>
      <c r="M489" s="71">
        <v>0</v>
      </c>
      <c r="N489" s="462">
        <v>0</v>
      </c>
    </row>
    <row r="490" spans="1:14" ht="11.1" customHeight="1" thickTop="1">
      <c r="A490" s="400" t="s">
        <v>7449</v>
      </c>
      <c r="B490" s="470" t="s">
        <v>10050</v>
      </c>
      <c r="C490" s="471">
        <v>96985</v>
      </c>
      <c r="D490" s="472">
        <v>42.820307912385815</v>
      </c>
      <c r="E490" s="473" t="s">
        <v>6262</v>
      </c>
      <c r="F490" s="474" t="s">
        <v>7446</v>
      </c>
      <c r="G490" s="474">
        <v>45</v>
      </c>
      <c r="H490" s="474" t="s">
        <v>6049</v>
      </c>
      <c r="I490" s="474">
        <v>0</v>
      </c>
      <c r="J490" s="474" t="s">
        <v>12017</v>
      </c>
      <c r="K490" s="474" t="s">
        <v>12289</v>
      </c>
      <c r="L490" s="474" t="s">
        <v>6209</v>
      </c>
      <c r="M490" s="474">
        <v>4</v>
      </c>
      <c r="N490" s="475">
        <v>0</v>
      </c>
    </row>
    <row r="491" spans="1:14" ht="11.1" customHeight="1">
      <c r="A491" s="400" t="s">
        <v>7445</v>
      </c>
      <c r="B491" s="458" t="s">
        <v>11986</v>
      </c>
      <c r="C491" s="39">
        <v>81189</v>
      </c>
      <c r="D491" s="41">
        <v>35.84614094033811</v>
      </c>
      <c r="E491" s="41">
        <v>83.712945300819712</v>
      </c>
      <c r="F491" s="42" t="s">
        <v>7111</v>
      </c>
      <c r="G491" s="42">
        <v>44</v>
      </c>
      <c r="H491" s="42" t="s">
        <v>6049</v>
      </c>
      <c r="I491" s="42" t="s">
        <v>6233</v>
      </c>
      <c r="J491" s="42" t="s">
        <v>6257</v>
      </c>
      <c r="K491" s="42" t="s">
        <v>6258</v>
      </c>
      <c r="L491" s="42" t="s">
        <v>6036</v>
      </c>
      <c r="M491" s="42">
        <v>0</v>
      </c>
      <c r="N491" s="459">
        <v>0</v>
      </c>
    </row>
    <row r="492" spans="1:14" ht="11.1" customHeight="1">
      <c r="A492" s="400" t="s">
        <v>7443</v>
      </c>
      <c r="B492" s="458" t="s">
        <v>6230</v>
      </c>
      <c r="C492" s="39">
        <v>38349</v>
      </c>
      <c r="D492" s="41">
        <v>16.931649101738245</v>
      </c>
      <c r="E492" s="41">
        <v>39.541166159715416</v>
      </c>
      <c r="F492" s="42" t="s">
        <v>7444</v>
      </c>
      <c r="G492" s="42">
        <v>26</v>
      </c>
      <c r="H492" s="42" t="s">
        <v>0</v>
      </c>
      <c r="I492" s="42" t="s">
        <v>6233</v>
      </c>
      <c r="J492" s="42" t="s">
        <v>6253</v>
      </c>
      <c r="K492" s="42" t="s">
        <v>12007</v>
      </c>
      <c r="L492" s="42" t="s">
        <v>6036</v>
      </c>
      <c r="M492" s="42">
        <v>0</v>
      </c>
      <c r="N492" s="459">
        <v>0</v>
      </c>
    </row>
    <row r="493" spans="1:14" ht="11.1" customHeight="1">
      <c r="A493" s="817" t="s">
        <v>7447</v>
      </c>
      <c r="B493" s="455" t="s">
        <v>6231</v>
      </c>
      <c r="C493" s="46">
        <v>9970</v>
      </c>
      <c r="D493" s="48">
        <v>4.401902045537831</v>
      </c>
      <c r="E493" s="456" t="s">
        <v>6262</v>
      </c>
      <c r="F493" s="49" t="s">
        <v>12290</v>
      </c>
      <c r="G493" s="49">
        <v>52</v>
      </c>
      <c r="H493" s="49" t="s">
        <v>0</v>
      </c>
      <c r="I493" s="49">
        <v>0</v>
      </c>
      <c r="J493" s="49" t="s">
        <v>6264</v>
      </c>
      <c r="K493" s="49">
        <v>0</v>
      </c>
      <c r="L493" s="49" t="s">
        <v>6036</v>
      </c>
      <c r="M493" s="49">
        <v>0</v>
      </c>
      <c r="N493" s="457">
        <v>0</v>
      </c>
    </row>
    <row r="494" spans="1:14" ht="11.1" customHeight="1">
      <c r="A494" s="940" t="s">
        <v>7451</v>
      </c>
      <c r="B494" s="412" t="s">
        <v>10050</v>
      </c>
      <c r="C494" s="413">
        <v>130953</v>
      </c>
      <c r="D494" s="414">
        <v>61.770283018867921</v>
      </c>
      <c r="E494" s="415" t="s">
        <v>6251</v>
      </c>
      <c r="F494" s="416" t="s">
        <v>7452</v>
      </c>
      <c r="G494" s="416">
        <v>42</v>
      </c>
      <c r="H494" s="416" t="s">
        <v>0</v>
      </c>
      <c r="I494" s="416" t="s">
        <v>6233</v>
      </c>
      <c r="J494" s="416" t="s">
        <v>6257</v>
      </c>
      <c r="K494" s="416" t="s">
        <v>11995</v>
      </c>
      <c r="L494" s="416" t="s">
        <v>6209</v>
      </c>
      <c r="M494" s="416">
        <v>3</v>
      </c>
      <c r="N494" s="417" t="s">
        <v>6260</v>
      </c>
    </row>
    <row r="495" spans="1:14" ht="11.1" customHeight="1">
      <c r="A495" s="400" t="s">
        <v>7453</v>
      </c>
      <c r="B495" s="458" t="s">
        <v>6230</v>
      </c>
      <c r="C495" s="39">
        <v>66823</v>
      </c>
      <c r="D495" s="41">
        <v>31.520283018867925</v>
      </c>
      <c r="E495" s="41">
        <v>51.028231502905619</v>
      </c>
      <c r="F495" s="42" t="s">
        <v>12291</v>
      </c>
      <c r="G495" s="42">
        <v>28</v>
      </c>
      <c r="H495" s="42" t="s">
        <v>6049</v>
      </c>
      <c r="I495" s="42" t="s">
        <v>6233</v>
      </c>
      <c r="J495" s="42" t="s">
        <v>6253</v>
      </c>
      <c r="K495" s="42" t="s">
        <v>12007</v>
      </c>
      <c r="L495" s="42" t="s">
        <v>6036</v>
      </c>
      <c r="M495" s="42">
        <v>0</v>
      </c>
      <c r="N495" s="459">
        <v>0</v>
      </c>
    </row>
    <row r="496" spans="1:14" ht="11.1" customHeight="1">
      <c r="A496" s="817" t="s">
        <v>7455</v>
      </c>
      <c r="B496" s="455" t="s">
        <v>6231</v>
      </c>
      <c r="C496" s="46">
        <v>14224</v>
      </c>
      <c r="D496" s="48">
        <v>6.7094339622641508</v>
      </c>
      <c r="E496" s="456" t="s">
        <v>6262</v>
      </c>
      <c r="F496" s="49" t="s">
        <v>12292</v>
      </c>
      <c r="G496" s="49">
        <v>46</v>
      </c>
      <c r="H496" s="49" t="s">
        <v>0</v>
      </c>
      <c r="I496" s="49">
        <v>0</v>
      </c>
      <c r="J496" s="49" t="s">
        <v>6264</v>
      </c>
      <c r="K496" s="49">
        <v>0</v>
      </c>
      <c r="L496" s="49" t="s">
        <v>6036</v>
      </c>
      <c r="M496" s="49">
        <v>0</v>
      </c>
      <c r="N496" s="457">
        <v>0</v>
      </c>
    </row>
    <row r="497" spans="1:14" ht="11.1" customHeight="1">
      <c r="A497" s="940" t="s">
        <v>7459</v>
      </c>
      <c r="B497" s="412" t="s">
        <v>10050</v>
      </c>
      <c r="C497" s="413">
        <v>137562</v>
      </c>
      <c r="D497" s="414">
        <v>49.261059047237076</v>
      </c>
      <c r="E497" s="415" t="s">
        <v>6251</v>
      </c>
      <c r="F497" s="416" t="s">
        <v>7460</v>
      </c>
      <c r="G497" s="416">
        <v>49</v>
      </c>
      <c r="H497" s="416" t="s">
        <v>0</v>
      </c>
      <c r="I497" s="416" t="s">
        <v>6233</v>
      </c>
      <c r="J497" s="416" t="s">
        <v>6257</v>
      </c>
      <c r="K497" s="416" t="s">
        <v>12012</v>
      </c>
      <c r="L497" s="416" t="s">
        <v>6036</v>
      </c>
      <c r="M497" s="416">
        <v>0</v>
      </c>
      <c r="N497" s="417" t="s">
        <v>6260</v>
      </c>
    </row>
    <row r="498" spans="1:14" ht="11.1" customHeight="1">
      <c r="A498" s="400" t="s">
        <v>7457</v>
      </c>
      <c r="B498" s="458" t="s">
        <v>11986</v>
      </c>
      <c r="C498" s="39">
        <v>120598</v>
      </c>
      <c r="D498" s="41">
        <v>43.186237470949074</v>
      </c>
      <c r="E498" s="41">
        <v>87.668106017650217</v>
      </c>
      <c r="F498" s="42" t="s">
        <v>7458</v>
      </c>
      <c r="G498" s="42">
        <v>38</v>
      </c>
      <c r="H498" s="42" t="s">
        <v>0</v>
      </c>
      <c r="I498" s="42" t="s">
        <v>6233</v>
      </c>
      <c r="J498" s="42" t="s">
        <v>6253</v>
      </c>
      <c r="K498" s="42" t="s">
        <v>12007</v>
      </c>
      <c r="L498" s="42" t="s">
        <v>6209</v>
      </c>
      <c r="M498" s="42">
        <v>1</v>
      </c>
      <c r="N498" s="459">
        <v>0</v>
      </c>
    </row>
    <row r="499" spans="1:14" ht="11.1" customHeight="1">
      <c r="A499" s="817" t="s">
        <v>7461</v>
      </c>
      <c r="B499" s="455" t="s">
        <v>6231</v>
      </c>
      <c r="C499" s="46">
        <v>21091</v>
      </c>
      <c r="D499" s="48">
        <v>7.5527034818138521</v>
      </c>
      <c r="E499" s="456" t="s">
        <v>6262</v>
      </c>
      <c r="F499" s="49" t="s">
        <v>12293</v>
      </c>
      <c r="G499" s="49">
        <v>65</v>
      </c>
      <c r="H499" s="49" t="s">
        <v>6049</v>
      </c>
      <c r="I499" s="49">
        <v>0</v>
      </c>
      <c r="J499" s="49" t="s">
        <v>6264</v>
      </c>
      <c r="K499" s="49">
        <v>0</v>
      </c>
      <c r="L499" s="49" t="s">
        <v>6036</v>
      </c>
      <c r="M499" s="49">
        <v>0</v>
      </c>
      <c r="N499" s="457">
        <v>0</v>
      </c>
    </row>
    <row r="500" spans="1:14" ht="11.1" customHeight="1">
      <c r="A500" s="940" t="s">
        <v>7463</v>
      </c>
      <c r="B500" s="412" t="s">
        <v>10050</v>
      </c>
      <c r="C500" s="413">
        <v>126921</v>
      </c>
      <c r="D500" s="414">
        <v>46.335568803688709</v>
      </c>
      <c r="E500" s="415" t="s">
        <v>6251</v>
      </c>
      <c r="F500" s="416" t="s">
        <v>7464</v>
      </c>
      <c r="G500" s="416">
        <v>62</v>
      </c>
      <c r="H500" s="416" t="s">
        <v>0</v>
      </c>
      <c r="I500" s="416" t="s">
        <v>6233</v>
      </c>
      <c r="J500" s="416" t="s">
        <v>6257</v>
      </c>
      <c r="K500" s="416" t="s">
        <v>12009</v>
      </c>
      <c r="L500" s="416" t="s">
        <v>6209</v>
      </c>
      <c r="M500" s="416">
        <v>6</v>
      </c>
      <c r="N500" s="417" t="s">
        <v>6260</v>
      </c>
    </row>
    <row r="501" spans="1:14" ht="11.1" customHeight="1">
      <c r="A501" s="400" t="s">
        <v>12294</v>
      </c>
      <c r="B501" s="458" t="s">
        <v>6230</v>
      </c>
      <c r="C501" s="39">
        <v>98419</v>
      </c>
      <c r="D501" s="41">
        <v>35.93022703957768</v>
      </c>
      <c r="E501" s="469" t="s">
        <v>6262</v>
      </c>
      <c r="F501" s="42" t="s">
        <v>12295</v>
      </c>
      <c r="G501" s="42">
        <v>62</v>
      </c>
      <c r="H501" s="42" t="s">
        <v>0</v>
      </c>
      <c r="I501" s="42">
        <v>0</v>
      </c>
      <c r="J501" s="42" t="s">
        <v>12017</v>
      </c>
      <c r="K501" s="42" t="s">
        <v>12035</v>
      </c>
      <c r="L501" s="42" t="s">
        <v>6209</v>
      </c>
      <c r="M501" s="42">
        <v>4</v>
      </c>
      <c r="N501" s="459">
        <v>0</v>
      </c>
    </row>
    <row r="502" spans="1:14" ht="11.1" customHeight="1">
      <c r="A502" s="400" t="s">
        <v>7465</v>
      </c>
      <c r="B502" s="458"/>
      <c r="C502" s="39">
        <v>39165</v>
      </c>
      <c r="D502" s="41">
        <v>14.298126804835041</v>
      </c>
      <c r="E502" s="41">
        <v>30.857777672725554</v>
      </c>
      <c r="F502" s="42" t="s">
        <v>12296</v>
      </c>
      <c r="G502" s="42">
        <v>32</v>
      </c>
      <c r="H502" s="42" t="s">
        <v>0</v>
      </c>
      <c r="I502" s="42" t="s">
        <v>6233</v>
      </c>
      <c r="J502" s="42" t="s">
        <v>6253</v>
      </c>
      <c r="K502" s="42" t="s">
        <v>12007</v>
      </c>
      <c r="L502" s="42" t="s">
        <v>6036</v>
      </c>
      <c r="M502" s="42">
        <v>0</v>
      </c>
      <c r="N502" s="459">
        <v>0</v>
      </c>
    </row>
    <row r="503" spans="1:14" ht="11.1" customHeight="1">
      <c r="A503" s="817" t="s">
        <v>7467</v>
      </c>
      <c r="B503" s="455" t="s">
        <v>6231</v>
      </c>
      <c r="C503" s="46">
        <v>9412</v>
      </c>
      <c r="D503" s="48">
        <v>3.4360773518985677</v>
      </c>
      <c r="E503" s="456" t="s">
        <v>6262</v>
      </c>
      <c r="F503" s="49" t="s">
        <v>12297</v>
      </c>
      <c r="G503" s="49">
        <v>53</v>
      </c>
      <c r="H503" s="49" t="s">
        <v>0</v>
      </c>
      <c r="I503" s="49">
        <v>0</v>
      </c>
      <c r="J503" s="49" t="s">
        <v>6264</v>
      </c>
      <c r="K503" s="49">
        <v>0</v>
      </c>
      <c r="L503" s="49" t="s">
        <v>6036</v>
      </c>
      <c r="M503" s="49">
        <v>0</v>
      </c>
      <c r="N503" s="457">
        <v>0</v>
      </c>
    </row>
    <row r="504" spans="1:14" ht="11.1" customHeight="1">
      <c r="A504" s="940" t="s">
        <v>12298</v>
      </c>
      <c r="B504" s="444" t="s">
        <v>10050</v>
      </c>
      <c r="C504" s="445">
        <v>88874</v>
      </c>
      <c r="D504" s="446">
        <v>42.035710062669978</v>
      </c>
      <c r="E504" s="447" t="s">
        <v>6262</v>
      </c>
      <c r="F504" s="448" t="s">
        <v>7472</v>
      </c>
      <c r="G504" s="448">
        <v>52</v>
      </c>
      <c r="H504" s="448" t="s">
        <v>0</v>
      </c>
      <c r="I504" s="448">
        <v>0</v>
      </c>
      <c r="J504" s="448" t="s">
        <v>12017</v>
      </c>
      <c r="K504" s="448" t="s">
        <v>12018</v>
      </c>
      <c r="L504" s="448" t="s">
        <v>6209</v>
      </c>
      <c r="M504" s="448">
        <v>5</v>
      </c>
      <c r="N504" s="449">
        <v>0</v>
      </c>
    </row>
    <row r="505" spans="1:14" ht="11.1" customHeight="1">
      <c r="A505" s="400" t="s">
        <v>7471</v>
      </c>
      <c r="B505" s="458" t="s">
        <v>6230</v>
      </c>
      <c r="C505" s="39">
        <v>55432</v>
      </c>
      <c r="D505" s="41">
        <v>26.218280714201253</v>
      </c>
      <c r="E505" s="41">
        <v>62.371447217408914</v>
      </c>
      <c r="F505" s="42" t="s">
        <v>12299</v>
      </c>
      <c r="G505" s="42">
        <v>30</v>
      </c>
      <c r="H505" s="42" t="s">
        <v>0</v>
      </c>
      <c r="I505" s="42" t="s">
        <v>6233</v>
      </c>
      <c r="J505" s="42" t="s">
        <v>6257</v>
      </c>
      <c r="K505" s="42" t="s">
        <v>6258</v>
      </c>
      <c r="L505" s="42" t="s">
        <v>6036</v>
      </c>
      <c r="M505" s="42">
        <v>0</v>
      </c>
      <c r="N505" s="459">
        <v>0</v>
      </c>
    </row>
    <row r="506" spans="1:14" ht="11.1" customHeight="1">
      <c r="A506" s="400" t="s">
        <v>7469</v>
      </c>
      <c r="B506" s="458" t="s">
        <v>6230</v>
      </c>
      <c r="C506" s="39">
        <v>52976</v>
      </c>
      <c r="D506" s="41">
        <v>25.05663947026132</v>
      </c>
      <c r="E506" s="41">
        <v>59.607984337376507</v>
      </c>
      <c r="F506" s="42" t="s">
        <v>7470</v>
      </c>
      <c r="G506" s="42">
        <v>42</v>
      </c>
      <c r="H506" s="42" t="s">
        <v>0</v>
      </c>
      <c r="I506" s="42" t="s">
        <v>6233</v>
      </c>
      <c r="J506" s="42" t="s">
        <v>6253</v>
      </c>
      <c r="K506" s="42" t="s">
        <v>12007</v>
      </c>
      <c r="L506" s="42" t="s">
        <v>6036</v>
      </c>
      <c r="M506" s="42">
        <v>0</v>
      </c>
      <c r="N506" s="459">
        <v>0</v>
      </c>
    </row>
    <row r="507" spans="1:14" ht="11.1" customHeight="1" thickBot="1">
      <c r="A507" s="400" t="s">
        <v>12300</v>
      </c>
      <c r="B507" s="458" t="s">
        <v>6231</v>
      </c>
      <c r="C507" s="39">
        <v>14143</v>
      </c>
      <c r="D507" s="41">
        <v>6.6893697528674467</v>
      </c>
      <c r="E507" s="469" t="s">
        <v>6262</v>
      </c>
      <c r="F507" s="42" t="s">
        <v>12301</v>
      </c>
      <c r="G507" s="42">
        <v>37</v>
      </c>
      <c r="H507" s="42" t="s">
        <v>0</v>
      </c>
      <c r="I507" s="42">
        <v>0</v>
      </c>
      <c r="J507" s="42" t="s">
        <v>6264</v>
      </c>
      <c r="K507" s="42">
        <v>0</v>
      </c>
      <c r="L507" s="42" t="s">
        <v>6036</v>
      </c>
      <c r="M507" s="42">
        <v>0</v>
      </c>
      <c r="N507" s="459">
        <v>0</v>
      </c>
    </row>
    <row r="508" spans="1:14" ht="11.1" customHeight="1">
      <c r="A508" s="941" t="s">
        <v>7475</v>
      </c>
      <c r="B508" s="439" t="s">
        <v>10050</v>
      </c>
      <c r="C508" s="440">
        <v>99702</v>
      </c>
      <c r="D508" s="441">
        <v>39.493761140819963</v>
      </c>
      <c r="E508" s="442" t="s">
        <v>6251</v>
      </c>
      <c r="F508" s="337" t="s">
        <v>7476</v>
      </c>
      <c r="G508" s="337">
        <v>52</v>
      </c>
      <c r="H508" s="337" t="s">
        <v>6049</v>
      </c>
      <c r="I508" s="337" t="s">
        <v>6233</v>
      </c>
      <c r="J508" s="337" t="s">
        <v>6257</v>
      </c>
      <c r="K508" s="337" t="s">
        <v>12009</v>
      </c>
      <c r="L508" s="337" t="s">
        <v>6209</v>
      </c>
      <c r="M508" s="337">
        <v>2</v>
      </c>
      <c r="N508" s="443" t="s">
        <v>6260</v>
      </c>
    </row>
    <row r="509" spans="1:14" ht="11.1" customHeight="1">
      <c r="A509" s="400" t="s">
        <v>7477</v>
      </c>
      <c r="B509" s="458" t="s">
        <v>6230</v>
      </c>
      <c r="C509" s="39">
        <v>69111</v>
      </c>
      <c r="D509" s="41">
        <v>27.376114081996434</v>
      </c>
      <c r="E509" s="469" t="s">
        <v>6262</v>
      </c>
      <c r="F509" s="42" t="s">
        <v>12302</v>
      </c>
      <c r="G509" s="42">
        <v>44</v>
      </c>
      <c r="H509" s="42" t="s">
        <v>0</v>
      </c>
      <c r="I509" s="42">
        <v>0</v>
      </c>
      <c r="J509" s="42" t="s">
        <v>12017</v>
      </c>
      <c r="K509" s="42" t="s">
        <v>6323</v>
      </c>
      <c r="L509" s="42" t="s">
        <v>6036</v>
      </c>
      <c r="M509" s="42">
        <v>0</v>
      </c>
      <c r="N509" s="459">
        <v>0</v>
      </c>
    </row>
    <row r="510" spans="1:14" ht="11.1" customHeight="1">
      <c r="A510" s="400" t="s">
        <v>7473</v>
      </c>
      <c r="B510" s="458" t="s">
        <v>6230</v>
      </c>
      <c r="C510" s="39">
        <v>67560</v>
      </c>
      <c r="D510" s="41">
        <v>26.761734997029116</v>
      </c>
      <c r="E510" s="41">
        <v>67.761930553048089</v>
      </c>
      <c r="F510" s="42" t="s">
        <v>7474</v>
      </c>
      <c r="G510" s="42">
        <v>60</v>
      </c>
      <c r="H510" s="42" t="s">
        <v>0</v>
      </c>
      <c r="I510" s="42" t="s">
        <v>6233</v>
      </c>
      <c r="J510" s="42" t="s">
        <v>6253</v>
      </c>
      <c r="K510" s="42" t="s">
        <v>12215</v>
      </c>
      <c r="L510" s="42" t="s">
        <v>6209</v>
      </c>
      <c r="M510" s="42">
        <v>3</v>
      </c>
      <c r="N510" s="459">
        <v>0</v>
      </c>
    </row>
    <row r="511" spans="1:14" ht="11.1" customHeight="1">
      <c r="A511" s="817" t="s">
        <v>7479</v>
      </c>
      <c r="B511" s="455" t="s">
        <v>6231</v>
      </c>
      <c r="C511" s="46">
        <v>16077</v>
      </c>
      <c r="D511" s="48">
        <v>6.3683897801544864</v>
      </c>
      <c r="E511" s="456" t="s">
        <v>6262</v>
      </c>
      <c r="F511" s="49" t="s">
        <v>7480</v>
      </c>
      <c r="G511" s="49">
        <v>45</v>
      </c>
      <c r="H511" s="49" t="s">
        <v>0</v>
      </c>
      <c r="I511" s="49">
        <v>0</v>
      </c>
      <c r="J511" s="49" t="s">
        <v>6264</v>
      </c>
      <c r="K511" s="49">
        <v>0</v>
      </c>
      <c r="L511" s="49" t="s">
        <v>6036</v>
      </c>
      <c r="M511" s="49">
        <v>0</v>
      </c>
      <c r="N511" s="457">
        <v>0</v>
      </c>
    </row>
    <row r="512" spans="1:14" ht="11.1" customHeight="1">
      <c r="A512" s="940" t="s">
        <v>7485</v>
      </c>
      <c r="B512" s="412" t="s">
        <v>10050</v>
      </c>
      <c r="C512" s="413">
        <v>155019</v>
      </c>
      <c r="D512" s="414">
        <v>56.662511925083066</v>
      </c>
      <c r="E512" s="415" t="s">
        <v>6251</v>
      </c>
      <c r="F512" s="416" t="s">
        <v>7486</v>
      </c>
      <c r="G512" s="416">
        <v>53</v>
      </c>
      <c r="H512" s="416" t="s">
        <v>0</v>
      </c>
      <c r="I512" s="416" t="s">
        <v>6233</v>
      </c>
      <c r="J512" s="416" t="s">
        <v>6257</v>
      </c>
      <c r="K512" s="416" t="s">
        <v>12062</v>
      </c>
      <c r="L512" s="416" t="s">
        <v>6209</v>
      </c>
      <c r="M512" s="416">
        <v>1</v>
      </c>
      <c r="N512" s="417" t="s">
        <v>6260</v>
      </c>
    </row>
    <row r="513" spans="1:14" ht="11.1" customHeight="1">
      <c r="A513" s="817" t="s">
        <v>7483</v>
      </c>
      <c r="B513" s="455" t="s">
        <v>6230</v>
      </c>
      <c r="C513" s="46">
        <v>118564</v>
      </c>
      <c r="D513" s="48">
        <v>43.337488074916934</v>
      </c>
      <c r="E513" s="48">
        <v>76.48352782562138</v>
      </c>
      <c r="F513" s="49" t="s">
        <v>7484</v>
      </c>
      <c r="G513" s="49">
        <v>33</v>
      </c>
      <c r="H513" s="49" t="s">
        <v>0</v>
      </c>
      <c r="I513" s="49" t="s">
        <v>6233</v>
      </c>
      <c r="J513" s="49" t="s">
        <v>6253</v>
      </c>
      <c r="K513" s="49" t="s">
        <v>12007</v>
      </c>
      <c r="L513" s="49" t="s">
        <v>6209</v>
      </c>
      <c r="M513" s="49">
        <v>2</v>
      </c>
      <c r="N513" s="457">
        <v>0</v>
      </c>
    </row>
    <row r="514" spans="1:14" ht="11.1" customHeight="1">
      <c r="A514" s="940" t="s">
        <v>7491</v>
      </c>
      <c r="B514" s="412" t="s">
        <v>10050</v>
      </c>
      <c r="C514" s="413">
        <v>153500</v>
      </c>
      <c r="D514" s="414">
        <v>61.283071898817056</v>
      </c>
      <c r="E514" s="415" t="s">
        <v>6251</v>
      </c>
      <c r="F514" s="416" t="s">
        <v>7492</v>
      </c>
      <c r="G514" s="416">
        <v>70</v>
      </c>
      <c r="H514" s="416" t="s">
        <v>0</v>
      </c>
      <c r="I514" s="416" t="s">
        <v>6233</v>
      </c>
      <c r="J514" s="416" t="s">
        <v>6257</v>
      </c>
      <c r="K514" s="416" t="s">
        <v>12009</v>
      </c>
      <c r="L514" s="416" t="s">
        <v>6209</v>
      </c>
      <c r="M514" s="416">
        <v>7</v>
      </c>
      <c r="N514" s="417">
        <v>0</v>
      </c>
    </row>
    <row r="515" spans="1:14" ht="11.1" customHeight="1">
      <c r="A515" s="400" t="s">
        <v>7489</v>
      </c>
      <c r="B515" s="458" t="s">
        <v>6230</v>
      </c>
      <c r="C515" s="39">
        <v>79075</v>
      </c>
      <c r="D515" s="41">
        <v>31.569764888592566</v>
      </c>
      <c r="E515" s="41">
        <v>51.514657980456029</v>
      </c>
      <c r="F515" s="42" t="s">
        <v>12303</v>
      </c>
      <c r="G515" s="42">
        <v>36</v>
      </c>
      <c r="H515" s="42" t="s">
        <v>0</v>
      </c>
      <c r="I515" s="42" t="s">
        <v>6233</v>
      </c>
      <c r="J515" s="42" t="s">
        <v>6253</v>
      </c>
      <c r="K515" s="42" t="s">
        <v>12007</v>
      </c>
      <c r="L515" s="42" t="s">
        <v>6036</v>
      </c>
      <c r="M515" s="42">
        <v>0</v>
      </c>
      <c r="N515" s="459">
        <v>0</v>
      </c>
    </row>
    <row r="516" spans="1:14" ht="11.1" customHeight="1">
      <c r="A516" s="817" t="s">
        <v>7493</v>
      </c>
      <c r="B516" s="455" t="s">
        <v>6231</v>
      </c>
      <c r="C516" s="46">
        <v>17902</v>
      </c>
      <c r="D516" s="48">
        <v>7.1471632125903772</v>
      </c>
      <c r="E516" s="456" t="s">
        <v>6262</v>
      </c>
      <c r="F516" s="49" t="s">
        <v>12304</v>
      </c>
      <c r="G516" s="49">
        <v>50</v>
      </c>
      <c r="H516" s="49" t="s">
        <v>0</v>
      </c>
      <c r="I516" s="49">
        <v>0</v>
      </c>
      <c r="J516" s="49" t="s">
        <v>6264</v>
      </c>
      <c r="K516" s="49">
        <v>0</v>
      </c>
      <c r="L516" s="49" t="s">
        <v>6036</v>
      </c>
      <c r="M516" s="49">
        <v>0</v>
      </c>
      <c r="N516" s="457">
        <v>0</v>
      </c>
    </row>
    <row r="517" spans="1:14" ht="11.1" customHeight="1">
      <c r="A517" s="940" t="s">
        <v>7497</v>
      </c>
      <c r="B517" s="412" t="s">
        <v>10050</v>
      </c>
      <c r="C517" s="413">
        <v>116045</v>
      </c>
      <c r="D517" s="414">
        <v>54.385471587580554</v>
      </c>
      <c r="E517" s="415" t="s">
        <v>6251</v>
      </c>
      <c r="F517" s="416" t="s">
        <v>7498</v>
      </c>
      <c r="G517" s="416">
        <v>58</v>
      </c>
      <c r="H517" s="416" t="s">
        <v>0</v>
      </c>
      <c r="I517" s="416" t="s">
        <v>6233</v>
      </c>
      <c r="J517" s="416" t="s">
        <v>6257</v>
      </c>
      <c r="K517" s="416" t="s">
        <v>12009</v>
      </c>
      <c r="L517" s="416" t="s">
        <v>6209</v>
      </c>
      <c r="M517" s="416">
        <v>3</v>
      </c>
      <c r="N517" s="417" t="s">
        <v>6260</v>
      </c>
    </row>
    <row r="518" spans="1:14" ht="11.1" customHeight="1">
      <c r="A518" s="817" t="s">
        <v>7495</v>
      </c>
      <c r="B518" s="455" t="s">
        <v>11986</v>
      </c>
      <c r="C518" s="46">
        <v>97330</v>
      </c>
      <c r="D518" s="48">
        <v>45.614528412419446</v>
      </c>
      <c r="E518" s="48">
        <v>83.872635615493991</v>
      </c>
      <c r="F518" s="49" t="s">
        <v>7496</v>
      </c>
      <c r="G518" s="49">
        <v>37</v>
      </c>
      <c r="H518" s="49" t="s">
        <v>0</v>
      </c>
      <c r="I518" s="49" t="s">
        <v>6233</v>
      </c>
      <c r="J518" s="49" t="s">
        <v>6253</v>
      </c>
      <c r="K518" s="49" t="s">
        <v>12007</v>
      </c>
      <c r="L518" s="49" t="s">
        <v>6209</v>
      </c>
      <c r="M518" s="49">
        <v>1</v>
      </c>
      <c r="N518" s="457">
        <v>0</v>
      </c>
    </row>
    <row r="519" spans="1:14" ht="11.1" customHeight="1">
      <c r="A519" s="940" t="s">
        <v>7501</v>
      </c>
      <c r="B519" s="409" t="s">
        <v>10050</v>
      </c>
      <c r="C519" s="53">
        <v>148002</v>
      </c>
      <c r="D519" s="55">
        <v>48.793208604631992</v>
      </c>
      <c r="E519" s="410" t="s">
        <v>6251</v>
      </c>
      <c r="F519" s="56" t="s">
        <v>7502</v>
      </c>
      <c r="G519" s="56">
        <v>34</v>
      </c>
      <c r="H519" s="56" t="s">
        <v>0</v>
      </c>
      <c r="I519" s="56" t="s">
        <v>6233</v>
      </c>
      <c r="J519" s="56" t="s">
        <v>6253</v>
      </c>
      <c r="K519" s="56" t="s">
        <v>12007</v>
      </c>
      <c r="L519" s="56" t="s">
        <v>6209</v>
      </c>
      <c r="M519" s="56">
        <v>2</v>
      </c>
      <c r="N519" s="411">
        <v>0</v>
      </c>
    </row>
    <row r="520" spans="1:14" ht="11.1" customHeight="1">
      <c r="A520" s="400" t="s">
        <v>7503</v>
      </c>
      <c r="B520" s="458" t="s">
        <v>11986</v>
      </c>
      <c r="C520" s="39">
        <v>141387</v>
      </c>
      <c r="D520" s="41">
        <v>46.612379460974203</v>
      </c>
      <c r="E520" s="41">
        <v>95.530465804516155</v>
      </c>
      <c r="F520" s="42" t="s">
        <v>7504</v>
      </c>
      <c r="G520" s="42">
        <v>60</v>
      </c>
      <c r="H520" s="42" t="s">
        <v>0</v>
      </c>
      <c r="I520" s="42" t="s">
        <v>6233</v>
      </c>
      <c r="J520" s="42" t="s">
        <v>6257</v>
      </c>
      <c r="K520" s="42" t="s">
        <v>11995</v>
      </c>
      <c r="L520" s="42" t="s">
        <v>6209</v>
      </c>
      <c r="M520" s="42">
        <v>6</v>
      </c>
      <c r="N520" s="459" t="s">
        <v>6260</v>
      </c>
    </row>
    <row r="521" spans="1:14" ht="11.1" customHeight="1">
      <c r="A521" s="817" t="s">
        <v>7505</v>
      </c>
      <c r="B521" s="455" t="s">
        <v>6231</v>
      </c>
      <c r="C521" s="46">
        <v>13936</v>
      </c>
      <c r="D521" s="48">
        <v>4.5944119343938024</v>
      </c>
      <c r="E521" s="456" t="s">
        <v>6262</v>
      </c>
      <c r="F521" s="49" t="s">
        <v>12305</v>
      </c>
      <c r="G521" s="49">
        <v>33</v>
      </c>
      <c r="H521" s="49" t="s">
        <v>6049</v>
      </c>
      <c r="I521" s="49">
        <v>0</v>
      </c>
      <c r="J521" s="49" t="s">
        <v>6264</v>
      </c>
      <c r="K521" s="49">
        <v>0</v>
      </c>
      <c r="L521" s="49" t="s">
        <v>6036</v>
      </c>
      <c r="M521" s="49">
        <v>0</v>
      </c>
      <c r="N521" s="457">
        <v>0</v>
      </c>
    </row>
    <row r="522" spans="1:14" ht="11.1" customHeight="1">
      <c r="A522" s="940" t="s">
        <v>7507</v>
      </c>
      <c r="B522" s="409" t="s">
        <v>10050</v>
      </c>
      <c r="C522" s="53">
        <v>154542</v>
      </c>
      <c r="D522" s="55">
        <v>52.569418696020435</v>
      </c>
      <c r="E522" s="410" t="s">
        <v>6251</v>
      </c>
      <c r="F522" s="56" t="s">
        <v>12306</v>
      </c>
      <c r="G522" s="56">
        <v>43</v>
      </c>
      <c r="H522" s="56" t="s">
        <v>0</v>
      </c>
      <c r="I522" s="56" t="s">
        <v>6233</v>
      </c>
      <c r="J522" s="56" t="s">
        <v>6253</v>
      </c>
      <c r="K522" s="56" t="s">
        <v>12178</v>
      </c>
      <c r="L522" s="56" t="s">
        <v>6209</v>
      </c>
      <c r="M522" s="56">
        <v>3</v>
      </c>
      <c r="N522" s="411">
        <v>0</v>
      </c>
    </row>
    <row r="523" spans="1:14" ht="11.1" customHeight="1">
      <c r="A523" s="400" t="s">
        <v>7509</v>
      </c>
      <c r="B523" s="458" t="s">
        <v>11986</v>
      </c>
      <c r="C523" s="39">
        <v>121089</v>
      </c>
      <c r="D523" s="41">
        <v>41.189957037455308</v>
      </c>
      <c r="E523" s="41">
        <v>78.353457312575216</v>
      </c>
      <c r="F523" s="42" t="s">
        <v>7510</v>
      </c>
      <c r="G523" s="42">
        <v>66</v>
      </c>
      <c r="H523" s="42" t="s">
        <v>0</v>
      </c>
      <c r="I523" s="42" t="s">
        <v>6233</v>
      </c>
      <c r="J523" s="42" t="s">
        <v>6257</v>
      </c>
      <c r="K523" s="42" t="s">
        <v>11995</v>
      </c>
      <c r="L523" s="42" t="s">
        <v>6209</v>
      </c>
      <c r="M523" s="42">
        <v>2</v>
      </c>
      <c r="N523" s="459">
        <v>0</v>
      </c>
    </row>
    <row r="524" spans="1:14" ht="11.1" customHeight="1">
      <c r="A524" s="817" t="s">
        <v>7511</v>
      </c>
      <c r="B524" s="455" t="s">
        <v>6231</v>
      </c>
      <c r="C524" s="46">
        <v>18346</v>
      </c>
      <c r="D524" s="48">
        <v>6.240624266524252</v>
      </c>
      <c r="E524" s="456" t="s">
        <v>6262</v>
      </c>
      <c r="F524" s="49" t="s">
        <v>12307</v>
      </c>
      <c r="G524" s="49">
        <v>62</v>
      </c>
      <c r="H524" s="49" t="s">
        <v>0</v>
      </c>
      <c r="I524" s="49">
        <v>0</v>
      </c>
      <c r="J524" s="49" t="s">
        <v>6264</v>
      </c>
      <c r="K524" s="49">
        <v>0</v>
      </c>
      <c r="L524" s="49" t="s">
        <v>6036</v>
      </c>
      <c r="M524" s="49">
        <v>0</v>
      </c>
      <c r="N524" s="457">
        <v>0</v>
      </c>
    </row>
    <row r="525" spans="1:14" ht="11.1" customHeight="1">
      <c r="A525" s="940" t="s">
        <v>7517</v>
      </c>
      <c r="B525" s="412" t="s">
        <v>10050</v>
      </c>
      <c r="C525" s="413">
        <v>85168</v>
      </c>
      <c r="D525" s="414">
        <v>36.76946124588239</v>
      </c>
      <c r="E525" s="415" t="s">
        <v>6251</v>
      </c>
      <c r="F525" s="416" t="s">
        <v>7518</v>
      </c>
      <c r="G525" s="416">
        <v>46</v>
      </c>
      <c r="H525" s="416" t="s">
        <v>6049</v>
      </c>
      <c r="I525" s="416" t="s">
        <v>6233</v>
      </c>
      <c r="J525" s="416" t="s">
        <v>6257</v>
      </c>
      <c r="K525" s="416" t="s">
        <v>6258</v>
      </c>
      <c r="L525" s="416" t="s">
        <v>6036</v>
      </c>
      <c r="M525" s="416">
        <v>0</v>
      </c>
      <c r="N525" s="417" t="s">
        <v>6260</v>
      </c>
    </row>
    <row r="526" spans="1:14" ht="11.1" customHeight="1">
      <c r="A526" s="400" t="s">
        <v>7519</v>
      </c>
      <c r="B526" s="458" t="s">
        <v>6230</v>
      </c>
      <c r="C526" s="39">
        <v>84420</v>
      </c>
      <c r="D526" s="41">
        <v>36.446528254478103</v>
      </c>
      <c r="E526" s="469" t="s">
        <v>6262</v>
      </c>
      <c r="F526" s="42" t="s">
        <v>12308</v>
      </c>
      <c r="G526" s="42">
        <v>40</v>
      </c>
      <c r="H526" s="42" t="s">
        <v>0</v>
      </c>
      <c r="I526" s="42">
        <v>0</v>
      </c>
      <c r="J526" s="42" t="s">
        <v>12017</v>
      </c>
      <c r="K526" s="42" t="s">
        <v>12309</v>
      </c>
      <c r="L526" s="42" t="s">
        <v>6209</v>
      </c>
      <c r="M526" s="42">
        <v>1</v>
      </c>
      <c r="N526" s="459">
        <v>0</v>
      </c>
    </row>
    <row r="527" spans="1:14" ht="11.1" customHeight="1">
      <c r="A527" s="817" t="s">
        <v>7515</v>
      </c>
      <c r="B527" s="455" t="s">
        <v>6230</v>
      </c>
      <c r="C527" s="46">
        <v>62039</v>
      </c>
      <c r="D527" s="48">
        <v>26.784010499639507</v>
      </c>
      <c r="E527" s="48">
        <v>72.843086605297771</v>
      </c>
      <c r="F527" s="49" t="s">
        <v>12310</v>
      </c>
      <c r="G527" s="49">
        <v>38</v>
      </c>
      <c r="H527" s="49" t="s">
        <v>0</v>
      </c>
      <c r="I527" s="49" t="s">
        <v>6233</v>
      </c>
      <c r="J527" s="49" t="s">
        <v>6253</v>
      </c>
      <c r="K527" s="49" t="s">
        <v>11994</v>
      </c>
      <c r="L527" s="49" t="s">
        <v>6036</v>
      </c>
      <c r="M527" s="49">
        <v>0</v>
      </c>
      <c r="N527" s="457">
        <v>0</v>
      </c>
    </row>
    <row r="528" spans="1:14" ht="11.1" customHeight="1">
      <c r="A528" s="940" t="s">
        <v>7523</v>
      </c>
      <c r="B528" s="412" t="s">
        <v>10050</v>
      </c>
      <c r="C528" s="413">
        <v>128456</v>
      </c>
      <c r="D528" s="414">
        <v>53.117647302063823</v>
      </c>
      <c r="E528" s="415" t="s">
        <v>6251</v>
      </c>
      <c r="F528" s="416" t="s">
        <v>12311</v>
      </c>
      <c r="G528" s="416">
        <v>55</v>
      </c>
      <c r="H528" s="416" t="s">
        <v>0</v>
      </c>
      <c r="I528" s="416" t="s">
        <v>6233</v>
      </c>
      <c r="J528" s="416" t="s">
        <v>6257</v>
      </c>
      <c r="K528" s="416" t="s">
        <v>11998</v>
      </c>
      <c r="L528" s="416" t="s">
        <v>6209</v>
      </c>
      <c r="M528" s="416">
        <v>4</v>
      </c>
      <c r="N528" s="417" t="s">
        <v>6260</v>
      </c>
    </row>
    <row r="529" spans="1:14" ht="11.1" customHeight="1">
      <c r="A529" s="400" t="s">
        <v>7521</v>
      </c>
      <c r="B529" s="458" t="s">
        <v>6230</v>
      </c>
      <c r="C529" s="39">
        <v>101801</v>
      </c>
      <c r="D529" s="41">
        <v>42.095578353657274</v>
      </c>
      <c r="E529" s="41">
        <v>79.2497041788628</v>
      </c>
      <c r="F529" s="42" t="s">
        <v>12312</v>
      </c>
      <c r="G529" s="42">
        <v>48</v>
      </c>
      <c r="H529" s="42" t="s">
        <v>0</v>
      </c>
      <c r="I529" s="42" t="s">
        <v>6233</v>
      </c>
      <c r="J529" s="42" t="s">
        <v>6253</v>
      </c>
      <c r="K529" s="42" t="s">
        <v>11994</v>
      </c>
      <c r="L529" s="42" t="s">
        <v>6209</v>
      </c>
      <c r="M529" s="42">
        <v>2</v>
      </c>
      <c r="N529" s="459">
        <v>0</v>
      </c>
    </row>
    <row r="530" spans="1:14" ht="11.1" customHeight="1" thickBot="1">
      <c r="A530" s="430" t="s">
        <v>7525</v>
      </c>
      <c r="B530" s="463" t="s">
        <v>6231</v>
      </c>
      <c r="C530" s="75">
        <v>11576</v>
      </c>
      <c r="D530" s="77">
        <v>4.7867743442789035</v>
      </c>
      <c r="E530" s="464" t="s">
        <v>6262</v>
      </c>
      <c r="F530" s="78" t="s">
        <v>12313</v>
      </c>
      <c r="G530" s="78">
        <v>61</v>
      </c>
      <c r="H530" s="78" t="s">
        <v>0</v>
      </c>
      <c r="I530" s="78">
        <v>0</v>
      </c>
      <c r="J530" s="78" t="s">
        <v>6264</v>
      </c>
      <c r="K530" s="78">
        <v>0</v>
      </c>
      <c r="L530" s="78" t="s">
        <v>6036</v>
      </c>
      <c r="M530" s="78">
        <v>0</v>
      </c>
      <c r="N530" s="465">
        <v>0</v>
      </c>
    </row>
    <row r="531" spans="1:14" ht="11.1" customHeight="1">
      <c r="A531" s="941" t="s">
        <v>7529</v>
      </c>
      <c r="B531" s="436" t="s">
        <v>10050</v>
      </c>
      <c r="C531" s="82">
        <v>105449</v>
      </c>
      <c r="D531" s="84">
        <v>49.956888383551259</v>
      </c>
      <c r="E531" s="437" t="s">
        <v>6251</v>
      </c>
      <c r="F531" s="85" t="s">
        <v>12314</v>
      </c>
      <c r="G531" s="85">
        <v>56</v>
      </c>
      <c r="H531" s="85" t="s">
        <v>0</v>
      </c>
      <c r="I531" s="85" t="s">
        <v>6233</v>
      </c>
      <c r="J531" s="85" t="s">
        <v>6253</v>
      </c>
      <c r="K531" s="85" t="s">
        <v>12007</v>
      </c>
      <c r="L531" s="85" t="s">
        <v>6209</v>
      </c>
      <c r="M531" s="85">
        <v>4</v>
      </c>
      <c r="N531" s="438">
        <v>0</v>
      </c>
    </row>
    <row r="532" spans="1:14" ht="11.1" customHeight="1">
      <c r="A532" s="400" t="s">
        <v>7531</v>
      </c>
      <c r="B532" s="458" t="s">
        <v>11986</v>
      </c>
      <c r="C532" s="39">
        <v>82486</v>
      </c>
      <c r="D532" s="41">
        <v>39.078074663634638</v>
      </c>
      <c r="E532" s="41">
        <v>78.223596240836798</v>
      </c>
      <c r="F532" s="42" t="s">
        <v>7532</v>
      </c>
      <c r="G532" s="42">
        <v>32</v>
      </c>
      <c r="H532" s="42" t="s">
        <v>0</v>
      </c>
      <c r="I532" s="42" t="s">
        <v>6233</v>
      </c>
      <c r="J532" s="42" t="s">
        <v>6257</v>
      </c>
      <c r="K532" s="42" t="s">
        <v>6350</v>
      </c>
      <c r="L532" s="42" t="s">
        <v>6036</v>
      </c>
      <c r="M532" s="42">
        <v>0</v>
      </c>
      <c r="N532" s="459" t="s">
        <v>6260</v>
      </c>
    </row>
    <row r="533" spans="1:14" ht="11.1" customHeight="1">
      <c r="A533" s="400" t="s">
        <v>7533</v>
      </c>
      <c r="B533" s="458" t="s">
        <v>6231</v>
      </c>
      <c r="C533" s="39">
        <v>15585</v>
      </c>
      <c r="D533" s="41">
        <v>7.3834565093803297</v>
      </c>
      <c r="E533" s="469" t="s">
        <v>6262</v>
      </c>
      <c r="F533" s="42" t="s">
        <v>7534</v>
      </c>
      <c r="G533" s="42">
        <v>55</v>
      </c>
      <c r="H533" s="42" t="s">
        <v>6049</v>
      </c>
      <c r="I533" s="42">
        <v>0</v>
      </c>
      <c r="J533" s="42" t="s">
        <v>6264</v>
      </c>
      <c r="K533" s="42">
        <v>0</v>
      </c>
      <c r="L533" s="42" t="s">
        <v>6036</v>
      </c>
      <c r="M533" s="42">
        <v>0</v>
      </c>
      <c r="N533" s="459">
        <v>0</v>
      </c>
    </row>
    <row r="534" spans="1:14" ht="11.1" customHeight="1">
      <c r="A534" s="817" t="s">
        <v>7535</v>
      </c>
      <c r="B534" s="455" t="s">
        <v>6231</v>
      </c>
      <c r="C534" s="46">
        <v>7560</v>
      </c>
      <c r="D534" s="48">
        <v>3.581580443433769</v>
      </c>
      <c r="E534" s="48">
        <v>7.1693425257707517</v>
      </c>
      <c r="F534" s="49" t="s">
        <v>12315</v>
      </c>
      <c r="G534" s="49">
        <v>56</v>
      </c>
      <c r="H534" s="49" t="s">
        <v>0</v>
      </c>
      <c r="I534" s="49" t="s">
        <v>6233</v>
      </c>
      <c r="J534" s="49" t="s">
        <v>6278</v>
      </c>
      <c r="K534" s="49">
        <v>0</v>
      </c>
      <c r="L534" s="49" t="s">
        <v>6036</v>
      </c>
      <c r="M534" s="49">
        <v>0</v>
      </c>
      <c r="N534" s="457">
        <v>0</v>
      </c>
    </row>
    <row r="535" spans="1:14" ht="11.1" customHeight="1">
      <c r="A535" s="940" t="s">
        <v>7539</v>
      </c>
      <c r="B535" s="409" t="s">
        <v>10050</v>
      </c>
      <c r="C535" s="53">
        <v>116884</v>
      </c>
      <c r="D535" s="55">
        <v>52.002758436589325</v>
      </c>
      <c r="E535" s="410" t="s">
        <v>6251</v>
      </c>
      <c r="F535" s="56" t="s">
        <v>7540</v>
      </c>
      <c r="G535" s="56">
        <v>39</v>
      </c>
      <c r="H535" s="56" t="s">
        <v>0</v>
      </c>
      <c r="I535" s="56" t="s">
        <v>6233</v>
      </c>
      <c r="J535" s="56" t="s">
        <v>6253</v>
      </c>
      <c r="K535" s="56" t="s">
        <v>12007</v>
      </c>
      <c r="L535" s="56" t="s">
        <v>6209</v>
      </c>
      <c r="M535" s="56">
        <v>3</v>
      </c>
      <c r="N535" s="411">
        <v>0</v>
      </c>
    </row>
    <row r="536" spans="1:14" ht="11.1" customHeight="1">
      <c r="A536" s="400" t="s">
        <v>7541</v>
      </c>
      <c r="B536" s="458" t="s">
        <v>6230</v>
      </c>
      <c r="C536" s="39">
        <v>87804</v>
      </c>
      <c r="D536" s="41">
        <v>39.064801014392813</v>
      </c>
      <c r="E536" s="41">
        <v>75.120632421888374</v>
      </c>
      <c r="F536" s="42" t="s">
        <v>12316</v>
      </c>
      <c r="G536" s="42">
        <v>27</v>
      </c>
      <c r="H536" s="42" t="s">
        <v>0</v>
      </c>
      <c r="I536" s="42" t="s">
        <v>6233</v>
      </c>
      <c r="J536" s="42" t="s">
        <v>6257</v>
      </c>
      <c r="K536" s="42" t="s">
        <v>11995</v>
      </c>
      <c r="L536" s="42" t="s">
        <v>6036</v>
      </c>
      <c r="M536" s="42">
        <v>0</v>
      </c>
      <c r="N536" s="459" t="s">
        <v>6260</v>
      </c>
    </row>
    <row r="537" spans="1:14" ht="11.1" customHeight="1">
      <c r="A537" s="817" t="s">
        <v>7543</v>
      </c>
      <c r="B537" s="455" t="s">
        <v>6231</v>
      </c>
      <c r="C537" s="46">
        <v>20077</v>
      </c>
      <c r="D537" s="48">
        <v>8.9324405490178638</v>
      </c>
      <c r="E537" s="456" t="s">
        <v>6262</v>
      </c>
      <c r="F537" s="49" t="s">
        <v>7544</v>
      </c>
      <c r="G537" s="49">
        <v>50</v>
      </c>
      <c r="H537" s="49" t="s">
        <v>6049</v>
      </c>
      <c r="I537" s="49">
        <v>0</v>
      </c>
      <c r="J537" s="49" t="s">
        <v>6264</v>
      </c>
      <c r="K537" s="49">
        <v>0</v>
      </c>
      <c r="L537" s="49" t="s">
        <v>6036</v>
      </c>
      <c r="M537" s="49">
        <v>0</v>
      </c>
      <c r="N537" s="457">
        <v>0</v>
      </c>
    </row>
    <row r="538" spans="1:14" ht="11.1" customHeight="1">
      <c r="A538" s="940" t="s">
        <v>7547</v>
      </c>
      <c r="B538" s="409" t="s">
        <v>10050</v>
      </c>
      <c r="C538" s="53">
        <v>110799</v>
      </c>
      <c r="D538" s="55">
        <v>48.99358832633208</v>
      </c>
      <c r="E538" s="410" t="s">
        <v>6251</v>
      </c>
      <c r="F538" s="56" t="s">
        <v>7548</v>
      </c>
      <c r="G538" s="56">
        <v>47</v>
      </c>
      <c r="H538" s="56" t="s">
        <v>0</v>
      </c>
      <c r="I538" s="56" t="s">
        <v>6233</v>
      </c>
      <c r="J538" s="56" t="s">
        <v>6253</v>
      </c>
      <c r="K538" s="56" t="s">
        <v>12000</v>
      </c>
      <c r="L538" s="56" t="s">
        <v>6209</v>
      </c>
      <c r="M538" s="56">
        <v>3</v>
      </c>
      <c r="N538" s="411">
        <v>0</v>
      </c>
    </row>
    <row r="539" spans="1:14" ht="11.1" customHeight="1">
      <c r="A539" s="400" t="s">
        <v>7549</v>
      </c>
      <c r="B539" s="458" t="s">
        <v>11986</v>
      </c>
      <c r="C539" s="39">
        <v>86426</v>
      </c>
      <c r="D539" s="41">
        <v>38.216228167145701</v>
      </c>
      <c r="E539" s="41">
        <v>78.002509047915595</v>
      </c>
      <c r="F539" s="42" t="s">
        <v>7550</v>
      </c>
      <c r="G539" s="42">
        <v>48</v>
      </c>
      <c r="H539" s="42" t="s">
        <v>0</v>
      </c>
      <c r="I539" s="42" t="s">
        <v>6233</v>
      </c>
      <c r="J539" s="42" t="s">
        <v>6257</v>
      </c>
      <c r="K539" s="42" t="s">
        <v>6258</v>
      </c>
      <c r="L539" s="42" t="s">
        <v>6036</v>
      </c>
      <c r="M539" s="42">
        <v>0</v>
      </c>
      <c r="N539" s="459" t="s">
        <v>6260</v>
      </c>
    </row>
    <row r="540" spans="1:14" ht="11.1" customHeight="1">
      <c r="A540" s="400" t="s">
        <v>7551</v>
      </c>
      <c r="B540" s="458" t="s">
        <v>6231</v>
      </c>
      <c r="C540" s="39">
        <v>20425</v>
      </c>
      <c r="D540" s="41">
        <v>9.0316161839487066</v>
      </c>
      <c r="E540" s="469" t="s">
        <v>6262</v>
      </c>
      <c r="F540" s="42" t="s">
        <v>12317</v>
      </c>
      <c r="G540" s="42">
        <v>40</v>
      </c>
      <c r="H540" s="42" t="s">
        <v>0</v>
      </c>
      <c r="I540" s="42">
        <v>0</v>
      </c>
      <c r="J540" s="42" t="s">
        <v>6264</v>
      </c>
      <c r="K540" s="42">
        <v>0</v>
      </c>
      <c r="L540" s="42" t="s">
        <v>6036</v>
      </c>
      <c r="M540" s="42">
        <v>0</v>
      </c>
      <c r="N540" s="459">
        <v>0</v>
      </c>
    </row>
    <row r="541" spans="1:14" ht="11.1" customHeight="1">
      <c r="A541" s="817" t="s">
        <v>7553</v>
      </c>
      <c r="B541" s="455" t="s">
        <v>6231</v>
      </c>
      <c r="C541" s="46">
        <v>8500</v>
      </c>
      <c r="D541" s="48">
        <v>3.758567322573513</v>
      </c>
      <c r="E541" s="456" t="s">
        <v>6262</v>
      </c>
      <c r="F541" s="49" t="s">
        <v>12318</v>
      </c>
      <c r="G541" s="49">
        <v>45</v>
      </c>
      <c r="H541" s="49" t="s">
        <v>0</v>
      </c>
      <c r="I541" s="49">
        <v>0</v>
      </c>
      <c r="J541" s="49" t="s">
        <v>12017</v>
      </c>
      <c r="K541" s="49">
        <v>0</v>
      </c>
      <c r="L541" s="49" t="s">
        <v>6036</v>
      </c>
      <c r="M541" s="49">
        <v>0</v>
      </c>
      <c r="N541" s="457">
        <v>0</v>
      </c>
    </row>
    <row r="542" spans="1:14" ht="11.1" customHeight="1">
      <c r="A542" s="940" t="s">
        <v>7555</v>
      </c>
      <c r="B542" s="409" t="s">
        <v>10050</v>
      </c>
      <c r="C542" s="53">
        <v>95844</v>
      </c>
      <c r="D542" s="55">
        <v>43.748202719542086</v>
      </c>
      <c r="E542" s="410" t="s">
        <v>6251</v>
      </c>
      <c r="F542" s="56" t="s">
        <v>12319</v>
      </c>
      <c r="G542" s="56">
        <v>47</v>
      </c>
      <c r="H542" s="56" t="s">
        <v>0</v>
      </c>
      <c r="I542" s="56" t="s">
        <v>6233</v>
      </c>
      <c r="J542" s="56" t="s">
        <v>6253</v>
      </c>
      <c r="K542" s="56" t="s">
        <v>12007</v>
      </c>
      <c r="L542" s="56" t="s">
        <v>6209</v>
      </c>
      <c r="M542" s="56">
        <v>2</v>
      </c>
      <c r="N542" s="411">
        <v>0</v>
      </c>
    </row>
    <row r="543" spans="1:14" ht="11.1" customHeight="1">
      <c r="A543" s="400" t="s">
        <v>7557</v>
      </c>
      <c r="B543" s="458" t="s">
        <v>11986</v>
      </c>
      <c r="C543" s="39">
        <v>87824</v>
      </c>
      <c r="D543" s="41">
        <v>40.08745623764726</v>
      </c>
      <c r="E543" s="41">
        <v>91.632235716372435</v>
      </c>
      <c r="F543" s="42" t="s">
        <v>7558</v>
      </c>
      <c r="G543" s="42">
        <v>55</v>
      </c>
      <c r="H543" s="42" t="s">
        <v>6049</v>
      </c>
      <c r="I543" s="42" t="s">
        <v>6233</v>
      </c>
      <c r="J543" s="42" t="s">
        <v>6257</v>
      </c>
      <c r="K543" s="42" t="s">
        <v>12009</v>
      </c>
      <c r="L543" s="42" t="s">
        <v>6036</v>
      </c>
      <c r="M543" s="42">
        <v>0</v>
      </c>
      <c r="N543" s="459" t="s">
        <v>6260</v>
      </c>
    </row>
    <row r="544" spans="1:14" ht="11.1" customHeight="1">
      <c r="A544" s="400" t="s">
        <v>7559</v>
      </c>
      <c r="B544" s="458"/>
      <c r="C544" s="39">
        <v>30622</v>
      </c>
      <c r="D544" s="41">
        <v>13.97747864944929</v>
      </c>
      <c r="E544" s="41">
        <v>31.949835148783439</v>
      </c>
      <c r="F544" s="42" t="s">
        <v>7560</v>
      </c>
      <c r="G544" s="42">
        <v>58</v>
      </c>
      <c r="H544" s="42" t="s">
        <v>6049</v>
      </c>
      <c r="I544" s="42" t="s">
        <v>6233</v>
      </c>
      <c r="J544" s="42" t="s">
        <v>6264</v>
      </c>
      <c r="K544" s="42">
        <v>0</v>
      </c>
      <c r="L544" s="42" t="s">
        <v>6283</v>
      </c>
      <c r="M544" s="42">
        <v>2</v>
      </c>
      <c r="N544" s="459">
        <v>0</v>
      </c>
    </row>
    <row r="545" spans="1:14" ht="11.1" customHeight="1">
      <c r="A545" s="817" t="s">
        <v>7561</v>
      </c>
      <c r="B545" s="455" t="s">
        <v>6231</v>
      </c>
      <c r="C545" s="46">
        <v>4791</v>
      </c>
      <c r="D545" s="48">
        <v>2.1868623933613596</v>
      </c>
      <c r="E545" s="456" t="s">
        <v>6262</v>
      </c>
      <c r="F545" s="49" t="s">
        <v>12320</v>
      </c>
      <c r="G545" s="49">
        <v>56</v>
      </c>
      <c r="H545" s="49" t="s">
        <v>0</v>
      </c>
      <c r="I545" s="49">
        <v>0</v>
      </c>
      <c r="J545" s="49" t="s">
        <v>12017</v>
      </c>
      <c r="K545" s="49">
        <v>0</v>
      </c>
      <c r="L545" s="49" t="s">
        <v>6036</v>
      </c>
      <c r="M545" s="49">
        <v>0</v>
      </c>
      <c r="N545" s="457">
        <v>0</v>
      </c>
    </row>
    <row r="546" spans="1:14" ht="11.1" customHeight="1">
      <c r="A546" s="940" t="s">
        <v>7565</v>
      </c>
      <c r="B546" s="412" t="s">
        <v>10050</v>
      </c>
      <c r="C546" s="413">
        <v>117017</v>
      </c>
      <c r="D546" s="414">
        <v>48.317195532340982</v>
      </c>
      <c r="E546" s="415" t="s">
        <v>6251</v>
      </c>
      <c r="F546" s="416" t="s">
        <v>12321</v>
      </c>
      <c r="G546" s="416">
        <v>50</v>
      </c>
      <c r="H546" s="416" t="s">
        <v>0</v>
      </c>
      <c r="I546" s="416" t="s">
        <v>6233</v>
      </c>
      <c r="J546" s="416" t="s">
        <v>6257</v>
      </c>
      <c r="K546" s="416" t="s">
        <v>11995</v>
      </c>
      <c r="L546" s="416" t="s">
        <v>6209</v>
      </c>
      <c r="M546" s="416">
        <v>3</v>
      </c>
      <c r="N546" s="417" t="s">
        <v>6260</v>
      </c>
    </row>
    <row r="547" spans="1:14" ht="11.1" customHeight="1">
      <c r="A547" s="400" t="s">
        <v>7563</v>
      </c>
      <c r="B547" s="458" t="s">
        <v>11986</v>
      </c>
      <c r="C547" s="39">
        <v>107645</v>
      </c>
      <c r="D547" s="41">
        <v>44.447426554080558</v>
      </c>
      <c r="E547" s="41">
        <v>91.990907304066937</v>
      </c>
      <c r="F547" s="42" t="s">
        <v>7564</v>
      </c>
      <c r="G547" s="42">
        <v>57</v>
      </c>
      <c r="H547" s="42" t="s">
        <v>0</v>
      </c>
      <c r="I547" s="42" t="s">
        <v>6233</v>
      </c>
      <c r="J547" s="42" t="s">
        <v>6253</v>
      </c>
      <c r="K547" s="42" t="s">
        <v>11989</v>
      </c>
      <c r="L547" s="42" t="s">
        <v>6209</v>
      </c>
      <c r="M547" s="42">
        <v>5</v>
      </c>
      <c r="N547" s="459">
        <v>0</v>
      </c>
    </row>
    <row r="548" spans="1:14" ht="11.1" customHeight="1">
      <c r="A548" s="817" t="s">
        <v>7567</v>
      </c>
      <c r="B548" s="455" t="s">
        <v>6231</v>
      </c>
      <c r="C548" s="46">
        <v>17523</v>
      </c>
      <c r="D548" s="48">
        <v>7.2353779135784624</v>
      </c>
      <c r="E548" s="456" t="s">
        <v>6262</v>
      </c>
      <c r="F548" s="49" t="s">
        <v>9459</v>
      </c>
      <c r="G548" s="49">
        <v>40</v>
      </c>
      <c r="H548" s="49" t="s">
        <v>6049</v>
      </c>
      <c r="I548" s="49">
        <v>0</v>
      </c>
      <c r="J548" s="49" t="s">
        <v>6264</v>
      </c>
      <c r="K548" s="49">
        <v>0</v>
      </c>
      <c r="L548" s="49" t="s">
        <v>6036</v>
      </c>
      <c r="M548" s="49">
        <v>0</v>
      </c>
      <c r="N548" s="457">
        <v>0</v>
      </c>
    </row>
    <row r="549" spans="1:14" ht="11.1" customHeight="1">
      <c r="A549" s="940" t="s">
        <v>7571</v>
      </c>
      <c r="B549" s="412" t="s">
        <v>10050</v>
      </c>
      <c r="C549" s="413">
        <v>126670</v>
      </c>
      <c r="D549" s="414">
        <v>48.033278602116695</v>
      </c>
      <c r="E549" s="415" t="s">
        <v>6251</v>
      </c>
      <c r="F549" s="416" t="s">
        <v>7572</v>
      </c>
      <c r="G549" s="416">
        <v>32</v>
      </c>
      <c r="H549" s="416" t="s">
        <v>0</v>
      </c>
      <c r="I549" s="416" t="s">
        <v>6233</v>
      </c>
      <c r="J549" s="416" t="s">
        <v>6257</v>
      </c>
      <c r="K549" s="416" t="s">
        <v>12028</v>
      </c>
      <c r="L549" s="416" t="s">
        <v>6036</v>
      </c>
      <c r="M549" s="416">
        <v>0</v>
      </c>
      <c r="N549" s="417" t="s">
        <v>6260</v>
      </c>
    </row>
    <row r="550" spans="1:14" ht="11.1" customHeight="1">
      <c r="A550" s="400" t="s">
        <v>7569</v>
      </c>
      <c r="B550" s="458" t="s">
        <v>11986</v>
      </c>
      <c r="C550" s="39">
        <v>113467</v>
      </c>
      <c r="D550" s="41">
        <v>43.02669948011664</v>
      </c>
      <c r="E550" s="41">
        <v>89.576853240704196</v>
      </c>
      <c r="F550" s="42" t="s">
        <v>12322</v>
      </c>
      <c r="G550" s="42">
        <v>45</v>
      </c>
      <c r="H550" s="42" t="s">
        <v>0</v>
      </c>
      <c r="I550" s="42" t="s">
        <v>6233</v>
      </c>
      <c r="J550" s="42" t="s">
        <v>6253</v>
      </c>
      <c r="K550" s="42" t="s">
        <v>12007</v>
      </c>
      <c r="L550" s="42" t="s">
        <v>6209</v>
      </c>
      <c r="M550" s="42">
        <v>2</v>
      </c>
      <c r="N550" s="459">
        <v>0</v>
      </c>
    </row>
    <row r="551" spans="1:14" ht="11.1" customHeight="1">
      <c r="A551" s="817" t="s">
        <v>7575</v>
      </c>
      <c r="B551" s="455" t="s">
        <v>6231</v>
      </c>
      <c r="C551" s="46">
        <v>23576</v>
      </c>
      <c r="D551" s="48">
        <v>8.9400219177666624</v>
      </c>
      <c r="E551" s="456" t="s">
        <v>6262</v>
      </c>
      <c r="F551" s="49" t="s">
        <v>12323</v>
      </c>
      <c r="G551" s="49">
        <v>55</v>
      </c>
      <c r="H551" s="49" t="s">
        <v>6049</v>
      </c>
      <c r="I551" s="49">
        <v>0</v>
      </c>
      <c r="J551" s="49" t="s">
        <v>6264</v>
      </c>
      <c r="K551" s="49">
        <v>0</v>
      </c>
      <c r="L551" s="49" t="s">
        <v>6036</v>
      </c>
      <c r="M551" s="49">
        <v>0</v>
      </c>
      <c r="N551" s="457">
        <v>0</v>
      </c>
    </row>
    <row r="552" spans="1:14" ht="11.1" customHeight="1">
      <c r="A552" s="940" t="s">
        <v>7581</v>
      </c>
      <c r="B552" s="412" t="s">
        <v>10050</v>
      </c>
      <c r="C552" s="413">
        <v>134535</v>
      </c>
      <c r="D552" s="414">
        <v>49.996097974291224</v>
      </c>
      <c r="E552" s="415" t="s">
        <v>6251</v>
      </c>
      <c r="F552" s="416" t="s">
        <v>7582</v>
      </c>
      <c r="G552" s="416">
        <v>47</v>
      </c>
      <c r="H552" s="416" t="s">
        <v>0</v>
      </c>
      <c r="I552" s="416" t="s">
        <v>6233</v>
      </c>
      <c r="J552" s="416" t="s">
        <v>6257</v>
      </c>
      <c r="K552" s="416" t="s">
        <v>11998</v>
      </c>
      <c r="L552" s="416" t="s">
        <v>6209</v>
      </c>
      <c r="M552" s="416">
        <v>1</v>
      </c>
      <c r="N552" s="417" t="s">
        <v>6260</v>
      </c>
    </row>
    <row r="553" spans="1:14" ht="11.1" customHeight="1">
      <c r="A553" s="400" t="s">
        <v>7579</v>
      </c>
      <c r="B553" s="458" t="s">
        <v>6230</v>
      </c>
      <c r="C553" s="39">
        <v>111654</v>
      </c>
      <c r="D553" s="41">
        <v>41.493026522626174</v>
      </c>
      <c r="E553" s="41">
        <v>82.992529824952612</v>
      </c>
      <c r="F553" s="42" t="s">
        <v>12324</v>
      </c>
      <c r="G553" s="42">
        <v>41</v>
      </c>
      <c r="H553" s="42" t="s">
        <v>0</v>
      </c>
      <c r="I553" s="42" t="s">
        <v>6233</v>
      </c>
      <c r="J553" s="42" t="s">
        <v>6253</v>
      </c>
      <c r="K553" s="42" t="s">
        <v>12007</v>
      </c>
      <c r="L553" s="42" t="s">
        <v>6209</v>
      </c>
      <c r="M553" s="42">
        <v>2</v>
      </c>
      <c r="N553" s="459">
        <v>0</v>
      </c>
    </row>
    <row r="554" spans="1:14" ht="11.1" customHeight="1">
      <c r="A554" s="817" t="s">
        <v>7583</v>
      </c>
      <c r="B554" s="455" t="s">
        <v>6231</v>
      </c>
      <c r="C554" s="46">
        <v>22902</v>
      </c>
      <c r="D554" s="48">
        <v>8.5108755030826</v>
      </c>
      <c r="E554" s="456" t="s">
        <v>6262</v>
      </c>
      <c r="F554" s="49" t="s">
        <v>12325</v>
      </c>
      <c r="G554" s="49">
        <v>43</v>
      </c>
      <c r="H554" s="49" t="s">
        <v>0</v>
      </c>
      <c r="I554" s="49">
        <v>0</v>
      </c>
      <c r="J554" s="49" t="s">
        <v>6264</v>
      </c>
      <c r="K554" s="49">
        <v>0</v>
      </c>
      <c r="L554" s="49" t="s">
        <v>6036</v>
      </c>
      <c r="M554" s="49">
        <v>0</v>
      </c>
      <c r="N554" s="457">
        <v>0</v>
      </c>
    </row>
    <row r="555" spans="1:14" ht="11.1" customHeight="1">
      <c r="A555" s="940" t="s">
        <v>7587</v>
      </c>
      <c r="B555" s="412" t="s">
        <v>10050</v>
      </c>
      <c r="C555" s="413">
        <v>123280</v>
      </c>
      <c r="D555" s="414">
        <v>45.865654705433712</v>
      </c>
      <c r="E555" s="415" t="s">
        <v>6251</v>
      </c>
      <c r="F555" s="416" t="s">
        <v>7588</v>
      </c>
      <c r="G555" s="416">
        <v>41</v>
      </c>
      <c r="H555" s="416" t="s">
        <v>0</v>
      </c>
      <c r="I555" s="416" t="s">
        <v>6233</v>
      </c>
      <c r="J555" s="416" t="s">
        <v>6257</v>
      </c>
      <c r="K555" s="416" t="s">
        <v>11995</v>
      </c>
      <c r="L555" s="416" t="s">
        <v>6036</v>
      </c>
      <c r="M555" s="416">
        <v>0</v>
      </c>
      <c r="N555" s="417" t="s">
        <v>6260</v>
      </c>
    </row>
    <row r="556" spans="1:14" ht="11.1" customHeight="1">
      <c r="A556" s="400" t="s">
        <v>7585</v>
      </c>
      <c r="B556" s="458" t="s">
        <v>11986</v>
      </c>
      <c r="C556" s="39">
        <v>115200</v>
      </c>
      <c r="D556" s="41">
        <v>42.859534572241756</v>
      </c>
      <c r="E556" s="41">
        <v>93.445814406229715</v>
      </c>
      <c r="F556" s="42" t="s">
        <v>12326</v>
      </c>
      <c r="G556" s="42">
        <v>44</v>
      </c>
      <c r="H556" s="42" t="s">
        <v>0</v>
      </c>
      <c r="I556" s="42" t="s">
        <v>6233</v>
      </c>
      <c r="J556" s="42" t="s">
        <v>6253</v>
      </c>
      <c r="K556" s="42" t="s">
        <v>11994</v>
      </c>
      <c r="L556" s="42" t="s">
        <v>6209</v>
      </c>
      <c r="M556" s="42">
        <v>2</v>
      </c>
      <c r="N556" s="459">
        <v>0</v>
      </c>
    </row>
    <row r="557" spans="1:14" ht="11.1" customHeight="1">
      <c r="A557" s="400" t="s">
        <v>12327</v>
      </c>
      <c r="B557" s="458" t="s">
        <v>6231</v>
      </c>
      <c r="C557" s="39">
        <v>15943</v>
      </c>
      <c r="D557" s="41">
        <v>5.9315065944900196</v>
      </c>
      <c r="E557" s="41">
        <v>12.932349123945491</v>
      </c>
      <c r="F557" s="42" t="s">
        <v>12328</v>
      </c>
      <c r="G557" s="42">
        <v>42</v>
      </c>
      <c r="H557" s="42" t="s">
        <v>0</v>
      </c>
      <c r="I557" s="42" t="s">
        <v>6233</v>
      </c>
      <c r="J557" s="42" t="s">
        <v>12175</v>
      </c>
      <c r="K557" s="42">
        <v>0</v>
      </c>
      <c r="L557" s="42" t="s">
        <v>6036</v>
      </c>
      <c r="M557" s="42">
        <v>0</v>
      </c>
      <c r="N557" s="459">
        <v>0</v>
      </c>
    </row>
    <row r="558" spans="1:14" ht="11.1" customHeight="1">
      <c r="A558" s="817" t="s">
        <v>7589</v>
      </c>
      <c r="B558" s="455" t="s">
        <v>6231</v>
      </c>
      <c r="C558" s="46">
        <v>14362</v>
      </c>
      <c r="D558" s="48">
        <v>5.3433041278345144</v>
      </c>
      <c r="E558" s="456" t="s">
        <v>6262</v>
      </c>
      <c r="F558" s="49" t="s">
        <v>12329</v>
      </c>
      <c r="G558" s="49">
        <v>64</v>
      </c>
      <c r="H558" s="49" t="s">
        <v>0</v>
      </c>
      <c r="I558" s="49">
        <v>0</v>
      </c>
      <c r="J558" s="49" t="s">
        <v>6264</v>
      </c>
      <c r="K558" s="49">
        <v>0</v>
      </c>
      <c r="L558" s="49" t="s">
        <v>6036</v>
      </c>
      <c r="M558" s="49">
        <v>0</v>
      </c>
      <c r="N558" s="457">
        <v>0</v>
      </c>
    </row>
    <row r="559" spans="1:14" ht="11.1" customHeight="1">
      <c r="A559" s="940" t="s">
        <v>7593</v>
      </c>
      <c r="B559" s="412" t="s">
        <v>10050</v>
      </c>
      <c r="C559" s="413">
        <v>130771</v>
      </c>
      <c r="D559" s="414">
        <v>47.66002266904291</v>
      </c>
      <c r="E559" s="415" t="s">
        <v>6262</v>
      </c>
      <c r="F559" s="416" t="s">
        <v>7594</v>
      </c>
      <c r="G559" s="416">
        <v>74</v>
      </c>
      <c r="H559" s="416" t="s">
        <v>0</v>
      </c>
      <c r="I559" s="416">
        <v>0</v>
      </c>
      <c r="J559" s="416" t="s">
        <v>6257</v>
      </c>
      <c r="K559" s="416" t="s">
        <v>12330</v>
      </c>
      <c r="L559" s="416" t="s">
        <v>6209</v>
      </c>
      <c r="M559" s="416">
        <v>15</v>
      </c>
      <c r="N559" s="417" t="s">
        <v>6260</v>
      </c>
    </row>
    <row r="560" spans="1:14" ht="11.1" customHeight="1">
      <c r="A560" s="400" t="s">
        <v>7591</v>
      </c>
      <c r="B560" s="458" t="s">
        <v>11986</v>
      </c>
      <c r="C560" s="39">
        <v>110809</v>
      </c>
      <c r="D560" s="41">
        <v>40.384790602916361</v>
      </c>
      <c r="E560" s="41">
        <v>84.735147700942875</v>
      </c>
      <c r="F560" s="42" t="s">
        <v>7592</v>
      </c>
      <c r="G560" s="42">
        <v>34</v>
      </c>
      <c r="H560" s="42" t="s">
        <v>0</v>
      </c>
      <c r="I560" s="42" t="s">
        <v>6233</v>
      </c>
      <c r="J560" s="42" t="s">
        <v>6253</v>
      </c>
      <c r="K560" s="42" t="s">
        <v>12007</v>
      </c>
      <c r="L560" s="42" t="s">
        <v>6209</v>
      </c>
      <c r="M560" s="42">
        <v>1</v>
      </c>
      <c r="N560" s="459">
        <v>0</v>
      </c>
    </row>
    <row r="561" spans="1:14" ht="11.1" customHeight="1">
      <c r="A561" s="400" t="s">
        <v>7595</v>
      </c>
      <c r="B561" s="458" t="s">
        <v>6231</v>
      </c>
      <c r="C561" s="39">
        <v>17489</v>
      </c>
      <c r="D561" s="41">
        <v>6.3739371608299349</v>
      </c>
      <c r="E561" s="469" t="s">
        <v>6262</v>
      </c>
      <c r="F561" s="42" t="s">
        <v>12331</v>
      </c>
      <c r="G561" s="42">
        <v>59</v>
      </c>
      <c r="H561" s="42" t="s">
        <v>0</v>
      </c>
      <c r="I561" s="42">
        <v>0</v>
      </c>
      <c r="J561" s="42" t="s">
        <v>6264</v>
      </c>
      <c r="K561" s="42">
        <v>0</v>
      </c>
      <c r="L561" s="42" t="s">
        <v>6036</v>
      </c>
      <c r="M561" s="42">
        <v>0</v>
      </c>
      <c r="N561" s="459">
        <v>0</v>
      </c>
    </row>
    <row r="562" spans="1:14" ht="11.1" customHeight="1">
      <c r="A562" s="817" t="s">
        <v>12332</v>
      </c>
      <c r="B562" s="455" t="s">
        <v>6231</v>
      </c>
      <c r="C562" s="46">
        <v>15314</v>
      </c>
      <c r="D562" s="48">
        <v>5.5812495672107962</v>
      </c>
      <c r="E562" s="456" t="s">
        <v>6262</v>
      </c>
      <c r="F562" s="49" t="s">
        <v>12333</v>
      </c>
      <c r="G562" s="49">
        <v>36</v>
      </c>
      <c r="H562" s="49" t="s">
        <v>0</v>
      </c>
      <c r="I562" s="49">
        <v>0</v>
      </c>
      <c r="J562" s="49" t="s">
        <v>7280</v>
      </c>
      <c r="K562" s="49">
        <v>0</v>
      </c>
      <c r="L562" s="49" t="s">
        <v>6036</v>
      </c>
      <c r="M562" s="49">
        <v>0</v>
      </c>
      <c r="N562" s="457">
        <v>0</v>
      </c>
    </row>
    <row r="563" spans="1:14" ht="11.1" customHeight="1">
      <c r="A563" s="940" t="s">
        <v>7599</v>
      </c>
      <c r="B563" s="412" t="s">
        <v>10050</v>
      </c>
      <c r="C563" s="413">
        <v>140622</v>
      </c>
      <c r="D563" s="414">
        <v>52.70709410455062</v>
      </c>
      <c r="E563" s="415" t="s">
        <v>6251</v>
      </c>
      <c r="F563" s="416" t="s">
        <v>7600</v>
      </c>
      <c r="G563" s="416">
        <v>61</v>
      </c>
      <c r="H563" s="416" t="s">
        <v>0</v>
      </c>
      <c r="I563" s="416" t="s">
        <v>6233</v>
      </c>
      <c r="J563" s="416" t="s">
        <v>6257</v>
      </c>
      <c r="K563" s="416" t="s">
        <v>12330</v>
      </c>
      <c r="L563" s="416" t="s">
        <v>6209</v>
      </c>
      <c r="M563" s="416">
        <v>3</v>
      </c>
      <c r="N563" s="417" t="s">
        <v>6260</v>
      </c>
    </row>
    <row r="564" spans="1:14" ht="11.1" customHeight="1">
      <c r="A564" s="400" t="s">
        <v>7597</v>
      </c>
      <c r="B564" s="458" t="s">
        <v>6230</v>
      </c>
      <c r="C564" s="39">
        <v>104827</v>
      </c>
      <c r="D564" s="41">
        <v>39.290627026338178</v>
      </c>
      <c r="E564" s="41">
        <v>74.545234742785624</v>
      </c>
      <c r="F564" s="42" t="s">
        <v>7598</v>
      </c>
      <c r="G564" s="42">
        <v>44</v>
      </c>
      <c r="H564" s="42" t="s">
        <v>0</v>
      </c>
      <c r="I564" s="42" t="s">
        <v>6233</v>
      </c>
      <c r="J564" s="42" t="s">
        <v>6253</v>
      </c>
      <c r="K564" s="42" t="s">
        <v>12007</v>
      </c>
      <c r="L564" s="42" t="s">
        <v>6036</v>
      </c>
      <c r="M564" s="42">
        <v>0</v>
      </c>
      <c r="N564" s="459">
        <v>0</v>
      </c>
    </row>
    <row r="565" spans="1:14" ht="11.1" customHeight="1">
      <c r="A565" s="817" t="s">
        <v>7601</v>
      </c>
      <c r="B565" s="455" t="s">
        <v>6231</v>
      </c>
      <c r="C565" s="46">
        <v>21350</v>
      </c>
      <c r="D565" s="48">
        <v>8.002278869111203</v>
      </c>
      <c r="E565" s="456" t="s">
        <v>6262</v>
      </c>
      <c r="F565" s="49" t="s">
        <v>12334</v>
      </c>
      <c r="G565" s="49">
        <v>67</v>
      </c>
      <c r="H565" s="49" t="s">
        <v>0</v>
      </c>
      <c r="I565" s="49">
        <v>0</v>
      </c>
      <c r="J565" s="49" t="s">
        <v>6264</v>
      </c>
      <c r="K565" s="49">
        <v>0</v>
      </c>
      <c r="L565" s="49" t="s">
        <v>6036</v>
      </c>
      <c r="M565" s="49">
        <v>0</v>
      </c>
      <c r="N565" s="457">
        <v>0</v>
      </c>
    </row>
    <row r="566" spans="1:14" ht="11.1" customHeight="1">
      <c r="A566" s="940" t="s">
        <v>7603</v>
      </c>
      <c r="B566" s="409" t="s">
        <v>10050</v>
      </c>
      <c r="C566" s="53">
        <v>132730</v>
      </c>
      <c r="D566" s="55">
        <v>52.291109368905836</v>
      </c>
      <c r="E566" s="410" t="s">
        <v>6251</v>
      </c>
      <c r="F566" s="56" t="s">
        <v>7604</v>
      </c>
      <c r="G566" s="56">
        <v>40</v>
      </c>
      <c r="H566" s="56" t="s">
        <v>0</v>
      </c>
      <c r="I566" s="56" t="s">
        <v>6233</v>
      </c>
      <c r="J566" s="56" t="s">
        <v>6253</v>
      </c>
      <c r="K566" s="56" t="s">
        <v>12178</v>
      </c>
      <c r="L566" s="56" t="s">
        <v>6209</v>
      </c>
      <c r="M566" s="56">
        <v>1</v>
      </c>
      <c r="N566" s="411">
        <v>0</v>
      </c>
    </row>
    <row r="567" spans="1:14" ht="11.1" customHeight="1">
      <c r="A567" s="400" t="s">
        <v>7605</v>
      </c>
      <c r="B567" s="458" t="s">
        <v>11986</v>
      </c>
      <c r="C567" s="39">
        <v>105631</v>
      </c>
      <c r="D567" s="41">
        <v>41.615024288004918</v>
      </c>
      <c r="E567" s="41">
        <v>79.583364725382353</v>
      </c>
      <c r="F567" s="42" t="s">
        <v>7606</v>
      </c>
      <c r="G567" s="42">
        <v>45</v>
      </c>
      <c r="H567" s="42" t="s">
        <v>0</v>
      </c>
      <c r="I567" s="42" t="s">
        <v>6233</v>
      </c>
      <c r="J567" s="42" t="s">
        <v>6257</v>
      </c>
      <c r="K567" s="42" t="s">
        <v>12062</v>
      </c>
      <c r="L567" s="42" t="s">
        <v>6036</v>
      </c>
      <c r="M567" s="42">
        <v>0</v>
      </c>
      <c r="N567" s="459" t="s">
        <v>6260</v>
      </c>
    </row>
    <row r="568" spans="1:14" ht="11.1" customHeight="1">
      <c r="A568" s="817" t="s">
        <v>7607</v>
      </c>
      <c r="B568" s="455" t="s">
        <v>6231</v>
      </c>
      <c r="C568" s="46">
        <v>15468</v>
      </c>
      <c r="D568" s="48">
        <v>6.0938663430892452</v>
      </c>
      <c r="E568" s="456" t="s">
        <v>6262</v>
      </c>
      <c r="F568" s="49" t="s">
        <v>7552</v>
      </c>
      <c r="G568" s="49">
        <v>32</v>
      </c>
      <c r="H568" s="49" t="s">
        <v>6049</v>
      </c>
      <c r="I568" s="49">
        <v>0</v>
      </c>
      <c r="J568" s="49" t="s">
        <v>6264</v>
      </c>
      <c r="K568" s="49">
        <v>0</v>
      </c>
      <c r="L568" s="49" t="s">
        <v>6036</v>
      </c>
      <c r="M568" s="49">
        <v>0</v>
      </c>
      <c r="N568" s="457">
        <v>0</v>
      </c>
    </row>
    <row r="569" spans="1:14" ht="11.1" customHeight="1">
      <c r="A569" s="940" t="s">
        <v>7611</v>
      </c>
      <c r="B569" s="412" t="s">
        <v>10050</v>
      </c>
      <c r="C569" s="413">
        <v>159256</v>
      </c>
      <c r="D569" s="414">
        <v>52.621735840577841</v>
      </c>
      <c r="E569" s="415" t="s">
        <v>6251</v>
      </c>
      <c r="F569" s="416" t="s">
        <v>7612</v>
      </c>
      <c r="G569" s="416">
        <v>71</v>
      </c>
      <c r="H569" s="416" t="s">
        <v>0</v>
      </c>
      <c r="I569" s="416" t="s">
        <v>6233</v>
      </c>
      <c r="J569" s="416" t="s">
        <v>6257</v>
      </c>
      <c r="K569" s="416" t="s">
        <v>11998</v>
      </c>
      <c r="L569" s="416" t="s">
        <v>6209</v>
      </c>
      <c r="M569" s="416">
        <v>5</v>
      </c>
      <c r="N569" s="417" t="s">
        <v>6260</v>
      </c>
    </row>
    <row r="570" spans="1:14" ht="11.1" customHeight="1">
      <c r="A570" s="400" t="s">
        <v>7609</v>
      </c>
      <c r="B570" s="458" t="s">
        <v>6230</v>
      </c>
      <c r="C570" s="39">
        <v>128681</v>
      </c>
      <c r="D570" s="41">
        <v>42.519073628003952</v>
      </c>
      <c r="E570" s="41">
        <v>80.801351283468122</v>
      </c>
      <c r="F570" s="42" t="s">
        <v>7610</v>
      </c>
      <c r="G570" s="42">
        <v>43</v>
      </c>
      <c r="H570" s="42" t="s">
        <v>0</v>
      </c>
      <c r="I570" s="42" t="s">
        <v>6233</v>
      </c>
      <c r="J570" s="42" t="s">
        <v>6253</v>
      </c>
      <c r="K570" s="42" t="s">
        <v>12007</v>
      </c>
      <c r="L570" s="42" t="s">
        <v>6209</v>
      </c>
      <c r="M570" s="42">
        <v>1</v>
      </c>
      <c r="N570" s="459">
        <v>0</v>
      </c>
    </row>
    <row r="571" spans="1:14" ht="11.1" customHeight="1">
      <c r="A571" s="817" t="s">
        <v>6197</v>
      </c>
      <c r="B571" s="455" t="s">
        <v>6231</v>
      </c>
      <c r="C571" s="46">
        <v>14706</v>
      </c>
      <c r="D571" s="48">
        <v>4.8591905314182053</v>
      </c>
      <c r="E571" s="456" t="s">
        <v>6262</v>
      </c>
      <c r="F571" s="49" t="s">
        <v>12335</v>
      </c>
      <c r="G571" s="49">
        <v>54</v>
      </c>
      <c r="H571" s="49" t="s">
        <v>0</v>
      </c>
      <c r="I571" s="49">
        <v>0</v>
      </c>
      <c r="J571" s="49" t="s">
        <v>6264</v>
      </c>
      <c r="K571" s="49">
        <v>0</v>
      </c>
      <c r="L571" s="49" t="s">
        <v>6036</v>
      </c>
      <c r="M571" s="49">
        <v>0</v>
      </c>
      <c r="N571" s="457">
        <v>0</v>
      </c>
    </row>
    <row r="572" spans="1:14" ht="11.1" customHeight="1">
      <c r="A572" s="940" t="s">
        <v>7617</v>
      </c>
      <c r="B572" s="412" t="s">
        <v>10050</v>
      </c>
      <c r="C572" s="413">
        <v>139022</v>
      </c>
      <c r="D572" s="414">
        <v>53.076823224880307</v>
      </c>
      <c r="E572" s="415" t="s">
        <v>6251</v>
      </c>
      <c r="F572" s="416" t="s">
        <v>7618</v>
      </c>
      <c r="G572" s="416">
        <v>45</v>
      </c>
      <c r="H572" s="416" t="s">
        <v>0</v>
      </c>
      <c r="I572" s="416" t="s">
        <v>6233</v>
      </c>
      <c r="J572" s="416" t="s">
        <v>6257</v>
      </c>
      <c r="K572" s="416" t="s">
        <v>11995</v>
      </c>
      <c r="L572" s="416" t="s">
        <v>6209</v>
      </c>
      <c r="M572" s="416">
        <v>3</v>
      </c>
      <c r="N572" s="417" t="s">
        <v>6260</v>
      </c>
    </row>
    <row r="573" spans="1:14" ht="11.1" customHeight="1">
      <c r="A573" s="400" t="s">
        <v>7615</v>
      </c>
      <c r="B573" s="458" t="s">
        <v>6230</v>
      </c>
      <c r="C573" s="39">
        <v>109593</v>
      </c>
      <c r="D573" s="41">
        <v>41.841207058482169</v>
      </c>
      <c r="E573" s="41">
        <v>78.831407978593319</v>
      </c>
      <c r="F573" s="42" t="s">
        <v>12336</v>
      </c>
      <c r="G573" s="42">
        <v>47</v>
      </c>
      <c r="H573" s="42" t="s">
        <v>0</v>
      </c>
      <c r="I573" s="42" t="s">
        <v>6233</v>
      </c>
      <c r="J573" s="42" t="s">
        <v>6253</v>
      </c>
      <c r="K573" s="42" t="s">
        <v>12178</v>
      </c>
      <c r="L573" s="42" t="s">
        <v>6209</v>
      </c>
      <c r="M573" s="42">
        <v>3</v>
      </c>
      <c r="N573" s="459">
        <v>0</v>
      </c>
    </row>
    <row r="574" spans="1:14" ht="11.1" customHeight="1">
      <c r="A574" s="817" t="s">
        <v>7619</v>
      </c>
      <c r="B574" s="455" t="s">
        <v>6231</v>
      </c>
      <c r="C574" s="46">
        <v>13311</v>
      </c>
      <c r="D574" s="48">
        <v>5.0819697166375235</v>
      </c>
      <c r="E574" s="456" t="s">
        <v>6262</v>
      </c>
      <c r="F574" s="49" t="s">
        <v>12337</v>
      </c>
      <c r="G574" s="49">
        <v>58</v>
      </c>
      <c r="H574" s="49" t="s">
        <v>0</v>
      </c>
      <c r="I574" s="49">
        <v>0</v>
      </c>
      <c r="J574" s="49" t="s">
        <v>6264</v>
      </c>
      <c r="K574" s="49">
        <v>0</v>
      </c>
      <c r="L574" s="49" t="s">
        <v>6036</v>
      </c>
      <c r="M574" s="49">
        <v>0</v>
      </c>
      <c r="N574" s="457">
        <v>0</v>
      </c>
    </row>
    <row r="575" spans="1:14" ht="11.1" customHeight="1">
      <c r="A575" s="940" t="s">
        <v>7621</v>
      </c>
      <c r="B575" s="409" t="s">
        <v>10050</v>
      </c>
      <c r="C575" s="53">
        <v>97382</v>
      </c>
      <c r="D575" s="55">
        <v>52.171909823418481</v>
      </c>
      <c r="E575" s="410" t="s">
        <v>6251</v>
      </c>
      <c r="F575" s="56" t="s">
        <v>7622</v>
      </c>
      <c r="G575" s="56">
        <v>61</v>
      </c>
      <c r="H575" s="56" t="s">
        <v>0</v>
      </c>
      <c r="I575" s="56" t="s">
        <v>6233</v>
      </c>
      <c r="J575" s="56" t="s">
        <v>6253</v>
      </c>
      <c r="K575" s="56" t="s">
        <v>12007</v>
      </c>
      <c r="L575" s="56" t="s">
        <v>6209</v>
      </c>
      <c r="M575" s="56">
        <v>1</v>
      </c>
      <c r="N575" s="411">
        <v>0</v>
      </c>
    </row>
    <row r="576" spans="1:14" ht="11.1" customHeight="1">
      <c r="A576" s="400" t="s">
        <v>7623</v>
      </c>
      <c r="B576" s="458" t="s">
        <v>11986</v>
      </c>
      <c r="C576" s="39">
        <v>78561</v>
      </c>
      <c r="D576" s="41">
        <v>42.088655066003774</v>
      </c>
      <c r="E576" s="41">
        <v>80.673019654556285</v>
      </c>
      <c r="F576" s="42" t="s">
        <v>7624</v>
      </c>
      <c r="G576" s="42">
        <v>54</v>
      </c>
      <c r="H576" s="42" t="s">
        <v>0</v>
      </c>
      <c r="I576" s="42" t="s">
        <v>6233</v>
      </c>
      <c r="J576" s="42" t="s">
        <v>6257</v>
      </c>
      <c r="K576" s="42" t="s">
        <v>6258</v>
      </c>
      <c r="L576" s="42" t="s">
        <v>6036</v>
      </c>
      <c r="M576" s="42">
        <v>0</v>
      </c>
      <c r="N576" s="459" t="s">
        <v>6260</v>
      </c>
    </row>
    <row r="577" spans="1:14" ht="11.1" customHeight="1">
      <c r="A577" s="817" t="s">
        <v>7625</v>
      </c>
      <c r="B577" s="455" t="s">
        <v>6231</v>
      </c>
      <c r="C577" s="46">
        <v>10713</v>
      </c>
      <c r="D577" s="48">
        <v>5.7394351105777472</v>
      </c>
      <c r="E577" s="456" t="s">
        <v>6262</v>
      </c>
      <c r="F577" s="49" t="s">
        <v>12338</v>
      </c>
      <c r="G577" s="49">
        <v>56</v>
      </c>
      <c r="H577" s="49" t="s">
        <v>0</v>
      </c>
      <c r="I577" s="49">
        <v>0</v>
      </c>
      <c r="J577" s="49" t="s">
        <v>6264</v>
      </c>
      <c r="K577" s="49">
        <v>0</v>
      </c>
      <c r="L577" s="49" t="s">
        <v>6036</v>
      </c>
      <c r="M577" s="49">
        <v>0</v>
      </c>
      <c r="N577" s="457">
        <v>0</v>
      </c>
    </row>
    <row r="578" spans="1:14" ht="11.1" customHeight="1">
      <c r="A578" s="940" t="s">
        <v>7629</v>
      </c>
      <c r="B578" s="412" t="s">
        <v>10050</v>
      </c>
      <c r="C578" s="413">
        <v>122904</v>
      </c>
      <c r="D578" s="414">
        <v>56.363761436334869</v>
      </c>
      <c r="E578" s="415" t="s">
        <v>6251</v>
      </c>
      <c r="F578" s="416" t="s">
        <v>7630</v>
      </c>
      <c r="G578" s="416">
        <v>58</v>
      </c>
      <c r="H578" s="416" t="s">
        <v>0</v>
      </c>
      <c r="I578" s="416" t="s">
        <v>6233</v>
      </c>
      <c r="J578" s="416" t="s">
        <v>6257</v>
      </c>
      <c r="K578" s="416" t="s">
        <v>11998</v>
      </c>
      <c r="L578" s="416" t="s">
        <v>6209</v>
      </c>
      <c r="M578" s="416">
        <v>2</v>
      </c>
      <c r="N578" s="417" t="s">
        <v>6260</v>
      </c>
    </row>
    <row r="579" spans="1:14" ht="11.1" customHeight="1">
      <c r="A579" s="400" t="s">
        <v>7627</v>
      </c>
      <c r="B579" s="458" t="s">
        <v>6230</v>
      </c>
      <c r="C579" s="39">
        <v>74932</v>
      </c>
      <c r="D579" s="41">
        <v>34.363807296324325</v>
      </c>
      <c r="E579" s="41">
        <v>60.967909913428365</v>
      </c>
      <c r="F579" s="42" t="s">
        <v>7628</v>
      </c>
      <c r="G579" s="42">
        <v>39</v>
      </c>
      <c r="H579" s="42" t="s">
        <v>0</v>
      </c>
      <c r="I579" s="42" t="s">
        <v>6233</v>
      </c>
      <c r="J579" s="42" t="s">
        <v>6253</v>
      </c>
      <c r="K579" s="42" t="s">
        <v>12007</v>
      </c>
      <c r="L579" s="42" t="s">
        <v>6036</v>
      </c>
      <c r="M579" s="42">
        <v>0</v>
      </c>
      <c r="N579" s="459">
        <v>0</v>
      </c>
    </row>
    <row r="580" spans="1:14" ht="11.1" customHeight="1" thickBot="1">
      <c r="A580" s="430" t="s">
        <v>7631</v>
      </c>
      <c r="B580" s="463" t="s">
        <v>6231</v>
      </c>
      <c r="C580" s="75">
        <v>20219</v>
      </c>
      <c r="D580" s="77">
        <v>9.2724312673408082</v>
      </c>
      <c r="E580" s="464" t="s">
        <v>6262</v>
      </c>
      <c r="F580" s="78" t="s">
        <v>12339</v>
      </c>
      <c r="G580" s="78">
        <v>34</v>
      </c>
      <c r="H580" s="78" t="s">
        <v>0</v>
      </c>
      <c r="I580" s="78">
        <v>0</v>
      </c>
      <c r="J580" s="78" t="s">
        <v>6264</v>
      </c>
      <c r="K580" s="78">
        <v>0</v>
      </c>
      <c r="L580" s="78" t="s">
        <v>6036</v>
      </c>
      <c r="M580" s="78">
        <v>0</v>
      </c>
      <c r="N580" s="465">
        <v>0</v>
      </c>
    </row>
    <row r="581" spans="1:14" ht="11.1" customHeight="1">
      <c r="A581" s="941" t="s">
        <v>7637</v>
      </c>
      <c r="B581" s="439" t="s">
        <v>10050</v>
      </c>
      <c r="C581" s="440">
        <v>112023</v>
      </c>
      <c r="D581" s="441">
        <v>50.501985853330872</v>
      </c>
      <c r="E581" s="442" t="s">
        <v>6251</v>
      </c>
      <c r="F581" s="337" t="s">
        <v>7638</v>
      </c>
      <c r="G581" s="337">
        <v>57</v>
      </c>
      <c r="H581" s="337" t="s">
        <v>0</v>
      </c>
      <c r="I581" s="337" t="s">
        <v>6233</v>
      </c>
      <c r="J581" s="337" t="s">
        <v>6257</v>
      </c>
      <c r="K581" s="337" t="s">
        <v>12062</v>
      </c>
      <c r="L581" s="337" t="s">
        <v>6209</v>
      </c>
      <c r="M581" s="337">
        <v>7</v>
      </c>
      <c r="N581" s="443" t="s">
        <v>6260</v>
      </c>
    </row>
    <row r="582" spans="1:14" ht="11.1" customHeight="1">
      <c r="A582" s="400" t="s">
        <v>7635</v>
      </c>
      <c r="B582" s="458" t="s">
        <v>11986</v>
      </c>
      <c r="C582" s="39">
        <v>95560</v>
      </c>
      <c r="D582" s="41">
        <v>43.080168966589881</v>
      </c>
      <c r="E582" s="41">
        <v>85.303910804031318</v>
      </c>
      <c r="F582" s="42" t="s">
        <v>12340</v>
      </c>
      <c r="G582" s="42">
        <v>63</v>
      </c>
      <c r="H582" s="42" t="s">
        <v>0</v>
      </c>
      <c r="I582" s="42" t="s">
        <v>6233</v>
      </c>
      <c r="J582" s="42" t="s">
        <v>6253</v>
      </c>
      <c r="K582" s="42" t="s">
        <v>12020</v>
      </c>
      <c r="L582" s="42" t="s">
        <v>6209</v>
      </c>
      <c r="M582" s="42">
        <v>9</v>
      </c>
      <c r="N582" s="459">
        <v>0</v>
      </c>
    </row>
    <row r="583" spans="1:14" ht="11.1" customHeight="1">
      <c r="A583" s="817" t="s">
        <v>7639</v>
      </c>
      <c r="B583" s="455" t="s">
        <v>6231</v>
      </c>
      <c r="C583" s="46">
        <v>14236</v>
      </c>
      <c r="D583" s="48">
        <v>6.4178451800792535</v>
      </c>
      <c r="E583" s="456" t="s">
        <v>6262</v>
      </c>
      <c r="F583" s="49" t="s">
        <v>12341</v>
      </c>
      <c r="G583" s="49">
        <v>53</v>
      </c>
      <c r="H583" s="49" t="s">
        <v>6049</v>
      </c>
      <c r="I583" s="49">
        <v>0</v>
      </c>
      <c r="J583" s="49" t="s">
        <v>6264</v>
      </c>
      <c r="K583" s="49">
        <v>0</v>
      </c>
      <c r="L583" s="49" t="s">
        <v>6036</v>
      </c>
      <c r="M583" s="49">
        <v>0</v>
      </c>
      <c r="N583" s="457">
        <v>0</v>
      </c>
    </row>
    <row r="584" spans="1:14" ht="11.1" customHeight="1">
      <c r="A584" s="940" t="s">
        <v>7641</v>
      </c>
      <c r="B584" s="409" t="s">
        <v>10050</v>
      </c>
      <c r="C584" s="53">
        <v>117134</v>
      </c>
      <c r="D584" s="55">
        <v>55.715216636462657</v>
      </c>
      <c r="E584" s="410" t="s">
        <v>6251</v>
      </c>
      <c r="F584" s="56" t="s">
        <v>7642</v>
      </c>
      <c r="G584" s="56">
        <v>55</v>
      </c>
      <c r="H584" s="56" t="s">
        <v>0</v>
      </c>
      <c r="I584" s="56" t="s">
        <v>6233</v>
      </c>
      <c r="J584" s="56" t="s">
        <v>6253</v>
      </c>
      <c r="K584" s="56" t="s">
        <v>11994</v>
      </c>
      <c r="L584" s="56" t="s">
        <v>6209</v>
      </c>
      <c r="M584" s="56">
        <v>3</v>
      </c>
      <c r="N584" s="411">
        <v>0</v>
      </c>
    </row>
    <row r="585" spans="1:14" ht="11.1" customHeight="1">
      <c r="A585" s="400" t="s">
        <v>7643</v>
      </c>
      <c r="B585" s="458" t="s">
        <v>6230</v>
      </c>
      <c r="C585" s="39">
        <v>81202</v>
      </c>
      <c r="D585" s="41">
        <v>38.62402907195213</v>
      </c>
      <c r="E585" s="41">
        <v>69.324022060204555</v>
      </c>
      <c r="F585" s="42" t="s">
        <v>12342</v>
      </c>
      <c r="G585" s="42">
        <v>38</v>
      </c>
      <c r="H585" s="42" t="s">
        <v>0</v>
      </c>
      <c r="I585" s="42" t="s">
        <v>6233</v>
      </c>
      <c r="J585" s="42" t="s">
        <v>6257</v>
      </c>
      <c r="K585" s="42" t="s">
        <v>12062</v>
      </c>
      <c r="L585" s="42" t="s">
        <v>6036</v>
      </c>
      <c r="M585" s="42">
        <v>0</v>
      </c>
      <c r="N585" s="459" t="s">
        <v>6260</v>
      </c>
    </row>
    <row r="586" spans="1:14" ht="11.1" customHeight="1">
      <c r="A586" s="817" t="s">
        <v>7645</v>
      </c>
      <c r="B586" s="455" t="s">
        <v>6231</v>
      </c>
      <c r="C586" s="46">
        <v>11901</v>
      </c>
      <c r="D586" s="48">
        <v>5.6607542915852109</v>
      </c>
      <c r="E586" s="456" t="s">
        <v>6262</v>
      </c>
      <c r="F586" s="49" t="s">
        <v>7646</v>
      </c>
      <c r="G586" s="49">
        <v>31</v>
      </c>
      <c r="H586" s="49" t="s">
        <v>0</v>
      </c>
      <c r="I586" s="49">
        <v>0</v>
      </c>
      <c r="J586" s="49" t="s">
        <v>6264</v>
      </c>
      <c r="K586" s="49">
        <v>0</v>
      </c>
      <c r="L586" s="49" t="s">
        <v>6036</v>
      </c>
      <c r="M586" s="49">
        <v>0</v>
      </c>
      <c r="N586" s="457">
        <v>0</v>
      </c>
    </row>
    <row r="587" spans="1:14" ht="11.1" customHeight="1">
      <c r="A587" s="940" t="s">
        <v>7649</v>
      </c>
      <c r="B587" s="409" t="s">
        <v>10050</v>
      </c>
      <c r="C587" s="53">
        <v>140954</v>
      </c>
      <c r="D587" s="55">
        <v>60.090890488046114</v>
      </c>
      <c r="E587" s="410" t="s">
        <v>6262</v>
      </c>
      <c r="F587" s="56" t="s">
        <v>7650</v>
      </c>
      <c r="G587" s="56">
        <v>52</v>
      </c>
      <c r="H587" s="56" t="s">
        <v>0</v>
      </c>
      <c r="I587" s="56">
        <v>0</v>
      </c>
      <c r="J587" s="56" t="s">
        <v>6253</v>
      </c>
      <c r="K587" s="56" t="s">
        <v>11994</v>
      </c>
      <c r="L587" s="56" t="s">
        <v>6209</v>
      </c>
      <c r="M587" s="56">
        <v>5</v>
      </c>
      <c r="N587" s="411">
        <v>0</v>
      </c>
    </row>
    <row r="588" spans="1:14" ht="11.1" customHeight="1">
      <c r="A588" s="400" t="s">
        <v>7651</v>
      </c>
      <c r="B588" s="458" t="s">
        <v>11986</v>
      </c>
      <c r="C588" s="39">
        <v>81719</v>
      </c>
      <c r="D588" s="41">
        <v>34.838085331332493</v>
      </c>
      <c r="E588" s="41">
        <v>57.975651631028562</v>
      </c>
      <c r="F588" s="42" t="s">
        <v>7652</v>
      </c>
      <c r="G588" s="42">
        <v>56</v>
      </c>
      <c r="H588" s="42" t="s">
        <v>0</v>
      </c>
      <c r="I588" s="42" t="s">
        <v>6233</v>
      </c>
      <c r="J588" s="42" t="s">
        <v>6257</v>
      </c>
      <c r="K588" s="42" t="s">
        <v>11995</v>
      </c>
      <c r="L588" s="42" t="s">
        <v>6209</v>
      </c>
      <c r="M588" s="42">
        <v>1</v>
      </c>
      <c r="N588" s="459" t="s">
        <v>6260</v>
      </c>
    </row>
    <row r="589" spans="1:14" ht="11.1" customHeight="1">
      <c r="A589" s="817" t="s">
        <v>7653</v>
      </c>
      <c r="B589" s="455" t="s">
        <v>6231</v>
      </c>
      <c r="C589" s="46">
        <v>11895</v>
      </c>
      <c r="D589" s="48">
        <v>5.0710241806213974</v>
      </c>
      <c r="E589" s="456" t="s">
        <v>6262</v>
      </c>
      <c r="F589" s="49" t="s">
        <v>12343</v>
      </c>
      <c r="G589" s="49">
        <v>54</v>
      </c>
      <c r="H589" s="49" t="s">
        <v>6049</v>
      </c>
      <c r="I589" s="49">
        <v>0</v>
      </c>
      <c r="J589" s="49" t="s">
        <v>6264</v>
      </c>
      <c r="K589" s="49">
        <v>0</v>
      </c>
      <c r="L589" s="49" t="s">
        <v>6036</v>
      </c>
      <c r="M589" s="49">
        <v>0</v>
      </c>
      <c r="N589" s="457">
        <v>0</v>
      </c>
    </row>
    <row r="590" spans="1:14" ht="11.1" customHeight="1">
      <c r="A590" s="940" t="s">
        <v>7657</v>
      </c>
      <c r="B590" s="412" t="s">
        <v>10050</v>
      </c>
      <c r="C590" s="413">
        <v>91832</v>
      </c>
      <c r="D590" s="414">
        <v>53.812121673805912</v>
      </c>
      <c r="E590" s="415" t="s">
        <v>6251</v>
      </c>
      <c r="F590" s="416" t="s">
        <v>7658</v>
      </c>
      <c r="G590" s="416">
        <v>40</v>
      </c>
      <c r="H590" s="416" t="s">
        <v>0</v>
      </c>
      <c r="I590" s="416" t="s">
        <v>6233</v>
      </c>
      <c r="J590" s="416" t="s">
        <v>6257</v>
      </c>
      <c r="K590" s="416" t="s">
        <v>11995</v>
      </c>
      <c r="L590" s="416" t="s">
        <v>6209</v>
      </c>
      <c r="M590" s="416">
        <v>3</v>
      </c>
      <c r="N590" s="417" t="s">
        <v>6260</v>
      </c>
    </row>
    <row r="591" spans="1:14" ht="11.1" customHeight="1">
      <c r="A591" s="817" t="s">
        <v>7655</v>
      </c>
      <c r="B591" s="455" t="s">
        <v>11986</v>
      </c>
      <c r="C591" s="46">
        <v>78821</v>
      </c>
      <c r="D591" s="48">
        <v>46.187878326194088</v>
      </c>
      <c r="E591" s="48">
        <v>85.831736213955921</v>
      </c>
      <c r="F591" s="49" t="s">
        <v>7656</v>
      </c>
      <c r="G591" s="49">
        <v>55</v>
      </c>
      <c r="H591" s="49" t="s">
        <v>0</v>
      </c>
      <c r="I591" s="49" t="s">
        <v>6233</v>
      </c>
      <c r="J591" s="49" t="s">
        <v>6253</v>
      </c>
      <c r="K591" s="49" t="s">
        <v>12007</v>
      </c>
      <c r="L591" s="49" t="s">
        <v>6036</v>
      </c>
      <c r="M591" s="49">
        <v>0</v>
      </c>
      <c r="N591" s="457">
        <v>0</v>
      </c>
    </row>
    <row r="592" spans="1:14" ht="11.1" customHeight="1">
      <c r="A592" s="940" t="s">
        <v>7661</v>
      </c>
      <c r="B592" s="412" t="s">
        <v>10050</v>
      </c>
      <c r="C592" s="413">
        <v>117768</v>
      </c>
      <c r="D592" s="414">
        <v>55.944667186045187</v>
      </c>
      <c r="E592" s="415" t="s">
        <v>6251</v>
      </c>
      <c r="F592" s="416" t="s">
        <v>7662</v>
      </c>
      <c r="G592" s="416">
        <v>54</v>
      </c>
      <c r="H592" s="416" t="s">
        <v>0</v>
      </c>
      <c r="I592" s="416" t="s">
        <v>6233</v>
      </c>
      <c r="J592" s="416" t="s">
        <v>6257</v>
      </c>
      <c r="K592" s="416" t="s">
        <v>6258</v>
      </c>
      <c r="L592" s="416" t="s">
        <v>6209</v>
      </c>
      <c r="M592" s="416">
        <v>1</v>
      </c>
      <c r="N592" s="417" t="s">
        <v>6260</v>
      </c>
    </row>
    <row r="593" spans="1:14" ht="11.1" customHeight="1">
      <c r="A593" s="400" t="s">
        <v>7663</v>
      </c>
      <c r="B593" s="458" t="s">
        <v>6230</v>
      </c>
      <c r="C593" s="39">
        <v>83737</v>
      </c>
      <c r="D593" s="41">
        <v>39.778535732608738</v>
      </c>
      <c r="E593" s="41">
        <v>71.103355750288699</v>
      </c>
      <c r="F593" s="42" t="s">
        <v>12344</v>
      </c>
      <c r="G593" s="42">
        <v>43</v>
      </c>
      <c r="H593" s="42" t="s">
        <v>0</v>
      </c>
      <c r="I593" s="42" t="s">
        <v>6233</v>
      </c>
      <c r="J593" s="42" t="s">
        <v>6253</v>
      </c>
      <c r="K593" s="42" t="s">
        <v>12178</v>
      </c>
      <c r="L593" s="42" t="s">
        <v>6036</v>
      </c>
      <c r="M593" s="42">
        <v>0</v>
      </c>
      <c r="N593" s="459">
        <v>0</v>
      </c>
    </row>
    <row r="594" spans="1:14" ht="11.1" customHeight="1" thickBot="1">
      <c r="A594" s="418" t="s">
        <v>7665</v>
      </c>
      <c r="B594" s="460" t="s">
        <v>6231</v>
      </c>
      <c r="C594" s="68">
        <v>9003</v>
      </c>
      <c r="D594" s="70">
        <v>4.2767970813460767</v>
      </c>
      <c r="E594" s="461" t="s">
        <v>6262</v>
      </c>
      <c r="F594" s="71" t="s">
        <v>12345</v>
      </c>
      <c r="G594" s="71">
        <v>45</v>
      </c>
      <c r="H594" s="71" t="s">
        <v>0</v>
      </c>
      <c r="I594" s="71">
        <v>0</v>
      </c>
      <c r="J594" s="71" t="s">
        <v>6264</v>
      </c>
      <c r="K594" s="71">
        <v>0</v>
      </c>
      <c r="L594" s="71" t="s">
        <v>6036</v>
      </c>
      <c r="M594" s="71">
        <v>0</v>
      </c>
      <c r="N594" s="462">
        <v>0</v>
      </c>
    </row>
    <row r="595" spans="1:14" ht="11.1" customHeight="1" thickTop="1">
      <c r="A595" s="400" t="s">
        <v>7669</v>
      </c>
      <c r="B595" s="425" t="s">
        <v>10050</v>
      </c>
      <c r="C595" s="426">
        <v>94671</v>
      </c>
      <c r="D595" s="427">
        <v>46.116861923667095</v>
      </c>
      <c r="E595" s="428" t="s">
        <v>6251</v>
      </c>
      <c r="F595" s="303" t="s">
        <v>7670</v>
      </c>
      <c r="G595" s="303">
        <v>40</v>
      </c>
      <c r="H595" s="303" t="s">
        <v>0</v>
      </c>
      <c r="I595" s="303" t="s">
        <v>6233</v>
      </c>
      <c r="J595" s="303" t="s">
        <v>6257</v>
      </c>
      <c r="K595" s="303" t="s">
        <v>11998</v>
      </c>
      <c r="L595" s="303" t="s">
        <v>6036</v>
      </c>
      <c r="M595" s="303">
        <v>0</v>
      </c>
      <c r="N595" s="429" t="s">
        <v>6260</v>
      </c>
    </row>
    <row r="596" spans="1:14" ht="11.1" customHeight="1">
      <c r="A596" s="400" t="s">
        <v>7667</v>
      </c>
      <c r="B596" s="458" t="s">
        <v>11986</v>
      </c>
      <c r="C596" s="39">
        <v>89503</v>
      </c>
      <c r="D596" s="41">
        <v>43.599386219158731</v>
      </c>
      <c r="E596" s="41">
        <v>94.541094949879053</v>
      </c>
      <c r="F596" s="42" t="s">
        <v>7668</v>
      </c>
      <c r="G596" s="42">
        <v>60</v>
      </c>
      <c r="H596" s="42" t="s">
        <v>0</v>
      </c>
      <c r="I596" s="42" t="s">
        <v>6233</v>
      </c>
      <c r="J596" s="42" t="s">
        <v>6253</v>
      </c>
      <c r="K596" s="42" t="s">
        <v>12178</v>
      </c>
      <c r="L596" s="42" t="s">
        <v>6209</v>
      </c>
      <c r="M596" s="42">
        <v>6</v>
      </c>
      <c r="N596" s="459">
        <v>0</v>
      </c>
    </row>
    <row r="597" spans="1:14" ht="11.1" customHeight="1">
      <c r="A597" s="817" t="s">
        <v>7671</v>
      </c>
      <c r="B597" s="455"/>
      <c r="C597" s="46">
        <v>21111</v>
      </c>
      <c r="D597" s="48">
        <v>10.283751857174172</v>
      </c>
      <c r="E597" s="48">
        <v>22.299331368634533</v>
      </c>
      <c r="F597" s="49" t="s">
        <v>12346</v>
      </c>
      <c r="G597" s="49">
        <v>49</v>
      </c>
      <c r="H597" s="49" t="s">
        <v>0</v>
      </c>
      <c r="I597" s="49" t="s">
        <v>6233</v>
      </c>
      <c r="J597" s="49" t="s">
        <v>6264</v>
      </c>
      <c r="K597" s="49">
        <v>0</v>
      </c>
      <c r="L597" s="49" t="s">
        <v>6036</v>
      </c>
      <c r="M597" s="49">
        <v>0</v>
      </c>
      <c r="N597" s="457">
        <v>0</v>
      </c>
    </row>
    <row r="598" spans="1:14" ht="11.1" customHeight="1">
      <c r="A598" s="940" t="s">
        <v>7675</v>
      </c>
      <c r="B598" s="409" t="s">
        <v>10050</v>
      </c>
      <c r="C598" s="53">
        <v>67481</v>
      </c>
      <c r="D598" s="55">
        <v>38.47767951327711</v>
      </c>
      <c r="E598" s="410" t="s">
        <v>6251</v>
      </c>
      <c r="F598" s="56" t="s">
        <v>7676</v>
      </c>
      <c r="G598" s="56">
        <v>43</v>
      </c>
      <c r="H598" s="56" t="s">
        <v>0</v>
      </c>
      <c r="I598" s="56" t="s">
        <v>6233</v>
      </c>
      <c r="J598" s="56" t="s">
        <v>6253</v>
      </c>
      <c r="K598" s="56" t="s">
        <v>12000</v>
      </c>
      <c r="L598" s="56" t="s">
        <v>6209</v>
      </c>
      <c r="M598" s="56">
        <v>1</v>
      </c>
      <c r="N598" s="411">
        <v>0</v>
      </c>
    </row>
    <row r="599" spans="1:14" ht="11.1" customHeight="1">
      <c r="A599" s="400" t="s">
        <v>7677</v>
      </c>
      <c r="B599" s="458" t="s">
        <v>11986</v>
      </c>
      <c r="C599" s="39">
        <v>54067</v>
      </c>
      <c r="D599" s="41">
        <v>30.829014066838866</v>
      </c>
      <c r="E599" s="41">
        <v>80.121812065618471</v>
      </c>
      <c r="F599" s="42" t="s">
        <v>7678</v>
      </c>
      <c r="G599" s="42">
        <v>55</v>
      </c>
      <c r="H599" s="42" t="s">
        <v>0</v>
      </c>
      <c r="I599" s="42" t="s">
        <v>6233</v>
      </c>
      <c r="J599" s="42" t="s">
        <v>6257</v>
      </c>
      <c r="K599" s="42" t="s">
        <v>12009</v>
      </c>
      <c r="L599" s="42" t="s">
        <v>6036</v>
      </c>
      <c r="M599" s="42">
        <v>0</v>
      </c>
      <c r="N599" s="459">
        <v>0</v>
      </c>
    </row>
    <row r="600" spans="1:14" ht="11.1" customHeight="1">
      <c r="A600" s="400" t="s">
        <v>12347</v>
      </c>
      <c r="B600" s="458" t="s">
        <v>6230</v>
      </c>
      <c r="C600" s="39">
        <v>43416</v>
      </c>
      <c r="D600" s="41">
        <v>24.75581176551087</v>
      </c>
      <c r="E600" s="469" t="s">
        <v>6262</v>
      </c>
      <c r="F600" s="42" t="s">
        <v>12348</v>
      </c>
      <c r="G600" s="42">
        <v>47</v>
      </c>
      <c r="H600" s="42" t="s">
        <v>0</v>
      </c>
      <c r="I600" s="42">
        <v>0</v>
      </c>
      <c r="J600" s="42" t="s">
        <v>12017</v>
      </c>
      <c r="K600" s="42" t="s">
        <v>12035</v>
      </c>
      <c r="L600" s="42" t="s">
        <v>6209</v>
      </c>
      <c r="M600" s="42">
        <v>2</v>
      </c>
      <c r="N600" s="459">
        <v>0</v>
      </c>
    </row>
    <row r="601" spans="1:14" ht="11.1" customHeight="1">
      <c r="A601" s="817" t="s">
        <v>7679</v>
      </c>
      <c r="B601" s="455" t="s">
        <v>6231</v>
      </c>
      <c r="C601" s="46">
        <v>10413</v>
      </c>
      <c r="D601" s="48">
        <v>5.9374946543731504</v>
      </c>
      <c r="E601" s="456" t="s">
        <v>6262</v>
      </c>
      <c r="F601" s="49" t="s">
        <v>12349</v>
      </c>
      <c r="G601" s="49">
        <v>54</v>
      </c>
      <c r="H601" s="49" t="s">
        <v>6049</v>
      </c>
      <c r="I601" s="49">
        <v>0</v>
      </c>
      <c r="J601" s="49" t="s">
        <v>6264</v>
      </c>
      <c r="K601" s="49">
        <v>0</v>
      </c>
      <c r="L601" s="49" t="s">
        <v>6036</v>
      </c>
      <c r="M601" s="49">
        <v>0</v>
      </c>
      <c r="N601" s="457">
        <v>0</v>
      </c>
    </row>
    <row r="602" spans="1:14" ht="11.1" customHeight="1">
      <c r="A602" s="940" t="s">
        <v>7681</v>
      </c>
      <c r="B602" s="409" t="s">
        <v>10050</v>
      </c>
      <c r="C602" s="53">
        <v>74272</v>
      </c>
      <c r="D602" s="55">
        <v>46.828874611451234</v>
      </c>
      <c r="E602" s="410" t="s">
        <v>6251</v>
      </c>
      <c r="F602" s="56" t="s">
        <v>7682</v>
      </c>
      <c r="G602" s="56">
        <v>34</v>
      </c>
      <c r="H602" s="56" t="s">
        <v>0</v>
      </c>
      <c r="I602" s="56" t="s">
        <v>6233</v>
      </c>
      <c r="J602" s="56" t="s">
        <v>6253</v>
      </c>
      <c r="K602" s="56" t="s">
        <v>12178</v>
      </c>
      <c r="L602" s="56" t="s">
        <v>6209</v>
      </c>
      <c r="M602" s="56">
        <v>1</v>
      </c>
      <c r="N602" s="411">
        <v>0</v>
      </c>
    </row>
    <row r="603" spans="1:14" ht="11.1" customHeight="1">
      <c r="A603" s="400" t="s">
        <v>7683</v>
      </c>
      <c r="B603" s="458" t="s">
        <v>11986</v>
      </c>
      <c r="C603" s="39">
        <v>74006</v>
      </c>
      <c r="D603" s="41">
        <v>46.661160255480667</v>
      </c>
      <c r="E603" s="41">
        <v>99.641856958207669</v>
      </c>
      <c r="F603" s="42" t="s">
        <v>12350</v>
      </c>
      <c r="G603" s="42">
        <v>58</v>
      </c>
      <c r="H603" s="42" t="s">
        <v>0</v>
      </c>
      <c r="I603" s="42" t="s">
        <v>6233</v>
      </c>
      <c r="J603" s="42" t="s">
        <v>6257</v>
      </c>
      <c r="K603" s="42" t="s">
        <v>12012</v>
      </c>
      <c r="L603" s="42" t="s">
        <v>6209</v>
      </c>
      <c r="M603" s="42">
        <v>1</v>
      </c>
      <c r="N603" s="459" t="s">
        <v>6260</v>
      </c>
    </row>
    <row r="604" spans="1:14" ht="11.1" customHeight="1">
      <c r="A604" s="817" t="s">
        <v>7685</v>
      </c>
      <c r="B604" s="455" t="s">
        <v>6231</v>
      </c>
      <c r="C604" s="46">
        <v>10325</v>
      </c>
      <c r="D604" s="48">
        <v>6.5099651330681008</v>
      </c>
      <c r="E604" s="456" t="s">
        <v>6262</v>
      </c>
      <c r="F604" s="49" t="s">
        <v>12351</v>
      </c>
      <c r="G604" s="49">
        <v>59</v>
      </c>
      <c r="H604" s="49" t="s">
        <v>0</v>
      </c>
      <c r="I604" s="49">
        <v>0</v>
      </c>
      <c r="J604" s="49" t="s">
        <v>6264</v>
      </c>
      <c r="K604" s="49">
        <v>0</v>
      </c>
      <c r="L604" s="49" t="s">
        <v>6036</v>
      </c>
      <c r="M604" s="49">
        <v>0</v>
      </c>
      <c r="N604" s="457">
        <v>0</v>
      </c>
    </row>
    <row r="605" spans="1:14" ht="11.1" customHeight="1">
      <c r="A605" s="940" t="s">
        <v>7691</v>
      </c>
      <c r="B605" s="412" t="s">
        <v>10050</v>
      </c>
      <c r="C605" s="413">
        <v>98748</v>
      </c>
      <c r="D605" s="414">
        <v>50.185754580336948</v>
      </c>
      <c r="E605" s="415" t="s">
        <v>6251</v>
      </c>
      <c r="F605" s="416" t="s">
        <v>12352</v>
      </c>
      <c r="G605" s="416">
        <v>64</v>
      </c>
      <c r="H605" s="416" t="s">
        <v>0</v>
      </c>
      <c r="I605" s="416" t="s">
        <v>6233</v>
      </c>
      <c r="J605" s="416" t="s">
        <v>6257</v>
      </c>
      <c r="K605" s="416" t="s">
        <v>12009</v>
      </c>
      <c r="L605" s="416" t="s">
        <v>6209</v>
      </c>
      <c r="M605" s="416">
        <v>3</v>
      </c>
      <c r="N605" s="417" t="s">
        <v>6260</v>
      </c>
    </row>
    <row r="606" spans="1:14" ht="11.1" customHeight="1">
      <c r="A606" s="400" t="s">
        <v>7689</v>
      </c>
      <c r="B606" s="458" t="s">
        <v>11986</v>
      </c>
      <c r="C606" s="39">
        <v>80216</v>
      </c>
      <c r="D606" s="41">
        <v>40.767412903717634</v>
      </c>
      <c r="E606" s="41">
        <v>81.233037631141897</v>
      </c>
      <c r="F606" s="42" t="s">
        <v>7690</v>
      </c>
      <c r="G606" s="42">
        <v>61</v>
      </c>
      <c r="H606" s="42" t="s">
        <v>0</v>
      </c>
      <c r="I606" s="42" t="s">
        <v>6233</v>
      </c>
      <c r="J606" s="42" t="s">
        <v>6253</v>
      </c>
      <c r="K606" s="42" t="s">
        <v>12000</v>
      </c>
      <c r="L606" s="42" t="s">
        <v>6209</v>
      </c>
      <c r="M606" s="42">
        <v>1</v>
      </c>
      <c r="N606" s="459">
        <v>0</v>
      </c>
    </row>
    <row r="607" spans="1:14" ht="11.1" customHeight="1" thickBot="1">
      <c r="A607" s="430" t="s">
        <v>7693</v>
      </c>
      <c r="B607" s="463" t="s">
        <v>6231</v>
      </c>
      <c r="C607" s="75">
        <v>17801</v>
      </c>
      <c r="D607" s="77">
        <v>9.0468325159454164</v>
      </c>
      <c r="E607" s="464" t="s">
        <v>6262</v>
      </c>
      <c r="F607" s="78" t="s">
        <v>7694</v>
      </c>
      <c r="G607" s="78">
        <v>46</v>
      </c>
      <c r="H607" s="78" t="s">
        <v>0</v>
      </c>
      <c r="I607" s="78">
        <v>0</v>
      </c>
      <c r="J607" s="78" t="s">
        <v>6264</v>
      </c>
      <c r="K607" s="78">
        <v>0</v>
      </c>
      <c r="L607" s="78" t="s">
        <v>6036</v>
      </c>
      <c r="M607" s="78">
        <v>0</v>
      </c>
      <c r="N607" s="465">
        <v>0</v>
      </c>
    </row>
    <row r="608" spans="1:14" ht="11.1" customHeight="1">
      <c r="A608" s="941" t="s">
        <v>7699</v>
      </c>
      <c r="B608" s="439" t="s">
        <v>10050</v>
      </c>
      <c r="C608" s="440">
        <v>112848</v>
      </c>
      <c r="D608" s="441">
        <v>47.714242224364504</v>
      </c>
      <c r="E608" s="442" t="s">
        <v>6251</v>
      </c>
      <c r="F608" s="337" t="s">
        <v>7700</v>
      </c>
      <c r="G608" s="337">
        <v>67</v>
      </c>
      <c r="H608" s="337" t="s">
        <v>0</v>
      </c>
      <c r="I608" s="337" t="s">
        <v>6233</v>
      </c>
      <c r="J608" s="337" t="s">
        <v>6257</v>
      </c>
      <c r="K608" s="337" t="s">
        <v>12012</v>
      </c>
      <c r="L608" s="337" t="s">
        <v>6209</v>
      </c>
      <c r="M608" s="337">
        <v>7</v>
      </c>
      <c r="N608" s="443" t="s">
        <v>6260</v>
      </c>
    </row>
    <row r="609" spans="1:14" ht="11.1" customHeight="1">
      <c r="A609" s="400" t="s">
        <v>7697</v>
      </c>
      <c r="B609" s="458" t="s">
        <v>6230</v>
      </c>
      <c r="C609" s="39">
        <v>68563</v>
      </c>
      <c r="D609" s="41">
        <v>28.989717049740388</v>
      </c>
      <c r="E609" s="41">
        <v>60.756947398270242</v>
      </c>
      <c r="F609" s="42" t="s">
        <v>12353</v>
      </c>
      <c r="G609" s="42">
        <v>61</v>
      </c>
      <c r="H609" s="42" t="s">
        <v>0</v>
      </c>
      <c r="I609" s="42" t="s">
        <v>6233</v>
      </c>
      <c r="J609" s="42" t="s">
        <v>6253</v>
      </c>
      <c r="K609" s="42" t="s">
        <v>12178</v>
      </c>
      <c r="L609" s="42" t="s">
        <v>6209</v>
      </c>
      <c r="M609" s="42">
        <v>8</v>
      </c>
      <c r="N609" s="459">
        <v>0</v>
      </c>
    </row>
    <row r="610" spans="1:14" ht="11.1" customHeight="1">
      <c r="A610" s="817" t="s">
        <v>7701</v>
      </c>
      <c r="B610" s="455" t="s">
        <v>11986</v>
      </c>
      <c r="C610" s="46">
        <v>55097</v>
      </c>
      <c r="D610" s="48">
        <v>23.296040725895107</v>
      </c>
      <c r="E610" s="48">
        <v>48.824081950942862</v>
      </c>
      <c r="F610" s="49" t="s">
        <v>7702</v>
      </c>
      <c r="G610" s="49">
        <v>58</v>
      </c>
      <c r="H610" s="49" t="s">
        <v>0</v>
      </c>
      <c r="I610" s="49" t="s">
        <v>6233</v>
      </c>
      <c r="J610" s="49" t="s">
        <v>6264</v>
      </c>
      <c r="K610" s="49">
        <v>0</v>
      </c>
      <c r="L610" s="49" t="s">
        <v>6209</v>
      </c>
      <c r="M610" s="49">
        <v>4</v>
      </c>
      <c r="N610" s="457">
        <v>0</v>
      </c>
    </row>
    <row r="611" spans="1:14" ht="11.1" customHeight="1">
      <c r="A611" s="940" t="s">
        <v>7705</v>
      </c>
      <c r="B611" s="409" t="s">
        <v>10050</v>
      </c>
      <c r="C611" s="53">
        <v>73795</v>
      </c>
      <c r="D611" s="55">
        <v>42.786407147785454</v>
      </c>
      <c r="E611" s="410" t="s">
        <v>6251</v>
      </c>
      <c r="F611" s="56" t="s">
        <v>7706</v>
      </c>
      <c r="G611" s="56">
        <v>43</v>
      </c>
      <c r="H611" s="56" t="s">
        <v>0</v>
      </c>
      <c r="I611" s="56" t="s">
        <v>6233</v>
      </c>
      <c r="J611" s="56" t="s">
        <v>6253</v>
      </c>
      <c r="K611" s="56" t="s">
        <v>12000</v>
      </c>
      <c r="L611" s="56" t="s">
        <v>6209</v>
      </c>
      <c r="M611" s="56">
        <v>4</v>
      </c>
      <c r="N611" s="411">
        <v>0</v>
      </c>
    </row>
    <row r="612" spans="1:14" ht="11.1" customHeight="1">
      <c r="A612" s="400" t="s">
        <v>7707</v>
      </c>
      <c r="B612" s="458" t="s">
        <v>11986</v>
      </c>
      <c r="C612" s="39">
        <v>69330</v>
      </c>
      <c r="D612" s="41">
        <v>40.197596145483644</v>
      </c>
      <c r="E612" s="41">
        <v>93.949454570092826</v>
      </c>
      <c r="F612" s="42" t="s">
        <v>7708</v>
      </c>
      <c r="G612" s="42">
        <v>30</v>
      </c>
      <c r="H612" s="42" t="s">
        <v>0</v>
      </c>
      <c r="I612" s="42" t="s">
        <v>6233</v>
      </c>
      <c r="J612" s="42" t="s">
        <v>6257</v>
      </c>
      <c r="K612" s="42" t="s">
        <v>6258</v>
      </c>
      <c r="L612" s="42" t="s">
        <v>6036</v>
      </c>
      <c r="M612" s="42">
        <v>0</v>
      </c>
      <c r="N612" s="459" t="s">
        <v>6260</v>
      </c>
    </row>
    <row r="613" spans="1:14" ht="11.1" customHeight="1">
      <c r="A613" s="817" t="s">
        <v>7709</v>
      </c>
      <c r="B613" s="455" t="s">
        <v>6230</v>
      </c>
      <c r="C613" s="46">
        <v>29348</v>
      </c>
      <c r="D613" s="48">
        <v>17.01599670673091</v>
      </c>
      <c r="E613" s="456" t="s">
        <v>6262</v>
      </c>
      <c r="F613" s="49" t="s">
        <v>12354</v>
      </c>
      <c r="G613" s="49">
        <v>38</v>
      </c>
      <c r="H613" s="49" t="s">
        <v>0</v>
      </c>
      <c r="I613" s="49">
        <v>0</v>
      </c>
      <c r="J613" s="49" t="s">
        <v>6264</v>
      </c>
      <c r="K613" s="49">
        <v>0</v>
      </c>
      <c r="L613" s="49" t="s">
        <v>6036</v>
      </c>
      <c r="M613" s="49">
        <v>0</v>
      </c>
      <c r="N613" s="457">
        <v>0</v>
      </c>
    </row>
    <row r="614" spans="1:14" ht="11.1" customHeight="1">
      <c r="A614" s="940" t="s">
        <v>7715</v>
      </c>
      <c r="B614" s="409" t="s">
        <v>10050</v>
      </c>
      <c r="C614" s="53">
        <v>92249</v>
      </c>
      <c r="D614" s="55">
        <v>42.721913221475575</v>
      </c>
      <c r="E614" s="410" t="s">
        <v>6251</v>
      </c>
      <c r="F614" s="56" t="s">
        <v>12355</v>
      </c>
      <c r="G614" s="56">
        <v>31</v>
      </c>
      <c r="H614" s="56" t="s">
        <v>0</v>
      </c>
      <c r="I614" s="56" t="s">
        <v>6233</v>
      </c>
      <c r="J614" s="56" t="s">
        <v>6253</v>
      </c>
      <c r="K614" s="56" t="s">
        <v>12007</v>
      </c>
      <c r="L614" s="56" t="s">
        <v>6209</v>
      </c>
      <c r="M614" s="56">
        <v>1</v>
      </c>
      <c r="N614" s="411">
        <v>0</v>
      </c>
    </row>
    <row r="615" spans="1:14" ht="11.1" customHeight="1">
      <c r="A615" s="400" t="s">
        <v>7717</v>
      </c>
      <c r="B615" s="458" t="s">
        <v>11986</v>
      </c>
      <c r="C615" s="39">
        <v>91429</v>
      </c>
      <c r="D615" s="41">
        <v>42.342158765149655</v>
      </c>
      <c r="E615" s="41">
        <v>99.111101475354744</v>
      </c>
      <c r="F615" s="42" t="s">
        <v>7718</v>
      </c>
      <c r="G615" s="42">
        <v>59</v>
      </c>
      <c r="H615" s="42" t="s">
        <v>0</v>
      </c>
      <c r="I615" s="42" t="s">
        <v>6233</v>
      </c>
      <c r="J615" s="42" t="s">
        <v>6257</v>
      </c>
      <c r="K615" s="42" t="s">
        <v>6258</v>
      </c>
      <c r="L615" s="42" t="s">
        <v>6036</v>
      </c>
      <c r="M615" s="42">
        <v>0</v>
      </c>
      <c r="N615" s="459" t="s">
        <v>6260</v>
      </c>
    </row>
    <row r="616" spans="1:14" ht="11.1" customHeight="1">
      <c r="A616" s="817" t="s">
        <v>7719</v>
      </c>
      <c r="B616" s="455"/>
      <c r="C616" s="46">
        <v>32251</v>
      </c>
      <c r="D616" s="48">
        <v>14.935928013374767</v>
      </c>
      <c r="E616" s="456" t="s">
        <v>6262</v>
      </c>
      <c r="F616" s="49" t="s">
        <v>7720</v>
      </c>
      <c r="G616" s="49">
        <v>55</v>
      </c>
      <c r="H616" s="49" t="s">
        <v>6049</v>
      </c>
      <c r="I616" s="49">
        <v>0</v>
      </c>
      <c r="J616" s="49" t="s">
        <v>6264</v>
      </c>
      <c r="K616" s="49">
        <v>0</v>
      </c>
      <c r="L616" s="49" t="s">
        <v>6036</v>
      </c>
      <c r="M616" s="49">
        <v>0</v>
      </c>
      <c r="N616" s="457">
        <v>0</v>
      </c>
    </row>
    <row r="617" spans="1:14" ht="11.1" customHeight="1">
      <c r="A617" s="940" t="s">
        <v>7727</v>
      </c>
      <c r="B617" s="412" t="s">
        <v>10050</v>
      </c>
      <c r="C617" s="413">
        <v>75192</v>
      </c>
      <c r="D617" s="414">
        <v>28.977620884605159</v>
      </c>
      <c r="E617" s="415" t="s">
        <v>6251</v>
      </c>
      <c r="F617" s="416" t="s">
        <v>7728</v>
      </c>
      <c r="G617" s="416">
        <v>53</v>
      </c>
      <c r="H617" s="416" t="s">
        <v>0</v>
      </c>
      <c r="I617" s="416" t="s">
        <v>6233</v>
      </c>
      <c r="J617" s="416" t="s">
        <v>6257</v>
      </c>
      <c r="K617" s="416" t="s">
        <v>6258</v>
      </c>
      <c r="L617" s="416" t="s">
        <v>6036</v>
      </c>
      <c r="M617" s="416">
        <v>0</v>
      </c>
      <c r="N617" s="417">
        <v>0</v>
      </c>
    </row>
    <row r="618" spans="1:14" ht="11.1" customHeight="1">
      <c r="A618" s="400" t="s">
        <v>7731</v>
      </c>
      <c r="B618" s="458" t="s">
        <v>6230</v>
      </c>
      <c r="C618" s="39">
        <v>75036</v>
      </c>
      <c r="D618" s="41">
        <v>28.917501339201412</v>
      </c>
      <c r="E618" s="469" t="s">
        <v>6262</v>
      </c>
      <c r="F618" s="42" t="s">
        <v>7726</v>
      </c>
      <c r="G618" s="42">
        <v>61</v>
      </c>
      <c r="H618" s="42" t="s">
        <v>0</v>
      </c>
      <c r="I618" s="42">
        <v>0</v>
      </c>
      <c r="J618" s="42" t="s">
        <v>12017</v>
      </c>
      <c r="K618" s="42" t="s">
        <v>12035</v>
      </c>
      <c r="L618" s="42" t="s">
        <v>6209</v>
      </c>
      <c r="M618" s="42">
        <v>1</v>
      </c>
      <c r="N618" s="459">
        <v>0</v>
      </c>
    </row>
    <row r="619" spans="1:14" ht="11.1" customHeight="1">
      <c r="A619" s="400" t="s">
        <v>7723</v>
      </c>
      <c r="B619" s="458" t="s">
        <v>11986</v>
      </c>
      <c r="C619" s="39">
        <v>73550</v>
      </c>
      <c r="D619" s="41">
        <v>28.344824131060609</v>
      </c>
      <c r="E619" s="41">
        <v>97.816257048622191</v>
      </c>
      <c r="F619" s="42" t="s">
        <v>7724</v>
      </c>
      <c r="G619" s="42">
        <v>38</v>
      </c>
      <c r="H619" s="42" t="s">
        <v>0</v>
      </c>
      <c r="I619" s="42" t="s">
        <v>6233</v>
      </c>
      <c r="J619" s="42" t="s">
        <v>6253</v>
      </c>
      <c r="K619" s="42" t="s">
        <v>12007</v>
      </c>
      <c r="L619" s="42" t="s">
        <v>6036</v>
      </c>
      <c r="M619" s="42">
        <v>0</v>
      </c>
      <c r="N619" s="459">
        <v>0</v>
      </c>
    </row>
    <row r="620" spans="1:14" ht="11.1" customHeight="1">
      <c r="A620" s="817" t="s">
        <v>7729</v>
      </c>
      <c r="B620" s="455"/>
      <c r="C620" s="46">
        <v>35705</v>
      </c>
      <c r="D620" s="48">
        <v>13.760053645132821</v>
      </c>
      <c r="E620" s="456" t="s">
        <v>6262</v>
      </c>
      <c r="F620" s="49" t="s">
        <v>12356</v>
      </c>
      <c r="G620" s="49">
        <v>35</v>
      </c>
      <c r="H620" s="49" t="s">
        <v>6049</v>
      </c>
      <c r="I620" s="49">
        <v>0</v>
      </c>
      <c r="J620" s="49" t="s">
        <v>6264</v>
      </c>
      <c r="K620" s="49">
        <v>0</v>
      </c>
      <c r="L620" s="49" t="s">
        <v>6036</v>
      </c>
      <c r="M620" s="49">
        <v>0</v>
      </c>
      <c r="N620" s="457">
        <v>0</v>
      </c>
    </row>
    <row r="621" spans="1:14" ht="11.1" customHeight="1">
      <c r="A621" s="940" t="s">
        <v>7733</v>
      </c>
      <c r="B621" s="412" t="s">
        <v>10050</v>
      </c>
      <c r="C621" s="413">
        <v>107792</v>
      </c>
      <c r="D621" s="414">
        <v>58.853205499197394</v>
      </c>
      <c r="E621" s="415" t="s">
        <v>6251</v>
      </c>
      <c r="F621" s="416" t="s">
        <v>7734</v>
      </c>
      <c r="G621" s="416">
        <v>60</v>
      </c>
      <c r="H621" s="416" t="s">
        <v>0</v>
      </c>
      <c r="I621" s="416" t="s">
        <v>6233</v>
      </c>
      <c r="J621" s="416" t="s">
        <v>6257</v>
      </c>
      <c r="K621" s="416" t="s">
        <v>12062</v>
      </c>
      <c r="L621" s="416" t="s">
        <v>6209</v>
      </c>
      <c r="M621" s="416">
        <v>8</v>
      </c>
      <c r="N621" s="417" t="s">
        <v>6260</v>
      </c>
    </row>
    <row r="622" spans="1:14" ht="11.1" customHeight="1">
      <c r="A622" s="400" t="s">
        <v>7735</v>
      </c>
      <c r="B622" s="458" t="s">
        <v>6230</v>
      </c>
      <c r="C622" s="39">
        <v>49895</v>
      </c>
      <c r="D622" s="41">
        <v>27.242102274588596</v>
      </c>
      <c r="E622" s="41">
        <v>46.28822176042749</v>
      </c>
      <c r="F622" s="42" t="s">
        <v>12357</v>
      </c>
      <c r="G622" s="42">
        <v>35</v>
      </c>
      <c r="H622" s="42" t="s">
        <v>0</v>
      </c>
      <c r="I622" s="42" t="s">
        <v>6233</v>
      </c>
      <c r="J622" s="42" t="s">
        <v>6253</v>
      </c>
      <c r="K622" s="42" t="s">
        <v>12007</v>
      </c>
      <c r="L622" s="42" t="s">
        <v>6036</v>
      </c>
      <c r="M622" s="42">
        <v>0</v>
      </c>
      <c r="N622" s="459">
        <v>0</v>
      </c>
    </row>
    <row r="623" spans="1:14" ht="11.1" customHeight="1">
      <c r="A623" s="817" t="s">
        <v>6199</v>
      </c>
      <c r="B623" s="455"/>
      <c r="C623" s="46">
        <v>25467</v>
      </c>
      <c r="D623" s="48">
        <v>13.904692226214006</v>
      </c>
      <c r="E623" s="456" t="s">
        <v>6262</v>
      </c>
      <c r="F623" s="49" t="s">
        <v>7737</v>
      </c>
      <c r="G623" s="49">
        <v>54</v>
      </c>
      <c r="H623" s="49" t="s">
        <v>6049</v>
      </c>
      <c r="I623" s="49">
        <v>0</v>
      </c>
      <c r="J623" s="49" t="s">
        <v>6264</v>
      </c>
      <c r="K623" s="49">
        <v>0</v>
      </c>
      <c r="L623" s="49" t="s">
        <v>6036</v>
      </c>
      <c r="M623" s="49">
        <v>0</v>
      </c>
      <c r="N623" s="457">
        <v>0</v>
      </c>
    </row>
    <row r="624" spans="1:14" ht="11.1" customHeight="1">
      <c r="A624" s="940" t="s">
        <v>7739</v>
      </c>
      <c r="B624" s="409" t="s">
        <v>10050</v>
      </c>
      <c r="C624" s="53">
        <v>133708</v>
      </c>
      <c r="D624" s="55">
        <v>45.500888184088915</v>
      </c>
      <c r="E624" s="410" t="s">
        <v>6251</v>
      </c>
      <c r="F624" s="56" t="s">
        <v>7740</v>
      </c>
      <c r="G624" s="56">
        <v>43</v>
      </c>
      <c r="H624" s="56" t="s">
        <v>0</v>
      </c>
      <c r="I624" s="56" t="s">
        <v>6233</v>
      </c>
      <c r="J624" s="56" t="s">
        <v>6253</v>
      </c>
      <c r="K624" s="56" t="s">
        <v>12000</v>
      </c>
      <c r="L624" s="56" t="s">
        <v>6209</v>
      </c>
      <c r="M624" s="56">
        <v>2</v>
      </c>
      <c r="N624" s="411">
        <v>0</v>
      </c>
    </row>
    <row r="625" spans="1:14" ht="11.1" customHeight="1">
      <c r="A625" s="400" t="s">
        <v>7741</v>
      </c>
      <c r="B625" s="458" t="s">
        <v>11986</v>
      </c>
      <c r="C625" s="39">
        <v>122969</v>
      </c>
      <c r="D625" s="41">
        <v>41.846402003688858</v>
      </c>
      <c r="E625" s="41">
        <v>91.968319023543842</v>
      </c>
      <c r="F625" s="42" t="s">
        <v>7742</v>
      </c>
      <c r="G625" s="42">
        <v>42</v>
      </c>
      <c r="H625" s="42" t="s">
        <v>6049</v>
      </c>
      <c r="I625" s="42" t="s">
        <v>6233</v>
      </c>
      <c r="J625" s="42" t="s">
        <v>6257</v>
      </c>
      <c r="K625" s="42" t="s">
        <v>6258</v>
      </c>
      <c r="L625" s="42" t="s">
        <v>6036</v>
      </c>
      <c r="M625" s="42">
        <v>0</v>
      </c>
      <c r="N625" s="459" t="s">
        <v>6260</v>
      </c>
    </row>
    <row r="626" spans="1:14" ht="11.1" customHeight="1" thickBot="1">
      <c r="A626" s="430" t="s">
        <v>7743</v>
      </c>
      <c r="B626" s="463"/>
      <c r="C626" s="75">
        <v>37181</v>
      </c>
      <c r="D626" s="77">
        <v>12.652709812222231</v>
      </c>
      <c r="E626" s="464" t="s">
        <v>6262</v>
      </c>
      <c r="F626" s="78" t="s">
        <v>12358</v>
      </c>
      <c r="G626" s="78">
        <v>38</v>
      </c>
      <c r="H626" s="78" t="s">
        <v>0</v>
      </c>
      <c r="I626" s="78">
        <v>0</v>
      </c>
      <c r="J626" s="78" t="s">
        <v>6264</v>
      </c>
      <c r="K626" s="78">
        <v>0</v>
      </c>
      <c r="L626" s="78" t="s">
        <v>6036</v>
      </c>
      <c r="M626" s="78">
        <v>0</v>
      </c>
      <c r="N626" s="465">
        <v>0</v>
      </c>
    </row>
    <row r="627" spans="1:14" ht="11.1" customHeight="1">
      <c r="A627" s="941" t="s">
        <v>7749</v>
      </c>
      <c r="B627" s="439" t="s">
        <v>10050</v>
      </c>
      <c r="C627" s="440">
        <v>116956</v>
      </c>
      <c r="D627" s="441">
        <v>54.493439689876247</v>
      </c>
      <c r="E627" s="442" t="s">
        <v>6251</v>
      </c>
      <c r="F627" s="337" t="s">
        <v>7750</v>
      </c>
      <c r="G627" s="337">
        <v>68</v>
      </c>
      <c r="H627" s="337" t="s">
        <v>0</v>
      </c>
      <c r="I627" s="337" t="s">
        <v>6233</v>
      </c>
      <c r="J627" s="337" t="s">
        <v>6257</v>
      </c>
      <c r="K627" s="337" t="s">
        <v>12150</v>
      </c>
      <c r="L627" s="337" t="s">
        <v>6209</v>
      </c>
      <c r="M627" s="337">
        <v>8</v>
      </c>
      <c r="N627" s="443" t="s">
        <v>6260</v>
      </c>
    </row>
    <row r="628" spans="1:14" ht="11.1" customHeight="1">
      <c r="A628" s="400" t="s">
        <v>7747</v>
      </c>
      <c r="B628" s="458" t="s">
        <v>6230</v>
      </c>
      <c r="C628" s="39">
        <v>72512</v>
      </c>
      <c r="D628" s="41">
        <v>33.785597137319222</v>
      </c>
      <c r="E628" s="41">
        <v>61.999384383870854</v>
      </c>
      <c r="F628" s="42" t="s">
        <v>7748</v>
      </c>
      <c r="G628" s="42">
        <v>34</v>
      </c>
      <c r="H628" s="42" t="s">
        <v>0</v>
      </c>
      <c r="I628" s="42" t="s">
        <v>6233</v>
      </c>
      <c r="J628" s="42" t="s">
        <v>6253</v>
      </c>
      <c r="K628" s="42" t="s">
        <v>12007</v>
      </c>
      <c r="L628" s="42" t="s">
        <v>6036</v>
      </c>
      <c r="M628" s="42">
        <v>0</v>
      </c>
      <c r="N628" s="459">
        <v>0</v>
      </c>
    </row>
    <row r="629" spans="1:14" ht="11.1" customHeight="1">
      <c r="A629" s="817" t="s">
        <v>7751</v>
      </c>
      <c r="B629" s="455"/>
      <c r="C629" s="46">
        <v>25156</v>
      </c>
      <c r="D629" s="48">
        <v>11.720963172804533</v>
      </c>
      <c r="E629" s="456" t="s">
        <v>6262</v>
      </c>
      <c r="F629" s="49" t="s">
        <v>12359</v>
      </c>
      <c r="G629" s="49">
        <v>54</v>
      </c>
      <c r="H629" s="49" t="s">
        <v>0</v>
      </c>
      <c r="I629" s="49">
        <v>0</v>
      </c>
      <c r="J629" s="49" t="s">
        <v>6264</v>
      </c>
      <c r="K629" s="49">
        <v>0</v>
      </c>
      <c r="L629" s="49" t="s">
        <v>6036</v>
      </c>
      <c r="M629" s="49">
        <v>0</v>
      </c>
      <c r="N629" s="457">
        <v>0</v>
      </c>
    </row>
    <row r="630" spans="1:14" ht="11.1" customHeight="1">
      <c r="A630" s="940" t="s">
        <v>7761</v>
      </c>
      <c r="B630" s="412" t="s">
        <v>10050</v>
      </c>
      <c r="C630" s="413">
        <v>73953</v>
      </c>
      <c r="D630" s="414">
        <v>32.777534006143043</v>
      </c>
      <c r="E630" s="415" t="s">
        <v>6251</v>
      </c>
      <c r="F630" s="416" t="s">
        <v>7762</v>
      </c>
      <c r="G630" s="416">
        <v>35</v>
      </c>
      <c r="H630" s="416" t="s">
        <v>6049</v>
      </c>
      <c r="I630" s="416" t="s">
        <v>6233</v>
      </c>
      <c r="J630" s="416" t="s">
        <v>6257</v>
      </c>
      <c r="K630" s="416" t="s">
        <v>6258</v>
      </c>
      <c r="L630" s="416" t="s">
        <v>6036</v>
      </c>
      <c r="M630" s="416">
        <v>0</v>
      </c>
      <c r="N630" s="417">
        <v>0</v>
      </c>
    </row>
    <row r="631" spans="1:14" ht="11.1" customHeight="1">
      <c r="A631" s="400" t="s">
        <v>7765</v>
      </c>
      <c r="B631" s="458" t="s">
        <v>6230</v>
      </c>
      <c r="C631" s="39">
        <v>71423</v>
      </c>
      <c r="D631" s="41">
        <v>31.656184486373167</v>
      </c>
      <c r="E631" s="469" t="s">
        <v>6262</v>
      </c>
      <c r="F631" s="42" t="s">
        <v>12360</v>
      </c>
      <c r="G631" s="42">
        <v>54</v>
      </c>
      <c r="H631" s="42" t="s">
        <v>0</v>
      </c>
      <c r="I631" s="42">
        <v>0</v>
      </c>
      <c r="J631" s="42" t="s">
        <v>12017</v>
      </c>
      <c r="K631" s="42" t="s">
        <v>12211</v>
      </c>
      <c r="L631" s="42" t="s">
        <v>6209</v>
      </c>
      <c r="M631" s="42">
        <v>2</v>
      </c>
      <c r="N631" s="459">
        <v>0</v>
      </c>
    </row>
    <row r="632" spans="1:14" ht="11.1" customHeight="1">
      <c r="A632" s="400" t="s">
        <v>7757</v>
      </c>
      <c r="B632" s="458" t="s">
        <v>6230</v>
      </c>
      <c r="C632" s="39">
        <v>52945</v>
      </c>
      <c r="D632" s="41">
        <v>23.46634400166651</v>
      </c>
      <c r="E632" s="41">
        <v>71.592768379916976</v>
      </c>
      <c r="F632" s="42" t="s">
        <v>12361</v>
      </c>
      <c r="G632" s="42">
        <v>37</v>
      </c>
      <c r="H632" s="42" t="s">
        <v>0</v>
      </c>
      <c r="I632" s="42" t="s">
        <v>6233</v>
      </c>
      <c r="J632" s="42" t="s">
        <v>6253</v>
      </c>
      <c r="K632" s="42" t="s">
        <v>12007</v>
      </c>
      <c r="L632" s="42" t="s">
        <v>6036</v>
      </c>
      <c r="M632" s="42">
        <v>0</v>
      </c>
      <c r="N632" s="459">
        <v>0</v>
      </c>
    </row>
    <row r="633" spans="1:14" ht="11.1" customHeight="1">
      <c r="A633" s="817" t="s">
        <v>7763</v>
      </c>
      <c r="B633" s="455"/>
      <c r="C633" s="46">
        <v>27300</v>
      </c>
      <c r="D633" s="48">
        <v>12.099937505817278</v>
      </c>
      <c r="E633" s="456" t="s">
        <v>6262</v>
      </c>
      <c r="F633" s="49" t="s">
        <v>7764</v>
      </c>
      <c r="G633" s="49">
        <v>60</v>
      </c>
      <c r="H633" s="49" t="s">
        <v>0</v>
      </c>
      <c r="I633" s="49">
        <v>0</v>
      </c>
      <c r="J633" s="49" t="s">
        <v>6264</v>
      </c>
      <c r="K633" s="49">
        <v>0</v>
      </c>
      <c r="L633" s="49" t="s">
        <v>6036</v>
      </c>
      <c r="M633" s="49">
        <v>0</v>
      </c>
      <c r="N633" s="457">
        <v>0</v>
      </c>
    </row>
    <row r="634" spans="1:14" ht="11.1" customHeight="1">
      <c r="A634" s="940" t="s">
        <v>7769</v>
      </c>
      <c r="B634" s="450" t="s">
        <v>10050</v>
      </c>
      <c r="C634" s="451">
        <v>119226</v>
      </c>
      <c r="D634" s="452">
        <v>49.380599147624906</v>
      </c>
      <c r="E634" s="453" t="s">
        <v>6262</v>
      </c>
      <c r="F634" s="198" t="s">
        <v>7770</v>
      </c>
      <c r="G634" s="198">
        <v>65</v>
      </c>
      <c r="H634" s="198" t="s">
        <v>0</v>
      </c>
      <c r="I634" s="198">
        <v>0</v>
      </c>
      <c r="J634" s="198" t="s">
        <v>6929</v>
      </c>
      <c r="K634" s="198">
        <v>0</v>
      </c>
      <c r="L634" s="198" t="s">
        <v>6209</v>
      </c>
      <c r="M634" s="198">
        <v>4</v>
      </c>
      <c r="N634" s="454" t="s">
        <v>7394</v>
      </c>
    </row>
    <row r="635" spans="1:14" ht="11.1" customHeight="1">
      <c r="A635" s="400" t="s">
        <v>7767</v>
      </c>
      <c r="B635" s="458" t="s">
        <v>6230</v>
      </c>
      <c r="C635" s="39">
        <v>85177</v>
      </c>
      <c r="D635" s="41">
        <v>35.278305852727144</v>
      </c>
      <c r="E635" s="41">
        <v>71.441631858822745</v>
      </c>
      <c r="F635" s="42" t="s">
        <v>12362</v>
      </c>
      <c r="G635" s="42">
        <v>57</v>
      </c>
      <c r="H635" s="42" t="s">
        <v>0</v>
      </c>
      <c r="I635" s="42" t="s">
        <v>6233</v>
      </c>
      <c r="J635" s="42" t="s">
        <v>6253</v>
      </c>
      <c r="K635" s="42" t="s">
        <v>12007</v>
      </c>
      <c r="L635" s="42" t="s">
        <v>6209</v>
      </c>
      <c r="M635" s="42">
        <v>1</v>
      </c>
      <c r="N635" s="459">
        <v>0</v>
      </c>
    </row>
    <row r="636" spans="1:14" ht="11.1" customHeight="1">
      <c r="A636" s="817" t="s">
        <v>7771</v>
      </c>
      <c r="B636" s="455"/>
      <c r="C636" s="46">
        <v>37040</v>
      </c>
      <c r="D636" s="48">
        <v>15.34109499964795</v>
      </c>
      <c r="E636" s="456" t="s">
        <v>6262</v>
      </c>
      <c r="F636" s="49" t="s">
        <v>12363</v>
      </c>
      <c r="G636" s="49">
        <v>50</v>
      </c>
      <c r="H636" s="49" t="s">
        <v>0</v>
      </c>
      <c r="I636" s="49">
        <v>0</v>
      </c>
      <c r="J636" s="49" t="s">
        <v>6264</v>
      </c>
      <c r="K636" s="49">
        <v>0</v>
      </c>
      <c r="L636" s="49" t="s">
        <v>6036</v>
      </c>
      <c r="M636" s="49">
        <v>0</v>
      </c>
      <c r="N636" s="457">
        <v>0</v>
      </c>
    </row>
    <row r="637" spans="1:14" ht="11.1" customHeight="1">
      <c r="A637" s="940" t="s">
        <v>7777</v>
      </c>
      <c r="B637" s="412" t="s">
        <v>10050</v>
      </c>
      <c r="C637" s="413">
        <v>132072</v>
      </c>
      <c r="D637" s="414">
        <v>52.252145324202104</v>
      </c>
      <c r="E637" s="415" t="s">
        <v>6251</v>
      </c>
      <c r="F637" s="416" t="s">
        <v>7778</v>
      </c>
      <c r="G637" s="416">
        <v>34</v>
      </c>
      <c r="H637" s="416" t="s">
        <v>0</v>
      </c>
      <c r="I637" s="416" t="s">
        <v>6233</v>
      </c>
      <c r="J637" s="416" t="s">
        <v>6257</v>
      </c>
      <c r="K637" s="416" t="s">
        <v>11998</v>
      </c>
      <c r="L637" s="416" t="s">
        <v>6209</v>
      </c>
      <c r="M637" s="416">
        <v>1</v>
      </c>
      <c r="N637" s="417" t="s">
        <v>6260</v>
      </c>
    </row>
    <row r="638" spans="1:14" ht="11.1" customHeight="1">
      <c r="A638" s="400" t="s">
        <v>7775</v>
      </c>
      <c r="B638" s="458" t="s">
        <v>6230</v>
      </c>
      <c r="C638" s="39">
        <v>91756</v>
      </c>
      <c r="D638" s="41">
        <v>36.301773626260591</v>
      </c>
      <c r="E638" s="41">
        <v>69.474226179659581</v>
      </c>
      <c r="F638" s="42" t="s">
        <v>12364</v>
      </c>
      <c r="G638" s="42">
        <v>43</v>
      </c>
      <c r="H638" s="42" t="s">
        <v>0</v>
      </c>
      <c r="I638" s="42" t="s">
        <v>6233</v>
      </c>
      <c r="J638" s="42" t="s">
        <v>6253</v>
      </c>
      <c r="K638" s="42" t="s">
        <v>12178</v>
      </c>
      <c r="L638" s="42" t="s">
        <v>6209</v>
      </c>
      <c r="M638" s="42">
        <v>3</v>
      </c>
      <c r="N638" s="459">
        <v>0</v>
      </c>
    </row>
    <row r="639" spans="1:14" ht="11.1" customHeight="1">
      <c r="A639" s="817" t="s">
        <v>7779</v>
      </c>
      <c r="B639" s="455"/>
      <c r="C639" s="46">
        <v>28931</v>
      </c>
      <c r="D639" s="48">
        <v>11.446081049537307</v>
      </c>
      <c r="E639" s="456" t="s">
        <v>6262</v>
      </c>
      <c r="F639" s="49" t="s">
        <v>7780</v>
      </c>
      <c r="G639" s="49">
        <v>55</v>
      </c>
      <c r="H639" s="49" t="s">
        <v>0</v>
      </c>
      <c r="I639" s="49">
        <v>0</v>
      </c>
      <c r="J639" s="49" t="s">
        <v>6264</v>
      </c>
      <c r="K639" s="49">
        <v>0</v>
      </c>
      <c r="L639" s="49" t="s">
        <v>6036</v>
      </c>
      <c r="M639" s="49">
        <v>0</v>
      </c>
      <c r="N639" s="457">
        <v>0</v>
      </c>
    </row>
    <row r="640" spans="1:14" ht="11.1" customHeight="1">
      <c r="A640" s="940" t="s">
        <v>7785</v>
      </c>
      <c r="B640" s="450" t="s">
        <v>10050</v>
      </c>
      <c r="C640" s="451">
        <v>118574</v>
      </c>
      <c r="D640" s="452">
        <v>47.665065423190562</v>
      </c>
      <c r="E640" s="453" t="s">
        <v>6262</v>
      </c>
      <c r="F640" s="198" t="s">
        <v>7786</v>
      </c>
      <c r="G640" s="198">
        <v>56</v>
      </c>
      <c r="H640" s="198" t="s">
        <v>0</v>
      </c>
      <c r="I640" s="198">
        <v>0</v>
      </c>
      <c r="J640" s="198" t="s">
        <v>6929</v>
      </c>
      <c r="K640" s="198">
        <v>0</v>
      </c>
      <c r="L640" s="198" t="s">
        <v>6209</v>
      </c>
      <c r="M640" s="198">
        <v>4</v>
      </c>
      <c r="N640" s="454" t="s">
        <v>7394</v>
      </c>
    </row>
    <row r="641" spans="1:14" ht="11.1" customHeight="1">
      <c r="A641" s="400" t="s">
        <v>7783</v>
      </c>
      <c r="B641" s="458" t="s">
        <v>6230</v>
      </c>
      <c r="C641" s="39">
        <v>87002</v>
      </c>
      <c r="D641" s="41">
        <v>34.973569432999014</v>
      </c>
      <c r="E641" s="41">
        <v>73.373589488420734</v>
      </c>
      <c r="F641" s="42" t="s">
        <v>7784</v>
      </c>
      <c r="G641" s="42">
        <v>57</v>
      </c>
      <c r="H641" s="42" t="s">
        <v>0</v>
      </c>
      <c r="I641" s="42" t="s">
        <v>6233</v>
      </c>
      <c r="J641" s="42" t="s">
        <v>6253</v>
      </c>
      <c r="K641" s="42" t="s">
        <v>11989</v>
      </c>
      <c r="L641" s="42" t="s">
        <v>6209</v>
      </c>
      <c r="M641" s="42">
        <v>1</v>
      </c>
      <c r="N641" s="459">
        <v>0</v>
      </c>
    </row>
    <row r="642" spans="1:14" ht="11.1" customHeight="1">
      <c r="A642" s="817" t="s">
        <v>7787</v>
      </c>
      <c r="B642" s="455" t="s">
        <v>6230</v>
      </c>
      <c r="C642" s="46">
        <v>43189</v>
      </c>
      <c r="D642" s="48">
        <v>17.361365143810424</v>
      </c>
      <c r="E642" s="48">
        <v>36.42366792045474</v>
      </c>
      <c r="F642" s="49" t="s">
        <v>12365</v>
      </c>
      <c r="G642" s="49">
        <v>45</v>
      </c>
      <c r="H642" s="49" t="s">
        <v>0</v>
      </c>
      <c r="I642" s="49" t="s">
        <v>6233</v>
      </c>
      <c r="J642" s="49" t="s">
        <v>6264</v>
      </c>
      <c r="K642" s="49">
        <v>0</v>
      </c>
      <c r="L642" s="49" t="s">
        <v>6036</v>
      </c>
      <c r="M642" s="49">
        <v>0</v>
      </c>
      <c r="N642" s="457">
        <v>0</v>
      </c>
    </row>
    <row r="643" spans="1:14" ht="11.1" customHeight="1">
      <c r="A643" s="940" t="s">
        <v>7793</v>
      </c>
      <c r="B643" s="450" t="s">
        <v>10050</v>
      </c>
      <c r="C643" s="451">
        <v>127157</v>
      </c>
      <c r="D643" s="452">
        <v>52.704943173811046</v>
      </c>
      <c r="E643" s="453" t="s">
        <v>6262</v>
      </c>
      <c r="F643" s="198" t="s">
        <v>12366</v>
      </c>
      <c r="G643" s="198">
        <v>47</v>
      </c>
      <c r="H643" s="198" t="s">
        <v>0</v>
      </c>
      <c r="I643" s="198">
        <v>0</v>
      </c>
      <c r="J643" s="198" t="s">
        <v>6929</v>
      </c>
      <c r="K643" s="198">
        <v>0</v>
      </c>
      <c r="L643" s="198" t="s">
        <v>6209</v>
      </c>
      <c r="M643" s="198">
        <v>4</v>
      </c>
      <c r="N643" s="454" t="s">
        <v>7394</v>
      </c>
    </row>
    <row r="644" spans="1:14" ht="11.1" customHeight="1">
      <c r="A644" s="400" t="s">
        <v>7791</v>
      </c>
      <c r="B644" s="458" t="s">
        <v>6230</v>
      </c>
      <c r="C644" s="39">
        <v>84562</v>
      </c>
      <c r="D644" s="41">
        <v>35.049862804751683</v>
      </c>
      <c r="E644" s="41">
        <v>66.502040784227376</v>
      </c>
      <c r="F644" s="42" t="s">
        <v>7792</v>
      </c>
      <c r="G644" s="42">
        <v>53</v>
      </c>
      <c r="H644" s="42" t="s">
        <v>0</v>
      </c>
      <c r="I644" s="42" t="s">
        <v>6233</v>
      </c>
      <c r="J644" s="42" t="s">
        <v>6253</v>
      </c>
      <c r="K644" s="42" t="s">
        <v>12020</v>
      </c>
      <c r="L644" s="42" t="s">
        <v>6036</v>
      </c>
      <c r="M644" s="42">
        <v>0</v>
      </c>
      <c r="N644" s="459">
        <v>0</v>
      </c>
    </row>
    <row r="645" spans="1:14" ht="11.1" customHeight="1">
      <c r="A645" s="817" t="s">
        <v>7795</v>
      </c>
      <c r="B645" s="455"/>
      <c r="C645" s="46">
        <v>29543</v>
      </c>
      <c r="D645" s="48">
        <v>12.245194021437277</v>
      </c>
      <c r="E645" s="456" t="s">
        <v>6262</v>
      </c>
      <c r="F645" s="49" t="s">
        <v>12367</v>
      </c>
      <c r="G645" s="49">
        <v>41</v>
      </c>
      <c r="H645" s="49" t="s">
        <v>0</v>
      </c>
      <c r="I645" s="49">
        <v>0</v>
      </c>
      <c r="J645" s="49" t="s">
        <v>6264</v>
      </c>
      <c r="K645" s="49">
        <v>0</v>
      </c>
      <c r="L645" s="49" t="s">
        <v>6036</v>
      </c>
      <c r="M645" s="49">
        <v>0</v>
      </c>
      <c r="N645" s="457">
        <v>0</v>
      </c>
    </row>
    <row r="646" spans="1:14" ht="11.1" customHeight="1">
      <c r="A646" s="940" t="s">
        <v>7801</v>
      </c>
      <c r="B646" s="412" t="s">
        <v>10050</v>
      </c>
      <c r="C646" s="413">
        <v>98151</v>
      </c>
      <c r="D646" s="414">
        <v>43.361917005738825</v>
      </c>
      <c r="E646" s="415" t="s">
        <v>6251</v>
      </c>
      <c r="F646" s="416" t="s">
        <v>7802</v>
      </c>
      <c r="G646" s="416">
        <v>43</v>
      </c>
      <c r="H646" s="416" t="s">
        <v>6049</v>
      </c>
      <c r="I646" s="416" t="s">
        <v>6233</v>
      </c>
      <c r="J646" s="416" t="s">
        <v>6257</v>
      </c>
      <c r="K646" s="416" t="s">
        <v>6258</v>
      </c>
      <c r="L646" s="416" t="s">
        <v>6036</v>
      </c>
      <c r="M646" s="416">
        <v>0</v>
      </c>
      <c r="N646" s="417">
        <v>0</v>
      </c>
    </row>
    <row r="647" spans="1:14" ht="11.1" customHeight="1">
      <c r="A647" s="400" t="s">
        <v>7799</v>
      </c>
      <c r="B647" s="458" t="s">
        <v>11986</v>
      </c>
      <c r="C647" s="39">
        <v>84373</v>
      </c>
      <c r="D647" s="41">
        <v>37.274964325632972</v>
      </c>
      <c r="E647" s="41">
        <v>85.962445619504635</v>
      </c>
      <c r="F647" s="42" t="s">
        <v>12368</v>
      </c>
      <c r="G647" s="42">
        <v>55</v>
      </c>
      <c r="H647" s="42" t="s">
        <v>0</v>
      </c>
      <c r="I647" s="42" t="s">
        <v>6233</v>
      </c>
      <c r="J647" s="42" t="s">
        <v>6253</v>
      </c>
      <c r="K647" s="42" t="s">
        <v>11994</v>
      </c>
      <c r="L647" s="42" t="s">
        <v>6209</v>
      </c>
      <c r="M647" s="42">
        <v>4</v>
      </c>
      <c r="N647" s="459">
        <v>0</v>
      </c>
    </row>
    <row r="648" spans="1:14" ht="11.1" customHeight="1">
      <c r="A648" s="400" t="s">
        <v>7803</v>
      </c>
      <c r="B648" s="458"/>
      <c r="C648" s="39">
        <v>27573</v>
      </c>
      <c r="D648" s="41">
        <v>12.181415753270334</v>
      </c>
      <c r="E648" s="469" t="s">
        <v>6262</v>
      </c>
      <c r="F648" s="42" t="s">
        <v>12369</v>
      </c>
      <c r="G648" s="42">
        <v>58</v>
      </c>
      <c r="H648" s="42" t="s">
        <v>0</v>
      </c>
      <c r="I648" s="42">
        <v>0</v>
      </c>
      <c r="J648" s="42" t="s">
        <v>6264</v>
      </c>
      <c r="K648" s="42">
        <v>0</v>
      </c>
      <c r="L648" s="42" t="s">
        <v>6036</v>
      </c>
      <c r="M648" s="42">
        <v>0</v>
      </c>
      <c r="N648" s="459">
        <v>0</v>
      </c>
    </row>
    <row r="649" spans="1:14" ht="11.1" customHeight="1">
      <c r="A649" s="817" t="s">
        <v>7805</v>
      </c>
      <c r="B649" s="455" t="s">
        <v>6231</v>
      </c>
      <c r="C649" s="46">
        <v>16256</v>
      </c>
      <c r="D649" s="48">
        <v>7.18170291535787</v>
      </c>
      <c r="E649" s="456" t="s">
        <v>6262</v>
      </c>
      <c r="F649" s="49" t="s">
        <v>12370</v>
      </c>
      <c r="G649" s="49">
        <v>41</v>
      </c>
      <c r="H649" s="49" t="s">
        <v>0</v>
      </c>
      <c r="I649" s="49">
        <v>0</v>
      </c>
      <c r="J649" s="49" t="s">
        <v>12017</v>
      </c>
      <c r="K649" s="49">
        <v>0</v>
      </c>
      <c r="L649" s="49" t="s">
        <v>6036</v>
      </c>
      <c r="M649" s="49">
        <v>0</v>
      </c>
      <c r="N649" s="457">
        <v>0</v>
      </c>
    </row>
    <row r="650" spans="1:14" ht="11.1" customHeight="1">
      <c r="A650" s="940" t="s">
        <v>7809</v>
      </c>
      <c r="B650" s="412" t="s">
        <v>10050</v>
      </c>
      <c r="C650" s="413">
        <v>103120</v>
      </c>
      <c r="D650" s="414">
        <v>49.610791982988388</v>
      </c>
      <c r="E650" s="415" t="s">
        <v>6251</v>
      </c>
      <c r="F650" s="416" t="s">
        <v>7810</v>
      </c>
      <c r="G650" s="416">
        <v>41</v>
      </c>
      <c r="H650" s="416" t="s">
        <v>0</v>
      </c>
      <c r="I650" s="416" t="s">
        <v>6233</v>
      </c>
      <c r="J650" s="416" t="s">
        <v>6257</v>
      </c>
      <c r="K650" s="416" t="s">
        <v>6258</v>
      </c>
      <c r="L650" s="416" t="s">
        <v>6036</v>
      </c>
      <c r="M650" s="416">
        <v>0</v>
      </c>
      <c r="N650" s="417" t="s">
        <v>6260</v>
      </c>
    </row>
    <row r="651" spans="1:14" ht="11.1" customHeight="1">
      <c r="A651" s="400" t="s">
        <v>7807</v>
      </c>
      <c r="B651" s="458" t="s">
        <v>6230</v>
      </c>
      <c r="C651" s="39">
        <v>82290</v>
      </c>
      <c r="D651" s="41">
        <v>39.589527465866119</v>
      </c>
      <c r="E651" s="41">
        <v>79.800232738557014</v>
      </c>
      <c r="F651" s="42" t="s">
        <v>7808</v>
      </c>
      <c r="G651" s="42">
        <v>64</v>
      </c>
      <c r="H651" s="42" t="s">
        <v>0</v>
      </c>
      <c r="I651" s="42" t="s">
        <v>6233</v>
      </c>
      <c r="J651" s="42" t="s">
        <v>6253</v>
      </c>
      <c r="K651" s="42" t="s">
        <v>12178</v>
      </c>
      <c r="L651" s="42" t="s">
        <v>6209</v>
      </c>
      <c r="M651" s="42">
        <v>10</v>
      </c>
      <c r="N651" s="459">
        <v>0</v>
      </c>
    </row>
    <row r="652" spans="1:14" ht="11.1" customHeight="1">
      <c r="A652" s="817" t="s">
        <v>7811</v>
      </c>
      <c r="B652" s="455"/>
      <c r="C652" s="46">
        <v>22448</v>
      </c>
      <c r="D652" s="48">
        <v>10.799680551145494</v>
      </c>
      <c r="E652" s="456" t="s">
        <v>6262</v>
      </c>
      <c r="F652" s="49" t="s">
        <v>12371</v>
      </c>
      <c r="G652" s="49">
        <v>48</v>
      </c>
      <c r="H652" s="49" t="s">
        <v>6049</v>
      </c>
      <c r="I652" s="49">
        <v>0</v>
      </c>
      <c r="J652" s="49" t="s">
        <v>6264</v>
      </c>
      <c r="K652" s="49">
        <v>0</v>
      </c>
      <c r="L652" s="49" t="s">
        <v>6036</v>
      </c>
      <c r="M652" s="49">
        <v>0</v>
      </c>
      <c r="N652" s="457">
        <v>0</v>
      </c>
    </row>
    <row r="653" spans="1:14" ht="11.1" customHeight="1">
      <c r="A653" s="940" t="s">
        <v>7817</v>
      </c>
      <c r="B653" s="412" t="s">
        <v>10050</v>
      </c>
      <c r="C653" s="413">
        <v>142243</v>
      </c>
      <c r="D653" s="414">
        <v>50.548509411902671</v>
      </c>
      <c r="E653" s="415" t="s">
        <v>6251</v>
      </c>
      <c r="F653" s="416" t="s">
        <v>12372</v>
      </c>
      <c r="G653" s="416">
        <v>50</v>
      </c>
      <c r="H653" s="416" t="s">
        <v>0</v>
      </c>
      <c r="I653" s="416" t="s">
        <v>6233</v>
      </c>
      <c r="J653" s="416" t="s">
        <v>6257</v>
      </c>
      <c r="K653" s="416" t="s">
        <v>11998</v>
      </c>
      <c r="L653" s="416" t="s">
        <v>6209</v>
      </c>
      <c r="M653" s="416">
        <v>2</v>
      </c>
      <c r="N653" s="417" t="s">
        <v>6260</v>
      </c>
    </row>
    <row r="654" spans="1:14" ht="11.1" customHeight="1">
      <c r="A654" s="400" t="s">
        <v>7815</v>
      </c>
      <c r="B654" s="458" t="s">
        <v>6230</v>
      </c>
      <c r="C654" s="39">
        <v>111809</v>
      </c>
      <c r="D654" s="41">
        <v>39.733261312229253</v>
      </c>
      <c r="E654" s="41">
        <v>78.604219539801605</v>
      </c>
      <c r="F654" s="42" t="s">
        <v>7816</v>
      </c>
      <c r="G654" s="42">
        <v>42</v>
      </c>
      <c r="H654" s="42" t="s">
        <v>0</v>
      </c>
      <c r="I654" s="42" t="s">
        <v>6233</v>
      </c>
      <c r="J654" s="42" t="s">
        <v>6253</v>
      </c>
      <c r="K654" s="42" t="s">
        <v>12000</v>
      </c>
      <c r="L654" s="42" t="s">
        <v>6209</v>
      </c>
      <c r="M654" s="42">
        <v>2</v>
      </c>
      <c r="N654" s="459">
        <v>0</v>
      </c>
    </row>
    <row r="655" spans="1:14" ht="11.1" customHeight="1">
      <c r="A655" s="817" t="s">
        <v>7819</v>
      </c>
      <c r="B655" s="455" t="s">
        <v>6231</v>
      </c>
      <c r="C655" s="46">
        <v>27347</v>
      </c>
      <c r="D655" s="48">
        <v>9.7182292758680742</v>
      </c>
      <c r="E655" s="456" t="s">
        <v>6262</v>
      </c>
      <c r="F655" s="49" t="s">
        <v>12373</v>
      </c>
      <c r="G655" s="49">
        <v>53</v>
      </c>
      <c r="H655" s="49" t="s">
        <v>0</v>
      </c>
      <c r="I655" s="49">
        <v>0</v>
      </c>
      <c r="J655" s="49" t="s">
        <v>6264</v>
      </c>
      <c r="K655" s="49">
        <v>0</v>
      </c>
      <c r="L655" s="49" t="s">
        <v>6036</v>
      </c>
      <c r="M655" s="49">
        <v>0</v>
      </c>
      <c r="N655" s="457">
        <v>0</v>
      </c>
    </row>
    <row r="656" spans="1:14" ht="11.1" customHeight="1">
      <c r="A656" s="940" t="s">
        <v>7827</v>
      </c>
      <c r="B656" s="412" t="s">
        <v>10050</v>
      </c>
      <c r="C656" s="413">
        <v>83607</v>
      </c>
      <c r="D656" s="414">
        <v>38.417567673128794</v>
      </c>
      <c r="E656" s="415" t="s">
        <v>6251</v>
      </c>
      <c r="F656" s="416" t="s">
        <v>7828</v>
      </c>
      <c r="G656" s="416">
        <v>34</v>
      </c>
      <c r="H656" s="416" t="s">
        <v>0</v>
      </c>
      <c r="I656" s="416" t="s">
        <v>6233</v>
      </c>
      <c r="J656" s="416" t="s">
        <v>6257</v>
      </c>
      <c r="K656" s="416" t="s">
        <v>12012</v>
      </c>
      <c r="L656" s="416" t="s">
        <v>6283</v>
      </c>
      <c r="M656" s="416">
        <v>1</v>
      </c>
      <c r="N656" s="417" t="s">
        <v>6260</v>
      </c>
    </row>
    <row r="657" spans="1:14" ht="11.1" customHeight="1">
      <c r="A657" s="400" t="s">
        <v>7831</v>
      </c>
      <c r="B657" s="458" t="s">
        <v>11986</v>
      </c>
      <c r="C657" s="39">
        <v>68614</v>
      </c>
      <c r="D657" s="41">
        <v>31.528257063691544</v>
      </c>
      <c r="E657" s="41">
        <v>82.067291016302462</v>
      </c>
      <c r="F657" s="42" t="s">
        <v>7826</v>
      </c>
      <c r="G657" s="42">
        <v>45</v>
      </c>
      <c r="H657" s="42" t="s">
        <v>6049</v>
      </c>
      <c r="I657" s="42" t="s">
        <v>6233</v>
      </c>
      <c r="J657" s="42" t="s">
        <v>6278</v>
      </c>
      <c r="K657" s="42">
        <v>0</v>
      </c>
      <c r="L657" s="42" t="s">
        <v>6283</v>
      </c>
      <c r="M657" s="42">
        <v>2</v>
      </c>
      <c r="N657" s="459">
        <v>0</v>
      </c>
    </row>
    <row r="658" spans="1:14" ht="11.1" customHeight="1">
      <c r="A658" s="400" t="s">
        <v>7829</v>
      </c>
      <c r="B658" s="458" t="s">
        <v>6230</v>
      </c>
      <c r="C658" s="39">
        <v>52703</v>
      </c>
      <c r="D658" s="41">
        <v>24.217123794382132</v>
      </c>
      <c r="E658" s="41">
        <v>63.036587845515328</v>
      </c>
      <c r="F658" s="42" t="s">
        <v>12374</v>
      </c>
      <c r="G658" s="42">
        <v>64</v>
      </c>
      <c r="H658" s="42" t="s">
        <v>6049</v>
      </c>
      <c r="I658" s="42" t="s">
        <v>6233</v>
      </c>
      <c r="J658" s="42" t="s">
        <v>6253</v>
      </c>
      <c r="K658" s="42" t="s">
        <v>11989</v>
      </c>
      <c r="L658" s="42" t="s">
        <v>6209</v>
      </c>
      <c r="M658" s="42">
        <v>3</v>
      </c>
      <c r="N658" s="459">
        <v>0</v>
      </c>
    </row>
    <row r="659" spans="1:14" ht="11.1" customHeight="1">
      <c r="A659" s="817" t="s">
        <v>7825</v>
      </c>
      <c r="B659" s="455" t="s">
        <v>6231</v>
      </c>
      <c r="C659" s="46">
        <v>12703</v>
      </c>
      <c r="D659" s="48">
        <v>5.8370514687975295</v>
      </c>
      <c r="E659" s="456" t="s">
        <v>6262</v>
      </c>
      <c r="F659" s="49" t="s">
        <v>7830</v>
      </c>
      <c r="G659" s="49">
        <v>44</v>
      </c>
      <c r="H659" s="49" t="s">
        <v>0</v>
      </c>
      <c r="I659" s="49">
        <v>0</v>
      </c>
      <c r="J659" s="49" t="s">
        <v>6264</v>
      </c>
      <c r="K659" s="49">
        <v>0</v>
      </c>
      <c r="L659" s="49" t="s">
        <v>6036</v>
      </c>
      <c r="M659" s="49">
        <v>0</v>
      </c>
      <c r="N659" s="457">
        <v>0</v>
      </c>
    </row>
    <row r="660" spans="1:14" ht="11.1" customHeight="1">
      <c r="A660" s="940" t="s">
        <v>7833</v>
      </c>
      <c r="B660" s="409" t="s">
        <v>10050</v>
      </c>
      <c r="C660" s="53">
        <v>121328</v>
      </c>
      <c r="D660" s="55">
        <v>48.11338337873903</v>
      </c>
      <c r="E660" s="410" t="s">
        <v>6251</v>
      </c>
      <c r="F660" s="56" t="s">
        <v>7834</v>
      </c>
      <c r="G660" s="56">
        <v>56</v>
      </c>
      <c r="H660" s="56" t="s">
        <v>0</v>
      </c>
      <c r="I660" s="56" t="s">
        <v>6233</v>
      </c>
      <c r="J660" s="56" t="s">
        <v>6253</v>
      </c>
      <c r="K660" s="56" t="s">
        <v>11989</v>
      </c>
      <c r="L660" s="56" t="s">
        <v>6209</v>
      </c>
      <c r="M660" s="56">
        <v>3</v>
      </c>
      <c r="N660" s="411">
        <v>0</v>
      </c>
    </row>
    <row r="661" spans="1:14" ht="11.1" customHeight="1">
      <c r="A661" s="400" t="s">
        <v>7835</v>
      </c>
      <c r="B661" s="458" t="s">
        <v>11986</v>
      </c>
      <c r="C661" s="39">
        <v>98613</v>
      </c>
      <c r="D661" s="41">
        <v>39.105606909597057</v>
      </c>
      <c r="E661" s="41">
        <v>81.278023209811423</v>
      </c>
      <c r="F661" s="42" t="s">
        <v>7836</v>
      </c>
      <c r="G661" s="42">
        <v>59</v>
      </c>
      <c r="H661" s="42" t="s">
        <v>6049</v>
      </c>
      <c r="I661" s="42" t="s">
        <v>6233</v>
      </c>
      <c r="J661" s="42" t="s">
        <v>6257</v>
      </c>
      <c r="K661" s="42" t="s">
        <v>6258</v>
      </c>
      <c r="L661" s="42" t="s">
        <v>6036</v>
      </c>
      <c r="M661" s="42">
        <v>0</v>
      </c>
      <c r="N661" s="459" t="s">
        <v>6260</v>
      </c>
    </row>
    <row r="662" spans="1:14" ht="11.1" customHeight="1">
      <c r="A662" s="817" t="s">
        <v>7837</v>
      </c>
      <c r="B662" s="455"/>
      <c r="C662" s="46">
        <v>32230</v>
      </c>
      <c r="D662" s="48">
        <v>12.781009711663911</v>
      </c>
      <c r="E662" s="456" t="s">
        <v>6262</v>
      </c>
      <c r="F662" s="49" t="s">
        <v>7838</v>
      </c>
      <c r="G662" s="49">
        <v>51</v>
      </c>
      <c r="H662" s="49" t="s">
        <v>6049</v>
      </c>
      <c r="I662" s="49">
        <v>0</v>
      </c>
      <c r="J662" s="49" t="s">
        <v>6264</v>
      </c>
      <c r="K662" s="49">
        <v>0</v>
      </c>
      <c r="L662" s="49" t="s">
        <v>6036</v>
      </c>
      <c r="M662" s="49">
        <v>0</v>
      </c>
      <c r="N662" s="457">
        <v>0</v>
      </c>
    </row>
    <row r="663" spans="1:14" ht="11.1" customHeight="1">
      <c r="A663" s="940" t="s">
        <v>7843</v>
      </c>
      <c r="B663" s="412" t="s">
        <v>10050</v>
      </c>
      <c r="C663" s="413">
        <v>108903</v>
      </c>
      <c r="D663" s="414">
        <v>49.594014272117455</v>
      </c>
      <c r="E663" s="415" t="s">
        <v>6251</v>
      </c>
      <c r="F663" s="416" t="s">
        <v>7844</v>
      </c>
      <c r="G663" s="416">
        <v>53</v>
      </c>
      <c r="H663" s="416" t="s">
        <v>0</v>
      </c>
      <c r="I663" s="416" t="s">
        <v>6233</v>
      </c>
      <c r="J663" s="416" t="s">
        <v>6257</v>
      </c>
      <c r="K663" s="416" t="s">
        <v>12028</v>
      </c>
      <c r="L663" s="416" t="s">
        <v>6209</v>
      </c>
      <c r="M663" s="416">
        <v>2</v>
      </c>
      <c r="N663" s="417" t="s">
        <v>6260</v>
      </c>
    </row>
    <row r="664" spans="1:14" ht="11.1" customHeight="1">
      <c r="A664" s="400" t="s">
        <v>7841</v>
      </c>
      <c r="B664" s="458" t="s">
        <v>6230</v>
      </c>
      <c r="C664" s="39">
        <v>87091</v>
      </c>
      <c r="D664" s="41">
        <v>39.660911976465123</v>
      </c>
      <c r="E664" s="41">
        <v>79.971167001827311</v>
      </c>
      <c r="F664" s="42" t="s">
        <v>7842</v>
      </c>
      <c r="G664" s="42">
        <v>46</v>
      </c>
      <c r="H664" s="42" t="s">
        <v>0</v>
      </c>
      <c r="I664" s="42" t="s">
        <v>6233</v>
      </c>
      <c r="J664" s="42" t="s">
        <v>6253</v>
      </c>
      <c r="K664" s="42" t="s">
        <v>11994</v>
      </c>
      <c r="L664" s="42" t="s">
        <v>6209</v>
      </c>
      <c r="M664" s="42">
        <v>4</v>
      </c>
      <c r="N664" s="459">
        <v>0</v>
      </c>
    </row>
    <row r="665" spans="1:14" ht="11.1" customHeight="1">
      <c r="A665" s="817" t="s">
        <v>7845</v>
      </c>
      <c r="B665" s="455"/>
      <c r="C665" s="46">
        <v>23595</v>
      </c>
      <c r="D665" s="48">
        <v>10.74507375141742</v>
      </c>
      <c r="E665" s="456" t="s">
        <v>6262</v>
      </c>
      <c r="F665" s="49" t="s">
        <v>12375</v>
      </c>
      <c r="G665" s="49">
        <v>50</v>
      </c>
      <c r="H665" s="49" t="s">
        <v>6049</v>
      </c>
      <c r="I665" s="49">
        <v>0</v>
      </c>
      <c r="J665" s="49" t="s">
        <v>6264</v>
      </c>
      <c r="K665" s="49">
        <v>0</v>
      </c>
      <c r="L665" s="49" t="s">
        <v>6036</v>
      </c>
      <c r="M665" s="49">
        <v>0</v>
      </c>
      <c r="N665" s="457">
        <v>0</v>
      </c>
    </row>
    <row r="666" spans="1:14" ht="11.1" customHeight="1">
      <c r="A666" s="940" t="s">
        <v>7849</v>
      </c>
      <c r="B666" s="412" t="s">
        <v>10050</v>
      </c>
      <c r="C666" s="413">
        <v>141141</v>
      </c>
      <c r="D666" s="414">
        <v>58.094908808021437</v>
      </c>
      <c r="E666" s="415" t="s">
        <v>6251</v>
      </c>
      <c r="F666" s="416" t="s">
        <v>12376</v>
      </c>
      <c r="G666" s="416">
        <v>65</v>
      </c>
      <c r="H666" s="416" t="s">
        <v>0</v>
      </c>
      <c r="I666" s="416" t="s">
        <v>6233</v>
      </c>
      <c r="J666" s="416" t="s">
        <v>6257</v>
      </c>
      <c r="K666" s="416" t="s">
        <v>12009</v>
      </c>
      <c r="L666" s="416" t="s">
        <v>6209</v>
      </c>
      <c r="M666" s="416">
        <v>3</v>
      </c>
      <c r="N666" s="417" t="s">
        <v>6260</v>
      </c>
    </row>
    <row r="667" spans="1:14" ht="11.1" customHeight="1">
      <c r="A667" s="400" t="s">
        <v>7854</v>
      </c>
      <c r="B667" s="458" t="s">
        <v>6230</v>
      </c>
      <c r="C667" s="39">
        <v>60791</v>
      </c>
      <c r="D667" s="41">
        <v>25.022123984869253</v>
      </c>
      <c r="E667" s="41">
        <v>43.071113283879242</v>
      </c>
      <c r="F667" s="42" t="s">
        <v>12377</v>
      </c>
      <c r="G667" s="42">
        <v>58</v>
      </c>
      <c r="H667" s="42" t="s">
        <v>0</v>
      </c>
      <c r="I667" s="42" t="s">
        <v>6233</v>
      </c>
      <c r="J667" s="42" t="s">
        <v>6253</v>
      </c>
      <c r="K667" s="42" t="s">
        <v>12020</v>
      </c>
      <c r="L667" s="42" t="s">
        <v>6036</v>
      </c>
      <c r="M667" s="42">
        <v>0</v>
      </c>
      <c r="N667" s="459">
        <v>0</v>
      </c>
    </row>
    <row r="668" spans="1:14" ht="11.1" customHeight="1">
      <c r="A668" s="817" t="s">
        <v>7851</v>
      </c>
      <c r="B668" s="455" t="s">
        <v>11986</v>
      </c>
      <c r="C668" s="46">
        <v>41017</v>
      </c>
      <c r="D668" s="48">
        <v>16.88296720710931</v>
      </c>
      <c r="E668" s="48">
        <v>29.061009912073743</v>
      </c>
      <c r="F668" s="49" t="s">
        <v>7855</v>
      </c>
      <c r="G668" s="49">
        <v>62</v>
      </c>
      <c r="H668" s="49" t="s">
        <v>0</v>
      </c>
      <c r="I668" s="49" t="s">
        <v>6233</v>
      </c>
      <c r="J668" s="49" t="s">
        <v>6264</v>
      </c>
      <c r="K668" s="49">
        <v>0</v>
      </c>
      <c r="L668" s="49" t="s">
        <v>6209</v>
      </c>
      <c r="M668" s="49">
        <v>5</v>
      </c>
      <c r="N668" s="457">
        <v>0</v>
      </c>
    </row>
    <row r="669" spans="1:14" ht="11.1" customHeight="1">
      <c r="A669" s="940" t="s">
        <v>7860</v>
      </c>
      <c r="B669" s="412" t="s">
        <v>10050</v>
      </c>
      <c r="C669" s="413">
        <v>151852</v>
      </c>
      <c r="D669" s="414">
        <v>54.908625440239518</v>
      </c>
      <c r="E669" s="415" t="s">
        <v>6251</v>
      </c>
      <c r="F669" s="416" t="s">
        <v>12378</v>
      </c>
      <c r="G669" s="416">
        <v>58</v>
      </c>
      <c r="H669" s="416" t="s">
        <v>0</v>
      </c>
      <c r="I669" s="416" t="s">
        <v>6233</v>
      </c>
      <c r="J669" s="416" t="s">
        <v>6257</v>
      </c>
      <c r="K669" s="416" t="s">
        <v>11998</v>
      </c>
      <c r="L669" s="416" t="s">
        <v>6209</v>
      </c>
      <c r="M669" s="416">
        <v>3</v>
      </c>
      <c r="N669" s="417" t="s">
        <v>6260</v>
      </c>
    </row>
    <row r="670" spans="1:14" ht="11.1" customHeight="1">
      <c r="A670" s="400" t="s">
        <v>7858</v>
      </c>
      <c r="B670" s="458" t="s">
        <v>6230</v>
      </c>
      <c r="C670" s="39">
        <v>89142</v>
      </c>
      <c r="D670" s="41">
        <v>32.233126261055709</v>
      </c>
      <c r="E670" s="41">
        <v>58.703211021257538</v>
      </c>
      <c r="F670" s="42" t="s">
        <v>12379</v>
      </c>
      <c r="G670" s="42">
        <v>42</v>
      </c>
      <c r="H670" s="42" t="s">
        <v>0</v>
      </c>
      <c r="I670" s="42" t="s">
        <v>6233</v>
      </c>
      <c r="J670" s="42" t="s">
        <v>6253</v>
      </c>
      <c r="K670" s="42" t="s">
        <v>12007</v>
      </c>
      <c r="L670" s="42" t="s">
        <v>6036</v>
      </c>
      <c r="M670" s="42">
        <v>0</v>
      </c>
      <c r="N670" s="459">
        <v>0</v>
      </c>
    </row>
    <row r="671" spans="1:14" ht="11.1" customHeight="1">
      <c r="A671" s="817" t="s">
        <v>7862</v>
      </c>
      <c r="B671" s="455"/>
      <c r="C671" s="46">
        <v>35560</v>
      </c>
      <c r="D671" s="48">
        <v>12.858248298704774</v>
      </c>
      <c r="E671" s="456" t="s">
        <v>6262</v>
      </c>
      <c r="F671" s="49" t="s">
        <v>7863</v>
      </c>
      <c r="G671" s="49">
        <v>57</v>
      </c>
      <c r="H671" s="49" t="s">
        <v>0</v>
      </c>
      <c r="I671" s="49">
        <v>0</v>
      </c>
      <c r="J671" s="49" t="s">
        <v>6264</v>
      </c>
      <c r="K671" s="49">
        <v>0</v>
      </c>
      <c r="L671" s="49" t="s">
        <v>6036</v>
      </c>
      <c r="M671" s="49">
        <v>0</v>
      </c>
      <c r="N671" s="457">
        <v>0</v>
      </c>
    </row>
    <row r="672" spans="1:14" ht="11.1" customHeight="1">
      <c r="A672" s="940" t="s">
        <v>7870</v>
      </c>
      <c r="B672" s="412" t="s">
        <v>10050</v>
      </c>
      <c r="C672" s="413">
        <v>144663</v>
      </c>
      <c r="D672" s="414">
        <v>55.78616133921031</v>
      </c>
      <c r="E672" s="415" t="s">
        <v>6251</v>
      </c>
      <c r="F672" s="416" t="s">
        <v>7871</v>
      </c>
      <c r="G672" s="416">
        <v>64</v>
      </c>
      <c r="H672" s="416" t="s">
        <v>0</v>
      </c>
      <c r="I672" s="416" t="s">
        <v>6233</v>
      </c>
      <c r="J672" s="416" t="s">
        <v>6257</v>
      </c>
      <c r="K672" s="416" t="s">
        <v>12009</v>
      </c>
      <c r="L672" s="416" t="s">
        <v>6209</v>
      </c>
      <c r="M672" s="416">
        <v>3</v>
      </c>
      <c r="N672" s="417" t="s">
        <v>6260</v>
      </c>
    </row>
    <row r="673" spans="1:14" ht="11.1" customHeight="1">
      <c r="A673" s="400" t="s">
        <v>7868</v>
      </c>
      <c r="B673" s="458" t="s">
        <v>6230</v>
      </c>
      <c r="C673" s="39">
        <v>82844</v>
      </c>
      <c r="D673" s="41">
        <v>31.946999232599481</v>
      </c>
      <c r="E673" s="41">
        <v>57.266889252953419</v>
      </c>
      <c r="F673" s="42" t="s">
        <v>7754</v>
      </c>
      <c r="G673" s="42">
        <v>37</v>
      </c>
      <c r="H673" s="42" t="s">
        <v>6049</v>
      </c>
      <c r="I673" s="42" t="s">
        <v>6233</v>
      </c>
      <c r="J673" s="42" t="s">
        <v>6253</v>
      </c>
      <c r="K673" s="42" t="s">
        <v>12007</v>
      </c>
      <c r="L673" s="42" t="s">
        <v>6036</v>
      </c>
      <c r="M673" s="42">
        <v>0</v>
      </c>
      <c r="N673" s="459">
        <v>0</v>
      </c>
    </row>
    <row r="674" spans="1:14" ht="11.1" customHeight="1">
      <c r="A674" s="817" t="s">
        <v>7872</v>
      </c>
      <c r="B674" s="455"/>
      <c r="C674" s="46">
        <v>31810</v>
      </c>
      <c r="D674" s="48">
        <v>12.266839428190208</v>
      </c>
      <c r="E674" s="456" t="s">
        <v>6262</v>
      </c>
      <c r="F674" s="49" t="s">
        <v>7873</v>
      </c>
      <c r="G674" s="49">
        <v>62</v>
      </c>
      <c r="H674" s="49" t="s">
        <v>0</v>
      </c>
      <c r="I674" s="49">
        <v>0</v>
      </c>
      <c r="J674" s="49" t="s">
        <v>6264</v>
      </c>
      <c r="K674" s="49">
        <v>0</v>
      </c>
      <c r="L674" s="49" t="s">
        <v>6036</v>
      </c>
      <c r="M674" s="49">
        <v>0</v>
      </c>
      <c r="N674" s="457">
        <v>0</v>
      </c>
    </row>
    <row r="675" spans="1:14" ht="11.1" customHeight="1">
      <c r="A675" s="940" t="s">
        <v>7878</v>
      </c>
      <c r="B675" s="450" t="s">
        <v>10050</v>
      </c>
      <c r="C675" s="451">
        <v>99919</v>
      </c>
      <c r="D675" s="452">
        <v>51.457160661039559</v>
      </c>
      <c r="E675" s="453" t="s">
        <v>6262</v>
      </c>
      <c r="F675" s="198" t="s">
        <v>7879</v>
      </c>
      <c r="G675" s="198">
        <v>52</v>
      </c>
      <c r="H675" s="198" t="s">
        <v>0</v>
      </c>
      <c r="I675" s="198">
        <v>0</v>
      </c>
      <c r="J675" s="198" t="s">
        <v>6929</v>
      </c>
      <c r="K675" s="198">
        <v>0</v>
      </c>
      <c r="L675" s="198" t="s">
        <v>6209</v>
      </c>
      <c r="M675" s="198">
        <v>5</v>
      </c>
      <c r="N675" s="454" t="s">
        <v>7394</v>
      </c>
    </row>
    <row r="676" spans="1:14" ht="11.1" customHeight="1">
      <c r="A676" s="400" t="s">
        <v>7876</v>
      </c>
      <c r="B676" s="458" t="s">
        <v>6230</v>
      </c>
      <c r="C676" s="39">
        <v>70048</v>
      </c>
      <c r="D676" s="41">
        <v>36.073931784590506</v>
      </c>
      <c r="E676" s="41">
        <v>70.10478487574936</v>
      </c>
      <c r="F676" s="42" t="s">
        <v>12380</v>
      </c>
      <c r="G676" s="42">
        <v>38</v>
      </c>
      <c r="H676" s="42" t="s">
        <v>0</v>
      </c>
      <c r="I676" s="42" t="s">
        <v>6233</v>
      </c>
      <c r="J676" s="42" t="s">
        <v>6253</v>
      </c>
      <c r="K676" s="42" t="s">
        <v>12007</v>
      </c>
      <c r="L676" s="42" t="s">
        <v>6209</v>
      </c>
      <c r="M676" s="42">
        <v>1</v>
      </c>
      <c r="N676" s="459">
        <v>0</v>
      </c>
    </row>
    <row r="677" spans="1:14" ht="11.1" customHeight="1">
      <c r="A677" s="817" t="s">
        <v>7880</v>
      </c>
      <c r="B677" s="455"/>
      <c r="C677" s="46">
        <v>24212</v>
      </c>
      <c r="D677" s="48">
        <v>12.468907554369936</v>
      </c>
      <c r="E677" s="456" t="s">
        <v>6262</v>
      </c>
      <c r="F677" s="49" t="s">
        <v>12381</v>
      </c>
      <c r="G677" s="49">
        <v>31</v>
      </c>
      <c r="H677" s="49" t="s">
        <v>6049</v>
      </c>
      <c r="I677" s="49">
        <v>0</v>
      </c>
      <c r="J677" s="49" t="s">
        <v>6264</v>
      </c>
      <c r="K677" s="49">
        <v>0</v>
      </c>
      <c r="L677" s="49" t="s">
        <v>6036</v>
      </c>
      <c r="M677" s="49">
        <v>0</v>
      </c>
      <c r="N677" s="457">
        <v>0</v>
      </c>
    </row>
    <row r="678" spans="1:14" ht="11.1" customHeight="1">
      <c r="A678" s="940" t="s">
        <v>7886</v>
      </c>
      <c r="B678" s="412" t="s">
        <v>10050</v>
      </c>
      <c r="C678" s="413">
        <v>90765</v>
      </c>
      <c r="D678" s="414">
        <v>43.268199434626951</v>
      </c>
      <c r="E678" s="415" t="s">
        <v>6251</v>
      </c>
      <c r="F678" s="416" t="s">
        <v>7887</v>
      </c>
      <c r="G678" s="416">
        <v>66</v>
      </c>
      <c r="H678" s="416" t="s">
        <v>6049</v>
      </c>
      <c r="I678" s="416" t="s">
        <v>6233</v>
      </c>
      <c r="J678" s="416" t="s">
        <v>6257</v>
      </c>
      <c r="K678" s="416" t="s">
        <v>11995</v>
      </c>
      <c r="L678" s="416" t="s">
        <v>6283</v>
      </c>
      <c r="M678" s="416">
        <v>1</v>
      </c>
      <c r="N678" s="417" t="s">
        <v>6260</v>
      </c>
    </row>
    <row r="679" spans="1:14" ht="11.1" customHeight="1">
      <c r="A679" s="400" t="s">
        <v>7884</v>
      </c>
      <c r="B679" s="458" t="s">
        <v>11986</v>
      </c>
      <c r="C679" s="39">
        <v>89276</v>
      </c>
      <c r="D679" s="41">
        <v>42.558384539478389</v>
      </c>
      <c r="E679" s="41">
        <v>98.359499807194396</v>
      </c>
      <c r="F679" s="42" t="s">
        <v>7889</v>
      </c>
      <c r="G679" s="42">
        <v>57</v>
      </c>
      <c r="H679" s="42" t="s">
        <v>0</v>
      </c>
      <c r="I679" s="42" t="s">
        <v>6233</v>
      </c>
      <c r="J679" s="42" t="s">
        <v>6253</v>
      </c>
      <c r="K679" s="42" t="s">
        <v>12020</v>
      </c>
      <c r="L679" s="42" t="s">
        <v>6209</v>
      </c>
      <c r="M679" s="42">
        <v>4</v>
      </c>
      <c r="N679" s="459">
        <v>0</v>
      </c>
    </row>
    <row r="680" spans="1:14" ht="11.1" customHeight="1">
      <c r="A680" s="817" t="s">
        <v>7891</v>
      </c>
      <c r="B680" s="455"/>
      <c r="C680" s="46">
        <v>29732</v>
      </c>
      <c r="D680" s="48">
        <v>14.173416025894658</v>
      </c>
      <c r="E680" s="456" t="s">
        <v>6262</v>
      </c>
      <c r="F680" s="49" t="s">
        <v>12382</v>
      </c>
      <c r="G680" s="49">
        <v>53</v>
      </c>
      <c r="H680" s="49" t="s">
        <v>0</v>
      </c>
      <c r="I680" s="49">
        <v>0</v>
      </c>
      <c r="J680" s="49" t="s">
        <v>6264</v>
      </c>
      <c r="K680" s="49">
        <v>0</v>
      </c>
      <c r="L680" s="49" t="s">
        <v>6036</v>
      </c>
      <c r="M680" s="49">
        <v>0</v>
      </c>
      <c r="N680" s="457">
        <v>0</v>
      </c>
    </row>
    <row r="681" spans="1:14" ht="11.1" customHeight="1">
      <c r="A681" s="940" t="s">
        <v>7895</v>
      </c>
      <c r="B681" s="412" t="s">
        <v>10050</v>
      </c>
      <c r="C681" s="413">
        <v>139616</v>
      </c>
      <c r="D681" s="414">
        <v>52.898874701625431</v>
      </c>
      <c r="E681" s="415" t="s">
        <v>6262</v>
      </c>
      <c r="F681" s="416" t="s">
        <v>7896</v>
      </c>
      <c r="G681" s="416">
        <v>81</v>
      </c>
      <c r="H681" s="416" t="s">
        <v>0</v>
      </c>
      <c r="I681" s="416">
        <v>0</v>
      </c>
      <c r="J681" s="416" t="s">
        <v>6257</v>
      </c>
      <c r="K681" s="416" t="s">
        <v>6258</v>
      </c>
      <c r="L681" s="416" t="s">
        <v>6209</v>
      </c>
      <c r="M681" s="416">
        <v>6</v>
      </c>
      <c r="N681" s="417" t="s">
        <v>6260</v>
      </c>
    </row>
    <row r="682" spans="1:14" ht="11.1" customHeight="1">
      <c r="A682" s="400" t="s">
        <v>7893</v>
      </c>
      <c r="B682" s="458" t="s">
        <v>6230</v>
      </c>
      <c r="C682" s="39">
        <v>93402</v>
      </c>
      <c r="D682" s="41">
        <v>35.388928882658277</v>
      </c>
      <c r="E682" s="41">
        <v>66.899209259683701</v>
      </c>
      <c r="F682" s="42" t="s">
        <v>12383</v>
      </c>
      <c r="G682" s="42">
        <v>54</v>
      </c>
      <c r="H682" s="42" t="s">
        <v>0</v>
      </c>
      <c r="I682" s="42" t="s">
        <v>6233</v>
      </c>
      <c r="J682" s="42" t="s">
        <v>6253</v>
      </c>
      <c r="K682" s="42" t="s">
        <v>11989</v>
      </c>
      <c r="L682" s="42" t="s">
        <v>6209</v>
      </c>
      <c r="M682" s="42">
        <v>1</v>
      </c>
      <c r="N682" s="459">
        <v>0</v>
      </c>
    </row>
    <row r="683" spans="1:14" ht="11.1" customHeight="1">
      <c r="A683" s="817" t="s">
        <v>7897</v>
      </c>
      <c r="B683" s="455"/>
      <c r="C683" s="46">
        <v>30912</v>
      </c>
      <c r="D683" s="48">
        <v>11.712196415716289</v>
      </c>
      <c r="E683" s="456" t="s">
        <v>6262</v>
      </c>
      <c r="F683" s="49" t="s">
        <v>7898</v>
      </c>
      <c r="G683" s="49">
        <v>37</v>
      </c>
      <c r="H683" s="49" t="s">
        <v>0</v>
      </c>
      <c r="I683" s="49">
        <v>0</v>
      </c>
      <c r="J683" s="49" t="s">
        <v>6264</v>
      </c>
      <c r="K683" s="49">
        <v>0</v>
      </c>
      <c r="L683" s="49" t="s">
        <v>6036</v>
      </c>
      <c r="M683" s="49">
        <v>0</v>
      </c>
      <c r="N683" s="457">
        <v>0</v>
      </c>
    </row>
    <row r="684" spans="1:14" ht="11.1" customHeight="1">
      <c r="A684" s="940" t="s">
        <v>7901</v>
      </c>
      <c r="B684" s="409" t="s">
        <v>10050</v>
      </c>
      <c r="C684" s="53">
        <v>91918</v>
      </c>
      <c r="D684" s="55">
        <v>48.324483465643233</v>
      </c>
      <c r="E684" s="410" t="s">
        <v>6251</v>
      </c>
      <c r="F684" s="56" t="s">
        <v>12384</v>
      </c>
      <c r="G684" s="56">
        <v>37</v>
      </c>
      <c r="H684" s="56" t="s">
        <v>0</v>
      </c>
      <c r="I684" s="56" t="s">
        <v>6233</v>
      </c>
      <c r="J684" s="56" t="s">
        <v>6253</v>
      </c>
      <c r="K684" s="56" t="s">
        <v>12007</v>
      </c>
      <c r="L684" s="56" t="s">
        <v>6209</v>
      </c>
      <c r="M684" s="56">
        <v>1</v>
      </c>
      <c r="N684" s="411">
        <v>0</v>
      </c>
    </row>
    <row r="685" spans="1:14" ht="11.1" customHeight="1">
      <c r="A685" s="400" t="s">
        <v>7903</v>
      </c>
      <c r="B685" s="458" t="s">
        <v>11986</v>
      </c>
      <c r="C685" s="39">
        <v>82437</v>
      </c>
      <c r="D685" s="41">
        <v>43.339992639713998</v>
      </c>
      <c r="E685" s="41">
        <v>89.685371744380859</v>
      </c>
      <c r="F685" s="42" t="s">
        <v>7904</v>
      </c>
      <c r="G685" s="42">
        <v>58</v>
      </c>
      <c r="H685" s="42" t="s">
        <v>0</v>
      </c>
      <c r="I685" s="42" t="s">
        <v>6233</v>
      </c>
      <c r="J685" s="42" t="s">
        <v>6257</v>
      </c>
      <c r="K685" s="42" t="s">
        <v>12330</v>
      </c>
      <c r="L685" s="42" t="s">
        <v>6283</v>
      </c>
      <c r="M685" s="42">
        <v>2</v>
      </c>
      <c r="N685" s="459" t="s">
        <v>6260</v>
      </c>
    </row>
    <row r="686" spans="1:14" ht="11.1" customHeight="1" thickBot="1">
      <c r="A686" s="430" t="s">
        <v>7905</v>
      </c>
      <c r="B686" s="463" t="s">
        <v>6231</v>
      </c>
      <c r="C686" s="75">
        <v>15855</v>
      </c>
      <c r="D686" s="77">
        <v>8.3355238946427637</v>
      </c>
      <c r="E686" s="464" t="s">
        <v>6262</v>
      </c>
      <c r="F686" s="78" t="s">
        <v>12385</v>
      </c>
      <c r="G686" s="78">
        <v>64</v>
      </c>
      <c r="H686" s="78" t="s">
        <v>0</v>
      </c>
      <c r="I686" s="78">
        <v>0</v>
      </c>
      <c r="J686" s="78" t="s">
        <v>6264</v>
      </c>
      <c r="K686" s="78">
        <v>0</v>
      </c>
      <c r="L686" s="78" t="s">
        <v>6036</v>
      </c>
      <c r="M686" s="78">
        <v>0</v>
      </c>
      <c r="N686" s="465">
        <v>0</v>
      </c>
    </row>
    <row r="687" spans="1:14" ht="11.1" customHeight="1">
      <c r="A687" s="941" t="s">
        <v>7911</v>
      </c>
      <c r="B687" s="439" t="s">
        <v>10050</v>
      </c>
      <c r="C687" s="440">
        <v>95746</v>
      </c>
      <c r="D687" s="441">
        <v>42.965482579741881</v>
      </c>
      <c r="E687" s="442" t="s">
        <v>6251</v>
      </c>
      <c r="F687" s="337" t="s">
        <v>7912</v>
      </c>
      <c r="G687" s="337">
        <v>51</v>
      </c>
      <c r="H687" s="337" t="s">
        <v>0</v>
      </c>
      <c r="I687" s="337" t="s">
        <v>6233</v>
      </c>
      <c r="J687" s="337" t="s">
        <v>6257</v>
      </c>
      <c r="K687" s="337" t="s">
        <v>6258</v>
      </c>
      <c r="L687" s="337" t="s">
        <v>6036</v>
      </c>
      <c r="M687" s="337">
        <v>0</v>
      </c>
      <c r="N687" s="443" t="s">
        <v>6260</v>
      </c>
    </row>
    <row r="688" spans="1:14" ht="11.1" customHeight="1">
      <c r="A688" s="400" t="s">
        <v>7909</v>
      </c>
      <c r="B688" s="458" t="s">
        <v>6230</v>
      </c>
      <c r="C688" s="39">
        <v>65386</v>
      </c>
      <c r="D688" s="41">
        <v>29.341602197052648</v>
      </c>
      <c r="E688" s="41">
        <v>68.291103544795604</v>
      </c>
      <c r="F688" s="42" t="s">
        <v>12386</v>
      </c>
      <c r="G688" s="42">
        <v>71</v>
      </c>
      <c r="H688" s="42" t="s">
        <v>0</v>
      </c>
      <c r="I688" s="42" t="s">
        <v>6233</v>
      </c>
      <c r="J688" s="42" t="s">
        <v>6253</v>
      </c>
      <c r="K688" s="42" t="s">
        <v>11994</v>
      </c>
      <c r="L688" s="42" t="s">
        <v>6209</v>
      </c>
      <c r="M688" s="42">
        <v>11</v>
      </c>
      <c r="N688" s="459">
        <v>0</v>
      </c>
    </row>
    <row r="689" spans="1:14" ht="11.1" customHeight="1">
      <c r="A689" s="400" t="s">
        <v>12387</v>
      </c>
      <c r="B689" s="458" t="s">
        <v>6231</v>
      </c>
      <c r="C689" s="39">
        <v>21844</v>
      </c>
      <c r="D689" s="41">
        <v>9.8023729604566423</v>
      </c>
      <c r="E689" s="469" t="s">
        <v>6262</v>
      </c>
      <c r="F689" s="42" t="s">
        <v>12388</v>
      </c>
      <c r="G689" s="42">
        <v>55</v>
      </c>
      <c r="H689" s="42" t="s">
        <v>6049</v>
      </c>
      <c r="I689" s="42">
        <v>0</v>
      </c>
      <c r="J689" s="42" t="s">
        <v>12017</v>
      </c>
      <c r="K689" s="42" t="s">
        <v>12389</v>
      </c>
      <c r="L689" s="42" t="s">
        <v>6036</v>
      </c>
      <c r="M689" s="42">
        <v>0</v>
      </c>
      <c r="N689" s="459" t="s">
        <v>12390</v>
      </c>
    </row>
    <row r="690" spans="1:14" ht="11.1" customHeight="1">
      <c r="A690" s="400" t="s">
        <v>7913</v>
      </c>
      <c r="B690" s="458" t="s">
        <v>6231</v>
      </c>
      <c r="C690" s="39">
        <v>21402</v>
      </c>
      <c r="D690" s="41">
        <v>9.6040279298522737</v>
      </c>
      <c r="E690" s="469" t="s">
        <v>6262</v>
      </c>
      <c r="F690" s="42" t="s">
        <v>7914</v>
      </c>
      <c r="G690" s="42">
        <v>35</v>
      </c>
      <c r="H690" s="42" t="s">
        <v>0</v>
      </c>
      <c r="I690" s="42">
        <v>0</v>
      </c>
      <c r="J690" s="42" t="s">
        <v>6264</v>
      </c>
      <c r="K690" s="42">
        <v>0</v>
      </c>
      <c r="L690" s="42" t="s">
        <v>6036</v>
      </c>
      <c r="M690" s="42">
        <v>0</v>
      </c>
      <c r="N690" s="459">
        <v>0</v>
      </c>
    </row>
    <row r="691" spans="1:14" ht="11.1" customHeight="1">
      <c r="A691" s="400" t="s">
        <v>7919</v>
      </c>
      <c r="B691" s="458" t="s">
        <v>6231</v>
      </c>
      <c r="C691" s="39">
        <v>16074</v>
      </c>
      <c r="D691" s="41">
        <v>7.2131176966846766</v>
      </c>
      <c r="E691" s="469" t="s">
        <v>6262</v>
      </c>
      <c r="F691" s="42" t="s">
        <v>12391</v>
      </c>
      <c r="G691" s="42">
        <v>71</v>
      </c>
      <c r="H691" s="42" t="s">
        <v>0</v>
      </c>
      <c r="I691" s="42">
        <v>0</v>
      </c>
      <c r="J691" s="42" t="s">
        <v>12017</v>
      </c>
      <c r="K691" s="42" t="s">
        <v>12392</v>
      </c>
      <c r="L691" s="42" t="s">
        <v>6209</v>
      </c>
      <c r="M691" s="42">
        <v>3</v>
      </c>
      <c r="N691" s="459">
        <v>0</v>
      </c>
    </row>
    <row r="692" spans="1:14" ht="11.1" customHeight="1">
      <c r="A692" s="817" t="s">
        <v>7915</v>
      </c>
      <c r="B692" s="455" t="s">
        <v>6231</v>
      </c>
      <c r="C692" s="46">
        <v>2392</v>
      </c>
      <c r="D692" s="48">
        <v>1.0733966362118792</v>
      </c>
      <c r="E692" s="456" t="s">
        <v>6262</v>
      </c>
      <c r="F692" s="49" t="s">
        <v>12393</v>
      </c>
      <c r="G692" s="49">
        <v>71</v>
      </c>
      <c r="H692" s="49" t="s">
        <v>0</v>
      </c>
      <c r="I692" s="49">
        <v>0</v>
      </c>
      <c r="J692" s="49" t="s">
        <v>12017</v>
      </c>
      <c r="K692" s="49">
        <v>0</v>
      </c>
      <c r="L692" s="49" t="s">
        <v>6036</v>
      </c>
      <c r="M692" s="49">
        <v>0</v>
      </c>
      <c r="N692" s="457">
        <v>0</v>
      </c>
    </row>
    <row r="693" spans="1:14" ht="11.1" customHeight="1">
      <c r="A693" s="940" t="s">
        <v>7923</v>
      </c>
      <c r="B693" s="450" t="s">
        <v>10050</v>
      </c>
      <c r="C693" s="451">
        <v>106056</v>
      </c>
      <c r="D693" s="452">
        <v>48.078117420928322</v>
      </c>
      <c r="E693" s="453" t="s">
        <v>6262</v>
      </c>
      <c r="F693" s="198" t="s">
        <v>7924</v>
      </c>
      <c r="G693" s="198">
        <v>47</v>
      </c>
      <c r="H693" s="198" t="s">
        <v>0</v>
      </c>
      <c r="I693" s="198">
        <v>0</v>
      </c>
      <c r="J693" s="198" t="s">
        <v>6929</v>
      </c>
      <c r="K693" s="198">
        <v>0</v>
      </c>
      <c r="L693" s="198" t="s">
        <v>6209</v>
      </c>
      <c r="M693" s="198">
        <v>4</v>
      </c>
      <c r="N693" s="454" t="s">
        <v>7394</v>
      </c>
    </row>
    <row r="694" spans="1:14" ht="11.1" customHeight="1">
      <c r="A694" s="400" t="s">
        <v>7921</v>
      </c>
      <c r="B694" s="458" t="s">
        <v>6230</v>
      </c>
      <c r="C694" s="39">
        <v>83380</v>
      </c>
      <c r="D694" s="41">
        <v>37.798459592639773</v>
      </c>
      <c r="E694" s="41">
        <v>78.618842875462022</v>
      </c>
      <c r="F694" s="42" t="s">
        <v>12394</v>
      </c>
      <c r="G694" s="42">
        <v>42</v>
      </c>
      <c r="H694" s="42" t="s">
        <v>0</v>
      </c>
      <c r="I694" s="42" t="s">
        <v>6233</v>
      </c>
      <c r="J694" s="42" t="s">
        <v>6253</v>
      </c>
      <c r="K694" s="42" t="s">
        <v>12007</v>
      </c>
      <c r="L694" s="42" t="s">
        <v>6209</v>
      </c>
      <c r="M694" s="42">
        <v>1</v>
      </c>
      <c r="N694" s="459">
        <v>0</v>
      </c>
    </row>
    <row r="695" spans="1:14" ht="11.1" customHeight="1">
      <c r="A695" s="817" t="s">
        <v>7925</v>
      </c>
      <c r="B695" s="455"/>
      <c r="C695" s="46">
        <v>31155</v>
      </c>
      <c r="D695" s="48">
        <v>14.123422986431903</v>
      </c>
      <c r="E695" s="48">
        <v>29.375990042996154</v>
      </c>
      <c r="F695" s="49" t="s">
        <v>12395</v>
      </c>
      <c r="G695" s="49">
        <v>55</v>
      </c>
      <c r="H695" s="49" t="s">
        <v>6049</v>
      </c>
      <c r="I695" s="49" t="s">
        <v>6233</v>
      </c>
      <c r="J695" s="49" t="s">
        <v>6264</v>
      </c>
      <c r="K695" s="49">
        <v>0</v>
      </c>
      <c r="L695" s="49" t="s">
        <v>6036</v>
      </c>
      <c r="M695" s="49">
        <v>0</v>
      </c>
      <c r="N695" s="457">
        <v>0</v>
      </c>
    </row>
    <row r="696" spans="1:14" ht="11.1" customHeight="1">
      <c r="A696" s="940" t="s">
        <v>7932</v>
      </c>
      <c r="B696" s="412" t="s">
        <v>10050</v>
      </c>
      <c r="C696" s="413">
        <v>92556</v>
      </c>
      <c r="D696" s="414">
        <v>45.28335119108776</v>
      </c>
      <c r="E696" s="415" t="s">
        <v>6251</v>
      </c>
      <c r="F696" s="416" t="s">
        <v>12396</v>
      </c>
      <c r="G696" s="416">
        <v>40</v>
      </c>
      <c r="H696" s="416" t="s">
        <v>0</v>
      </c>
      <c r="I696" s="416" t="s">
        <v>6233</v>
      </c>
      <c r="J696" s="416" t="s">
        <v>6257</v>
      </c>
      <c r="K696" s="416" t="s">
        <v>6258</v>
      </c>
      <c r="L696" s="416" t="s">
        <v>6036</v>
      </c>
      <c r="M696" s="416">
        <v>0</v>
      </c>
      <c r="N696" s="417" t="s">
        <v>6260</v>
      </c>
    </row>
    <row r="697" spans="1:14" ht="11.1" customHeight="1">
      <c r="A697" s="400" t="s">
        <v>7929</v>
      </c>
      <c r="B697" s="458" t="s">
        <v>11986</v>
      </c>
      <c r="C697" s="39">
        <v>87182</v>
      </c>
      <c r="D697" s="41">
        <v>42.654102635608851</v>
      </c>
      <c r="E697" s="41">
        <v>94.193785383983752</v>
      </c>
      <c r="F697" s="42" t="s">
        <v>7930</v>
      </c>
      <c r="G697" s="42">
        <v>66</v>
      </c>
      <c r="H697" s="42" t="s">
        <v>0</v>
      </c>
      <c r="I697" s="42" t="s">
        <v>6233</v>
      </c>
      <c r="J697" s="42" t="s">
        <v>6253</v>
      </c>
      <c r="K697" s="42" t="s">
        <v>12397</v>
      </c>
      <c r="L697" s="42" t="s">
        <v>6209</v>
      </c>
      <c r="M697" s="42">
        <v>5</v>
      </c>
      <c r="N697" s="459">
        <v>0</v>
      </c>
    </row>
    <row r="698" spans="1:14" ht="11.1" customHeight="1">
      <c r="A698" s="817" t="s">
        <v>7934</v>
      </c>
      <c r="B698" s="455"/>
      <c r="C698" s="46">
        <v>24655</v>
      </c>
      <c r="D698" s="48">
        <v>12.062546173303391</v>
      </c>
      <c r="E698" s="456" t="s">
        <v>6262</v>
      </c>
      <c r="F698" s="49" t="s">
        <v>12398</v>
      </c>
      <c r="G698" s="49">
        <v>53</v>
      </c>
      <c r="H698" s="49" t="s">
        <v>6049</v>
      </c>
      <c r="I698" s="49">
        <v>0</v>
      </c>
      <c r="J698" s="49" t="s">
        <v>6264</v>
      </c>
      <c r="K698" s="49">
        <v>0</v>
      </c>
      <c r="L698" s="49" t="s">
        <v>6036</v>
      </c>
      <c r="M698" s="49">
        <v>0</v>
      </c>
      <c r="N698" s="457">
        <v>0</v>
      </c>
    </row>
    <row r="699" spans="1:14" ht="11.1" customHeight="1">
      <c r="A699" s="940" t="s">
        <v>7944</v>
      </c>
      <c r="B699" s="412" t="s">
        <v>10050</v>
      </c>
      <c r="C699" s="413">
        <v>150580</v>
      </c>
      <c r="D699" s="414">
        <v>56.007676972059393</v>
      </c>
      <c r="E699" s="415" t="s">
        <v>6262</v>
      </c>
      <c r="F699" s="416" t="s">
        <v>7945</v>
      </c>
      <c r="G699" s="416">
        <v>73</v>
      </c>
      <c r="H699" s="416" t="s">
        <v>0</v>
      </c>
      <c r="I699" s="416">
        <v>0</v>
      </c>
      <c r="J699" s="416" t="s">
        <v>6257</v>
      </c>
      <c r="K699" s="416" t="s">
        <v>12330</v>
      </c>
      <c r="L699" s="416" t="s">
        <v>6209</v>
      </c>
      <c r="M699" s="416">
        <v>6</v>
      </c>
      <c r="N699" s="417" t="s">
        <v>6260</v>
      </c>
    </row>
    <row r="700" spans="1:14" ht="11.1" customHeight="1">
      <c r="A700" s="400" t="s">
        <v>7942</v>
      </c>
      <c r="B700" s="458" t="s">
        <v>6230</v>
      </c>
      <c r="C700" s="39">
        <v>97074</v>
      </c>
      <c r="D700" s="41">
        <v>36.106317136310885</v>
      </c>
      <c r="E700" s="41">
        <v>64.466728649223001</v>
      </c>
      <c r="F700" s="42" t="s">
        <v>7943</v>
      </c>
      <c r="G700" s="42">
        <v>41</v>
      </c>
      <c r="H700" s="42" t="s">
        <v>0</v>
      </c>
      <c r="I700" s="42" t="s">
        <v>6233</v>
      </c>
      <c r="J700" s="42" t="s">
        <v>6253</v>
      </c>
      <c r="K700" s="42" t="s">
        <v>12007</v>
      </c>
      <c r="L700" s="42" t="s">
        <v>6036</v>
      </c>
      <c r="M700" s="42">
        <v>0</v>
      </c>
      <c r="N700" s="459">
        <v>0</v>
      </c>
    </row>
    <row r="701" spans="1:14" ht="11.1" customHeight="1">
      <c r="A701" s="817" t="s">
        <v>7948</v>
      </c>
      <c r="B701" s="455" t="s">
        <v>6231</v>
      </c>
      <c r="C701" s="46">
        <v>21202</v>
      </c>
      <c r="D701" s="48">
        <v>7.8860058916297202</v>
      </c>
      <c r="E701" s="456" t="s">
        <v>6262</v>
      </c>
      <c r="F701" s="49" t="s">
        <v>12399</v>
      </c>
      <c r="G701" s="49">
        <v>64</v>
      </c>
      <c r="H701" s="49" t="s">
        <v>0</v>
      </c>
      <c r="I701" s="49">
        <v>0</v>
      </c>
      <c r="J701" s="49" t="s">
        <v>6264</v>
      </c>
      <c r="K701" s="49">
        <v>0</v>
      </c>
      <c r="L701" s="49" t="s">
        <v>6036</v>
      </c>
      <c r="M701" s="49">
        <v>0</v>
      </c>
      <c r="N701" s="457">
        <v>0</v>
      </c>
    </row>
    <row r="702" spans="1:14" ht="11.1" customHeight="1">
      <c r="A702" s="940" t="s">
        <v>7954</v>
      </c>
      <c r="B702" s="412" t="s">
        <v>10050</v>
      </c>
      <c r="C702" s="413">
        <v>118063</v>
      </c>
      <c r="D702" s="414">
        <v>45.304471621149737</v>
      </c>
      <c r="E702" s="415" t="s">
        <v>6251</v>
      </c>
      <c r="F702" s="416" t="s">
        <v>12400</v>
      </c>
      <c r="G702" s="416">
        <v>53</v>
      </c>
      <c r="H702" s="416" t="s">
        <v>0</v>
      </c>
      <c r="I702" s="416" t="s">
        <v>6233</v>
      </c>
      <c r="J702" s="416" t="s">
        <v>6257</v>
      </c>
      <c r="K702" s="416" t="s">
        <v>12012</v>
      </c>
      <c r="L702" s="416" t="s">
        <v>6209</v>
      </c>
      <c r="M702" s="416">
        <v>1</v>
      </c>
      <c r="N702" s="417" t="s">
        <v>6260</v>
      </c>
    </row>
    <row r="703" spans="1:14" ht="11.1" customHeight="1">
      <c r="A703" s="400" t="s">
        <v>7952</v>
      </c>
      <c r="B703" s="458" t="s">
        <v>6230</v>
      </c>
      <c r="C703" s="39">
        <v>87977</v>
      </c>
      <c r="D703" s="41">
        <v>33.759530926826272</v>
      </c>
      <c r="E703" s="41">
        <v>74.516995163599091</v>
      </c>
      <c r="F703" s="42" t="s">
        <v>7953</v>
      </c>
      <c r="G703" s="42">
        <v>48</v>
      </c>
      <c r="H703" s="42" t="s">
        <v>0</v>
      </c>
      <c r="I703" s="42" t="s">
        <v>6233</v>
      </c>
      <c r="J703" s="42" t="s">
        <v>6253</v>
      </c>
      <c r="K703" s="42" t="s">
        <v>12020</v>
      </c>
      <c r="L703" s="42" t="s">
        <v>6209</v>
      </c>
      <c r="M703" s="42">
        <v>1</v>
      </c>
      <c r="N703" s="459">
        <v>0</v>
      </c>
    </row>
    <row r="704" spans="1:14" ht="11.1" customHeight="1">
      <c r="A704" s="400" t="s">
        <v>7956</v>
      </c>
      <c r="B704" s="458"/>
      <c r="C704" s="39">
        <v>36842</v>
      </c>
      <c r="D704" s="41">
        <v>14.137429537335139</v>
      </c>
      <c r="E704" s="469" t="s">
        <v>6262</v>
      </c>
      <c r="F704" s="42" t="s">
        <v>12401</v>
      </c>
      <c r="G704" s="42">
        <v>51</v>
      </c>
      <c r="H704" s="42" t="s">
        <v>0</v>
      </c>
      <c r="I704" s="42">
        <v>0</v>
      </c>
      <c r="J704" s="42" t="s">
        <v>6264</v>
      </c>
      <c r="K704" s="42">
        <v>0</v>
      </c>
      <c r="L704" s="42" t="s">
        <v>6036</v>
      </c>
      <c r="M704" s="42">
        <v>0</v>
      </c>
      <c r="N704" s="459">
        <v>0</v>
      </c>
    </row>
    <row r="705" spans="1:14" ht="11.1" customHeight="1">
      <c r="A705" s="817" t="s">
        <v>12402</v>
      </c>
      <c r="B705" s="455" t="s">
        <v>6231</v>
      </c>
      <c r="C705" s="46">
        <v>17717</v>
      </c>
      <c r="D705" s="48">
        <v>6.7985679146888511</v>
      </c>
      <c r="E705" s="456" t="s">
        <v>6262</v>
      </c>
      <c r="F705" s="49" t="s">
        <v>12403</v>
      </c>
      <c r="G705" s="49">
        <v>52</v>
      </c>
      <c r="H705" s="49" t="s">
        <v>0</v>
      </c>
      <c r="I705" s="49">
        <v>0</v>
      </c>
      <c r="J705" s="49" t="s">
        <v>12017</v>
      </c>
      <c r="K705" s="49" t="s">
        <v>12404</v>
      </c>
      <c r="L705" s="49" t="s">
        <v>6036</v>
      </c>
      <c r="M705" s="49">
        <v>0</v>
      </c>
      <c r="N705" s="457">
        <v>0</v>
      </c>
    </row>
    <row r="706" spans="1:14" ht="11.1" customHeight="1">
      <c r="A706" s="940" t="s">
        <v>7960</v>
      </c>
      <c r="B706" s="412" t="s">
        <v>10050</v>
      </c>
      <c r="C706" s="413">
        <v>112265</v>
      </c>
      <c r="D706" s="414">
        <v>36.399448812515196</v>
      </c>
      <c r="E706" s="415" t="s">
        <v>6251</v>
      </c>
      <c r="F706" s="416" t="s">
        <v>12405</v>
      </c>
      <c r="G706" s="416">
        <v>46</v>
      </c>
      <c r="H706" s="416" t="s">
        <v>0</v>
      </c>
      <c r="I706" s="416" t="s">
        <v>6233</v>
      </c>
      <c r="J706" s="416" t="s">
        <v>6257</v>
      </c>
      <c r="K706" s="416" t="s">
        <v>6258</v>
      </c>
      <c r="L706" s="416" t="s">
        <v>6036</v>
      </c>
      <c r="M706" s="416">
        <v>0</v>
      </c>
      <c r="N706" s="417" t="s">
        <v>6260</v>
      </c>
    </row>
    <row r="707" spans="1:14" ht="11.1" customHeight="1">
      <c r="A707" s="400" t="s">
        <v>7958</v>
      </c>
      <c r="B707" s="458" t="s">
        <v>11986</v>
      </c>
      <c r="C707" s="39">
        <v>102055</v>
      </c>
      <c r="D707" s="41">
        <v>33.08908162438194</v>
      </c>
      <c r="E707" s="41">
        <v>90.905446933594618</v>
      </c>
      <c r="F707" s="42" t="s">
        <v>7959</v>
      </c>
      <c r="G707" s="42">
        <v>41</v>
      </c>
      <c r="H707" s="42" t="s">
        <v>0</v>
      </c>
      <c r="I707" s="42" t="s">
        <v>6233</v>
      </c>
      <c r="J707" s="42" t="s">
        <v>6253</v>
      </c>
      <c r="K707" s="42" t="s">
        <v>11994</v>
      </c>
      <c r="L707" s="42" t="s">
        <v>6209</v>
      </c>
      <c r="M707" s="42">
        <v>1</v>
      </c>
      <c r="N707" s="459">
        <v>0</v>
      </c>
    </row>
    <row r="708" spans="1:14" ht="11.1" customHeight="1">
      <c r="A708" s="400" t="s">
        <v>12406</v>
      </c>
      <c r="B708" s="458"/>
      <c r="C708" s="39">
        <v>47534</v>
      </c>
      <c r="D708" s="41">
        <v>15.411850530923239</v>
      </c>
      <c r="E708" s="469" t="s">
        <v>6262</v>
      </c>
      <c r="F708" s="42" t="s">
        <v>12407</v>
      </c>
      <c r="G708" s="42">
        <v>58</v>
      </c>
      <c r="H708" s="42" t="s">
        <v>0</v>
      </c>
      <c r="I708" s="42">
        <v>0</v>
      </c>
      <c r="J708" s="42" t="s">
        <v>12017</v>
      </c>
      <c r="K708" s="42" t="s">
        <v>12408</v>
      </c>
      <c r="L708" s="42" t="s">
        <v>6283</v>
      </c>
      <c r="M708" s="42">
        <v>2</v>
      </c>
      <c r="N708" s="459">
        <v>0</v>
      </c>
    </row>
    <row r="709" spans="1:14" ht="11.1" customHeight="1">
      <c r="A709" s="400" t="s">
        <v>7964</v>
      </c>
      <c r="B709" s="458" t="s">
        <v>6231</v>
      </c>
      <c r="C709" s="39">
        <v>28875</v>
      </c>
      <c r="D709" s="41">
        <v>9.3620815433249582</v>
      </c>
      <c r="E709" s="41">
        <v>25.720393711308066</v>
      </c>
      <c r="F709" s="42" t="s">
        <v>12409</v>
      </c>
      <c r="G709" s="42">
        <v>57</v>
      </c>
      <c r="H709" s="42" t="s">
        <v>6049</v>
      </c>
      <c r="I709" s="42" t="s">
        <v>6233</v>
      </c>
      <c r="J709" s="42" t="s">
        <v>6278</v>
      </c>
      <c r="K709" s="42">
        <v>0</v>
      </c>
      <c r="L709" s="42" t="s">
        <v>6283</v>
      </c>
      <c r="M709" s="42">
        <v>2</v>
      </c>
      <c r="N709" s="459">
        <v>0</v>
      </c>
    </row>
    <row r="710" spans="1:14" ht="11.1" customHeight="1">
      <c r="A710" s="817" t="s">
        <v>7962</v>
      </c>
      <c r="B710" s="455" t="s">
        <v>6231</v>
      </c>
      <c r="C710" s="46">
        <v>17696</v>
      </c>
      <c r="D710" s="48">
        <v>5.7375374888546649</v>
      </c>
      <c r="E710" s="456" t="s">
        <v>6262</v>
      </c>
      <c r="F710" s="49" t="s">
        <v>12410</v>
      </c>
      <c r="G710" s="49">
        <v>66</v>
      </c>
      <c r="H710" s="49" t="s">
        <v>0</v>
      </c>
      <c r="I710" s="49">
        <v>0</v>
      </c>
      <c r="J710" s="49" t="s">
        <v>6264</v>
      </c>
      <c r="K710" s="49">
        <v>0</v>
      </c>
      <c r="L710" s="49" t="s">
        <v>6036</v>
      </c>
      <c r="M710" s="49">
        <v>0</v>
      </c>
      <c r="N710" s="457">
        <v>0</v>
      </c>
    </row>
    <row r="711" spans="1:14" ht="11.1" customHeight="1">
      <c r="A711" s="940" t="s">
        <v>7968</v>
      </c>
      <c r="B711" s="412" t="s">
        <v>10050</v>
      </c>
      <c r="C711" s="413">
        <v>145851</v>
      </c>
      <c r="D711" s="414">
        <v>50.240955139974439</v>
      </c>
      <c r="E711" s="415" t="s">
        <v>6251</v>
      </c>
      <c r="F711" s="416" t="s">
        <v>7969</v>
      </c>
      <c r="G711" s="416">
        <v>63</v>
      </c>
      <c r="H711" s="416" t="s">
        <v>0</v>
      </c>
      <c r="I711" s="416" t="s">
        <v>6233</v>
      </c>
      <c r="J711" s="416" t="s">
        <v>6257</v>
      </c>
      <c r="K711" s="416" t="s">
        <v>6350</v>
      </c>
      <c r="L711" s="416" t="s">
        <v>6209</v>
      </c>
      <c r="M711" s="416">
        <v>1</v>
      </c>
      <c r="N711" s="417" t="s">
        <v>6260</v>
      </c>
    </row>
    <row r="712" spans="1:14" ht="11.1" customHeight="1">
      <c r="A712" s="400" t="s">
        <v>7966</v>
      </c>
      <c r="B712" s="458" t="s">
        <v>6230</v>
      </c>
      <c r="C712" s="39">
        <v>96003</v>
      </c>
      <c r="D712" s="41">
        <v>33.0699303830825</v>
      </c>
      <c r="E712" s="41">
        <v>65.822654626982327</v>
      </c>
      <c r="F712" s="42" t="s">
        <v>7967</v>
      </c>
      <c r="G712" s="42">
        <v>34</v>
      </c>
      <c r="H712" s="42" t="s">
        <v>0</v>
      </c>
      <c r="I712" s="42" t="s">
        <v>6233</v>
      </c>
      <c r="J712" s="42" t="s">
        <v>6253</v>
      </c>
      <c r="K712" s="42" t="s">
        <v>11994</v>
      </c>
      <c r="L712" s="42" t="s">
        <v>6036</v>
      </c>
      <c r="M712" s="42">
        <v>0</v>
      </c>
      <c r="N712" s="459">
        <v>0</v>
      </c>
    </row>
    <row r="713" spans="1:14" ht="11.1" customHeight="1">
      <c r="A713" s="400" t="s">
        <v>7972</v>
      </c>
      <c r="B713" s="458" t="s">
        <v>6231</v>
      </c>
      <c r="C713" s="39">
        <v>26145</v>
      </c>
      <c r="D713" s="41">
        <v>9.0061074119110032</v>
      </c>
      <c r="E713" s="41">
        <v>17.925828413929285</v>
      </c>
      <c r="F713" s="42" t="s">
        <v>12411</v>
      </c>
      <c r="G713" s="42">
        <v>43</v>
      </c>
      <c r="H713" s="42" t="s">
        <v>6049</v>
      </c>
      <c r="I713" s="42" t="s">
        <v>6233</v>
      </c>
      <c r="J713" s="42" t="s">
        <v>6278</v>
      </c>
      <c r="K713" s="42">
        <v>0</v>
      </c>
      <c r="L713" s="42" t="s">
        <v>6036</v>
      </c>
      <c r="M713" s="42">
        <v>0</v>
      </c>
      <c r="N713" s="459">
        <v>0</v>
      </c>
    </row>
    <row r="714" spans="1:14" ht="11.1" customHeight="1">
      <c r="A714" s="817" t="s">
        <v>7970</v>
      </c>
      <c r="B714" s="455" t="s">
        <v>6231</v>
      </c>
      <c r="C714" s="46">
        <v>22304</v>
      </c>
      <c r="D714" s="48">
        <v>7.6830070650320526</v>
      </c>
      <c r="E714" s="456" t="s">
        <v>6262</v>
      </c>
      <c r="F714" s="49" t="s">
        <v>12412</v>
      </c>
      <c r="G714" s="49">
        <v>48</v>
      </c>
      <c r="H714" s="49" t="s">
        <v>6049</v>
      </c>
      <c r="I714" s="49">
        <v>0</v>
      </c>
      <c r="J714" s="49" t="s">
        <v>6264</v>
      </c>
      <c r="K714" s="49">
        <v>0</v>
      </c>
      <c r="L714" s="49" t="s">
        <v>6036</v>
      </c>
      <c r="M714" s="49">
        <v>0</v>
      </c>
      <c r="N714" s="457">
        <v>0</v>
      </c>
    </row>
    <row r="715" spans="1:14" ht="11.1" customHeight="1">
      <c r="A715" s="940" t="s">
        <v>7978</v>
      </c>
      <c r="B715" s="450" t="s">
        <v>10050</v>
      </c>
      <c r="C715" s="451">
        <v>109957</v>
      </c>
      <c r="D715" s="452">
        <v>46.34646996838778</v>
      </c>
      <c r="E715" s="453" t="s">
        <v>6262</v>
      </c>
      <c r="F715" s="198" t="s">
        <v>7977</v>
      </c>
      <c r="G715" s="198">
        <v>69</v>
      </c>
      <c r="H715" s="198" t="s">
        <v>0</v>
      </c>
      <c r="I715" s="198">
        <v>0</v>
      </c>
      <c r="J715" s="198" t="s">
        <v>6929</v>
      </c>
      <c r="K715" s="198">
        <v>0</v>
      </c>
      <c r="L715" s="198" t="s">
        <v>6209</v>
      </c>
      <c r="M715" s="198">
        <v>6</v>
      </c>
      <c r="N715" s="454" t="s">
        <v>7394</v>
      </c>
    </row>
    <row r="716" spans="1:14" ht="11.1" customHeight="1">
      <c r="A716" s="400" t="s">
        <v>7976</v>
      </c>
      <c r="B716" s="458" t="s">
        <v>6230</v>
      </c>
      <c r="C716" s="39">
        <v>83288</v>
      </c>
      <c r="D716" s="41">
        <v>35.10558482613277</v>
      </c>
      <c r="E716" s="41">
        <v>75.745973425975606</v>
      </c>
      <c r="F716" s="42" t="s">
        <v>12413</v>
      </c>
      <c r="G716" s="42">
        <v>58</v>
      </c>
      <c r="H716" s="42" t="s">
        <v>0</v>
      </c>
      <c r="I716" s="42" t="s">
        <v>6233</v>
      </c>
      <c r="J716" s="42" t="s">
        <v>6253</v>
      </c>
      <c r="K716" s="42" t="s">
        <v>12020</v>
      </c>
      <c r="L716" s="42" t="s">
        <v>6209</v>
      </c>
      <c r="M716" s="42">
        <v>1</v>
      </c>
      <c r="N716" s="459">
        <v>0</v>
      </c>
    </row>
    <row r="717" spans="1:14" ht="11.1" customHeight="1">
      <c r="A717" s="400" t="s">
        <v>7980</v>
      </c>
      <c r="B717" s="458"/>
      <c r="C717" s="39">
        <v>29986</v>
      </c>
      <c r="D717" s="41">
        <v>12.638988408851423</v>
      </c>
      <c r="E717" s="469" t="s">
        <v>6262</v>
      </c>
      <c r="F717" s="42" t="s">
        <v>7979</v>
      </c>
      <c r="G717" s="42">
        <v>51</v>
      </c>
      <c r="H717" s="42" t="s">
        <v>6049</v>
      </c>
      <c r="I717" s="42">
        <v>0</v>
      </c>
      <c r="J717" s="42" t="s">
        <v>6264</v>
      </c>
      <c r="K717" s="42">
        <v>0</v>
      </c>
      <c r="L717" s="42" t="s">
        <v>6036</v>
      </c>
      <c r="M717" s="42">
        <v>0</v>
      </c>
      <c r="N717" s="459">
        <v>0</v>
      </c>
    </row>
    <row r="718" spans="1:14" ht="11.1" customHeight="1">
      <c r="A718" s="817" t="s">
        <v>7974</v>
      </c>
      <c r="B718" s="455" t="s">
        <v>6231</v>
      </c>
      <c r="C718" s="46">
        <v>14019</v>
      </c>
      <c r="D718" s="48">
        <v>5.9089567966280292</v>
      </c>
      <c r="E718" s="48">
        <v>12.749529361477668</v>
      </c>
      <c r="F718" s="49" t="s">
        <v>12414</v>
      </c>
      <c r="G718" s="49">
        <v>39</v>
      </c>
      <c r="H718" s="49" t="s">
        <v>0</v>
      </c>
      <c r="I718" s="49" t="s">
        <v>6233</v>
      </c>
      <c r="J718" s="49" t="s">
        <v>6278</v>
      </c>
      <c r="K718" s="49">
        <v>0</v>
      </c>
      <c r="L718" s="49" t="s">
        <v>6283</v>
      </c>
      <c r="M718" s="49">
        <v>1</v>
      </c>
      <c r="N718" s="457">
        <v>0</v>
      </c>
    </row>
    <row r="719" spans="1:14" ht="11.1" customHeight="1">
      <c r="A719" s="940" t="s">
        <v>7984</v>
      </c>
      <c r="B719" s="412" t="s">
        <v>10050</v>
      </c>
      <c r="C719" s="413">
        <v>136605</v>
      </c>
      <c r="D719" s="414">
        <v>58.276594655472508</v>
      </c>
      <c r="E719" s="415" t="s">
        <v>6251</v>
      </c>
      <c r="F719" s="416" t="s">
        <v>7985</v>
      </c>
      <c r="G719" s="416">
        <v>42</v>
      </c>
      <c r="H719" s="416" t="s">
        <v>0</v>
      </c>
      <c r="I719" s="416" t="s">
        <v>6233</v>
      </c>
      <c r="J719" s="416" t="s">
        <v>6257</v>
      </c>
      <c r="K719" s="416" t="s">
        <v>11998</v>
      </c>
      <c r="L719" s="416" t="s">
        <v>6209</v>
      </c>
      <c r="M719" s="416">
        <v>1</v>
      </c>
      <c r="N719" s="417" t="s">
        <v>6260</v>
      </c>
    </row>
    <row r="720" spans="1:14" ht="11.1" customHeight="1">
      <c r="A720" s="400" t="s">
        <v>7986</v>
      </c>
      <c r="B720" s="458" t="s">
        <v>6230</v>
      </c>
      <c r="C720" s="39">
        <v>61617</v>
      </c>
      <c r="D720" s="41">
        <v>26.286218900378827</v>
      </c>
      <c r="E720" s="41">
        <v>45.105962446469746</v>
      </c>
      <c r="F720" s="42" t="s">
        <v>12415</v>
      </c>
      <c r="G720" s="42">
        <v>33</v>
      </c>
      <c r="H720" s="42" t="s">
        <v>0</v>
      </c>
      <c r="I720" s="42" t="s">
        <v>6233</v>
      </c>
      <c r="J720" s="42" t="s">
        <v>6253</v>
      </c>
      <c r="K720" s="42" t="s">
        <v>12007</v>
      </c>
      <c r="L720" s="42" t="s">
        <v>6036</v>
      </c>
      <c r="M720" s="42">
        <v>0</v>
      </c>
      <c r="N720" s="459">
        <v>0</v>
      </c>
    </row>
    <row r="721" spans="1:14" ht="11.1" customHeight="1">
      <c r="A721" s="400" t="s">
        <v>12416</v>
      </c>
      <c r="B721" s="458" t="s">
        <v>6231</v>
      </c>
      <c r="C721" s="39">
        <v>21647</v>
      </c>
      <c r="D721" s="41">
        <v>9.2347530800996545</v>
      </c>
      <c r="E721" s="41">
        <v>15.846418505911204</v>
      </c>
      <c r="F721" s="42" t="s">
        <v>7987</v>
      </c>
      <c r="G721" s="42">
        <v>74</v>
      </c>
      <c r="H721" s="42" t="s">
        <v>0</v>
      </c>
      <c r="I721" s="42" t="s">
        <v>6233</v>
      </c>
      <c r="J721" s="42" t="s">
        <v>12175</v>
      </c>
      <c r="K721" s="42" t="s">
        <v>12417</v>
      </c>
      <c r="L721" s="42" t="s">
        <v>6283</v>
      </c>
      <c r="M721" s="42">
        <v>3</v>
      </c>
      <c r="N721" s="459">
        <v>0</v>
      </c>
    </row>
    <row r="722" spans="1:14" ht="11.1" customHeight="1">
      <c r="A722" s="817" t="s">
        <v>7988</v>
      </c>
      <c r="B722" s="455" t="s">
        <v>6231</v>
      </c>
      <c r="C722" s="46">
        <v>14539</v>
      </c>
      <c r="D722" s="48">
        <v>6.2024333640490088</v>
      </c>
      <c r="E722" s="456" t="s">
        <v>6262</v>
      </c>
      <c r="F722" s="49" t="s">
        <v>12418</v>
      </c>
      <c r="G722" s="49">
        <v>57</v>
      </c>
      <c r="H722" s="49" t="s">
        <v>0</v>
      </c>
      <c r="I722" s="49">
        <v>0</v>
      </c>
      <c r="J722" s="49" t="s">
        <v>6264</v>
      </c>
      <c r="K722" s="49">
        <v>0</v>
      </c>
      <c r="L722" s="49" t="s">
        <v>6036</v>
      </c>
      <c r="M722" s="49">
        <v>0</v>
      </c>
      <c r="N722" s="457">
        <v>0</v>
      </c>
    </row>
    <row r="723" spans="1:14" ht="11.1" customHeight="1">
      <c r="A723" s="940" t="s">
        <v>7992</v>
      </c>
      <c r="B723" s="412" t="s">
        <v>10050</v>
      </c>
      <c r="C723" s="413">
        <v>112870</v>
      </c>
      <c r="D723" s="414">
        <v>51.36408109399531</v>
      </c>
      <c r="E723" s="415" t="s">
        <v>6251</v>
      </c>
      <c r="F723" s="416" t="s">
        <v>7993</v>
      </c>
      <c r="G723" s="416">
        <v>57</v>
      </c>
      <c r="H723" s="416" t="s">
        <v>0</v>
      </c>
      <c r="I723" s="416" t="s">
        <v>6233</v>
      </c>
      <c r="J723" s="416" t="s">
        <v>6257</v>
      </c>
      <c r="K723" s="416" t="s">
        <v>6350</v>
      </c>
      <c r="L723" s="416" t="s">
        <v>6209</v>
      </c>
      <c r="M723" s="416">
        <v>5</v>
      </c>
      <c r="N723" s="417" t="s">
        <v>6260</v>
      </c>
    </row>
    <row r="724" spans="1:14" ht="11.1" customHeight="1">
      <c r="A724" s="400" t="s">
        <v>7990</v>
      </c>
      <c r="B724" s="458" t="s">
        <v>6230</v>
      </c>
      <c r="C724" s="39">
        <v>90640</v>
      </c>
      <c r="D724" s="41">
        <v>41.247809961546338</v>
      </c>
      <c r="E724" s="41">
        <v>80.304775405333572</v>
      </c>
      <c r="F724" s="42" t="s">
        <v>7991</v>
      </c>
      <c r="G724" s="42">
        <v>30</v>
      </c>
      <c r="H724" s="42" t="s">
        <v>0</v>
      </c>
      <c r="I724" s="42" t="s">
        <v>6233</v>
      </c>
      <c r="J724" s="42" t="s">
        <v>6253</v>
      </c>
      <c r="K724" s="42" t="s">
        <v>12007</v>
      </c>
      <c r="L724" s="42" t="s">
        <v>6036</v>
      </c>
      <c r="M724" s="42">
        <v>0</v>
      </c>
      <c r="N724" s="459">
        <v>0</v>
      </c>
    </row>
    <row r="725" spans="1:14" ht="11.1" customHeight="1">
      <c r="A725" s="817" t="s">
        <v>7994</v>
      </c>
      <c r="B725" s="455" t="s">
        <v>6231</v>
      </c>
      <c r="C725" s="46">
        <v>16235</v>
      </c>
      <c r="D725" s="48">
        <v>7.3881089444583496</v>
      </c>
      <c r="E725" s="456" t="s">
        <v>6262</v>
      </c>
      <c r="F725" s="49" t="s">
        <v>12419</v>
      </c>
      <c r="G725" s="49">
        <v>63</v>
      </c>
      <c r="H725" s="49" t="s">
        <v>6049</v>
      </c>
      <c r="I725" s="49">
        <v>0</v>
      </c>
      <c r="J725" s="49" t="s">
        <v>6264</v>
      </c>
      <c r="K725" s="49">
        <v>0</v>
      </c>
      <c r="L725" s="49" t="s">
        <v>6036</v>
      </c>
      <c r="M725" s="49">
        <v>0</v>
      </c>
      <c r="N725" s="457">
        <v>0</v>
      </c>
    </row>
    <row r="726" spans="1:14" ht="11.1" customHeight="1">
      <c r="A726" s="940" t="s">
        <v>7998</v>
      </c>
      <c r="B726" s="412" t="s">
        <v>10050</v>
      </c>
      <c r="C726" s="413">
        <v>113401</v>
      </c>
      <c r="D726" s="414">
        <v>47.486265116746509</v>
      </c>
      <c r="E726" s="415" t="s">
        <v>6251</v>
      </c>
      <c r="F726" s="416" t="s">
        <v>7999</v>
      </c>
      <c r="G726" s="416">
        <v>53</v>
      </c>
      <c r="H726" s="416" t="s">
        <v>0</v>
      </c>
      <c r="I726" s="416" t="s">
        <v>6233</v>
      </c>
      <c r="J726" s="416" t="s">
        <v>6257</v>
      </c>
      <c r="K726" s="416" t="s">
        <v>11995</v>
      </c>
      <c r="L726" s="416" t="s">
        <v>6283</v>
      </c>
      <c r="M726" s="416">
        <v>1</v>
      </c>
      <c r="N726" s="417" t="s">
        <v>6260</v>
      </c>
    </row>
    <row r="727" spans="1:14" ht="11.1" customHeight="1">
      <c r="A727" s="400" t="s">
        <v>7996</v>
      </c>
      <c r="B727" s="458" t="s">
        <v>11986</v>
      </c>
      <c r="C727" s="39">
        <v>110966</v>
      </c>
      <c r="D727" s="41">
        <v>46.466617533750963</v>
      </c>
      <c r="E727" s="41">
        <v>97.852752621229087</v>
      </c>
      <c r="F727" s="42" t="s">
        <v>7997</v>
      </c>
      <c r="G727" s="42">
        <v>46</v>
      </c>
      <c r="H727" s="42" t="s">
        <v>0</v>
      </c>
      <c r="I727" s="42" t="s">
        <v>6233</v>
      </c>
      <c r="J727" s="42" t="s">
        <v>6253</v>
      </c>
      <c r="K727" s="42" t="s">
        <v>12007</v>
      </c>
      <c r="L727" s="42" t="s">
        <v>6209</v>
      </c>
      <c r="M727" s="42">
        <v>2</v>
      </c>
      <c r="N727" s="459">
        <v>0</v>
      </c>
    </row>
    <row r="728" spans="1:14" ht="11.1" customHeight="1">
      <c r="A728" s="817" t="s">
        <v>8000</v>
      </c>
      <c r="B728" s="455" t="s">
        <v>6231</v>
      </c>
      <c r="C728" s="46">
        <v>14441</v>
      </c>
      <c r="D728" s="48">
        <v>6.0471173495025292</v>
      </c>
      <c r="E728" s="456" t="s">
        <v>6262</v>
      </c>
      <c r="F728" s="49" t="s">
        <v>12420</v>
      </c>
      <c r="G728" s="49">
        <v>30</v>
      </c>
      <c r="H728" s="49" t="s">
        <v>0</v>
      </c>
      <c r="I728" s="49">
        <v>0</v>
      </c>
      <c r="J728" s="49" t="s">
        <v>6264</v>
      </c>
      <c r="K728" s="49">
        <v>0</v>
      </c>
      <c r="L728" s="49" t="s">
        <v>6036</v>
      </c>
      <c r="M728" s="49">
        <v>0</v>
      </c>
      <c r="N728" s="457">
        <v>0</v>
      </c>
    </row>
    <row r="729" spans="1:14" ht="11.1" customHeight="1">
      <c r="A729" s="940" t="s">
        <v>8004</v>
      </c>
      <c r="B729" s="412" t="s">
        <v>10050</v>
      </c>
      <c r="C729" s="413">
        <v>115731</v>
      </c>
      <c r="D729" s="414">
        <v>50.14841167014044</v>
      </c>
      <c r="E729" s="415" t="s">
        <v>6251</v>
      </c>
      <c r="F729" s="416" t="s">
        <v>8005</v>
      </c>
      <c r="G729" s="416">
        <v>55</v>
      </c>
      <c r="H729" s="416" t="s">
        <v>0</v>
      </c>
      <c r="I729" s="416" t="s">
        <v>6233</v>
      </c>
      <c r="J729" s="416" t="s">
        <v>6257</v>
      </c>
      <c r="K729" s="416" t="s">
        <v>12028</v>
      </c>
      <c r="L729" s="416" t="s">
        <v>6209</v>
      </c>
      <c r="M729" s="416">
        <v>2</v>
      </c>
      <c r="N729" s="417" t="s">
        <v>6260</v>
      </c>
    </row>
    <row r="730" spans="1:14" ht="11.1" customHeight="1">
      <c r="A730" s="400" t="s">
        <v>8002</v>
      </c>
      <c r="B730" s="458" t="s">
        <v>11986</v>
      </c>
      <c r="C730" s="39">
        <v>106566</v>
      </c>
      <c r="D730" s="41">
        <v>46.177045372805779</v>
      </c>
      <c r="E730" s="41">
        <v>92.08077351789926</v>
      </c>
      <c r="F730" s="42" t="s">
        <v>12421</v>
      </c>
      <c r="G730" s="42">
        <v>50</v>
      </c>
      <c r="H730" s="42" t="s">
        <v>0</v>
      </c>
      <c r="I730" s="42" t="s">
        <v>6233</v>
      </c>
      <c r="J730" s="42" t="s">
        <v>6253</v>
      </c>
      <c r="K730" s="42" t="s">
        <v>12007</v>
      </c>
      <c r="L730" s="42" t="s">
        <v>6283</v>
      </c>
      <c r="M730" s="42">
        <v>1</v>
      </c>
      <c r="N730" s="459">
        <v>0</v>
      </c>
    </row>
    <row r="731" spans="1:14" ht="11.1" customHeight="1" thickBot="1">
      <c r="A731" s="430" t="s">
        <v>8006</v>
      </c>
      <c r="B731" s="463" t="s">
        <v>6231</v>
      </c>
      <c r="C731" s="75">
        <v>8480</v>
      </c>
      <c r="D731" s="77">
        <v>3.6745429570537791</v>
      </c>
      <c r="E731" s="464" t="s">
        <v>6262</v>
      </c>
      <c r="F731" s="78" t="s">
        <v>12422</v>
      </c>
      <c r="G731" s="78">
        <v>50</v>
      </c>
      <c r="H731" s="78" t="s">
        <v>0</v>
      </c>
      <c r="I731" s="78">
        <v>0</v>
      </c>
      <c r="J731" s="78" t="s">
        <v>6264</v>
      </c>
      <c r="K731" s="78">
        <v>0</v>
      </c>
      <c r="L731" s="78" t="s">
        <v>6036</v>
      </c>
      <c r="M731" s="78">
        <v>0</v>
      </c>
      <c r="N731" s="465">
        <v>0</v>
      </c>
    </row>
    <row r="732" spans="1:14" ht="11.1" customHeight="1">
      <c r="A732" s="941" t="s">
        <v>8008</v>
      </c>
      <c r="B732" s="436" t="s">
        <v>10050</v>
      </c>
      <c r="C732" s="82">
        <v>73062</v>
      </c>
      <c r="D732" s="84">
        <v>37.226768299517992</v>
      </c>
      <c r="E732" s="437" t="s">
        <v>6251</v>
      </c>
      <c r="F732" s="85" t="s">
        <v>8009</v>
      </c>
      <c r="G732" s="85">
        <v>45</v>
      </c>
      <c r="H732" s="85" t="s">
        <v>0</v>
      </c>
      <c r="I732" s="85" t="s">
        <v>6233</v>
      </c>
      <c r="J732" s="85" t="s">
        <v>6253</v>
      </c>
      <c r="K732" s="85" t="s">
        <v>12007</v>
      </c>
      <c r="L732" s="85" t="s">
        <v>6209</v>
      </c>
      <c r="M732" s="85">
        <v>1</v>
      </c>
      <c r="N732" s="438">
        <v>0</v>
      </c>
    </row>
    <row r="733" spans="1:14" ht="11.1" customHeight="1">
      <c r="A733" s="400" t="s">
        <v>8010</v>
      </c>
      <c r="B733" s="458" t="s">
        <v>11986</v>
      </c>
      <c r="C733" s="39">
        <v>66215</v>
      </c>
      <c r="D733" s="41">
        <v>33.738064424086168</v>
      </c>
      <c r="E733" s="41">
        <v>90.628507295173961</v>
      </c>
      <c r="F733" s="42" t="s">
        <v>12423</v>
      </c>
      <c r="G733" s="42">
        <v>48</v>
      </c>
      <c r="H733" s="42" t="s">
        <v>0</v>
      </c>
      <c r="I733" s="42" t="s">
        <v>6233</v>
      </c>
      <c r="J733" s="42" t="s">
        <v>6257</v>
      </c>
      <c r="K733" s="42" t="s">
        <v>6258</v>
      </c>
      <c r="L733" s="42" t="s">
        <v>6036</v>
      </c>
      <c r="M733" s="42">
        <v>0</v>
      </c>
      <c r="N733" s="459">
        <v>0</v>
      </c>
    </row>
    <row r="734" spans="1:14" ht="11.1" customHeight="1">
      <c r="A734" s="400" t="s">
        <v>8014</v>
      </c>
      <c r="B734" s="458" t="s">
        <v>6230</v>
      </c>
      <c r="C734" s="39">
        <v>41914</v>
      </c>
      <c r="D734" s="41">
        <v>21.356146375763011</v>
      </c>
      <c r="E734" s="469" t="s">
        <v>6262</v>
      </c>
      <c r="F734" s="42" t="s">
        <v>8011</v>
      </c>
      <c r="G734" s="42">
        <v>62</v>
      </c>
      <c r="H734" s="42" t="s">
        <v>0</v>
      </c>
      <c r="I734" s="42">
        <v>0</v>
      </c>
      <c r="J734" s="42" t="s">
        <v>12017</v>
      </c>
      <c r="K734" s="42" t="s">
        <v>12035</v>
      </c>
      <c r="L734" s="42" t="s">
        <v>6209</v>
      </c>
      <c r="M734" s="42">
        <v>2</v>
      </c>
      <c r="N734" s="459">
        <v>0</v>
      </c>
    </row>
    <row r="735" spans="1:14" ht="11.1" customHeight="1">
      <c r="A735" s="817" t="s">
        <v>8012</v>
      </c>
      <c r="B735" s="455" t="s">
        <v>6231</v>
      </c>
      <c r="C735" s="46">
        <v>15071</v>
      </c>
      <c r="D735" s="48">
        <v>7.6790209006328274</v>
      </c>
      <c r="E735" s="456" t="s">
        <v>6262</v>
      </c>
      <c r="F735" s="49" t="s">
        <v>12424</v>
      </c>
      <c r="G735" s="49">
        <v>48</v>
      </c>
      <c r="H735" s="49" t="s">
        <v>0</v>
      </c>
      <c r="I735" s="49">
        <v>0</v>
      </c>
      <c r="J735" s="49" t="s">
        <v>6264</v>
      </c>
      <c r="K735" s="49">
        <v>0</v>
      </c>
      <c r="L735" s="49" t="s">
        <v>6036</v>
      </c>
      <c r="M735" s="49">
        <v>0</v>
      </c>
      <c r="N735" s="457">
        <v>0</v>
      </c>
    </row>
    <row r="736" spans="1:14" ht="11.1" customHeight="1">
      <c r="A736" s="940" t="s">
        <v>8019</v>
      </c>
      <c r="B736" s="412" t="s">
        <v>10050</v>
      </c>
      <c r="C736" s="413">
        <v>92096</v>
      </c>
      <c r="D736" s="414">
        <v>44.529111990020404</v>
      </c>
      <c r="E736" s="415" t="s">
        <v>6251</v>
      </c>
      <c r="F736" s="416" t="s">
        <v>8020</v>
      </c>
      <c r="G736" s="416">
        <v>44</v>
      </c>
      <c r="H736" s="416" t="s">
        <v>6049</v>
      </c>
      <c r="I736" s="416" t="s">
        <v>6233</v>
      </c>
      <c r="J736" s="416" t="s">
        <v>6257</v>
      </c>
      <c r="K736" s="416" t="s">
        <v>11998</v>
      </c>
      <c r="L736" s="416" t="s">
        <v>6283</v>
      </c>
      <c r="M736" s="416">
        <v>3</v>
      </c>
      <c r="N736" s="417" t="s">
        <v>6260</v>
      </c>
    </row>
    <row r="737" spans="1:14" ht="11.1" customHeight="1">
      <c r="A737" s="400" t="s">
        <v>8016</v>
      </c>
      <c r="B737" s="458" t="s">
        <v>6230</v>
      </c>
      <c r="C737" s="39">
        <v>72074</v>
      </c>
      <c r="D737" s="41">
        <v>34.848323679299106</v>
      </c>
      <c r="E737" s="41">
        <v>78.259642112578177</v>
      </c>
      <c r="F737" s="42" t="s">
        <v>12425</v>
      </c>
      <c r="G737" s="42">
        <v>34</v>
      </c>
      <c r="H737" s="42" t="s">
        <v>0</v>
      </c>
      <c r="I737" s="42" t="s">
        <v>6233</v>
      </c>
      <c r="J737" s="42" t="s">
        <v>6253</v>
      </c>
      <c r="K737" s="42" t="s">
        <v>12007</v>
      </c>
      <c r="L737" s="42" t="s">
        <v>6209</v>
      </c>
      <c r="M737" s="42">
        <v>2</v>
      </c>
      <c r="N737" s="459">
        <v>0</v>
      </c>
    </row>
    <row r="738" spans="1:14" ht="11.1" customHeight="1">
      <c r="A738" s="400" t="s">
        <v>8023</v>
      </c>
      <c r="B738" s="458" t="s">
        <v>10055</v>
      </c>
      <c r="C738" s="39">
        <v>29995</v>
      </c>
      <c r="D738" s="41">
        <v>14.502809178907466</v>
      </c>
      <c r="E738" s="41">
        <v>32.569275538568448</v>
      </c>
      <c r="F738" s="42" t="s">
        <v>12426</v>
      </c>
      <c r="G738" s="42">
        <v>66</v>
      </c>
      <c r="H738" s="42" t="s">
        <v>0</v>
      </c>
      <c r="I738" s="42" t="s">
        <v>6233</v>
      </c>
      <c r="J738" s="42" t="s">
        <v>12175</v>
      </c>
      <c r="K738" s="42" t="s">
        <v>12035</v>
      </c>
      <c r="L738" s="42" t="s">
        <v>6209</v>
      </c>
      <c r="M738" s="42">
        <v>3</v>
      </c>
      <c r="N738" s="459">
        <v>0</v>
      </c>
    </row>
    <row r="739" spans="1:14" ht="11.1" customHeight="1">
      <c r="A739" s="817" t="s">
        <v>8021</v>
      </c>
      <c r="B739" s="455" t="s">
        <v>6231</v>
      </c>
      <c r="C739" s="46">
        <v>12657</v>
      </c>
      <c r="D739" s="48">
        <v>6.1197551517730222</v>
      </c>
      <c r="E739" s="48">
        <v>13.74326789437109</v>
      </c>
      <c r="F739" s="49" t="s">
        <v>12427</v>
      </c>
      <c r="G739" s="49">
        <v>57</v>
      </c>
      <c r="H739" s="49" t="s">
        <v>6049</v>
      </c>
      <c r="I739" s="49" t="s">
        <v>6233</v>
      </c>
      <c r="J739" s="49" t="s">
        <v>6264</v>
      </c>
      <c r="K739" s="49">
        <v>0</v>
      </c>
      <c r="L739" s="49" t="s">
        <v>6036</v>
      </c>
      <c r="M739" s="49">
        <v>0</v>
      </c>
      <c r="N739" s="457">
        <v>0</v>
      </c>
    </row>
    <row r="740" spans="1:14" ht="11.1" customHeight="1">
      <c r="A740" s="940" t="s">
        <v>8027</v>
      </c>
      <c r="B740" s="412" t="s">
        <v>10050</v>
      </c>
      <c r="C740" s="413">
        <v>104572</v>
      </c>
      <c r="D740" s="414">
        <v>52.893749178055863</v>
      </c>
      <c r="E740" s="415" t="s">
        <v>6251</v>
      </c>
      <c r="F740" s="416" t="s">
        <v>8028</v>
      </c>
      <c r="G740" s="416">
        <v>61</v>
      </c>
      <c r="H740" s="416" t="s">
        <v>0</v>
      </c>
      <c r="I740" s="416" t="s">
        <v>6233</v>
      </c>
      <c r="J740" s="416" t="s">
        <v>6257</v>
      </c>
      <c r="K740" s="416" t="s">
        <v>11998</v>
      </c>
      <c r="L740" s="416" t="s">
        <v>6209</v>
      </c>
      <c r="M740" s="416">
        <v>1</v>
      </c>
      <c r="N740" s="417" t="s">
        <v>6260</v>
      </c>
    </row>
    <row r="741" spans="1:14" ht="11.1" customHeight="1">
      <c r="A741" s="400" t="s">
        <v>8025</v>
      </c>
      <c r="B741" s="458" t="s">
        <v>6230</v>
      </c>
      <c r="C741" s="39">
        <v>75034</v>
      </c>
      <c r="D741" s="41">
        <v>37.953080899535664</v>
      </c>
      <c r="E741" s="41">
        <v>71.753433041349496</v>
      </c>
      <c r="F741" s="42" t="s">
        <v>8026</v>
      </c>
      <c r="G741" s="42">
        <v>41</v>
      </c>
      <c r="H741" s="42" t="s">
        <v>0</v>
      </c>
      <c r="I741" s="42" t="s">
        <v>6233</v>
      </c>
      <c r="J741" s="42" t="s">
        <v>6253</v>
      </c>
      <c r="K741" s="42" t="s">
        <v>12007</v>
      </c>
      <c r="L741" s="42" t="s">
        <v>6036</v>
      </c>
      <c r="M741" s="42">
        <v>0</v>
      </c>
      <c r="N741" s="459">
        <v>0</v>
      </c>
    </row>
    <row r="742" spans="1:14" ht="11.1" customHeight="1">
      <c r="A742" s="817" t="s">
        <v>8029</v>
      </c>
      <c r="B742" s="455" t="s">
        <v>6231</v>
      </c>
      <c r="C742" s="46">
        <v>18096</v>
      </c>
      <c r="D742" s="48">
        <v>9.1531699224084733</v>
      </c>
      <c r="E742" s="456" t="s">
        <v>6262</v>
      </c>
      <c r="F742" s="49" t="s">
        <v>12428</v>
      </c>
      <c r="G742" s="49">
        <v>34</v>
      </c>
      <c r="H742" s="49" t="s">
        <v>0</v>
      </c>
      <c r="I742" s="49">
        <v>0</v>
      </c>
      <c r="J742" s="49" t="s">
        <v>6264</v>
      </c>
      <c r="K742" s="49">
        <v>0</v>
      </c>
      <c r="L742" s="49" t="s">
        <v>6036</v>
      </c>
      <c r="M742" s="49">
        <v>0</v>
      </c>
      <c r="N742" s="457">
        <v>0</v>
      </c>
    </row>
    <row r="743" spans="1:14" ht="11.1" customHeight="1">
      <c r="A743" s="940" t="s">
        <v>8033</v>
      </c>
      <c r="B743" s="412" t="s">
        <v>10050</v>
      </c>
      <c r="C743" s="413">
        <v>107014</v>
      </c>
      <c r="D743" s="414">
        <v>55.542925950723777</v>
      </c>
      <c r="E743" s="415" t="s">
        <v>6251</v>
      </c>
      <c r="F743" s="416" t="s">
        <v>8034</v>
      </c>
      <c r="G743" s="416">
        <v>61</v>
      </c>
      <c r="H743" s="416" t="s">
        <v>0</v>
      </c>
      <c r="I743" s="416" t="s">
        <v>6233</v>
      </c>
      <c r="J743" s="416" t="s">
        <v>6257</v>
      </c>
      <c r="K743" s="416" t="s">
        <v>6350</v>
      </c>
      <c r="L743" s="416" t="s">
        <v>6209</v>
      </c>
      <c r="M743" s="416">
        <v>4</v>
      </c>
      <c r="N743" s="417" t="s">
        <v>6260</v>
      </c>
    </row>
    <row r="744" spans="1:14" ht="11.1" customHeight="1">
      <c r="A744" s="400" t="s">
        <v>8035</v>
      </c>
      <c r="B744" s="458" t="s">
        <v>6230</v>
      </c>
      <c r="C744" s="39">
        <v>76031</v>
      </c>
      <c r="D744" s="41">
        <v>39.461978834166366</v>
      </c>
      <c r="E744" s="41">
        <v>71.047713383295644</v>
      </c>
      <c r="F744" s="42" t="s">
        <v>12429</v>
      </c>
      <c r="G744" s="42">
        <v>47</v>
      </c>
      <c r="H744" s="42" t="s">
        <v>0</v>
      </c>
      <c r="I744" s="42" t="s">
        <v>6233</v>
      </c>
      <c r="J744" s="42" t="s">
        <v>6253</v>
      </c>
      <c r="K744" s="42" t="s">
        <v>12007</v>
      </c>
      <c r="L744" s="42" t="s">
        <v>6036</v>
      </c>
      <c r="M744" s="42">
        <v>0</v>
      </c>
      <c r="N744" s="459">
        <v>0</v>
      </c>
    </row>
    <row r="745" spans="1:14" ht="11.1" customHeight="1" thickBot="1">
      <c r="A745" s="430" t="s">
        <v>8037</v>
      </c>
      <c r="B745" s="463" t="s">
        <v>6231</v>
      </c>
      <c r="C745" s="75">
        <v>9624</v>
      </c>
      <c r="D745" s="77">
        <v>4.9950952151098518</v>
      </c>
      <c r="E745" s="464" t="s">
        <v>6262</v>
      </c>
      <c r="F745" s="78" t="s">
        <v>12430</v>
      </c>
      <c r="G745" s="78">
        <v>46</v>
      </c>
      <c r="H745" s="78" t="s">
        <v>0</v>
      </c>
      <c r="I745" s="78">
        <v>0</v>
      </c>
      <c r="J745" s="78" t="s">
        <v>6264</v>
      </c>
      <c r="K745" s="78">
        <v>0</v>
      </c>
      <c r="L745" s="78" t="s">
        <v>6036</v>
      </c>
      <c r="M745" s="78">
        <v>0</v>
      </c>
      <c r="N745" s="465">
        <v>0</v>
      </c>
    </row>
    <row r="746" spans="1:14" ht="11.1" customHeight="1">
      <c r="A746" s="941" t="s">
        <v>8041</v>
      </c>
      <c r="B746" s="439" t="s">
        <v>10050</v>
      </c>
      <c r="C746" s="440">
        <v>100868</v>
      </c>
      <c r="D746" s="441">
        <v>50.967373564350936</v>
      </c>
      <c r="E746" s="442" t="s">
        <v>6251</v>
      </c>
      <c r="F746" s="337" t="s">
        <v>8042</v>
      </c>
      <c r="G746" s="337">
        <v>38</v>
      </c>
      <c r="H746" s="337" t="s">
        <v>0</v>
      </c>
      <c r="I746" s="337" t="s">
        <v>6233</v>
      </c>
      <c r="J746" s="337" t="s">
        <v>6257</v>
      </c>
      <c r="K746" s="337" t="s">
        <v>11998</v>
      </c>
      <c r="L746" s="337" t="s">
        <v>6209</v>
      </c>
      <c r="M746" s="337">
        <v>2</v>
      </c>
      <c r="N746" s="443" t="s">
        <v>6260</v>
      </c>
    </row>
    <row r="747" spans="1:14" ht="11.1" customHeight="1">
      <c r="A747" s="400" t="s">
        <v>8039</v>
      </c>
      <c r="B747" s="458" t="s">
        <v>6230</v>
      </c>
      <c r="C747" s="39">
        <v>78621</v>
      </c>
      <c r="D747" s="41">
        <v>39.726235049796117</v>
      </c>
      <c r="E747" s="41">
        <v>77.944442241345129</v>
      </c>
      <c r="F747" s="42" t="s">
        <v>8040</v>
      </c>
      <c r="G747" s="42">
        <v>49</v>
      </c>
      <c r="H747" s="42" t="s">
        <v>0</v>
      </c>
      <c r="I747" s="42" t="s">
        <v>6233</v>
      </c>
      <c r="J747" s="42" t="s">
        <v>6253</v>
      </c>
      <c r="K747" s="42" t="s">
        <v>12007</v>
      </c>
      <c r="L747" s="42" t="s">
        <v>6036</v>
      </c>
      <c r="M747" s="42">
        <v>0</v>
      </c>
      <c r="N747" s="459">
        <v>0</v>
      </c>
    </row>
    <row r="748" spans="1:14" ht="11.1" customHeight="1">
      <c r="A748" s="817" t="s">
        <v>8043</v>
      </c>
      <c r="B748" s="455" t="s">
        <v>6231</v>
      </c>
      <c r="C748" s="46">
        <v>18418</v>
      </c>
      <c r="D748" s="48">
        <v>9.306391385852951</v>
      </c>
      <c r="E748" s="48">
        <v>18.259507475115992</v>
      </c>
      <c r="F748" s="49" t="s">
        <v>12431</v>
      </c>
      <c r="G748" s="49">
        <v>52</v>
      </c>
      <c r="H748" s="49" t="s">
        <v>0</v>
      </c>
      <c r="I748" s="49" t="s">
        <v>6233</v>
      </c>
      <c r="J748" s="49" t="s">
        <v>6264</v>
      </c>
      <c r="K748" s="49">
        <v>0</v>
      </c>
      <c r="L748" s="49" t="s">
        <v>6036</v>
      </c>
      <c r="M748" s="49">
        <v>0</v>
      </c>
      <c r="N748" s="457">
        <v>0</v>
      </c>
    </row>
    <row r="749" spans="1:14" ht="11.1" customHeight="1">
      <c r="A749" s="940" t="s">
        <v>8049</v>
      </c>
      <c r="B749" s="412" t="s">
        <v>10050</v>
      </c>
      <c r="C749" s="413">
        <v>88915</v>
      </c>
      <c r="D749" s="414">
        <v>54.071065002037201</v>
      </c>
      <c r="E749" s="415" t="s">
        <v>6251</v>
      </c>
      <c r="F749" s="416" t="s">
        <v>8050</v>
      </c>
      <c r="G749" s="416">
        <v>53</v>
      </c>
      <c r="H749" s="416" t="s">
        <v>0</v>
      </c>
      <c r="I749" s="416" t="s">
        <v>6233</v>
      </c>
      <c r="J749" s="416" t="s">
        <v>6257</v>
      </c>
      <c r="K749" s="416" t="s">
        <v>6350</v>
      </c>
      <c r="L749" s="416" t="s">
        <v>6209</v>
      </c>
      <c r="M749" s="416">
        <v>2</v>
      </c>
      <c r="N749" s="417" t="s">
        <v>6260</v>
      </c>
    </row>
    <row r="750" spans="1:14" ht="11.1" customHeight="1">
      <c r="A750" s="400" t="s">
        <v>8047</v>
      </c>
      <c r="B750" s="458" t="s">
        <v>6230</v>
      </c>
      <c r="C750" s="39">
        <v>62499</v>
      </c>
      <c r="D750" s="41">
        <v>38.006944740058742</v>
      </c>
      <c r="E750" s="41">
        <v>70.290727098914701</v>
      </c>
      <c r="F750" s="42" t="s">
        <v>12432</v>
      </c>
      <c r="G750" s="42">
        <v>35</v>
      </c>
      <c r="H750" s="42" t="s">
        <v>0</v>
      </c>
      <c r="I750" s="42" t="s">
        <v>6233</v>
      </c>
      <c r="J750" s="42" t="s">
        <v>6253</v>
      </c>
      <c r="K750" s="42" t="s">
        <v>12020</v>
      </c>
      <c r="L750" s="42" t="s">
        <v>6209</v>
      </c>
      <c r="M750" s="42">
        <v>1</v>
      </c>
      <c r="N750" s="459">
        <v>0</v>
      </c>
    </row>
    <row r="751" spans="1:14" ht="11.1" customHeight="1">
      <c r="A751" s="817" t="s">
        <v>8051</v>
      </c>
      <c r="B751" s="455" t="s">
        <v>6231</v>
      </c>
      <c r="C751" s="46">
        <v>13027</v>
      </c>
      <c r="D751" s="48">
        <v>7.9219902579040511</v>
      </c>
      <c r="E751" s="456" t="s">
        <v>6262</v>
      </c>
      <c r="F751" s="49" t="s">
        <v>12433</v>
      </c>
      <c r="G751" s="49">
        <v>50</v>
      </c>
      <c r="H751" s="49" t="s">
        <v>0</v>
      </c>
      <c r="I751" s="49">
        <v>0</v>
      </c>
      <c r="J751" s="49" t="s">
        <v>6264</v>
      </c>
      <c r="K751" s="49">
        <v>0</v>
      </c>
      <c r="L751" s="49" t="s">
        <v>6036</v>
      </c>
      <c r="M751" s="49">
        <v>0</v>
      </c>
      <c r="N751" s="457">
        <v>0</v>
      </c>
    </row>
    <row r="752" spans="1:14" ht="11.1" customHeight="1">
      <c r="A752" s="940" t="s">
        <v>8053</v>
      </c>
      <c r="B752" s="412" t="s">
        <v>10050</v>
      </c>
      <c r="C752" s="413">
        <v>145735</v>
      </c>
      <c r="D752" s="414">
        <v>66.422219892710814</v>
      </c>
      <c r="E752" s="415" t="s">
        <v>6251</v>
      </c>
      <c r="F752" s="416" t="s">
        <v>8054</v>
      </c>
      <c r="G752" s="416">
        <v>66</v>
      </c>
      <c r="H752" s="416" t="s">
        <v>0</v>
      </c>
      <c r="I752" s="416" t="s">
        <v>6233</v>
      </c>
      <c r="J752" s="416" t="s">
        <v>6257</v>
      </c>
      <c r="K752" s="416" t="s">
        <v>12330</v>
      </c>
      <c r="L752" s="416" t="s">
        <v>6209</v>
      </c>
      <c r="M752" s="416">
        <v>7</v>
      </c>
      <c r="N752" s="417" t="s">
        <v>6260</v>
      </c>
    </row>
    <row r="753" spans="1:14" ht="11.1" customHeight="1">
      <c r="A753" s="400" t="s">
        <v>8055</v>
      </c>
      <c r="B753" s="458" t="s">
        <v>6230</v>
      </c>
      <c r="C753" s="39">
        <v>53532</v>
      </c>
      <c r="D753" s="41">
        <v>24.398492299698734</v>
      </c>
      <c r="E753" s="41">
        <v>36.73242529248293</v>
      </c>
      <c r="F753" s="42" t="s">
        <v>12434</v>
      </c>
      <c r="G753" s="42">
        <v>34</v>
      </c>
      <c r="H753" s="42" t="s">
        <v>0</v>
      </c>
      <c r="I753" s="42" t="s">
        <v>6233</v>
      </c>
      <c r="J753" s="42" t="s">
        <v>6253</v>
      </c>
      <c r="K753" s="42" t="s">
        <v>12020</v>
      </c>
      <c r="L753" s="42" t="s">
        <v>6036</v>
      </c>
      <c r="M753" s="42">
        <v>0</v>
      </c>
      <c r="N753" s="459">
        <v>0</v>
      </c>
    </row>
    <row r="754" spans="1:14" ht="11.1" customHeight="1" thickBot="1">
      <c r="A754" s="418" t="s">
        <v>8057</v>
      </c>
      <c r="B754" s="460" t="s">
        <v>6231</v>
      </c>
      <c r="C754" s="68">
        <v>20140</v>
      </c>
      <c r="D754" s="70">
        <v>9.1792878075904589</v>
      </c>
      <c r="E754" s="461" t="s">
        <v>6262</v>
      </c>
      <c r="F754" s="71" t="s">
        <v>12435</v>
      </c>
      <c r="G754" s="71">
        <v>58</v>
      </c>
      <c r="H754" s="71" t="s">
        <v>0</v>
      </c>
      <c r="I754" s="71">
        <v>0</v>
      </c>
      <c r="J754" s="71" t="s">
        <v>6264</v>
      </c>
      <c r="K754" s="71">
        <v>0</v>
      </c>
      <c r="L754" s="71" t="s">
        <v>6036</v>
      </c>
      <c r="M754" s="71">
        <v>0</v>
      </c>
      <c r="N754" s="462">
        <v>0</v>
      </c>
    </row>
    <row r="755" spans="1:14" ht="11.1" customHeight="1" thickTop="1">
      <c r="A755" s="400" t="s">
        <v>8059</v>
      </c>
      <c r="B755" s="425" t="s">
        <v>10050</v>
      </c>
      <c r="C755" s="426">
        <v>106805</v>
      </c>
      <c r="D755" s="427">
        <v>59.246254292101426</v>
      </c>
      <c r="E755" s="428" t="s">
        <v>6251</v>
      </c>
      <c r="F755" s="303" t="s">
        <v>12436</v>
      </c>
      <c r="G755" s="303">
        <v>48</v>
      </c>
      <c r="H755" s="303" t="s">
        <v>0</v>
      </c>
      <c r="I755" s="303" t="s">
        <v>6233</v>
      </c>
      <c r="J755" s="303" t="s">
        <v>6257</v>
      </c>
      <c r="K755" s="303" t="s">
        <v>11995</v>
      </c>
      <c r="L755" s="303" t="s">
        <v>6209</v>
      </c>
      <c r="M755" s="303">
        <v>6</v>
      </c>
      <c r="N755" s="429" t="s">
        <v>6260</v>
      </c>
    </row>
    <row r="756" spans="1:14" ht="11.1" customHeight="1">
      <c r="A756" s="400" t="s">
        <v>8061</v>
      </c>
      <c r="B756" s="458" t="s">
        <v>6230</v>
      </c>
      <c r="C756" s="39">
        <v>48092</v>
      </c>
      <c r="D756" s="41">
        <v>26.677317180054693</v>
      </c>
      <c r="E756" s="41">
        <v>45.027854501193765</v>
      </c>
      <c r="F756" s="42" t="s">
        <v>12437</v>
      </c>
      <c r="G756" s="42">
        <v>28</v>
      </c>
      <c r="H756" s="42" t="s">
        <v>0</v>
      </c>
      <c r="I756" s="42" t="s">
        <v>6233</v>
      </c>
      <c r="J756" s="42" t="s">
        <v>6253</v>
      </c>
      <c r="K756" s="42" t="s">
        <v>12007</v>
      </c>
      <c r="L756" s="42" t="s">
        <v>6036</v>
      </c>
      <c r="M756" s="42">
        <v>0</v>
      </c>
      <c r="N756" s="459">
        <v>0</v>
      </c>
    </row>
    <row r="757" spans="1:14" ht="11.1" customHeight="1">
      <c r="A757" s="400" t="s">
        <v>8065</v>
      </c>
      <c r="B757" s="458" t="s">
        <v>6231</v>
      </c>
      <c r="C757" s="39">
        <v>14271</v>
      </c>
      <c r="D757" s="41">
        <v>7.9163269041953042</v>
      </c>
      <c r="E757" s="41">
        <v>13.361734001217172</v>
      </c>
      <c r="F757" s="42" t="s">
        <v>12438</v>
      </c>
      <c r="G757" s="42">
        <v>52</v>
      </c>
      <c r="H757" s="42" t="s">
        <v>0</v>
      </c>
      <c r="I757" s="42" t="s">
        <v>6233</v>
      </c>
      <c r="J757" s="42" t="s">
        <v>6278</v>
      </c>
      <c r="K757" s="42">
        <v>0</v>
      </c>
      <c r="L757" s="42" t="s">
        <v>6036</v>
      </c>
      <c r="M757" s="42">
        <v>0</v>
      </c>
      <c r="N757" s="459">
        <v>0</v>
      </c>
    </row>
    <row r="758" spans="1:14" ht="11.1" customHeight="1">
      <c r="A758" s="817" t="s">
        <v>8063</v>
      </c>
      <c r="B758" s="455" t="s">
        <v>6231</v>
      </c>
      <c r="C758" s="46">
        <v>11105</v>
      </c>
      <c r="D758" s="48">
        <v>6.1601016236485773</v>
      </c>
      <c r="E758" s="456" t="s">
        <v>6262</v>
      </c>
      <c r="F758" s="49" t="s">
        <v>12439</v>
      </c>
      <c r="G758" s="49">
        <v>41</v>
      </c>
      <c r="H758" s="49" t="s">
        <v>0</v>
      </c>
      <c r="I758" s="49">
        <v>0</v>
      </c>
      <c r="J758" s="49" t="s">
        <v>6264</v>
      </c>
      <c r="K758" s="49">
        <v>0</v>
      </c>
      <c r="L758" s="49" t="s">
        <v>6036</v>
      </c>
      <c r="M758" s="49">
        <v>0</v>
      </c>
      <c r="N758" s="457">
        <v>0</v>
      </c>
    </row>
    <row r="759" spans="1:14" ht="11.1" customHeight="1">
      <c r="A759" s="940" t="s">
        <v>8067</v>
      </c>
      <c r="B759" s="412" t="s">
        <v>10050</v>
      </c>
      <c r="C759" s="413">
        <v>64132</v>
      </c>
      <c r="D759" s="414">
        <v>37.441690749335905</v>
      </c>
      <c r="E759" s="415" t="s">
        <v>6251</v>
      </c>
      <c r="F759" s="416" t="s">
        <v>12440</v>
      </c>
      <c r="G759" s="416">
        <v>44</v>
      </c>
      <c r="H759" s="416" t="s">
        <v>0</v>
      </c>
      <c r="I759" s="416" t="s">
        <v>6233</v>
      </c>
      <c r="J759" s="416" t="s">
        <v>6257</v>
      </c>
      <c r="K759" s="416" t="s">
        <v>6258</v>
      </c>
      <c r="L759" s="416" t="s">
        <v>6036</v>
      </c>
      <c r="M759" s="416">
        <v>0</v>
      </c>
      <c r="N759" s="417" t="s">
        <v>6260</v>
      </c>
    </row>
    <row r="760" spans="1:14" ht="11.1" customHeight="1">
      <c r="A760" s="400" t="s">
        <v>12441</v>
      </c>
      <c r="B760" s="458" t="s">
        <v>6230</v>
      </c>
      <c r="C760" s="39">
        <v>58909</v>
      </c>
      <c r="D760" s="41">
        <v>34.392386957410167</v>
      </c>
      <c r="E760" s="469" t="s">
        <v>6262</v>
      </c>
      <c r="F760" s="42" t="s">
        <v>12442</v>
      </c>
      <c r="G760" s="42">
        <v>54</v>
      </c>
      <c r="H760" s="42" t="s">
        <v>0</v>
      </c>
      <c r="I760" s="42">
        <v>0</v>
      </c>
      <c r="J760" s="42" t="s">
        <v>12017</v>
      </c>
      <c r="K760" s="42" t="s">
        <v>12018</v>
      </c>
      <c r="L760" s="42" t="s">
        <v>6209</v>
      </c>
      <c r="M760" s="42">
        <v>1</v>
      </c>
      <c r="N760" s="459">
        <v>0</v>
      </c>
    </row>
    <row r="761" spans="1:14" ht="11.1" customHeight="1">
      <c r="A761" s="400" t="s">
        <v>8069</v>
      </c>
      <c r="B761" s="458" t="s">
        <v>6230</v>
      </c>
      <c r="C761" s="39">
        <v>41533</v>
      </c>
      <c r="D761" s="41">
        <v>24.247890941997255</v>
      </c>
      <c r="E761" s="41">
        <v>64.761741408345287</v>
      </c>
      <c r="F761" s="42" t="s">
        <v>12443</v>
      </c>
      <c r="G761" s="42">
        <v>50</v>
      </c>
      <c r="H761" s="42" t="s">
        <v>0</v>
      </c>
      <c r="I761" s="42" t="s">
        <v>6233</v>
      </c>
      <c r="J761" s="42" t="s">
        <v>6253</v>
      </c>
      <c r="K761" s="42" t="s">
        <v>11994</v>
      </c>
      <c r="L761" s="42" t="s">
        <v>6209</v>
      </c>
      <c r="M761" s="42">
        <v>2</v>
      </c>
      <c r="N761" s="459">
        <v>0</v>
      </c>
    </row>
    <row r="762" spans="1:14" ht="11.1" customHeight="1" thickBot="1">
      <c r="A762" s="430" t="s">
        <v>8071</v>
      </c>
      <c r="B762" s="463" t="s">
        <v>6231</v>
      </c>
      <c r="C762" s="75">
        <v>6711</v>
      </c>
      <c r="D762" s="77">
        <v>3.9180313512566776</v>
      </c>
      <c r="E762" s="464" t="s">
        <v>6262</v>
      </c>
      <c r="F762" s="78" t="s">
        <v>12444</v>
      </c>
      <c r="G762" s="78">
        <v>60</v>
      </c>
      <c r="H762" s="78" t="s">
        <v>0</v>
      </c>
      <c r="I762" s="78">
        <v>0</v>
      </c>
      <c r="J762" s="78" t="s">
        <v>6264</v>
      </c>
      <c r="K762" s="78">
        <v>0</v>
      </c>
      <c r="L762" s="78" t="s">
        <v>6036</v>
      </c>
      <c r="M762" s="78">
        <v>0</v>
      </c>
      <c r="N762" s="465">
        <v>0</v>
      </c>
    </row>
    <row r="763" spans="1:14" ht="11.1" customHeight="1">
      <c r="A763" s="941" t="s">
        <v>8073</v>
      </c>
      <c r="B763" s="439" t="s">
        <v>10050</v>
      </c>
      <c r="C763" s="440">
        <v>125401</v>
      </c>
      <c r="D763" s="441">
        <v>60.522886542211239</v>
      </c>
      <c r="E763" s="442" t="s">
        <v>6251</v>
      </c>
      <c r="F763" s="337" t="s">
        <v>8074</v>
      </c>
      <c r="G763" s="337">
        <v>61</v>
      </c>
      <c r="H763" s="337" t="s">
        <v>0</v>
      </c>
      <c r="I763" s="337" t="s">
        <v>6233</v>
      </c>
      <c r="J763" s="337" t="s">
        <v>6257</v>
      </c>
      <c r="K763" s="337" t="s">
        <v>11998</v>
      </c>
      <c r="L763" s="337" t="s">
        <v>6209</v>
      </c>
      <c r="M763" s="337">
        <v>5</v>
      </c>
      <c r="N763" s="443" t="s">
        <v>6260</v>
      </c>
    </row>
    <row r="764" spans="1:14" ht="11.1" customHeight="1">
      <c r="A764" s="400" t="s">
        <v>8075</v>
      </c>
      <c r="B764" s="458" t="s">
        <v>6230</v>
      </c>
      <c r="C764" s="39">
        <v>59334</v>
      </c>
      <c r="D764" s="41">
        <v>28.636653217243577</v>
      </c>
      <c r="E764" s="41">
        <v>47.315412157797788</v>
      </c>
      <c r="F764" s="42" t="s">
        <v>12445</v>
      </c>
      <c r="G764" s="42">
        <v>36</v>
      </c>
      <c r="H764" s="42" t="s">
        <v>0</v>
      </c>
      <c r="I764" s="42" t="s">
        <v>6233</v>
      </c>
      <c r="J764" s="42" t="s">
        <v>6253</v>
      </c>
      <c r="K764" s="42" t="s">
        <v>11994</v>
      </c>
      <c r="L764" s="42" t="s">
        <v>6036</v>
      </c>
      <c r="M764" s="42">
        <v>0</v>
      </c>
      <c r="N764" s="459">
        <v>0</v>
      </c>
    </row>
    <row r="765" spans="1:14" ht="11.1" customHeight="1">
      <c r="A765" s="400" t="s">
        <v>8077</v>
      </c>
      <c r="B765" s="458" t="s">
        <v>6231</v>
      </c>
      <c r="C765" s="39">
        <v>12786</v>
      </c>
      <c r="D765" s="41">
        <v>6.170968551516439</v>
      </c>
      <c r="E765" s="469" t="s">
        <v>6262</v>
      </c>
      <c r="F765" s="42" t="s">
        <v>12446</v>
      </c>
      <c r="G765" s="42">
        <v>51</v>
      </c>
      <c r="H765" s="42" t="s">
        <v>0</v>
      </c>
      <c r="I765" s="42">
        <v>0</v>
      </c>
      <c r="J765" s="42" t="s">
        <v>6264</v>
      </c>
      <c r="K765" s="42">
        <v>0</v>
      </c>
      <c r="L765" s="42" t="s">
        <v>6036</v>
      </c>
      <c r="M765" s="42">
        <v>0</v>
      </c>
      <c r="N765" s="459">
        <v>0</v>
      </c>
    </row>
    <row r="766" spans="1:14" ht="11.1" customHeight="1">
      <c r="A766" s="817" t="s">
        <v>8079</v>
      </c>
      <c r="B766" s="455" t="s">
        <v>6231</v>
      </c>
      <c r="C766" s="46">
        <v>9675</v>
      </c>
      <c r="D766" s="48">
        <v>4.6694916890287459</v>
      </c>
      <c r="E766" s="48">
        <v>7.7152494796692208</v>
      </c>
      <c r="F766" s="49" t="s">
        <v>12447</v>
      </c>
      <c r="G766" s="49">
        <v>61</v>
      </c>
      <c r="H766" s="49" t="s">
        <v>0</v>
      </c>
      <c r="I766" s="49" t="s">
        <v>6233</v>
      </c>
      <c r="J766" s="49" t="s">
        <v>6278</v>
      </c>
      <c r="K766" s="49">
        <v>0</v>
      </c>
      <c r="L766" s="49" t="s">
        <v>6036</v>
      </c>
      <c r="M766" s="49">
        <v>0</v>
      </c>
      <c r="N766" s="457">
        <v>0</v>
      </c>
    </row>
    <row r="767" spans="1:14" ht="11.1" customHeight="1">
      <c r="A767" s="940" t="s">
        <v>8081</v>
      </c>
      <c r="B767" s="412" t="s">
        <v>10050</v>
      </c>
      <c r="C767" s="413">
        <v>127118</v>
      </c>
      <c r="D767" s="414">
        <v>51.902057414900433</v>
      </c>
      <c r="E767" s="415" t="s">
        <v>6251</v>
      </c>
      <c r="F767" s="416" t="s">
        <v>12448</v>
      </c>
      <c r="G767" s="416">
        <v>58</v>
      </c>
      <c r="H767" s="416" t="s">
        <v>0</v>
      </c>
      <c r="I767" s="416" t="s">
        <v>6233</v>
      </c>
      <c r="J767" s="416" t="s">
        <v>6257</v>
      </c>
      <c r="K767" s="416" t="s">
        <v>11995</v>
      </c>
      <c r="L767" s="416" t="s">
        <v>6209</v>
      </c>
      <c r="M767" s="416">
        <v>2</v>
      </c>
      <c r="N767" s="417" t="s">
        <v>6260</v>
      </c>
    </row>
    <row r="768" spans="1:14" ht="11.1" customHeight="1">
      <c r="A768" s="400" t="s">
        <v>12449</v>
      </c>
      <c r="B768" s="458" t="s">
        <v>11986</v>
      </c>
      <c r="C768" s="39">
        <v>72098</v>
      </c>
      <c r="D768" s="41">
        <v>29.43748749586598</v>
      </c>
      <c r="E768" s="41">
        <v>56.717380701395555</v>
      </c>
      <c r="F768" s="42" t="s">
        <v>8084</v>
      </c>
      <c r="G768" s="42">
        <v>65</v>
      </c>
      <c r="H768" s="42" t="s">
        <v>0</v>
      </c>
      <c r="I768" s="42" t="s">
        <v>6233</v>
      </c>
      <c r="J768" s="42" t="s">
        <v>7280</v>
      </c>
      <c r="K768" s="42" t="s">
        <v>12450</v>
      </c>
      <c r="L768" s="42" t="s">
        <v>6209</v>
      </c>
      <c r="M768" s="42">
        <v>4</v>
      </c>
      <c r="N768" s="459">
        <v>0</v>
      </c>
    </row>
    <row r="769" spans="1:14" ht="11.1" customHeight="1">
      <c r="A769" s="400" t="s">
        <v>8083</v>
      </c>
      <c r="B769" s="458"/>
      <c r="C769" s="39">
        <v>34999</v>
      </c>
      <c r="D769" s="41">
        <v>14.290030581539202</v>
      </c>
      <c r="E769" s="41">
        <v>27.532686165609906</v>
      </c>
      <c r="F769" s="42" t="s">
        <v>8076</v>
      </c>
      <c r="G769" s="42">
        <v>44</v>
      </c>
      <c r="H769" s="42" t="s">
        <v>0</v>
      </c>
      <c r="I769" s="42" t="s">
        <v>6233</v>
      </c>
      <c r="J769" s="42" t="s">
        <v>6253</v>
      </c>
      <c r="K769" s="42" t="s">
        <v>11989</v>
      </c>
      <c r="L769" s="42" t="s">
        <v>6036</v>
      </c>
      <c r="M769" s="42">
        <v>0</v>
      </c>
      <c r="N769" s="459">
        <v>0</v>
      </c>
    </row>
    <row r="770" spans="1:14" ht="11.1" customHeight="1" thickBot="1">
      <c r="A770" s="430" t="s">
        <v>8085</v>
      </c>
      <c r="B770" s="463" t="s">
        <v>6231</v>
      </c>
      <c r="C770" s="75">
        <v>10704</v>
      </c>
      <c r="D770" s="77">
        <v>4.3704245076943806</v>
      </c>
      <c r="E770" s="464" t="s">
        <v>6262</v>
      </c>
      <c r="F770" s="78" t="s">
        <v>12451</v>
      </c>
      <c r="G770" s="78">
        <v>34</v>
      </c>
      <c r="H770" s="78" t="s">
        <v>0</v>
      </c>
      <c r="I770" s="78">
        <v>0</v>
      </c>
      <c r="J770" s="78" t="s">
        <v>6264</v>
      </c>
      <c r="K770" s="78">
        <v>0</v>
      </c>
      <c r="L770" s="78" t="s">
        <v>6036</v>
      </c>
      <c r="M770" s="78">
        <v>0</v>
      </c>
      <c r="N770" s="465">
        <v>0</v>
      </c>
    </row>
    <row r="771" spans="1:14" ht="11.1" customHeight="1">
      <c r="A771" s="941" t="s">
        <v>8087</v>
      </c>
      <c r="B771" s="439" t="s">
        <v>10050</v>
      </c>
      <c r="C771" s="440">
        <v>127294</v>
      </c>
      <c r="D771" s="441">
        <v>60.825023055347167</v>
      </c>
      <c r="E771" s="442" t="s">
        <v>6251</v>
      </c>
      <c r="F771" s="337" t="s">
        <v>8088</v>
      </c>
      <c r="G771" s="337">
        <v>51</v>
      </c>
      <c r="H771" s="337" t="s">
        <v>0</v>
      </c>
      <c r="I771" s="337" t="s">
        <v>6233</v>
      </c>
      <c r="J771" s="337" t="s">
        <v>6257</v>
      </c>
      <c r="K771" s="337" t="s">
        <v>12062</v>
      </c>
      <c r="L771" s="337" t="s">
        <v>6209</v>
      </c>
      <c r="M771" s="337">
        <v>6</v>
      </c>
      <c r="N771" s="443" t="s">
        <v>6260</v>
      </c>
    </row>
    <row r="772" spans="1:14" ht="11.1" customHeight="1">
      <c r="A772" s="400" t="s">
        <v>8089</v>
      </c>
      <c r="B772" s="458" t="s">
        <v>6230</v>
      </c>
      <c r="C772" s="39">
        <v>61357</v>
      </c>
      <c r="D772" s="41">
        <v>29.318278470367307</v>
      </c>
      <c r="E772" s="41">
        <v>48.20101497321162</v>
      </c>
      <c r="F772" s="42" t="s">
        <v>12452</v>
      </c>
      <c r="G772" s="42">
        <v>32</v>
      </c>
      <c r="H772" s="42" t="s">
        <v>0</v>
      </c>
      <c r="I772" s="42" t="s">
        <v>6233</v>
      </c>
      <c r="J772" s="42" t="s">
        <v>6253</v>
      </c>
      <c r="K772" s="42" t="s">
        <v>12000</v>
      </c>
      <c r="L772" s="42" t="s">
        <v>6036</v>
      </c>
      <c r="M772" s="42">
        <v>0</v>
      </c>
      <c r="N772" s="459">
        <v>0</v>
      </c>
    </row>
    <row r="773" spans="1:14" ht="11.1" customHeight="1">
      <c r="A773" s="400" t="s">
        <v>8091</v>
      </c>
      <c r="B773" s="458" t="s">
        <v>6231</v>
      </c>
      <c r="C773" s="39">
        <v>12068</v>
      </c>
      <c r="D773" s="41">
        <v>5.7664648626952539</v>
      </c>
      <c r="E773" s="469" t="s">
        <v>6262</v>
      </c>
      <c r="F773" s="42" t="s">
        <v>12453</v>
      </c>
      <c r="G773" s="42">
        <v>46</v>
      </c>
      <c r="H773" s="42" t="s">
        <v>0</v>
      </c>
      <c r="I773" s="42">
        <v>0</v>
      </c>
      <c r="J773" s="42" t="s">
        <v>6264</v>
      </c>
      <c r="K773" s="42">
        <v>0</v>
      </c>
      <c r="L773" s="42" t="s">
        <v>6036</v>
      </c>
      <c r="M773" s="42">
        <v>0</v>
      </c>
      <c r="N773" s="459">
        <v>0</v>
      </c>
    </row>
    <row r="774" spans="1:14" ht="11.1" customHeight="1">
      <c r="A774" s="817" t="s">
        <v>8093</v>
      </c>
      <c r="B774" s="455" t="s">
        <v>6231</v>
      </c>
      <c r="C774" s="46">
        <v>8560</v>
      </c>
      <c r="D774" s="48">
        <v>4.0902336115902695</v>
      </c>
      <c r="E774" s="48">
        <v>6.7245903184753404</v>
      </c>
      <c r="F774" s="49" t="s">
        <v>12454</v>
      </c>
      <c r="G774" s="49">
        <v>67</v>
      </c>
      <c r="H774" s="49" t="s">
        <v>0</v>
      </c>
      <c r="I774" s="49" t="s">
        <v>6233</v>
      </c>
      <c r="J774" s="49" t="s">
        <v>6278</v>
      </c>
      <c r="K774" s="49">
        <v>0</v>
      </c>
      <c r="L774" s="49" t="s">
        <v>6036</v>
      </c>
      <c r="M774" s="49">
        <v>0</v>
      </c>
      <c r="N774" s="457">
        <v>0</v>
      </c>
    </row>
    <row r="775" spans="1:14" ht="11.1" customHeight="1">
      <c r="A775" s="940" t="s">
        <v>8095</v>
      </c>
      <c r="B775" s="409" t="s">
        <v>10050</v>
      </c>
      <c r="C775" s="53">
        <v>88277</v>
      </c>
      <c r="D775" s="55">
        <v>46.878302382760431</v>
      </c>
      <c r="E775" s="410" t="s">
        <v>6251</v>
      </c>
      <c r="F775" s="56" t="s">
        <v>8096</v>
      </c>
      <c r="G775" s="56">
        <v>33</v>
      </c>
      <c r="H775" s="56" t="s">
        <v>0</v>
      </c>
      <c r="I775" s="56" t="s">
        <v>6233</v>
      </c>
      <c r="J775" s="56" t="s">
        <v>6253</v>
      </c>
      <c r="K775" s="56" t="s">
        <v>12007</v>
      </c>
      <c r="L775" s="56" t="s">
        <v>6209</v>
      </c>
      <c r="M775" s="56">
        <v>1</v>
      </c>
      <c r="N775" s="411">
        <v>0</v>
      </c>
    </row>
    <row r="776" spans="1:14" ht="11.1" customHeight="1">
      <c r="A776" s="400" t="s">
        <v>8097</v>
      </c>
      <c r="B776" s="458" t="s">
        <v>6230</v>
      </c>
      <c r="C776" s="39">
        <v>86035</v>
      </c>
      <c r="D776" s="41">
        <v>45.687718720627046</v>
      </c>
      <c r="E776" s="41">
        <v>97.460267113744237</v>
      </c>
      <c r="F776" s="42" t="s">
        <v>8098</v>
      </c>
      <c r="G776" s="42">
        <v>49</v>
      </c>
      <c r="H776" s="42" t="s">
        <v>0</v>
      </c>
      <c r="I776" s="42" t="s">
        <v>6233</v>
      </c>
      <c r="J776" s="42" t="s">
        <v>6257</v>
      </c>
      <c r="K776" s="42" t="s">
        <v>6258</v>
      </c>
      <c r="L776" s="42" t="s">
        <v>6036</v>
      </c>
      <c r="M776" s="42">
        <v>0</v>
      </c>
      <c r="N776" s="459" t="s">
        <v>6260</v>
      </c>
    </row>
    <row r="777" spans="1:14" ht="11.1" customHeight="1">
      <c r="A777" s="817" t="s">
        <v>8101</v>
      </c>
      <c r="B777" s="455" t="s">
        <v>6231</v>
      </c>
      <c r="C777" s="46">
        <v>13999</v>
      </c>
      <c r="D777" s="48">
        <v>7.4339788966125191</v>
      </c>
      <c r="E777" s="456" t="s">
        <v>6262</v>
      </c>
      <c r="F777" s="49" t="s">
        <v>12455</v>
      </c>
      <c r="G777" s="49">
        <v>48</v>
      </c>
      <c r="H777" s="49" t="s">
        <v>6049</v>
      </c>
      <c r="I777" s="49">
        <v>0</v>
      </c>
      <c r="J777" s="49" t="s">
        <v>6264</v>
      </c>
      <c r="K777" s="49">
        <v>0</v>
      </c>
      <c r="L777" s="49" t="s">
        <v>6036</v>
      </c>
      <c r="M777" s="49">
        <v>0</v>
      </c>
      <c r="N777" s="457">
        <v>0</v>
      </c>
    </row>
    <row r="778" spans="1:14" ht="11.1" customHeight="1">
      <c r="A778" s="940" t="s">
        <v>8105</v>
      </c>
      <c r="B778" s="444" t="s">
        <v>10050</v>
      </c>
      <c r="C778" s="445">
        <v>99931</v>
      </c>
      <c r="D778" s="446">
        <v>48.972340926020308</v>
      </c>
      <c r="E778" s="447" t="s">
        <v>6262</v>
      </c>
      <c r="F778" s="448" t="s">
        <v>8106</v>
      </c>
      <c r="G778" s="448">
        <v>66</v>
      </c>
      <c r="H778" s="448" t="s">
        <v>0</v>
      </c>
      <c r="I778" s="448">
        <v>0</v>
      </c>
      <c r="J778" s="448" t="s">
        <v>12017</v>
      </c>
      <c r="K778" s="448" t="s">
        <v>12018</v>
      </c>
      <c r="L778" s="448" t="s">
        <v>6209</v>
      </c>
      <c r="M778" s="448">
        <v>8</v>
      </c>
      <c r="N778" s="449">
        <v>0</v>
      </c>
    </row>
    <row r="779" spans="1:14" ht="11.1" customHeight="1">
      <c r="A779" s="400" t="s">
        <v>8109</v>
      </c>
      <c r="B779" s="458" t="s">
        <v>11986</v>
      </c>
      <c r="C779" s="39">
        <v>59303</v>
      </c>
      <c r="D779" s="41">
        <v>29.062120202297407</v>
      </c>
      <c r="E779" s="41">
        <v>59.343947323653317</v>
      </c>
      <c r="F779" s="42" t="s">
        <v>8110</v>
      </c>
      <c r="G779" s="42">
        <v>46</v>
      </c>
      <c r="H779" s="42" t="s">
        <v>6049</v>
      </c>
      <c r="I779" s="42" t="s">
        <v>6233</v>
      </c>
      <c r="J779" s="42" t="s">
        <v>6257</v>
      </c>
      <c r="K779" s="42" t="s">
        <v>6258</v>
      </c>
      <c r="L779" s="42" t="s">
        <v>6036</v>
      </c>
      <c r="M779" s="42">
        <v>0</v>
      </c>
      <c r="N779" s="459" t="s">
        <v>6260</v>
      </c>
    </row>
    <row r="780" spans="1:14" ht="11.1" customHeight="1">
      <c r="A780" s="400" t="s">
        <v>8107</v>
      </c>
      <c r="B780" s="458" t="s">
        <v>6230</v>
      </c>
      <c r="C780" s="39">
        <v>36356</v>
      </c>
      <c r="D780" s="41">
        <v>17.816677774728507</v>
      </c>
      <c r="E780" s="41">
        <v>36.381102961043119</v>
      </c>
      <c r="F780" s="42" t="s">
        <v>12456</v>
      </c>
      <c r="G780" s="42">
        <v>50</v>
      </c>
      <c r="H780" s="42" t="s">
        <v>0</v>
      </c>
      <c r="I780" s="42" t="s">
        <v>6233</v>
      </c>
      <c r="J780" s="42" t="s">
        <v>6253</v>
      </c>
      <c r="K780" s="42" t="s">
        <v>12007</v>
      </c>
      <c r="L780" s="42" t="s">
        <v>6036</v>
      </c>
      <c r="M780" s="42">
        <v>0</v>
      </c>
      <c r="N780" s="459">
        <v>0</v>
      </c>
    </row>
    <row r="781" spans="1:14" ht="11.1" customHeight="1">
      <c r="A781" s="817" t="s">
        <v>8111</v>
      </c>
      <c r="B781" s="455" t="s">
        <v>6231</v>
      </c>
      <c r="C781" s="46">
        <v>8466</v>
      </c>
      <c r="D781" s="48">
        <v>4.1488610969537776</v>
      </c>
      <c r="E781" s="456" t="s">
        <v>6262</v>
      </c>
      <c r="F781" s="49" t="s">
        <v>12457</v>
      </c>
      <c r="G781" s="49">
        <v>64</v>
      </c>
      <c r="H781" s="49" t="s">
        <v>0</v>
      </c>
      <c r="I781" s="49">
        <v>0</v>
      </c>
      <c r="J781" s="49" t="s">
        <v>6264</v>
      </c>
      <c r="K781" s="49">
        <v>0</v>
      </c>
      <c r="L781" s="49" t="s">
        <v>6036</v>
      </c>
      <c r="M781" s="49">
        <v>0</v>
      </c>
      <c r="N781" s="457">
        <v>0</v>
      </c>
    </row>
    <row r="782" spans="1:14" ht="11.1" customHeight="1">
      <c r="A782" s="940" t="s">
        <v>8113</v>
      </c>
      <c r="B782" s="409" t="s">
        <v>10050</v>
      </c>
      <c r="C782" s="53">
        <v>102370</v>
      </c>
      <c r="D782" s="55">
        <v>47.433046056899265</v>
      </c>
      <c r="E782" s="410" t="s">
        <v>6251</v>
      </c>
      <c r="F782" s="56" t="s">
        <v>8114</v>
      </c>
      <c r="G782" s="56">
        <v>33</v>
      </c>
      <c r="H782" s="56" t="s">
        <v>0</v>
      </c>
      <c r="I782" s="56" t="s">
        <v>6233</v>
      </c>
      <c r="J782" s="56" t="s">
        <v>6253</v>
      </c>
      <c r="K782" s="56" t="s">
        <v>12007</v>
      </c>
      <c r="L782" s="56" t="s">
        <v>6036</v>
      </c>
      <c r="M782" s="56">
        <v>0</v>
      </c>
      <c r="N782" s="411">
        <v>0</v>
      </c>
    </row>
    <row r="783" spans="1:14" ht="11.1" customHeight="1">
      <c r="A783" s="400" t="s">
        <v>8115</v>
      </c>
      <c r="B783" s="458" t="s">
        <v>11986</v>
      </c>
      <c r="C783" s="39">
        <v>96356</v>
      </c>
      <c r="D783" s="41">
        <v>44.646464646464644</v>
      </c>
      <c r="E783" s="41">
        <v>94.125232001562964</v>
      </c>
      <c r="F783" s="42" t="s">
        <v>12458</v>
      </c>
      <c r="G783" s="42">
        <v>31</v>
      </c>
      <c r="H783" s="42" t="s">
        <v>0</v>
      </c>
      <c r="I783" s="42" t="s">
        <v>6233</v>
      </c>
      <c r="J783" s="42" t="s">
        <v>6257</v>
      </c>
      <c r="K783" s="42" t="s">
        <v>11995</v>
      </c>
      <c r="L783" s="42" t="s">
        <v>6036</v>
      </c>
      <c r="M783" s="42">
        <v>0</v>
      </c>
      <c r="N783" s="459" t="s">
        <v>6260</v>
      </c>
    </row>
    <row r="784" spans="1:14" ht="11.1" customHeight="1">
      <c r="A784" s="817" t="s">
        <v>8117</v>
      </c>
      <c r="B784" s="455" t="s">
        <v>6231</v>
      </c>
      <c r="C784" s="46">
        <v>17094</v>
      </c>
      <c r="D784" s="48">
        <v>7.9204892966360854</v>
      </c>
      <c r="E784" s="456" t="s">
        <v>6262</v>
      </c>
      <c r="F784" s="49" t="s">
        <v>12459</v>
      </c>
      <c r="G784" s="49">
        <v>29</v>
      </c>
      <c r="H784" s="49" t="s">
        <v>0</v>
      </c>
      <c r="I784" s="49">
        <v>0</v>
      </c>
      <c r="J784" s="49" t="s">
        <v>6264</v>
      </c>
      <c r="K784" s="49">
        <v>0</v>
      </c>
      <c r="L784" s="49" t="s">
        <v>6036</v>
      </c>
      <c r="M784" s="49">
        <v>0</v>
      </c>
      <c r="N784" s="457">
        <v>0</v>
      </c>
    </row>
    <row r="785" spans="1:14" ht="11.1" customHeight="1">
      <c r="A785" s="940" t="s">
        <v>8119</v>
      </c>
      <c r="B785" s="412" t="s">
        <v>10050</v>
      </c>
      <c r="C785" s="413">
        <v>114981</v>
      </c>
      <c r="D785" s="414">
        <v>59.55497314403808</v>
      </c>
      <c r="E785" s="415" t="s">
        <v>6251</v>
      </c>
      <c r="F785" s="416" t="s">
        <v>9697</v>
      </c>
      <c r="G785" s="416">
        <v>61</v>
      </c>
      <c r="H785" s="416" t="s">
        <v>0</v>
      </c>
      <c r="I785" s="416" t="s">
        <v>6233</v>
      </c>
      <c r="J785" s="416" t="s">
        <v>6257</v>
      </c>
      <c r="K785" s="416" t="s">
        <v>12009</v>
      </c>
      <c r="L785" s="416" t="s">
        <v>6209</v>
      </c>
      <c r="M785" s="416">
        <v>5</v>
      </c>
      <c r="N785" s="417" t="s">
        <v>6260</v>
      </c>
    </row>
    <row r="786" spans="1:14" ht="11.1" customHeight="1">
      <c r="A786" s="400" t="s">
        <v>8121</v>
      </c>
      <c r="B786" s="458" t="s">
        <v>6230</v>
      </c>
      <c r="C786" s="39">
        <v>67569</v>
      </c>
      <c r="D786" s="41">
        <v>34.997695100664536</v>
      </c>
      <c r="E786" s="41">
        <v>58.765361233595115</v>
      </c>
      <c r="F786" s="42" t="s">
        <v>8122</v>
      </c>
      <c r="G786" s="42">
        <v>39</v>
      </c>
      <c r="H786" s="42" t="s">
        <v>0</v>
      </c>
      <c r="I786" s="42" t="s">
        <v>6233</v>
      </c>
      <c r="J786" s="42" t="s">
        <v>6253</v>
      </c>
      <c r="K786" s="42" t="s">
        <v>12007</v>
      </c>
      <c r="L786" s="42" t="s">
        <v>6036</v>
      </c>
      <c r="M786" s="42">
        <v>0</v>
      </c>
      <c r="N786" s="459">
        <v>0</v>
      </c>
    </row>
    <row r="787" spans="1:14" ht="11.1" customHeight="1" thickBot="1">
      <c r="A787" s="430" t="s">
        <v>8123</v>
      </c>
      <c r="B787" s="463" t="s">
        <v>6231</v>
      </c>
      <c r="C787" s="75">
        <v>10517</v>
      </c>
      <c r="D787" s="77">
        <v>5.4473317552973839</v>
      </c>
      <c r="E787" s="464" t="s">
        <v>6262</v>
      </c>
      <c r="F787" s="78" t="s">
        <v>12460</v>
      </c>
      <c r="G787" s="78">
        <v>57</v>
      </c>
      <c r="H787" s="78" t="s">
        <v>0</v>
      </c>
      <c r="I787" s="78">
        <v>0</v>
      </c>
      <c r="J787" s="78" t="s">
        <v>6264</v>
      </c>
      <c r="K787" s="78">
        <v>0</v>
      </c>
      <c r="L787" s="78" t="s">
        <v>6036</v>
      </c>
      <c r="M787" s="78">
        <v>0</v>
      </c>
      <c r="N787" s="465">
        <v>0</v>
      </c>
    </row>
    <row r="788" spans="1:14" ht="11.1" customHeight="1">
      <c r="A788" s="941" t="s">
        <v>8125</v>
      </c>
      <c r="B788" s="439" t="s">
        <v>10050</v>
      </c>
      <c r="C788" s="440">
        <v>107239</v>
      </c>
      <c r="D788" s="441">
        <v>57.287014679800848</v>
      </c>
      <c r="E788" s="442" t="s">
        <v>6251</v>
      </c>
      <c r="F788" s="337" t="s">
        <v>8126</v>
      </c>
      <c r="G788" s="337">
        <v>48</v>
      </c>
      <c r="H788" s="337" t="s">
        <v>0</v>
      </c>
      <c r="I788" s="337" t="s">
        <v>6233</v>
      </c>
      <c r="J788" s="337" t="s">
        <v>6257</v>
      </c>
      <c r="K788" s="337" t="s">
        <v>12009</v>
      </c>
      <c r="L788" s="337" t="s">
        <v>6209</v>
      </c>
      <c r="M788" s="337">
        <v>4</v>
      </c>
      <c r="N788" s="443" t="s">
        <v>6260</v>
      </c>
    </row>
    <row r="789" spans="1:14" ht="11.1" customHeight="1">
      <c r="A789" s="400" t="s">
        <v>8127</v>
      </c>
      <c r="B789" s="458" t="s">
        <v>6230</v>
      </c>
      <c r="C789" s="39">
        <v>58946</v>
      </c>
      <c r="D789" s="41">
        <v>31.488920703433834</v>
      </c>
      <c r="E789" s="41">
        <v>54.966942996484491</v>
      </c>
      <c r="F789" s="42" t="s">
        <v>12461</v>
      </c>
      <c r="G789" s="42">
        <v>36</v>
      </c>
      <c r="H789" s="42" t="s">
        <v>0</v>
      </c>
      <c r="I789" s="42" t="s">
        <v>6233</v>
      </c>
      <c r="J789" s="42" t="s">
        <v>6253</v>
      </c>
      <c r="K789" s="42" t="s">
        <v>11994</v>
      </c>
      <c r="L789" s="42" t="s">
        <v>6036</v>
      </c>
      <c r="M789" s="42">
        <v>0</v>
      </c>
      <c r="N789" s="459">
        <v>0</v>
      </c>
    </row>
    <row r="790" spans="1:14" ht="11.1" customHeight="1">
      <c r="A790" s="400" t="s">
        <v>8129</v>
      </c>
      <c r="B790" s="458" t="s">
        <v>6231</v>
      </c>
      <c r="C790" s="39">
        <v>10698</v>
      </c>
      <c r="D790" s="41">
        <v>5.7148657022585949</v>
      </c>
      <c r="E790" s="469" t="s">
        <v>6262</v>
      </c>
      <c r="F790" s="42" t="s">
        <v>12462</v>
      </c>
      <c r="G790" s="42">
        <v>28</v>
      </c>
      <c r="H790" s="42" t="s">
        <v>0</v>
      </c>
      <c r="I790" s="42">
        <v>0</v>
      </c>
      <c r="J790" s="42" t="s">
        <v>6264</v>
      </c>
      <c r="K790" s="42">
        <v>0</v>
      </c>
      <c r="L790" s="42" t="s">
        <v>6036</v>
      </c>
      <c r="M790" s="42">
        <v>0</v>
      </c>
      <c r="N790" s="459">
        <v>0</v>
      </c>
    </row>
    <row r="791" spans="1:14" ht="11.1" customHeight="1">
      <c r="A791" s="817" t="s">
        <v>8131</v>
      </c>
      <c r="B791" s="455" t="s">
        <v>6231</v>
      </c>
      <c r="C791" s="46">
        <v>10313</v>
      </c>
      <c r="D791" s="48">
        <v>5.5091989145067206</v>
      </c>
      <c r="E791" s="456" t="s">
        <v>6262</v>
      </c>
      <c r="F791" s="49" t="s">
        <v>8132</v>
      </c>
      <c r="G791" s="49">
        <v>45</v>
      </c>
      <c r="H791" s="49" t="s">
        <v>0</v>
      </c>
      <c r="I791" s="49">
        <v>0</v>
      </c>
      <c r="J791" s="49" t="s">
        <v>6278</v>
      </c>
      <c r="K791" s="49">
        <v>0</v>
      </c>
      <c r="L791" s="49" t="s">
        <v>6036</v>
      </c>
      <c r="M791" s="49">
        <v>0</v>
      </c>
      <c r="N791" s="457">
        <v>0</v>
      </c>
    </row>
    <row r="792" spans="1:14" ht="11.1" customHeight="1">
      <c r="A792" s="940" t="s">
        <v>8139</v>
      </c>
      <c r="B792" s="412" t="s">
        <v>10050</v>
      </c>
      <c r="C792" s="413">
        <v>129462</v>
      </c>
      <c r="D792" s="414">
        <v>50.780563574745827</v>
      </c>
      <c r="E792" s="415" t="s">
        <v>6251</v>
      </c>
      <c r="F792" s="416" t="s">
        <v>12463</v>
      </c>
      <c r="G792" s="416">
        <v>57</v>
      </c>
      <c r="H792" s="416" t="s">
        <v>0</v>
      </c>
      <c r="I792" s="416" t="s">
        <v>6233</v>
      </c>
      <c r="J792" s="416" t="s">
        <v>6257</v>
      </c>
      <c r="K792" s="416" t="s">
        <v>6258</v>
      </c>
      <c r="L792" s="416" t="s">
        <v>6036</v>
      </c>
      <c r="M792" s="416">
        <v>0</v>
      </c>
      <c r="N792" s="417" t="s">
        <v>6260</v>
      </c>
    </row>
    <row r="793" spans="1:14" ht="11.1" customHeight="1">
      <c r="A793" s="400" t="s">
        <v>8137</v>
      </c>
      <c r="B793" s="458" t="s">
        <v>11986</v>
      </c>
      <c r="C793" s="39">
        <v>112435</v>
      </c>
      <c r="D793" s="41">
        <v>44.101841973139202</v>
      </c>
      <c r="E793" s="41">
        <v>86.847878141848568</v>
      </c>
      <c r="F793" s="42" t="s">
        <v>8138</v>
      </c>
      <c r="G793" s="42">
        <v>34</v>
      </c>
      <c r="H793" s="42" t="s">
        <v>0</v>
      </c>
      <c r="I793" s="42" t="s">
        <v>6233</v>
      </c>
      <c r="J793" s="42" t="s">
        <v>6253</v>
      </c>
      <c r="K793" s="42" t="s">
        <v>12007</v>
      </c>
      <c r="L793" s="42" t="s">
        <v>6209</v>
      </c>
      <c r="M793" s="42">
        <v>1</v>
      </c>
      <c r="N793" s="459">
        <v>0</v>
      </c>
    </row>
    <row r="794" spans="1:14" ht="11.1" customHeight="1">
      <c r="A794" s="817" t="s">
        <v>8141</v>
      </c>
      <c r="B794" s="455" t="s">
        <v>6231</v>
      </c>
      <c r="C794" s="46">
        <v>13047</v>
      </c>
      <c r="D794" s="48">
        <v>5.1175944521149743</v>
      </c>
      <c r="E794" s="456" t="s">
        <v>6262</v>
      </c>
      <c r="F794" s="49" t="s">
        <v>12464</v>
      </c>
      <c r="G794" s="49">
        <v>53</v>
      </c>
      <c r="H794" s="49" t="s">
        <v>0</v>
      </c>
      <c r="I794" s="49">
        <v>0</v>
      </c>
      <c r="J794" s="49" t="s">
        <v>6264</v>
      </c>
      <c r="K794" s="49">
        <v>0</v>
      </c>
      <c r="L794" s="49" t="s">
        <v>6036</v>
      </c>
      <c r="M794" s="49">
        <v>0</v>
      </c>
      <c r="N794" s="457">
        <v>0</v>
      </c>
    </row>
    <row r="795" spans="1:14" ht="11.1" customHeight="1">
      <c r="A795" s="940" t="s">
        <v>8145</v>
      </c>
      <c r="B795" s="412" t="s">
        <v>10050</v>
      </c>
      <c r="C795" s="413">
        <v>94017</v>
      </c>
      <c r="D795" s="414">
        <v>42.090253838921967</v>
      </c>
      <c r="E795" s="415" t="s">
        <v>6251</v>
      </c>
      <c r="F795" s="416" t="s">
        <v>9699</v>
      </c>
      <c r="G795" s="416">
        <v>42</v>
      </c>
      <c r="H795" s="416" t="s">
        <v>0</v>
      </c>
      <c r="I795" s="416" t="s">
        <v>6233</v>
      </c>
      <c r="J795" s="416" t="s">
        <v>6257</v>
      </c>
      <c r="K795" s="416" t="s">
        <v>11995</v>
      </c>
      <c r="L795" s="416" t="s">
        <v>6209</v>
      </c>
      <c r="M795" s="416">
        <v>2</v>
      </c>
      <c r="N795" s="417" t="s">
        <v>6260</v>
      </c>
    </row>
    <row r="796" spans="1:14" ht="11.1" customHeight="1">
      <c r="A796" s="400" t="s">
        <v>8143</v>
      </c>
      <c r="B796" s="458" t="s">
        <v>6230</v>
      </c>
      <c r="C796" s="39">
        <v>59576</v>
      </c>
      <c r="D796" s="41">
        <v>26.671442002059365</v>
      </c>
      <c r="E796" s="41">
        <v>63.367263367263369</v>
      </c>
      <c r="F796" s="42" t="s">
        <v>8144</v>
      </c>
      <c r="G796" s="42">
        <v>35</v>
      </c>
      <c r="H796" s="42" t="s">
        <v>0</v>
      </c>
      <c r="I796" s="42" t="s">
        <v>6233</v>
      </c>
      <c r="J796" s="42" t="s">
        <v>6253</v>
      </c>
      <c r="K796" s="42" t="s">
        <v>12007</v>
      </c>
      <c r="L796" s="42" t="s">
        <v>6036</v>
      </c>
      <c r="M796" s="42">
        <v>0</v>
      </c>
      <c r="N796" s="459">
        <v>0</v>
      </c>
    </row>
    <row r="797" spans="1:14" ht="11.1" customHeight="1">
      <c r="A797" s="400" t="s">
        <v>12465</v>
      </c>
      <c r="B797" s="458"/>
      <c r="C797" s="39">
        <v>31792</v>
      </c>
      <c r="D797" s="41">
        <v>14.232887137932579</v>
      </c>
      <c r="E797" s="469" t="s">
        <v>6262</v>
      </c>
      <c r="F797" s="42" t="s">
        <v>12466</v>
      </c>
      <c r="G797" s="42">
        <v>57</v>
      </c>
      <c r="H797" s="42" t="s">
        <v>0</v>
      </c>
      <c r="I797" s="42">
        <v>0</v>
      </c>
      <c r="J797" s="42" t="s">
        <v>12017</v>
      </c>
      <c r="K797" s="42" t="s">
        <v>6323</v>
      </c>
      <c r="L797" s="42" t="s">
        <v>6036</v>
      </c>
      <c r="M797" s="42">
        <v>0</v>
      </c>
      <c r="N797" s="459">
        <v>0</v>
      </c>
    </row>
    <row r="798" spans="1:14" ht="11.1" customHeight="1">
      <c r="A798" s="400" t="s">
        <v>12467</v>
      </c>
      <c r="B798" s="458"/>
      <c r="C798" s="39">
        <v>26269</v>
      </c>
      <c r="D798" s="41">
        <v>11.76030800913283</v>
      </c>
      <c r="E798" s="41">
        <v>27.940691577055212</v>
      </c>
      <c r="F798" s="42" t="s">
        <v>12468</v>
      </c>
      <c r="G798" s="42">
        <v>57</v>
      </c>
      <c r="H798" s="42" t="s">
        <v>0</v>
      </c>
      <c r="I798" s="42" t="s">
        <v>6233</v>
      </c>
      <c r="J798" s="42" t="s">
        <v>6278</v>
      </c>
      <c r="K798" s="42">
        <v>0</v>
      </c>
      <c r="L798" s="42" t="s">
        <v>6283</v>
      </c>
      <c r="M798" s="42">
        <v>1</v>
      </c>
      <c r="N798" s="459">
        <v>0</v>
      </c>
    </row>
    <row r="799" spans="1:14" ht="11.1" customHeight="1">
      <c r="A799" s="400" t="s">
        <v>8147</v>
      </c>
      <c r="B799" s="458" t="s">
        <v>6231</v>
      </c>
      <c r="C799" s="39">
        <v>9892</v>
      </c>
      <c r="D799" s="41">
        <v>4.428526659802122</v>
      </c>
      <c r="E799" s="469" t="s">
        <v>6262</v>
      </c>
      <c r="F799" s="42" t="s">
        <v>12469</v>
      </c>
      <c r="G799" s="42">
        <v>39</v>
      </c>
      <c r="H799" s="42" t="s">
        <v>0</v>
      </c>
      <c r="I799" s="42">
        <v>0</v>
      </c>
      <c r="J799" s="42" t="s">
        <v>6264</v>
      </c>
      <c r="K799" s="42">
        <v>0</v>
      </c>
      <c r="L799" s="42" t="s">
        <v>6036</v>
      </c>
      <c r="M799" s="42">
        <v>0</v>
      </c>
      <c r="N799" s="459">
        <v>0</v>
      </c>
    </row>
    <row r="800" spans="1:14" ht="11.1" customHeight="1">
      <c r="A800" s="817" t="s">
        <v>12470</v>
      </c>
      <c r="B800" s="455" t="s">
        <v>6231</v>
      </c>
      <c r="C800" s="46">
        <v>1824</v>
      </c>
      <c r="D800" s="48">
        <v>0.81658235215113939</v>
      </c>
      <c r="E800" s="456" t="s">
        <v>6262</v>
      </c>
      <c r="F800" s="49" t="s">
        <v>12471</v>
      </c>
      <c r="G800" s="49">
        <v>62</v>
      </c>
      <c r="H800" s="49" t="s">
        <v>6049</v>
      </c>
      <c r="I800" s="49">
        <v>0</v>
      </c>
      <c r="J800" s="49" t="s">
        <v>12017</v>
      </c>
      <c r="K800" s="49">
        <v>0</v>
      </c>
      <c r="L800" s="49" t="s">
        <v>6036</v>
      </c>
      <c r="M800" s="49">
        <v>0</v>
      </c>
      <c r="N800" s="457">
        <v>0</v>
      </c>
    </row>
    <row r="801" spans="1:14" ht="11.1" customHeight="1">
      <c r="A801" s="940" t="s">
        <v>8151</v>
      </c>
      <c r="B801" s="412" t="s">
        <v>10050</v>
      </c>
      <c r="C801" s="413">
        <v>110046</v>
      </c>
      <c r="D801" s="414">
        <v>58.461407693492781</v>
      </c>
      <c r="E801" s="415" t="s">
        <v>6251</v>
      </c>
      <c r="F801" s="416" t="s">
        <v>8152</v>
      </c>
      <c r="G801" s="416">
        <v>61</v>
      </c>
      <c r="H801" s="416" t="s">
        <v>0</v>
      </c>
      <c r="I801" s="416" t="s">
        <v>6233</v>
      </c>
      <c r="J801" s="416" t="s">
        <v>6257</v>
      </c>
      <c r="K801" s="416" t="s">
        <v>6258</v>
      </c>
      <c r="L801" s="416" t="s">
        <v>6209</v>
      </c>
      <c r="M801" s="416">
        <v>8</v>
      </c>
      <c r="N801" s="417" t="s">
        <v>6260</v>
      </c>
    </row>
    <row r="802" spans="1:14" ht="11.1" customHeight="1">
      <c r="A802" s="400" t="s">
        <v>8149</v>
      </c>
      <c r="B802" s="458" t="s">
        <v>6230</v>
      </c>
      <c r="C802" s="39">
        <v>67921</v>
      </c>
      <c r="D802" s="41">
        <v>36.082704250492732</v>
      </c>
      <c r="E802" s="41">
        <v>61.72055322319757</v>
      </c>
      <c r="F802" s="42" t="s">
        <v>8150</v>
      </c>
      <c r="G802" s="42">
        <v>41</v>
      </c>
      <c r="H802" s="42" t="s">
        <v>0</v>
      </c>
      <c r="I802" s="42" t="s">
        <v>6233</v>
      </c>
      <c r="J802" s="42" t="s">
        <v>6253</v>
      </c>
      <c r="K802" s="42" t="s">
        <v>12020</v>
      </c>
      <c r="L802" s="42" t="s">
        <v>6036</v>
      </c>
      <c r="M802" s="42">
        <v>0</v>
      </c>
      <c r="N802" s="459">
        <v>0</v>
      </c>
    </row>
    <row r="803" spans="1:14" ht="11.1" customHeight="1">
      <c r="A803" s="817" t="s">
        <v>8153</v>
      </c>
      <c r="B803" s="455" t="s">
        <v>6231</v>
      </c>
      <c r="C803" s="46">
        <v>10270</v>
      </c>
      <c r="D803" s="48">
        <v>5.4558880560144924</v>
      </c>
      <c r="E803" s="456" t="s">
        <v>6262</v>
      </c>
      <c r="F803" s="49" t="s">
        <v>12472</v>
      </c>
      <c r="G803" s="49">
        <v>42</v>
      </c>
      <c r="H803" s="49" t="s">
        <v>0</v>
      </c>
      <c r="I803" s="49">
        <v>0</v>
      </c>
      <c r="J803" s="49" t="s">
        <v>6264</v>
      </c>
      <c r="K803" s="49">
        <v>0</v>
      </c>
      <c r="L803" s="49" t="s">
        <v>6036</v>
      </c>
      <c r="M803" s="49">
        <v>0</v>
      </c>
      <c r="N803" s="457">
        <v>0</v>
      </c>
    </row>
    <row r="804" spans="1:14" ht="11.1" customHeight="1">
      <c r="A804" s="940" t="s">
        <v>8157</v>
      </c>
      <c r="B804" s="412" t="s">
        <v>10050</v>
      </c>
      <c r="C804" s="413">
        <v>97383</v>
      </c>
      <c r="D804" s="414">
        <v>49.61710713357688</v>
      </c>
      <c r="E804" s="415" t="s">
        <v>6251</v>
      </c>
      <c r="F804" s="416" t="s">
        <v>12473</v>
      </c>
      <c r="G804" s="416">
        <v>47</v>
      </c>
      <c r="H804" s="416" t="s">
        <v>0</v>
      </c>
      <c r="I804" s="416" t="s">
        <v>6233</v>
      </c>
      <c r="J804" s="416" t="s">
        <v>6257</v>
      </c>
      <c r="K804" s="416" t="s">
        <v>12009</v>
      </c>
      <c r="L804" s="416" t="s">
        <v>6209</v>
      </c>
      <c r="M804" s="416">
        <v>1</v>
      </c>
      <c r="N804" s="417" t="s">
        <v>6260</v>
      </c>
    </row>
    <row r="805" spans="1:14" ht="11.1" customHeight="1">
      <c r="A805" s="400" t="s">
        <v>8155</v>
      </c>
      <c r="B805" s="458" t="s">
        <v>11986</v>
      </c>
      <c r="C805" s="39">
        <v>91121</v>
      </c>
      <c r="D805" s="41">
        <v>46.426587999123655</v>
      </c>
      <c r="E805" s="41">
        <v>93.569719560908993</v>
      </c>
      <c r="F805" s="42" t="s">
        <v>8156</v>
      </c>
      <c r="G805" s="42">
        <v>46</v>
      </c>
      <c r="H805" s="42" t="s">
        <v>0</v>
      </c>
      <c r="I805" s="42" t="s">
        <v>6233</v>
      </c>
      <c r="J805" s="42" t="s">
        <v>6253</v>
      </c>
      <c r="K805" s="42" t="s">
        <v>12007</v>
      </c>
      <c r="L805" s="42" t="s">
        <v>6036</v>
      </c>
      <c r="M805" s="42">
        <v>0</v>
      </c>
      <c r="N805" s="459">
        <v>0</v>
      </c>
    </row>
    <row r="806" spans="1:14" ht="11.1" customHeight="1">
      <c r="A806" s="817" t="s">
        <v>8159</v>
      </c>
      <c r="B806" s="455" t="s">
        <v>6231</v>
      </c>
      <c r="C806" s="46">
        <v>7765</v>
      </c>
      <c r="D806" s="48">
        <v>3.9563048672994716</v>
      </c>
      <c r="E806" s="456" t="s">
        <v>6262</v>
      </c>
      <c r="F806" s="49" t="s">
        <v>12474</v>
      </c>
      <c r="G806" s="49">
        <v>58</v>
      </c>
      <c r="H806" s="49" t="s">
        <v>0</v>
      </c>
      <c r="I806" s="49">
        <v>0</v>
      </c>
      <c r="J806" s="49" t="s">
        <v>6264</v>
      </c>
      <c r="K806" s="49">
        <v>0</v>
      </c>
      <c r="L806" s="49" t="s">
        <v>6036</v>
      </c>
      <c r="M806" s="49">
        <v>0</v>
      </c>
      <c r="N806" s="457">
        <v>0</v>
      </c>
    </row>
    <row r="807" spans="1:14" ht="11.1" customHeight="1">
      <c r="A807" s="940" t="s">
        <v>8165</v>
      </c>
      <c r="B807" s="466" t="s">
        <v>10050</v>
      </c>
      <c r="C807" s="135">
        <v>110979</v>
      </c>
      <c r="D807" s="137">
        <v>41.532502526103066</v>
      </c>
      <c r="E807" s="467" t="s">
        <v>6262</v>
      </c>
      <c r="F807" s="138" t="s">
        <v>8162</v>
      </c>
      <c r="G807" s="138">
        <v>68</v>
      </c>
      <c r="H807" s="138" t="s">
        <v>0</v>
      </c>
      <c r="I807" s="138">
        <v>0</v>
      </c>
      <c r="J807" s="138" t="s">
        <v>7280</v>
      </c>
      <c r="K807" s="138" t="s">
        <v>12018</v>
      </c>
      <c r="L807" s="138" t="s">
        <v>6209</v>
      </c>
      <c r="M807" s="138">
        <v>9</v>
      </c>
      <c r="N807" s="468">
        <v>0</v>
      </c>
    </row>
    <row r="808" spans="1:14" ht="11.1" customHeight="1">
      <c r="A808" s="400" t="s">
        <v>8161</v>
      </c>
      <c r="B808" s="458" t="s">
        <v>6230</v>
      </c>
      <c r="C808" s="39">
        <v>84433</v>
      </c>
      <c r="D808" s="41">
        <v>31.597994087047642</v>
      </c>
      <c r="E808" s="469" t="s">
        <v>6262</v>
      </c>
      <c r="F808" s="42" t="s">
        <v>12475</v>
      </c>
      <c r="G808" s="42">
        <v>32</v>
      </c>
      <c r="H808" s="42" t="s">
        <v>0</v>
      </c>
      <c r="I808" s="42">
        <v>0</v>
      </c>
      <c r="J808" s="42" t="s">
        <v>12017</v>
      </c>
      <c r="K808" s="42" t="s">
        <v>6323</v>
      </c>
      <c r="L808" s="42" t="s">
        <v>6036</v>
      </c>
      <c r="M808" s="42">
        <v>0</v>
      </c>
      <c r="N808" s="459">
        <v>0</v>
      </c>
    </row>
    <row r="809" spans="1:14" ht="11.1" customHeight="1">
      <c r="A809" s="400" t="s">
        <v>8163</v>
      </c>
      <c r="B809" s="458" t="s">
        <v>6230</v>
      </c>
      <c r="C809" s="39">
        <v>68365</v>
      </c>
      <c r="D809" s="41">
        <v>25.584746079862281</v>
      </c>
      <c r="E809" s="41">
        <v>61.601744474179803</v>
      </c>
      <c r="F809" s="42" t="s">
        <v>12476</v>
      </c>
      <c r="G809" s="42">
        <v>46</v>
      </c>
      <c r="H809" s="42" t="s">
        <v>0</v>
      </c>
      <c r="I809" s="42" t="s">
        <v>6233</v>
      </c>
      <c r="J809" s="42" t="s">
        <v>6253</v>
      </c>
      <c r="K809" s="42" t="s">
        <v>12020</v>
      </c>
      <c r="L809" s="42" t="s">
        <v>6209</v>
      </c>
      <c r="M809" s="42">
        <v>2</v>
      </c>
      <c r="N809" s="459">
        <v>0</v>
      </c>
    </row>
    <row r="810" spans="1:14" ht="11.1" customHeight="1">
      <c r="A810" s="817" t="s">
        <v>8167</v>
      </c>
      <c r="B810" s="455" t="s">
        <v>6231</v>
      </c>
      <c r="C810" s="46">
        <v>3433</v>
      </c>
      <c r="D810" s="48">
        <v>1.284757306987014</v>
      </c>
      <c r="E810" s="456" t="s">
        <v>6262</v>
      </c>
      <c r="F810" s="49" t="s">
        <v>12477</v>
      </c>
      <c r="G810" s="49">
        <v>27</v>
      </c>
      <c r="H810" s="49" t="s">
        <v>0</v>
      </c>
      <c r="I810" s="49">
        <v>0</v>
      </c>
      <c r="J810" s="49" t="s">
        <v>12017</v>
      </c>
      <c r="K810" s="49">
        <v>0</v>
      </c>
      <c r="L810" s="49" t="s">
        <v>6036</v>
      </c>
      <c r="M810" s="49">
        <v>0</v>
      </c>
      <c r="N810" s="457">
        <v>0</v>
      </c>
    </row>
    <row r="811" spans="1:14" ht="11.1" customHeight="1">
      <c r="A811" s="940" t="s">
        <v>8171</v>
      </c>
      <c r="B811" s="412" t="s">
        <v>10050</v>
      </c>
      <c r="C811" s="413">
        <v>122465</v>
      </c>
      <c r="D811" s="414">
        <v>50.832648453000608</v>
      </c>
      <c r="E811" s="415" t="s">
        <v>6251</v>
      </c>
      <c r="F811" s="416" t="s">
        <v>8172</v>
      </c>
      <c r="G811" s="416">
        <v>55</v>
      </c>
      <c r="H811" s="416" t="s">
        <v>0</v>
      </c>
      <c r="I811" s="416" t="s">
        <v>6233</v>
      </c>
      <c r="J811" s="416" t="s">
        <v>6257</v>
      </c>
      <c r="K811" s="416" t="s">
        <v>12009</v>
      </c>
      <c r="L811" s="416" t="s">
        <v>6209</v>
      </c>
      <c r="M811" s="416">
        <v>2</v>
      </c>
      <c r="N811" s="417" t="s">
        <v>6260</v>
      </c>
    </row>
    <row r="812" spans="1:14" ht="11.1" customHeight="1">
      <c r="A812" s="400" t="s">
        <v>8169</v>
      </c>
      <c r="B812" s="458" t="s">
        <v>6230</v>
      </c>
      <c r="C812" s="39">
        <v>104009</v>
      </c>
      <c r="D812" s="41">
        <v>43.171950622203404</v>
      </c>
      <c r="E812" s="41">
        <v>84.92957171436737</v>
      </c>
      <c r="F812" s="42" t="s">
        <v>8170</v>
      </c>
      <c r="G812" s="42">
        <v>42</v>
      </c>
      <c r="H812" s="42" t="s">
        <v>0</v>
      </c>
      <c r="I812" s="42" t="s">
        <v>6233</v>
      </c>
      <c r="J812" s="42" t="s">
        <v>6253</v>
      </c>
      <c r="K812" s="42" t="s">
        <v>12007</v>
      </c>
      <c r="L812" s="42" t="s">
        <v>6209</v>
      </c>
      <c r="M812" s="42">
        <v>1</v>
      </c>
      <c r="N812" s="459">
        <v>0</v>
      </c>
    </row>
    <row r="813" spans="1:14" ht="11.1" customHeight="1" thickBot="1">
      <c r="A813" s="430" t="s">
        <v>8173</v>
      </c>
      <c r="B813" s="463" t="s">
        <v>6231</v>
      </c>
      <c r="C813" s="75">
        <v>14444</v>
      </c>
      <c r="D813" s="77">
        <v>5.9954009247959883</v>
      </c>
      <c r="E813" s="464" t="s">
        <v>6262</v>
      </c>
      <c r="F813" s="78" t="s">
        <v>12478</v>
      </c>
      <c r="G813" s="78">
        <v>55</v>
      </c>
      <c r="H813" s="78" t="s">
        <v>6049</v>
      </c>
      <c r="I813" s="78">
        <v>0</v>
      </c>
      <c r="J813" s="78" t="s">
        <v>6264</v>
      </c>
      <c r="K813" s="78">
        <v>0</v>
      </c>
      <c r="L813" s="78" t="s">
        <v>6036</v>
      </c>
      <c r="M813" s="78">
        <v>0</v>
      </c>
      <c r="N813" s="465">
        <v>0</v>
      </c>
    </row>
    <row r="814" spans="1:14" ht="11.1" customHeight="1">
      <c r="A814" s="941" t="s">
        <v>8175</v>
      </c>
      <c r="B814" s="439" t="s">
        <v>10050</v>
      </c>
      <c r="C814" s="440">
        <v>148912</v>
      </c>
      <c r="D814" s="441">
        <v>63.834019204389577</v>
      </c>
      <c r="E814" s="442" t="s">
        <v>6251</v>
      </c>
      <c r="F814" s="337" t="s">
        <v>8176</v>
      </c>
      <c r="G814" s="337">
        <v>63</v>
      </c>
      <c r="H814" s="337" t="s">
        <v>0</v>
      </c>
      <c r="I814" s="337" t="s">
        <v>6233</v>
      </c>
      <c r="J814" s="337" t="s">
        <v>6257</v>
      </c>
      <c r="K814" s="337" t="s">
        <v>12028</v>
      </c>
      <c r="L814" s="337" t="s">
        <v>6209</v>
      </c>
      <c r="M814" s="337">
        <v>8</v>
      </c>
      <c r="N814" s="443" t="s">
        <v>6260</v>
      </c>
    </row>
    <row r="815" spans="1:14" ht="11.1" customHeight="1">
      <c r="A815" s="400" t="s">
        <v>8177</v>
      </c>
      <c r="B815" s="458" t="s">
        <v>6230</v>
      </c>
      <c r="C815" s="39">
        <v>64309</v>
      </c>
      <c r="D815" s="41">
        <v>27.567301097393688</v>
      </c>
      <c r="E815" s="41">
        <v>43.18590845600086</v>
      </c>
      <c r="F815" s="42" t="s">
        <v>12479</v>
      </c>
      <c r="G815" s="42">
        <v>42</v>
      </c>
      <c r="H815" s="42" t="s">
        <v>0</v>
      </c>
      <c r="I815" s="42" t="s">
        <v>6233</v>
      </c>
      <c r="J815" s="42" t="s">
        <v>6253</v>
      </c>
      <c r="K815" s="42" t="s">
        <v>12007</v>
      </c>
      <c r="L815" s="42" t="s">
        <v>6036</v>
      </c>
      <c r="M815" s="42">
        <v>0</v>
      </c>
      <c r="N815" s="459">
        <v>0</v>
      </c>
    </row>
    <row r="816" spans="1:14" ht="11.1" customHeight="1">
      <c r="A816" s="817" t="s">
        <v>8179</v>
      </c>
      <c r="B816" s="455" t="s">
        <v>6231</v>
      </c>
      <c r="C816" s="46">
        <v>20059</v>
      </c>
      <c r="D816" s="48">
        <v>8.5986796982167348</v>
      </c>
      <c r="E816" s="456" t="s">
        <v>6262</v>
      </c>
      <c r="F816" s="49" t="s">
        <v>12480</v>
      </c>
      <c r="G816" s="49">
        <v>59</v>
      </c>
      <c r="H816" s="49" t="s">
        <v>6049</v>
      </c>
      <c r="I816" s="49">
        <v>0</v>
      </c>
      <c r="J816" s="49" t="s">
        <v>6264</v>
      </c>
      <c r="K816" s="49">
        <v>0</v>
      </c>
      <c r="L816" s="49" t="s">
        <v>6036</v>
      </c>
      <c r="M816" s="49">
        <v>0</v>
      </c>
      <c r="N816" s="457">
        <v>0</v>
      </c>
    </row>
    <row r="817" spans="1:14" ht="11.1" customHeight="1">
      <c r="A817" s="940" t="s">
        <v>8185</v>
      </c>
      <c r="B817" s="412" t="s">
        <v>10050</v>
      </c>
      <c r="C817" s="413">
        <v>104322</v>
      </c>
      <c r="D817" s="414">
        <v>47.086276545327344</v>
      </c>
      <c r="E817" s="415" t="s">
        <v>6251</v>
      </c>
      <c r="F817" s="416" t="s">
        <v>12481</v>
      </c>
      <c r="G817" s="416">
        <v>35</v>
      </c>
      <c r="H817" s="416" t="s">
        <v>0</v>
      </c>
      <c r="I817" s="416" t="s">
        <v>6233</v>
      </c>
      <c r="J817" s="416" t="s">
        <v>6257</v>
      </c>
      <c r="K817" s="416" t="s">
        <v>6258</v>
      </c>
      <c r="L817" s="416" t="s">
        <v>6036</v>
      </c>
      <c r="M817" s="416">
        <v>0</v>
      </c>
      <c r="N817" s="417" t="s">
        <v>6260</v>
      </c>
    </row>
    <row r="818" spans="1:14" ht="11.1" customHeight="1">
      <c r="A818" s="400" t="s">
        <v>8183</v>
      </c>
      <c r="B818" s="458" t="s">
        <v>11986</v>
      </c>
      <c r="C818" s="39">
        <v>103734</v>
      </c>
      <c r="D818" s="41">
        <v>46.820879691273049</v>
      </c>
      <c r="E818" s="41">
        <v>99.436360499223554</v>
      </c>
      <c r="F818" s="42" t="s">
        <v>8184</v>
      </c>
      <c r="G818" s="42">
        <v>51</v>
      </c>
      <c r="H818" s="42" t="s">
        <v>0</v>
      </c>
      <c r="I818" s="42" t="s">
        <v>6233</v>
      </c>
      <c r="J818" s="42" t="s">
        <v>6253</v>
      </c>
      <c r="K818" s="42" t="s">
        <v>12007</v>
      </c>
      <c r="L818" s="42" t="s">
        <v>6209</v>
      </c>
      <c r="M818" s="42">
        <v>2</v>
      </c>
      <c r="N818" s="459">
        <v>0</v>
      </c>
    </row>
    <row r="819" spans="1:14" ht="11.1" customHeight="1">
      <c r="A819" s="817" t="s">
        <v>8187</v>
      </c>
      <c r="B819" s="455" t="s">
        <v>6231</v>
      </c>
      <c r="C819" s="46">
        <v>13499</v>
      </c>
      <c r="D819" s="48">
        <v>6.0928437633996078</v>
      </c>
      <c r="E819" s="456" t="s">
        <v>6262</v>
      </c>
      <c r="F819" s="49" t="s">
        <v>12482</v>
      </c>
      <c r="G819" s="49">
        <v>46</v>
      </c>
      <c r="H819" s="49" t="s">
        <v>0</v>
      </c>
      <c r="I819" s="49">
        <v>0</v>
      </c>
      <c r="J819" s="49" t="s">
        <v>6264</v>
      </c>
      <c r="K819" s="49">
        <v>0</v>
      </c>
      <c r="L819" s="49" t="s">
        <v>6036</v>
      </c>
      <c r="M819" s="49">
        <v>0</v>
      </c>
      <c r="N819" s="457">
        <v>0</v>
      </c>
    </row>
    <row r="820" spans="1:14" ht="11.1" customHeight="1">
      <c r="A820" s="940" t="s">
        <v>8189</v>
      </c>
      <c r="B820" s="412" t="s">
        <v>10050</v>
      </c>
      <c r="C820" s="413">
        <v>118412</v>
      </c>
      <c r="D820" s="414">
        <v>62.207185672783439</v>
      </c>
      <c r="E820" s="415" t="s">
        <v>6251</v>
      </c>
      <c r="F820" s="416" t="s">
        <v>8190</v>
      </c>
      <c r="G820" s="416">
        <v>62</v>
      </c>
      <c r="H820" s="416" t="s">
        <v>0</v>
      </c>
      <c r="I820" s="416" t="s">
        <v>6233</v>
      </c>
      <c r="J820" s="416" t="s">
        <v>6257</v>
      </c>
      <c r="K820" s="416" t="s">
        <v>12012</v>
      </c>
      <c r="L820" s="416" t="s">
        <v>6209</v>
      </c>
      <c r="M820" s="416">
        <v>5</v>
      </c>
      <c r="N820" s="417" t="s">
        <v>6260</v>
      </c>
    </row>
    <row r="821" spans="1:14" ht="11.1" customHeight="1">
      <c r="A821" s="400" t="s">
        <v>8191</v>
      </c>
      <c r="B821" s="458" t="s">
        <v>6230</v>
      </c>
      <c r="C821" s="39">
        <v>55815</v>
      </c>
      <c r="D821" s="41">
        <v>29.32214698110333</v>
      </c>
      <c r="E821" s="41">
        <v>47.136269972637905</v>
      </c>
      <c r="F821" s="42" t="s">
        <v>12483</v>
      </c>
      <c r="G821" s="42">
        <v>35</v>
      </c>
      <c r="H821" s="42" t="s">
        <v>0</v>
      </c>
      <c r="I821" s="42" t="s">
        <v>6233</v>
      </c>
      <c r="J821" s="42" t="s">
        <v>6253</v>
      </c>
      <c r="K821" s="42" t="s">
        <v>12020</v>
      </c>
      <c r="L821" s="42" t="s">
        <v>6036</v>
      </c>
      <c r="M821" s="42">
        <v>0</v>
      </c>
      <c r="N821" s="459">
        <v>0</v>
      </c>
    </row>
    <row r="822" spans="1:14" ht="11.1" customHeight="1">
      <c r="A822" s="817" t="s">
        <v>8193</v>
      </c>
      <c r="B822" s="455" t="s">
        <v>6231</v>
      </c>
      <c r="C822" s="46">
        <v>16124</v>
      </c>
      <c r="D822" s="48">
        <v>8.4706673461132329</v>
      </c>
      <c r="E822" s="456" t="s">
        <v>6262</v>
      </c>
      <c r="F822" s="49" t="s">
        <v>12484</v>
      </c>
      <c r="G822" s="49">
        <v>49</v>
      </c>
      <c r="H822" s="49" t="s">
        <v>0</v>
      </c>
      <c r="I822" s="49">
        <v>0</v>
      </c>
      <c r="J822" s="49" t="s">
        <v>6264</v>
      </c>
      <c r="K822" s="49">
        <v>0</v>
      </c>
      <c r="L822" s="49" t="s">
        <v>6036</v>
      </c>
      <c r="M822" s="49">
        <v>0</v>
      </c>
      <c r="N822" s="457">
        <v>0</v>
      </c>
    </row>
    <row r="823" spans="1:14" ht="11.1" customHeight="1">
      <c r="A823" s="940" t="s">
        <v>8195</v>
      </c>
      <c r="B823" s="412" t="s">
        <v>10050</v>
      </c>
      <c r="C823" s="413">
        <v>137701</v>
      </c>
      <c r="D823" s="414">
        <v>73.618395376563114</v>
      </c>
      <c r="E823" s="415" t="s">
        <v>6251</v>
      </c>
      <c r="F823" s="416" t="s">
        <v>8196</v>
      </c>
      <c r="G823" s="416">
        <v>50</v>
      </c>
      <c r="H823" s="416" t="s">
        <v>0</v>
      </c>
      <c r="I823" s="416" t="s">
        <v>6233</v>
      </c>
      <c r="J823" s="416" t="s">
        <v>6257</v>
      </c>
      <c r="K823" s="416" t="s">
        <v>11998</v>
      </c>
      <c r="L823" s="416" t="s">
        <v>6209</v>
      </c>
      <c r="M823" s="416">
        <v>4</v>
      </c>
      <c r="N823" s="417" t="s">
        <v>6260</v>
      </c>
    </row>
    <row r="824" spans="1:14" ht="11.1" customHeight="1">
      <c r="A824" s="400" t="s">
        <v>8197</v>
      </c>
      <c r="B824" s="458" t="s">
        <v>6230</v>
      </c>
      <c r="C824" s="39">
        <v>36847</v>
      </c>
      <c r="D824" s="41">
        <v>19.699326907140986</v>
      </c>
      <c r="E824" s="41">
        <v>26.75870182496859</v>
      </c>
      <c r="F824" s="42" t="s">
        <v>12485</v>
      </c>
      <c r="G824" s="42">
        <v>56</v>
      </c>
      <c r="H824" s="42" t="s">
        <v>0</v>
      </c>
      <c r="I824" s="42" t="s">
        <v>6233</v>
      </c>
      <c r="J824" s="42" t="s">
        <v>6253</v>
      </c>
      <c r="K824" s="42" t="s">
        <v>12007</v>
      </c>
      <c r="L824" s="42" t="s">
        <v>6036</v>
      </c>
      <c r="M824" s="42">
        <v>0</v>
      </c>
      <c r="N824" s="459">
        <v>0</v>
      </c>
    </row>
    <row r="825" spans="1:14" ht="11.1" customHeight="1" thickBot="1">
      <c r="A825" s="418" t="s">
        <v>8199</v>
      </c>
      <c r="B825" s="460" t="s">
        <v>6231</v>
      </c>
      <c r="C825" s="68">
        <v>12499</v>
      </c>
      <c r="D825" s="70">
        <v>6.6822777162959044</v>
      </c>
      <c r="E825" s="461" t="s">
        <v>6262</v>
      </c>
      <c r="F825" s="71" t="s">
        <v>8200</v>
      </c>
      <c r="G825" s="71">
        <v>50</v>
      </c>
      <c r="H825" s="71" t="s">
        <v>0</v>
      </c>
      <c r="I825" s="71">
        <v>0</v>
      </c>
      <c r="J825" s="71" t="s">
        <v>6264</v>
      </c>
      <c r="K825" s="71">
        <v>0</v>
      </c>
      <c r="L825" s="71" t="s">
        <v>6036</v>
      </c>
      <c r="M825" s="71">
        <v>0</v>
      </c>
      <c r="N825" s="462">
        <v>0</v>
      </c>
    </row>
    <row r="826" spans="1:14" ht="11.1" customHeight="1" thickTop="1">
      <c r="A826" s="400" t="s">
        <v>8201</v>
      </c>
      <c r="B826" s="397" t="s">
        <v>10050</v>
      </c>
      <c r="C826" s="33">
        <v>68026</v>
      </c>
      <c r="D826" s="35">
        <v>51.286961504244637</v>
      </c>
      <c r="E826" s="398" t="s">
        <v>6262</v>
      </c>
      <c r="F826" s="36" t="s">
        <v>8202</v>
      </c>
      <c r="G826" s="36">
        <v>59</v>
      </c>
      <c r="H826" s="36" t="s">
        <v>0</v>
      </c>
      <c r="I826" s="36">
        <v>0</v>
      </c>
      <c r="J826" s="36" t="s">
        <v>6253</v>
      </c>
      <c r="K826" s="36" t="s">
        <v>11989</v>
      </c>
      <c r="L826" s="36" t="s">
        <v>6209</v>
      </c>
      <c r="M826" s="36">
        <v>4</v>
      </c>
      <c r="N826" s="399">
        <v>0</v>
      </c>
    </row>
    <row r="827" spans="1:14" ht="11.1" customHeight="1">
      <c r="A827" s="400" t="s">
        <v>8203</v>
      </c>
      <c r="B827" s="458" t="s">
        <v>11986</v>
      </c>
      <c r="C827" s="39">
        <v>54843</v>
      </c>
      <c r="D827" s="41">
        <v>41.347879189975721</v>
      </c>
      <c r="E827" s="41">
        <v>80.620645047481844</v>
      </c>
      <c r="F827" s="42" t="s">
        <v>8204</v>
      </c>
      <c r="G827" s="42">
        <v>61</v>
      </c>
      <c r="H827" s="42" t="s">
        <v>0</v>
      </c>
      <c r="I827" s="42" t="s">
        <v>6233</v>
      </c>
      <c r="J827" s="42" t="s">
        <v>6257</v>
      </c>
      <c r="K827" s="42" t="s">
        <v>11995</v>
      </c>
      <c r="L827" s="42" t="s">
        <v>6209</v>
      </c>
      <c r="M827" s="42">
        <v>1</v>
      </c>
      <c r="N827" s="459" t="s">
        <v>6260</v>
      </c>
    </row>
    <row r="828" spans="1:14" ht="11.1" customHeight="1">
      <c r="A828" s="817" t="s">
        <v>8207</v>
      </c>
      <c r="B828" s="455" t="s">
        <v>6231</v>
      </c>
      <c r="C828" s="46">
        <v>9769</v>
      </c>
      <c r="D828" s="48">
        <v>7.365159305779641</v>
      </c>
      <c r="E828" s="456" t="s">
        <v>6262</v>
      </c>
      <c r="F828" s="49" t="s">
        <v>12486</v>
      </c>
      <c r="G828" s="49">
        <v>46</v>
      </c>
      <c r="H828" s="49" t="s">
        <v>0</v>
      </c>
      <c r="I828" s="49">
        <v>0</v>
      </c>
      <c r="J828" s="49" t="s">
        <v>6264</v>
      </c>
      <c r="K828" s="49">
        <v>0</v>
      </c>
      <c r="L828" s="49" t="s">
        <v>6036</v>
      </c>
      <c r="M828" s="49">
        <v>0</v>
      </c>
      <c r="N828" s="457">
        <v>0</v>
      </c>
    </row>
    <row r="829" spans="1:14" ht="11.1" customHeight="1">
      <c r="A829" s="940" t="s">
        <v>12487</v>
      </c>
      <c r="B829" s="444" t="s">
        <v>10050</v>
      </c>
      <c r="C829" s="445">
        <v>62582</v>
      </c>
      <c r="D829" s="446">
        <v>39.548036879988373</v>
      </c>
      <c r="E829" s="447" t="s">
        <v>6262</v>
      </c>
      <c r="F829" s="448" t="s">
        <v>8214</v>
      </c>
      <c r="G829" s="448">
        <v>55</v>
      </c>
      <c r="H829" s="448" t="s">
        <v>0</v>
      </c>
      <c r="I829" s="448">
        <v>0</v>
      </c>
      <c r="J829" s="448" t="s">
        <v>12017</v>
      </c>
      <c r="K829" s="448" t="s">
        <v>12488</v>
      </c>
      <c r="L829" s="448" t="s">
        <v>6209</v>
      </c>
      <c r="M829" s="448">
        <v>5</v>
      </c>
      <c r="N829" s="449">
        <v>0</v>
      </c>
    </row>
    <row r="830" spans="1:14" ht="11.1" customHeight="1">
      <c r="A830" s="400" t="s">
        <v>8211</v>
      </c>
      <c r="B830" s="458" t="s">
        <v>6230</v>
      </c>
      <c r="C830" s="39">
        <v>47199</v>
      </c>
      <c r="D830" s="41">
        <v>29.826911774928433</v>
      </c>
      <c r="E830" s="41">
        <v>75.419449682017188</v>
      </c>
      <c r="F830" s="42" t="s">
        <v>8212</v>
      </c>
      <c r="G830" s="42">
        <v>33</v>
      </c>
      <c r="H830" s="42" t="s">
        <v>6049</v>
      </c>
      <c r="I830" s="42" t="s">
        <v>6233</v>
      </c>
      <c r="J830" s="42" t="s">
        <v>6253</v>
      </c>
      <c r="K830" s="42" t="s">
        <v>12007</v>
      </c>
      <c r="L830" s="42" t="s">
        <v>6209</v>
      </c>
      <c r="M830" s="42">
        <v>1</v>
      </c>
      <c r="N830" s="459">
        <v>0</v>
      </c>
    </row>
    <row r="831" spans="1:14" ht="11.1" customHeight="1">
      <c r="A831" s="400" t="s">
        <v>8213</v>
      </c>
      <c r="B831" s="458" t="s">
        <v>11986</v>
      </c>
      <c r="C831" s="39">
        <v>43695</v>
      </c>
      <c r="D831" s="41">
        <v>27.612595817824484</v>
      </c>
      <c r="E831" s="41">
        <v>69.820395640919116</v>
      </c>
      <c r="F831" s="42" t="s">
        <v>12489</v>
      </c>
      <c r="G831" s="42">
        <v>54</v>
      </c>
      <c r="H831" s="42" t="s">
        <v>0</v>
      </c>
      <c r="I831" s="42" t="s">
        <v>6233</v>
      </c>
      <c r="J831" s="42" t="s">
        <v>6257</v>
      </c>
      <c r="K831" s="42" t="s">
        <v>12028</v>
      </c>
      <c r="L831" s="42" t="s">
        <v>6209</v>
      </c>
      <c r="M831" s="42">
        <v>4</v>
      </c>
      <c r="N831" s="459" t="s">
        <v>6260</v>
      </c>
    </row>
    <row r="832" spans="1:14" ht="11.1" customHeight="1">
      <c r="A832" s="817" t="s">
        <v>8215</v>
      </c>
      <c r="B832" s="455" t="s">
        <v>6231</v>
      </c>
      <c r="C832" s="46">
        <v>4767</v>
      </c>
      <c r="D832" s="48">
        <v>3.0124555272587097</v>
      </c>
      <c r="E832" s="456" t="s">
        <v>6262</v>
      </c>
      <c r="F832" s="49" t="s">
        <v>12490</v>
      </c>
      <c r="G832" s="49">
        <v>56</v>
      </c>
      <c r="H832" s="49" t="s">
        <v>6049</v>
      </c>
      <c r="I832" s="49">
        <v>0</v>
      </c>
      <c r="J832" s="49" t="s">
        <v>6264</v>
      </c>
      <c r="K832" s="49">
        <v>0</v>
      </c>
      <c r="L832" s="49" t="s">
        <v>6036</v>
      </c>
      <c r="M832" s="49">
        <v>0</v>
      </c>
      <c r="N832" s="457">
        <v>0</v>
      </c>
    </row>
    <row r="833" spans="1:14" ht="11.1" customHeight="1">
      <c r="A833" s="940" t="s">
        <v>8217</v>
      </c>
      <c r="B833" s="412" t="s">
        <v>10050</v>
      </c>
      <c r="C833" s="413">
        <v>88581</v>
      </c>
      <c r="D833" s="414">
        <v>57.274296687594159</v>
      </c>
      <c r="E833" s="415" t="s">
        <v>6251</v>
      </c>
      <c r="F833" s="416" t="s">
        <v>8218</v>
      </c>
      <c r="G833" s="416">
        <v>36</v>
      </c>
      <c r="H833" s="416" t="s">
        <v>0</v>
      </c>
      <c r="I833" s="416" t="s">
        <v>6233</v>
      </c>
      <c r="J833" s="416" t="s">
        <v>6257</v>
      </c>
      <c r="K833" s="416" t="s">
        <v>11995</v>
      </c>
      <c r="L833" s="416" t="s">
        <v>6209</v>
      </c>
      <c r="M833" s="416">
        <v>2</v>
      </c>
      <c r="N833" s="417" t="s">
        <v>6260</v>
      </c>
    </row>
    <row r="834" spans="1:14" ht="11.1" customHeight="1">
      <c r="A834" s="400" t="s">
        <v>8219</v>
      </c>
      <c r="B834" s="458" t="s">
        <v>6230</v>
      </c>
      <c r="C834" s="39">
        <v>60063</v>
      </c>
      <c r="D834" s="41">
        <v>38.835259050439348</v>
      </c>
      <c r="E834" s="41">
        <v>67.80573712195617</v>
      </c>
      <c r="F834" s="42" t="s">
        <v>8220</v>
      </c>
      <c r="G834" s="42">
        <v>39</v>
      </c>
      <c r="H834" s="42" t="s">
        <v>0</v>
      </c>
      <c r="I834" s="42" t="s">
        <v>6233</v>
      </c>
      <c r="J834" s="42" t="s">
        <v>6253</v>
      </c>
      <c r="K834" s="42" t="s">
        <v>12007</v>
      </c>
      <c r="L834" s="42" t="s">
        <v>6036</v>
      </c>
      <c r="M834" s="42">
        <v>0</v>
      </c>
      <c r="N834" s="459">
        <v>0</v>
      </c>
    </row>
    <row r="835" spans="1:14" ht="11.1" customHeight="1" thickBot="1">
      <c r="A835" s="430" t="s">
        <v>8221</v>
      </c>
      <c r="B835" s="463" t="s">
        <v>6231</v>
      </c>
      <c r="C835" s="75">
        <v>6017</v>
      </c>
      <c r="D835" s="77">
        <v>3.8904442619664943</v>
      </c>
      <c r="E835" s="464" t="s">
        <v>6262</v>
      </c>
      <c r="F835" s="78" t="s">
        <v>12491</v>
      </c>
      <c r="G835" s="78">
        <v>61</v>
      </c>
      <c r="H835" s="78" t="s">
        <v>0</v>
      </c>
      <c r="I835" s="78">
        <v>0</v>
      </c>
      <c r="J835" s="78" t="s">
        <v>6264</v>
      </c>
      <c r="K835" s="78">
        <v>0</v>
      </c>
      <c r="L835" s="78" t="s">
        <v>6036</v>
      </c>
      <c r="M835" s="78">
        <v>0</v>
      </c>
      <c r="N835" s="465">
        <v>0</v>
      </c>
    </row>
    <row r="836" spans="1:14" ht="11.1" customHeight="1">
      <c r="A836" s="941" t="s">
        <v>8225</v>
      </c>
      <c r="B836" s="439" t="s">
        <v>10050</v>
      </c>
      <c r="C836" s="440">
        <v>103592</v>
      </c>
      <c r="D836" s="441">
        <v>50.90891220483082</v>
      </c>
      <c r="E836" s="442" t="s">
        <v>6251</v>
      </c>
      <c r="F836" s="337" t="s">
        <v>8226</v>
      </c>
      <c r="G836" s="337">
        <v>47</v>
      </c>
      <c r="H836" s="337" t="s">
        <v>0</v>
      </c>
      <c r="I836" s="337" t="s">
        <v>6233</v>
      </c>
      <c r="J836" s="337" t="s">
        <v>6257</v>
      </c>
      <c r="K836" s="337" t="s">
        <v>12009</v>
      </c>
      <c r="L836" s="337" t="s">
        <v>6209</v>
      </c>
      <c r="M836" s="337">
        <v>2</v>
      </c>
      <c r="N836" s="443" t="s">
        <v>6260</v>
      </c>
    </row>
    <row r="837" spans="1:14" ht="11.1" customHeight="1">
      <c r="A837" s="400" t="s">
        <v>8223</v>
      </c>
      <c r="B837" s="458" t="s">
        <v>11986</v>
      </c>
      <c r="C837" s="39">
        <v>91461</v>
      </c>
      <c r="D837" s="41">
        <v>44.947293412290833</v>
      </c>
      <c r="E837" s="41">
        <v>88.289636265348676</v>
      </c>
      <c r="F837" s="42" t="s">
        <v>8224</v>
      </c>
      <c r="G837" s="42">
        <v>34</v>
      </c>
      <c r="H837" s="42" t="s">
        <v>0</v>
      </c>
      <c r="I837" s="42" t="s">
        <v>6233</v>
      </c>
      <c r="J837" s="42" t="s">
        <v>6253</v>
      </c>
      <c r="K837" s="42" t="s">
        <v>12007</v>
      </c>
      <c r="L837" s="42" t="s">
        <v>6036</v>
      </c>
      <c r="M837" s="42">
        <v>0</v>
      </c>
      <c r="N837" s="459">
        <v>0</v>
      </c>
    </row>
    <row r="838" spans="1:14" ht="11.1" customHeight="1">
      <c r="A838" s="817" t="s">
        <v>8227</v>
      </c>
      <c r="B838" s="455" t="s">
        <v>6231</v>
      </c>
      <c r="C838" s="46">
        <v>8432</v>
      </c>
      <c r="D838" s="48">
        <v>4.1437943828783448</v>
      </c>
      <c r="E838" s="456" t="s">
        <v>6262</v>
      </c>
      <c r="F838" s="49" t="s">
        <v>12492</v>
      </c>
      <c r="G838" s="49">
        <v>49</v>
      </c>
      <c r="H838" s="49" t="s">
        <v>0</v>
      </c>
      <c r="I838" s="49">
        <v>0</v>
      </c>
      <c r="J838" s="49" t="s">
        <v>6264</v>
      </c>
      <c r="K838" s="49">
        <v>0</v>
      </c>
      <c r="L838" s="49" t="s">
        <v>6036</v>
      </c>
      <c r="M838" s="49">
        <v>0</v>
      </c>
      <c r="N838" s="457">
        <v>0</v>
      </c>
    </row>
    <row r="839" spans="1:14" ht="11.1" customHeight="1">
      <c r="A839" s="940" t="s">
        <v>8233</v>
      </c>
      <c r="B839" s="412" t="s">
        <v>10050</v>
      </c>
      <c r="C839" s="413">
        <v>100794</v>
      </c>
      <c r="D839" s="414">
        <v>55.887065920722137</v>
      </c>
      <c r="E839" s="415" t="s">
        <v>6251</v>
      </c>
      <c r="F839" s="416" t="s">
        <v>8234</v>
      </c>
      <c r="G839" s="416">
        <v>57</v>
      </c>
      <c r="H839" s="416" t="s">
        <v>0</v>
      </c>
      <c r="I839" s="416" t="s">
        <v>6233</v>
      </c>
      <c r="J839" s="416" t="s">
        <v>6257</v>
      </c>
      <c r="K839" s="416" t="s">
        <v>6350</v>
      </c>
      <c r="L839" s="416" t="s">
        <v>6209</v>
      </c>
      <c r="M839" s="416">
        <v>6</v>
      </c>
      <c r="N839" s="417" t="s">
        <v>6260</v>
      </c>
    </row>
    <row r="840" spans="1:14" ht="11.1" customHeight="1">
      <c r="A840" s="400" t="s">
        <v>8231</v>
      </c>
      <c r="B840" s="458" t="s">
        <v>6230</v>
      </c>
      <c r="C840" s="39">
        <v>70177</v>
      </c>
      <c r="D840" s="41">
        <v>38.910913597223221</v>
      </c>
      <c r="E840" s="41">
        <v>69.624183979205114</v>
      </c>
      <c r="F840" s="42" t="s">
        <v>8232</v>
      </c>
      <c r="G840" s="42">
        <v>36</v>
      </c>
      <c r="H840" s="42" t="s">
        <v>0</v>
      </c>
      <c r="I840" s="42" t="s">
        <v>6233</v>
      </c>
      <c r="J840" s="42" t="s">
        <v>6253</v>
      </c>
      <c r="K840" s="42" t="s">
        <v>12007</v>
      </c>
      <c r="L840" s="42" t="s">
        <v>6036</v>
      </c>
      <c r="M840" s="42">
        <v>0</v>
      </c>
      <c r="N840" s="459">
        <v>0</v>
      </c>
    </row>
    <row r="841" spans="1:14" ht="11.1" customHeight="1">
      <c r="A841" s="817" t="s">
        <v>8235</v>
      </c>
      <c r="B841" s="455" t="s">
        <v>6231</v>
      </c>
      <c r="C841" s="46">
        <v>9382</v>
      </c>
      <c r="D841" s="48">
        <v>5.2020204820546372</v>
      </c>
      <c r="E841" s="456" t="s">
        <v>6262</v>
      </c>
      <c r="F841" s="49" t="s">
        <v>12493</v>
      </c>
      <c r="G841" s="49">
        <v>46</v>
      </c>
      <c r="H841" s="49" t="s">
        <v>0</v>
      </c>
      <c r="I841" s="49">
        <v>0</v>
      </c>
      <c r="J841" s="49" t="s">
        <v>6264</v>
      </c>
      <c r="K841" s="49">
        <v>0</v>
      </c>
      <c r="L841" s="49" t="s">
        <v>6036</v>
      </c>
      <c r="M841" s="49">
        <v>0</v>
      </c>
      <c r="N841" s="457">
        <v>0</v>
      </c>
    </row>
    <row r="842" spans="1:14" ht="11.1" customHeight="1">
      <c r="A842" s="940" t="s">
        <v>8237</v>
      </c>
      <c r="B842" s="412" t="s">
        <v>10050</v>
      </c>
      <c r="C842" s="413">
        <v>107726</v>
      </c>
      <c r="D842" s="414">
        <v>66.915130847449205</v>
      </c>
      <c r="E842" s="415" t="s">
        <v>6251</v>
      </c>
      <c r="F842" s="416" t="s">
        <v>8238</v>
      </c>
      <c r="G842" s="416">
        <v>69</v>
      </c>
      <c r="H842" s="416" t="s">
        <v>0</v>
      </c>
      <c r="I842" s="416" t="s">
        <v>6233</v>
      </c>
      <c r="J842" s="416" t="s">
        <v>6257</v>
      </c>
      <c r="K842" s="416" t="s">
        <v>6350</v>
      </c>
      <c r="L842" s="416" t="s">
        <v>6209</v>
      </c>
      <c r="M842" s="416">
        <v>6</v>
      </c>
      <c r="N842" s="417" t="s">
        <v>6260</v>
      </c>
    </row>
    <row r="843" spans="1:14" ht="11.1" customHeight="1">
      <c r="A843" s="400" t="s">
        <v>8239</v>
      </c>
      <c r="B843" s="458" t="s">
        <v>6230</v>
      </c>
      <c r="C843" s="39">
        <v>39177</v>
      </c>
      <c r="D843" s="41">
        <v>24.335203026293723</v>
      </c>
      <c r="E843" s="41">
        <v>36.367265098490613</v>
      </c>
      <c r="F843" s="42" t="s">
        <v>12494</v>
      </c>
      <c r="G843" s="42">
        <v>60</v>
      </c>
      <c r="H843" s="42" t="s">
        <v>0</v>
      </c>
      <c r="I843" s="42" t="s">
        <v>6233</v>
      </c>
      <c r="J843" s="42" t="s">
        <v>6278</v>
      </c>
      <c r="K843" s="42">
        <v>0</v>
      </c>
      <c r="L843" s="42" t="s">
        <v>6036</v>
      </c>
      <c r="M843" s="42">
        <v>0</v>
      </c>
      <c r="N843" s="459">
        <v>0</v>
      </c>
    </row>
    <row r="844" spans="1:14" ht="11.1" customHeight="1" thickBot="1">
      <c r="A844" s="430" t="s">
        <v>8243</v>
      </c>
      <c r="B844" s="463" t="s">
        <v>6231</v>
      </c>
      <c r="C844" s="75">
        <v>14086</v>
      </c>
      <c r="D844" s="77">
        <v>8.7496661262570736</v>
      </c>
      <c r="E844" s="464" t="s">
        <v>6262</v>
      </c>
      <c r="F844" s="78" t="s">
        <v>8244</v>
      </c>
      <c r="G844" s="78">
        <v>57</v>
      </c>
      <c r="H844" s="78" t="s">
        <v>6049</v>
      </c>
      <c r="I844" s="78">
        <v>0</v>
      </c>
      <c r="J844" s="78" t="s">
        <v>6264</v>
      </c>
      <c r="K844" s="78">
        <v>0</v>
      </c>
      <c r="L844" s="78" t="s">
        <v>6036</v>
      </c>
      <c r="M844" s="78">
        <v>0</v>
      </c>
      <c r="N844" s="465">
        <v>0</v>
      </c>
    </row>
    <row r="845" spans="1:14" ht="11.1" customHeight="1">
      <c r="A845" s="941" t="s">
        <v>8247</v>
      </c>
      <c r="B845" s="439" t="s">
        <v>10050</v>
      </c>
      <c r="C845" s="440">
        <v>138068</v>
      </c>
      <c r="D845" s="441">
        <v>60.424161261805352</v>
      </c>
      <c r="E845" s="442" t="s">
        <v>6251</v>
      </c>
      <c r="F845" s="337" t="s">
        <v>8248</v>
      </c>
      <c r="G845" s="337">
        <v>54</v>
      </c>
      <c r="H845" s="337" t="s">
        <v>0</v>
      </c>
      <c r="I845" s="337" t="s">
        <v>6233</v>
      </c>
      <c r="J845" s="337" t="s">
        <v>6257</v>
      </c>
      <c r="K845" s="337" t="s">
        <v>6258</v>
      </c>
      <c r="L845" s="337" t="s">
        <v>6209</v>
      </c>
      <c r="M845" s="337">
        <v>3</v>
      </c>
      <c r="N845" s="443">
        <v>0</v>
      </c>
    </row>
    <row r="846" spans="1:14" ht="11.1" customHeight="1">
      <c r="A846" s="400" t="s">
        <v>8249</v>
      </c>
      <c r="B846" s="458" t="s">
        <v>6230</v>
      </c>
      <c r="C846" s="39">
        <v>59985</v>
      </c>
      <c r="D846" s="41">
        <v>26.251870913530972</v>
      </c>
      <c r="E846" s="41">
        <v>43.44598313874323</v>
      </c>
      <c r="F846" s="42" t="s">
        <v>12495</v>
      </c>
      <c r="G846" s="42">
        <v>52</v>
      </c>
      <c r="H846" s="42" t="s">
        <v>0</v>
      </c>
      <c r="I846" s="42" t="s">
        <v>6233</v>
      </c>
      <c r="J846" s="42" t="s">
        <v>6253</v>
      </c>
      <c r="K846" s="42" t="s">
        <v>12007</v>
      </c>
      <c r="L846" s="42" t="s">
        <v>6036</v>
      </c>
      <c r="M846" s="42">
        <v>0</v>
      </c>
      <c r="N846" s="459">
        <v>0</v>
      </c>
    </row>
    <row r="847" spans="1:14" ht="11.1" customHeight="1">
      <c r="A847" s="400" t="s">
        <v>8253</v>
      </c>
      <c r="B847" s="458" t="s">
        <v>6231</v>
      </c>
      <c r="C847" s="39">
        <v>14380</v>
      </c>
      <c r="D847" s="41">
        <v>6.2932717135379743</v>
      </c>
      <c r="E847" s="41">
        <v>10.415157748355883</v>
      </c>
      <c r="F847" s="42" t="s">
        <v>12496</v>
      </c>
      <c r="G847" s="42">
        <v>58</v>
      </c>
      <c r="H847" s="42" t="s">
        <v>0</v>
      </c>
      <c r="I847" s="42" t="s">
        <v>6233</v>
      </c>
      <c r="J847" s="42" t="s">
        <v>6278</v>
      </c>
      <c r="K847" s="42">
        <v>0</v>
      </c>
      <c r="L847" s="42" t="s">
        <v>6036</v>
      </c>
      <c r="M847" s="42">
        <v>0</v>
      </c>
      <c r="N847" s="459">
        <v>0</v>
      </c>
    </row>
    <row r="848" spans="1:14" ht="11.1" customHeight="1">
      <c r="A848" s="400" t="s">
        <v>8251</v>
      </c>
      <c r="B848" s="458" t="s">
        <v>6231</v>
      </c>
      <c r="C848" s="39">
        <v>12788</v>
      </c>
      <c r="D848" s="41">
        <v>5.5965478910099868</v>
      </c>
      <c r="E848" s="469" t="s">
        <v>6262</v>
      </c>
      <c r="F848" s="42" t="s">
        <v>8252</v>
      </c>
      <c r="G848" s="42">
        <v>38</v>
      </c>
      <c r="H848" s="42" t="s">
        <v>0</v>
      </c>
      <c r="I848" s="42">
        <v>0</v>
      </c>
      <c r="J848" s="42" t="s">
        <v>6264</v>
      </c>
      <c r="K848" s="42">
        <v>0</v>
      </c>
      <c r="L848" s="42" t="s">
        <v>6036</v>
      </c>
      <c r="M848" s="42">
        <v>0</v>
      </c>
      <c r="N848" s="459">
        <v>0</v>
      </c>
    </row>
    <row r="849" spans="1:14" ht="11.1" customHeight="1">
      <c r="A849" s="817" t="s">
        <v>8255</v>
      </c>
      <c r="B849" s="455" t="s">
        <v>6231</v>
      </c>
      <c r="C849" s="46">
        <v>3277</v>
      </c>
      <c r="D849" s="48">
        <v>1.4341482201157121</v>
      </c>
      <c r="E849" s="456" t="s">
        <v>6262</v>
      </c>
      <c r="F849" s="49" t="s">
        <v>12497</v>
      </c>
      <c r="G849" s="49">
        <v>66</v>
      </c>
      <c r="H849" s="49" t="s">
        <v>0</v>
      </c>
      <c r="I849" s="49">
        <v>0</v>
      </c>
      <c r="J849" s="49" t="s">
        <v>12017</v>
      </c>
      <c r="K849" s="49">
        <v>0</v>
      </c>
      <c r="L849" s="49" t="s">
        <v>6036</v>
      </c>
      <c r="M849" s="49">
        <v>0</v>
      </c>
      <c r="N849" s="457">
        <v>0</v>
      </c>
    </row>
    <row r="850" spans="1:14" ht="11.1" customHeight="1">
      <c r="A850" s="940" t="s">
        <v>8257</v>
      </c>
      <c r="B850" s="412" t="s">
        <v>10050</v>
      </c>
      <c r="C850" s="413">
        <v>115297</v>
      </c>
      <c r="D850" s="414">
        <v>59.21047225817054</v>
      </c>
      <c r="E850" s="415" t="s">
        <v>6251</v>
      </c>
      <c r="F850" s="416" t="s">
        <v>8258</v>
      </c>
      <c r="G850" s="416">
        <v>53</v>
      </c>
      <c r="H850" s="416" t="s">
        <v>0</v>
      </c>
      <c r="I850" s="416" t="s">
        <v>6233</v>
      </c>
      <c r="J850" s="416" t="s">
        <v>6257</v>
      </c>
      <c r="K850" s="416" t="s">
        <v>12028</v>
      </c>
      <c r="L850" s="416" t="s">
        <v>6209</v>
      </c>
      <c r="M850" s="416">
        <v>6</v>
      </c>
      <c r="N850" s="417">
        <v>0</v>
      </c>
    </row>
    <row r="851" spans="1:14" ht="11.1" customHeight="1">
      <c r="A851" s="400" t="s">
        <v>8259</v>
      </c>
      <c r="B851" s="458" t="s">
        <v>6230</v>
      </c>
      <c r="C851" s="39">
        <v>64874</v>
      </c>
      <c r="D851" s="41">
        <v>33.315872722417367</v>
      </c>
      <c r="E851" s="41">
        <v>56.266858634656586</v>
      </c>
      <c r="F851" s="42" t="s">
        <v>12498</v>
      </c>
      <c r="G851" s="42">
        <v>36</v>
      </c>
      <c r="H851" s="42" t="s">
        <v>0</v>
      </c>
      <c r="I851" s="42" t="s">
        <v>6233</v>
      </c>
      <c r="J851" s="42" t="s">
        <v>6253</v>
      </c>
      <c r="K851" s="42" t="s">
        <v>12007</v>
      </c>
      <c r="L851" s="42" t="s">
        <v>6036</v>
      </c>
      <c r="M851" s="42">
        <v>0</v>
      </c>
      <c r="N851" s="459">
        <v>0</v>
      </c>
    </row>
    <row r="852" spans="1:14" ht="11.1" customHeight="1">
      <c r="A852" s="817" t="s">
        <v>8263</v>
      </c>
      <c r="B852" s="455" t="s">
        <v>6231</v>
      </c>
      <c r="C852" s="46">
        <v>14553</v>
      </c>
      <c r="D852" s="48">
        <v>7.4736550194120905</v>
      </c>
      <c r="E852" s="456" t="s">
        <v>6262</v>
      </c>
      <c r="F852" s="49" t="s">
        <v>12499</v>
      </c>
      <c r="G852" s="49">
        <v>33</v>
      </c>
      <c r="H852" s="49" t="s">
        <v>0</v>
      </c>
      <c r="I852" s="49">
        <v>0</v>
      </c>
      <c r="J852" s="49" t="s">
        <v>6264</v>
      </c>
      <c r="K852" s="49">
        <v>0</v>
      </c>
      <c r="L852" s="49" t="s">
        <v>6036</v>
      </c>
      <c r="M852" s="49">
        <v>0</v>
      </c>
      <c r="N852" s="457">
        <v>0</v>
      </c>
    </row>
    <row r="853" spans="1:14" ht="11.1" customHeight="1">
      <c r="A853" s="940" t="s">
        <v>8267</v>
      </c>
      <c r="B853" s="412" t="s">
        <v>10050</v>
      </c>
      <c r="C853" s="413">
        <v>92245</v>
      </c>
      <c r="D853" s="414">
        <v>54.452026492568152</v>
      </c>
      <c r="E853" s="415" t="s">
        <v>6251</v>
      </c>
      <c r="F853" s="416" t="s">
        <v>12500</v>
      </c>
      <c r="G853" s="416">
        <v>50</v>
      </c>
      <c r="H853" s="416" t="s">
        <v>0</v>
      </c>
      <c r="I853" s="416" t="s">
        <v>6233</v>
      </c>
      <c r="J853" s="416" t="s">
        <v>6257</v>
      </c>
      <c r="K853" s="416" t="s">
        <v>11998</v>
      </c>
      <c r="L853" s="416" t="s">
        <v>6209</v>
      </c>
      <c r="M853" s="416">
        <v>4</v>
      </c>
      <c r="N853" s="417">
        <v>0</v>
      </c>
    </row>
    <row r="854" spans="1:14" ht="11.1" customHeight="1">
      <c r="A854" s="400" t="s">
        <v>8265</v>
      </c>
      <c r="B854" s="458" t="s">
        <v>6230</v>
      </c>
      <c r="C854" s="39">
        <v>60937</v>
      </c>
      <c r="D854" s="41">
        <v>35.9709809569909</v>
      </c>
      <c r="E854" s="41">
        <v>66.059949048728924</v>
      </c>
      <c r="F854" s="42" t="s">
        <v>12501</v>
      </c>
      <c r="G854" s="42">
        <v>63</v>
      </c>
      <c r="H854" s="42" t="s">
        <v>0</v>
      </c>
      <c r="I854" s="42" t="s">
        <v>6233</v>
      </c>
      <c r="J854" s="42" t="s">
        <v>6253</v>
      </c>
      <c r="K854" s="42" t="s">
        <v>11989</v>
      </c>
      <c r="L854" s="42" t="s">
        <v>6036</v>
      </c>
      <c r="M854" s="42">
        <v>0</v>
      </c>
      <c r="N854" s="459">
        <v>0</v>
      </c>
    </row>
    <row r="855" spans="1:14" ht="11.1" customHeight="1">
      <c r="A855" s="817" t="s">
        <v>8269</v>
      </c>
      <c r="B855" s="455" t="s">
        <v>6231</v>
      </c>
      <c r="C855" s="46">
        <v>16224</v>
      </c>
      <c r="D855" s="48">
        <v>9.5769925504409521</v>
      </c>
      <c r="E855" s="456" t="s">
        <v>6262</v>
      </c>
      <c r="F855" s="49" t="s">
        <v>12502</v>
      </c>
      <c r="G855" s="49">
        <v>55</v>
      </c>
      <c r="H855" s="49" t="s">
        <v>0</v>
      </c>
      <c r="I855" s="49">
        <v>0</v>
      </c>
      <c r="J855" s="49" t="s">
        <v>6264</v>
      </c>
      <c r="K855" s="49">
        <v>0</v>
      </c>
      <c r="L855" s="49" t="s">
        <v>6036</v>
      </c>
      <c r="M855" s="49">
        <v>0</v>
      </c>
      <c r="N855" s="457">
        <v>0</v>
      </c>
    </row>
    <row r="856" spans="1:14" ht="11.1" customHeight="1">
      <c r="A856" s="940" t="s">
        <v>8271</v>
      </c>
      <c r="B856" s="412" t="s">
        <v>10050</v>
      </c>
      <c r="C856" s="413">
        <v>115501</v>
      </c>
      <c r="D856" s="414">
        <v>63.122544117084473</v>
      </c>
      <c r="E856" s="415" t="s">
        <v>6251</v>
      </c>
      <c r="F856" s="416" t="s">
        <v>8272</v>
      </c>
      <c r="G856" s="416">
        <v>58</v>
      </c>
      <c r="H856" s="416" t="s">
        <v>0</v>
      </c>
      <c r="I856" s="416" t="s">
        <v>6233</v>
      </c>
      <c r="J856" s="416" t="s">
        <v>6257</v>
      </c>
      <c r="K856" s="416" t="s">
        <v>12062</v>
      </c>
      <c r="L856" s="416" t="s">
        <v>6209</v>
      </c>
      <c r="M856" s="416">
        <v>4</v>
      </c>
      <c r="N856" s="417">
        <v>0</v>
      </c>
    </row>
    <row r="857" spans="1:14" ht="11.1" customHeight="1">
      <c r="A857" s="400" t="s">
        <v>8273</v>
      </c>
      <c r="B857" s="458" t="s">
        <v>6230</v>
      </c>
      <c r="C857" s="39">
        <v>52824</v>
      </c>
      <c r="D857" s="41">
        <v>28.868886593543522</v>
      </c>
      <c r="E857" s="41">
        <v>45.734668963905072</v>
      </c>
      <c r="F857" s="42" t="s">
        <v>12503</v>
      </c>
      <c r="G857" s="42">
        <v>51</v>
      </c>
      <c r="H857" s="42" t="s">
        <v>0</v>
      </c>
      <c r="I857" s="42" t="s">
        <v>6233</v>
      </c>
      <c r="J857" s="42" t="s">
        <v>6253</v>
      </c>
      <c r="K857" s="42" t="s">
        <v>12007</v>
      </c>
      <c r="L857" s="42" t="s">
        <v>6036</v>
      </c>
      <c r="M857" s="42">
        <v>0</v>
      </c>
      <c r="N857" s="459">
        <v>0</v>
      </c>
    </row>
    <row r="858" spans="1:14" ht="11.1" customHeight="1" thickBot="1">
      <c r="A858" s="430" t="s">
        <v>8277</v>
      </c>
      <c r="B858" s="463" t="s">
        <v>6231</v>
      </c>
      <c r="C858" s="75">
        <v>14654</v>
      </c>
      <c r="D858" s="77">
        <v>8.0085692893720051</v>
      </c>
      <c r="E858" s="464" t="s">
        <v>6262</v>
      </c>
      <c r="F858" s="78" t="s">
        <v>12504</v>
      </c>
      <c r="G858" s="78">
        <v>49</v>
      </c>
      <c r="H858" s="78" t="s">
        <v>0</v>
      </c>
      <c r="I858" s="78">
        <v>0</v>
      </c>
      <c r="J858" s="78" t="s">
        <v>6264</v>
      </c>
      <c r="K858" s="78">
        <v>0</v>
      </c>
      <c r="L858" s="78" t="s">
        <v>6036</v>
      </c>
      <c r="M858" s="78">
        <v>0</v>
      </c>
      <c r="N858" s="465">
        <v>0</v>
      </c>
    </row>
    <row r="859" spans="1:14" ht="11.1" customHeight="1">
      <c r="A859" s="941" t="s">
        <v>8279</v>
      </c>
      <c r="B859" s="439" t="s">
        <v>10050</v>
      </c>
      <c r="C859" s="440">
        <v>53754</v>
      </c>
      <c r="D859" s="441">
        <v>42.72056076994604</v>
      </c>
      <c r="E859" s="442" t="s">
        <v>6251</v>
      </c>
      <c r="F859" s="337" t="s">
        <v>12505</v>
      </c>
      <c r="G859" s="337">
        <v>51</v>
      </c>
      <c r="H859" s="337" t="s">
        <v>0</v>
      </c>
      <c r="I859" s="337" t="s">
        <v>6233</v>
      </c>
      <c r="J859" s="337" t="s">
        <v>6257</v>
      </c>
      <c r="K859" s="337" t="s">
        <v>12009</v>
      </c>
      <c r="L859" s="337" t="s">
        <v>6209</v>
      </c>
      <c r="M859" s="337">
        <v>2</v>
      </c>
      <c r="N859" s="443" t="s">
        <v>6260</v>
      </c>
    </row>
    <row r="860" spans="1:14" ht="11.1" customHeight="1">
      <c r="A860" s="400" t="s">
        <v>8283</v>
      </c>
      <c r="B860" s="458" t="s">
        <v>11986</v>
      </c>
      <c r="C860" s="39">
        <v>49704</v>
      </c>
      <c r="D860" s="41">
        <v>39.50185572253968</v>
      </c>
      <c r="E860" s="41">
        <v>92.465676972876437</v>
      </c>
      <c r="F860" s="42" t="s">
        <v>12506</v>
      </c>
      <c r="G860" s="42">
        <v>66</v>
      </c>
      <c r="H860" s="42" t="s">
        <v>0</v>
      </c>
      <c r="I860" s="42" t="s">
        <v>6233</v>
      </c>
      <c r="J860" s="42" t="s">
        <v>6253</v>
      </c>
      <c r="K860" s="42" t="s">
        <v>11989</v>
      </c>
      <c r="L860" s="42" t="s">
        <v>6209</v>
      </c>
      <c r="M860" s="42">
        <v>5</v>
      </c>
      <c r="N860" s="459">
        <v>0</v>
      </c>
    </row>
    <row r="861" spans="1:14" ht="11.1" customHeight="1">
      <c r="A861" s="817" t="s">
        <v>8285</v>
      </c>
      <c r="B861" s="455" t="s">
        <v>6230</v>
      </c>
      <c r="C861" s="46">
        <v>22369</v>
      </c>
      <c r="D861" s="48">
        <v>17.777583507514287</v>
      </c>
      <c r="E861" s="48">
        <v>41.613647356475795</v>
      </c>
      <c r="F861" s="49" t="s">
        <v>8286</v>
      </c>
      <c r="G861" s="49">
        <v>46</v>
      </c>
      <c r="H861" s="49" t="s">
        <v>0</v>
      </c>
      <c r="I861" s="49" t="s">
        <v>6233</v>
      </c>
      <c r="J861" s="49" t="s">
        <v>6264</v>
      </c>
      <c r="K861" s="49">
        <v>0</v>
      </c>
      <c r="L861" s="49" t="s">
        <v>6283</v>
      </c>
      <c r="M861" s="49">
        <v>2</v>
      </c>
      <c r="N861" s="457">
        <v>0</v>
      </c>
    </row>
    <row r="862" spans="1:14" ht="11.1" customHeight="1">
      <c r="A862" s="940" t="s">
        <v>8289</v>
      </c>
      <c r="B862" s="412" t="s">
        <v>10050</v>
      </c>
      <c r="C862" s="413">
        <v>70010</v>
      </c>
      <c r="D862" s="414">
        <v>51.134288677564015</v>
      </c>
      <c r="E862" s="415" t="s">
        <v>6251</v>
      </c>
      <c r="F862" s="416" t="s">
        <v>12507</v>
      </c>
      <c r="G862" s="416">
        <v>47</v>
      </c>
      <c r="H862" s="416" t="s">
        <v>0</v>
      </c>
      <c r="I862" s="416" t="s">
        <v>6233</v>
      </c>
      <c r="J862" s="416" t="s">
        <v>6257</v>
      </c>
      <c r="K862" s="416" t="s">
        <v>12062</v>
      </c>
      <c r="L862" s="416" t="s">
        <v>6209</v>
      </c>
      <c r="M862" s="416">
        <v>5</v>
      </c>
      <c r="N862" s="417" t="s">
        <v>6260</v>
      </c>
    </row>
    <row r="863" spans="1:14" ht="11.1" customHeight="1">
      <c r="A863" s="400" t="s">
        <v>8291</v>
      </c>
      <c r="B863" s="458" t="s">
        <v>6230</v>
      </c>
      <c r="C863" s="39">
        <v>44890</v>
      </c>
      <c r="D863" s="41">
        <v>32.787004981229096</v>
      </c>
      <c r="E863" s="41">
        <v>64.119411512641051</v>
      </c>
      <c r="F863" s="42" t="s">
        <v>8284</v>
      </c>
      <c r="G863" s="42">
        <v>46</v>
      </c>
      <c r="H863" s="42" t="s">
        <v>6049</v>
      </c>
      <c r="I863" s="42" t="s">
        <v>6233</v>
      </c>
      <c r="J863" s="42" t="s">
        <v>6253</v>
      </c>
      <c r="K863" s="42" t="s">
        <v>12007</v>
      </c>
      <c r="L863" s="42" t="s">
        <v>6036</v>
      </c>
      <c r="M863" s="42">
        <v>0</v>
      </c>
      <c r="N863" s="459">
        <v>0</v>
      </c>
    </row>
    <row r="864" spans="1:14" ht="11.1" customHeight="1">
      <c r="A864" s="817" t="s">
        <v>8293</v>
      </c>
      <c r="B864" s="455"/>
      <c r="C864" s="46">
        <v>22014</v>
      </c>
      <c r="D864" s="48">
        <v>16.078706341206889</v>
      </c>
      <c r="E864" s="456" t="s">
        <v>6262</v>
      </c>
      <c r="F864" s="49" t="s">
        <v>12508</v>
      </c>
      <c r="G864" s="49">
        <v>46</v>
      </c>
      <c r="H864" s="49" t="s">
        <v>0</v>
      </c>
      <c r="I864" s="49">
        <v>0</v>
      </c>
      <c r="J864" s="49" t="s">
        <v>6264</v>
      </c>
      <c r="K864" s="49">
        <v>0</v>
      </c>
      <c r="L864" s="49" t="s">
        <v>6036</v>
      </c>
      <c r="M864" s="49">
        <v>0</v>
      </c>
      <c r="N864" s="457">
        <v>0</v>
      </c>
    </row>
    <row r="865" spans="1:14" ht="11.1" customHeight="1">
      <c r="A865" s="940" t="s">
        <v>8297</v>
      </c>
      <c r="B865" s="412" t="s">
        <v>10050</v>
      </c>
      <c r="C865" s="413">
        <v>74072</v>
      </c>
      <c r="D865" s="414">
        <v>50.089261563429808</v>
      </c>
      <c r="E865" s="415" t="s">
        <v>6251</v>
      </c>
      <c r="F865" s="416" t="s">
        <v>8298</v>
      </c>
      <c r="G865" s="416">
        <v>53</v>
      </c>
      <c r="H865" s="416" t="s">
        <v>0</v>
      </c>
      <c r="I865" s="416" t="s">
        <v>6233</v>
      </c>
      <c r="J865" s="416" t="s">
        <v>6257</v>
      </c>
      <c r="K865" s="416" t="s">
        <v>12028</v>
      </c>
      <c r="L865" s="416" t="s">
        <v>6209</v>
      </c>
      <c r="M865" s="416">
        <v>5</v>
      </c>
      <c r="N865" s="417" t="s">
        <v>6260</v>
      </c>
    </row>
    <row r="866" spans="1:14" ht="11.1" customHeight="1">
      <c r="A866" s="400" t="s">
        <v>8299</v>
      </c>
      <c r="B866" s="458" t="s">
        <v>6230</v>
      </c>
      <c r="C866" s="39">
        <v>53718</v>
      </c>
      <c r="D866" s="41">
        <v>36.325398972139574</v>
      </c>
      <c r="E866" s="41">
        <v>72.521330597256721</v>
      </c>
      <c r="F866" s="42" t="s">
        <v>8300</v>
      </c>
      <c r="G866" s="42">
        <v>27</v>
      </c>
      <c r="H866" s="42" t="s">
        <v>6049</v>
      </c>
      <c r="I866" s="42" t="s">
        <v>6233</v>
      </c>
      <c r="J866" s="42" t="s">
        <v>6253</v>
      </c>
      <c r="K866" s="42" t="s">
        <v>12007</v>
      </c>
      <c r="L866" s="42" t="s">
        <v>6036</v>
      </c>
      <c r="M866" s="42">
        <v>0</v>
      </c>
      <c r="N866" s="459">
        <v>0</v>
      </c>
    </row>
    <row r="867" spans="1:14" ht="11.1" customHeight="1" thickBot="1">
      <c r="A867" s="418" t="s">
        <v>8301</v>
      </c>
      <c r="B867" s="460"/>
      <c r="C867" s="68">
        <v>20090</v>
      </c>
      <c r="D867" s="70">
        <v>13.58533946443062</v>
      </c>
      <c r="E867" s="461" t="s">
        <v>6262</v>
      </c>
      <c r="F867" s="71" t="s">
        <v>12509</v>
      </c>
      <c r="G867" s="71">
        <v>57</v>
      </c>
      <c r="H867" s="71" t="s">
        <v>0</v>
      </c>
      <c r="I867" s="71">
        <v>0</v>
      </c>
      <c r="J867" s="71" t="s">
        <v>6264</v>
      </c>
      <c r="K867" s="71">
        <v>0</v>
      </c>
      <c r="L867" s="71" t="s">
        <v>6036</v>
      </c>
      <c r="M867" s="71">
        <v>0</v>
      </c>
      <c r="N867" s="462">
        <v>0</v>
      </c>
    </row>
    <row r="868" spans="1:14" ht="11.1" customHeight="1" thickTop="1">
      <c r="A868" s="400" t="s">
        <v>8305</v>
      </c>
      <c r="B868" s="397" t="s">
        <v>10050</v>
      </c>
      <c r="C868" s="33">
        <v>99939</v>
      </c>
      <c r="D868" s="35">
        <v>47.265667491167747</v>
      </c>
      <c r="E868" s="398" t="s">
        <v>6251</v>
      </c>
      <c r="F868" s="36" t="s">
        <v>12510</v>
      </c>
      <c r="G868" s="36">
        <v>54</v>
      </c>
      <c r="H868" s="36" t="s">
        <v>0</v>
      </c>
      <c r="I868" s="36" t="s">
        <v>6233</v>
      </c>
      <c r="J868" s="36" t="s">
        <v>6253</v>
      </c>
      <c r="K868" s="36" t="s">
        <v>11989</v>
      </c>
      <c r="L868" s="36" t="s">
        <v>6209</v>
      </c>
      <c r="M868" s="36">
        <v>5</v>
      </c>
      <c r="N868" s="399">
        <v>0</v>
      </c>
    </row>
    <row r="869" spans="1:14" ht="11.1" customHeight="1">
      <c r="A869" s="400" t="s">
        <v>8307</v>
      </c>
      <c r="B869" s="458" t="s">
        <v>11986</v>
      </c>
      <c r="C869" s="39">
        <v>92891</v>
      </c>
      <c r="D869" s="41">
        <v>43.932349922673467</v>
      </c>
      <c r="E869" s="41">
        <v>92.947698095838462</v>
      </c>
      <c r="F869" s="42" t="s">
        <v>8308</v>
      </c>
      <c r="G869" s="42">
        <v>42</v>
      </c>
      <c r="H869" s="42" t="s">
        <v>0</v>
      </c>
      <c r="I869" s="42" t="s">
        <v>6233</v>
      </c>
      <c r="J869" s="42" t="s">
        <v>6257</v>
      </c>
      <c r="K869" s="42" t="s">
        <v>6258</v>
      </c>
      <c r="L869" s="42" t="s">
        <v>6036</v>
      </c>
      <c r="M869" s="42">
        <v>0</v>
      </c>
      <c r="N869" s="459">
        <v>0</v>
      </c>
    </row>
    <row r="870" spans="1:14" ht="11.1" customHeight="1">
      <c r="A870" s="817" t="s">
        <v>8309</v>
      </c>
      <c r="B870" s="455" t="s">
        <v>6231</v>
      </c>
      <c r="C870" s="46">
        <v>18611</v>
      </c>
      <c r="D870" s="48">
        <v>8.8019825861587861</v>
      </c>
      <c r="E870" s="456" t="s">
        <v>6262</v>
      </c>
      <c r="F870" s="49" t="s">
        <v>12511</v>
      </c>
      <c r="G870" s="49">
        <v>57</v>
      </c>
      <c r="H870" s="49" t="s">
        <v>0</v>
      </c>
      <c r="I870" s="49">
        <v>0</v>
      </c>
      <c r="J870" s="49" t="s">
        <v>6264</v>
      </c>
      <c r="K870" s="49">
        <v>0</v>
      </c>
      <c r="L870" s="49" t="s">
        <v>6036</v>
      </c>
      <c r="M870" s="49">
        <v>0</v>
      </c>
      <c r="N870" s="457">
        <v>0</v>
      </c>
    </row>
    <row r="871" spans="1:14" ht="11.1" customHeight="1">
      <c r="A871" s="940" t="s">
        <v>8315</v>
      </c>
      <c r="B871" s="412" t="s">
        <v>10050</v>
      </c>
      <c r="C871" s="413">
        <v>136702</v>
      </c>
      <c r="D871" s="414">
        <v>52.354380737546386</v>
      </c>
      <c r="E871" s="415" t="s">
        <v>6251</v>
      </c>
      <c r="F871" s="416" t="s">
        <v>12512</v>
      </c>
      <c r="G871" s="416">
        <v>68</v>
      </c>
      <c r="H871" s="416" t="s">
        <v>0</v>
      </c>
      <c r="I871" s="416" t="s">
        <v>6233</v>
      </c>
      <c r="J871" s="416" t="s">
        <v>6257</v>
      </c>
      <c r="K871" s="416" t="s">
        <v>6350</v>
      </c>
      <c r="L871" s="416" t="s">
        <v>6209</v>
      </c>
      <c r="M871" s="416">
        <v>11</v>
      </c>
      <c r="N871" s="417" t="s">
        <v>6260</v>
      </c>
    </row>
    <row r="872" spans="1:14" ht="11.1" customHeight="1">
      <c r="A872" s="400" t="s">
        <v>8313</v>
      </c>
      <c r="B872" s="458" t="s">
        <v>6230</v>
      </c>
      <c r="C872" s="39">
        <v>96963</v>
      </c>
      <c r="D872" s="41">
        <v>37.135066198407564</v>
      </c>
      <c r="E872" s="41">
        <v>70.930198534037544</v>
      </c>
      <c r="F872" s="42" t="s">
        <v>12513</v>
      </c>
      <c r="G872" s="42">
        <v>37</v>
      </c>
      <c r="H872" s="42" t="s">
        <v>0</v>
      </c>
      <c r="I872" s="42" t="s">
        <v>6233</v>
      </c>
      <c r="J872" s="42" t="s">
        <v>6253</v>
      </c>
      <c r="K872" s="42" t="s">
        <v>12007</v>
      </c>
      <c r="L872" s="42" t="s">
        <v>6036</v>
      </c>
      <c r="M872" s="42">
        <v>0</v>
      </c>
      <c r="N872" s="459">
        <v>0</v>
      </c>
    </row>
    <row r="873" spans="1:14" ht="11.1" customHeight="1">
      <c r="A873" s="400" t="s">
        <v>8317</v>
      </c>
      <c r="B873" s="458" t="s">
        <v>6231</v>
      </c>
      <c r="C873" s="39">
        <v>12852</v>
      </c>
      <c r="D873" s="41">
        <v>4.9220823487509051</v>
      </c>
      <c r="E873" s="469" t="s">
        <v>6262</v>
      </c>
      <c r="F873" s="42" t="s">
        <v>12514</v>
      </c>
      <c r="G873" s="42">
        <v>43</v>
      </c>
      <c r="H873" s="42" t="s">
        <v>0</v>
      </c>
      <c r="I873" s="42">
        <v>0</v>
      </c>
      <c r="J873" s="42" t="s">
        <v>6264</v>
      </c>
      <c r="K873" s="42">
        <v>0</v>
      </c>
      <c r="L873" s="42" t="s">
        <v>6036</v>
      </c>
      <c r="M873" s="42">
        <v>0</v>
      </c>
      <c r="N873" s="459">
        <v>0</v>
      </c>
    </row>
    <row r="874" spans="1:14" ht="11.1" customHeight="1">
      <c r="A874" s="400" t="s">
        <v>8319</v>
      </c>
      <c r="B874" s="458" t="s">
        <v>6231</v>
      </c>
      <c r="C874" s="39">
        <v>11771</v>
      </c>
      <c r="D874" s="41">
        <v>4.5080790014897989</v>
      </c>
      <c r="E874" s="41">
        <v>8.6107006481251194</v>
      </c>
      <c r="F874" s="42" t="s">
        <v>12515</v>
      </c>
      <c r="G874" s="42">
        <v>46</v>
      </c>
      <c r="H874" s="42" t="s">
        <v>0</v>
      </c>
      <c r="I874" s="42" t="s">
        <v>6233</v>
      </c>
      <c r="J874" s="42" t="s">
        <v>6278</v>
      </c>
      <c r="K874" s="42">
        <v>0</v>
      </c>
      <c r="L874" s="42" t="s">
        <v>6036</v>
      </c>
      <c r="M874" s="42">
        <v>0</v>
      </c>
      <c r="N874" s="459">
        <v>0</v>
      </c>
    </row>
    <row r="875" spans="1:14" ht="11.1" customHeight="1">
      <c r="A875" s="817" t="s">
        <v>12516</v>
      </c>
      <c r="B875" s="455" t="s">
        <v>6231</v>
      </c>
      <c r="C875" s="46">
        <v>2821</v>
      </c>
      <c r="D875" s="48">
        <v>1.0803917138053456</v>
      </c>
      <c r="E875" s="456" t="s">
        <v>6262</v>
      </c>
      <c r="F875" s="49" t="s">
        <v>12517</v>
      </c>
      <c r="G875" s="49">
        <v>54</v>
      </c>
      <c r="H875" s="49" t="s">
        <v>0</v>
      </c>
      <c r="I875" s="49">
        <v>0</v>
      </c>
      <c r="J875" s="49" t="s">
        <v>12017</v>
      </c>
      <c r="K875" s="49">
        <v>0</v>
      </c>
      <c r="L875" s="49" t="s">
        <v>6036</v>
      </c>
      <c r="M875" s="49">
        <v>0</v>
      </c>
      <c r="N875" s="457">
        <v>0</v>
      </c>
    </row>
    <row r="876" spans="1:14" ht="11.1" customHeight="1">
      <c r="A876" s="940" t="s">
        <v>8323</v>
      </c>
      <c r="B876" s="412" t="s">
        <v>10050</v>
      </c>
      <c r="C876" s="413">
        <v>139428</v>
      </c>
      <c r="D876" s="414">
        <v>54.065959633169825</v>
      </c>
      <c r="E876" s="415" t="s">
        <v>6251</v>
      </c>
      <c r="F876" s="416" t="s">
        <v>8324</v>
      </c>
      <c r="G876" s="416">
        <v>59</v>
      </c>
      <c r="H876" s="416" t="s">
        <v>0</v>
      </c>
      <c r="I876" s="416" t="s">
        <v>6233</v>
      </c>
      <c r="J876" s="416" t="s">
        <v>6257</v>
      </c>
      <c r="K876" s="416" t="s">
        <v>12009</v>
      </c>
      <c r="L876" s="416" t="s">
        <v>6283</v>
      </c>
      <c r="M876" s="416">
        <v>7</v>
      </c>
      <c r="N876" s="417" t="s">
        <v>6260</v>
      </c>
    </row>
    <row r="877" spans="1:14" ht="11.1" customHeight="1">
      <c r="A877" s="400" t="s">
        <v>8321</v>
      </c>
      <c r="B877" s="458" t="s">
        <v>6230</v>
      </c>
      <c r="C877" s="39">
        <v>104734</v>
      </c>
      <c r="D877" s="41">
        <v>40.61267619287667</v>
      </c>
      <c r="E877" s="41">
        <v>75.116906216828752</v>
      </c>
      <c r="F877" s="42" t="s">
        <v>8322</v>
      </c>
      <c r="G877" s="42">
        <v>56</v>
      </c>
      <c r="H877" s="42" t="s">
        <v>6049</v>
      </c>
      <c r="I877" s="42" t="s">
        <v>6233</v>
      </c>
      <c r="J877" s="42" t="s">
        <v>6253</v>
      </c>
      <c r="K877" s="42" t="s">
        <v>11989</v>
      </c>
      <c r="L877" s="42" t="s">
        <v>6209</v>
      </c>
      <c r="M877" s="42">
        <v>1</v>
      </c>
      <c r="N877" s="459">
        <v>0</v>
      </c>
    </row>
    <row r="878" spans="1:14" ht="11.1" customHeight="1">
      <c r="A878" s="817" t="s">
        <v>8325</v>
      </c>
      <c r="B878" s="455" t="s">
        <v>6231</v>
      </c>
      <c r="C878" s="46">
        <v>13723</v>
      </c>
      <c r="D878" s="48">
        <v>5.3213641739535067</v>
      </c>
      <c r="E878" s="456" t="s">
        <v>6262</v>
      </c>
      <c r="F878" s="49" t="s">
        <v>12518</v>
      </c>
      <c r="G878" s="49">
        <v>53</v>
      </c>
      <c r="H878" s="49" t="s">
        <v>0</v>
      </c>
      <c r="I878" s="49">
        <v>0</v>
      </c>
      <c r="J878" s="49" t="s">
        <v>6264</v>
      </c>
      <c r="K878" s="49">
        <v>0</v>
      </c>
      <c r="L878" s="49" t="s">
        <v>6036</v>
      </c>
      <c r="M878" s="49">
        <v>0</v>
      </c>
      <c r="N878" s="457">
        <v>0</v>
      </c>
    </row>
    <row r="879" spans="1:14" ht="11.1" customHeight="1">
      <c r="A879" s="940" t="s">
        <v>8331</v>
      </c>
      <c r="B879" s="412" t="s">
        <v>10050</v>
      </c>
      <c r="C879" s="413">
        <v>114613</v>
      </c>
      <c r="D879" s="414">
        <v>53.107551445000993</v>
      </c>
      <c r="E879" s="415" t="s">
        <v>6251</v>
      </c>
      <c r="F879" s="416" t="s">
        <v>8332</v>
      </c>
      <c r="G879" s="416">
        <v>64</v>
      </c>
      <c r="H879" s="416" t="s">
        <v>0</v>
      </c>
      <c r="I879" s="416" t="s">
        <v>6233</v>
      </c>
      <c r="J879" s="416" t="s">
        <v>6257</v>
      </c>
      <c r="K879" s="416" t="s">
        <v>6350</v>
      </c>
      <c r="L879" s="416" t="s">
        <v>6209</v>
      </c>
      <c r="M879" s="416">
        <v>3</v>
      </c>
      <c r="N879" s="417" t="s">
        <v>6260</v>
      </c>
    </row>
    <row r="880" spans="1:14" ht="11.1" customHeight="1">
      <c r="A880" s="400" t="s">
        <v>8329</v>
      </c>
      <c r="B880" s="458" t="s">
        <v>6230</v>
      </c>
      <c r="C880" s="39">
        <v>85658</v>
      </c>
      <c r="D880" s="41">
        <v>39.690843461700638</v>
      </c>
      <c r="E880" s="41">
        <v>74.73672271033827</v>
      </c>
      <c r="F880" s="42" t="s">
        <v>12519</v>
      </c>
      <c r="G880" s="42">
        <v>62</v>
      </c>
      <c r="H880" s="42" t="s">
        <v>0</v>
      </c>
      <c r="I880" s="42" t="s">
        <v>6233</v>
      </c>
      <c r="J880" s="42" t="s">
        <v>6253</v>
      </c>
      <c r="K880" s="42" t="s">
        <v>11994</v>
      </c>
      <c r="L880" s="42" t="s">
        <v>6209</v>
      </c>
      <c r="M880" s="42">
        <v>2</v>
      </c>
      <c r="N880" s="459">
        <v>0</v>
      </c>
    </row>
    <row r="881" spans="1:14" ht="11.1" customHeight="1">
      <c r="A881" s="817" t="s">
        <v>8333</v>
      </c>
      <c r="B881" s="455" t="s">
        <v>6231</v>
      </c>
      <c r="C881" s="46">
        <v>15542</v>
      </c>
      <c r="D881" s="48">
        <v>7.2016050932983644</v>
      </c>
      <c r="E881" s="456" t="s">
        <v>6262</v>
      </c>
      <c r="F881" s="49" t="s">
        <v>12520</v>
      </c>
      <c r="G881" s="49">
        <v>50</v>
      </c>
      <c r="H881" s="49" t="s">
        <v>0</v>
      </c>
      <c r="I881" s="49">
        <v>0</v>
      </c>
      <c r="J881" s="49" t="s">
        <v>6264</v>
      </c>
      <c r="K881" s="49">
        <v>0</v>
      </c>
      <c r="L881" s="49" t="s">
        <v>6036</v>
      </c>
      <c r="M881" s="49">
        <v>0</v>
      </c>
      <c r="N881" s="457">
        <v>0</v>
      </c>
    </row>
    <row r="882" spans="1:14" ht="11.1" customHeight="1">
      <c r="A882" s="940" t="s">
        <v>8337</v>
      </c>
      <c r="B882" s="412" t="s">
        <v>10050</v>
      </c>
      <c r="C882" s="413">
        <v>139178</v>
      </c>
      <c r="D882" s="414">
        <v>53.266127797679189</v>
      </c>
      <c r="E882" s="415" t="s">
        <v>6251</v>
      </c>
      <c r="F882" s="416" t="s">
        <v>8338</v>
      </c>
      <c r="G882" s="416">
        <v>60</v>
      </c>
      <c r="H882" s="416" t="s">
        <v>0</v>
      </c>
      <c r="I882" s="416" t="s">
        <v>6233</v>
      </c>
      <c r="J882" s="416" t="s">
        <v>6257</v>
      </c>
      <c r="K882" s="416" t="s">
        <v>6350</v>
      </c>
      <c r="L882" s="416" t="s">
        <v>6209</v>
      </c>
      <c r="M882" s="416">
        <v>4</v>
      </c>
      <c r="N882" s="417" t="s">
        <v>6260</v>
      </c>
    </row>
    <row r="883" spans="1:14" ht="11.1" customHeight="1">
      <c r="A883" s="400" t="s">
        <v>8335</v>
      </c>
      <c r="B883" s="458" t="s">
        <v>6230</v>
      </c>
      <c r="C883" s="39">
        <v>104550</v>
      </c>
      <c r="D883" s="41">
        <v>40.013318636906405</v>
      </c>
      <c r="E883" s="41">
        <v>75.119630976160025</v>
      </c>
      <c r="F883" s="42" t="s">
        <v>8336</v>
      </c>
      <c r="G883" s="42">
        <v>30</v>
      </c>
      <c r="H883" s="42" t="s">
        <v>0</v>
      </c>
      <c r="I883" s="42" t="s">
        <v>6233</v>
      </c>
      <c r="J883" s="42" t="s">
        <v>6253</v>
      </c>
      <c r="K883" s="42" t="s">
        <v>12007</v>
      </c>
      <c r="L883" s="42" t="s">
        <v>6209</v>
      </c>
      <c r="M883" s="42">
        <v>1</v>
      </c>
      <c r="N883" s="459">
        <v>0</v>
      </c>
    </row>
    <row r="884" spans="1:14" ht="11.1" customHeight="1">
      <c r="A884" s="817" t="s">
        <v>8339</v>
      </c>
      <c r="B884" s="455" t="s">
        <v>6231</v>
      </c>
      <c r="C884" s="46">
        <v>17560</v>
      </c>
      <c r="D884" s="48">
        <v>6.7205535654144084</v>
      </c>
      <c r="E884" s="456" t="s">
        <v>6262</v>
      </c>
      <c r="F884" s="49" t="s">
        <v>12521</v>
      </c>
      <c r="G884" s="49">
        <v>52</v>
      </c>
      <c r="H884" s="49" t="s">
        <v>6049</v>
      </c>
      <c r="I884" s="49">
        <v>0</v>
      </c>
      <c r="J884" s="49" t="s">
        <v>6264</v>
      </c>
      <c r="K884" s="49">
        <v>0</v>
      </c>
      <c r="L884" s="49" t="s">
        <v>6036</v>
      </c>
      <c r="M884" s="49">
        <v>0</v>
      </c>
      <c r="N884" s="457">
        <v>0</v>
      </c>
    </row>
    <row r="885" spans="1:14" ht="11.1" customHeight="1">
      <c r="A885" s="940" t="s">
        <v>8341</v>
      </c>
      <c r="B885" s="412" t="s">
        <v>10050</v>
      </c>
      <c r="C885" s="413">
        <v>131946</v>
      </c>
      <c r="D885" s="414">
        <v>52.071272124548628</v>
      </c>
      <c r="E885" s="415" t="s">
        <v>6251</v>
      </c>
      <c r="F885" s="416" t="s">
        <v>8342</v>
      </c>
      <c r="G885" s="416">
        <v>56</v>
      </c>
      <c r="H885" s="416" t="s">
        <v>0</v>
      </c>
      <c r="I885" s="416" t="s">
        <v>6233</v>
      </c>
      <c r="J885" s="416" t="s">
        <v>6257</v>
      </c>
      <c r="K885" s="416" t="s">
        <v>6258</v>
      </c>
      <c r="L885" s="416" t="s">
        <v>6209</v>
      </c>
      <c r="M885" s="416">
        <v>9</v>
      </c>
      <c r="N885" s="417" t="s">
        <v>6260</v>
      </c>
    </row>
    <row r="886" spans="1:14" ht="11.1" customHeight="1">
      <c r="A886" s="400" t="s">
        <v>8343</v>
      </c>
      <c r="B886" s="458" t="s">
        <v>11986</v>
      </c>
      <c r="C886" s="39">
        <v>109826</v>
      </c>
      <c r="D886" s="41">
        <v>43.341818110065311</v>
      </c>
      <c r="E886" s="41">
        <v>83.235566064905342</v>
      </c>
      <c r="F886" s="42" t="s">
        <v>8344</v>
      </c>
      <c r="G886" s="42">
        <v>58</v>
      </c>
      <c r="H886" s="42" t="s">
        <v>0</v>
      </c>
      <c r="I886" s="42" t="s">
        <v>6233</v>
      </c>
      <c r="J886" s="42" t="s">
        <v>6253</v>
      </c>
      <c r="K886" s="42" t="s">
        <v>11994</v>
      </c>
      <c r="L886" s="42" t="s">
        <v>6209</v>
      </c>
      <c r="M886" s="42">
        <v>5</v>
      </c>
      <c r="N886" s="459">
        <v>0</v>
      </c>
    </row>
    <row r="887" spans="1:14" ht="11.1" customHeight="1">
      <c r="A887" s="817" t="s">
        <v>8345</v>
      </c>
      <c r="B887" s="455" t="s">
        <v>6231</v>
      </c>
      <c r="C887" s="46">
        <v>11623</v>
      </c>
      <c r="D887" s="48">
        <v>4.5869097653860571</v>
      </c>
      <c r="E887" s="456" t="s">
        <v>6262</v>
      </c>
      <c r="F887" s="49" t="s">
        <v>12522</v>
      </c>
      <c r="G887" s="49">
        <v>63</v>
      </c>
      <c r="H887" s="49" t="s">
        <v>0</v>
      </c>
      <c r="I887" s="49">
        <v>0</v>
      </c>
      <c r="J887" s="49" t="s">
        <v>6264</v>
      </c>
      <c r="K887" s="49">
        <v>0</v>
      </c>
      <c r="L887" s="49" t="s">
        <v>6036</v>
      </c>
      <c r="M887" s="49">
        <v>0</v>
      </c>
      <c r="N887" s="457">
        <v>0</v>
      </c>
    </row>
    <row r="888" spans="1:14" ht="11.1" customHeight="1">
      <c r="A888" s="940" t="s">
        <v>8347</v>
      </c>
      <c r="B888" s="412" t="s">
        <v>10050</v>
      </c>
      <c r="C888" s="413">
        <v>112420</v>
      </c>
      <c r="D888" s="414">
        <v>54.102439470429424</v>
      </c>
      <c r="E888" s="415" t="s">
        <v>6251</v>
      </c>
      <c r="F888" s="416" t="s">
        <v>12523</v>
      </c>
      <c r="G888" s="416">
        <v>65</v>
      </c>
      <c r="H888" s="416" t="s">
        <v>0</v>
      </c>
      <c r="I888" s="416" t="s">
        <v>6233</v>
      </c>
      <c r="J888" s="416" t="s">
        <v>6257</v>
      </c>
      <c r="K888" s="416" t="s">
        <v>12009</v>
      </c>
      <c r="L888" s="416" t="s">
        <v>6209</v>
      </c>
      <c r="M888" s="416">
        <v>8</v>
      </c>
      <c r="N888" s="417">
        <v>0</v>
      </c>
    </row>
    <row r="889" spans="1:14" ht="11.1" customHeight="1">
      <c r="A889" s="400" t="s">
        <v>8349</v>
      </c>
      <c r="B889" s="458" t="s">
        <v>6230</v>
      </c>
      <c r="C889" s="39">
        <v>75524</v>
      </c>
      <c r="D889" s="41">
        <v>36.346136261917025</v>
      </c>
      <c r="E889" s="41">
        <v>67.180217043230741</v>
      </c>
      <c r="F889" s="42" t="s">
        <v>9941</v>
      </c>
      <c r="G889" s="42">
        <v>27</v>
      </c>
      <c r="H889" s="42" t="s">
        <v>0</v>
      </c>
      <c r="I889" s="42" t="s">
        <v>6233</v>
      </c>
      <c r="J889" s="42" t="s">
        <v>6253</v>
      </c>
      <c r="K889" s="42" t="s">
        <v>12007</v>
      </c>
      <c r="L889" s="42" t="s">
        <v>6036</v>
      </c>
      <c r="M889" s="42">
        <v>0</v>
      </c>
      <c r="N889" s="459">
        <v>0</v>
      </c>
    </row>
    <row r="890" spans="1:14" ht="11.1" customHeight="1">
      <c r="A890" s="817" t="s">
        <v>12524</v>
      </c>
      <c r="B890" s="455" t="s">
        <v>6231</v>
      </c>
      <c r="C890" s="46">
        <v>19847</v>
      </c>
      <c r="D890" s="48">
        <v>9.5514242676535552</v>
      </c>
      <c r="E890" s="456" t="s">
        <v>6262</v>
      </c>
      <c r="F890" s="49" t="s">
        <v>12525</v>
      </c>
      <c r="G890" s="49">
        <v>54</v>
      </c>
      <c r="H890" s="49" t="s">
        <v>0</v>
      </c>
      <c r="I890" s="49">
        <v>0</v>
      </c>
      <c r="J890" s="49" t="s">
        <v>6264</v>
      </c>
      <c r="K890" s="49">
        <v>0</v>
      </c>
      <c r="L890" s="49" t="s">
        <v>6036</v>
      </c>
      <c r="M890" s="49">
        <v>0</v>
      </c>
      <c r="N890" s="457">
        <v>0</v>
      </c>
    </row>
    <row r="891" spans="1:14" ht="11.1" customHeight="1">
      <c r="A891" s="940" t="s">
        <v>8351</v>
      </c>
      <c r="B891" s="412" t="s">
        <v>10050</v>
      </c>
      <c r="C891" s="413">
        <v>145229</v>
      </c>
      <c r="D891" s="414">
        <v>56.894316013805479</v>
      </c>
      <c r="E891" s="415" t="s">
        <v>6251</v>
      </c>
      <c r="F891" s="416" t="s">
        <v>8352</v>
      </c>
      <c r="G891" s="416">
        <v>64</v>
      </c>
      <c r="H891" s="416" t="s">
        <v>0</v>
      </c>
      <c r="I891" s="416" t="s">
        <v>6233</v>
      </c>
      <c r="J891" s="416" t="s">
        <v>6257</v>
      </c>
      <c r="K891" s="416" t="s">
        <v>12150</v>
      </c>
      <c r="L891" s="416" t="s">
        <v>6209</v>
      </c>
      <c r="M891" s="416">
        <v>8</v>
      </c>
      <c r="N891" s="417">
        <v>0</v>
      </c>
    </row>
    <row r="892" spans="1:14" ht="11.1" customHeight="1">
      <c r="A892" s="400" t="s">
        <v>8353</v>
      </c>
      <c r="B892" s="458" t="s">
        <v>6230</v>
      </c>
      <c r="C892" s="39">
        <v>87856</v>
      </c>
      <c r="D892" s="41">
        <v>34.418105390169281</v>
      </c>
      <c r="E892" s="41">
        <v>60.49480475662574</v>
      </c>
      <c r="F892" s="42" t="s">
        <v>12526</v>
      </c>
      <c r="G892" s="42">
        <v>44</v>
      </c>
      <c r="H892" s="42" t="s">
        <v>0</v>
      </c>
      <c r="I892" s="42" t="s">
        <v>6233</v>
      </c>
      <c r="J892" s="42" t="s">
        <v>6253</v>
      </c>
      <c r="K892" s="42" t="s">
        <v>12007</v>
      </c>
      <c r="L892" s="42" t="s">
        <v>6036</v>
      </c>
      <c r="M892" s="42">
        <v>0</v>
      </c>
      <c r="N892" s="459">
        <v>0</v>
      </c>
    </row>
    <row r="893" spans="1:14" ht="11.1" customHeight="1">
      <c r="A893" s="817" t="s">
        <v>8355</v>
      </c>
      <c r="B893" s="455" t="s">
        <v>6231</v>
      </c>
      <c r="C893" s="46">
        <v>22176</v>
      </c>
      <c r="D893" s="48">
        <v>8.6875785960252454</v>
      </c>
      <c r="E893" s="456" t="s">
        <v>6262</v>
      </c>
      <c r="F893" s="49" t="s">
        <v>12527</v>
      </c>
      <c r="G893" s="49">
        <v>45</v>
      </c>
      <c r="H893" s="49" t="s">
        <v>0</v>
      </c>
      <c r="I893" s="49">
        <v>0</v>
      </c>
      <c r="J893" s="49" t="s">
        <v>6264</v>
      </c>
      <c r="K893" s="49">
        <v>0</v>
      </c>
      <c r="L893" s="49" t="s">
        <v>6036</v>
      </c>
      <c r="M893" s="49">
        <v>0</v>
      </c>
      <c r="N893" s="457">
        <v>0</v>
      </c>
    </row>
    <row r="894" spans="1:14" ht="11.1" customHeight="1">
      <c r="A894" s="940" t="s">
        <v>8359</v>
      </c>
      <c r="B894" s="412" t="s">
        <v>10050</v>
      </c>
      <c r="C894" s="413">
        <v>121465</v>
      </c>
      <c r="D894" s="414">
        <v>47.634454144019074</v>
      </c>
      <c r="E894" s="415" t="s">
        <v>6251</v>
      </c>
      <c r="F894" s="416" t="s">
        <v>8360</v>
      </c>
      <c r="G894" s="416">
        <v>58</v>
      </c>
      <c r="H894" s="416" t="s">
        <v>0</v>
      </c>
      <c r="I894" s="416" t="s">
        <v>6233</v>
      </c>
      <c r="J894" s="416" t="s">
        <v>6257</v>
      </c>
      <c r="K894" s="416" t="s">
        <v>11995</v>
      </c>
      <c r="L894" s="416" t="s">
        <v>6209</v>
      </c>
      <c r="M894" s="416">
        <v>4</v>
      </c>
      <c r="N894" s="417" t="s">
        <v>6260</v>
      </c>
    </row>
    <row r="895" spans="1:14" ht="11.1" customHeight="1">
      <c r="A895" s="400" t="s">
        <v>8357</v>
      </c>
      <c r="B895" s="458" t="s">
        <v>11986</v>
      </c>
      <c r="C895" s="39">
        <v>106738</v>
      </c>
      <c r="D895" s="41">
        <v>41.859024133901187</v>
      </c>
      <c r="E895" s="41">
        <v>87.875519697032061</v>
      </c>
      <c r="F895" s="42" t="s">
        <v>12528</v>
      </c>
      <c r="G895" s="42">
        <v>52</v>
      </c>
      <c r="H895" s="42" t="s">
        <v>0</v>
      </c>
      <c r="I895" s="42" t="s">
        <v>6233</v>
      </c>
      <c r="J895" s="42" t="s">
        <v>6253</v>
      </c>
      <c r="K895" s="42" t="s">
        <v>12397</v>
      </c>
      <c r="L895" s="42" t="s">
        <v>6209</v>
      </c>
      <c r="M895" s="42">
        <v>5</v>
      </c>
      <c r="N895" s="459">
        <v>0</v>
      </c>
    </row>
    <row r="896" spans="1:14" ht="11.1" customHeight="1">
      <c r="A896" s="817" t="s">
        <v>8361</v>
      </c>
      <c r="B896" s="455"/>
      <c r="C896" s="46">
        <v>26791</v>
      </c>
      <c r="D896" s="48">
        <v>10.506521722079736</v>
      </c>
      <c r="E896" s="456" t="s">
        <v>6262</v>
      </c>
      <c r="F896" s="49" t="s">
        <v>12529</v>
      </c>
      <c r="G896" s="49">
        <v>42</v>
      </c>
      <c r="H896" s="49" t="s">
        <v>0</v>
      </c>
      <c r="I896" s="49">
        <v>0</v>
      </c>
      <c r="J896" s="49" t="s">
        <v>6264</v>
      </c>
      <c r="K896" s="49">
        <v>0</v>
      </c>
      <c r="L896" s="49" t="s">
        <v>6036</v>
      </c>
      <c r="M896" s="49">
        <v>0</v>
      </c>
      <c r="N896" s="457">
        <v>0</v>
      </c>
    </row>
    <row r="897" spans="1:14" ht="11.1" customHeight="1">
      <c r="A897" s="940" t="s">
        <v>8367</v>
      </c>
      <c r="B897" s="412" t="s">
        <v>10050</v>
      </c>
      <c r="C897" s="413">
        <v>97748</v>
      </c>
      <c r="D897" s="414">
        <v>38.352101071134307</v>
      </c>
      <c r="E897" s="415" t="s">
        <v>6251</v>
      </c>
      <c r="F897" s="416" t="s">
        <v>8368</v>
      </c>
      <c r="G897" s="416">
        <v>59</v>
      </c>
      <c r="H897" s="416" t="s">
        <v>6049</v>
      </c>
      <c r="I897" s="416" t="s">
        <v>6233</v>
      </c>
      <c r="J897" s="416" t="s">
        <v>6257</v>
      </c>
      <c r="K897" s="416" t="s">
        <v>12012</v>
      </c>
      <c r="L897" s="416" t="s">
        <v>6209</v>
      </c>
      <c r="M897" s="416">
        <v>2</v>
      </c>
      <c r="N897" s="417">
        <v>0</v>
      </c>
    </row>
    <row r="898" spans="1:14" ht="11.1" customHeight="1">
      <c r="A898" s="400" t="s">
        <v>12530</v>
      </c>
      <c r="B898" s="458" t="s">
        <v>6230</v>
      </c>
      <c r="C898" s="39">
        <v>65129</v>
      </c>
      <c r="D898" s="41">
        <v>25.55381174716522</v>
      </c>
      <c r="E898" s="469" t="s">
        <v>6262</v>
      </c>
      <c r="F898" s="42" t="s">
        <v>12531</v>
      </c>
      <c r="G898" s="42">
        <v>59</v>
      </c>
      <c r="H898" s="42" t="s">
        <v>0</v>
      </c>
      <c r="I898" s="42">
        <v>0</v>
      </c>
      <c r="J898" s="42" t="s">
        <v>12017</v>
      </c>
      <c r="K898" s="42" t="s">
        <v>12532</v>
      </c>
      <c r="L898" s="42" t="s">
        <v>6209</v>
      </c>
      <c r="M898" s="42">
        <v>7</v>
      </c>
      <c r="N898" s="459">
        <v>0</v>
      </c>
    </row>
    <row r="899" spans="1:14" ht="11.1" customHeight="1">
      <c r="A899" s="400" t="s">
        <v>8365</v>
      </c>
      <c r="B899" s="458" t="s">
        <v>6230</v>
      </c>
      <c r="C899" s="39">
        <v>60662</v>
      </c>
      <c r="D899" s="41">
        <v>23.801153529250207</v>
      </c>
      <c r="E899" s="41">
        <v>62.059581781724432</v>
      </c>
      <c r="F899" s="42" t="s">
        <v>12533</v>
      </c>
      <c r="G899" s="42">
        <v>32</v>
      </c>
      <c r="H899" s="42" t="s">
        <v>0</v>
      </c>
      <c r="I899" s="42" t="s">
        <v>6233</v>
      </c>
      <c r="J899" s="42" t="s">
        <v>6253</v>
      </c>
      <c r="K899" s="42" t="s">
        <v>12007</v>
      </c>
      <c r="L899" s="42" t="s">
        <v>6209</v>
      </c>
      <c r="M899" s="42">
        <v>1</v>
      </c>
      <c r="N899" s="459">
        <v>0</v>
      </c>
    </row>
    <row r="900" spans="1:14" ht="11.1" customHeight="1">
      <c r="A900" s="400" t="s">
        <v>8369</v>
      </c>
      <c r="B900" s="458" t="s">
        <v>6231</v>
      </c>
      <c r="C900" s="39">
        <v>21140</v>
      </c>
      <c r="D900" s="41">
        <v>8.2944246086240039</v>
      </c>
      <c r="E900" s="41">
        <v>21.627040962474936</v>
      </c>
      <c r="F900" s="42" t="s">
        <v>9978</v>
      </c>
      <c r="G900" s="42">
        <v>44</v>
      </c>
      <c r="H900" s="42" t="s">
        <v>0</v>
      </c>
      <c r="I900" s="42" t="s">
        <v>6233</v>
      </c>
      <c r="J900" s="42" t="s">
        <v>6264</v>
      </c>
      <c r="K900" s="42">
        <v>0</v>
      </c>
      <c r="L900" s="42" t="s">
        <v>6036</v>
      </c>
      <c r="M900" s="42">
        <v>0</v>
      </c>
      <c r="N900" s="459">
        <v>0</v>
      </c>
    </row>
    <row r="901" spans="1:14" ht="11.1" customHeight="1">
      <c r="A901" s="817" t="s">
        <v>8371</v>
      </c>
      <c r="B901" s="455" t="s">
        <v>6231</v>
      </c>
      <c r="C901" s="46">
        <v>10191</v>
      </c>
      <c r="D901" s="48">
        <v>3.9985090438262643</v>
      </c>
      <c r="E901" s="48">
        <v>10.425788762941441</v>
      </c>
      <c r="F901" s="49" t="s">
        <v>12534</v>
      </c>
      <c r="G901" s="49">
        <v>34</v>
      </c>
      <c r="H901" s="49" t="s">
        <v>0</v>
      </c>
      <c r="I901" s="49" t="s">
        <v>6233</v>
      </c>
      <c r="J901" s="49" t="s">
        <v>6278</v>
      </c>
      <c r="K901" s="49">
        <v>0</v>
      </c>
      <c r="L901" s="49" t="s">
        <v>6036</v>
      </c>
      <c r="M901" s="49">
        <v>0</v>
      </c>
      <c r="N901" s="457">
        <v>0</v>
      </c>
    </row>
    <row r="902" spans="1:14" ht="11.1" customHeight="1">
      <c r="A902" s="940" t="s">
        <v>8379</v>
      </c>
      <c r="B902" s="444" t="s">
        <v>10050</v>
      </c>
      <c r="C902" s="445">
        <v>78757</v>
      </c>
      <c r="D902" s="446">
        <v>39.502736105050381</v>
      </c>
      <c r="E902" s="447" t="s">
        <v>6262</v>
      </c>
      <c r="F902" s="448" t="s">
        <v>8374</v>
      </c>
      <c r="G902" s="448">
        <v>37</v>
      </c>
      <c r="H902" s="448" t="s">
        <v>0</v>
      </c>
      <c r="I902" s="448">
        <v>0</v>
      </c>
      <c r="J902" s="448" t="s">
        <v>12017</v>
      </c>
      <c r="K902" s="448" t="s">
        <v>12018</v>
      </c>
      <c r="L902" s="448" t="s">
        <v>6209</v>
      </c>
      <c r="M902" s="448">
        <v>1</v>
      </c>
      <c r="N902" s="449">
        <v>0</v>
      </c>
    </row>
    <row r="903" spans="1:14" ht="11.1" customHeight="1">
      <c r="A903" s="400" t="s">
        <v>8373</v>
      </c>
      <c r="B903" s="458" t="s">
        <v>11986</v>
      </c>
      <c r="C903" s="39">
        <v>78308</v>
      </c>
      <c r="D903" s="41">
        <v>39.277527825009656</v>
      </c>
      <c r="E903" s="41">
        <v>99.429891946112733</v>
      </c>
      <c r="F903" s="42" t="s">
        <v>9861</v>
      </c>
      <c r="G903" s="42">
        <v>57</v>
      </c>
      <c r="H903" s="42" t="s">
        <v>0</v>
      </c>
      <c r="I903" s="42" t="s">
        <v>6233</v>
      </c>
      <c r="J903" s="42" t="s">
        <v>6257</v>
      </c>
      <c r="K903" s="42" t="s">
        <v>12009</v>
      </c>
      <c r="L903" s="42" t="s">
        <v>6283</v>
      </c>
      <c r="M903" s="42">
        <v>3</v>
      </c>
      <c r="N903" s="459">
        <v>0</v>
      </c>
    </row>
    <row r="904" spans="1:14" ht="11.1" customHeight="1">
      <c r="A904" s="400" t="s">
        <v>8377</v>
      </c>
      <c r="B904" s="458"/>
      <c r="C904" s="39">
        <v>32231</v>
      </c>
      <c r="D904" s="41">
        <v>16.166343149204248</v>
      </c>
      <c r="E904" s="41">
        <v>40.924616224589563</v>
      </c>
      <c r="F904" s="42" t="s">
        <v>8314</v>
      </c>
      <c r="G904" s="42">
        <v>35</v>
      </c>
      <c r="H904" s="42" t="s">
        <v>0</v>
      </c>
      <c r="I904" s="42" t="s">
        <v>6233</v>
      </c>
      <c r="J904" s="42" t="s">
        <v>6253</v>
      </c>
      <c r="K904" s="42" t="s">
        <v>12007</v>
      </c>
      <c r="L904" s="42" t="s">
        <v>6036</v>
      </c>
      <c r="M904" s="42">
        <v>0</v>
      </c>
      <c r="N904" s="459">
        <v>0</v>
      </c>
    </row>
    <row r="905" spans="1:14" ht="11.1" customHeight="1" thickBot="1">
      <c r="A905" s="430" t="s">
        <v>8375</v>
      </c>
      <c r="B905" s="463" t="s">
        <v>6231</v>
      </c>
      <c r="C905" s="75">
        <v>10075</v>
      </c>
      <c r="D905" s="77">
        <v>5.053392920735714</v>
      </c>
      <c r="E905" s="464" t="s">
        <v>6262</v>
      </c>
      <c r="F905" s="78" t="s">
        <v>12535</v>
      </c>
      <c r="G905" s="78">
        <v>53</v>
      </c>
      <c r="H905" s="78" t="s">
        <v>0</v>
      </c>
      <c r="I905" s="78">
        <v>0</v>
      </c>
      <c r="J905" s="78" t="s">
        <v>6264</v>
      </c>
      <c r="K905" s="78">
        <v>0</v>
      </c>
      <c r="L905" s="78" t="s">
        <v>6036</v>
      </c>
      <c r="M905" s="78">
        <v>0</v>
      </c>
      <c r="N905" s="465">
        <v>0</v>
      </c>
    </row>
    <row r="906" spans="1:14" ht="11.1" customHeight="1">
      <c r="A906" s="941" t="s">
        <v>8383</v>
      </c>
      <c r="B906" s="439" t="s">
        <v>10050</v>
      </c>
      <c r="C906" s="440">
        <v>84643</v>
      </c>
      <c r="D906" s="441">
        <v>50.346476644797498</v>
      </c>
      <c r="E906" s="442" t="s">
        <v>6251</v>
      </c>
      <c r="F906" s="337" t="s">
        <v>8384</v>
      </c>
      <c r="G906" s="337">
        <v>32</v>
      </c>
      <c r="H906" s="337" t="s">
        <v>0</v>
      </c>
      <c r="I906" s="337" t="s">
        <v>6233</v>
      </c>
      <c r="J906" s="337" t="s">
        <v>6257</v>
      </c>
      <c r="K906" s="337" t="s">
        <v>6258</v>
      </c>
      <c r="L906" s="337" t="s">
        <v>6036</v>
      </c>
      <c r="M906" s="337">
        <v>0</v>
      </c>
      <c r="N906" s="443" t="s">
        <v>6260</v>
      </c>
    </row>
    <row r="907" spans="1:14" ht="11.1" customHeight="1">
      <c r="A907" s="400" t="s">
        <v>8381</v>
      </c>
      <c r="B907" s="458" t="s">
        <v>11986</v>
      </c>
      <c r="C907" s="39">
        <v>75449</v>
      </c>
      <c r="D907" s="41">
        <v>44.877796349058116</v>
      </c>
      <c r="E907" s="41">
        <v>89.137908628002322</v>
      </c>
      <c r="F907" s="42" t="s">
        <v>8382</v>
      </c>
      <c r="G907" s="42">
        <v>46</v>
      </c>
      <c r="H907" s="42" t="s">
        <v>0</v>
      </c>
      <c r="I907" s="42" t="s">
        <v>6233</v>
      </c>
      <c r="J907" s="42" t="s">
        <v>6253</v>
      </c>
      <c r="K907" s="42" t="s">
        <v>11994</v>
      </c>
      <c r="L907" s="42" t="s">
        <v>6209</v>
      </c>
      <c r="M907" s="42">
        <v>3</v>
      </c>
      <c r="N907" s="459">
        <v>0</v>
      </c>
    </row>
    <row r="908" spans="1:14" ht="11.1" customHeight="1">
      <c r="A908" s="817" t="s">
        <v>8385</v>
      </c>
      <c r="B908" s="455" t="s">
        <v>6231</v>
      </c>
      <c r="C908" s="46">
        <v>8029</v>
      </c>
      <c r="D908" s="48">
        <v>4.7757270061443844</v>
      </c>
      <c r="E908" s="456" t="s">
        <v>6262</v>
      </c>
      <c r="F908" s="49" t="s">
        <v>12536</v>
      </c>
      <c r="G908" s="49">
        <v>57</v>
      </c>
      <c r="H908" s="49" t="s">
        <v>6049</v>
      </c>
      <c r="I908" s="49">
        <v>0</v>
      </c>
      <c r="J908" s="49" t="s">
        <v>6264</v>
      </c>
      <c r="K908" s="49">
        <v>0</v>
      </c>
      <c r="L908" s="49" t="s">
        <v>6036</v>
      </c>
      <c r="M908" s="49">
        <v>0</v>
      </c>
      <c r="N908" s="457">
        <v>0</v>
      </c>
    </row>
    <row r="909" spans="1:14" ht="11.1" customHeight="1">
      <c r="A909" s="940" t="s">
        <v>12537</v>
      </c>
      <c r="B909" s="444" t="s">
        <v>10050</v>
      </c>
      <c r="C909" s="445">
        <v>66995</v>
      </c>
      <c r="D909" s="446">
        <v>42.073565152951964</v>
      </c>
      <c r="E909" s="447" t="s">
        <v>6262</v>
      </c>
      <c r="F909" s="448" t="s">
        <v>8390</v>
      </c>
      <c r="G909" s="448">
        <v>58</v>
      </c>
      <c r="H909" s="448" t="s">
        <v>0</v>
      </c>
      <c r="I909" s="448">
        <v>0</v>
      </c>
      <c r="J909" s="448" t="s">
        <v>12017</v>
      </c>
      <c r="K909" s="448" t="s">
        <v>12035</v>
      </c>
      <c r="L909" s="448" t="s">
        <v>6209</v>
      </c>
      <c r="M909" s="448">
        <v>3</v>
      </c>
      <c r="N909" s="449">
        <v>0</v>
      </c>
    </row>
    <row r="910" spans="1:14" ht="11.1" customHeight="1">
      <c r="A910" s="400" t="s">
        <v>8387</v>
      </c>
      <c r="B910" s="458" t="s">
        <v>11986</v>
      </c>
      <c r="C910" s="39">
        <v>51299</v>
      </c>
      <c r="D910" s="41">
        <v>32.216311945388206</v>
      </c>
      <c r="E910" s="41">
        <v>76.571385924322712</v>
      </c>
      <c r="F910" s="42" t="s">
        <v>8388</v>
      </c>
      <c r="G910" s="42">
        <v>40</v>
      </c>
      <c r="H910" s="42" t="s">
        <v>0</v>
      </c>
      <c r="I910" s="42" t="s">
        <v>6233</v>
      </c>
      <c r="J910" s="42" t="s">
        <v>6253</v>
      </c>
      <c r="K910" s="42" t="s">
        <v>12007</v>
      </c>
      <c r="L910" s="42" t="s">
        <v>6036</v>
      </c>
      <c r="M910" s="42">
        <v>0</v>
      </c>
      <c r="N910" s="459">
        <v>0</v>
      </c>
    </row>
    <row r="911" spans="1:14" ht="11.1" customHeight="1">
      <c r="A911" s="400" t="s">
        <v>8389</v>
      </c>
      <c r="B911" s="458" t="s">
        <v>6230</v>
      </c>
      <c r="C911" s="39">
        <v>35039</v>
      </c>
      <c r="D911" s="41">
        <v>22.004860801467032</v>
      </c>
      <c r="E911" s="41">
        <v>52.300917978953656</v>
      </c>
      <c r="F911" s="42" t="s">
        <v>12538</v>
      </c>
      <c r="G911" s="42">
        <v>33</v>
      </c>
      <c r="H911" s="42" t="s">
        <v>0</v>
      </c>
      <c r="I911" s="42" t="s">
        <v>6233</v>
      </c>
      <c r="J911" s="42" t="s">
        <v>6257</v>
      </c>
      <c r="K911" s="42" t="s">
        <v>6258</v>
      </c>
      <c r="L911" s="42" t="s">
        <v>6036</v>
      </c>
      <c r="M911" s="42">
        <v>0</v>
      </c>
      <c r="N911" s="459">
        <v>0</v>
      </c>
    </row>
    <row r="912" spans="1:14" ht="11.1" customHeight="1">
      <c r="A912" s="817" t="s">
        <v>8391</v>
      </c>
      <c r="B912" s="455" t="s">
        <v>6231</v>
      </c>
      <c r="C912" s="46">
        <v>5900</v>
      </c>
      <c r="D912" s="48">
        <v>3.7052621001927992</v>
      </c>
      <c r="E912" s="456" t="s">
        <v>6262</v>
      </c>
      <c r="F912" s="49" t="s">
        <v>12539</v>
      </c>
      <c r="G912" s="49">
        <v>64</v>
      </c>
      <c r="H912" s="49" t="s">
        <v>0</v>
      </c>
      <c r="I912" s="49">
        <v>0</v>
      </c>
      <c r="J912" s="49" t="s">
        <v>6264</v>
      </c>
      <c r="K912" s="49">
        <v>0</v>
      </c>
      <c r="L912" s="49" t="s">
        <v>6036</v>
      </c>
      <c r="M912" s="49">
        <v>0</v>
      </c>
      <c r="N912" s="457">
        <v>0</v>
      </c>
    </row>
    <row r="913" spans="1:14" ht="11.1" customHeight="1">
      <c r="A913" s="940" t="s">
        <v>8397</v>
      </c>
      <c r="B913" s="444" t="s">
        <v>10050</v>
      </c>
      <c r="C913" s="445">
        <v>87485</v>
      </c>
      <c r="D913" s="446">
        <v>54.044453779436111</v>
      </c>
      <c r="E913" s="447" t="s">
        <v>6262</v>
      </c>
      <c r="F913" s="448" t="s">
        <v>8394</v>
      </c>
      <c r="G913" s="448">
        <v>70</v>
      </c>
      <c r="H913" s="448" t="s">
        <v>0</v>
      </c>
      <c r="I913" s="448">
        <v>0</v>
      </c>
      <c r="J913" s="448" t="s">
        <v>12017</v>
      </c>
      <c r="K913" s="448" t="s">
        <v>12035</v>
      </c>
      <c r="L913" s="448" t="s">
        <v>6209</v>
      </c>
      <c r="M913" s="448">
        <v>9</v>
      </c>
      <c r="N913" s="449">
        <v>0</v>
      </c>
    </row>
    <row r="914" spans="1:14" ht="11.1" customHeight="1">
      <c r="A914" s="400" t="s">
        <v>8393</v>
      </c>
      <c r="B914" s="458" t="s">
        <v>11986</v>
      </c>
      <c r="C914" s="39">
        <v>48992</v>
      </c>
      <c r="D914" s="41">
        <v>30.265141219204825</v>
      </c>
      <c r="E914" s="41">
        <v>56.000457221237923</v>
      </c>
      <c r="F914" s="42" t="s">
        <v>8398</v>
      </c>
      <c r="G914" s="42">
        <v>52</v>
      </c>
      <c r="H914" s="42" t="s">
        <v>6049</v>
      </c>
      <c r="I914" s="42" t="s">
        <v>6233</v>
      </c>
      <c r="J914" s="42" t="s">
        <v>6257</v>
      </c>
      <c r="K914" s="42" t="s">
        <v>6258</v>
      </c>
      <c r="L914" s="42" t="s">
        <v>6036</v>
      </c>
      <c r="M914" s="42">
        <v>0</v>
      </c>
      <c r="N914" s="459">
        <v>0</v>
      </c>
    </row>
    <row r="915" spans="1:14" ht="11.1" customHeight="1">
      <c r="A915" s="400" t="s">
        <v>8395</v>
      </c>
      <c r="B915" s="458"/>
      <c r="C915" s="39">
        <v>17433</v>
      </c>
      <c r="D915" s="41">
        <v>10.76935432059107</v>
      </c>
      <c r="E915" s="41">
        <v>19.926844601931759</v>
      </c>
      <c r="F915" s="42" t="s">
        <v>8396</v>
      </c>
      <c r="G915" s="42">
        <v>51</v>
      </c>
      <c r="H915" s="42" t="s">
        <v>0</v>
      </c>
      <c r="I915" s="42" t="s">
        <v>6233</v>
      </c>
      <c r="J915" s="42" t="s">
        <v>6278</v>
      </c>
      <c r="K915" s="42">
        <v>0</v>
      </c>
      <c r="L915" s="42" t="s">
        <v>6036</v>
      </c>
      <c r="M915" s="42">
        <v>0</v>
      </c>
      <c r="N915" s="459">
        <v>0</v>
      </c>
    </row>
    <row r="916" spans="1:14" ht="11.1" customHeight="1" thickBot="1">
      <c r="A916" s="430" t="s">
        <v>8399</v>
      </c>
      <c r="B916" s="463" t="s">
        <v>6231</v>
      </c>
      <c r="C916" s="75">
        <v>7966</v>
      </c>
      <c r="D916" s="77">
        <v>4.921050680767995</v>
      </c>
      <c r="E916" s="464" t="s">
        <v>6262</v>
      </c>
      <c r="F916" s="78" t="s">
        <v>12540</v>
      </c>
      <c r="G916" s="78">
        <v>59</v>
      </c>
      <c r="H916" s="78" t="s">
        <v>0</v>
      </c>
      <c r="I916" s="78">
        <v>0</v>
      </c>
      <c r="J916" s="78" t="s">
        <v>6264</v>
      </c>
      <c r="K916" s="78">
        <v>0</v>
      </c>
      <c r="L916" s="78" t="s">
        <v>6036</v>
      </c>
      <c r="M916" s="78">
        <v>0</v>
      </c>
      <c r="N916" s="465">
        <v>0</v>
      </c>
    </row>
    <row r="917" spans="1:14" ht="11.1" customHeight="1">
      <c r="A917" s="941" t="s">
        <v>8403</v>
      </c>
      <c r="B917" s="436" t="s">
        <v>10050</v>
      </c>
      <c r="C917" s="82">
        <v>110518</v>
      </c>
      <c r="D917" s="84">
        <v>48.294878517741651</v>
      </c>
      <c r="E917" s="437" t="s">
        <v>6251</v>
      </c>
      <c r="F917" s="85" t="s">
        <v>8404</v>
      </c>
      <c r="G917" s="85">
        <v>59</v>
      </c>
      <c r="H917" s="85" t="s">
        <v>0</v>
      </c>
      <c r="I917" s="85" t="s">
        <v>6233</v>
      </c>
      <c r="J917" s="85" t="s">
        <v>6253</v>
      </c>
      <c r="K917" s="85" t="s">
        <v>12178</v>
      </c>
      <c r="L917" s="85" t="s">
        <v>6209</v>
      </c>
      <c r="M917" s="85">
        <v>5</v>
      </c>
      <c r="N917" s="438">
        <v>0</v>
      </c>
    </row>
    <row r="918" spans="1:14" ht="11.1" customHeight="1">
      <c r="A918" s="400" t="s">
        <v>8405</v>
      </c>
      <c r="B918" s="458" t="s">
        <v>11986</v>
      </c>
      <c r="C918" s="39">
        <v>101981</v>
      </c>
      <c r="D918" s="41">
        <v>44.5643244188079</v>
      </c>
      <c r="E918" s="41">
        <v>92.275466439855947</v>
      </c>
      <c r="F918" s="42" t="s">
        <v>12541</v>
      </c>
      <c r="G918" s="42">
        <v>57</v>
      </c>
      <c r="H918" s="42" t="s">
        <v>0</v>
      </c>
      <c r="I918" s="42" t="s">
        <v>6233</v>
      </c>
      <c r="J918" s="42" t="s">
        <v>6257</v>
      </c>
      <c r="K918" s="42" t="s">
        <v>6258</v>
      </c>
      <c r="L918" s="42" t="s">
        <v>6036</v>
      </c>
      <c r="M918" s="42">
        <v>0</v>
      </c>
      <c r="N918" s="459" t="s">
        <v>6260</v>
      </c>
    </row>
    <row r="919" spans="1:14" ht="11.1" customHeight="1">
      <c r="A919" s="817" t="s">
        <v>8407</v>
      </c>
      <c r="B919" s="455" t="s">
        <v>6231</v>
      </c>
      <c r="C919" s="46">
        <v>16341</v>
      </c>
      <c r="D919" s="48">
        <v>7.1407970634504458</v>
      </c>
      <c r="E919" s="456" t="s">
        <v>6262</v>
      </c>
      <c r="F919" s="49" t="s">
        <v>12542</v>
      </c>
      <c r="G919" s="49">
        <v>43</v>
      </c>
      <c r="H919" s="49" t="s">
        <v>0</v>
      </c>
      <c r="I919" s="49">
        <v>0</v>
      </c>
      <c r="J919" s="49" t="s">
        <v>6264</v>
      </c>
      <c r="K919" s="49">
        <v>0</v>
      </c>
      <c r="L919" s="49" t="s">
        <v>6036</v>
      </c>
      <c r="M919" s="49">
        <v>0</v>
      </c>
      <c r="N919" s="457">
        <v>0</v>
      </c>
    </row>
    <row r="920" spans="1:14" ht="11.1" customHeight="1">
      <c r="A920" s="940" t="s">
        <v>8413</v>
      </c>
      <c r="B920" s="412" t="s">
        <v>10050</v>
      </c>
      <c r="C920" s="413">
        <v>123234</v>
      </c>
      <c r="D920" s="414">
        <v>54.82085820795929</v>
      </c>
      <c r="E920" s="415" t="s">
        <v>6251</v>
      </c>
      <c r="F920" s="416" t="s">
        <v>8414</v>
      </c>
      <c r="G920" s="416">
        <v>64</v>
      </c>
      <c r="H920" s="416" t="s">
        <v>0</v>
      </c>
      <c r="I920" s="416" t="s">
        <v>6233</v>
      </c>
      <c r="J920" s="416" t="s">
        <v>6257</v>
      </c>
      <c r="K920" s="416" t="s">
        <v>6258</v>
      </c>
      <c r="L920" s="416" t="s">
        <v>6209</v>
      </c>
      <c r="M920" s="416">
        <v>8</v>
      </c>
      <c r="N920" s="417" t="s">
        <v>6260</v>
      </c>
    </row>
    <row r="921" spans="1:14" ht="11.1" customHeight="1">
      <c r="A921" s="400" t="s">
        <v>8411</v>
      </c>
      <c r="B921" s="458" t="s">
        <v>6230</v>
      </c>
      <c r="C921" s="39">
        <v>88472</v>
      </c>
      <c r="D921" s="41">
        <v>39.356922337784816</v>
      </c>
      <c r="E921" s="41">
        <v>71.791875618741585</v>
      </c>
      <c r="F921" s="42" t="s">
        <v>12543</v>
      </c>
      <c r="G921" s="42">
        <v>39</v>
      </c>
      <c r="H921" s="42" t="s">
        <v>0</v>
      </c>
      <c r="I921" s="42" t="s">
        <v>6233</v>
      </c>
      <c r="J921" s="42" t="s">
        <v>6253</v>
      </c>
      <c r="K921" s="42" t="s">
        <v>12007</v>
      </c>
      <c r="L921" s="42" t="s">
        <v>6036</v>
      </c>
      <c r="M921" s="42">
        <v>0</v>
      </c>
      <c r="N921" s="459">
        <v>0</v>
      </c>
    </row>
    <row r="922" spans="1:14" ht="11.1" customHeight="1">
      <c r="A922" s="817" t="s">
        <v>8419</v>
      </c>
      <c r="B922" s="455" t="s">
        <v>6231</v>
      </c>
      <c r="C922" s="46">
        <v>13088</v>
      </c>
      <c r="D922" s="48">
        <v>5.8222194542558965</v>
      </c>
      <c r="E922" s="456" t="s">
        <v>6262</v>
      </c>
      <c r="F922" s="49" t="s">
        <v>8408</v>
      </c>
      <c r="G922" s="49">
        <v>49</v>
      </c>
      <c r="H922" s="49" t="s">
        <v>6049</v>
      </c>
      <c r="I922" s="49">
        <v>0</v>
      </c>
      <c r="J922" s="49" t="s">
        <v>6264</v>
      </c>
      <c r="K922" s="49">
        <v>0</v>
      </c>
      <c r="L922" s="49" t="s">
        <v>6036</v>
      </c>
      <c r="M922" s="49">
        <v>0</v>
      </c>
      <c r="N922" s="457">
        <v>0</v>
      </c>
    </row>
    <row r="923" spans="1:14" ht="11.1" customHeight="1">
      <c r="A923" s="940" t="s">
        <v>8423</v>
      </c>
      <c r="B923" s="412" t="s">
        <v>10050</v>
      </c>
      <c r="C923" s="413">
        <v>83992</v>
      </c>
      <c r="D923" s="414">
        <v>53.03328787189978</v>
      </c>
      <c r="E923" s="415" t="s">
        <v>6251</v>
      </c>
      <c r="F923" s="416" t="s">
        <v>8424</v>
      </c>
      <c r="G923" s="416">
        <v>64</v>
      </c>
      <c r="H923" s="416" t="s">
        <v>0</v>
      </c>
      <c r="I923" s="416" t="s">
        <v>6233</v>
      </c>
      <c r="J923" s="416" t="s">
        <v>6257</v>
      </c>
      <c r="K923" s="416" t="s">
        <v>11998</v>
      </c>
      <c r="L923" s="416" t="s">
        <v>6209</v>
      </c>
      <c r="M923" s="416">
        <v>1</v>
      </c>
      <c r="N923" s="417" t="s">
        <v>6260</v>
      </c>
    </row>
    <row r="924" spans="1:14" ht="11.1" customHeight="1">
      <c r="A924" s="817" t="s">
        <v>8421</v>
      </c>
      <c r="B924" s="455" t="s">
        <v>11986</v>
      </c>
      <c r="C924" s="46">
        <v>74384</v>
      </c>
      <c r="D924" s="48">
        <v>46.96671212810022</v>
      </c>
      <c r="E924" s="48">
        <v>88.56081531574435</v>
      </c>
      <c r="F924" s="49" t="s">
        <v>8422</v>
      </c>
      <c r="G924" s="49">
        <v>63</v>
      </c>
      <c r="H924" s="49" t="s">
        <v>0</v>
      </c>
      <c r="I924" s="49" t="s">
        <v>6233</v>
      </c>
      <c r="J924" s="49" t="s">
        <v>6253</v>
      </c>
      <c r="K924" s="49" t="s">
        <v>12020</v>
      </c>
      <c r="L924" s="49" t="s">
        <v>6209</v>
      </c>
      <c r="M924" s="49">
        <v>3</v>
      </c>
      <c r="N924" s="457">
        <v>0</v>
      </c>
    </row>
    <row r="925" spans="1:14" ht="11.1" customHeight="1">
      <c r="A925" s="940" t="s">
        <v>8429</v>
      </c>
      <c r="B925" s="412" t="s">
        <v>10050</v>
      </c>
      <c r="C925" s="413">
        <v>97174</v>
      </c>
      <c r="D925" s="414">
        <v>50.743073179392383</v>
      </c>
      <c r="E925" s="415" t="s">
        <v>6251</v>
      </c>
      <c r="F925" s="416" t="s">
        <v>8430</v>
      </c>
      <c r="G925" s="416">
        <v>58</v>
      </c>
      <c r="H925" s="416" t="s">
        <v>0</v>
      </c>
      <c r="I925" s="416" t="s">
        <v>6233</v>
      </c>
      <c r="J925" s="416" t="s">
        <v>6257</v>
      </c>
      <c r="K925" s="416" t="s">
        <v>12009</v>
      </c>
      <c r="L925" s="416" t="s">
        <v>6209</v>
      </c>
      <c r="M925" s="416">
        <v>2</v>
      </c>
      <c r="N925" s="417" t="s">
        <v>6260</v>
      </c>
    </row>
    <row r="926" spans="1:14" ht="11.1" customHeight="1">
      <c r="A926" s="400" t="s">
        <v>8427</v>
      </c>
      <c r="B926" s="458" t="s">
        <v>6230</v>
      </c>
      <c r="C926" s="39">
        <v>67088</v>
      </c>
      <c r="D926" s="41">
        <v>35.032532297312819</v>
      </c>
      <c r="E926" s="41">
        <v>69.039043365509286</v>
      </c>
      <c r="F926" s="42" t="s">
        <v>8428</v>
      </c>
      <c r="G926" s="42">
        <v>42</v>
      </c>
      <c r="H926" s="42" t="s">
        <v>0</v>
      </c>
      <c r="I926" s="42" t="s">
        <v>6233</v>
      </c>
      <c r="J926" s="42" t="s">
        <v>6253</v>
      </c>
      <c r="K926" s="42" t="s">
        <v>12007</v>
      </c>
      <c r="L926" s="42" t="s">
        <v>6283</v>
      </c>
      <c r="M926" s="42">
        <v>1</v>
      </c>
      <c r="N926" s="459">
        <v>0</v>
      </c>
    </row>
    <row r="927" spans="1:14" ht="11.1" customHeight="1" thickBot="1">
      <c r="A927" s="430" t="s">
        <v>8431</v>
      </c>
      <c r="B927" s="463"/>
      <c r="C927" s="75">
        <v>27240</v>
      </c>
      <c r="D927" s="77">
        <v>14.224394523294796</v>
      </c>
      <c r="E927" s="77">
        <v>28.032189680367175</v>
      </c>
      <c r="F927" s="78" t="s">
        <v>12544</v>
      </c>
      <c r="G927" s="78">
        <v>58</v>
      </c>
      <c r="H927" s="78" t="s">
        <v>0</v>
      </c>
      <c r="I927" s="78" t="s">
        <v>6233</v>
      </c>
      <c r="J927" s="78" t="s">
        <v>6278</v>
      </c>
      <c r="K927" s="78">
        <v>0</v>
      </c>
      <c r="L927" s="78" t="s">
        <v>6283</v>
      </c>
      <c r="M927" s="78">
        <v>1</v>
      </c>
      <c r="N927" s="465">
        <v>0</v>
      </c>
    </row>
    <row r="928" spans="1:14" ht="11.1" customHeight="1">
      <c r="A928" s="941" t="s">
        <v>8433</v>
      </c>
      <c r="B928" s="436" t="s">
        <v>10050</v>
      </c>
      <c r="C928" s="82">
        <v>112500</v>
      </c>
      <c r="D928" s="84">
        <v>47.937208648298551</v>
      </c>
      <c r="E928" s="437" t="s">
        <v>6251</v>
      </c>
      <c r="F928" s="85" t="s">
        <v>8434</v>
      </c>
      <c r="G928" s="85">
        <v>44</v>
      </c>
      <c r="H928" s="85" t="s">
        <v>0</v>
      </c>
      <c r="I928" s="85" t="s">
        <v>6233</v>
      </c>
      <c r="J928" s="85" t="s">
        <v>6253</v>
      </c>
      <c r="K928" s="85" t="s">
        <v>11994</v>
      </c>
      <c r="L928" s="85" t="s">
        <v>6209</v>
      </c>
      <c r="M928" s="85">
        <v>2</v>
      </c>
      <c r="N928" s="438">
        <v>0</v>
      </c>
    </row>
    <row r="929" spans="1:14" ht="11.1" customHeight="1">
      <c r="A929" s="400" t="s">
        <v>8435</v>
      </c>
      <c r="B929" s="458" t="s">
        <v>11986</v>
      </c>
      <c r="C929" s="39">
        <v>110072</v>
      </c>
      <c r="D929" s="41">
        <v>46.902617158537936</v>
      </c>
      <c r="E929" s="41">
        <v>97.841777777777779</v>
      </c>
      <c r="F929" s="42" t="s">
        <v>12545</v>
      </c>
      <c r="G929" s="42">
        <v>36</v>
      </c>
      <c r="H929" s="42" t="s">
        <v>0</v>
      </c>
      <c r="I929" s="42" t="s">
        <v>6233</v>
      </c>
      <c r="J929" s="42" t="s">
        <v>6257</v>
      </c>
      <c r="K929" s="42" t="s">
        <v>6258</v>
      </c>
      <c r="L929" s="42" t="s">
        <v>6036</v>
      </c>
      <c r="M929" s="42">
        <v>0</v>
      </c>
      <c r="N929" s="459" t="s">
        <v>6260</v>
      </c>
    </row>
    <row r="930" spans="1:14" ht="11.1" customHeight="1">
      <c r="A930" s="817" t="s">
        <v>8437</v>
      </c>
      <c r="B930" s="455" t="s">
        <v>6231</v>
      </c>
      <c r="C930" s="46">
        <v>12110</v>
      </c>
      <c r="D930" s="48">
        <v>5.160174193163515</v>
      </c>
      <c r="E930" s="456" t="s">
        <v>6262</v>
      </c>
      <c r="F930" s="49" t="s">
        <v>12546</v>
      </c>
      <c r="G930" s="49">
        <v>30</v>
      </c>
      <c r="H930" s="49" t="s">
        <v>0</v>
      </c>
      <c r="I930" s="49">
        <v>0</v>
      </c>
      <c r="J930" s="49" t="s">
        <v>6264</v>
      </c>
      <c r="K930" s="49">
        <v>0</v>
      </c>
      <c r="L930" s="49" t="s">
        <v>6036</v>
      </c>
      <c r="M930" s="49">
        <v>0</v>
      </c>
      <c r="N930" s="457">
        <v>0</v>
      </c>
    </row>
    <row r="931" spans="1:14" ht="11.1" customHeight="1">
      <c r="A931" s="940" t="s">
        <v>8443</v>
      </c>
      <c r="B931" s="412" t="s">
        <v>10050</v>
      </c>
      <c r="C931" s="413">
        <v>112549</v>
      </c>
      <c r="D931" s="414">
        <v>55.779733761535184</v>
      </c>
      <c r="E931" s="415" t="s">
        <v>6251</v>
      </c>
      <c r="F931" s="416" t="s">
        <v>12547</v>
      </c>
      <c r="G931" s="416">
        <v>63</v>
      </c>
      <c r="H931" s="416" t="s">
        <v>0</v>
      </c>
      <c r="I931" s="416" t="s">
        <v>6233</v>
      </c>
      <c r="J931" s="416" t="s">
        <v>6257</v>
      </c>
      <c r="K931" s="416" t="s">
        <v>6350</v>
      </c>
      <c r="L931" s="416" t="s">
        <v>6209</v>
      </c>
      <c r="M931" s="416">
        <v>11</v>
      </c>
      <c r="N931" s="417" t="s">
        <v>6260</v>
      </c>
    </row>
    <row r="932" spans="1:14" ht="11.1" customHeight="1">
      <c r="A932" s="400" t="s">
        <v>8441</v>
      </c>
      <c r="B932" s="458" t="s">
        <v>6230</v>
      </c>
      <c r="C932" s="39">
        <v>79793</v>
      </c>
      <c r="D932" s="41">
        <v>39.54572938039589</v>
      </c>
      <c r="E932" s="41">
        <v>70.896231863455029</v>
      </c>
      <c r="F932" s="42" t="s">
        <v>12548</v>
      </c>
      <c r="G932" s="42">
        <v>54</v>
      </c>
      <c r="H932" s="42" t="s">
        <v>0</v>
      </c>
      <c r="I932" s="42" t="s">
        <v>6233</v>
      </c>
      <c r="J932" s="42" t="s">
        <v>6253</v>
      </c>
      <c r="K932" s="42" t="s">
        <v>12007</v>
      </c>
      <c r="L932" s="42" t="s">
        <v>6209</v>
      </c>
      <c r="M932" s="42">
        <v>1</v>
      </c>
      <c r="N932" s="459">
        <v>0</v>
      </c>
    </row>
    <row r="933" spans="1:14" ht="11.1" customHeight="1">
      <c r="A933" s="817" t="s">
        <v>8445</v>
      </c>
      <c r="B933" s="455" t="s">
        <v>6231</v>
      </c>
      <c r="C933" s="46">
        <v>9432</v>
      </c>
      <c r="D933" s="48">
        <v>4.6745368580689286</v>
      </c>
      <c r="E933" s="456" t="s">
        <v>6262</v>
      </c>
      <c r="F933" s="49" t="s">
        <v>8438</v>
      </c>
      <c r="G933" s="49">
        <v>51</v>
      </c>
      <c r="H933" s="49" t="s">
        <v>0</v>
      </c>
      <c r="I933" s="49">
        <v>0</v>
      </c>
      <c r="J933" s="49" t="s">
        <v>6264</v>
      </c>
      <c r="K933" s="49">
        <v>0</v>
      </c>
      <c r="L933" s="49" t="s">
        <v>6036</v>
      </c>
      <c r="M933" s="49">
        <v>0</v>
      </c>
      <c r="N933" s="457">
        <v>0</v>
      </c>
    </row>
    <row r="934" spans="1:14" ht="11.1" customHeight="1">
      <c r="A934" s="940" t="s">
        <v>8447</v>
      </c>
      <c r="B934" s="412" t="s">
        <v>10050</v>
      </c>
      <c r="C934" s="413">
        <v>86688</v>
      </c>
      <c r="D934" s="414">
        <v>43.717346136001453</v>
      </c>
      <c r="E934" s="415" t="s">
        <v>6262</v>
      </c>
      <c r="F934" s="416" t="s">
        <v>12549</v>
      </c>
      <c r="G934" s="416">
        <v>60</v>
      </c>
      <c r="H934" s="416" t="s">
        <v>0</v>
      </c>
      <c r="I934" s="416">
        <v>0</v>
      </c>
      <c r="J934" s="416" t="s">
        <v>6257</v>
      </c>
      <c r="K934" s="416" t="s">
        <v>12012</v>
      </c>
      <c r="L934" s="416" t="s">
        <v>6209</v>
      </c>
      <c r="M934" s="416">
        <v>5</v>
      </c>
      <c r="N934" s="417" t="s">
        <v>6260</v>
      </c>
    </row>
    <row r="935" spans="1:14" ht="11.1" customHeight="1">
      <c r="A935" s="400" t="s">
        <v>8453</v>
      </c>
      <c r="B935" s="458" t="s">
        <v>6230</v>
      </c>
      <c r="C935" s="39">
        <v>78796</v>
      </c>
      <c r="D935" s="41">
        <v>39.737357029027898</v>
      </c>
      <c r="E935" s="469" t="s">
        <v>6262</v>
      </c>
      <c r="F935" s="42" t="s">
        <v>8448</v>
      </c>
      <c r="G935" s="42">
        <v>54</v>
      </c>
      <c r="H935" s="42" t="s">
        <v>0</v>
      </c>
      <c r="I935" s="42">
        <v>0</v>
      </c>
      <c r="J935" s="42" t="s">
        <v>12017</v>
      </c>
      <c r="K935" s="42" t="s">
        <v>12550</v>
      </c>
      <c r="L935" s="42" t="s">
        <v>6209</v>
      </c>
      <c r="M935" s="42">
        <v>1</v>
      </c>
      <c r="N935" s="459">
        <v>0</v>
      </c>
    </row>
    <row r="936" spans="1:14" ht="11.1" customHeight="1">
      <c r="A936" s="817" t="s">
        <v>8449</v>
      </c>
      <c r="B936" s="455"/>
      <c r="C936" s="46">
        <v>32808</v>
      </c>
      <c r="D936" s="48">
        <v>16.54529683497065</v>
      </c>
      <c r="E936" s="48">
        <v>41.636631301081273</v>
      </c>
      <c r="F936" s="49" t="s">
        <v>12551</v>
      </c>
      <c r="G936" s="49">
        <v>44</v>
      </c>
      <c r="H936" s="49" t="s">
        <v>0</v>
      </c>
      <c r="I936" s="49" t="s">
        <v>6233</v>
      </c>
      <c r="J936" s="49" t="s">
        <v>6253</v>
      </c>
      <c r="K936" s="49" t="s">
        <v>12007</v>
      </c>
      <c r="L936" s="49" t="s">
        <v>6036</v>
      </c>
      <c r="M936" s="49">
        <v>0</v>
      </c>
      <c r="N936" s="457">
        <v>0</v>
      </c>
    </row>
    <row r="937" spans="1:14" ht="11.1" customHeight="1">
      <c r="A937" s="940" t="s">
        <v>8455</v>
      </c>
      <c r="B937" s="412" t="s">
        <v>10050</v>
      </c>
      <c r="C937" s="413">
        <v>136380</v>
      </c>
      <c r="D937" s="414">
        <v>68.344115981538366</v>
      </c>
      <c r="E937" s="415" t="s">
        <v>6251</v>
      </c>
      <c r="F937" s="416" t="s">
        <v>8456</v>
      </c>
      <c r="G937" s="416">
        <v>63</v>
      </c>
      <c r="H937" s="416" t="s">
        <v>0</v>
      </c>
      <c r="I937" s="416" t="s">
        <v>6233</v>
      </c>
      <c r="J937" s="416" t="s">
        <v>6257</v>
      </c>
      <c r="K937" s="416" t="s">
        <v>12062</v>
      </c>
      <c r="L937" s="416" t="s">
        <v>6209</v>
      </c>
      <c r="M937" s="416">
        <v>6</v>
      </c>
      <c r="N937" s="417" t="s">
        <v>6260</v>
      </c>
    </row>
    <row r="938" spans="1:14" ht="11.1" customHeight="1">
      <c r="A938" s="817" t="s">
        <v>8457</v>
      </c>
      <c r="B938" s="455" t="s">
        <v>6230</v>
      </c>
      <c r="C938" s="46">
        <v>63169</v>
      </c>
      <c r="D938" s="48">
        <v>31.655884018461631</v>
      </c>
      <c r="E938" s="48">
        <v>46.318375128317932</v>
      </c>
      <c r="F938" s="49" t="s">
        <v>12552</v>
      </c>
      <c r="G938" s="49">
        <v>49</v>
      </c>
      <c r="H938" s="49" t="s">
        <v>0</v>
      </c>
      <c r="I938" s="49" t="s">
        <v>6233</v>
      </c>
      <c r="J938" s="49" t="s">
        <v>6253</v>
      </c>
      <c r="K938" s="49" t="s">
        <v>12007</v>
      </c>
      <c r="L938" s="49" t="s">
        <v>6036</v>
      </c>
      <c r="M938" s="49">
        <v>0</v>
      </c>
      <c r="N938" s="457">
        <v>0</v>
      </c>
    </row>
    <row r="939" spans="1:14" ht="11.1" customHeight="1">
      <c r="A939" s="940" t="s">
        <v>8461</v>
      </c>
      <c r="B939" s="412" t="s">
        <v>10050</v>
      </c>
      <c r="C939" s="413">
        <v>105690</v>
      </c>
      <c r="D939" s="414">
        <v>61.589473438847577</v>
      </c>
      <c r="E939" s="415" t="s">
        <v>6251</v>
      </c>
      <c r="F939" s="416" t="s">
        <v>8462</v>
      </c>
      <c r="G939" s="416">
        <v>44</v>
      </c>
      <c r="H939" s="416" t="s">
        <v>0</v>
      </c>
      <c r="I939" s="416" t="s">
        <v>6233</v>
      </c>
      <c r="J939" s="416" t="s">
        <v>6257</v>
      </c>
      <c r="K939" s="416" t="s">
        <v>6350</v>
      </c>
      <c r="L939" s="416" t="s">
        <v>6209</v>
      </c>
      <c r="M939" s="416">
        <v>2</v>
      </c>
      <c r="N939" s="417" t="s">
        <v>6260</v>
      </c>
    </row>
    <row r="940" spans="1:14" ht="11.1" customHeight="1" thickBot="1">
      <c r="A940" s="430" t="s">
        <v>8463</v>
      </c>
      <c r="B940" s="463" t="s">
        <v>6230</v>
      </c>
      <c r="C940" s="75">
        <v>65914</v>
      </c>
      <c r="D940" s="77">
        <v>38.410526561152423</v>
      </c>
      <c r="E940" s="77">
        <v>62.365408269467309</v>
      </c>
      <c r="F940" s="78" t="s">
        <v>8450</v>
      </c>
      <c r="G940" s="78">
        <v>38</v>
      </c>
      <c r="H940" s="78" t="s">
        <v>0</v>
      </c>
      <c r="I940" s="78" t="s">
        <v>6233</v>
      </c>
      <c r="J940" s="78" t="s">
        <v>6253</v>
      </c>
      <c r="K940" s="78" t="s">
        <v>12007</v>
      </c>
      <c r="L940" s="78" t="s">
        <v>6036</v>
      </c>
      <c r="M940" s="78">
        <v>0</v>
      </c>
      <c r="N940" s="465">
        <v>0</v>
      </c>
    </row>
    <row r="941" spans="1:14" ht="11.1" customHeight="1">
      <c r="A941" s="941" t="s">
        <v>8470</v>
      </c>
      <c r="B941" s="436" t="s">
        <v>10050</v>
      </c>
      <c r="C941" s="82">
        <v>94594</v>
      </c>
      <c r="D941" s="84">
        <v>39.273110743911452</v>
      </c>
      <c r="E941" s="437" t="s">
        <v>6251</v>
      </c>
      <c r="F941" s="85" t="s">
        <v>8471</v>
      </c>
      <c r="G941" s="85">
        <v>47</v>
      </c>
      <c r="H941" s="85" t="s">
        <v>0</v>
      </c>
      <c r="I941" s="85" t="s">
        <v>6233</v>
      </c>
      <c r="J941" s="85" t="s">
        <v>6253</v>
      </c>
      <c r="K941" s="85" t="s">
        <v>12007</v>
      </c>
      <c r="L941" s="85" t="s">
        <v>6209</v>
      </c>
      <c r="M941" s="85">
        <v>1</v>
      </c>
      <c r="N941" s="438">
        <v>0</v>
      </c>
    </row>
    <row r="942" spans="1:14" ht="11.1" customHeight="1">
      <c r="A942" s="400" t="s">
        <v>8476</v>
      </c>
      <c r="B942" s="458" t="s">
        <v>6230</v>
      </c>
      <c r="C942" s="39">
        <v>90667</v>
      </c>
      <c r="D942" s="41">
        <v>37.642716576296799</v>
      </c>
      <c r="E942" s="469" t="s">
        <v>6262</v>
      </c>
      <c r="F942" s="42" t="s">
        <v>12553</v>
      </c>
      <c r="G942" s="42">
        <v>57</v>
      </c>
      <c r="H942" s="42" t="s">
        <v>0</v>
      </c>
      <c r="I942" s="42">
        <v>0</v>
      </c>
      <c r="J942" s="42" t="s">
        <v>12017</v>
      </c>
      <c r="K942" s="42" t="s">
        <v>12018</v>
      </c>
      <c r="L942" s="42" t="s">
        <v>6209</v>
      </c>
      <c r="M942" s="42">
        <v>4</v>
      </c>
      <c r="N942" s="459">
        <v>0</v>
      </c>
    </row>
    <row r="943" spans="1:14" ht="11.1" customHeight="1">
      <c r="A943" s="400" t="s">
        <v>8472</v>
      </c>
      <c r="B943" s="458" t="s">
        <v>11986</v>
      </c>
      <c r="C943" s="39">
        <v>46205</v>
      </c>
      <c r="D943" s="41">
        <v>19.183183731763418</v>
      </c>
      <c r="E943" s="41">
        <v>48.845592743725817</v>
      </c>
      <c r="F943" s="42" t="s">
        <v>12554</v>
      </c>
      <c r="G943" s="42">
        <v>54</v>
      </c>
      <c r="H943" s="42" t="s">
        <v>0</v>
      </c>
      <c r="I943" s="42" t="s">
        <v>6233</v>
      </c>
      <c r="J943" s="42" t="s">
        <v>6257</v>
      </c>
      <c r="K943" s="42" t="s">
        <v>11998</v>
      </c>
      <c r="L943" s="42" t="s">
        <v>6209</v>
      </c>
      <c r="M943" s="42">
        <v>1</v>
      </c>
      <c r="N943" s="459">
        <v>0</v>
      </c>
    </row>
    <row r="944" spans="1:14" ht="11.1" customHeight="1">
      <c r="A944" s="817" t="s">
        <v>8474</v>
      </c>
      <c r="B944" s="455" t="s">
        <v>6231</v>
      </c>
      <c r="C944" s="46">
        <v>9396</v>
      </c>
      <c r="D944" s="48">
        <v>3.9009889480283317</v>
      </c>
      <c r="E944" s="456" t="s">
        <v>6262</v>
      </c>
      <c r="F944" s="49" t="s">
        <v>12555</v>
      </c>
      <c r="G944" s="49">
        <v>53</v>
      </c>
      <c r="H944" s="49" t="s">
        <v>6049</v>
      </c>
      <c r="I944" s="49">
        <v>0</v>
      </c>
      <c r="J944" s="49" t="s">
        <v>6264</v>
      </c>
      <c r="K944" s="49">
        <v>0</v>
      </c>
      <c r="L944" s="49" t="s">
        <v>6036</v>
      </c>
      <c r="M944" s="49">
        <v>0</v>
      </c>
      <c r="N944" s="457">
        <v>0</v>
      </c>
    </row>
    <row r="945" spans="1:14" ht="11.1" customHeight="1">
      <c r="A945" s="940" t="s">
        <v>8480</v>
      </c>
      <c r="B945" s="412" t="s">
        <v>10050</v>
      </c>
      <c r="C945" s="413">
        <v>116837</v>
      </c>
      <c r="D945" s="414">
        <v>51.512933676056278</v>
      </c>
      <c r="E945" s="415" t="s">
        <v>6251</v>
      </c>
      <c r="F945" s="416" t="s">
        <v>8481</v>
      </c>
      <c r="G945" s="416">
        <v>64</v>
      </c>
      <c r="H945" s="416" t="s">
        <v>0</v>
      </c>
      <c r="I945" s="416" t="s">
        <v>6233</v>
      </c>
      <c r="J945" s="416" t="s">
        <v>6257</v>
      </c>
      <c r="K945" s="416" t="s">
        <v>11998</v>
      </c>
      <c r="L945" s="416" t="s">
        <v>6209</v>
      </c>
      <c r="M945" s="416">
        <v>7</v>
      </c>
      <c r="N945" s="417" t="s">
        <v>6260</v>
      </c>
    </row>
    <row r="946" spans="1:14" ht="11.1" customHeight="1">
      <c r="A946" s="400" t="s">
        <v>8482</v>
      </c>
      <c r="B946" s="458" t="s">
        <v>11986</v>
      </c>
      <c r="C946" s="39">
        <v>95017</v>
      </c>
      <c r="D946" s="41">
        <v>41.892588983779447</v>
      </c>
      <c r="E946" s="41">
        <v>81.324409219682124</v>
      </c>
      <c r="F946" s="42" t="s">
        <v>8479</v>
      </c>
      <c r="G946" s="42">
        <v>63</v>
      </c>
      <c r="H946" s="42" t="s">
        <v>0</v>
      </c>
      <c r="I946" s="42" t="s">
        <v>6233</v>
      </c>
      <c r="J946" s="42" t="s">
        <v>6278</v>
      </c>
      <c r="K946" s="42">
        <v>0</v>
      </c>
      <c r="L946" s="42" t="s">
        <v>6283</v>
      </c>
      <c r="M946" s="42">
        <v>1</v>
      </c>
      <c r="N946" s="459">
        <v>0</v>
      </c>
    </row>
    <row r="947" spans="1:14" ht="11.1" customHeight="1">
      <c r="A947" s="817" t="s">
        <v>8478</v>
      </c>
      <c r="B947" s="455" t="s">
        <v>6231</v>
      </c>
      <c r="C947" s="46">
        <v>14957</v>
      </c>
      <c r="D947" s="48">
        <v>6.5944773401642776</v>
      </c>
      <c r="E947" s="456" t="s">
        <v>6262</v>
      </c>
      <c r="F947" s="49" t="s">
        <v>12556</v>
      </c>
      <c r="G947" s="49">
        <v>28</v>
      </c>
      <c r="H947" s="49" t="s">
        <v>0</v>
      </c>
      <c r="I947" s="49">
        <v>0</v>
      </c>
      <c r="J947" s="49" t="s">
        <v>6264</v>
      </c>
      <c r="K947" s="49">
        <v>0</v>
      </c>
      <c r="L947" s="49" t="s">
        <v>6036</v>
      </c>
      <c r="M947" s="49">
        <v>0</v>
      </c>
      <c r="N947" s="457">
        <v>0</v>
      </c>
    </row>
    <row r="948" spans="1:14" ht="11.1" customHeight="1">
      <c r="A948" s="940" t="s">
        <v>8486</v>
      </c>
      <c r="B948" s="412" t="s">
        <v>10050</v>
      </c>
      <c r="C948" s="413">
        <v>127656</v>
      </c>
      <c r="D948" s="414">
        <v>53.081845739306161</v>
      </c>
      <c r="E948" s="415" t="s">
        <v>6251</v>
      </c>
      <c r="F948" s="416" t="s">
        <v>12557</v>
      </c>
      <c r="G948" s="416">
        <v>48</v>
      </c>
      <c r="H948" s="416" t="s">
        <v>0</v>
      </c>
      <c r="I948" s="416" t="s">
        <v>6233</v>
      </c>
      <c r="J948" s="416" t="s">
        <v>6257</v>
      </c>
      <c r="K948" s="416">
        <v>0</v>
      </c>
      <c r="L948" s="416" t="s">
        <v>6209</v>
      </c>
      <c r="M948" s="416">
        <v>3</v>
      </c>
      <c r="N948" s="417" t="s">
        <v>6260</v>
      </c>
    </row>
    <row r="949" spans="1:14" ht="11.1" customHeight="1" thickBot="1">
      <c r="A949" s="430" t="s">
        <v>8484</v>
      </c>
      <c r="B949" s="463" t="s">
        <v>11986</v>
      </c>
      <c r="C949" s="75">
        <v>112833</v>
      </c>
      <c r="D949" s="77">
        <v>46.918154260693839</v>
      </c>
      <c r="E949" s="77">
        <v>88.388324873096451</v>
      </c>
      <c r="F949" s="78" t="s">
        <v>8485</v>
      </c>
      <c r="G949" s="78">
        <v>61</v>
      </c>
      <c r="H949" s="78" t="s">
        <v>0</v>
      </c>
      <c r="I949" s="78" t="s">
        <v>6233</v>
      </c>
      <c r="J949" s="78" t="s">
        <v>6253</v>
      </c>
      <c r="K949" s="78" t="s">
        <v>11989</v>
      </c>
      <c r="L949" s="78" t="s">
        <v>6209</v>
      </c>
      <c r="M949" s="78">
        <v>4</v>
      </c>
      <c r="N949" s="465">
        <v>0</v>
      </c>
    </row>
    <row r="950" spans="1:14" ht="11.1" customHeight="1">
      <c r="A950" s="941" t="s">
        <v>8497</v>
      </c>
      <c r="B950" s="439" t="s">
        <v>10050</v>
      </c>
      <c r="C950" s="440">
        <v>121355</v>
      </c>
      <c r="D950" s="441">
        <v>56.900181454165242</v>
      </c>
      <c r="E950" s="442" t="s">
        <v>6251</v>
      </c>
      <c r="F950" s="337" t="s">
        <v>8494</v>
      </c>
      <c r="G950" s="337">
        <v>62</v>
      </c>
      <c r="H950" s="337" t="s">
        <v>0</v>
      </c>
      <c r="I950" s="337" t="s">
        <v>6233</v>
      </c>
      <c r="J950" s="337" t="s">
        <v>6257</v>
      </c>
      <c r="K950" s="337" t="s">
        <v>11998</v>
      </c>
      <c r="L950" s="337" t="s">
        <v>6209</v>
      </c>
      <c r="M950" s="337">
        <v>5</v>
      </c>
      <c r="N950" s="443" t="s">
        <v>6260</v>
      </c>
    </row>
    <row r="951" spans="1:14" ht="11.1" customHeight="1">
      <c r="A951" s="400" t="s">
        <v>8499</v>
      </c>
      <c r="B951" s="458" t="s">
        <v>6230</v>
      </c>
      <c r="C951" s="39">
        <v>56890</v>
      </c>
      <c r="D951" s="41">
        <v>26.674231164166788</v>
      </c>
      <c r="E951" s="41">
        <v>46.878991388900332</v>
      </c>
      <c r="F951" s="42" t="s">
        <v>12558</v>
      </c>
      <c r="G951" s="42">
        <v>65</v>
      </c>
      <c r="H951" s="42" t="s">
        <v>0</v>
      </c>
      <c r="I951" s="42" t="s">
        <v>6233</v>
      </c>
      <c r="J951" s="42" t="s">
        <v>6253</v>
      </c>
      <c r="K951" s="42" t="s">
        <v>12178</v>
      </c>
      <c r="L951" s="42" t="s">
        <v>6209</v>
      </c>
      <c r="M951" s="42">
        <v>9</v>
      </c>
      <c r="N951" s="459">
        <v>0</v>
      </c>
    </row>
    <row r="952" spans="1:14" ht="11.1" customHeight="1">
      <c r="A952" s="400" t="s">
        <v>8495</v>
      </c>
      <c r="B952" s="458"/>
      <c r="C952" s="39">
        <v>26297</v>
      </c>
      <c r="D952" s="41">
        <v>12.329974633926771</v>
      </c>
      <c r="E952" s="41">
        <v>21.66948209797701</v>
      </c>
      <c r="F952" s="42" t="s">
        <v>12559</v>
      </c>
      <c r="G952" s="42">
        <v>57</v>
      </c>
      <c r="H952" s="42" t="s">
        <v>0</v>
      </c>
      <c r="I952" s="42" t="s">
        <v>6233</v>
      </c>
      <c r="J952" s="42" t="s">
        <v>6278</v>
      </c>
      <c r="K952" s="42">
        <v>0</v>
      </c>
      <c r="L952" s="42" t="s">
        <v>6036</v>
      </c>
      <c r="M952" s="42">
        <v>0</v>
      </c>
      <c r="N952" s="459">
        <v>0</v>
      </c>
    </row>
    <row r="953" spans="1:14" ht="11.1" customHeight="1">
      <c r="A953" s="817" t="s">
        <v>8493</v>
      </c>
      <c r="B953" s="455" t="s">
        <v>6231</v>
      </c>
      <c r="C953" s="46">
        <v>8735</v>
      </c>
      <c r="D953" s="48">
        <v>4.0956127477412005</v>
      </c>
      <c r="E953" s="456" t="s">
        <v>6262</v>
      </c>
      <c r="F953" s="49" t="s">
        <v>12560</v>
      </c>
      <c r="G953" s="49">
        <v>55</v>
      </c>
      <c r="H953" s="49" t="s">
        <v>6049</v>
      </c>
      <c r="I953" s="49">
        <v>0</v>
      </c>
      <c r="J953" s="49" t="s">
        <v>6264</v>
      </c>
      <c r="K953" s="49">
        <v>0</v>
      </c>
      <c r="L953" s="49" t="s">
        <v>6036</v>
      </c>
      <c r="M953" s="49">
        <v>0</v>
      </c>
      <c r="N953" s="457">
        <v>0</v>
      </c>
    </row>
    <row r="954" spans="1:14" ht="11.1" customHeight="1">
      <c r="A954" s="940" t="s">
        <v>8507</v>
      </c>
      <c r="B954" s="444" t="s">
        <v>10050</v>
      </c>
      <c r="C954" s="445">
        <v>101809</v>
      </c>
      <c r="D954" s="446">
        <v>47.231758461995248</v>
      </c>
      <c r="E954" s="447" t="s">
        <v>6262</v>
      </c>
      <c r="F954" s="448" t="s">
        <v>12561</v>
      </c>
      <c r="G954" s="448">
        <v>45</v>
      </c>
      <c r="H954" s="448" t="s">
        <v>0</v>
      </c>
      <c r="I954" s="448">
        <v>0</v>
      </c>
      <c r="J954" s="448" t="s">
        <v>12017</v>
      </c>
      <c r="K954" s="448" t="s">
        <v>12018</v>
      </c>
      <c r="L954" s="448" t="s">
        <v>6209</v>
      </c>
      <c r="M954" s="448">
        <v>1</v>
      </c>
      <c r="N954" s="449">
        <v>0</v>
      </c>
    </row>
    <row r="955" spans="1:14" ht="11.1" customHeight="1">
      <c r="A955" s="400" t="s">
        <v>8501</v>
      </c>
      <c r="B955" s="458" t="s">
        <v>6230</v>
      </c>
      <c r="C955" s="39">
        <v>61979</v>
      </c>
      <c r="D955" s="41">
        <v>28.753618616389549</v>
      </c>
      <c r="E955" s="41">
        <v>60.877722008859728</v>
      </c>
      <c r="F955" s="42" t="s">
        <v>8496</v>
      </c>
      <c r="G955" s="42">
        <v>63</v>
      </c>
      <c r="H955" s="42" t="s">
        <v>0</v>
      </c>
      <c r="I955" s="42" t="s">
        <v>6233</v>
      </c>
      <c r="J955" s="42" t="s">
        <v>6257</v>
      </c>
      <c r="K955" s="42" t="s">
        <v>11995</v>
      </c>
      <c r="L955" s="42" t="s">
        <v>6036</v>
      </c>
      <c r="M955" s="42">
        <v>0</v>
      </c>
      <c r="N955" s="459">
        <v>0</v>
      </c>
    </row>
    <row r="956" spans="1:14" ht="11.1" customHeight="1">
      <c r="A956" s="817" t="s">
        <v>8503</v>
      </c>
      <c r="B956" s="455" t="s">
        <v>6230</v>
      </c>
      <c r="C956" s="46">
        <v>51764</v>
      </c>
      <c r="D956" s="48">
        <v>24.014622921615203</v>
      </c>
      <c r="E956" s="48">
        <v>50.844227916981801</v>
      </c>
      <c r="F956" s="49" t="s">
        <v>12562</v>
      </c>
      <c r="G956" s="49">
        <v>52</v>
      </c>
      <c r="H956" s="49" t="s">
        <v>0</v>
      </c>
      <c r="I956" s="49" t="s">
        <v>6233</v>
      </c>
      <c r="J956" s="49" t="s">
        <v>6253</v>
      </c>
      <c r="K956" s="49" t="s">
        <v>12007</v>
      </c>
      <c r="L956" s="49" t="s">
        <v>6036</v>
      </c>
      <c r="M956" s="49">
        <v>0</v>
      </c>
      <c r="N956" s="457">
        <v>0</v>
      </c>
    </row>
    <row r="957" spans="1:14" ht="11.1" customHeight="1">
      <c r="A957" s="940" t="s">
        <v>8513</v>
      </c>
      <c r="B957" s="444" t="s">
        <v>10050</v>
      </c>
      <c r="C957" s="445">
        <v>102816</v>
      </c>
      <c r="D957" s="446">
        <v>49.580464093513108</v>
      </c>
      <c r="E957" s="447" t="s">
        <v>6262</v>
      </c>
      <c r="F957" s="448" t="s">
        <v>8510</v>
      </c>
      <c r="G957" s="448">
        <v>40</v>
      </c>
      <c r="H957" s="448" t="s">
        <v>0</v>
      </c>
      <c r="I957" s="448">
        <v>0</v>
      </c>
      <c r="J957" s="448" t="s">
        <v>12017</v>
      </c>
      <c r="K957" s="448" t="s">
        <v>12035</v>
      </c>
      <c r="L957" s="448" t="s">
        <v>6209</v>
      </c>
      <c r="M957" s="448">
        <v>1</v>
      </c>
      <c r="N957" s="449">
        <v>0</v>
      </c>
    </row>
    <row r="958" spans="1:14" ht="11.1" customHeight="1">
      <c r="A958" s="400" t="s">
        <v>8509</v>
      </c>
      <c r="B958" s="458" t="s">
        <v>6230</v>
      </c>
      <c r="C958" s="39">
        <v>82204</v>
      </c>
      <c r="D958" s="41">
        <v>39.640838686032829</v>
      </c>
      <c r="E958" s="41">
        <v>79.952536570183625</v>
      </c>
      <c r="F958" s="42" t="s">
        <v>12563</v>
      </c>
      <c r="G958" s="42">
        <v>45</v>
      </c>
      <c r="H958" s="42" t="s">
        <v>0</v>
      </c>
      <c r="I958" s="42" t="s">
        <v>6233</v>
      </c>
      <c r="J958" s="42" t="s">
        <v>6257</v>
      </c>
      <c r="K958" s="42" t="s">
        <v>12009</v>
      </c>
      <c r="L958" s="42" t="s">
        <v>6036</v>
      </c>
      <c r="M958" s="42">
        <v>0</v>
      </c>
      <c r="N958" s="459" t="s">
        <v>6260</v>
      </c>
    </row>
    <row r="959" spans="1:14" ht="11.1" customHeight="1" thickBot="1">
      <c r="A959" s="430" t="s">
        <v>8511</v>
      </c>
      <c r="B959" s="463"/>
      <c r="C959" s="75">
        <v>22352</v>
      </c>
      <c r="D959" s="77">
        <v>10.778697220454063</v>
      </c>
      <c r="E959" s="77">
        <v>21.739807033924681</v>
      </c>
      <c r="F959" s="78" t="s">
        <v>12564</v>
      </c>
      <c r="G959" s="78">
        <v>29</v>
      </c>
      <c r="H959" s="78" t="s">
        <v>0</v>
      </c>
      <c r="I959" s="78" t="s">
        <v>6233</v>
      </c>
      <c r="J959" s="78" t="s">
        <v>6253</v>
      </c>
      <c r="K959" s="78" t="s">
        <v>12007</v>
      </c>
      <c r="L959" s="78" t="s">
        <v>6036</v>
      </c>
      <c r="M959" s="78">
        <v>0</v>
      </c>
      <c r="N959" s="465">
        <v>0</v>
      </c>
    </row>
    <row r="960" spans="1:14" ht="11.1" customHeight="1">
      <c r="A960" s="941" t="s">
        <v>8517</v>
      </c>
      <c r="B960" s="439" t="s">
        <v>10050</v>
      </c>
      <c r="C960" s="440">
        <v>112437</v>
      </c>
      <c r="D960" s="441">
        <v>53.478781998230644</v>
      </c>
      <c r="E960" s="442" t="s">
        <v>6251</v>
      </c>
      <c r="F960" s="337" t="s">
        <v>8518</v>
      </c>
      <c r="G960" s="337">
        <v>66</v>
      </c>
      <c r="H960" s="337" t="s">
        <v>0</v>
      </c>
      <c r="I960" s="337" t="s">
        <v>6233</v>
      </c>
      <c r="J960" s="337" t="s">
        <v>6257</v>
      </c>
      <c r="K960" s="337" t="s">
        <v>6350</v>
      </c>
      <c r="L960" s="337" t="s">
        <v>6209</v>
      </c>
      <c r="M960" s="337">
        <v>10</v>
      </c>
      <c r="N960" s="443" t="s">
        <v>6260</v>
      </c>
    </row>
    <row r="961" spans="1:14" ht="11.1" customHeight="1">
      <c r="A961" s="400" t="s">
        <v>8515</v>
      </c>
      <c r="B961" s="458" t="s">
        <v>11986</v>
      </c>
      <c r="C961" s="39">
        <v>88284</v>
      </c>
      <c r="D961" s="41">
        <v>41.990810764532974</v>
      </c>
      <c r="E961" s="41">
        <v>78.51863710344459</v>
      </c>
      <c r="F961" s="42" t="s">
        <v>8516</v>
      </c>
      <c r="G961" s="42">
        <v>43</v>
      </c>
      <c r="H961" s="42" t="s">
        <v>0</v>
      </c>
      <c r="I961" s="42" t="s">
        <v>6233</v>
      </c>
      <c r="J961" s="42" t="s">
        <v>6253</v>
      </c>
      <c r="K961" s="42" t="s">
        <v>12000</v>
      </c>
      <c r="L961" s="42" t="s">
        <v>6209</v>
      </c>
      <c r="M961" s="42">
        <v>3</v>
      </c>
      <c r="N961" s="459">
        <v>0</v>
      </c>
    </row>
    <row r="962" spans="1:14" ht="11.1" customHeight="1">
      <c r="A962" s="817" t="s">
        <v>8519</v>
      </c>
      <c r="B962" s="455" t="s">
        <v>6230</v>
      </c>
      <c r="C962" s="46">
        <v>9525</v>
      </c>
      <c r="D962" s="48">
        <v>4.5304072372363802</v>
      </c>
      <c r="E962" s="456" t="s">
        <v>6262</v>
      </c>
      <c r="F962" s="49" t="s">
        <v>12565</v>
      </c>
      <c r="G962" s="49">
        <v>52</v>
      </c>
      <c r="H962" s="49" t="s">
        <v>6049</v>
      </c>
      <c r="I962" s="49">
        <v>0</v>
      </c>
      <c r="J962" s="49" t="s">
        <v>6264</v>
      </c>
      <c r="K962" s="49">
        <v>0</v>
      </c>
      <c r="L962" s="49" t="s">
        <v>6036</v>
      </c>
      <c r="M962" s="49">
        <v>0</v>
      </c>
      <c r="N962" s="457">
        <v>0</v>
      </c>
    </row>
    <row r="963" spans="1:14" ht="11.1" customHeight="1">
      <c r="A963" s="940" t="s">
        <v>8529</v>
      </c>
      <c r="B963" s="444" t="s">
        <v>10050</v>
      </c>
      <c r="C963" s="445">
        <v>87737</v>
      </c>
      <c r="D963" s="446">
        <v>42.914090624510877</v>
      </c>
      <c r="E963" s="447" t="s">
        <v>6262</v>
      </c>
      <c r="F963" s="448" t="s">
        <v>12566</v>
      </c>
      <c r="G963" s="448">
        <v>34</v>
      </c>
      <c r="H963" s="448" t="s">
        <v>0</v>
      </c>
      <c r="I963" s="448">
        <v>0</v>
      </c>
      <c r="J963" s="448" t="s">
        <v>12017</v>
      </c>
      <c r="K963" s="448" t="s">
        <v>12567</v>
      </c>
      <c r="L963" s="448" t="s">
        <v>6036</v>
      </c>
      <c r="M963" s="448">
        <v>0</v>
      </c>
      <c r="N963" s="449" t="s">
        <v>6481</v>
      </c>
    </row>
    <row r="964" spans="1:14" ht="11.1" customHeight="1">
      <c r="A964" s="400" t="s">
        <v>8525</v>
      </c>
      <c r="B964" s="458" t="s">
        <v>6230</v>
      </c>
      <c r="C964" s="39">
        <v>71858</v>
      </c>
      <c r="D964" s="41">
        <v>35.147323524808264</v>
      </c>
      <c r="E964" s="41">
        <v>81.9015922586822</v>
      </c>
      <c r="F964" s="42" t="s">
        <v>12568</v>
      </c>
      <c r="G964" s="42">
        <v>48</v>
      </c>
      <c r="H964" s="42" t="s">
        <v>0</v>
      </c>
      <c r="I964" s="42" t="s">
        <v>6233</v>
      </c>
      <c r="J964" s="42" t="s">
        <v>6257</v>
      </c>
      <c r="K964" s="42" t="s">
        <v>11995</v>
      </c>
      <c r="L964" s="42" t="s">
        <v>6283</v>
      </c>
      <c r="M964" s="42">
        <v>1</v>
      </c>
      <c r="N964" s="459">
        <v>0</v>
      </c>
    </row>
    <row r="965" spans="1:14" ht="11.1" customHeight="1">
      <c r="A965" s="817" t="s">
        <v>8527</v>
      </c>
      <c r="B965" s="455" t="s">
        <v>6230</v>
      </c>
      <c r="C965" s="46">
        <v>44853</v>
      </c>
      <c r="D965" s="48">
        <v>21.938585850680859</v>
      </c>
      <c r="E965" s="456" t="s">
        <v>6262</v>
      </c>
      <c r="F965" s="49" t="s">
        <v>8528</v>
      </c>
      <c r="G965" s="49">
        <v>47</v>
      </c>
      <c r="H965" s="49" t="s">
        <v>0</v>
      </c>
      <c r="I965" s="49">
        <v>0</v>
      </c>
      <c r="J965" s="49" t="s">
        <v>12017</v>
      </c>
      <c r="K965" s="49" t="s">
        <v>6323</v>
      </c>
      <c r="L965" s="49" t="s">
        <v>6036</v>
      </c>
      <c r="M965" s="49">
        <v>0</v>
      </c>
      <c r="N965" s="457">
        <v>0</v>
      </c>
    </row>
    <row r="966" spans="1:14" ht="11.1" customHeight="1">
      <c r="A966" s="940" t="s">
        <v>8533</v>
      </c>
      <c r="B966" s="412" t="s">
        <v>10050</v>
      </c>
      <c r="C966" s="413">
        <v>92291</v>
      </c>
      <c r="D966" s="414">
        <v>47.936404055514004</v>
      </c>
      <c r="E966" s="415" t="s">
        <v>6262</v>
      </c>
      <c r="F966" s="416" t="s">
        <v>8534</v>
      </c>
      <c r="G966" s="416">
        <v>64</v>
      </c>
      <c r="H966" s="416" t="s">
        <v>0</v>
      </c>
      <c r="I966" s="416">
        <v>0</v>
      </c>
      <c r="J966" s="416" t="s">
        <v>6257</v>
      </c>
      <c r="K966" s="416" t="s">
        <v>11998</v>
      </c>
      <c r="L966" s="416" t="s">
        <v>6209</v>
      </c>
      <c r="M966" s="416">
        <v>5</v>
      </c>
      <c r="N966" s="417">
        <v>0</v>
      </c>
    </row>
    <row r="967" spans="1:14" ht="11.1" customHeight="1">
      <c r="A967" s="400" t="s">
        <v>8535</v>
      </c>
      <c r="B967" s="458" t="s">
        <v>6230</v>
      </c>
      <c r="C967" s="39">
        <v>68808</v>
      </c>
      <c r="D967" s="41">
        <v>35.739217152829717</v>
      </c>
      <c r="E967" s="469" t="s">
        <v>6262</v>
      </c>
      <c r="F967" s="42" t="s">
        <v>8532</v>
      </c>
      <c r="G967" s="42">
        <v>66</v>
      </c>
      <c r="H967" s="42" t="s">
        <v>0</v>
      </c>
      <c r="I967" s="42">
        <v>0</v>
      </c>
      <c r="J967" s="42" t="s">
        <v>12017</v>
      </c>
      <c r="K967" s="42" t="s">
        <v>12035</v>
      </c>
      <c r="L967" s="42" t="s">
        <v>6209</v>
      </c>
      <c r="M967" s="42">
        <v>4</v>
      </c>
      <c r="N967" s="459">
        <v>0</v>
      </c>
    </row>
    <row r="968" spans="1:14" ht="11.1" customHeight="1">
      <c r="A968" s="817" t="s">
        <v>8531</v>
      </c>
      <c r="B968" s="455"/>
      <c r="C968" s="46">
        <v>31429</v>
      </c>
      <c r="D968" s="48">
        <v>16.324378791656279</v>
      </c>
      <c r="E968" s="48">
        <v>34.054241475333455</v>
      </c>
      <c r="F968" s="49" t="s">
        <v>12569</v>
      </c>
      <c r="G968" s="49">
        <v>46</v>
      </c>
      <c r="H968" s="49" t="s">
        <v>0</v>
      </c>
      <c r="I968" s="49" t="s">
        <v>6233</v>
      </c>
      <c r="J968" s="49" t="s">
        <v>6253</v>
      </c>
      <c r="K968" s="49" t="s">
        <v>12007</v>
      </c>
      <c r="L968" s="49" t="s">
        <v>6036</v>
      </c>
      <c r="M968" s="49">
        <v>0</v>
      </c>
      <c r="N968" s="457">
        <v>0</v>
      </c>
    </row>
    <row r="969" spans="1:14" ht="11.1" customHeight="1">
      <c r="A969" s="940" t="s">
        <v>8537</v>
      </c>
      <c r="B969" s="412" t="s">
        <v>10050</v>
      </c>
      <c r="C969" s="413">
        <v>110258</v>
      </c>
      <c r="D969" s="414">
        <v>59.020201912062262</v>
      </c>
      <c r="E969" s="415" t="s">
        <v>6251</v>
      </c>
      <c r="F969" s="416" t="s">
        <v>8538</v>
      </c>
      <c r="G969" s="416">
        <v>46</v>
      </c>
      <c r="H969" s="416" t="s">
        <v>0</v>
      </c>
      <c r="I969" s="416" t="s">
        <v>6233</v>
      </c>
      <c r="J969" s="416" t="s">
        <v>6257</v>
      </c>
      <c r="K969" s="416" t="s">
        <v>12062</v>
      </c>
      <c r="L969" s="416" t="s">
        <v>6036</v>
      </c>
      <c r="M969" s="416">
        <v>0</v>
      </c>
      <c r="N969" s="417" t="s">
        <v>6260</v>
      </c>
    </row>
    <row r="970" spans="1:14" ht="11.1" customHeight="1">
      <c r="A970" s="400" t="s">
        <v>8539</v>
      </c>
      <c r="B970" s="458" t="s">
        <v>6230</v>
      </c>
      <c r="C970" s="39">
        <v>69921</v>
      </c>
      <c r="D970" s="41">
        <v>37.428137077520958</v>
      </c>
      <c r="E970" s="41">
        <v>63.415806562789093</v>
      </c>
      <c r="F970" s="42" t="s">
        <v>12570</v>
      </c>
      <c r="G970" s="42">
        <v>55</v>
      </c>
      <c r="H970" s="42" t="s">
        <v>0</v>
      </c>
      <c r="I970" s="42" t="s">
        <v>6233</v>
      </c>
      <c r="J970" s="42" t="s">
        <v>6253</v>
      </c>
      <c r="K970" s="42" t="s">
        <v>11989</v>
      </c>
      <c r="L970" s="42" t="s">
        <v>6283</v>
      </c>
      <c r="M970" s="42">
        <v>2</v>
      </c>
      <c r="N970" s="459">
        <v>0</v>
      </c>
    </row>
    <row r="971" spans="1:14" ht="11.1" customHeight="1">
      <c r="A971" s="817" t="s">
        <v>8541</v>
      </c>
      <c r="B971" s="455" t="s">
        <v>6231</v>
      </c>
      <c r="C971" s="46">
        <v>6635</v>
      </c>
      <c r="D971" s="48">
        <v>3.5516610104167783</v>
      </c>
      <c r="E971" s="456" t="s">
        <v>6262</v>
      </c>
      <c r="F971" s="49" t="s">
        <v>12571</v>
      </c>
      <c r="G971" s="49">
        <v>52</v>
      </c>
      <c r="H971" s="49" t="s">
        <v>0</v>
      </c>
      <c r="I971" s="49">
        <v>0</v>
      </c>
      <c r="J971" s="49" t="s">
        <v>6264</v>
      </c>
      <c r="K971" s="49">
        <v>0</v>
      </c>
      <c r="L971" s="49" t="s">
        <v>6036</v>
      </c>
      <c r="M971" s="49">
        <v>0</v>
      </c>
      <c r="N971" s="457">
        <v>0</v>
      </c>
    </row>
    <row r="972" spans="1:14" ht="11.1" customHeight="1">
      <c r="A972" s="940" t="s">
        <v>8547</v>
      </c>
      <c r="B972" s="444" t="s">
        <v>10050</v>
      </c>
      <c r="C972" s="445">
        <v>110457</v>
      </c>
      <c r="D972" s="446">
        <v>62.57938778632009</v>
      </c>
      <c r="E972" s="447" t="s">
        <v>6262</v>
      </c>
      <c r="F972" s="448" t="s">
        <v>12572</v>
      </c>
      <c r="G972" s="448">
        <v>60</v>
      </c>
      <c r="H972" s="448" t="s">
        <v>0</v>
      </c>
      <c r="I972" s="448">
        <v>0</v>
      </c>
      <c r="J972" s="448" t="s">
        <v>12017</v>
      </c>
      <c r="K972" s="448" t="s">
        <v>12035</v>
      </c>
      <c r="L972" s="448" t="s">
        <v>6209</v>
      </c>
      <c r="M972" s="448">
        <v>1</v>
      </c>
      <c r="N972" s="449">
        <v>0</v>
      </c>
    </row>
    <row r="973" spans="1:14" ht="11.1" customHeight="1">
      <c r="A973" s="400" t="s">
        <v>8543</v>
      </c>
      <c r="B973" s="458" t="s">
        <v>6230</v>
      </c>
      <c r="C973" s="39">
        <v>55808</v>
      </c>
      <c r="D973" s="41">
        <v>31.618009484043125</v>
      </c>
      <c r="E973" s="41">
        <v>50.524638547126933</v>
      </c>
      <c r="F973" s="42" t="s">
        <v>12573</v>
      </c>
      <c r="G973" s="42">
        <v>51</v>
      </c>
      <c r="H973" s="42" t="s">
        <v>0</v>
      </c>
      <c r="I973" s="42" t="s">
        <v>6233</v>
      </c>
      <c r="J973" s="42" t="s">
        <v>6257</v>
      </c>
      <c r="K973" s="42" t="s">
        <v>6258</v>
      </c>
      <c r="L973" s="42" t="s">
        <v>6036</v>
      </c>
      <c r="M973" s="42">
        <v>0</v>
      </c>
      <c r="N973" s="459">
        <v>0</v>
      </c>
    </row>
    <row r="974" spans="1:14" ht="11.1" customHeight="1" thickBot="1">
      <c r="A974" s="430" t="s">
        <v>8545</v>
      </c>
      <c r="B974" s="463" t="s">
        <v>6231</v>
      </c>
      <c r="C974" s="75">
        <v>10242</v>
      </c>
      <c r="D974" s="77">
        <v>5.802602729636785</v>
      </c>
      <c r="E974" s="464" t="s">
        <v>6262</v>
      </c>
      <c r="F974" s="78" t="s">
        <v>12574</v>
      </c>
      <c r="G974" s="78">
        <v>56</v>
      </c>
      <c r="H974" s="78" t="s">
        <v>0</v>
      </c>
      <c r="I974" s="78">
        <v>0</v>
      </c>
      <c r="J974" s="78" t="s">
        <v>6264</v>
      </c>
      <c r="K974" s="78">
        <v>0</v>
      </c>
      <c r="L974" s="78" t="s">
        <v>6036</v>
      </c>
      <c r="M974" s="78">
        <v>0</v>
      </c>
      <c r="N974" s="465">
        <v>0</v>
      </c>
    </row>
    <row r="975" spans="1:14" ht="11.1" customHeight="1">
      <c r="A975" s="941" t="s">
        <v>8549</v>
      </c>
      <c r="B975" s="476" t="s">
        <v>10050</v>
      </c>
      <c r="C975" s="477">
        <v>72384</v>
      </c>
      <c r="D975" s="478">
        <v>43.775173264632244</v>
      </c>
      <c r="E975" s="479" t="s">
        <v>6262</v>
      </c>
      <c r="F975" s="480" t="s">
        <v>8550</v>
      </c>
      <c r="G975" s="480">
        <v>44</v>
      </c>
      <c r="H975" s="480" t="s">
        <v>0</v>
      </c>
      <c r="I975" s="480">
        <v>0</v>
      </c>
      <c r="J975" s="480" t="s">
        <v>12017</v>
      </c>
      <c r="K975" s="480">
        <v>0</v>
      </c>
      <c r="L975" s="480" t="s">
        <v>6283</v>
      </c>
      <c r="M975" s="480">
        <v>2</v>
      </c>
      <c r="N975" s="481" t="s">
        <v>12575</v>
      </c>
    </row>
    <row r="976" spans="1:14" ht="11.1" customHeight="1">
      <c r="A976" s="400" t="s">
        <v>8551</v>
      </c>
      <c r="B976" s="458" t="s">
        <v>6230</v>
      </c>
      <c r="C976" s="39">
        <v>67540</v>
      </c>
      <c r="D976" s="41">
        <v>40.845700739020529</v>
      </c>
      <c r="E976" s="469" t="s">
        <v>6262</v>
      </c>
      <c r="F976" s="42" t="s">
        <v>12576</v>
      </c>
      <c r="G976" s="42">
        <v>63</v>
      </c>
      <c r="H976" s="42" t="s">
        <v>0</v>
      </c>
      <c r="I976" s="42">
        <v>0</v>
      </c>
      <c r="J976" s="42" t="s">
        <v>6929</v>
      </c>
      <c r="K976" s="42">
        <v>0</v>
      </c>
      <c r="L976" s="42" t="s">
        <v>6209</v>
      </c>
      <c r="M976" s="42">
        <v>3</v>
      </c>
      <c r="N976" s="459" t="s">
        <v>7394</v>
      </c>
    </row>
    <row r="977" spans="1:14" ht="11.1" customHeight="1">
      <c r="A977" s="400" t="s">
        <v>8553</v>
      </c>
      <c r="B977" s="458" t="s">
        <v>10055</v>
      </c>
      <c r="C977" s="39">
        <v>23123</v>
      </c>
      <c r="D977" s="41">
        <v>13.983937491684507</v>
      </c>
      <c r="E977" s="41">
        <v>31.944904951370468</v>
      </c>
      <c r="F977" s="42" t="s">
        <v>9976</v>
      </c>
      <c r="G977" s="42">
        <v>57</v>
      </c>
      <c r="H977" s="42" t="s">
        <v>0</v>
      </c>
      <c r="I977" s="42" t="s">
        <v>6233</v>
      </c>
      <c r="J977" s="42" t="s">
        <v>6264</v>
      </c>
      <c r="K977" s="42">
        <v>0</v>
      </c>
      <c r="L977" s="42" t="s">
        <v>6209</v>
      </c>
      <c r="M977" s="42">
        <v>2</v>
      </c>
      <c r="N977" s="459" t="s">
        <v>8559</v>
      </c>
    </row>
    <row r="978" spans="1:14" ht="11.1" customHeight="1">
      <c r="A978" s="817" t="s">
        <v>8555</v>
      </c>
      <c r="B978" s="455" t="s">
        <v>6231</v>
      </c>
      <c r="C978" s="46">
        <v>2307</v>
      </c>
      <c r="D978" s="48">
        <v>1.3951885046627237</v>
      </c>
      <c r="E978" s="456" t="s">
        <v>6262</v>
      </c>
      <c r="F978" s="49" t="s">
        <v>12577</v>
      </c>
      <c r="G978" s="49">
        <v>32</v>
      </c>
      <c r="H978" s="49" t="s">
        <v>0</v>
      </c>
      <c r="I978" s="49">
        <v>0</v>
      </c>
      <c r="J978" s="49" t="s">
        <v>12017</v>
      </c>
      <c r="K978" s="49">
        <v>0</v>
      </c>
      <c r="L978" s="49" t="s">
        <v>6036</v>
      </c>
      <c r="M978" s="49">
        <v>0</v>
      </c>
      <c r="N978" s="457">
        <v>0</v>
      </c>
    </row>
    <row r="979" spans="1:14" ht="11.1" customHeight="1">
      <c r="A979" s="940" t="s">
        <v>8562</v>
      </c>
      <c r="B979" s="482" t="s">
        <v>10050</v>
      </c>
      <c r="C979" s="119">
        <v>71861</v>
      </c>
      <c r="D979" s="121">
        <v>46.695431241187059</v>
      </c>
      <c r="E979" s="483" t="s">
        <v>6251</v>
      </c>
      <c r="F979" s="122" t="s">
        <v>8558</v>
      </c>
      <c r="G979" s="122">
        <v>60</v>
      </c>
      <c r="H979" s="122" t="s">
        <v>0</v>
      </c>
      <c r="I979" s="122" t="s">
        <v>6233</v>
      </c>
      <c r="J979" s="122" t="s">
        <v>6278</v>
      </c>
      <c r="K979" s="122">
        <v>0</v>
      </c>
      <c r="L979" s="122" t="s">
        <v>6209</v>
      </c>
      <c r="M979" s="122">
        <v>1</v>
      </c>
      <c r="N979" s="484" t="s">
        <v>8559</v>
      </c>
    </row>
    <row r="980" spans="1:14" ht="11.1" customHeight="1">
      <c r="A980" s="400" t="s">
        <v>8560</v>
      </c>
      <c r="B980" s="458" t="s">
        <v>11986</v>
      </c>
      <c r="C980" s="39">
        <v>60540</v>
      </c>
      <c r="D980" s="41">
        <v>39.339021268023885</v>
      </c>
      <c r="E980" s="41">
        <v>84.245974868148224</v>
      </c>
      <c r="F980" s="42" t="s">
        <v>8561</v>
      </c>
      <c r="G980" s="42">
        <v>49</v>
      </c>
      <c r="H980" s="42" t="s">
        <v>0</v>
      </c>
      <c r="I980" s="42" t="s">
        <v>6233</v>
      </c>
      <c r="J980" s="42" t="s">
        <v>6257</v>
      </c>
      <c r="K980" s="42" t="s">
        <v>6258</v>
      </c>
      <c r="L980" s="42" t="s">
        <v>6036</v>
      </c>
      <c r="M980" s="42">
        <v>0</v>
      </c>
      <c r="N980" s="459" t="s">
        <v>6260</v>
      </c>
    </row>
    <row r="981" spans="1:14" ht="11.1" customHeight="1">
      <c r="A981" s="400" t="s">
        <v>12578</v>
      </c>
      <c r="B981" s="458" t="s">
        <v>6231</v>
      </c>
      <c r="C981" s="39">
        <v>14617</v>
      </c>
      <c r="D981" s="41">
        <v>9.4981578109465676</v>
      </c>
      <c r="E981" s="469" t="s">
        <v>6262</v>
      </c>
      <c r="F981" s="42" t="s">
        <v>12579</v>
      </c>
      <c r="G981" s="42">
        <v>47</v>
      </c>
      <c r="H981" s="42" t="s">
        <v>0</v>
      </c>
      <c r="I981" s="42">
        <v>0</v>
      </c>
      <c r="J981" s="42" t="s">
        <v>12017</v>
      </c>
      <c r="K981" s="42" t="s">
        <v>6476</v>
      </c>
      <c r="L981" s="42" t="s">
        <v>6036</v>
      </c>
      <c r="M981" s="42">
        <v>0</v>
      </c>
      <c r="N981" s="459">
        <v>0</v>
      </c>
    </row>
    <row r="982" spans="1:14" ht="11.1" customHeight="1">
      <c r="A982" s="817" t="s">
        <v>8557</v>
      </c>
      <c r="B982" s="455" t="s">
        <v>6231</v>
      </c>
      <c r="C982" s="46">
        <v>6875</v>
      </c>
      <c r="D982" s="48">
        <v>4.4673896798424879</v>
      </c>
      <c r="E982" s="456" t="s">
        <v>6262</v>
      </c>
      <c r="F982" s="49" t="s">
        <v>12580</v>
      </c>
      <c r="G982" s="49">
        <v>55</v>
      </c>
      <c r="H982" s="49" t="s">
        <v>0</v>
      </c>
      <c r="I982" s="49">
        <v>0</v>
      </c>
      <c r="J982" s="49" t="s">
        <v>6264</v>
      </c>
      <c r="K982" s="49">
        <v>0</v>
      </c>
      <c r="L982" s="49" t="s">
        <v>6036</v>
      </c>
      <c r="M982" s="49">
        <v>0</v>
      </c>
      <c r="N982" s="457">
        <v>0</v>
      </c>
    </row>
    <row r="983" spans="1:14" ht="11.1" customHeight="1">
      <c r="A983" s="940" t="s">
        <v>8567</v>
      </c>
      <c r="B983" s="412" t="s">
        <v>10050</v>
      </c>
      <c r="C983" s="413">
        <v>72407</v>
      </c>
      <c r="D983" s="414">
        <v>42.506589645597415</v>
      </c>
      <c r="E983" s="415" t="s">
        <v>6251</v>
      </c>
      <c r="F983" s="416" t="s">
        <v>8568</v>
      </c>
      <c r="G983" s="416">
        <v>64</v>
      </c>
      <c r="H983" s="416" t="s">
        <v>0</v>
      </c>
      <c r="I983" s="416" t="s">
        <v>6233</v>
      </c>
      <c r="J983" s="416" t="s">
        <v>6257</v>
      </c>
      <c r="K983" s="416" t="s">
        <v>11998</v>
      </c>
      <c r="L983" s="416" t="s">
        <v>6209</v>
      </c>
      <c r="M983" s="416">
        <v>3</v>
      </c>
      <c r="N983" s="417" t="s">
        <v>6260</v>
      </c>
    </row>
    <row r="984" spans="1:14" ht="11.1" customHeight="1">
      <c r="A984" s="400" t="s">
        <v>8573</v>
      </c>
      <c r="B984" s="458" t="s">
        <v>6230</v>
      </c>
      <c r="C984" s="39">
        <v>51074</v>
      </c>
      <c r="D984" s="41">
        <v>29.983034230934056</v>
      </c>
      <c r="E984" s="41">
        <v>70.537378982695046</v>
      </c>
      <c r="F984" s="42" t="s">
        <v>12581</v>
      </c>
      <c r="G984" s="42">
        <v>62</v>
      </c>
      <c r="H984" s="42" t="s">
        <v>6049</v>
      </c>
      <c r="I984" s="42" t="s">
        <v>6233</v>
      </c>
      <c r="J984" s="42" t="s">
        <v>6278</v>
      </c>
      <c r="K984" s="42">
        <v>0</v>
      </c>
      <c r="L984" s="42" t="s">
        <v>6209</v>
      </c>
      <c r="M984" s="42">
        <v>2</v>
      </c>
      <c r="N984" s="459" t="s">
        <v>8559</v>
      </c>
    </row>
    <row r="985" spans="1:14" ht="11.1" customHeight="1">
      <c r="A985" s="400" t="s">
        <v>8564</v>
      </c>
      <c r="B985" s="458" t="s">
        <v>6230</v>
      </c>
      <c r="C985" s="39">
        <v>40819</v>
      </c>
      <c r="D985" s="41">
        <v>23.962827941271435</v>
      </c>
      <c r="E985" s="41">
        <v>56.374383692184459</v>
      </c>
      <c r="F985" s="42" t="s">
        <v>8565</v>
      </c>
      <c r="G985" s="42">
        <v>45</v>
      </c>
      <c r="H985" s="42" t="s">
        <v>0</v>
      </c>
      <c r="I985" s="42" t="s">
        <v>6233</v>
      </c>
      <c r="J985" s="42" t="s">
        <v>6253</v>
      </c>
      <c r="K985" s="42" t="s">
        <v>12007</v>
      </c>
      <c r="L985" s="42" t="s">
        <v>6036</v>
      </c>
      <c r="M985" s="42">
        <v>0</v>
      </c>
      <c r="N985" s="459">
        <v>0</v>
      </c>
    </row>
    <row r="986" spans="1:14" ht="11.1" customHeight="1">
      <c r="A986" s="817" t="s">
        <v>8569</v>
      </c>
      <c r="B986" s="455" t="s">
        <v>6231</v>
      </c>
      <c r="C986" s="46">
        <v>6043</v>
      </c>
      <c r="D986" s="48">
        <v>3.5475481821970964</v>
      </c>
      <c r="E986" s="456" t="s">
        <v>6262</v>
      </c>
      <c r="F986" s="49" t="s">
        <v>12582</v>
      </c>
      <c r="G986" s="49">
        <v>29</v>
      </c>
      <c r="H986" s="49" t="s">
        <v>0</v>
      </c>
      <c r="I986" s="49">
        <v>0</v>
      </c>
      <c r="J986" s="49" t="s">
        <v>6264</v>
      </c>
      <c r="K986" s="49">
        <v>0</v>
      </c>
      <c r="L986" s="49" t="s">
        <v>6036</v>
      </c>
      <c r="M986" s="49">
        <v>0</v>
      </c>
      <c r="N986" s="457">
        <v>0</v>
      </c>
    </row>
    <row r="987" spans="1:14" ht="11.1" customHeight="1">
      <c r="A987" s="940" t="s">
        <v>8577</v>
      </c>
      <c r="B987" s="412" t="s">
        <v>10050</v>
      </c>
      <c r="C987" s="413">
        <v>68419</v>
      </c>
      <c r="D987" s="414">
        <v>49.042362554655583</v>
      </c>
      <c r="E987" s="415" t="s">
        <v>6251</v>
      </c>
      <c r="F987" s="416" t="s">
        <v>8578</v>
      </c>
      <c r="G987" s="416">
        <v>51</v>
      </c>
      <c r="H987" s="416" t="s">
        <v>0</v>
      </c>
      <c r="I987" s="416" t="s">
        <v>6233</v>
      </c>
      <c r="J987" s="416" t="s">
        <v>6257</v>
      </c>
      <c r="K987" s="416" t="s">
        <v>11995</v>
      </c>
      <c r="L987" s="416" t="s">
        <v>6209</v>
      </c>
      <c r="M987" s="416">
        <v>1</v>
      </c>
      <c r="N987" s="417" t="s">
        <v>6260</v>
      </c>
    </row>
    <row r="988" spans="1:14" ht="11.1" customHeight="1">
      <c r="A988" s="400" t="s">
        <v>8575</v>
      </c>
      <c r="B988" s="458" t="s">
        <v>6230</v>
      </c>
      <c r="C988" s="39">
        <v>41532</v>
      </c>
      <c r="D988" s="41">
        <v>29.769908967099134</v>
      </c>
      <c r="E988" s="41">
        <v>60.702436457709119</v>
      </c>
      <c r="F988" s="42" t="s">
        <v>12583</v>
      </c>
      <c r="G988" s="42">
        <v>43</v>
      </c>
      <c r="H988" s="42" t="s">
        <v>0</v>
      </c>
      <c r="I988" s="42" t="s">
        <v>6233</v>
      </c>
      <c r="J988" s="42" t="s">
        <v>6253</v>
      </c>
      <c r="K988" s="42" t="s">
        <v>12007</v>
      </c>
      <c r="L988" s="42" t="s">
        <v>6036</v>
      </c>
      <c r="M988" s="42">
        <v>0</v>
      </c>
      <c r="N988" s="459" t="s">
        <v>8559</v>
      </c>
    </row>
    <row r="989" spans="1:14" ht="11.1" customHeight="1">
      <c r="A989" s="400" t="s">
        <v>8579</v>
      </c>
      <c r="B989" s="458"/>
      <c r="C989" s="39">
        <v>15068</v>
      </c>
      <c r="D989" s="41">
        <v>10.800659450935417</v>
      </c>
      <c r="E989" s="469" t="s">
        <v>6262</v>
      </c>
      <c r="F989" s="42" t="s">
        <v>12584</v>
      </c>
      <c r="G989" s="42">
        <v>49</v>
      </c>
      <c r="H989" s="42" t="s">
        <v>0</v>
      </c>
      <c r="I989" s="42">
        <v>0</v>
      </c>
      <c r="J989" s="42" t="s">
        <v>6264</v>
      </c>
      <c r="K989" s="42">
        <v>0</v>
      </c>
      <c r="L989" s="42" t="s">
        <v>6036</v>
      </c>
      <c r="M989" s="42">
        <v>0</v>
      </c>
      <c r="N989" s="459">
        <v>0</v>
      </c>
    </row>
    <row r="990" spans="1:14" s="298" customFormat="1" ht="11.1" customHeight="1" thickBot="1">
      <c r="A990" s="430" t="s">
        <v>12585</v>
      </c>
      <c r="B990" s="463"/>
      <c r="C990" s="75">
        <v>14491</v>
      </c>
      <c r="D990" s="77">
        <v>10.38706902730987</v>
      </c>
      <c r="E990" s="77">
        <v>21.179789239831042</v>
      </c>
      <c r="F990" s="78" t="s">
        <v>12586</v>
      </c>
      <c r="G990" s="78">
        <v>57</v>
      </c>
      <c r="H990" s="78" t="s">
        <v>0</v>
      </c>
      <c r="I990" s="78" t="s">
        <v>6233</v>
      </c>
      <c r="J990" s="78" t="s">
        <v>7280</v>
      </c>
      <c r="K990" s="78">
        <v>0</v>
      </c>
      <c r="L990" s="78" t="s">
        <v>6036</v>
      </c>
      <c r="M990" s="78">
        <v>0</v>
      </c>
      <c r="N990" s="465" t="s">
        <v>12182</v>
      </c>
    </row>
    <row r="992" spans="1:14" ht="11.1" customHeight="1" thickBot="1">
      <c r="C992" s="1471" t="s">
        <v>11987</v>
      </c>
      <c r="D992" s="1471"/>
      <c r="E992" s="1471"/>
      <c r="F992" s="1471"/>
      <c r="G992" s="1471"/>
      <c r="H992" s="1471"/>
      <c r="I992" s="1471"/>
      <c r="J992" s="1471"/>
    </row>
    <row r="993" spans="1:17" ht="11.1" customHeight="1" thickBot="1">
      <c r="A993" s="943"/>
      <c r="B993"/>
      <c r="C993" s="155" t="s">
        <v>11973</v>
      </c>
      <c r="D993" s="485" t="s">
        <v>11974</v>
      </c>
      <c r="E993" s="1383" t="s">
        <v>10046</v>
      </c>
      <c r="F993" s="1383"/>
      <c r="G993" s="1383"/>
      <c r="H993" s="1383"/>
      <c r="I993" s="1384"/>
      <c r="J993" s="156" t="s">
        <v>10048</v>
      </c>
      <c r="K993"/>
      <c r="L993"/>
      <c r="M993"/>
      <c r="N993"/>
    </row>
    <row r="994" spans="1:17" ht="11.1" customHeight="1">
      <c r="A994" s="943"/>
      <c r="B994"/>
      <c r="C994" s="281" t="s">
        <v>11975</v>
      </c>
      <c r="D994" s="385">
        <f>SUMPRODUCT((($J$2:$J$990)="０１自民党")*(($B$2:$B$990)="当選"))</f>
        <v>219</v>
      </c>
      <c r="E994" s="1473">
        <f>SUMIF($J$2:$J$990,"０１自民党",$C$2:$C$990)</f>
        <v>32518388</v>
      </c>
      <c r="F994" s="1473"/>
      <c r="G994" s="1473"/>
      <c r="H994" s="1473"/>
      <c r="I994" s="283" t="s">
        <v>11976</v>
      </c>
      <c r="J994" s="392">
        <f>E994*100/$E$1003</f>
        <v>47.774591243282543</v>
      </c>
      <c r="K994"/>
      <c r="L994"/>
      <c r="M994"/>
      <c r="N994"/>
    </row>
    <row r="995" spans="1:17" ht="11.1" customHeight="1">
      <c r="A995" s="943"/>
      <c r="B995"/>
      <c r="C995" s="161" t="s">
        <v>2</v>
      </c>
      <c r="D995" s="386">
        <f>SUMPRODUCT((($J$2:$J$990)="０２民主党")*(($B$2:$B$990)="当選"))</f>
        <v>52</v>
      </c>
      <c r="E995" s="1464">
        <f>SUMIF($J$2:$J$990,"０２民主党",$C$2:$C$990)</f>
        <v>24804784</v>
      </c>
      <c r="F995" s="1464"/>
      <c r="G995" s="1464"/>
      <c r="H995" s="1464"/>
      <c r="I995" s="163" t="s">
        <v>11976</v>
      </c>
      <c r="J995" s="486">
        <f t="shared" ref="J995:J1003" si="0">E995*100/$E$1003</f>
        <v>36.44210212627744</v>
      </c>
      <c r="K995"/>
      <c r="L995"/>
      <c r="M995"/>
      <c r="N995"/>
    </row>
    <row r="996" spans="1:17" ht="11.1" customHeight="1">
      <c r="A996" s="943"/>
      <c r="B996"/>
      <c r="C996" s="165" t="s">
        <v>11977</v>
      </c>
      <c r="D996" s="386">
        <f>SUMPRODUCT((($J$2:$J$990)="０３公明党")*(($B$2:$B$990)="当選"))</f>
        <v>8</v>
      </c>
      <c r="E996" s="1464">
        <f>SUMIF($J$2:$J$990,"０３公明党",$C$2:$C$990)</f>
        <v>981105</v>
      </c>
      <c r="F996" s="1464"/>
      <c r="G996" s="1464"/>
      <c r="H996" s="1464"/>
      <c r="I996" s="163" t="s">
        <v>11976</v>
      </c>
      <c r="J996" s="486">
        <f t="shared" si="0"/>
        <v>1.441396490556073</v>
      </c>
      <c r="K996"/>
      <c r="L996"/>
      <c r="M996"/>
      <c r="N996"/>
    </row>
    <row r="997" spans="1:17" ht="11.1" customHeight="1">
      <c r="A997" s="943"/>
      <c r="B997"/>
      <c r="C997" s="166" t="s">
        <v>11978</v>
      </c>
      <c r="D997" s="386">
        <f>SUMPRODUCT((($J$2:$J$990)="０４共産党")*(($B$2:$B$990)="当選"))</f>
        <v>0</v>
      </c>
      <c r="E997" s="1464">
        <f>SUMIF($J$2:$J$990,"０４共産党",$C$2:$C$990)</f>
        <v>4956496</v>
      </c>
      <c r="F997" s="1464"/>
      <c r="G997" s="1464"/>
      <c r="H997" s="1464"/>
      <c r="I997" s="163" t="s">
        <v>11976</v>
      </c>
      <c r="J997" s="486">
        <f t="shared" si="0"/>
        <v>7.281866813292373</v>
      </c>
      <c r="K997"/>
      <c r="L997"/>
      <c r="M997"/>
      <c r="N997"/>
    </row>
    <row r="998" spans="1:17" ht="11.1" customHeight="1">
      <c r="A998" s="943"/>
      <c r="B998"/>
      <c r="C998" s="167" t="s">
        <v>11979</v>
      </c>
      <c r="D998" s="386">
        <f>SUMPRODUCT((($J$2:$J$990)="０５社民党")*(($B$2:$B$990)="当選"))</f>
        <v>1</v>
      </c>
      <c r="E998" s="1464">
        <f>SUMIF($J$2:$J$990,"０５社民党",$C$2:$C$990)</f>
        <v>996007</v>
      </c>
      <c r="F998" s="1464"/>
      <c r="G998" s="1464"/>
      <c r="H998" s="1464"/>
      <c r="I998" s="163" t="s">
        <v>11976</v>
      </c>
      <c r="J998" s="486">
        <f t="shared" si="0"/>
        <v>1.4632898562022236</v>
      </c>
      <c r="K998"/>
      <c r="L998"/>
      <c r="M998"/>
      <c r="N998"/>
    </row>
    <row r="999" spans="1:17" ht="11.1" customHeight="1">
      <c r="A999" s="943"/>
      <c r="B999"/>
      <c r="C999" s="168" t="s">
        <v>11980</v>
      </c>
      <c r="D999" s="386">
        <f>SUMPRODUCT((($J$2:$J$990)="０６国民新")*(($B$2:$B$990)="当選"))</f>
        <v>2</v>
      </c>
      <c r="E999" s="1464">
        <f>SUMIF($J$2:$J$990,"０６国民新",$C$2:$C$990)</f>
        <v>432679</v>
      </c>
      <c r="F999" s="1464"/>
      <c r="G999" s="1464"/>
      <c r="H999" s="1464"/>
      <c r="I999" s="163" t="s">
        <v>11976</v>
      </c>
      <c r="J999" s="486">
        <f t="shared" si="0"/>
        <v>0.63567303411695086</v>
      </c>
      <c r="K999"/>
      <c r="L999"/>
      <c r="M999"/>
      <c r="N999"/>
    </row>
    <row r="1000" spans="1:17" ht="11.1" customHeight="1">
      <c r="A1000" s="943"/>
      <c r="B1000"/>
      <c r="C1000" s="171" t="s">
        <v>11981</v>
      </c>
      <c r="D1000" s="386">
        <f>SUMPRODUCT((($J$2:$J$990)="０７新日本")*(($B$2:$B$990)="当選"))</f>
        <v>0</v>
      </c>
      <c r="E1000" s="1464">
        <f>SUMIF($J$2:$J$990,"０７新日本",$C$2:$C$990)</f>
        <v>137172</v>
      </c>
      <c r="F1000" s="1464"/>
      <c r="G1000" s="1464"/>
      <c r="H1000" s="1464"/>
      <c r="I1000" s="163" t="s">
        <v>11976</v>
      </c>
      <c r="J1000" s="486">
        <f t="shared" si="0"/>
        <v>0.20152709384067724</v>
      </c>
      <c r="K1000"/>
      <c r="L1000"/>
      <c r="M1000"/>
      <c r="N1000"/>
    </row>
    <row r="1001" spans="1:17" ht="11.1" customHeight="1">
      <c r="A1001" s="943"/>
      <c r="B1001"/>
      <c r="C1001" s="172" t="s">
        <v>11982</v>
      </c>
      <c r="D1001" s="386">
        <f>SUMPRODUCT((($J$2:$J$990)="０９諸　派")*(($B$2:$B$990)="当選"))</f>
        <v>0</v>
      </c>
      <c r="E1001" s="1464">
        <f>SUMIF($J$2:$J$990,"０９諸　派",$C$2:$C$990)</f>
        <v>18255</v>
      </c>
      <c r="F1001" s="1464"/>
      <c r="G1001" s="1464"/>
      <c r="H1001" s="1464"/>
      <c r="I1001" s="163" t="s">
        <v>11976</v>
      </c>
      <c r="J1001" s="486">
        <f t="shared" si="0"/>
        <v>2.6819446374344347E-2</v>
      </c>
      <c r="K1001"/>
      <c r="L1001"/>
      <c r="M1001"/>
      <c r="N1001"/>
    </row>
    <row r="1002" spans="1:17" ht="11.1" customHeight="1" thickBot="1">
      <c r="A1002" s="943"/>
      <c r="B1002"/>
      <c r="C1002" s="487" t="s">
        <v>11988</v>
      </c>
      <c r="D1002" s="388">
        <f>SUMPRODUCT((($J$2:$J$990)="１０無所属")*(($B$2:$B$990)="当選"))</f>
        <v>18</v>
      </c>
      <c r="E1002" s="1468">
        <f>SUMIF($J$2:$J$990,"１０無所属",$C$2:$C$990)</f>
        <v>3221396</v>
      </c>
      <c r="F1002" s="1468"/>
      <c r="G1002" s="1468"/>
      <c r="H1002" s="1468"/>
      <c r="I1002" s="389" t="s">
        <v>11976</v>
      </c>
      <c r="J1002" s="488">
        <f t="shared" si="0"/>
        <v>4.7327338960573755</v>
      </c>
      <c r="K1002"/>
      <c r="L1002"/>
      <c r="M1002"/>
      <c r="N1002"/>
    </row>
    <row r="1003" spans="1:17" ht="11.1" customHeight="1" thickBot="1">
      <c r="A1003" s="943"/>
      <c r="B1003"/>
      <c r="C1003" s="489" t="s">
        <v>11983</v>
      </c>
      <c r="D1003" s="490">
        <f>SUM(D994:D1002)</f>
        <v>300</v>
      </c>
      <c r="E1003" s="1462">
        <f>SUM(E994:H1002)</f>
        <v>68066282</v>
      </c>
      <c r="F1003" s="1462"/>
      <c r="G1003" s="1462"/>
      <c r="H1003" s="1462"/>
      <c r="I1003" s="294" t="s">
        <v>11976</v>
      </c>
      <c r="J1003" s="393">
        <f t="shared" si="0"/>
        <v>100</v>
      </c>
      <c r="K1003"/>
      <c r="L1003"/>
      <c r="M1003"/>
      <c r="N1003"/>
    </row>
    <row r="1004" spans="1:17" ht="11.1" customHeight="1" thickBot="1">
      <c r="A1004" s="943"/>
      <c r="B1004"/>
      <c r="C1004" s="155" t="s">
        <v>11984</v>
      </c>
      <c r="D1004" s="485">
        <f>300-D1003</f>
        <v>0</v>
      </c>
      <c r="K1004"/>
      <c r="L1004"/>
      <c r="M1004"/>
      <c r="N1004"/>
    </row>
    <row r="1005" spans="1:17" ht="11.1" customHeight="1" thickBot="1"/>
    <row r="1006" spans="1:17" ht="11.1" customHeight="1" thickBot="1">
      <c r="A1006" s="944" t="s">
        <v>10022</v>
      </c>
      <c r="B1006" s="299" t="s">
        <v>10023</v>
      </c>
      <c r="C1006" s="30" t="s">
        <v>10024</v>
      </c>
      <c r="D1006" s="30" t="s">
        <v>10026</v>
      </c>
      <c r="E1006" s="30" t="s">
        <v>10028</v>
      </c>
      <c r="F1006" s="30" t="s">
        <v>10030</v>
      </c>
      <c r="G1006" s="30" t="s">
        <v>10032</v>
      </c>
      <c r="H1006" s="30" t="s">
        <v>10034</v>
      </c>
      <c r="I1006" s="30" t="s">
        <v>10026</v>
      </c>
      <c r="J1006" s="30" t="s">
        <v>10036</v>
      </c>
      <c r="K1006" s="30" t="s">
        <v>10038</v>
      </c>
      <c r="L1006" s="30" t="s">
        <v>10040</v>
      </c>
      <c r="M1006" s="30" t="s">
        <v>10042</v>
      </c>
      <c r="N1006" s="300" t="s">
        <v>10044</v>
      </c>
      <c r="O1006" s="301" t="s">
        <v>10045</v>
      </c>
      <c r="P1006" s="301" t="s">
        <v>10046</v>
      </c>
      <c r="Q1006" s="301" t="s">
        <v>10048</v>
      </c>
    </row>
    <row r="1007" spans="1:17" ht="11.1" customHeight="1">
      <c r="A1007" s="250" t="s">
        <v>10049</v>
      </c>
      <c r="B1007" s="302" t="s">
        <v>10051</v>
      </c>
      <c r="C1007" s="303">
        <v>1</v>
      </c>
      <c r="D1007" s="303" t="s">
        <v>10052</v>
      </c>
      <c r="E1007" s="304">
        <v>56.75</v>
      </c>
      <c r="F1007" s="303" t="s">
        <v>10053</v>
      </c>
      <c r="G1007" s="303">
        <v>41</v>
      </c>
      <c r="H1007" s="303" t="s">
        <v>10054</v>
      </c>
      <c r="I1007" s="303" t="s">
        <v>10056</v>
      </c>
      <c r="J1007" s="303" t="s">
        <v>10057</v>
      </c>
      <c r="K1007" s="303" t="s">
        <v>10058</v>
      </c>
      <c r="L1007" s="303" t="s">
        <v>10059</v>
      </c>
      <c r="M1007" s="303"/>
      <c r="N1007" s="305"/>
      <c r="O1007" s="1480">
        <v>3</v>
      </c>
      <c r="P1007" s="1481">
        <v>940705</v>
      </c>
      <c r="Q1007" s="1482">
        <f>P1007*100/SUM(P1007:P1044)</f>
        <v>29.142589125754856</v>
      </c>
    </row>
    <row r="1008" spans="1:17" ht="11.1" customHeight="1">
      <c r="A1008" s="250" t="s">
        <v>10060</v>
      </c>
      <c r="B1008" s="302" t="s">
        <v>10051</v>
      </c>
      <c r="C1008" s="303">
        <v>2</v>
      </c>
      <c r="D1008" s="303" t="s">
        <v>10061</v>
      </c>
      <c r="E1008" s="306" t="s">
        <v>10062</v>
      </c>
      <c r="F1008" s="303" t="s">
        <v>10063</v>
      </c>
      <c r="G1008" s="303">
        <v>58</v>
      </c>
      <c r="H1008" s="303" t="s">
        <v>10064</v>
      </c>
      <c r="I1008" s="303"/>
      <c r="J1008" s="303" t="s">
        <v>10057</v>
      </c>
      <c r="K1008" s="303" t="s">
        <v>10065</v>
      </c>
      <c r="L1008" s="303" t="s">
        <v>10066</v>
      </c>
      <c r="M1008" s="303">
        <v>3</v>
      </c>
      <c r="N1008" s="305"/>
      <c r="O1008" s="1474"/>
      <c r="P1008" s="1475"/>
      <c r="Q1008" s="1476"/>
    </row>
    <row r="1009" spans="1:17" ht="11.1" customHeight="1">
      <c r="A1009" s="250" t="s">
        <v>10067</v>
      </c>
      <c r="B1009" s="302" t="s">
        <v>10051</v>
      </c>
      <c r="C1009" s="303">
        <v>3</v>
      </c>
      <c r="D1009" s="303" t="s">
        <v>10068</v>
      </c>
      <c r="E1009" s="304">
        <v>98.2</v>
      </c>
      <c r="F1009" s="303" t="s">
        <v>10069</v>
      </c>
      <c r="G1009" s="303">
        <v>54</v>
      </c>
      <c r="H1009" s="303" t="s">
        <v>10064</v>
      </c>
      <c r="I1009" s="303" t="s">
        <v>10056</v>
      </c>
      <c r="J1009" s="303" t="s">
        <v>10057</v>
      </c>
      <c r="K1009" s="303" t="s">
        <v>10065</v>
      </c>
      <c r="L1009" s="303" t="s">
        <v>10070</v>
      </c>
      <c r="M1009" s="303">
        <v>2</v>
      </c>
      <c r="N1009" s="307" t="s">
        <v>10071</v>
      </c>
      <c r="O1009" s="1474"/>
      <c r="P1009" s="1475"/>
      <c r="Q1009" s="1476"/>
    </row>
    <row r="1010" spans="1:17" ht="11.1" customHeight="1">
      <c r="A1010" s="250" t="s">
        <v>10072</v>
      </c>
      <c r="B1010" s="187"/>
      <c r="C1010" s="42">
        <v>3</v>
      </c>
      <c r="D1010" s="42" t="s">
        <v>10073</v>
      </c>
      <c r="E1010" s="188">
        <v>98.08</v>
      </c>
      <c r="F1010" s="42" t="s">
        <v>10074</v>
      </c>
      <c r="G1010" s="42">
        <v>62</v>
      </c>
      <c r="H1010" s="42" t="s">
        <v>10064</v>
      </c>
      <c r="I1010" s="42" t="s">
        <v>10056</v>
      </c>
      <c r="J1010" s="42" t="s">
        <v>10057</v>
      </c>
      <c r="K1010" s="42" t="s">
        <v>10075</v>
      </c>
      <c r="L1010" s="42" t="s">
        <v>10066</v>
      </c>
      <c r="M1010" s="42">
        <v>4</v>
      </c>
      <c r="N1010" s="308" t="s">
        <v>10071</v>
      </c>
      <c r="O1010" s="1474"/>
      <c r="P1010" s="1475"/>
      <c r="Q1010" s="1476"/>
    </row>
    <row r="1011" spans="1:17" ht="11.1" customHeight="1">
      <c r="A1011" s="250" t="s">
        <v>10076</v>
      </c>
      <c r="B1011" s="187"/>
      <c r="C1011" s="42">
        <v>3</v>
      </c>
      <c r="D1011" s="42" t="s">
        <v>10077</v>
      </c>
      <c r="E1011" s="188">
        <v>92.73</v>
      </c>
      <c r="F1011" s="42" t="s">
        <v>10078</v>
      </c>
      <c r="G1011" s="42">
        <v>63</v>
      </c>
      <c r="H1011" s="42" t="s">
        <v>10064</v>
      </c>
      <c r="I1011" s="42" t="s">
        <v>10056</v>
      </c>
      <c r="J1011" s="42" t="s">
        <v>10057</v>
      </c>
      <c r="K1011" s="42" t="s">
        <v>10058</v>
      </c>
      <c r="L1011" s="42" t="s">
        <v>10070</v>
      </c>
      <c r="M1011" s="42">
        <v>4</v>
      </c>
      <c r="N1011" s="308" t="s">
        <v>10071</v>
      </c>
      <c r="O1011" s="1474"/>
      <c r="P1011" s="1475"/>
      <c r="Q1011" s="1476"/>
    </row>
    <row r="1012" spans="1:17" ht="11.1" customHeight="1">
      <c r="A1012" s="250" t="s">
        <v>10079</v>
      </c>
      <c r="B1012" s="187"/>
      <c r="C1012" s="42">
        <v>3</v>
      </c>
      <c r="D1012" s="42" t="s">
        <v>10080</v>
      </c>
      <c r="E1012" s="188">
        <v>91.05</v>
      </c>
      <c r="F1012" s="42" t="s">
        <v>10081</v>
      </c>
      <c r="G1012" s="42">
        <v>58</v>
      </c>
      <c r="H1012" s="42" t="s">
        <v>10064</v>
      </c>
      <c r="I1012" s="42" t="s">
        <v>10056</v>
      </c>
      <c r="J1012" s="42" t="s">
        <v>10057</v>
      </c>
      <c r="K1012" s="42" t="s">
        <v>10082</v>
      </c>
      <c r="L1012" s="42" t="s">
        <v>10066</v>
      </c>
      <c r="M1012" s="42">
        <v>6</v>
      </c>
      <c r="N1012" s="308" t="s">
        <v>10071</v>
      </c>
      <c r="O1012" s="1474"/>
      <c r="P1012" s="1475"/>
      <c r="Q1012" s="1476"/>
    </row>
    <row r="1013" spans="1:17" ht="11.1" customHeight="1">
      <c r="A1013" s="250" t="s">
        <v>10083</v>
      </c>
      <c r="B1013" s="187"/>
      <c r="C1013" s="42">
        <v>3</v>
      </c>
      <c r="D1013" s="42" t="s">
        <v>10084</v>
      </c>
      <c r="E1013" s="188">
        <v>89.27</v>
      </c>
      <c r="F1013" s="42" t="s">
        <v>10085</v>
      </c>
      <c r="G1013" s="42">
        <v>39</v>
      </c>
      <c r="H1013" s="42" t="s">
        <v>10064</v>
      </c>
      <c r="I1013" s="42" t="s">
        <v>10056</v>
      </c>
      <c r="J1013" s="42" t="s">
        <v>10057</v>
      </c>
      <c r="K1013" s="42" t="s">
        <v>10058</v>
      </c>
      <c r="L1013" s="42" t="s">
        <v>10059</v>
      </c>
      <c r="M1013" s="42"/>
      <c r="N1013" s="308"/>
      <c r="O1013" s="1474"/>
      <c r="P1013" s="1475"/>
      <c r="Q1013" s="1476"/>
    </row>
    <row r="1014" spans="1:17" ht="11.1" customHeight="1">
      <c r="A1014" s="250" t="s">
        <v>10086</v>
      </c>
      <c r="B1014" s="187"/>
      <c r="C1014" s="42">
        <v>3</v>
      </c>
      <c r="D1014" s="42" t="s">
        <v>10087</v>
      </c>
      <c r="E1014" s="188">
        <v>87.39</v>
      </c>
      <c r="F1014" s="42" t="s">
        <v>10088</v>
      </c>
      <c r="G1014" s="42">
        <v>55</v>
      </c>
      <c r="H1014" s="42" t="s">
        <v>10064</v>
      </c>
      <c r="I1014" s="42" t="s">
        <v>10056</v>
      </c>
      <c r="J1014" s="42" t="s">
        <v>10057</v>
      </c>
      <c r="K1014" s="42" t="s">
        <v>10065</v>
      </c>
      <c r="L1014" s="42" t="s">
        <v>10070</v>
      </c>
      <c r="M1014" s="42">
        <v>1</v>
      </c>
      <c r="N1014" s="308" t="s">
        <v>10071</v>
      </c>
      <c r="O1014" s="1474"/>
      <c r="P1014" s="1475"/>
      <c r="Q1014" s="1476"/>
    </row>
    <row r="1015" spans="1:17" ht="11.1" customHeight="1">
      <c r="A1015" s="250" t="s">
        <v>10089</v>
      </c>
      <c r="B1015" s="187"/>
      <c r="C1015" s="42">
        <v>3</v>
      </c>
      <c r="D1015" s="42" t="s">
        <v>10090</v>
      </c>
      <c r="E1015" s="188">
        <v>84.57</v>
      </c>
      <c r="F1015" s="42" t="s">
        <v>10091</v>
      </c>
      <c r="G1015" s="42">
        <v>48</v>
      </c>
      <c r="H1015" s="42" t="s">
        <v>10064</v>
      </c>
      <c r="I1015" s="42" t="s">
        <v>10056</v>
      </c>
      <c r="J1015" s="42" t="s">
        <v>10057</v>
      </c>
      <c r="K1015" s="42" t="s">
        <v>10092</v>
      </c>
      <c r="L1015" s="42" t="s">
        <v>10059</v>
      </c>
      <c r="M1015" s="42"/>
      <c r="N1015" s="308"/>
      <c r="O1015" s="1474"/>
      <c r="P1015" s="1475"/>
      <c r="Q1015" s="1476"/>
    </row>
    <row r="1016" spans="1:17" ht="11.1" customHeight="1">
      <c r="A1016" s="250" t="s">
        <v>10093</v>
      </c>
      <c r="B1016" s="187"/>
      <c r="C1016" s="42">
        <v>14</v>
      </c>
      <c r="D1016" s="42" t="s">
        <v>10061</v>
      </c>
      <c r="E1016" s="309" t="s">
        <v>10062</v>
      </c>
      <c r="F1016" s="42" t="s">
        <v>10094</v>
      </c>
      <c r="G1016" s="42">
        <v>62</v>
      </c>
      <c r="H1016" s="42" t="s">
        <v>10064</v>
      </c>
      <c r="I1016" s="42"/>
      <c r="J1016" s="42" t="s">
        <v>10057</v>
      </c>
      <c r="K1016" s="42" t="s">
        <v>10058</v>
      </c>
      <c r="L1016" s="42" t="s">
        <v>10059</v>
      </c>
      <c r="M1016" s="42"/>
      <c r="N1016" s="310"/>
      <c r="O1016" s="1474"/>
      <c r="P1016" s="1475"/>
      <c r="Q1016" s="1476"/>
    </row>
    <row r="1017" spans="1:17" ht="11.1" customHeight="1">
      <c r="A1017" s="250" t="s">
        <v>10095</v>
      </c>
      <c r="B1017" s="187"/>
      <c r="C1017" s="42">
        <v>15</v>
      </c>
      <c r="D1017" s="42" t="s">
        <v>10061</v>
      </c>
      <c r="E1017" s="309" t="s">
        <v>10062</v>
      </c>
      <c r="F1017" s="42" t="s">
        <v>10096</v>
      </c>
      <c r="G1017" s="42">
        <v>51</v>
      </c>
      <c r="H1017" s="42" t="s">
        <v>10064</v>
      </c>
      <c r="I1017" s="42"/>
      <c r="J1017" s="42" t="s">
        <v>10057</v>
      </c>
      <c r="K1017" s="42" t="s">
        <v>10058</v>
      </c>
      <c r="L1017" s="42" t="s">
        <v>10059</v>
      </c>
      <c r="M1017" s="42"/>
      <c r="N1017" s="310"/>
      <c r="O1017" s="1474"/>
      <c r="P1017" s="1475"/>
      <c r="Q1017" s="1476"/>
    </row>
    <row r="1018" spans="1:17" ht="11.1" customHeight="1">
      <c r="A1018" s="250" t="s">
        <v>10097</v>
      </c>
      <c r="B1018" s="302" t="s">
        <v>10098</v>
      </c>
      <c r="C1018" s="303">
        <v>3</v>
      </c>
      <c r="D1018" s="303" t="s">
        <v>10099</v>
      </c>
      <c r="E1018" s="306" t="s">
        <v>10100</v>
      </c>
      <c r="F1018" s="303" t="s">
        <v>10101</v>
      </c>
      <c r="G1018" s="303">
        <v>50</v>
      </c>
      <c r="H1018" s="303" t="s">
        <v>10064</v>
      </c>
      <c r="I1018" s="303" t="s">
        <v>10056</v>
      </c>
      <c r="J1018" s="303" t="s">
        <v>10057</v>
      </c>
      <c r="K1018" s="303" t="s">
        <v>10075</v>
      </c>
      <c r="L1018" s="303" t="s">
        <v>10066</v>
      </c>
      <c r="M1018" s="303">
        <v>2</v>
      </c>
      <c r="N1018" s="307" t="s">
        <v>10071</v>
      </c>
      <c r="O1018" s="1474"/>
      <c r="P1018" s="1475"/>
      <c r="Q1018" s="1476"/>
    </row>
    <row r="1019" spans="1:17" ht="11.1" customHeight="1">
      <c r="A1019" s="250" t="s">
        <v>10102</v>
      </c>
      <c r="B1019" s="302" t="s">
        <v>10098</v>
      </c>
      <c r="C1019" s="303">
        <v>3</v>
      </c>
      <c r="D1019" s="303" t="s">
        <v>10103</v>
      </c>
      <c r="E1019" s="306" t="s">
        <v>10104</v>
      </c>
      <c r="F1019" s="303" t="s">
        <v>10105</v>
      </c>
      <c r="G1019" s="303">
        <v>60</v>
      </c>
      <c r="H1019" s="303" t="s">
        <v>10064</v>
      </c>
      <c r="I1019" s="303" t="s">
        <v>10056</v>
      </c>
      <c r="J1019" s="303" t="s">
        <v>10057</v>
      </c>
      <c r="K1019" s="303" t="s">
        <v>10075</v>
      </c>
      <c r="L1019" s="303" t="s">
        <v>10066</v>
      </c>
      <c r="M1019" s="303">
        <v>7</v>
      </c>
      <c r="N1019" s="307" t="s">
        <v>10071</v>
      </c>
      <c r="O1019" s="1474"/>
      <c r="P1019" s="1475"/>
      <c r="Q1019" s="1476"/>
    </row>
    <row r="1020" spans="1:17" ht="11.1" customHeight="1">
      <c r="A1020" s="250" t="s">
        <v>10106</v>
      </c>
      <c r="B1020" s="302" t="s">
        <v>10098</v>
      </c>
      <c r="C1020" s="303">
        <v>3</v>
      </c>
      <c r="D1020" s="303" t="s">
        <v>10107</v>
      </c>
      <c r="E1020" s="306" t="s">
        <v>10104</v>
      </c>
      <c r="F1020" s="303" t="s">
        <v>10108</v>
      </c>
      <c r="G1020" s="303">
        <v>52</v>
      </c>
      <c r="H1020" s="303" t="s">
        <v>10064</v>
      </c>
      <c r="I1020" s="303" t="s">
        <v>10056</v>
      </c>
      <c r="J1020" s="303" t="s">
        <v>10057</v>
      </c>
      <c r="K1020" s="303" t="s">
        <v>10092</v>
      </c>
      <c r="L1020" s="303" t="s">
        <v>10066</v>
      </c>
      <c r="M1020" s="303">
        <v>7</v>
      </c>
      <c r="N1020" s="307" t="s">
        <v>10071</v>
      </c>
      <c r="O1020" s="1474"/>
      <c r="P1020" s="1475"/>
      <c r="Q1020" s="1476"/>
    </row>
    <row r="1021" spans="1:17" ht="11.1" customHeight="1">
      <c r="A1021" s="945" t="s">
        <v>10109</v>
      </c>
      <c r="B1021" s="302" t="s">
        <v>10098</v>
      </c>
      <c r="C1021" s="311">
        <v>3</v>
      </c>
      <c r="D1021" s="311" t="s">
        <v>10110</v>
      </c>
      <c r="E1021" s="312" t="s">
        <v>10104</v>
      </c>
      <c r="F1021" s="311" t="s">
        <v>10111</v>
      </c>
      <c r="G1021" s="311">
        <v>64</v>
      </c>
      <c r="H1021" s="311" t="s">
        <v>10064</v>
      </c>
      <c r="I1021" s="311" t="s">
        <v>10056</v>
      </c>
      <c r="J1021" s="311" t="s">
        <v>10057</v>
      </c>
      <c r="K1021" s="311" t="s">
        <v>10058</v>
      </c>
      <c r="L1021" s="311" t="s">
        <v>10066</v>
      </c>
      <c r="M1021" s="311">
        <v>6</v>
      </c>
      <c r="N1021" s="313" t="s">
        <v>10071</v>
      </c>
      <c r="O1021" s="1474"/>
      <c r="P1021" s="1475"/>
      <c r="Q1021" s="1476"/>
    </row>
    <row r="1022" spans="1:17" ht="11.1" customHeight="1">
      <c r="A1022" s="946" t="s">
        <v>10112</v>
      </c>
      <c r="B1022" s="192" t="s">
        <v>10051</v>
      </c>
      <c r="C1022" s="56">
        <v>1</v>
      </c>
      <c r="D1022" s="56" t="s">
        <v>10061</v>
      </c>
      <c r="E1022" s="314" t="s">
        <v>10113</v>
      </c>
      <c r="F1022" s="56" t="s">
        <v>10114</v>
      </c>
      <c r="G1022" s="56">
        <v>46</v>
      </c>
      <c r="H1022" s="56" t="s">
        <v>10064</v>
      </c>
      <c r="I1022" s="56"/>
      <c r="J1022" s="56" t="s">
        <v>10115</v>
      </c>
      <c r="K1022" s="56" t="s">
        <v>10116</v>
      </c>
      <c r="L1022" s="56" t="s">
        <v>10059</v>
      </c>
      <c r="M1022" s="56"/>
      <c r="N1022" s="315"/>
      <c r="O1022" s="1474">
        <v>3</v>
      </c>
      <c r="P1022" s="1475">
        <v>1090727</v>
      </c>
      <c r="Q1022" s="1476">
        <f>P1022*100/SUM(P1007:P1044)</f>
        <v>33.790198637582684</v>
      </c>
    </row>
    <row r="1023" spans="1:17" ht="11.1" customHeight="1">
      <c r="A1023" s="250" t="s">
        <v>10117</v>
      </c>
      <c r="B1023" s="194" t="s">
        <v>10051</v>
      </c>
      <c r="C1023" s="36">
        <v>2</v>
      </c>
      <c r="D1023" s="36" t="s">
        <v>10099</v>
      </c>
      <c r="E1023" s="195">
        <v>90.4</v>
      </c>
      <c r="F1023" s="36" t="s">
        <v>10118</v>
      </c>
      <c r="G1023" s="36">
        <v>59</v>
      </c>
      <c r="H1023" s="36" t="s">
        <v>10064</v>
      </c>
      <c r="I1023" s="36" t="s">
        <v>10056</v>
      </c>
      <c r="J1023" s="36" t="s">
        <v>10115</v>
      </c>
      <c r="K1023" s="36" t="s">
        <v>10119</v>
      </c>
      <c r="L1023" s="36" t="s">
        <v>10066</v>
      </c>
      <c r="M1023" s="36">
        <v>3</v>
      </c>
      <c r="N1023" s="316"/>
      <c r="O1023" s="1474"/>
      <c r="P1023" s="1475"/>
      <c r="Q1023" s="1476"/>
    </row>
    <row r="1024" spans="1:17" ht="11.1" customHeight="1">
      <c r="A1024" s="250" t="s">
        <v>10120</v>
      </c>
      <c r="B1024" s="194" t="s">
        <v>10051</v>
      </c>
      <c r="C1024" s="36">
        <v>2</v>
      </c>
      <c r="D1024" s="36" t="s">
        <v>10110</v>
      </c>
      <c r="E1024" s="195">
        <v>81.819999999999993</v>
      </c>
      <c r="F1024" s="36" t="s">
        <v>10121</v>
      </c>
      <c r="G1024" s="36">
        <v>46</v>
      </c>
      <c r="H1024" s="36" t="s">
        <v>10064</v>
      </c>
      <c r="I1024" s="36" t="s">
        <v>10056</v>
      </c>
      <c r="J1024" s="36" t="s">
        <v>10115</v>
      </c>
      <c r="K1024" s="36" t="s">
        <v>10122</v>
      </c>
      <c r="L1024" s="36" t="s">
        <v>10066</v>
      </c>
      <c r="M1024" s="36">
        <v>1</v>
      </c>
      <c r="N1024" s="316"/>
      <c r="O1024" s="1474"/>
      <c r="P1024" s="1475"/>
      <c r="Q1024" s="1476"/>
    </row>
    <row r="1025" spans="1:17" ht="11.1" customHeight="1">
      <c r="A1025" s="250" t="s">
        <v>10123</v>
      </c>
      <c r="B1025" s="187"/>
      <c r="C1025" s="42">
        <v>2</v>
      </c>
      <c r="D1025" s="42" t="s">
        <v>10107</v>
      </c>
      <c r="E1025" s="188">
        <v>79.05</v>
      </c>
      <c r="F1025" s="42" t="s">
        <v>10124</v>
      </c>
      <c r="G1025" s="42">
        <v>32</v>
      </c>
      <c r="H1025" s="42" t="s">
        <v>10064</v>
      </c>
      <c r="I1025" s="42" t="s">
        <v>10056</v>
      </c>
      <c r="J1025" s="42" t="s">
        <v>10115</v>
      </c>
      <c r="K1025" s="42" t="s">
        <v>10122</v>
      </c>
      <c r="L1025" s="42" t="s">
        <v>10059</v>
      </c>
      <c r="M1025" s="42"/>
      <c r="N1025" s="308"/>
      <c r="O1025" s="1474"/>
      <c r="P1025" s="1475"/>
      <c r="Q1025" s="1476"/>
    </row>
    <row r="1026" spans="1:17" ht="11.1" customHeight="1">
      <c r="A1026" s="250" t="s">
        <v>10125</v>
      </c>
      <c r="B1026" s="187"/>
      <c r="C1026" s="42">
        <v>2</v>
      </c>
      <c r="D1026" s="42" t="s">
        <v>10103</v>
      </c>
      <c r="E1026" s="188">
        <v>71.599999999999994</v>
      </c>
      <c r="F1026" s="42" t="s">
        <v>10126</v>
      </c>
      <c r="G1026" s="42">
        <v>36</v>
      </c>
      <c r="H1026" s="42" t="s">
        <v>10054</v>
      </c>
      <c r="I1026" s="42" t="s">
        <v>10056</v>
      </c>
      <c r="J1026" s="42" t="s">
        <v>10115</v>
      </c>
      <c r="K1026" s="42" t="s">
        <v>10127</v>
      </c>
      <c r="L1026" s="42" t="s">
        <v>10066</v>
      </c>
      <c r="M1026" s="42">
        <v>1</v>
      </c>
      <c r="N1026" s="308"/>
      <c r="O1026" s="1474"/>
      <c r="P1026" s="1475"/>
      <c r="Q1026" s="1476"/>
    </row>
    <row r="1027" spans="1:17" ht="11.1" customHeight="1">
      <c r="A1027" s="250" t="s">
        <v>10128</v>
      </c>
      <c r="B1027" s="187"/>
      <c r="C1027" s="42">
        <v>13</v>
      </c>
      <c r="D1027" s="42" t="s">
        <v>10061</v>
      </c>
      <c r="E1027" s="309" t="s">
        <v>10129</v>
      </c>
      <c r="F1027" s="42" t="s">
        <v>10130</v>
      </c>
      <c r="G1027" s="42">
        <v>36</v>
      </c>
      <c r="H1027" s="42" t="s">
        <v>10064</v>
      </c>
      <c r="I1027" s="42"/>
      <c r="J1027" s="42" t="s">
        <v>10115</v>
      </c>
      <c r="K1027" s="42" t="s">
        <v>10122</v>
      </c>
      <c r="L1027" s="42" t="s">
        <v>10059</v>
      </c>
      <c r="M1027" s="42"/>
      <c r="N1027" s="310"/>
      <c r="O1027" s="1474"/>
      <c r="P1027" s="1475"/>
      <c r="Q1027" s="1476"/>
    </row>
    <row r="1028" spans="1:17" ht="11.1" customHeight="1">
      <c r="A1028" s="250" t="s">
        <v>10131</v>
      </c>
      <c r="B1028" s="187"/>
      <c r="C1028" s="42">
        <v>14</v>
      </c>
      <c r="D1028" s="42" t="s">
        <v>10061</v>
      </c>
      <c r="E1028" s="309" t="s">
        <v>10062</v>
      </c>
      <c r="F1028" s="42" t="s">
        <v>10132</v>
      </c>
      <c r="G1028" s="42">
        <v>41</v>
      </c>
      <c r="H1028" s="42" t="s">
        <v>10054</v>
      </c>
      <c r="I1028" s="42"/>
      <c r="J1028" s="42" t="s">
        <v>10115</v>
      </c>
      <c r="K1028" s="42" t="s">
        <v>10127</v>
      </c>
      <c r="L1028" s="42" t="s">
        <v>10059</v>
      </c>
      <c r="M1028" s="42"/>
      <c r="N1028" s="310"/>
      <c r="O1028" s="1474"/>
      <c r="P1028" s="1475"/>
      <c r="Q1028" s="1476"/>
    </row>
    <row r="1029" spans="1:17" ht="11.1" customHeight="1">
      <c r="A1029" s="250" t="s">
        <v>10133</v>
      </c>
      <c r="B1029" s="187"/>
      <c r="C1029" s="42">
        <v>15</v>
      </c>
      <c r="D1029" s="42" t="s">
        <v>10061</v>
      </c>
      <c r="E1029" s="309" t="s">
        <v>10062</v>
      </c>
      <c r="F1029" s="42" t="s">
        <v>10134</v>
      </c>
      <c r="G1029" s="42">
        <v>35</v>
      </c>
      <c r="H1029" s="42" t="s">
        <v>10064</v>
      </c>
      <c r="I1029" s="42"/>
      <c r="J1029" s="42" t="s">
        <v>10115</v>
      </c>
      <c r="K1029" s="42" t="s">
        <v>10116</v>
      </c>
      <c r="L1029" s="42" t="s">
        <v>10059</v>
      </c>
      <c r="M1029" s="42"/>
      <c r="N1029" s="310"/>
      <c r="O1029" s="1474"/>
      <c r="P1029" s="1475"/>
      <c r="Q1029" s="1476"/>
    </row>
    <row r="1030" spans="1:17" ht="11.1" customHeight="1">
      <c r="A1030" s="250" t="s">
        <v>10135</v>
      </c>
      <c r="B1030" s="194" t="s">
        <v>10098</v>
      </c>
      <c r="C1030" s="36">
        <v>2</v>
      </c>
      <c r="D1030" s="36" t="s">
        <v>10084</v>
      </c>
      <c r="E1030" s="317" t="s">
        <v>10100</v>
      </c>
      <c r="F1030" s="36" t="s">
        <v>10136</v>
      </c>
      <c r="G1030" s="36">
        <v>64</v>
      </c>
      <c r="H1030" s="36" t="s">
        <v>10064</v>
      </c>
      <c r="I1030" s="36" t="s">
        <v>10056</v>
      </c>
      <c r="J1030" s="36" t="s">
        <v>10115</v>
      </c>
      <c r="K1030" s="36" t="s">
        <v>10127</v>
      </c>
      <c r="L1030" s="36" t="s">
        <v>10066</v>
      </c>
      <c r="M1030" s="36">
        <v>8</v>
      </c>
      <c r="N1030" s="316"/>
      <c r="O1030" s="1474"/>
      <c r="P1030" s="1475"/>
      <c r="Q1030" s="1476"/>
    </row>
    <row r="1031" spans="1:17" ht="11.1" customHeight="1">
      <c r="A1031" s="250" t="s">
        <v>10137</v>
      </c>
      <c r="B1031" s="194" t="s">
        <v>10098</v>
      </c>
      <c r="C1031" s="36">
        <v>2</v>
      </c>
      <c r="D1031" s="36" t="s">
        <v>10068</v>
      </c>
      <c r="E1031" s="317" t="s">
        <v>10138</v>
      </c>
      <c r="F1031" s="36" t="s">
        <v>10139</v>
      </c>
      <c r="G1031" s="36">
        <v>62</v>
      </c>
      <c r="H1031" s="36" t="s">
        <v>10064</v>
      </c>
      <c r="I1031" s="36" t="s">
        <v>10056</v>
      </c>
      <c r="J1031" s="36" t="s">
        <v>10115</v>
      </c>
      <c r="K1031" s="36" t="s">
        <v>10140</v>
      </c>
      <c r="L1031" s="36" t="s">
        <v>10066</v>
      </c>
      <c r="M1031" s="36">
        <v>2</v>
      </c>
      <c r="N1031" s="316"/>
      <c r="O1031" s="1474"/>
      <c r="P1031" s="1475"/>
      <c r="Q1031" s="1476"/>
    </row>
    <row r="1032" spans="1:17" ht="11.1" customHeight="1">
      <c r="A1032" s="250" t="s">
        <v>10141</v>
      </c>
      <c r="B1032" s="194" t="s">
        <v>10098</v>
      </c>
      <c r="C1032" s="36">
        <v>2</v>
      </c>
      <c r="D1032" s="36" t="s">
        <v>10073</v>
      </c>
      <c r="E1032" s="317" t="s">
        <v>10138</v>
      </c>
      <c r="F1032" s="36" t="s">
        <v>10142</v>
      </c>
      <c r="G1032" s="36">
        <v>56</v>
      </c>
      <c r="H1032" s="36" t="s">
        <v>10064</v>
      </c>
      <c r="I1032" s="36" t="s">
        <v>10056</v>
      </c>
      <c r="J1032" s="36" t="s">
        <v>10115</v>
      </c>
      <c r="K1032" s="36" t="s">
        <v>10127</v>
      </c>
      <c r="L1032" s="36" t="s">
        <v>10059</v>
      </c>
      <c r="M1032" s="36"/>
      <c r="N1032" s="316"/>
      <c r="O1032" s="1474"/>
      <c r="P1032" s="1475"/>
      <c r="Q1032" s="1476"/>
    </row>
    <row r="1033" spans="1:17" ht="11.1" customHeight="1">
      <c r="A1033" s="250" t="s">
        <v>10143</v>
      </c>
      <c r="B1033" s="194" t="s">
        <v>10098</v>
      </c>
      <c r="C1033" s="36">
        <v>2</v>
      </c>
      <c r="D1033" s="36" t="s">
        <v>10080</v>
      </c>
      <c r="E1033" s="317" t="s">
        <v>10100</v>
      </c>
      <c r="F1033" s="36" t="s">
        <v>10144</v>
      </c>
      <c r="G1033" s="36">
        <v>46</v>
      </c>
      <c r="H1033" s="36" t="s">
        <v>10054</v>
      </c>
      <c r="I1033" s="36" t="s">
        <v>10056</v>
      </c>
      <c r="J1033" s="36" t="s">
        <v>10115</v>
      </c>
      <c r="K1033" s="36" t="s">
        <v>10116</v>
      </c>
      <c r="L1033" s="36" t="s">
        <v>10066</v>
      </c>
      <c r="M1033" s="36">
        <v>1</v>
      </c>
      <c r="N1033" s="316"/>
      <c r="O1033" s="1474"/>
      <c r="P1033" s="1475"/>
      <c r="Q1033" s="1476"/>
    </row>
    <row r="1034" spans="1:17" ht="11.1" customHeight="1">
      <c r="A1034" s="250" t="s">
        <v>10145</v>
      </c>
      <c r="B1034" s="194" t="s">
        <v>10098</v>
      </c>
      <c r="C1034" s="36">
        <v>2</v>
      </c>
      <c r="D1034" s="36" t="s">
        <v>10090</v>
      </c>
      <c r="E1034" s="317" t="s">
        <v>10138</v>
      </c>
      <c r="F1034" s="36" t="s">
        <v>10146</v>
      </c>
      <c r="G1034" s="36">
        <v>57</v>
      </c>
      <c r="H1034" s="36" t="s">
        <v>10064</v>
      </c>
      <c r="I1034" s="36" t="s">
        <v>10056</v>
      </c>
      <c r="J1034" s="36" t="s">
        <v>10115</v>
      </c>
      <c r="K1034" s="36" t="s">
        <v>10119</v>
      </c>
      <c r="L1034" s="36" t="s">
        <v>10066</v>
      </c>
      <c r="M1034" s="36">
        <v>4</v>
      </c>
      <c r="N1034" s="316"/>
      <c r="O1034" s="1474"/>
      <c r="P1034" s="1475"/>
      <c r="Q1034" s="1476"/>
    </row>
    <row r="1035" spans="1:17" ht="11.1" customHeight="1">
      <c r="A1035" s="250" t="s">
        <v>10147</v>
      </c>
      <c r="B1035" s="194" t="s">
        <v>10098</v>
      </c>
      <c r="C1035" s="36">
        <v>2</v>
      </c>
      <c r="D1035" s="36" t="s">
        <v>10087</v>
      </c>
      <c r="E1035" s="317" t="s">
        <v>10138</v>
      </c>
      <c r="F1035" s="36" t="s">
        <v>10148</v>
      </c>
      <c r="G1035" s="36">
        <v>58</v>
      </c>
      <c r="H1035" s="36" t="s">
        <v>10064</v>
      </c>
      <c r="I1035" s="36" t="s">
        <v>10056</v>
      </c>
      <c r="J1035" s="36" t="s">
        <v>10115</v>
      </c>
      <c r="K1035" s="36" t="s">
        <v>10119</v>
      </c>
      <c r="L1035" s="36" t="s">
        <v>10066</v>
      </c>
      <c r="M1035" s="36">
        <v>6</v>
      </c>
      <c r="N1035" s="316"/>
      <c r="O1035" s="1474"/>
      <c r="P1035" s="1475"/>
      <c r="Q1035" s="1476"/>
    </row>
    <row r="1036" spans="1:17" ht="11.1" customHeight="1">
      <c r="A1036" s="945" t="s">
        <v>10149</v>
      </c>
      <c r="B1036" s="318" t="s">
        <v>10098</v>
      </c>
      <c r="C1036" s="141">
        <v>2</v>
      </c>
      <c r="D1036" s="141" t="s">
        <v>10052</v>
      </c>
      <c r="E1036" s="319" t="s">
        <v>10138</v>
      </c>
      <c r="F1036" s="141" t="s">
        <v>10150</v>
      </c>
      <c r="G1036" s="141">
        <v>63</v>
      </c>
      <c r="H1036" s="141" t="s">
        <v>10064</v>
      </c>
      <c r="I1036" s="141" t="s">
        <v>10056</v>
      </c>
      <c r="J1036" s="141" t="s">
        <v>10115</v>
      </c>
      <c r="K1036" s="141" t="s">
        <v>10119</v>
      </c>
      <c r="L1036" s="141" t="s">
        <v>10066</v>
      </c>
      <c r="M1036" s="141">
        <v>5</v>
      </c>
      <c r="N1036" s="320"/>
      <c r="O1036" s="1474"/>
      <c r="P1036" s="1475"/>
      <c r="Q1036" s="1476"/>
    </row>
    <row r="1037" spans="1:17" ht="11.1" customHeight="1">
      <c r="A1037" s="946" t="s">
        <v>10151</v>
      </c>
      <c r="B1037" s="197" t="s">
        <v>10051</v>
      </c>
      <c r="C1037" s="198">
        <v>1</v>
      </c>
      <c r="D1037" s="198" t="s">
        <v>10061</v>
      </c>
      <c r="E1037" s="321" t="s">
        <v>10129</v>
      </c>
      <c r="F1037" s="198" t="s">
        <v>10152</v>
      </c>
      <c r="G1037" s="198">
        <v>40</v>
      </c>
      <c r="H1037" s="198" t="s">
        <v>10054</v>
      </c>
      <c r="I1037" s="198"/>
      <c r="J1037" s="198" t="s">
        <v>10153</v>
      </c>
      <c r="K1037" s="198"/>
      <c r="L1037" s="198" t="s">
        <v>10066</v>
      </c>
      <c r="M1037" s="198">
        <v>3</v>
      </c>
      <c r="N1037" s="322"/>
      <c r="O1037" s="1486">
        <v>1</v>
      </c>
      <c r="P1037" s="1488">
        <v>368552</v>
      </c>
      <c r="Q1037" s="1490">
        <f>P1037*100/SUM(P1007:P1044)</f>
        <v>11.417563962639939</v>
      </c>
    </row>
    <row r="1038" spans="1:17" ht="11.1" customHeight="1">
      <c r="A1038" s="945" t="s">
        <v>10154</v>
      </c>
      <c r="B1038" s="190"/>
      <c r="C1038" s="49">
        <v>2</v>
      </c>
      <c r="D1038" s="49" t="s">
        <v>10061</v>
      </c>
      <c r="E1038" s="323" t="s">
        <v>10129</v>
      </c>
      <c r="F1038" s="49" t="s">
        <v>10155</v>
      </c>
      <c r="G1038" s="49">
        <v>58</v>
      </c>
      <c r="H1038" s="49" t="s">
        <v>10064</v>
      </c>
      <c r="I1038" s="49"/>
      <c r="J1038" s="49" t="s">
        <v>10153</v>
      </c>
      <c r="K1038" s="49"/>
      <c r="L1038" s="49" t="s">
        <v>10059</v>
      </c>
      <c r="M1038" s="49"/>
      <c r="N1038" s="324"/>
      <c r="O1038" s="1480"/>
      <c r="P1038" s="1481"/>
      <c r="Q1038" s="1482"/>
    </row>
    <row r="1039" spans="1:17" ht="11.1" customHeight="1">
      <c r="A1039" s="946" t="s">
        <v>10156</v>
      </c>
      <c r="B1039" s="203"/>
      <c r="C1039" s="204">
        <v>1</v>
      </c>
      <c r="D1039" s="204" t="s">
        <v>10061</v>
      </c>
      <c r="E1039" s="325" t="s">
        <v>10062</v>
      </c>
      <c r="F1039" s="204" t="s">
        <v>10157</v>
      </c>
      <c r="G1039" s="204">
        <v>42</v>
      </c>
      <c r="H1039" s="204" t="s">
        <v>10064</v>
      </c>
      <c r="I1039" s="204"/>
      <c r="J1039" s="204" t="s">
        <v>10158</v>
      </c>
      <c r="K1039" s="204"/>
      <c r="L1039" s="204" t="s">
        <v>10059</v>
      </c>
      <c r="M1039" s="204"/>
      <c r="N1039" s="326"/>
      <c r="O1039" s="1486">
        <v>0</v>
      </c>
      <c r="P1039" s="1488">
        <v>241371</v>
      </c>
      <c r="Q1039" s="1490">
        <f>P1039*100/SUM(P1007:P1044)</f>
        <v>7.4775576614056209</v>
      </c>
    </row>
    <row r="1040" spans="1:17" ht="11.1" customHeight="1">
      <c r="A1040" s="945" t="s">
        <v>10159</v>
      </c>
      <c r="B1040" s="190"/>
      <c r="C1040" s="49">
        <v>2</v>
      </c>
      <c r="D1040" s="49" t="s">
        <v>10061</v>
      </c>
      <c r="E1040" s="323" t="s">
        <v>10062</v>
      </c>
      <c r="F1040" s="49" t="s">
        <v>10160</v>
      </c>
      <c r="G1040" s="49">
        <v>57</v>
      </c>
      <c r="H1040" s="49" t="s">
        <v>10054</v>
      </c>
      <c r="I1040" s="49"/>
      <c r="J1040" s="49" t="s">
        <v>10158</v>
      </c>
      <c r="K1040" s="49"/>
      <c r="L1040" s="49" t="s">
        <v>10059</v>
      </c>
      <c r="M1040" s="49"/>
      <c r="N1040" s="324"/>
      <c r="O1040" s="1480"/>
      <c r="P1040" s="1481"/>
      <c r="Q1040" s="1482"/>
    </row>
    <row r="1041" spans="1:17" ht="11.1" customHeight="1">
      <c r="A1041" s="947" t="s">
        <v>10161</v>
      </c>
      <c r="B1041" s="237"/>
      <c r="C1041" s="5">
        <v>1</v>
      </c>
      <c r="D1041" s="5" t="s">
        <v>10061</v>
      </c>
      <c r="E1041" s="327" t="s">
        <v>10062</v>
      </c>
      <c r="F1041" s="5" t="s">
        <v>10162</v>
      </c>
      <c r="G1041" s="5">
        <v>65</v>
      </c>
      <c r="H1041" s="5" t="s">
        <v>10054</v>
      </c>
      <c r="I1041" s="5"/>
      <c r="J1041" s="5" t="s">
        <v>10163</v>
      </c>
      <c r="K1041" s="5"/>
      <c r="L1041" s="5" t="s">
        <v>10070</v>
      </c>
      <c r="M1041" s="5">
        <v>1</v>
      </c>
      <c r="N1041" s="328"/>
      <c r="O1041" s="329">
        <v>0</v>
      </c>
      <c r="P1041" s="330">
        <v>152646</v>
      </c>
      <c r="Q1041" s="331">
        <f>P1041*100/SUM(P1007:P1044)</f>
        <v>4.7288997716499601</v>
      </c>
    </row>
    <row r="1042" spans="1:17" ht="11.1" customHeight="1">
      <c r="A1042" s="946" t="s">
        <v>10164</v>
      </c>
      <c r="B1042" s="208" t="s">
        <v>10051</v>
      </c>
      <c r="C1042" s="209">
        <v>1</v>
      </c>
      <c r="D1042" s="209" t="s">
        <v>10061</v>
      </c>
      <c r="E1042" s="332" t="s">
        <v>10165</v>
      </c>
      <c r="F1042" s="209" t="s">
        <v>10166</v>
      </c>
      <c r="G1042" s="209">
        <v>57</v>
      </c>
      <c r="H1042" s="209" t="s">
        <v>10064</v>
      </c>
      <c r="I1042" s="209"/>
      <c r="J1042" s="209" t="s">
        <v>10167</v>
      </c>
      <c r="K1042" s="209" t="s">
        <v>108</v>
      </c>
      <c r="L1042" s="209" t="s">
        <v>10070</v>
      </c>
      <c r="M1042" s="209">
        <v>6</v>
      </c>
      <c r="N1042" s="333"/>
      <c r="O1042" s="1486">
        <v>1</v>
      </c>
      <c r="P1042" s="1488">
        <v>433938</v>
      </c>
      <c r="Q1042" s="1490">
        <f>P1042*100/SUM(P1007:P1044)</f>
        <v>13.443190840966945</v>
      </c>
    </row>
    <row r="1043" spans="1:17" ht="11.1" customHeight="1">
      <c r="A1043" s="250" t="s">
        <v>10168</v>
      </c>
      <c r="B1043" s="187"/>
      <c r="C1043" s="42">
        <v>2</v>
      </c>
      <c r="D1043" s="42" t="s">
        <v>10061</v>
      </c>
      <c r="E1043" s="309" t="s">
        <v>10165</v>
      </c>
      <c r="F1043" s="42" t="s">
        <v>10169</v>
      </c>
      <c r="G1043" s="42">
        <v>32</v>
      </c>
      <c r="H1043" s="42" t="s">
        <v>10054</v>
      </c>
      <c r="I1043" s="42"/>
      <c r="J1043" s="42" t="s">
        <v>10167</v>
      </c>
      <c r="K1043" s="42"/>
      <c r="L1043" s="42" t="s">
        <v>10059</v>
      </c>
      <c r="M1043" s="42"/>
      <c r="N1043" s="310"/>
      <c r="O1043" s="1487"/>
      <c r="P1043" s="1489"/>
      <c r="Q1043" s="1491"/>
    </row>
    <row r="1044" spans="1:17" ht="11.1" customHeight="1" thickBot="1">
      <c r="A1044" s="948" t="s">
        <v>10170</v>
      </c>
      <c r="B1044" s="215"/>
      <c r="C1044" s="78">
        <v>3</v>
      </c>
      <c r="D1044" s="78" t="s">
        <v>10061</v>
      </c>
      <c r="E1044" s="334" t="s">
        <v>10062</v>
      </c>
      <c r="F1044" s="78" t="s">
        <v>10171</v>
      </c>
      <c r="G1044" s="78">
        <v>27</v>
      </c>
      <c r="H1044" s="78" t="s">
        <v>10054</v>
      </c>
      <c r="I1044" s="78"/>
      <c r="J1044" s="78" t="s">
        <v>10167</v>
      </c>
      <c r="K1044" s="78"/>
      <c r="L1044" s="78" t="s">
        <v>10059</v>
      </c>
      <c r="M1044" s="78"/>
      <c r="N1044" s="335"/>
      <c r="O1044" s="1492"/>
      <c r="P1044" s="1493"/>
      <c r="Q1044" s="1494"/>
    </row>
    <row r="1045" spans="1:17" ht="11.1" customHeight="1">
      <c r="A1045" s="249" t="s">
        <v>10172</v>
      </c>
      <c r="B1045" s="336" t="s">
        <v>10051</v>
      </c>
      <c r="C1045" s="337">
        <v>1</v>
      </c>
      <c r="D1045" s="337" t="s">
        <v>10061</v>
      </c>
      <c r="E1045" s="338" t="s">
        <v>10062</v>
      </c>
      <c r="F1045" s="337" t="s">
        <v>10173</v>
      </c>
      <c r="G1045" s="337">
        <v>60</v>
      </c>
      <c r="H1045" s="337" t="s">
        <v>10064</v>
      </c>
      <c r="I1045" s="337"/>
      <c r="J1045" s="337" t="s">
        <v>10057</v>
      </c>
      <c r="K1045" s="337" t="s">
        <v>10075</v>
      </c>
      <c r="L1045" s="337" t="s">
        <v>10066</v>
      </c>
      <c r="M1045" s="337">
        <v>5</v>
      </c>
      <c r="N1045" s="339"/>
      <c r="O1045" s="1495">
        <v>6</v>
      </c>
      <c r="P1045" s="1496">
        <v>1901595</v>
      </c>
      <c r="Q1045" s="1497">
        <f>P1045*100/SUM(P1045:P1110)</f>
        <v>36.547838471044756</v>
      </c>
    </row>
    <row r="1046" spans="1:17" ht="11.1" customHeight="1">
      <c r="A1046" s="250" t="s">
        <v>10174</v>
      </c>
      <c r="B1046" s="302" t="s">
        <v>10051</v>
      </c>
      <c r="C1046" s="303">
        <v>2</v>
      </c>
      <c r="D1046" s="303" t="s">
        <v>10061</v>
      </c>
      <c r="E1046" s="306" t="s">
        <v>10129</v>
      </c>
      <c r="F1046" s="303" t="s">
        <v>10175</v>
      </c>
      <c r="G1046" s="303">
        <v>57</v>
      </c>
      <c r="H1046" s="303" t="s">
        <v>10064</v>
      </c>
      <c r="I1046" s="303"/>
      <c r="J1046" s="303" t="s">
        <v>10057</v>
      </c>
      <c r="K1046" s="303" t="s">
        <v>10075</v>
      </c>
      <c r="L1046" s="303" t="s">
        <v>10066</v>
      </c>
      <c r="M1046" s="303">
        <v>2</v>
      </c>
      <c r="N1046" s="305"/>
      <c r="O1046" s="1487"/>
      <c r="P1046" s="1489"/>
      <c r="Q1046" s="1491"/>
    </row>
    <row r="1047" spans="1:17" ht="11.1" customHeight="1">
      <c r="A1047" s="250" t="s">
        <v>10176</v>
      </c>
      <c r="B1047" s="302" t="s">
        <v>10051</v>
      </c>
      <c r="C1047" s="303">
        <v>3</v>
      </c>
      <c r="D1047" s="303" t="s">
        <v>10061</v>
      </c>
      <c r="E1047" s="306" t="s">
        <v>10129</v>
      </c>
      <c r="F1047" s="303" t="s">
        <v>10177</v>
      </c>
      <c r="G1047" s="303">
        <v>68</v>
      </c>
      <c r="H1047" s="303" t="s">
        <v>10064</v>
      </c>
      <c r="I1047" s="303"/>
      <c r="J1047" s="303" t="s">
        <v>10057</v>
      </c>
      <c r="K1047" s="303" t="s">
        <v>10178</v>
      </c>
      <c r="L1047" s="303" t="s">
        <v>10066</v>
      </c>
      <c r="M1047" s="303">
        <v>4</v>
      </c>
      <c r="N1047" s="305"/>
      <c r="O1047" s="1487"/>
      <c r="P1047" s="1489"/>
      <c r="Q1047" s="1491"/>
    </row>
    <row r="1048" spans="1:17" ht="11.1" customHeight="1">
      <c r="A1048" s="250" t="s">
        <v>10179</v>
      </c>
      <c r="B1048" s="302" t="s">
        <v>10051</v>
      </c>
      <c r="C1048" s="303">
        <v>4</v>
      </c>
      <c r="D1048" s="303" t="s">
        <v>10180</v>
      </c>
      <c r="E1048" s="304">
        <v>38.6</v>
      </c>
      <c r="F1048" s="303" t="s">
        <v>10181</v>
      </c>
      <c r="G1048" s="303">
        <v>67</v>
      </c>
      <c r="H1048" s="303" t="s">
        <v>10064</v>
      </c>
      <c r="I1048" s="303" t="s">
        <v>10056</v>
      </c>
      <c r="J1048" s="303" t="s">
        <v>10057</v>
      </c>
      <c r="K1048" s="303" t="s">
        <v>10075</v>
      </c>
      <c r="L1048" s="303" t="s">
        <v>10066</v>
      </c>
      <c r="M1048" s="303">
        <v>8</v>
      </c>
      <c r="N1048" s="307" t="s">
        <v>10071</v>
      </c>
      <c r="O1048" s="1487"/>
      <c r="P1048" s="1489"/>
      <c r="Q1048" s="1491"/>
    </row>
    <row r="1049" spans="1:17" ht="11.1" customHeight="1">
      <c r="A1049" s="250" t="s">
        <v>10182</v>
      </c>
      <c r="B1049" s="302" t="s">
        <v>10051</v>
      </c>
      <c r="C1049" s="303">
        <v>5</v>
      </c>
      <c r="D1049" s="303" t="s">
        <v>10183</v>
      </c>
      <c r="E1049" s="304">
        <v>92.74</v>
      </c>
      <c r="F1049" s="303" t="s">
        <v>10184</v>
      </c>
      <c r="G1049" s="303">
        <v>53</v>
      </c>
      <c r="H1049" s="303" t="s">
        <v>10064</v>
      </c>
      <c r="I1049" s="303" t="s">
        <v>10056</v>
      </c>
      <c r="J1049" s="303" t="s">
        <v>10057</v>
      </c>
      <c r="K1049" s="303" t="s">
        <v>10065</v>
      </c>
      <c r="L1049" s="303" t="s">
        <v>10059</v>
      </c>
      <c r="M1049" s="303"/>
      <c r="N1049" s="307" t="s">
        <v>10071</v>
      </c>
      <c r="O1049" s="1487"/>
      <c r="P1049" s="1489"/>
      <c r="Q1049" s="1491"/>
    </row>
    <row r="1050" spans="1:17" ht="11.1" customHeight="1">
      <c r="A1050" s="250" t="s">
        <v>10185</v>
      </c>
      <c r="B1050" s="302" t="s">
        <v>10051</v>
      </c>
      <c r="C1050" s="303">
        <v>5</v>
      </c>
      <c r="D1050" s="303" t="s">
        <v>10186</v>
      </c>
      <c r="E1050" s="304">
        <v>88.84</v>
      </c>
      <c r="F1050" s="303" t="s">
        <v>10187</v>
      </c>
      <c r="G1050" s="303">
        <v>67</v>
      </c>
      <c r="H1050" s="303" t="s">
        <v>10064</v>
      </c>
      <c r="I1050" s="303" t="s">
        <v>10056</v>
      </c>
      <c r="J1050" s="303" t="s">
        <v>10057</v>
      </c>
      <c r="K1050" s="303" t="s">
        <v>10082</v>
      </c>
      <c r="L1050" s="303" t="s">
        <v>10066</v>
      </c>
      <c r="M1050" s="303">
        <v>6</v>
      </c>
      <c r="N1050" s="307" t="s">
        <v>10071</v>
      </c>
      <c r="O1050" s="1487"/>
      <c r="P1050" s="1489"/>
      <c r="Q1050" s="1491"/>
    </row>
    <row r="1051" spans="1:17" ht="11.1" customHeight="1">
      <c r="A1051" s="250" t="s">
        <v>10188</v>
      </c>
      <c r="B1051" s="187"/>
      <c r="C1051" s="42">
        <v>5</v>
      </c>
      <c r="D1051" s="42" t="s">
        <v>10189</v>
      </c>
      <c r="E1051" s="188">
        <v>87.57</v>
      </c>
      <c r="F1051" s="42" t="s">
        <v>10190</v>
      </c>
      <c r="G1051" s="42">
        <v>50</v>
      </c>
      <c r="H1051" s="42" t="s">
        <v>10064</v>
      </c>
      <c r="I1051" s="42" t="s">
        <v>10056</v>
      </c>
      <c r="J1051" s="42" t="s">
        <v>10057</v>
      </c>
      <c r="K1051" s="42" t="s">
        <v>10058</v>
      </c>
      <c r="L1051" s="42" t="s">
        <v>10059</v>
      </c>
      <c r="M1051" s="42"/>
      <c r="N1051" s="308" t="s">
        <v>10071</v>
      </c>
      <c r="O1051" s="1487"/>
      <c r="P1051" s="1489"/>
      <c r="Q1051" s="1491"/>
    </row>
    <row r="1052" spans="1:17" ht="11.1" customHeight="1">
      <c r="A1052" s="250" t="s">
        <v>10191</v>
      </c>
      <c r="B1052" s="187"/>
      <c r="C1052" s="42">
        <v>5</v>
      </c>
      <c r="D1052" s="42" t="s">
        <v>10192</v>
      </c>
      <c r="E1052" s="188">
        <v>68.540000000000006</v>
      </c>
      <c r="F1052" s="42" t="s">
        <v>10193</v>
      </c>
      <c r="G1052" s="42">
        <v>38</v>
      </c>
      <c r="H1052" s="42" t="s">
        <v>10064</v>
      </c>
      <c r="I1052" s="42" t="s">
        <v>10056</v>
      </c>
      <c r="J1052" s="42" t="s">
        <v>10057</v>
      </c>
      <c r="K1052" s="42" t="s">
        <v>10058</v>
      </c>
      <c r="L1052" s="42" t="s">
        <v>10059</v>
      </c>
      <c r="M1052" s="42"/>
      <c r="N1052" s="308" t="s">
        <v>10071</v>
      </c>
      <c r="O1052" s="1487"/>
      <c r="P1052" s="1489"/>
      <c r="Q1052" s="1491"/>
    </row>
    <row r="1053" spans="1:17" ht="11.1" customHeight="1">
      <c r="A1053" s="250" t="s">
        <v>10194</v>
      </c>
      <c r="B1053" s="187"/>
      <c r="C1053" s="42">
        <v>5</v>
      </c>
      <c r="D1053" s="42" t="s">
        <v>10195</v>
      </c>
      <c r="E1053" s="188">
        <v>68.13</v>
      </c>
      <c r="F1053" s="42" t="s">
        <v>10196</v>
      </c>
      <c r="G1053" s="42">
        <v>38</v>
      </c>
      <c r="H1053" s="42" t="s">
        <v>10064</v>
      </c>
      <c r="I1053" s="42" t="s">
        <v>10056</v>
      </c>
      <c r="J1053" s="42" t="s">
        <v>10057</v>
      </c>
      <c r="K1053" s="42" t="s">
        <v>10075</v>
      </c>
      <c r="L1053" s="42" t="s">
        <v>10059</v>
      </c>
      <c r="M1053" s="42"/>
      <c r="N1053" s="308" t="s">
        <v>10071</v>
      </c>
      <c r="O1053" s="1487"/>
      <c r="P1053" s="1489"/>
      <c r="Q1053" s="1491"/>
    </row>
    <row r="1054" spans="1:17" ht="11.1" customHeight="1">
      <c r="A1054" s="250" t="s">
        <v>10197</v>
      </c>
      <c r="B1054" s="187"/>
      <c r="C1054" s="42">
        <v>5</v>
      </c>
      <c r="D1054" s="42" t="s">
        <v>10198</v>
      </c>
      <c r="E1054" s="188">
        <v>66.14</v>
      </c>
      <c r="F1054" s="212" t="s">
        <v>10199</v>
      </c>
      <c r="G1054" s="42">
        <v>34</v>
      </c>
      <c r="H1054" s="212" t="s">
        <v>10064</v>
      </c>
      <c r="I1054" s="42" t="s">
        <v>10056</v>
      </c>
      <c r="J1054" s="42" t="s">
        <v>10057</v>
      </c>
      <c r="K1054" s="212" t="s">
        <v>10058</v>
      </c>
      <c r="L1054" s="42" t="s">
        <v>10059</v>
      </c>
      <c r="M1054" s="42"/>
      <c r="N1054" s="308"/>
      <c r="O1054" s="1487"/>
      <c r="P1054" s="1489"/>
      <c r="Q1054" s="1491"/>
    </row>
    <row r="1055" spans="1:17" ht="11.1" customHeight="1">
      <c r="A1055" s="250" t="s">
        <v>10200</v>
      </c>
      <c r="B1055" s="187"/>
      <c r="C1055" s="42">
        <v>5</v>
      </c>
      <c r="D1055" s="42" t="s">
        <v>10201</v>
      </c>
      <c r="E1055" s="188">
        <v>45.88</v>
      </c>
      <c r="F1055" s="42" t="s">
        <v>10202</v>
      </c>
      <c r="G1055" s="42">
        <v>71</v>
      </c>
      <c r="H1055" s="42" t="s">
        <v>10064</v>
      </c>
      <c r="I1055" s="42" t="s">
        <v>10056</v>
      </c>
      <c r="J1055" s="42" t="s">
        <v>10057</v>
      </c>
      <c r="K1055" s="42" t="s">
        <v>10075</v>
      </c>
      <c r="L1055" s="42" t="s">
        <v>10066</v>
      </c>
      <c r="M1055" s="42">
        <v>4</v>
      </c>
      <c r="N1055" s="308" t="s">
        <v>10071</v>
      </c>
      <c r="O1055" s="1487"/>
      <c r="P1055" s="1489"/>
      <c r="Q1055" s="1491"/>
    </row>
    <row r="1056" spans="1:17" ht="11.1" customHeight="1">
      <c r="A1056" s="250" t="s">
        <v>10203</v>
      </c>
      <c r="B1056" s="187"/>
      <c r="C1056" s="42">
        <v>28</v>
      </c>
      <c r="D1056" s="42" t="s">
        <v>10061</v>
      </c>
      <c r="E1056" s="309" t="s">
        <v>10113</v>
      </c>
      <c r="F1056" s="42" t="s">
        <v>10204</v>
      </c>
      <c r="G1056" s="42">
        <v>70</v>
      </c>
      <c r="H1056" s="42" t="s">
        <v>10064</v>
      </c>
      <c r="I1056" s="42"/>
      <c r="J1056" s="42" t="s">
        <v>10057</v>
      </c>
      <c r="K1056" s="42" t="s">
        <v>10205</v>
      </c>
      <c r="L1056" s="42" t="s">
        <v>10070</v>
      </c>
      <c r="M1056" s="42">
        <v>5</v>
      </c>
      <c r="N1056" s="310"/>
      <c r="O1056" s="1487"/>
      <c r="P1056" s="1489"/>
      <c r="Q1056" s="1491"/>
    </row>
    <row r="1057" spans="1:17" ht="11.1" customHeight="1">
      <c r="A1057" s="250" t="s">
        <v>10206</v>
      </c>
      <c r="B1057" s="302" t="s">
        <v>10098</v>
      </c>
      <c r="C1057" s="303">
        <v>5</v>
      </c>
      <c r="D1057" s="303" t="s">
        <v>10207</v>
      </c>
      <c r="E1057" s="306" t="s">
        <v>10208</v>
      </c>
      <c r="F1057" s="303" t="s">
        <v>10209</v>
      </c>
      <c r="G1057" s="303">
        <v>49</v>
      </c>
      <c r="H1057" s="303" t="s">
        <v>10064</v>
      </c>
      <c r="I1057" s="303" t="s">
        <v>10056</v>
      </c>
      <c r="J1057" s="303" t="s">
        <v>10057</v>
      </c>
      <c r="K1057" s="303" t="s">
        <v>10210</v>
      </c>
      <c r="L1057" s="303" t="s">
        <v>10066</v>
      </c>
      <c r="M1057" s="303">
        <v>2</v>
      </c>
      <c r="N1057" s="307" t="s">
        <v>10071</v>
      </c>
      <c r="O1057" s="1487"/>
      <c r="P1057" s="1489"/>
      <c r="Q1057" s="1491"/>
    </row>
    <row r="1058" spans="1:17" ht="11.1" customHeight="1">
      <c r="A1058" s="250" t="s">
        <v>10211</v>
      </c>
      <c r="B1058" s="302" t="s">
        <v>10098</v>
      </c>
      <c r="C1058" s="303">
        <v>5</v>
      </c>
      <c r="D1058" s="303" t="s">
        <v>10212</v>
      </c>
      <c r="E1058" s="306" t="s">
        <v>10104</v>
      </c>
      <c r="F1058" s="303" t="s">
        <v>10213</v>
      </c>
      <c r="G1058" s="303">
        <v>59</v>
      </c>
      <c r="H1058" s="303" t="s">
        <v>10064</v>
      </c>
      <c r="I1058" s="303" t="s">
        <v>10056</v>
      </c>
      <c r="J1058" s="303" t="s">
        <v>10057</v>
      </c>
      <c r="K1058" s="303" t="s">
        <v>10210</v>
      </c>
      <c r="L1058" s="303" t="s">
        <v>10066</v>
      </c>
      <c r="M1058" s="303">
        <v>7</v>
      </c>
      <c r="N1058" s="307" t="s">
        <v>10071</v>
      </c>
      <c r="O1058" s="1487"/>
      <c r="P1058" s="1489"/>
      <c r="Q1058" s="1491"/>
    </row>
    <row r="1059" spans="1:17" ht="11.1" customHeight="1">
      <c r="A1059" s="250" t="s">
        <v>10214</v>
      </c>
      <c r="B1059" s="302" t="s">
        <v>10098</v>
      </c>
      <c r="C1059" s="303">
        <v>5</v>
      </c>
      <c r="D1059" s="303" t="s">
        <v>10215</v>
      </c>
      <c r="E1059" s="306" t="s">
        <v>10104</v>
      </c>
      <c r="F1059" s="303" t="s">
        <v>10216</v>
      </c>
      <c r="G1059" s="303">
        <v>40</v>
      </c>
      <c r="H1059" s="303" t="s">
        <v>10064</v>
      </c>
      <c r="I1059" s="303" t="s">
        <v>10056</v>
      </c>
      <c r="J1059" s="303" t="s">
        <v>10057</v>
      </c>
      <c r="K1059" s="303" t="s">
        <v>10075</v>
      </c>
      <c r="L1059" s="303" t="s">
        <v>10066</v>
      </c>
      <c r="M1059" s="303">
        <v>3</v>
      </c>
      <c r="N1059" s="307" t="s">
        <v>10071</v>
      </c>
      <c r="O1059" s="1487"/>
      <c r="P1059" s="1489"/>
      <c r="Q1059" s="1491"/>
    </row>
    <row r="1060" spans="1:17" ht="11.1" customHeight="1">
      <c r="A1060" s="250" t="s">
        <v>10217</v>
      </c>
      <c r="B1060" s="302" t="s">
        <v>10098</v>
      </c>
      <c r="C1060" s="303">
        <v>5</v>
      </c>
      <c r="D1060" s="303" t="s">
        <v>10218</v>
      </c>
      <c r="E1060" s="306" t="s">
        <v>10104</v>
      </c>
      <c r="F1060" s="303" t="s">
        <v>10219</v>
      </c>
      <c r="G1060" s="303">
        <v>52</v>
      </c>
      <c r="H1060" s="303" t="s">
        <v>10064</v>
      </c>
      <c r="I1060" s="303" t="s">
        <v>10056</v>
      </c>
      <c r="J1060" s="303" t="s">
        <v>10057</v>
      </c>
      <c r="K1060" s="303" t="s">
        <v>10082</v>
      </c>
      <c r="L1060" s="303" t="s">
        <v>10066</v>
      </c>
      <c r="M1060" s="303">
        <v>5</v>
      </c>
      <c r="N1060" s="307" t="s">
        <v>10071</v>
      </c>
      <c r="O1060" s="1487"/>
      <c r="P1060" s="1489"/>
      <c r="Q1060" s="1491"/>
    </row>
    <row r="1061" spans="1:17" ht="11.1" customHeight="1">
      <c r="A1061" s="250" t="s">
        <v>10220</v>
      </c>
      <c r="B1061" s="302" t="s">
        <v>10098</v>
      </c>
      <c r="C1061" s="303">
        <v>5</v>
      </c>
      <c r="D1061" s="303" t="s">
        <v>10221</v>
      </c>
      <c r="E1061" s="306" t="s">
        <v>10104</v>
      </c>
      <c r="F1061" s="303" t="s">
        <v>10222</v>
      </c>
      <c r="G1061" s="303">
        <v>47</v>
      </c>
      <c r="H1061" s="303" t="s">
        <v>10064</v>
      </c>
      <c r="I1061" s="303" t="s">
        <v>10056</v>
      </c>
      <c r="J1061" s="303" t="s">
        <v>10057</v>
      </c>
      <c r="K1061" s="303" t="s">
        <v>10058</v>
      </c>
      <c r="L1061" s="303" t="s">
        <v>10059</v>
      </c>
      <c r="M1061" s="303"/>
      <c r="N1061" s="307" t="s">
        <v>10071</v>
      </c>
      <c r="O1061" s="1487"/>
      <c r="P1061" s="1489"/>
      <c r="Q1061" s="1491"/>
    </row>
    <row r="1062" spans="1:17" ht="11.1" customHeight="1">
      <c r="A1062" s="250" t="s">
        <v>10223</v>
      </c>
      <c r="B1062" s="302" t="s">
        <v>10098</v>
      </c>
      <c r="C1062" s="303">
        <v>5</v>
      </c>
      <c r="D1062" s="303" t="s">
        <v>10224</v>
      </c>
      <c r="E1062" s="306" t="s">
        <v>10104</v>
      </c>
      <c r="F1062" s="303" t="s">
        <v>10225</v>
      </c>
      <c r="G1062" s="303">
        <v>43</v>
      </c>
      <c r="H1062" s="303" t="s">
        <v>10064</v>
      </c>
      <c r="I1062" s="303" t="s">
        <v>10056</v>
      </c>
      <c r="J1062" s="303" t="s">
        <v>10057</v>
      </c>
      <c r="K1062" s="303" t="s">
        <v>10058</v>
      </c>
      <c r="L1062" s="303" t="s">
        <v>10066</v>
      </c>
      <c r="M1062" s="303">
        <v>1</v>
      </c>
      <c r="N1062" s="307" t="s">
        <v>10071</v>
      </c>
      <c r="O1062" s="1487"/>
      <c r="P1062" s="1489"/>
      <c r="Q1062" s="1491"/>
    </row>
    <row r="1063" spans="1:17" ht="11.1" customHeight="1">
      <c r="A1063" s="250" t="s">
        <v>10226</v>
      </c>
      <c r="B1063" s="302" t="s">
        <v>10098</v>
      </c>
      <c r="C1063" s="303">
        <v>5</v>
      </c>
      <c r="D1063" s="303" t="s">
        <v>10227</v>
      </c>
      <c r="E1063" s="306" t="s">
        <v>10104</v>
      </c>
      <c r="F1063" s="303" t="s">
        <v>10228</v>
      </c>
      <c r="G1063" s="303">
        <v>45</v>
      </c>
      <c r="H1063" s="303" t="s">
        <v>10064</v>
      </c>
      <c r="I1063" s="303" t="s">
        <v>10056</v>
      </c>
      <c r="J1063" s="303" t="s">
        <v>10057</v>
      </c>
      <c r="K1063" s="303" t="s">
        <v>10075</v>
      </c>
      <c r="L1063" s="303" t="s">
        <v>10066</v>
      </c>
      <c r="M1063" s="303">
        <v>1</v>
      </c>
      <c r="N1063" s="307" t="s">
        <v>10071</v>
      </c>
      <c r="O1063" s="1487"/>
      <c r="P1063" s="1489"/>
      <c r="Q1063" s="1491"/>
    </row>
    <row r="1064" spans="1:17" ht="11.1" customHeight="1">
      <c r="A1064" s="250" t="s">
        <v>10229</v>
      </c>
      <c r="B1064" s="302" t="s">
        <v>10098</v>
      </c>
      <c r="C1064" s="303">
        <v>5</v>
      </c>
      <c r="D1064" s="303" t="s">
        <v>10230</v>
      </c>
      <c r="E1064" s="306" t="s">
        <v>10104</v>
      </c>
      <c r="F1064" s="303" t="s">
        <v>10231</v>
      </c>
      <c r="G1064" s="303">
        <v>52</v>
      </c>
      <c r="H1064" s="303" t="s">
        <v>10064</v>
      </c>
      <c r="I1064" s="303" t="s">
        <v>10056</v>
      </c>
      <c r="J1064" s="303" t="s">
        <v>10057</v>
      </c>
      <c r="K1064" s="303" t="s">
        <v>10210</v>
      </c>
      <c r="L1064" s="303" t="s">
        <v>10066</v>
      </c>
      <c r="M1064" s="303">
        <v>2</v>
      </c>
      <c r="N1064" s="307" t="s">
        <v>10071</v>
      </c>
      <c r="O1064" s="1487"/>
      <c r="P1064" s="1489"/>
      <c r="Q1064" s="1491"/>
    </row>
    <row r="1065" spans="1:17" ht="11.1" customHeight="1">
      <c r="A1065" s="250" t="s">
        <v>10232</v>
      </c>
      <c r="B1065" s="302" t="s">
        <v>10098</v>
      </c>
      <c r="C1065" s="303">
        <v>5</v>
      </c>
      <c r="D1065" s="303" t="s">
        <v>10233</v>
      </c>
      <c r="E1065" s="306" t="s">
        <v>10104</v>
      </c>
      <c r="F1065" s="303" t="s">
        <v>10234</v>
      </c>
      <c r="G1065" s="303">
        <v>45</v>
      </c>
      <c r="H1065" s="303" t="s">
        <v>10064</v>
      </c>
      <c r="I1065" s="303" t="s">
        <v>10056</v>
      </c>
      <c r="J1065" s="303" t="s">
        <v>10057</v>
      </c>
      <c r="K1065" s="303" t="s">
        <v>10082</v>
      </c>
      <c r="L1065" s="303" t="s">
        <v>10066</v>
      </c>
      <c r="M1065" s="303">
        <v>2</v>
      </c>
      <c r="N1065" s="307" t="s">
        <v>10071</v>
      </c>
      <c r="O1065" s="1487"/>
      <c r="P1065" s="1489"/>
      <c r="Q1065" s="1491"/>
    </row>
    <row r="1066" spans="1:17" ht="11.1" customHeight="1">
      <c r="A1066" s="250" t="s">
        <v>10235</v>
      </c>
      <c r="B1066" s="302" t="s">
        <v>10098</v>
      </c>
      <c r="C1066" s="303">
        <v>5</v>
      </c>
      <c r="D1066" s="303" t="s">
        <v>10236</v>
      </c>
      <c r="E1066" s="306" t="s">
        <v>10104</v>
      </c>
      <c r="F1066" s="303" t="s">
        <v>10237</v>
      </c>
      <c r="G1066" s="303">
        <v>41</v>
      </c>
      <c r="H1066" s="303" t="s">
        <v>10064</v>
      </c>
      <c r="I1066" s="303" t="s">
        <v>10056</v>
      </c>
      <c r="J1066" s="303" t="s">
        <v>10057</v>
      </c>
      <c r="K1066" s="303" t="s">
        <v>10058</v>
      </c>
      <c r="L1066" s="303" t="s">
        <v>10066</v>
      </c>
      <c r="M1066" s="303">
        <v>1</v>
      </c>
      <c r="N1066" s="307" t="s">
        <v>10071</v>
      </c>
      <c r="O1066" s="1487"/>
      <c r="P1066" s="1489"/>
      <c r="Q1066" s="1491"/>
    </row>
    <row r="1067" spans="1:17" ht="11.1" customHeight="1">
      <c r="A1067" s="250" t="s">
        <v>10238</v>
      </c>
      <c r="B1067" s="302" t="s">
        <v>10098</v>
      </c>
      <c r="C1067" s="303">
        <v>5</v>
      </c>
      <c r="D1067" s="303" t="s">
        <v>10239</v>
      </c>
      <c r="E1067" s="306" t="s">
        <v>10104</v>
      </c>
      <c r="F1067" s="303" t="s">
        <v>10240</v>
      </c>
      <c r="G1067" s="303">
        <v>55</v>
      </c>
      <c r="H1067" s="303" t="s">
        <v>10064</v>
      </c>
      <c r="I1067" s="303" t="s">
        <v>10056</v>
      </c>
      <c r="J1067" s="303" t="s">
        <v>10057</v>
      </c>
      <c r="K1067" s="303" t="s">
        <v>10241</v>
      </c>
      <c r="L1067" s="303" t="s">
        <v>10066</v>
      </c>
      <c r="M1067" s="303">
        <v>3</v>
      </c>
      <c r="N1067" s="307" t="s">
        <v>10071</v>
      </c>
      <c r="O1067" s="1487"/>
      <c r="P1067" s="1489"/>
      <c r="Q1067" s="1491"/>
    </row>
    <row r="1068" spans="1:17" ht="11.1" customHeight="1">
      <c r="A1068" s="250" t="s">
        <v>10242</v>
      </c>
      <c r="B1068" s="302" t="s">
        <v>10098</v>
      </c>
      <c r="C1068" s="303">
        <v>5</v>
      </c>
      <c r="D1068" s="303" t="s">
        <v>10243</v>
      </c>
      <c r="E1068" s="306" t="s">
        <v>10104</v>
      </c>
      <c r="F1068" s="303" t="s">
        <v>10244</v>
      </c>
      <c r="G1068" s="303">
        <v>66</v>
      </c>
      <c r="H1068" s="303" t="s">
        <v>10064</v>
      </c>
      <c r="I1068" s="303" t="s">
        <v>10056</v>
      </c>
      <c r="J1068" s="303" t="s">
        <v>10057</v>
      </c>
      <c r="K1068" s="303" t="s">
        <v>10178</v>
      </c>
      <c r="L1068" s="303" t="s">
        <v>10066</v>
      </c>
      <c r="M1068" s="303">
        <v>5</v>
      </c>
      <c r="N1068" s="307" t="s">
        <v>10071</v>
      </c>
      <c r="O1068" s="1487"/>
      <c r="P1068" s="1489"/>
      <c r="Q1068" s="1491"/>
    </row>
    <row r="1069" spans="1:17" ht="11.1" customHeight="1">
      <c r="A1069" s="250" t="s">
        <v>10245</v>
      </c>
      <c r="B1069" s="302" t="s">
        <v>10098</v>
      </c>
      <c r="C1069" s="303">
        <v>5</v>
      </c>
      <c r="D1069" s="303" t="s">
        <v>10246</v>
      </c>
      <c r="E1069" s="306" t="s">
        <v>10104</v>
      </c>
      <c r="F1069" s="303" t="s">
        <v>10247</v>
      </c>
      <c r="G1069" s="303">
        <v>66</v>
      </c>
      <c r="H1069" s="303" t="s">
        <v>10064</v>
      </c>
      <c r="I1069" s="303" t="s">
        <v>10056</v>
      </c>
      <c r="J1069" s="303" t="s">
        <v>10057</v>
      </c>
      <c r="K1069" s="303" t="s">
        <v>10241</v>
      </c>
      <c r="L1069" s="303" t="s">
        <v>10066</v>
      </c>
      <c r="M1069" s="303">
        <v>11</v>
      </c>
      <c r="N1069" s="307" t="s">
        <v>10071</v>
      </c>
      <c r="O1069" s="1487"/>
      <c r="P1069" s="1489"/>
      <c r="Q1069" s="1491"/>
    </row>
    <row r="1070" spans="1:17" ht="11.1" customHeight="1">
      <c r="A1070" s="250" t="s">
        <v>10248</v>
      </c>
      <c r="B1070" s="302" t="s">
        <v>10098</v>
      </c>
      <c r="C1070" s="303">
        <v>5</v>
      </c>
      <c r="D1070" s="303" t="s">
        <v>10249</v>
      </c>
      <c r="E1070" s="306" t="s">
        <v>10104</v>
      </c>
      <c r="F1070" s="303" t="s">
        <v>10250</v>
      </c>
      <c r="G1070" s="303">
        <v>50</v>
      </c>
      <c r="H1070" s="303" t="s">
        <v>10064</v>
      </c>
      <c r="I1070" s="303" t="s">
        <v>10056</v>
      </c>
      <c r="J1070" s="303" t="s">
        <v>10057</v>
      </c>
      <c r="K1070" s="303" t="s">
        <v>10075</v>
      </c>
      <c r="L1070" s="303" t="s">
        <v>10059</v>
      </c>
      <c r="M1070" s="303"/>
      <c r="N1070" s="307" t="s">
        <v>10071</v>
      </c>
      <c r="O1070" s="1487"/>
      <c r="P1070" s="1489"/>
      <c r="Q1070" s="1491"/>
    </row>
    <row r="1071" spans="1:17" ht="11.1" customHeight="1">
      <c r="A1071" s="250" t="s">
        <v>10251</v>
      </c>
      <c r="B1071" s="302" t="s">
        <v>10098</v>
      </c>
      <c r="C1071" s="303">
        <v>5</v>
      </c>
      <c r="D1071" s="303" t="s">
        <v>10252</v>
      </c>
      <c r="E1071" s="306" t="s">
        <v>10104</v>
      </c>
      <c r="F1071" s="303" t="s">
        <v>10253</v>
      </c>
      <c r="G1071" s="303">
        <v>54</v>
      </c>
      <c r="H1071" s="303" t="s">
        <v>10064</v>
      </c>
      <c r="I1071" s="303" t="s">
        <v>10056</v>
      </c>
      <c r="J1071" s="303" t="s">
        <v>10057</v>
      </c>
      <c r="K1071" s="303" t="s">
        <v>10082</v>
      </c>
      <c r="L1071" s="303" t="s">
        <v>10066</v>
      </c>
      <c r="M1071" s="303">
        <v>4</v>
      </c>
      <c r="N1071" s="307" t="s">
        <v>10071</v>
      </c>
      <c r="O1071" s="1487"/>
      <c r="P1071" s="1489"/>
      <c r="Q1071" s="1491"/>
    </row>
    <row r="1072" spans="1:17" ht="11.1" customHeight="1">
      <c r="A1072" s="945" t="s">
        <v>10254</v>
      </c>
      <c r="B1072" s="340" t="s">
        <v>10098</v>
      </c>
      <c r="C1072" s="311">
        <v>5</v>
      </c>
      <c r="D1072" s="311" t="s">
        <v>10255</v>
      </c>
      <c r="E1072" s="312" t="s">
        <v>10104</v>
      </c>
      <c r="F1072" s="311" t="s">
        <v>10256</v>
      </c>
      <c r="G1072" s="311">
        <v>57</v>
      </c>
      <c r="H1072" s="311" t="s">
        <v>10064</v>
      </c>
      <c r="I1072" s="311" t="s">
        <v>10056</v>
      </c>
      <c r="J1072" s="311" t="s">
        <v>10057</v>
      </c>
      <c r="K1072" s="311" t="s">
        <v>10075</v>
      </c>
      <c r="L1072" s="311" t="s">
        <v>10066</v>
      </c>
      <c r="M1072" s="311">
        <v>2</v>
      </c>
      <c r="N1072" s="313" t="s">
        <v>10071</v>
      </c>
      <c r="O1072" s="1480"/>
      <c r="P1072" s="1481"/>
      <c r="Q1072" s="1482"/>
    </row>
    <row r="1073" spans="1:17" ht="11.1" customHeight="1">
      <c r="A1073" s="946" t="s">
        <v>10257</v>
      </c>
      <c r="B1073" s="192" t="s">
        <v>10051</v>
      </c>
      <c r="C1073" s="56">
        <v>1</v>
      </c>
      <c r="D1073" s="56" t="s">
        <v>10221</v>
      </c>
      <c r="E1073" s="193">
        <v>98.32</v>
      </c>
      <c r="F1073" s="56" t="s">
        <v>10258</v>
      </c>
      <c r="G1073" s="56">
        <v>48</v>
      </c>
      <c r="H1073" s="56" t="s">
        <v>10054</v>
      </c>
      <c r="I1073" s="56" t="s">
        <v>10056</v>
      </c>
      <c r="J1073" s="56" t="s">
        <v>10115</v>
      </c>
      <c r="K1073" s="56" t="s">
        <v>10116</v>
      </c>
      <c r="L1073" s="56" t="s">
        <v>10059</v>
      </c>
      <c r="M1073" s="56"/>
      <c r="N1073" s="341"/>
      <c r="O1073" s="1486">
        <v>5</v>
      </c>
      <c r="P1073" s="1488">
        <v>1748165</v>
      </c>
      <c r="Q1073" s="1490">
        <f>P1073*100/SUM(P1045:P1110)</f>
        <v>33.598979825217228</v>
      </c>
    </row>
    <row r="1074" spans="1:17" ht="11.1" customHeight="1">
      <c r="A1074" s="250" t="s">
        <v>10259</v>
      </c>
      <c r="B1074" s="194" t="s">
        <v>10051</v>
      </c>
      <c r="C1074" s="36">
        <v>1</v>
      </c>
      <c r="D1074" s="36" t="s">
        <v>10260</v>
      </c>
      <c r="E1074" s="195">
        <v>84.32</v>
      </c>
      <c r="F1074" s="36" t="s">
        <v>10261</v>
      </c>
      <c r="G1074" s="36">
        <v>41</v>
      </c>
      <c r="H1074" s="36" t="s">
        <v>10064</v>
      </c>
      <c r="I1074" s="36" t="s">
        <v>10056</v>
      </c>
      <c r="J1074" s="36" t="s">
        <v>10115</v>
      </c>
      <c r="K1074" s="36" t="s">
        <v>10116</v>
      </c>
      <c r="L1074" s="36" t="s">
        <v>10059</v>
      </c>
      <c r="M1074" s="36"/>
      <c r="N1074" s="316"/>
      <c r="O1074" s="1487"/>
      <c r="P1074" s="1489"/>
      <c r="Q1074" s="1491"/>
    </row>
    <row r="1075" spans="1:17" ht="11.1" customHeight="1">
      <c r="A1075" s="250" t="s">
        <v>10262</v>
      </c>
      <c r="B1075" s="194" t="s">
        <v>10051</v>
      </c>
      <c r="C1075" s="36">
        <v>1</v>
      </c>
      <c r="D1075" s="36" t="s">
        <v>10255</v>
      </c>
      <c r="E1075" s="195">
        <v>82.38</v>
      </c>
      <c r="F1075" s="36" t="s">
        <v>10263</v>
      </c>
      <c r="G1075" s="36">
        <v>56</v>
      </c>
      <c r="H1075" s="36" t="s">
        <v>10064</v>
      </c>
      <c r="I1075" s="36" t="s">
        <v>10056</v>
      </c>
      <c r="J1075" s="36" t="s">
        <v>10115</v>
      </c>
      <c r="K1075" s="36" t="s">
        <v>10116</v>
      </c>
      <c r="L1075" s="36" t="s">
        <v>10066</v>
      </c>
      <c r="M1075" s="36">
        <v>1</v>
      </c>
      <c r="N1075" s="316"/>
      <c r="O1075" s="1487"/>
      <c r="P1075" s="1489"/>
      <c r="Q1075" s="1491"/>
    </row>
    <row r="1076" spans="1:17" ht="11.1" customHeight="1">
      <c r="A1076" s="250" t="s">
        <v>10264</v>
      </c>
      <c r="B1076" s="194" t="s">
        <v>10051</v>
      </c>
      <c r="C1076" s="36">
        <v>1</v>
      </c>
      <c r="D1076" s="36" t="s">
        <v>10243</v>
      </c>
      <c r="E1076" s="195">
        <v>82.34</v>
      </c>
      <c r="F1076" s="36" t="s">
        <v>10265</v>
      </c>
      <c r="G1076" s="36">
        <v>40</v>
      </c>
      <c r="H1076" s="36" t="s">
        <v>10064</v>
      </c>
      <c r="I1076" s="36" t="s">
        <v>10056</v>
      </c>
      <c r="J1076" s="36" t="s">
        <v>10115</v>
      </c>
      <c r="K1076" s="36" t="s">
        <v>10116</v>
      </c>
      <c r="L1076" s="36" t="s">
        <v>10066</v>
      </c>
      <c r="M1076" s="36">
        <v>1</v>
      </c>
      <c r="N1076" s="316"/>
      <c r="O1076" s="1487"/>
      <c r="P1076" s="1489"/>
      <c r="Q1076" s="1491"/>
    </row>
    <row r="1077" spans="1:17" ht="11.1" customHeight="1">
      <c r="A1077" s="250" t="s">
        <v>10266</v>
      </c>
      <c r="B1077" s="194" t="s">
        <v>10051</v>
      </c>
      <c r="C1077" s="36">
        <v>1</v>
      </c>
      <c r="D1077" s="36" t="s">
        <v>10212</v>
      </c>
      <c r="E1077" s="195">
        <v>81.22</v>
      </c>
      <c r="F1077" s="36" t="s">
        <v>10267</v>
      </c>
      <c r="G1077" s="36">
        <v>36</v>
      </c>
      <c r="H1077" s="36" t="s">
        <v>10054</v>
      </c>
      <c r="I1077" s="36" t="s">
        <v>10056</v>
      </c>
      <c r="J1077" s="36" t="s">
        <v>10115</v>
      </c>
      <c r="K1077" s="36" t="s">
        <v>10140</v>
      </c>
      <c r="L1077" s="36" t="s">
        <v>10070</v>
      </c>
      <c r="M1077" s="36">
        <v>1</v>
      </c>
      <c r="N1077" s="316"/>
      <c r="O1077" s="1487"/>
      <c r="P1077" s="1489"/>
      <c r="Q1077" s="1491"/>
    </row>
    <row r="1078" spans="1:17" ht="11.1" customHeight="1">
      <c r="A1078" s="250" t="s">
        <v>10268</v>
      </c>
      <c r="B1078" s="187"/>
      <c r="C1078" s="42">
        <v>1</v>
      </c>
      <c r="D1078" s="42" t="s">
        <v>10218</v>
      </c>
      <c r="E1078" s="188">
        <v>80.8</v>
      </c>
      <c r="F1078" s="42" t="s">
        <v>10269</v>
      </c>
      <c r="G1078" s="42">
        <v>41</v>
      </c>
      <c r="H1078" s="42" t="s">
        <v>10064</v>
      </c>
      <c r="I1078" s="42" t="s">
        <v>10056</v>
      </c>
      <c r="J1078" s="42" t="s">
        <v>10115</v>
      </c>
      <c r="K1078" s="42" t="s">
        <v>10116</v>
      </c>
      <c r="L1078" s="42" t="s">
        <v>10059</v>
      </c>
      <c r="M1078" s="42"/>
      <c r="N1078" s="308"/>
      <c r="O1078" s="1487"/>
      <c r="P1078" s="1489"/>
      <c r="Q1078" s="1491"/>
    </row>
    <row r="1079" spans="1:17" ht="11.1" customHeight="1">
      <c r="A1079" s="250" t="s">
        <v>10270</v>
      </c>
      <c r="B1079" s="187"/>
      <c r="C1079" s="42">
        <v>1</v>
      </c>
      <c r="D1079" s="42" t="s">
        <v>10252</v>
      </c>
      <c r="E1079" s="188">
        <v>80.47</v>
      </c>
      <c r="F1079" s="42" t="s">
        <v>10271</v>
      </c>
      <c r="G1079" s="42">
        <v>57</v>
      </c>
      <c r="H1079" s="42" t="s">
        <v>10064</v>
      </c>
      <c r="I1079" s="42" t="s">
        <v>10056</v>
      </c>
      <c r="J1079" s="42" t="s">
        <v>10115</v>
      </c>
      <c r="K1079" s="42" t="s">
        <v>10140</v>
      </c>
      <c r="L1079" s="42" t="s">
        <v>10066</v>
      </c>
      <c r="M1079" s="42">
        <v>3</v>
      </c>
      <c r="N1079" s="308"/>
      <c r="O1079" s="1487"/>
      <c r="P1079" s="1489"/>
      <c r="Q1079" s="1491"/>
    </row>
    <row r="1080" spans="1:17" ht="11.1" customHeight="1">
      <c r="A1080" s="250" t="s">
        <v>10272</v>
      </c>
      <c r="B1080" s="187"/>
      <c r="C1080" s="42">
        <v>1</v>
      </c>
      <c r="D1080" s="42" t="s">
        <v>10227</v>
      </c>
      <c r="E1080" s="188">
        <v>79.89</v>
      </c>
      <c r="F1080" s="42" t="s">
        <v>10273</v>
      </c>
      <c r="G1080" s="42">
        <v>34</v>
      </c>
      <c r="H1080" s="42" t="s">
        <v>10064</v>
      </c>
      <c r="I1080" s="42" t="s">
        <v>10056</v>
      </c>
      <c r="J1080" s="42" t="s">
        <v>10115</v>
      </c>
      <c r="K1080" s="42" t="s">
        <v>10140</v>
      </c>
      <c r="L1080" s="42" t="s">
        <v>10066</v>
      </c>
      <c r="M1080" s="42">
        <v>1</v>
      </c>
      <c r="N1080" s="308"/>
      <c r="O1080" s="1487"/>
      <c r="P1080" s="1489"/>
      <c r="Q1080" s="1491"/>
    </row>
    <row r="1081" spans="1:17" ht="11.1" customHeight="1">
      <c r="A1081" s="250" t="s">
        <v>10274</v>
      </c>
      <c r="B1081" s="187"/>
      <c r="C1081" s="42">
        <v>1</v>
      </c>
      <c r="D1081" s="42" t="s">
        <v>10224</v>
      </c>
      <c r="E1081" s="188">
        <v>75.73</v>
      </c>
      <c r="F1081" s="42" t="s">
        <v>10275</v>
      </c>
      <c r="G1081" s="42">
        <v>30</v>
      </c>
      <c r="H1081" s="42" t="s">
        <v>10054</v>
      </c>
      <c r="I1081" s="42" t="s">
        <v>10056</v>
      </c>
      <c r="J1081" s="42" t="s">
        <v>10115</v>
      </c>
      <c r="K1081" s="42" t="s">
        <v>10122</v>
      </c>
      <c r="L1081" s="42" t="s">
        <v>10059</v>
      </c>
      <c r="M1081" s="42"/>
      <c r="N1081" s="308"/>
      <c r="O1081" s="1487"/>
      <c r="P1081" s="1489"/>
      <c r="Q1081" s="1491"/>
    </row>
    <row r="1082" spans="1:17" ht="11.1" customHeight="1">
      <c r="A1082" s="250" t="s">
        <v>10276</v>
      </c>
      <c r="B1082" s="187"/>
      <c r="C1082" s="42">
        <v>1</v>
      </c>
      <c r="D1082" s="42" t="s">
        <v>10236</v>
      </c>
      <c r="E1082" s="188">
        <v>72.209999999999994</v>
      </c>
      <c r="F1082" s="42" t="s">
        <v>10277</v>
      </c>
      <c r="G1082" s="42">
        <v>55</v>
      </c>
      <c r="H1082" s="42" t="s">
        <v>10054</v>
      </c>
      <c r="I1082" s="42" t="s">
        <v>10056</v>
      </c>
      <c r="J1082" s="42" t="s">
        <v>10115</v>
      </c>
      <c r="K1082" s="42" t="s">
        <v>10116</v>
      </c>
      <c r="L1082" s="42" t="s">
        <v>10059</v>
      </c>
      <c r="M1082" s="42"/>
      <c r="N1082" s="308"/>
      <c r="O1082" s="1487"/>
      <c r="P1082" s="1489"/>
      <c r="Q1082" s="1491"/>
    </row>
    <row r="1083" spans="1:17" ht="11.1" customHeight="1">
      <c r="A1083" s="250" t="s">
        <v>10278</v>
      </c>
      <c r="B1083" s="187"/>
      <c r="C1083" s="42">
        <v>1</v>
      </c>
      <c r="D1083" s="42" t="s">
        <v>10239</v>
      </c>
      <c r="E1083" s="188">
        <v>68.98</v>
      </c>
      <c r="F1083" s="42" t="s">
        <v>10279</v>
      </c>
      <c r="G1083" s="42">
        <v>63</v>
      </c>
      <c r="H1083" s="42" t="s">
        <v>10064</v>
      </c>
      <c r="I1083" s="42" t="s">
        <v>10056</v>
      </c>
      <c r="J1083" s="42" t="s">
        <v>10115</v>
      </c>
      <c r="K1083" s="42" t="s">
        <v>10140</v>
      </c>
      <c r="L1083" s="42" t="s">
        <v>10066</v>
      </c>
      <c r="M1083" s="42">
        <v>10</v>
      </c>
      <c r="N1083" s="308"/>
      <c r="O1083" s="1487"/>
      <c r="P1083" s="1489"/>
      <c r="Q1083" s="1491"/>
    </row>
    <row r="1084" spans="1:17" ht="11.1" customHeight="1">
      <c r="A1084" s="250" t="s">
        <v>10280</v>
      </c>
      <c r="B1084" s="187"/>
      <c r="C1084" s="42">
        <v>1</v>
      </c>
      <c r="D1084" s="42" t="s">
        <v>10230</v>
      </c>
      <c r="E1084" s="188">
        <v>68.819999999999993</v>
      </c>
      <c r="F1084" s="42" t="s">
        <v>10281</v>
      </c>
      <c r="G1084" s="42">
        <v>35</v>
      </c>
      <c r="H1084" s="42" t="s">
        <v>10064</v>
      </c>
      <c r="I1084" s="42" t="s">
        <v>10056</v>
      </c>
      <c r="J1084" s="42" t="s">
        <v>10115</v>
      </c>
      <c r="K1084" s="42" t="s">
        <v>10116</v>
      </c>
      <c r="L1084" s="42" t="s">
        <v>10059</v>
      </c>
      <c r="M1084" s="42"/>
      <c r="N1084" s="308"/>
      <c r="O1084" s="1487"/>
      <c r="P1084" s="1489"/>
      <c r="Q1084" s="1491"/>
    </row>
    <row r="1085" spans="1:17" ht="11.1" customHeight="1">
      <c r="A1085" s="250" t="s">
        <v>10282</v>
      </c>
      <c r="B1085" s="187"/>
      <c r="C1085" s="42">
        <v>1</v>
      </c>
      <c r="D1085" s="42" t="s">
        <v>10249</v>
      </c>
      <c r="E1085" s="188">
        <v>64.02</v>
      </c>
      <c r="F1085" s="42" t="s">
        <v>10283</v>
      </c>
      <c r="G1085" s="42">
        <v>38</v>
      </c>
      <c r="H1085" s="42" t="s">
        <v>10064</v>
      </c>
      <c r="I1085" s="42" t="s">
        <v>10056</v>
      </c>
      <c r="J1085" s="42" t="s">
        <v>10115</v>
      </c>
      <c r="K1085" s="42" t="s">
        <v>10122</v>
      </c>
      <c r="L1085" s="42" t="s">
        <v>10059</v>
      </c>
      <c r="M1085" s="42"/>
      <c r="N1085" s="308"/>
      <c r="O1085" s="1487"/>
      <c r="P1085" s="1489"/>
      <c r="Q1085" s="1491"/>
    </row>
    <row r="1086" spans="1:17" ht="11.1" customHeight="1">
      <c r="A1086" s="250" t="s">
        <v>10284</v>
      </c>
      <c r="B1086" s="187"/>
      <c r="C1086" s="42">
        <v>1</v>
      </c>
      <c r="D1086" s="42" t="s">
        <v>10198</v>
      </c>
      <c r="E1086" s="188">
        <v>55.6</v>
      </c>
      <c r="F1086" s="42" t="s">
        <v>10285</v>
      </c>
      <c r="G1086" s="42">
        <v>35</v>
      </c>
      <c r="H1086" s="42" t="s">
        <v>10064</v>
      </c>
      <c r="I1086" s="42" t="s">
        <v>10056</v>
      </c>
      <c r="J1086" s="42" t="s">
        <v>10115</v>
      </c>
      <c r="K1086" s="42" t="s">
        <v>10116</v>
      </c>
      <c r="L1086" s="42" t="s">
        <v>10059</v>
      </c>
      <c r="M1086" s="42"/>
      <c r="N1086" s="308"/>
      <c r="O1086" s="1487"/>
      <c r="P1086" s="1489"/>
      <c r="Q1086" s="1491"/>
    </row>
    <row r="1087" spans="1:17" ht="11.1" customHeight="1">
      <c r="A1087" s="250" t="s">
        <v>10286</v>
      </c>
      <c r="B1087" s="187"/>
      <c r="C1087" s="42">
        <v>1</v>
      </c>
      <c r="D1087" s="42" t="s">
        <v>10207</v>
      </c>
      <c r="E1087" s="188">
        <v>51.31</v>
      </c>
      <c r="F1087" s="42" t="s">
        <v>10287</v>
      </c>
      <c r="G1087" s="42">
        <v>50</v>
      </c>
      <c r="H1087" s="42" t="s">
        <v>10064</v>
      </c>
      <c r="I1087" s="42" t="s">
        <v>10056</v>
      </c>
      <c r="J1087" s="42" t="s">
        <v>10115</v>
      </c>
      <c r="K1087" s="42" t="s">
        <v>10116</v>
      </c>
      <c r="L1087" s="42" t="s">
        <v>10059</v>
      </c>
      <c r="M1087" s="42"/>
      <c r="N1087" s="308"/>
      <c r="O1087" s="1487"/>
      <c r="P1087" s="1489"/>
      <c r="Q1087" s="1491"/>
    </row>
    <row r="1088" spans="1:17" ht="11.1" customHeight="1">
      <c r="A1088" s="250" t="s">
        <v>10288</v>
      </c>
      <c r="B1088" s="187"/>
      <c r="C1088" s="42">
        <v>1</v>
      </c>
      <c r="D1088" s="42" t="s">
        <v>10215</v>
      </c>
      <c r="E1088" s="188">
        <v>36.49</v>
      </c>
      <c r="F1088" s="42" t="s">
        <v>10289</v>
      </c>
      <c r="G1088" s="42">
        <v>55</v>
      </c>
      <c r="H1088" s="42" t="s">
        <v>10064</v>
      </c>
      <c r="I1088" s="42" t="s">
        <v>10056</v>
      </c>
      <c r="J1088" s="42" t="s">
        <v>10115</v>
      </c>
      <c r="K1088" s="42" t="s">
        <v>10119</v>
      </c>
      <c r="L1088" s="42" t="s">
        <v>10070</v>
      </c>
      <c r="M1088" s="42">
        <v>2</v>
      </c>
      <c r="N1088" s="308"/>
      <c r="O1088" s="1487"/>
      <c r="P1088" s="1489"/>
      <c r="Q1088" s="1491"/>
    </row>
    <row r="1089" spans="1:17" ht="11.1" customHeight="1">
      <c r="A1089" s="250" t="s">
        <v>10290</v>
      </c>
      <c r="B1089" s="194" t="s">
        <v>10098</v>
      </c>
      <c r="C1089" s="36">
        <v>1</v>
      </c>
      <c r="D1089" s="36" t="s">
        <v>10186</v>
      </c>
      <c r="E1089" s="317" t="s">
        <v>10208</v>
      </c>
      <c r="F1089" s="36" t="s">
        <v>10291</v>
      </c>
      <c r="G1089" s="36">
        <v>28</v>
      </c>
      <c r="H1089" s="36" t="s">
        <v>10064</v>
      </c>
      <c r="I1089" s="36" t="s">
        <v>10056</v>
      </c>
      <c r="J1089" s="36" t="s">
        <v>10115</v>
      </c>
      <c r="K1089" s="36" t="s">
        <v>10116</v>
      </c>
      <c r="L1089" s="36" t="s">
        <v>10066</v>
      </c>
      <c r="M1089" s="36">
        <v>1</v>
      </c>
      <c r="N1089" s="316"/>
      <c r="O1089" s="1487"/>
      <c r="P1089" s="1489"/>
      <c r="Q1089" s="1491"/>
    </row>
    <row r="1090" spans="1:17" ht="11.1" customHeight="1">
      <c r="A1090" s="250" t="s">
        <v>10292</v>
      </c>
      <c r="B1090" s="194" t="s">
        <v>10098</v>
      </c>
      <c r="C1090" s="36">
        <v>1</v>
      </c>
      <c r="D1090" s="36" t="s">
        <v>10192</v>
      </c>
      <c r="E1090" s="317" t="s">
        <v>10138</v>
      </c>
      <c r="F1090" s="36" t="s">
        <v>10293</v>
      </c>
      <c r="G1090" s="36">
        <v>41</v>
      </c>
      <c r="H1090" s="36" t="s">
        <v>10064</v>
      </c>
      <c r="I1090" s="36" t="s">
        <v>10056</v>
      </c>
      <c r="J1090" s="36" t="s">
        <v>10115</v>
      </c>
      <c r="K1090" s="36" t="s">
        <v>10122</v>
      </c>
      <c r="L1090" s="36" t="s">
        <v>10066</v>
      </c>
      <c r="M1090" s="36">
        <v>3</v>
      </c>
      <c r="N1090" s="316"/>
      <c r="O1090" s="1487"/>
      <c r="P1090" s="1489"/>
      <c r="Q1090" s="1491"/>
    </row>
    <row r="1091" spans="1:17" ht="11.1" customHeight="1">
      <c r="A1091" s="250" t="s">
        <v>10294</v>
      </c>
      <c r="B1091" s="194" t="s">
        <v>10098</v>
      </c>
      <c r="C1091" s="36">
        <v>1</v>
      </c>
      <c r="D1091" s="36" t="s">
        <v>10195</v>
      </c>
      <c r="E1091" s="317" t="s">
        <v>10138</v>
      </c>
      <c r="F1091" s="36" t="s">
        <v>10295</v>
      </c>
      <c r="G1091" s="36">
        <v>51</v>
      </c>
      <c r="H1091" s="36" t="s">
        <v>10064</v>
      </c>
      <c r="I1091" s="36" t="s">
        <v>10056</v>
      </c>
      <c r="J1091" s="36" t="s">
        <v>10115</v>
      </c>
      <c r="K1091" s="36" t="s">
        <v>10122</v>
      </c>
      <c r="L1091" s="36" t="s">
        <v>10066</v>
      </c>
      <c r="M1091" s="36">
        <v>2</v>
      </c>
      <c r="N1091" s="316"/>
      <c r="O1091" s="1487"/>
      <c r="P1091" s="1489"/>
      <c r="Q1091" s="1491"/>
    </row>
    <row r="1092" spans="1:17" ht="11.1" customHeight="1">
      <c r="A1092" s="250" t="s">
        <v>10296</v>
      </c>
      <c r="B1092" s="194" t="s">
        <v>10098</v>
      </c>
      <c r="C1092" s="36">
        <v>1</v>
      </c>
      <c r="D1092" s="36" t="s">
        <v>10189</v>
      </c>
      <c r="E1092" s="317" t="s">
        <v>10138</v>
      </c>
      <c r="F1092" s="36" t="s">
        <v>10297</v>
      </c>
      <c r="G1092" s="36">
        <v>43</v>
      </c>
      <c r="H1092" s="36" t="s">
        <v>10064</v>
      </c>
      <c r="I1092" s="36" t="s">
        <v>10056</v>
      </c>
      <c r="J1092" s="36" t="s">
        <v>10115</v>
      </c>
      <c r="K1092" s="36" t="s">
        <v>10119</v>
      </c>
      <c r="L1092" s="36" t="s">
        <v>10066</v>
      </c>
      <c r="M1092" s="36">
        <v>3</v>
      </c>
      <c r="N1092" s="316"/>
      <c r="O1092" s="1487"/>
      <c r="P1092" s="1489"/>
      <c r="Q1092" s="1491"/>
    </row>
    <row r="1093" spans="1:17" ht="11.1" customHeight="1">
      <c r="A1093" s="250" t="s">
        <v>10298</v>
      </c>
      <c r="B1093" s="194" t="s">
        <v>10098</v>
      </c>
      <c r="C1093" s="36">
        <v>1</v>
      </c>
      <c r="D1093" s="36" t="s">
        <v>10201</v>
      </c>
      <c r="E1093" s="317" t="s">
        <v>10138</v>
      </c>
      <c r="F1093" s="36" t="s">
        <v>10299</v>
      </c>
      <c r="G1093" s="36">
        <v>41</v>
      </c>
      <c r="H1093" s="36" t="s">
        <v>10064</v>
      </c>
      <c r="I1093" s="36" t="s">
        <v>10056</v>
      </c>
      <c r="J1093" s="36" t="s">
        <v>10115</v>
      </c>
      <c r="K1093" s="36" t="s">
        <v>10119</v>
      </c>
      <c r="L1093" s="36" t="s">
        <v>10066</v>
      </c>
      <c r="M1093" s="36">
        <v>4</v>
      </c>
      <c r="N1093" s="316"/>
      <c r="O1093" s="1487"/>
      <c r="P1093" s="1489"/>
      <c r="Q1093" s="1491"/>
    </row>
    <row r="1094" spans="1:17" ht="11.1" customHeight="1">
      <c r="A1094" s="945" t="s">
        <v>10300</v>
      </c>
      <c r="B1094" s="318" t="s">
        <v>10098</v>
      </c>
      <c r="C1094" s="141">
        <v>1</v>
      </c>
      <c r="D1094" s="141" t="s">
        <v>10183</v>
      </c>
      <c r="E1094" s="319" t="s">
        <v>10138</v>
      </c>
      <c r="F1094" s="141" t="s">
        <v>10301</v>
      </c>
      <c r="G1094" s="141">
        <v>73</v>
      </c>
      <c r="H1094" s="141" t="s">
        <v>10064</v>
      </c>
      <c r="I1094" s="141" t="s">
        <v>10056</v>
      </c>
      <c r="J1094" s="141" t="s">
        <v>10115</v>
      </c>
      <c r="K1094" s="141" t="s">
        <v>10116</v>
      </c>
      <c r="L1094" s="141" t="s">
        <v>10066</v>
      </c>
      <c r="M1094" s="141">
        <v>12</v>
      </c>
      <c r="N1094" s="320"/>
      <c r="O1094" s="1480"/>
      <c r="P1094" s="1481"/>
      <c r="Q1094" s="1482"/>
    </row>
    <row r="1095" spans="1:17" ht="11.1" customHeight="1">
      <c r="A1095" s="946" t="s">
        <v>10302</v>
      </c>
      <c r="B1095" s="197" t="s">
        <v>10051</v>
      </c>
      <c r="C1095" s="198">
        <v>1</v>
      </c>
      <c r="D1095" s="198" t="s">
        <v>10061</v>
      </c>
      <c r="E1095" s="321" t="s">
        <v>10129</v>
      </c>
      <c r="F1095" s="198" t="s">
        <v>10303</v>
      </c>
      <c r="G1095" s="198">
        <v>58</v>
      </c>
      <c r="H1095" s="198" t="s">
        <v>10064</v>
      </c>
      <c r="I1095" s="198"/>
      <c r="J1095" s="198" t="s">
        <v>10153</v>
      </c>
      <c r="K1095" s="198"/>
      <c r="L1095" s="198" t="s">
        <v>10066</v>
      </c>
      <c r="M1095" s="198">
        <v>4</v>
      </c>
      <c r="N1095" s="322"/>
      <c r="O1095" s="1486">
        <v>1</v>
      </c>
      <c r="P1095" s="1488">
        <v>620638</v>
      </c>
      <c r="Q1095" s="1490">
        <f>P1095*100/SUM(P1045:P1110)</f>
        <v>11.928395569504692</v>
      </c>
    </row>
    <row r="1096" spans="1:17" ht="11.1" customHeight="1">
      <c r="A1096" s="250" t="s">
        <v>10304</v>
      </c>
      <c r="B1096" s="187"/>
      <c r="C1096" s="42">
        <v>2</v>
      </c>
      <c r="D1096" s="42" t="s">
        <v>10061</v>
      </c>
      <c r="E1096" s="309" t="s">
        <v>10129</v>
      </c>
      <c r="F1096" s="42" t="s">
        <v>10305</v>
      </c>
      <c r="G1096" s="42">
        <v>50</v>
      </c>
      <c r="H1096" s="42" t="s">
        <v>10064</v>
      </c>
      <c r="I1096" s="42"/>
      <c r="J1096" s="42" t="s">
        <v>10153</v>
      </c>
      <c r="K1096" s="42"/>
      <c r="L1096" s="42" t="s">
        <v>10070</v>
      </c>
      <c r="M1096" s="42">
        <v>3</v>
      </c>
      <c r="N1096" s="310"/>
      <c r="O1096" s="1487"/>
      <c r="P1096" s="1489"/>
      <c r="Q1096" s="1491"/>
    </row>
    <row r="1097" spans="1:17" ht="11.1" customHeight="1">
      <c r="A1097" s="945" t="s">
        <v>10306</v>
      </c>
      <c r="B1097" s="190"/>
      <c r="C1097" s="49">
        <v>3</v>
      </c>
      <c r="D1097" s="49" t="s">
        <v>10061</v>
      </c>
      <c r="E1097" s="323" t="s">
        <v>10165</v>
      </c>
      <c r="F1097" s="49" t="s">
        <v>10307</v>
      </c>
      <c r="G1097" s="49">
        <v>56</v>
      </c>
      <c r="H1097" s="49" t="s">
        <v>10054</v>
      </c>
      <c r="I1097" s="49"/>
      <c r="J1097" s="49" t="s">
        <v>10153</v>
      </c>
      <c r="K1097" s="49"/>
      <c r="L1097" s="49" t="s">
        <v>10059</v>
      </c>
      <c r="M1097" s="49"/>
      <c r="N1097" s="324"/>
      <c r="O1097" s="1480"/>
      <c r="P1097" s="1481"/>
      <c r="Q1097" s="1482"/>
    </row>
    <row r="1098" spans="1:17" ht="11.1" customHeight="1">
      <c r="A1098" s="946" t="s">
        <v>10308</v>
      </c>
      <c r="B1098" s="224" t="s">
        <v>10051</v>
      </c>
      <c r="C1098" s="225">
        <v>1</v>
      </c>
      <c r="D1098" s="225" t="s">
        <v>10061</v>
      </c>
      <c r="E1098" s="342" t="s">
        <v>10062</v>
      </c>
      <c r="F1098" s="225" t="s">
        <v>10309</v>
      </c>
      <c r="G1098" s="225">
        <v>45</v>
      </c>
      <c r="H1098" s="225" t="s">
        <v>10054</v>
      </c>
      <c r="I1098" s="225"/>
      <c r="J1098" s="225" t="s">
        <v>10158</v>
      </c>
      <c r="K1098" s="225"/>
      <c r="L1098" s="225" t="s">
        <v>10066</v>
      </c>
      <c r="M1098" s="225">
        <v>1</v>
      </c>
      <c r="N1098" s="343"/>
      <c r="O1098" s="1486">
        <v>1</v>
      </c>
      <c r="P1098" s="1488">
        <v>325176</v>
      </c>
      <c r="Q1098" s="1490">
        <f>P1098*100/SUM(P1045:P1110)</f>
        <v>6.2497429382494429</v>
      </c>
    </row>
    <row r="1099" spans="1:17" ht="11.1" customHeight="1">
      <c r="A1099" s="250" t="s">
        <v>10310</v>
      </c>
      <c r="B1099" s="187"/>
      <c r="C1099" s="42">
        <v>3</v>
      </c>
      <c r="D1099" s="42" t="s">
        <v>10061</v>
      </c>
      <c r="E1099" s="309" t="s">
        <v>10129</v>
      </c>
      <c r="F1099" s="42" t="s">
        <v>10311</v>
      </c>
      <c r="G1099" s="42">
        <v>47</v>
      </c>
      <c r="H1099" s="42" t="s">
        <v>10064</v>
      </c>
      <c r="I1099" s="42"/>
      <c r="J1099" s="42" t="s">
        <v>10158</v>
      </c>
      <c r="K1099" s="42"/>
      <c r="L1099" s="42" t="s">
        <v>10059</v>
      </c>
      <c r="M1099" s="42"/>
      <c r="N1099" s="310"/>
      <c r="O1099" s="1487"/>
      <c r="P1099" s="1489"/>
      <c r="Q1099" s="1491"/>
    </row>
    <row r="1100" spans="1:17" ht="11.1" customHeight="1">
      <c r="A1100" s="945" t="s">
        <v>10312</v>
      </c>
      <c r="B1100" s="190" t="s">
        <v>10313</v>
      </c>
      <c r="C1100" s="49">
        <v>2</v>
      </c>
      <c r="D1100" s="49" t="s">
        <v>10224</v>
      </c>
      <c r="E1100" s="201">
        <v>13.75</v>
      </c>
      <c r="F1100" s="49" t="s">
        <v>10314</v>
      </c>
      <c r="G1100" s="49">
        <v>54</v>
      </c>
      <c r="H1100" s="49" t="s">
        <v>10064</v>
      </c>
      <c r="I1100" s="49" t="s">
        <v>10056</v>
      </c>
      <c r="J1100" s="49" t="s">
        <v>10158</v>
      </c>
      <c r="K1100" s="49"/>
      <c r="L1100" s="49" t="s">
        <v>10059</v>
      </c>
      <c r="M1100" s="49"/>
      <c r="N1100" s="344"/>
      <c r="O1100" s="1480"/>
      <c r="P1100" s="1481"/>
      <c r="Q1100" s="1482"/>
    </row>
    <row r="1101" spans="1:17" ht="11.1" customHeight="1">
      <c r="A1101" s="946" t="s">
        <v>10315</v>
      </c>
      <c r="B1101" s="228" t="s">
        <v>10051</v>
      </c>
      <c r="C1101" s="122">
        <v>1</v>
      </c>
      <c r="D1101" s="122" t="s">
        <v>10233</v>
      </c>
      <c r="E1101" s="229">
        <v>49.09</v>
      </c>
      <c r="F1101" s="122" t="s">
        <v>10316</v>
      </c>
      <c r="G1101" s="122">
        <v>56</v>
      </c>
      <c r="H1101" s="122" t="s">
        <v>10064</v>
      </c>
      <c r="I1101" s="122" t="s">
        <v>10056</v>
      </c>
      <c r="J1101" s="122" t="s">
        <v>10163</v>
      </c>
      <c r="K1101" s="122"/>
      <c r="L1101" s="122" t="s">
        <v>10070</v>
      </c>
      <c r="M1101" s="122">
        <v>1</v>
      </c>
      <c r="N1101" s="345"/>
      <c r="O1101" s="1486">
        <v>1</v>
      </c>
      <c r="P1101" s="1488">
        <v>362523</v>
      </c>
      <c r="Q1101" s="1490">
        <f>P1101*100/SUM(P1045:P1110)</f>
        <v>6.967536224084812</v>
      </c>
    </row>
    <row r="1102" spans="1:17" ht="11.1" customHeight="1">
      <c r="A1102" s="250" t="s">
        <v>10317</v>
      </c>
      <c r="B1102" s="187"/>
      <c r="C1102" s="42">
        <v>1</v>
      </c>
      <c r="D1102" s="42" t="s">
        <v>10198</v>
      </c>
      <c r="E1102" s="188">
        <v>34.74</v>
      </c>
      <c r="F1102" s="42" t="s">
        <v>10318</v>
      </c>
      <c r="G1102" s="42">
        <v>49</v>
      </c>
      <c r="H1102" s="42" t="s">
        <v>10064</v>
      </c>
      <c r="I1102" s="42" t="s">
        <v>10056</v>
      </c>
      <c r="J1102" s="42" t="s">
        <v>10163</v>
      </c>
      <c r="K1102" s="42"/>
      <c r="L1102" s="42" t="s">
        <v>10066</v>
      </c>
      <c r="M1102" s="42">
        <v>1</v>
      </c>
      <c r="N1102" s="308"/>
      <c r="O1102" s="1487"/>
      <c r="P1102" s="1489"/>
      <c r="Q1102" s="1491"/>
    </row>
    <row r="1103" spans="1:17" ht="11.1" customHeight="1">
      <c r="A1103" s="250" t="s">
        <v>10319</v>
      </c>
      <c r="B1103" s="187"/>
      <c r="C1103" s="42">
        <v>1</v>
      </c>
      <c r="D1103" s="42" t="s">
        <v>10246</v>
      </c>
      <c r="E1103" s="188">
        <v>30.76</v>
      </c>
      <c r="F1103" s="42" t="s">
        <v>10320</v>
      </c>
      <c r="G1103" s="42">
        <v>58</v>
      </c>
      <c r="H1103" s="42" t="s">
        <v>10064</v>
      </c>
      <c r="I1103" s="42" t="s">
        <v>10056</v>
      </c>
      <c r="J1103" s="42" t="s">
        <v>10163</v>
      </c>
      <c r="K1103" s="42"/>
      <c r="L1103" s="42" t="s">
        <v>10059</v>
      </c>
      <c r="M1103" s="42"/>
      <c r="N1103" s="308"/>
      <c r="O1103" s="1487"/>
      <c r="P1103" s="1489"/>
      <c r="Q1103" s="1491"/>
    </row>
    <row r="1104" spans="1:17" ht="11.1" customHeight="1">
      <c r="A1104" s="250" t="s">
        <v>10321</v>
      </c>
      <c r="B1104" s="187"/>
      <c r="C1104" s="42">
        <v>1</v>
      </c>
      <c r="D1104" s="42" t="s">
        <v>10180</v>
      </c>
      <c r="E1104" s="188">
        <v>19.05</v>
      </c>
      <c r="F1104" s="42" t="s">
        <v>10322</v>
      </c>
      <c r="G1104" s="42">
        <v>51</v>
      </c>
      <c r="H1104" s="42" t="s">
        <v>10064</v>
      </c>
      <c r="I1104" s="42" t="s">
        <v>10056</v>
      </c>
      <c r="J1104" s="42" t="s">
        <v>10163</v>
      </c>
      <c r="K1104" s="42"/>
      <c r="L1104" s="42" t="s">
        <v>10059</v>
      </c>
      <c r="M1104" s="42"/>
      <c r="N1104" s="308"/>
      <c r="O1104" s="1487"/>
      <c r="P1104" s="1489"/>
      <c r="Q1104" s="1491"/>
    </row>
    <row r="1105" spans="1:17" ht="11.1" customHeight="1">
      <c r="A1105" s="250" t="s">
        <v>10323</v>
      </c>
      <c r="B1105" s="187" t="s">
        <v>10313</v>
      </c>
      <c r="C1105" s="42">
        <v>1</v>
      </c>
      <c r="D1105" s="42" t="s">
        <v>10207</v>
      </c>
      <c r="E1105" s="188">
        <v>14.83</v>
      </c>
      <c r="F1105" s="42" t="s">
        <v>10324</v>
      </c>
      <c r="G1105" s="42">
        <v>72</v>
      </c>
      <c r="H1105" s="42" t="s">
        <v>10064</v>
      </c>
      <c r="I1105" s="42" t="s">
        <v>10056</v>
      </c>
      <c r="J1105" s="42" t="s">
        <v>10163</v>
      </c>
      <c r="K1105" s="42"/>
      <c r="L1105" s="42" t="s">
        <v>10059</v>
      </c>
      <c r="M1105" s="42"/>
      <c r="N1105" s="308"/>
      <c r="O1105" s="1487"/>
      <c r="P1105" s="1489"/>
      <c r="Q1105" s="1491"/>
    </row>
    <row r="1106" spans="1:17" ht="11.1" customHeight="1">
      <c r="A1106" s="250" t="s">
        <v>10325</v>
      </c>
      <c r="B1106" s="187" t="s">
        <v>10313</v>
      </c>
      <c r="C1106" s="42">
        <v>1</v>
      </c>
      <c r="D1106" s="42" t="s">
        <v>10192</v>
      </c>
      <c r="E1106" s="188">
        <v>14.77</v>
      </c>
      <c r="F1106" s="42" t="s">
        <v>10326</v>
      </c>
      <c r="G1106" s="42">
        <v>56</v>
      </c>
      <c r="H1106" s="42" t="s">
        <v>10064</v>
      </c>
      <c r="I1106" s="42" t="s">
        <v>10056</v>
      </c>
      <c r="J1106" s="42" t="s">
        <v>10163</v>
      </c>
      <c r="K1106" s="42"/>
      <c r="L1106" s="42" t="s">
        <v>10059</v>
      </c>
      <c r="M1106" s="42"/>
      <c r="N1106" s="308"/>
      <c r="O1106" s="1487"/>
      <c r="P1106" s="1489"/>
      <c r="Q1106" s="1491"/>
    </row>
    <row r="1107" spans="1:17" ht="11.1" customHeight="1">
      <c r="A1107" s="945" t="s">
        <v>10327</v>
      </c>
      <c r="B1107" s="190" t="s">
        <v>10313</v>
      </c>
      <c r="C1107" s="49">
        <v>1</v>
      </c>
      <c r="D1107" s="49" t="s">
        <v>10260</v>
      </c>
      <c r="E1107" s="201">
        <v>12.25</v>
      </c>
      <c r="F1107" s="49" t="s">
        <v>10328</v>
      </c>
      <c r="G1107" s="49">
        <v>65</v>
      </c>
      <c r="H1107" s="49" t="s">
        <v>10054</v>
      </c>
      <c r="I1107" s="49" t="s">
        <v>10056</v>
      </c>
      <c r="J1107" s="49" t="s">
        <v>10163</v>
      </c>
      <c r="K1107" s="49"/>
      <c r="L1107" s="49" t="s">
        <v>10059</v>
      </c>
      <c r="M1107" s="49"/>
      <c r="N1107" s="344"/>
      <c r="O1107" s="1480"/>
      <c r="P1107" s="1481"/>
      <c r="Q1107" s="1482"/>
    </row>
    <row r="1108" spans="1:17" ht="11.1" customHeight="1">
      <c r="A1108" s="946" t="s">
        <v>10329</v>
      </c>
      <c r="B1108" s="203"/>
      <c r="C1108" s="204">
        <v>1</v>
      </c>
      <c r="D1108" s="204" t="s">
        <v>10215</v>
      </c>
      <c r="E1108" s="325">
        <v>33.44</v>
      </c>
      <c r="F1108" s="204" t="s">
        <v>10330</v>
      </c>
      <c r="G1108" s="204">
        <v>51</v>
      </c>
      <c r="H1108" s="204" t="s">
        <v>10064</v>
      </c>
      <c r="I1108" s="204" t="s">
        <v>10056</v>
      </c>
      <c r="J1108" s="204" t="s">
        <v>10331</v>
      </c>
      <c r="K1108" s="204" t="s">
        <v>10332</v>
      </c>
      <c r="L1108" s="204" t="s">
        <v>10066</v>
      </c>
      <c r="M1108" s="204">
        <v>2</v>
      </c>
      <c r="N1108" s="346"/>
      <c r="O1108" s="1486">
        <v>0</v>
      </c>
      <c r="P1108" s="1488">
        <v>244933</v>
      </c>
      <c r="Q1108" s="1490">
        <f>P1108*100/SUM(P1045:P1110)</f>
        <v>4.7075069718990665</v>
      </c>
    </row>
    <row r="1109" spans="1:17" ht="11.1" customHeight="1">
      <c r="A1109" s="250" t="s">
        <v>10333</v>
      </c>
      <c r="B1109" s="187" t="s">
        <v>10334</v>
      </c>
      <c r="C1109" s="42">
        <v>2</v>
      </c>
      <c r="D1109" s="42" t="s">
        <v>10186</v>
      </c>
      <c r="E1109" s="309">
        <v>19.12</v>
      </c>
      <c r="F1109" s="42" t="s">
        <v>10335</v>
      </c>
      <c r="G1109" s="42">
        <v>66</v>
      </c>
      <c r="H1109" s="42" t="s">
        <v>10064</v>
      </c>
      <c r="I1109" s="42" t="s">
        <v>10056</v>
      </c>
      <c r="J1109" s="42" t="s">
        <v>10331</v>
      </c>
      <c r="K1109" s="42"/>
      <c r="L1109" s="42" t="s">
        <v>10059</v>
      </c>
      <c r="M1109" s="42"/>
      <c r="N1109" s="308"/>
      <c r="O1109" s="1487"/>
      <c r="P1109" s="1489"/>
      <c r="Q1109" s="1491"/>
    </row>
    <row r="1110" spans="1:17" ht="11.1" customHeight="1" thickBot="1">
      <c r="A1110" s="948" t="s">
        <v>10336</v>
      </c>
      <c r="B1110" s="215" t="s">
        <v>10313</v>
      </c>
      <c r="C1110" s="78">
        <v>2</v>
      </c>
      <c r="D1110" s="78" t="s">
        <v>10255</v>
      </c>
      <c r="E1110" s="334">
        <v>10.94</v>
      </c>
      <c r="F1110" s="78" t="s">
        <v>10337</v>
      </c>
      <c r="G1110" s="78">
        <v>61</v>
      </c>
      <c r="H1110" s="78"/>
      <c r="I1110" s="78" t="s">
        <v>10056</v>
      </c>
      <c r="J1110" s="78" t="s">
        <v>10331</v>
      </c>
      <c r="K1110" s="78"/>
      <c r="L1110" s="78" t="s">
        <v>10059</v>
      </c>
      <c r="M1110" s="78"/>
      <c r="N1110" s="347"/>
      <c r="O1110" s="1492"/>
      <c r="P1110" s="1493"/>
      <c r="Q1110" s="1494"/>
    </row>
    <row r="1111" spans="1:17" ht="11.1" customHeight="1">
      <c r="A1111" s="249" t="s">
        <v>10338</v>
      </c>
      <c r="B1111" s="336" t="s">
        <v>10051</v>
      </c>
      <c r="C1111" s="337">
        <v>1</v>
      </c>
      <c r="D1111" s="337" t="s">
        <v>10061</v>
      </c>
      <c r="E1111" s="338" t="s">
        <v>10062</v>
      </c>
      <c r="F1111" s="337" t="s">
        <v>10339</v>
      </c>
      <c r="G1111" s="337">
        <v>72</v>
      </c>
      <c r="H1111" s="337" t="s">
        <v>10064</v>
      </c>
      <c r="I1111" s="337"/>
      <c r="J1111" s="337" t="s">
        <v>10057</v>
      </c>
      <c r="K1111" s="337" t="s">
        <v>10075</v>
      </c>
      <c r="L1111" s="337" t="s">
        <v>10066</v>
      </c>
      <c r="M1111" s="337">
        <v>7</v>
      </c>
      <c r="N1111" s="339"/>
      <c r="O1111" s="1495">
        <v>9</v>
      </c>
      <c r="P1111" s="1496">
        <v>2892780</v>
      </c>
      <c r="Q1111" s="1497">
        <f>P1111*100/SUM(P1111:P1194)</f>
        <v>40.246080439014762</v>
      </c>
    </row>
    <row r="1112" spans="1:17" ht="11.1" customHeight="1">
      <c r="A1112" s="250" t="s">
        <v>10340</v>
      </c>
      <c r="B1112" s="302" t="s">
        <v>10051</v>
      </c>
      <c r="C1112" s="303">
        <v>2</v>
      </c>
      <c r="D1112" s="303" t="s">
        <v>10061</v>
      </c>
      <c r="E1112" s="306" t="s">
        <v>10129</v>
      </c>
      <c r="F1112" s="303" t="s">
        <v>10341</v>
      </c>
      <c r="G1112" s="303">
        <v>62</v>
      </c>
      <c r="H1112" s="303" t="s">
        <v>10064</v>
      </c>
      <c r="I1112" s="303"/>
      <c r="J1112" s="303" t="s">
        <v>10057</v>
      </c>
      <c r="K1112" s="303" t="s">
        <v>10092</v>
      </c>
      <c r="L1112" s="303" t="s">
        <v>10066</v>
      </c>
      <c r="M1112" s="303">
        <v>3</v>
      </c>
      <c r="N1112" s="305"/>
      <c r="O1112" s="1487"/>
      <c r="P1112" s="1489"/>
      <c r="Q1112" s="1491"/>
    </row>
    <row r="1113" spans="1:17" ht="11.1" customHeight="1">
      <c r="A1113" s="250" t="s">
        <v>10342</v>
      </c>
      <c r="B1113" s="302" t="s">
        <v>10051</v>
      </c>
      <c r="C1113" s="303">
        <v>3</v>
      </c>
      <c r="D1113" s="303" t="s">
        <v>10343</v>
      </c>
      <c r="E1113" s="304">
        <v>98.79</v>
      </c>
      <c r="F1113" s="303" t="s">
        <v>10344</v>
      </c>
      <c r="G1113" s="303">
        <v>36</v>
      </c>
      <c r="H1113" s="303" t="s">
        <v>10064</v>
      </c>
      <c r="I1113" s="303" t="s">
        <v>10056</v>
      </c>
      <c r="J1113" s="303" t="s">
        <v>10057</v>
      </c>
      <c r="K1113" s="303" t="s">
        <v>10075</v>
      </c>
      <c r="L1113" s="303" t="s">
        <v>10059</v>
      </c>
      <c r="M1113" s="303"/>
      <c r="N1113" s="307" t="s">
        <v>10071</v>
      </c>
      <c r="O1113" s="1487"/>
      <c r="P1113" s="1489"/>
      <c r="Q1113" s="1491"/>
    </row>
    <row r="1114" spans="1:17" ht="11.1" customHeight="1">
      <c r="A1114" s="250" t="s">
        <v>10345</v>
      </c>
      <c r="B1114" s="302" t="s">
        <v>10051</v>
      </c>
      <c r="C1114" s="303">
        <v>3</v>
      </c>
      <c r="D1114" s="303" t="s">
        <v>10346</v>
      </c>
      <c r="E1114" s="304">
        <v>97.46</v>
      </c>
      <c r="F1114" s="303" t="s">
        <v>10347</v>
      </c>
      <c r="G1114" s="303">
        <v>61</v>
      </c>
      <c r="H1114" s="303" t="s">
        <v>10064</v>
      </c>
      <c r="I1114" s="303" t="s">
        <v>10056</v>
      </c>
      <c r="J1114" s="303" t="s">
        <v>10057</v>
      </c>
      <c r="K1114" s="303" t="s">
        <v>10058</v>
      </c>
      <c r="L1114" s="303" t="s">
        <v>10070</v>
      </c>
      <c r="M1114" s="303">
        <v>1</v>
      </c>
      <c r="N1114" s="307" t="s">
        <v>10071</v>
      </c>
      <c r="O1114" s="1487"/>
      <c r="P1114" s="1489"/>
      <c r="Q1114" s="1491"/>
    </row>
    <row r="1115" spans="1:17" ht="11.1" customHeight="1">
      <c r="A1115" s="250" t="s">
        <v>10348</v>
      </c>
      <c r="B1115" s="302" t="s">
        <v>10051</v>
      </c>
      <c r="C1115" s="303">
        <v>3</v>
      </c>
      <c r="D1115" s="303" t="s">
        <v>10349</v>
      </c>
      <c r="E1115" s="304">
        <v>93.77</v>
      </c>
      <c r="F1115" s="303" t="s">
        <v>10350</v>
      </c>
      <c r="G1115" s="303">
        <v>46</v>
      </c>
      <c r="H1115" s="303" t="s">
        <v>10064</v>
      </c>
      <c r="I1115" s="303" t="s">
        <v>10056</v>
      </c>
      <c r="J1115" s="303" t="s">
        <v>10057</v>
      </c>
      <c r="K1115" s="303" t="s">
        <v>10075</v>
      </c>
      <c r="L1115" s="303" t="s">
        <v>10059</v>
      </c>
      <c r="M1115" s="303"/>
      <c r="N1115" s="307"/>
      <c r="O1115" s="1487"/>
      <c r="P1115" s="1489"/>
      <c r="Q1115" s="1491"/>
    </row>
    <row r="1116" spans="1:17" ht="11.1" customHeight="1">
      <c r="A1116" s="250" t="s">
        <v>10351</v>
      </c>
      <c r="B1116" s="302" t="s">
        <v>10051</v>
      </c>
      <c r="C1116" s="303">
        <v>3</v>
      </c>
      <c r="D1116" s="303" t="s">
        <v>10352</v>
      </c>
      <c r="E1116" s="304">
        <v>91.17</v>
      </c>
      <c r="F1116" s="303" t="s">
        <v>10353</v>
      </c>
      <c r="G1116" s="303">
        <v>51</v>
      </c>
      <c r="H1116" s="303" t="s">
        <v>10054</v>
      </c>
      <c r="I1116" s="303" t="s">
        <v>10056</v>
      </c>
      <c r="J1116" s="303" t="s">
        <v>10057</v>
      </c>
      <c r="K1116" s="303" t="s">
        <v>10092</v>
      </c>
      <c r="L1116" s="303" t="s">
        <v>10059</v>
      </c>
      <c r="M1116" s="303"/>
      <c r="N1116" s="307" t="s">
        <v>10071</v>
      </c>
      <c r="O1116" s="1487"/>
      <c r="P1116" s="1489"/>
      <c r="Q1116" s="1491"/>
    </row>
    <row r="1117" spans="1:17" ht="11.1" customHeight="1">
      <c r="A1117" s="250" t="s">
        <v>10354</v>
      </c>
      <c r="B1117" s="302" t="s">
        <v>10051</v>
      </c>
      <c r="C1117" s="303">
        <v>3</v>
      </c>
      <c r="D1117" s="303" t="s">
        <v>10355</v>
      </c>
      <c r="E1117" s="304">
        <v>88.8</v>
      </c>
      <c r="F1117" s="303" t="s">
        <v>10356</v>
      </c>
      <c r="G1117" s="303">
        <v>34</v>
      </c>
      <c r="H1117" s="303" t="s">
        <v>10064</v>
      </c>
      <c r="I1117" s="303" t="s">
        <v>10056</v>
      </c>
      <c r="J1117" s="303" t="s">
        <v>10057</v>
      </c>
      <c r="K1117" s="303" t="s">
        <v>10058</v>
      </c>
      <c r="L1117" s="303" t="s">
        <v>10059</v>
      </c>
      <c r="M1117" s="303"/>
      <c r="N1117" s="307" t="s">
        <v>10071</v>
      </c>
      <c r="O1117" s="1487"/>
      <c r="P1117" s="1489"/>
      <c r="Q1117" s="1491"/>
    </row>
    <row r="1118" spans="1:17" ht="11.1" customHeight="1">
      <c r="A1118" s="250" t="s">
        <v>10357</v>
      </c>
      <c r="B1118" s="302" t="s">
        <v>10051</v>
      </c>
      <c r="C1118" s="303">
        <v>34</v>
      </c>
      <c r="D1118" s="303" t="s">
        <v>10061</v>
      </c>
      <c r="E1118" s="306" t="s">
        <v>10113</v>
      </c>
      <c r="F1118" s="303" t="s">
        <v>10358</v>
      </c>
      <c r="G1118" s="303">
        <v>55</v>
      </c>
      <c r="H1118" s="303" t="s">
        <v>10054</v>
      </c>
      <c r="I1118" s="303"/>
      <c r="J1118" s="303" t="s">
        <v>10057</v>
      </c>
      <c r="K1118" s="303" t="s">
        <v>10058</v>
      </c>
      <c r="L1118" s="303" t="s">
        <v>10059</v>
      </c>
      <c r="M1118" s="303"/>
      <c r="N1118" s="305"/>
      <c r="O1118" s="1487"/>
      <c r="P1118" s="1489"/>
      <c r="Q1118" s="1491"/>
    </row>
    <row r="1119" spans="1:17" ht="11.1" customHeight="1">
      <c r="A1119" s="250" t="s">
        <v>10359</v>
      </c>
      <c r="B1119" s="302" t="s">
        <v>10051</v>
      </c>
      <c r="C1119" s="303">
        <v>35</v>
      </c>
      <c r="D1119" s="303" t="s">
        <v>10061</v>
      </c>
      <c r="E1119" s="306" t="s">
        <v>10062</v>
      </c>
      <c r="F1119" s="303" t="s">
        <v>10360</v>
      </c>
      <c r="G1119" s="303">
        <v>56</v>
      </c>
      <c r="H1119" s="303" t="s">
        <v>10064</v>
      </c>
      <c r="I1119" s="303"/>
      <c r="J1119" s="303" t="s">
        <v>10057</v>
      </c>
      <c r="K1119" s="303" t="s">
        <v>10082</v>
      </c>
      <c r="L1119" s="303" t="s">
        <v>10070</v>
      </c>
      <c r="M1119" s="303">
        <v>1</v>
      </c>
      <c r="N1119" s="305"/>
      <c r="O1119" s="1487"/>
      <c r="P1119" s="1489"/>
      <c r="Q1119" s="1491"/>
    </row>
    <row r="1120" spans="1:17" ht="11.1" customHeight="1">
      <c r="A1120" s="250" t="s">
        <v>10361</v>
      </c>
      <c r="B1120" s="187"/>
      <c r="C1120" s="42">
        <v>36</v>
      </c>
      <c r="D1120" s="42" t="s">
        <v>10061</v>
      </c>
      <c r="E1120" s="309" t="s">
        <v>10165</v>
      </c>
      <c r="F1120" s="42" t="s">
        <v>10362</v>
      </c>
      <c r="G1120" s="42">
        <v>62</v>
      </c>
      <c r="H1120" s="42" t="s">
        <v>10064</v>
      </c>
      <c r="I1120" s="42"/>
      <c r="J1120" s="42" t="s">
        <v>10057</v>
      </c>
      <c r="K1120" s="42" t="s">
        <v>10058</v>
      </c>
      <c r="L1120" s="42" t="s">
        <v>10059</v>
      </c>
      <c r="M1120" s="42"/>
      <c r="N1120" s="310"/>
      <c r="O1120" s="1487"/>
      <c r="P1120" s="1489"/>
      <c r="Q1120" s="1491"/>
    </row>
    <row r="1121" spans="1:17" ht="11.1" customHeight="1">
      <c r="A1121" s="250" t="s">
        <v>10363</v>
      </c>
      <c r="B1121" s="187"/>
      <c r="C1121" s="42">
        <v>37</v>
      </c>
      <c r="D1121" s="42" t="s">
        <v>10061</v>
      </c>
      <c r="E1121" s="309" t="s">
        <v>10062</v>
      </c>
      <c r="F1121" s="42" t="s">
        <v>10364</v>
      </c>
      <c r="G1121" s="42">
        <v>53</v>
      </c>
      <c r="H1121" s="42" t="s">
        <v>10064</v>
      </c>
      <c r="I1121" s="42"/>
      <c r="J1121" s="42" t="s">
        <v>10057</v>
      </c>
      <c r="K1121" s="42" t="s">
        <v>10058</v>
      </c>
      <c r="L1121" s="42" t="s">
        <v>10059</v>
      </c>
      <c r="M1121" s="42"/>
      <c r="N1121" s="310"/>
      <c r="O1121" s="1487"/>
      <c r="P1121" s="1489"/>
      <c r="Q1121" s="1491"/>
    </row>
    <row r="1122" spans="1:17" ht="11.1" customHeight="1">
      <c r="A1122" s="250" t="s">
        <v>10365</v>
      </c>
      <c r="B1122" s="187"/>
      <c r="C1122" s="42">
        <v>38</v>
      </c>
      <c r="D1122" s="42" t="s">
        <v>10061</v>
      </c>
      <c r="E1122" s="309" t="s">
        <v>10062</v>
      </c>
      <c r="F1122" s="42" t="s">
        <v>10366</v>
      </c>
      <c r="G1122" s="42">
        <v>59</v>
      </c>
      <c r="H1122" s="42" t="s">
        <v>10064</v>
      </c>
      <c r="I1122" s="42"/>
      <c r="J1122" s="42" t="s">
        <v>10057</v>
      </c>
      <c r="K1122" s="42" t="s">
        <v>10058</v>
      </c>
      <c r="L1122" s="42" t="s">
        <v>10059</v>
      </c>
      <c r="M1122" s="42"/>
      <c r="N1122" s="310"/>
      <c r="O1122" s="1487"/>
      <c r="P1122" s="1489"/>
      <c r="Q1122" s="1491"/>
    </row>
    <row r="1123" spans="1:17" ht="11.1" customHeight="1">
      <c r="A1123" s="250" t="s">
        <v>10367</v>
      </c>
      <c r="B1123" s="187"/>
      <c r="C1123" s="42">
        <v>39</v>
      </c>
      <c r="D1123" s="42" t="s">
        <v>10061</v>
      </c>
      <c r="E1123" s="309" t="s">
        <v>10062</v>
      </c>
      <c r="F1123" s="42" t="s">
        <v>10368</v>
      </c>
      <c r="G1123" s="42">
        <v>43</v>
      </c>
      <c r="H1123" s="42" t="s">
        <v>10064</v>
      </c>
      <c r="I1123" s="42"/>
      <c r="J1123" s="42" t="s">
        <v>10057</v>
      </c>
      <c r="K1123" s="42" t="s">
        <v>10058</v>
      </c>
      <c r="L1123" s="42" t="s">
        <v>10059</v>
      </c>
      <c r="M1123" s="42"/>
      <c r="N1123" s="310"/>
      <c r="O1123" s="1487"/>
      <c r="P1123" s="1489"/>
      <c r="Q1123" s="1491"/>
    </row>
    <row r="1124" spans="1:17" ht="11.1" customHeight="1">
      <c r="A1124" s="250" t="s">
        <v>10369</v>
      </c>
      <c r="B1124" s="302" t="s">
        <v>10098</v>
      </c>
      <c r="C1124" s="303">
        <v>3</v>
      </c>
      <c r="D1124" s="303" t="s">
        <v>10370</v>
      </c>
      <c r="E1124" s="306" t="s">
        <v>10100</v>
      </c>
      <c r="F1124" s="303" t="s">
        <v>10371</v>
      </c>
      <c r="G1124" s="303">
        <v>46</v>
      </c>
      <c r="H1124" s="303" t="s">
        <v>10064</v>
      </c>
      <c r="I1124" s="303" t="s">
        <v>10056</v>
      </c>
      <c r="J1124" s="303" t="s">
        <v>10057</v>
      </c>
      <c r="K1124" s="303" t="s">
        <v>10210</v>
      </c>
      <c r="L1124" s="303" t="s">
        <v>10066</v>
      </c>
      <c r="M1124" s="303">
        <v>5</v>
      </c>
      <c r="N1124" s="307" t="s">
        <v>10071</v>
      </c>
      <c r="O1124" s="1487"/>
      <c r="P1124" s="1489"/>
      <c r="Q1124" s="1491"/>
    </row>
    <row r="1125" spans="1:17" ht="11.1" customHeight="1">
      <c r="A1125" s="250" t="s">
        <v>10372</v>
      </c>
      <c r="B1125" s="302" t="s">
        <v>10098</v>
      </c>
      <c r="C1125" s="303">
        <v>3</v>
      </c>
      <c r="D1125" s="303" t="s">
        <v>10373</v>
      </c>
      <c r="E1125" s="306" t="s">
        <v>10104</v>
      </c>
      <c r="F1125" s="303" t="s">
        <v>10374</v>
      </c>
      <c r="G1125" s="303">
        <v>61</v>
      </c>
      <c r="H1125" s="303" t="s">
        <v>10064</v>
      </c>
      <c r="I1125" s="303" t="s">
        <v>10056</v>
      </c>
      <c r="J1125" s="303" t="s">
        <v>10057</v>
      </c>
      <c r="K1125" s="303" t="s">
        <v>10065</v>
      </c>
      <c r="L1125" s="303" t="s">
        <v>10066</v>
      </c>
      <c r="M1125" s="303">
        <v>7</v>
      </c>
      <c r="N1125" s="307" t="s">
        <v>10071</v>
      </c>
      <c r="O1125" s="1487"/>
      <c r="P1125" s="1489"/>
      <c r="Q1125" s="1491"/>
    </row>
    <row r="1126" spans="1:17" ht="11.1" customHeight="1">
      <c r="A1126" s="250" t="s">
        <v>10375</v>
      </c>
      <c r="B1126" s="302" t="s">
        <v>10098</v>
      </c>
      <c r="C1126" s="303">
        <v>3</v>
      </c>
      <c r="D1126" s="303" t="s">
        <v>10376</v>
      </c>
      <c r="E1126" s="306" t="s">
        <v>10104</v>
      </c>
      <c r="F1126" s="303" t="s">
        <v>10377</v>
      </c>
      <c r="G1126" s="303">
        <v>45</v>
      </c>
      <c r="H1126" s="303" t="s">
        <v>10064</v>
      </c>
      <c r="I1126" s="303" t="s">
        <v>10056</v>
      </c>
      <c r="J1126" s="303" t="s">
        <v>10057</v>
      </c>
      <c r="K1126" s="303" t="s">
        <v>10082</v>
      </c>
      <c r="L1126" s="303" t="s">
        <v>10066</v>
      </c>
      <c r="M1126" s="303">
        <v>1</v>
      </c>
      <c r="N1126" s="307" t="s">
        <v>10071</v>
      </c>
      <c r="O1126" s="1487"/>
      <c r="P1126" s="1489"/>
      <c r="Q1126" s="1491"/>
    </row>
    <row r="1127" spans="1:17" ht="11.1" customHeight="1">
      <c r="A1127" s="250" t="s">
        <v>10378</v>
      </c>
      <c r="B1127" s="302" t="s">
        <v>10098</v>
      </c>
      <c r="C1127" s="303">
        <v>3</v>
      </c>
      <c r="D1127" s="303" t="s">
        <v>10379</v>
      </c>
      <c r="E1127" s="306" t="s">
        <v>10104</v>
      </c>
      <c r="F1127" s="303" t="s">
        <v>10380</v>
      </c>
      <c r="G1127" s="303">
        <v>49</v>
      </c>
      <c r="H1127" s="303" t="s">
        <v>10064</v>
      </c>
      <c r="I1127" s="303" t="s">
        <v>10056</v>
      </c>
      <c r="J1127" s="303" t="s">
        <v>10057</v>
      </c>
      <c r="K1127" s="303" t="s">
        <v>10058</v>
      </c>
      <c r="L1127" s="303" t="s">
        <v>10066</v>
      </c>
      <c r="M1127" s="303">
        <v>2</v>
      </c>
      <c r="N1127" s="307" t="s">
        <v>10071</v>
      </c>
      <c r="O1127" s="1487"/>
      <c r="P1127" s="1489"/>
      <c r="Q1127" s="1491"/>
    </row>
    <row r="1128" spans="1:17" ht="11.1" customHeight="1">
      <c r="A1128" s="250" t="s">
        <v>10381</v>
      </c>
      <c r="B1128" s="302" t="s">
        <v>10098</v>
      </c>
      <c r="C1128" s="303">
        <v>3</v>
      </c>
      <c r="D1128" s="303" t="s">
        <v>10382</v>
      </c>
      <c r="E1128" s="306" t="s">
        <v>10104</v>
      </c>
      <c r="F1128" s="303" t="s">
        <v>10383</v>
      </c>
      <c r="G1128" s="303">
        <v>61</v>
      </c>
      <c r="H1128" s="303" t="s">
        <v>10064</v>
      </c>
      <c r="I1128" s="303" t="s">
        <v>10056</v>
      </c>
      <c r="J1128" s="303" t="s">
        <v>10057</v>
      </c>
      <c r="K1128" s="303" t="s">
        <v>10082</v>
      </c>
      <c r="L1128" s="303" t="s">
        <v>10066</v>
      </c>
      <c r="M1128" s="303">
        <v>9</v>
      </c>
      <c r="N1128" s="307" t="s">
        <v>10071</v>
      </c>
      <c r="O1128" s="1487"/>
      <c r="P1128" s="1489"/>
      <c r="Q1128" s="1491"/>
    </row>
    <row r="1129" spans="1:17" ht="11.1" customHeight="1">
      <c r="A1129" s="250" t="s">
        <v>10384</v>
      </c>
      <c r="B1129" s="302" t="s">
        <v>10098</v>
      </c>
      <c r="C1129" s="303">
        <v>3</v>
      </c>
      <c r="D1129" s="303" t="s">
        <v>10385</v>
      </c>
      <c r="E1129" s="306" t="s">
        <v>10104</v>
      </c>
      <c r="F1129" s="303" t="s">
        <v>10386</v>
      </c>
      <c r="G1129" s="303">
        <v>51</v>
      </c>
      <c r="H1129" s="303" t="s">
        <v>10064</v>
      </c>
      <c r="I1129" s="303" t="s">
        <v>10056</v>
      </c>
      <c r="J1129" s="303" t="s">
        <v>10057</v>
      </c>
      <c r="K1129" s="303" t="s">
        <v>10065</v>
      </c>
      <c r="L1129" s="303" t="s">
        <v>10066</v>
      </c>
      <c r="M1129" s="303">
        <v>8</v>
      </c>
      <c r="N1129" s="307" t="s">
        <v>10071</v>
      </c>
      <c r="O1129" s="1487"/>
      <c r="P1129" s="1489"/>
      <c r="Q1129" s="1491"/>
    </row>
    <row r="1130" spans="1:17" ht="11.1" customHeight="1">
      <c r="A1130" s="250" t="s">
        <v>10387</v>
      </c>
      <c r="B1130" s="302" t="s">
        <v>10098</v>
      </c>
      <c r="C1130" s="303">
        <v>3</v>
      </c>
      <c r="D1130" s="303" t="s">
        <v>10388</v>
      </c>
      <c r="E1130" s="306" t="s">
        <v>10104</v>
      </c>
      <c r="F1130" s="303" t="s">
        <v>10389</v>
      </c>
      <c r="G1130" s="303">
        <v>53</v>
      </c>
      <c r="H1130" s="303" t="s">
        <v>10064</v>
      </c>
      <c r="I1130" s="303" t="s">
        <v>10056</v>
      </c>
      <c r="J1130" s="303" t="s">
        <v>10057</v>
      </c>
      <c r="K1130" s="303" t="s">
        <v>10058</v>
      </c>
      <c r="L1130" s="303" t="s">
        <v>10066</v>
      </c>
      <c r="M1130" s="303">
        <v>3</v>
      </c>
      <c r="N1130" s="307" t="s">
        <v>10071</v>
      </c>
      <c r="O1130" s="1487"/>
      <c r="P1130" s="1489"/>
      <c r="Q1130" s="1491"/>
    </row>
    <row r="1131" spans="1:17" ht="11.1" customHeight="1">
      <c r="A1131" s="250" t="s">
        <v>10390</v>
      </c>
      <c r="B1131" s="302" t="s">
        <v>10098</v>
      </c>
      <c r="C1131" s="303">
        <v>3</v>
      </c>
      <c r="D1131" s="303" t="s">
        <v>10391</v>
      </c>
      <c r="E1131" s="306" t="s">
        <v>10104</v>
      </c>
      <c r="F1131" s="303" t="s">
        <v>10392</v>
      </c>
      <c r="G1131" s="303">
        <v>53</v>
      </c>
      <c r="H1131" s="303" t="s">
        <v>10064</v>
      </c>
      <c r="I1131" s="303" t="s">
        <v>10056</v>
      </c>
      <c r="J1131" s="303" t="s">
        <v>10057</v>
      </c>
      <c r="K1131" s="303" t="s">
        <v>10241</v>
      </c>
      <c r="L1131" s="303" t="s">
        <v>10066</v>
      </c>
      <c r="M1131" s="303">
        <v>3</v>
      </c>
      <c r="N1131" s="307" t="s">
        <v>10071</v>
      </c>
      <c r="O1131" s="1487"/>
      <c r="P1131" s="1489"/>
      <c r="Q1131" s="1491"/>
    </row>
    <row r="1132" spans="1:17" ht="11.1" customHeight="1">
      <c r="A1132" s="250" t="s">
        <v>10393</v>
      </c>
      <c r="B1132" s="302" t="s">
        <v>10098</v>
      </c>
      <c r="C1132" s="303">
        <v>3</v>
      </c>
      <c r="D1132" s="303" t="s">
        <v>10394</v>
      </c>
      <c r="E1132" s="306" t="s">
        <v>10104</v>
      </c>
      <c r="F1132" s="303" t="s">
        <v>10395</v>
      </c>
      <c r="G1132" s="303">
        <v>49</v>
      </c>
      <c r="H1132" s="303" t="s">
        <v>10064</v>
      </c>
      <c r="I1132" s="303" t="s">
        <v>10056</v>
      </c>
      <c r="J1132" s="303" t="s">
        <v>10057</v>
      </c>
      <c r="K1132" s="303" t="s">
        <v>10065</v>
      </c>
      <c r="L1132" s="303" t="s">
        <v>10066</v>
      </c>
      <c r="M1132" s="303">
        <v>4</v>
      </c>
      <c r="N1132" s="307" t="s">
        <v>10071</v>
      </c>
      <c r="O1132" s="1487"/>
      <c r="P1132" s="1489"/>
      <c r="Q1132" s="1491"/>
    </row>
    <row r="1133" spans="1:17" ht="11.1" customHeight="1">
      <c r="A1133" s="250" t="s">
        <v>10396</v>
      </c>
      <c r="B1133" s="302" t="s">
        <v>10098</v>
      </c>
      <c r="C1133" s="303">
        <v>3</v>
      </c>
      <c r="D1133" s="303" t="s">
        <v>10397</v>
      </c>
      <c r="E1133" s="306" t="s">
        <v>10104</v>
      </c>
      <c r="F1133" s="303" t="s">
        <v>10398</v>
      </c>
      <c r="G1133" s="303">
        <v>52</v>
      </c>
      <c r="H1133" s="303" t="s">
        <v>10064</v>
      </c>
      <c r="I1133" s="303" t="s">
        <v>10056</v>
      </c>
      <c r="J1133" s="303" t="s">
        <v>10057</v>
      </c>
      <c r="K1133" s="303" t="s">
        <v>10065</v>
      </c>
      <c r="L1133" s="303" t="s">
        <v>10066</v>
      </c>
      <c r="M1133" s="303">
        <v>5</v>
      </c>
      <c r="N1133" s="307" t="s">
        <v>10071</v>
      </c>
      <c r="O1133" s="1487"/>
      <c r="P1133" s="1489"/>
      <c r="Q1133" s="1491"/>
    </row>
    <row r="1134" spans="1:17" ht="11.1" customHeight="1">
      <c r="A1134" s="250" t="s">
        <v>10399</v>
      </c>
      <c r="B1134" s="302" t="s">
        <v>10098</v>
      </c>
      <c r="C1134" s="303">
        <v>3</v>
      </c>
      <c r="D1134" s="303" t="s">
        <v>10400</v>
      </c>
      <c r="E1134" s="306" t="s">
        <v>10104</v>
      </c>
      <c r="F1134" s="303" t="s">
        <v>10401</v>
      </c>
      <c r="G1134" s="303">
        <v>69</v>
      </c>
      <c r="H1134" s="303" t="s">
        <v>10064</v>
      </c>
      <c r="I1134" s="303" t="s">
        <v>10056</v>
      </c>
      <c r="J1134" s="303" t="s">
        <v>10057</v>
      </c>
      <c r="K1134" s="303" t="s">
        <v>10065</v>
      </c>
      <c r="L1134" s="303" t="s">
        <v>10066</v>
      </c>
      <c r="M1134" s="303">
        <v>6</v>
      </c>
      <c r="N1134" s="307" t="s">
        <v>10071</v>
      </c>
      <c r="O1134" s="1487"/>
      <c r="P1134" s="1489"/>
      <c r="Q1134" s="1491"/>
    </row>
    <row r="1135" spans="1:17" ht="11.1" customHeight="1">
      <c r="A1135" s="250" t="s">
        <v>10402</v>
      </c>
      <c r="B1135" s="302" t="s">
        <v>10098</v>
      </c>
      <c r="C1135" s="303">
        <v>3</v>
      </c>
      <c r="D1135" s="303" t="s">
        <v>10403</v>
      </c>
      <c r="E1135" s="306" t="s">
        <v>10104</v>
      </c>
      <c r="F1135" s="303" t="s">
        <v>10404</v>
      </c>
      <c r="G1135" s="303">
        <v>71</v>
      </c>
      <c r="H1135" s="303" t="s">
        <v>10064</v>
      </c>
      <c r="I1135" s="303" t="s">
        <v>10056</v>
      </c>
      <c r="J1135" s="303" t="s">
        <v>10057</v>
      </c>
      <c r="K1135" s="303" t="s">
        <v>10092</v>
      </c>
      <c r="L1135" s="303" t="s">
        <v>10066</v>
      </c>
      <c r="M1135" s="303">
        <v>6</v>
      </c>
      <c r="N1135" s="307" t="s">
        <v>10071</v>
      </c>
      <c r="O1135" s="1487"/>
      <c r="P1135" s="1489"/>
      <c r="Q1135" s="1491"/>
    </row>
    <row r="1136" spans="1:17" ht="11.1" customHeight="1">
      <c r="A1136" s="250" t="s">
        <v>10405</v>
      </c>
      <c r="B1136" s="302" t="s">
        <v>10098</v>
      </c>
      <c r="C1136" s="303">
        <v>3</v>
      </c>
      <c r="D1136" s="303" t="s">
        <v>10406</v>
      </c>
      <c r="E1136" s="306" t="s">
        <v>10104</v>
      </c>
      <c r="F1136" s="303" t="s">
        <v>10407</v>
      </c>
      <c r="G1136" s="303">
        <v>69</v>
      </c>
      <c r="H1136" s="303" t="s">
        <v>10064</v>
      </c>
      <c r="I1136" s="303" t="s">
        <v>10056</v>
      </c>
      <c r="J1136" s="303" t="s">
        <v>10057</v>
      </c>
      <c r="K1136" s="303" t="s">
        <v>10075</v>
      </c>
      <c r="L1136" s="303" t="s">
        <v>10066</v>
      </c>
      <c r="M1136" s="303">
        <v>5</v>
      </c>
      <c r="N1136" s="307" t="s">
        <v>10071</v>
      </c>
      <c r="O1136" s="1487"/>
      <c r="P1136" s="1489"/>
      <c r="Q1136" s="1491"/>
    </row>
    <row r="1137" spans="1:17" ht="11.1" customHeight="1">
      <c r="A1137" s="250" t="s">
        <v>10408</v>
      </c>
      <c r="B1137" s="302" t="s">
        <v>10098</v>
      </c>
      <c r="C1137" s="303">
        <v>3</v>
      </c>
      <c r="D1137" s="303" t="s">
        <v>10409</v>
      </c>
      <c r="E1137" s="306" t="s">
        <v>10104</v>
      </c>
      <c r="F1137" s="303" t="s">
        <v>10410</v>
      </c>
      <c r="G1137" s="303">
        <v>31</v>
      </c>
      <c r="H1137" s="303" t="s">
        <v>10054</v>
      </c>
      <c r="I1137" s="303" t="s">
        <v>10056</v>
      </c>
      <c r="J1137" s="303" t="s">
        <v>10057</v>
      </c>
      <c r="K1137" s="303" t="s">
        <v>10065</v>
      </c>
      <c r="L1137" s="303" t="s">
        <v>10066</v>
      </c>
      <c r="M1137" s="303">
        <v>2</v>
      </c>
      <c r="N1137" s="307" t="s">
        <v>10071</v>
      </c>
      <c r="O1137" s="1487"/>
      <c r="P1137" s="1489"/>
      <c r="Q1137" s="1491"/>
    </row>
    <row r="1138" spans="1:17" ht="11.1" customHeight="1">
      <c r="A1138" s="250" t="s">
        <v>10411</v>
      </c>
      <c r="B1138" s="302" t="s">
        <v>10098</v>
      </c>
      <c r="C1138" s="303">
        <v>3</v>
      </c>
      <c r="D1138" s="303" t="s">
        <v>10412</v>
      </c>
      <c r="E1138" s="306" t="s">
        <v>10104</v>
      </c>
      <c r="F1138" s="303" t="s">
        <v>10413</v>
      </c>
      <c r="G1138" s="303">
        <v>47</v>
      </c>
      <c r="H1138" s="303" t="s">
        <v>10064</v>
      </c>
      <c r="I1138" s="303" t="s">
        <v>10056</v>
      </c>
      <c r="J1138" s="303" t="s">
        <v>10057</v>
      </c>
      <c r="K1138" s="303" t="s">
        <v>10065</v>
      </c>
      <c r="L1138" s="303" t="s">
        <v>10070</v>
      </c>
      <c r="M1138" s="303">
        <v>2</v>
      </c>
      <c r="N1138" s="307"/>
      <c r="O1138" s="1487"/>
      <c r="P1138" s="1489"/>
      <c r="Q1138" s="1491"/>
    </row>
    <row r="1139" spans="1:17" ht="11.1" customHeight="1">
      <c r="A1139" s="250" t="s">
        <v>10414</v>
      </c>
      <c r="B1139" s="302" t="s">
        <v>10098</v>
      </c>
      <c r="C1139" s="303">
        <v>3</v>
      </c>
      <c r="D1139" s="303" t="s">
        <v>10415</v>
      </c>
      <c r="E1139" s="306" t="s">
        <v>10208</v>
      </c>
      <c r="F1139" s="303" t="s">
        <v>10416</v>
      </c>
      <c r="G1139" s="303">
        <v>64</v>
      </c>
      <c r="H1139" s="303" t="s">
        <v>10064</v>
      </c>
      <c r="I1139" s="303" t="s">
        <v>10056</v>
      </c>
      <c r="J1139" s="303" t="s">
        <v>10057</v>
      </c>
      <c r="K1139" s="303" t="s">
        <v>10082</v>
      </c>
      <c r="L1139" s="303" t="s">
        <v>10066</v>
      </c>
      <c r="M1139" s="303">
        <v>3</v>
      </c>
      <c r="N1139" s="307" t="s">
        <v>10071</v>
      </c>
      <c r="O1139" s="1487"/>
      <c r="P1139" s="1489"/>
      <c r="Q1139" s="1491"/>
    </row>
    <row r="1140" spans="1:17" ht="11.1" customHeight="1">
      <c r="A1140" s="250" t="s">
        <v>10417</v>
      </c>
      <c r="B1140" s="302" t="s">
        <v>10098</v>
      </c>
      <c r="C1140" s="303">
        <v>3</v>
      </c>
      <c r="D1140" s="303" t="s">
        <v>10418</v>
      </c>
      <c r="E1140" s="306" t="s">
        <v>10104</v>
      </c>
      <c r="F1140" s="303" t="s">
        <v>10419</v>
      </c>
      <c r="G1140" s="303">
        <v>60</v>
      </c>
      <c r="H1140" s="303" t="s">
        <v>10064</v>
      </c>
      <c r="I1140" s="303" t="s">
        <v>10056</v>
      </c>
      <c r="J1140" s="303" t="s">
        <v>10057</v>
      </c>
      <c r="K1140" s="303" t="s">
        <v>10092</v>
      </c>
      <c r="L1140" s="303" t="s">
        <v>10059</v>
      </c>
      <c r="M1140" s="303"/>
      <c r="N1140" s="307" t="s">
        <v>10071</v>
      </c>
      <c r="O1140" s="1487"/>
      <c r="P1140" s="1489"/>
      <c r="Q1140" s="1491"/>
    </row>
    <row r="1141" spans="1:17" ht="11.1" customHeight="1">
      <c r="A1141" s="250" t="s">
        <v>10420</v>
      </c>
      <c r="B1141" s="302" t="s">
        <v>10098</v>
      </c>
      <c r="C1141" s="303">
        <v>3</v>
      </c>
      <c r="D1141" s="303" t="s">
        <v>10421</v>
      </c>
      <c r="E1141" s="306" t="s">
        <v>10104</v>
      </c>
      <c r="F1141" s="303" t="s">
        <v>10422</v>
      </c>
      <c r="G1141" s="303">
        <v>69</v>
      </c>
      <c r="H1141" s="303" t="s">
        <v>10064</v>
      </c>
      <c r="I1141" s="303" t="s">
        <v>10056</v>
      </c>
      <c r="J1141" s="303" t="s">
        <v>10057</v>
      </c>
      <c r="K1141" s="303" t="s">
        <v>10092</v>
      </c>
      <c r="L1141" s="303" t="s">
        <v>10066</v>
      </c>
      <c r="M1141" s="303">
        <v>3</v>
      </c>
      <c r="N1141" s="307" t="s">
        <v>10071</v>
      </c>
      <c r="O1141" s="1487"/>
      <c r="P1141" s="1489"/>
      <c r="Q1141" s="1491"/>
    </row>
    <row r="1142" spans="1:17" ht="11.1" customHeight="1">
      <c r="A1142" s="250" t="s">
        <v>10423</v>
      </c>
      <c r="B1142" s="302" t="s">
        <v>10098</v>
      </c>
      <c r="C1142" s="303">
        <v>3</v>
      </c>
      <c r="D1142" s="303" t="s">
        <v>10424</v>
      </c>
      <c r="E1142" s="306" t="s">
        <v>10104</v>
      </c>
      <c r="F1142" s="303" t="s">
        <v>10425</v>
      </c>
      <c r="G1142" s="303">
        <v>39</v>
      </c>
      <c r="H1142" s="303" t="s">
        <v>10064</v>
      </c>
      <c r="I1142" s="303" t="s">
        <v>10056</v>
      </c>
      <c r="J1142" s="303" t="s">
        <v>10057</v>
      </c>
      <c r="K1142" s="303" t="s">
        <v>10075</v>
      </c>
      <c r="L1142" s="303" t="s">
        <v>10066</v>
      </c>
      <c r="M1142" s="303">
        <v>1</v>
      </c>
      <c r="N1142" s="307" t="s">
        <v>10071</v>
      </c>
      <c r="O1142" s="1487"/>
      <c r="P1142" s="1489"/>
      <c r="Q1142" s="1491"/>
    </row>
    <row r="1143" spans="1:17" ht="11.1" customHeight="1">
      <c r="A1143" s="250" t="s">
        <v>10426</v>
      </c>
      <c r="B1143" s="302" t="s">
        <v>10098</v>
      </c>
      <c r="C1143" s="303">
        <v>3</v>
      </c>
      <c r="D1143" s="303" t="s">
        <v>10427</v>
      </c>
      <c r="E1143" s="306" t="s">
        <v>10104</v>
      </c>
      <c r="F1143" s="303" t="s">
        <v>10428</v>
      </c>
      <c r="G1143" s="303">
        <v>69</v>
      </c>
      <c r="H1143" s="303" t="s">
        <v>10064</v>
      </c>
      <c r="I1143" s="303" t="s">
        <v>10056</v>
      </c>
      <c r="J1143" s="303" t="s">
        <v>10057</v>
      </c>
      <c r="K1143" s="303" t="s">
        <v>10075</v>
      </c>
      <c r="L1143" s="303" t="s">
        <v>10066</v>
      </c>
      <c r="M1143" s="303">
        <v>3</v>
      </c>
      <c r="N1143" s="307" t="s">
        <v>10071</v>
      </c>
      <c r="O1143" s="1487"/>
      <c r="P1143" s="1489"/>
      <c r="Q1143" s="1491"/>
    </row>
    <row r="1144" spans="1:17" ht="11.1" customHeight="1">
      <c r="A1144" s="250" t="s">
        <v>10429</v>
      </c>
      <c r="B1144" s="302" t="s">
        <v>10098</v>
      </c>
      <c r="C1144" s="303">
        <v>3</v>
      </c>
      <c r="D1144" s="303" t="s">
        <v>10430</v>
      </c>
      <c r="E1144" s="306" t="s">
        <v>10104</v>
      </c>
      <c r="F1144" s="303" t="s">
        <v>10431</v>
      </c>
      <c r="G1144" s="303">
        <v>56</v>
      </c>
      <c r="H1144" s="303" t="s">
        <v>10064</v>
      </c>
      <c r="I1144" s="303" t="s">
        <v>10056</v>
      </c>
      <c r="J1144" s="303" t="s">
        <v>10057</v>
      </c>
      <c r="K1144" s="303" t="s">
        <v>10065</v>
      </c>
      <c r="L1144" s="303" t="s">
        <v>10066</v>
      </c>
      <c r="M1144" s="303">
        <v>3</v>
      </c>
      <c r="N1144" s="307" t="s">
        <v>10071</v>
      </c>
      <c r="O1144" s="1487"/>
      <c r="P1144" s="1489"/>
      <c r="Q1144" s="1491"/>
    </row>
    <row r="1145" spans="1:17" ht="11.1" customHeight="1">
      <c r="A1145" s="250" t="s">
        <v>10432</v>
      </c>
      <c r="B1145" s="302" t="s">
        <v>10098</v>
      </c>
      <c r="C1145" s="303">
        <v>3</v>
      </c>
      <c r="D1145" s="303" t="s">
        <v>10433</v>
      </c>
      <c r="E1145" s="306" t="s">
        <v>10104</v>
      </c>
      <c r="F1145" s="303" t="s">
        <v>10434</v>
      </c>
      <c r="G1145" s="303">
        <v>48</v>
      </c>
      <c r="H1145" s="303" t="s">
        <v>10064</v>
      </c>
      <c r="I1145" s="303" t="s">
        <v>10056</v>
      </c>
      <c r="J1145" s="303" t="s">
        <v>10057</v>
      </c>
      <c r="K1145" s="303" t="s">
        <v>10058</v>
      </c>
      <c r="L1145" s="303" t="s">
        <v>10059</v>
      </c>
      <c r="M1145" s="303"/>
      <c r="N1145" s="307" t="s">
        <v>10071</v>
      </c>
      <c r="O1145" s="1487"/>
      <c r="P1145" s="1489"/>
      <c r="Q1145" s="1491"/>
    </row>
    <row r="1146" spans="1:17" ht="11.1" customHeight="1">
      <c r="A1146" s="250" t="s">
        <v>10435</v>
      </c>
      <c r="B1146" s="302" t="s">
        <v>10098</v>
      </c>
      <c r="C1146" s="303">
        <v>3</v>
      </c>
      <c r="D1146" s="303" t="s">
        <v>10436</v>
      </c>
      <c r="E1146" s="306" t="s">
        <v>10104</v>
      </c>
      <c r="F1146" s="303" t="s">
        <v>10437</v>
      </c>
      <c r="G1146" s="303">
        <v>65</v>
      </c>
      <c r="H1146" s="303" t="s">
        <v>10064</v>
      </c>
      <c r="I1146" s="303" t="s">
        <v>10056</v>
      </c>
      <c r="J1146" s="303" t="s">
        <v>10057</v>
      </c>
      <c r="K1146" s="303" t="s">
        <v>10092</v>
      </c>
      <c r="L1146" s="303" t="s">
        <v>10066</v>
      </c>
      <c r="M1146" s="303">
        <v>3</v>
      </c>
      <c r="N1146" s="307" t="s">
        <v>10071</v>
      </c>
      <c r="O1146" s="1487"/>
      <c r="P1146" s="1489"/>
      <c r="Q1146" s="1491"/>
    </row>
    <row r="1147" spans="1:17" ht="11.1" customHeight="1">
      <c r="A1147" s="250" t="s">
        <v>10438</v>
      </c>
      <c r="B1147" s="302" t="s">
        <v>10098</v>
      </c>
      <c r="C1147" s="303">
        <v>3</v>
      </c>
      <c r="D1147" s="303" t="s">
        <v>10439</v>
      </c>
      <c r="E1147" s="306" t="s">
        <v>10104</v>
      </c>
      <c r="F1147" s="303" t="s">
        <v>10440</v>
      </c>
      <c r="G1147" s="303">
        <v>53</v>
      </c>
      <c r="H1147" s="303" t="s">
        <v>10054</v>
      </c>
      <c r="I1147" s="303" t="s">
        <v>10056</v>
      </c>
      <c r="J1147" s="303" t="s">
        <v>10057</v>
      </c>
      <c r="K1147" s="303" t="s">
        <v>10058</v>
      </c>
      <c r="L1147" s="303" t="s">
        <v>10066</v>
      </c>
      <c r="M1147" s="303">
        <v>3</v>
      </c>
      <c r="N1147" s="307" t="s">
        <v>10071</v>
      </c>
      <c r="O1147" s="1487"/>
      <c r="P1147" s="1489"/>
      <c r="Q1147" s="1491"/>
    </row>
    <row r="1148" spans="1:17" ht="11.1" customHeight="1">
      <c r="A1148" s="250" t="s">
        <v>10441</v>
      </c>
      <c r="B1148" s="302" t="s">
        <v>10098</v>
      </c>
      <c r="C1148" s="303">
        <v>3</v>
      </c>
      <c r="D1148" s="303" t="s">
        <v>10442</v>
      </c>
      <c r="E1148" s="306" t="s">
        <v>10104</v>
      </c>
      <c r="F1148" s="303" t="s">
        <v>10443</v>
      </c>
      <c r="G1148" s="303">
        <v>52</v>
      </c>
      <c r="H1148" s="303" t="s">
        <v>10064</v>
      </c>
      <c r="I1148" s="303" t="s">
        <v>10056</v>
      </c>
      <c r="J1148" s="303" t="s">
        <v>10057</v>
      </c>
      <c r="K1148" s="303" t="s">
        <v>10075</v>
      </c>
      <c r="L1148" s="303" t="s">
        <v>10066</v>
      </c>
      <c r="M1148" s="303">
        <v>2</v>
      </c>
      <c r="N1148" s="307" t="s">
        <v>10071</v>
      </c>
      <c r="O1148" s="1487"/>
      <c r="P1148" s="1489"/>
      <c r="Q1148" s="1491"/>
    </row>
    <row r="1149" spans="1:17" ht="11.1" customHeight="1">
      <c r="A1149" s="945" t="s">
        <v>10444</v>
      </c>
      <c r="B1149" s="340" t="s">
        <v>10098</v>
      </c>
      <c r="C1149" s="311">
        <v>3</v>
      </c>
      <c r="D1149" s="311" t="s">
        <v>10445</v>
      </c>
      <c r="E1149" s="312" t="s">
        <v>10104</v>
      </c>
      <c r="F1149" s="311" t="s">
        <v>10446</v>
      </c>
      <c r="G1149" s="311">
        <v>41</v>
      </c>
      <c r="H1149" s="311" t="s">
        <v>10064</v>
      </c>
      <c r="I1149" s="311" t="s">
        <v>10056</v>
      </c>
      <c r="J1149" s="311" t="s">
        <v>10057</v>
      </c>
      <c r="K1149" s="311" t="s">
        <v>10058</v>
      </c>
      <c r="L1149" s="311" t="s">
        <v>10059</v>
      </c>
      <c r="M1149" s="311"/>
      <c r="N1149" s="313" t="s">
        <v>10071</v>
      </c>
      <c r="O1149" s="1480"/>
      <c r="P1149" s="1481"/>
      <c r="Q1149" s="1482"/>
    </row>
    <row r="1150" spans="1:17" ht="11.1" customHeight="1">
      <c r="A1150" s="946" t="s">
        <v>10447</v>
      </c>
      <c r="B1150" s="192" t="s">
        <v>10051</v>
      </c>
      <c r="C1150" s="56">
        <v>1</v>
      </c>
      <c r="D1150" s="56" t="s">
        <v>10400</v>
      </c>
      <c r="E1150" s="193">
        <v>98.58</v>
      </c>
      <c r="F1150" s="56" t="s">
        <v>10448</v>
      </c>
      <c r="G1150" s="56">
        <v>33</v>
      </c>
      <c r="H1150" s="56" t="s">
        <v>10064</v>
      </c>
      <c r="I1150" s="56" t="s">
        <v>10056</v>
      </c>
      <c r="J1150" s="56" t="s">
        <v>10115</v>
      </c>
      <c r="K1150" s="56" t="s">
        <v>10116</v>
      </c>
      <c r="L1150" s="56" t="s">
        <v>10059</v>
      </c>
      <c r="M1150" s="56"/>
      <c r="N1150" s="341"/>
      <c r="O1150" s="1486">
        <v>7</v>
      </c>
      <c r="P1150" s="1488">
        <v>2260717</v>
      </c>
      <c r="Q1150" s="1490">
        <f>P1150*100/SUM(P1111:P1194)</f>
        <v>31.452443058873516</v>
      </c>
    </row>
    <row r="1151" spans="1:17" ht="11.1" customHeight="1">
      <c r="A1151" s="250" t="s">
        <v>10449</v>
      </c>
      <c r="B1151" s="194" t="s">
        <v>10051</v>
      </c>
      <c r="C1151" s="36">
        <v>1</v>
      </c>
      <c r="D1151" s="36" t="s">
        <v>10450</v>
      </c>
      <c r="E1151" s="195">
        <v>87.59</v>
      </c>
      <c r="F1151" s="36" t="s">
        <v>10451</v>
      </c>
      <c r="G1151" s="36">
        <v>57</v>
      </c>
      <c r="H1151" s="36" t="s">
        <v>10064</v>
      </c>
      <c r="I1151" s="36" t="s">
        <v>10056</v>
      </c>
      <c r="J1151" s="36" t="s">
        <v>10115</v>
      </c>
      <c r="K1151" s="36" t="s">
        <v>10116</v>
      </c>
      <c r="L1151" s="36" t="s">
        <v>10059</v>
      </c>
      <c r="M1151" s="36"/>
      <c r="N1151" s="316"/>
      <c r="O1151" s="1487"/>
      <c r="P1151" s="1489"/>
      <c r="Q1151" s="1491"/>
    </row>
    <row r="1152" spans="1:17" ht="11.1" customHeight="1">
      <c r="A1152" s="250" t="s">
        <v>10452</v>
      </c>
      <c r="B1152" s="194" t="s">
        <v>10051</v>
      </c>
      <c r="C1152" s="36">
        <v>1</v>
      </c>
      <c r="D1152" s="36" t="s">
        <v>10421</v>
      </c>
      <c r="E1152" s="195">
        <v>87.13</v>
      </c>
      <c r="F1152" s="36" t="s">
        <v>10453</v>
      </c>
      <c r="G1152" s="36">
        <v>40</v>
      </c>
      <c r="H1152" s="36" t="s">
        <v>10054</v>
      </c>
      <c r="I1152" s="36" t="s">
        <v>10056</v>
      </c>
      <c r="J1152" s="36" t="s">
        <v>10115</v>
      </c>
      <c r="K1152" s="36" t="s">
        <v>10122</v>
      </c>
      <c r="L1152" s="36" t="s">
        <v>10066</v>
      </c>
      <c r="M1152" s="36">
        <v>1</v>
      </c>
      <c r="N1152" s="316"/>
      <c r="O1152" s="1487"/>
      <c r="P1152" s="1489"/>
      <c r="Q1152" s="1491"/>
    </row>
    <row r="1153" spans="1:17" ht="11.1" customHeight="1">
      <c r="A1153" s="250" t="s">
        <v>10454</v>
      </c>
      <c r="B1153" s="194" t="s">
        <v>10051</v>
      </c>
      <c r="C1153" s="36">
        <v>1</v>
      </c>
      <c r="D1153" s="36" t="s">
        <v>10418</v>
      </c>
      <c r="E1153" s="195">
        <v>83.42</v>
      </c>
      <c r="F1153" s="36" t="s">
        <v>10455</v>
      </c>
      <c r="G1153" s="36">
        <v>43</v>
      </c>
      <c r="H1153" s="36" t="s">
        <v>10064</v>
      </c>
      <c r="I1153" s="36" t="s">
        <v>10056</v>
      </c>
      <c r="J1153" s="36" t="s">
        <v>10115</v>
      </c>
      <c r="K1153" s="36" t="s">
        <v>10116</v>
      </c>
      <c r="L1153" s="36" t="s">
        <v>10066</v>
      </c>
      <c r="M1153" s="36">
        <v>1</v>
      </c>
      <c r="N1153" s="316"/>
      <c r="O1153" s="1487"/>
      <c r="P1153" s="1489"/>
      <c r="Q1153" s="1491"/>
    </row>
    <row r="1154" spans="1:17" ht="11.1" customHeight="1">
      <c r="A1154" s="250" t="s">
        <v>10456</v>
      </c>
      <c r="B1154" s="194" t="s">
        <v>10051</v>
      </c>
      <c r="C1154" s="36">
        <v>1</v>
      </c>
      <c r="D1154" s="36" t="s">
        <v>10445</v>
      </c>
      <c r="E1154" s="195">
        <v>79.73</v>
      </c>
      <c r="F1154" s="36" t="s">
        <v>10457</v>
      </c>
      <c r="G1154" s="36">
        <v>35</v>
      </c>
      <c r="H1154" s="36" t="s">
        <v>10064</v>
      </c>
      <c r="I1154" s="36" t="s">
        <v>10056</v>
      </c>
      <c r="J1154" s="36" t="s">
        <v>10115</v>
      </c>
      <c r="K1154" s="36" t="s">
        <v>10122</v>
      </c>
      <c r="L1154" s="36" t="s">
        <v>10066</v>
      </c>
      <c r="M1154" s="36">
        <v>1</v>
      </c>
      <c r="N1154" s="316"/>
      <c r="O1154" s="1487"/>
      <c r="P1154" s="1489"/>
      <c r="Q1154" s="1491"/>
    </row>
    <row r="1155" spans="1:17" ht="11.1" customHeight="1">
      <c r="A1155" s="250" t="s">
        <v>10458</v>
      </c>
      <c r="B1155" s="194" t="s">
        <v>10051</v>
      </c>
      <c r="C1155" s="36">
        <v>1</v>
      </c>
      <c r="D1155" s="36" t="s">
        <v>10415</v>
      </c>
      <c r="E1155" s="195">
        <v>78.430000000000007</v>
      </c>
      <c r="F1155" s="36" t="s">
        <v>10459</v>
      </c>
      <c r="G1155" s="36">
        <v>62</v>
      </c>
      <c r="H1155" s="36" t="s">
        <v>10064</v>
      </c>
      <c r="I1155" s="36" t="s">
        <v>10056</v>
      </c>
      <c r="J1155" s="36" t="s">
        <v>10115</v>
      </c>
      <c r="K1155" s="36" t="s">
        <v>10127</v>
      </c>
      <c r="L1155" s="36" t="s">
        <v>10066</v>
      </c>
      <c r="M1155" s="36">
        <v>5</v>
      </c>
      <c r="N1155" s="316"/>
      <c r="O1155" s="1487"/>
      <c r="P1155" s="1489"/>
      <c r="Q1155" s="1491"/>
    </row>
    <row r="1156" spans="1:17" ht="11.1" customHeight="1">
      <c r="A1156" s="250" t="s">
        <v>10460</v>
      </c>
      <c r="B1156" s="194" t="s">
        <v>10051</v>
      </c>
      <c r="C1156" s="36">
        <v>1</v>
      </c>
      <c r="D1156" s="36" t="s">
        <v>10391</v>
      </c>
      <c r="E1156" s="195">
        <v>77.31</v>
      </c>
      <c r="F1156" s="36" t="s">
        <v>10461</v>
      </c>
      <c r="G1156" s="36">
        <v>62</v>
      </c>
      <c r="H1156" s="36" t="s">
        <v>10064</v>
      </c>
      <c r="I1156" s="36" t="s">
        <v>10056</v>
      </c>
      <c r="J1156" s="36" t="s">
        <v>10115</v>
      </c>
      <c r="K1156" s="36" t="s">
        <v>10122</v>
      </c>
      <c r="L1156" s="36" t="s">
        <v>10066</v>
      </c>
      <c r="M1156" s="36">
        <v>3</v>
      </c>
      <c r="N1156" s="316"/>
      <c r="O1156" s="1487"/>
      <c r="P1156" s="1489"/>
      <c r="Q1156" s="1491"/>
    </row>
    <row r="1157" spans="1:17" ht="11.1" customHeight="1">
      <c r="A1157" s="250" t="s">
        <v>10462</v>
      </c>
      <c r="B1157" s="187"/>
      <c r="C1157" s="42">
        <v>1</v>
      </c>
      <c r="D1157" s="42" t="s">
        <v>10412</v>
      </c>
      <c r="E1157" s="188">
        <v>75.94</v>
      </c>
      <c r="F1157" s="42" t="s">
        <v>10463</v>
      </c>
      <c r="G1157" s="42">
        <v>50</v>
      </c>
      <c r="H1157" s="42" t="s">
        <v>10064</v>
      </c>
      <c r="I1157" s="42" t="s">
        <v>10056</v>
      </c>
      <c r="J1157" s="42" t="s">
        <v>10115</v>
      </c>
      <c r="K1157" s="42" t="s">
        <v>10116</v>
      </c>
      <c r="L1157" s="42" t="s">
        <v>10066</v>
      </c>
      <c r="M1157" s="42">
        <v>3</v>
      </c>
      <c r="N1157" s="308"/>
      <c r="O1157" s="1487"/>
      <c r="P1157" s="1489"/>
      <c r="Q1157" s="1491"/>
    </row>
    <row r="1158" spans="1:17" ht="11.1" customHeight="1">
      <c r="A1158" s="250" t="s">
        <v>10464</v>
      </c>
      <c r="B1158" s="187"/>
      <c r="C1158" s="42">
        <v>1</v>
      </c>
      <c r="D1158" s="42" t="s">
        <v>10385</v>
      </c>
      <c r="E1158" s="188">
        <v>73.14</v>
      </c>
      <c r="F1158" s="42" t="s">
        <v>10465</v>
      </c>
      <c r="G1158" s="42">
        <v>37</v>
      </c>
      <c r="H1158" s="42" t="s">
        <v>10054</v>
      </c>
      <c r="I1158" s="42" t="s">
        <v>10056</v>
      </c>
      <c r="J1158" s="42" t="s">
        <v>10115</v>
      </c>
      <c r="K1158" s="42" t="s">
        <v>10116</v>
      </c>
      <c r="L1158" s="42" t="s">
        <v>10066</v>
      </c>
      <c r="M1158" s="42">
        <v>2</v>
      </c>
      <c r="N1158" s="308"/>
      <c r="O1158" s="1487"/>
      <c r="P1158" s="1489"/>
      <c r="Q1158" s="1491"/>
    </row>
    <row r="1159" spans="1:17" ht="11.1" customHeight="1">
      <c r="A1159" s="250" t="s">
        <v>10466</v>
      </c>
      <c r="B1159" s="187"/>
      <c r="C1159" s="42">
        <v>1</v>
      </c>
      <c r="D1159" s="42" t="s">
        <v>10376</v>
      </c>
      <c r="E1159" s="188">
        <v>72.680000000000007</v>
      </c>
      <c r="F1159" s="42" t="s">
        <v>10467</v>
      </c>
      <c r="G1159" s="42">
        <v>48</v>
      </c>
      <c r="H1159" s="42" t="s">
        <v>10064</v>
      </c>
      <c r="I1159" s="42" t="s">
        <v>10056</v>
      </c>
      <c r="J1159" s="42" t="s">
        <v>10115</v>
      </c>
      <c r="K1159" s="42" t="s">
        <v>10116</v>
      </c>
      <c r="L1159" s="42" t="s">
        <v>10066</v>
      </c>
      <c r="M1159" s="42">
        <v>2</v>
      </c>
      <c r="N1159" s="308"/>
      <c r="O1159" s="1487"/>
      <c r="P1159" s="1489"/>
      <c r="Q1159" s="1491"/>
    </row>
    <row r="1160" spans="1:17" ht="11.1" customHeight="1">
      <c r="A1160" s="250" t="s">
        <v>10468</v>
      </c>
      <c r="B1160" s="187"/>
      <c r="C1160" s="42">
        <v>1</v>
      </c>
      <c r="D1160" s="42" t="s">
        <v>10442</v>
      </c>
      <c r="E1160" s="188">
        <v>71.97</v>
      </c>
      <c r="F1160" s="42" t="s">
        <v>10469</v>
      </c>
      <c r="G1160" s="42">
        <v>38</v>
      </c>
      <c r="H1160" s="42" t="s">
        <v>10064</v>
      </c>
      <c r="I1160" s="42" t="s">
        <v>10056</v>
      </c>
      <c r="J1160" s="42" t="s">
        <v>10115</v>
      </c>
      <c r="K1160" s="42" t="s">
        <v>10116</v>
      </c>
      <c r="L1160" s="42" t="s">
        <v>10059</v>
      </c>
      <c r="M1160" s="42"/>
      <c r="N1160" s="308"/>
      <c r="O1160" s="1487"/>
      <c r="P1160" s="1489"/>
      <c r="Q1160" s="1491"/>
    </row>
    <row r="1161" spans="1:17" ht="11.1" customHeight="1">
      <c r="A1161" s="250" t="s">
        <v>10470</v>
      </c>
      <c r="B1161" s="187"/>
      <c r="C1161" s="42">
        <v>1</v>
      </c>
      <c r="D1161" s="42" t="s">
        <v>10427</v>
      </c>
      <c r="E1161" s="188">
        <v>69.930000000000007</v>
      </c>
      <c r="F1161" s="42" t="s">
        <v>10471</v>
      </c>
      <c r="G1161" s="42">
        <v>56</v>
      </c>
      <c r="H1161" s="42" t="s">
        <v>10064</v>
      </c>
      <c r="I1161" s="42" t="s">
        <v>10056</v>
      </c>
      <c r="J1161" s="42" t="s">
        <v>10115</v>
      </c>
      <c r="K1161" s="42" t="s">
        <v>10119</v>
      </c>
      <c r="L1161" s="42" t="s">
        <v>10066</v>
      </c>
      <c r="M1161" s="42">
        <v>3</v>
      </c>
      <c r="N1161" s="308"/>
      <c r="O1161" s="1487"/>
      <c r="P1161" s="1489"/>
      <c r="Q1161" s="1491"/>
    </row>
    <row r="1162" spans="1:17" ht="11.1" customHeight="1">
      <c r="A1162" s="250" t="s">
        <v>10472</v>
      </c>
      <c r="B1162" s="187"/>
      <c r="C1162" s="42">
        <v>1</v>
      </c>
      <c r="D1162" s="42" t="s">
        <v>10439</v>
      </c>
      <c r="E1162" s="188">
        <v>68.77</v>
      </c>
      <c r="F1162" s="42" t="s">
        <v>10473</v>
      </c>
      <c r="G1162" s="42">
        <v>58</v>
      </c>
      <c r="H1162" s="42" t="s">
        <v>10054</v>
      </c>
      <c r="I1162" s="42" t="s">
        <v>10056</v>
      </c>
      <c r="J1162" s="42" t="s">
        <v>10115</v>
      </c>
      <c r="K1162" s="42" t="s">
        <v>10122</v>
      </c>
      <c r="L1162" s="42" t="s">
        <v>10066</v>
      </c>
      <c r="M1162" s="42">
        <v>4</v>
      </c>
      <c r="N1162" s="308"/>
      <c r="O1162" s="1487"/>
      <c r="P1162" s="1489"/>
      <c r="Q1162" s="1491"/>
    </row>
    <row r="1163" spans="1:17" ht="11.1" customHeight="1">
      <c r="A1163" s="250" t="s">
        <v>10474</v>
      </c>
      <c r="B1163" s="187"/>
      <c r="C1163" s="42">
        <v>1</v>
      </c>
      <c r="D1163" s="42" t="s">
        <v>10430</v>
      </c>
      <c r="E1163" s="188">
        <v>66.89</v>
      </c>
      <c r="F1163" s="42" t="s">
        <v>10475</v>
      </c>
      <c r="G1163" s="42">
        <v>55</v>
      </c>
      <c r="H1163" s="42" t="s">
        <v>10064</v>
      </c>
      <c r="I1163" s="42" t="s">
        <v>10056</v>
      </c>
      <c r="J1163" s="42" t="s">
        <v>10115</v>
      </c>
      <c r="K1163" s="42" t="s">
        <v>10476</v>
      </c>
      <c r="L1163" s="42" t="s">
        <v>10066</v>
      </c>
      <c r="M1163" s="42">
        <v>1</v>
      </c>
      <c r="N1163" s="308"/>
      <c r="O1163" s="1487"/>
      <c r="P1163" s="1489"/>
      <c r="Q1163" s="1491"/>
    </row>
    <row r="1164" spans="1:17" ht="11.1" customHeight="1">
      <c r="A1164" s="250" t="s">
        <v>10477</v>
      </c>
      <c r="B1164" s="187"/>
      <c r="C1164" s="42">
        <v>1</v>
      </c>
      <c r="D1164" s="42" t="s">
        <v>10424</v>
      </c>
      <c r="E1164" s="188">
        <v>66.27</v>
      </c>
      <c r="F1164" s="42" t="s">
        <v>10478</v>
      </c>
      <c r="G1164" s="42">
        <v>61</v>
      </c>
      <c r="H1164" s="42" t="s">
        <v>10064</v>
      </c>
      <c r="I1164" s="42" t="s">
        <v>10056</v>
      </c>
      <c r="J1164" s="42" t="s">
        <v>10115</v>
      </c>
      <c r="K1164" s="42" t="s">
        <v>10116</v>
      </c>
      <c r="L1164" s="42" t="s">
        <v>10066</v>
      </c>
      <c r="M1164" s="42">
        <v>2</v>
      </c>
      <c r="N1164" s="308"/>
      <c r="O1164" s="1487"/>
      <c r="P1164" s="1489"/>
      <c r="Q1164" s="1491"/>
    </row>
    <row r="1165" spans="1:17" ht="11.1" customHeight="1">
      <c r="A1165" s="250" t="s">
        <v>10479</v>
      </c>
      <c r="B1165" s="187"/>
      <c r="C1165" s="42">
        <v>1</v>
      </c>
      <c r="D1165" s="42" t="s">
        <v>10436</v>
      </c>
      <c r="E1165" s="188">
        <v>65.27</v>
      </c>
      <c r="F1165" s="42" t="s">
        <v>10480</v>
      </c>
      <c r="G1165" s="42">
        <v>40</v>
      </c>
      <c r="H1165" s="42" t="s">
        <v>10064</v>
      </c>
      <c r="I1165" s="42" t="s">
        <v>10056</v>
      </c>
      <c r="J1165" s="42" t="s">
        <v>10115</v>
      </c>
      <c r="K1165" s="42" t="s">
        <v>10119</v>
      </c>
      <c r="L1165" s="42" t="s">
        <v>10066</v>
      </c>
      <c r="M1165" s="42">
        <v>1</v>
      </c>
      <c r="N1165" s="308"/>
      <c r="O1165" s="1487"/>
      <c r="P1165" s="1489"/>
      <c r="Q1165" s="1491"/>
    </row>
    <row r="1166" spans="1:17" ht="11.1" customHeight="1">
      <c r="A1166" s="250" t="s">
        <v>10481</v>
      </c>
      <c r="B1166" s="187"/>
      <c r="C1166" s="42">
        <v>1</v>
      </c>
      <c r="D1166" s="42" t="s">
        <v>10403</v>
      </c>
      <c r="E1166" s="188">
        <v>62.8</v>
      </c>
      <c r="F1166" s="42" t="s">
        <v>10482</v>
      </c>
      <c r="G1166" s="42">
        <v>39</v>
      </c>
      <c r="H1166" s="42" t="s">
        <v>10064</v>
      </c>
      <c r="I1166" s="42" t="s">
        <v>10056</v>
      </c>
      <c r="J1166" s="42" t="s">
        <v>10115</v>
      </c>
      <c r="K1166" s="42" t="s">
        <v>10116</v>
      </c>
      <c r="L1166" s="42" t="s">
        <v>10059</v>
      </c>
      <c r="M1166" s="42"/>
      <c r="N1166" s="308"/>
      <c r="O1166" s="1487"/>
      <c r="P1166" s="1489"/>
      <c r="Q1166" s="1491"/>
    </row>
    <row r="1167" spans="1:17" ht="11.1" customHeight="1">
      <c r="A1167" s="250" t="s">
        <v>10483</v>
      </c>
      <c r="B1167" s="187"/>
      <c r="C1167" s="42">
        <v>1</v>
      </c>
      <c r="D1167" s="42" t="s">
        <v>10370</v>
      </c>
      <c r="E1167" s="188">
        <v>60.21</v>
      </c>
      <c r="F1167" s="42" t="s">
        <v>10484</v>
      </c>
      <c r="G1167" s="42">
        <v>35</v>
      </c>
      <c r="H1167" s="42" t="s">
        <v>10064</v>
      </c>
      <c r="I1167" s="42" t="s">
        <v>10056</v>
      </c>
      <c r="J1167" s="42" t="s">
        <v>10115</v>
      </c>
      <c r="K1167" s="42" t="s">
        <v>10116</v>
      </c>
      <c r="L1167" s="42" t="s">
        <v>10059</v>
      </c>
      <c r="M1167" s="42"/>
      <c r="N1167" s="308"/>
      <c r="O1167" s="1487"/>
      <c r="P1167" s="1489"/>
      <c r="Q1167" s="1491"/>
    </row>
    <row r="1168" spans="1:17" ht="11.1" customHeight="1">
      <c r="A1168" s="250" t="s">
        <v>10485</v>
      </c>
      <c r="B1168" s="187"/>
      <c r="C1168" s="42">
        <v>1</v>
      </c>
      <c r="D1168" s="42" t="s">
        <v>10397</v>
      </c>
      <c r="E1168" s="188">
        <v>57.36</v>
      </c>
      <c r="F1168" s="42" t="s">
        <v>10486</v>
      </c>
      <c r="G1168" s="42">
        <v>40</v>
      </c>
      <c r="H1168" s="42" t="s">
        <v>10064</v>
      </c>
      <c r="I1168" s="42" t="s">
        <v>10056</v>
      </c>
      <c r="J1168" s="42" t="s">
        <v>10115</v>
      </c>
      <c r="K1168" s="42" t="s">
        <v>10116</v>
      </c>
      <c r="L1168" s="42" t="s">
        <v>10059</v>
      </c>
      <c r="M1168" s="42"/>
      <c r="N1168" s="308"/>
      <c r="O1168" s="1487"/>
      <c r="P1168" s="1489"/>
      <c r="Q1168" s="1491"/>
    </row>
    <row r="1169" spans="1:17" ht="11.1" customHeight="1">
      <c r="A1169" s="250" t="s">
        <v>10487</v>
      </c>
      <c r="B1169" s="187"/>
      <c r="C1169" s="42">
        <v>1</v>
      </c>
      <c r="D1169" s="42" t="s">
        <v>10382</v>
      </c>
      <c r="E1169" s="188">
        <v>54.38</v>
      </c>
      <c r="F1169" s="42" t="s">
        <v>10488</v>
      </c>
      <c r="G1169" s="42">
        <v>40</v>
      </c>
      <c r="H1169" s="42" t="s">
        <v>10064</v>
      </c>
      <c r="I1169" s="42" t="s">
        <v>10056</v>
      </c>
      <c r="J1169" s="42" t="s">
        <v>10115</v>
      </c>
      <c r="K1169" s="42" t="s">
        <v>10116</v>
      </c>
      <c r="L1169" s="42" t="s">
        <v>10059</v>
      </c>
      <c r="M1169" s="42"/>
      <c r="N1169" s="308"/>
      <c r="O1169" s="1487"/>
      <c r="P1169" s="1489"/>
      <c r="Q1169" s="1491"/>
    </row>
    <row r="1170" spans="1:17" ht="11.1" customHeight="1">
      <c r="A1170" s="250" t="s">
        <v>10489</v>
      </c>
      <c r="B1170" s="187"/>
      <c r="C1170" s="42">
        <v>1</v>
      </c>
      <c r="D1170" s="42" t="s">
        <v>10379</v>
      </c>
      <c r="E1170" s="188">
        <v>49.05</v>
      </c>
      <c r="F1170" s="42" t="s">
        <v>10490</v>
      </c>
      <c r="G1170" s="42">
        <v>46</v>
      </c>
      <c r="H1170" s="42" t="s">
        <v>10064</v>
      </c>
      <c r="I1170" s="42" t="s">
        <v>10056</v>
      </c>
      <c r="J1170" s="42" t="s">
        <v>10115</v>
      </c>
      <c r="K1170" s="42" t="s">
        <v>10116</v>
      </c>
      <c r="L1170" s="42" t="s">
        <v>10059</v>
      </c>
      <c r="M1170" s="42"/>
      <c r="N1170" s="308"/>
      <c r="O1170" s="1487"/>
      <c r="P1170" s="1489"/>
      <c r="Q1170" s="1491"/>
    </row>
    <row r="1171" spans="1:17" ht="11.1" customHeight="1">
      <c r="A1171" s="250" t="s">
        <v>10491</v>
      </c>
      <c r="B1171" s="187"/>
      <c r="C1171" s="42">
        <v>1</v>
      </c>
      <c r="D1171" s="42" t="s">
        <v>10406</v>
      </c>
      <c r="E1171" s="188">
        <v>47.56</v>
      </c>
      <c r="F1171" s="42" t="s">
        <v>10492</v>
      </c>
      <c r="G1171" s="42">
        <v>52</v>
      </c>
      <c r="H1171" s="42" t="s">
        <v>10064</v>
      </c>
      <c r="I1171" s="42" t="s">
        <v>10056</v>
      </c>
      <c r="J1171" s="42" t="s">
        <v>10115</v>
      </c>
      <c r="K1171" s="42" t="s">
        <v>10119</v>
      </c>
      <c r="L1171" s="42" t="s">
        <v>10059</v>
      </c>
      <c r="M1171" s="42"/>
      <c r="N1171" s="308"/>
      <c r="O1171" s="1487"/>
      <c r="P1171" s="1489"/>
      <c r="Q1171" s="1491"/>
    </row>
    <row r="1172" spans="1:17" ht="11.1" customHeight="1">
      <c r="A1172" s="250" t="s">
        <v>10493</v>
      </c>
      <c r="B1172" s="187"/>
      <c r="C1172" s="42">
        <v>1</v>
      </c>
      <c r="D1172" s="42" t="s">
        <v>10373</v>
      </c>
      <c r="E1172" s="188">
        <v>47.05</v>
      </c>
      <c r="F1172" s="42" t="s">
        <v>10494</v>
      </c>
      <c r="G1172" s="42">
        <v>27</v>
      </c>
      <c r="H1172" s="42" t="s">
        <v>10064</v>
      </c>
      <c r="I1172" s="42" t="s">
        <v>10056</v>
      </c>
      <c r="J1172" s="42" t="s">
        <v>10115</v>
      </c>
      <c r="K1172" s="212" t="s">
        <v>10116</v>
      </c>
      <c r="L1172" s="42" t="s">
        <v>10059</v>
      </c>
      <c r="M1172" s="42"/>
      <c r="N1172" s="308"/>
      <c r="O1172" s="1487"/>
      <c r="P1172" s="1489"/>
      <c r="Q1172" s="1491"/>
    </row>
    <row r="1173" spans="1:17" ht="11.1" customHeight="1">
      <c r="A1173" s="250" t="s">
        <v>10495</v>
      </c>
      <c r="B1173" s="187"/>
      <c r="C1173" s="42">
        <v>1</v>
      </c>
      <c r="D1173" s="42" t="s">
        <v>10394</v>
      </c>
      <c r="E1173" s="188">
        <v>45.07</v>
      </c>
      <c r="F1173" s="42" t="s">
        <v>10496</v>
      </c>
      <c r="G1173" s="42">
        <v>38</v>
      </c>
      <c r="H1173" s="42" t="s">
        <v>10064</v>
      </c>
      <c r="I1173" s="42" t="s">
        <v>10056</v>
      </c>
      <c r="J1173" s="42" t="s">
        <v>10115</v>
      </c>
      <c r="K1173" s="212" t="s">
        <v>10116</v>
      </c>
      <c r="L1173" s="42" t="s">
        <v>10059</v>
      </c>
      <c r="M1173" s="42"/>
      <c r="N1173" s="308"/>
      <c r="O1173" s="1487"/>
      <c r="P1173" s="1489"/>
      <c r="Q1173" s="1491"/>
    </row>
    <row r="1174" spans="1:17" ht="11.1" customHeight="1">
      <c r="A1174" s="250" t="s">
        <v>10497</v>
      </c>
      <c r="B1174" s="187"/>
      <c r="C1174" s="42">
        <v>1</v>
      </c>
      <c r="D1174" s="42" t="s">
        <v>10388</v>
      </c>
      <c r="E1174" s="188">
        <v>42.25</v>
      </c>
      <c r="F1174" s="42" t="s">
        <v>10498</v>
      </c>
      <c r="G1174" s="42">
        <v>42</v>
      </c>
      <c r="H1174" s="42" t="s">
        <v>10064</v>
      </c>
      <c r="I1174" s="42" t="s">
        <v>10056</v>
      </c>
      <c r="J1174" s="42" t="s">
        <v>10115</v>
      </c>
      <c r="K1174" s="212" t="s">
        <v>10116</v>
      </c>
      <c r="L1174" s="42" t="s">
        <v>10059</v>
      </c>
      <c r="M1174" s="42"/>
      <c r="N1174" s="308"/>
      <c r="O1174" s="1487"/>
      <c r="P1174" s="1489"/>
      <c r="Q1174" s="1491"/>
    </row>
    <row r="1175" spans="1:17" ht="11.1" customHeight="1">
      <c r="A1175" s="250" t="s">
        <v>10499</v>
      </c>
      <c r="B1175" s="187"/>
      <c r="C1175" s="42">
        <v>1</v>
      </c>
      <c r="D1175" s="42" t="s">
        <v>10352</v>
      </c>
      <c r="E1175" s="188">
        <v>37.340000000000003</v>
      </c>
      <c r="F1175" s="42" t="s">
        <v>10500</v>
      </c>
      <c r="G1175" s="42">
        <v>61</v>
      </c>
      <c r="H1175" s="42" t="s">
        <v>10054</v>
      </c>
      <c r="I1175" s="42" t="s">
        <v>10056</v>
      </c>
      <c r="J1175" s="42" t="s">
        <v>10115</v>
      </c>
      <c r="K1175" s="42" t="s">
        <v>10116</v>
      </c>
      <c r="L1175" s="42" t="s">
        <v>10059</v>
      </c>
      <c r="M1175" s="42"/>
      <c r="N1175" s="308"/>
      <c r="O1175" s="1487"/>
      <c r="P1175" s="1489"/>
      <c r="Q1175" s="1491"/>
    </row>
    <row r="1176" spans="1:17" ht="11.1" customHeight="1">
      <c r="A1176" s="250" t="s">
        <v>10501</v>
      </c>
      <c r="B1176" s="187"/>
      <c r="C1176" s="42">
        <v>1</v>
      </c>
      <c r="D1176" s="42" t="s">
        <v>10433</v>
      </c>
      <c r="E1176" s="188">
        <v>36.880000000000003</v>
      </c>
      <c r="F1176" s="42" t="s">
        <v>10502</v>
      </c>
      <c r="G1176" s="42">
        <v>34</v>
      </c>
      <c r="H1176" s="42" t="s">
        <v>10064</v>
      </c>
      <c r="I1176" s="42" t="s">
        <v>10056</v>
      </c>
      <c r="J1176" s="42" t="s">
        <v>10115</v>
      </c>
      <c r="K1176" s="42" t="s">
        <v>10116</v>
      </c>
      <c r="L1176" s="42" t="s">
        <v>10059</v>
      </c>
      <c r="M1176" s="42"/>
      <c r="N1176" s="308"/>
      <c r="O1176" s="1487"/>
      <c r="P1176" s="1489"/>
      <c r="Q1176" s="1491"/>
    </row>
    <row r="1177" spans="1:17" ht="11.1" customHeight="1">
      <c r="A1177" s="250" t="s">
        <v>10503</v>
      </c>
      <c r="B1177" s="187"/>
      <c r="C1177" s="42">
        <v>1</v>
      </c>
      <c r="D1177" s="42" t="s">
        <v>10409</v>
      </c>
      <c r="E1177" s="188">
        <v>36.19</v>
      </c>
      <c r="F1177" s="42" t="s">
        <v>10504</v>
      </c>
      <c r="G1177" s="42">
        <v>36</v>
      </c>
      <c r="H1177" s="42" t="s">
        <v>10064</v>
      </c>
      <c r="I1177" s="42" t="s">
        <v>10056</v>
      </c>
      <c r="J1177" s="42" t="s">
        <v>10115</v>
      </c>
      <c r="K1177" s="42" t="s">
        <v>10119</v>
      </c>
      <c r="L1177" s="42" t="s">
        <v>10059</v>
      </c>
      <c r="M1177" s="42"/>
      <c r="N1177" s="308"/>
      <c r="O1177" s="1487"/>
      <c r="P1177" s="1489"/>
      <c r="Q1177" s="1491"/>
    </row>
    <row r="1178" spans="1:17" ht="11.1" customHeight="1">
      <c r="A1178" s="250" t="s">
        <v>10505</v>
      </c>
      <c r="B1178" s="194" t="s">
        <v>10098</v>
      </c>
      <c r="C1178" s="36">
        <v>1</v>
      </c>
      <c r="D1178" s="36" t="s">
        <v>10349</v>
      </c>
      <c r="E1178" s="317" t="s">
        <v>10100</v>
      </c>
      <c r="F1178" s="36" t="s">
        <v>10506</v>
      </c>
      <c r="G1178" s="36">
        <v>57</v>
      </c>
      <c r="H1178" s="36" t="s">
        <v>10064</v>
      </c>
      <c r="I1178" s="36" t="s">
        <v>10056</v>
      </c>
      <c r="J1178" s="36" t="s">
        <v>10115</v>
      </c>
      <c r="K1178" s="36" t="s">
        <v>10127</v>
      </c>
      <c r="L1178" s="36" t="s">
        <v>10066</v>
      </c>
      <c r="M1178" s="36">
        <v>5</v>
      </c>
      <c r="N1178" s="316"/>
      <c r="O1178" s="1487"/>
      <c r="P1178" s="1489"/>
      <c r="Q1178" s="1491"/>
    </row>
    <row r="1179" spans="1:17" ht="11.1" customHeight="1">
      <c r="A1179" s="250" t="s">
        <v>10507</v>
      </c>
      <c r="B1179" s="194" t="s">
        <v>10098</v>
      </c>
      <c r="C1179" s="36">
        <v>1</v>
      </c>
      <c r="D1179" s="36" t="s">
        <v>10346</v>
      </c>
      <c r="E1179" s="317" t="s">
        <v>10138</v>
      </c>
      <c r="F1179" s="36" t="s">
        <v>10508</v>
      </c>
      <c r="G1179" s="36">
        <v>44</v>
      </c>
      <c r="H1179" s="36" t="s">
        <v>10064</v>
      </c>
      <c r="I1179" s="36" t="s">
        <v>10056</v>
      </c>
      <c r="J1179" s="36" t="s">
        <v>10115</v>
      </c>
      <c r="K1179" s="36" t="s">
        <v>10476</v>
      </c>
      <c r="L1179" s="36" t="s">
        <v>10066</v>
      </c>
      <c r="M1179" s="36">
        <v>2</v>
      </c>
      <c r="N1179" s="316"/>
      <c r="O1179" s="1487"/>
      <c r="P1179" s="1489"/>
      <c r="Q1179" s="1491"/>
    </row>
    <row r="1180" spans="1:17" ht="11.1" customHeight="1">
      <c r="A1180" s="250" t="s">
        <v>10509</v>
      </c>
      <c r="B1180" s="194" t="s">
        <v>10098</v>
      </c>
      <c r="C1180" s="36">
        <v>1</v>
      </c>
      <c r="D1180" s="36" t="s">
        <v>10355</v>
      </c>
      <c r="E1180" s="317" t="s">
        <v>10138</v>
      </c>
      <c r="F1180" s="36" t="s">
        <v>10510</v>
      </c>
      <c r="G1180" s="36">
        <v>41</v>
      </c>
      <c r="H1180" s="36" t="s">
        <v>10064</v>
      </c>
      <c r="I1180" s="36" t="s">
        <v>10056</v>
      </c>
      <c r="J1180" s="36" t="s">
        <v>10115</v>
      </c>
      <c r="K1180" s="36" t="s">
        <v>10119</v>
      </c>
      <c r="L1180" s="36" t="s">
        <v>10066</v>
      </c>
      <c r="M1180" s="36">
        <v>4</v>
      </c>
      <c r="N1180" s="316"/>
      <c r="O1180" s="1487"/>
      <c r="P1180" s="1489"/>
      <c r="Q1180" s="1491"/>
    </row>
    <row r="1181" spans="1:17" ht="11.1" customHeight="1">
      <c r="A1181" s="945" t="s">
        <v>10511</v>
      </c>
      <c r="B1181" s="318" t="s">
        <v>10098</v>
      </c>
      <c r="C1181" s="141">
        <v>1</v>
      </c>
      <c r="D1181" s="141" t="s">
        <v>10343</v>
      </c>
      <c r="E1181" s="319" t="s">
        <v>10138</v>
      </c>
      <c r="F1181" s="141" t="s">
        <v>10512</v>
      </c>
      <c r="G1181" s="141">
        <v>48</v>
      </c>
      <c r="H1181" s="141" t="s">
        <v>10064</v>
      </c>
      <c r="I1181" s="141" t="s">
        <v>10056</v>
      </c>
      <c r="J1181" s="141" t="s">
        <v>10115</v>
      </c>
      <c r="K1181" s="141" t="s">
        <v>10116</v>
      </c>
      <c r="L1181" s="141" t="s">
        <v>10066</v>
      </c>
      <c r="M1181" s="141">
        <v>2</v>
      </c>
      <c r="N1181" s="320"/>
      <c r="O1181" s="1480"/>
      <c r="P1181" s="1481"/>
      <c r="Q1181" s="1482"/>
    </row>
    <row r="1182" spans="1:17" ht="11.1" customHeight="1">
      <c r="A1182" s="946" t="s">
        <v>10513</v>
      </c>
      <c r="B1182" s="197" t="s">
        <v>10051</v>
      </c>
      <c r="C1182" s="198">
        <v>1</v>
      </c>
      <c r="D1182" s="198" t="s">
        <v>10061</v>
      </c>
      <c r="E1182" s="321" t="s">
        <v>10129</v>
      </c>
      <c r="F1182" s="198" t="s">
        <v>10514</v>
      </c>
      <c r="G1182" s="198">
        <v>47</v>
      </c>
      <c r="H1182" s="198" t="s">
        <v>10064</v>
      </c>
      <c r="I1182" s="198"/>
      <c r="J1182" s="198" t="s">
        <v>10153</v>
      </c>
      <c r="K1182" s="198"/>
      <c r="L1182" s="198" t="s">
        <v>10066</v>
      </c>
      <c r="M1182" s="198">
        <v>4</v>
      </c>
      <c r="N1182" s="322"/>
      <c r="O1182" s="1486">
        <v>2</v>
      </c>
      <c r="P1182" s="1488">
        <v>937345</v>
      </c>
      <c r="Q1182" s="1490">
        <f>P1182*100/SUM(P1111:P1194)</f>
        <v>13.040902615860276</v>
      </c>
    </row>
    <row r="1183" spans="1:17" ht="11.1" customHeight="1">
      <c r="A1183" s="250" t="s">
        <v>10515</v>
      </c>
      <c r="B1183" s="231" t="s">
        <v>10051</v>
      </c>
      <c r="C1183" s="232">
        <v>2</v>
      </c>
      <c r="D1183" s="232" t="s">
        <v>10061</v>
      </c>
      <c r="E1183" s="348" t="s">
        <v>10129</v>
      </c>
      <c r="F1183" s="232" t="s">
        <v>10516</v>
      </c>
      <c r="G1183" s="232">
        <v>58</v>
      </c>
      <c r="H1183" s="232" t="s">
        <v>10064</v>
      </c>
      <c r="I1183" s="232"/>
      <c r="J1183" s="232" t="s">
        <v>10153</v>
      </c>
      <c r="K1183" s="232"/>
      <c r="L1183" s="232" t="s">
        <v>10066</v>
      </c>
      <c r="M1183" s="232">
        <v>4</v>
      </c>
      <c r="N1183" s="349"/>
      <c r="O1183" s="1487"/>
      <c r="P1183" s="1489"/>
      <c r="Q1183" s="1491"/>
    </row>
    <row r="1184" spans="1:17" ht="11.1" customHeight="1">
      <c r="A1184" s="250" t="s">
        <v>10517</v>
      </c>
      <c r="B1184" s="187"/>
      <c r="C1184" s="42">
        <v>3</v>
      </c>
      <c r="D1184" s="42" t="s">
        <v>10061</v>
      </c>
      <c r="E1184" s="309" t="s">
        <v>10129</v>
      </c>
      <c r="F1184" s="42" t="s">
        <v>10518</v>
      </c>
      <c r="G1184" s="42">
        <v>47</v>
      </c>
      <c r="H1184" s="42" t="s">
        <v>10064</v>
      </c>
      <c r="I1184" s="42"/>
      <c r="J1184" s="42" t="s">
        <v>10153</v>
      </c>
      <c r="K1184" s="42"/>
      <c r="L1184" s="42" t="s">
        <v>10066</v>
      </c>
      <c r="M1184" s="42">
        <v>1</v>
      </c>
      <c r="N1184" s="310"/>
      <c r="O1184" s="1487"/>
      <c r="P1184" s="1489"/>
      <c r="Q1184" s="1491"/>
    </row>
    <row r="1185" spans="1:17" ht="11.1" customHeight="1">
      <c r="A1185" s="945" t="s">
        <v>10519</v>
      </c>
      <c r="B1185" s="190"/>
      <c r="C1185" s="49">
        <v>4</v>
      </c>
      <c r="D1185" s="49" t="s">
        <v>10061</v>
      </c>
      <c r="E1185" s="323" t="s">
        <v>10129</v>
      </c>
      <c r="F1185" s="49" t="s">
        <v>10520</v>
      </c>
      <c r="G1185" s="49">
        <v>38</v>
      </c>
      <c r="H1185" s="49" t="s">
        <v>10064</v>
      </c>
      <c r="I1185" s="49"/>
      <c r="J1185" s="49" t="s">
        <v>10153</v>
      </c>
      <c r="K1185" s="49"/>
      <c r="L1185" s="49" t="s">
        <v>10059</v>
      </c>
      <c r="M1185" s="49"/>
      <c r="N1185" s="324"/>
      <c r="O1185" s="1480"/>
      <c r="P1185" s="1481"/>
      <c r="Q1185" s="1482"/>
    </row>
    <row r="1186" spans="1:17" ht="11.1" customHeight="1">
      <c r="A1186" s="946" t="s">
        <v>10521</v>
      </c>
      <c r="B1186" s="224" t="s">
        <v>10051</v>
      </c>
      <c r="C1186" s="225">
        <v>1</v>
      </c>
      <c r="D1186" s="225" t="s">
        <v>10424</v>
      </c>
      <c r="E1186" s="226">
        <v>24.11</v>
      </c>
      <c r="F1186" s="225" t="s">
        <v>10522</v>
      </c>
      <c r="G1186" s="225">
        <v>43</v>
      </c>
      <c r="H1186" s="225" t="s">
        <v>10064</v>
      </c>
      <c r="I1186" s="225" t="s">
        <v>10056</v>
      </c>
      <c r="J1186" s="225" t="s">
        <v>10158</v>
      </c>
      <c r="K1186" s="225"/>
      <c r="L1186" s="225" t="s">
        <v>10066</v>
      </c>
      <c r="M1186" s="225">
        <v>2</v>
      </c>
      <c r="N1186" s="350"/>
      <c r="O1186" s="1486">
        <v>1</v>
      </c>
      <c r="P1186" s="1488">
        <v>477958</v>
      </c>
      <c r="Q1186" s="1490">
        <f>P1186*100/SUM(P1111:P1194)</f>
        <v>6.6496367212406806</v>
      </c>
    </row>
    <row r="1187" spans="1:17" ht="11.1" customHeight="1">
      <c r="A1187" s="250" t="s">
        <v>10523</v>
      </c>
      <c r="B1187" s="187"/>
      <c r="C1187" s="42">
        <v>2</v>
      </c>
      <c r="D1187" s="42" t="s">
        <v>10061</v>
      </c>
      <c r="E1187" s="309" t="s">
        <v>10129</v>
      </c>
      <c r="F1187" s="42" t="s">
        <v>10524</v>
      </c>
      <c r="G1187" s="42">
        <v>55</v>
      </c>
      <c r="H1187" s="42" t="s">
        <v>10064</v>
      </c>
      <c r="I1187" s="42"/>
      <c r="J1187" s="42" t="s">
        <v>10158</v>
      </c>
      <c r="K1187" s="42"/>
      <c r="L1187" s="42" t="s">
        <v>10059</v>
      </c>
      <c r="M1187" s="42"/>
      <c r="N1187" s="310"/>
      <c r="O1187" s="1487"/>
      <c r="P1187" s="1489"/>
      <c r="Q1187" s="1491"/>
    </row>
    <row r="1188" spans="1:17" ht="11.1" customHeight="1">
      <c r="A1188" s="250" t="s">
        <v>10525</v>
      </c>
      <c r="B1188" s="187" t="s">
        <v>10313</v>
      </c>
      <c r="C1188" s="42">
        <v>3</v>
      </c>
      <c r="D1188" s="42" t="s">
        <v>10343</v>
      </c>
      <c r="E1188" s="188">
        <v>20.309999999999999</v>
      </c>
      <c r="F1188" s="42" t="s">
        <v>10526</v>
      </c>
      <c r="G1188" s="42">
        <v>46</v>
      </c>
      <c r="H1188" s="42" t="s">
        <v>10054</v>
      </c>
      <c r="I1188" s="42" t="s">
        <v>10056</v>
      </c>
      <c r="J1188" s="42" t="s">
        <v>10158</v>
      </c>
      <c r="K1188" s="42"/>
      <c r="L1188" s="42" t="s">
        <v>10059</v>
      </c>
      <c r="M1188" s="42"/>
      <c r="N1188" s="308"/>
      <c r="O1188" s="1487"/>
      <c r="P1188" s="1489"/>
      <c r="Q1188" s="1491"/>
    </row>
    <row r="1189" spans="1:17" ht="11.1" customHeight="1">
      <c r="A1189" s="945" t="s">
        <v>10527</v>
      </c>
      <c r="B1189" s="190" t="s">
        <v>10313</v>
      </c>
      <c r="C1189" s="49">
        <v>4</v>
      </c>
      <c r="D1189" s="49" t="s">
        <v>10370</v>
      </c>
      <c r="E1189" s="201">
        <v>11.4</v>
      </c>
      <c r="F1189" s="49" t="s">
        <v>10528</v>
      </c>
      <c r="G1189" s="49">
        <v>54</v>
      </c>
      <c r="H1189" s="49" t="s">
        <v>10064</v>
      </c>
      <c r="I1189" s="49" t="s">
        <v>10056</v>
      </c>
      <c r="J1189" s="49" t="s">
        <v>10158</v>
      </c>
      <c r="K1189" s="49"/>
      <c r="L1189" s="49" t="s">
        <v>10059</v>
      </c>
      <c r="M1189" s="49"/>
      <c r="N1189" s="344"/>
      <c r="O1189" s="1480"/>
      <c r="P1189" s="1481"/>
      <c r="Q1189" s="1482"/>
    </row>
    <row r="1190" spans="1:17" ht="11.1" customHeight="1">
      <c r="A1190" s="946" t="s">
        <v>10529</v>
      </c>
      <c r="B1190" s="228" t="s">
        <v>10051</v>
      </c>
      <c r="C1190" s="122">
        <v>4</v>
      </c>
      <c r="D1190" s="122" t="s">
        <v>10061</v>
      </c>
      <c r="E1190" s="351" t="s">
        <v>10062</v>
      </c>
      <c r="F1190" s="122" t="s">
        <v>10530</v>
      </c>
      <c r="G1190" s="122">
        <v>56</v>
      </c>
      <c r="H1190" s="122" t="s">
        <v>10064</v>
      </c>
      <c r="I1190" s="122"/>
      <c r="J1190" s="122" t="s">
        <v>10163</v>
      </c>
      <c r="K1190" s="122"/>
      <c r="L1190" s="122" t="s">
        <v>10070</v>
      </c>
      <c r="M1190" s="122">
        <v>1</v>
      </c>
      <c r="N1190" s="352"/>
      <c r="O1190" s="1486">
        <v>1</v>
      </c>
      <c r="P1190" s="1488">
        <v>323979</v>
      </c>
      <c r="Q1190" s="1490">
        <f>P1190*100/SUM(P1111:P1194)</f>
        <v>4.5073890494788964</v>
      </c>
    </row>
    <row r="1191" spans="1:17" ht="11.1" customHeight="1">
      <c r="A1191" s="250" t="s">
        <v>10531</v>
      </c>
      <c r="B1191" s="187" t="s">
        <v>10532</v>
      </c>
      <c r="C1191" s="42">
        <v>1</v>
      </c>
      <c r="D1191" s="42" t="s">
        <v>10397</v>
      </c>
      <c r="E1191" s="353">
        <v>8.1999999999999993</v>
      </c>
      <c r="F1191" s="42" t="s">
        <v>10533</v>
      </c>
      <c r="G1191" s="42">
        <v>68</v>
      </c>
      <c r="H1191" s="42" t="s">
        <v>10064</v>
      </c>
      <c r="I1191" s="42" t="s">
        <v>10056</v>
      </c>
      <c r="J1191" s="42" t="s">
        <v>10163</v>
      </c>
      <c r="K1191" s="42"/>
      <c r="L1191" s="42" t="s">
        <v>10059</v>
      </c>
      <c r="M1191" s="42"/>
      <c r="N1191" s="308"/>
      <c r="O1191" s="1487"/>
      <c r="P1191" s="1489"/>
      <c r="Q1191" s="1491"/>
    </row>
    <row r="1192" spans="1:17" ht="11.1" customHeight="1">
      <c r="A1192" s="250" t="s">
        <v>10534</v>
      </c>
      <c r="B1192" s="187" t="s">
        <v>10313</v>
      </c>
      <c r="C1192" s="42">
        <v>1</v>
      </c>
      <c r="D1192" s="42" t="s">
        <v>10388</v>
      </c>
      <c r="E1192" s="353">
        <v>6.42</v>
      </c>
      <c r="F1192" s="42" t="s">
        <v>10535</v>
      </c>
      <c r="G1192" s="42">
        <v>58</v>
      </c>
      <c r="H1192" s="42" t="s">
        <v>10054</v>
      </c>
      <c r="I1192" s="42" t="s">
        <v>10056</v>
      </c>
      <c r="J1192" s="42" t="s">
        <v>10163</v>
      </c>
      <c r="K1192" s="42"/>
      <c r="L1192" s="42" t="s">
        <v>10059</v>
      </c>
      <c r="M1192" s="42"/>
      <c r="N1192" s="308"/>
      <c r="O1192" s="1487"/>
      <c r="P1192" s="1489"/>
      <c r="Q1192" s="1491"/>
    </row>
    <row r="1193" spans="1:17" ht="11.1" customHeight="1">
      <c r="A1193" s="945" t="s">
        <v>10536</v>
      </c>
      <c r="B1193" s="190" t="s">
        <v>10313</v>
      </c>
      <c r="C1193" s="49">
        <v>1</v>
      </c>
      <c r="D1193" s="49" t="s">
        <v>10376</v>
      </c>
      <c r="E1193" s="354">
        <v>4.6900000000000004</v>
      </c>
      <c r="F1193" s="49" t="s">
        <v>10537</v>
      </c>
      <c r="G1193" s="49">
        <v>27</v>
      </c>
      <c r="H1193" s="49" t="s">
        <v>10054</v>
      </c>
      <c r="I1193" s="49" t="s">
        <v>10056</v>
      </c>
      <c r="J1193" s="49" t="s">
        <v>10163</v>
      </c>
      <c r="K1193" s="49"/>
      <c r="L1193" s="49" t="s">
        <v>10059</v>
      </c>
      <c r="M1193" s="49"/>
      <c r="N1193" s="344"/>
      <c r="O1193" s="1480"/>
      <c r="P1193" s="1481"/>
      <c r="Q1193" s="1482"/>
    </row>
    <row r="1194" spans="1:17" ht="11.1" customHeight="1" thickBot="1">
      <c r="A1194" s="949" t="s">
        <v>10538</v>
      </c>
      <c r="B1194" s="355"/>
      <c r="C1194" s="356">
        <v>1</v>
      </c>
      <c r="D1194" s="356" t="s">
        <v>10061</v>
      </c>
      <c r="E1194" s="357" t="s">
        <v>10062</v>
      </c>
      <c r="F1194" s="356" t="s">
        <v>10539</v>
      </c>
      <c r="G1194" s="356">
        <v>53</v>
      </c>
      <c r="H1194" s="356" t="s">
        <v>10064</v>
      </c>
      <c r="I1194" s="356"/>
      <c r="J1194" s="356" t="s">
        <v>10540</v>
      </c>
      <c r="K1194" s="356"/>
      <c r="L1194" s="356" t="s">
        <v>10059</v>
      </c>
      <c r="M1194" s="356"/>
      <c r="N1194" s="358"/>
      <c r="O1194" s="359">
        <v>0</v>
      </c>
      <c r="P1194" s="360">
        <v>294952</v>
      </c>
      <c r="Q1194" s="361">
        <f>P1194*100/SUM(P1111:P1194)</f>
        <v>4.1035481155318694</v>
      </c>
    </row>
    <row r="1195" spans="1:17" ht="11.1" customHeight="1">
      <c r="A1195" s="249" t="s">
        <v>10541</v>
      </c>
      <c r="B1195" s="336" t="s">
        <v>10051</v>
      </c>
      <c r="C1195" s="337">
        <v>2</v>
      </c>
      <c r="D1195" s="337" t="s">
        <v>10061</v>
      </c>
      <c r="E1195" s="338" t="s">
        <v>10062</v>
      </c>
      <c r="F1195" s="337" t="s">
        <v>10542</v>
      </c>
      <c r="G1195" s="337">
        <v>47</v>
      </c>
      <c r="H1195" s="337" t="s">
        <v>10064</v>
      </c>
      <c r="I1195" s="337"/>
      <c r="J1195" s="337" t="s">
        <v>10057</v>
      </c>
      <c r="K1195" s="337" t="s">
        <v>10178</v>
      </c>
      <c r="L1195" s="337" t="s">
        <v>10066</v>
      </c>
      <c r="M1195" s="337">
        <v>2</v>
      </c>
      <c r="N1195" s="339"/>
      <c r="O1195" s="1483">
        <v>10</v>
      </c>
      <c r="P1195" s="1484">
        <v>3510617</v>
      </c>
      <c r="Q1195" s="1485">
        <f>P1195*100/SUM(P1195:P1283)</f>
        <v>42.402755622239248</v>
      </c>
    </row>
    <row r="1196" spans="1:17" ht="11.1" customHeight="1">
      <c r="A1196" s="250" t="s">
        <v>10543</v>
      </c>
      <c r="B1196" s="302" t="s">
        <v>10051</v>
      </c>
      <c r="C1196" s="303">
        <v>3</v>
      </c>
      <c r="D1196" s="303" t="s">
        <v>10544</v>
      </c>
      <c r="E1196" s="306">
        <v>80.61</v>
      </c>
      <c r="F1196" s="303" t="s">
        <v>10545</v>
      </c>
      <c r="G1196" s="303">
        <v>52</v>
      </c>
      <c r="H1196" s="303" t="s">
        <v>10064</v>
      </c>
      <c r="I1196" s="303" t="s">
        <v>10056</v>
      </c>
      <c r="J1196" s="303" t="s">
        <v>10057</v>
      </c>
      <c r="K1196" s="303" t="s">
        <v>10058</v>
      </c>
      <c r="L1196" s="303" t="s">
        <v>10059</v>
      </c>
      <c r="M1196" s="303"/>
      <c r="N1196" s="307"/>
      <c r="O1196" s="1474"/>
      <c r="P1196" s="1475"/>
      <c r="Q1196" s="1476"/>
    </row>
    <row r="1197" spans="1:17" ht="11.1" customHeight="1">
      <c r="A1197" s="250" t="s">
        <v>10546</v>
      </c>
      <c r="B1197" s="302" t="s">
        <v>10051</v>
      </c>
      <c r="C1197" s="303">
        <v>4</v>
      </c>
      <c r="D1197" s="303" t="s">
        <v>10547</v>
      </c>
      <c r="E1197" s="306">
        <v>99.27</v>
      </c>
      <c r="F1197" s="303" t="s">
        <v>10548</v>
      </c>
      <c r="G1197" s="303">
        <v>36</v>
      </c>
      <c r="H1197" s="303" t="s">
        <v>10064</v>
      </c>
      <c r="I1197" s="303" t="s">
        <v>10056</v>
      </c>
      <c r="J1197" s="303" t="s">
        <v>10057</v>
      </c>
      <c r="K1197" s="303" t="s">
        <v>10058</v>
      </c>
      <c r="L1197" s="303" t="s">
        <v>10059</v>
      </c>
      <c r="M1197" s="303"/>
      <c r="N1197" s="307" t="s">
        <v>10071</v>
      </c>
      <c r="O1197" s="1474"/>
      <c r="P1197" s="1475"/>
      <c r="Q1197" s="1476"/>
    </row>
    <row r="1198" spans="1:17" ht="11.1" customHeight="1">
      <c r="A1198" s="250" t="s">
        <v>10549</v>
      </c>
      <c r="B1198" s="302" t="s">
        <v>10051</v>
      </c>
      <c r="C1198" s="303">
        <v>4</v>
      </c>
      <c r="D1198" s="303" t="s">
        <v>10550</v>
      </c>
      <c r="E1198" s="306">
        <v>98.53</v>
      </c>
      <c r="F1198" s="303" t="s">
        <v>10551</v>
      </c>
      <c r="G1198" s="303">
        <v>37</v>
      </c>
      <c r="H1198" s="303" t="s">
        <v>10064</v>
      </c>
      <c r="I1198" s="303" t="s">
        <v>10056</v>
      </c>
      <c r="J1198" s="303" t="s">
        <v>10057</v>
      </c>
      <c r="K1198" s="303" t="s">
        <v>10058</v>
      </c>
      <c r="L1198" s="303" t="s">
        <v>10059</v>
      </c>
      <c r="M1198" s="303"/>
      <c r="N1198" s="307"/>
      <c r="O1198" s="1474"/>
      <c r="P1198" s="1475"/>
      <c r="Q1198" s="1476"/>
    </row>
    <row r="1199" spans="1:17" ht="11.1" customHeight="1">
      <c r="A1199" s="250" t="s">
        <v>10552</v>
      </c>
      <c r="B1199" s="302" t="s">
        <v>10051</v>
      </c>
      <c r="C1199" s="303">
        <v>4</v>
      </c>
      <c r="D1199" s="303" t="s">
        <v>10553</v>
      </c>
      <c r="E1199" s="306">
        <v>93.09</v>
      </c>
      <c r="F1199" s="303" t="s">
        <v>10554</v>
      </c>
      <c r="G1199" s="303">
        <v>44</v>
      </c>
      <c r="H1199" s="303" t="s">
        <v>10064</v>
      </c>
      <c r="I1199" s="303" t="s">
        <v>10056</v>
      </c>
      <c r="J1199" s="303" t="s">
        <v>10057</v>
      </c>
      <c r="K1199" s="303" t="s">
        <v>10058</v>
      </c>
      <c r="L1199" s="303" t="s">
        <v>10059</v>
      </c>
      <c r="M1199" s="303"/>
      <c r="N1199" s="307"/>
      <c r="O1199" s="1474"/>
      <c r="P1199" s="1475"/>
      <c r="Q1199" s="1476"/>
    </row>
    <row r="1200" spans="1:17" ht="11.1" customHeight="1">
      <c r="A1200" s="250" t="s">
        <v>10555</v>
      </c>
      <c r="B1200" s="302" t="s">
        <v>10051</v>
      </c>
      <c r="C1200" s="303">
        <v>4</v>
      </c>
      <c r="D1200" s="303" t="s">
        <v>10556</v>
      </c>
      <c r="E1200" s="306">
        <v>84.45</v>
      </c>
      <c r="F1200" s="303" t="s">
        <v>10557</v>
      </c>
      <c r="G1200" s="303">
        <v>41</v>
      </c>
      <c r="H1200" s="303" t="s">
        <v>10064</v>
      </c>
      <c r="I1200" s="303" t="s">
        <v>10056</v>
      </c>
      <c r="J1200" s="303" t="s">
        <v>10057</v>
      </c>
      <c r="K1200" s="303" t="s">
        <v>10178</v>
      </c>
      <c r="L1200" s="303" t="s">
        <v>10059</v>
      </c>
      <c r="M1200" s="303"/>
      <c r="N1200" s="307" t="s">
        <v>10071</v>
      </c>
      <c r="O1200" s="1474"/>
      <c r="P1200" s="1475"/>
      <c r="Q1200" s="1476"/>
    </row>
    <row r="1201" spans="1:17" ht="11.1" customHeight="1">
      <c r="A1201" s="250" t="s">
        <v>10558</v>
      </c>
      <c r="B1201" s="302" t="s">
        <v>10051</v>
      </c>
      <c r="C1201" s="303">
        <v>33</v>
      </c>
      <c r="D1201" s="303" t="s">
        <v>10061</v>
      </c>
      <c r="E1201" s="306" t="s">
        <v>10113</v>
      </c>
      <c r="F1201" s="303" t="s">
        <v>10559</v>
      </c>
      <c r="G1201" s="303">
        <v>55</v>
      </c>
      <c r="H1201" s="303" t="s">
        <v>10064</v>
      </c>
      <c r="I1201" s="303"/>
      <c r="J1201" s="303" t="s">
        <v>10057</v>
      </c>
      <c r="K1201" s="303" t="s">
        <v>10058</v>
      </c>
      <c r="L1201" s="303" t="s">
        <v>10059</v>
      </c>
      <c r="M1201" s="303"/>
      <c r="N1201" s="305"/>
      <c r="O1201" s="1474"/>
      <c r="P1201" s="1475"/>
      <c r="Q1201" s="1476"/>
    </row>
    <row r="1202" spans="1:17" ht="11.1" customHeight="1">
      <c r="A1202" s="250" t="s">
        <v>10560</v>
      </c>
      <c r="B1202" s="302" t="s">
        <v>10051</v>
      </c>
      <c r="C1202" s="303">
        <v>34</v>
      </c>
      <c r="D1202" s="303" t="s">
        <v>10061</v>
      </c>
      <c r="E1202" s="306" t="s">
        <v>10062</v>
      </c>
      <c r="F1202" s="303" t="s">
        <v>10561</v>
      </c>
      <c r="G1202" s="303">
        <v>28</v>
      </c>
      <c r="H1202" s="303" t="s">
        <v>10064</v>
      </c>
      <c r="I1202" s="303"/>
      <c r="J1202" s="303" t="s">
        <v>10057</v>
      </c>
      <c r="K1202" s="303" t="s">
        <v>10058</v>
      </c>
      <c r="L1202" s="303" t="s">
        <v>10059</v>
      </c>
      <c r="M1202" s="303"/>
      <c r="N1202" s="305"/>
      <c r="O1202" s="1474"/>
      <c r="P1202" s="1475"/>
      <c r="Q1202" s="1476"/>
    </row>
    <row r="1203" spans="1:17" ht="11.1" customHeight="1">
      <c r="A1203" s="250" t="s">
        <v>10562</v>
      </c>
      <c r="B1203" s="302" t="s">
        <v>10051</v>
      </c>
      <c r="C1203" s="303">
        <v>35</v>
      </c>
      <c r="D1203" s="303" t="s">
        <v>10061</v>
      </c>
      <c r="E1203" s="306" t="s">
        <v>10062</v>
      </c>
      <c r="F1203" s="303" t="s">
        <v>10563</v>
      </c>
      <c r="G1203" s="303">
        <v>26</v>
      </c>
      <c r="H1203" s="303" t="s">
        <v>10064</v>
      </c>
      <c r="I1203" s="303"/>
      <c r="J1203" s="303" t="s">
        <v>10057</v>
      </c>
      <c r="K1203" s="303" t="s">
        <v>10058</v>
      </c>
      <c r="L1203" s="303" t="s">
        <v>10059</v>
      </c>
      <c r="M1203" s="303"/>
      <c r="N1203" s="305"/>
      <c r="O1203" s="1474"/>
      <c r="P1203" s="1475"/>
      <c r="Q1203" s="1476"/>
    </row>
    <row r="1204" spans="1:17" ht="11.1" customHeight="1">
      <c r="A1204" s="250" t="s">
        <v>10564</v>
      </c>
      <c r="B1204" s="302" t="s">
        <v>10051</v>
      </c>
      <c r="C1204" s="303">
        <v>36</v>
      </c>
      <c r="D1204" s="303" t="s">
        <v>10061</v>
      </c>
      <c r="E1204" s="306" t="s">
        <v>10062</v>
      </c>
      <c r="F1204" s="303" t="s">
        <v>10565</v>
      </c>
      <c r="G1204" s="303">
        <v>56</v>
      </c>
      <c r="H1204" s="303" t="s">
        <v>10064</v>
      </c>
      <c r="I1204" s="303"/>
      <c r="J1204" s="303" t="s">
        <v>10057</v>
      </c>
      <c r="K1204" s="303" t="s">
        <v>10058</v>
      </c>
      <c r="L1204" s="303" t="s">
        <v>10059</v>
      </c>
      <c r="M1204" s="303"/>
      <c r="N1204" s="305"/>
      <c r="O1204" s="1474"/>
      <c r="P1204" s="1475"/>
      <c r="Q1204" s="1476"/>
    </row>
    <row r="1205" spans="1:17" ht="11.1" customHeight="1">
      <c r="A1205" s="250" t="s">
        <v>10566</v>
      </c>
      <c r="B1205" s="187"/>
      <c r="C1205" s="42">
        <v>37</v>
      </c>
      <c r="D1205" s="42" t="s">
        <v>10061</v>
      </c>
      <c r="E1205" s="309" t="s">
        <v>10062</v>
      </c>
      <c r="F1205" s="42" t="s">
        <v>10567</v>
      </c>
      <c r="G1205" s="42">
        <v>55</v>
      </c>
      <c r="H1205" s="42" t="s">
        <v>10064</v>
      </c>
      <c r="I1205" s="42"/>
      <c r="J1205" s="42" t="s">
        <v>10057</v>
      </c>
      <c r="K1205" s="42" t="s">
        <v>10058</v>
      </c>
      <c r="L1205" s="42" t="s">
        <v>10059</v>
      </c>
      <c r="M1205" s="42"/>
      <c r="N1205" s="310"/>
      <c r="O1205" s="1474"/>
      <c r="P1205" s="1475"/>
      <c r="Q1205" s="1476"/>
    </row>
    <row r="1206" spans="1:17" ht="11.1" customHeight="1">
      <c r="A1206" s="250" t="s">
        <v>10568</v>
      </c>
      <c r="B1206" s="187"/>
      <c r="C1206" s="42">
        <v>38</v>
      </c>
      <c r="D1206" s="42" t="s">
        <v>10061</v>
      </c>
      <c r="E1206" s="309" t="s">
        <v>10062</v>
      </c>
      <c r="F1206" s="42" t="s">
        <v>10569</v>
      </c>
      <c r="G1206" s="42">
        <v>44</v>
      </c>
      <c r="H1206" s="42" t="s">
        <v>10064</v>
      </c>
      <c r="I1206" s="42"/>
      <c r="J1206" s="42" t="s">
        <v>10057</v>
      </c>
      <c r="K1206" s="42" t="s">
        <v>10058</v>
      </c>
      <c r="L1206" s="42" t="s">
        <v>10059</v>
      </c>
      <c r="M1206" s="42"/>
      <c r="N1206" s="310"/>
      <c r="O1206" s="1474"/>
      <c r="P1206" s="1475"/>
      <c r="Q1206" s="1476"/>
    </row>
    <row r="1207" spans="1:17" ht="11.1" customHeight="1">
      <c r="A1207" s="250" t="s">
        <v>10570</v>
      </c>
      <c r="B1207" s="302" t="s">
        <v>10098</v>
      </c>
      <c r="C1207" s="303">
        <v>1</v>
      </c>
      <c r="D1207" s="303" t="s">
        <v>10571</v>
      </c>
      <c r="E1207" s="306" t="s">
        <v>10100</v>
      </c>
      <c r="F1207" s="303" t="s">
        <v>10572</v>
      </c>
      <c r="G1207" s="303">
        <v>59</v>
      </c>
      <c r="H1207" s="303" t="s">
        <v>10054</v>
      </c>
      <c r="I1207" s="303" t="s">
        <v>10056</v>
      </c>
      <c r="J1207" s="303" t="s">
        <v>10057</v>
      </c>
      <c r="K1207" s="303" t="s">
        <v>10058</v>
      </c>
      <c r="L1207" s="303" t="s">
        <v>10070</v>
      </c>
      <c r="M1207" s="303">
        <v>1</v>
      </c>
      <c r="N1207" s="307" t="s">
        <v>10071</v>
      </c>
      <c r="O1207" s="1474"/>
      <c r="P1207" s="1475"/>
      <c r="Q1207" s="1476"/>
    </row>
    <row r="1208" spans="1:17" ht="11.1" customHeight="1">
      <c r="A1208" s="250" t="s">
        <v>10573</v>
      </c>
      <c r="B1208" s="302" t="s">
        <v>10098</v>
      </c>
      <c r="C1208" s="303">
        <v>4</v>
      </c>
      <c r="D1208" s="303" t="s">
        <v>10574</v>
      </c>
      <c r="E1208" s="306" t="s">
        <v>10104</v>
      </c>
      <c r="F1208" s="303" t="s">
        <v>10575</v>
      </c>
      <c r="G1208" s="303">
        <v>66</v>
      </c>
      <c r="H1208" s="303" t="s">
        <v>10064</v>
      </c>
      <c r="I1208" s="303" t="s">
        <v>10056</v>
      </c>
      <c r="J1208" s="303" t="s">
        <v>10057</v>
      </c>
      <c r="K1208" s="303" t="s">
        <v>10210</v>
      </c>
      <c r="L1208" s="303" t="s">
        <v>10070</v>
      </c>
      <c r="M1208" s="303">
        <v>7</v>
      </c>
      <c r="N1208" s="307" t="s">
        <v>10071</v>
      </c>
      <c r="O1208" s="1474"/>
      <c r="P1208" s="1475"/>
      <c r="Q1208" s="1476"/>
    </row>
    <row r="1209" spans="1:17" ht="11.1" customHeight="1">
      <c r="A1209" s="250" t="s">
        <v>10576</v>
      </c>
      <c r="B1209" s="302" t="s">
        <v>10098</v>
      </c>
      <c r="C1209" s="303">
        <v>4</v>
      </c>
      <c r="D1209" s="303" t="s">
        <v>10577</v>
      </c>
      <c r="E1209" s="306" t="s">
        <v>10104</v>
      </c>
      <c r="F1209" s="303" t="s">
        <v>10578</v>
      </c>
      <c r="G1209" s="303">
        <v>42</v>
      </c>
      <c r="H1209" s="303" t="s">
        <v>10064</v>
      </c>
      <c r="I1209" s="303" t="s">
        <v>10056</v>
      </c>
      <c r="J1209" s="303" t="s">
        <v>10057</v>
      </c>
      <c r="K1209" s="303" t="s">
        <v>10075</v>
      </c>
      <c r="L1209" s="303" t="s">
        <v>10066</v>
      </c>
      <c r="M1209" s="303">
        <v>2</v>
      </c>
      <c r="N1209" s="307" t="s">
        <v>10071</v>
      </c>
      <c r="O1209" s="1474"/>
      <c r="P1209" s="1475"/>
      <c r="Q1209" s="1476"/>
    </row>
    <row r="1210" spans="1:17" ht="11.1" customHeight="1">
      <c r="A1210" s="250" t="s">
        <v>10579</v>
      </c>
      <c r="B1210" s="302" t="s">
        <v>10098</v>
      </c>
      <c r="C1210" s="303">
        <v>4</v>
      </c>
      <c r="D1210" s="303" t="s">
        <v>10580</v>
      </c>
      <c r="E1210" s="306" t="s">
        <v>10104</v>
      </c>
      <c r="F1210" s="303" t="s">
        <v>10581</v>
      </c>
      <c r="G1210" s="303">
        <v>33</v>
      </c>
      <c r="H1210" s="303" t="s">
        <v>10064</v>
      </c>
      <c r="I1210" s="303" t="s">
        <v>10056</v>
      </c>
      <c r="J1210" s="303" t="s">
        <v>10057</v>
      </c>
      <c r="K1210" s="303" t="s">
        <v>10582</v>
      </c>
      <c r="L1210" s="303" t="s">
        <v>10059</v>
      </c>
      <c r="M1210" s="303"/>
      <c r="N1210" s="307" t="s">
        <v>10071</v>
      </c>
      <c r="O1210" s="1474"/>
      <c r="P1210" s="1475"/>
      <c r="Q1210" s="1476"/>
    </row>
    <row r="1211" spans="1:17" ht="11.1" customHeight="1">
      <c r="A1211" s="250" t="s">
        <v>10583</v>
      </c>
      <c r="B1211" s="302" t="s">
        <v>10098</v>
      </c>
      <c r="C1211" s="303">
        <v>4</v>
      </c>
      <c r="D1211" s="303" t="s">
        <v>10584</v>
      </c>
      <c r="E1211" s="306" t="s">
        <v>10104</v>
      </c>
      <c r="F1211" s="303" t="s">
        <v>10585</v>
      </c>
      <c r="G1211" s="303">
        <v>55</v>
      </c>
      <c r="H1211" s="303" t="s">
        <v>10064</v>
      </c>
      <c r="I1211" s="303" t="s">
        <v>10056</v>
      </c>
      <c r="J1211" s="303" t="s">
        <v>10057</v>
      </c>
      <c r="K1211" s="303" t="s">
        <v>10065</v>
      </c>
      <c r="L1211" s="303" t="s">
        <v>10066</v>
      </c>
      <c r="M1211" s="303">
        <v>3</v>
      </c>
      <c r="N1211" s="307" t="s">
        <v>10071</v>
      </c>
      <c r="O1211" s="1474"/>
      <c r="P1211" s="1475"/>
      <c r="Q1211" s="1476"/>
    </row>
    <row r="1212" spans="1:17" ht="11.1" customHeight="1">
      <c r="A1212" s="250" t="s">
        <v>10586</v>
      </c>
      <c r="B1212" s="302" t="s">
        <v>10098</v>
      </c>
      <c r="C1212" s="303">
        <v>4</v>
      </c>
      <c r="D1212" s="303" t="s">
        <v>10587</v>
      </c>
      <c r="E1212" s="306" t="s">
        <v>10104</v>
      </c>
      <c r="F1212" s="303" t="s">
        <v>10588</v>
      </c>
      <c r="G1212" s="303">
        <v>40</v>
      </c>
      <c r="H1212" s="303" t="s">
        <v>10064</v>
      </c>
      <c r="I1212" s="303" t="s">
        <v>10056</v>
      </c>
      <c r="J1212" s="303" t="s">
        <v>10057</v>
      </c>
      <c r="K1212" s="303" t="s">
        <v>10075</v>
      </c>
      <c r="L1212" s="303" t="s">
        <v>10059</v>
      </c>
      <c r="M1212" s="303"/>
      <c r="N1212" s="307" t="s">
        <v>10071</v>
      </c>
      <c r="O1212" s="1474"/>
      <c r="P1212" s="1475"/>
      <c r="Q1212" s="1476"/>
    </row>
    <row r="1213" spans="1:17" ht="11.1" customHeight="1">
      <c r="A1213" s="250" t="s">
        <v>10589</v>
      </c>
      <c r="B1213" s="302" t="s">
        <v>10098</v>
      </c>
      <c r="C1213" s="303">
        <v>4</v>
      </c>
      <c r="D1213" s="303" t="s">
        <v>10590</v>
      </c>
      <c r="E1213" s="306" t="s">
        <v>10104</v>
      </c>
      <c r="F1213" s="303" t="s">
        <v>10591</v>
      </c>
      <c r="G1213" s="303">
        <v>55</v>
      </c>
      <c r="H1213" s="303" t="s">
        <v>10064</v>
      </c>
      <c r="I1213" s="303" t="s">
        <v>10056</v>
      </c>
      <c r="J1213" s="303" t="s">
        <v>10057</v>
      </c>
      <c r="K1213" s="303" t="s">
        <v>10065</v>
      </c>
      <c r="L1213" s="303" t="s">
        <v>10066</v>
      </c>
      <c r="M1213" s="303">
        <v>3</v>
      </c>
      <c r="N1213" s="307" t="s">
        <v>10071</v>
      </c>
      <c r="O1213" s="1474"/>
      <c r="P1213" s="1475"/>
      <c r="Q1213" s="1476"/>
    </row>
    <row r="1214" spans="1:17" ht="11.1" customHeight="1">
      <c r="A1214" s="250" t="s">
        <v>10592</v>
      </c>
      <c r="B1214" s="302" t="s">
        <v>10098</v>
      </c>
      <c r="C1214" s="303">
        <v>4</v>
      </c>
      <c r="D1214" s="303" t="s">
        <v>10593</v>
      </c>
      <c r="E1214" s="306" t="s">
        <v>10104</v>
      </c>
      <c r="F1214" s="303" t="s">
        <v>10594</v>
      </c>
      <c r="G1214" s="303">
        <v>39</v>
      </c>
      <c r="H1214" s="303" t="s">
        <v>10064</v>
      </c>
      <c r="I1214" s="303" t="s">
        <v>10056</v>
      </c>
      <c r="J1214" s="303" t="s">
        <v>10057</v>
      </c>
      <c r="K1214" s="303" t="s">
        <v>10058</v>
      </c>
      <c r="L1214" s="303" t="s">
        <v>10066</v>
      </c>
      <c r="M1214" s="303">
        <v>3</v>
      </c>
      <c r="N1214" s="307" t="s">
        <v>10071</v>
      </c>
      <c r="O1214" s="1474"/>
      <c r="P1214" s="1475"/>
      <c r="Q1214" s="1476"/>
    </row>
    <row r="1215" spans="1:17" ht="11.1" customHeight="1">
      <c r="A1215" s="250" t="s">
        <v>10595</v>
      </c>
      <c r="B1215" s="302" t="s">
        <v>10098</v>
      </c>
      <c r="C1215" s="303">
        <v>4</v>
      </c>
      <c r="D1215" s="303" t="s">
        <v>10596</v>
      </c>
      <c r="E1215" s="306" t="s">
        <v>10104</v>
      </c>
      <c r="F1215" s="303" t="s">
        <v>10597</v>
      </c>
      <c r="G1215" s="303">
        <v>58</v>
      </c>
      <c r="H1215" s="303" t="s">
        <v>10064</v>
      </c>
      <c r="I1215" s="303" t="s">
        <v>10056</v>
      </c>
      <c r="J1215" s="303" t="s">
        <v>10057</v>
      </c>
      <c r="K1215" s="303" t="s">
        <v>10178</v>
      </c>
      <c r="L1215" s="303" t="s">
        <v>10066</v>
      </c>
      <c r="M1215" s="303">
        <v>4</v>
      </c>
      <c r="N1215" s="307" t="s">
        <v>10071</v>
      </c>
      <c r="O1215" s="1474"/>
      <c r="P1215" s="1475"/>
      <c r="Q1215" s="1476"/>
    </row>
    <row r="1216" spans="1:17" ht="11.1" customHeight="1">
      <c r="A1216" s="250" t="s">
        <v>10598</v>
      </c>
      <c r="B1216" s="302" t="s">
        <v>10098</v>
      </c>
      <c r="C1216" s="303">
        <v>4</v>
      </c>
      <c r="D1216" s="303" t="s">
        <v>10599</v>
      </c>
      <c r="E1216" s="306" t="s">
        <v>10104</v>
      </c>
      <c r="F1216" s="303" t="s">
        <v>10600</v>
      </c>
      <c r="G1216" s="303">
        <v>57</v>
      </c>
      <c r="H1216" s="303" t="s">
        <v>10064</v>
      </c>
      <c r="I1216" s="303" t="s">
        <v>10056</v>
      </c>
      <c r="J1216" s="303" t="s">
        <v>10057</v>
      </c>
      <c r="K1216" s="303" t="s">
        <v>10582</v>
      </c>
      <c r="L1216" s="303" t="s">
        <v>10066</v>
      </c>
      <c r="M1216" s="303">
        <v>5</v>
      </c>
      <c r="N1216" s="307" t="s">
        <v>10071</v>
      </c>
      <c r="O1216" s="1474"/>
      <c r="P1216" s="1475"/>
      <c r="Q1216" s="1476"/>
    </row>
    <row r="1217" spans="1:17" ht="11.1" customHeight="1">
      <c r="A1217" s="250" t="s">
        <v>10601</v>
      </c>
      <c r="B1217" s="302" t="s">
        <v>10098</v>
      </c>
      <c r="C1217" s="303">
        <v>4</v>
      </c>
      <c r="D1217" s="303" t="s">
        <v>10602</v>
      </c>
      <c r="E1217" s="306" t="s">
        <v>10104</v>
      </c>
      <c r="F1217" s="303" t="s">
        <v>10603</v>
      </c>
      <c r="G1217" s="303">
        <v>49</v>
      </c>
      <c r="H1217" s="303" t="s">
        <v>10064</v>
      </c>
      <c r="I1217" s="303" t="s">
        <v>10056</v>
      </c>
      <c r="J1217" s="303" t="s">
        <v>10057</v>
      </c>
      <c r="K1217" s="303" t="s">
        <v>10058</v>
      </c>
      <c r="L1217" s="303" t="s">
        <v>10066</v>
      </c>
      <c r="M1217" s="303">
        <v>4</v>
      </c>
      <c r="N1217" s="307" t="s">
        <v>10071</v>
      </c>
      <c r="O1217" s="1474"/>
      <c r="P1217" s="1475"/>
      <c r="Q1217" s="1476"/>
    </row>
    <row r="1218" spans="1:17" ht="11.1" customHeight="1">
      <c r="A1218" s="250" t="s">
        <v>10604</v>
      </c>
      <c r="B1218" s="302" t="s">
        <v>10098</v>
      </c>
      <c r="C1218" s="303">
        <v>4</v>
      </c>
      <c r="D1218" s="303" t="s">
        <v>10605</v>
      </c>
      <c r="E1218" s="306" t="s">
        <v>10104</v>
      </c>
      <c r="F1218" s="303" t="s">
        <v>10606</v>
      </c>
      <c r="G1218" s="303">
        <v>61</v>
      </c>
      <c r="H1218" s="303" t="s">
        <v>10064</v>
      </c>
      <c r="I1218" s="303" t="s">
        <v>10056</v>
      </c>
      <c r="J1218" s="303" t="s">
        <v>10057</v>
      </c>
      <c r="K1218" s="303" t="s">
        <v>10082</v>
      </c>
      <c r="L1218" s="303" t="s">
        <v>10066</v>
      </c>
      <c r="M1218" s="303">
        <v>4</v>
      </c>
      <c r="N1218" s="307" t="s">
        <v>10071</v>
      </c>
      <c r="O1218" s="1474"/>
      <c r="P1218" s="1475"/>
      <c r="Q1218" s="1476"/>
    </row>
    <row r="1219" spans="1:17" ht="11.1" customHeight="1">
      <c r="A1219" s="250" t="s">
        <v>10607</v>
      </c>
      <c r="B1219" s="302" t="s">
        <v>10098</v>
      </c>
      <c r="C1219" s="303">
        <v>4</v>
      </c>
      <c r="D1219" s="303" t="s">
        <v>10608</v>
      </c>
      <c r="E1219" s="306" t="s">
        <v>10104</v>
      </c>
      <c r="F1219" s="303" t="s">
        <v>10609</v>
      </c>
      <c r="G1219" s="303">
        <v>55</v>
      </c>
      <c r="H1219" s="303" t="s">
        <v>10064</v>
      </c>
      <c r="I1219" s="303" t="s">
        <v>10056</v>
      </c>
      <c r="J1219" s="303" t="s">
        <v>10057</v>
      </c>
      <c r="K1219" s="303" t="s">
        <v>10582</v>
      </c>
      <c r="L1219" s="303" t="s">
        <v>10066</v>
      </c>
      <c r="M1219" s="303">
        <v>2</v>
      </c>
      <c r="N1219" s="307"/>
      <c r="O1219" s="1474"/>
      <c r="P1219" s="1475"/>
      <c r="Q1219" s="1476"/>
    </row>
    <row r="1220" spans="1:17" ht="11.1" customHeight="1">
      <c r="A1220" s="250" t="s">
        <v>10610</v>
      </c>
      <c r="B1220" s="302" t="s">
        <v>10098</v>
      </c>
      <c r="C1220" s="303">
        <v>4</v>
      </c>
      <c r="D1220" s="303" t="s">
        <v>10611</v>
      </c>
      <c r="E1220" s="306" t="s">
        <v>10138</v>
      </c>
      <c r="F1220" s="303" t="s">
        <v>10612</v>
      </c>
      <c r="G1220" s="303">
        <v>56</v>
      </c>
      <c r="H1220" s="303" t="s">
        <v>10064</v>
      </c>
      <c r="I1220" s="303" t="s">
        <v>10056</v>
      </c>
      <c r="J1220" s="303" t="s">
        <v>10057</v>
      </c>
      <c r="K1220" s="303" t="s">
        <v>10082</v>
      </c>
      <c r="L1220" s="303" t="s">
        <v>10066</v>
      </c>
      <c r="M1220" s="303">
        <v>3</v>
      </c>
      <c r="N1220" s="307"/>
      <c r="O1220" s="1474"/>
      <c r="P1220" s="1475"/>
      <c r="Q1220" s="1476"/>
    </row>
    <row r="1221" spans="1:17" ht="11.1" customHeight="1">
      <c r="A1221" s="250" t="s">
        <v>10613</v>
      </c>
      <c r="B1221" s="302" t="s">
        <v>10098</v>
      </c>
      <c r="C1221" s="303">
        <v>4</v>
      </c>
      <c r="D1221" s="303" t="s">
        <v>10614</v>
      </c>
      <c r="E1221" s="306" t="s">
        <v>10138</v>
      </c>
      <c r="F1221" s="303" t="s">
        <v>10615</v>
      </c>
      <c r="G1221" s="303">
        <v>40</v>
      </c>
      <c r="H1221" s="303" t="s">
        <v>10064</v>
      </c>
      <c r="I1221" s="303" t="s">
        <v>10056</v>
      </c>
      <c r="J1221" s="303" t="s">
        <v>10057</v>
      </c>
      <c r="K1221" s="303" t="s">
        <v>10058</v>
      </c>
      <c r="L1221" s="303" t="s">
        <v>10066</v>
      </c>
      <c r="M1221" s="303">
        <v>4</v>
      </c>
      <c r="N1221" s="307"/>
      <c r="O1221" s="1474"/>
      <c r="P1221" s="1475"/>
      <c r="Q1221" s="1476"/>
    </row>
    <row r="1222" spans="1:17" ht="11.1" customHeight="1">
      <c r="A1222" s="250" t="s">
        <v>10616</v>
      </c>
      <c r="B1222" s="302" t="s">
        <v>10098</v>
      </c>
      <c r="C1222" s="303">
        <v>4</v>
      </c>
      <c r="D1222" s="303" t="s">
        <v>10617</v>
      </c>
      <c r="E1222" s="306" t="s">
        <v>10138</v>
      </c>
      <c r="F1222" s="303" t="s">
        <v>10618</v>
      </c>
      <c r="G1222" s="303">
        <v>32</v>
      </c>
      <c r="H1222" s="303" t="s">
        <v>10064</v>
      </c>
      <c r="I1222" s="303" t="s">
        <v>10056</v>
      </c>
      <c r="J1222" s="303" t="s">
        <v>10057</v>
      </c>
      <c r="K1222" s="303" t="s">
        <v>10241</v>
      </c>
      <c r="L1222" s="303" t="s">
        <v>10059</v>
      </c>
      <c r="M1222" s="303"/>
      <c r="N1222" s="307" t="s">
        <v>10071</v>
      </c>
      <c r="O1222" s="1474"/>
      <c r="P1222" s="1475"/>
      <c r="Q1222" s="1476"/>
    </row>
    <row r="1223" spans="1:17" ht="11.1" customHeight="1">
      <c r="A1223" s="250" t="s">
        <v>10619</v>
      </c>
      <c r="B1223" s="302" t="s">
        <v>10098</v>
      </c>
      <c r="C1223" s="303">
        <v>4</v>
      </c>
      <c r="D1223" s="303" t="s">
        <v>10620</v>
      </c>
      <c r="E1223" s="306" t="s">
        <v>10104</v>
      </c>
      <c r="F1223" s="303" t="s">
        <v>10621</v>
      </c>
      <c r="G1223" s="303">
        <v>40</v>
      </c>
      <c r="H1223" s="303" t="s">
        <v>10064</v>
      </c>
      <c r="I1223" s="303" t="s">
        <v>10056</v>
      </c>
      <c r="J1223" s="303" t="s">
        <v>10057</v>
      </c>
      <c r="K1223" s="303" t="s">
        <v>10058</v>
      </c>
      <c r="L1223" s="303" t="s">
        <v>10059</v>
      </c>
      <c r="M1223" s="303"/>
      <c r="N1223" s="307" t="s">
        <v>10071</v>
      </c>
      <c r="O1223" s="1474"/>
      <c r="P1223" s="1475"/>
      <c r="Q1223" s="1476"/>
    </row>
    <row r="1224" spans="1:17" ht="11.1" customHeight="1">
      <c r="A1224" s="250" t="s">
        <v>10622</v>
      </c>
      <c r="B1224" s="302" t="s">
        <v>10098</v>
      </c>
      <c r="C1224" s="303">
        <v>4</v>
      </c>
      <c r="D1224" s="303" t="s">
        <v>10623</v>
      </c>
      <c r="E1224" s="306" t="s">
        <v>10104</v>
      </c>
      <c r="F1224" s="303" t="s">
        <v>10624</v>
      </c>
      <c r="G1224" s="303">
        <v>64</v>
      </c>
      <c r="H1224" s="303" t="s">
        <v>10064</v>
      </c>
      <c r="I1224" s="303" t="s">
        <v>10056</v>
      </c>
      <c r="J1224" s="303" t="s">
        <v>10057</v>
      </c>
      <c r="K1224" s="303" t="s">
        <v>10582</v>
      </c>
      <c r="L1224" s="303" t="s">
        <v>10066</v>
      </c>
      <c r="M1224" s="303">
        <v>5</v>
      </c>
      <c r="N1224" s="307"/>
      <c r="O1224" s="1474"/>
      <c r="P1224" s="1475"/>
      <c r="Q1224" s="1476"/>
    </row>
    <row r="1225" spans="1:17" ht="11.1" customHeight="1">
      <c r="A1225" s="250" t="s">
        <v>10625</v>
      </c>
      <c r="B1225" s="302" t="s">
        <v>10098</v>
      </c>
      <c r="C1225" s="303">
        <v>4</v>
      </c>
      <c r="D1225" s="303" t="s">
        <v>10626</v>
      </c>
      <c r="E1225" s="306" t="s">
        <v>10138</v>
      </c>
      <c r="F1225" s="303" t="s">
        <v>10627</v>
      </c>
      <c r="G1225" s="303">
        <v>32</v>
      </c>
      <c r="H1225" s="303" t="s">
        <v>10064</v>
      </c>
      <c r="I1225" s="303" t="s">
        <v>10056</v>
      </c>
      <c r="J1225" s="303" t="s">
        <v>10057</v>
      </c>
      <c r="K1225" s="303" t="s">
        <v>10058</v>
      </c>
      <c r="L1225" s="303" t="s">
        <v>10059</v>
      </c>
      <c r="M1225" s="303"/>
      <c r="N1225" s="307" t="s">
        <v>10071</v>
      </c>
      <c r="O1225" s="1474"/>
      <c r="P1225" s="1475"/>
      <c r="Q1225" s="1476"/>
    </row>
    <row r="1226" spans="1:17" ht="11.1" customHeight="1">
      <c r="A1226" s="250" t="s">
        <v>10628</v>
      </c>
      <c r="B1226" s="302" t="s">
        <v>10098</v>
      </c>
      <c r="C1226" s="303">
        <v>4</v>
      </c>
      <c r="D1226" s="303" t="s">
        <v>10629</v>
      </c>
      <c r="E1226" s="306" t="s">
        <v>10104</v>
      </c>
      <c r="F1226" s="303" t="s">
        <v>10630</v>
      </c>
      <c r="G1226" s="303">
        <v>56</v>
      </c>
      <c r="H1226" s="303" t="s">
        <v>10064</v>
      </c>
      <c r="I1226" s="303" t="s">
        <v>10056</v>
      </c>
      <c r="J1226" s="303" t="s">
        <v>10057</v>
      </c>
      <c r="K1226" s="303" t="s">
        <v>10178</v>
      </c>
      <c r="L1226" s="303" t="s">
        <v>10066</v>
      </c>
      <c r="M1226" s="303">
        <v>3</v>
      </c>
      <c r="N1226" s="307"/>
      <c r="O1226" s="1474"/>
      <c r="P1226" s="1475"/>
      <c r="Q1226" s="1476"/>
    </row>
    <row r="1227" spans="1:17" ht="11.1" customHeight="1">
      <c r="A1227" s="250" t="s">
        <v>10631</v>
      </c>
      <c r="B1227" s="302" t="s">
        <v>10098</v>
      </c>
      <c r="C1227" s="303">
        <v>4</v>
      </c>
      <c r="D1227" s="303" t="s">
        <v>10632</v>
      </c>
      <c r="E1227" s="306" t="s">
        <v>10138</v>
      </c>
      <c r="F1227" s="303" t="s">
        <v>10633</v>
      </c>
      <c r="G1227" s="303">
        <v>61</v>
      </c>
      <c r="H1227" s="303" t="s">
        <v>10064</v>
      </c>
      <c r="I1227" s="303" t="s">
        <v>10056</v>
      </c>
      <c r="J1227" s="303" t="s">
        <v>10057</v>
      </c>
      <c r="K1227" s="303" t="s">
        <v>10582</v>
      </c>
      <c r="L1227" s="303" t="s">
        <v>10066</v>
      </c>
      <c r="M1227" s="303">
        <v>2</v>
      </c>
      <c r="N1227" s="307"/>
      <c r="O1227" s="1474"/>
      <c r="P1227" s="1475"/>
      <c r="Q1227" s="1476"/>
    </row>
    <row r="1228" spans="1:17" ht="11.1" customHeight="1">
      <c r="A1228" s="250" t="s">
        <v>10634</v>
      </c>
      <c r="B1228" s="302" t="s">
        <v>10098</v>
      </c>
      <c r="C1228" s="303">
        <v>4</v>
      </c>
      <c r="D1228" s="303" t="s">
        <v>10635</v>
      </c>
      <c r="E1228" s="306" t="s">
        <v>10138</v>
      </c>
      <c r="F1228" s="303" t="s">
        <v>10636</v>
      </c>
      <c r="G1228" s="303">
        <v>37</v>
      </c>
      <c r="H1228" s="303" t="s">
        <v>10064</v>
      </c>
      <c r="I1228" s="303" t="s">
        <v>10056</v>
      </c>
      <c r="J1228" s="303" t="s">
        <v>10057</v>
      </c>
      <c r="K1228" s="303" t="s">
        <v>10058</v>
      </c>
      <c r="L1228" s="303" t="s">
        <v>10059</v>
      </c>
      <c r="M1228" s="303"/>
      <c r="N1228" s="307" t="s">
        <v>10071</v>
      </c>
      <c r="O1228" s="1474"/>
      <c r="P1228" s="1475"/>
      <c r="Q1228" s="1476"/>
    </row>
    <row r="1229" spans="1:17" ht="11.1" customHeight="1">
      <c r="A1229" s="250" t="s">
        <v>10637</v>
      </c>
      <c r="B1229" s="302" t="s">
        <v>10098</v>
      </c>
      <c r="C1229" s="303">
        <v>4</v>
      </c>
      <c r="D1229" s="303" t="s">
        <v>10638</v>
      </c>
      <c r="E1229" s="306" t="s">
        <v>10104</v>
      </c>
      <c r="F1229" s="303" t="s">
        <v>10639</v>
      </c>
      <c r="G1229" s="303">
        <v>42</v>
      </c>
      <c r="H1229" s="303" t="s">
        <v>10064</v>
      </c>
      <c r="I1229" s="303" t="s">
        <v>10056</v>
      </c>
      <c r="J1229" s="303" t="s">
        <v>10057</v>
      </c>
      <c r="K1229" s="303" t="s">
        <v>10582</v>
      </c>
      <c r="L1229" s="303" t="s">
        <v>10066</v>
      </c>
      <c r="M1229" s="303">
        <v>3</v>
      </c>
      <c r="N1229" s="307"/>
      <c r="O1229" s="1474"/>
      <c r="P1229" s="1475"/>
      <c r="Q1229" s="1476"/>
    </row>
    <row r="1230" spans="1:17" ht="11.1" customHeight="1">
      <c r="A1230" s="250" t="s">
        <v>10640</v>
      </c>
      <c r="B1230" s="302" t="s">
        <v>10098</v>
      </c>
      <c r="C1230" s="303">
        <v>4</v>
      </c>
      <c r="D1230" s="303" t="s">
        <v>10641</v>
      </c>
      <c r="E1230" s="306" t="s">
        <v>10138</v>
      </c>
      <c r="F1230" s="303" t="s">
        <v>10642</v>
      </c>
      <c r="G1230" s="303">
        <v>69</v>
      </c>
      <c r="H1230" s="303" t="s">
        <v>10064</v>
      </c>
      <c r="I1230" s="303" t="s">
        <v>10056</v>
      </c>
      <c r="J1230" s="303" t="s">
        <v>10057</v>
      </c>
      <c r="K1230" s="303" t="s">
        <v>10178</v>
      </c>
      <c r="L1230" s="303" t="s">
        <v>10066</v>
      </c>
      <c r="M1230" s="303">
        <v>8</v>
      </c>
      <c r="N1230" s="307"/>
      <c r="O1230" s="1474"/>
      <c r="P1230" s="1475"/>
      <c r="Q1230" s="1476"/>
    </row>
    <row r="1231" spans="1:17" ht="11.1" customHeight="1">
      <c r="A1231" s="250" t="s">
        <v>10643</v>
      </c>
      <c r="B1231" s="302" t="s">
        <v>10098</v>
      </c>
      <c r="C1231" s="303">
        <v>4</v>
      </c>
      <c r="D1231" s="303" t="s">
        <v>10644</v>
      </c>
      <c r="E1231" s="306" t="s">
        <v>10138</v>
      </c>
      <c r="F1231" s="303" t="s">
        <v>10645</v>
      </c>
      <c r="G1231" s="303">
        <v>68</v>
      </c>
      <c r="H1231" s="303" t="s">
        <v>10064</v>
      </c>
      <c r="I1231" s="303" t="s">
        <v>10056</v>
      </c>
      <c r="J1231" s="303" t="s">
        <v>10057</v>
      </c>
      <c r="K1231" s="303" t="s">
        <v>10582</v>
      </c>
      <c r="L1231" s="303" t="s">
        <v>10066</v>
      </c>
      <c r="M1231" s="303">
        <v>13</v>
      </c>
      <c r="N1231" s="307"/>
      <c r="O1231" s="1474"/>
      <c r="P1231" s="1475"/>
      <c r="Q1231" s="1476"/>
    </row>
    <row r="1232" spans="1:17" ht="11.1" customHeight="1">
      <c r="A1232" s="945" t="s">
        <v>10646</v>
      </c>
      <c r="B1232" s="340" t="s">
        <v>10098</v>
      </c>
      <c r="C1232" s="311">
        <v>4</v>
      </c>
      <c r="D1232" s="311" t="s">
        <v>10647</v>
      </c>
      <c r="E1232" s="312" t="s">
        <v>10138</v>
      </c>
      <c r="F1232" s="311" t="s">
        <v>10648</v>
      </c>
      <c r="G1232" s="311">
        <v>36</v>
      </c>
      <c r="H1232" s="311" t="s">
        <v>10064</v>
      </c>
      <c r="I1232" s="311" t="s">
        <v>10056</v>
      </c>
      <c r="J1232" s="311" t="s">
        <v>10057</v>
      </c>
      <c r="K1232" s="311" t="s">
        <v>10178</v>
      </c>
      <c r="L1232" s="311" t="s">
        <v>10066</v>
      </c>
      <c r="M1232" s="311">
        <v>1</v>
      </c>
      <c r="N1232" s="313"/>
      <c r="O1232" s="1474"/>
      <c r="P1232" s="1475"/>
      <c r="Q1232" s="1476"/>
    </row>
    <row r="1233" spans="1:17" ht="11.1" customHeight="1">
      <c r="A1233" s="946" t="s">
        <v>10649</v>
      </c>
      <c r="B1233" s="192" t="s">
        <v>10051</v>
      </c>
      <c r="C1233" s="56">
        <v>1</v>
      </c>
      <c r="D1233" s="56" t="s">
        <v>10061</v>
      </c>
      <c r="E1233" s="314" t="s">
        <v>10129</v>
      </c>
      <c r="F1233" s="56" t="s">
        <v>10650</v>
      </c>
      <c r="G1233" s="56">
        <v>46</v>
      </c>
      <c r="H1233" s="56" t="s">
        <v>10064</v>
      </c>
      <c r="I1233" s="56"/>
      <c r="J1233" s="56" t="s">
        <v>10115</v>
      </c>
      <c r="K1233" s="56" t="s">
        <v>10140</v>
      </c>
      <c r="L1233" s="56" t="s">
        <v>10066</v>
      </c>
      <c r="M1233" s="56">
        <v>3</v>
      </c>
      <c r="N1233" s="315"/>
      <c r="O1233" s="1474">
        <v>7</v>
      </c>
      <c r="P1233" s="1475">
        <v>2439549</v>
      </c>
      <c r="Q1233" s="1476">
        <f>P1233*100/SUM(P1195:P1283)</f>
        <v>29.465931508757045</v>
      </c>
    </row>
    <row r="1234" spans="1:17" ht="11.1" customHeight="1">
      <c r="A1234" s="250" t="s">
        <v>10651</v>
      </c>
      <c r="B1234" s="194" t="s">
        <v>10051</v>
      </c>
      <c r="C1234" s="36">
        <v>2</v>
      </c>
      <c r="D1234" s="36" t="s">
        <v>10544</v>
      </c>
      <c r="E1234" s="195">
        <v>96.95</v>
      </c>
      <c r="F1234" s="36" t="s">
        <v>10652</v>
      </c>
      <c r="G1234" s="36">
        <v>48</v>
      </c>
      <c r="H1234" s="36" t="s">
        <v>10064</v>
      </c>
      <c r="I1234" s="36" t="s">
        <v>10056</v>
      </c>
      <c r="J1234" s="36" t="s">
        <v>10115</v>
      </c>
      <c r="K1234" s="36" t="s">
        <v>10140</v>
      </c>
      <c r="L1234" s="36" t="s">
        <v>10070</v>
      </c>
      <c r="M1234" s="36">
        <v>1</v>
      </c>
      <c r="N1234" s="316"/>
      <c r="O1234" s="1474"/>
      <c r="P1234" s="1475"/>
      <c r="Q1234" s="1476"/>
    </row>
    <row r="1235" spans="1:17" ht="11.1" customHeight="1">
      <c r="A1235" s="250" t="s">
        <v>10653</v>
      </c>
      <c r="B1235" s="194" t="s">
        <v>10051</v>
      </c>
      <c r="C1235" s="36">
        <v>2</v>
      </c>
      <c r="D1235" s="36" t="s">
        <v>10626</v>
      </c>
      <c r="E1235" s="195">
        <v>95.62</v>
      </c>
      <c r="F1235" s="36" t="s">
        <v>10654</v>
      </c>
      <c r="G1235" s="36">
        <v>40</v>
      </c>
      <c r="H1235" s="36" t="s">
        <v>10064</v>
      </c>
      <c r="I1235" s="36" t="s">
        <v>10056</v>
      </c>
      <c r="J1235" s="36" t="s">
        <v>10115</v>
      </c>
      <c r="K1235" s="36" t="s">
        <v>10116</v>
      </c>
      <c r="L1235" s="36" t="s">
        <v>10066</v>
      </c>
      <c r="M1235" s="36">
        <v>1</v>
      </c>
      <c r="N1235" s="316"/>
      <c r="O1235" s="1474"/>
      <c r="P1235" s="1475"/>
      <c r="Q1235" s="1476"/>
    </row>
    <row r="1236" spans="1:17" ht="11.1" customHeight="1">
      <c r="A1236" s="250" t="s">
        <v>10655</v>
      </c>
      <c r="B1236" s="194" t="s">
        <v>10051</v>
      </c>
      <c r="C1236" s="36">
        <v>2</v>
      </c>
      <c r="D1236" s="36" t="s">
        <v>10571</v>
      </c>
      <c r="E1236" s="195">
        <v>90.89</v>
      </c>
      <c r="F1236" s="36" t="s">
        <v>10656</v>
      </c>
      <c r="G1236" s="36">
        <v>36</v>
      </c>
      <c r="H1236" s="36" t="s">
        <v>10064</v>
      </c>
      <c r="I1236" s="36" t="s">
        <v>10056</v>
      </c>
      <c r="J1236" s="36" t="s">
        <v>10115</v>
      </c>
      <c r="K1236" s="36" t="s">
        <v>10116</v>
      </c>
      <c r="L1236" s="36" t="s">
        <v>10066</v>
      </c>
      <c r="M1236" s="36">
        <v>2</v>
      </c>
      <c r="N1236" s="316"/>
      <c r="O1236" s="1474"/>
      <c r="P1236" s="1475"/>
      <c r="Q1236" s="1476"/>
    </row>
    <row r="1237" spans="1:17" ht="11.1" customHeight="1">
      <c r="A1237" s="250" t="s">
        <v>10657</v>
      </c>
      <c r="B1237" s="194" t="s">
        <v>10051</v>
      </c>
      <c r="C1237" s="36">
        <v>2</v>
      </c>
      <c r="D1237" s="36" t="s">
        <v>10556</v>
      </c>
      <c r="E1237" s="195">
        <v>89.51</v>
      </c>
      <c r="F1237" s="36" t="s">
        <v>10658</v>
      </c>
      <c r="G1237" s="36">
        <v>69</v>
      </c>
      <c r="H1237" s="36" t="s">
        <v>10064</v>
      </c>
      <c r="I1237" s="36" t="s">
        <v>10056</v>
      </c>
      <c r="J1237" s="36" t="s">
        <v>10115</v>
      </c>
      <c r="K1237" s="36" t="s">
        <v>10140</v>
      </c>
      <c r="L1237" s="36" t="s">
        <v>10066</v>
      </c>
      <c r="M1237" s="36">
        <v>3</v>
      </c>
      <c r="N1237" s="316"/>
      <c r="O1237" s="1474"/>
      <c r="P1237" s="1475"/>
      <c r="Q1237" s="1476"/>
    </row>
    <row r="1238" spans="1:17" ht="11.1" customHeight="1">
      <c r="A1238" s="250" t="s">
        <v>10659</v>
      </c>
      <c r="B1238" s="194" t="s">
        <v>10051</v>
      </c>
      <c r="C1238" s="36">
        <v>2</v>
      </c>
      <c r="D1238" s="36" t="s">
        <v>10587</v>
      </c>
      <c r="E1238" s="195">
        <v>88.07</v>
      </c>
      <c r="F1238" s="36" t="s">
        <v>10660</v>
      </c>
      <c r="G1238" s="36">
        <v>51</v>
      </c>
      <c r="H1238" s="36" t="s">
        <v>10064</v>
      </c>
      <c r="I1238" s="36" t="s">
        <v>10056</v>
      </c>
      <c r="J1238" s="36" t="s">
        <v>10115</v>
      </c>
      <c r="K1238" s="36" t="s">
        <v>10116</v>
      </c>
      <c r="L1238" s="36" t="s">
        <v>10066</v>
      </c>
      <c r="M1238" s="36">
        <v>1</v>
      </c>
      <c r="N1238" s="316"/>
      <c r="O1238" s="1474"/>
      <c r="P1238" s="1475"/>
      <c r="Q1238" s="1476"/>
    </row>
    <row r="1239" spans="1:17" ht="11.1" customHeight="1">
      <c r="A1239" s="250" t="s">
        <v>10661</v>
      </c>
      <c r="B1239" s="194" t="s">
        <v>10051</v>
      </c>
      <c r="C1239" s="36">
        <v>2</v>
      </c>
      <c r="D1239" s="36" t="s">
        <v>10574</v>
      </c>
      <c r="E1239" s="195">
        <v>84.85</v>
      </c>
      <c r="F1239" s="36" t="s">
        <v>10662</v>
      </c>
      <c r="G1239" s="36">
        <v>43</v>
      </c>
      <c r="H1239" s="36" t="s">
        <v>10064</v>
      </c>
      <c r="I1239" s="36" t="s">
        <v>10056</v>
      </c>
      <c r="J1239" s="36" t="s">
        <v>10115</v>
      </c>
      <c r="K1239" s="36" t="s">
        <v>10116</v>
      </c>
      <c r="L1239" s="36" t="s">
        <v>10066</v>
      </c>
      <c r="M1239" s="36">
        <v>1</v>
      </c>
      <c r="N1239" s="316"/>
      <c r="O1239" s="1474"/>
      <c r="P1239" s="1475"/>
      <c r="Q1239" s="1476"/>
    </row>
    <row r="1240" spans="1:17" ht="11.1" customHeight="1">
      <c r="A1240" s="250" t="s">
        <v>10663</v>
      </c>
      <c r="B1240" s="187"/>
      <c r="C1240" s="42">
        <v>2</v>
      </c>
      <c r="D1240" s="42" t="s">
        <v>10664</v>
      </c>
      <c r="E1240" s="188">
        <v>83.25</v>
      </c>
      <c r="F1240" s="42" t="s">
        <v>10665</v>
      </c>
      <c r="G1240" s="42">
        <v>64</v>
      </c>
      <c r="H1240" s="42" t="s">
        <v>10064</v>
      </c>
      <c r="I1240" s="42" t="s">
        <v>10056</v>
      </c>
      <c r="J1240" s="42" t="s">
        <v>10115</v>
      </c>
      <c r="K1240" s="42" t="s">
        <v>10127</v>
      </c>
      <c r="L1240" s="42" t="s">
        <v>10066</v>
      </c>
      <c r="M1240" s="42">
        <v>4</v>
      </c>
      <c r="N1240" s="308"/>
      <c r="O1240" s="1474"/>
      <c r="P1240" s="1475"/>
      <c r="Q1240" s="1476"/>
    </row>
    <row r="1241" spans="1:17" ht="11.1" customHeight="1">
      <c r="A1241" s="250" t="s">
        <v>10666</v>
      </c>
      <c r="B1241" s="187"/>
      <c r="C1241" s="42">
        <v>2</v>
      </c>
      <c r="D1241" s="42" t="s">
        <v>10635</v>
      </c>
      <c r="E1241" s="188">
        <v>79.290000000000006</v>
      </c>
      <c r="F1241" s="42" t="s">
        <v>10667</v>
      </c>
      <c r="G1241" s="42">
        <v>73</v>
      </c>
      <c r="H1241" s="42" t="s">
        <v>10064</v>
      </c>
      <c r="I1241" s="42" t="s">
        <v>10056</v>
      </c>
      <c r="J1241" s="42" t="s">
        <v>10115</v>
      </c>
      <c r="K1241" s="42" t="s">
        <v>10122</v>
      </c>
      <c r="L1241" s="42" t="s">
        <v>10066</v>
      </c>
      <c r="M1241" s="42">
        <v>5</v>
      </c>
      <c r="N1241" s="308"/>
      <c r="O1241" s="1474"/>
      <c r="P1241" s="1475"/>
      <c r="Q1241" s="1476"/>
    </row>
    <row r="1242" spans="1:17" ht="11.1" customHeight="1">
      <c r="A1242" s="250" t="s">
        <v>10668</v>
      </c>
      <c r="B1242" s="187"/>
      <c r="C1242" s="42">
        <v>2</v>
      </c>
      <c r="D1242" s="42" t="s">
        <v>10577</v>
      </c>
      <c r="E1242" s="188">
        <v>78.680000000000007</v>
      </c>
      <c r="F1242" s="42" t="s">
        <v>10669</v>
      </c>
      <c r="G1242" s="42">
        <v>47</v>
      </c>
      <c r="H1242" s="42" t="s">
        <v>10064</v>
      </c>
      <c r="I1242" s="42" t="s">
        <v>10056</v>
      </c>
      <c r="J1242" s="42" t="s">
        <v>10115</v>
      </c>
      <c r="K1242" s="42" t="s">
        <v>10122</v>
      </c>
      <c r="L1242" s="42" t="s">
        <v>10066</v>
      </c>
      <c r="M1242" s="42">
        <v>1</v>
      </c>
      <c r="N1242" s="308"/>
      <c r="O1242" s="1474"/>
      <c r="P1242" s="1475"/>
      <c r="Q1242" s="1476"/>
    </row>
    <row r="1243" spans="1:17" ht="11.1" customHeight="1">
      <c r="A1243" s="250" t="s">
        <v>10670</v>
      </c>
      <c r="B1243" s="187"/>
      <c r="C1243" s="42">
        <v>2</v>
      </c>
      <c r="D1243" s="42" t="s">
        <v>10590</v>
      </c>
      <c r="E1243" s="188">
        <v>77.11</v>
      </c>
      <c r="F1243" s="42" t="s">
        <v>10671</v>
      </c>
      <c r="G1243" s="42">
        <v>62</v>
      </c>
      <c r="H1243" s="42" t="s">
        <v>10064</v>
      </c>
      <c r="I1243" s="42" t="s">
        <v>10056</v>
      </c>
      <c r="J1243" s="42" t="s">
        <v>10115</v>
      </c>
      <c r="K1243" s="42" t="s">
        <v>10140</v>
      </c>
      <c r="L1243" s="42" t="s">
        <v>10066</v>
      </c>
      <c r="M1243" s="42">
        <v>3</v>
      </c>
      <c r="N1243" s="308"/>
      <c r="O1243" s="1474"/>
      <c r="P1243" s="1475"/>
      <c r="Q1243" s="1476"/>
    </row>
    <row r="1244" spans="1:17" ht="11.1" customHeight="1">
      <c r="A1244" s="250" t="s">
        <v>10672</v>
      </c>
      <c r="B1244" s="187"/>
      <c r="C1244" s="42">
        <v>2</v>
      </c>
      <c r="D1244" s="42" t="s">
        <v>10620</v>
      </c>
      <c r="E1244" s="188">
        <v>75.73</v>
      </c>
      <c r="F1244" s="42" t="s">
        <v>10673</v>
      </c>
      <c r="G1244" s="42">
        <v>67</v>
      </c>
      <c r="H1244" s="42" t="s">
        <v>10064</v>
      </c>
      <c r="I1244" s="42" t="s">
        <v>10056</v>
      </c>
      <c r="J1244" s="42" t="s">
        <v>10115</v>
      </c>
      <c r="K1244" s="42" t="s">
        <v>10674</v>
      </c>
      <c r="L1244" s="42" t="s">
        <v>10066</v>
      </c>
      <c r="M1244" s="42">
        <v>5</v>
      </c>
      <c r="N1244" s="308" t="s">
        <v>10675</v>
      </c>
      <c r="O1244" s="1474"/>
      <c r="P1244" s="1475"/>
      <c r="Q1244" s="1476"/>
    </row>
    <row r="1245" spans="1:17" ht="11.1" customHeight="1">
      <c r="A1245" s="250" t="s">
        <v>10676</v>
      </c>
      <c r="B1245" s="187"/>
      <c r="C1245" s="42">
        <v>2</v>
      </c>
      <c r="D1245" s="42" t="s">
        <v>10584</v>
      </c>
      <c r="E1245" s="188">
        <v>73.52</v>
      </c>
      <c r="F1245" s="42" t="s">
        <v>10677</v>
      </c>
      <c r="G1245" s="42">
        <v>57</v>
      </c>
      <c r="H1245" s="42" t="s">
        <v>10064</v>
      </c>
      <c r="I1245" s="42" t="s">
        <v>10056</v>
      </c>
      <c r="J1245" s="42" t="s">
        <v>10115</v>
      </c>
      <c r="K1245" s="42" t="s">
        <v>10119</v>
      </c>
      <c r="L1245" s="42" t="s">
        <v>10066</v>
      </c>
      <c r="M1245" s="42">
        <v>3</v>
      </c>
      <c r="N1245" s="308"/>
      <c r="O1245" s="1474"/>
      <c r="P1245" s="1475"/>
      <c r="Q1245" s="1476"/>
    </row>
    <row r="1246" spans="1:17" ht="11.1" customHeight="1">
      <c r="A1246" s="250" t="s">
        <v>10678</v>
      </c>
      <c r="B1246" s="187"/>
      <c r="C1246" s="42">
        <v>2</v>
      </c>
      <c r="D1246" s="42" t="s">
        <v>10580</v>
      </c>
      <c r="E1246" s="188">
        <v>71.239999999999995</v>
      </c>
      <c r="F1246" s="42" t="s">
        <v>10679</v>
      </c>
      <c r="G1246" s="42">
        <v>31</v>
      </c>
      <c r="H1246" s="42" t="s">
        <v>10064</v>
      </c>
      <c r="I1246" s="42" t="s">
        <v>10056</v>
      </c>
      <c r="J1246" s="42" t="s">
        <v>10115</v>
      </c>
      <c r="K1246" s="42" t="s">
        <v>10116</v>
      </c>
      <c r="L1246" s="42" t="s">
        <v>10059</v>
      </c>
      <c r="M1246" s="42"/>
      <c r="N1246" s="308"/>
      <c r="O1246" s="1474"/>
      <c r="P1246" s="1475"/>
      <c r="Q1246" s="1476"/>
    </row>
    <row r="1247" spans="1:17" ht="11.1" customHeight="1">
      <c r="A1247" s="250" t="s">
        <v>10680</v>
      </c>
      <c r="B1247" s="187"/>
      <c r="C1247" s="42">
        <v>2</v>
      </c>
      <c r="D1247" s="42" t="s">
        <v>10605</v>
      </c>
      <c r="E1247" s="188">
        <v>70.95</v>
      </c>
      <c r="F1247" s="42" t="s">
        <v>10681</v>
      </c>
      <c r="G1247" s="42">
        <v>59</v>
      </c>
      <c r="H1247" s="42" t="s">
        <v>10064</v>
      </c>
      <c r="I1247" s="42" t="s">
        <v>10056</v>
      </c>
      <c r="J1247" s="42" t="s">
        <v>10115</v>
      </c>
      <c r="K1247" s="42" t="s">
        <v>10116</v>
      </c>
      <c r="L1247" s="42" t="s">
        <v>10066</v>
      </c>
      <c r="M1247" s="42">
        <v>1</v>
      </c>
      <c r="N1247" s="308"/>
      <c r="O1247" s="1474"/>
      <c r="P1247" s="1475"/>
      <c r="Q1247" s="1476"/>
    </row>
    <row r="1248" spans="1:17" ht="11.1" customHeight="1">
      <c r="A1248" s="250" t="s">
        <v>10682</v>
      </c>
      <c r="B1248" s="187"/>
      <c r="C1248" s="42">
        <v>2</v>
      </c>
      <c r="D1248" s="42" t="s">
        <v>10632</v>
      </c>
      <c r="E1248" s="188">
        <v>69.6661</v>
      </c>
      <c r="F1248" s="42" t="s">
        <v>10683</v>
      </c>
      <c r="G1248" s="42">
        <v>40</v>
      </c>
      <c r="H1248" s="42" t="s">
        <v>10064</v>
      </c>
      <c r="I1248" s="42" t="s">
        <v>10056</v>
      </c>
      <c r="J1248" s="42" t="s">
        <v>10115</v>
      </c>
      <c r="K1248" s="42" t="s">
        <v>10122</v>
      </c>
      <c r="L1248" s="42" t="s">
        <v>10066</v>
      </c>
      <c r="M1248" s="42">
        <v>2</v>
      </c>
      <c r="N1248" s="308"/>
      <c r="O1248" s="1474"/>
      <c r="P1248" s="1475"/>
      <c r="Q1248" s="1476"/>
    </row>
    <row r="1249" spans="1:17" ht="11.1" customHeight="1">
      <c r="A1249" s="250" t="s">
        <v>10684</v>
      </c>
      <c r="B1249" s="187"/>
      <c r="C1249" s="42">
        <v>2</v>
      </c>
      <c r="D1249" s="42" t="s">
        <v>10647</v>
      </c>
      <c r="E1249" s="188">
        <v>69.665499999999994</v>
      </c>
      <c r="F1249" s="42" t="s">
        <v>10685</v>
      </c>
      <c r="G1249" s="42">
        <v>39</v>
      </c>
      <c r="H1249" s="42" t="s">
        <v>10064</v>
      </c>
      <c r="I1249" s="42" t="s">
        <v>10056</v>
      </c>
      <c r="J1249" s="42" t="s">
        <v>10115</v>
      </c>
      <c r="K1249" s="42" t="s">
        <v>10122</v>
      </c>
      <c r="L1249" s="42" t="s">
        <v>10066</v>
      </c>
      <c r="M1249" s="42">
        <v>2</v>
      </c>
      <c r="N1249" s="308" t="s">
        <v>10675</v>
      </c>
      <c r="O1249" s="1474"/>
      <c r="P1249" s="1475"/>
      <c r="Q1249" s="1476"/>
    </row>
    <row r="1250" spans="1:17" ht="11.1" customHeight="1">
      <c r="A1250" s="250" t="s">
        <v>10686</v>
      </c>
      <c r="B1250" s="187"/>
      <c r="C1250" s="42">
        <v>2</v>
      </c>
      <c r="D1250" s="42" t="s">
        <v>10596</v>
      </c>
      <c r="E1250" s="188">
        <v>69.58</v>
      </c>
      <c r="F1250" s="42" t="s">
        <v>10687</v>
      </c>
      <c r="G1250" s="42">
        <v>42</v>
      </c>
      <c r="H1250" s="42" t="s">
        <v>10064</v>
      </c>
      <c r="I1250" s="42" t="s">
        <v>10056</v>
      </c>
      <c r="J1250" s="42" t="s">
        <v>10115</v>
      </c>
      <c r="K1250" s="42" t="s">
        <v>10116</v>
      </c>
      <c r="L1250" s="42" t="s">
        <v>10059</v>
      </c>
      <c r="M1250" s="42"/>
      <c r="N1250" s="308"/>
      <c r="O1250" s="1474"/>
      <c r="P1250" s="1475"/>
      <c r="Q1250" s="1476"/>
    </row>
    <row r="1251" spans="1:17" ht="11.1" customHeight="1">
      <c r="A1251" s="250" t="s">
        <v>10688</v>
      </c>
      <c r="B1251" s="187"/>
      <c r="C1251" s="42">
        <v>2</v>
      </c>
      <c r="D1251" s="42" t="s">
        <v>10617</v>
      </c>
      <c r="E1251" s="188">
        <v>65.48</v>
      </c>
      <c r="F1251" s="42" t="s">
        <v>10689</v>
      </c>
      <c r="G1251" s="42">
        <v>69</v>
      </c>
      <c r="H1251" s="42" t="s">
        <v>10054</v>
      </c>
      <c r="I1251" s="42" t="s">
        <v>10056</v>
      </c>
      <c r="J1251" s="42" t="s">
        <v>10115</v>
      </c>
      <c r="K1251" s="42" t="s">
        <v>10674</v>
      </c>
      <c r="L1251" s="42" t="s">
        <v>10066</v>
      </c>
      <c r="M1251" s="42">
        <v>2</v>
      </c>
      <c r="N1251" s="308"/>
      <c r="O1251" s="1474"/>
      <c r="P1251" s="1475"/>
      <c r="Q1251" s="1476"/>
    </row>
    <row r="1252" spans="1:17" ht="11.1" customHeight="1">
      <c r="A1252" s="250" t="s">
        <v>10690</v>
      </c>
      <c r="B1252" s="187"/>
      <c r="C1252" s="42">
        <v>2</v>
      </c>
      <c r="D1252" s="42" t="s">
        <v>10602</v>
      </c>
      <c r="E1252" s="188">
        <v>64.41</v>
      </c>
      <c r="F1252" s="42" t="s">
        <v>10691</v>
      </c>
      <c r="G1252" s="42">
        <v>40</v>
      </c>
      <c r="H1252" s="42" t="s">
        <v>10054</v>
      </c>
      <c r="I1252" s="42" t="s">
        <v>10056</v>
      </c>
      <c r="J1252" s="42" t="s">
        <v>10115</v>
      </c>
      <c r="K1252" s="42" t="s">
        <v>10116</v>
      </c>
      <c r="L1252" s="42" t="s">
        <v>10066</v>
      </c>
      <c r="M1252" s="42">
        <v>1</v>
      </c>
      <c r="N1252" s="308"/>
      <c r="O1252" s="1474"/>
      <c r="P1252" s="1475"/>
      <c r="Q1252" s="1476"/>
    </row>
    <row r="1253" spans="1:17" ht="11.1" customHeight="1">
      <c r="A1253" s="250" t="s">
        <v>10692</v>
      </c>
      <c r="B1253" s="187"/>
      <c r="C1253" s="42">
        <v>2</v>
      </c>
      <c r="D1253" s="42" t="s">
        <v>10623</v>
      </c>
      <c r="E1253" s="188">
        <v>63.78</v>
      </c>
      <c r="F1253" s="42" t="s">
        <v>10693</v>
      </c>
      <c r="G1253" s="42">
        <v>60</v>
      </c>
      <c r="H1253" s="42" t="s">
        <v>10064</v>
      </c>
      <c r="I1253" s="42" t="s">
        <v>10056</v>
      </c>
      <c r="J1253" s="42" t="s">
        <v>10115</v>
      </c>
      <c r="K1253" s="42" t="s">
        <v>10116</v>
      </c>
      <c r="L1253" s="42" t="s">
        <v>10066</v>
      </c>
      <c r="M1253" s="42">
        <v>2</v>
      </c>
      <c r="N1253" s="308" t="s">
        <v>10694</v>
      </c>
      <c r="O1253" s="1474"/>
      <c r="P1253" s="1475"/>
      <c r="Q1253" s="1476"/>
    </row>
    <row r="1254" spans="1:17" ht="11.1" customHeight="1">
      <c r="A1254" s="250" t="s">
        <v>10695</v>
      </c>
      <c r="B1254" s="187"/>
      <c r="C1254" s="42">
        <v>2</v>
      </c>
      <c r="D1254" s="42" t="s">
        <v>10608</v>
      </c>
      <c r="E1254" s="188">
        <v>59.12</v>
      </c>
      <c r="F1254" s="42" t="s">
        <v>10696</v>
      </c>
      <c r="G1254" s="42">
        <v>58</v>
      </c>
      <c r="H1254" s="42" t="s">
        <v>10064</v>
      </c>
      <c r="I1254" s="42" t="s">
        <v>10056</v>
      </c>
      <c r="J1254" s="42" t="s">
        <v>10115</v>
      </c>
      <c r="K1254" s="42" t="s">
        <v>10119</v>
      </c>
      <c r="L1254" s="42" t="s">
        <v>10066</v>
      </c>
      <c r="M1254" s="42">
        <v>5</v>
      </c>
      <c r="N1254" s="308" t="s">
        <v>10694</v>
      </c>
      <c r="O1254" s="1474"/>
      <c r="P1254" s="1475"/>
      <c r="Q1254" s="1476"/>
    </row>
    <row r="1255" spans="1:17" ht="11.1" customHeight="1">
      <c r="A1255" s="250" t="s">
        <v>10697</v>
      </c>
      <c r="B1255" s="187"/>
      <c r="C1255" s="42">
        <v>2</v>
      </c>
      <c r="D1255" s="42" t="s">
        <v>10614</v>
      </c>
      <c r="E1255" s="188">
        <v>58.12</v>
      </c>
      <c r="F1255" s="42" t="s">
        <v>10698</v>
      </c>
      <c r="G1255" s="42">
        <v>68</v>
      </c>
      <c r="H1255" s="42" t="s">
        <v>10064</v>
      </c>
      <c r="I1255" s="42" t="s">
        <v>10056</v>
      </c>
      <c r="J1255" s="42" t="s">
        <v>10115</v>
      </c>
      <c r="K1255" s="42" t="s">
        <v>10119</v>
      </c>
      <c r="L1255" s="42" t="s">
        <v>10066</v>
      </c>
      <c r="M1255" s="42">
        <v>1</v>
      </c>
      <c r="N1255" s="308"/>
      <c r="O1255" s="1474"/>
      <c r="P1255" s="1475"/>
      <c r="Q1255" s="1476"/>
    </row>
    <row r="1256" spans="1:17" ht="11.1" customHeight="1">
      <c r="A1256" s="250" t="s">
        <v>10699</v>
      </c>
      <c r="B1256" s="187"/>
      <c r="C1256" s="42">
        <v>2</v>
      </c>
      <c r="D1256" s="42" t="s">
        <v>10611</v>
      </c>
      <c r="E1256" s="188">
        <v>57.29</v>
      </c>
      <c r="F1256" s="42" t="s">
        <v>10700</v>
      </c>
      <c r="G1256" s="42">
        <v>54</v>
      </c>
      <c r="H1256" s="42" t="s">
        <v>10064</v>
      </c>
      <c r="I1256" s="42" t="s">
        <v>10056</v>
      </c>
      <c r="J1256" s="42" t="s">
        <v>10115</v>
      </c>
      <c r="K1256" s="42" t="s">
        <v>10127</v>
      </c>
      <c r="L1256" s="42" t="s">
        <v>10066</v>
      </c>
      <c r="M1256" s="42">
        <v>2</v>
      </c>
      <c r="N1256" s="308"/>
      <c r="O1256" s="1474"/>
      <c r="P1256" s="1475"/>
      <c r="Q1256" s="1476"/>
    </row>
    <row r="1257" spans="1:17" ht="11.1" customHeight="1">
      <c r="A1257" s="250" t="s">
        <v>10701</v>
      </c>
      <c r="B1257" s="187"/>
      <c r="C1257" s="42">
        <v>2</v>
      </c>
      <c r="D1257" s="42" t="s">
        <v>10593</v>
      </c>
      <c r="E1257" s="188">
        <v>56.46</v>
      </c>
      <c r="F1257" s="42" t="s">
        <v>10702</v>
      </c>
      <c r="G1257" s="42">
        <v>48</v>
      </c>
      <c r="H1257" s="42" t="s">
        <v>10064</v>
      </c>
      <c r="I1257" s="42" t="s">
        <v>10056</v>
      </c>
      <c r="J1257" s="42" t="s">
        <v>10115</v>
      </c>
      <c r="K1257" s="42" t="s">
        <v>10140</v>
      </c>
      <c r="L1257" s="42" t="s">
        <v>10066</v>
      </c>
      <c r="M1257" s="42">
        <v>2</v>
      </c>
      <c r="N1257" s="308"/>
      <c r="O1257" s="1474"/>
      <c r="P1257" s="1475"/>
      <c r="Q1257" s="1476"/>
    </row>
    <row r="1258" spans="1:17" ht="11.1" customHeight="1">
      <c r="A1258" s="250" t="s">
        <v>10703</v>
      </c>
      <c r="B1258" s="187"/>
      <c r="C1258" s="42">
        <v>2</v>
      </c>
      <c r="D1258" s="42" t="s">
        <v>10629</v>
      </c>
      <c r="E1258" s="188">
        <v>55.41</v>
      </c>
      <c r="F1258" s="42" t="s">
        <v>10704</v>
      </c>
      <c r="G1258" s="42">
        <v>60</v>
      </c>
      <c r="H1258" s="42" t="s">
        <v>10064</v>
      </c>
      <c r="I1258" s="42" t="s">
        <v>10056</v>
      </c>
      <c r="J1258" s="42" t="s">
        <v>10115</v>
      </c>
      <c r="K1258" s="42" t="s">
        <v>10674</v>
      </c>
      <c r="L1258" s="42" t="s">
        <v>10066</v>
      </c>
      <c r="M1258" s="42">
        <v>1</v>
      </c>
      <c r="N1258" s="308"/>
      <c r="O1258" s="1474"/>
      <c r="P1258" s="1475"/>
      <c r="Q1258" s="1476"/>
    </row>
    <row r="1259" spans="1:17" ht="11.1" customHeight="1">
      <c r="A1259" s="250" t="s">
        <v>10705</v>
      </c>
      <c r="B1259" s="187"/>
      <c r="C1259" s="42">
        <v>2</v>
      </c>
      <c r="D1259" s="42" t="s">
        <v>10641</v>
      </c>
      <c r="E1259" s="188">
        <v>55.25</v>
      </c>
      <c r="F1259" s="42" t="s">
        <v>10706</v>
      </c>
      <c r="G1259" s="42">
        <v>31</v>
      </c>
      <c r="H1259" s="42" t="s">
        <v>10064</v>
      </c>
      <c r="I1259" s="42" t="s">
        <v>10056</v>
      </c>
      <c r="J1259" s="42" t="s">
        <v>10115</v>
      </c>
      <c r="K1259" s="42" t="s">
        <v>10674</v>
      </c>
      <c r="L1259" s="42" t="s">
        <v>10059</v>
      </c>
      <c r="M1259" s="42"/>
      <c r="N1259" s="308" t="s">
        <v>10675</v>
      </c>
      <c r="O1259" s="1474"/>
      <c r="P1259" s="1475"/>
      <c r="Q1259" s="1476"/>
    </row>
    <row r="1260" spans="1:17" ht="11.1" customHeight="1">
      <c r="A1260" s="250" t="s">
        <v>10707</v>
      </c>
      <c r="B1260" s="187"/>
      <c r="C1260" s="42">
        <v>2</v>
      </c>
      <c r="D1260" s="42" t="s">
        <v>10550</v>
      </c>
      <c r="E1260" s="188">
        <v>53.06</v>
      </c>
      <c r="F1260" s="42" t="s">
        <v>10708</v>
      </c>
      <c r="G1260" s="42">
        <v>34</v>
      </c>
      <c r="H1260" s="42" t="s">
        <v>10064</v>
      </c>
      <c r="I1260" s="42" t="s">
        <v>10056</v>
      </c>
      <c r="J1260" s="42" t="s">
        <v>10115</v>
      </c>
      <c r="K1260" s="212" t="s">
        <v>10116</v>
      </c>
      <c r="L1260" s="42" t="s">
        <v>10059</v>
      </c>
      <c r="M1260" s="42"/>
      <c r="N1260" s="308"/>
      <c r="O1260" s="1474"/>
      <c r="P1260" s="1475"/>
      <c r="Q1260" s="1476"/>
    </row>
    <row r="1261" spans="1:17" ht="11.1" customHeight="1">
      <c r="A1261" s="250" t="s">
        <v>10709</v>
      </c>
      <c r="B1261" s="187"/>
      <c r="C1261" s="42">
        <v>2</v>
      </c>
      <c r="D1261" s="42" t="s">
        <v>10644</v>
      </c>
      <c r="E1261" s="188">
        <v>52.94</v>
      </c>
      <c r="F1261" s="42" t="s">
        <v>10710</v>
      </c>
      <c r="G1261" s="42">
        <v>42</v>
      </c>
      <c r="H1261" s="42" t="s">
        <v>10064</v>
      </c>
      <c r="I1261" s="42" t="s">
        <v>10056</v>
      </c>
      <c r="J1261" s="42" t="s">
        <v>10115</v>
      </c>
      <c r="K1261" s="42" t="s">
        <v>10116</v>
      </c>
      <c r="L1261" s="42" t="s">
        <v>10059</v>
      </c>
      <c r="M1261" s="42"/>
      <c r="N1261" s="308" t="s">
        <v>10711</v>
      </c>
      <c r="O1261" s="1474"/>
      <c r="P1261" s="1475"/>
      <c r="Q1261" s="1476"/>
    </row>
    <row r="1262" spans="1:17" ht="11.1" customHeight="1">
      <c r="A1262" s="250" t="s">
        <v>10712</v>
      </c>
      <c r="B1262" s="187"/>
      <c r="C1262" s="42">
        <v>2</v>
      </c>
      <c r="D1262" s="42" t="s">
        <v>10713</v>
      </c>
      <c r="E1262" s="188">
        <v>50.57</v>
      </c>
      <c r="F1262" s="42" t="s">
        <v>10714</v>
      </c>
      <c r="G1262" s="42">
        <v>53</v>
      </c>
      <c r="H1262" s="42" t="s">
        <v>10064</v>
      </c>
      <c r="I1262" s="42" t="s">
        <v>10056</v>
      </c>
      <c r="J1262" s="42" t="s">
        <v>10115</v>
      </c>
      <c r="K1262" s="42" t="s">
        <v>10122</v>
      </c>
      <c r="L1262" s="42" t="s">
        <v>10070</v>
      </c>
      <c r="M1262" s="42">
        <v>2</v>
      </c>
      <c r="N1262" s="308" t="s">
        <v>10675</v>
      </c>
      <c r="O1262" s="1474"/>
      <c r="P1262" s="1475"/>
      <c r="Q1262" s="1476"/>
    </row>
    <row r="1263" spans="1:17" ht="11.1" customHeight="1">
      <c r="A1263" s="250" t="s">
        <v>10715</v>
      </c>
      <c r="B1263" s="187"/>
      <c r="C1263" s="42">
        <v>2</v>
      </c>
      <c r="D1263" s="42" t="s">
        <v>10599</v>
      </c>
      <c r="E1263" s="188">
        <v>48.62</v>
      </c>
      <c r="F1263" s="42" t="s">
        <v>10716</v>
      </c>
      <c r="G1263" s="42">
        <v>39</v>
      </c>
      <c r="H1263" s="42" t="s">
        <v>10064</v>
      </c>
      <c r="I1263" s="42" t="s">
        <v>10056</v>
      </c>
      <c r="J1263" s="42" t="s">
        <v>10115</v>
      </c>
      <c r="K1263" s="212" t="s">
        <v>10116</v>
      </c>
      <c r="L1263" s="42" t="s">
        <v>10059</v>
      </c>
      <c r="M1263" s="42"/>
      <c r="N1263" s="308"/>
      <c r="O1263" s="1474"/>
      <c r="P1263" s="1475"/>
      <c r="Q1263" s="1476"/>
    </row>
    <row r="1264" spans="1:17" ht="11.1" customHeight="1">
      <c r="A1264" s="250" t="s">
        <v>10717</v>
      </c>
      <c r="B1264" s="187"/>
      <c r="C1264" s="42">
        <v>2</v>
      </c>
      <c r="D1264" s="42" t="s">
        <v>10638</v>
      </c>
      <c r="E1264" s="188">
        <v>44.7</v>
      </c>
      <c r="F1264" s="42" t="s">
        <v>10718</v>
      </c>
      <c r="G1264" s="42">
        <v>42</v>
      </c>
      <c r="H1264" s="42" t="s">
        <v>10064</v>
      </c>
      <c r="I1264" s="42" t="s">
        <v>10056</v>
      </c>
      <c r="J1264" s="42" t="s">
        <v>10115</v>
      </c>
      <c r="K1264" s="42" t="s">
        <v>10119</v>
      </c>
      <c r="L1264" s="42" t="s">
        <v>10059</v>
      </c>
      <c r="M1264" s="42"/>
      <c r="N1264" s="308" t="s">
        <v>10719</v>
      </c>
      <c r="O1264" s="1474"/>
      <c r="P1264" s="1475"/>
      <c r="Q1264" s="1476"/>
    </row>
    <row r="1265" spans="1:17" ht="11.1" customHeight="1">
      <c r="A1265" s="250" t="s">
        <v>10720</v>
      </c>
      <c r="B1265" s="187"/>
      <c r="C1265" s="42">
        <v>2</v>
      </c>
      <c r="D1265" s="42" t="s">
        <v>10721</v>
      </c>
      <c r="E1265" s="188">
        <v>25.66</v>
      </c>
      <c r="F1265" s="42" t="s">
        <v>10722</v>
      </c>
      <c r="G1265" s="42">
        <v>60</v>
      </c>
      <c r="H1265" s="42" t="s">
        <v>10064</v>
      </c>
      <c r="I1265" s="42" t="s">
        <v>10056</v>
      </c>
      <c r="J1265" s="42" t="s">
        <v>10115</v>
      </c>
      <c r="K1265" s="42" t="s">
        <v>10127</v>
      </c>
      <c r="L1265" s="42" t="s">
        <v>10059</v>
      </c>
      <c r="M1265" s="42"/>
      <c r="N1265" s="308" t="s">
        <v>10711</v>
      </c>
      <c r="O1265" s="1474"/>
      <c r="P1265" s="1475"/>
      <c r="Q1265" s="1476"/>
    </row>
    <row r="1266" spans="1:17" ht="11.1" customHeight="1">
      <c r="A1266" s="250" t="s">
        <v>10723</v>
      </c>
      <c r="B1266" s="187"/>
      <c r="C1266" s="42">
        <v>36</v>
      </c>
      <c r="D1266" s="42" t="s">
        <v>10061</v>
      </c>
      <c r="E1266" s="309" t="s">
        <v>10062</v>
      </c>
      <c r="F1266" s="42" t="s">
        <v>10724</v>
      </c>
      <c r="G1266" s="42">
        <v>50</v>
      </c>
      <c r="H1266" s="42" t="s">
        <v>10064</v>
      </c>
      <c r="I1266" s="42"/>
      <c r="J1266" s="42" t="s">
        <v>10115</v>
      </c>
      <c r="K1266" s="42" t="s">
        <v>10140</v>
      </c>
      <c r="L1266" s="42" t="s">
        <v>10059</v>
      </c>
      <c r="M1266" s="42"/>
      <c r="N1266" s="310"/>
      <c r="O1266" s="1474"/>
      <c r="P1266" s="1475"/>
      <c r="Q1266" s="1476"/>
    </row>
    <row r="1267" spans="1:17" ht="11.1" customHeight="1">
      <c r="A1267" s="250" t="s">
        <v>10725</v>
      </c>
      <c r="B1267" s="194" t="s">
        <v>10098</v>
      </c>
      <c r="C1267" s="36">
        <v>2</v>
      </c>
      <c r="D1267" s="36" t="s">
        <v>10547</v>
      </c>
      <c r="E1267" s="317" t="s">
        <v>10100</v>
      </c>
      <c r="F1267" s="36" t="s">
        <v>10726</v>
      </c>
      <c r="G1267" s="36">
        <v>48</v>
      </c>
      <c r="H1267" s="36" t="s">
        <v>10064</v>
      </c>
      <c r="I1267" s="36" t="s">
        <v>10056</v>
      </c>
      <c r="J1267" s="36" t="s">
        <v>10115</v>
      </c>
      <c r="K1267" s="36" t="s">
        <v>10140</v>
      </c>
      <c r="L1267" s="36" t="s">
        <v>10066</v>
      </c>
      <c r="M1267" s="36">
        <v>3</v>
      </c>
      <c r="N1267" s="316"/>
      <c r="O1267" s="1474"/>
      <c r="P1267" s="1475"/>
      <c r="Q1267" s="1476"/>
    </row>
    <row r="1268" spans="1:17" ht="11.1" customHeight="1">
      <c r="A1268" s="945" t="s">
        <v>10727</v>
      </c>
      <c r="B1268" s="318" t="s">
        <v>10098</v>
      </c>
      <c r="C1268" s="141">
        <v>2</v>
      </c>
      <c r="D1268" s="141" t="s">
        <v>10553</v>
      </c>
      <c r="E1268" s="319" t="s">
        <v>10138</v>
      </c>
      <c r="F1268" s="141" t="s">
        <v>10728</v>
      </c>
      <c r="G1268" s="141">
        <v>51</v>
      </c>
      <c r="H1268" s="141" t="s">
        <v>10064</v>
      </c>
      <c r="I1268" s="141" t="s">
        <v>10056</v>
      </c>
      <c r="J1268" s="141" t="s">
        <v>10115</v>
      </c>
      <c r="K1268" s="141" t="s">
        <v>10119</v>
      </c>
      <c r="L1268" s="141" t="s">
        <v>10066</v>
      </c>
      <c r="M1268" s="141">
        <v>4</v>
      </c>
      <c r="N1268" s="320"/>
      <c r="O1268" s="1474"/>
      <c r="P1268" s="1475"/>
      <c r="Q1268" s="1476"/>
    </row>
    <row r="1269" spans="1:17" ht="11.1" customHeight="1">
      <c r="A1269" s="946" t="s">
        <v>10729</v>
      </c>
      <c r="B1269" s="197" t="s">
        <v>10051</v>
      </c>
      <c r="C1269" s="198">
        <v>1</v>
      </c>
      <c r="D1269" s="198" t="s">
        <v>10061</v>
      </c>
      <c r="E1269" s="321" t="s">
        <v>10129</v>
      </c>
      <c r="F1269" s="198" t="s">
        <v>10730</v>
      </c>
      <c r="G1269" s="198">
        <v>51</v>
      </c>
      <c r="H1269" s="198" t="s">
        <v>10064</v>
      </c>
      <c r="I1269" s="198"/>
      <c r="J1269" s="198" t="s">
        <v>10153</v>
      </c>
      <c r="K1269" s="198"/>
      <c r="L1269" s="198" t="s">
        <v>10066</v>
      </c>
      <c r="M1269" s="198">
        <v>3</v>
      </c>
      <c r="N1269" s="322"/>
      <c r="O1269" s="1474">
        <v>3</v>
      </c>
      <c r="P1269" s="1475">
        <v>1007504</v>
      </c>
      <c r="Q1269" s="1476">
        <f>P1269*100/SUM(P1195:P1283)</f>
        <v>12.169070536725746</v>
      </c>
    </row>
    <row r="1270" spans="1:17" ht="11.1" customHeight="1">
      <c r="A1270" s="250" t="s">
        <v>10731</v>
      </c>
      <c r="B1270" s="231" t="s">
        <v>10051</v>
      </c>
      <c r="C1270" s="232">
        <v>2</v>
      </c>
      <c r="D1270" s="232" t="s">
        <v>10061</v>
      </c>
      <c r="E1270" s="348" t="s">
        <v>10129</v>
      </c>
      <c r="F1270" s="232" t="s">
        <v>10732</v>
      </c>
      <c r="G1270" s="232">
        <v>49</v>
      </c>
      <c r="H1270" s="232" t="s">
        <v>10054</v>
      </c>
      <c r="I1270" s="232"/>
      <c r="J1270" s="232" t="s">
        <v>10153</v>
      </c>
      <c r="K1270" s="232"/>
      <c r="L1270" s="232" t="s">
        <v>10066</v>
      </c>
      <c r="M1270" s="232">
        <v>1</v>
      </c>
      <c r="N1270" s="349"/>
      <c r="O1270" s="1474"/>
      <c r="P1270" s="1475"/>
      <c r="Q1270" s="1476"/>
    </row>
    <row r="1271" spans="1:17" ht="11.1" customHeight="1">
      <c r="A1271" s="250" t="s">
        <v>10733</v>
      </c>
      <c r="B1271" s="231" t="s">
        <v>10051</v>
      </c>
      <c r="C1271" s="232">
        <v>3</v>
      </c>
      <c r="D1271" s="232" t="s">
        <v>10061</v>
      </c>
      <c r="E1271" s="348" t="s">
        <v>10129</v>
      </c>
      <c r="F1271" s="232" t="s">
        <v>10734</v>
      </c>
      <c r="G1271" s="232">
        <v>43</v>
      </c>
      <c r="H1271" s="232" t="s">
        <v>10064</v>
      </c>
      <c r="I1271" s="232"/>
      <c r="J1271" s="232" t="s">
        <v>10153</v>
      </c>
      <c r="K1271" s="232"/>
      <c r="L1271" s="232" t="s">
        <v>10059</v>
      </c>
      <c r="M1271" s="232"/>
      <c r="N1271" s="349"/>
      <c r="O1271" s="1474"/>
      <c r="P1271" s="1475"/>
      <c r="Q1271" s="1476"/>
    </row>
    <row r="1272" spans="1:17" ht="11.1" customHeight="1">
      <c r="A1272" s="250" t="s">
        <v>10735</v>
      </c>
      <c r="B1272" s="187"/>
      <c r="C1272" s="42">
        <v>4</v>
      </c>
      <c r="D1272" s="42" t="s">
        <v>10061</v>
      </c>
      <c r="E1272" s="309" t="s">
        <v>10062</v>
      </c>
      <c r="F1272" s="42" t="s">
        <v>10736</v>
      </c>
      <c r="G1272" s="42">
        <v>44</v>
      </c>
      <c r="H1272" s="42" t="s">
        <v>10064</v>
      </c>
      <c r="I1272" s="42"/>
      <c r="J1272" s="42" t="s">
        <v>10153</v>
      </c>
      <c r="K1272" s="42"/>
      <c r="L1272" s="42" t="s">
        <v>10059</v>
      </c>
      <c r="M1272" s="42"/>
      <c r="N1272" s="310"/>
      <c r="O1272" s="1474"/>
      <c r="P1272" s="1475"/>
      <c r="Q1272" s="1476"/>
    </row>
    <row r="1273" spans="1:17" ht="11.1" customHeight="1">
      <c r="A1273" s="945" t="s">
        <v>10737</v>
      </c>
      <c r="B1273" s="190"/>
      <c r="C1273" s="49">
        <v>5</v>
      </c>
      <c r="D1273" s="49" t="s">
        <v>10061</v>
      </c>
      <c r="E1273" s="323" t="s">
        <v>10062</v>
      </c>
      <c r="F1273" s="49" t="s">
        <v>10738</v>
      </c>
      <c r="G1273" s="49">
        <v>58</v>
      </c>
      <c r="H1273" s="49" t="s">
        <v>10064</v>
      </c>
      <c r="I1273" s="49"/>
      <c r="J1273" s="49" t="s">
        <v>10153</v>
      </c>
      <c r="K1273" s="49"/>
      <c r="L1273" s="49" t="s">
        <v>10059</v>
      </c>
      <c r="M1273" s="49"/>
      <c r="N1273" s="324"/>
      <c r="O1273" s="1474"/>
      <c r="P1273" s="1475"/>
      <c r="Q1273" s="1476"/>
    </row>
    <row r="1274" spans="1:17" ht="11.1" customHeight="1">
      <c r="A1274" s="946" t="s">
        <v>10739</v>
      </c>
      <c r="B1274" s="224" t="s">
        <v>10051</v>
      </c>
      <c r="C1274" s="225">
        <v>1</v>
      </c>
      <c r="D1274" s="225" t="s">
        <v>10061</v>
      </c>
      <c r="E1274" s="342" t="s">
        <v>10062</v>
      </c>
      <c r="F1274" s="225" t="s">
        <v>10740</v>
      </c>
      <c r="G1274" s="225">
        <v>51</v>
      </c>
      <c r="H1274" s="225" t="s">
        <v>10064</v>
      </c>
      <c r="I1274" s="225"/>
      <c r="J1274" s="225" t="s">
        <v>10158</v>
      </c>
      <c r="K1274" s="225"/>
      <c r="L1274" s="225" t="s">
        <v>10066</v>
      </c>
      <c r="M1274" s="225">
        <v>4</v>
      </c>
      <c r="N1274" s="343"/>
      <c r="O1274" s="1474">
        <v>1</v>
      </c>
      <c r="P1274" s="1475">
        <v>566945</v>
      </c>
      <c r="Q1274" s="1476">
        <f>P1274*100/SUM(P1195:P1283)</f>
        <v>6.8478077461171161</v>
      </c>
    </row>
    <row r="1275" spans="1:17" ht="11.1" customHeight="1">
      <c r="A1275" s="250" t="s">
        <v>10741</v>
      </c>
      <c r="B1275" s="187"/>
      <c r="C1275" s="42">
        <v>2</v>
      </c>
      <c r="D1275" s="42" t="s">
        <v>10620</v>
      </c>
      <c r="E1275" s="188">
        <v>20.059999999999999</v>
      </c>
      <c r="F1275" s="42" t="s">
        <v>10742</v>
      </c>
      <c r="G1275" s="42">
        <v>60</v>
      </c>
      <c r="H1275" s="42" t="s">
        <v>10064</v>
      </c>
      <c r="I1275" s="42" t="s">
        <v>10056</v>
      </c>
      <c r="J1275" s="42" t="s">
        <v>10158</v>
      </c>
      <c r="K1275" s="42"/>
      <c r="L1275" s="42" t="s">
        <v>10070</v>
      </c>
      <c r="M1275" s="42">
        <v>2</v>
      </c>
      <c r="N1275" s="308"/>
      <c r="O1275" s="1474"/>
      <c r="P1275" s="1475"/>
      <c r="Q1275" s="1476"/>
    </row>
    <row r="1276" spans="1:17" ht="11.1" customHeight="1">
      <c r="A1276" s="250" t="s">
        <v>10743</v>
      </c>
      <c r="B1276" s="187"/>
      <c r="C1276" s="42">
        <v>3</v>
      </c>
      <c r="D1276" s="42" t="s">
        <v>10061</v>
      </c>
      <c r="E1276" s="309" t="s">
        <v>10165</v>
      </c>
      <c r="F1276" s="42" t="s">
        <v>10744</v>
      </c>
      <c r="G1276" s="42">
        <v>35</v>
      </c>
      <c r="H1276" s="42" t="s">
        <v>10054</v>
      </c>
      <c r="I1276" s="42"/>
      <c r="J1276" s="42" t="s">
        <v>10158</v>
      </c>
      <c r="K1276" s="42"/>
      <c r="L1276" s="42" t="s">
        <v>10059</v>
      </c>
      <c r="M1276" s="42"/>
      <c r="N1276" s="310"/>
      <c r="O1276" s="1474"/>
      <c r="P1276" s="1475"/>
      <c r="Q1276" s="1476"/>
    </row>
    <row r="1277" spans="1:17" ht="11.1" customHeight="1">
      <c r="A1277" s="250" t="s">
        <v>10745</v>
      </c>
      <c r="B1277" s="187"/>
      <c r="C1277" s="42">
        <v>4</v>
      </c>
      <c r="D1277" s="42" t="s">
        <v>10629</v>
      </c>
      <c r="E1277" s="188">
        <v>21.77</v>
      </c>
      <c r="F1277" s="42" t="s">
        <v>10746</v>
      </c>
      <c r="G1277" s="42">
        <v>58</v>
      </c>
      <c r="H1277" s="42" t="s">
        <v>10064</v>
      </c>
      <c r="I1277" s="42" t="s">
        <v>10056</v>
      </c>
      <c r="J1277" s="42" t="s">
        <v>10158</v>
      </c>
      <c r="K1277" s="42"/>
      <c r="L1277" s="42" t="s">
        <v>10059</v>
      </c>
      <c r="M1277" s="42"/>
      <c r="N1277" s="310"/>
      <c r="O1277" s="1474"/>
      <c r="P1277" s="1475"/>
      <c r="Q1277" s="1476"/>
    </row>
    <row r="1278" spans="1:17" ht="11.1" customHeight="1">
      <c r="A1278" s="945" t="s">
        <v>10747</v>
      </c>
      <c r="B1278" s="190"/>
      <c r="C1278" s="49">
        <v>5</v>
      </c>
      <c r="D1278" s="49" t="s">
        <v>10061</v>
      </c>
      <c r="E1278" s="323" t="s">
        <v>10062</v>
      </c>
      <c r="F1278" s="49" t="s">
        <v>10748</v>
      </c>
      <c r="G1278" s="49">
        <v>44</v>
      </c>
      <c r="H1278" s="49" t="s">
        <v>10064</v>
      </c>
      <c r="I1278" s="49"/>
      <c r="J1278" s="49" t="s">
        <v>10158</v>
      </c>
      <c r="K1278" s="49"/>
      <c r="L1278" s="49" t="s">
        <v>10059</v>
      </c>
      <c r="M1278" s="49"/>
      <c r="N1278" s="324"/>
      <c r="O1278" s="1474"/>
      <c r="P1278" s="1475"/>
      <c r="Q1278" s="1476"/>
    </row>
    <row r="1279" spans="1:17" ht="11.1" customHeight="1">
      <c r="A1279" s="946" t="s">
        <v>10749</v>
      </c>
      <c r="B1279" s="228" t="s">
        <v>10051</v>
      </c>
      <c r="C1279" s="122">
        <v>1</v>
      </c>
      <c r="D1279" s="122" t="s">
        <v>10632</v>
      </c>
      <c r="E1279" s="229">
        <v>32.26</v>
      </c>
      <c r="F1279" s="122" t="s">
        <v>10750</v>
      </c>
      <c r="G1279" s="122">
        <v>57</v>
      </c>
      <c r="H1279" s="122" t="s">
        <v>10054</v>
      </c>
      <c r="I1279" s="122" t="s">
        <v>10056</v>
      </c>
      <c r="J1279" s="122" t="s">
        <v>10163</v>
      </c>
      <c r="K1279" s="122"/>
      <c r="L1279" s="122" t="s">
        <v>10066</v>
      </c>
      <c r="M1279" s="122">
        <v>2</v>
      </c>
      <c r="N1279" s="345" t="s">
        <v>10675</v>
      </c>
      <c r="O1279" s="1474">
        <v>1</v>
      </c>
      <c r="P1279" s="1475">
        <v>444753</v>
      </c>
      <c r="Q1279" s="1476">
        <f>P1279*100/SUM(P1195:P1283)</f>
        <v>5.3719197426713796</v>
      </c>
    </row>
    <row r="1280" spans="1:17" ht="11.1" customHeight="1">
      <c r="A1280" s="250" t="s">
        <v>10751</v>
      </c>
      <c r="B1280" s="187"/>
      <c r="C1280" s="42">
        <v>3</v>
      </c>
      <c r="D1280" s="42" t="s">
        <v>10061</v>
      </c>
      <c r="E1280" s="309" t="s">
        <v>10752</v>
      </c>
      <c r="F1280" s="42" t="s">
        <v>10753</v>
      </c>
      <c r="G1280" s="42">
        <v>50</v>
      </c>
      <c r="H1280" s="42" t="s">
        <v>10064</v>
      </c>
      <c r="I1280" s="42"/>
      <c r="J1280" s="42" t="s">
        <v>10163</v>
      </c>
      <c r="K1280" s="42"/>
      <c r="L1280" s="42" t="s">
        <v>10059</v>
      </c>
      <c r="M1280" s="42"/>
      <c r="N1280" s="310"/>
      <c r="O1280" s="1474"/>
      <c r="P1280" s="1475"/>
      <c r="Q1280" s="1476"/>
    </row>
    <row r="1281" spans="1:17" ht="11.1" customHeight="1">
      <c r="A1281" s="945" t="s">
        <v>10754</v>
      </c>
      <c r="B1281" s="190" t="s">
        <v>10313</v>
      </c>
      <c r="C1281" s="49">
        <v>1</v>
      </c>
      <c r="D1281" s="49" t="s">
        <v>10571</v>
      </c>
      <c r="E1281" s="201">
        <v>7.77</v>
      </c>
      <c r="F1281" s="49" t="s">
        <v>10755</v>
      </c>
      <c r="G1281" s="49">
        <v>64</v>
      </c>
      <c r="H1281" s="49" t="s">
        <v>10064</v>
      </c>
      <c r="I1281" s="49" t="s">
        <v>10056</v>
      </c>
      <c r="J1281" s="49" t="s">
        <v>10163</v>
      </c>
      <c r="K1281" s="49"/>
      <c r="L1281" s="49" t="s">
        <v>10059</v>
      </c>
      <c r="M1281" s="49"/>
      <c r="N1281" s="344"/>
      <c r="O1281" s="1474"/>
      <c r="P1281" s="1475"/>
      <c r="Q1281" s="1476"/>
    </row>
    <row r="1282" spans="1:17" ht="11.1" customHeight="1">
      <c r="A1282" s="946" t="s">
        <v>10756</v>
      </c>
      <c r="B1282" s="203" t="s">
        <v>10313</v>
      </c>
      <c r="C1282" s="204">
        <v>1</v>
      </c>
      <c r="D1282" s="204" t="s">
        <v>10617</v>
      </c>
      <c r="E1282" s="205">
        <v>13.34</v>
      </c>
      <c r="F1282" s="204" t="s">
        <v>10757</v>
      </c>
      <c r="G1282" s="204">
        <v>57</v>
      </c>
      <c r="H1282" s="204" t="s">
        <v>10064</v>
      </c>
      <c r="I1282" s="204" t="s">
        <v>10056</v>
      </c>
      <c r="J1282" s="204" t="s">
        <v>10540</v>
      </c>
      <c r="K1282" s="204"/>
      <c r="L1282" s="204" t="s">
        <v>10059</v>
      </c>
      <c r="M1282" s="204"/>
      <c r="N1282" s="346"/>
      <c r="O1282" s="1474">
        <v>0</v>
      </c>
      <c r="P1282" s="1475">
        <v>309851</v>
      </c>
      <c r="Q1282" s="1476">
        <f>P1282*100/SUM(P1195:P1283)</f>
        <v>3.7425148434894644</v>
      </c>
    </row>
    <row r="1283" spans="1:17" ht="11.1" customHeight="1" thickBot="1">
      <c r="A1283" s="948" t="s">
        <v>10758</v>
      </c>
      <c r="B1283" s="215" t="s">
        <v>10313</v>
      </c>
      <c r="C1283" s="78">
        <v>1</v>
      </c>
      <c r="D1283" s="78" t="s">
        <v>10614</v>
      </c>
      <c r="E1283" s="216">
        <v>9.51</v>
      </c>
      <c r="F1283" s="78" t="s">
        <v>10759</v>
      </c>
      <c r="G1283" s="78">
        <v>48</v>
      </c>
      <c r="H1283" s="78" t="s">
        <v>10064</v>
      </c>
      <c r="I1283" s="78" t="s">
        <v>10056</v>
      </c>
      <c r="J1283" s="78" t="s">
        <v>10540</v>
      </c>
      <c r="K1283" s="78"/>
      <c r="L1283" s="78" t="s">
        <v>10059</v>
      </c>
      <c r="M1283" s="78"/>
      <c r="N1283" s="347"/>
      <c r="O1283" s="1477"/>
      <c r="P1283" s="1478"/>
      <c r="Q1283" s="1479"/>
    </row>
    <row r="1284" spans="1:17" ht="11.1" customHeight="1">
      <c r="A1284" s="249" t="s">
        <v>10760</v>
      </c>
      <c r="B1284" s="336" t="s">
        <v>10051</v>
      </c>
      <c r="C1284" s="337">
        <v>1</v>
      </c>
      <c r="D1284" s="337" t="s">
        <v>10061</v>
      </c>
      <c r="E1284" s="338" t="s">
        <v>10062</v>
      </c>
      <c r="F1284" s="337" t="s">
        <v>10761</v>
      </c>
      <c r="G1284" s="337">
        <v>53</v>
      </c>
      <c r="H1284" s="337" t="s">
        <v>10054</v>
      </c>
      <c r="I1284" s="337"/>
      <c r="J1284" s="337" t="s">
        <v>10057</v>
      </c>
      <c r="K1284" s="337" t="s">
        <v>10058</v>
      </c>
      <c r="L1284" s="337" t="s">
        <v>10059</v>
      </c>
      <c r="M1284" s="337"/>
      <c r="N1284" s="339"/>
      <c r="O1284" s="1483">
        <v>7</v>
      </c>
      <c r="P1284" s="1484">
        <v>2665417</v>
      </c>
      <c r="Q1284" s="1485">
        <f>P1284*100/SUM(P1284:P1353)</f>
        <v>40.235175166961177</v>
      </c>
    </row>
    <row r="1285" spans="1:17" ht="11.1" customHeight="1">
      <c r="A1285" s="250" t="s">
        <v>10762</v>
      </c>
      <c r="B1285" s="302" t="s">
        <v>10051</v>
      </c>
      <c r="C1285" s="303">
        <v>2</v>
      </c>
      <c r="D1285" s="303" t="s">
        <v>10763</v>
      </c>
      <c r="E1285" s="304">
        <v>93.82</v>
      </c>
      <c r="F1285" s="303" t="s">
        <v>10764</v>
      </c>
      <c r="G1285" s="303">
        <v>63</v>
      </c>
      <c r="H1285" s="303" t="s">
        <v>10064</v>
      </c>
      <c r="I1285" s="303" t="s">
        <v>10056</v>
      </c>
      <c r="J1285" s="303" t="s">
        <v>10057</v>
      </c>
      <c r="K1285" s="303" t="s">
        <v>10058</v>
      </c>
      <c r="L1285" s="303" t="s">
        <v>10059</v>
      </c>
      <c r="M1285" s="303"/>
      <c r="N1285" s="307" t="s">
        <v>10071</v>
      </c>
      <c r="O1285" s="1474"/>
      <c r="P1285" s="1475"/>
      <c r="Q1285" s="1476"/>
    </row>
    <row r="1286" spans="1:17" ht="11.1" customHeight="1">
      <c r="A1286" s="250" t="s">
        <v>10765</v>
      </c>
      <c r="B1286" s="302" t="s">
        <v>10051</v>
      </c>
      <c r="C1286" s="303">
        <v>26</v>
      </c>
      <c r="D1286" s="303" t="s">
        <v>10061</v>
      </c>
      <c r="E1286" s="306" t="s">
        <v>10113</v>
      </c>
      <c r="F1286" s="303" t="s">
        <v>10766</v>
      </c>
      <c r="G1286" s="303">
        <v>68</v>
      </c>
      <c r="H1286" s="303" t="s">
        <v>10064</v>
      </c>
      <c r="I1286" s="303"/>
      <c r="J1286" s="303" t="s">
        <v>10057</v>
      </c>
      <c r="K1286" s="303" t="s">
        <v>10058</v>
      </c>
      <c r="L1286" s="303" t="s">
        <v>10070</v>
      </c>
      <c r="M1286" s="303">
        <v>8</v>
      </c>
      <c r="N1286" s="305"/>
      <c r="O1286" s="1474"/>
      <c r="P1286" s="1475"/>
      <c r="Q1286" s="1476"/>
    </row>
    <row r="1287" spans="1:17" ht="11.1" customHeight="1">
      <c r="A1287" s="250" t="s">
        <v>10767</v>
      </c>
      <c r="B1287" s="302" t="s">
        <v>10051</v>
      </c>
      <c r="C1287" s="303">
        <v>27</v>
      </c>
      <c r="D1287" s="303" t="s">
        <v>10061</v>
      </c>
      <c r="E1287" s="306" t="s">
        <v>10165</v>
      </c>
      <c r="F1287" s="303" t="s">
        <v>10768</v>
      </c>
      <c r="G1287" s="303">
        <v>55</v>
      </c>
      <c r="H1287" s="303" t="s">
        <v>10064</v>
      </c>
      <c r="I1287" s="303"/>
      <c r="J1287" s="303" t="s">
        <v>10057</v>
      </c>
      <c r="K1287" s="303" t="s">
        <v>10058</v>
      </c>
      <c r="L1287" s="303" t="s">
        <v>10059</v>
      </c>
      <c r="M1287" s="303"/>
      <c r="N1287" s="305"/>
      <c r="O1287" s="1474"/>
      <c r="P1287" s="1475"/>
      <c r="Q1287" s="1476"/>
    </row>
    <row r="1288" spans="1:17" ht="11.1" customHeight="1">
      <c r="A1288" s="250" t="s">
        <v>10769</v>
      </c>
      <c r="B1288" s="302" t="s">
        <v>10051</v>
      </c>
      <c r="C1288" s="303">
        <v>28</v>
      </c>
      <c r="D1288" s="303" t="s">
        <v>10061</v>
      </c>
      <c r="E1288" s="306" t="s">
        <v>10062</v>
      </c>
      <c r="F1288" s="303" t="s">
        <v>10770</v>
      </c>
      <c r="G1288" s="303">
        <v>44</v>
      </c>
      <c r="H1288" s="303" t="s">
        <v>10064</v>
      </c>
      <c r="I1288" s="303"/>
      <c r="J1288" s="303" t="s">
        <v>10057</v>
      </c>
      <c r="K1288" s="303" t="s">
        <v>10058</v>
      </c>
      <c r="L1288" s="303" t="s">
        <v>10059</v>
      </c>
      <c r="M1288" s="303"/>
      <c r="N1288" s="305"/>
      <c r="O1288" s="1474"/>
      <c r="P1288" s="1475"/>
      <c r="Q1288" s="1476"/>
    </row>
    <row r="1289" spans="1:17" ht="11.1" customHeight="1">
      <c r="A1289" s="250" t="s">
        <v>10771</v>
      </c>
      <c r="B1289" s="302" t="s">
        <v>10051</v>
      </c>
      <c r="C1289" s="303">
        <v>29</v>
      </c>
      <c r="D1289" s="303" t="s">
        <v>10061</v>
      </c>
      <c r="E1289" s="306" t="s">
        <v>10062</v>
      </c>
      <c r="F1289" s="303" t="s">
        <v>10772</v>
      </c>
      <c r="G1289" s="303">
        <v>32</v>
      </c>
      <c r="H1289" s="303" t="s">
        <v>10064</v>
      </c>
      <c r="I1289" s="303"/>
      <c r="J1289" s="303" t="s">
        <v>10057</v>
      </c>
      <c r="K1289" s="303" t="s">
        <v>10058</v>
      </c>
      <c r="L1289" s="303" t="s">
        <v>10059</v>
      </c>
      <c r="M1289" s="303"/>
      <c r="N1289" s="305"/>
      <c r="O1289" s="1474"/>
      <c r="P1289" s="1475"/>
      <c r="Q1289" s="1476"/>
    </row>
    <row r="1290" spans="1:17" ht="11.1" customHeight="1">
      <c r="A1290" s="250" t="s">
        <v>10773</v>
      </c>
      <c r="B1290" s="302" t="s">
        <v>10051</v>
      </c>
      <c r="C1290" s="303">
        <v>30</v>
      </c>
      <c r="D1290" s="303" t="s">
        <v>10061</v>
      </c>
      <c r="E1290" s="306" t="s">
        <v>10062</v>
      </c>
      <c r="F1290" s="303" t="s">
        <v>10774</v>
      </c>
      <c r="G1290" s="303">
        <v>58</v>
      </c>
      <c r="H1290" s="303" t="s">
        <v>10064</v>
      </c>
      <c r="I1290" s="303"/>
      <c r="J1290" s="303" t="s">
        <v>10057</v>
      </c>
      <c r="K1290" s="303" t="s">
        <v>10241</v>
      </c>
      <c r="L1290" s="303" t="s">
        <v>10059</v>
      </c>
      <c r="M1290" s="303"/>
      <c r="N1290" s="305"/>
      <c r="O1290" s="1474"/>
      <c r="P1290" s="1475"/>
      <c r="Q1290" s="1476"/>
    </row>
    <row r="1291" spans="1:17" ht="11.1" customHeight="1">
      <c r="A1291" s="250" t="s">
        <v>10775</v>
      </c>
      <c r="B1291" s="302" t="s">
        <v>10098</v>
      </c>
      <c r="C1291" s="303">
        <v>3</v>
      </c>
      <c r="D1291" s="303" t="s">
        <v>10776</v>
      </c>
      <c r="E1291" s="306" t="s">
        <v>10100</v>
      </c>
      <c r="F1291" s="303" t="s">
        <v>10777</v>
      </c>
      <c r="G1291" s="303">
        <v>67</v>
      </c>
      <c r="H1291" s="303" t="s">
        <v>10064</v>
      </c>
      <c r="I1291" s="303" t="s">
        <v>10056</v>
      </c>
      <c r="J1291" s="303" t="s">
        <v>10057</v>
      </c>
      <c r="K1291" s="303" t="s">
        <v>10058</v>
      </c>
      <c r="L1291" s="303" t="s">
        <v>10066</v>
      </c>
      <c r="M1291" s="303">
        <v>8</v>
      </c>
      <c r="N1291" s="307" t="s">
        <v>10071</v>
      </c>
      <c r="O1291" s="1474"/>
      <c r="P1291" s="1475"/>
      <c r="Q1291" s="1476"/>
    </row>
    <row r="1292" spans="1:17" ht="11.1" customHeight="1">
      <c r="A1292" s="250" t="s">
        <v>10778</v>
      </c>
      <c r="B1292" s="302" t="s">
        <v>10098</v>
      </c>
      <c r="C1292" s="303">
        <v>3</v>
      </c>
      <c r="D1292" s="303" t="s">
        <v>10779</v>
      </c>
      <c r="E1292" s="306" t="s">
        <v>10104</v>
      </c>
      <c r="F1292" s="303" t="s">
        <v>10780</v>
      </c>
      <c r="G1292" s="303">
        <v>69</v>
      </c>
      <c r="H1292" s="303" t="s">
        <v>10064</v>
      </c>
      <c r="I1292" s="303" t="s">
        <v>10056</v>
      </c>
      <c r="J1292" s="303" t="s">
        <v>10057</v>
      </c>
      <c r="K1292" s="303" t="s">
        <v>10178</v>
      </c>
      <c r="L1292" s="303" t="s">
        <v>10070</v>
      </c>
      <c r="M1292" s="303">
        <v>8</v>
      </c>
      <c r="N1292" s="307" t="s">
        <v>10071</v>
      </c>
      <c r="O1292" s="1474"/>
      <c r="P1292" s="1475"/>
      <c r="Q1292" s="1476"/>
    </row>
    <row r="1293" spans="1:17" ht="11.1" customHeight="1">
      <c r="A1293" s="250" t="s">
        <v>10781</v>
      </c>
      <c r="B1293" s="302" t="s">
        <v>10098</v>
      </c>
      <c r="C1293" s="303">
        <v>3</v>
      </c>
      <c r="D1293" s="303" t="s">
        <v>10782</v>
      </c>
      <c r="E1293" s="306" t="s">
        <v>10104</v>
      </c>
      <c r="F1293" s="303" t="s">
        <v>10783</v>
      </c>
      <c r="G1293" s="303">
        <v>41</v>
      </c>
      <c r="H1293" s="303" t="s">
        <v>10064</v>
      </c>
      <c r="I1293" s="303" t="s">
        <v>10056</v>
      </c>
      <c r="J1293" s="303" t="s">
        <v>10057</v>
      </c>
      <c r="K1293" s="303" t="s">
        <v>10058</v>
      </c>
      <c r="L1293" s="303" t="s">
        <v>10059</v>
      </c>
      <c r="M1293" s="303"/>
      <c r="N1293" s="307"/>
      <c r="O1293" s="1474"/>
      <c r="P1293" s="1475"/>
      <c r="Q1293" s="1476"/>
    </row>
    <row r="1294" spans="1:17" ht="11.1" customHeight="1">
      <c r="A1294" s="250" t="s">
        <v>10784</v>
      </c>
      <c r="B1294" s="302" t="s">
        <v>10098</v>
      </c>
      <c r="C1294" s="303">
        <v>3</v>
      </c>
      <c r="D1294" s="303" t="s">
        <v>10785</v>
      </c>
      <c r="E1294" s="306" t="s">
        <v>10100</v>
      </c>
      <c r="F1294" s="303" t="s">
        <v>10786</v>
      </c>
      <c r="G1294" s="303">
        <v>38</v>
      </c>
      <c r="H1294" s="303" t="s">
        <v>10064</v>
      </c>
      <c r="I1294" s="303" t="s">
        <v>10056</v>
      </c>
      <c r="J1294" s="303" t="s">
        <v>10057</v>
      </c>
      <c r="K1294" s="303" t="s">
        <v>10058</v>
      </c>
      <c r="L1294" s="303" t="s">
        <v>10059</v>
      </c>
      <c r="M1294" s="303"/>
      <c r="N1294" s="307" t="s">
        <v>10071</v>
      </c>
      <c r="O1294" s="1474"/>
      <c r="P1294" s="1475"/>
      <c r="Q1294" s="1476"/>
    </row>
    <row r="1295" spans="1:17" ht="11.1" customHeight="1">
      <c r="A1295" s="250" t="s">
        <v>10787</v>
      </c>
      <c r="B1295" s="302" t="s">
        <v>10098</v>
      </c>
      <c r="C1295" s="303">
        <v>3</v>
      </c>
      <c r="D1295" s="303" t="s">
        <v>10788</v>
      </c>
      <c r="E1295" s="306" t="s">
        <v>10104</v>
      </c>
      <c r="F1295" s="303" t="s">
        <v>10789</v>
      </c>
      <c r="G1295" s="303">
        <v>69</v>
      </c>
      <c r="H1295" s="303" t="s">
        <v>10064</v>
      </c>
      <c r="I1295" s="303" t="s">
        <v>10056</v>
      </c>
      <c r="J1295" s="303" t="s">
        <v>10057</v>
      </c>
      <c r="K1295" s="303" t="s">
        <v>10178</v>
      </c>
      <c r="L1295" s="303" t="s">
        <v>10066</v>
      </c>
      <c r="M1295" s="303">
        <v>7</v>
      </c>
      <c r="N1295" s="307" t="s">
        <v>10071</v>
      </c>
      <c r="O1295" s="1474"/>
      <c r="P1295" s="1475"/>
      <c r="Q1295" s="1476"/>
    </row>
    <row r="1296" spans="1:17" ht="11.1" customHeight="1">
      <c r="A1296" s="250" t="s">
        <v>10790</v>
      </c>
      <c r="B1296" s="302" t="s">
        <v>10098</v>
      </c>
      <c r="C1296" s="303">
        <v>3</v>
      </c>
      <c r="D1296" s="303" t="s">
        <v>10791</v>
      </c>
      <c r="E1296" s="306" t="s">
        <v>10104</v>
      </c>
      <c r="F1296" s="303" t="s">
        <v>10792</v>
      </c>
      <c r="G1296" s="303">
        <v>41</v>
      </c>
      <c r="H1296" s="303" t="s">
        <v>10064</v>
      </c>
      <c r="I1296" s="303" t="s">
        <v>10056</v>
      </c>
      <c r="J1296" s="303" t="s">
        <v>10057</v>
      </c>
      <c r="K1296" s="303" t="s">
        <v>10075</v>
      </c>
      <c r="L1296" s="303" t="s">
        <v>10059</v>
      </c>
      <c r="M1296" s="303"/>
      <c r="N1296" s="307" t="s">
        <v>10071</v>
      </c>
      <c r="O1296" s="1474"/>
      <c r="P1296" s="1475"/>
      <c r="Q1296" s="1476"/>
    </row>
    <row r="1297" spans="1:17" ht="11.1" customHeight="1">
      <c r="A1297" s="250" t="s">
        <v>10793</v>
      </c>
      <c r="B1297" s="302" t="s">
        <v>10098</v>
      </c>
      <c r="C1297" s="303">
        <v>3</v>
      </c>
      <c r="D1297" s="303" t="s">
        <v>10794</v>
      </c>
      <c r="E1297" s="306" t="s">
        <v>10104</v>
      </c>
      <c r="F1297" s="303" t="s">
        <v>10795</v>
      </c>
      <c r="G1297" s="303">
        <v>56</v>
      </c>
      <c r="H1297" s="303" t="s">
        <v>10064</v>
      </c>
      <c r="I1297" s="303" t="s">
        <v>10056</v>
      </c>
      <c r="J1297" s="303" t="s">
        <v>10057</v>
      </c>
      <c r="K1297" s="303" t="s">
        <v>10075</v>
      </c>
      <c r="L1297" s="303" t="s">
        <v>10059</v>
      </c>
      <c r="M1297" s="303"/>
      <c r="N1297" s="307" t="s">
        <v>10071</v>
      </c>
      <c r="O1297" s="1474"/>
      <c r="P1297" s="1475"/>
      <c r="Q1297" s="1476"/>
    </row>
    <row r="1298" spans="1:17" ht="11.1" customHeight="1">
      <c r="A1298" s="250" t="s">
        <v>10796</v>
      </c>
      <c r="B1298" s="302" t="s">
        <v>10098</v>
      </c>
      <c r="C1298" s="303">
        <v>3</v>
      </c>
      <c r="D1298" s="303" t="s">
        <v>10797</v>
      </c>
      <c r="E1298" s="306" t="s">
        <v>10104</v>
      </c>
      <c r="F1298" s="303" t="s">
        <v>10798</v>
      </c>
      <c r="G1298" s="303">
        <v>48</v>
      </c>
      <c r="H1298" s="303" t="s">
        <v>10064</v>
      </c>
      <c r="I1298" s="303" t="s">
        <v>10056</v>
      </c>
      <c r="J1298" s="303" t="s">
        <v>10057</v>
      </c>
      <c r="K1298" s="303" t="s">
        <v>10058</v>
      </c>
      <c r="L1298" s="303" t="s">
        <v>10066</v>
      </c>
      <c r="M1298" s="303">
        <v>5</v>
      </c>
      <c r="N1298" s="307"/>
      <c r="O1298" s="1474"/>
      <c r="P1298" s="1475"/>
      <c r="Q1298" s="1476"/>
    </row>
    <row r="1299" spans="1:17" ht="11.1" customHeight="1">
      <c r="A1299" s="250" t="s">
        <v>10799</v>
      </c>
      <c r="B1299" s="302" t="s">
        <v>10098</v>
      </c>
      <c r="C1299" s="303">
        <v>3</v>
      </c>
      <c r="D1299" s="303" t="s">
        <v>10800</v>
      </c>
      <c r="E1299" s="306" t="s">
        <v>10138</v>
      </c>
      <c r="F1299" s="303" t="s">
        <v>10801</v>
      </c>
      <c r="G1299" s="303">
        <v>43</v>
      </c>
      <c r="H1299" s="303" t="s">
        <v>10064</v>
      </c>
      <c r="I1299" s="303" t="s">
        <v>10056</v>
      </c>
      <c r="J1299" s="303" t="s">
        <v>10057</v>
      </c>
      <c r="K1299" s="303" t="s">
        <v>10058</v>
      </c>
      <c r="L1299" s="303" t="s">
        <v>10066</v>
      </c>
      <c r="M1299" s="303">
        <v>1</v>
      </c>
      <c r="N1299" s="307" t="s">
        <v>10071</v>
      </c>
      <c r="O1299" s="1474"/>
      <c r="P1299" s="1475"/>
      <c r="Q1299" s="1476"/>
    </row>
    <row r="1300" spans="1:17" ht="11.1" customHeight="1">
      <c r="A1300" s="250" t="s">
        <v>10802</v>
      </c>
      <c r="B1300" s="302" t="s">
        <v>10098</v>
      </c>
      <c r="C1300" s="303">
        <v>3</v>
      </c>
      <c r="D1300" s="303" t="s">
        <v>10803</v>
      </c>
      <c r="E1300" s="306" t="s">
        <v>10104</v>
      </c>
      <c r="F1300" s="303" t="s">
        <v>10804</v>
      </c>
      <c r="G1300" s="303">
        <v>53</v>
      </c>
      <c r="H1300" s="303" t="s">
        <v>10054</v>
      </c>
      <c r="I1300" s="303" t="s">
        <v>10056</v>
      </c>
      <c r="J1300" s="303" t="s">
        <v>10057</v>
      </c>
      <c r="K1300" s="303" t="s">
        <v>10075</v>
      </c>
      <c r="L1300" s="303" t="s">
        <v>10066</v>
      </c>
      <c r="M1300" s="303">
        <v>4</v>
      </c>
      <c r="N1300" s="307" t="s">
        <v>10071</v>
      </c>
      <c r="O1300" s="1474"/>
      <c r="P1300" s="1475"/>
      <c r="Q1300" s="1476"/>
    </row>
    <row r="1301" spans="1:17" ht="11.1" customHeight="1">
      <c r="A1301" s="250" t="s">
        <v>10805</v>
      </c>
      <c r="B1301" s="302" t="s">
        <v>10098</v>
      </c>
      <c r="C1301" s="303">
        <v>3</v>
      </c>
      <c r="D1301" s="303" t="s">
        <v>10806</v>
      </c>
      <c r="E1301" s="306" t="s">
        <v>10104</v>
      </c>
      <c r="F1301" s="303" t="s">
        <v>10807</v>
      </c>
      <c r="G1301" s="303">
        <v>51</v>
      </c>
      <c r="H1301" s="303" t="s">
        <v>10064</v>
      </c>
      <c r="I1301" s="303" t="s">
        <v>10056</v>
      </c>
      <c r="J1301" s="303" t="s">
        <v>10057</v>
      </c>
      <c r="K1301" s="303" t="s">
        <v>10075</v>
      </c>
      <c r="L1301" s="303" t="s">
        <v>10066</v>
      </c>
      <c r="M1301" s="303">
        <v>3</v>
      </c>
      <c r="N1301" s="307" t="s">
        <v>10071</v>
      </c>
      <c r="O1301" s="1474"/>
      <c r="P1301" s="1475"/>
      <c r="Q1301" s="1476"/>
    </row>
    <row r="1302" spans="1:17" ht="11.1" customHeight="1">
      <c r="A1302" s="250" t="s">
        <v>10808</v>
      </c>
      <c r="B1302" s="302" t="s">
        <v>10098</v>
      </c>
      <c r="C1302" s="303">
        <v>3</v>
      </c>
      <c r="D1302" s="303" t="s">
        <v>10809</v>
      </c>
      <c r="E1302" s="306" t="s">
        <v>10104</v>
      </c>
      <c r="F1302" s="303" t="s">
        <v>10810</v>
      </c>
      <c r="G1302" s="303">
        <v>56</v>
      </c>
      <c r="H1302" s="303" t="s">
        <v>10064</v>
      </c>
      <c r="I1302" s="303" t="s">
        <v>10056</v>
      </c>
      <c r="J1302" s="303" t="s">
        <v>10057</v>
      </c>
      <c r="K1302" s="303" t="s">
        <v>10065</v>
      </c>
      <c r="L1302" s="303" t="s">
        <v>10066</v>
      </c>
      <c r="M1302" s="303">
        <v>4</v>
      </c>
      <c r="N1302" s="307" t="s">
        <v>10071</v>
      </c>
      <c r="O1302" s="1474"/>
      <c r="P1302" s="1475"/>
      <c r="Q1302" s="1476"/>
    </row>
    <row r="1303" spans="1:17" ht="11.1" customHeight="1">
      <c r="A1303" s="250" t="s">
        <v>10811</v>
      </c>
      <c r="B1303" s="302" t="s">
        <v>10098</v>
      </c>
      <c r="C1303" s="303">
        <v>3</v>
      </c>
      <c r="D1303" s="303" t="s">
        <v>10812</v>
      </c>
      <c r="E1303" s="306" t="s">
        <v>10104</v>
      </c>
      <c r="F1303" s="303" t="s">
        <v>10813</v>
      </c>
      <c r="G1303" s="303">
        <v>49</v>
      </c>
      <c r="H1303" s="303" t="s">
        <v>10054</v>
      </c>
      <c r="I1303" s="303" t="s">
        <v>10056</v>
      </c>
      <c r="J1303" s="303" t="s">
        <v>10057</v>
      </c>
      <c r="K1303" s="303" t="s">
        <v>10075</v>
      </c>
      <c r="L1303" s="303" t="s">
        <v>10066</v>
      </c>
      <c r="M1303" s="303">
        <v>2</v>
      </c>
      <c r="N1303" s="307" t="s">
        <v>10071</v>
      </c>
      <c r="O1303" s="1474"/>
      <c r="P1303" s="1475"/>
      <c r="Q1303" s="1476"/>
    </row>
    <row r="1304" spans="1:17" ht="11.1" customHeight="1">
      <c r="A1304" s="250" t="s">
        <v>10814</v>
      </c>
      <c r="B1304" s="302" t="s">
        <v>10098</v>
      </c>
      <c r="C1304" s="303">
        <v>3</v>
      </c>
      <c r="D1304" s="303" t="s">
        <v>10815</v>
      </c>
      <c r="E1304" s="306" t="s">
        <v>10104</v>
      </c>
      <c r="F1304" s="303" t="s">
        <v>10816</v>
      </c>
      <c r="G1304" s="303">
        <v>66</v>
      </c>
      <c r="H1304" s="303" t="s">
        <v>10064</v>
      </c>
      <c r="I1304" s="303" t="s">
        <v>10056</v>
      </c>
      <c r="J1304" s="303" t="s">
        <v>10057</v>
      </c>
      <c r="K1304" s="303" t="s">
        <v>10178</v>
      </c>
      <c r="L1304" s="303" t="s">
        <v>10066</v>
      </c>
      <c r="M1304" s="303">
        <v>2</v>
      </c>
      <c r="N1304" s="307" t="s">
        <v>10071</v>
      </c>
      <c r="O1304" s="1474"/>
      <c r="P1304" s="1475"/>
      <c r="Q1304" s="1476"/>
    </row>
    <row r="1305" spans="1:17" ht="11.1" customHeight="1">
      <c r="A1305" s="250" t="s">
        <v>10817</v>
      </c>
      <c r="B1305" s="302" t="s">
        <v>10098</v>
      </c>
      <c r="C1305" s="303">
        <v>3</v>
      </c>
      <c r="D1305" s="303" t="s">
        <v>10818</v>
      </c>
      <c r="E1305" s="306" t="s">
        <v>10104</v>
      </c>
      <c r="F1305" s="303" t="s">
        <v>10819</v>
      </c>
      <c r="G1305" s="303">
        <v>71</v>
      </c>
      <c r="H1305" s="303" t="s">
        <v>10064</v>
      </c>
      <c r="I1305" s="303" t="s">
        <v>10056</v>
      </c>
      <c r="J1305" s="303" t="s">
        <v>10057</v>
      </c>
      <c r="K1305" s="303" t="s">
        <v>10092</v>
      </c>
      <c r="L1305" s="303" t="s">
        <v>10066</v>
      </c>
      <c r="M1305" s="303">
        <v>8</v>
      </c>
      <c r="N1305" s="307" t="s">
        <v>10071</v>
      </c>
      <c r="O1305" s="1474"/>
      <c r="P1305" s="1475"/>
      <c r="Q1305" s="1476"/>
    </row>
    <row r="1306" spans="1:17" ht="11.1" customHeight="1">
      <c r="A1306" s="250" t="s">
        <v>10820</v>
      </c>
      <c r="B1306" s="302" t="s">
        <v>10098</v>
      </c>
      <c r="C1306" s="303">
        <v>3</v>
      </c>
      <c r="D1306" s="303" t="s">
        <v>10821</v>
      </c>
      <c r="E1306" s="306" t="s">
        <v>10104</v>
      </c>
      <c r="F1306" s="303" t="s">
        <v>10822</v>
      </c>
      <c r="G1306" s="303">
        <v>60</v>
      </c>
      <c r="H1306" s="303" t="s">
        <v>10064</v>
      </c>
      <c r="I1306" s="303" t="s">
        <v>10056</v>
      </c>
      <c r="J1306" s="303" t="s">
        <v>10057</v>
      </c>
      <c r="K1306" s="303" t="s">
        <v>10178</v>
      </c>
      <c r="L1306" s="303" t="s">
        <v>10066</v>
      </c>
      <c r="M1306" s="303">
        <v>3</v>
      </c>
      <c r="N1306" s="307"/>
      <c r="O1306" s="1474"/>
      <c r="P1306" s="1475"/>
      <c r="Q1306" s="1476"/>
    </row>
    <row r="1307" spans="1:17" ht="11.1" customHeight="1">
      <c r="A1307" s="250" t="s">
        <v>10823</v>
      </c>
      <c r="B1307" s="302" t="s">
        <v>10098</v>
      </c>
      <c r="C1307" s="303">
        <v>3</v>
      </c>
      <c r="D1307" s="303" t="s">
        <v>10824</v>
      </c>
      <c r="E1307" s="306" t="s">
        <v>10138</v>
      </c>
      <c r="F1307" s="303" t="s">
        <v>10825</v>
      </c>
      <c r="G1307" s="303">
        <v>32</v>
      </c>
      <c r="H1307" s="303" t="s">
        <v>10064</v>
      </c>
      <c r="I1307" s="303" t="s">
        <v>10056</v>
      </c>
      <c r="J1307" s="303" t="s">
        <v>10057</v>
      </c>
      <c r="K1307" s="303" t="s">
        <v>10058</v>
      </c>
      <c r="L1307" s="303" t="s">
        <v>10059</v>
      </c>
      <c r="M1307" s="303"/>
      <c r="N1307" s="307" t="s">
        <v>10071</v>
      </c>
      <c r="O1307" s="1474"/>
      <c r="P1307" s="1475"/>
      <c r="Q1307" s="1476"/>
    </row>
    <row r="1308" spans="1:17" ht="11.1" customHeight="1">
      <c r="A1308" s="250" t="s">
        <v>10826</v>
      </c>
      <c r="B1308" s="302" t="s">
        <v>10098</v>
      </c>
      <c r="C1308" s="303">
        <v>3</v>
      </c>
      <c r="D1308" s="303" t="s">
        <v>10827</v>
      </c>
      <c r="E1308" s="306" t="s">
        <v>10104</v>
      </c>
      <c r="F1308" s="303" t="s">
        <v>10828</v>
      </c>
      <c r="G1308" s="303">
        <v>35</v>
      </c>
      <c r="H1308" s="303" t="s">
        <v>10064</v>
      </c>
      <c r="I1308" s="303" t="s">
        <v>10056</v>
      </c>
      <c r="J1308" s="303" t="s">
        <v>10057</v>
      </c>
      <c r="K1308" s="303" t="s">
        <v>10058</v>
      </c>
      <c r="L1308" s="303" t="s">
        <v>10059</v>
      </c>
      <c r="M1308" s="303"/>
      <c r="N1308" s="307" t="s">
        <v>10071</v>
      </c>
      <c r="O1308" s="1474"/>
      <c r="P1308" s="1475"/>
      <c r="Q1308" s="1476"/>
    </row>
    <row r="1309" spans="1:17" ht="11.1" customHeight="1">
      <c r="A1309" s="250" t="s">
        <v>10829</v>
      </c>
      <c r="B1309" s="302" t="s">
        <v>10098</v>
      </c>
      <c r="C1309" s="303">
        <v>3</v>
      </c>
      <c r="D1309" s="303" t="s">
        <v>10830</v>
      </c>
      <c r="E1309" s="306" t="s">
        <v>10104</v>
      </c>
      <c r="F1309" s="303" t="s">
        <v>10831</v>
      </c>
      <c r="G1309" s="303">
        <v>59</v>
      </c>
      <c r="H1309" s="303" t="s">
        <v>10064</v>
      </c>
      <c r="I1309" s="303" t="s">
        <v>10056</v>
      </c>
      <c r="J1309" s="303" t="s">
        <v>10057</v>
      </c>
      <c r="K1309" s="303" t="s">
        <v>10075</v>
      </c>
      <c r="L1309" s="303" t="s">
        <v>10059</v>
      </c>
      <c r="M1309" s="303"/>
      <c r="N1309" s="307" t="s">
        <v>10071</v>
      </c>
      <c r="O1309" s="1474"/>
      <c r="P1309" s="1475"/>
      <c r="Q1309" s="1476"/>
    </row>
    <row r="1310" spans="1:17" ht="11.1" customHeight="1">
      <c r="A1310" s="250" t="s">
        <v>10832</v>
      </c>
      <c r="B1310" s="302" t="s">
        <v>10098</v>
      </c>
      <c r="C1310" s="303">
        <v>3</v>
      </c>
      <c r="D1310" s="303" t="s">
        <v>10833</v>
      </c>
      <c r="E1310" s="306" t="s">
        <v>10104</v>
      </c>
      <c r="F1310" s="303" t="s">
        <v>10834</v>
      </c>
      <c r="G1310" s="303">
        <v>44</v>
      </c>
      <c r="H1310" s="303" t="s">
        <v>10064</v>
      </c>
      <c r="I1310" s="303" t="s">
        <v>10056</v>
      </c>
      <c r="J1310" s="303" t="s">
        <v>10057</v>
      </c>
      <c r="K1310" s="303" t="s">
        <v>10065</v>
      </c>
      <c r="L1310" s="303" t="s">
        <v>10066</v>
      </c>
      <c r="M1310" s="303">
        <v>4</v>
      </c>
      <c r="N1310" s="307" t="s">
        <v>10071</v>
      </c>
      <c r="O1310" s="1474"/>
      <c r="P1310" s="1475"/>
      <c r="Q1310" s="1476"/>
    </row>
    <row r="1311" spans="1:17" ht="11.1" customHeight="1">
      <c r="A1311" s="250" t="s">
        <v>10835</v>
      </c>
      <c r="B1311" s="302" t="s">
        <v>10098</v>
      </c>
      <c r="C1311" s="303">
        <v>3</v>
      </c>
      <c r="D1311" s="303" t="s">
        <v>10836</v>
      </c>
      <c r="E1311" s="306" t="s">
        <v>10104</v>
      </c>
      <c r="F1311" s="303" t="s">
        <v>10837</v>
      </c>
      <c r="G1311" s="303">
        <v>63</v>
      </c>
      <c r="H1311" s="303" t="s">
        <v>10064</v>
      </c>
      <c r="I1311" s="303" t="s">
        <v>10056</v>
      </c>
      <c r="J1311" s="303" t="s">
        <v>10057</v>
      </c>
      <c r="K1311" s="303" t="s">
        <v>10075</v>
      </c>
      <c r="L1311" s="303" t="s">
        <v>10066</v>
      </c>
      <c r="M1311" s="303">
        <v>8</v>
      </c>
      <c r="N1311" s="307" t="s">
        <v>10071</v>
      </c>
      <c r="O1311" s="1474"/>
      <c r="P1311" s="1475"/>
      <c r="Q1311" s="1476"/>
    </row>
    <row r="1312" spans="1:17" ht="11.1" customHeight="1">
      <c r="A1312" s="250" t="s">
        <v>10838</v>
      </c>
      <c r="B1312" s="302" t="s">
        <v>10098</v>
      </c>
      <c r="C1312" s="303">
        <v>3</v>
      </c>
      <c r="D1312" s="303" t="s">
        <v>10839</v>
      </c>
      <c r="E1312" s="306" t="s">
        <v>10104</v>
      </c>
      <c r="F1312" s="303" t="s">
        <v>10840</v>
      </c>
      <c r="G1312" s="303">
        <v>42</v>
      </c>
      <c r="H1312" s="303" t="s">
        <v>10064</v>
      </c>
      <c r="I1312" s="303" t="s">
        <v>10056</v>
      </c>
      <c r="J1312" s="303" t="s">
        <v>10057</v>
      </c>
      <c r="K1312" s="303" t="s">
        <v>10075</v>
      </c>
      <c r="L1312" s="303" t="s">
        <v>10066</v>
      </c>
      <c r="M1312" s="303">
        <v>1</v>
      </c>
      <c r="N1312" s="307" t="s">
        <v>10071</v>
      </c>
      <c r="O1312" s="1474"/>
      <c r="P1312" s="1475"/>
      <c r="Q1312" s="1476"/>
    </row>
    <row r="1313" spans="1:17" ht="11.1" customHeight="1">
      <c r="A1313" s="945" t="s">
        <v>10841</v>
      </c>
      <c r="B1313" s="340" t="s">
        <v>10098</v>
      </c>
      <c r="C1313" s="311">
        <v>3</v>
      </c>
      <c r="D1313" s="311" t="s">
        <v>10842</v>
      </c>
      <c r="E1313" s="312" t="s">
        <v>10104</v>
      </c>
      <c r="F1313" s="311" t="s">
        <v>10843</v>
      </c>
      <c r="G1313" s="311">
        <v>35</v>
      </c>
      <c r="H1313" s="311" t="s">
        <v>10064</v>
      </c>
      <c r="I1313" s="311" t="s">
        <v>10056</v>
      </c>
      <c r="J1313" s="311" t="s">
        <v>10057</v>
      </c>
      <c r="K1313" s="311" t="s">
        <v>10582</v>
      </c>
      <c r="L1313" s="311" t="s">
        <v>10066</v>
      </c>
      <c r="M1313" s="311">
        <v>1</v>
      </c>
      <c r="N1313" s="313" t="s">
        <v>10071</v>
      </c>
      <c r="O1313" s="1474"/>
      <c r="P1313" s="1475"/>
      <c r="Q1313" s="1476"/>
    </row>
    <row r="1314" spans="1:17" ht="11.1" customHeight="1">
      <c r="A1314" s="946" t="s">
        <v>10844</v>
      </c>
      <c r="B1314" s="192" t="s">
        <v>10051</v>
      </c>
      <c r="C1314" s="56">
        <v>1</v>
      </c>
      <c r="D1314" s="56" t="s">
        <v>10824</v>
      </c>
      <c r="E1314" s="193">
        <v>96.09</v>
      </c>
      <c r="F1314" s="56" t="s">
        <v>10845</v>
      </c>
      <c r="G1314" s="56">
        <v>48</v>
      </c>
      <c r="H1314" s="56" t="s">
        <v>10064</v>
      </c>
      <c r="I1314" s="56" t="s">
        <v>10056</v>
      </c>
      <c r="J1314" s="56" t="s">
        <v>10115</v>
      </c>
      <c r="K1314" s="56" t="s">
        <v>10119</v>
      </c>
      <c r="L1314" s="56" t="s">
        <v>10066</v>
      </c>
      <c r="M1314" s="56">
        <v>3</v>
      </c>
      <c r="N1314" s="341" t="s">
        <v>10694</v>
      </c>
      <c r="O1314" s="1474">
        <v>6</v>
      </c>
      <c r="P1314" s="1475">
        <v>1962225</v>
      </c>
      <c r="Q1314" s="1476">
        <f>P1314*100/SUM(P1284:P1353)</f>
        <v>29.620305787796202</v>
      </c>
    </row>
    <row r="1315" spans="1:17" ht="11.1" customHeight="1">
      <c r="A1315" s="250" t="s">
        <v>10846</v>
      </c>
      <c r="B1315" s="194" t="s">
        <v>10051</v>
      </c>
      <c r="C1315" s="36">
        <v>1</v>
      </c>
      <c r="D1315" s="36" t="s">
        <v>10827</v>
      </c>
      <c r="E1315" s="195">
        <v>95.81</v>
      </c>
      <c r="F1315" s="36" t="s">
        <v>10847</v>
      </c>
      <c r="G1315" s="36">
        <v>41</v>
      </c>
      <c r="H1315" s="36" t="s">
        <v>10064</v>
      </c>
      <c r="I1315" s="36" t="s">
        <v>10056</v>
      </c>
      <c r="J1315" s="36" t="s">
        <v>10115</v>
      </c>
      <c r="K1315" s="36" t="s">
        <v>10116</v>
      </c>
      <c r="L1315" s="36" t="s">
        <v>10066</v>
      </c>
      <c r="M1315" s="36">
        <v>2</v>
      </c>
      <c r="N1315" s="316" t="s">
        <v>10694</v>
      </c>
      <c r="O1315" s="1474"/>
      <c r="P1315" s="1475"/>
      <c r="Q1315" s="1476"/>
    </row>
    <row r="1316" spans="1:17" ht="11.1" customHeight="1">
      <c r="A1316" s="250" t="s">
        <v>10848</v>
      </c>
      <c r="B1316" s="194" t="s">
        <v>10051</v>
      </c>
      <c r="C1316" s="36">
        <v>1</v>
      </c>
      <c r="D1316" s="36" t="s">
        <v>10791</v>
      </c>
      <c r="E1316" s="195">
        <v>95.27</v>
      </c>
      <c r="F1316" s="36" t="s">
        <v>10849</v>
      </c>
      <c r="G1316" s="36">
        <v>56</v>
      </c>
      <c r="H1316" s="36" t="s">
        <v>10054</v>
      </c>
      <c r="I1316" s="36" t="s">
        <v>10056</v>
      </c>
      <c r="J1316" s="36" t="s">
        <v>10115</v>
      </c>
      <c r="K1316" s="36" t="s">
        <v>10116</v>
      </c>
      <c r="L1316" s="36" t="s">
        <v>10066</v>
      </c>
      <c r="M1316" s="36">
        <v>2</v>
      </c>
      <c r="N1316" s="316" t="s">
        <v>10694</v>
      </c>
      <c r="O1316" s="1474"/>
      <c r="P1316" s="1475"/>
      <c r="Q1316" s="1476"/>
    </row>
    <row r="1317" spans="1:17" ht="11.1" customHeight="1">
      <c r="A1317" s="250" t="s">
        <v>10850</v>
      </c>
      <c r="B1317" s="194" t="s">
        <v>10051</v>
      </c>
      <c r="C1317" s="36">
        <v>1</v>
      </c>
      <c r="D1317" s="36" t="s">
        <v>10830</v>
      </c>
      <c r="E1317" s="195">
        <v>90.34</v>
      </c>
      <c r="F1317" s="36" t="s">
        <v>10851</v>
      </c>
      <c r="G1317" s="36">
        <v>43</v>
      </c>
      <c r="H1317" s="36" t="s">
        <v>10064</v>
      </c>
      <c r="I1317" s="36" t="s">
        <v>10056</v>
      </c>
      <c r="J1317" s="36" t="s">
        <v>10115</v>
      </c>
      <c r="K1317" s="36" t="s">
        <v>10116</v>
      </c>
      <c r="L1317" s="36" t="s">
        <v>10066</v>
      </c>
      <c r="M1317" s="36">
        <v>1</v>
      </c>
      <c r="N1317" s="316" t="s">
        <v>10694</v>
      </c>
      <c r="O1317" s="1474"/>
      <c r="P1317" s="1475"/>
      <c r="Q1317" s="1476"/>
    </row>
    <row r="1318" spans="1:17" ht="11.1" customHeight="1">
      <c r="A1318" s="250" t="s">
        <v>10852</v>
      </c>
      <c r="B1318" s="194" t="s">
        <v>10051</v>
      </c>
      <c r="C1318" s="36">
        <v>1</v>
      </c>
      <c r="D1318" s="36" t="s">
        <v>10794</v>
      </c>
      <c r="E1318" s="195">
        <v>86.12</v>
      </c>
      <c r="F1318" s="36" t="s">
        <v>10853</v>
      </c>
      <c r="G1318" s="36">
        <v>45</v>
      </c>
      <c r="H1318" s="36" t="s">
        <v>10064</v>
      </c>
      <c r="I1318" s="36" t="s">
        <v>10056</v>
      </c>
      <c r="J1318" s="36" t="s">
        <v>10115</v>
      </c>
      <c r="K1318" s="36" t="s">
        <v>10119</v>
      </c>
      <c r="L1318" s="36" t="s">
        <v>10066</v>
      </c>
      <c r="M1318" s="36">
        <v>2</v>
      </c>
      <c r="N1318" s="316" t="s">
        <v>10694</v>
      </c>
      <c r="O1318" s="1474"/>
      <c r="P1318" s="1475"/>
      <c r="Q1318" s="1476"/>
    </row>
    <row r="1319" spans="1:17" ht="11.1" customHeight="1">
      <c r="A1319" s="250" t="s">
        <v>10854</v>
      </c>
      <c r="B1319" s="194" t="s">
        <v>10051</v>
      </c>
      <c r="C1319" s="36">
        <v>1</v>
      </c>
      <c r="D1319" s="36" t="s">
        <v>10782</v>
      </c>
      <c r="E1319" s="195">
        <v>81.58</v>
      </c>
      <c r="F1319" s="36" t="s">
        <v>10855</v>
      </c>
      <c r="G1319" s="36">
        <v>49</v>
      </c>
      <c r="H1319" s="36" t="s">
        <v>10064</v>
      </c>
      <c r="I1319" s="36" t="s">
        <v>10056</v>
      </c>
      <c r="J1319" s="36" t="s">
        <v>10115</v>
      </c>
      <c r="K1319" s="36" t="s">
        <v>10140</v>
      </c>
      <c r="L1319" s="36" t="s">
        <v>10066</v>
      </c>
      <c r="M1319" s="36">
        <v>2</v>
      </c>
      <c r="N1319" s="316" t="s">
        <v>10694</v>
      </c>
      <c r="O1319" s="1474"/>
      <c r="P1319" s="1475"/>
      <c r="Q1319" s="1476"/>
    </row>
    <row r="1320" spans="1:17" ht="11.1" customHeight="1">
      <c r="A1320" s="250" t="s">
        <v>10856</v>
      </c>
      <c r="B1320" s="187"/>
      <c r="C1320" s="42">
        <v>1</v>
      </c>
      <c r="D1320" s="42" t="s">
        <v>10779</v>
      </c>
      <c r="E1320" s="188">
        <v>76.89</v>
      </c>
      <c r="F1320" s="42" t="s">
        <v>10857</v>
      </c>
      <c r="G1320" s="42">
        <v>60</v>
      </c>
      <c r="H1320" s="42" t="s">
        <v>10064</v>
      </c>
      <c r="I1320" s="42" t="s">
        <v>10056</v>
      </c>
      <c r="J1320" s="42" t="s">
        <v>10115</v>
      </c>
      <c r="K1320" s="42" t="s">
        <v>10116</v>
      </c>
      <c r="L1320" s="42" t="s">
        <v>10066</v>
      </c>
      <c r="M1320" s="42">
        <v>3</v>
      </c>
      <c r="N1320" s="308"/>
      <c r="O1320" s="1474"/>
      <c r="P1320" s="1475"/>
      <c r="Q1320" s="1476"/>
    </row>
    <row r="1321" spans="1:17" ht="11.1" customHeight="1">
      <c r="A1321" s="250" t="s">
        <v>10858</v>
      </c>
      <c r="B1321" s="187"/>
      <c r="C1321" s="42">
        <v>1</v>
      </c>
      <c r="D1321" s="42" t="s">
        <v>10788</v>
      </c>
      <c r="E1321" s="188">
        <v>72.760000000000005</v>
      </c>
      <c r="F1321" s="42" t="s">
        <v>10859</v>
      </c>
      <c r="G1321" s="42">
        <v>38</v>
      </c>
      <c r="H1321" s="42" t="s">
        <v>10064</v>
      </c>
      <c r="I1321" s="42" t="s">
        <v>10056</v>
      </c>
      <c r="J1321" s="42" t="s">
        <v>10115</v>
      </c>
      <c r="K1321" s="42" t="s">
        <v>10476</v>
      </c>
      <c r="L1321" s="42" t="s">
        <v>10066</v>
      </c>
      <c r="M1321" s="42">
        <v>2</v>
      </c>
      <c r="N1321" s="308" t="s">
        <v>10694</v>
      </c>
      <c r="O1321" s="1474"/>
      <c r="P1321" s="1475"/>
      <c r="Q1321" s="1476"/>
    </row>
    <row r="1322" spans="1:17" ht="11.1" customHeight="1">
      <c r="A1322" s="250" t="s">
        <v>10860</v>
      </c>
      <c r="B1322" s="187"/>
      <c r="C1322" s="42">
        <v>1</v>
      </c>
      <c r="D1322" s="42" t="s">
        <v>10785</v>
      </c>
      <c r="E1322" s="188">
        <v>72.069999999999993</v>
      </c>
      <c r="F1322" s="42" t="s">
        <v>10861</v>
      </c>
      <c r="G1322" s="42">
        <v>38</v>
      </c>
      <c r="H1322" s="42" t="s">
        <v>10064</v>
      </c>
      <c r="I1322" s="42" t="s">
        <v>10056</v>
      </c>
      <c r="J1322" s="42" t="s">
        <v>10115</v>
      </c>
      <c r="K1322" s="42" t="s">
        <v>10119</v>
      </c>
      <c r="L1322" s="42" t="s">
        <v>10066</v>
      </c>
      <c r="M1322" s="42">
        <v>2</v>
      </c>
      <c r="N1322" s="308" t="s">
        <v>10694</v>
      </c>
      <c r="O1322" s="1474"/>
      <c r="P1322" s="1475"/>
      <c r="Q1322" s="1476"/>
    </row>
    <row r="1323" spans="1:17" ht="11.1" customHeight="1">
      <c r="A1323" s="250" t="s">
        <v>10862</v>
      </c>
      <c r="B1323" s="187"/>
      <c r="C1323" s="42">
        <v>1</v>
      </c>
      <c r="D1323" s="42" t="s">
        <v>10833</v>
      </c>
      <c r="E1323" s="188">
        <v>71.42</v>
      </c>
      <c r="F1323" s="42" t="s">
        <v>10863</v>
      </c>
      <c r="G1323" s="42">
        <v>38</v>
      </c>
      <c r="H1323" s="42" t="s">
        <v>10064</v>
      </c>
      <c r="I1323" s="42" t="s">
        <v>10056</v>
      </c>
      <c r="J1323" s="42" t="s">
        <v>10115</v>
      </c>
      <c r="K1323" s="42" t="s">
        <v>10864</v>
      </c>
      <c r="L1323" s="42" t="s">
        <v>10066</v>
      </c>
      <c r="M1323" s="42">
        <v>2</v>
      </c>
      <c r="N1323" s="308" t="s">
        <v>10694</v>
      </c>
      <c r="O1323" s="1474"/>
      <c r="P1323" s="1475"/>
      <c r="Q1323" s="1476"/>
    </row>
    <row r="1324" spans="1:17" ht="11.1" customHeight="1">
      <c r="A1324" s="250" t="s">
        <v>10865</v>
      </c>
      <c r="B1324" s="187"/>
      <c r="C1324" s="42">
        <v>1</v>
      </c>
      <c r="D1324" s="42" t="s">
        <v>10839</v>
      </c>
      <c r="E1324" s="188">
        <v>70.709999999999994</v>
      </c>
      <c r="F1324" s="42" t="s">
        <v>10866</v>
      </c>
      <c r="G1324" s="42">
        <v>49</v>
      </c>
      <c r="H1324" s="42" t="s">
        <v>10064</v>
      </c>
      <c r="I1324" s="42" t="s">
        <v>10056</v>
      </c>
      <c r="J1324" s="42" t="s">
        <v>10115</v>
      </c>
      <c r="K1324" s="42" t="s">
        <v>10119</v>
      </c>
      <c r="L1324" s="42" t="s">
        <v>10066</v>
      </c>
      <c r="M1324" s="42">
        <v>2</v>
      </c>
      <c r="N1324" s="308" t="s">
        <v>10694</v>
      </c>
      <c r="O1324" s="1474"/>
      <c r="P1324" s="1475"/>
      <c r="Q1324" s="1476"/>
    </row>
    <row r="1325" spans="1:17" ht="11.1" customHeight="1">
      <c r="A1325" s="250" t="s">
        <v>10867</v>
      </c>
      <c r="B1325" s="187"/>
      <c r="C1325" s="42">
        <v>1</v>
      </c>
      <c r="D1325" s="42" t="s">
        <v>10776</v>
      </c>
      <c r="E1325" s="188">
        <v>67.650000000000006</v>
      </c>
      <c r="F1325" s="42" t="s">
        <v>10868</v>
      </c>
      <c r="G1325" s="42">
        <v>56</v>
      </c>
      <c r="H1325" s="42" t="s">
        <v>10064</v>
      </c>
      <c r="I1325" s="42" t="s">
        <v>10056</v>
      </c>
      <c r="J1325" s="42" t="s">
        <v>10115</v>
      </c>
      <c r="K1325" s="42" t="s">
        <v>10864</v>
      </c>
      <c r="L1325" s="42" t="s">
        <v>10066</v>
      </c>
      <c r="M1325" s="42">
        <v>4</v>
      </c>
      <c r="N1325" s="308"/>
      <c r="O1325" s="1474"/>
      <c r="P1325" s="1475"/>
      <c r="Q1325" s="1476"/>
    </row>
    <row r="1326" spans="1:17" ht="11.1" customHeight="1">
      <c r="A1326" s="250" t="s">
        <v>10869</v>
      </c>
      <c r="B1326" s="187"/>
      <c r="C1326" s="42">
        <v>1</v>
      </c>
      <c r="D1326" s="42" t="s">
        <v>10870</v>
      </c>
      <c r="E1326" s="188">
        <v>67.44</v>
      </c>
      <c r="F1326" s="42" t="s">
        <v>10871</v>
      </c>
      <c r="G1326" s="42">
        <v>55</v>
      </c>
      <c r="H1326" s="42" t="s">
        <v>10064</v>
      </c>
      <c r="I1326" s="42" t="s">
        <v>10056</v>
      </c>
      <c r="J1326" s="42" t="s">
        <v>10115</v>
      </c>
      <c r="K1326" s="42" t="s">
        <v>10116</v>
      </c>
      <c r="L1326" s="42" t="s">
        <v>10066</v>
      </c>
      <c r="M1326" s="42">
        <v>2</v>
      </c>
      <c r="N1326" s="308"/>
      <c r="O1326" s="1474"/>
      <c r="P1326" s="1475"/>
      <c r="Q1326" s="1476"/>
    </row>
    <row r="1327" spans="1:17" ht="11.1" customHeight="1">
      <c r="A1327" s="250" t="s">
        <v>10872</v>
      </c>
      <c r="B1327" s="187"/>
      <c r="C1327" s="42">
        <v>1</v>
      </c>
      <c r="D1327" s="42" t="s">
        <v>10836</v>
      </c>
      <c r="E1327" s="188">
        <v>65.989999999999995</v>
      </c>
      <c r="F1327" s="42" t="s">
        <v>10873</v>
      </c>
      <c r="G1327" s="42">
        <v>67</v>
      </c>
      <c r="H1327" s="42" t="s">
        <v>10054</v>
      </c>
      <c r="I1327" s="42" t="s">
        <v>10056</v>
      </c>
      <c r="J1327" s="42" t="s">
        <v>10115</v>
      </c>
      <c r="K1327" s="42" t="s">
        <v>10116</v>
      </c>
      <c r="L1327" s="42" t="s">
        <v>10066</v>
      </c>
      <c r="M1327" s="42">
        <v>3</v>
      </c>
      <c r="N1327" s="308" t="s">
        <v>10694</v>
      </c>
      <c r="O1327" s="1474"/>
      <c r="P1327" s="1475"/>
      <c r="Q1327" s="1476"/>
    </row>
    <row r="1328" spans="1:17" ht="11.1" customHeight="1">
      <c r="A1328" s="250" t="s">
        <v>10874</v>
      </c>
      <c r="B1328" s="187"/>
      <c r="C1328" s="42">
        <v>1</v>
      </c>
      <c r="D1328" s="42" t="s">
        <v>10815</v>
      </c>
      <c r="E1328" s="188">
        <v>64.72</v>
      </c>
      <c r="F1328" s="42" t="s">
        <v>10875</v>
      </c>
      <c r="G1328" s="42">
        <v>54</v>
      </c>
      <c r="H1328" s="42" t="s">
        <v>10064</v>
      </c>
      <c r="I1328" s="42" t="s">
        <v>10056</v>
      </c>
      <c r="J1328" s="42" t="s">
        <v>10115</v>
      </c>
      <c r="K1328" s="42" t="s">
        <v>10122</v>
      </c>
      <c r="L1328" s="42" t="s">
        <v>10070</v>
      </c>
      <c r="M1328" s="42">
        <v>4</v>
      </c>
      <c r="N1328" s="308" t="s">
        <v>10876</v>
      </c>
      <c r="O1328" s="1474"/>
      <c r="P1328" s="1475"/>
      <c r="Q1328" s="1476"/>
    </row>
    <row r="1329" spans="1:17" ht="11.1" customHeight="1">
      <c r="A1329" s="250" t="s">
        <v>10877</v>
      </c>
      <c r="B1329" s="187"/>
      <c r="C1329" s="42">
        <v>1</v>
      </c>
      <c r="D1329" s="42" t="s">
        <v>10809</v>
      </c>
      <c r="E1329" s="188">
        <v>62.03</v>
      </c>
      <c r="F1329" s="42" t="s">
        <v>10878</v>
      </c>
      <c r="G1329" s="42">
        <v>58</v>
      </c>
      <c r="H1329" s="42" t="s">
        <v>10064</v>
      </c>
      <c r="I1329" s="42" t="s">
        <v>10056</v>
      </c>
      <c r="J1329" s="42" t="s">
        <v>10115</v>
      </c>
      <c r="K1329" s="42" t="s">
        <v>10674</v>
      </c>
      <c r="L1329" s="42" t="s">
        <v>10066</v>
      </c>
      <c r="M1329" s="42">
        <v>3</v>
      </c>
      <c r="N1329" s="308" t="s">
        <v>10694</v>
      </c>
      <c r="O1329" s="1474"/>
      <c r="P1329" s="1475"/>
      <c r="Q1329" s="1476"/>
    </row>
    <row r="1330" spans="1:17" ht="11.1" customHeight="1">
      <c r="A1330" s="250" t="s">
        <v>10879</v>
      </c>
      <c r="B1330" s="187"/>
      <c r="C1330" s="42">
        <v>1</v>
      </c>
      <c r="D1330" s="42" t="s">
        <v>10812</v>
      </c>
      <c r="E1330" s="188">
        <v>58.19</v>
      </c>
      <c r="F1330" s="42" t="s">
        <v>10880</v>
      </c>
      <c r="G1330" s="42">
        <v>53</v>
      </c>
      <c r="H1330" s="42" t="s">
        <v>10064</v>
      </c>
      <c r="I1330" s="42" t="s">
        <v>10056</v>
      </c>
      <c r="J1330" s="42" t="s">
        <v>10115</v>
      </c>
      <c r="K1330" s="42" t="s">
        <v>10119</v>
      </c>
      <c r="L1330" s="42" t="s">
        <v>10066</v>
      </c>
      <c r="M1330" s="42">
        <v>2</v>
      </c>
      <c r="N1330" s="308"/>
      <c r="O1330" s="1474"/>
      <c r="P1330" s="1475"/>
      <c r="Q1330" s="1476"/>
    </row>
    <row r="1331" spans="1:17" ht="11.1" customHeight="1">
      <c r="A1331" s="250" t="s">
        <v>10881</v>
      </c>
      <c r="B1331" s="187"/>
      <c r="C1331" s="42">
        <v>1</v>
      </c>
      <c r="D1331" s="42" t="s">
        <v>10818</v>
      </c>
      <c r="E1331" s="188">
        <v>58.14</v>
      </c>
      <c r="F1331" s="42" t="s">
        <v>10882</v>
      </c>
      <c r="G1331" s="42">
        <v>56</v>
      </c>
      <c r="H1331" s="42" t="s">
        <v>10064</v>
      </c>
      <c r="I1331" s="42" t="s">
        <v>10056</v>
      </c>
      <c r="J1331" s="42" t="s">
        <v>10115</v>
      </c>
      <c r="K1331" s="42" t="s">
        <v>10140</v>
      </c>
      <c r="L1331" s="42" t="s">
        <v>10066</v>
      </c>
      <c r="M1331" s="42">
        <v>2</v>
      </c>
      <c r="N1331" s="308" t="s">
        <v>10694</v>
      </c>
      <c r="O1331" s="1474"/>
      <c r="P1331" s="1475"/>
      <c r="Q1331" s="1476"/>
    </row>
    <row r="1332" spans="1:17" ht="11.1" customHeight="1">
      <c r="A1332" s="250" t="s">
        <v>10883</v>
      </c>
      <c r="B1332" s="187"/>
      <c r="C1332" s="42">
        <v>1</v>
      </c>
      <c r="D1332" s="42" t="s">
        <v>10797</v>
      </c>
      <c r="E1332" s="188">
        <v>58.08</v>
      </c>
      <c r="F1332" s="42" t="s">
        <v>10884</v>
      </c>
      <c r="G1332" s="42">
        <v>39</v>
      </c>
      <c r="H1332" s="42" t="s">
        <v>10064</v>
      </c>
      <c r="I1332" s="42" t="s">
        <v>10056</v>
      </c>
      <c r="J1332" s="42" t="s">
        <v>10115</v>
      </c>
      <c r="K1332" s="42" t="s">
        <v>10122</v>
      </c>
      <c r="L1332" s="42" t="s">
        <v>10059</v>
      </c>
      <c r="M1332" s="42"/>
      <c r="N1332" s="308" t="s">
        <v>10711</v>
      </c>
      <c r="O1332" s="1474"/>
      <c r="P1332" s="1475"/>
      <c r="Q1332" s="1476"/>
    </row>
    <row r="1333" spans="1:17" ht="11.1" customHeight="1">
      <c r="A1333" s="250" t="s">
        <v>10885</v>
      </c>
      <c r="B1333" s="187"/>
      <c r="C1333" s="42">
        <v>1</v>
      </c>
      <c r="D1333" s="42" t="s">
        <v>10842</v>
      </c>
      <c r="E1333" s="188">
        <v>58</v>
      </c>
      <c r="F1333" s="42" t="s">
        <v>10886</v>
      </c>
      <c r="G1333" s="42">
        <v>70</v>
      </c>
      <c r="H1333" s="42" t="s">
        <v>10064</v>
      </c>
      <c r="I1333" s="42" t="s">
        <v>10056</v>
      </c>
      <c r="J1333" s="42" t="s">
        <v>10115</v>
      </c>
      <c r="K1333" s="42" t="s">
        <v>10127</v>
      </c>
      <c r="L1333" s="42" t="s">
        <v>10066</v>
      </c>
      <c r="M1333" s="42">
        <v>1</v>
      </c>
      <c r="N1333" s="308"/>
      <c r="O1333" s="1474"/>
      <c r="P1333" s="1475"/>
      <c r="Q1333" s="1476"/>
    </row>
    <row r="1334" spans="1:17" ht="11.1" customHeight="1">
      <c r="A1334" s="250" t="s">
        <v>10887</v>
      </c>
      <c r="B1334" s="187"/>
      <c r="C1334" s="42">
        <v>1</v>
      </c>
      <c r="D1334" s="42" t="s">
        <v>10806</v>
      </c>
      <c r="E1334" s="188">
        <v>57.96</v>
      </c>
      <c r="F1334" s="42" t="s">
        <v>10888</v>
      </c>
      <c r="G1334" s="42">
        <v>61</v>
      </c>
      <c r="H1334" s="42" t="s">
        <v>10064</v>
      </c>
      <c r="I1334" s="42" t="s">
        <v>10056</v>
      </c>
      <c r="J1334" s="42" t="s">
        <v>10115</v>
      </c>
      <c r="K1334" s="42" t="s">
        <v>10122</v>
      </c>
      <c r="L1334" s="42" t="s">
        <v>10070</v>
      </c>
      <c r="M1334" s="42">
        <v>1</v>
      </c>
      <c r="N1334" s="308"/>
      <c r="O1334" s="1474"/>
      <c r="P1334" s="1475"/>
      <c r="Q1334" s="1476"/>
    </row>
    <row r="1335" spans="1:17" ht="11.1" customHeight="1">
      <c r="A1335" s="250" t="s">
        <v>10889</v>
      </c>
      <c r="B1335" s="187"/>
      <c r="C1335" s="42">
        <v>1</v>
      </c>
      <c r="D1335" s="42" t="s">
        <v>10800</v>
      </c>
      <c r="E1335" s="188">
        <v>57.33</v>
      </c>
      <c r="F1335" s="42" t="s">
        <v>10890</v>
      </c>
      <c r="G1335" s="42">
        <v>41</v>
      </c>
      <c r="H1335" s="42" t="s">
        <v>10064</v>
      </c>
      <c r="I1335" s="42" t="s">
        <v>10056</v>
      </c>
      <c r="J1335" s="42" t="s">
        <v>10115</v>
      </c>
      <c r="K1335" s="42" t="s">
        <v>10122</v>
      </c>
      <c r="L1335" s="42" t="s">
        <v>10059</v>
      </c>
      <c r="M1335" s="42"/>
      <c r="N1335" s="308"/>
      <c r="O1335" s="1474"/>
      <c r="P1335" s="1475"/>
      <c r="Q1335" s="1476"/>
    </row>
    <row r="1336" spans="1:17" ht="11.1" customHeight="1">
      <c r="A1336" s="250" t="s">
        <v>10891</v>
      </c>
      <c r="B1336" s="187"/>
      <c r="C1336" s="42">
        <v>1</v>
      </c>
      <c r="D1336" s="42" t="s">
        <v>10803</v>
      </c>
      <c r="E1336" s="188">
        <v>46.04</v>
      </c>
      <c r="F1336" s="42" t="s">
        <v>10892</v>
      </c>
      <c r="G1336" s="42">
        <v>61</v>
      </c>
      <c r="H1336" s="42" t="s">
        <v>10064</v>
      </c>
      <c r="I1336" s="42" t="s">
        <v>10056</v>
      </c>
      <c r="J1336" s="42" t="s">
        <v>10115</v>
      </c>
      <c r="K1336" s="42" t="s">
        <v>10140</v>
      </c>
      <c r="L1336" s="42" t="s">
        <v>10066</v>
      </c>
      <c r="M1336" s="42">
        <v>3</v>
      </c>
      <c r="N1336" s="308" t="s">
        <v>10694</v>
      </c>
      <c r="O1336" s="1474"/>
      <c r="P1336" s="1475"/>
      <c r="Q1336" s="1476"/>
    </row>
    <row r="1337" spans="1:17" ht="11.1" customHeight="1">
      <c r="A1337" s="250" t="s">
        <v>10893</v>
      </c>
      <c r="B1337" s="187"/>
      <c r="C1337" s="42">
        <v>1</v>
      </c>
      <c r="D1337" s="42" t="s">
        <v>10821</v>
      </c>
      <c r="E1337" s="188">
        <v>41.72</v>
      </c>
      <c r="F1337" s="42" t="s">
        <v>10894</v>
      </c>
      <c r="G1337" s="42">
        <v>60</v>
      </c>
      <c r="H1337" s="42" t="s">
        <v>10064</v>
      </c>
      <c r="I1337" s="42" t="s">
        <v>10056</v>
      </c>
      <c r="J1337" s="42" t="s">
        <v>10115</v>
      </c>
      <c r="K1337" s="42" t="s">
        <v>10119</v>
      </c>
      <c r="L1337" s="42" t="s">
        <v>10070</v>
      </c>
      <c r="M1337" s="42">
        <v>1</v>
      </c>
      <c r="N1337" s="308" t="s">
        <v>10876</v>
      </c>
      <c r="O1337" s="1474"/>
      <c r="P1337" s="1475"/>
      <c r="Q1337" s="1476"/>
    </row>
    <row r="1338" spans="1:17" ht="11.1" customHeight="1">
      <c r="A1338" s="250" t="s">
        <v>10895</v>
      </c>
      <c r="B1338" s="187"/>
      <c r="C1338" s="42">
        <v>26</v>
      </c>
      <c r="D1338" s="42" t="s">
        <v>10061</v>
      </c>
      <c r="E1338" s="309" t="s">
        <v>10165</v>
      </c>
      <c r="F1338" s="42" t="s">
        <v>10896</v>
      </c>
      <c r="G1338" s="42">
        <v>29</v>
      </c>
      <c r="H1338" s="42" t="s">
        <v>10064</v>
      </c>
      <c r="I1338" s="42"/>
      <c r="J1338" s="42" t="s">
        <v>10115</v>
      </c>
      <c r="K1338" s="42" t="s">
        <v>10116</v>
      </c>
      <c r="L1338" s="42" t="s">
        <v>10059</v>
      </c>
      <c r="M1338" s="42"/>
      <c r="N1338" s="310"/>
      <c r="O1338" s="1474"/>
      <c r="P1338" s="1475"/>
      <c r="Q1338" s="1476"/>
    </row>
    <row r="1339" spans="1:17" ht="11.1" customHeight="1">
      <c r="A1339" s="250" t="s">
        <v>10897</v>
      </c>
      <c r="B1339" s="187"/>
      <c r="C1339" s="42">
        <v>27</v>
      </c>
      <c r="D1339" s="42" t="s">
        <v>10061</v>
      </c>
      <c r="E1339" s="309" t="s">
        <v>10062</v>
      </c>
      <c r="F1339" s="42" t="s">
        <v>10898</v>
      </c>
      <c r="G1339" s="42">
        <v>48</v>
      </c>
      <c r="H1339" s="42" t="s">
        <v>10064</v>
      </c>
      <c r="I1339" s="42"/>
      <c r="J1339" s="42" t="s">
        <v>10115</v>
      </c>
      <c r="K1339" s="42" t="s">
        <v>10122</v>
      </c>
      <c r="L1339" s="42" t="s">
        <v>10059</v>
      </c>
      <c r="M1339" s="42"/>
      <c r="N1339" s="310"/>
      <c r="O1339" s="1474"/>
      <c r="P1339" s="1475"/>
      <c r="Q1339" s="1476"/>
    </row>
    <row r="1340" spans="1:17" ht="11.1" customHeight="1">
      <c r="A1340" s="250" t="s">
        <v>10899</v>
      </c>
      <c r="B1340" s="187"/>
      <c r="C1340" s="42">
        <v>28</v>
      </c>
      <c r="D1340" s="42" t="s">
        <v>10061</v>
      </c>
      <c r="E1340" s="309" t="s">
        <v>10062</v>
      </c>
      <c r="F1340" s="42" t="s">
        <v>10900</v>
      </c>
      <c r="G1340" s="42">
        <v>34</v>
      </c>
      <c r="H1340" s="42" t="s">
        <v>10064</v>
      </c>
      <c r="I1340" s="42"/>
      <c r="J1340" s="42" t="s">
        <v>10115</v>
      </c>
      <c r="K1340" s="42" t="s">
        <v>10116</v>
      </c>
      <c r="L1340" s="42" t="s">
        <v>10059</v>
      </c>
      <c r="M1340" s="42"/>
      <c r="N1340" s="310"/>
      <c r="O1340" s="1474"/>
      <c r="P1340" s="1475"/>
      <c r="Q1340" s="1476"/>
    </row>
    <row r="1341" spans="1:17" ht="11.1" customHeight="1">
      <c r="A1341" s="250" t="s">
        <v>10901</v>
      </c>
      <c r="B1341" s="187"/>
      <c r="C1341" s="42">
        <v>29</v>
      </c>
      <c r="D1341" s="42" t="s">
        <v>10061</v>
      </c>
      <c r="E1341" s="309" t="s">
        <v>10062</v>
      </c>
      <c r="F1341" s="42" t="s">
        <v>10902</v>
      </c>
      <c r="G1341" s="42">
        <v>38</v>
      </c>
      <c r="H1341" s="42" t="s">
        <v>10064</v>
      </c>
      <c r="I1341" s="42"/>
      <c r="J1341" s="42" t="s">
        <v>10115</v>
      </c>
      <c r="K1341" s="42" t="s">
        <v>10116</v>
      </c>
      <c r="L1341" s="42" t="s">
        <v>10059</v>
      </c>
      <c r="M1341" s="42"/>
      <c r="N1341" s="310"/>
      <c r="O1341" s="1474"/>
      <c r="P1341" s="1475"/>
      <c r="Q1341" s="1476"/>
    </row>
    <row r="1342" spans="1:17" ht="11.1" customHeight="1">
      <c r="A1342" s="945" t="s">
        <v>10903</v>
      </c>
      <c r="B1342" s="318" t="s">
        <v>10098</v>
      </c>
      <c r="C1342" s="141">
        <v>1</v>
      </c>
      <c r="D1342" s="141" t="s">
        <v>10763</v>
      </c>
      <c r="E1342" s="319" t="s">
        <v>10100</v>
      </c>
      <c r="F1342" s="141" t="s">
        <v>10904</v>
      </c>
      <c r="G1342" s="141">
        <v>58</v>
      </c>
      <c r="H1342" s="141" t="s">
        <v>10064</v>
      </c>
      <c r="I1342" s="141" t="s">
        <v>10056</v>
      </c>
      <c r="J1342" s="141" t="s">
        <v>10115</v>
      </c>
      <c r="K1342" s="141" t="s">
        <v>10119</v>
      </c>
      <c r="L1342" s="141" t="s">
        <v>10066</v>
      </c>
      <c r="M1342" s="141">
        <v>8</v>
      </c>
      <c r="N1342" s="320" t="s">
        <v>10694</v>
      </c>
      <c r="O1342" s="1474"/>
      <c r="P1342" s="1475"/>
      <c r="Q1342" s="1476"/>
    </row>
    <row r="1343" spans="1:17" ht="11.1" customHeight="1">
      <c r="A1343" s="946" t="s">
        <v>10905</v>
      </c>
      <c r="B1343" s="197" t="s">
        <v>10051</v>
      </c>
      <c r="C1343" s="198">
        <v>1</v>
      </c>
      <c r="D1343" s="198" t="s">
        <v>10061</v>
      </c>
      <c r="E1343" s="321" t="s">
        <v>10129</v>
      </c>
      <c r="F1343" s="198" t="s">
        <v>10906</v>
      </c>
      <c r="G1343" s="198">
        <v>45</v>
      </c>
      <c r="H1343" s="198" t="s">
        <v>10064</v>
      </c>
      <c r="I1343" s="198"/>
      <c r="J1343" s="198" t="s">
        <v>10153</v>
      </c>
      <c r="K1343" s="198"/>
      <c r="L1343" s="198" t="s">
        <v>10066</v>
      </c>
      <c r="M1343" s="198">
        <v>3</v>
      </c>
      <c r="N1343" s="322"/>
      <c r="O1343" s="1474">
        <v>2</v>
      </c>
      <c r="P1343" s="1475">
        <v>820126</v>
      </c>
      <c r="Q1343" s="1476">
        <f>P1343*100/SUM(P1284:P1353)</f>
        <v>12.380019062300271</v>
      </c>
    </row>
    <row r="1344" spans="1:17" ht="11.1" customHeight="1">
      <c r="A1344" s="250" t="s">
        <v>10907</v>
      </c>
      <c r="B1344" s="231" t="s">
        <v>10051</v>
      </c>
      <c r="C1344" s="232">
        <v>2</v>
      </c>
      <c r="D1344" s="232" t="s">
        <v>10061</v>
      </c>
      <c r="E1344" s="348" t="s">
        <v>10129</v>
      </c>
      <c r="F1344" s="232" t="s">
        <v>10908</v>
      </c>
      <c r="G1344" s="232">
        <v>52</v>
      </c>
      <c r="H1344" s="232" t="s">
        <v>10054</v>
      </c>
      <c r="I1344" s="232"/>
      <c r="J1344" s="232" t="s">
        <v>10153</v>
      </c>
      <c r="K1344" s="232"/>
      <c r="L1344" s="232" t="s">
        <v>10059</v>
      </c>
      <c r="M1344" s="232"/>
      <c r="N1344" s="349"/>
      <c r="O1344" s="1474"/>
      <c r="P1344" s="1475"/>
      <c r="Q1344" s="1476"/>
    </row>
    <row r="1345" spans="1:17" ht="11.1" customHeight="1">
      <c r="A1345" s="250" t="s">
        <v>10909</v>
      </c>
      <c r="B1345" s="187"/>
      <c r="C1345" s="42">
        <v>3</v>
      </c>
      <c r="D1345" s="42" t="s">
        <v>10061</v>
      </c>
      <c r="E1345" s="309" t="s">
        <v>10062</v>
      </c>
      <c r="F1345" s="42" t="s">
        <v>10910</v>
      </c>
      <c r="G1345" s="42">
        <v>49</v>
      </c>
      <c r="H1345" s="42" t="s">
        <v>10064</v>
      </c>
      <c r="I1345" s="42"/>
      <c r="J1345" s="42" t="s">
        <v>10153</v>
      </c>
      <c r="K1345" s="42"/>
      <c r="L1345" s="42" t="s">
        <v>10059</v>
      </c>
      <c r="M1345" s="42"/>
      <c r="N1345" s="310"/>
      <c r="O1345" s="1474"/>
      <c r="P1345" s="1475"/>
      <c r="Q1345" s="1476"/>
    </row>
    <row r="1346" spans="1:17" ht="11.1" customHeight="1">
      <c r="A1346" s="945" t="s">
        <v>10911</v>
      </c>
      <c r="B1346" s="190"/>
      <c r="C1346" s="49">
        <v>4</v>
      </c>
      <c r="D1346" s="49" t="s">
        <v>10061</v>
      </c>
      <c r="E1346" s="323" t="s">
        <v>10062</v>
      </c>
      <c r="F1346" s="49" t="s">
        <v>10912</v>
      </c>
      <c r="G1346" s="49">
        <v>42</v>
      </c>
      <c r="H1346" s="49" t="s">
        <v>10064</v>
      </c>
      <c r="I1346" s="49"/>
      <c r="J1346" s="49" t="s">
        <v>10153</v>
      </c>
      <c r="K1346" s="49"/>
      <c r="L1346" s="49" t="s">
        <v>10059</v>
      </c>
      <c r="M1346" s="49"/>
      <c r="N1346" s="324"/>
      <c r="O1346" s="1474"/>
      <c r="P1346" s="1475"/>
      <c r="Q1346" s="1476"/>
    </row>
    <row r="1347" spans="1:17" ht="11.1" customHeight="1">
      <c r="A1347" s="946" t="s">
        <v>10913</v>
      </c>
      <c r="B1347" s="224" t="s">
        <v>10051</v>
      </c>
      <c r="C1347" s="225">
        <v>2</v>
      </c>
      <c r="D1347" s="225" t="s">
        <v>10061</v>
      </c>
      <c r="E1347" s="342" t="s">
        <v>10062</v>
      </c>
      <c r="F1347" s="225" t="s">
        <v>10914</v>
      </c>
      <c r="G1347" s="225">
        <v>52</v>
      </c>
      <c r="H1347" s="225" t="s">
        <v>10064</v>
      </c>
      <c r="I1347" s="225"/>
      <c r="J1347" s="225" t="s">
        <v>10158</v>
      </c>
      <c r="K1347" s="225"/>
      <c r="L1347" s="225" t="s">
        <v>10059</v>
      </c>
      <c r="M1347" s="225"/>
      <c r="N1347" s="343"/>
      <c r="O1347" s="1474">
        <v>1</v>
      </c>
      <c r="P1347" s="1475">
        <v>586017</v>
      </c>
      <c r="Q1347" s="1476">
        <f>P1347*100/SUM(P1284:P1353)</f>
        <v>8.8460817372355205</v>
      </c>
    </row>
    <row r="1348" spans="1:17" ht="11.1" customHeight="1">
      <c r="A1348" s="250" t="s">
        <v>10915</v>
      </c>
      <c r="B1348" s="187"/>
      <c r="C1348" s="42">
        <v>3</v>
      </c>
      <c r="D1348" s="42" t="s">
        <v>10827</v>
      </c>
      <c r="E1348" s="188">
        <v>28.68</v>
      </c>
      <c r="F1348" s="42" t="s">
        <v>10916</v>
      </c>
      <c r="G1348" s="42">
        <v>50</v>
      </c>
      <c r="H1348" s="42" t="s">
        <v>10054</v>
      </c>
      <c r="I1348" s="42" t="s">
        <v>10056</v>
      </c>
      <c r="J1348" s="42" t="s">
        <v>10158</v>
      </c>
      <c r="K1348" s="42"/>
      <c r="L1348" s="42" t="s">
        <v>10059</v>
      </c>
      <c r="M1348" s="42"/>
      <c r="N1348" s="310"/>
      <c r="O1348" s="1474"/>
      <c r="P1348" s="1475"/>
      <c r="Q1348" s="1476"/>
    </row>
    <row r="1349" spans="1:17" ht="11.1" customHeight="1">
      <c r="A1349" s="250" t="s">
        <v>10917</v>
      </c>
      <c r="B1349" s="187"/>
      <c r="C1349" s="42">
        <v>4</v>
      </c>
      <c r="D1349" s="42" t="s">
        <v>10809</v>
      </c>
      <c r="E1349" s="188">
        <v>23.77</v>
      </c>
      <c r="F1349" s="42" t="s">
        <v>10918</v>
      </c>
      <c r="G1349" s="42">
        <v>40</v>
      </c>
      <c r="H1349" s="42" t="s">
        <v>10054</v>
      </c>
      <c r="I1349" s="42" t="s">
        <v>10056</v>
      </c>
      <c r="J1349" s="42" t="s">
        <v>10158</v>
      </c>
      <c r="K1349" s="42"/>
      <c r="L1349" s="42" t="s">
        <v>10059</v>
      </c>
      <c r="M1349" s="42"/>
      <c r="N1349" s="310"/>
      <c r="O1349" s="1474"/>
      <c r="P1349" s="1475"/>
      <c r="Q1349" s="1476"/>
    </row>
    <row r="1350" spans="1:17" ht="11.1" customHeight="1">
      <c r="A1350" s="945" t="s">
        <v>10919</v>
      </c>
      <c r="B1350" s="190" t="s">
        <v>10313</v>
      </c>
      <c r="C1350" s="49">
        <v>1</v>
      </c>
      <c r="D1350" s="49" t="s">
        <v>10833</v>
      </c>
      <c r="E1350" s="201">
        <v>18.850000000000001</v>
      </c>
      <c r="F1350" s="49" t="s">
        <v>10920</v>
      </c>
      <c r="G1350" s="49">
        <v>55</v>
      </c>
      <c r="H1350" s="49" t="s">
        <v>10064</v>
      </c>
      <c r="I1350" s="49" t="s">
        <v>10056</v>
      </c>
      <c r="J1350" s="49" t="s">
        <v>10158</v>
      </c>
      <c r="K1350" s="49"/>
      <c r="L1350" s="49" t="s">
        <v>10059</v>
      </c>
      <c r="M1350" s="49"/>
      <c r="N1350" s="344"/>
      <c r="O1350" s="1474"/>
      <c r="P1350" s="1475"/>
      <c r="Q1350" s="1476"/>
    </row>
    <row r="1351" spans="1:17" ht="11.1" customHeight="1">
      <c r="A1351" s="946" t="s">
        <v>10921</v>
      </c>
      <c r="B1351" s="228" t="s">
        <v>10051</v>
      </c>
      <c r="C1351" s="122">
        <v>2</v>
      </c>
      <c r="D1351" s="122" t="s">
        <v>10061</v>
      </c>
      <c r="E1351" s="351" t="s">
        <v>10062</v>
      </c>
      <c r="F1351" s="122" t="s">
        <v>10922</v>
      </c>
      <c r="G1351" s="122">
        <v>49</v>
      </c>
      <c r="H1351" s="122" t="s">
        <v>10064</v>
      </c>
      <c r="I1351" s="122"/>
      <c r="J1351" s="122" t="s">
        <v>10163</v>
      </c>
      <c r="K1351" s="122"/>
      <c r="L1351" s="122" t="s">
        <v>10070</v>
      </c>
      <c r="M1351" s="122">
        <v>2</v>
      </c>
      <c r="N1351" s="352"/>
      <c r="O1351" s="1474">
        <v>1</v>
      </c>
      <c r="P1351" s="1475">
        <v>300782</v>
      </c>
      <c r="Q1351" s="1476">
        <f>P1351*100/SUM(P1284:P1353)</f>
        <v>4.5403839088101101</v>
      </c>
    </row>
    <row r="1352" spans="1:17" ht="11.1" customHeight="1">
      <c r="A1352" s="945" t="s">
        <v>10923</v>
      </c>
      <c r="B1352" s="190" t="s">
        <v>10532</v>
      </c>
      <c r="C1352" s="49">
        <v>1</v>
      </c>
      <c r="D1352" s="49" t="s">
        <v>10800</v>
      </c>
      <c r="E1352" s="201">
        <v>9.75</v>
      </c>
      <c r="F1352" s="49" t="s">
        <v>10924</v>
      </c>
      <c r="G1352" s="49">
        <v>48</v>
      </c>
      <c r="H1352" s="49" t="s">
        <v>10064</v>
      </c>
      <c r="I1352" s="49" t="s">
        <v>10056</v>
      </c>
      <c r="J1352" s="49" t="s">
        <v>10163</v>
      </c>
      <c r="K1352" s="49"/>
      <c r="L1352" s="49" t="s">
        <v>10059</v>
      </c>
      <c r="M1352" s="49"/>
      <c r="N1352" s="324"/>
      <c r="O1352" s="1474"/>
      <c r="P1352" s="1475"/>
      <c r="Q1352" s="1476"/>
    </row>
    <row r="1353" spans="1:17" ht="11.1" customHeight="1" thickBot="1">
      <c r="A1353" s="949" t="s">
        <v>10925</v>
      </c>
      <c r="B1353" s="355"/>
      <c r="C1353" s="356">
        <v>1</v>
      </c>
      <c r="D1353" s="356" t="s">
        <v>10803</v>
      </c>
      <c r="E1353" s="362">
        <v>37.43</v>
      </c>
      <c r="F1353" s="356" t="s">
        <v>10926</v>
      </c>
      <c r="G1353" s="356">
        <v>61</v>
      </c>
      <c r="H1353" s="356" t="s">
        <v>10064</v>
      </c>
      <c r="I1353" s="356" t="s">
        <v>10056</v>
      </c>
      <c r="J1353" s="356" t="s">
        <v>10540</v>
      </c>
      <c r="K1353" s="356" t="s">
        <v>10927</v>
      </c>
      <c r="L1353" s="356" t="s">
        <v>10066</v>
      </c>
      <c r="M1353" s="356">
        <v>4</v>
      </c>
      <c r="N1353" s="358"/>
      <c r="O1353" s="359">
        <v>0</v>
      </c>
      <c r="P1353" s="360">
        <v>290027</v>
      </c>
      <c r="Q1353" s="361">
        <f>P1353*100/SUM(P1284:P1353)</f>
        <v>4.3780343368967216</v>
      </c>
    </row>
    <row r="1354" spans="1:17" ht="11.1" customHeight="1">
      <c r="A1354" s="249" t="s">
        <v>10928</v>
      </c>
      <c r="B1354" s="336" t="s">
        <v>10051</v>
      </c>
      <c r="C1354" s="337">
        <v>1</v>
      </c>
      <c r="D1354" s="337" t="s">
        <v>10061</v>
      </c>
      <c r="E1354" s="338" t="s">
        <v>10129</v>
      </c>
      <c r="F1354" s="337" t="s">
        <v>10929</v>
      </c>
      <c r="G1354" s="337">
        <v>54</v>
      </c>
      <c r="H1354" s="337" t="s">
        <v>10064</v>
      </c>
      <c r="I1354" s="337"/>
      <c r="J1354" s="337" t="s">
        <v>10057</v>
      </c>
      <c r="K1354" s="337" t="s">
        <v>10058</v>
      </c>
      <c r="L1354" s="337" t="s">
        <v>10059</v>
      </c>
      <c r="M1354" s="337"/>
      <c r="N1354" s="339"/>
      <c r="O1354" s="1483">
        <v>5</v>
      </c>
      <c r="P1354" s="1484">
        <v>1665553</v>
      </c>
      <c r="Q1354" s="1485">
        <f>P1354*100/SUM(P1354:P1405)</f>
        <v>38.297537216755551</v>
      </c>
    </row>
    <row r="1355" spans="1:17" ht="11.1" customHeight="1">
      <c r="A1355" s="250" t="s">
        <v>10930</v>
      </c>
      <c r="B1355" s="302" t="s">
        <v>10051</v>
      </c>
      <c r="C1355" s="303">
        <v>3</v>
      </c>
      <c r="D1355" s="303" t="s">
        <v>10061</v>
      </c>
      <c r="E1355" s="306" t="s">
        <v>10062</v>
      </c>
      <c r="F1355" s="303" t="s">
        <v>10931</v>
      </c>
      <c r="G1355" s="303">
        <v>68</v>
      </c>
      <c r="H1355" s="303" t="s">
        <v>10064</v>
      </c>
      <c r="I1355" s="303"/>
      <c r="J1355" s="303" t="s">
        <v>10057</v>
      </c>
      <c r="K1355" s="303" t="s">
        <v>10082</v>
      </c>
      <c r="L1355" s="303" t="s">
        <v>10066</v>
      </c>
      <c r="M1355" s="303">
        <v>11</v>
      </c>
      <c r="N1355" s="305"/>
      <c r="O1355" s="1474"/>
      <c r="P1355" s="1475"/>
      <c r="Q1355" s="1476"/>
    </row>
    <row r="1356" spans="1:17" ht="11.1" customHeight="1">
      <c r="A1356" s="250" t="s">
        <v>10932</v>
      </c>
      <c r="B1356" s="302" t="s">
        <v>10051</v>
      </c>
      <c r="C1356" s="303">
        <v>4</v>
      </c>
      <c r="D1356" s="303" t="s">
        <v>10933</v>
      </c>
      <c r="E1356" s="304">
        <v>89.57</v>
      </c>
      <c r="F1356" s="303" t="s">
        <v>10934</v>
      </c>
      <c r="G1356" s="303">
        <v>44</v>
      </c>
      <c r="H1356" s="303" t="s">
        <v>10064</v>
      </c>
      <c r="I1356" s="303" t="s">
        <v>10056</v>
      </c>
      <c r="J1356" s="303" t="s">
        <v>10057</v>
      </c>
      <c r="K1356" s="303" t="s">
        <v>10075</v>
      </c>
      <c r="L1356" s="303" t="s">
        <v>10059</v>
      </c>
      <c r="M1356" s="303"/>
      <c r="N1356" s="307" t="s">
        <v>10071</v>
      </c>
      <c r="O1356" s="1474"/>
      <c r="P1356" s="1475"/>
      <c r="Q1356" s="1476"/>
    </row>
    <row r="1357" spans="1:17" ht="11.1" customHeight="1">
      <c r="A1357" s="250" t="s">
        <v>10935</v>
      </c>
      <c r="B1357" s="302" t="s">
        <v>10051</v>
      </c>
      <c r="C1357" s="303">
        <v>4</v>
      </c>
      <c r="D1357" s="303" t="s">
        <v>10936</v>
      </c>
      <c r="E1357" s="304">
        <v>86.26</v>
      </c>
      <c r="F1357" s="303" t="s">
        <v>10937</v>
      </c>
      <c r="G1357" s="303">
        <v>65</v>
      </c>
      <c r="H1357" s="303" t="s">
        <v>10064</v>
      </c>
      <c r="I1357" s="303" t="s">
        <v>10056</v>
      </c>
      <c r="J1357" s="303" t="s">
        <v>10057</v>
      </c>
      <c r="K1357" s="303" t="s">
        <v>10058</v>
      </c>
      <c r="L1357" s="303" t="s">
        <v>10066</v>
      </c>
      <c r="M1357" s="303">
        <v>2</v>
      </c>
      <c r="N1357" s="307" t="s">
        <v>10071</v>
      </c>
      <c r="O1357" s="1474"/>
      <c r="P1357" s="1475"/>
      <c r="Q1357" s="1476"/>
    </row>
    <row r="1358" spans="1:17" ht="11.1" customHeight="1">
      <c r="A1358" s="250" t="s">
        <v>10938</v>
      </c>
      <c r="B1358" s="302" t="s">
        <v>10051</v>
      </c>
      <c r="C1358" s="303">
        <v>4</v>
      </c>
      <c r="D1358" s="303" t="s">
        <v>10939</v>
      </c>
      <c r="E1358" s="304">
        <v>83.76</v>
      </c>
      <c r="F1358" s="303" t="s">
        <v>10940</v>
      </c>
      <c r="G1358" s="303">
        <v>73</v>
      </c>
      <c r="H1358" s="303" t="s">
        <v>10064</v>
      </c>
      <c r="I1358" s="303" t="s">
        <v>10056</v>
      </c>
      <c r="J1358" s="303" t="s">
        <v>10057</v>
      </c>
      <c r="K1358" s="303" t="s">
        <v>10092</v>
      </c>
      <c r="L1358" s="303" t="s">
        <v>10066</v>
      </c>
      <c r="M1358" s="303">
        <v>5</v>
      </c>
      <c r="N1358" s="307"/>
      <c r="O1358" s="1474"/>
      <c r="P1358" s="1475"/>
      <c r="Q1358" s="1476"/>
    </row>
    <row r="1359" spans="1:17" ht="11.1" customHeight="1">
      <c r="A1359" s="250" t="s">
        <v>10941</v>
      </c>
      <c r="B1359" s="187"/>
      <c r="C1359" s="42">
        <v>4</v>
      </c>
      <c r="D1359" s="42" t="s">
        <v>10942</v>
      </c>
      <c r="E1359" s="188">
        <v>81.83</v>
      </c>
      <c r="F1359" s="42" t="s">
        <v>10943</v>
      </c>
      <c r="G1359" s="42">
        <v>34</v>
      </c>
      <c r="H1359" s="42" t="s">
        <v>10064</v>
      </c>
      <c r="I1359" s="42" t="s">
        <v>10056</v>
      </c>
      <c r="J1359" s="42" t="s">
        <v>10057</v>
      </c>
      <c r="K1359" s="212" t="s">
        <v>10058</v>
      </c>
      <c r="L1359" s="42" t="s">
        <v>10059</v>
      </c>
      <c r="M1359" s="42"/>
      <c r="N1359" s="308" t="s">
        <v>10071</v>
      </c>
      <c r="O1359" s="1474"/>
      <c r="P1359" s="1475"/>
      <c r="Q1359" s="1476"/>
    </row>
    <row r="1360" spans="1:17" ht="11.1" customHeight="1">
      <c r="A1360" s="250" t="s">
        <v>10944</v>
      </c>
      <c r="B1360" s="187"/>
      <c r="C1360" s="42">
        <v>4</v>
      </c>
      <c r="D1360" s="42" t="s">
        <v>10945</v>
      </c>
      <c r="E1360" s="188">
        <v>78.680000000000007</v>
      </c>
      <c r="F1360" s="42" t="s">
        <v>10946</v>
      </c>
      <c r="G1360" s="42">
        <v>38</v>
      </c>
      <c r="H1360" s="42" t="s">
        <v>10064</v>
      </c>
      <c r="I1360" s="42" t="s">
        <v>10056</v>
      </c>
      <c r="J1360" s="42" t="s">
        <v>10057</v>
      </c>
      <c r="K1360" s="42" t="s">
        <v>10058</v>
      </c>
      <c r="L1360" s="42" t="s">
        <v>10059</v>
      </c>
      <c r="M1360" s="42"/>
      <c r="N1360" s="308" t="s">
        <v>10071</v>
      </c>
      <c r="O1360" s="1474"/>
      <c r="P1360" s="1475"/>
      <c r="Q1360" s="1476"/>
    </row>
    <row r="1361" spans="1:17" ht="11.1" customHeight="1">
      <c r="A1361" s="250" t="s">
        <v>10947</v>
      </c>
      <c r="B1361" s="187"/>
      <c r="C1361" s="42">
        <v>4</v>
      </c>
      <c r="D1361" s="42" t="s">
        <v>10948</v>
      </c>
      <c r="E1361" s="188">
        <v>71.59</v>
      </c>
      <c r="F1361" s="42" t="s">
        <v>10949</v>
      </c>
      <c r="G1361" s="42">
        <v>62</v>
      </c>
      <c r="H1361" s="42" t="s">
        <v>10064</v>
      </c>
      <c r="I1361" s="42" t="s">
        <v>10056</v>
      </c>
      <c r="J1361" s="42" t="s">
        <v>10057</v>
      </c>
      <c r="K1361" s="42" t="s">
        <v>10065</v>
      </c>
      <c r="L1361" s="42" t="s">
        <v>10066</v>
      </c>
      <c r="M1361" s="42">
        <v>2</v>
      </c>
      <c r="N1361" s="308" t="s">
        <v>10071</v>
      </c>
      <c r="O1361" s="1474"/>
      <c r="P1361" s="1475"/>
      <c r="Q1361" s="1476"/>
    </row>
    <row r="1362" spans="1:17" ht="11.1" customHeight="1">
      <c r="A1362" s="250" t="s">
        <v>10950</v>
      </c>
      <c r="B1362" s="187"/>
      <c r="C1362" s="42">
        <v>4</v>
      </c>
      <c r="D1362" s="42" t="s">
        <v>10951</v>
      </c>
      <c r="E1362" s="188">
        <v>69.400000000000006</v>
      </c>
      <c r="F1362" s="212" t="s">
        <v>10952</v>
      </c>
      <c r="G1362" s="42">
        <v>37</v>
      </c>
      <c r="H1362" s="212" t="s">
        <v>10064</v>
      </c>
      <c r="I1362" s="42" t="s">
        <v>10056</v>
      </c>
      <c r="J1362" s="42" t="s">
        <v>10057</v>
      </c>
      <c r="K1362" s="212" t="s">
        <v>10058</v>
      </c>
      <c r="L1362" s="42" t="s">
        <v>10059</v>
      </c>
      <c r="M1362" s="42"/>
      <c r="N1362" s="308" t="s">
        <v>10071</v>
      </c>
      <c r="O1362" s="1474"/>
      <c r="P1362" s="1475"/>
      <c r="Q1362" s="1476"/>
    </row>
    <row r="1363" spans="1:17" ht="11.1" customHeight="1">
      <c r="A1363" s="250" t="s">
        <v>10953</v>
      </c>
      <c r="B1363" s="302" t="s">
        <v>10098</v>
      </c>
      <c r="C1363" s="303">
        <v>2</v>
      </c>
      <c r="D1363" s="303" t="s">
        <v>10954</v>
      </c>
      <c r="E1363" s="306" t="s">
        <v>10104</v>
      </c>
      <c r="F1363" s="303" t="s">
        <v>10955</v>
      </c>
      <c r="G1363" s="303">
        <v>46</v>
      </c>
      <c r="H1363" s="303" t="s">
        <v>10054</v>
      </c>
      <c r="I1363" s="303" t="s">
        <v>10056</v>
      </c>
      <c r="J1363" s="303" t="s">
        <v>10057</v>
      </c>
      <c r="K1363" s="303" t="s">
        <v>10075</v>
      </c>
      <c r="L1363" s="303" t="s">
        <v>10059</v>
      </c>
      <c r="M1363" s="303"/>
      <c r="N1363" s="307"/>
      <c r="O1363" s="1474"/>
      <c r="P1363" s="1475"/>
      <c r="Q1363" s="1476"/>
    </row>
    <row r="1364" spans="1:17" ht="11.1" customHeight="1">
      <c r="A1364" s="250" t="s">
        <v>10956</v>
      </c>
      <c r="B1364" s="302" t="s">
        <v>10098</v>
      </c>
      <c r="C1364" s="303">
        <v>4</v>
      </c>
      <c r="D1364" s="303" t="s">
        <v>10957</v>
      </c>
      <c r="E1364" s="306" t="s">
        <v>10100</v>
      </c>
      <c r="F1364" s="303" t="s">
        <v>10958</v>
      </c>
      <c r="G1364" s="303">
        <v>51</v>
      </c>
      <c r="H1364" s="303" t="s">
        <v>10064</v>
      </c>
      <c r="I1364" s="303" t="s">
        <v>10056</v>
      </c>
      <c r="J1364" s="303" t="s">
        <v>10057</v>
      </c>
      <c r="K1364" s="303" t="s">
        <v>10082</v>
      </c>
      <c r="L1364" s="303" t="s">
        <v>10066</v>
      </c>
      <c r="M1364" s="303">
        <v>2</v>
      </c>
      <c r="N1364" s="307" t="s">
        <v>10071</v>
      </c>
      <c r="O1364" s="1474"/>
      <c r="P1364" s="1475"/>
      <c r="Q1364" s="1476"/>
    </row>
    <row r="1365" spans="1:17" ht="11.1" customHeight="1">
      <c r="A1365" s="250" t="s">
        <v>10959</v>
      </c>
      <c r="B1365" s="302" t="s">
        <v>10098</v>
      </c>
      <c r="C1365" s="303">
        <v>4</v>
      </c>
      <c r="D1365" s="303" t="s">
        <v>10960</v>
      </c>
      <c r="E1365" s="306" t="s">
        <v>10104</v>
      </c>
      <c r="F1365" s="303" t="s">
        <v>10961</v>
      </c>
      <c r="G1365" s="303">
        <v>61</v>
      </c>
      <c r="H1365" s="303" t="s">
        <v>10064</v>
      </c>
      <c r="I1365" s="303" t="s">
        <v>10056</v>
      </c>
      <c r="J1365" s="303" t="s">
        <v>10057</v>
      </c>
      <c r="K1365" s="303" t="s">
        <v>10178</v>
      </c>
      <c r="L1365" s="303" t="s">
        <v>10066</v>
      </c>
      <c r="M1365" s="303">
        <v>4</v>
      </c>
      <c r="N1365" s="307" t="s">
        <v>10071</v>
      </c>
      <c r="O1365" s="1474"/>
      <c r="P1365" s="1475"/>
      <c r="Q1365" s="1476"/>
    </row>
    <row r="1366" spans="1:17" ht="11.1" customHeight="1">
      <c r="A1366" s="250" t="s">
        <v>10962</v>
      </c>
      <c r="B1366" s="302" t="s">
        <v>10098</v>
      </c>
      <c r="C1366" s="303">
        <v>4</v>
      </c>
      <c r="D1366" s="303" t="s">
        <v>10963</v>
      </c>
      <c r="E1366" s="306" t="s">
        <v>10104</v>
      </c>
      <c r="F1366" s="303" t="s">
        <v>10964</v>
      </c>
      <c r="G1366" s="303">
        <v>61</v>
      </c>
      <c r="H1366" s="303" t="s">
        <v>10064</v>
      </c>
      <c r="I1366" s="303" t="s">
        <v>10056</v>
      </c>
      <c r="J1366" s="303" t="s">
        <v>10057</v>
      </c>
      <c r="K1366" s="303" t="s">
        <v>10075</v>
      </c>
      <c r="L1366" s="303" t="s">
        <v>10066</v>
      </c>
      <c r="M1366" s="303">
        <v>5</v>
      </c>
      <c r="N1366" s="307" t="s">
        <v>10071</v>
      </c>
      <c r="O1366" s="1474"/>
      <c r="P1366" s="1475"/>
      <c r="Q1366" s="1476"/>
    </row>
    <row r="1367" spans="1:17" ht="11.1" customHeight="1">
      <c r="A1367" s="250" t="s">
        <v>10965</v>
      </c>
      <c r="B1367" s="302" t="s">
        <v>10098</v>
      </c>
      <c r="C1367" s="303">
        <v>4</v>
      </c>
      <c r="D1367" s="303" t="s">
        <v>10966</v>
      </c>
      <c r="E1367" s="306" t="s">
        <v>10104</v>
      </c>
      <c r="F1367" s="303" t="s">
        <v>10967</v>
      </c>
      <c r="G1367" s="303">
        <v>54</v>
      </c>
      <c r="H1367" s="303" t="s">
        <v>10064</v>
      </c>
      <c r="I1367" s="303" t="s">
        <v>10056</v>
      </c>
      <c r="J1367" s="303" t="s">
        <v>10057</v>
      </c>
      <c r="K1367" s="303" t="s">
        <v>10082</v>
      </c>
      <c r="L1367" s="303" t="s">
        <v>10066</v>
      </c>
      <c r="M1367" s="303">
        <v>3</v>
      </c>
      <c r="N1367" s="307" t="s">
        <v>10071</v>
      </c>
      <c r="O1367" s="1474"/>
      <c r="P1367" s="1475"/>
      <c r="Q1367" s="1476"/>
    </row>
    <row r="1368" spans="1:17" ht="11.1" customHeight="1">
      <c r="A1368" s="250" t="s">
        <v>10968</v>
      </c>
      <c r="B1368" s="302" t="s">
        <v>10098</v>
      </c>
      <c r="C1368" s="303">
        <v>4</v>
      </c>
      <c r="D1368" s="303" t="s">
        <v>10969</v>
      </c>
      <c r="E1368" s="306" t="s">
        <v>10104</v>
      </c>
      <c r="F1368" s="303" t="s">
        <v>10970</v>
      </c>
      <c r="G1368" s="303">
        <v>68</v>
      </c>
      <c r="H1368" s="303" t="s">
        <v>10064</v>
      </c>
      <c r="I1368" s="303" t="s">
        <v>10056</v>
      </c>
      <c r="J1368" s="303" t="s">
        <v>10057</v>
      </c>
      <c r="K1368" s="303" t="s">
        <v>10075</v>
      </c>
      <c r="L1368" s="303" t="s">
        <v>10066</v>
      </c>
      <c r="M1368" s="303">
        <v>12</v>
      </c>
      <c r="N1368" s="307" t="s">
        <v>10071</v>
      </c>
      <c r="O1368" s="1474"/>
      <c r="P1368" s="1475"/>
      <c r="Q1368" s="1476"/>
    </row>
    <row r="1369" spans="1:17" ht="11.1" customHeight="1">
      <c r="A1369" s="250" t="s">
        <v>10971</v>
      </c>
      <c r="B1369" s="302" t="s">
        <v>10098</v>
      </c>
      <c r="C1369" s="303">
        <v>4</v>
      </c>
      <c r="D1369" s="303" t="s">
        <v>10972</v>
      </c>
      <c r="E1369" s="306" t="s">
        <v>10104</v>
      </c>
      <c r="F1369" s="303" t="s">
        <v>10973</v>
      </c>
      <c r="G1369" s="303">
        <v>59</v>
      </c>
      <c r="H1369" s="303" t="s">
        <v>10064</v>
      </c>
      <c r="I1369" s="303" t="s">
        <v>10056</v>
      </c>
      <c r="J1369" s="303" t="s">
        <v>10057</v>
      </c>
      <c r="K1369" s="303" t="s">
        <v>10058</v>
      </c>
      <c r="L1369" s="303" t="s">
        <v>10059</v>
      </c>
      <c r="M1369" s="303"/>
      <c r="N1369" s="307" t="s">
        <v>10071</v>
      </c>
      <c r="O1369" s="1474"/>
      <c r="P1369" s="1475"/>
      <c r="Q1369" s="1476"/>
    </row>
    <row r="1370" spans="1:17" ht="11.1" customHeight="1">
      <c r="A1370" s="250" t="s">
        <v>10974</v>
      </c>
      <c r="B1370" s="302" t="s">
        <v>10098</v>
      </c>
      <c r="C1370" s="303">
        <v>4</v>
      </c>
      <c r="D1370" s="303" t="s">
        <v>10975</v>
      </c>
      <c r="E1370" s="306" t="s">
        <v>10104</v>
      </c>
      <c r="F1370" s="303" t="s">
        <v>10976</v>
      </c>
      <c r="G1370" s="303">
        <v>53</v>
      </c>
      <c r="H1370" s="303" t="s">
        <v>10064</v>
      </c>
      <c r="I1370" s="303" t="s">
        <v>10056</v>
      </c>
      <c r="J1370" s="303" t="s">
        <v>10057</v>
      </c>
      <c r="K1370" s="303" t="s">
        <v>10075</v>
      </c>
      <c r="L1370" s="303" t="s">
        <v>10066</v>
      </c>
      <c r="M1370" s="303">
        <v>3</v>
      </c>
      <c r="N1370" s="307" t="s">
        <v>10071</v>
      </c>
      <c r="O1370" s="1474"/>
      <c r="P1370" s="1475"/>
      <c r="Q1370" s="1476"/>
    </row>
    <row r="1371" spans="1:17" ht="11.1" customHeight="1">
      <c r="A1371" s="250" t="s">
        <v>10977</v>
      </c>
      <c r="B1371" s="302" t="s">
        <v>10098</v>
      </c>
      <c r="C1371" s="303">
        <v>4</v>
      </c>
      <c r="D1371" s="303" t="s">
        <v>10978</v>
      </c>
      <c r="E1371" s="306" t="s">
        <v>10104</v>
      </c>
      <c r="F1371" s="303" t="s">
        <v>10979</v>
      </c>
      <c r="G1371" s="303">
        <v>49</v>
      </c>
      <c r="H1371" s="303" t="s">
        <v>10064</v>
      </c>
      <c r="I1371" s="303" t="s">
        <v>10056</v>
      </c>
      <c r="J1371" s="303" t="s">
        <v>10057</v>
      </c>
      <c r="K1371" s="303" t="s">
        <v>10075</v>
      </c>
      <c r="L1371" s="303" t="s">
        <v>10066</v>
      </c>
      <c r="M1371" s="303">
        <v>2</v>
      </c>
      <c r="N1371" s="307" t="s">
        <v>10071</v>
      </c>
      <c r="O1371" s="1474"/>
      <c r="P1371" s="1475"/>
      <c r="Q1371" s="1476"/>
    </row>
    <row r="1372" spans="1:17" ht="11.1" customHeight="1">
      <c r="A1372" s="250" t="s">
        <v>10980</v>
      </c>
      <c r="B1372" s="302" t="s">
        <v>10098</v>
      </c>
      <c r="C1372" s="303">
        <v>4</v>
      </c>
      <c r="D1372" s="303" t="s">
        <v>10981</v>
      </c>
      <c r="E1372" s="306" t="s">
        <v>10104</v>
      </c>
      <c r="F1372" s="303" t="s">
        <v>10982</v>
      </c>
      <c r="G1372" s="303">
        <v>59</v>
      </c>
      <c r="H1372" s="303" t="s">
        <v>10064</v>
      </c>
      <c r="I1372" s="303" t="s">
        <v>10056</v>
      </c>
      <c r="J1372" s="303" t="s">
        <v>10057</v>
      </c>
      <c r="K1372" s="303" t="s">
        <v>10065</v>
      </c>
      <c r="L1372" s="303" t="s">
        <v>10066</v>
      </c>
      <c r="M1372" s="303">
        <v>5</v>
      </c>
      <c r="N1372" s="307" t="s">
        <v>10071</v>
      </c>
      <c r="O1372" s="1474"/>
      <c r="P1372" s="1475"/>
      <c r="Q1372" s="1476"/>
    </row>
    <row r="1373" spans="1:17" ht="11.1" customHeight="1">
      <c r="A1373" s="250" t="s">
        <v>10983</v>
      </c>
      <c r="B1373" s="302" t="s">
        <v>10098</v>
      </c>
      <c r="C1373" s="303">
        <v>4</v>
      </c>
      <c r="D1373" s="303" t="s">
        <v>10984</v>
      </c>
      <c r="E1373" s="306" t="s">
        <v>10104</v>
      </c>
      <c r="F1373" s="303" t="s">
        <v>10985</v>
      </c>
      <c r="G1373" s="303">
        <v>49</v>
      </c>
      <c r="H1373" s="303" t="s">
        <v>10064</v>
      </c>
      <c r="I1373" s="303" t="s">
        <v>10056</v>
      </c>
      <c r="J1373" s="303" t="s">
        <v>10057</v>
      </c>
      <c r="K1373" s="303" t="s">
        <v>10058</v>
      </c>
      <c r="L1373" s="303" t="s">
        <v>10066</v>
      </c>
      <c r="M1373" s="303">
        <v>2</v>
      </c>
      <c r="N1373" s="307" t="s">
        <v>10071</v>
      </c>
      <c r="O1373" s="1474"/>
      <c r="P1373" s="1475"/>
      <c r="Q1373" s="1476"/>
    </row>
    <row r="1374" spans="1:17" ht="11.1" customHeight="1">
      <c r="A1374" s="945" t="s">
        <v>10986</v>
      </c>
      <c r="B1374" s="340" t="s">
        <v>10098</v>
      </c>
      <c r="C1374" s="311">
        <v>4</v>
      </c>
      <c r="D1374" s="311" t="s">
        <v>10987</v>
      </c>
      <c r="E1374" s="312" t="s">
        <v>10104</v>
      </c>
      <c r="F1374" s="311" t="s">
        <v>10988</v>
      </c>
      <c r="G1374" s="311">
        <v>47</v>
      </c>
      <c r="H1374" s="311" t="s">
        <v>10064</v>
      </c>
      <c r="I1374" s="311" t="s">
        <v>10056</v>
      </c>
      <c r="J1374" s="311" t="s">
        <v>10057</v>
      </c>
      <c r="K1374" s="311" t="s">
        <v>10075</v>
      </c>
      <c r="L1374" s="311" t="s">
        <v>10066</v>
      </c>
      <c r="M1374" s="311">
        <v>1</v>
      </c>
      <c r="N1374" s="313" t="s">
        <v>10071</v>
      </c>
      <c r="O1374" s="1474"/>
      <c r="P1374" s="1475"/>
      <c r="Q1374" s="1476"/>
    </row>
    <row r="1375" spans="1:17" ht="11.1" customHeight="1">
      <c r="A1375" s="946" t="s">
        <v>10989</v>
      </c>
      <c r="B1375" s="192" t="s">
        <v>10051</v>
      </c>
      <c r="C1375" s="56">
        <v>1</v>
      </c>
      <c r="D1375" s="56" t="s">
        <v>10954</v>
      </c>
      <c r="E1375" s="193">
        <v>99.27</v>
      </c>
      <c r="F1375" s="56" t="s">
        <v>10990</v>
      </c>
      <c r="G1375" s="56">
        <v>48</v>
      </c>
      <c r="H1375" s="56" t="s">
        <v>10064</v>
      </c>
      <c r="I1375" s="56" t="s">
        <v>10056</v>
      </c>
      <c r="J1375" s="56" t="s">
        <v>10115</v>
      </c>
      <c r="K1375" s="56" t="s">
        <v>10116</v>
      </c>
      <c r="L1375" s="56" t="s">
        <v>10070</v>
      </c>
      <c r="M1375" s="56">
        <v>2</v>
      </c>
      <c r="N1375" s="315"/>
      <c r="O1375" s="1474">
        <v>4</v>
      </c>
      <c r="P1375" s="1475">
        <v>1414392</v>
      </c>
      <c r="Q1375" s="1476">
        <f>P1375*100/SUM(P1354:P1405)</f>
        <v>32.522369602817392</v>
      </c>
    </row>
    <row r="1376" spans="1:17" ht="11.1" customHeight="1">
      <c r="A1376" s="250" t="s">
        <v>10991</v>
      </c>
      <c r="B1376" s="194" t="s">
        <v>10051</v>
      </c>
      <c r="C1376" s="36">
        <v>1</v>
      </c>
      <c r="D1376" s="36" t="s">
        <v>10957</v>
      </c>
      <c r="E1376" s="195">
        <v>89.22</v>
      </c>
      <c r="F1376" s="36" t="s">
        <v>10992</v>
      </c>
      <c r="G1376" s="36">
        <v>28</v>
      </c>
      <c r="H1376" s="36" t="s">
        <v>10064</v>
      </c>
      <c r="I1376" s="36" t="s">
        <v>10056</v>
      </c>
      <c r="J1376" s="36" t="s">
        <v>10115</v>
      </c>
      <c r="K1376" s="36" t="s">
        <v>10116</v>
      </c>
      <c r="L1376" s="36" t="s">
        <v>10059</v>
      </c>
      <c r="M1376" s="36"/>
      <c r="N1376" s="363"/>
      <c r="O1376" s="1474"/>
      <c r="P1376" s="1475"/>
      <c r="Q1376" s="1476"/>
    </row>
    <row r="1377" spans="1:17" ht="11.1" customHeight="1">
      <c r="A1377" s="250" t="s">
        <v>10993</v>
      </c>
      <c r="B1377" s="194" t="s">
        <v>10051</v>
      </c>
      <c r="C1377" s="36">
        <v>1</v>
      </c>
      <c r="D1377" s="36" t="s">
        <v>10994</v>
      </c>
      <c r="E1377" s="195">
        <v>86.05</v>
      </c>
      <c r="F1377" s="36" t="s">
        <v>10995</v>
      </c>
      <c r="G1377" s="36">
        <v>57</v>
      </c>
      <c r="H1377" s="36" t="s">
        <v>10064</v>
      </c>
      <c r="I1377" s="36" t="s">
        <v>10056</v>
      </c>
      <c r="J1377" s="36" t="s">
        <v>10115</v>
      </c>
      <c r="K1377" s="36" t="s">
        <v>10116</v>
      </c>
      <c r="L1377" s="36" t="s">
        <v>10066</v>
      </c>
      <c r="M1377" s="36">
        <v>1</v>
      </c>
      <c r="N1377" s="363"/>
      <c r="O1377" s="1474"/>
      <c r="P1377" s="1475"/>
      <c r="Q1377" s="1476"/>
    </row>
    <row r="1378" spans="1:17" ht="11.1" customHeight="1">
      <c r="A1378" s="250" t="s">
        <v>10996</v>
      </c>
      <c r="B1378" s="194" t="s">
        <v>10051</v>
      </c>
      <c r="C1378" s="36">
        <v>1</v>
      </c>
      <c r="D1378" s="36" t="s">
        <v>10963</v>
      </c>
      <c r="E1378" s="195">
        <v>80</v>
      </c>
      <c r="F1378" s="36" t="s">
        <v>10997</v>
      </c>
      <c r="G1378" s="36">
        <v>32</v>
      </c>
      <c r="H1378" s="36" t="s">
        <v>10064</v>
      </c>
      <c r="I1378" s="36" t="s">
        <v>10056</v>
      </c>
      <c r="J1378" s="36" t="s">
        <v>10115</v>
      </c>
      <c r="K1378" s="36" t="s">
        <v>10116</v>
      </c>
      <c r="L1378" s="36" t="s">
        <v>10066</v>
      </c>
      <c r="M1378" s="36">
        <v>1</v>
      </c>
      <c r="N1378" s="363"/>
      <c r="O1378" s="1474"/>
      <c r="P1378" s="1475"/>
      <c r="Q1378" s="1476"/>
    </row>
    <row r="1379" spans="1:17" ht="11.1" customHeight="1">
      <c r="A1379" s="250" t="s">
        <v>10998</v>
      </c>
      <c r="B1379" s="187"/>
      <c r="C1379" s="42">
        <v>1</v>
      </c>
      <c r="D1379" s="42" t="s">
        <v>10999</v>
      </c>
      <c r="E1379" s="188">
        <v>76.97</v>
      </c>
      <c r="F1379" s="42" t="s">
        <v>11000</v>
      </c>
      <c r="G1379" s="42">
        <v>46</v>
      </c>
      <c r="H1379" s="42" t="s">
        <v>10064</v>
      </c>
      <c r="I1379" s="42" t="s">
        <v>10056</v>
      </c>
      <c r="J1379" s="42" t="s">
        <v>10115</v>
      </c>
      <c r="K1379" s="42" t="s">
        <v>10116</v>
      </c>
      <c r="L1379" s="42" t="s">
        <v>10066</v>
      </c>
      <c r="M1379" s="42">
        <v>3</v>
      </c>
      <c r="N1379" s="310"/>
      <c r="O1379" s="1474"/>
      <c r="P1379" s="1475"/>
      <c r="Q1379" s="1476"/>
    </row>
    <row r="1380" spans="1:17" ht="11.1" customHeight="1">
      <c r="A1380" s="250" t="s">
        <v>11001</v>
      </c>
      <c r="B1380" s="187"/>
      <c r="C1380" s="42">
        <v>1</v>
      </c>
      <c r="D1380" s="42" t="s">
        <v>11002</v>
      </c>
      <c r="E1380" s="188">
        <v>75.69</v>
      </c>
      <c r="F1380" s="42" t="s">
        <v>11003</v>
      </c>
      <c r="G1380" s="42">
        <v>63</v>
      </c>
      <c r="H1380" s="42" t="s">
        <v>10064</v>
      </c>
      <c r="I1380" s="42" t="s">
        <v>10056</v>
      </c>
      <c r="J1380" s="42" t="s">
        <v>10115</v>
      </c>
      <c r="K1380" s="42" t="s">
        <v>10140</v>
      </c>
      <c r="L1380" s="42" t="s">
        <v>10066</v>
      </c>
      <c r="M1380" s="42">
        <v>5</v>
      </c>
      <c r="N1380" s="310"/>
      <c r="O1380" s="1474"/>
      <c r="P1380" s="1475"/>
      <c r="Q1380" s="1476"/>
    </row>
    <row r="1381" spans="1:17" ht="11.1" customHeight="1">
      <c r="A1381" s="250" t="s">
        <v>11004</v>
      </c>
      <c r="B1381" s="187"/>
      <c r="C1381" s="42">
        <v>1</v>
      </c>
      <c r="D1381" s="42" t="s">
        <v>10972</v>
      </c>
      <c r="E1381" s="188">
        <v>66.650000000000006</v>
      </c>
      <c r="F1381" s="42" t="s">
        <v>11005</v>
      </c>
      <c r="G1381" s="42">
        <v>59</v>
      </c>
      <c r="H1381" s="42" t="s">
        <v>10064</v>
      </c>
      <c r="I1381" s="42" t="s">
        <v>10056</v>
      </c>
      <c r="J1381" s="42" t="s">
        <v>10115</v>
      </c>
      <c r="K1381" s="42" t="s">
        <v>10127</v>
      </c>
      <c r="L1381" s="42" t="s">
        <v>10070</v>
      </c>
      <c r="M1381" s="42">
        <v>2</v>
      </c>
      <c r="N1381" s="310"/>
      <c r="O1381" s="1474"/>
      <c r="P1381" s="1475"/>
      <c r="Q1381" s="1476"/>
    </row>
    <row r="1382" spans="1:17" ht="11.1" customHeight="1">
      <c r="A1382" s="250" t="s">
        <v>11006</v>
      </c>
      <c r="B1382" s="187"/>
      <c r="C1382" s="42">
        <v>1</v>
      </c>
      <c r="D1382" s="42" t="s">
        <v>10969</v>
      </c>
      <c r="E1382" s="188">
        <v>64.650000000000006</v>
      </c>
      <c r="F1382" s="42" t="s">
        <v>11007</v>
      </c>
      <c r="G1382" s="42">
        <v>63</v>
      </c>
      <c r="H1382" s="42" t="s">
        <v>10064</v>
      </c>
      <c r="I1382" s="42" t="s">
        <v>10056</v>
      </c>
      <c r="J1382" s="42" t="s">
        <v>10115</v>
      </c>
      <c r="K1382" s="42" t="s">
        <v>10122</v>
      </c>
      <c r="L1382" s="42" t="s">
        <v>10066</v>
      </c>
      <c r="M1382" s="42">
        <v>3</v>
      </c>
      <c r="N1382" s="310"/>
      <c r="O1382" s="1474"/>
      <c r="P1382" s="1475"/>
      <c r="Q1382" s="1476"/>
    </row>
    <row r="1383" spans="1:17" ht="11.1" customHeight="1">
      <c r="A1383" s="250" t="s">
        <v>11008</v>
      </c>
      <c r="B1383" s="187"/>
      <c r="C1383" s="42">
        <v>1</v>
      </c>
      <c r="D1383" s="42" t="s">
        <v>10978</v>
      </c>
      <c r="E1383" s="188">
        <v>64.41</v>
      </c>
      <c r="F1383" s="42" t="s">
        <v>11009</v>
      </c>
      <c r="G1383" s="42">
        <v>55</v>
      </c>
      <c r="H1383" s="42" t="s">
        <v>10064</v>
      </c>
      <c r="I1383" s="42" t="s">
        <v>10056</v>
      </c>
      <c r="J1383" s="42" t="s">
        <v>10115</v>
      </c>
      <c r="K1383" s="42" t="s">
        <v>10674</v>
      </c>
      <c r="L1383" s="42" t="s">
        <v>10059</v>
      </c>
      <c r="M1383" s="42"/>
      <c r="N1383" s="310"/>
      <c r="O1383" s="1474"/>
      <c r="P1383" s="1475"/>
      <c r="Q1383" s="1476"/>
    </row>
    <row r="1384" spans="1:17" ht="11.1" customHeight="1">
      <c r="A1384" s="250" t="s">
        <v>11010</v>
      </c>
      <c r="B1384" s="187"/>
      <c r="C1384" s="42">
        <v>1</v>
      </c>
      <c r="D1384" s="42" t="s">
        <v>11011</v>
      </c>
      <c r="E1384" s="188">
        <v>60.41</v>
      </c>
      <c r="F1384" s="42" t="s">
        <v>11012</v>
      </c>
      <c r="G1384" s="42">
        <v>36</v>
      </c>
      <c r="H1384" s="42" t="s">
        <v>10064</v>
      </c>
      <c r="I1384" s="42" t="s">
        <v>10056</v>
      </c>
      <c r="J1384" s="42" t="s">
        <v>10115</v>
      </c>
      <c r="K1384" s="212" t="s">
        <v>10116</v>
      </c>
      <c r="L1384" s="42" t="s">
        <v>10059</v>
      </c>
      <c r="M1384" s="42"/>
      <c r="N1384" s="310"/>
      <c r="O1384" s="1474"/>
      <c r="P1384" s="1475"/>
      <c r="Q1384" s="1476"/>
    </row>
    <row r="1385" spans="1:17" ht="11.1" customHeight="1">
      <c r="A1385" s="250" t="s">
        <v>11013</v>
      </c>
      <c r="B1385" s="187"/>
      <c r="C1385" s="42">
        <v>1</v>
      </c>
      <c r="D1385" s="42" t="s">
        <v>10975</v>
      </c>
      <c r="E1385" s="188">
        <v>59.75</v>
      </c>
      <c r="F1385" s="42" t="s">
        <v>11014</v>
      </c>
      <c r="G1385" s="42">
        <v>60</v>
      </c>
      <c r="H1385" s="42" t="s">
        <v>10064</v>
      </c>
      <c r="I1385" s="42" t="s">
        <v>10056</v>
      </c>
      <c r="J1385" s="42" t="s">
        <v>10115</v>
      </c>
      <c r="K1385" s="42" t="s">
        <v>10116</v>
      </c>
      <c r="L1385" s="42" t="s">
        <v>10066</v>
      </c>
      <c r="M1385" s="42">
        <v>1</v>
      </c>
      <c r="N1385" s="310"/>
      <c r="O1385" s="1474"/>
      <c r="P1385" s="1475"/>
      <c r="Q1385" s="1476"/>
    </row>
    <row r="1386" spans="1:17" ht="11.1" customHeight="1">
      <c r="A1386" s="250" t="s">
        <v>11015</v>
      </c>
      <c r="B1386" s="187"/>
      <c r="C1386" s="42">
        <v>1</v>
      </c>
      <c r="D1386" s="42" t="s">
        <v>10966</v>
      </c>
      <c r="E1386" s="188">
        <v>53.72</v>
      </c>
      <c r="F1386" s="42" t="s">
        <v>11016</v>
      </c>
      <c r="G1386" s="42">
        <v>44</v>
      </c>
      <c r="H1386" s="42" t="s">
        <v>10064</v>
      </c>
      <c r="I1386" s="42" t="s">
        <v>10056</v>
      </c>
      <c r="J1386" s="42" t="s">
        <v>10115</v>
      </c>
      <c r="K1386" s="42" t="s">
        <v>10122</v>
      </c>
      <c r="L1386" s="42" t="s">
        <v>10059</v>
      </c>
      <c r="M1386" s="42"/>
      <c r="N1386" s="310"/>
      <c r="O1386" s="1474"/>
      <c r="P1386" s="1475"/>
      <c r="Q1386" s="1476"/>
    </row>
    <row r="1387" spans="1:17" ht="11.1" customHeight="1">
      <c r="A1387" s="250" t="s">
        <v>11017</v>
      </c>
      <c r="B1387" s="187"/>
      <c r="C1387" s="42">
        <v>1</v>
      </c>
      <c r="D1387" s="42" t="s">
        <v>10939</v>
      </c>
      <c r="E1387" s="188">
        <v>39.75</v>
      </c>
      <c r="F1387" s="42" t="s">
        <v>11018</v>
      </c>
      <c r="G1387" s="42">
        <v>59</v>
      </c>
      <c r="H1387" s="42" t="s">
        <v>10064</v>
      </c>
      <c r="I1387" s="42" t="s">
        <v>10056</v>
      </c>
      <c r="J1387" s="42" t="s">
        <v>10115</v>
      </c>
      <c r="K1387" s="42" t="s">
        <v>10116</v>
      </c>
      <c r="L1387" s="42" t="s">
        <v>10059</v>
      </c>
      <c r="M1387" s="42"/>
      <c r="N1387" s="310"/>
      <c r="O1387" s="1474"/>
      <c r="P1387" s="1475"/>
      <c r="Q1387" s="1476"/>
    </row>
    <row r="1388" spans="1:17" ht="11.1" customHeight="1">
      <c r="A1388" s="250" t="s">
        <v>11019</v>
      </c>
      <c r="B1388" s="194" t="s">
        <v>10098</v>
      </c>
      <c r="C1388" s="36">
        <v>1</v>
      </c>
      <c r="D1388" s="36" t="s">
        <v>10936</v>
      </c>
      <c r="E1388" s="317" t="s">
        <v>10100</v>
      </c>
      <c r="F1388" s="36" t="s">
        <v>11020</v>
      </c>
      <c r="G1388" s="36">
        <v>38</v>
      </c>
      <c r="H1388" s="36" t="s">
        <v>10054</v>
      </c>
      <c r="I1388" s="36" t="s">
        <v>10056</v>
      </c>
      <c r="J1388" s="36" t="s">
        <v>10115</v>
      </c>
      <c r="K1388" s="36" t="s">
        <v>10116</v>
      </c>
      <c r="L1388" s="36" t="s">
        <v>10066</v>
      </c>
      <c r="M1388" s="36">
        <v>1</v>
      </c>
      <c r="N1388" s="363"/>
      <c r="O1388" s="1474"/>
      <c r="P1388" s="1475"/>
      <c r="Q1388" s="1476"/>
    </row>
    <row r="1389" spans="1:17" ht="11.1" customHeight="1">
      <c r="A1389" s="250" t="s">
        <v>11021</v>
      </c>
      <c r="B1389" s="194" t="s">
        <v>10098</v>
      </c>
      <c r="C1389" s="36">
        <v>1</v>
      </c>
      <c r="D1389" s="36" t="s">
        <v>10942</v>
      </c>
      <c r="E1389" s="317" t="s">
        <v>10138</v>
      </c>
      <c r="F1389" s="36" t="s">
        <v>11022</v>
      </c>
      <c r="G1389" s="36">
        <v>35</v>
      </c>
      <c r="H1389" s="36" t="s">
        <v>10054</v>
      </c>
      <c r="I1389" s="36" t="s">
        <v>10056</v>
      </c>
      <c r="J1389" s="36" t="s">
        <v>10115</v>
      </c>
      <c r="K1389" s="36" t="s">
        <v>10122</v>
      </c>
      <c r="L1389" s="36" t="s">
        <v>10066</v>
      </c>
      <c r="M1389" s="36">
        <v>1</v>
      </c>
      <c r="N1389" s="363"/>
      <c r="O1389" s="1474"/>
      <c r="P1389" s="1475"/>
      <c r="Q1389" s="1476"/>
    </row>
    <row r="1390" spans="1:17" ht="11.1" customHeight="1">
      <c r="A1390" s="250" t="s">
        <v>11023</v>
      </c>
      <c r="B1390" s="194" t="s">
        <v>10098</v>
      </c>
      <c r="C1390" s="36">
        <v>1</v>
      </c>
      <c r="D1390" s="36" t="s">
        <v>10933</v>
      </c>
      <c r="E1390" s="317" t="s">
        <v>10138</v>
      </c>
      <c r="F1390" s="36" t="s">
        <v>11024</v>
      </c>
      <c r="G1390" s="36">
        <v>60</v>
      </c>
      <c r="H1390" s="36" t="s">
        <v>10064</v>
      </c>
      <c r="I1390" s="36" t="s">
        <v>10056</v>
      </c>
      <c r="J1390" s="36" t="s">
        <v>10115</v>
      </c>
      <c r="K1390" s="36" t="s">
        <v>10127</v>
      </c>
      <c r="L1390" s="36" t="s">
        <v>10066</v>
      </c>
      <c r="M1390" s="36">
        <v>3</v>
      </c>
      <c r="N1390" s="363"/>
      <c r="O1390" s="1474"/>
      <c r="P1390" s="1475"/>
      <c r="Q1390" s="1476"/>
    </row>
    <row r="1391" spans="1:17" ht="11.1" customHeight="1">
      <c r="A1391" s="250" t="s">
        <v>11025</v>
      </c>
      <c r="B1391" s="194" t="s">
        <v>10098</v>
      </c>
      <c r="C1391" s="36">
        <v>1</v>
      </c>
      <c r="D1391" s="36" t="s">
        <v>11026</v>
      </c>
      <c r="E1391" s="317" t="s">
        <v>10138</v>
      </c>
      <c r="F1391" s="36" t="s">
        <v>11027</v>
      </c>
      <c r="G1391" s="36">
        <v>49</v>
      </c>
      <c r="H1391" s="36" t="s">
        <v>10064</v>
      </c>
      <c r="I1391" s="36" t="s">
        <v>10056</v>
      </c>
      <c r="J1391" s="36" t="s">
        <v>10115</v>
      </c>
      <c r="K1391" s="36" t="s">
        <v>10116</v>
      </c>
      <c r="L1391" s="36" t="s">
        <v>10066</v>
      </c>
      <c r="M1391" s="36">
        <v>1</v>
      </c>
      <c r="N1391" s="363"/>
      <c r="O1391" s="1474"/>
      <c r="P1391" s="1475"/>
      <c r="Q1391" s="1476"/>
    </row>
    <row r="1392" spans="1:17" ht="11.1" customHeight="1">
      <c r="A1392" s="945" t="s">
        <v>11028</v>
      </c>
      <c r="B1392" s="318" t="s">
        <v>10098</v>
      </c>
      <c r="C1392" s="141">
        <v>1</v>
      </c>
      <c r="D1392" s="141" t="s">
        <v>11029</v>
      </c>
      <c r="E1392" s="319" t="s">
        <v>10138</v>
      </c>
      <c r="F1392" s="141" t="s">
        <v>11030</v>
      </c>
      <c r="G1392" s="141">
        <v>70</v>
      </c>
      <c r="H1392" s="141" t="s">
        <v>10064</v>
      </c>
      <c r="I1392" s="141" t="s">
        <v>10056</v>
      </c>
      <c r="J1392" s="141" t="s">
        <v>10115</v>
      </c>
      <c r="K1392" s="141" t="s">
        <v>10140</v>
      </c>
      <c r="L1392" s="141" t="s">
        <v>10066</v>
      </c>
      <c r="M1392" s="141">
        <v>12</v>
      </c>
      <c r="N1392" s="364"/>
      <c r="O1392" s="1474"/>
      <c r="P1392" s="1475"/>
      <c r="Q1392" s="1476"/>
    </row>
    <row r="1393" spans="1:17" ht="11.1" customHeight="1">
      <c r="A1393" s="946" t="s">
        <v>11031</v>
      </c>
      <c r="B1393" s="197" t="s">
        <v>10051</v>
      </c>
      <c r="C1393" s="198">
        <v>1</v>
      </c>
      <c r="D1393" s="198" t="s">
        <v>10061</v>
      </c>
      <c r="E1393" s="321" t="s">
        <v>10129</v>
      </c>
      <c r="F1393" s="198" t="s">
        <v>11032</v>
      </c>
      <c r="G1393" s="198">
        <v>60</v>
      </c>
      <c r="H1393" s="198" t="s">
        <v>10064</v>
      </c>
      <c r="I1393" s="198"/>
      <c r="J1393" s="198" t="s">
        <v>10153</v>
      </c>
      <c r="K1393" s="198"/>
      <c r="L1393" s="198" t="s">
        <v>10066</v>
      </c>
      <c r="M1393" s="198">
        <v>3</v>
      </c>
      <c r="N1393" s="322"/>
      <c r="O1393" s="1474">
        <v>1</v>
      </c>
      <c r="P1393" s="1475">
        <v>403203</v>
      </c>
      <c r="Q1393" s="1476">
        <f>P1393*100/SUM(P1354:P1405)</f>
        <v>9.2712041576626429</v>
      </c>
    </row>
    <row r="1394" spans="1:17" ht="11.1" customHeight="1">
      <c r="A1394" s="945" t="s">
        <v>11033</v>
      </c>
      <c r="B1394" s="190"/>
      <c r="C1394" s="49">
        <v>2</v>
      </c>
      <c r="D1394" s="49" t="s">
        <v>10061</v>
      </c>
      <c r="E1394" s="323" t="s">
        <v>10129</v>
      </c>
      <c r="F1394" s="49" t="s">
        <v>11034</v>
      </c>
      <c r="G1394" s="49">
        <v>62</v>
      </c>
      <c r="H1394" s="49" t="s">
        <v>10054</v>
      </c>
      <c r="I1394" s="49"/>
      <c r="J1394" s="49" t="s">
        <v>10153</v>
      </c>
      <c r="K1394" s="49"/>
      <c r="L1394" s="49" t="s">
        <v>10059</v>
      </c>
      <c r="M1394" s="49"/>
      <c r="N1394" s="324"/>
      <c r="O1394" s="1474"/>
      <c r="P1394" s="1475"/>
      <c r="Q1394" s="1476"/>
    </row>
    <row r="1395" spans="1:17" ht="11.1" customHeight="1">
      <c r="A1395" s="946" t="s">
        <v>11035</v>
      </c>
      <c r="B1395" s="203"/>
      <c r="C1395" s="204">
        <v>1</v>
      </c>
      <c r="D1395" s="204" t="s">
        <v>10061</v>
      </c>
      <c r="E1395" s="325" t="s">
        <v>10062</v>
      </c>
      <c r="F1395" s="204" t="s">
        <v>11036</v>
      </c>
      <c r="G1395" s="204">
        <v>59</v>
      </c>
      <c r="H1395" s="204" t="s">
        <v>10064</v>
      </c>
      <c r="I1395" s="204"/>
      <c r="J1395" s="204" t="s">
        <v>10158</v>
      </c>
      <c r="K1395" s="204"/>
      <c r="L1395" s="204" t="s">
        <v>10070</v>
      </c>
      <c r="M1395" s="204">
        <v>3</v>
      </c>
      <c r="N1395" s="326"/>
      <c r="O1395" s="1474">
        <v>0</v>
      </c>
      <c r="P1395" s="1475">
        <v>293045</v>
      </c>
      <c r="Q1395" s="1476">
        <f>P1395*100/SUM(P1354:P1405)</f>
        <v>6.7382435705643298</v>
      </c>
    </row>
    <row r="1396" spans="1:17" ht="11.1" customHeight="1">
      <c r="A1396" s="250" t="s">
        <v>11037</v>
      </c>
      <c r="B1396" s="187"/>
      <c r="C1396" s="42">
        <v>3</v>
      </c>
      <c r="D1396" s="42" t="s">
        <v>10994</v>
      </c>
      <c r="E1396" s="188">
        <v>24.76</v>
      </c>
      <c r="F1396" s="42" t="s">
        <v>11038</v>
      </c>
      <c r="G1396" s="42">
        <v>57</v>
      </c>
      <c r="H1396" s="42" t="s">
        <v>10054</v>
      </c>
      <c r="I1396" s="42" t="s">
        <v>10056</v>
      </c>
      <c r="J1396" s="42" t="s">
        <v>10158</v>
      </c>
      <c r="K1396" s="42"/>
      <c r="L1396" s="42" t="s">
        <v>10059</v>
      </c>
      <c r="M1396" s="42"/>
      <c r="N1396" s="310"/>
      <c r="O1396" s="1474"/>
      <c r="P1396" s="1475"/>
      <c r="Q1396" s="1476"/>
    </row>
    <row r="1397" spans="1:17" ht="11.1" customHeight="1">
      <c r="A1397" s="945" t="s">
        <v>11039</v>
      </c>
      <c r="B1397" s="190" t="s">
        <v>10313</v>
      </c>
      <c r="C1397" s="49">
        <v>2</v>
      </c>
      <c r="D1397" s="49" t="s">
        <v>10936</v>
      </c>
      <c r="E1397" s="201">
        <v>15.06</v>
      </c>
      <c r="F1397" s="49" t="s">
        <v>11040</v>
      </c>
      <c r="G1397" s="49">
        <v>50</v>
      </c>
      <c r="H1397" s="49" t="s">
        <v>10064</v>
      </c>
      <c r="I1397" s="49" t="s">
        <v>10056</v>
      </c>
      <c r="J1397" s="49" t="s">
        <v>10158</v>
      </c>
      <c r="K1397" s="49"/>
      <c r="L1397" s="49" t="s">
        <v>10059</v>
      </c>
      <c r="M1397" s="49"/>
      <c r="N1397" s="324"/>
      <c r="O1397" s="1474"/>
      <c r="P1397" s="1475"/>
      <c r="Q1397" s="1476"/>
    </row>
    <row r="1398" spans="1:17" ht="11.1" customHeight="1">
      <c r="A1398" s="946" t="s">
        <v>11041</v>
      </c>
      <c r="B1398" s="203"/>
      <c r="C1398" s="204">
        <v>1</v>
      </c>
      <c r="D1398" s="204" t="s">
        <v>10960</v>
      </c>
      <c r="E1398" s="205">
        <v>65.459999999999994</v>
      </c>
      <c r="F1398" s="204" t="s">
        <v>11042</v>
      </c>
      <c r="G1398" s="204">
        <v>54</v>
      </c>
      <c r="H1398" s="204" t="s">
        <v>10064</v>
      </c>
      <c r="I1398" s="204" t="s">
        <v>10056</v>
      </c>
      <c r="J1398" s="204" t="s">
        <v>10163</v>
      </c>
      <c r="K1398" s="204"/>
      <c r="L1398" s="204" t="s">
        <v>10059</v>
      </c>
      <c r="M1398" s="204"/>
      <c r="N1398" s="326"/>
      <c r="O1398" s="1474">
        <v>0</v>
      </c>
      <c r="P1398" s="1475">
        <v>272649</v>
      </c>
      <c r="Q1398" s="1476">
        <f>P1398*100/SUM(P1354:P1405)</f>
        <v>6.2692602544687466</v>
      </c>
    </row>
    <row r="1399" spans="1:17" ht="11.1" customHeight="1">
      <c r="A1399" s="250" t="s">
        <v>11043</v>
      </c>
      <c r="B1399" s="187"/>
      <c r="C1399" s="42">
        <v>1</v>
      </c>
      <c r="D1399" s="42" t="s">
        <v>11026</v>
      </c>
      <c r="E1399" s="188">
        <v>24.8</v>
      </c>
      <c r="F1399" s="42" t="s">
        <v>11044</v>
      </c>
      <c r="G1399" s="42">
        <v>70</v>
      </c>
      <c r="H1399" s="42" t="s">
        <v>10054</v>
      </c>
      <c r="I1399" s="42" t="s">
        <v>10056</v>
      </c>
      <c r="J1399" s="42" t="s">
        <v>10163</v>
      </c>
      <c r="K1399" s="42"/>
      <c r="L1399" s="42" t="s">
        <v>10070</v>
      </c>
      <c r="M1399" s="42">
        <v>1</v>
      </c>
      <c r="N1399" s="310"/>
      <c r="O1399" s="1474"/>
      <c r="P1399" s="1475"/>
      <c r="Q1399" s="1476"/>
    </row>
    <row r="1400" spans="1:17" ht="11.1" customHeight="1">
      <c r="A1400" s="250" t="s">
        <v>11045</v>
      </c>
      <c r="B1400" s="187"/>
      <c r="C1400" s="42">
        <v>5</v>
      </c>
      <c r="D1400" s="42" t="s">
        <v>10061</v>
      </c>
      <c r="E1400" s="309" t="s">
        <v>10165</v>
      </c>
      <c r="F1400" s="42" t="s">
        <v>11046</v>
      </c>
      <c r="G1400" s="42">
        <v>64</v>
      </c>
      <c r="H1400" s="42" t="s">
        <v>10054</v>
      </c>
      <c r="I1400" s="42"/>
      <c r="J1400" s="42" t="s">
        <v>10163</v>
      </c>
      <c r="K1400" s="42"/>
      <c r="L1400" s="42" t="s">
        <v>10059</v>
      </c>
      <c r="M1400" s="42"/>
      <c r="N1400" s="310"/>
      <c r="O1400" s="1474"/>
      <c r="P1400" s="1475"/>
      <c r="Q1400" s="1476"/>
    </row>
    <row r="1401" spans="1:17" ht="11.1" customHeight="1">
      <c r="A1401" s="250" t="s">
        <v>11047</v>
      </c>
      <c r="B1401" s="187" t="s">
        <v>10313</v>
      </c>
      <c r="C1401" s="42">
        <v>1</v>
      </c>
      <c r="D1401" s="42" t="s">
        <v>10966</v>
      </c>
      <c r="E1401" s="188">
        <v>13.03</v>
      </c>
      <c r="F1401" s="42" t="s">
        <v>11048</v>
      </c>
      <c r="G1401" s="42">
        <v>64</v>
      </c>
      <c r="H1401" s="42" t="s">
        <v>10064</v>
      </c>
      <c r="I1401" s="42" t="s">
        <v>10056</v>
      </c>
      <c r="J1401" s="42" t="s">
        <v>10163</v>
      </c>
      <c r="K1401" s="42"/>
      <c r="L1401" s="42" t="s">
        <v>10059</v>
      </c>
      <c r="M1401" s="42"/>
      <c r="N1401" s="310"/>
      <c r="O1401" s="1474"/>
      <c r="P1401" s="1475"/>
      <c r="Q1401" s="1476"/>
    </row>
    <row r="1402" spans="1:17" ht="11.1" customHeight="1">
      <c r="A1402" s="945" t="s">
        <v>11049</v>
      </c>
      <c r="B1402" s="190" t="s">
        <v>10313</v>
      </c>
      <c r="C1402" s="49">
        <v>1</v>
      </c>
      <c r="D1402" s="49" t="s">
        <v>10939</v>
      </c>
      <c r="E1402" s="201">
        <v>12.63</v>
      </c>
      <c r="F1402" s="49" t="s">
        <v>11050</v>
      </c>
      <c r="G1402" s="49">
        <v>58</v>
      </c>
      <c r="H1402" s="49" t="s">
        <v>10064</v>
      </c>
      <c r="I1402" s="49" t="s">
        <v>10056</v>
      </c>
      <c r="J1402" s="49" t="s">
        <v>10163</v>
      </c>
      <c r="K1402" s="49"/>
      <c r="L1402" s="49" t="s">
        <v>10059</v>
      </c>
      <c r="M1402" s="49"/>
      <c r="N1402" s="324"/>
      <c r="O1402" s="1474"/>
      <c r="P1402" s="1475"/>
      <c r="Q1402" s="1476"/>
    </row>
    <row r="1403" spans="1:17" ht="11.1" customHeight="1">
      <c r="A1403" s="946" t="s">
        <v>11051</v>
      </c>
      <c r="B1403" s="365" t="s">
        <v>10051</v>
      </c>
      <c r="C1403" s="138">
        <v>1</v>
      </c>
      <c r="D1403" s="138" t="s">
        <v>10061</v>
      </c>
      <c r="E1403" s="366" t="s">
        <v>10062</v>
      </c>
      <c r="F1403" s="138" t="s">
        <v>11052</v>
      </c>
      <c r="G1403" s="138">
        <v>30</v>
      </c>
      <c r="H1403" s="138" t="s">
        <v>10064</v>
      </c>
      <c r="I1403" s="138"/>
      <c r="J1403" s="138" t="s">
        <v>10331</v>
      </c>
      <c r="K1403" s="138"/>
      <c r="L1403" s="138" t="s">
        <v>10059</v>
      </c>
      <c r="M1403" s="138"/>
      <c r="N1403" s="367"/>
      <c r="O1403" s="1474">
        <v>1</v>
      </c>
      <c r="P1403" s="1475">
        <v>300140</v>
      </c>
      <c r="Q1403" s="1476">
        <f>P1403*100/SUM(P1354:P1405)</f>
        <v>6.9013851977313312</v>
      </c>
    </row>
    <row r="1404" spans="1:17" ht="11.1" customHeight="1">
      <c r="A1404" s="250" t="s">
        <v>11053</v>
      </c>
      <c r="B1404" s="187"/>
      <c r="C1404" s="42">
        <v>2</v>
      </c>
      <c r="D1404" s="42" t="s">
        <v>10960</v>
      </c>
      <c r="E1404" s="188">
        <v>21.35</v>
      </c>
      <c r="F1404" s="42" t="s">
        <v>11054</v>
      </c>
      <c r="G1404" s="42">
        <v>45</v>
      </c>
      <c r="H1404" s="42" t="s">
        <v>10064</v>
      </c>
      <c r="I1404" s="42" t="s">
        <v>10056</v>
      </c>
      <c r="J1404" s="42" t="s">
        <v>10331</v>
      </c>
      <c r="K1404" s="42"/>
      <c r="L1404" s="42" t="s">
        <v>10059</v>
      </c>
      <c r="M1404" s="42"/>
      <c r="N1404" s="308"/>
      <c r="O1404" s="1474"/>
      <c r="P1404" s="1475"/>
      <c r="Q1404" s="1476"/>
    </row>
    <row r="1405" spans="1:17" ht="11.1" customHeight="1" thickBot="1">
      <c r="A1405" s="948" t="s">
        <v>11055</v>
      </c>
      <c r="B1405" s="368" t="s">
        <v>10098</v>
      </c>
      <c r="C1405" s="369">
        <v>2</v>
      </c>
      <c r="D1405" s="369" t="s">
        <v>10939</v>
      </c>
      <c r="E1405" s="370" t="s">
        <v>10100</v>
      </c>
      <c r="F1405" s="369" t="s">
        <v>11056</v>
      </c>
      <c r="G1405" s="369">
        <v>78</v>
      </c>
      <c r="H1405" s="369" t="s">
        <v>10064</v>
      </c>
      <c r="I1405" s="369" t="s">
        <v>10056</v>
      </c>
      <c r="J1405" s="369" t="s">
        <v>10331</v>
      </c>
      <c r="K1405" s="369" t="s">
        <v>10332</v>
      </c>
      <c r="L1405" s="369" t="s">
        <v>10066</v>
      </c>
      <c r="M1405" s="369">
        <v>12</v>
      </c>
      <c r="N1405" s="371"/>
      <c r="O1405" s="1477"/>
      <c r="P1405" s="1478"/>
      <c r="Q1405" s="1479"/>
    </row>
    <row r="1406" spans="1:17" ht="11.1" customHeight="1">
      <c r="A1406" s="249" t="s">
        <v>11057</v>
      </c>
      <c r="B1406" s="336" t="s">
        <v>10051</v>
      </c>
      <c r="C1406" s="337">
        <v>1</v>
      </c>
      <c r="D1406" s="337" t="s">
        <v>11058</v>
      </c>
      <c r="E1406" s="372">
        <v>91.63</v>
      </c>
      <c r="F1406" s="337" t="s">
        <v>11059</v>
      </c>
      <c r="G1406" s="337">
        <v>55</v>
      </c>
      <c r="H1406" s="337" t="s">
        <v>10054</v>
      </c>
      <c r="I1406" s="337" t="s">
        <v>10056</v>
      </c>
      <c r="J1406" s="337" t="s">
        <v>10057</v>
      </c>
      <c r="K1406" s="337" t="s">
        <v>10082</v>
      </c>
      <c r="L1406" s="337" t="s">
        <v>10059</v>
      </c>
      <c r="M1406" s="337"/>
      <c r="N1406" s="373" t="s">
        <v>10071</v>
      </c>
      <c r="O1406" s="1483">
        <v>9</v>
      </c>
      <c r="P1406" s="1484">
        <v>3066048</v>
      </c>
      <c r="Q1406" s="1485">
        <f>P1406*100/SUM(P1406:P1485)</f>
        <v>38.56361462949323</v>
      </c>
    </row>
    <row r="1407" spans="1:17" ht="11.1" customHeight="1">
      <c r="A1407" s="250" t="s">
        <v>11060</v>
      </c>
      <c r="B1407" s="302" t="s">
        <v>10051</v>
      </c>
      <c r="C1407" s="303">
        <v>1</v>
      </c>
      <c r="D1407" s="303" t="s">
        <v>11061</v>
      </c>
      <c r="E1407" s="304">
        <v>83.71</v>
      </c>
      <c r="F1407" s="303" t="s">
        <v>11062</v>
      </c>
      <c r="G1407" s="303">
        <v>44</v>
      </c>
      <c r="H1407" s="303" t="s">
        <v>10054</v>
      </c>
      <c r="I1407" s="303" t="s">
        <v>10056</v>
      </c>
      <c r="J1407" s="303" t="s">
        <v>10057</v>
      </c>
      <c r="K1407" s="303" t="s">
        <v>10058</v>
      </c>
      <c r="L1407" s="303" t="s">
        <v>10059</v>
      </c>
      <c r="M1407" s="303"/>
      <c r="N1407" s="307"/>
      <c r="O1407" s="1474"/>
      <c r="P1407" s="1475"/>
      <c r="Q1407" s="1476"/>
    </row>
    <row r="1408" spans="1:17" ht="11.1" customHeight="1">
      <c r="A1408" s="250" t="s">
        <v>11063</v>
      </c>
      <c r="B1408" s="302" t="s">
        <v>10051</v>
      </c>
      <c r="C1408" s="303">
        <v>4</v>
      </c>
      <c r="D1408" s="303" t="s">
        <v>11064</v>
      </c>
      <c r="E1408" s="304">
        <v>57.98</v>
      </c>
      <c r="F1408" s="303" t="s">
        <v>11065</v>
      </c>
      <c r="G1408" s="303">
        <v>56</v>
      </c>
      <c r="H1408" s="303" t="s">
        <v>10064</v>
      </c>
      <c r="I1408" s="303" t="s">
        <v>10056</v>
      </c>
      <c r="J1408" s="303" t="s">
        <v>10057</v>
      </c>
      <c r="K1408" s="303" t="s">
        <v>10065</v>
      </c>
      <c r="L1408" s="303" t="s">
        <v>10066</v>
      </c>
      <c r="M1408" s="303">
        <v>1</v>
      </c>
      <c r="N1408" s="307" t="s">
        <v>10071</v>
      </c>
      <c r="O1408" s="1474"/>
      <c r="P1408" s="1475"/>
      <c r="Q1408" s="1476"/>
    </row>
    <row r="1409" spans="1:17" ht="11.1" customHeight="1">
      <c r="A1409" s="250" t="s">
        <v>11066</v>
      </c>
      <c r="B1409" s="302" t="s">
        <v>10051</v>
      </c>
      <c r="C1409" s="303">
        <v>5</v>
      </c>
      <c r="D1409" s="303" t="s">
        <v>11067</v>
      </c>
      <c r="E1409" s="304">
        <v>78.349999999999994</v>
      </c>
      <c r="F1409" s="303" t="s">
        <v>11068</v>
      </c>
      <c r="G1409" s="303">
        <v>66</v>
      </c>
      <c r="H1409" s="303" t="s">
        <v>10064</v>
      </c>
      <c r="I1409" s="303" t="s">
        <v>10056</v>
      </c>
      <c r="J1409" s="303" t="s">
        <v>10057</v>
      </c>
      <c r="K1409" s="303" t="s">
        <v>10065</v>
      </c>
      <c r="L1409" s="303" t="s">
        <v>10066</v>
      </c>
      <c r="M1409" s="303">
        <v>2</v>
      </c>
      <c r="N1409" s="307"/>
      <c r="O1409" s="1474"/>
      <c r="P1409" s="1475"/>
      <c r="Q1409" s="1476"/>
    </row>
    <row r="1410" spans="1:17" ht="11.1" customHeight="1">
      <c r="A1410" s="250" t="s">
        <v>11069</v>
      </c>
      <c r="B1410" s="302" t="s">
        <v>10051</v>
      </c>
      <c r="C1410" s="303">
        <v>6</v>
      </c>
      <c r="D1410" s="303" t="s">
        <v>11070</v>
      </c>
      <c r="E1410" s="304">
        <v>95.53</v>
      </c>
      <c r="F1410" s="303" t="s">
        <v>11071</v>
      </c>
      <c r="G1410" s="303">
        <v>60</v>
      </c>
      <c r="H1410" s="303" t="s">
        <v>10064</v>
      </c>
      <c r="I1410" s="303" t="s">
        <v>10056</v>
      </c>
      <c r="J1410" s="303" t="s">
        <v>10057</v>
      </c>
      <c r="K1410" s="303" t="s">
        <v>10065</v>
      </c>
      <c r="L1410" s="303" t="s">
        <v>10066</v>
      </c>
      <c r="M1410" s="303">
        <v>6</v>
      </c>
      <c r="N1410" s="307" t="s">
        <v>10071</v>
      </c>
      <c r="O1410" s="1474"/>
      <c r="P1410" s="1475"/>
      <c r="Q1410" s="1476"/>
    </row>
    <row r="1411" spans="1:17" ht="11.1" customHeight="1">
      <c r="A1411" s="250" t="s">
        <v>11072</v>
      </c>
      <c r="B1411" s="302" t="s">
        <v>10051</v>
      </c>
      <c r="C1411" s="303">
        <v>6</v>
      </c>
      <c r="D1411" s="303" t="s">
        <v>11073</v>
      </c>
      <c r="E1411" s="304">
        <v>80.67</v>
      </c>
      <c r="F1411" s="303" t="s">
        <v>11074</v>
      </c>
      <c r="G1411" s="303">
        <v>54</v>
      </c>
      <c r="H1411" s="303" t="s">
        <v>10064</v>
      </c>
      <c r="I1411" s="303" t="s">
        <v>10056</v>
      </c>
      <c r="J1411" s="303" t="s">
        <v>10057</v>
      </c>
      <c r="K1411" s="303" t="s">
        <v>10058</v>
      </c>
      <c r="L1411" s="303" t="s">
        <v>10059</v>
      </c>
      <c r="M1411" s="303"/>
      <c r="N1411" s="307" t="s">
        <v>10071</v>
      </c>
      <c r="O1411" s="1474"/>
      <c r="P1411" s="1475"/>
      <c r="Q1411" s="1476"/>
    </row>
    <row r="1412" spans="1:17" ht="11.1" customHeight="1">
      <c r="A1412" s="250" t="s">
        <v>11075</v>
      </c>
      <c r="B1412" s="302" t="s">
        <v>10051</v>
      </c>
      <c r="C1412" s="303">
        <v>6</v>
      </c>
      <c r="D1412" s="303" t="s">
        <v>11076</v>
      </c>
      <c r="E1412" s="304">
        <v>79.58</v>
      </c>
      <c r="F1412" s="303" t="s">
        <v>11077</v>
      </c>
      <c r="G1412" s="303">
        <v>45</v>
      </c>
      <c r="H1412" s="303" t="s">
        <v>10064</v>
      </c>
      <c r="I1412" s="303" t="s">
        <v>10056</v>
      </c>
      <c r="J1412" s="303" t="s">
        <v>10057</v>
      </c>
      <c r="K1412" s="303" t="s">
        <v>10241</v>
      </c>
      <c r="L1412" s="303" t="s">
        <v>10059</v>
      </c>
      <c r="M1412" s="303"/>
      <c r="N1412" s="307" t="s">
        <v>10071</v>
      </c>
      <c r="O1412" s="1474"/>
      <c r="P1412" s="1475"/>
      <c r="Q1412" s="1476"/>
    </row>
    <row r="1413" spans="1:17" ht="11.1" customHeight="1">
      <c r="A1413" s="250" t="s">
        <v>11078</v>
      </c>
      <c r="B1413" s="302" t="s">
        <v>10051</v>
      </c>
      <c r="C1413" s="303">
        <v>6</v>
      </c>
      <c r="D1413" s="303" t="s">
        <v>11079</v>
      </c>
      <c r="E1413" s="304">
        <v>78.22</v>
      </c>
      <c r="F1413" s="303" t="s">
        <v>11080</v>
      </c>
      <c r="G1413" s="303">
        <v>32</v>
      </c>
      <c r="H1413" s="303" t="s">
        <v>10064</v>
      </c>
      <c r="I1413" s="303" t="s">
        <v>10056</v>
      </c>
      <c r="J1413" s="303" t="s">
        <v>10057</v>
      </c>
      <c r="K1413" s="303" t="s">
        <v>10178</v>
      </c>
      <c r="L1413" s="303" t="s">
        <v>10059</v>
      </c>
      <c r="M1413" s="303"/>
      <c r="N1413" s="307" t="s">
        <v>10071</v>
      </c>
      <c r="O1413" s="1474"/>
      <c r="P1413" s="1475"/>
      <c r="Q1413" s="1476"/>
    </row>
    <row r="1414" spans="1:17" ht="11.1" customHeight="1">
      <c r="A1414" s="250" t="s">
        <v>11081</v>
      </c>
      <c r="B1414" s="302" t="s">
        <v>10051</v>
      </c>
      <c r="C1414" s="303">
        <v>6</v>
      </c>
      <c r="D1414" s="303" t="s">
        <v>11082</v>
      </c>
      <c r="E1414" s="304">
        <v>78</v>
      </c>
      <c r="F1414" s="303" t="s">
        <v>11083</v>
      </c>
      <c r="G1414" s="303">
        <v>48</v>
      </c>
      <c r="H1414" s="303" t="s">
        <v>10064</v>
      </c>
      <c r="I1414" s="303" t="s">
        <v>10056</v>
      </c>
      <c r="J1414" s="303" t="s">
        <v>10057</v>
      </c>
      <c r="K1414" s="303" t="s">
        <v>10058</v>
      </c>
      <c r="L1414" s="303" t="s">
        <v>10059</v>
      </c>
      <c r="M1414" s="303"/>
      <c r="N1414" s="307" t="s">
        <v>10071</v>
      </c>
      <c r="O1414" s="1474"/>
      <c r="P1414" s="1475"/>
      <c r="Q1414" s="1476"/>
    </row>
    <row r="1415" spans="1:17" ht="11.1" customHeight="1">
      <c r="A1415" s="250" t="s">
        <v>11084</v>
      </c>
      <c r="B1415" s="187"/>
      <c r="C1415" s="42">
        <v>6</v>
      </c>
      <c r="D1415" s="42" t="s">
        <v>11085</v>
      </c>
      <c r="E1415" s="188">
        <v>75.12</v>
      </c>
      <c r="F1415" s="42" t="s">
        <v>11086</v>
      </c>
      <c r="G1415" s="42">
        <v>27</v>
      </c>
      <c r="H1415" s="42" t="s">
        <v>10064</v>
      </c>
      <c r="I1415" s="42" t="s">
        <v>10056</v>
      </c>
      <c r="J1415" s="42" t="s">
        <v>10057</v>
      </c>
      <c r="K1415" s="42" t="s">
        <v>10065</v>
      </c>
      <c r="L1415" s="42" t="s">
        <v>10059</v>
      </c>
      <c r="M1415" s="42"/>
      <c r="N1415" s="308" t="s">
        <v>10071</v>
      </c>
      <c r="O1415" s="1474"/>
      <c r="P1415" s="1475"/>
      <c r="Q1415" s="1476"/>
    </row>
    <row r="1416" spans="1:17" ht="11.1" customHeight="1">
      <c r="A1416" s="250" t="s">
        <v>11087</v>
      </c>
      <c r="B1416" s="187"/>
      <c r="C1416" s="42">
        <v>6</v>
      </c>
      <c r="D1416" s="42" t="s">
        <v>11088</v>
      </c>
      <c r="E1416" s="188">
        <v>69.319999999999993</v>
      </c>
      <c r="F1416" s="42" t="s">
        <v>11089</v>
      </c>
      <c r="G1416" s="42">
        <v>38</v>
      </c>
      <c r="H1416" s="42" t="s">
        <v>10064</v>
      </c>
      <c r="I1416" s="42" t="s">
        <v>10056</v>
      </c>
      <c r="J1416" s="42" t="s">
        <v>10057</v>
      </c>
      <c r="K1416" s="212" t="s">
        <v>10241</v>
      </c>
      <c r="L1416" s="42" t="s">
        <v>10059</v>
      </c>
      <c r="M1416" s="42"/>
      <c r="N1416" s="308" t="s">
        <v>10071</v>
      </c>
      <c r="O1416" s="1474"/>
      <c r="P1416" s="1475"/>
      <c r="Q1416" s="1476"/>
    </row>
    <row r="1417" spans="1:17" ht="11.1" customHeight="1">
      <c r="A1417" s="250" t="s">
        <v>11090</v>
      </c>
      <c r="B1417" s="374"/>
      <c r="C1417" s="212">
        <v>6</v>
      </c>
      <c r="D1417" s="212" t="s">
        <v>11091</v>
      </c>
      <c r="E1417" s="375">
        <v>62.37</v>
      </c>
      <c r="F1417" s="212" t="s">
        <v>11092</v>
      </c>
      <c r="G1417" s="212">
        <v>30</v>
      </c>
      <c r="H1417" s="212" t="s">
        <v>10064</v>
      </c>
      <c r="I1417" s="212" t="s">
        <v>10056</v>
      </c>
      <c r="J1417" s="212" t="s">
        <v>10057</v>
      </c>
      <c r="K1417" s="212" t="s">
        <v>10058</v>
      </c>
      <c r="L1417" s="212" t="s">
        <v>10059</v>
      </c>
      <c r="M1417" s="212"/>
      <c r="N1417" s="376"/>
      <c r="O1417" s="1474"/>
      <c r="P1417" s="1475"/>
      <c r="Q1417" s="1476"/>
    </row>
    <row r="1418" spans="1:17" ht="11.1" customHeight="1">
      <c r="A1418" s="250" t="s">
        <v>11093</v>
      </c>
      <c r="B1418" s="187"/>
      <c r="C1418" s="42">
        <v>33</v>
      </c>
      <c r="D1418" s="42" t="s">
        <v>10061</v>
      </c>
      <c r="E1418" s="309" t="s">
        <v>10062</v>
      </c>
      <c r="F1418" s="42" t="s">
        <v>11094</v>
      </c>
      <c r="G1418" s="42">
        <v>57</v>
      </c>
      <c r="H1418" s="42" t="s">
        <v>10064</v>
      </c>
      <c r="I1418" s="42"/>
      <c r="J1418" s="42" t="s">
        <v>10057</v>
      </c>
      <c r="K1418" s="42" t="s">
        <v>10058</v>
      </c>
      <c r="L1418" s="42" t="s">
        <v>10059</v>
      </c>
      <c r="M1418" s="42"/>
      <c r="N1418" s="310"/>
      <c r="O1418" s="1474"/>
      <c r="P1418" s="1475"/>
      <c r="Q1418" s="1476"/>
    </row>
    <row r="1419" spans="1:17" ht="11.1" customHeight="1">
      <c r="A1419" s="250" t="s">
        <v>11095</v>
      </c>
      <c r="B1419" s="187"/>
      <c r="C1419" s="42">
        <v>34</v>
      </c>
      <c r="D1419" s="42" t="s">
        <v>10061</v>
      </c>
      <c r="E1419" s="309" t="s">
        <v>10062</v>
      </c>
      <c r="F1419" s="42" t="s">
        <v>11096</v>
      </c>
      <c r="G1419" s="42">
        <v>56</v>
      </c>
      <c r="H1419" s="42" t="s">
        <v>10064</v>
      </c>
      <c r="I1419" s="42"/>
      <c r="J1419" s="42" t="s">
        <v>10057</v>
      </c>
      <c r="K1419" s="42" t="s">
        <v>10058</v>
      </c>
      <c r="L1419" s="42" t="s">
        <v>10059</v>
      </c>
      <c r="M1419" s="42"/>
      <c r="N1419" s="310"/>
      <c r="O1419" s="1474"/>
      <c r="P1419" s="1475"/>
      <c r="Q1419" s="1476"/>
    </row>
    <row r="1420" spans="1:17" ht="11.1" customHeight="1">
      <c r="A1420" s="250" t="s">
        <v>11097</v>
      </c>
      <c r="B1420" s="187"/>
      <c r="C1420" s="42">
        <v>35</v>
      </c>
      <c r="D1420" s="42" t="s">
        <v>10061</v>
      </c>
      <c r="E1420" s="309" t="s">
        <v>10062</v>
      </c>
      <c r="F1420" s="42" t="s">
        <v>11098</v>
      </c>
      <c r="G1420" s="42">
        <v>53</v>
      </c>
      <c r="H1420" s="42" t="s">
        <v>10064</v>
      </c>
      <c r="I1420" s="42"/>
      <c r="J1420" s="42" t="s">
        <v>10057</v>
      </c>
      <c r="K1420" s="42" t="s">
        <v>10058</v>
      </c>
      <c r="L1420" s="42" t="s">
        <v>10059</v>
      </c>
      <c r="M1420" s="42"/>
      <c r="N1420" s="310"/>
      <c r="O1420" s="1474"/>
      <c r="P1420" s="1475"/>
      <c r="Q1420" s="1476"/>
    </row>
    <row r="1421" spans="1:17" ht="11.1" customHeight="1">
      <c r="A1421" s="250" t="s">
        <v>11099</v>
      </c>
      <c r="B1421" s="187"/>
      <c r="C1421" s="42">
        <v>36</v>
      </c>
      <c r="D1421" s="42" t="s">
        <v>10061</v>
      </c>
      <c r="E1421" s="309" t="s">
        <v>10062</v>
      </c>
      <c r="F1421" s="42" t="s">
        <v>11100</v>
      </c>
      <c r="G1421" s="42">
        <v>50</v>
      </c>
      <c r="H1421" s="42" t="s">
        <v>10064</v>
      </c>
      <c r="I1421" s="42"/>
      <c r="J1421" s="42" t="s">
        <v>10057</v>
      </c>
      <c r="K1421" s="42" t="s">
        <v>10058</v>
      </c>
      <c r="L1421" s="42" t="s">
        <v>10059</v>
      </c>
      <c r="M1421" s="42"/>
      <c r="N1421" s="310"/>
      <c r="O1421" s="1474"/>
      <c r="P1421" s="1475"/>
      <c r="Q1421" s="1476"/>
    </row>
    <row r="1422" spans="1:17" ht="11.1" customHeight="1">
      <c r="A1422" s="250" t="s">
        <v>11101</v>
      </c>
      <c r="B1422" s="302" t="s">
        <v>10098</v>
      </c>
      <c r="C1422" s="303">
        <v>1</v>
      </c>
      <c r="D1422" s="303" t="s">
        <v>11102</v>
      </c>
      <c r="E1422" s="306" t="s">
        <v>10100</v>
      </c>
      <c r="F1422" s="303" t="s">
        <v>11103</v>
      </c>
      <c r="G1422" s="303">
        <v>46</v>
      </c>
      <c r="H1422" s="303" t="s">
        <v>10054</v>
      </c>
      <c r="I1422" s="303" t="s">
        <v>10056</v>
      </c>
      <c r="J1422" s="303" t="s">
        <v>10057</v>
      </c>
      <c r="K1422" s="303" t="s">
        <v>10058</v>
      </c>
      <c r="L1422" s="303" t="s">
        <v>10059</v>
      </c>
      <c r="M1422" s="303"/>
      <c r="N1422" s="307" t="s">
        <v>10071</v>
      </c>
      <c r="O1422" s="1474"/>
      <c r="P1422" s="1475"/>
      <c r="Q1422" s="1476"/>
    </row>
    <row r="1423" spans="1:17" ht="11.1" customHeight="1">
      <c r="A1423" s="250" t="s">
        <v>11104</v>
      </c>
      <c r="B1423" s="302" t="s">
        <v>10098</v>
      </c>
      <c r="C1423" s="303">
        <v>6</v>
      </c>
      <c r="D1423" s="303" t="s">
        <v>11105</v>
      </c>
      <c r="E1423" s="306" t="s">
        <v>10104</v>
      </c>
      <c r="F1423" s="303" t="s">
        <v>11106</v>
      </c>
      <c r="G1423" s="303">
        <v>42</v>
      </c>
      <c r="H1423" s="303" t="s">
        <v>10064</v>
      </c>
      <c r="I1423" s="303" t="s">
        <v>10056</v>
      </c>
      <c r="J1423" s="303" t="s">
        <v>10057</v>
      </c>
      <c r="K1423" s="303" t="s">
        <v>10065</v>
      </c>
      <c r="L1423" s="303" t="s">
        <v>10066</v>
      </c>
      <c r="M1423" s="303">
        <v>3</v>
      </c>
      <c r="N1423" s="307" t="s">
        <v>10071</v>
      </c>
      <c r="O1423" s="1474"/>
      <c r="P1423" s="1475"/>
      <c r="Q1423" s="1476"/>
    </row>
    <row r="1424" spans="1:17" ht="11.1" customHeight="1">
      <c r="A1424" s="250" t="s">
        <v>11107</v>
      </c>
      <c r="B1424" s="302" t="s">
        <v>10098</v>
      </c>
      <c r="C1424" s="303">
        <v>6</v>
      </c>
      <c r="D1424" s="303" t="s">
        <v>11108</v>
      </c>
      <c r="E1424" s="306" t="s">
        <v>10104</v>
      </c>
      <c r="F1424" s="303" t="s">
        <v>11109</v>
      </c>
      <c r="G1424" s="303">
        <v>49</v>
      </c>
      <c r="H1424" s="303" t="s">
        <v>10064</v>
      </c>
      <c r="I1424" s="303" t="s">
        <v>10056</v>
      </c>
      <c r="J1424" s="303" t="s">
        <v>10057</v>
      </c>
      <c r="K1424" s="303" t="s">
        <v>10092</v>
      </c>
      <c r="L1424" s="303" t="s">
        <v>10059</v>
      </c>
      <c r="M1424" s="303"/>
      <c r="N1424" s="307" t="s">
        <v>10071</v>
      </c>
      <c r="O1424" s="1474"/>
      <c r="P1424" s="1475"/>
      <c r="Q1424" s="1476"/>
    </row>
    <row r="1425" spans="1:17" ht="11.1" customHeight="1">
      <c r="A1425" s="250" t="s">
        <v>11110</v>
      </c>
      <c r="B1425" s="302" t="s">
        <v>10098</v>
      </c>
      <c r="C1425" s="303">
        <v>6</v>
      </c>
      <c r="D1425" s="303" t="s">
        <v>11111</v>
      </c>
      <c r="E1425" s="306" t="s">
        <v>10104</v>
      </c>
      <c r="F1425" s="303" t="s">
        <v>11112</v>
      </c>
      <c r="G1425" s="303">
        <v>62</v>
      </c>
      <c r="H1425" s="303" t="s">
        <v>10064</v>
      </c>
      <c r="I1425" s="303" t="s">
        <v>10056</v>
      </c>
      <c r="J1425" s="303" t="s">
        <v>10057</v>
      </c>
      <c r="K1425" s="303" t="s">
        <v>10082</v>
      </c>
      <c r="L1425" s="303" t="s">
        <v>10066</v>
      </c>
      <c r="M1425" s="303">
        <v>6</v>
      </c>
      <c r="N1425" s="307" t="s">
        <v>10071</v>
      </c>
      <c r="O1425" s="1474"/>
      <c r="P1425" s="1475"/>
      <c r="Q1425" s="1476"/>
    </row>
    <row r="1426" spans="1:17" ht="11.1" customHeight="1">
      <c r="A1426" s="250" t="s">
        <v>11113</v>
      </c>
      <c r="B1426" s="302" t="s">
        <v>10098</v>
      </c>
      <c r="C1426" s="303">
        <v>6</v>
      </c>
      <c r="D1426" s="303" t="s">
        <v>11114</v>
      </c>
      <c r="E1426" s="306" t="s">
        <v>10104</v>
      </c>
      <c r="F1426" s="303" t="s">
        <v>11115</v>
      </c>
      <c r="G1426" s="303">
        <v>52</v>
      </c>
      <c r="H1426" s="303" t="s">
        <v>10054</v>
      </c>
      <c r="I1426" s="303" t="s">
        <v>10056</v>
      </c>
      <c r="J1426" s="303" t="s">
        <v>10057</v>
      </c>
      <c r="K1426" s="303" t="s">
        <v>10082</v>
      </c>
      <c r="L1426" s="303" t="s">
        <v>10066</v>
      </c>
      <c r="M1426" s="303">
        <v>2</v>
      </c>
      <c r="N1426" s="307" t="s">
        <v>10071</v>
      </c>
      <c r="O1426" s="1474"/>
      <c r="P1426" s="1475"/>
      <c r="Q1426" s="1476"/>
    </row>
    <row r="1427" spans="1:17" ht="11.1" customHeight="1">
      <c r="A1427" s="250" t="s">
        <v>11116</v>
      </c>
      <c r="B1427" s="302" t="s">
        <v>10098</v>
      </c>
      <c r="C1427" s="303">
        <v>6</v>
      </c>
      <c r="D1427" s="303" t="s">
        <v>11117</v>
      </c>
      <c r="E1427" s="306" t="s">
        <v>10104</v>
      </c>
      <c r="F1427" s="303" t="s">
        <v>11118</v>
      </c>
      <c r="G1427" s="303">
        <v>53</v>
      </c>
      <c r="H1427" s="303" t="s">
        <v>10064</v>
      </c>
      <c r="I1427" s="303" t="s">
        <v>10056</v>
      </c>
      <c r="J1427" s="303" t="s">
        <v>10057</v>
      </c>
      <c r="K1427" s="303" t="s">
        <v>10241</v>
      </c>
      <c r="L1427" s="303" t="s">
        <v>10066</v>
      </c>
      <c r="M1427" s="303">
        <v>1</v>
      </c>
      <c r="N1427" s="307" t="s">
        <v>10071</v>
      </c>
      <c r="O1427" s="1474"/>
      <c r="P1427" s="1475"/>
      <c r="Q1427" s="1476"/>
    </row>
    <row r="1428" spans="1:17" ht="11.1" customHeight="1">
      <c r="A1428" s="250" t="s">
        <v>11119</v>
      </c>
      <c r="B1428" s="302" t="s">
        <v>10098</v>
      </c>
      <c r="C1428" s="303">
        <v>6</v>
      </c>
      <c r="D1428" s="303" t="s">
        <v>11120</v>
      </c>
      <c r="E1428" s="306" t="s">
        <v>10104</v>
      </c>
      <c r="F1428" s="303" t="s">
        <v>11121</v>
      </c>
      <c r="G1428" s="303">
        <v>70</v>
      </c>
      <c r="H1428" s="303" t="s">
        <v>10064</v>
      </c>
      <c r="I1428" s="303" t="s">
        <v>10056</v>
      </c>
      <c r="J1428" s="303" t="s">
        <v>10057</v>
      </c>
      <c r="K1428" s="303" t="s">
        <v>10082</v>
      </c>
      <c r="L1428" s="303" t="s">
        <v>10066</v>
      </c>
      <c r="M1428" s="303">
        <v>7</v>
      </c>
      <c r="N1428" s="307"/>
      <c r="O1428" s="1474"/>
      <c r="P1428" s="1475"/>
      <c r="Q1428" s="1476"/>
    </row>
    <row r="1429" spans="1:17" ht="11.1" customHeight="1">
      <c r="A1429" s="250" t="s">
        <v>11122</v>
      </c>
      <c r="B1429" s="302" t="s">
        <v>10098</v>
      </c>
      <c r="C1429" s="303">
        <v>6</v>
      </c>
      <c r="D1429" s="303" t="s">
        <v>11123</v>
      </c>
      <c r="E1429" s="306" t="s">
        <v>10138</v>
      </c>
      <c r="F1429" s="303" t="s">
        <v>11124</v>
      </c>
      <c r="G1429" s="303">
        <v>58</v>
      </c>
      <c r="H1429" s="303" t="s">
        <v>10064</v>
      </c>
      <c r="I1429" s="303" t="s">
        <v>10056</v>
      </c>
      <c r="J1429" s="303" t="s">
        <v>10057</v>
      </c>
      <c r="K1429" s="303" t="s">
        <v>10082</v>
      </c>
      <c r="L1429" s="303" t="s">
        <v>10066</v>
      </c>
      <c r="M1429" s="303">
        <v>3</v>
      </c>
      <c r="N1429" s="307" t="s">
        <v>10071</v>
      </c>
      <c r="O1429" s="1474"/>
      <c r="P1429" s="1475"/>
      <c r="Q1429" s="1476"/>
    </row>
    <row r="1430" spans="1:17" ht="11.1" customHeight="1">
      <c r="A1430" s="250" t="s">
        <v>11125</v>
      </c>
      <c r="B1430" s="302" t="s">
        <v>10098</v>
      </c>
      <c r="C1430" s="303">
        <v>6</v>
      </c>
      <c r="D1430" s="303" t="s">
        <v>11126</v>
      </c>
      <c r="E1430" s="306" t="s">
        <v>10104</v>
      </c>
      <c r="F1430" s="303" t="s">
        <v>11127</v>
      </c>
      <c r="G1430" s="303">
        <v>55</v>
      </c>
      <c r="H1430" s="303" t="s">
        <v>10064</v>
      </c>
      <c r="I1430" s="303" t="s">
        <v>10056</v>
      </c>
      <c r="J1430" s="303" t="s">
        <v>10057</v>
      </c>
      <c r="K1430" s="303" t="s">
        <v>10075</v>
      </c>
      <c r="L1430" s="303" t="s">
        <v>10066</v>
      </c>
      <c r="M1430" s="303">
        <v>4</v>
      </c>
      <c r="N1430" s="307" t="s">
        <v>10071</v>
      </c>
      <c r="O1430" s="1474"/>
      <c r="P1430" s="1475"/>
      <c r="Q1430" s="1476"/>
    </row>
    <row r="1431" spans="1:17" ht="11.1" customHeight="1">
      <c r="A1431" s="250" t="s">
        <v>11128</v>
      </c>
      <c r="B1431" s="302" t="s">
        <v>10098</v>
      </c>
      <c r="C1431" s="303">
        <v>6</v>
      </c>
      <c r="D1431" s="303" t="s">
        <v>11129</v>
      </c>
      <c r="E1431" s="306" t="s">
        <v>10104</v>
      </c>
      <c r="F1431" s="303" t="s">
        <v>11130</v>
      </c>
      <c r="G1431" s="303">
        <v>50</v>
      </c>
      <c r="H1431" s="303" t="s">
        <v>10064</v>
      </c>
      <c r="I1431" s="303" t="s">
        <v>10056</v>
      </c>
      <c r="J1431" s="303" t="s">
        <v>10057</v>
      </c>
      <c r="K1431" s="303" t="s">
        <v>10065</v>
      </c>
      <c r="L1431" s="303" t="s">
        <v>10066</v>
      </c>
      <c r="M1431" s="303">
        <v>3</v>
      </c>
      <c r="N1431" s="307" t="s">
        <v>10071</v>
      </c>
      <c r="O1431" s="1474"/>
      <c r="P1431" s="1475"/>
      <c r="Q1431" s="1476"/>
    </row>
    <row r="1432" spans="1:17" ht="11.1" customHeight="1">
      <c r="A1432" s="250" t="s">
        <v>11131</v>
      </c>
      <c r="B1432" s="302" t="s">
        <v>10098</v>
      </c>
      <c r="C1432" s="303">
        <v>6</v>
      </c>
      <c r="D1432" s="303" t="s">
        <v>11132</v>
      </c>
      <c r="E1432" s="306" t="s">
        <v>10104</v>
      </c>
      <c r="F1432" s="303" t="s">
        <v>11133</v>
      </c>
      <c r="G1432" s="303">
        <v>32</v>
      </c>
      <c r="H1432" s="303" t="s">
        <v>10064</v>
      </c>
      <c r="I1432" s="303" t="s">
        <v>10056</v>
      </c>
      <c r="J1432" s="303" t="s">
        <v>10057</v>
      </c>
      <c r="K1432" s="303" t="s">
        <v>10210</v>
      </c>
      <c r="L1432" s="303" t="s">
        <v>10059</v>
      </c>
      <c r="M1432" s="303"/>
      <c r="N1432" s="307" t="s">
        <v>10071</v>
      </c>
      <c r="O1432" s="1474"/>
      <c r="P1432" s="1475"/>
      <c r="Q1432" s="1476"/>
    </row>
    <row r="1433" spans="1:17" ht="11.1" customHeight="1">
      <c r="A1433" s="250" t="s">
        <v>11134</v>
      </c>
      <c r="B1433" s="302" t="s">
        <v>10098</v>
      </c>
      <c r="C1433" s="303">
        <v>6</v>
      </c>
      <c r="D1433" s="303" t="s">
        <v>11135</v>
      </c>
      <c r="E1433" s="306" t="s">
        <v>10104</v>
      </c>
      <c r="F1433" s="303" t="s">
        <v>11136</v>
      </c>
      <c r="G1433" s="303">
        <v>47</v>
      </c>
      <c r="H1433" s="303" t="s">
        <v>10064</v>
      </c>
      <c r="I1433" s="303" t="s">
        <v>10056</v>
      </c>
      <c r="J1433" s="303" t="s">
        <v>10057</v>
      </c>
      <c r="K1433" s="303" t="s">
        <v>10075</v>
      </c>
      <c r="L1433" s="303" t="s">
        <v>10066</v>
      </c>
      <c r="M1433" s="303">
        <v>1</v>
      </c>
      <c r="N1433" s="307" t="s">
        <v>10071</v>
      </c>
      <c r="O1433" s="1474"/>
      <c r="P1433" s="1475"/>
      <c r="Q1433" s="1476"/>
    </row>
    <row r="1434" spans="1:17" ht="11.1" customHeight="1">
      <c r="A1434" s="250" t="s">
        <v>11137</v>
      </c>
      <c r="B1434" s="302" t="s">
        <v>10098</v>
      </c>
      <c r="C1434" s="303">
        <v>6</v>
      </c>
      <c r="D1434" s="303" t="s">
        <v>11138</v>
      </c>
      <c r="E1434" s="306" t="s">
        <v>10104</v>
      </c>
      <c r="F1434" s="303" t="s">
        <v>11139</v>
      </c>
      <c r="G1434" s="303">
        <v>41</v>
      </c>
      <c r="H1434" s="303" t="s">
        <v>10064</v>
      </c>
      <c r="I1434" s="303" t="s">
        <v>10056</v>
      </c>
      <c r="J1434" s="303" t="s">
        <v>10057</v>
      </c>
      <c r="K1434" s="303" t="s">
        <v>10065</v>
      </c>
      <c r="L1434" s="303" t="s">
        <v>10059</v>
      </c>
      <c r="M1434" s="303"/>
      <c r="N1434" s="307" t="s">
        <v>10071</v>
      </c>
      <c r="O1434" s="1474"/>
      <c r="P1434" s="1475"/>
      <c r="Q1434" s="1476"/>
    </row>
    <row r="1435" spans="1:17" ht="11.1" customHeight="1">
      <c r="A1435" s="250" t="s">
        <v>11140</v>
      </c>
      <c r="B1435" s="302" t="s">
        <v>10098</v>
      </c>
      <c r="C1435" s="303">
        <v>6</v>
      </c>
      <c r="D1435" s="303" t="s">
        <v>11141</v>
      </c>
      <c r="E1435" s="306" t="s">
        <v>10104</v>
      </c>
      <c r="F1435" s="303" t="s">
        <v>11142</v>
      </c>
      <c r="G1435" s="303">
        <v>61</v>
      </c>
      <c r="H1435" s="303" t="s">
        <v>10064</v>
      </c>
      <c r="I1435" s="303" t="s">
        <v>10056</v>
      </c>
      <c r="J1435" s="303" t="s">
        <v>10057</v>
      </c>
      <c r="K1435" s="303" t="s">
        <v>10205</v>
      </c>
      <c r="L1435" s="303" t="s">
        <v>10066</v>
      </c>
      <c r="M1435" s="303">
        <v>3</v>
      </c>
      <c r="N1435" s="307" t="s">
        <v>10071</v>
      </c>
      <c r="O1435" s="1474"/>
      <c r="P1435" s="1475"/>
      <c r="Q1435" s="1476"/>
    </row>
    <row r="1436" spans="1:17" ht="11.1" customHeight="1">
      <c r="A1436" s="250" t="s">
        <v>11143</v>
      </c>
      <c r="B1436" s="302" t="s">
        <v>10098</v>
      </c>
      <c r="C1436" s="303">
        <v>6</v>
      </c>
      <c r="D1436" s="303" t="s">
        <v>11144</v>
      </c>
      <c r="E1436" s="306" t="s">
        <v>10104</v>
      </c>
      <c r="F1436" s="303" t="s">
        <v>11145</v>
      </c>
      <c r="G1436" s="303">
        <v>71</v>
      </c>
      <c r="H1436" s="303" t="s">
        <v>10064</v>
      </c>
      <c r="I1436" s="303" t="s">
        <v>10056</v>
      </c>
      <c r="J1436" s="303" t="s">
        <v>10057</v>
      </c>
      <c r="K1436" s="303" t="s">
        <v>10075</v>
      </c>
      <c r="L1436" s="303" t="s">
        <v>10066</v>
      </c>
      <c r="M1436" s="303">
        <v>5</v>
      </c>
      <c r="N1436" s="307" t="s">
        <v>10071</v>
      </c>
      <c r="O1436" s="1474"/>
      <c r="P1436" s="1475"/>
      <c r="Q1436" s="1476"/>
    </row>
    <row r="1437" spans="1:17" ht="11.1" customHeight="1">
      <c r="A1437" s="250" t="s">
        <v>11146</v>
      </c>
      <c r="B1437" s="302" t="s">
        <v>10098</v>
      </c>
      <c r="C1437" s="303">
        <v>6</v>
      </c>
      <c r="D1437" s="303" t="s">
        <v>11147</v>
      </c>
      <c r="E1437" s="306" t="s">
        <v>10104</v>
      </c>
      <c r="F1437" s="303" t="s">
        <v>11148</v>
      </c>
      <c r="G1437" s="303">
        <v>45</v>
      </c>
      <c r="H1437" s="303" t="s">
        <v>10064</v>
      </c>
      <c r="I1437" s="303" t="s">
        <v>10056</v>
      </c>
      <c r="J1437" s="303" t="s">
        <v>10057</v>
      </c>
      <c r="K1437" s="303" t="s">
        <v>10065</v>
      </c>
      <c r="L1437" s="303" t="s">
        <v>10066</v>
      </c>
      <c r="M1437" s="303">
        <v>3</v>
      </c>
      <c r="N1437" s="307" t="s">
        <v>10071</v>
      </c>
      <c r="O1437" s="1474"/>
      <c r="P1437" s="1475"/>
      <c r="Q1437" s="1476"/>
    </row>
    <row r="1438" spans="1:17" ht="11.1" customHeight="1">
      <c r="A1438" s="250" t="s">
        <v>11149</v>
      </c>
      <c r="B1438" s="302" t="s">
        <v>10098</v>
      </c>
      <c r="C1438" s="303">
        <v>6</v>
      </c>
      <c r="D1438" s="303" t="s">
        <v>11150</v>
      </c>
      <c r="E1438" s="306" t="s">
        <v>10104</v>
      </c>
      <c r="F1438" s="303" t="s">
        <v>11151</v>
      </c>
      <c r="G1438" s="303">
        <v>58</v>
      </c>
      <c r="H1438" s="303" t="s">
        <v>10064</v>
      </c>
      <c r="I1438" s="303" t="s">
        <v>10056</v>
      </c>
      <c r="J1438" s="303" t="s">
        <v>10057</v>
      </c>
      <c r="K1438" s="303" t="s">
        <v>10075</v>
      </c>
      <c r="L1438" s="303" t="s">
        <v>10066</v>
      </c>
      <c r="M1438" s="303">
        <v>2</v>
      </c>
      <c r="N1438" s="307" t="s">
        <v>10071</v>
      </c>
      <c r="O1438" s="1474"/>
      <c r="P1438" s="1475"/>
      <c r="Q1438" s="1476"/>
    </row>
    <row r="1439" spans="1:17" ht="11.1" customHeight="1">
      <c r="A1439" s="250" t="s">
        <v>11152</v>
      </c>
      <c r="B1439" s="302" t="s">
        <v>10098</v>
      </c>
      <c r="C1439" s="303">
        <v>6</v>
      </c>
      <c r="D1439" s="303" t="s">
        <v>11153</v>
      </c>
      <c r="E1439" s="306" t="s">
        <v>10104</v>
      </c>
      <c r="F1439" s="303" t="s">
        <v>11154</v>
      </c>
      <c r="G1439" s="303">
        <v>57</v>
      </c>
      <c r="H1439" s="303" t="s">
        <v>10064</v>
      </c>
      <c r="I1439" s="303" t="s">
        <v>10056</v>
      </c>
      <c r="J1439" s="303" t="s">
        <v>10057</v>
      </c>
      <c r="K1439" s="303" t="s">
        <v>10241</v>
      </c>
      <c r="L1439" s="303" t="s">
        <v>10066</v>
      </c>
      <c r="M1439" s="303">
        <v>7</v>
      </c>
      <c r="N1439" s="307" t="s">
        <v>10071</v>
      </c>
      <c r="O1439" s="1474"/>
      <c r="P1439" s="1475"/>
      <c r="Q1439" s="1476"/>
    </row>
    <row r="1440" spans="1:17" ht="11.1" customHeight="1">
      <c r="A1440" s="250" t="s">
        <v>11155</v>
      </c>
      <c r="B1440" s="302" t="s">
        <v>10098</v>
      </c>
      <c r="C1440" s="303">
        <v>6</v>
      </c>
      <c r="D1440" s="303" t="s">
        <v>11156</v>
      </c>
      <c r="E1440" s="306" t="s">
        <v>10104</v>
      </c>
      <c r="F1440" s="303" t="s">
        <v>11157</v>
      </c>
      <c r="G1440" s="303">
        <v>40</v>
      </c>
      <c r="H1440" s="303" t="s">
        <v>10064</v>
      </c>
      <c r="I1440" s="303" t="s">
        <v>10056</v>
      </c>
      <c r="J1440" s="303" t="s">
        <v>10057</v>
      </c>
      <c r="K1440" s="303" t="s">
        <v>10065</v>
      </c>
      <c r="L1440" s="303" t="s">
        <v>10066</v>
      </c>
      <c r="M1440" s="303">
        <v>3</v>
      </c>
      <c r="N1440" s="307" t="s">
        <v>10071</v>
      </c>
      <c r="O1440" s="1474"/>
      <c r="P1440" s="1475"/>
      <c r="Q1440" s="1476"/>
    </row>
    <row r="1441" spans="1:17" ht="11.1" customHeight="1">
      <c r="A1441" s="945" t="s">
        <v>11158</v>
      </c>
      <c r="B1441" s="340" t="s">
        <v>10098</v>
      </c>
      <c r="C1441" s="311">
        <v>6</v>
      </c>
      <c r="D1441" s="311" t="s">
        <v>11159</v>
      </c>
      <c r="E1441" s="312" t="s">
        <v>10104</v>
      </c>
      <c r="F1441" s="311" t="s">
        <v>11160</v>
      </c>
      <c r="G1441" s="311">
        <v>54</v>
      </c>
      <c r="H1441" s="311" t="s">
        <v>10064</v>
      </c>
      <c r="I1441" s="311" t="s">
        <v>10056</v>
      </c>
      <c r="J1441" s="311" t="s">
        <v>10057</v>
      </c>
      <c r="K1441" s="311" t="s">
        <v>10058</v>
      </c>
      <c r="L1441" s="311" t="s">
        <v>10066</v>
      </c>
      <c r="M1441" s="311">
        <v>1</v>
      </c>
      <c r="N1441" s="313" t="s">
        <v>10071</v>
      </c>
      <c r="O1441" s="1474"/>
      <c r="P1441" s="1475"/>
      <c r="Q1441" s="1476"/>
    </row>
    <row r="1442" spans="1:17" ht="11.1" customHeight="1">
      <c r="A1442" s="946" t="s">
        <v>11161</v>
      </c>
      <c r="B1442" s="192" t="s">
        <v>10051</v>
      </c>
      <c r="C1442" s="56">
        <v>1</v>
      </c>
      <c r="D1442" s="56" t="s">
        <v>11138</v>
      </c>
      <c r="E1442" s="193">
        <v>93.45</v>
      </c>
      <c r="F1442" s="56" t="s">
        <v>11162</v>
      </c>
      <c r="G1442" s="56">
        <v>44</v>
      </c>
      <c r="H1442" s="56" t="s">
        <v>10064</v>
      </c>
      <c r="I1442" s="56" t="s">
        <v>10056</v>
      </c>
      <c r="J1442" s="56" t="s">
        <v>10115</v>
      </c>
      <c r="K1442" s="56" t="s">
        <v>10140</v>
      </c>
      <c r="L1442" s="56" t="s">
        <v>10066</v>
      </c>
      <c r="M1442" s="56">
        <v>2</v>
      </c>
      <c r="N1442" s="341"/>
      <c r="O1442" s="1474">
        <v>8</v>
      </c>
      <c r="P1442" s="1475">
        <v>2766443</v>
      </c>
      <c r="Q1442" s="1476">
        <f>P1442*100/SUM(P1406:P1485)</f>
        <v>34.795294054906883</v>
      </c>
    </row>
    <row r="1443" spans="1:17" ht="11.1" customHeight="1">
      <c r="A1443" s="250" t="s">
        <v>11163</v>
      </c>
      <c r="B1443" s="194" t="s">
        <v>10051</v>
      </c>
      <c r="C1443" s="36">
        <v>1</v>
      </c>
      <c r="D1443" s="36" t="s">
        <v>11129</v>
      </c>
      <c r="E1443" s="195">
        <v>91.99</v>
      </c>
      <c r="F1443" s="36" t="s">
        <v>11164</v>
      </c>
      <c r="G1443" s="36">
        <v>57</v>
      </c>
      <c r="H1443" s="36" t="s">
        <v>10064</v>
      </c>
      <c r="I1443" s="36" t="s">
        <v>10056</v>
      </c>
      <c r="J1443" s="36" t="s">
        <v>10115</v>
      </c>
      <c r="K1443" s="36" t="s">
        <v>10127</v>
      </c>
      <c r="L1443" s="36" t="s">
        <v>10066</v>
      </c>
      <c r="M1443" s="36">
        <v>5</v>
      </c>
      <c r="N1443" s="316"/>
      <c r="O1443" s="1474"/>
      <c r="P1443" s="1475"/>
      <c r="Q1443" s="1476"/>
    </row>
    <row r="1444" spans="1:17" ht="11.1" customHeight="1">
      <c r="A1444" s="250" t="s">
        <v>11165</v>
      </c>
      <c r="B1444" s="194" t="s">
        <v>10051</v>
      </c>
      <c r="C1444" s="36">
        <v>1</v>
      </c>
      <c r="D1444" s="36" t="s">
        <v>11132</v>
      </c>
      <c r="E1444" s="195">
        <v>89.58</v>
      </c>
      <c r="F1444" s="36" t="s">
        <v>11166</v>
      </c>
      <c r="G1444" s="36">
        <v>45</v>
      </c>
      <c r="H1444" s="36" t="s">
        <v>10064</v>
      </c>
      <c r="I1444" s="36" t="s">
        <v>10056</v>
      </c>
      <c r="J1444" s="36" t="s">
        <v>10115</v>
      </c>
      <c r="K1444" s="36" t="s">
        <v>10116</v>
      </c>
      <c r="L1444" s="36" t="s">
        <v>10066</v>
      </c>
      <c r="M1444" s="36">
        <v>2</v>
      </c>
      <c r="N1444" s="316"/>
      <c r="O1444" s="1474"/>
      <c r="P1444" s="1475"/>
      <c r="Q1444" s="1476"/>
    </row>
    <row r="1445" spans="1:17" ht="11.1" customHeight="1">
      <c r="A1445" s="250" t="s">
        <v>11167</v>
      </c>
      <c r="B1445" s="194" t="s">
        <v>10051</v>
      </c>
      <c r="C1445" s="36">
        <v>1</v>
      </c>
      <c r="D1445" s="36" t="s">
        <v>11108</v>
      </c>
      <c r="E1445" s="195">
        <v>87.67</v>
      </c>
      <c r="F1445" s="36" t="s">
        <v>11168</v>
      </c>
      <c r="G1445" s="36">
        <v>38</v>
      </c>
      <c r="H1445" s="36" t="s">
        <v>10064</v>
      </c>
      <c r="I1445" s="36" t="s">
        <v>10056</v>
      </c>
      <c r="J1445" s="36" t="s">
        <v>10115</v>
      </c>
      <c r="K1445" s="36" t="s">
        <v>10116</v>
      </c>
      <c r="L1445" s="36" t="s">
        <v>10066</v>
      </c>
      <c r="M1445" s="36">
        <v>1</v>
      </c>
      <c r="N1445" s="316"/>
      <c r="O1445" s="1474"/>
      <c r="P1445" s="1475"/>
      <c r="Q1445" s="1476"/>
    </row>
    <row r="1446" spans="1:17" ht="11.1" customHeight="1">
      <c r="A1446" s="250" t="s">
        <v>11169</v>
      </c>
      <c r="B1446" s="194" t="s">
        <v>10051</v>
      </c>
      <c r="C1446" s="36">
        <v>1</v>
      </c>
      <c r="D1446" s="36" t="s">
        <v>11156</v>
      </c>
      <c r="E1446" s="195">
        <v>85.83</v>
      </c>
      <c r="F1446" s="36" t="s">
        <v>11170</v>
      </c>
      <c r="G1446" s="36">
        <v>55</v>
      </c>
      <c r="H1446" s="36" t="s">
        <v>10064</v>
      </c>
      <c r="I1446" s="36" t="s">
        <v>10056</v>
      </c>
      <c r="J1446" s="36" t="s">
        <v>10115</v>
      </c>
      <c r="K1446" s="36" t="s">
        <v>10116</v>
      </c>
      <c r="L1446" s="36" t="s">
        <v>10059</v>
      </c>
      <c r="M1446" s="36"/>
      <c r="N1446" s="316"/>
      <c r="O1446" s="1474"/>
      <c r="P1446" s="1475"/>
      <c r="Q1446" s="1476"/>
    </row>
    <row r="1447" spans="1:17" ht="11.1" customHeight="1">
      <c r="A1447" s="250" t="s">
        <v>11171</v>
      </c>
      <c r="B1447" s="194" t="s">
        <v>10051</v>
      </c>
      <c r="C1447" s="36">
        <v>1</v>
      </c>
      <c r="D1447" s="36" t="s">
        <v>11153</v>
      </c>
      <c r="E1447" s="195">
        <v>85.3</v>
      </c>
      <c r="F1447" s="36" t="s">
        <v>11172</v>
      </c>
      <c r="G1447" s="36">
        <v>63</v>
      </c>
      <c r="H1447" s="36" t="s">
        <v>10064</v>
      </c>
      <c r="I1447" s="36" t="s">
        <v>10056</v>
      </c>
      <c r="J1447" s="36" t="s">
        <v>10115</v>
      </c>
      <c r="K1447" s="36" t="s">
        <v>10122</v>
      </c>
      <c r="L1447" s="36" t="s">
        <v>10066</v>
      </c>
      <c r="M1447" s="36">
        <v>9</v>
      </c>
      <c r="N1447" s="316"/>
      <c r="O1447" s="1474"/>
      <c r="P1447" s="1475"/>
      <c r="Q1447" s="1476"/>
    </row>
    <row r="1448" spans="1:17" ht="11.1" customHeight="1">
      <c r="A1448" s="250" t="s">
        <v>11173</v>
      </c>
      <c r="B1448" s="194" t="s">
        <v>10051</v>
      </c>
      <c r="C1448" s="36">
        <v>1</v>
      </c>
      <c r="D1448" s="36" t="s">
        <v>11174</v>
      </c>
      <c r="E1448" s="195">
        <v>84.74</v>
      </c>
      <c r="F1448" s="36" t="s">
        <v>11175</v>
      </c>
      <c r="G1448" s="36">
        <v>34</v>
      </c>
      <c r="H1448" s="36" t="s">
        <v>10064</v>
      </c>
      <c r="I1448" s="36" t="s">
        <v>10056</v>
      </c>
      <c r="J1448" s="36" t="s">
        <v>10115</v>
      </c>
      <c r="K1448" s="36" t="s">
        <v>10116</v>
      </c>
      <c r="L1448" s="36" t="s">
        <v>10066</v>
      </c>
      <c r="M1448" s="36">
        <v>1</v>
      </c>
      <c r="N1448" s="316"/>
      <c r="O1448" s="1474"/>
      <c r="P1448" s="1475"/>
      <c r="Q1448" s="1476"/>
    </row>
    <row r="1449" spans="1:17" ht="11.1" customHeight="1">
      <c r="A1449" s="250" t="s">
        <v>11176</v>
      </c>
      <c r="B1449" s="194" t="s">
        <v>10051</v>
      </c>
      <c r="C1449" s="36">
        <v>1</v>
      </c>
      <c r="D1449" s="36" t="s">
        <v>11123</v>
      </c>
      <c r="E1449" s="195">
        <v>83.87</v>
      </c>
      <c r="F1449" s="36" t="s">
        <v>11177</v>
      </c>
      <c r="G1449" s="36">
        <v>37</v>
      </c>
      <c r="H1449" s="36" t="s">
        <v>10064</v>
      </c>
      <c r="I1449" s="36" t="s">
        <v>10056</v>
      </c>
      <c r="J1449" s="36" t="s">
        <v>10115</v>
      </c>
      <c r="K1449" s="36" t="s">
        <v>10116</v>
      </c>
      <c r="L1449" s="36" t="s">
        <v>10066</v>
      </c>
      <c r="M1449" s="36">
        <v>1</v>
      </c>
      <c r="N1449" s="316"/>
      <c r="O1449" s="1474"/>
      <c r="P1449" s="1475"/>
      <c r="Q1449" s="1476"/>
    </row>
    <row r="1450" spans="1:17" ht="11.1" customHeight="1">
      <c r="A1450" s="250" t="s">
        <v>11178</v>
      </c>
      <c r="B1450" s="187"/>
      <c r="C1450" s="42">
        <v>1</v>
      </c>
      <c r="D1450" s="42" t="s">
        <v>11135</v>
      </c>
      <c r="E1450" s="188">
        <v>82.99</v>
      </c>
      <c r="F1450" s="42" t="s">
        <v>11179</v>
      </c>
      <c r="G1450" s="42">
        <v>41</v>
      </c>
      <c r="H1450" s="42" t="s">
        <v>10064</v>
      </c>
      <c r="I1450" s="42" t="s">
        <v>10056</v>
      </c>
      <c r="J1450" s="42" t="s">
        <v>10115</v>
      </c>
      <c r="K1450" s="42" t="s">
        <v>10116</v>
      </c>
      <c r="L1450" s="42" t="s">
        <v>10066</v>
      </c>
      <c r="M1450" s="42">
        <v>2</v>
      </c>
      <c r="N1450" s="308"/>
      <c r="O1450" s="1474"/>
      <c r="P1450" s="1475"/>
      <c r="Q1450" s="1476"/>
    </row>
    <row r="1451" spans="1:17" ht="11.1" customHeight="1">
      <c r="A1451" s="250" t="s">
        <v>11180</v>
      </c>
      <c r="B1451" s="187"/>
      <c r="C1451" s="42">
        <v>1</v>
      </c>
      <c r="D1451" s="42" t="s">
        <v>11144</v>
      </c>
      <c r="E1451" s="188">
        <v>80.8</v>
      </c>
      <c r="F1451" s="42" t="s">
        <v>11181</v>
      </c>
      <c r="G1451" s="42">
        <v>43</v>
      </c>
      <c r="H1451" s="42" t="s">
        <v>10064</v>
      </c>
      <c r="I1451" s="42" t="s">
        <v>10056</v>
      </c>
      <c r="J1451" s="42" t="s">
        <v>10115</v>
      </c>
      <c r="K1451" s="42" t="s">
        <v>10116</v>
      </c>
      <c r="L1451" s="42" t="s">
        <v>10066</v>
      </c>
      <c r="M1451" s="42">
        <v>1</v>
      </c>
      <c r="N1451" s="308"/>
      <c r="O1451" s="1474"/>
      <c r="P1451" s="1475"/>
      <c r="Q1451" s="1476"/>
    </row>
    <row r="1452" spans="1:17" ht="11.1" customHeight="1">
      <c r="A1452" s="250" t="s">
        <v>11182</v>
      </c>
      <c r="B1452" s="187"/>
      <c r="C1452" s="42">
        <v>1</v>
      </c>
      <c r="D1452" s="42" t="s">
        <v>11126</v>
      </c>
      <c r="E1452" s="188">
        <v>79.25</v>
      </c>
      <c r="F1452" s="42" t="s">
        <v>11183</v>
      </c>
      <c r="G1452" s="42">
        <v>48</v>
      </c>
      <c r="H1452" s="42" t="s">
        <v>10064</v>
      </c>
      <c r="I1452" s="42" t="s">
        <v>10056</v>
      </c>
      <c r="J1452" s="42" t="s">
        <v>10115</v>
      </c>
      <c r="K1452" s="42" t="s">
        <v>10140</v>
      </c>
      <c r="L1452" s="42" t="s">
        <v>10066</v>
      </c>
      <c r="M1452" s="42">
        <v>2</v>
      </c>
      <c r="N1452" s="308"/>
      <c r="O1452" s="1474"/>
      <c r="P1452" s="1475"/>
      <c r="Q1452" s="1476"/>
    </row>
    <row r="1453" spans="1:17" ht="11.1" customHeight="1">
      <c r="A1453" s="250" t="s">
        <v>11184</v>
      </c>
      <c r="B1453" s="187"/>
      <c r="C1453" s="42">
        <v>1</v>
      </c>
      <c r="D1453" s="42" t="s">
        <v>11147</v>
      </c>
      <c r="E1453" s="188">
        <v>78.83</v>
      </c>
      <c r="F1453" s="42" t="s">
        <v>11185</v>
      </c>
      <c r="G1453" s="42">
        <v>47</v>
      </c>
      <c r="H1453" s="42" t="s">
        <v>10064</v>
      </c>
      <c r="I1453" s="42" t="s">
        <v>10056</v>
      </c>
      <c r="J1453" s="42" t="s">
        <v>10115</v>
      </c>
      <c r="K1453" s="42" t="s">
        <v>10674</v>
      </c>
      <c r="L1453" s="42" t="s">
        <v>10066</v>
      </c>
      <c r="M1453" s="42">
        <v>3</v>
      </c>
      <c r="N1453" s="308"/>
      <c r="O1453" s="1474"/>
      <c r="P1453" s="1475"/>
      <c r="Q1453" s="1476"/>
    </row>
    <row r="1454" spans="1:17" ht="11.1" customHeight="1">
      <c r="A1454" s="250" t="s">
        <v>11186</v>
      </c>
      <c r="B1454" s="187"/>
      <c r="C1454" s="42">
        <v>1</v>
      </c>
      <c r="D1454" s="42" t="s">
        <v>11117</v>
      </c>
      <c r="E1454" s="188">
        <v>76.48</v>
      </c>
      <c r="F1454" s="42" t="s">
        <v>11187</v>
      </c>
      <c r="G1454" s="42">
        <v>33</v>
      </c>
      <c r="H1454" s="42" t="s">
        <v>10064</v>
      </c>
      <c r="I1454" s="42" t="s">
        <v>10056</v>
      </c>
      <c r="J1454" s="42" t="s">
        <v>10115</v>
      </c>
      <c r="K1454" s="42" t="s">
        <v>10116</v>
      </c>
      <c r="L1454" s="42" t="s">
        <v>10066</v>
      </c>
      <c r="M1454" s="42">
        <v>2</v>
      </c>
      <c r="N1454" s="308"/>
      <c r="O1454" s="1474"/>
      <c r="P1454" s="1475"/>
      <c r="Q1454" s="1476"/>
    </row>
    <row r="1455" spans="1:17" ht="11.1" customHeight="1">
      <c r="A1455" s="250" t="s">
        <v>11188</v>
      </c>
      <c r="B1455" s="187"/>
      <c r="C1455" s="42">
        <v>1</v>
      </c>
      <c r="D1455" s="42" t="s">
        <v>11141</v>
      </c>
      <c r="E1455" s="188">
        <v>74.55</v>
      </c>
      <c r="F1455" s="42" t="s">
        <v>11189</v>
      </c>
      <c r="G1455" s="42">
        <v>44</v>
      </c>
      <c r="H1455" s="42" t="s">
        <v>10064</v>
      </c>
      <c r="I1455" s="42" t="s">
        <v>10056</v>
      </c>
      <c r="J1455" s="42" t="s">
        <v>10115</v>
      </c>
      <c r="K1455" s="42" t="s">
        <v>10116</v>
      </c>
      <c r="L1455" s="42" t="s">
        <v>10059</v>
      </c>
      <c r="M1455" s="42"/>
      <c r="N1455" s="308"/>
      <c r="O1455" s="1474"/>
      <c r="P1455" s="1475"/>
      <c r="Q1455" s="1476"/>
    </row>
    <row r="1456" spans="1:17" ht="11.1" customHeight="1">
      <c r="A1456" s="250" t="s">
        <v>11190</v>
      </c>
      <c r="B1456" s="187"/>
      <c r="C1456" s="42">
        <v>1</v>
      </c>
      <c r="D1456" s="42" t="s">
        <v>11102</v>
      </c>
      <c r="E1456" s="188">
        <v>72.84</v>
      </c>
      <c r="F1456" s="42" t="s">
        <v>11191</v>
      </c>
      <c r="G1456" s="42">
        <v>38</v>
      </c>
      <c r="H1456" s="42" t="s">
        <v>10064</v>
      </c>
      <c r="I1456" s="42" t="s">
        <v>10056</v>
      </c>
      <c r="J1456" s="42" t="s">
        <v>10115</v>
      </c>
      <c r="K1456" s="42" t="s">
        <v>10140</v>
      </c>
      <c r="L1456" s="42" t="s">
        <v>10059</v>
      </c>
      <c r="M1456" s="42"/>
      <c r="N1456" s="308"/>
      <c r="O1456" s="1474"/>
      <c r="P1456" s="1475"/>
      <c r="Q1456" s="1476"/>
    </row>
    <row r="1457" spans="1:17" ht="11.1" customHeight="1">
      <c r="A1457" s="250" t="s">
        <v>11192</v>
      </c>
      <c r="B1457" s="187"/>
      <c r="C1457" s="42">
        <v>1</v>
      </c>
      <c r="D1457" s="42" t="s">
        <v>11159</v>
      </c>
      <c r="E1457" s="188">
        <v>71.099999999999994</v>
      </c>
      <c r="F1457" s="42" t="s">
        <v>11193</v>
      </c>
      <c r="G1457" s="42">
        <v>43</v>
      </c>
      <c r="H1457" s="42" t="s">
        <v>10064</v>
      </c>
      <c r="I1457" s="42" t="s">
        <v>10056</v>
      </c>
      <c r="J1457" s="42" t="s">
        <v>10115</v>
      </c>
      <c r="K1457" s="42" t="s">
        <v>10674</v>
      </c>
      <c r="L1457" s="42" t="s">
        <v>10059</v>
      </c>
      <c r="M1457" s="42"/>
      <c r="N1457" s="308"/>
      <c r="O1457" s="1474"/>
      <c r="P1457" s="1475"/>
      <c r="Q1457" s="1476"/>
    </row>
    <row r="1458" spans="1:17" ht="11.1" customHeight="1">
      <c r="A1458" s="250" t="s">
        <v>11194</v>
      </c>
      <c r="B1458" s="187"/>
      <c r="C1458" s="42">
        <v>1</v>
      </c>
      <c r="D1458" s="42" t="s">
        <v>11114</v>
      </c>
      <c r="E1458" s="188">
        <v>67.760000000000005</v>
      </c>
      <c r="F1458" s="42" t="s">
        <v>11195</v>
      </c>
      <c r="G1458" s="42">
        <v>60</v>
      </c>
      <c r="H1458" s="42" t="s">
        <v>10064</v>
      </c>
      <c r="I1458" s="42" t="s">
        <v>10056</v>
      </c>
      <c r="J1458" s="42" t="s">
        <v>10115</v>
      </c>
      <c r="K1458" s="42" t="s">
        <v>10864</v>
      </c>
      <c r="L1458" s="42" t="s">
        <v>10066</v>
      </c>
      <c r="M1458" s="42">
        <v>3</v>
      </c>
      <c r="N1458" s="308"/>
      <c r="O1458" s="1474"/>
      <c r="P1458" s="1475"/>
      <c r="Q1458" s="1476"/>
    </row>
    <row r="1459" spans="1:17" ht="11.1" customHeight="1">
      <c r="A1459" s="250" t="s">
        <v>11196</v>
      </c>
      <c r="B1459" s="187"/>
      <c r="C1459" s="42">
        <v>1</v>
      </c>
      <c r="D1459" s="42" t="s">
        <v>11150</v>
      </c>
      <c r="E1459" s="188">
        <v>60.97</v>
      </c>
      <c r="F1459" s="42" t="s">
        <v>11197</v>
      </c>
      <c r="G1459" s="42">
        <v>39</v>
      </c>
      <c r="H1459" s="42" t="s">
        <v>10064</v>
      </c>
      <c r="I1459" s="42" t="s">
        <v>10056</v>
      </c>
      <c r="J1459" s="42" t="s">
        <v>10115</v>
      </c>
      <c r="K1459" s="42" t="s">
        <v>10116</v>
      </c>
      <c r="L1459" s="42" t="s">
        <v>10059</v>
      </c>
      <c r="M1459" s="42"/>
      <c r="N1459" s="308"/>
      <c r="O1459" s="1474"/>
      <c r="P1459" s="1475"/>
      <c r="Q1459" s="1476"/>
    </row>
    <row r="1460" spans="1:17" ht="11.1" customHeight="1">
      <c r="A1460" s="250" t="s">
        <v>11198</v>
      </c>
      <c r="B1460" s="187"/>
      <c r="C1460" s="42">
        <v>1</v>
      </c>
      <c r="D1460" s="42" t="s">
        <v>11091</v>
      </c>
      <c r="E1460" s="188">
        <v>59.61</v>
      </c>
      <c r="F1460" s="42" t="s">
        <v>11199</v>
      </c>
      <c r="G1460" s="42">
        <v>42</v>
      </c>
      <c r="H1460" s="42" t="s">
        <v>10064</v>
      </c>
      <c r="I1460" s="42" t="s">
        <v>10056</v>
      </c>
      <c r="J1460" s="42" t="s">
        <v>10115</v>
      </c>
      <c r="K1460" s="212" t="s">
        <v>10116</v>
      </c>
      <c r="L1460" s="42" t="s">
        <v>10059</v>
      </c>
      <c r="M1460" s="42"/>
      <c r="N1460" s="308"/>
      <c r="O1460" s="1474"/>
      <c r="P1460" s="1475"/>
      <c r="Q1460" s="1476"/>
    </row>
    <row r="1461" spans="1:17" ht="11.1" customHeight="1">
      <c r="A1461" s="250" t="s">
        <v>11200</v>
      </c>
      <c r="B1461" s="187"/>
      <c r="C1461" s="42">
        <v>1</v>
      </c>
      <c r="D1461" s="42" t="s">
        <v>11120</v>
      </c>
      <c r="E1461" s="188">
        <v>51.51</v>
      </c>
      <c r="F1461" s="42" t="s">
        <v>11201</v>
      </c>
      <c r="G1461" s="42">
        <v>36</v>
      </c>
      <c r="H1461" s="42" t="s">
        <v>10064</v>
      </c>
      <c r="I1461" s="42" t="s">
        <v>10056</v>
      </c>
      <c r="J1461" s="42" t="s">
        <v>10115</v>
      </c>
      <c r="K1461" s="212" t="s">
        <v>10116</v>
      </c>
      <c r="L1461" s="42" t="s">
        <v>10059</v>
      </c>
      <c r="M1461" s="42"/>
      <c r="N1461" s="308"/>
      <c r="O1461" s="1474"/>
      <c r="P1461" s="1475"/>
      <c r="Q1461" s="1476"/>
    </row>
    <row r="1462" spans="1:17" ht="11.1" customHeight="1">
      <c r="A1462" s="250" t="s">
        <v>11202</v>
      </c>
      <c r="B1462" s="187"/>
      <c r="C1462" s="42">
        <v>1</v>
      </c>
      <c r="D1462" s="42" t="s">
        <v>11105</v>
      </c>
      <c r="E1462" s="188">
        <v>51.03</v>
      </c>
      <c r="F1462" s="42" t="s">
        <v>11203</v>
      </c>
      <c r="G1462" s="42">
        <v>28</v>
      </c>
      <c r="H1462" s="42" t="s">
        <v>10054</v>
      </c>
      <c r="I1462" s="42" t="s">
        <v>10056</v>
      </c>
      <c r="J1462" s="42" t="s">
        <v>10115</v>
      </c>
      <c r="K1462" s="42" t="s">
        <v>10116</v>
      </c>
      <c r="L1462" s="42" t="s">
        <v>10059</v>
      </c>
      <c r="M1462" s="42"/>
      <c r="N1462" s="308"/>
      <c r="O1462" s="1474"/>
      <c r="P1462" s="1475"/>
      <c r="Q1462" s="1476"/>
    </row>
    <row r="1463" spans="1:17" ht="11.1" customHeight="1">
      <c r="A1463" s="250" t="s">
        <v>11204</v>
      </c>
      <c r="B1463" s="187"/>
      <c r="C1463" s="42">
        <v>1</v>
      </c>
      <c r="D1463" s="42" t="s">
        <v>11061</v>
      </c>
      <c r="E1463" s="188">
        <v>39.54</v>
      </c>
      <c r="F1463" s="42" t="s">
        <v>11205</v>
      </c>
      <c r="G1463" s="42">
        <v>26</v>
      </c>
      <c r="H1463" s="42" t="s">
        <v>10064</v>
      </c>
      <c r="I1463" s="42" t="s">
        <v>10056</v>
      </c>
      <c r="J1463" s="42" t="s">
        <v>10115</v>
      </c>
      <c r="K1463" s="42" t="s">
        <v>10116</v>
      </c>
      <c r="L1463" s="42" t="s">
        <v>10059</v>
      </c>
      <c r="M1463" s="42"/>
      <c r="N1463" s="308"/>
      <c r="O1463" s="1474"/>
      <c r="P1463" s="1475"/>
      <c r="Q1463" s="1476"/>
    </row>
    <row r="1464" spans="1:17" ht="11.1" customHeight="1">
      <c r="A1464" s="250" t="s">
        <v>11206</v>
      </c>
      <c r="B1464" s="187"/>
      <c r="C1464" s="42">
        <v>1</v>
      </c>
      <c r="D1464" s="42" t="s">
        <v>11111</v>
      </c>
      <c r="E1464" s="188">
        <v>30.86</v>
      </c>
      <c r="F1464" s="42" t="s">
        <v>11207</v>
      </c>
      <c r="G1464" s="42">
        <v>32</v>
      </c>
      <c r="H1464" s="42" t="s">
        <v>10064</v>
      </c>
      <c r="I1464" s="42" t="s">
        <v>10056</v>
      </c>
      <c r="J1464" s="42" t="s">
        <v>10115</v>
      </c>
      <c r="K1464" s="212" t="s">
        <v>10116</v>
      </c>
      <c r="L1464" s="42" t="s">
        <v>10059</v>
      </c>
      <c r="M1464" s="42"/>
      <c r="N1464" s="308"/>
      <c r="O1464" s="1474"/>
      <c r="P1464" s="1475"/>
      <c r="Q1464" s="1476"/>
    </row>
    <row r="1465" spans="1:17" ht="11.1" customHeight="1">
      <c r="A1465" s="250" t="s">
        <v>11208</v>
      </c>
      <c r="B1465" s="194" t="s">
        <v>10098</v>
      </c>
      <c r="C1465" s="36">
        <v>1</v>
      </c>
      <c r="D1465" s="36" t="s">
        <v>11070</v>
      </c>
      <c r="E1465" s="317" t="s">
        <v>10100</v>
      </c>
      <c r="F1465" s="36" t="s">
        <v>11209</v>
      </c>
      <c r="G1465" s="36">
        <v>34</v>
      </c>
      <c r="H1465" s="36" t="s">
        <v>10064</v>
      </c>
      <c r="I1465" s="36" t="s">
        <v>10056</v>
      </c>
      <c r="J1465" s="36" t="s">
        <v>10115</v>
      </c>
      <c r="K1465" s="36" t="s">
        <v>10116</v>
      </c>
      <c r="L1465" s="36" t="s">
        <v>10066</v>
      </c>
      <c r="M1465" s="36">
        <v>2</v>
      </c>
      <c r="N1465" s="316"/>
      <c r="O1465" s="1474"/>
      <c r="P1465" s="1475"/>
      <c r="Q1465" s="1476"/>
    </row>
    <row r="1466" spans="1:17" ht="11.1" customHeight="1">
      <c r="A1466" s="250" t="s">
        <v>11210</v>
      </c>
      <c r="B1466" s="194" t="s">
        <v>10098</v>
      </c>
      <c r="C1466" s="36">
        <v>1</v>
      </c>
      <c r="D1466" s="36" t="s">
        <v>11067</v>
      </c>
      <c r="E1466" s="317" t="s">
        <v>10138</v>
      </c>
      <c r="F1466" s="36" t="s">
        <v>11211</v>
      </c>
      <c r="G1466" s="36">
        <v>43</v>
      </c>
      <c r="H1466" s="36" t="s">
        <v>10064</v>
      </c>
      <c r="I1466" s="36" t="s">
        <v>10056</v>
      </c>
      <c r="J1466" s="36" t="s">
        <v>10115</v>
      </c>
      <c r="K1466" s="36" t="s">
        <v>10674</v>
      </c>
      <c r="L1466" s="36" t="s">
        <v>10066</v>
      </c>
      <c r="M1466" s="36">
        <v>3</v>
      </c>
      <c r="N1466" s="316"/>
      <c r="O1466" s="1474"/>
      <c r="P1466" s="1475"/>
      <c r="Q1466" s="1476"/>
    </row>
    <row r="1467" spans="1:17" ht="11.1" customHeight="1">
      <c r="A1467" s="250" t="s">
        <v>11212</v>
      </c>
      <c r="B1467" s="194" t="s">
        <v>10098</v>
      </c>
      <c r="C1467" s="36">
        <v>1</v>
      </c>
      <c r="D1467" s="36" t="s">
        <v>11079</v>
      </c>
      <c r="E1467" s="317" t="s">
        <v>10138</v>
      </c>
      <c r="F1467" s="36" t="s">
        <v>11213</v>
      </c>
      <c r="G1467" s="36">
        <v>56</v>
      </c>
      <c r="H1467" s="36" t="s">
        <v>10064</v>
      </c>
      <c r="I1467" s="36" t="s">
        <v>10056</v>
      </c>
      <c r="J1467" s="36" t="s">
        <v>10115</v>
      </c>
      <c r="K1467" s="36" t="s">
        <v>10116</v>
      </c>
      <c r="L1467" s="36" t="s">
        <v>10066</v>
      </c>
      <c r="M1467" s="36">
        <v>4</v>
      </c>
      <c r="N1467" s="316"/>
      <c r="O1467" s="1474"/>
      <c r="P1467" s="1475"/>
      <c r="Q1467" s="1476"/>
    </row>
    <row r="1468" spans="1:17" ht="11.1" customHeight="1">
      <c r="A1468" s="250" t="s">
        <v>11214</v>
      </c>
      <c r="B1468" s="194" t="s">
        <v>10098</v>
      </c>
      <c r="C1468" s="36">
        <v>1</v>
      </c>
      <c r="D1468" s="36" t="s">
        <v>11085</v>
      </c>
      <c r="E1468" s="317" t="s">
        <v>10138</v>
      </c>
      <c r="F1468" s="36" t="s">
        <v>11215</v>
      </c>
      <c r="G1468" s="36">
        <v>39</v>
      </c>
      <c r="H1468" s="36" t="s">
        <v>10064</v>
      </c>
      <c r="I1468" s="36" t="s">
        <v>10056</v>
      </c>
      <c r="J1468" s="36" t="s">
        <v>10115</v>
      </c>
      <c r="K1468" s="36" t="s">
        <v>10116</v>
      </c>
      <c r="L1468" s="36" t="s">
        <v>10066</v>
      </c>
      <c r="M1468" s="36">
        <v>3</v>
      </c>
      <c r="N1468" s="316"/>
      <c r="O1468" s="1474"/>
      <c r="P1468" s="1475"/>
      <c r="Q1468" s="1476"/>
    </row>
    <row r="1469" spans="1:17" ht="11.1" customHeight="1">
      <c r="A1469" s="250" t="s">
        <v>11216</v>
      </c>
      <c r="B1469" s="194" t="s">
        <v>10098</v>
      </c>
      <c r="C1469" s="36">
        <v>1</v>
      </c>
      <c r="D1469" s="36" t="s">
        <v>11082</v>
      </c>
      <c r="E1469" s="317" t="s">
        <v>10138</v>
      </c>
      <c r="F1469" s="36" t="s">
        <v>11217</v>
      </c>
      <c r="G1469" s="36">
        <v>47</v>
      </c>
      <c r="H1469" s="36" t="s">
        <v>10064</v>
      </c>
      <c r="I1469" s="36" t="s">
        <v>10056</v>
      </c>
      <c r="J1469" s="36" t="s">
        <v>10115</v>
      </c>
      <c r="K1469" s="36" t="s">
        <v>10119</v>
      </c>
      <c r="L1469" s="36" t="s">
        <v>10066</v>
      </c>
      <c r="M1469" s="36">
        <v>3</v>
      </c>
      <c r="N1469" s="316"/>
      <c r="O1469" s="1474"/>
      <c r="P1469" s="1475"/>
      <c r="Q1469" s="1476"/>
    </row>
    <row r="1470" spans="1:17" ht="11.1" customHeight="1">
      <c r="A1470" s="250" t="s">
        <v>11218</v>
      </c>
      <c r="B1470" s="194" t="s">
        <v>10098</v>
      </c>
      <c r="C1470" s="36">
        <v>1</v>
      </c>
      <c r="D1470" s="36" t="s">
        <v>11058</v>
      </c>
      <c r="E1470" s="317" t="s">
        <v>10138</v>
      </c>
      <c r="F1470" s="36" t="s">
        <v>11219</v>
      </c>
      <c r="G1470" s="36">
        <v>47</v>
      </c>
      <c r="H1470" s="36" t="s">
        <v>10064</v>
      </c>
      <c r="I1470" s="36" t="s">
        <v>10056</v>
      </c>
      <c r="J1470" s="36" t="s">
        <v>10115</v>
      </c>
      <c r="K1470" s="36" t="s">
        <v>10116</v>
      </c>
      <c r="L1470" s="36" t="s">
        <v>10066</v>
      </c>
      <c r="M1470" s="36">
        <v>2</v>
      </c>
      <c r="N1470" s="316"/>
      <c r="O1470" s="1474"/>
      <c r="P1470" s="1475"/>
      <c r="Q1470" s="1476"/>
    </row>
    <row r="1471" spans="1:17" ht="11.1" customHeight="1">
      <c r="A1471" s="250" t="s">
        <v>11220</v>
      </c>
      <c r="B1471" s="194" t="s">
        <v>10098</v>
      </c>
      <c r="C1471" s="36">
        <v>1</v>
      </c>
      <c r="D1471" s="36" t="s">
        <v>11076</v>
      </c>
      <c r="E1471" s="317" t="s">
        <v>10138</v>
      </c>
      <c r="F1471" s="36" t="s">
        <v>11221</v>
      </c>
      <c r="G1471" s="36">
        <v>40</v>
      </c>
      <c r="H1471" s="36" t="s">
        <v>10064</v>
      </c>
      <c r="I1471" s="36" t="s">
        <v>10056</v>
      </c>
      <c r="J1471" s="36" t="s">
        <v>10115</v>
      </c>
      <c r="K1471" s="36" t="s">
        <v>10674</v>
      </c>
      <c r="L1471" s="36" t="s">
        <v>10066</v>
      </c>
      <c r="M1471" s="36">
        <v>1</v>
      </c>
      <c r="N1471" s="316"/>
      <c r="O1471" s="1474"/>
      <c r="P1471" s="1475"/>
      <c r="Q1471" s="1476"/>
    </row>
    <row r="1472" spans="1:17" ht="11.1" customHeight="1">
      <c r="A1472" s="250" t="s">
        <v>11222</v>
      </c>
      <c r="B1472" s="194" t="s">
        <v>10098</v>
      </c>
      <c r="C1472" s="36">
        <v>1</v>
      </c>
      <c r="D1472" s="36" t="s">
        <v>11073</v>
      </c>
      <c r="E1472" s="317" t="s">
        <v>10138</v>
      </c>
      <c r="F1472" s="36" t="s">
        <v>11223</v>
      </c>
      <c r="G1472" s="36">
        <v>61</v>
      </c>
      <c r="H1472" s="36" t="s">
        <v>10064</v>
      </c>
      <c r="I1472" s="36" t="s">
        <v>10056</v>
      </c>
      <c r="J1472" s="36" t="s">
        <v>10115</v>
      </c>
      <c r="K1472" s="36" t="s">
        <v>10116</v>
      </c>
      <c r="L1472" s="36" t="s">
        <v>10066</v>
      </c>
      <c r="M1472" s="36">
        <v>1</v>
      </c>
      <c r="N1472" s="316"/>
      <c r="O1472" s="1474"/>
      <c r="P1472" s="1475"/>
      <c r="Q1472" s="1476"/>
    </row>
    <row r="1473" spans="1:17" ht="11.1" customHeight="1">
      <c r="A1473" s="945" t="s">
        <v>11224</v>
      </c>
      <c r="B1473" s="318" t="s">
        <v>10098</v>
      </c>
      <c r="C1473" s="141">
        <v>1</v>
      </c>
      <c r="D1473" s="141" t="s">
        <v>11088</v>
      </c>
      <c r="E1473" s="319" t="s">
        <v>10138</v>
      </c>
      <c r="F1473" s="141" t="s">
        <v>11225</v>
      </c>
      <c r="G1473" s="141">
        <v>55</v>
      </c>
      <c r="H1473" s="141" t="s">
        <v>10064</v>
      </c>
      <c r="I1473" s="141" t="s">
        <v>10056</v>
      </c>
      <c r="J1473" s="141" t="s">
        <v>10115</v>
      </c>
      <c r="K1473" s="141" t="s">
        <v>10140</v>
      </c>
      <c r="L1473" s="141" t="s">
        <v>10066</v>
      </c>
      <c r="M1473" s="141">
        <v>3</v>
      </c>
      <c r="N1473" s="320"/>
      <c r="O1473" s="1474"/>
      <c r="P1473" s="1475"/>
      <c r="Q1473" s="1476"/>
    </row>
    <row r="1474" spans="1:17" ht="11.1" customHeight="1">
      <c r="A1474" s="946" t="s">
        <v>11226</v>
      </c>
      <c r="B1474" s="197" t="s">
        <v>10051</v>
      </c>
      <c r="C1474" s="198">
        <v>1</v>
      </c>
      <c r="D1474" s="198" t="s">
        <v>10061</v>
      </c>
      <c r="E1474" s="321" t="s">
        <v>10129</v>
      </c>
      <c r="F1474" s="198" t="s">
        <v>11227</v>
      </c>
      <c r="G1474" s="198">
        <v>71</v>
      </c>
      <c r="H1474" s="198" t="s">
        <v>10064</v>
      </c>
      <c r="I1474" s="198"/>
      <c r="J1474" s="198" t="s">
        <v>10153</v>
      </c>
      <c r="K1474" s="198"/>
      <c r="L1474" s="198" t="s">
        <v>10066</v>
      </c>
      <c r="M1474" s="198">
        <v>9</v>
      </c>
      <c r="N1474" s="322"/>
      <c r="O1474" s="1474">
        <v>3</v>
      </c>
      <c r="P1474" s="1475">
        <v>987290</v>
      </c>
      <c r="Q1474" s="1476">
        <f>P1474*100/SUM(P1406:P1485)</f>
        <v>12.417767460767859</v>
      </c>
    </row>
    <row r="1475" spans="1:17" ht="11.1" customHeight="1">
      <c r="A1475" s="250" t="s">
        <v>11228</v>
      </c>
      <c r="B1475" s="231" t="s">
        <v>10051</v>
      </c>
      <c r="C1475" s="232">
        <v>2</v>
      </c>
      <c r="D1475" s="232" t="s">
        <v>10061</v>
      </c>
      <c r="E1475" s="348" t="s">
        <v>10129</v>
      </c>
      <c r="F1475" s="232" t="s">
        <v>11229</v>
      </c>
      <c r="G1475" s="232">
        <v>50</v>
      </c>
      <c r="H1475" s="232" t="s">
        <v>10064</v>
      </c>
      <c r="I1475" s="232"/>
      <c r="J1475" s="232" t="s">
        <v>10153</v>
      </c>
      <c r="K1475" s="232"/>
      <c r="L1475" s="232" t="s">
        <v>10066</v>
      </c>
      <c r="M1475" s="232">
        <v>3</v>
      </c>
      <c r="N1475" s="349"/>
      <c r="O1475" s="1474"/>
      <c r="P1475" s="1475"/>
      <c r="Q1475" s="1476"/>
    </row>
    <row r="1476" spans="1:17" ht="11.1" customHeight="1">
      <c r="A1476" s="250" t="s">
        <v>11230</v>
      </c>
      <c r="B1476" s="231" t="s">
        <v>10051</v>
      </c>
      <c r="C1476" s="232">
        <v>3</v>
      </c>
      <c r="D1476" s="232" t="s">
        <v>10061</v>
      </c>
      <c r="E1476" s="348" t="s">
        <v>10129</v>
      </c>
      <c r="F1476" s="232" t="s">
        <v>11231</v>
      </c>
      <c r="G1476" s="232">
        <v>35</v>
      </c>
      <c r="H1476" s="232" t="s">
        <v>10064</v>
      </c>
      <c r="I1476" s="232"/>
      <c r="J1476" s="232" t="s">
        <v>10153</v>
      </c>
      <c r="K1476" s="232"/>
      <c r="L1476" s="232" t="s">
        <v>10059</v>
      </c>
      <c r="M1476" s="232"/>
      <c r="N1476" s="349"/>
      <c r="O1476" s="1474"/>
      <c r="P1476" s="1475"/>
      <c r="Q1476" s="1476"/>
    </row>
    <row r="1477" spans="1:17" ht="11.1" customHeight="1">
      <c r="A1477" s="250" t="s">
        <v>11232</v>
      </c>
      <c r="B1477" s="187"/>
      <c r="C1477" s="42">
        <v>4</v>
      </c>
      <c r="D1477" s="42" t="s">
        <v>10061</v>
      </c>
      <c r="E1477" s="309" t="s">
        <v>10062</v>
      </c>
      <c r="F1477" s="42" t="s">
        <v>11233</v>
      </c>
      <c r="G1477" s="42">
        <v>41</v>
      </c>
      <c r="H1477" s="42" t="s">
        <v>10064</v>
      </c>
      <c r="I1477" s="42"/>
      <c r="J1477" s="42" t="s">
        <v>10153</v>
      </c>
      <c r="K1477" s="42"/>
      <c r="L1477" s="42" t="s">
        <v>10059</v>
      </c>
      <c r="M1477" s="42"/>
      <c r="N1477" s="310"/>
      <c r="O1477" s="1474"/>
      <c r="P1477" s="1475"/>
      <c r="Q1477" s="1476"/>
    </row>
    <row r="1478" spans="1:17" ht="11.1" customHeight="1">
      <c r="A1478" s="945" t="s">
        <v>11234</v>
      </c>
      <c r="B1478" s="190"/>
      <c r="C1478" s="49">
        <v>5</v>
      </c>
      <c r="D1478" s="49" t="s">
        <v>10061</v>
      </c>
      <c r="E1478" s="323" t="s">
        <v>10062</v>
      </c>
      <c r="F1478" s="49" t="s">
        <v>11235</v>
      </c>
      <c r="G1478" s="49">
        <v>28</v>
      </c>
      <c r="H1478" s="49" t="s">
        <v>10064</v>
      </c>
      <c r="I1478" s="49"/>
      <c r="J1478" s="49" t="s">
        <v>10153</v>
      </c>
      <c r="K1478" s="49"/>
      <c r="L1478" s="49" t="s">
        <v>10059</v>
      </c>
      <c r="M1478" s="49"/>
      <c r="N1478" s="324"/>
      <c r="O1478" s="1474"/>
      <c r="P1478" s="1475"/>
      <c r="Q1478" s="1476"/>
    </row>
    <row r="1479" spans="1:17" ht="11.1" customHeight="1">
      <c r="A1479" s="946" t="s">
        <v>11236</v>
      </c>
      <c r="B1479" s="224" t="s">
        <v>10051</v>
      </c>
      <c r="C1479" s="225">
        <v>1</v>
      </c>
      <c r="D1479" s="225" t="s">
        <v>10061</v>
      </c>
      <c r="E1479" s="342" t="s">
        <v>10062</v>
      </c>
      <c r="F1479" s="225" t="s">
        <v>11237</v>
      </c>
      <c r="G1479" s="225">
        <v>59</v>
      </c>
      <c r="H1479" s="225" t="s">
        <v>10064</v>
      </c>
      <c r="I1479" s="225"/>
      <c r="J1479" s="225" t="s">
        <v>10158</v>
      </c>
      <c r="K1479" s="225"/>
      <c r="L1479" s="225" t="s">
        <v>10066</v>
      </c>
      <c r="M1479" s="225">
        <v>3</v>
      </c>
      <c r="N1479" s="343"/>
      <c r="O1479" s="1474">
        <v>1</v>
      </c>
      <c r="P1479" s="1475">
        <v>502501</v>
      </c>
      <c r="Q1479" s="1476">
        <f>P1479*100/SUM(P1406:P1485)</f>
        <v>6.3202712139323909</v>
      </c>
    </row>
    <row r="1480" spans="1:17" ht="11.1" customHeight="1">
      <c r="A1480" s="250" t="s">
        <v>11238</v>
      </c>
      <c r="B1480" s="187"/>
      <c r="C1480" s="42">
        <v>2</v>
      </c>
      <c r="D1480" s="42" t="s">
        <v>11058</v>
      </c>
      <c r="E1480" s="188">
        <v>31.95</v>
      </c>
      <c r="F1480" s="42" t="s">
        <v>11239</v>
      </c>
      <c r="G1480" s="42">
        <v>58</v>
      </c>
      <c r="H1480" s="42" t="s">
        <v>10054</v>
      </c>
      <c r="I1480" s="42" t="s">
        <v>10056</v>
      </c>
      <c r="J1480" s="42" t="s">
        <v>10158</v>
      </c>
      <c r="K1480" s="42"/>
      <c r="L1480" s="42" t="s">
        <v>10070</v>
      </c>
      <c r="M1480" s="42">
        <v>2</v>
      </c>
      <c r="N1480" s="308"/>
      <c r="O1480" s="1474"/>
      <c r="P1480" s="1475"/>
      <c r="Q1480" s="1476"/>
    </row>
    <row r="1481" spans="1:17" ht="11.1" customHeight="1">
      <c r="A1481" s="945" t="s">
        <v>11240</v>
      </c>
      <c r="B1481" s="190"/>
      <c r="C1481" s="49">
        <v>3</v>
      </c>
      <c r="D1481" s="49" t="s">
        <v>10061</v>
      </c>
      <c r="E1481" s="323" t="s">
        <v>10165</v>
      </c>
      <c r="F1481" s="49" t="s">
        <v>11241</v>
      </c>
      <c r="G1481" s="49">
        <v>57</v>
      </c>
      <c r="H1481" s="49" t="s">
        <v>10064</v>
      </c>
      <c r="I1481" s="49"/>
      <c r="J1481" s="49" t="s">
        <v>10158</v>
      </c>
      <c r="K1481" s="49"/>
      <c r="L1481" s="49" t="s">
        <v>10059</v>
      </c>
      <c r="M1481" s="49"/>
      <c r="N1481" s="324"/>
      <c r="O1481" s="1474"/>
      <c r="P1481" s="1475"/>
      <c r="Q1481" s="1476"/>
    </row>
    <row r="1482" spans="1:17" ht="11.1" customHeight="1">
      <c r="A1482" s="946" t="s">
        <v>11242</v>
      </c>
      <c r="B1482" s="203"/>
      <c r="C1482" s="204">
        <v>2</v>
      </c>
      <c r="D1482" s="204" t="s">
        <v>10061</v>
      </c>
      <c r="E1482" s="325" t="s">
        <v>10062</v>
      </c>
      <c r="F1482" s="204" t="s">
        <v>11243</v>
      </c>
      <c r="G1482" s="204">
        <v>53</v>
      </c>
      <c r="H1482" s="204" t="s">
        <v>10054</v>
      </c>
      <c r="I1482" s="204"/>
      <c r="J1482" s="204" t="s">
        <v>10163</v>
      </c>
      <c r="K1482" s="204"/>
      <c r="L1482" s="204" t="s">
        <v>10070</v>
      </c>
      <c r="M1482" s="204">
        <v>1</v>
      </c>
      <c r="N1482" s="326"/>
      <c r="O1482" s="1474">
        <v>0</v>
      </c>
      <c r="P1482" s="1475">
        <v>300574</v>
      </c>
      <c r="Q1482" s="1476">
        <f>P1482*100/SUM(P1406:P1485)</f>
        <v>3.7805082972103823</v>
      </c>
    </row>
    <row r="1483" spans="1:17" ht="11.1" customHeight="1">
      <c r="A1483" s="945" t="s">
        <v>11244</v>
      </c>
      <c r="B1483" s="190" t="s">
        <v>10532</v>
      </c>
      <c r="C1483" s="49">
        <v>1</v>
      </c>
      <c r="D1483" s="49" t="s">
        <v>11079</v>
      </c>
      <c r="E1483" s="201">
        <v>7.17</v>
      </c>
      <c r="F1483" s="49" t="s">
        <v>11245</v>
      </c>
      <c r="G1483" s="49">
        <v>56</v>
      </c>
      <c r="H1483" s="49" t="s">
        <v>10064</v>
      </c>
      <c r="I1483" s="49" t="s">
        <v>10056</v>
      </c>
      <c r="J1483" s="49" t="s">
        <v>10163</v>
      </c>
      <c r="K1483" s="49"/>
      <c r="L1483" s="49" t="s">
        <v>10059</v>
      </c>
      <c r="M1483" s="49"/>
      <c r="N1483" s="324"/>
      <c r="O1483" s="1474"/>
      <c r="P1483" s="1475"/>
      <c r="Q1483" s="1476"/>
    </row>
    <row r="1484" spans="1:17" ht="11.1" customHeight="1">
      <c r="A1484" s="946" t="s">
        <v>11246</v>
      </c>
      <c r="B1484" s="203"/>
      <c r="C1484" s="204">
        <v>1</v>
      </c>
      <c r="D1484" s="204" t="s">
        <v>10061</v>
      </c>
      <c r="E1484" s="325" t="s">
        <v>10062</v>
      </c>
      <c r="F1484" s="204" t="s">
        <v>11247</v>
      </c>
      <c r="G1484" s="204">
        <v>64</v>
      </c>
      <c r="H1484" s="204" t="s">
        <v>10064</v>
      </c>
      <c r="I1484" s="204"/>
      <c r="J1484" s="204" t="s">
        <v>10540</v>
      </c>
      <c r="K1484" s="204" t="s">
        <v>10927</v>
      </c>
      <c r="L1484" s="204" t="s">
        <v>10066</v>
      </c>
      <c r="M1484" s="204">
        <v>9</v>
      </c>
      <c r="N1484" s="326"/>
      <c r="O1484" s="1474">
        <v>0</v>
      </c>
      <c r="P1484" s="1475">
        <v>327768</v>
      </c>
      <c r="Q1484" s="1476">
        <f>P1484*100/SUM(P1406:P1485)</f>
        <v>4.1225443436892499</v>
      </c>
    </row>
    <row r="1485" spans="1:17" ht="11.1" customHeight="1" thickBot="1">
      <c r="A1485" s="948" t="s">
        <v>11248</v>
      </c>
      <c r="B1485" s="215" t="s">
        <v>10334</v>
      </c>
      <c r="C1485" s="78">
        <v>2</v>
      </c>
      <c r="D1485" s="78" t="s">
        <v>11138</v>
      </c>
      <c r="E1485" s="216">
        <v>12.93</v>
      </c>
      <c r="F1485" s="78" t="s">
        <v>11249</v>
      </c>
      <c r="G1485" s="78">
        <v>42</v>
      </c>
      <c r="H1485" s="78" t="s">
        <v>10064</v>
      </c>
      <c r="I1485" s="78" t="s">
        <v>10056</v>
      </c>
      <c r="J1485" s="78" t="s">
        <v>10540</v>
      </c>
      <c r="K1485" s="78"/>
      <c r="L1485" s="78" t="s">
        <v>10059</v>
      </c>
      <c r="M1485" s="78"/>
      <c r="N1485" s="335"/>
      <c r="O1485" s="1477"/>
      <c r="P1485" s="1478"/>
      <c r="Q1485" s="1479"/>
    </row>
    <row r="1486" spans="1:17" ht="11.1" customHeight="1">
      <c r="A1486" s="249" t="s">
        <v>11250</v>
      </c>
      <c r="B1486" s="336" t="s">
        <v>10051</v>
      </c>
      <c r="C1486" s="337">
        <v>1</v>
      </c>
      <c r="D1486" s="337" t="s">
        <v>10061</v>
      </c>
      <c r="E1486" s="338" t="s">
        <v>10062</v>
      </c>
      <c r="F1486" s="337" t="s">
        <v>11251</v>
      </c>
      <c r="G1486" s="337">
        <v>52</v>
      </c>
      <c r="H1486" s="337" t="s">
        <v>10054</v>
      </c>
      <c r="I1486" s="337"/>
      <c r="J1486" s="337" t="s">
        <v>10057</v>
      </c>
      <c r="K1486" s="337" t="s">
        <v>10058</v>
      </c>
      <c r="L1486" s="337" t="s">
        <v>10059</v>
      </c>
      <c r="M1486" s="337"/>
      <c r="N1486" s="339"/>
      <c r="O1486" s="1483">
        <v>11</v>
      </c>
      <c r="P1486" s="1484">
        <v>4003209</v>
      </c>
      <c r="Q1486" s="1485">
        <f>P1486*100/SUM(P1486:P1601)</f>
        <v>36.793581505016967</v>
      </c>
    </row>
    <row r="1487" spans="1:17" ht="11.1" customHeight="1">
      <c r="A1487" s="250" t="s">
        <v>11252</v>
      </c>
      <c r="B1487" s="302" t="s">
        <v>10051</v>
      </c>
      <c r="C1487" s="303">
        <v>2</v>
      </c>
      <c r="D1487" s="303" t="s">
        <v>11253</v>
      </c>
      <c r="E1487" s="304">
        <v>81.28</v>
      </c>
      <c r="F1487" s="303" t="s">
        <v>11254</v>
      </c>
      <c r="G1487" s="303">
        <v>59</v>
      </c>
      <c r="H1487" s="303" t="s">
        <v>10054</v>
      </c>
      <c r="I1487" s="303" t="s">
        <v>10056</v>
      </c>
      <c r="J1487" s="303" t="s">
        <v>10057</v>
      </c>
      <c r="K1487" s="303" t="s">
        <v>10058</v>
      </c>
      <c r="L1487" s="303" t="s">
        <v>10059</v>
      </c>
      <c r="M1487" s="303"/>
      <c r="N1487" s="307" t="s">
        <v>10071</v>
      </c>
      <c r="O1487" s="1474"/>
      <c r="P1487" s="1475"/>
      <c r="Q1487" s="1476"/>
    </row>
    <row r="1488" spans="1:17" ht="11.1" customHeight="1">
      <c r="A1488" s="250" t="s">
        <v>11255</v>
      </c>
      <c r="B1488" s="302" t="s">
        <v>10051</v>
      </c>
      <c r="C1488" s="303">
        <v>4</v>
      </c>
      <c r="D1488" s="303" t="s">
        <v>10061</v>
      </c>
      <c r="E1488" s="306" t="s">
        <v>10113</v>
      </c>
      <c r="F1488" s="303" t="s">
        <v>11256</v>
      </c>
      <c r="G1488" s="303">
        <v>60</v>
      </c>
      <c r="H1488" s="303" t="s">
        <v>10064</v>
      </c>
      <c r="I1488" s="303"/>
      <c r="J1488" s="303" t="s">
        <v>10057</v>
      </c>
      <c r="K1488" s="303" t="s">
        <v>10092</v>
      </c>
      <c r="L1488" s="303" t="s">
        <v>10066</v>
      </c>
      <c r="M1488" s="303">
        <v>4</v>
      </c>
      <c r="N1488" s="305"/>
      <c r="O1488" s="1474"/>
      <c r="P1488" s="1475"/>
      <c r="Q1488" s="1476"/>
    </row>
    <row r="1489" spans="1:17" ht="11.1" customHeight="1">
      <c r="A1489" s="250" t="s">
        <v>11257</v>
      </c>
      <c r="B1489" s="302" t="s">
        <v>10051</v>
      </c>
      <c r="C1489" s="303">
        <v>6</v>
      </c>
      <c r="D1489" s="303" t="s">
        <v>11258</v>
      </c>
      <c r="E1489" s="304">
        <v>99.64</v>
      </c>
      <c r="F1489" s="303" t="s">
        <v>11259</v>
      </c>
      <c r="G1489" s="303">
        <v>58</v>
      </c>
      <c r="H1489" s="303" t="s">
        <v>10064</v>
      </c>
      <c r="I1489" s="303" t="s">
        <v>10056</v>
      </c>
      <c r="J1489" s="303" t="s">
        <v>10057</v>
      </c>
      <c r="K1489" s="303" t="s">
        <v>10092</v>
      </c>
      <c r="L1489" s="303" t="s">
        <v>10066</v>
      </c>
      <c r="M1489" s="303">
        <v>1</v>
      </c>
      <c r="N1489" s="307" t="s">
        <v>10071</v>
      </c>
      <c r="O1489" s="1474"/>
      <c r="P1489" s="1475"/>
      <c r="Q1489" s="1476"/>
    </row>
    <row r="1490" spans="1:17" ht="11.1" customHeight="1">
      <c r="A1490" s="250" t="s">
        <v>11260</v>
      </c>
      <c r="B1490" s="302" t="s">
        <v>10051</v>
      </c>
      <c r="C1490" s="303">
        <v>6</v>
      </c>
      <c r="D1490" s="303" t="s">
        <v>11261</v>
      </c>
      <c r="E1490" s="304">
        <v>99.11</v>
      </c>
      <c r="F1490" s="303" t="s">
        <v>11262</v>
      </c>
      <c r="G1490" s="303">
        <v>59</v>
      </c>
      <c r="H1490" s="303" t="s">
        <v>10064</v>
      </c>
      <c r="I1490" s="303" t="s">
        <v>10056</v>
      </c>
      <c r="J1490" s="303" t="s">
        <v>10057</v>
      </c>
      <c r="K1490" s="303" t="s">
        <v>10058</v>
      </c>
      <c r="L1490" s="303" t="s">
        <v>10059</v>
      </c>
      <c r="M1490" s="303"/>
      <c r="N1490" s="307" t="s">
        <v>10071</v>
      </c>
      <c r="O1490" s="1474"/>
      <c r="P1490" s="1475"/>
      <c r="Q1490" s="1476"/>
    </row>
    <row r="1491" spans="1:17" ht="11.1" customHeight="1">
      <c r="A1491" s="250" t="s">
        <v>11263</v>
      </c>
      <c r="B1491" s="302" t="s">
        <v>10051</v>
      </c>
      <c r="C1491" s="303">
        <v>6</v>
      </c>
      <c r="D1491" s="303" t="s">
        <v>11264</v>
      </c>
      <c r="E1491" s="304">
        <v>93.95</v>
      </c>
      <c r="F1491" s="303" t="s">
        <v>11265</v>
      </c>
      <c r="G1491" s="303">
        <v>30</v>
      </c>
      <c r="H1491" s="303" t="s">
        <v>10064</v>
      </c>
      <c r="I1491" s="303" t="s">
        <v>10056</v>
      </c>
      <c r="J1491" s="303" t="s">
        <v>10057</v>
      </c>
      <c r="K1491" s="303" t="s">
        <v>10058</v>
      </c>
      <c r="L1491" s="303" t="s">
        <v>10059</v>
      </c>
      <c r="M1491" s="303"/>
      <c r="N1491" s="307" t="s">
        <v>10071</v>
      </c>
      <c r="O1491" s="1474"/>
      <c r="P1491" s="1475"/>
      <c r="Q1491" s="1476"/>
    </row>
    <row r="1492" spans="1:17" ht="11.1" customHeight="1">
      <c r="A1492" s="250" t="s">
        <v>11266</v>
      </c>
      <c r="B1492" s="302" t="s">
        <v>10051</v>
      </c>
      <c r="C1492" s="303">
        <v>6</v>
      </c>
      <c r="D1492" s="303" t="s">
        <v>11267</v>
      </c>
      <c r="E1492" s="304">
        <v>91.97</v>
      </c>
      <c r="F1492" s="303" t="s">
        <v>11268</v>
      </c>
      <c r="G1492" s="303">
        <v>42</v>
      </c>
      <c r="H1492" s="303" t="s">
        <v>10054</v>
      </c>
      <c r="I1492" s="303" t="s">
        <v>10056</v>
      </c>
      <c r="J1492" s="303" t="s">
        <v>10057</v>
      </c>
      <c r="K1492" s="303" t="s">
        <v>10058</v>
      </c>
      <c r="L1492" s="303" t="s">
        <v>10059</v>
      </c>
      <c r="M1492" s="303"/>
      <c r="N1492" s="307" t="s">
        <v>10071</v>
      </c>
      <c r="O1492" s="1474"/>
      <c r="P1492" s="1475"/>
      <c r="Q1492" s="1476"/>
    </row>
    <row r="1493" spans="1:17" ht="11.1" customHeight="1">
      <c r="A1493" s="250" t="s">
        <v>11269</v>
      </c>
      <c r="B1493" s="302" t="s">
        <v>10051</v>
      </c>
      <c r="C1493" s="303">
        <v>6</v>
      </c>
      <c r="D1493" s="303" t="s">
        <v>11270</v>
      </c>
      <c r="E1493" s="304">
        <v>90.63</v>
      </c>
      <c r="F1493" s="303" t="s">
        <v>11271</v>
      </c>
      <c r="G1493" s="303">
        <v>48</v>
      </c>
      <c r="H1493" s="303" t="s">
        <v>10064</v>
      </c>
      <c r="I1493" s="303" t="s">
        <v>10056</v>
      </c>
      <c r="J1493" s="303" t="s">
        <v>10057</v>
      </c>
      <c r="K1493" s="303" t="s">
        <v>10058</v>
      </c>
      <c r="L1493" s="303" t="s">
        <v>10059</v>
      </c>
      <c r="M1493" s="303"/>
      <c r="N1493" s="307"/>
      <c r="O1493" s="1474"/>
      <c r="P1493" s="1475"/>
      <c r="Q1493" s="1476"/>
    </row>
    <row r="1494" spans="1:17" ht="11.1" customHeight="1">
      <c r="A1494" s="250" t="s">
        <v>11272</v>
      </c>
      <c r="B1494" s="302" t="s">
        <v>10051</v>
      </c>
      <c r="C1494" s="303">
        <v>6</v>
      </c>
      <c r="D1494" s="303" t="s">
        <v>11273</v>
      </c>
      <c r="E1494" s="304">
        <v>89.69</v>
      </c>
      <c r="F1494" s="303" t="s">
        <v>11274</v>
      </c>
      <c r="G1494" s="303">
        <v>58</v>
      </c>
      <c r="H1494" s="303" t="s">
        <v>10064</v>
      </c>
      <c r="I1494" s="303" t="s">
        <v>10056</v>
      </c>
      <c r="J1494" s="303" t="s">
        <v>10057</v>
      </c>
      <c r="K1494" s="303" t="s">
        <v>10205</v>
      </c>
      <c r="L1494" s="303" t="s">
        <v>10070</v>
      </c>
      <c r="M1494" s="303">
        <v>2</v>
      </c>
      <c r="N1494" s="307" t="s">
        <v>10071</v>
      </c>
      <c r="O1494" s="1474"/>
      <c r="P1494" s="1475"/>
      <c r="Q1494" s="1476"/>
    </row>
    <row r="1495" spans="1:17" ht="11.1" customHeight="1">
      <c r="A1495" s="250" t="s">
        <v>11275</v>
      </c>
      <c r="B1495" s="302" t="s">
        <v>10051</v>
      </c>
      <c r="C1495" s="303">
        <v>6</v>
      </c>
      <c r="D1495" s="303" t="s">
        <v>11276</v>
      </c>
      <c r="E1495" s="304">
        <v>80.12</v>
      </c>
      <c r="F1495" s="303" t="s">
        <v>11277</v>
      </c>
      <c r="G1495" s="303">
        <v>55</v>
      </c>
      <c r="H1495" s="303" t="s">
        <v>10064</v>
      </c>
      <c r="I1495" s="303" t="s">
        <v>10056</v>
      </c>
      <c r="J1495" s="303" t="s">
        <v>10057</v>
      </c>
      <c r="K1495" s="303" t="s">
        <v>10082</v>
      </c>
      <c r="L1495" s="303" t="s">
        <v>10059</v>
      </c>
      <c r="M1495" s="303"/>
      <c r="N1495" s="307"/>
      <c r="O1495" s="1474"/>
      <c r="P1495" s="1475"/>
      <c r="Q1495" s="1476"/>
    </row>
    <row r="1496" spans="1:17" ht="11.1" customHeight="1">
      <c r="A1496" s="250" t="s">
        <v>11278</v>
      </c>
      <c r="B1496" s="302" t="s">
        <v>10051</v>
      </c>
      <c r="C1496" s="303">
        <v>43</v>
      </c>
      <c r="D1496" s="303" t="s">
        <v>10061</v>
      </c>
      <c r="E1496" s="306" t="s">
        <v>10062</v>
      </c>
      <c r="F1496" s="303" t="s">
        <v>11279</v>
      </c>
      <c r="G1496" s="303">
        <v>45</v>
      </c>
      <c r="H1496" s="303" t="s">
        <v>10064</v>
      </c>
      <c r="I1496" s="303"/>
      <c r="J1496" s="303" t="s">
        <v>10057</v>
      </c>
      <c r="K1496" s="303" t="s">
        <v>10058</v>
      </c>
      <c r="L1496" s="303" t="s">
        <v>10059</v>
      </c>
      <c r="M1496" s="303"/>
      <c r="N1496" s="305"/>
      <c r="O1496" s="1474"/>
      <c r="P1496" s="1475"/>
      <c r="Q1496" s="1476"/>
    </row>
    <row r="1497" spans="1:17" ht="11.1" customHeight="1">
      <c r="A1497" s="250" t="s">
        <v>11280</v>
      </c>
      <c r="B1497" s="187"/>
      <c r="C1497" s="42">
        <v>44</v>
      </c>
      <c r="D1497" s="42" t="s">
        <v>10061</v>
      </c>
      <c r="E1497" s="309" t="s">
        <v>10062</v>
      </c>
      <c r="F1497" s="42" t="s">
        <v>11281</v>
      </c>
      <c r="G1497" s="42">
        <v>63</v>
      </c>
      <c r="H1497" s="42" t="s">
        <v>10064</v>
      </c>
      <c r="I1497" s="42"/>
      <c r="J1497" s="42" t="s">
        <v>10057</v>
      </c>
      <c r="K1497" s="42" t="s">
        <v>10058</v>
      </c>
      <c r="L1497" s="42" t="s">
        <v>10059</v>
      </c>
      <c r="M1497" s="42"/>
      <c r="N1497" s="310"/>
      <c r="O1497" s="1474"/>
      <c r="P1497" s="1475"/>
      <c r="Q1497" s="1476"/>
    </row>
    <row r="1498" spans="1:17" ht="11.1" customHeight="1">
      <c r="A1498" s="250" t="s">
        <v>11282</v>
      </c>
      <c r="B1498" s="187"/>
      <c r="C1498" s="42">
        <v>45</v>
      </c>
      <c r="D1498" s="42" t="s">
        <v>10061</v>
      </c>
      <c r="E1498" s="309" t="s">
        <v>10062</v>
      </c>
      <c r="F1498" s="42" t="s">
        <v>11283</v>
      </c>
      <c r="G1498" s="42">
        <v>62</v>
      </c>
      <c r="H1498" s="42" t="s">
        <v>10064</v>
      </c>
      <c r="I1498" s="42"/>
      <c r="J1498" s="42" t="s">
        <v>10057</v>
      </c>
      <c r="K1498" s="42" t="s">
        <v>10058</v>
      </c>
      <c r="L1498" s="42" t="s">
        <v>10059</v>
      </c>
      <c r="M1498" s="42"/>
      <c r="N1498" s="310"/>
      <c r="O1498" s="1474"/>
      <c r="P1498" s="1475"/>
      <c r="Q1498" s="1476"/>
    </row>
    <row r="1499" spans="1:17" ht="11.1" customHeight="1">
      <c r="A1499" s="250" t="s">
        <v>11284</v>
      </c>
      <c r="B1499" s="187"/>
      <c r="C1499" s="42">
        <v>46</v>
      </c>
      <c r="D1499" s="42" t="s">
        <v>10061</v>
      </c>
      <c r="E1499" s="309" t="s">
        <v>10062</v>
      </c>
      <c r="F1499" s="42" t="s">
        <v>11285</v>
      </c>
      <c r="G1499" s="42">
        <v>68</v>
      </c>
      <c r="H1499" s="42" t="s">
        <v>10064</v>
      </c>
      <c r="I1499" s="42"/>
      <c r="J1499" s="42" t="s">
        <v>10057</v>
      </c>
      <c r="K1499" s="42" t="s">
        <v>10058</v>
      </c>
      <c r="L1499" s="42" t="s">
        <v>10059</v>
      </c>
      <c r="M1499" s="42"/>
      <c r="N1499" s="310"/>
      <c r="O1499" s="1474"/>
      <c r="P1499" s="1475"/>
      <c r="Q1499" s="1476"/>
    </row>
    <row r="1500" spans="1:17" ht="11.1" customHeight="1">
      <c r="A1500" s="250" t="s">
        <v>11286</v>
      </c>
      <c r="B1500" s="302" t="s">
        <v>10098</v>
      </c>
      <c r="C1500" s="303">
        <v>2</v>
      </c>
      <c r="D1500" s="303" t="s">
        <v>11287</v>
      </c>
      <c r="E1500" s="306" t="s">
        <v>10100</v>
      </c>
      <c r="F1500" s="303" t="s">
        <v>11288</v>
      </c>
      <c r="G1500" s="303">
        <v>44</v>
      </c>
      <c r="H1500" s="303" t="s">
        <v>10054</v>
      </c>
      <c r="I1500" s="303" t="s">
        <v>10056</v>
      </c>
      <c r="J1500" s="303" t="s">
        <v>10057</v>
      </c>
      <c r="K1500" s="303" t="s">
        <v>10075</v>
      </c>
      <c r="L1500" s="303" t="s">
        <v>10070</v>
      </c>
      <c r="M1500" s="303">
        <v>3</v>
      </c>
      <c r="N1500" s="307" t="s">
        <v>10071</v>
      </c>
      <c r="O1500" s="1474"/>
      <c r="P1500" s="1475"/>
      <c r="Q1500" s="1476"/>
    </row>
    <row r="1501" spans="1:17" ht="11.1" customHeight="1">
      <c r="A1501" s="250" t="s">
        <v>11289</v>
      </c>
      <c r="B1501" s="302" t="s">
        <v>10098</v>
      </c>
      <c r="C1501" s="303">
        <v>5</v>
      </c>
      <c r="D1501" s="303" t="s">
        <v>11290</v>
      </c>
      <c r="E1501" s="306" t="s">
        <v>10104</v>
      </c>
      <c r="F1501" s="303" t="s">
        <v>11291</v>
      </c>
      <c r="G1501" s="303">
        <v>40</v>
      </c>
      <c r="H1501" s="303" t="s">
        <v>10064</v>
      </c>
      <c r="I1501" s="303" t="s">
        <v>10056</v>
      </c>
      <c r="J1501" s="303" t="s">
        <v>10057</v>
      </c>
      <c r="K1501" s="303" t="s">
        <v>10075</v>
      </c>
      <c r="L1501" s="303" t="s">
        <v>10059</v>
      </c>
      <c r="M1501" s="303"/>
      <c r="N1501" s="307" t="s">
        <v>10071</v>
      </c>
      <c r="O1501" s="1474"/>
      <c r="P1501" s="1475"/>
      <c r="Q1501" s="1476"/>
    </row>
    <row r="1502" spans="1:17" ht="11.1" customHeight="1">
      <c r="A1502" s="250" t="s">
        <v>11292</v>
      </c>
      <c r="B1502" s="302" t="s">
        <v>10098</v>
      </c>
      <c r="C1502" s="303">
        <v>6</v>
      </c>
      <c r="D1502" s="303" t="s">
        <v>11293</v>
      </c>
      <c r="E1502" s="306" t="s">
        <v>10104</v>
      </c>
      <c r="F1502" s="303" t="s">
        <v>11294</v>
      </c>
      <c r="G1502" s="303">
        <v>64</v>
      </c>
      <c r="H1502" s="303" t="s">
        <v>10064</v>
      </c>
      <c r="I1502" s="303" t="s">
        <v>10056</v>
      </c>
      <c r="J1502" s="303" t="s">
        <v>10057</v>
      </c>
      <c r="K1502" s="303" t="s">
        <v>10082</v>
      </c>
      <c r="L1502" s="303" t="s">
        <v>10066</v>
      </c>
      <c r="M1502" s="303">
        <v>3</v>
      </c>
      <c r="N1502" s="307" t="s">
        <v>10071</v>
      </c>
      <c r="O1502" s="1474"/>
      <c r="P1502" s="1475"/>
      <c r="Q1502" s="1476"/>
    </row>
    <row r="1503" spans="1:17" ht="11.1" customHeight="1">
      <c r="A1503" s="250" t="s">
        <v>11295</v>
      </c>
      <c r="B1503" s="302" t="s">
        <v>10098</v>
      </c>
      <c r="C1503" s="303">
        <v>6</v>
      </c>
      <c r="D1503" s="303" t="s">
        <v>11296</v>
      </c>
      <c r="E1503" s="306" t="s">
        <v>10104</v>
      </c>
      <c r="F1503" s="303" t="s">
        <v>11297</v>
      </c>
      <c r="G1503" s="303">
        <v>67</v>
      </c>
      <c r="H1503" s="303" t="s">
        <v>10064</v>
      </c>
      <c r="I1503" s="303" t="s">
        <v>10056</v>
      </c>
      <c r="J1503" s="303" t="s">
        <v>10057</v>
      </c>
      <c r="K1503" s="303" t="s">
        <v>10092</v>
      </c>
      <c r="L1503" s="303" t="s">
        <v>10066</v>
      </c>
      <c r="M1503" s="303">
        <v>7</v>
      </c>
      <c r="N1503" s="307" t="s">
        <v>10071</v>
      </c>
      <c r="O1503" s="1474"/>
      <c r="P1503" s="1475"/>
      <c r="Q1503" s="1476"/>
    </row>
    <row r="1504" spans="1:17" ht="11.1" customHeight="1">
      <c r="A1504" s="250" t="s">
        <v>11298</v>
      </c>
      <c r="B1504" s="302" t="s">
        <v>10098</v>
      </c>
      <c r="C1504" s="303">
        <v>6</v>
      </c>
      <c r="D1504" s="303" t="s">
        <v>11299</v>
      </c>
      <c r="E1504" s="306" t="s">
        <v>10104</v>
      </c>
      <c r="F1504" s="303" t="s">
        <v>11300</v>
      </c>
      <c r="G1504" s="303">
        <v>53</v>
      </c>
      <c r="H1504" s="303" t="s">
        <v>10064</v>
      </c>
      <c r="I1504" s="303" t="s">
        <v>10056</v>
      </c>
      <c r="J1504" s="303" t="s">
        <v>10057</v>
      </c>
      <c r="K1504" s="303" t="s">
        <v>10058</v>
      </c>
      <c r="L1504" s="303" t="s">
        <v>10059</v>
      </c>
      <c r="M1504" s="303"/>
      <c r="N1504" s="307"/>
      <c r="O1504" s="1474"/>
      <c r="P1504" s="1475"/>
      <c r="Q1504" s="1476"/>
    </row>
    <row r="1505" spans="1:17" ht="11.1" customHeight="1">
      <c r="A1505" s="250" t="s">
        <v>11301</v>
      </c>
      <c r="B1505" s="302" t="s">
        <v>10098</v>
      </c>
      <c r="C1505" s="303">
        <v>6</v>
      </c>
      <c r="D1505" s="303" t="s">
        <v>11302</v>
      </c>
      <c r="E1505" s="306" t="s">
        <v>10100</v>
      </c>
      <c r="F1505" s="303" t="s">
        <v>11303</v>
      </c>
      <c r="G1505" s="303">
        <v>60</v>
      </c>
      <c r="H1505" s="303" t="s">
        <v>10064</v>
      </c>
      <c r="I1505" s="303" t="s">
        <v>10056</v>
      </c>
      <c r="J1505" s="303" t="s">
        <v>10057</v>
      </c>
      <c r="K1505" s="303" t="s">
        <v>10241</v>
      </c>
      <c r="L1505" s="303" t="s">
        <v>10066</v>
      </c>
      <c r="M1505" s="303">
        <v>8</v>
      </c>
      <c r="N1505" s="307" t="s">
        <v>10071</v>
      </c>
      <c r="O1505" s="1474"/>
      <c r="P1505" s="1475"/>
      <c r="Q1505" s="1476"/>
    </row>
    <row r="1506" spans="1:17" ht="11.1" customHeight="1">
      <c r="A1506" s="250" t="s">
        <v>11304</v>
      </c>
      <c r="B1506" s="302" t="s">
        <v>10098</v>
      </c>
      <c r="C1506" s="303">
        <v>6</v>
      </c>
      <c r="D1506" s="303" t="s">
        <v>11305</v>
      </c>
      <c r="E1506" s="306" t="s">
        <v>10104</v>
      </c>
      <c r="F1506" s="303" t="s">
        <v>11306</v>
      </c>
      <c r="G1506" s="303">
        <v>68</v>
      </c>
      <c r="H1506" s="303" t="s">
        <v>10064</v>
      </c>
      <c r="I1506" s="303" t="s">
        <v>10056</v>
      </c>
      <c r="J1506" s="303" t="s">
        <v>10057</v>
      </c>
      <c r="K1506" s="303" t="s">
        <v>10582</v>
      </c>
      <c r="L1506" s="303" t="s">
        <v>10066</v>
      </c>
      <c r="M1506" s="303">
        <v>8</v>
      </c>
      <c r="N1506" s="307" t="s">
        <v>10071</v>
      </c>
      <c r="O1506" s="1474"/>
      <c r="P1506" s="1475"/>
      <c r="Q1506" s="1476"/>
    </row>
    <row r="1507" spans="1:17" ht="11.1" customHeight="1">
      <c r="A1507" s="250" t="s">
        <v>11307</v>
      </c>
      <c r="B1507" s="302" t="s">
        <v>10098</v>
      </c>
      <c r="C1507" s="303">
        <v>6</v>
      </c>
      <c r="D1507" s="303" t="s">
        <v>11308</v>
      </c>
      <c r="E1507" s="306" t="s">
        <v>10104</v>
      </c>
      <c r="F1507" s="303" t="s">
        <v>11309</v>
      </c>
      <c r="G1507" s="303">
        <v>35</v>
      </c>
      <c r="H1507" s="303" t="s">
        <v>10054</v>
      </c>
      <c r="I1507" s="303" t="s">
        <v>10056</v>
      </c>
      <c r="J1507" s="303" t="s">
        <v>10057</v>
      </c>
      <c r="K1507" s="303" t="s">
        <v>10058</v>
      </c>
      <c r="L1507" s="303" t="s">
        <v>10059</v>
      </c>
      <c r="M1507" s="303"/>
      <c r="N1507" s="307"/>
      <c r="O1507" s="1474"/>
      <c r="P1507" s="1475"/>
      <c r="Q1507" s="1476"/>
    </row>
    <row r="1508" spans="1:17" ht="11.1" customHeight="1">
      <c r="A1508" s="250" t="s">
        <v>11310</v>
      </c>
      <c r="B1508" s="302" t="s">
        <v>10098</v>
      </c>
      <c r="C1508" s="303">
        <v>6</v>
      </c>
      <c r="D1508" s="303" t="s">
        <v>11311</v>
      </c>
      <c r="E1508" s="306" t="s">
        <v>10100</v>
      </c>
      <c r="F1508" s="303" t="s">
        <v>11312</v>
      </c>
      <c r="G1508" s="303">
        <v>34</v>
      </c>
      <c r="H1508" s="303" t="s">
        <v>10064</v>
      </c>
      <c r="I1508" s="303" t="s">
        <v>10056</v>
      </c>
      <c r="J1508" s="303" t="s">
        <v>10057</v>
      </c>
      <c r="K1508" s="303" t="s">
        <v>10075</v>
      </c>
      <c r="L1508" s="303" t="s">
        <v>10066</v>
      </c>
      <c r="M1508" s="303">
        <v>1</v>
      </c>
      <c r="N1508" s="307" t="s">
        <v>10071</v>
      </c>
      <c r="O1508" s="1474"/>
      <c r="P1508" s="1475"/>
      <c r="Q1508" s="1476"/>
    </row>
    <row r="1509" spans="1:17" ht="11.1" customHeight="1">
      <c r="A1509" s="250" t="s">
        <v>11313</v>
      </c>
      <c r="B1509" s="302" t="s">
        <v>10098</v>
      </c>
      <c r="C1509" s="303">
        <v>6</v>
      </c>
      <c r="D1509" s="303" t="s">
        <v>11314</v>
      </c>
      <c r="E1509" s="306" t="s">
        <v>10104</v>
      </c>
      <c r="F1509" s="303" t="s">
        <v>11315</v>
      </c>
      <c r="G1509" s="303">
        <v>43</v>
      </c>
      <c r="H1509" s="303" t="s">
        <v>10054</v>
      </c>
      <c r="I1509" s="303" t="s">
        <v>10056</v>
      </c>
      <c r="J1509" s="303" t="s">
        <v>10057</v>
      </c>
      <c r="K1509" s="303" t="s">
        <v>10058</v>
      </c>
      <c r="L1509" s="303" t="s">
        <v>10059</v>
      </c>
      <c r="M1509" s="303"/>
      <c r="N1509" s="307"/>
      <c r="O1509" s="1474"/>
      <c r="P1509" s="1475"/>
      <c r="Q1509" s="1476"/>
    </row>
    <row r="1510" spans="1:17" ht="11.1" customHeight="1">
      <c r="A1510" s="250" t="s">
        <v>11316</v>
      </c>
      <c r="B1510" s="302" t="s">
        <v>10098</v>
      </c>
      <c r="C1510" s="303">
        <v>6</v>
      </c>
      <c r="D1510" s="303" t="s">
        <v>11317</v>
      </c>
      <c r="E1510" s="306" t="s">
        <v>10100</v>
      </c>
      <c r="F1510" s="303" t="s">
        <v>11318</v>
      </c>
      <c r="G1510" s="303">
        <v>41</v>
      </c>
      <c r="H1510" s="303" t="s">
        <v>10064</v>
      </c>
      <c r="I1510" s="303" t="s">
        <v>10056</v>
      </c>
      <c r="J1510" s="303" t="s">
        <v>10057</v>
      </c>
      <c r="K1510" s="303" t="s">
        <v>10058</v>
      </c>
      <c r="L1510" s="303" t="s">
        <v>10059</v>
      </c>
      <c r="M1510" s="303"/>
      <c r="N1510" s="307" t="s">
        <v>10071</v>
      </c>
      <c r="O1510" s="1474"/>
      <c r="P1510" s="1475"/>
      <c r="Q1510" s="1476"/>
    </row>
    <row r="1511" spans="1:17" ht="11.1" customHeight="1">
      <c r="A1511" s="250" t="s">
        <v>11319</v>
      </c>
      <c r="B1511" s="302" t="s">
        <v>10098</v>
      </c>
      <c r="C1511" s="303">
        <v>6</v>
      </c>
      <c r="D1511" s="303" t="s">
        <v>11320</v>
      </c>
      <c r="E1511" s="306" t="s">
        <v>10104</v>
      </c>
      <c r="F1511" s="303" t="s">
        <v>11321</v>
      </c>
      <c r="G1511" s="303">
        <v>50</v>
      </c>
      <c r="H1511" s="303" t="s">
        <v>10064</v>
      </c>
      <c r="I1511" s="303" t="s">
        <v>10056</v>
      </c>
      <c r="J1511" s="303" t="s">
        <v>10057</v>
      </c>
      <c r="K1511" s="303" t="s">
        <v>10075</v>
      </c>
      <c r="L1511" s="303" t="s">
        <v>10066</v>
      </c>
      <c r="M1511" s="303">
        <v>2</v>
      </c>
      <c r="N1511" s="307" t="s">
        <v>10071</v>
      </c>
      <c r="O1511" s="1474"/>
      <c r="P1511" s="1475"/>
      <c r="Q1511" s="1476"/>
    </row>
    <row r="1512" spans="1:17" ht="11.1" customHeight="1">
      <c r="A1512" s="250" t="s">
        <v>11322</v>
      </c>
      <c r="B1512" s="302" t="s">
        <v>10098</v>
      </c>
      <c r="C1512" s="303">
        <v>6</v>
      </c>
      <c r="D1512" s="303" t="s">
        <v>11323</v>
      </c>
      <c r="E1512" s="306" t="s">
        <v>10104</v>
      </c>
      <c r="F1512" s="303" t="s">
        <v>11324</v>
      </c>
      <c r="G1512" s="303">
        <v>34</v>
      </c>
      <c r="H1512" s="303" t="s">
        <v>10064</v>
      </c>
      <c r="I1512" s="303" t="s">
        <v>10056</v>
      </c>
      <c r="J1512" s="303" t="s">
        <v>10057</v>
      </c>
      <c r="K1512" s="303" t="s">
        <v>10092</v>
      </c>
      <c r="L1512" s="303" t="s">
        <v>10070</v>
      </c>
      <c r="M1512" s="303">
        <v>1</v>
      </c>
      <c r="N1512" s="307" t="s">
        <v>10071</v>
      </c>
      <c r="O1512" s="1474"/>
      <c r="P1512" s="1475"/>
      <c r="Q1512" s="1476"/>
    </row>
    <row r="1513" spans="1:17" ht="11.1" customHeight="1">
      <c r="A1513" s="250" t="s">
        <v>11325</v>
      </c>
      <c r="B1513" s="302" t="s">
        <v>10098</v>
      </c>
      <c r="C1513" s="303">
        <v>6</v>
      </c>
      <c r="D1513" s="303" t="s">
        <v>11326</v>
      </c>
      <c r="E1513" s="306" t="s">
        <v>10104</v>
      </c>
      <c r="F1513" s="303" t="s">
        <v>11327</v>
      </c>
      <c r="G1513" s="303">
        <v>53</v>
      </c>
      <c r="H1513" s="303" t="s">
        <v>10064</v>
      </c>
      <c r="I1513" s="303" t="s">
        <v>10056</v>
      </c>
      <c r="J1513" s="303" t="s">
        <v>10057</v>
      </c>
      <c r="K1513" s="303" t="s">
        <v>10210</v>
      </c>
      <c r="L1513" s="303" t="s">
        <v>10066</v>
      </c>
      <c r="M1513" s="303">
        <v>2</v>
      </c>
      <c r="N1513" s="307" t="s">
        <v>10071</v>
      </c>
      <c r="O1513" s="1474"/>
      <c r="P1513" s="1475"/>
      <c r="Q1513" s="1476"/>
    </row>
    <row r="1514" spans="1:17" ht="11.1" customHeight="1">
      <c r="A1514" s="250" t="s">
        <v>11328</v>
      </c>
      <c r="B1514" s="302" t="s">
        <v>10098</v>
      </c>
      <c r="C1514" s="303">
        <v>6</v>
      </c>
      <c r="D1514" s="303" t="s">
        <v>11329</v>
      </c>
      <c r="E1514" s="306" t="s">
        <v>10104</v>
      </c>
      <c r="F1514" s="303" t="s">
        <v>11330</v>
      </c>
      <c r="G1514" s="303">
        <v>65</v>
      </c>
      <c r="H1514" s="303" t="s">
        <v>10064</v>
      </c>
      <c r="I1514" s="303" t="s">
        <v>10056</v>
      </c>
      <c r="J1514" s="303" t="s">
        <v>10057</v>
      </c>
      <c r="K1514" s="303" t="s">
        <v>10082</v>
      </c>
      <c r="L1514" s="303" t="s">
        <v>10066</v>
      </c>
      <c r="M1514" s="303">
        <v>3</v>
      </c>
      <c r="N1514" s="307" t="s">
        <v>10071</v>
      </c>
      <c r="O1514" s="1474"/>
      <c r="P1514" s="1475"/>
      <c r="Q1514" s="1476"/>
    </row>
    <row r="1515" spans="1:17" ht="11.1" customHeight="1">
      <c r="A1515" s="250" t="s">
        <v>11331</v>
      </c>
      <c r="B1515" s="302" t="s">
        <v>10098</v>
      </c>
      <c r="C1515" s="303">
        <v>6</v>
      </c>
      <c r="D1515" s="303" t="s">
        <v>11332</v>
      </c>
      <c r="E1515" s="306" t="s">
        <v>10104</v>
      </c>
      <c r="F1515" s="303" t="s">
        <v>11333</v>
      </c>
      <c r="G1515" s="303">
        <v>58</v>
      </c>
      <c r="H1515" s="303" t="s">
        <v>10064</v>
      </c>
      <c r="I1515" s="303" t="s">
        <v>10056</v>
      </c>
      <c r="J1515" s="303" t="s">
        <v>10057</v>
      </c>
      <c r="K1515" s="303" t="s">
        <v>10075</v>
      </c>
      <c r="L1515" s="303" t="s">
        <v>10066</v>
      </c>
      <c r="M1515" s="303">
        <v>3</v>
      </c>
      <c r="N1515" s="307" t="s">
        <v>10071</v>
      </c>
      <c r="O1515" s="1474"/>
      <c r="P1515" s="1475"/>
      <c r="Q1515" s="1476"/>
    </row>
    <row r="1516" spans="1:17" ht="11.1" customHeight="1">
      <c r="A1516" s="250" t="s">
        <v>11334</v>
      </c>
      <c r="B1516" s="302" t="s">
        <v>10098</v>
      </c>
      <c r="C1516" s="303">
        <v>6</v>
      </c>
      <c r="D1516" s="303" t="s">
        <v>11335</v>
      </c>
      <c r="E1516" s="306" t="s">
        <v>10104</v>
      </c>
      <c r="F1516" s="303" t="s">
        <v>11336</v>
      </c>
      <c r="G1516" s="303">
        <v>64</v>
      </c>
      <c r="H1516" s="303" t="s">
        <v>10064</v>
      </c>
      <c r="I1516" s="303" t="s">
        <v>10056</v>
      </c>
      <c r="J1516" s="303" t="s">
        <v>10057</v>
      </c>
      <c r="K1516" s="303" t="s">
        <v>10082</v>
      </c>
      <c r="L1516" s="303" t="s">
        <v>10066</v>
      </c>
      <c r="M1516" s="303">
        <v>3</v>
      </c>
      <c r="N1516" s="307" t="s">
        <v>10071</v>
      </c>
      <c r="O1516" s="1474"/>
      <c r="P1516" s="1475"/>
      <c r="Q1516" s="1476"/>
    </row>
    <row r="1517" spans="1:17" ht="11.1" customHeight="1">
      <c r="A1517" s="250" t="s">
        <v>11337</v>
      </c>
      <c r="B1517" s="302" t="s">
        <v>10098</v>
      </c>
      <c r="C1517" s="303">
        <v>6</v>
      </c>
      <c r="D1517" s="303" t="s">
        <v>11338</v>
      </c>
      <c r="E1517" s="306" t="s">
        <v>10104</v>
      </c>
      <c r="F1517" s="303" t="s">
        <v>11339</v>
      </c>
      <c r="G1517" s="303">
        <v>66</v>
      </c>
      <c r="H1517" s="303" t="s">
        <v>10054</v>
      </c>
      <c r="I1517" s="303" t="s">
        <v>10056</v>
      </c>
      <c r="J1517" s="303" t="s">
        <v>10057</v>
      </c>
      <c r="K1517" s="303" t="s">
        <v>10065</v>
      </c>
      <c r="L1517" s="303" t="s">
        <v>10070</v>
      </c>
      <c r="M1517" s="303">
        <v>1</v>
      </c>
      <c r="N1517" s="307" t="s">
        <v>10071</v>
      </c>
      <c r="O1517" s="1474"/>
      <c r="P1517" s="1475"/>
      <c r="Q1517" s="1476"/>
    </row>
    <row r="1518" spans="1:17" ht="11.1" customHeight="1">
      <c r="A1518" s="250" t="s">
        <v>11340</v>
      </c>
      <c r="B1518" s="302" t="s">
        <v>10098</v>
      </c>
      <c r="C1518" s="303">
        <v>6</v>
      </c>
      <c r="D1518" s="303" t="s">
        <v>11341</v>
      </c>
      <c r="E1518" s="306" t="s">
        <v>10104</v>
      </c>
      <c r="F1518" s="303" t="s">
        <v>11342</v>
      </c>
      <c r="G1518" s="303">
        <v>51</v>
      </c>
      <c r="H1518" s="303" t="s">
        <v>10064</v>
      </c>
      <c r="I1518" s="303" t="s">
        <v>10056</v>
      </c>
      <c r="J1518" s="303" t="s">
        <v>10057</v>
      </c>
      <c r="K1518" s="303" t="s">
        <v>10058</v>
      </c>
      <c r="L1518" s="303" t="s">
        <v>10059</v>
      </c>
      <c r="M1518" s="303"/>
      <c r="N1518" s="307" t="s">
        <v>10071</v>
      </c>
      <c r="O1518" s="1474"/>
      <c r="P1518" s="1475"/>
      <c r="Q1518" s="1476"/>
    </row>
    <row r="1519" spans="1:17" ht="11.1" customHeight="1">
      <c r="A1519" s="250" t="s">
        <v>11343</v>
      </c>
      <c r="B1519" s="302" t="s">
        <v>10098</v>
      </c>
      <c r="C1519" s="303">
        <v>6</v>
      </c>
      <c r="D1519" s="303" t="s">
        <v>11344</v>
      </c>
      <c r="E1519" s="306" t="s">
        <v>10104</v>
      </c>
      <c r="F1519" s="303" t="s">
        <v>11345</v>
      </c>
      <c r="G1519" s="303">
        <v>40</v>
      </c>
      <c r="H1519" s="303" t="s">
        <v>10064</v>
      </c>
      <c r="I1519" s="303" t="s">
        <v>10056</v>
      </c>
      <c r="J1519" s="303" t="s">
        <v>10057</v>
      </c>
      <c r="K1519" s="303" t="s">
        <v>10058</v>
      </c>
      <c r="L1519" s="303" t="s">
        <v>10059</v>
      </c>
      <c r="M1519" s="303"/>
      <c r="N1519" s="307" t="s">
        <v>10071</v>
      </c>
      <c r="O1519" s="1474"/>
      <c r="P1519" s="1475"/>
      <c r="Q1519" s="1476"/>
    </row>
    <row r="1520" spans="1:17" ht="11.1" customHeight="1">
      <c r="A1520" s="250" t="s">
        <v>11346</v>
      </c>
      <c r="B1520" s="302" t="s">
        <v>10098</v>
      </c>
      <c r="C1520" s="303">
        <v>6</v>
      </c>
      <c r="D1520" s="303" t="s">
        <v>11347</v>
      </c>
      <c r="E1520" s="306" t="s">
        <v>10104</v>
      </c>
      <c r="F1520" s="303" t="s">
        <v>11348</v>
      </c>
      <c r="G1520" s="303">
        <v>53</v>
      </c>
      <c r="H1520" s="303" t="s">
        <v>10064</v>
      </c>
      <c r="I1520" s="303" t="s">
        <v>10056</v>
      </c>
      <c r="J1520" s="303" t="s">
        <v>10057</v>
      </c>
      <c r="K1520" s="303" t="s">
        <v>10092</v>
      </c>
      <c r="L1520" s="303" t="s">
        <v>10066</v>
      </c>
      <c r="M1520" s="303">
        <v>1</v>
      </c>
      <c r="N1520" s="307" t="s">
        <v>10071</v>
      </c>
      <c r="O1520" s="1474"/>
      <c r="P1520" s="1475"/>
      <c r="Q1520" s="1476"/>
    </row>
    <row r="1521" spans="1:17" ht="11.1" customHeight="1">
      <c r="A1521" s="250" t="s">
        <v>11349</v>
      </c>
      <c r="B1521" s="302" t="s">
        <v>10098</v>
      </c>
      <c r="C1521" s="303">
        <v>6</v>
      </c>
      <c r="D1521" s="303" t="s">
        <v>11350</v>
      </c>
      <c r="E1521" s="306" t="s">
        <v>10104</v>
      </c>
      <c r="F1521" s="303" t="s">
        <v>11351</v>
      </c>
      <c r="G1521" s="303">
        <v>46</v>
      </c>
      <c r="H1521" s="303" t="s">
        <v>10064</v>
      </c>
      <c r="I1521" s="303" t="s">
        <v>10056</v>
      </c>
      <c r="J1521" s="303" t="s">
        <v>10057</v>
      </c>
      <c r="K1521" s="303" t="s">
        <v>10058</v>
      </c>
      <c r="L1521" s="303" t="s">
        <v>10059</v>
      </c>
      <c r="M1521" s="303"/>
      <c r="N1521" s="307" t="s">
        <v>10071</v>
      </c>
      <c r="O1521" s="1474"/>
      <c r="P1521" s="1475"/>
      <c r="Q1521" s="1476"/>
    </row>
    <row r="1522" spans="1:17" ht="11.1" customHeight="1">
      <c r="A1522" s="250" t="s">
        <v>11352</v>
      </c>
      <c r="B1522" s="302" t="s">
        <v>10098</v>
      </c>
      <c r="C1522" s="303">
        <v>6</v>
      </c>
      <c r="D1522" s="303" t="s">
        <v>11353</v>
      </c>
      <c r="E1522" s="306" t="s">
        <v>10104</v>
      </c>
      <c r="F1522" s="303" t="s">
        <v>11354</v>
      </c>
      <c r="G1522" s="303">
        <v>63</v>
      </c>
      <c r="H1522" s="303" t="s">
        <v>10064</v>
      </c>
      <c r="I1522" s="303" t="s">
        <v>10056</v>
      </c>
      <c r="J1522" s="303" t="s">
        <v>10057</v>
      </c>
      <c r="K1522" s="303" t="s">
        <v>10178</v>
      </c>
      <c r="L1522" s="303" t="s">
        <v>10066</v>
      </c>
      <c r="M1522" s="303">
        <v>1</v>
      </c>
      <c r="N1522" s="307" t="s">
        <v>10071</v>
      </c>
      <c r="O1522" s="1474"/>
      <c r="P1522" s="1475"/>
      <c r="Q1522" s="1476"/>
    </row>
    <row r="1523" spans="1:17" ht="11.1" customHeight="1">
      <c r="A1523" s="250" t="s">
        <v>11355</v>
      </c>
      <c r="B1523" s="302" t="s">
        <v>10098</v>
      </c>
      <c r="C1523" s="303">
        <v>6</v>
      </c>
      <c r="D1523" s="303" t="s">
        <v>11356</v>
      </c>
      <c r="E1523" s="306" t="s">
        <v>10104</v>
      </c>
      <c r="F1523" s="303" t="s">
        <v>11357</v>
      </c>
      <c r="G1523" s="303">
        <v>42</v>
      </c>
      <c r="H1523" s="303" t="s">
        <v>10064</v>
      </c>
      <c r="I1523" s="303" t="s">
        <v>10056</v>
      </c>
      <c r="J1523" s="303" t="s">
        <v>10057</v>
      </c>
      <c r="K1523" s="303" t="s">
        <v>10075</v>
      </c>
      <c r="L1523" s="303" t="s">
        <v>10066</v>
      </c>
      <c r="M1523" s="303">
        <v>1</v>
      </c>
      <c r="N1523" s="307" t="s">
        <v>10071</v>
      </c>
      <c r="O1523" s="1474"/>
      <c r="P1523" s="1475"/>
      <c r="Q1523" s="1476"/>
    </row>
    <row r="1524" spans="1:17" ht="11.1" customHeight="1">
      <c r="A1524" s="250" t="s">
        <v>11358</v>
      </c>
      <c r="B1524" s="302" t="s">
        <v>10098</v>
      </c>
      <c r="C1524" s="303">
        <v>6</v>
      </c>
      <c r="D1524" s="303" t="s">
        <v>11359</v>
      </c>
      <c r="E1524" s="306" t="s">
        <v>10104</v>
      </c>
      <c r="F1524" s="303" t="s">
        <v>11360</v>
      </c>
      <c r="G1524" s="303">
        <v>57</v>
      </c>
      <c r="H1524" s="303" t="s">
        <v>10064</v>
      </c>
      <c r="I1524" s="303" t="s">
        <v>10056</v>
      </c>
      <c r="J1524" s="303" t="s">
        <v>10057</v>
      </c>
      <c r="K1524" s="303" t="s">
        <v>10178</v>
      </c>
      <c r="L1524" s="303" t="s">
        <v>10066</v>
      </c>
      <c r="M1524" s="303">
        <v>5</v>
      </c>
      <c r="N1524" s="307" t="s">
        <v>10071</v>
      </c>
      <c r="O1524" s="1474"/>
      <c r="P1524" s="1475"/>
      <c r="Q1524" s="1476"/>
    </row>
    <row r="1525" spans="1:17" ht="11.1" customHeight="1">
      <c r="A1525" s="250" t="s">
        <v>11361</v>
      </c>
      <c r="B1525" s="302" t="s">
        <v>10098</v>
      </c>
      <c r="C1525" s="303">
        <v>6</v>
      </c>
      <c r="D1525" s="303" t="s">
        <v>11362</v>
      </c>
      <c r="E1525" s="306" t="s">
        <v>10104</v>
      </c>
      <c r="F1525" s="303" t="s">
        <v>11363</v>
      </c>
      <c r="G1525" s="303">
        <v>53</v>
      </c>
      <c r="H1525" s="303" t="s">
        <v>10064</v>
      </c>
      <c r="I1525" s="303" t="s">
        <v>10056</v>
      </c>
      <c r="J1525" s="303" t="s">
        <v>10057</v>
      </c>
      <c r="K1525" s="303" t="s">
        <v>10065</v>
      </c>
      <c r="L1525" s="303" t="s">
        <v>10070</v>
      </c>
      <c r="M1525" s="303">
        <v>1</v>
      </c>
      <c r="N1525" s="307" t="s">
        <v>10071</v>
      </c>
      <c r="O1525" s="1474"/>
      <c r="P1525" s="1475"/>
      <c r="Q1525" s="1476"/>
    </row>
    <row r="1526" spans="1:17" ht="11.1" customHeight="1">
      <c r="A1526" s="250" t="s">
        <v>11364</v>
      </c>
      <c r="B1526" s="302" t="s">
        <v>10098</v>
      </c>
      <c r="C1526" s="303">
        <v>6</v>
      </c>
      <c r="D1526" s="303" t="s">
        <v>11365</v>
      </c>
      <c r="E1526" s="306" t="s">
        <v>10104</v>
      </c>
      <c r="F1526" s="303" t="s">
        <v>11366</v>
      </c>
      <c r="G1526" s="303">
        <v>55</v>
      </c>
      <c r="H1526" s="303" t="s">
        <v>10064</v>
      </c>
      <c r="I1526" s="303" t="s">
        <v>10056</v>
      </c>
      <c r="J1526" s="303" t="s">
        <v>10057</v>
      </c>
      <c r="K1526" s="303" t="s">
        <v>10210</v>
      </c>
      <c r="L1526" s="303" t="s">
        <v>10066</v>
      </c>
      <c r="M1526" s="303">
        <v>2</v>
      </c>
      <c r="N1526" s="307" t="s">
        <v>10071</v>
      </c>
      <c r="O1526" s="1474"/>
      <c r="P1526" s="1475"/>
      <c r="Q1526" s="1476"/>
    </row>
    <row r="1527" spans="1:17" ht="11.1" customHeight="1">
      <c r="A1527" s="250" t="s">
        <v>11367</v>
      </c>
      <c r="B1527" s="302" t="s">
        <v>10098</v>
      </c>
      <c r="C1527" s="303">
        <v>6</v>
      </c>
      <c r="D1527" s="303" t="s">
        <v>11368</v>
      </c>
      <c r="E1527" s="306" t="s">
        <v>10104</v>
      </c>
      <c r="F1527" s="303" t="s">
        <v>11369</v>
      </c>
      <c r="G1527" s="303">
        <v>61</v>
      </c>
      <c r="H1527" s="303" t="s">
        <v>10064</v>
      </c>
      <c r="I1527" s="303" t="s">
        <v>10056</v>
      </c>
      <c r="J1527" s="303" t="s">
        <v>10057</v>
      </c>
      <c r="K1527" s="303" t="s">
        <v>10075</v>
      </c>
      <c r="L1527" s="303" t="s">
        <v>10066</v>
      </c>
      <c r="M1527" s="303">
        <v>1</v>
      </c>
      <c r="N1527" s="307" t="s">
        <v>10071</v>
      </c>
      <c r="O1527" s="1474"/>
      <c r="P1527" s="1475"/>
      <c r="Q1527" s="1476"/>
    </row>
    <row r="1528" spans="1:17" ht="11.1" customHeight="1">
      <c r="A1528" s="250" t="s">
        <v>11370</v>
      </c>
      <c r="B1528" s="302" t="s">
        <v>10098</v>
      </c>
      <c r="C1528" s="303">
        <v>6</v>
      </c>
      <c r="D1528" s="303" t="s">
        <v>11371</v>
      </c>
      <c r="E1528" s="306" t="s">
        <v>10104</v>
      </c>
      <c r="F1528" s="303" t="s">
        <v>11372</v>
      </c>
      <c r="G1528" s="303">
        <v>61</v>
      </c>
      <c r="H1528" s="303" t="s">
        <v>10064</v>
      </c>
      <c r="I1528" s="303" t="s">
        <v>10056</v>
      </c>
      <c r="J1528" s="303" t="s">
        <v>10057</v>
      </c>
      <c r="K1528" s="303" t="s">
        <v>10178</v>
      </c>
      <c r="L1528" s="303" t="s">
        <v>10066</v>
      </c>
      <c r="M1528" s="303">
        <v>4</v>
      </c>
      <c r="N1528" s="307" t="s">
        <v>10071</v>
      </c>
      <c r="O1528" s="1474"/>
      <c r="P1528" s="1475"/>
      <c r="Q1528" s="1476"/>
    </row>
    <row r="1529" spans="1:17" ht="11.1" customHeight="1">
      <c r="A1529" s="250" t="s">
        <v>11373</v>
      </c>
      <c r="B1529" s="302" t="s">
        <v>10098</v>
      </c>
      <c r="C1529" s="303">
        <v>6</v>
      </c>
      <c r="D1529" s="303" t="s">
        <v>11374</v>
      </c>
      <c r="E1529" s="306" t="s">
        <v>10104</v>
      </c>
      <c r="F1529" s="303" t="s">
        <v>11375</v>
      </c>
      <c r="G1529" s="303">
        <v>38</v>
      </c>
      <c r="H1529" s="303" t="s">
        <v>10064</v>
      </c>
      <c r="I1529" s="303" t="s">
        <v>10056</v>
      </c>
      <c r="J1529" s="303" t="s">
        <v>10057</v>
      </c>
      <c r="K1529" s="303" t="s">
        <v>10075</v>
      </c>
      <c r="L1529" s="303" t="s">
        <v>10066</v>
      </c>
      <c r="M1529" s="303">
        <v>2</v>
      </c>
      <c r="N1529" s="307" t="s">
        <v>10071</v>
      </c>
      <c r="O1529" s="1474"/>
      <c r="P1529" s="1475"/>
      <c r="Q1529" s="1476"/>
    </row>
    <row r="1530" spans="1:17" ht="11.1" customHeight="1">
      <c r="A1530" s="250" t="s">
        <v>11376</v>
      </c>
      <c r="B1530" s="302" t="s">
        <v>10098</v>
      </c>
      <c r="C1530" s="303">
        <v>6</v>
      </c>
      <c r="D1530" s="303" t="s">
        <v>11377</v>
      </c>
      <c r="E1530" s="306" t="s">
        <v>10104</v>
      </c>
      <c r="F1530" s="303" t="s">
        <v>11378</v>
      </c>
      <c r="G1530" s="303">
        <v>53</v>
      </c>
      <c r="H1530" s="303" t="s">
        <v>10064</v>
      </c>
      <c r="I1530" s="303" t="s">
        <v>10056</v>
      </c>
      <c r="J1530" s="303" t="s">
        <v>10057</v>
      </c>
      <c r="K1530" s="303" t="s">
        <v>10178</v>
      </c>
      <c r="L1530" s="303" t="s">
        <v>10066</v>
      </c>
      <c r="M1530" s="303">
        <v>2</v>
      </c>
      <c r="N1530" s="307" t="s">
        <v>10071</v>
      </c>
      <c r="O1530" s="1474"/>
      <c r="P1530" s="1475"/>
      <c r="Q1530" s="1476"/>
    </row>
    <row r="1531" spans="1:17" ht="11.1" customHeight="1">
      <c r="A1531" s="945" t="s">
        <v>11379</v>
      </c>
      <c r="B1531" s="340" t="s">
        <v>10098</v>
      </c>
      <c r="C1531" s="311">
        <v>6</v>
      </c>
      <c r="D1531" s="311" t="s">
        <v>11380</v>
      </c>
      <c r="E1531" s="312" t="s">
        <v>10104</v>
      </c>
      <c r="F1531" s="311" t="s">
        <v>11381</v>
      </c>
      <c r="G1531" s="311">
        <v>66</v>
      </c>
      <c r="H1531" s="311" t="s">
        <v>10064</v>
      </c>
      <c r="I1531" s="311" t="s">
        <v>10056</v>
      </c>
      <c r="J1531" s="311" t="s">
        <v>10057</v>
      </c>
      <c r="K1531" s="311" t="s">
        <v>10205</v>
      </c>
      <c r="L1531" s="311" t="s">
        <v>10066</v>
      </c>
      <c r="M1531" s="311">
        <v>7</v>
      </c>
      <c r="N1531" s="313" t="s">
        <v>10071</v>
      </c>
      <c r="O1531" s="1474"/>
      <c r="P1531" s="1475"/>
      <c r="Q1531" s="1476"/>
    </row>
    <row r="1532" spans="1:17" ht="11.1" customHeight="1">
      <c r="A1532" s="946" t="s">
        <v>11382</v>
      </c>
      <c r="B1532" s="192" t="s">
        <v>10051</v>
      </c>
      <c r="C1532" s="56">
        <v>1</v>
      </c>
      <c r="D1532" s="56" t="s">
        <v>11338</v>
      </c>
      <c r="E1532" s="193">
        <v>98.36</v>
      </c>
      <c r="F1532" s="56" t="s">
        <v>11383</v>
      </c>
      <c r="G1532" s="56">
        <v>57</v>
      </c>
      <c r="H1532" s="56" t="s">
        <v>10064</v>
      </c>
      <c r="I1532" s="56" t="s">
        <v>10056</v>
      </c>
      <c r="J1532" s="56" t="s">
        <v>10115</v>
      </c>
      <c r="K1532" s="56" t="s">
        <v>10122</v>
      </c>
      <c r="L1532" s="56" t="s">
        <v>10066</v>
      </c>
      <c r="M1532" s="56">
        <v>4</v>
      </c>
      <c r="N1532" s="341"/>
      <c r="O1532" s="1474">
        <v>9</v>
      </c>
      <c r="P1532" s="1475">
        <v>3157556</v>
      </c>
      <c r="Q1532" s="1476">
        <f>P1532*100/SUM(P1486:P1601)</f>
        <v>29.021166280015695</v>
      </c>
    </row>
    <row r="1533" spans="1:17" ht="11.1" customHeight="1">
      <c r="A1533" s="250" t="s">
        <v>11384</v>
      </c>
      <c r="B1533" s="194" t="s">
        <v>10051</v>
      </c>
      <c r="C1533" s="36">
        <v>1</v>
      </c>
      <c r="D1533" s="36" t="s">
        <v>11362</v>
      </c>
      <c r="E1533" s="195">
        <v>97.85</v>
      </c>
      <c r="F1533" s="36" t="s">
        <v>11385</v>
      </c>
      <c r="G1533" s="36">
        <v>46</v>
      </c>
      <c r="H1533" s="36" t="s">
        <v>10064</v>
      </c>
      <c r="I1533" s="36" t="s">
        <v>10056</v>
      </c>
      <c r="J1533" s="36" t="s">
        <v>10115</v>
      </c>
      <c r="K1533" s="36" t="s">
        <v>10116</v>
      </c>
      <c r="L1533" s="36" t="s">
        <v>10066</v>
      </c>
      <c r="M1533" s="36">
        <v>2</v>
      </c>
      <c r="N1533" s="316"/>
      <c r="O1533" s="1474"/>
      <c r="P1533" s="1475"/>
      <c r="Q1533" s="1476"/>
    </row>
    <row r="1534" spans="1:17" ht="11.1" customHeight="1">
      <c r="A1534" s="250" t="s">
        <v>11386</v>
      </c>
      <c r="B1534" s="194" t="s">
        <v>10051</v>
      </c>
      <c r="C1534" s="36">
        <v>1</v>
      </c>
      <c r="D1534" s="36" t="s">
        <v>11299</v>
      </c>
      <c r="E1534" s="195">
        <v>97.82</v>
      </c>
      <c r="F1534" s="36" t="s">
        <v>11387</v>
      </c>
      <c r="G1534" s="36">
        <v>38</v>
      </c>
      <c r="H1534" s="36" t="s">
        <v>10064</v>
      </c>
      <c r="I1534" s="36" t="s">
        <v>10056</v>
      </c>
      <c r="J1534" s="36" t="s">
        <v>10115</v>
      </c>
      <c r="K1534" s="36" t="s">
        <v>10116</v>
      </c>
      <c r="L1534" s="36" t="s">
        <v>10059</v>
      </c>
      <c r="M1534" s="36"/>
      <c r="N1534" s="316"/>
      <c r="O1534" s="1474"/>
      <c r="P1534" s="1475"/>
      <c r="Q1534" s="1476"/>
    </row>
    <row r="1535" spans="1:17" ht="11.1" customHeight="1">
      <c r="A1535" s="250" t="s">
        <v>11388</v>
      </c>
      <c r="B1535" s="194" t="s">
        <v>10051</v>
      </c>
      <c r="C1535" s="36">
        <v>1</v>
      </c>
      <c r="D1535" s="36" t="s">
        <v>11290</v>
      </c>
      <c r="E1535" s="195">
        <v>94.54</v>
      </c>
      <c r="F1535" s="36" t="s">
        <v>11389</v>
      </c>
      <c r="G1535" s="36">
        <v>60</v>
      </c>
      <c r="H1535" s="36" t="s">
        <v>10064</v>
      </c>
      <c r="I1535" s="36" t="s">
        <v>10056</v>
      </c>
      <c r="J1535" s="36" t="s">
        <v>10115</v>
      </c>
      <c r="K1535" s="36" t="s">
        <v>10674</v>
      </c>
      <c r="L1535" s="36" t="s">
        <v>10066</v>
      </c>
      <c r="M1535" s="36">
        <v>6</v>
      </c>
      <c r="N1535" s="316"/>
      <c r="O1535" s="1474"/>
      <c r="P1535" s="1475"/>
      <c r="Q1535" s="1476"/>
    </row>
    <row r="1536" spans="1:17" ht="11.1" customHeight="1">
      <c r="A1536" s="250" t="s">
        <v>11390</v>
      </c>
      <c r="B1536" s="194" t="s">
        <v>10051</v>
      </c>
      <c r="C1536" s="36">
        <v>1</v>
      </c>
      <c r="D1536" s="36" t="s">
        <v>11344</v>
      </c>
      <c r="E1536" s="195">
        <v>94.19</v>
      </c>
      <c r="F1536" s="36" t="s">
        <v>11391</v>
      </c>
      <c r="G1536" s="36">
        <v>66</v>
      </c>
      <c r="H1536" s="36" t="s">
        <v>10064</v>
      </c>
      <c r="I1536" s="36" t="s">
        <v>10056</v>
      </c>
      <c r="J1536" s="36" t="s">
        <v>10115</v>
      </c>
      <c r="K1536" s="36" t="s">
        <v>11392</v>
      </c>
      <c r="L1536" s="36" t="s">
        <v>10066</v>
      </c>
      <c r="M1536" s="36">
        <v>5</v>
      </c>
      <c r="N1536" s="316"/>
      <c r="O1536" s="1474"/>
      <c r="P1536" s="1475"/>
      <c r="Q1536" s="1476"/>
    </row>
    <row r="1537" spans="1:17" ht="11.1" customHeight="1">
      <c r="A1537" s="250" t="s">
        <v>11393</v>
      </c>
      <c r="B1537" s="194" t="s">
        <v>10051</v>
      </c>
      <c r="C1537" s="36">
        <v>1</v>
      </c>
      <c r="D1537" s="36" t="s">
        <v>11365</v>
      </c>
      <c r="E1537" s="195">
        <v>92.08</v>
      </c>
      <c r="F1537" s="36" t="s">
        <v>11394</v>
      </c>
      <c r="G1537" s="36">
        <v>50</v>
      </c>
      <c r="H1537" s="36" t="s">
        <v>10064</v>
      </c>
      <c r="I1537" s="36" t="s">
        <v>10056</v>
      </c>
      <c r="J1537" s="36" t="s">
        <v>10115</v>
      </c>
      <c r="K1537" s="36" t="s">
        <v>10116</v>
      </c>
      <c r="L1537" s="36" t="s">
        <v>10070</v>
      </c>
      <c r="M1537" s="36">
        <v>1</v>
      </c>
      <c r="N1537" s="316"/>
      <c r="O1537" s="1474"/>
      <c r="P1537" s="1475"/>
      <c r="Q1537" s="1476"/>
    </row>
    <row r="1538" spans="1:17" ht="11.1" customHeight="1">
      <c r="A1538" s="250" t="s">
        <v>11395</v>
      </c>
      <c r="B1538" s="194" t="s">
        <v>10051</v>
      </c>
      <c r="C1538" s="36">
        <v>1</v>
      </c>
      <c r="D1538" s="36" t="s">
        <v>11350</v>
      </c>
      <c r="E1538" s="195">
        <v>90.91</v>
      </c>
      <c r="F1538" s="36" t="s">
        <v>11396</v>
      </c>
      <c r="G1538" s="36">
        <v>41</v>
      </c>
      <c r="H1538" s="36" t="s">
        <v>10064</v>
      </c>
      <c r="I1538" s="36" t="s">
        <v>10056</v>
      </c>
      <c r="J1538" s="36" t="s">
        <v>10115</v>
      </c>
      <c r="K1538" s="36" t="s">
        <v>10140</v>
      </c>
      <c r="L1538" s="36" t="s">
        <v>10066</v>
      </c>
      <c r="M1538" s="36">
        <v>1</v>
      </c>
      <c r="N1538" s="316"/>
      <c r="O1538" s="1474"/>
      <c r="P1538" s="1475"/>
      <c r="Q1538" s="1476"/>
    </row>
    <row r="1539" spans="1:17" ht="11.1" customHeight="1">
      <c r="A1539" s="250" t="s">
        <v>11397</v>
      </c>
      <c r="B1539" s="194" t="s">
        <v>10051</v>
      </c>
      <c r="C1539" s="36">
        <v>1</v>
      </c>
      <c r="D1539" s="36" t="s">
        <v>11314</v>
      </c>
      <c r="E1539" s="195">
        <v>85.96</v>
      </c>
      <c r="F1539" s="36" t="s">
        <v>11398</v>
      </c>
      <c r="G1539" s="36">
        <v>55</v>
      </c>
      <c r="H1539" s="36" t="s">
        <v>10064</v>
      </c>
      <c r="I1539" s="36" t="s">
        <v>10056</v>
      </c>
      <c r="J1539" s="36" t="s">
        <v>10115</v>
      </c>
      <c r="K1539" s="36" t="s">
        <v>10140</v>
      </c>
      <c r="L1539" s="36" t="s">
        <v>10066</v>
      </c>
      <c r="M1539" s="36">
        <v>4</v>
      </c>
      <c r="N1539" s="316"/>
      <c r="O1539" s="1474"/>
      <c r="P1539" s="1475"/>
      <c r="Q1539" s="1476"/>
    </row>
    <row r="1540" spans="1:17" ht="11.1" customHeight="1">
      <c r="A1540" s="250" t="s">
        <v>11399</v>
      </c>
      <c r="B1540" s="194" t="s">
        <v>10051</v>
      </c>
      <c r="C1540" s="36">
        <v>1</v>
      </c>
      <c r="D1540" s="36" t="s">
        <v>11293</v>
      </c>
      <c r="E1540" s="195">
        <v>81.23</v>
      </c>
      <c r="F1540" s="36" t="s">
        <v>11400</v>
      </c>
      <c r="G1540" s="36">
        <v>61</v>
      </c>
      <c r="H1540" s="36" t="s">
        <v>10064</v>
      </c>
      <c r="I1540" s="36" t="s">
        <v>10056</v>
      </c>
      <c r="J1540" s="36" t="s">
        <v>10115</v>
      </c>
      <c r="K1540" s="36" t="s">
        <v>10119</v>
      </c>
      <c r="L1540" s="36" t="s">
        <v>10066</v>
      </c>
      <c r="M1540" s="36">
        <v>1</v>
      </c>
      <c r="N1540" s="316"/>
      <c r="O1540" s="1474"/>
      <c r="P1540" s="1475"/>
      <c r="Q1540" s="1476"/>
    </row>
    <row r="1541" spans="1:17" ht="11.1" customHeight="1">
      <c r="A1541" s="250" t="s">
        <v>11401</v>
      </c>
      <c r="B1541" s="187"/>
      <c r="C1541" s="42">
        <v>1</v>
      </c>
      <c r="D1541" s="42" t="s">
        <v>11359</v>
      </c>
      <c r="E1541" s="188">
        <v>80.3</v>
      </c>
      <c r="F1541" s="42" t="s">
        <v>11402</v>
      </c>
      <c r="G1541" s="42">
        <v>30</v>
      </c>
      <c r="H1541" s="42" t="s">
        <v>10064</v>
      </c>
      <c r="I1541" s="42" t="s">
        <v>10056</v>
      </c>
      <c r="J1541" s="42" t="s">
        <v>10115</v>
      </c>
      <c r="K1541" s="42" t="s">
        <v>10116</v>
      </c>
      <c r="L1541" s="42" t="s">
        <v>10059</v>
      </c>
      <c r="M1541" s="42"/>
      <c r="N1541" s="308"/>
      <c r="O1541" s="1474"/>
      <c r="P1541" s="1475"/>
      <c r="Q1541" s="1476"/>
    </row>
    <row r="1542" spans="1:17" ht="11.1" customHeight="1">
      <c r="A1542" s="250" t="s">
        <v>11403</v>
      </c>
      <c r="B1542" s="187"/>
      <c r="C1542" s="42">
        <v>1</v>
      </c>
      <c r="D1542" s="42" t="s">
        <v>11326</v>
      </c>
      <c r="E1542" s="188">
        <v>79.97</v>
      </c>
      <c r="F1542" s="42" t="s">
        <v>11404</v>
      </c>
      <c r="G1542" s="42">
        <v>46</v>
      </c>
      <c r="H1542" s="42" t="s">
        <v>10064</v>
      </c>
      <c r="I1542" s="42" t="s">
        <v>10056</v>
      </c>
      <c r="J1542" s="42" t="s">
        <v>10115</v>
      </c>
      <c r="K1542" s="42" t="s">
        <v>10140</v>
      </c>
      <c r="L1542" s="42" t="s">
        <v>10066</v>
      </c>
      <c r="M1542" s="42">
        <v>4</v>
      </c>
      <c r="N1542" s="308"/>
      <c r="O1542" s="1474"/>
      <c r="P1542" s="1475"/>
      <c r="Q1542" s="1476"/>
    </row>
    <row r="1543" spans="1:17" ht="11.1" customHeight="1">
      <c r="A1543" s="250" t="s">
        <v>11405</v>
      </c>
      <c r="B1543" s="187"/>
      <c r="C1543" s="42">
        <v>1</v>
      </c>
      <c r="D1543" s="42" t="s">
        <v>11317</v>
      </c>
      <c r="E1543" s="188">
        <v>79.8</v>
      </c>
      <c r="F1543" s="42" t="s">
        <v>11406</v>
      </c>
      <c r="G1543" s="42">
        <v>64</v>
      </c>
      <c r="H1543" s="42" t="s">
        <v>10064</v>
      </c>
      <c r="I1543" s="42" t="s">
        <v>10056</v>
      </c>
      <c r="J1543" s="42" t="s">
        <v>10115</v>
      </c>
      <c r="K1543" s="42" t="s">
        <v>10674</v>
      </c>
      <c r="L1543" s="42" t="s">
        <v>10066</v>
      </c>
      <c r="M1543" s="42">
        <v>10</v>
      </c>
      <c r="N1543" s="308"/>
      <c r="O1543" s="1474"/>
      <c r="P1543" s="1475"/>
      <c r="Q1543" s="1476"/>
    </row>
    <row r="1544" spans="1:17" ht="11.1" customHeight="1">
      <c r="A1544" s="250" t="s">
        <v>11407</v>
      </c>
      <c r="B1544" s="187"/>
      <c r="C1544" s="42">
        <v>1</v>
      </c>
      <c r="D1544" s="42" t="s">
        <v>11408</v>
      </c>
      <c r="E1544" s="188">
        <v>78.62</v>
      </c>
      <c r="F1544" s="42" t="s">
        <v>11409</v>
      </c>
      <c r="G1544" s="42">
        <v>42</v>
      </c>
      <c r="H1544" s="42" t="s">
        <v>10064</v>
      </c>
      <c r="I1544" s="42" t="s">
        <v>10056</v>
      </c>
      <c r="J1544" s="42" t="s">
        <v>10115</v>
      </c>
      <c r="K1544" s="42" t="s">
        <v>10116</v>
      </c>
      <c r="L1544" s="42" t="s">
        <v>10066</v>
      </c>
      <c r="M1544" s="42">
        <v>1</v>
      </c>
      <c r="N1544" s="308"/>
      <c r="O1544" s="1474"/>
      <c r="P1544" s="1475"/>
      <c r="Q1544" s="1476"/>
    </row>
    <row r="1545" spans="1:17" ht="11.1" customHeight="1">
      <c r="A1545" s="250" t="s">
        <v>11410</v>
      </c>
      <c r="B1545" s="187"/>
      <c r="C1545" s="42">
        <v>1</v>
      </c>
      <c r="D1545" s="42" t="s">
        <v>11320</v>
      </c>
      <c r="E1545" s="188">
        <v>78.599999999999994</v>
      </c>
      <c r="F1545" s="42" t="s">
        <v>11411</v>
      </c>
      <c r="G1545" s="42">
        <v>42</v>
      </c>
      <c r="H1545" s="42" t="s">
        <v>10064</v>
      </c>
      <c r="I1545" s="42" t="s">
        <v>10056</v>
      </c>
      <c r="J1545" s="42" t="s">
        <v>10115</v>
      </c>
      <c r="K1545" s="42" t="s">
        <v>10119</v>
      </c>
      <c r="L1545" s="42" t="s">
        <v>10066</v>
      </c>
      <c r="M1545" s="42">
        <v>2</v>
      </c>
      <c r="N1545" s="308"/>
      <c r="O1545" s="1474"/>
      <c r="P1545" s="1475"/>
      <c r="Q1545" s="1476"/>
    </row>
    <row r="1546" spans="1:17" ht="11.1" customHeight="1">
      <c r="A1546" s="250" t="s">
        <v>11412</v>
      </c>
      <c r="B1546" s="187"/>
      <c r="C1546" s="42">
        <v>1</v>
      </c>
      <c r="D1546" s="42" t="s">
        <v>11287</v>
      </c>
      <c r="E1546" s="188">
        <v>78.260000000000005</v>
      </c>
      <c r="F1546" s="42" t="s">
        <v>11413</v>
      </c>
      <c r="G1546" s="42">
        <v>34</v>
      </c>
      <c r="H1546" s="42" t="s">
        <v>10064</v>
      </c>
      <c r="I1546" s="42" t="s">
        <v>10056</v>
      </c>
      <c r="J1546" s="42" t="s">
        <v>10115</v>
      </c>
      <c r="K1546" s="42" t="s">
        <v>10116</v>
      </c>
      <c r="L1546" s="42" t="s">
        <v>10066</v>
      </c>
      <c r="M1546" s="42">
        <v>2</v>
      </c>
      <c r="N1546" s="308"/>
      <c r="O1546" s="1474"/>
      <c r="P1546" s="1475"/>
      <c r="Q1546" s="1476"/>
    </row>
    <row r="1547" spans="1:17" ht="11.1" customHeight="1">
      <c r="A1547" s="250" t="s">
        <v>11414</v>
      </c>
      <c r="B1547" s="187"/>
      <c r="C1547" s="42">
        <v>1</v>
      </c>
      <c r="D1547" s="42" t="s">
        <v>11374</v>
      </c>
      <c r="E1547" s="188">
        <v>77.94</v>
      </c>
      <c r="F1547" s="42" t="s">
        <v>11415</v>
      </c>
      <c r="G1547" s="42">
        <v>49</v>
      </c>
      <c r="H1547" s="42" t="s">
        <v>10064</v>
      </c>
      <c r="I1547" s="42" t="s">
        <v>10056</v>
      </c>
      <c r="J1547" s="42" t="s">
        <v>10115</v>
      </c>
      <c r="K1547" s="42" t="s">
        <v>10116</v>
      </c>
      <c r="L1547" s="42" t="s">
        <v>10059</v>
      </c>
      <c r="M1547" s="42"/>
      <c r="N1547" s="308"/>
      <c r="O1547" s="1474"/>
      <c r="P1547" s="1475"/>
      <c r="Q1547" s="1476"/>
    </row>
    <row r="1548" spans="1:17" ht="11.1" customHeight="1">
      <c r="A1548" s="250" t="s">
        <v>11416</v>
      </c>
      <c r="B1548" s="187"/>
      <c r="C1548" s="42">
        <v>1</v>
      </c>
      <c r="D1548" s="42" t="s">
        <v>11417</v>
      </c>
      <c r="E1548" s="188">
        <v>75.75</v>
      </c>
      <c r="F1548" s="42" t="s">
        <v>11418</v>
      </c>
      <c r="G1548" s="42">
        <v>58</v>
      </c>
      <c r="H1548" s="42" t="s">
        <v>10064</v>
      </c>
      <c r="I1548" s="42" t="s">
        <v>10056</v>
      </c>
      <c r="J1548" s="42" t="s">
        <v>10115</v>
      </c>
      <c r="K1548" s="42" t="s">
        <v>10122</v>
      </c>
      <c r="L1548" s="42" t="s">
        <v>10066</v>
      </c>
      <c r="M1548" s="42">
        <v>1</v>
      </c>
      <c r="N1548" s="308"/>
      <c r="O1548" s="1474"/>
      <c r="P1548" s="1475"/>
      <c r="Q1548" s="1476"/>
    </row>
    <row r="1549" spans="1:17" ht="11.1" customHeight="1">
      <c r="A1549" s="250" t="s">
        <v>11419</v>
      </c>
      <c r="B1549" s="187"/>
      <c r="C1549" s="42">
        <v>1</v>
      </c>
      <c r="D1549" s="42" t="s">
        <v>11347</v>
      </c>
      <c r="E1549" s="188">
        <v>74.52</v>
      </c>
      <c r="F1549" s="42" t="s">
        <v>11420</v>
      </c>
      <c r="G1549" s="42">
        <v>48</v>
      </c>
      <c r="H1549" s="42" t="s">
        <v>10064</v>
      </c>
      <c r="I1549" s="42" t="s">
        <v>10056</v>
      </c>
      <c r="J1549" s="42" t="s">
        <v>10115</v>
      </c>
      <c r="K1549" s="42" t="s">
        <v>10122</v>
      </c>
      <c r="L1549" s="42" t="s">
        <v>10066</v>
      </c>
      <c r="M1549" s="42">
        <v>1</v>
      </c>
      <c r="N1549" s="308"/>
      <c r="O1549" s="1474"/>
      <c r="P1549" s="1475"/>
      <c r="Q1549" s="1476"/>
    </row>
    <row r="1550" spans="1:17" ht="11.1" customHeight="1">
      <c r="A1550" s="250" t="s">
        <v>11421</v>
      </c>
      <c r="B1550" s="187"/>
      <c r="C1550" s="42">
        <v>1</v>
      </c>
      <c r="D1550" s="42" t="s">
        <v>11422</v>
      </c>
      <c r="E1550" s="188">
        <v>73.37</v>
      </c>
      <c r="F1550" s="42" t="s">
        <v>11423</v>
      </c>
      <c r="G1550" s="42">
        <v>57</v>
      </c>
      <c r="H1550" s="42" t="s">
        <v>10064</v>
      </c>
      <c r="I1550" s="42" t="s">
        <v>10056</v>
      </c>
      <c r="J1550" s="42" t="s">
        <v>10115</v>
      </c>
      <c r="K1550" s="42" t="s">
        <v>10127</v>
      </c>
      <c r="L1550" s="42" t="s">
        <v>10066</v>
      </c>
      <c r="M1550" s="42">
        <v>1</v>
      </c>
      <c r="N1550" s="308"/>
      <c r="O1550" s="1474"/>
      <c r="P1550" s="1475"/>
      <c r="Q1550" s="1476"/>
    </row>
    <row r="1551" spans="1:17" ht="11.1" customHeight="1">
      <c r="A1551" s="250" t="s">
        <v>11424</v>
      </c>
      <c r="B1551" s="187"/>
      <c r="C1551" s="42">
        <v>1</v>
      </c>
      <c r="D1551" s="42" t="s">
        <v>11368</v>
      </c>
      <c r="E1551" s="188">
        <v>71.75</v>
      </c>
      <c r="F1551" s="42" t="s">
        <v>11425</v>
      </c>
      <c r="G1551" s="42">
        <v>41</v>
      </c>
      <c r="H1551" s="42" t="s">
        <v>10064</v>
      </c>
      <c r="I1551" s="42" t="s">
        <v>10056</v>
      </c>
      <c r="J1551" s="42" t="s">
        <v>10115</v>
      </c>
      <c r="K1551" s="42" t="s">
        <v>10116</v>
      </c>
      <c r="L1551" s="42" t="s">
        <v>10059</v>
      </c>
      <c r="M1551" s="42"/>
      <c r="N1551" s="308"/>
      <c r="O1551" s="1474"/>
      <c r="P1551" s="1475"/>
      <c r="Q1551" s="1476"/>
    </row>
    <row r="1552" spans="1:17" ht="11.1" customHeight="1">
      <c r="A1552" s="250" t="s">
        <v>11426</v>
      </c>
      <c r="B1552" s="187"/>
      <c r="C1552" s="42">
        <v>1</v>
      </c>
      <c r="D1552" s="42" t="s">
        <v>11308</v>
      </c>
      <c r="E1552" s="188">
        <v>71.59</v>
      </c>
      <c r="F1552" s="42" t="s">
        <v>11427</v>
      </c>
      <c r="G1552" s="42">
        <v>37</v>
      </c>
      <c r="H1552" s="42" t="s">
        <v>10064</v>
      </c>
      <c r="I1552" s="42" t="s">
        <v>10056</v>
      </c>
      <c r="J1552" s="42" t="s">
        <v>10115</v>
      </c>
      <c r="K1552" s="42" t="s">
        <v>10116</v>
      </c>
      <c r="L1552" s="42" t="s">
        <v>10059</v>
      </c>
      <c r="M1552" s="42"/>
      <c r="N1552" s="308"/>
      <c r="O1552" s="1474"/>
      <c r="P1552" s="1475"/>
      <c r="Q1552" s="1476"/>
    </row>
    <row r="1553" spans="1:17" ht="11.1" customHeight="1">
      <c r="A1553" s="250" t="s">
        <v>11428</v>
      </c>
      <c r="B1553" s="187"/>
      <c r="C1553" s="42">
        <v>1</v>
      </c>
      <c r="D1553" s="42" t="s">
        <v>11429</v>
      </c>
      <c r="E1553" s="188">
        <v>71.44</v>
      </c>
      <c r="F1553" s="42" t="s">
        <v>11430</v>
      </c>
      <c r="G1553" s="42">
        <v>57</v>
      </c>
      <c r="H1553" s="42" t="s">
        <v>10064</v>
      </c>
      <c r="I1553" s="42" t="s">
        <v>10056</v>
      </c>
      <c r="J1553" s="42" t="s">
        <v>10115</v>
      </c>
      <c r="K1553" s="42" t="s">
        <v>10116</v>
      </c>
      <c r="L1553" s="42" t="s">
        <v>10066</v>
      </c>
      <c r="M1553" s="42">
        <v>1</v>
      </c>
      <c r="N1553" s="308"/>
      <c r="O1553" s="1474"/>
      <c r="P1553" s="1475"/>
      <c r="Q1553" s="1476"/>
    </row>
    <row r="1554" spans="1:17" ht="11.1" customHeight="1">
      <c r="A1554" s="250" t="s">
        <v>11431</v>
      </c>
      <c r="B1554" s="187"/>
      <c r="C1554" s="42">
        <v>1</v>
      </c>
      <c r="D1554" s="42" t="s">
        <v>11371</v>
      </c>
      <c r="E1554" s="188">
        <v>71.05</v>
      </c>
      <c r="F1554" s="42" t="s">
        <v>11432</v>
      </c>
      <c r="G1554" s="42">
        <v>47</v>
      </c>
      <c r="H1554" s="42" t="s">
        <v>10064</v>
      </c>
      <c r="I1554" s="42" t="s">
        <v>10056</v>
      </c>
      <c r="J1554" s="42" t="s">
        <v>10115</v>
      </c>
      <c r="K1554" s="42" t="s">
        <v>10116</v>
      </c>
      <c r="L1554" s="42" t="s">
        <v>10059</v>
      </c>
      <c r="M1554" s="42"/>
      <c r="N1554" s="308"/>
      <c r="O1554" s="1474"/>
      <c r="P1554" s="1475"/>
      <c r="Q1554" s="1476"/>
    </row>
    <row r="1555" spans="1:17" ht="11.1" customHeight="1">
      <c r="A1555" s="250" t="s">
        <v>11433</v>
      </c>
      <c r="B1555" s="187"/>
      <c r="C1555" s="42">
        <v>1</v>
      </c>
      <c r="D1555" s="42" t="s">
        <v>11377</v>
      </c>
      <c r="E1555" s="188">
        <v>70.290000000000006</v>
      </c>
      <c r="F1555" s="42" t="s">
        <v>11434</v>
      </c>
      <c r="G1555" s="42">
        <v>35</v>
      </c>
      <c r="H1555" s="42" t="s">
        <v>10064</v>
      </c>
      <c r="I1555" s="42" t="s">
        <v>10056</v>
      </c>
      <c r="J1555" s="42" t="s">
        <v>10115</v>
      </c>
      <c r="K1555" s="42" t="s">
        <v>10122</v>
      </c>
      <c r="L1555" s="42" t="s">
        <v>10066</v>
      </c>
      <c r="M1555" s="42">
        <v>1</v>
      </c>
      <c r="N1555" s="308"/>
      <c r="O1555" s="1474"/>
      <c r="P1555" s="1475"/>
      <c r="Q1555" s="1476"/>
    </row>
    <row r="1556" spans="1:17" ht="11.1" customHeight="1">
      <c r="A1556" s="250" t="s">
        <v>11435</v>
      </c>
      <c r="B1556" s="187"/>
      <c r="C1556" s="42">
        <v>1</v>
      </c>
      <c r="D1556" s="42" t="s">
        <v>11436</v>
      </c>
      <c r="E1556" s="188">
        <v>70.099999999999994</v>
      </c>
      <c r="F1556" s="42" t="s">
        <v>11437</v>
      </c>
      <c r="G1556" s="42">
        <v>38</v>
      </c>
      <c r="H1556" s="42" t="s">
        <v>10064</v>
      </c>
      <c r="I1556" s="42" t="s">
        <v>10056</v>
      </c>
      <c r="J1556" s="42" t="s">
        <v>10115</v>
      </c>
      <c r="K1556" s="42" t="s">
        <v>10116</v>
      </c>
      <c r="L1556" s="42" t="s">
        <v>10066</v>
      </c>
      <c r="M1556" s="42">
        <v>1</v>
      </c>
      <c r="N1556" s="308"/>
      <c r="O1556" s="1474"/>
      <c r="P1556" s="1475"/>
      <c r="Q1556" s="1476"/>
    </row>
    <row r="1557" spans="1:17" ht="11.1" customHeight="1">
      <c r="A1557" s="250" t="s">
        <v>11438</v>
      </c>
      <c r="B1557" s="187"/>
      <c r="C1557" s="42">
        <v>1</v>
      </c>
      <c r="D1557" s="42" t="s">
        <v>11311</v>
      </c>
      <c r="E1557" s="188">
        <v>69.47</v>
      </c>
      <c r="F1557" s="42" t="s">
        <v>11439</v>
      </c>
      <c r="G1557" s="42">
        <v>43</v>
      </c>
      <c r="H1557" s="42" t="s">
        <v>10064</v>
      </c>
      <c r="I1557" s="42" t="s">
        <v>10056</v>
      </c>
      <c r="J1557" s="42" t="s">
        <v>10115</v>
      </c>
      <c r="K1557" s="42" t="s">
        <v>10674</v>
      </c>
      <c r="L1557" s="42" t="s">
        <v>10066</v>
      </c>
      <c r="M1557" s="42">
        <v>3</v>
      </c>
      <c r="N1557" s="308"/>
      <c r="O1557" s="1474"/>
      <c r="P1557" s="1475"/>
      <c r="Q1557" s="1476"/>
    </row>
    <row r="1558" spans="1:17" ht="11.1" customHeight="1">
      <c r="A1558" s="250" t="s">
        <v>11440</v>
      </c>
      <c r="B1558" s="187"/>
      <c r="C1558" s="42">
        <v>1</v>
      </c>
      <c r="D1558" s="42" t="s">
        <v>11341</v>
      </c>
      <c r="E1558" s="188">
        <v>68.290000000000006</v>
      </c>
      <c r="F1558" s="42" t="s">
        <v>11441</v>
      </c>
      <c r="G1558" s="42">
        <v>71</v>
      </c>
      <c r="H1558" s="42" t="s">
        <v>10064</v>
      </c>
      <c r="I1558" s="42" t="s">
        <v>10056</v>
      </c>
      <c r="J1558" s="42" t="s">
        <v>10115</v>
      </c>
      <c r="K1558" s="42" t="s">
        <v>10140</v>
      </c>
      <c r="L1558" s="42" t="s">
        <v>10066</v>
      </c>
      <c r="M1558" s="42">
        <v>11</v>
      </c>
      <c r="N1558" s="308"/>
      <c r="O1558" s="1474"/>
      <c r="P1558" s="1475"/>
      <c r="Q1558" s="1476"/>
    </row>
    <row r="1559" spans="1:17" ht="11.1" customHeight="1">
      <c r="A1559" s="250" t="s">
        <v>11442</v>
      </c>
      <c r="B1559" s="187"/>
      <c r="C1559" s="42">
        <v>1</v>
      </c>
      <c r="D1559" s="42" t="s">
        <v>11443</v>
      </c>
      <c r="E1559" s="188">
        <v>66.900000000000006</v>
      </c>
      <c r="F1559" s="42" t="s">
        <v>11444</v>
      </c>
      <c r="G1559" s="42">
        <v>54</v>
      </c>
      <c r="H1559" s="42" t="s">
        <v>10064</v>
      </c>
      <c r="I1559" s="42" t="s">
        <v>10056</v>
      </c>
      <c r="J1559" s="42" t="s">
        <v>10115</v>
      </c>
      <c r="K1559" s="42" t="s">
        <v>10127</v>
      </c>
      <c r="L1559" s="42" t="s">
        <v>10066</v>
      </c>
      <c r="M1559" s="42">
        <v>1</v>
      </c>
      <c r="N1559" s="308"/>
      <c r="O1559" s="1474"/>
      <c r="P1559" s="1475"/>
      <c r="Q1559" s="1476"/>
    </row>
    <row r="1560" spans="1:17" ht="11.1" customHeight="1">
      <c r="A1560" s="250" t="s">
        <v>11445</v>
      </c>
      <c r="B1560" s="187"/>
      <c r="C1560" s="42">
        <v>1</v>
      </c>
      <c r="D1560" s="42" t="s">
        <v>11446</v>
      </c>
      <c r="E1560" s="188">
        <v>66.5</v>
      </c>
      <c r="F1560" s="42" t="s">
        <v>11447</v>
      </c>
      <c r="G1560" s="42">
        <v>53</v>
      </c>
      <c r="H1560" s="42" t="s">
        <v>10064</v>
      </c>
      <c r="I1560" s="42" t="s">
        <v>10056</v>
      </c>
      <c r="J1560" s="42" t="s">
        <v>10115</v>
      </c>
      <c r="K1560" s="42" t="s">
        <v>10122</v>
      </c>
      <c r="L1560" s="42" t="s">
        <v>10059</v>
      </c>
      <c r="M1560" s="42"/>
      <c r="N1560" s="308"/>
      <c r="O1560" s="1474"/>
      <c r="P1560" s="1475"/>
      <c r="Q1560" s="1476"/>
    </row>
    <row r="1561" spans="1:17" ht="11.1" customHeight="1">
      <c r="A1561" s="250" t="s">
        <v>11448</v>
      </c>
      <c r="B1561" s="187"/>
      <c r="C1561" s="42">
        <v>1</v>
      </c>
      <c r="D1561" s="42" t="s">
        <v>11353</v>
      </c>
      <c r="E1561" s="188">
        <v>65.819999999999993</v>
      </c>
      <c r="F1561" s="42" t="s">
        <v>11449</v>
      </c>
      <c r="G1561" s="42">
        <v>34</v>
      </c>
      <c r="H1561" s="42" t="s">
        <v>10064</v>
      </c>
      <c r="I1561" s="42" t="s">
        <v>10056</v>
      </c>
      <c r="J1561" s="42" t="s">
        <v>10115</v>
      </c>
      <c r="K1561" s="42" t="s">
        <v>10140</v>
      </c>
      <c r="L1561" s="42" t="s">
        <v>10059</v>
      </c>
      <c r="M1561" s="42"/>
      <c r="N1561" s="308"/>
      <c r="O1561" s="1474"/>
      <c r="P1561" s="1475"/>
      <c r="Q1561" s="1476"/>
    </row>
    <row r="1562" spans="1:17" ht="11.1" customHeight="1">
      <c r="A1562" s="250" t="s">
        <v>11450</v>
      </c>
      <c r="B1562" s="187"/>
      <c r="C1562" s="42">
        <v>1</v>
      </c>
      <c r="D1562" s="42" t="s">
        <v>11451</v>
      </c>
      <c r="E1562" s="188">
        <v>64.47</v>
      </c>
      <c r="F1562" s="42" t="s">
        <v>11452</v>
      </c>
      <c r="G1562" s="42">
        <v>41</v>
      </c>
      <c r="H1562" s="42" t="s">
        <v>10064</v>
      </c>
      <c r="I1562" s="42" t="s">
        <v>10056</v>
      </c>
      <c r="J1562" s="42" t="s">
        <v>10115</v>
      </c>
      <c r="K1562" s="42" t="s">
        <v>10116</v>
      </c>
      <c r="L1562" s="42" t="s">
        <v>10059</v>
      </c>
      <c r="M1562" s="42"/>
      <c r="N1562" s="308"/>
      <c r="O1562" s="1474"/>
      <c r="P1562" s="1475"/>
      <c r="Q1562" s="1476"/>
    </row>
    <row r="1563" spans="1:17" ht="11.1" customHeight="1">
      <c r="A1563" s="250" t="s">
        <v>11453</v>
      </c>
      <c r="B1563" s="187"/>
      <c r="C1563" s="42">
        <v>1</v>
      </c>
      <c r="D1563" s="42" t="s">
        <v>11323</v>
      </c>
      <c r="E1563" s="188">
        <v>63.04</v>
      </c>
      <c r="F1563" s="42" t="s">
        <v>11454</v>
      </c>
      <c r="G1563" s="42">
        <v>64</v>
      </c>
      <c r="H1563" s="42" t="s">
        <v>10054</v>
      </c>
      <c r="I1563" s="42" t="s">
        <v>10056</v>
      </c>
      <c r="J1563" s="42" t="s">
        <v>10115</v>
      </c>
      <c r="K1563" s="42" t="s">
        <v>10127</v>
      </c>
      <c r="L1563" s="42" t="s">
        <v>10066</v>
      </c>
      <c r="M1563" s="42">
        <v>3</v>
      </c>
      <c r="N1563" s="308"/>
      <c r="O1563" s="1474"/>
      <c r="P1563" s="1475"/>
      <c r="Q1563" s="1476"/>
    </row>
    <row r="1564" spans="1:17" ht="11.1" customHeight="1">
      <c r="A1564" s="250" t="s">
        <v>11455</v>
      </c>
      <c r="B1564" s="187"/>
      <c r="C1564" s="42">
        <v>1</v>
      </c>
      <c r="D1564" s="42" t="s">
        <v>11305</v>
      </c>
      <c r="E1564" s="188">
        <v>62</v>
      </c>
      <c r="F1564" s="42" t="s">
        <v>11456</v>
      </c>
      <c r="G1564" s="42">
        <v>34</v>
      </c>
      <c r="H1564" s="42" t="s">
        <v>10064</v>
      </c>
      <c r="I1564" s="42" t="s">
        <v>10056</v>
      </c>
      <c r="J1564" s="42" t="s">
        <v>10115</v>
      </c>
      <c r="K1564" s="42" t="s">
        <v>10116</v>
      </c>
      <c r="L1564" s="42" t="s">
        <v>10059</v>
      </c>
      <c r="M1564" s="42"/>
      <c r="N1564" s="308"/>
      <c r="O1564" s="1474"/>
      <c r="P1564" s="1475"/>
      <c r="Q1564" s="1476"/>
    </row>
    <row r="1565" spans="1:17" ht="11.1" customHeight="1">
      <c r="A1565" s="250" t="s">
        <v>11457</v>
      </c>
      <c r="B1565" s="187"/>
      <c r="C1565" s="42">
        <v>1</v>
      </c>
      <c r="D1565" s="42" t="s">
        <v>11296</v>
      </c>
      <c r="E1565" s="188">
        <v>60.76</v>
      </c>
      <c r="F1565" s="42" t="s">
        <v>11458</v>
      </c>
      <c r="G1565" s="42">
        <v>61</v>
      </c>
      <c r="H1565" s="42" t="s">
        <v>10064</v>
      </c>
      <c r="I1565" s="42" t="s">
        <v>10056</v>
      </c>
      <c r="J1565" s="42" t="s">
        <v>10115</v>
      </c>
      <c r="K1565" s="42" t="s">
        <v>10674</v>
      </c>
      <c r="L1565" s="42" t="s">
        <v>10066</v>
      </c>
      <c r="M1565" s="42">
        <v>8</v>
      </c>
      <c r="N1565" s="308"/>
      <c r="O1565" s="1474"/>
      <c r="P1565" s="1475"/>
      <c r="Q1565" s="1476"/>
    </row>
    <row r="1566" spans="1:17" ht="11.1" customHeight="1">
      <c r="A1566" s="250" t="s">
        <v>11459</v>
      </c>
      <c r="B1566" s="187"/>
      <c r="C1566" s="42">
        <v>1</v>
      </c>
      <c r="D1566" s="42" t="s">
        <v>11332</v>
      </c>
      <c r="E1566" s="188">
        <v>58.7</v>
      </c>
      <c r="F1566" s="42" t="s">
        <v>11460</v>
      </c>
      <c r="G1566" s="42">
        <v>42</v>
      </c>
      <c r="H1566" s="42" t="s">
        <v>10064</v>
      </c>
      <c r="I1566" s="42" t="s">
        <v>10056</v>
      </c>
      <c r="J1566" s="42" t="s">
        <v>10115</v>
      </c>
      <c r="K1566" s="42" t="s">
        <v>10116</v>
      </c>
      <c r="L1566" s="42" t="s">
        <v>10059</v>
      </c>
      <c r="M1566" s="42"/>
      <c r="N1566" s="308"/>
      <c r="O1566" s="1474"/>
      <c r="P1566" s="1475"/>
      <c r="Q1566" s="1476"/>
    </row>
    <row r="1567" spans="1:17" ht="11.1" customHeight="1">
      <c r="A1567" s="250" t="s">
        <v>11461</v>
      </c>
      <c r="B1567" s="187"/>
      <c r="C1567" s="42">
        <v>1</v>
      </c>
      <c r="D1567" s="42" t="s">
        <v>11335</v>
      </c>
      <c r="E1567" s="188">
        <v>57.27</v>
      </c>
      <c r="F1567" s="42" t="s">
        <v>11462</v>
      </c>
      <c r="G1567" s="42">
        <v>37</v>
      </c>
      <c r="H1567" s="42" t="s">
        <v>10054</v>
      </c>
      <c r="I1567" s="42" t="s">
        <v>10056</v>
      </c>
      <c r="J1567" s="42" t="s">
        <v>10115</v>
      </c>
      <c r="K1567" s="42" t="s">
        <v>10116</v>
      </c>
      <c r="L1567" s="42" t="s">
        <v>10059</v>
      </c>
      <c r="M1567" s="42"/>
      <c r="N1567" s="308"/>
      <c r="O1567" s="1474"/>
      <c r="P1567" s="1475"/>
      <c r="Q1567" s="1476"/>
    </row>
    <row r="1568" spans="1:17" ht="11.1" customHeight="1">
      <c r="A1568" s="250" t="s">
        <v>11463</v>
      </c>
      <c r="B1568" s="187"/>
      <c r="C1568" s="42">
        <v>1</v>
      </c>
      <c r="D1568" s="42" t="s">
        <v>11302</v>
      </c>
      <c r="E1568" s="188">
        <v>46.29</v>
      </c>
      <c r="F1568" s="42" t="s">
        <v>11464</v>
      </c>
      <c r="G1568" s="42">
        <v>35</v>
      </c>
      <c r="H1568" s="42" t="s">
        <v>10064</v>
      </c>
      <c r="I1568" s="42" t="s">
        <v>10056</v>
      </c>
      <c r="J1568" s="42" t="s">
        <v>10115</v>
      </c>
      <c r="K1568" s="42" t="s">
        <v>10116</v>
      </c>
      <c r="L1568" s="42" t="s">
        <v>10059</v>
      </c>
      <c r="M1568" s="42"/>
      <c r="N1568" s="308"/>
      <c r="O1568" s="1474"/>
      <c r="P1568" s="1475"/>
      <c r="Q1568" s="1476"/>
    </row>
    <row r="1569" spans="1:17" ht="11.1" customHeight="1">
      <c r="A1569" s="250" t="s">
        <v>11465</v>
      </c>
      <c r="B1569" s="187"/>
      <c r="C1569" s="42">
        <v>1</v>
      </c>
      <c r="D1569" s="42" t="s">
        <v>11356</v>
      </c>
      <c r="E1569" s="188">
        <v>45.11</v>
      </c>
      <c r="F1569" s="42" t="s">
        <v>11466</v>
      </c>
      <c r="G1569" s="42">
        <v>33</v>
      </c>
      <c r="H1569" s="42" t="s">
        <v>10064</v>
      </c>
      <c r="I1569" s="42" t="s">
        <v>10056</v>
      </c>
      <c r="J1569" s="42" t="s">
        <v>10115</v>
      </c>
      <c r="K1569" s="42" t="s">
        <v>10116</v>
      </c>
      <c r="L1569" s="42" t="s">
        <v>10059</v>
      </c>
      <c r="M1569" s="42"/>
      <c r="N1569" s="308"/>
      <c r="O1569" s="1474"/>
      <c r="P1569" s="1475"/>
      <c r="Q1569" s="1476"/>
    </row>
    <row r="1570" spans="1:17" ht="11.1" customHeight="1">
      <c r="A1570" s="250" t="s">
        <v>11467</v>
      </c>
      <c r="B1570" s="187"/>
      <c r="C1570" s="42">
        <v>1</v>
      </c>
      <c r="D1570" s="42" t="s">
        <v>11329</v>
      </c>
      <c r="E1570" s="188">
        <v>43.07</v>
      </c>
      <c r="F1570" s="42" t="s">
        <v>11468</v>
      </c>
      <c r="G1570" s="42">
        <v>58</v>
      </c>
      <c r="H1570" s="42" t="s">
        <v>10064</v>
      </c>
      <c r="I1570" s="42" t="s">
        <v>10056</v>
      </c>
      <c r="J1570" s="42" t="s">
        <v>10115</v>
      </c>
      <c r="K1570" s="42" t="s">
        <v>10122</v>
      </c>
      <c r="L1570" s="42" t="s">
        <v>10059</v>
      </c>
      <c r="M1570" s="42"/>
      <c r="N1570" s="308"/>
      <c r="O1570" s="1474"/>
      <c r="P1570" s="1475"/>
      <c r="Q1570" s="1476"/>
    </row>
    <row r="1571" spans="1:17" ht="11.1" customHeight="1">
      <c r="A1571" s="250" t="s">
        <v>11469</v>
      </c>
      <c r="B1571" s="187"/>
      <c r="C1571" s="42">
        <v>1</v>
      </c>
      <c r="D1571" s="42" t="s">
        <v>11380</v>
      </c>
      <c r="E1571" s="188">
        <v>36.729999999999997</v>
      </c>
      <c r="F1571" s="42" t="s">
        <v>11470</v>
      </c>
      <c r="G1571" s="42">
        <v>34</v>
      </c>
      <c r="H1571" s="42" t="s">
        <v>10064</v>
      </c>
      <c r="I1571" s="42" t="s">
        <v>10056</v>
      </c>
      <c r="J1571" s="42" t="s">
        <v>10115</v>
      </c>
      <c r="K1571" s="42" t="s">
        <v>10122</v>
      </c>
      <c r="L1571" s="42" t="s">
        <v>10059</v>
      </c>
      <c r="M1571" s="42"/>
      <c r="N1571" s="308"/>
      <c r="O1571" s="1474"/>
      <c r="P1571" s="1475"/>
      <c r="Q1571" s="1476"/>
    </row>
    <row r="1572" spans="1:17" ht="11.1" customHeight="1">
      <c r="A1572" s="250" t="s">
        <v>11471</v>
      </c>
      <c r="B1572" s="194" t="s">
        <v>10098</v>
      </c>
      <c r="C1572" s="36">
        <v>1</v>
      </c>
      <c r="D1572" s="36" t="s">
        <v>11276</v>
      </c>
      <c r="E1572" s="317" t="s">
        <v>10100</v>
      </c>
      <c r="F1572" s="36" t="s">
        <v>11472</v>
      </c>
      <c r="G1572" s="36">
        <v>43</v>
      </c>
      <c r="H1572" s="36" t="s">
        <v>10064</v>
      </c>
      <c r="I1572" s="36" t="s">
        <v>10056</v>
      </c>
      <c r="J1572" s="36" t="s">
        <v>10115</v>
      </c>
      <c r="K1572" s="36" t="s">
        <v>10119</v>
      </c>
      <c r="L1572" s="36" t="s">
        <v>10066</v>
      </c>
      <c r="M1572" s="36">
        <v>1</v>
      </c>
      <c r="N1572" s="316"/>
      <c r="O1572" s="1474"/>
      <c r="P1572" s="1475"/>
      <c r="Q1572" s="1476"/>
    </row>
    <row r="1573" spans="1:17" ht="11.1" customHeight="1">
      <c r="A1573" s="250" t="s">
        <v>11473</v>
      </c>
      <c r="B1573" s="194" t="s">
        <v>10098</v>
      </c>
      <c r="C1573" s="36">
        <v>1</v>
      </c>
      <c r="D1573" s="36" t="s">
        <v>11258</v>
      </c>
      <c r="E1573" s="317" t="s">
        <v>10138</v>
      </c>
      <c r="F1573" s="36" t="s">
        <v>11474</v>
      </c>
      <c r="G1573" s="36">
        <v>34</v>
      </c>
      <c r="H1573" s="36" t="s">
        <v>10064</v>
      </c>
      <c r="I1573" s="36" t="s">
        <v>10056</v>
      </c>
      <c r="J1573" s="36" t="s">
        <v>10115</v>
      </c>
      <c r="K1573" s="36" t="s">
        <v>10674</v>
      </c>
      <c r="L1573" s="36" t="s">
        <v>10066</v>
      </c>
      <c r="M1573" s="36">
        <v>1</v>
      </c>
      <c r="N1573" s="316"/>
      <c r="O1573" s="1474"/>
      <c r="P1573" s="1475"/>
      <c r="Q1573" s="1476"/>
    </row>
    <row r="1574" spans="1:17" ht="11.1" customHeight="1">
      <c r="A1574" s="250" t="s">
        <v>11475</v>
      </c>
      <c r="B1574" s="194" t="s">
        <v>10098</v>
      </c>
      <c r="C1574" s="36">
        <v>1</v>
      </c>
      <c r="D1574" s="36" t="s">
        <v>11264</v>
      </c>
      <c r="E1574" s="317" t="s">
        <v>10138</v>
      </c>
      <c r="F1574" s="36" t="s">
        <v>11476</v>
      </c>
      <c r="G1574" s="36">
        <v>43</v>
      </c>
      <c r="H1574" s="36" t="s">
        <v>10064</v>
      </c>
      <c r="I1574" s="36" t="s">
        <v>10056</v>
      </c>
      <c r="J1574" s="36" t="s">
        <v>10115</v>
      </c>
      <c r="K1574" s="36" t="s">
        <v>10119</v>
      </c>
      <c r="L1574" s="36" t="s">
        <v>10066</v>
      </c>
      <c r="M1574" s="36">
        <v>4</v>
      </c>
      <c r="N1574" s="316"/>
      <c r="O1574" s="1474"/>
      <c r="P1574" s="1475"/>
      <c r="Q1574" s="1476"/>
    </row>
    <row r="1575" spans="1:17" ht="11.1" customHeight="1">
      <c r="A1575" s="250" t="s">
        <v>11477</v>
      </c>
      <c r="B1575" s="194" t="s">
        <v>10098</v>
      </c>
      <c r="C1575" s="36">
        <v>1</v>
      </c>
      <c r="D1575" s="36" t="s">
        <v>11261</v>
      </c>
      <c r="E1575" s="317" t="s">
        <v>10138</v>
      </c>
      <c r="F1575" s="36" t="s">
        <v>11478</v>
      </c>
      <c r="G1575" s="36">
        <v>31</v>
      </c>
      <c r="H1575" s="36" t="s">
        <v>10064</v>
      </c>
      <c r="I1575" s="36" t="s">
        <v>10056</v>
      </c>
      <c r="J1575" s="36" t="s">
        <v>10115</v>
      </c>
      <c r="K1575" s="36" t="s">
        <v>10116</v>
      </c>
      <c r="L1575" s="36" t="s">
        <v>10066</v>
      </c>
      <c r="M1575" s="36">
        <v>1</v>
      </c>
      <c r="N1575" s="316"/>
      <c r="O1575" s="1474"/>
      <c r="P1575" s="1475"/>
      <c r="Q1575" s="1476"/>
    </row>
    <row r="1576" spans="1:17" ht="11.1" customHeight="1">
      <c r="A1576" s="250" t="s">
        <v>11479</v>
      </c>
      <c r="B1576" s="194" t="s">
        <v>10098</v>
      </c>
      <c r="C1576" s="36">
        <v>1</v>
      </c>
      <c r="D1576" s="36" t="s">
        <v>11267</v>
      </c>
      <c r="E1576" s="317" t="s">
        <v>10138</v>
      </c>
      <c r="F1576" s="36" t="s">
        <v>11480</v>
      </c>
      <c r="G1576" s="36">
        <v>43</v>
      </c>
      <c r="H1576" s="36" t="s">
        <v>10064</v>
      </c>
      <c r="I1576" s="36" t="s">
        <v>10056</v>
      </c>
      <c r="J1576" s="36" t="s">
        <v>10115</v>
      </c>
      <c r="K1576" s="36" t="s">
        <v>10119</v>
      </c>
      <c r="L1576" s="36" t="s">
        <v>10066</v>
      </c>
      <c r="M1576" s="36">
        <v>2</v>
      </c>
      <c r="N1576" s="316"/>
      <c r="O1576" s="1474"/>
      <c r="P1576" s="1475"/>
      <c r="Q1576" s="1476"/>
    </row>
    <row r="1577" spans="1:17" ht="11.1" customHeight="1">
      <c r="A1577" s="250" t="s">
        <v>11481</v>
      </c>
      <c r="B1577" s="194" t="s">
        <v>10098</v>
      </c>
      <c r="C1577" s="36">
        <v>1</v>
      </c>
      <c r="D1577" s="36" t="s">
        <v>11253</v>
      </c>
      <c r="E1577" s="317" t="s">
        <v>10138</v>
      </c>
      <c r="F1577" s="36" t="s">
        <v>11482</v>
      </c>
      <c r="G1577" s="36">
        <v>56</v>
      </c>
      <c r="H1577" s="36" t="s">
        <v>10064</v>
      </c>
      <c r="I1577" s="36" t="s">
        <v>10056</v>
      </c>
      <c r="J1577" s="36" t="s">
        <v>10115</v>
      </c>
      <c r="K1577" s="36" t="s">
        <v>10127</v>
      </c>
      <c r="L1577" s="36" t="s">
        <v>10066</v>
      </c>
      <c r="M1577" s="36">
        <v>3</v>
      </c>
      <c r="N1577" s="316"/>
      <c r="O1577" s="1474"/>
      <c r="P1577" s="1475"/>
      <c r="Q1577" s="1476"/>
    </row>
    <row r="1578" spans="1:17" ht="11.1" customHeight="1">
      <c r="A1578" s="250" t="s">
        <v>11483</v>
      </c>
      <c r="B1578" s="194" t="s">
        <v>10098</v>
      </c>
      <c r="C1578" s="36">
        <v>1</v>
      </c>
      <c r="D1578" s="36" t="s">
        <v>11273</v>
      </c>
      <c r="E1578" s="317" t="s">
        <v>10138</v>
      </c>
      <c r="F1578" s="36" t="s">
        <v>11484</v>
      </c>
      <c r="G1578" s="36">
        <v>37</v>
      </c>
      <c r="H1578" s="36" t="s">
        <v>10064</v>
      </c>
      <c r="I1578" s="36" t="s">
        <v>10056</v>
      </c>
      <c r="J1578" s="36" t="s">
        <v>10115</v>
      </c>
      <c r="K1578" s="36" t="s">
        <v>10116</v>
      </c>
      <c r="L1578" s="36" t="s">
        <v>10066</v>
      </c>
      <c r="M1578" s="36">
        <v>1</v>
      </c>
      <c r="N1578" s="316"/>
      <c r="O1578" s="1474"/>
      <c r="P1578" s="1475"/>
      <c r="Q1578" s="1476"/>
    </row>
    <row r="1579" spans="1:17" ht="11.1" customHeight="1">
      <c r="A1579" s="945" t="s">
        <v>11485</v>
      </c>
      <c r="B1579" s="318" t="s">
        <v>10098</v>
      </c>
      <c r="C1579" s="141">
        <v>1</v>
      </c>
      <c r="D1579" s="141" t="s">
        <v>11270</v>
      </c>
      <c r="E1579" s="319" t="s">
        <v>10138</v>
      </c>
      <c r="F1579" s="141" t="s">
        <v>11486</v>
      </c>
      <c r="G1579" s="141">
        <v>45</v>
      </c>
      <c r="H1579" s="141" t="s">
        <v>10064</v>
      </c>
      <c r="I1579" s="141" t="s">
        <v>10056</v>
      </c>
      <c r="J1579" s="141" t="s">
        <v>10115</v>
      </c>
      <c r="K1579" s="141" t="s">
        <v>10116</v>
      </c>
      <c r="L1579" s="141" t="s">
        <v>10066</v>
      </c>
      <c r="M1579" s="141">
        <v>1</v>
      </c>
      <c r="N1579" s="320"/>
      <c r="O1579" s="1474"/>
      <c r="P1579" s="1475"/>
      <c r="Q1579" s="1476"/>
    </row>
    <row r="1580" spans="1:17" ht="11.1" customHeight="1">
      <c r="A1580" s="946" t="s">
        <v>11487</v>
      </c>
      <c r="B1580" s="197" t="s">
        <v>10051</v>
      </c>
      <c r="C1580" s="198">
        <v>1</v>
      </c>
      <c r="D1580" s="198" t="s">
        <v>10061</v>
      </c>
      <c r="E1580" s="321" t="s">
        <v>10129</v>
      </c>
      <c r="F1580" s="198" t="s">
        <v>11488</v>
      </c>
      <c r="G1580" s="198">
        <v>63</v>
      </c>
      <c r="H1580" s="198" t="s">
        <v>10054</v>
      </c>
      <c r="I1580" s="198"/>
      <c r="J1580" s="198" t="s">
        <v>10153</v>
      </c>
      <c r="K1580" s="198"/>
      <c r="L1580" s="198" t="s">
        <v>10066</v>
      </c>
      <c r="M1580" s="198">
        <v>3</v>
      </c>
      <c r="N1580" s="322"/>
      <c r="O1580" s="1474">
        <v>4</v>
      </c>
      <c r="P1580" s="1475">
        <v>1626678</v>
      </c>
      <c r="Q1580" s="1476">
        <f>P1580*100/SUM(P1486:P1601)</f>
        <v>14.950833088009642</v>
      </c>
    </row>
    <row r="1581" spans="1:17" ht="11.1" customHeight="1">
      <c r="A1581" s="250" t="s">
        <v>11489</v>
      </c>
      <c r="B1581" s="231" t="s">
        <v>10051</v>
      </c>
      <c r="C1581" s="232">
        <v>2</v>
      </c>
      <c r="D1581" s="232" t="s">
        <v>10061</v>
      </c>
      <c r="E1581" s="348" t="s">
        <v>10129</v>
      </c>
      <c r="F1581" s="232" t="s">
        <v>11490</v>
      </c>
      <c r="G1581" s="232">
        <v>59</v>
      </c>
      <c r="H1581" s="232" t="s">
        <v>10064</v>
      </c>
      <c r="I1581" s="232"/>
      <c r="J1581" s="232" t="s">
        <v>10153</v>
      </c>
      <c r="K1581" s="232"/>
      <c r="L1581" s="232" t="s">
        <v>10066</v>
      </c>
      <c r="M1581" s="232">
        <v>4</v>
      </c>
      <c r="N1581" s="349"/>
      <c r="O1581" s="1474"/>
      <c r="P1581" s="1475"/>
      <c r="Q1581" s="1476"/>
    </row>
    <row r="1582" spans="1:17" ht="11.1" customHeight="1">
      <c r="A1582" s="250" t="s">
        <v>11491</v>
      </c>
      <c r="B1582" s="231" t="s">
        <v>10051</v>
      </c>
      <c r="C1582" s="232">
        <v>3</v>
      </c>
      <c r="D1582" s="232" t="s">
        <v>10061</v>
      </c>
      <c r="E1582" s="348" t="s">
        <v>10129</v>
      </c>
      <c r="F1582" s="232" t="s">
        <v>11492</v>
      </c>
      <c r="G1582" s="232">
        <v>46</v>
      </c>
      <c r="H1582" s="232" t="s">
        <v>10064</v>
      </c>
      <c r="I1582" s="232"/>
      <c r="J1582" s="232" t="s">
        <v>10153</v>
      </c>
      <c r="K1582" s="232"/>
      <c r="L1582" s="232" t="s">
        <v>10066</v>
      </c>
      <c r="M1582" s="232">
        <v>4</v>
      </c>
      <c r="N1582" s="349"/>
      <c r="O1582" s="1474"/>
      <c r="P1582" s="1475"/>
      <c r="Q1582" s="1476"/>
    </row>
    <row r="1583" spans="1:17" ht="11.1" customHeight="1">
      <c r="A1583" s="250" t="s">
        <v>11493</v>
      </c>
      <c r="B1583" s="231" t="s">
        <v>10051</v>
      </c>
      <c r="C1583" s="232">
        <v>4</v>
      </c>
      <c r="D1583" s="232" t="s">
        <v>10061</v>
      </c>
      <c r="E1583" s="348" t="s">
        <v>10129</v>
      </c>
      <c r="F1583" s="232" t="s">
        <v>11494</v>
      </c>
      <c r="G1583" s="232">
        <v>56</v>
      </c>
      <c r="H1583" s="232" t="s">
        <v>10064</v>
      </c>
      <c r="I1583" s="232"/>
      <c r="J1583" s="232" t="s">
        <v>10153</v>
      </c>
      <c r="K1583" s="232"/>
      <c r="L1583" s="232" t="s">
        <v>10066</v>
      </c>
      <c r="M1583" s="232">
        <v>4</v>
      </c>
      <c r="N1583" s="349"/>
      <c r="O1583" s="1474"/>
      <c r="P1583" s="1475"/>
      <c r="Q1583" s="1476"/>
    </row>
    <row r="1584" spans="1:17" ht="11.1" customHeight="1">
      <c r="A1584" s="250" t="s">
        <v>11495</v>
      </c>
      <c r="B1584" s="187"/>
      <c r="C1584" s="42">
        <v>5</v>
      </c>
      <c r="D1584" s="42" t="s">
        <v>10061</v>
      </c>
      <c r="E1584" s="309" t="s">
        <v>10129</v>
      </c>
      <c r="F1584" s="42" t="s">
        <v>11496</v>
      </c>
      <c r="G1584" s="42">
        <v>47</v>
      </c>
      <c r="H1584" s="42" t="s">
        <v>10064</v>
      </c>
      <c r="I1584" s="42"/>
      <c r="J1584" s="42" t="s">
        <v>10153</v>
      </c>
      <c r="K1584" s="42"/>
      <c r="L1584" s="42" t="s">
        <v>10070</v>
      </c>
      <c r="M1584" s="42">
        <v>1</v>
      </c>
      <c r="N1584" s="310"/>
      <c r="O1584" s="1474"/>
      <c r="P1584" s="1475"/>
      <c r="Q1584" s="1476"/>
    </row>
    <row r="1585" spans="1:17" ht="11.1" customHeight="1">
      <c r="A1585" s="250" t="s">
        <v>11497</v>
      </c>
      <c r="B1585" s="187"/>
      <c r="C1585" s="42">
        <v>6</v>
      </c>
      <c r="D1585" s="42" t="s">
        <v>10061</v>
      </c>
      <c r="E1585" s="309" t="s">
        <v>10165</v>
      </c>
      <c r="F1585" s="42" t="s">
        <v>11498</v>
      </c>
      <c r="G1585" s="42">
        <v>61</v>
      </c>
      <c r="H1585" s="42" t="s">
        <v>10064</v>
      </c>
      <c r="I1585" s="42"/>
      <c r="J1585" s="42" t="s">
        <v>10153</v>
      </c>
      <c r="K1585" s="42"/>
      <c r="L1585" s="42" t="s">
        <v>10059</v>
      </c>
      <c r="M1585" s="42"/>
      <c r="N1585" s="310"/>
      <c r="O1585" s="1474"/>
      <c r="P1585" s="1475"/>
      <c r="Q1585" s="1476"/>
    </row>
    <row r="1586" spans="1:17" ht="11.1" customHeight="1">
      <c r="A1586" s="945" t="s">
        <v>11499</v>
      </c>
      <c r="B1586" s="190"/>
      <c r="C1586" s="49">
        <v>7</v>
      </c>
      <c r="D1586" s="49" t="s">
        <v>10061</v>
      </c>
      <c r="E1586" s="323" t="s">
        <v>10062</v>
      </c>
      <c r="F1586" s="49" t="s">
        <v>11500</v>
      </c>
      <c r="G1586" s="49">
        <v>48</v>
      </c>
      <c r="H1586" s="49" t="s">
        <v>10064</v>
      </c>
      <c r="I1586" s="49"/>
      <c r="J1586" s="49" t="s">
        <v>10153</v>
      </c>
      <c r="K1586" s="49"/>
      <c r="L1586" s="49" t="s">
        <v>10059</v>
      </c>
      <c r="M1586" s="49"/>
      <c r="N1586" s="324"/>
      <c r="O1586" s="1474"/>
      <c r="P1586" s="1475"/>
      <c r="Q1586" s="1476"/>
    </row>
    <row r="1587" spans="1:17" ht="11.1" customHeight="1">
      <c r="A1587" s="946" t="s">
        <v>11501</v>
      </c>
      <c r="B1587" s="224" t="s">
        <v>10051</v>
      </c>
      <c r="C1587" s="225">
        <v>1</v>
      </c>
      <c r="D1587" s="225" t="s">
        <v>10061</v>
      </c>
      <c r="E1587" s="342" t="s">
        <v>10062</v>
      </c>
      <c r="F1587" s="225" t="s">
        <v>11502</v>
      </c>
      <c r="G1587" s="225">
        <v>64</v>
      </c>
      <c r="H1587" s="225" t="s">
        <v>10054</v>
      </c>
      <c r="I1587" s="225"/>
      <c r="J1587" s="225" t="s">
        <v>10158</v>
      </c>
      <c r="K1587" s="225"/>
      <c r="L1587" s="225" t="s">
        <v>10066</v>
      </c>
      <c r="M1587" s="225">
        <v>4</v>
      </c>
      <c r="N1587" s="343"/>
      <c r="O1587" s="1474">
        <v>3</v>
      </c>
      <c r="P1587" s="1475">
        <v>1051949</v>
      </c>
      <c r="Q1587" s="1476">
        <f>P1587*100/SUM(P1486:P1601)</f>
        <v>9.6684862745415217</v>
      </c>
    </row>
    <row r="1588" spans="1:17" ht="11.1" customHeight="1">
      <c r="A1588" s="250" t="s">
        <v>11503</v>
      </c>
      <c r="B1588" s="259" t="s">
        <v>10051</v>
      </c>
      <c r="C1588" s="105">
        <v>2</v>
      </c>
      <c r="D1588" s="105" t="s">
        <v>11296</v>
      </c>
      <c r="E1588" s="260">
        <v>48.82</v>
      </c>
      <c r="F1588" s="105" t="s">
        <v>11504</v>
      </c>
      <c r="G1588" s="105">
        <v>58</v>
      </c>
      <c r="H1588" s="105" t="s">
        <v>10064</v>
      </c>
      <c r="I1588" s="105" t="s">
        <v>10056</v>
      </c>
      <c r="J1588" s="105" t="s">
        <v>10158</v>
      </c>
      <c r="K1588" s="105"/>
      <c r="L1588" s="105" t="s">
        <v>10066</v>
      </c>
      <c r="M1588" s="105">
        <v>4</v>
      </c>
      <c r="N1588" s="377"/>
      <c r="O1588" s="1474"/>
      <c r="P1588" s="1475"/>
      <c r="Q1588" s="1476"/>
    </row>
    <row r="1589" spans="1:17" ht="11.1" customHeight="1">
      <c r="A1589" s="250" t="s">
        <v>11505</v>
      </c>
      <c r="B1589" s="259" t="s">
        <v>10051</v>
      </c>
      <c r="C1589" s="105">
        <v>3</v>
      </c>
      <c r="D1589" s="105" t="s">
        <v>11329</v>
      </c>
      <c r="E1589" s="260">
        <v>29.06</v>
      </c>
      <c r="F1589" s="105" t="s">
        <v>11506</v>
      </c>
      <c r="G1589" s="105">
        <v>62</v>
      </c>
      <c r="H1589" s="105" t="s">
        <v>10064</v>
      </c>
      <c r="I1589" s="105" t="s">
        <v>10056</v>
      </c>
      <c r="J1589" s="105" t="s">
        <v>10158</v>
      </c>
      <c r="K1589" s="105"/>
      <c r="L1589" s="105" t="s">
        <v>10066</v>
      </c>
      <c r="M1589" s="105">
        <v>5</v>
      </c>
      <c r="N1589" s="377"/>
      <c r="O1589" s="1474"/>
      <c r="P1589" s="1475"/>
      <c r="Q1589" s="1476"/>
    </row>
    <row r="1590" spans="1:17" ht="11.1" customHeight="1">
      <c r="A1590" s="250" t="s">
        <v>11507</v>
      </c>
      <c r="B1590" s="187"/>
      <c r="C1590" s="42">
        <v>4</v>
      </c>
      <c r="D1590" s="42" t="s">
        <v>11422</v>
      </c>
      <c r="E1590" s="188">
        <v>36.42</v>
      </c>
      <c r="F1590" s="42" t="s">
        <v>11508</v>
      </c>
      <c r="G1590" s="42">
        <v>45</v>
      </c>
      <c r="H1590" s="42" t="s">
        <v>10064</v>
      </c>
      <c r="I1590" s="42" t="s">
        <v>10056</v>
      </c>
      <c r="J1590" s="42" t="s">
        <v>10158</v>
      </c>
      <c r="K1590" s="42"/>
      <c r="L1590" s="42" t="s">
        <v>10059</v>
      </c>
      <c r="M1590" s="42"/>
      <c r="N1590" s="308"/>
      <c r="O1590" s="1474"/>
      <c r="P1590" s="1475"/>
      <c r="Q1590" s="1476"/>
    </row>
    <row r="1591" spans="1:17" ht="11.1" customHeight="1">
      <c r="A1591" s="250" t="s">
        <v>11509</v>
      </c>
      <c r="B1591" s="187"/>
      <c r="C1591" s="42">
        <v>5</v>
      </c>
      <c r="D1591" s="42" t="s">
        <v>11408</v>
      </c>
      <c r="E1591" s="188">
        <v>29.38</v>
      </c>
      <c r="F1591" s="42" t="s">
        <v>11510</v>
      </c>
      <c r="G1591" s="42">
        <v>55</v>
      </c>
      <c r="H1591" s="42" t="s">
        <v>10054</v>
      </c>
      <c r="I1591" s="42" t="s">
        <v>10056</v>
      </c>
      <c r="J1591" s="42" t="s">
        <v>10158</v>
      </c>
      <c r="K1591" s="42"/>
      <c r="L1591" s="42" t="s">
        <v>10059</v>
      </c>
      <c r="M1591" s="42"/>
      <c r="N1591" s="308"/>
      <c r="O1591" s="1474"/>
      <c r="P1591" s="1475"/>
      <c r="Q1591" s="1476"/>
    </row>
    <row r="1592" spans="1:17" ht="11.1" customHeight="1">
      <c r="A1592" s="250" t="s">
        <v>11511</v>
      </c>
      <c r="B1592" s="187"/>
      <c r="C1592" s="42">
        <v>6</v>
      </c>
      <c r="D1592" s="42" t="s">
        <v>11290</v>
      </c>
      <c r="E1592" s="188">
        <v>22.3</v>
      </c>
      <c r="F1592" s="42" t="s">
        <v>11512</v>
      </c>
      <c r="G1592" s="42">
        <v>49</v>
      </c>
      <c r="H1592" s="42" t="s">
        <v>10064</v>
      </c>
      <c r="I1592" s="42" t="s">
        <v>10056</v>
      </c>
      <c r="J1592" s="42" t="s">
        <v>10158</v>
      </c>
      <c r="K1592" s="42"/>
      <c r="L1592" s="42" t="s">
        <v>10059</v>
      </c>
      <c r="M1592" s="42"/>
      <c r="N1592" s="308"/>
      <c r="O1592" s="1474"/>
      <c r="P1592" s="1475"/>
      <c r="Q1592" s="1476"/>
    </row>
    <row r="1593" spans="1:17" ht="11.1" customHeight="1">
      <c r="A1593" s="250" t="s">
        <v>11513</v>
      </c>
      <c r="B1593" s="187" t="s">
        <v>10313</v>
      </c>
      <c r="C1593" s="42">
        <v>7</v>
      </c>
      <c r="D1593" s="42" t="s">
        <v>11287</v>
      </c>
      <c r="E1593" s="188">
        <v>13.74</v>
      </c>
      <c r="F1593" s="42" t="s">
        <v>11514</v>
      </c>
      <c r="G1593" s="42">
        <v>57</v>
      </c>
      <c r="H1593" s="42" t="s">
        <v>10054</v>
      </c>
      <c r="I1593" s="42" t="s">
        <v>10056</v>
      </c>
      <c r="J1593" s="42" t="s">
        <v>10158</v>
      </c>
      <c r="K1593" s="42"/>
      <c r="L1593" s="42" t="s">
        <v>10059</v>
      </c>
      <c r="M1593" s="42"/>
      <c r="N1593" s="308"/>
      <c r="O1593" s="1474"/>
      <c r="P1593" s="1475"/>
      <c r="Q1593" s="1476"/>
    </row>
    <row r="1594" spans="1:17" ht="11.1" customHeight="1">
      <c r="A1594" s="945" t="s">
        <v>11515</v>
      </c>
      <c r="B1594" s="190" t="s">
        <v>10313</v>
      </c>
      <c r="C1594" s="49">
        <v>8</v>
      </c>
      <c r="D1594" s="49" t="s">
        <v>11374</v>
      </c>
      <c r="E1594" s="201">
        <v>18.260000000000002</v>
      </c>
      <c r="F1594" s="49" t="s">
        <v>11516</v>
      </c>
      <c r="G1594" s="49">
        <v>52</v>
      </c>
      <c r="H1594" s="49" t="s">
        <v>10064</v>
      </c>
      <c r="I1594" s="49" t="s">
        <v>10056</v>
      </c>
      <c r="J1594" s="49" t="s">
        <v>10158</v>
      </c>
      <c r="K1594" s="49"/>
      <c r="L1594" s="49" t="s">
        <v>10059</v>
      </c>
      <c r="M1594" s="49"/>
      <c r="N1594" s="344"/>
      <c r="O1594" s="1474"/>
      <c r="P1594" s="1475"/>
      <c r="Q1594" s="1476"/>
    </row>
    <row r="1595" spans="1:17" ht="11.1" customHeight="1">
      <c r="A1595" s="946" t="s">
        <v>11517</v>
      </c>
      <c r="B1595" s="228" t="s">
        <v>10051</v>
      </c>
      <c r="C1595" s="122">
        <v>1</v>
      </c>
      <c r="D1595" s="122" t="s">
        <v>11323</v>
      </c>
      <c r="E1595" s="229">
        <v>82.07</v>
      </c>
      <c r="F1595" s="122" t="s">
        <v>11518</v>
      </c>
      <c r="G1595" s="122">
        <v>45</v>
      </c>
      <c r="H1595" s="122" t="s">
        <v>10054</v>
      </c>
      <c r="I1595" s="122" t="s">
        <v>10056</v>
      </c>
      <c r="J1595" s="122" t="s">
        <v>10163</v>
      </c>
      <c r="K1595" s="122"/>
      <c r="L1595" s="122" t="s">
        <v>10070</v>
      </c>
      <c r="M1595" s="122">
        <v>2</v>
      </c>
      <c r="N1595" s="345"/>
      <c r="O1595" s="1474">
        <v>1</v>
      </c>
      <c r="P1595" s="1475">
        <v>619883</v>
      </c>
      <c r="Q1595" s="1476">
        <f>P1595*100/SUM(P1486:P1601)</f>
        <v>5.6973582153903113</v>
      </c>
    </row>
    <row r="1596" spans="1:17" ht="11.1" customHeight="1">
      <c r="A1596" s="250" t="s">
        <v>11519</v>
      </c>
      <c r="B1596" s="187"/>
      <c r="C1596" s="42">
        <v>5</v>
      </c>
      <c r="D1596" s="42" t="s">
        <v>10061</v>
      </c>
      <c r="E1596" s="309" t="s">
        <v>10165</v>
      </c>
      <c r="F1596" s="42" t="s">
        <v>11520</v>
      </c>
      <c r="G1596" s="42">
        <v>76</v>
      </c>
      <c r="H1596" s="42" t="s">
        <v>10054</v>
      </c>
      <c r="I1596" s="42"/>
      <c r="J1596" s="42" t="s">
        <v>10163</v>
      </c>
      <c r="K1596" s="42"/>
      <c r="L1596" s="42" t="s">
        <v>10066</v>
      </c>
      <c r="M1596" s="42">
        <v>12</v>
      </c>
      <c r="N1596" s="310"/>
      <c r="O1596" s="1474"/>
      <c r="P1596" s="1475"/>
      <c r="Q1596" s="1476"/>
    </row>
    <row r="1597" spans="1:17" ht="11.1" customHeight="1">
      <c r="A1597" s="250" t="s">
        <v>11521</v>
      </c>
      <c r="B1597" s="187" t="s">
        <v>10334</v>
      </c>
      <c r="C1597" s="42">
        <v>1</v>
      </c>
      <c r="D1597" s="42" t="s">
        <v>11350</v>
      </c>
      <c r="E1597" s="188">
        <v>25.72</v>
      </c>
      <c r="F1597" s="42" t="s">
        <v>11522</v>
      </c>
      <c r="G1597" s="42">
        <v>57</v>
      </c>
      <c r="H1597" s="42" t="s">
        <v>10054</v>
      </c>
      <c r="I1597" s="42" t="s">
        <v>10056</v>
      </c>
      <c r="J1597" s="42" t="s">
        <v>10163</v>
      </c>
      <c r="K1597" s="42"/>
      <c r="L1597" s="42" t="s">
        <v>10070</v>
      </c>
      <c r="M1597" s="42">
        <v>2</v>
      </c>
      <c r="N1597" s="308"/>
      <c r="O1597" s="1474"/>
      <c r="P1597" s="1475"/>
      <c r="Q1597" s="1476"/>
    </row>
    <row r="1598" spans="1:17" ht="11.1" customHeight="1">
      <c r="A1598" s="250" t="s">
        <v>11523</v>
      </c>
      <c r="B1598" s="187" t="s">
        <v>10532</v>
      </c>
      <c r="C1598" s="42">
        <v>1</v>
      </c>
      <c r="D1598" s="42" t="s">
        <v>11353</v>
      </c>
      <c r="E1598" s="188">
        <v>17.93</v>
      </c>
      <c r="F1598" s="42" t="s">
        <v>11524</v>
      </c>
      <c r="G1598" s="42">
        <v>43</v>
      </c>
      <c r="H1598" s="42" t="s">
        <v>10054</v>
      </c>
      <c r="I1598" s="42" t="s">
        <v>10056</v>
      </c>
      <c r="J1598" s="42" t="s">
        <v>10163</v>
      </c>
      <c r="K1598" s="42"/>
      <c r="L1598" s="42" t="s">
        <v>10059</v>
      </c>
      <c r="M1598" s="42"/>
      <c r="N1598" s="308"/>
      <c r="O1598" s="1474"/>
      <c r="P1598" s="1475"/>
      <c r="Q1598" s="1476"/>
    </row>
    <row r="1599" spans="1:17" ht="11.1" customHeight="1">
      <c r="A1599" s="945" t="s">
        <v>11525</v>
      </c>
      <c r="B1599" s="190" t="s">
        <v>10313</v>
      </c>
      <c r="C1599" s="49">
        <v>1</v>
      </c>
      <c r="D1599" s="49" t="s">
        <v>11417</v>
      </c>
      <c r="E1599" s="201">
        <v>12.75</v>
      </c>
      <c r="F1599" s="49" t="s">
        <v>11526</v>
      </c>
      <c r="G1599" s="49">
        <v>39</v>
      </c>
      <c r="H1599" s="49" t="s">
        <v>10064</v>
      </c>
      <c r="I1599" s="49" t="s">
        <v>10056</v>
      </c>
      <c r="J1599" s="49" t="s">
        <v>10163</v>
      </c>
      <c r="K1599" s="49"/>
      <c r="L1599" s="49" t="s">
        <v>10070</v>
      </c>
      <c r="M1599" s="49">
        <v>1</v>
      </c>
      <c r="N1599" s="344"/>
      <c r="O1599" s="1474"/>
      <c r="P1599" s="1475"/>
      <c r="Q1599" s="1476"/>
    </row>
    <row r="1600" spans="1:17" ht="11.1" customHeight="1">
      <c r="A1600" s="946" t="s">
        <v>11527</v>
      </c>
      <c r="B1600" s="378" t="s">
        <v>10051</v>
      </c>
      <c r="C1600" s="128">
        <v>1</v>
      </c>
      <c r="D1600" s="128" t="s">
        <v>11287</v>
      </c>
      <c r="E1600" s="379">
        <v>32.57</v>
      </c>
      <c r="F1600" s="128" t="s">
        <v>11528</v>
      </c>
      <c r="G1600" s="128">
        <v>66</v>
      </c>
      <c r="H1600" s="128" t="s">
        <v>10064</v>
      </c>
      <c r="I1600" s="128" t="s">
        <v>10056</v>
      </c>
      <c r="J1600" s="128" t="s">
        <v>10540</v>
      </c>
      <c r="K1600" s="128" t="s">
        <v>10332</v>
      </c>
      <c r="L1600" s="128" t="s">
        <v>10066</v>
      </c>
      <c r="M1600" s="128">
        <v>3</v>
      </c>
      <c r="N1600" s="380"/>
      <c r="O1600" s="1474">
        <v>1</v>
      </c>
      <c r="P1600" s="1475">
        <v>420908</v>
      </c>
      <c r="Q1600" s="1476">
        <f>P1600*100/SUM(P1486:P1601)</f>
        <v>3.868574637025866</v>
      </c>
    </row>
    <row r="1601" spans="1:17" ht="11.1" customHeight="1" thickBot="1">
      <c r="A1601" s="948" t="s">
        <v>11529</v>
      </c>
      <c r="B1601" s="215"/>
      <c r="C1601" s="78">
        <v>2</v>
      </c>
      <c r="D1601" s="78" t="s">
        <v>11356</v>
      </c>
      <c r="E1601" s="216">
        <v>15.85</v>
      </c>
      <c r="F1601" s="78" t="s">
        <v>11530</v>
      </c>
      <c r="G1601" s="78">
        <v>74</v>
      </c>
      <c r="H1601" s="78" t="s">
        <v>10064</v>
      </c>
      <c r="I1601" s="78" t="s">
        <v>10056</v>
      </c>
      <c r="J1601" s="78" t="s">
        <v>10540</v>
      </c>
      <c r="K1601" s="78" t="s">
        <v>11531</v>
      </c>
      <c r="L1601" s="78" t="s">
        <v>10070</v>
      </c>
      <c r="M1601" s="78">
        <v>3</v>
      </c>
      <c r="N1601" s="347"/>
      <c r="O1601" s="1477"/>
      <c r="P1601" s="1478"/>
      <c r="Q1601" s="1479"/>
    </row>
    <row r="1602" spans="1:17" ht="11.1" customHeight="1">
      <c r="A1602" s="249" t="s">
        <v>11532</v>
      </c>
      <c r="B1602" s="336" t="s">
        <v>10051</v>
      </c>
      <c r="C1602" s="337">
        <v>1</v>
      </c>
      <c r="D1602" s="337" t="s">
        <v>11533</v>
      </c>
      <c r="E1602" s="372">
        <v>59.34</v>
      </c>
      <c r="F1602" s="337" t="s">
        <v>11534</v>
      </c>
      <c r="G1602" s="337">
        <v>46</v>
      </c>
      <c r="H1602" s="337" t="s">
        <v>10054</v>
      </c>
      <c r="I1602" s="337" t="s">
        <v>10056</v>
      </c>
      <c r="J1602" s="337" t="s">
        <v>10057</v>
      </c>
      <c r="K1602" s="337" t="s">
        <v>10058</v>
      </c>
      <c r="L1602" s="337" t="s">
        <v>10059</v>
      </c>
      <c r="M1602" s="337"/>
      <c r="N1602" s="373" t="s">
        <v>10071</v>
      </c>
      <c r="O1602" s="1483">
        <v>5</v>
      </c>
      <c r="P1602" s="1484">
        <v>1537080</v>
      </c>
      <c r="Q1602" s="1485">
        <f>P1602*100/SUM(P1602:P1661)</f>
        <v>36.719471152467939</v>
      </c>
    </row>
    <row r="1603" spans="1:17" ht="11.1" customHeight="1">
      <c r="A1603" s="250" t="s">
        <v>11535</v>
      </c>
      <c r="B1603" s="302" t="s">
        <v>10051</v>
      </c>
      <c r="C1603" s="303">
        <v>2</v>
      </c>
      <c r="D1603" s="303" t="s">
        <v>10061</v>
      </c>
      <c r="E1603" s="306" t="s">
        <v>10113</v>
      </c>
      <c r="F1603" s="303" t="s">
        <v>11536</v>
      </c>
      <c r="G1603" s="303">
        <v>49</v>
      </c>
      <c r="H1603" s="303" t="s">
        <v>10064</v>
      </c>
      <c r="I1603" s="303"/>
      <c r="J1603" s="303" t="s">
        <v>10057</v>
      </c>
      <c r="K1603" s="303" t="s">
        <v>10065</v>
      </c>
      <c r="L1603" s="303" t="s">
        <v>10066</v>
      </c>
      <c r="M1603" s="303">
        <v>1</v>
      </c>
      <c r="N1603" s="305"/>
      <c r="O1603" s="1474"/>
      <c r="P1603" s="1475"/>
      <c r="Q1603" s="1476"/>
    </row>
    <row r="1604" spans="1:17" ht="11.1" customHeight="1">
      <c r="A1604" s="250" t="s">
        <v>11537</v>
      </c>
      <c r="B1604" s="302" t="s">
        <v>10051</v>
      </c>
      <c r="C1604" s="303">
        <v>3</v>
      </c>
      <c r="D1604" s="303" t="s">
        <v>10061</v>
      </c>
      <c r="E1604" s="306" t="s">
        <v>10129</v>
      </c>
      <c r="F1604" s="303" t="s">
        <v>11538</v>
      </c>
      <c r="G1604" s="303">
        <v>60</v>
      </c>
      <c r="H1604" s="303" t="s">
        <v>10064</v>
      </c>
      <c r="I1604" s="303"/>
      <c r="J1604" s="303" t="s">
        <v>10057</v>
      </c>
      <c r="K1604" s="303" t="s">
        <v>10092</v>
      </c>
      <c r="L1604" s="303" t="s">
        <v>10066</v>
      </c>
      <c r="M1604" s="303">
        <v>2</v>
      </c>
      <c r="N1604" s="305"/>
      <c r="O1604" s="1474"/>
      <c r="P1604" s="1475"/>
      <c r="Q1604" s="1476"/>
    </row>
    <row r="1605" spans="1:17" ht="11.1" customHeight="1">
      <c r="A1605" s="250" t="s">
        <v>11539</v>
      </c>
      <c r="B1605" s="302" t="s">
        <v>10051</v>
      </c>
      <c r="C1605" s="303">
        <v>4</v>
      </c>
      <c r="D1605" s="303" t="s">
        <v>11540</v>
      </c>
      <c r="E1605" s="304">
        <v>97.46</v>
      </c>
      <c r="F1605" s="303" t="s">
        <v>11541</v>
      </c>
      <c r="G1605" s="303">
        <v>49</v>
      </c>
      <c r="H1605" s="303" t="s">
        <v>10064</v>
      </c>
      <c r="I1605" s="303" t="s">
        <v>10056</v>
      </c>
      <c r="J1605" s="303" t="s">
        <v>10057</v>
      </c>
      <c r="K1605" s="303" t="s">
        <v>10058</v>
      </c>
      <c r="L1605" s="303" t="s">
        <v>10059</v>
      </c>
      <c r="M1605" s="303"/>
      <c r="N1605" s="307" t="s">
        <v>10071</v>
      </c>
      <c r="O1605" s="1474"/>
      <c r="P1605" s="1475"/>
      <c r="Q1605" s="1476"/>
    </row>
    <row r="1606" spans="1:17" ht="11.1" customHeight="1">
      <c r="A1606" s="250" t="s">
        <v>11542</v>
      </c>
      <c r="B1606" s="302" t="s">
        <v>10051</v>
      </c>
      <c r="C1606" s="303">
        <v>4</v>
      </c>
      <c r="D1606" s="303" t="s">
        <v>11543</v>
      </c>
      <c r="E1606" s="304">
        <v>94.13</v>
      </c>
      <c r="F1606" s="303" t="s">
        <v>11544</v>
      </c>
      <c r="G1606" s="303">
        <v>31</v>
      </c>
      <c r="H1606" s="303" t="s">
        <v>10064</v>
      </c>
      <c r="I1606" s="303" t="s">
        <v>10056</v>
      </c>
      <c r="J1606" s="303" t="s">
        <v>10057</v>
      </c>
      <c r="K1606" s="303" t="s">
        <v>10065</v>
      </c>
      <c r="L1606" s="303" t="s">
        <v>10059</v>
      </c>
      <c r="M1606" s="303"/>
      <c r="N1606" s="307" t="s">
        <v>10071</v>
      </c>
      <c r="O1606" s="1474"/>
      <c r="P1606" s="1475"/>
      <c r="Q1606" s="1476"/>
    </row>
    <row r="1607" spans="1:17" ht="11.1" customHeight="1">
      <c r="A1607" s="250" t="s">
        <v>11545</v>
      </c>
      <c r="B1607" s="187"/>
      <c r="C1607" s="42">
        <v>22</v>
      </c>
      <c r="D1607" s="42" t="s">
        <v>10061</v>
      </c>
      <c r="E1607" s="309" t="s">
        <v>10113</v>
      </c>
      <c r="F1607" s="42" t="s">
        <v>11546</v>
      </c>
      <c r="G1607" s="42">
        <v>63</v>
      </c>
      <c r="H1607" s="42" t="s">
        <v>10064</v>
      </c>
      <c r="I1607" s="42"/>
      <c r="J1607" s="42" t="s">
        <v>10057</v>
      </c>
      <c r="K1607" s="42" t="s">
        <v>10065</v>
      </c>
      <c r="L1607" s="42" t="s">
        <v>10070</v>
      </c>
      <c r="M1607" s="42">
        <v>1</v>
      </c>
      <c r="N1607" s="310"/>
      <c r="O1607" s="1474"/>
      <c r="P1607" s="1475"/>
      <c r="Q1607" s="1476"/>
    </row>
    <row r="1608" spans="1:17" ht="11.1" customHeight="1">
      <c r="A1608" s="250" t="s">
        <v>11547</v>
      </c>
      <c r="B1608" s="187"/>
      <c r="C1608" s="42">
        <v>23</v>
      </c>
      <c r="D1608" s="42" t="s">
        <v>10061</v>
      </c>
      <c r="E1608" s="309" t="s">
        <v>10165</v>
      </c>
      <c r="F1608" s="42" t="s">
        <v>11548</v>
      </c>
      <c r="G1608" s="42">
        <v>45</v>
      </c>
      <c r="H1608" s="42" t="s">
        <v>10064</v>
      </c>
      <c r="I1608" s="42"/>
      <c r="J1608" s="42" t="s">
        <v>10057</v>
      </c>
      <c r="K1608" s="42" t="s">
        <v>10058</v>
      </c>
      <c r="L1608" s="42" t="s">
        <v>10059</v>
      </c>
      <c r="M1608" s="42"/>
      <c r="N1608" s="310"/>
      <c r="O1608" s="1474"/>
      <c r="P1608" s="1475"/>
      <c r="Q1608" s="1476"/>
    </row>
    <row r="1609" spans="1:17" ht="11.1" customHeight="1">
      <c r="A1609" s="250" t="s">
        <v>11549</v>
      </c>
      <c r="B1609" s="187"/>
      <c r="C1609" s="42">
        <v>24</v>
      </c>
      <c r="D1609" s="42" t="s">
        <v>10061</v>
      </c>
      <c r="E1609" s="309" t="s">
        <v>10062</v>
      </c>
      <c r="F1609" s="42" t="s">
        <v>11550</v>
      </c>
      <c r="G1609" s="42">
        <v>63</v>
      </c>
      <c r="H1609" s="42" t="s">
        <v>10064</v>
      </c>
      <c r="I1609" s="42"/>
      <c r="J1609" s="42" t="s">
        <v>10057</v>
      </c>
      <c r="K1609" s="42" t="s">
        <v>10058</v>
      </c>
      <c r="L1609" s="42" t="s">
        <v>10059</v>
      </c>
      <c r="M1609" s="42"/>
      <c r="N1609" s="310"/>
      <c r="O1609" s="1474"/>
      <c r="P1609" s="1475"/>
      <c r="Q1609" s="1476"/>
    </row>
    <row r="1610" spans="1:17" ht="11.1" customHeight="1">
      <c r="A1610" s="250" t="s">
        <v>11551</v>
      </c>
      <c r="B1610" s="187"/>
      <c r="C1610" s="42">
        <v>25</v>
      </c>
      <c r="D1610" s="42" t="s">
        <v>10061</v>
      </c>
      <c r="E1610" s="309" t="s">
        <v>10062</v>
      </c>
      <c r="F1610" s="42" t="s">
        <v>11552</v>
      </c>
      <c r="G1610" s="42">
        <v>64</v>
      </c>
      <c r="H1610" s="42" t="s">
        <v>10064</v>
      </c>
      <c r="I1610" s="42"/>
      <c r="J1610" s="42" t="s">
        <v>10057</v>
      </c>
      <c r="K1610" s="42" t="s">
        <v>10058</v>
      </c>
      <c r="L1610" s="42" t="s">
        <v>10059</v>
      </c>
      <c r="M1610" s="42"/>
      <c r="N1610" s="310"/>
      <c r="O1610" s="1474"/>
      <c r="P1610" s="1475"/>
      <c r="Q1610" s="1476"/>
    </row>
    <row r="1611" spans="1:17" ht="11.1" customHeight="1">
      <c r="A1611" s="250" t="s">
        <v>11553</v>
      </c>
      <c r="B1611" s="187"/>
      <c r="C1611" s="42">
        <v>26</v>
      </c>
      <c r="D1611" s="42" t="s">
        <v>10061</v>
      </c>
      <c r="E1611" s="309" t="s">
        <v>10062</v>
      </c>
      <c r="F1611" s="42" t="s">
        <v>11554</v>
      </c>
      <c r="G1611" s="42">
        <v>50</v>
      </c>
      <c r="H1611" s="42" t="s">
        <v>10064</v>
      </c>
      <c r="I1611" s="42"/>
      <c r="J1611" s="42" t="s">
        <v>10057</v>
      </c>
      <c r="K1611" s="42" t="s">
        <v>10058</v>
      </c>
      <c r="L1611" s="42" t="s">
        <v>10059</v>
      </c>
      <c r="M1611" s="42"/>
      <c r="N1611" s="310"/>
      <c r="O1611" s="1474"/>
      <c r="P1611" s="1475"/>
      <c r="Q1611" s="1476"/>
    </row>
    <row r="1612" spans="1:17" ht="11.1" customHeight="1">
      <c r="A1612" s="250" t="s">
        <v>11555</v>
      </c>
      <c r="B1612" s="187"/>
      <c r="C1612" s="42">
        <v>27</v>
      </c>
      <c r="D1612" s="42" t="s">
        <v>10061</v>
      </c>
      <c r="E1612" s="309" t="s">
        <v>10062</v>
      </c>
      <c r="F1612" s="42" t="s">
        <v>11556</v>
      </c>
      <c r="G1612" s="42">
        <v>67</v>
      </c>
      <c r="H1612" s="42" t="s">
        <v>10064</v>
      </c>
      <c r="I1612" s="42"/>
      <c r="J1612" s="42" t="s">
        <v>10057</v>
      </c>
      <c r="K1612" s="42" t="s">
        <v>10058</v>
      </c>
      <c r="L1612" s="42" t="s">
        <v>10059</v>
      </c>
      <c r="M1612" s="42"/>
      <c r="N1612" s="310"/>
      <c r="O1612" s="1474"/>
      <c r="P1612" s="1475"/>
      <c r="Q1612" s="1476"/>
    </row>
    <row r="1613" spans="1:17" ht="11.1" customHeight="1">
      <c r="A1613" s="250" t="s">
        <v>11557</v>
      </c>
      <c r="B1613" s="302" t="s">
        <v>10098</v>
      </c>
      <c r="C1613" s="303">
        <v>4</v>
      </c>
      <c r="D1613" s="303" t="s">
        <v>11558</v>
      </c>
      <c r="E1613" s="306" t="s">
        <v>10100</v>
      </c>
      <c r="F1613" s="303" t="s">
        <v>11559</v>
      </c>
      <c r="G1613" s="303">
        <v>48</v>
      </c>
      <c r="H1613" s="303" t="s">
        <v>10064</v>
      </c>
      <c r="I1613" s="303" t="s">
        <v>10056</v>
      </c>
      <c r="J1613" s="303" t="s">
        <v>10057</v>
      </c>
      <c r="K1613" s="303" t="s">
        <v>10065</v>
      </c>
      <c r="L1613" s="303" t="s">
        <v>10066</v>
      </c>
      <c r="M1613" s="303">
        <v>6</v>
      </c>
      <c r="N1613" s="307" t="s">
        <v>10071</v>
      </c>
      <c r="O1613" s="1474"/>
      <c r="P1613" s="1475"/>
      <c r="Q1613" s="1476"/>
    </row>
    <row r="1614" spans="1:17" ht="11.1" customHeight="1">
      <c r="A1614" s="250" t="s">
        <v>11560</v>
      </c>
      <c r="B1614" s="302" t="s">
        <v>10098</v>
      </c>
      <c r="C1614" s="303">
        <v>4</v>
      </c>
      <c r="D1614" s="303" t="s">
        <v>11561</v>
      </c>
      <c r="E1614" s="306" t="s">
        <v>10104</v>
      </c>
      <c r="F1614" s="303" t="s">
        <v>11562</v>
      </c>
      <c r="G1614" s="303">
        <v>44</v>
      </c>
      <c r="H1614" s="303" t="s">
        <v>10064</v>
      </c>
      <c r="I1614" s="303" t="s">
        <v>10056</v>
      </c>
      <c r="J1614" s="303" t="s">
        <v>10057</v>
      </c>
      <c r="K1614" s="303" t="s">
        <v>10058</v>
      </c>
      <c r="L1614" s="303" t="s">
        <v>10059</v>
      </c>
      <c r="M1614" s="303"/>
      <c r="N1614" s="307" t="s">
        <v>10071</v>
      </c>
      <c r="O1614" s="1474"/>
      <c r="P1614" s="1475"/>
      <c r="Q1614" s="1476"/>
    </row>
    <row r="1615" spans="1:17" ht="11.1" customHeight="1">
      <c r="A1615" s="250" t="s">
        <v>11563</v>
      </c>
      <c r="B1615" s="302" t="s">
        <v>10098</v>
      </c>
      <c r="C1615" s="303">
        <v>4</v>
      </c>
      <c r="D1615" s="303" t="s">
        <v>11564</v>
      </c>
      <c r="E1615" s="306" t="s">
        <v>10104</v>
      </c>
      <c r="F1615" s="303" t="s">
        <v>11565</v>
      </c>
      <c r="G1615" s="303">
        <v>61</v>
      </c>
      <c r="H1615" s="303" t="s">
        <v>10064</v>
      </c>
      <c r="I1615" s="303" t="s">
        <v>10056</v>
      </c>
      <c r="J1615" s="303" t="s">
        <v>10057</v>
      </c>
      <c r="K1615" s="303" t="s">
        <v>10075</v>
      </c>
      <c r="L1615" s="303" t="s">
        <v>10066</v>
      </c>
      <c r="M1615" s="303">
        <v>5</v>
      </c>
      <c r="N1615" s="307" t="s">
        <v>10071</v>
      </c>
      <c r="O1615" s="1474"/>
      <c r="P1615" s="1475"/>
      <c r="Q1615" s="1476"/>
    </row>
    <row r="1616" spans="1:17" ht="11.1" customHeight="1">
      <c r="A1616" s="250" t="s">
        <v>11566</v>
      </c>
      <c r="B1616" s="302" t="s">
        <v>10098</v>
      </c>
      <c r="C1616" s="303">
        <v>4</v>
      </c>
      <c r="D1616" s="303" t="s">
        <v>11567</v>
      </c>
      <c r="E1616" s="306" t="s">
        <v>10104</v>
      </c>
      <c r="F1616" s="303" t="s">
        <v>11568</v>
      </c>
      <c r="G1616" s="303">
        <v>58</v>
      </c>
      <c r="H1616" s="303" t="s">
        <v>10064</v>
      </c>
      <c r="I1616" s="303" t="s">
        <v>10056</v>
      </c>
      <c r="J1616" s="303" t="s">
        <v>10057</v>
      </c>
      <c r="K1616" s="303" t="s">
        <v>10065</v>
      </c>
      <c r="L1616" s="303" t="s">
        <v>10066</v>
      </c>
      <c r="M1616" s="303">
        <v>2</v>
      </c>
      <c r="N1616" s="307" t="s">
        <v>10071</v>
      </c>
      <c r="O1616" s="1474"/>
      <c r="P1616" s="1475"/>
      <c r="Q1616" s="1476"/>
    </row>
    <row r="1617" spans="1:17" ht="11.1" customHeight="1">
      <c r="A1617" s="250" t="s">
        <v>11569</v>
      </c>
      <c r="B1617" s="302" t="s">
        <v>10098</v>
      </c>
      <c r="C1617" s="303">
        <v>4</v>
      </c>
      <c r="D1617" s="303" t="s">
        <v>11570</v>
      </c>
      <c r="E1617" s="306" t="s">
        <v>10104</v>
      </c>
      <c r="F1617" s="303" t="s">
        <v>11571</v>
      </c>
      <c r="G1617" s="303">
        <v>51</v>
      </c>
      <c r="H1617" s="303" t="s">
        <v>10064</v>
      </c>
      <c r="I1617" s="303" t="s">
        <v>10056</v>
      </c>
      <c r="J1617" s="303" t="s">
        <v>10057</v>
      </c>
      <c r="K1617" s="303" t="s">
        <v>10241</v>
      </c>
      <c r="L1617" s="303" t="s">
        <v>10066</v>
      </c>
      <c r="M1617" s="303">
        <v>6</v>
      </c>
      <c r="N1617" s="307" t="s">
        <v>10071</v>
      </c>
      <c r="O1617" s="1474"/>
      <c r="P1617" s="1475"/>
      <c r="Q1617" s="1476"/>
    </row>
    <row r="1618" spans="1:17" ht="11.1" customHeight="1">
      <c r="A1618" s="250" t="s">
        <v>11572</v>
      </c>
      <c r="B1618" s="302" t="s">
        <v>10098</v>
      </c>
      <c r="C1618" s="303">
        <v>4</v>
      </c>
      <c r="D1618" s="303" t="s">
        <v>11573</v>
      </c>
      <c r="E1618" s="306" t="s">
        <v>10104</v>
      </c>
      <c r="F1618" s="303" t="s">
        <v>11574</v>
      </c>
      <c r="G1618" s="303">
        <v>61</v>
      </c>
      <c r="H1618" s="303" t="s">
        <v>10064</v>
      </c>
      <c r="I1618" s="303" t="s">
        <v>10056</v>
      </c>
      <c r="J1618" s="303" t="s">
        <v>10057</v>
      </c>
      <c r="K1618" s="303" t="s">
        <v>10082</v>
      </c>
      <c r="L1618" s="303" t="s">
        <v>10066</v>
      </c>
      <c r="M1618" s="303">
        <v>5</v>
      </c>
      <c r="N1618" s="307" t="s">
        <v>10071</v>
      </c>
      <c r="O1618" s="1474"/>
      <c r="P1618" s="1475"/>
      <c r="Q1618" s="1476"/>
    </row>
    <row r="1619" spans="1:17" ht="11.1" customHeight="1">
      <c r="A1619" s="250" t="s">
        <v>11575</v>
      </c>
      <c r="B1619" s="302" t="s">
        <v>10098</v>
      </c>
      <c r="C1619" s="303">
        <v>4</v>
      </c>
      <c r="D1619" s="303" t="s">
        <v>11576</v>
      </c>
      <c r="E1619" s="306" t="s">
        <v>10104</v>
      </c>
      <c r="F1619" s="303" t="s">
        <v>11577</v>
      </c>
      <c r="G1619" s="303">
        <v>48</v>
      </c>
      <c r="H1619" s="303" t="s">
        <v>10064</v>
      </c>
      <c r="I1619" s="303" t="s">
        <v>10056</v>
      </c>
      <c r="J1619" s="303" t="s">
        <v>10057</v>
      </c>
      <c r="K1619" s="303" t="s">
        <v>10082</v>
      </c>
      <c r="L1619" s="303" t="s">
        <v>10066</v>
      </c>
      <c r="M1619" s="303">
        <v>4</v>
      </c>
      <c r="N1619" s="307" t="s">
        <v>10071</v>
      </c>
      <c r="O1619" s="1474"/>
      <c r="P1619" s="1475"/>
      <c r="Q1619" s="1476"/>
    </row>
    <row r="1620" spans="1:17" ht="11.1" customHeight="1">
      <c r="A1620" s="250" t="s">
        <v>11578</v>
      </c>
      <c r="B1620" s="302" t="s">
        <v>10098</v>
      </c>
      <c r="C1620" s="303">
        <v>4</v>
      </c>
      <c r="D1620" s="303" t="s">
        <v>11579</v>
      </c>
      <c r="E1620" s="306" t="s">
        <v>10104</v>
      </c>
      <c r="F1620" s="303" t="s">
        <v>11580</v>
      </c>
      <c r="G1620" s="303">
        <v>57</v>
      </c>
      <c r="H1620" s="303" t="s">
        <v>10064</v>
      </c>
      <c r="I1620" s="303" t="s">
        <v>10056</v>
      </c>
      <c r="J1620" s="303" t="s">
        <v>10057</v>
      </c>
      <c r="K1620" s="303" t="s">
        <v>10058</v>
      </c>
      <c r="L1620" s="303" t="s">
        <v>10059</v>
      </c>
      <c r="M1620" s="303"/>
      <c r="N1620" s="307" t="s">
        <v>10071</v>
      </c>
      <c r="O1620" s="1474"/>
      <c r="P1620" s="1475"/>
      <c r="Q1620" s="1476"/>
    </row>
    <row r="1621" spans="1:17" ht="11.1" customHeight="1">
      <c r="A1621" s="250" t="s">
        <v>11581</v>
      </c>
      <c r="B1621" s="302" t="s">
        <v>10098</v>
      </c>
      <c r="C1621" s="303">
        <v>4</v>
      </c>
      <c r="D1621" s="303" t="s">
        <v>11582</v>
      </c>
      <c r="E1621" s="306" t="s">
        <v>10104</v>
      </c>
      <c r="F1621" s="303" t="s">
        <v>11583</v>
      </c>
      <c r="G1621" s="303">
        <v>42</v>
      </c>
      <c r="H1621" s="303" t="s">
        <v>10064</v>
      </c>
      <c r="I1621" s="303" t="s">
        <v>10056</v>
      </c>
      <c r="J1621" s="303" t="s">
        <v>10057</v>
      </c>
      <c r="K1621" s="303" t="s">
        <v>10065</v>
      </c>
      <c r="L1621" s="303" t="s">
        <v>10066</v>
      </c>
      <c r="M1621" s="303">
        <v>2</v>
      </c>
      <c r="N1621" s="307" t="s">
        <v>10071</v>
      </c>
      <c r="O1621" s="1474"/>
      <c r="P1621" s="1475"/>
      <c r="Q1621" s="1476"/>
    </row>
    <row r="1622" spans="1:17" ht="11.1" customHeight="1">
      <c r="A1622" s="250" t="s">
        <v>11584</v>
      </c>
      <c r="B1622" s="302" t="s">
        <v>10098</v>
      </c>
      <c r="C1622" s="303">
        <v>4</v>
      </c>
      <c r="D1622" s="303" t="s">
        <v>11585</v>
      </c>
      <c r="E1622" s="306" t="s">
        <v>10104</v>
      </c>
      <c r="F1622" s="303" t="s">
        <v>11586</v>
      </c>
      <c r="G1622" s="303">
        <v>61</v>
      </c>
      <c r="H1622" s="303" t="s">
        <v>10064</v>
      </c>
      <c r="I1622" s="303" t="s">
        <v>10056</v>
      </c>
      <c r="J1622" s="303" t="s">
        <v>10057</v>
      </c>
      <c r="K1622" s="303" t="s">
        <v>10058</v>
      </c>
      <c r="L1622" s="303" t="s">
        <v>10066</v>
      </c>
      <c r="M1622" s="303">
        <v>8</v>
      </c>
      <c r="N1622" s="307" t="s">
        <v>10071</v>
      </c>
      <c r="O1622" s="1474"/>
      <c r="P1622" s="1475"/>
      <c r="Q1622" s="1476"/>
    </row>
    <row r="1623" spans="1:17" ht="11.1" customHeight="1">
      <c r="A1623" s="250" t="s">
        <v>11587</v>
      </c>
      <c r="B1623" s="302" t="s">
        <v>10098</v>
      </c>
      <c r="C1623" s="303">
        <v>4</v>
      </c>
      <c r="D1623" s="303" t="s">
        <v>11588</v>
      </c>
      <c r="E1623" s="306" t="s">
        <v>10104</v>
      </c>
      <c r="F1623" s="303" t="s">
        <v>11589</v>
      </c>
      <c r="G1623" s="303">
        <v>47</v>
      </c>
      <c r="H1623" s="303" t="s">
        <v>10064</v>
      </c>
      <c r="I1623" s="303" t="s">
        <v>10056</v>
      </c>
      <c r="J1623" s="303" t="s">
        <v>10057</v>
      </c>
      <c r="K1623" s="303" t="s">
        <v>10082</v>
      </c>
      <c r="L1623" s="303" t="s">
        <v>10066</v>
      </c>
      <c r="M1623" s="303">
        <v>1</v>
      </c>
      <c r="N1623" s="307" t="s">
        <v>10071</v>
      </c>
      <c r="O1623" s="1474"/>
      <c r="P1623" s="1475"/>
      <c r="Q1623" s="1476"/>
    </row>
    <row r="1624" spans="1:17" ht="11.1" customHeight="1">
      <c r="A1624" s="250" t="s">
        <v>11590</v>
      </c>
      <c r="B1624" s="302" t="s">
        <v>10098</v>
      </c>
      <c r="C1624" s="303">
        <v>4</v>
      </c>
      <c r="D1624" s="303" t="s">
        <v>11591</v>
      </c>
      <c r="E1624" s="306" t="s">
        <v>10104</v>
      </c>
      <c r="F1624" s="303" t="s">
        <v>11592</v>
      </c>
      <c r="G1624" s="303">
        <v>55</v>
      </c>
      <c r="H1624" s="303" t="s">
        <v>10064</v>
      </c>
      <c r="I1624" s="303" t="s">
        <v>10056</v>
      </c>
      <c r="J1624" s="303" t="s">
        <v>10057</v>
      </c>
      <c r="K1624" s="303" t="s">
        <v>10082</v>
      </c>
      <c r="L1624" s="303" t="s">
        <v>10066</v>
      </c>
      <c r="M1624" s="303">
        <v>2</v>
      </c>
      <c r="N1624" s="307" t="s">
        <v>10071</v>
      </c>
      <c r="O1624" s="1474"/>
      <c r="P1624" s="1475"/>
      <c r="Q1624" s="1476"/>
    </row>
    <row r="1625" spans="1:17" ht="11.1" customHeight="1">
      <c r="A1625" s="250" t="s">
        <v>11593</v>
      </c>
      <c r="B1625" s="302" t="s">
        <v>10098</v>
      </c>
      <c r="C1625" s="303">
        <v>4</v>
      </c>
      <c r="D1625" s="303" t="s">
        <v>11594</v>
      </c>
      <c r="E1625" s="306" t="s">
        <v>10104</v>
      </c>
      <c r="F1625" s="303" t="s">
        <v>11595</v>
      </c>
      <c r="G1625" s="303">
        <v>63</v>
      </c>
      <c r="H1625" s="303" t="s">
        <v>10064</v>
      </c>
      <c r="I1625" s="303" t="s">
        <v>10056</v>
      </c>
      <c r="J1625" s="303" t="s">
        <v>10057</v>
      </c>
      <c r="K1625" s="303" t="s">
        <v>10210</v>
      </c>
      <c r="L1625" s="303" t="s">
        <v>10066</v>
      </c>
      <c r="M1625" s="303">
        <v>8</v>
      </c>
      <c r="N1625" s="307" t="s">
        <v>10071</v>
      </c>
      <c r="O1625" s="1474"/>
      <c r="P1625" s="1475"/>
      <c r="Q1625" s="1476"/>
    </row>
    <row r="1626" spans="1:17" ht="11.1" customHeight="1">
      <c r="A1626" s="250" t="s">
        <v>11596</v>
      </c>
      <c r="B1626" s="302" t="s">
        <v>10098</v>
      </c>
      <c r="C1626" s="303">
        <v>4</v>
      </c>
      <c r="D1626" s="303" t="s">
        <v>11597</v>
      </c>
      <c r="E1626" s="306" t="s">
        <v>10104</v>
      </c>
      <c r="F1626" s="303" t="s">
        <v>11598</v>
      </c>
      <c r="G1626" s="303">
        <v>35</v>
      </c>
      <c r="H1626" s="303" t="s">
        <v>10064</v>
      </c>
      <c r="I1626" s="303" t="s">
        <v>10056</v>
      </c>
      <c r="J1626" s="303" t="s">
        <v>10057</v>
      </c>
      <c r="K1626" s="303" t="s">
        <v>10058</v>
      </c>
      <c r="L1626" s="303" t="s">
        <v>10059</v>
      </c>
      <c r="M1626" s="303"/>
      <c r="N1626" s="307" t="s">
        <v>10071</v>
      </c>
      <c r="O1626" s="1474"/>
      <c r="P1626" s="1475"/>
      <c r="Q1626" s="1476"/>
    </row>
    <row r="1627" spans="1:17" ht="11.1" customHeight="1">
      <c r="A1627" s="250" t="s">
        <v>11599</v>
      </c>
      <c r="B1627" s="302" t="s">
        <v>10098</v>
      </c>
      <c r="C1627" s="303">
        <v>4</v>
      </c>
      <c r="D1627" s="303" t="s">
        <v>11600</v>
      </c>
      <c r="E1627" s="306" t="s">
        <v>10104</v>
      </c>
      <c r="F1627" s="303" t="s">
        <v>11601</v>
      </c>
      <c r="G1627" s="303">
        <v>62</v>
      </c>
      <c r="H1627" s="303" t="s">
        <v>10064</v>
      </c>
      <c r="I1627" s="303" t="s">
        <v>10056</v>
      </c>
      <c r="J1627" s="303" t="s">
        <v>10057</v>
      </c>
      <c r="K1627" s="303" t="s">
        <v>10092</v>
      </c>
      <c r="L1627" s="303" t="s">
        <v>10066</v>
      </c>
      <c r="M1627" s="303">
        <v>5</v>
      </c>
      <c r="N1627" s="307" t="s">
        <v>10071</v>
      </c>
      <c r="O1627" s="1474"/>
      <c r="P1627" s="1475"/>
      <c r="Q1627" s="1476"/>
    </row>
    <row r="1628" spans="1:17" ht="11.1" customHeight="1">
      <c r="A1628" s="945" t="s">
        <v>11602</v>
      </c>
      <c r="B1628" s="340" t="s">
        <v>10098</v>
      </c>
      <c r="C1628" s="311">
        <v>4</v>
      </c>
      <c r="D1628" s="311" t="s">
        <v>11603</v>
      </c>
      <c r="E1628" s="312" t="s">
        <v>10104</v>
      </c>
      <c r="F1628" s="311" t="s">
        <v>11604</v>
      </c>
      <c r="G1628" s="311">
        <v>50</v>
      </c>
      <c r="H1628" s="311" t="s">
        <v>10064</v>
      </c>
      <c r="I1628" s="311" t="s">
        <v>10056</v>
      </c>
      <c r="J1628" s="311" t="s">
        <v>10057</v>
      </c>
      <c r="K1628" s="311" t="s">
        <v>10075</v>
      </c>
      <c r="L1628" s="311" t="s">
        <v>10066</v>
      </c>
      <c r="M1628" s="311">
        <v>4</v>
      </c>
      <c r="N1628" s="313" t="s">
        <v>10071</v>
      </c>
      <c r="O1628" s="1474"/>
      <c r="P1628" s="1475"/>
      <c r="Q1628" s="1476"/>
    </row>
    <row r="1629" spans="1:17" ht="11.1" customHeight="1">
      <c r="A1629" s="946" t="s">
        <v>11605</v>
      </c>
      <c r="B1629" s="192" t="s">
        <v>10051</v>
      </c>
      <c r="C1629" s="56">
        <v>1</v>
      </c>
      <c r="D1629" s="56" t="s">
        <v>11597</v>
      </c>
      <c r="E1629" s="193">
        <v>99.44</v>
      </c>
      <c r="F1629" s="56" t="s">
        <v>11606</v>
      </c>
      <c r="G1629" s="56">
        <v>51</v>
      </c>
      <c r="H1629" s="56" t="s">
        <v>10064</v>
      </c>
      <c r="I1629" s="56" t="s">
        <v>10056</v>
      </c>
      <c r="J1629" s="56" t="s">
        <v>10115</v>
      </c>
      <c r="K1629" s="56" t="s">
        <v>10116</v>
      </c>
      <c r="L1629" s="56" t="s">
        <v>10066</v>
      </c>
      <c r="M1629" s="56">
        <v>2</v>
      </c>
      <c r="N1629" s="341"/>
      <c r="O1629" s="1474">
        <v>3</v>
      </c>
      <c r="P1629" s="1475">
        <v>1196971</v>
      </c>
      <c r="Q1629" s="1476">
        <f>P1629*100/SUM(P1602:P1661)</f>
        <v>28.594570292268912</v>
      </c>
    </row>
    <row r="1630" spans="1:17" ht="11.1" customHeight="1">
      <c r="A1630" s="250" t="s">
        <v>11607</v>
      </c>
      <c r="B1630" s="194" t="s">
        <v>10051</v>
      </c>
      <c r="C1630" s="36">
        <v>1</v>
      </c>
      <c r="D1630" s="36" t="s">
        <v>11588</v>
      </c>
      <c r="E1630" s="195">
        <v>93.57</v>
      </c>
      <c r="F1630" s="36" t="s">
        <v>11608</v>
      </c>
      <c r="G1630" s="36">
        <v>46</v>
      </c>
      <c r="H1630" s="36" t="s">
        <v>10064</v>
      </c>
      <c r="I1630" s="36" t="s">
        <v>10056</v>
      </c>
      <c r="J1630" s="36" t="s">
        <v>10115</v>
      </c>
      <c r="K1630" s="36" t="s">
        <v>10116</v>
      </c>
      <c r="L1630" s="36" t="s">
        <v>10059</v>
      </c>
      <c r="M1630" s="36"/>
      <c r="N1630" s="316"/>
      <c r="O1630" s="1474"/>
      <c r="P1630" s="1475"/>
      <c r="Q1630" s="1476"/>
    </row>
    <row r="1631" spans="1:17" ht="11.1" customHeight="1">
      <c r="A1631" s="250" t="s">
        <v>11609</v>
      </c>
      <c r="B1631" s="194" t="s">
        <v>10051</v>
      </c>
      <c r="C1631" s="36">
        <v>1</v>
      </c>
      <c r="D1631" s="36" t="s">
        <v>11579</v>
      </c>
      <c r="E1631" s="195">
        <v>86.85</v>
      </c>
      <c r="F1631" s="36" t="s">
        <v>11610</v>
      </c>
      <c r="G1631" s="36">
        <v>34</v>
      </c>
      <c r="H1631" s="36" t="s">
        <v>10064</v>
      </c>
      <c r="I1631" s="36" t="s">
        <v>10056</v>
      </c>
      <c r="J1631" s="36" t="s">
        <v>10115</v>
      </c>
      <c r="K1631" s="36" t="s">
        <v>10116</v>
      </c>
      <c r="L1631" s="36" t="s">
        <v>10066</v>
      </c>
      <c r="M1631" s="36">
        <v>1</v>
      </c>
      <c r="N1631" s="316"/>
      <c r="O1631" s="1474"/>
      <c r="P1631" s="1475"/>
      <c r="Q1631" s="1476"/>
    </row>
    <row r="1632" spans="1:17" ht="11.1" customHeight="1">
      <c r="A1632" s="250" t="s">
        <v>11611</v>
      </c>
      <c r="B1632" s="187"/>
      <c r="C1632" s="42">
        <v>1</v>
      </c>
      <c r="D1632" s="42" t="s">
        <v>11591</v>
      </c>
      <c r="E1632" s="188">
        <v>84.93</v>
      </c>
      <c r="F1632" s="42" t="s">
        <v>11612</v>
      </c>
      <c r="G1632" s="42">
        <v>42</v>
      </c>
      <c r="H1632" s="42" t="s">
        <v>10064</v>
      </c>
      <c r="I1632" s="42" t="s">
        <v>10056</v>
      </c>
      <c r="J1632" s="42" t="s">
        <v>10115</v>
      </c>
      <c r="K1632" s="42" t="s">
        <v>10116</v>
      </c>
      <c r="L1632" s="42" t="s">
        <v>10066</v>
      </c>
      <c r="M1632" s="42">
        <v>1</v>
      </c>
      <c r="N1632" s="308"/>
      <c r="O1632" s="1474"/>
      <c r="P1632" s="1475"/>
      <c r="Q1632" s="1476"/>
    </row>
    <row r="1633" spans="1:17" ht="11.1" customHeight="1">
      <c r="A1633" s="250" t="s">
        <v>11613</v>
      </c>
      <c r="B1633" s="187"/>
      <c r="C1633" s="42">
        <v>1</v>
      </c>
      <c r="D1633" s="42" t="s">
        <v>11561</v>
      </c>
      <c r="E1633" s="188">
        <v>64.760000000000005</v>
      </c>
      <c r="F1633" s="42" t="s">
        <v>11614</v>
      </c>
      <c r="G1633" s="42">
        <v>50</v>
      </c>
      <c r="H1633" s="42" t="s">
        <v>10064</v>
      </c>
      <c r="I1633" s="42" t="s">
        <v>10056</v>
      </c>
      <c r="J1633" s="42" t="s">
        <v>10115</v>
      </c>
      <c r="K1633" s="42" t="s">
        <v>10140</v>
      </c>
      <c r="L1633" s="42" t="s">
        <v>10066</v>
      </c>
      <c r="M1633" s="42">
        <v>2</v>
      </c>
      <c r="N1633" s="308"/>
      <c r="O1633" s="1474"/>
      <c r="P1633" s="1475"/>
      <c r="Q1633" s="1476"/>
    </row>
    <row r="1634" spans="1:17" ht="11.1" customHeight="1">
      <c r="A1634" s="250" t="s">
        <v>11615</v>
      </c>
      <c r="B1634" s="187"/>
      <c r="C1634" s="42">
        <v>1</v>
      </c>
      <c r="D1634" s="42" t="s">
        <v>11582</v>
      </c>
      <c r="E1634" s="188">
        <v>63.37</v>
      </c>
      <c r="F1634" s="42" t="s">
        <v>11616</v>
      </c>
      <c r="G1634" s="42">
        <v>35</v>
      </c>
      <c r="H1634" s="42" t="s">
        <v>10064</v>
      </c>
      <c r="I1634" s="42" t="s">
        <v>10056</v>
      </c>
      <c r="J1634" s="42" t="s">
        <v>10115</v>
      </c>
      <c r="K1634" s="42" t="s">
        <v>10116</v>
      </c>
      <c r="L1634" s="42" t="s">
        <v>10059</v>
      </c>
      <c r="M1634" s="42"/>
      <c r="N1634" s="308"/>
      <c r="O1634" s="1474"/>
      <c r="P1634" s="1475"/>
      <c r="Q1634" s="1476"/>
    </row>
    <row r="1635" spans="1:17" ht="11.1" customHeight="1">
      <c r="A1635" s="250" t="s">
        <v>11617</v>
      </c>
      <c r="B1635" s="187"/>
      <c r="C1635" s="42">
        <v>1</v>
      </c>
      <c r="D1635" s="42" t="s">
        <v>11585</v>
      </c>
      <c r="E1635" s="188">
        <v>61.72</v>
      </c>
      <c r="F1635" s="42" t="s">
        <v>11618</v>
      </c>
      <c r="G1635" s="42">
        <v>41</v>
      </c>
      <c r="H1635" s="42" t="s">
        <v>10064</v>
      </c>
      <c r="I1635" s="42" t="s">
        <v>10056</v>
      </c>
      <c r="J1635" s="42" t="s">
        <v>10115</v>
      </c>
      <c r="K1635" s="42" t="s">
        <v>10122</v>
      </c>
      <c r="L1635" s="42" t="s">
        <v>10059</v>
      </c>
      <c r="M1635" s="42"/>
      <c r="N1635" s="308"/>
      <c r="O1635" s="1474"/>
      <c r="P1635" s="1475"/>
      <c r="Q1635" s="1476"/>
    </row>
    <row r="1636" spans="1:17" ht="11.1" customHeight="1">
      <c r="A1636" s="250" t="s">
        <v>11619</v>
      </c>
      <c r="B1636" s="187"/>
      <c r="C1636" s="42">
        <v>1</v>
      </c>
      <c r="D1636" s="42" t="s">
        <v>11620</v>
      </c>
      <c r="E1636" s="188">
        <v>61.6</v>
      </c>
      <c r="F1636" s="42" t="s">
        <v>11621</v>
      </c>
      <c r="G1636" s="42">
        <v>46</v>
      </c>
      <c r="H1636" s="42" t="s">
        <v>10064</v>
      </c>
      <c r="I1636" s="42" t="s">
        <v>10056</v>
      </c>
      <c r="J1636" s="42" t="s">
        <v>10115</v>
      </c>
      <c r="K1636" s="42" t="s">
        <v>10122</v>
      </c>
      <c r="L1636" s="42" t="s">
        <v>10066</v>
      </c>
      <c r="M1636" s="42">
        <v>2</v>
      </c>
      <c r="N1636" s="308"/>
      <c r="O1636" s="1474"/>
      <c r="P1636" s="1475"/>
      <c r="Q1636" s="1476"/>
    </row>
    <row r="1637" spans="1:17" ht="11.1" customHeight="1">
      <c r="A1637" s="250" t="s">
        <v>11622</v>
      </c>
      <c r="B1637" s="187"/>
      <c r="C1637" s="42">
        <v>1</v>
      </c>
      <c r="D1637" s="42" t="s">
        <v>11573</v>
      </c>
      <c r="E1637" s="188">
        <v>58.77</v>
      </c>
      <c r="F1637" s="42" t="s">
        <v>11623</v>
      </c>
      <c r="G1637" s="42">
        <v>39</v>
      </c>
      <c r="H1637" s="42" t="s">
        <v>10064</v>
      </c>
      <c r="I1637" s="42" t="s">
        <v>10056</v>
      </c>
      <c r="J1637" s="42" t="s">
        <v>10115</v>
      </c>
      <c r="K1637" s="42" t="s">
        <v>10116</v>
      </c>
      <c r="L1637" s="42" t="s">
        <v>10059</v>
      </c>
      <c r="M1637" s="42"/>
      <c r="N1637" s="308"/>
      <c r="O1637" s="1474"/>
      <c r="P1637" s="1475"/>
      <c r="Q1637" s="1476"/>
    </row>
    <row r="1638" spans="1:17" ht="11.1" customHeight="1">
      <c r="A1638" s="250" t="s">
        <v>11624</v>
      </c>
      <c r="B1638" s="187"/>
      <c r="C1638" s="42">
        <v>1</v>
      </c>
      <c r="D1638" s="42" t="s">
        <v>11576</v>
      </c>
      <c r="E1638" s="188">
        <v>54.97</v>
      </c>
      <c r="F1638" s="42" t="s">
        <v>11625</v>
      </c>
      <c r="G1638" s="42">
        <v>36</v>
      </c>
      <c r="H1638" s="42" t="s">
        <v>10064</v>
      </c>
      <c r="I1638" s="42" t="s">
        <v>10056</v>
      </c>
      <c r="J1638" s="42" t="s">
        <v>10115</v>
      </c>
      <c r="K1638" s="42" t="s">
        <v>10140</v>
      </c>
      <c r="L1638" s="42" t="s">
        <v>10059</v>
      </c>
      <c r="M1638" s="42"/>
      <c r="N1638" s="308"/>
      <c r="O1638" s="1474"/>
      <c r="P1638" s="1475"/>
      <c r="Q1638" s="1476"/>
    </row>
    <row r="1639" spans="1:17" ht="11.1" customHeight="1">
      <c r="A1639" s="250" t="s">
        <v>11626</v>
      </c>
      <c r="B1639" s="187"/>
      <c r="C1639" s="42">
        <v>1</v>
      </c>
      <c r="D1639" s="42" t="s">
        <v>11570</v>
      </c>
      <c r="E1639" s="188">
        <v>48.2</v>
      </c>
      <c r="F1639" s="42" t="s">
        <v>11627</v>
      </c>
      <c r="G1639" s="42">
        <v>32</v>
      </c>
      <c r="H1639" s="42" t="s">
        <v>10064</v>
      </c>
      <c r="I1639" s="42" t="s">
        <v>10056</v>
      </c>
      <c r="J1639" s="42" t="s">
        <v>10115</v>
      </c>
      <c r="K1639" s="42" t="s">
        <v>10119</v>
      </c>
      <c r="L1639" s="42" t="s">
        <v>10059</v>
      </c>
      <c r="M1639" s="42"/>
      <c r="N1639" s="308"/>
      <c r="O1639" s="1474"/>
      <c r="P1639" s="1475"/>
      <c r="Q1639" s="1476"/>
    </row>
    <row r="1640" spans="1:17" ht="11.1" customHeight="1">
      <c r="A1640" s="250" t="s">
        <v>11628</v>
      </c>
      <c r="B1640" s="187"/>
      <c r="C1640" s="42">
        <v>1</v>
      </c>
      <c r="D1640" s="42" t="s">
        <v>11564</v>
      </c>
      <c r="E1640" s="188">
        <v>47.32</v>
      </c>
      <c r="F1640" s="42" t="s">
        <v>11629</v>
      </c>
      <c r="G1640" s="42">
        <v>36</v>
      </c>
      <c r="H1640" s="42" t="s">
        <v>10064</v>
      </c>
      <c r="I1640" s="42" t="s">
        <v>10056</v>
      </c>
      <c r="J1640" s="42" t="s">
        <v>10115</v>
      </c>
      <c r="K1640" s="42" t="s">
        <v>10140</v>
      </c>
      <c r="L1640" s="42" t="s">
        <v>10059</v>
      </c>
      <c r="M1640" s="42"/>
      <c r="N1640" s="308"/>
      <c r="O1640" s="1474"/>
      <c r="P1640" s="1475"/>
      <c r="Q1640" s="1476"/>
    </row>
    <row r="1641" spans="1:17" ht="11.1" customHeight="1">
      <c r="A1641" s="250" t="s">
        <v>11630</v>
      </c>
      <c r="B1641" s="187"/>
      <c r="C1641" s="42">
        <v>1</v>
      </c>
      <c r="D1641" s="42" t="s">
        <v>11600</v>
      </c>
      <c r="E1641" s="188">
        <v>47.14</v>
      </c>
      <c r="F1641" s="42" t="s">
        <v>11631</v>
      </c>
      <c r="G1641" s="42">
        <v>35</v>
      </c>
      <c r="H1641" s="42" t="s">
        <v>10064</v>
      </c>
      <c r="I1641" s="42" t="s">
        <v>10056</v>
      </c>
      <c r="J1641" s="42" t="s">
        <v>10115</v>
      </c>
      <c r="K1641" s="42" t="s">
        <v>10122</v>
      </c>
      <c r="L1641" s="42" t="s">
        <v>10059</v>
      </c>
      <c r="M1641" s="42"/>
      <c r="N1641" s="308"/>
      <c r="O1641" s="1474"/>
      <c r="P1641" s="1475"/>
      <c r="Q1641" s="1476"/>
    </row>
    <row r="1642" spans="1:17" ht="11.1" customHeight="1">
      <c r="A1642" s="250" t="s">
        <v>11632</v>
      </c>
      <c r="B1642" s="187"/>
      <c r="C1642" s="42">
        <v>1</v>
      </c>
      <c r="D1642" s="42" t="s">
        <v>11558</v>
      </c>
      <c r="E1642" s="188">
        <v>45.03</v>
      </c>
      <c r="F1642" s="42" t="s">
        <v>11633</v>
      </c>
      <c r="G1642" s="42">
        <v>28</v>
      </c>
      <c r="H1642" s="42" t="s">
        <v>10064</v>
      </c>
      <c r="I1642" s="42" t="s">
        <v>10056</v>
      </c>
      <c r="J1642" s="42" t="s">
        <v>10115</v>
      </c>
      <c r="K1642" s="42" t="s">
        <v>10116</v>
      </c>
      <c r="L1642" s="42" t="s">
        <v>10059</v>
      </c>
      <c r="M1642" s="42"/>
      <c r="N1642" s="308"/>
      <c r="O1642" s="1474"/>
      <c r="P1642" s="1475"/>
      <c r="Q1642" s="1476"/>
    </row>
    <row r="1643" spans="1:17" ht="11.1" customHeight="1">
      <c r="A1643" s="250" t="s">
        <v>11634</v>
      </c>
      <c r="B1643" s="187"/>
      <c r="C1643" s="42">
        <v>1</v>
      </c>
      <c r="D1643" s="42" t="s">
        <v>11594</v>
      </c>
      <c r="E1643" s="188">
        <v>43.19</v>
      </c>
      <c r="F1643" s="42" t="s">
        <v>11635</v>
      </c>
      <c r="G1643" s="42">
        <v>42</v>
      </c>
      <c r="H1643" s="42" t="s">
        <v>10064</v>
      </c>
      <c r="I1643" s="42" t="s">
        <v>10056</v>
      </c>
      <c r="J1643" s="42" t="s">
        <v>10115</v>
      </c>
      <c r="K1643" s="42" t="s">
        <v>10116</v>
      </c>
      <c r="L1643" s="42" t="s">
        <v>10059</v>
      </c>
      <c r="M1643" s="42"/>
      <c r="N1643" s="308"/>
      <c r="O1643" s="1474"/>
      <c r="P1643" s="1475"/>
      <c r="Q1643" s="1476"/>
    </row>
    <row r="1644" spans="1:17" ht="11.1" customHeight="1">
      <c r="A1644" s="250" t="s">
        <v>11636</v>
      </c>
      <c r="B1644" s="187"/>
      <c r="C1644" s="42">
        <v>1</v>
      </c>
      <c r="D1644" s="42" t="s">
        <v>11533</v>
      </c>
      <c r="E1644" s="188">
        <v>36.380000000000003</v>
      </c>
      <c r="F1644" s="42" t="s">
        <v>11637</v>
      </c>
      <c r="G1644" s="42">
        <v>50</v>
      </c>
      <c r="H1644" s="42" t="s">
        <v>10064</v>
      </c>
      <c r="I1644" s="42" t="s">
        <v>10056</v>
      </c>
      <c r="J1644" s="42" t="s">
        <v>10115</v>
      </c>
      <c r="K1644" s="42" t="s">
        <v>10116</v>
      </c>
      <c r="L1644" s="42" t="s">
        <v>10059</v>
      </c>
      <c r="M1644" s="42"/>
      <c r="N1644" s="308"/>
      <c r="O1644" s="1474"/>
      <c r="P1644" s="1475"/>
      <c r="Q1644" s="1476"/>
    </row>
    <row r="1645" spans="1:17" ht="11.1" customHeight="1">
      <c r="A1645" s="250" t="s">
        <v>11638</v>
      </c>
      <c r="B1645" s="187"/>
      <c r="C1645" s="42">
        <v>1</v>
      </c>
      <c r="D1645" s="42" t="s">
        <v>11567</v>
      </c>
      <c r="E1645" s="188">
        <v>27.53</v>
      </c>
      <c r="F1645" s="42" t="s">
        <v>11639</v>
      </c>
      <c r="G1645" s="42">
        <v>44</v>
      </c>
      <c r="H1645" s="42" t="s">
        <v>10064</v>
      </c>
      <c r="I1645" s="42" t="s">
        <v>10056</v>
      </c>
      <c r="J1645" s="42" t="s">
        <v>10115</v>
      </c>
      <c r="K1645" s="42" t="s">
        <v>10127</v>
      </c>
      <c r="L1645" s="42" t="s">
        <v>10059</v>
      </c>
      <c r="M1645" s="42"/>
      <c r="N1645" s="308"/>
      <c r="O1645" s="1474"/>
      <c r="P1645" s="1475"/>
      <c r="Q1645" s="1476"/>
    </row>
    <row r="1646" spans="1:17" ht="11.1" customHeight="1">
      <c r="A1646" s="250" t="s">
        <v>11640</v>
      </c>
      <c r="B1646" s="187"/>
      <c r="C1646" s="42">
        <v>1</v>
      </c>
      <c r="D1646" s="42" t="s">
        <v>11603</v>
      </c>
      <c r="E1646" s="188">
        <v>26.76</v>
      </c>
      <c r="F1646" s="42" t="s">
        <v>11641</v>
      </c>
      <c r="G1646" s="42">
        <v>56</v>
      </c>
      <c r="H1646" s="42" t="s">
        <v>10064</v>
      </c>
      <c r="I1646" s="42" t="s">
        <v>10056</v>
      </c>
      <c r="J1646" s="42" t="s">
        <v>10115</v>
      </c>
      <c r="K1646" s="42" t="s">
        <v>10116</v>
      </c>
      <c r="L1646" s="42" t="s">
        <v>10059</v>
      </c>
      <c r="M1646" s="42"/>
      <c r="N1646" s="308"/>
      <c r="O1646" s="1474"/>
      <c r="P1646" s="1475"/>
      <c r="Q1646" s="1476"/>
    </row>
    <row r="1647" spans="1:17" ht="11.1" customHeight="1">
      <c r="A1647" s="250" t="s">
        <v>11642</v>
      </c>
      <c r="B1647" s="194" t="s">
        <v>10098</v>
      </c>
      <c r="C1647" s="36">
        <v>1</v>
      </c>
      <c r="D1647" s="36" t="s">
        <v>11540</v>
      </c>
      <c r="E1647" s="317" t="s">
        <v>10100</v>
      </c>
      <c r="F1647" s="36" t="s">
        <v>11643</v>
      </c>
      <c r="G1647" s="36">
        <v>33</v>
      </c>
      <c r="H1647" s="36" t="s">
        <v>10064</v>
      </c>
      <c r="I1647" s="36" t="s">
        <v>10056</v>
      </c>
      <c r="J1647" s="36" t="s">
        <v>10115</v>
      </c>
      <c r="K1647" s="36" t="s">
        <v>10116</v>
      </c>
      <c r="L1647" s="36" t="s">
        <v>10066</v>
      </c>
      <c r="M1647" s="36">
        <v>1</v>
      </c>
      <c r="N1647" s="316"/>
      <c r="O1647" s="1474"/>
      <c r="P1647" s="1475"/>
      <c r="Q1647" s="1476"/>
    </row>
    <row r="1648" spans="1:17" ht="11.1" customHeight="1">
      <c r="A1648" s="945" t="s">
        <v>11644</v>
      </c>
      <c r="B1648" s="318" t="s">
        <v>10098</v>
      </c>
      <c r="C1648" s="141">
        <v>1</v>
      </c>
      <c r="D1648" s="141" t="s">
        <v>11543</v>
      </c>
      <c r="E1648" s="319" t="s">
        <v>10138</v>
      </c>
      <c r="F1648" s="141" t="s">
        <v>11645</v>
      </c>
      <c r="G1648" s="141">
        <v>33</v>
      </c>
      <c r="H1648" s="141" t="s">
        <v>10064</v>
      </c>
      <c r="I1648" s="141" t="s">
        <v>10056</v>
      </c>
      <c r="J1648" s="141" t="s">
        <v>10115</v>
      </c>
      <c r="K1648" s="141" t="s">
        <v>10116</v>
      </c>
      <c r="L1648" s="141" t="s">
        <v>10059</v>
      </c>
      <c r="M1648" s="141"/>
      <c r="N1648" s="320"/>
      <c r="O1648" s="1474"/>
      <c r="P1648" s="1475"/>
      <c r="Q1648" s="1476"/>
    </row>
    <row r="1649" spans="1:17" ht="11.1" customHeight="1">
      <c r="A1649" s="946" t="s">
        <v>11646</v>
      </c>
      <c r="B1649" s="197" t="s">
        <v>10051</v>
      </c>
      <c r="C1649" s="198">
        <v>1</v>
      </c>
      <c r="D1649" s="198" t="s">
        <v>10061</v>
      </c>
      <c r="E1649" s="321" t="s">
        <v>10062</v>
      </c>
      <c r="F1649" s="198" t="s">
        <v>11647</v>
      </c>
      <c r="G1649" s="198">
        <v>53</v>
      </c>
      <c r="H1649" s="198" t="s">
        <v>10064</v>
      </c>
      <c r="I1649" s="198"/>
      <c r="J1649" s="198" t="s">
        <v>10153</v>
      </c>
      <c r="K1649" s="198"/>
      <c r="L1649" s="198" t="s">
        <v>10066</v>
      </c>
      <c r="M1649" s="198">
        <v>4</v>
      </c>
      <c r="N1649" s="322"/>
      <c r="O1649" s="1474">
        <v>2</v>
      </c>
      <c r="P1649" s="1475">
        <v>658702</v>
      </c>
      <c r="Q1649" s="1476">
        <f>P1649*100/SUM(P1602:P1661)</f>
        <v>15.735803658282546</v>
      </c>
    </row>
    <row r="1650" spans="1:17" ht="11.1" customHeight="1">
      <c r="A1650" s="250" t="s">
        <v>11648</v>
      </c>
      <c r="B1650" s="231" t="s">
        <v>10051</v>
      </c>
      <c r="C1650" s="232">
        <v>2</v>
      </c>
      <c r="D1650" s="232" t="s">
        <v>10061</v>
      </c>
      <c r="E1650" s="348" t="s">
        <v>10129</v>
      </c>
      <c r="F1650" s="232" t="s">
        <v>11649</v>
      </c>
      <c r="G1650" s="232">
        <v>54</v>
      </c>
      <c r="H1650" s="232" t="s">
        <v>10064</v>
      </c>
      <c r="I1650" s="232"/>
      <c r="J1650" s="232" t="s">
        <v>10153</v>
      </c>
      <c r="K1650" s="232"/>
      <c r="L1650" s="232" t="s">
        <v>10066</v>
      </c>
      <c r="M1650" s="232">
        <v>4</v>
      </c>
      <c r="N1650" s="349"/>
      <c r="O1650" s="1474"/>
      <c r="P1650" s="1475"/>
      <c r="Q1650" s="1476"/>
    </row>
    <row r="1651" spans="1:17" ht="11.1" customHeight="1">
      <c r="A1651" s="250" t="s">
        <v>11650</v>
      </c>
      <c r="B1651" s="187"/>
      <c r="C1651" s="42">
        <v>3</v>
      </c>
      <c r="D1651" s="42" t="s">
        <v>10061</v>
      </c>
      <c r="E1651" s="309" t="s">
        <v>10129</v>
      </c>
      <c r="F1651" s="42" t="s">
        <v>11651</v>
      </c>
      <c r="G1651" s="42">
        <v>41</v>
      </c>
      <c r="H1651" s="42" t="s">
        <v>10064</v>
      </c>
      <c r="I1651" s="42"/>
      <c r="J1651" s="42" t="s">
        <v>10153</v>
      </c>
      <c r="K1651" s="42"/>
      <c r="L1651" s="42" t="s">
        <v>10059</v>
      </c>
      <c r="M1651" s="42"/>
      <c r="N1651" s="310"/>
      <c r="O1651" s="1474"/>
      <c r="P1651" s="1475"/>
      <c r="Q1651" s="1476"/>
    </row>
    <row r="1652" spans="1:17" ht="11.1" customHeight="1">
      <c r="A1652" s="945" t="s">
        <v>11652</v>
      </c>
      <c r="B1652" s="190"/>
      <c r="C1652" s="49">
        <v>4</v>
      </c>
      <c r="D1652" s="49" t="s">
        <v>10061</v>
      </c>
      <c r="E1652" s="323" t="s">
        <v>10062</v>
      </c>
      <c r="F1652" s="49" t="s">
        <v>11653</v>
      </c>
      <c r="G1652" s="49">
        <v>56</v>
      </c>
      <c r="H1652" s="49" t="s">
        <v>10064</v>
      </c>
      <c r="I1652" s="49"/>
      <c r="J1652" s="49" t="s">
        <v>10153</v>
      </c>
      <c r="K1652" s="49"/>
      <c r="L1652" s="49" t="s">
        <v>10059</v>
      </c>
      <c r="M1652" s="49"/>
      <c r="N1652" s="324"/>
      <c r="O1652" s="1474"/>
      <c r="P1652" s="1475"/>
      <c r="Q1652" s="1476"/>
    </row>
    <row r="1653" spans="1:17" ht="11.1" customHeight="1">
      <c r="A1653" s="946" t="s">
        <v>11654</v>
      </c>
      <c r="B1653" s="203"/>
      <c r="C1653" s="204">
        <v>1</v>
      </c>
      <c r="D1653" s="204" t="s">
        <v>10061</v>
      </c>
      <c r="E1653" s="325" t="s">
        <v>10062</v>
      </c>
      <c r="F1653" s="204" t="s">
        <v>11655</v>
      </c>
      <c r="G1653" s="204">
        <v>59</v>
      </c>
      <c r="H1653" s="204" t="s">
        <v>10054</v>
      </c>
      <c r="I1653" s="204"/>
      <c r="J1653" s="204" t="s">
        <v>10158</v>
      </c>
      <c r="K1653" s="204"/>
      <c r="L1653" s="204" t="s">
        <v>10070</v>
      </c>
      <c r="M1653" s="204">
        <v>4</v>
      </c>
      <c r="N1653" s="326"/>
      <c r="O1653" s="1474">
        <v>0</v>
      </c>
      <c r="P1653" s="1475">
        <v>247073</v>
      </c>
      <c r="Q1653" s="1476">
        <f>P1653*100/SUM(P1602:P1661)</f>
        <v>5.9023537460989086</v>
      </c>
    </row>
    <row r="1654" spans="1:17" ht="11.1" customHeight="1">
      <c r="A1654" s="945" t="s">
        <v>11656</v>
      </c>
      <c r="B1654" s="190"/>
      <c r="C1654" s="49">
        <v>2</v>
      </c>
      <c r="D1654" s="49" t="s">
        <v>10061</v>
      </c>
      <c r="E1654" s="323" t="s">
        <v>10165</v>
      </c>
      <c r="F1654" s="49" t="s">
        <v>11657</v>
      </c>
      <c r="G1654" s="49">
        <v>50</v>
      </c>
      <c r="H1654" s="49" t="s">
        <v>10064</v>
      </c>
      <c r="I1654" s="49"/>
      <c r="J1654" s="49" t="s">
        <v>10158</v>
      </c>
      <c r="K1654" s="49"/>
      <c r="L1654" s="49" t="s">
        <v>10059</v>
      </c>
      <c r="M1654" s="49"/>
      <c r="N1654" s="324"/>
      <c r="O1654" s="1474"/>
      <c r="P1654" s="1475"/>
      <c r="Q1654" s="1476"/>
    </row>
    <row r="1655" spans="1:17" ht="11.1" customHeight="1">
      <c r="A1655" s="946" t="s">
        <v>11658</v>
      </c>
      <c r="B1655" s="203"/>
      <c r="C1655" s="204">
        <v>1</v>
      </c>
      <c r="D1655" s="204" t="s">
        <v>11582</v>
      </c>
      <c r="E1655" s="205">
        <v>27.94</v>
      </c>
      <c r="F1655" s="204" t="s">
        <v>11659</v>
      </c>
      <c r="G1655" s="204">
        <v>57</v>
      </c>
      <c r="H1655" s="204" t="s">
        <v>10064</v>
      </c>
      <c r="I1655" s="204" t="s">
        <v>10056</v>
      </c>
      <c r="J1655" s="204" t="s">
        <v>10163</v>
      </c>
      <c r="K1655" s="204"/>
      <c r="L1655" s="204" t="s">
        <v>10070</v>
      </c>
      <c r="M1655" s="204">
        <v>1</v>
      </c>
      <c r="N1655" s="346"/>
      <c r="O1655" s="1474">
        <v>0</v>
      </c>
      <c r="P1655" s="1475">
        <v>215636</v>
      </c>
      <c r="Q1655" s="1476">
        <f>P1655*100/SUM(P1602:P1661)</f>
        <v>5.1513518368813438</v>
      </c>
    </row>
    <row r="1656" spans="1:17" ht="11.1" customHeight="1">
      <c r="A1656" s="250" t="s">
        <v>11660</v>
      </c>
      <c r="B1656" s="187" t="s">
        <v>10532</v>
      </c>
      <c r="C1656" s="42">
        <v>1</v>
      </c>
      <c r="D1656" s="42" t="s">
        <v>11558</v>
      </c>
      <c r="E1656" s="188">
        <v>13.36</v>
      </c>
      <c r="F1656" s="42" t="s">
        <v>11661</v>
      </c>
      <c r="G1656" s="42">
        <v>52</v>
      </c>
      <c r="H1656" s="42" t="s">
        <v>10064</v>
      </c>
      <c r="I1656" s="42" t="s">
        <v>10056</v>
      </c>
      <c r="J1656" s="42" t="s">
        <v>10163</v>
      </c>
      <c r="K1656" s="42"/>
      <c r="L1656" s="42" t="s">
        <v>10059</v>
      </c>
      <c r="M1656" s="42"/>
      <c r="N1656" s="308"/>
      <c r="O1656" s="1474"/>
      <c r="P1656" s="1475"/>
      <c r="Q1656" s="1476"/>
    </row>
    <row r="1657" spans="1:17" ht="11.1" customHeight="1">
      <c r="A1657" s="250" t="s">
        <v>11662</v>
      </c>
      <c r="B1657" s="187" t="s">
        <v>10313</v>
      </c>
      <c r="C1657" s="42">
        <v>1</v>
      </c>
      <c r="D1657" s="42" t="s">
        <v>11564</v>
      </c>
      <c r="E1657" s="188">
        <v>7.72</v>
      </c>
      <c r="F1657" s="42" t="s">
        <v>11663</v>
      </c>
      <c r="G1657" s="42">
        <v>61</v>
      </c>
      <c r="H1657" s="42" t="s">
        <v>10064</v>
      </c>
      <c r="I1657" s="42" t="s">
        <v>10056</v>
      </c>
      <c r="J1657" s="42" t="s">
        <v>10163</v>
      </c>
      <c r="K1657" s="42"/>
      <c r="L1657" s="42" t="s">
        <v>10059</v>
      </c>
      <c r="M1657" s="42"/>
      <c r="N1657" s="308"/>
      <c r="O1657" s="1474"/>
      <c r="P1657" s="1475"/>
      <c r="Q1657" s="1476"/>
    </row>
    <row r="1658" spans="1:17" ht="11.1" customHeight="1">
      <c r="A1658" s="945" t="s">
        <v>11664</v>
      </c>
      <c r="B1658" s="190" t="s">
        <v>10313</v>
      </c>
      <c r="C1658" s="49">
        <v>1</v>
      </c>
      <c r="D1658" s="49" t="s">
        <v>11570</v>
      </c>
      <c r="E1658" s="201">
        <v>6.72</v>
      </c>
      <c r="F1658" s="49" t="s">
        <v>11665</v>
      </c>
      <c r="G1658" s="49">
        <v>67</v>
      </c>
      <c r="H1658" s="49" t="s">
        <v>10064</v>
      </c>
      <c r="I1658" s="49" t="s">
        <v>10056</v>
      </c>
      <c r="J1658" s="49" t="s">
        <v>10163</v>
      </c>
      <c r="K1658" s="49"/>
      <c r="L1658" s="49" t="s">
        <v>10059</v>
      </c>
      <c r="M1658" s="49"/>
      <c r="N1658" s="344"/>
      <c r="O1658" s="1474"/>
      <c r="P1658" s="1475"/>
      <c r="Q1658" s="1476"/>
    </row>
    <row r="1659" spans="1:17" ht="11.1" customHeight="1">
      <c r="A1659" s="946" t="s">
        <v>11666</v>
      </c>
      <c r="B1659" s="365" t="s">
        <v>10051</v>
      </c>
      <c r="C1659" s="138">
        <v>1</v>
      </c>
      <c r="D1659" s="138" t="s">
        <v>11567</v>
      </c>
      <c r="E1659" s="381">
        <v>56.72</v>
      </c>
      <c r="F1659" s="138" t="s">
        <v>11667</v>
      </c>
      <c r="G1659" s="138">
        <v>65</v>
      </c>
      <c r="H1659" s="138" t="s">
        <v>10064</v>
      </c>
      <c r="I1659" s="138" t="s">
        <v>10056</v>
      </c>
      <c r="J1659" s="138" t="s">
        <v>10331</v>
      </c>
      <c r="K1659" s="138" t="s">
        <v>11668</v>
      </c>
      <c r="L1659" s="138" t="s">
        <v>10066</v>
      </c>
      <c r="M1659" s="138">
        <v>4</v>
      </c>
      <c r="N1659" s="382"/>
      <c r="O1659" s="1474">
        <v>1</v>
      </c>
      <c r="P1659" s="1475">
        <v>330546</v>
      </c>
      <c r="Q1659" s="1476">
        <f>P1659*100/SUM(P1602:P1661)</f>
        <v>7.8964493140003551</v>
      </c>
    </row>
    <row r="1660" spans="1:17" ht="11.1" customHeight="1">
      <c r="A1660" s="250" t="s">
        <v>11669</v>
      </c>
      <c r="B1660" s="187"/>
      <c r="C1660" s="42">
        <v>2</v>
      </c>
      <c r="D1660" s="42" t="s">
        <v>10061</v>
      </c>
      <c r="E1660" s="309" t="s">
        <v>10129</v>
      </c>
      <c r="F1660" s="42" t="s">
        <v>11670</v>
      </c>
      <c r="G1660" s="42">
        <v>71</v>
      </c>
      <c r="H1660" s="42" t="s">
        <v>10064</v>
      </c>
      <c r="I1660" s="42"/>
      <c r="J1660" s="42" t="s">
        <v>10331</v>
      </c>
      <c r="K1660" s="42"/>
      <c r="L1660" s="42" t="s">
        <v>10059</v>
      </c>
      <c r="M1660" s="42"/>
      <c r="N1660" s="310"/>
      <c r="O1660" s="1474"/>
      <c r="P1660" s="1475"/>
      <c r="Q1660" s="1476"/>
    </row>
    <row r="1661" spans="1:17" ht="11.1" customHeight="1" thickBot="1">
      <c r="A1661" s="948" t="s">
        <v>11671</v>
      </c>
      <c r="B1661" s="215"/>
      <c r="C1661" s="78">
        <v>3</v>
      </c>
      <c r="D1661" s="78" t="s">
        <v>10061</v>
      </c>
      <c r="E1661" s="334" t="s">
        <v>10062</v>
      </c>
      <c r="F1661" s="78" t="s">
        <v>11672</v>
      </c>
      <c r="G1661" s="78">
        <v>70</v>
      </c>
      <c r="H1661" s="78" t="s">
        <v>10064</v>
      </c>
      <c r="I1661" s="78"/>
      <c r="J1661" s="78" t="s">
        <v>10331</v>
      </c>
      <c r="K1661" s="78"/>
      <c r="L1661" s="78" t="s">
        <v>10059</v>
      </c>
      <c r="M1661" s="78"/>
      <c r="N1661" s="335"/>
      <c r="O1661" s="1477"/>
      <c r="P1661" s="1478"/>
      <c r="Q1661" s="1479"/>
    </row>
    <row r="1662" spans="1:17" ht="11.1" customHeight="1">
      <c r="A1662" s="249" t="s">
        <v>11673</v>
      </c>
      <c r="B1662" s="336" t="s">
        <v>10051</v>
      </c>
      <c r="C1662" s="337">
        <v>1</v>
      </c>
      <c r="D1662" s="337" t="s">
        <v>11674</v>
      </c>
      <c r="E1662" s="372">
        <v>69.819999999999993</v>
      </c>
      <c r="F1662" s="337" t="s">
        <v>11675</v>
      </c>
      <c r="G1662" s="337">
        <v>54</v>
      </c>
      <c r="H1662" s="337" t="s">
        <v>10064</v>
      </c>
      <c r="I1662" s="337" t="s">
        <v>10056</v>
      </c>
      <c r="J1662" s="337" t="s">
        <v>10057</v>
      </c>
      <c r="K1662" s="337" t="s">
        <v>10210</v>
      </c>
      <c r="L1662" s="337" t="s">
        <v>10066</v>
      </c>
      <c r="M1662" s="337">
        <v>4</v>
      </c>
      <c r="N1662" s="373" t="s">
        <v>10071</v>
      </c>
      <c r="O1662" s="1483">
        <v>3</v>
      </c>
      <c r="P1662" s="1484">
        <v>821746</v>
      </c>
      <c r="Q1662" s="1485">
        <f>P1662*100/SUM(P1662:P1695)</f>
        <v>38.286079826457339</v>
      </c>
    </row>
    <row r="1663" spans="1:17" ht="11.1" customHeight="1">
      <c r="A1663" s="250" t="s">
        <v>11676</v>
      </c>
      <c r="B1663" s="302" t="s">
        <v>10051</v>
      </c>
      <c r="C1663" s="303">
        <v>2</v>
      </c>
      <c r="D1663" s="303" t="s">
        <v>11677</v>
      </c>
      <c r="E1663" s="304">
        <v>80.62</v>
      </c>
      <c r="F1663" s="303" t="s">
        <v>11678</v>
      </c>
      <c r="G1663" s="303">
        <v>61</v>
      </c>
      <c r="H1663" s="303" t="s">
        <v>10064</v>
      </c>
      <c r="I1663" s="303" t="s">
        <v>10056</v>
      </c>
      <c r="J1663" s="303" t="s">
        <v>10057</v>
      </c>
      <c r="K1663" s="303" t="s">
        <v>10065</v>
      </c>
      <c r="L1663" s="303" t="s">
        <v>10066</v>
      </c>
      <c r="M1663" s="303">
        <v>1</v>
      </c>
      <c r="N1663" s="307" t="s">
        <v>10071</v>
      </c>
      <c r="O1663" s="1474"/>
      <c r="P1663" s="1475"/>
      <c r="Q1663" s="1476"/>
    </row>
    <row r="1664" spans="1:17" ht="11.1" customHeight="1">
      <c r="A1664" s="250" t="s">
        <v>11679</v>
      </c>
      <c r="B1664" s="302" t="s">
        <v>10051</v>
      </c>
      <c r="C1664" s="303">
        <v>14</v>
      </c>
      <c r="D1664" s="303" t="s">
        <v>10061</v>
      </c>
      <c r="E1664" s="306" t="s">
        <v>10113</v>
      </c>
      <c r="F1664" s="303" t="s">
        <v>11680</v>
      </c>
      <c r="G1664" s="303">
        <v>55</v>
      </c>
      <c r="H1664" s="303" t="s">
        <v>10054</v>
      </c>
      <c r="I1664" s="303"/>
      <c r="J1664" s="303" t="s">
        <v>10057</v>
      </c>
      <c r="K1664" s="303" t="s">
        <v>10058</v>
      </c>
      <c r="L1664" s="303" t="s">
        <v>10059</v>
      </c>
      <c r="M1664" s="303"/>
      <c r="N1664" s="305"/>
      <c r="O1664" s="1474"/>
      <c r="P1664" s="1475"/>
      <c r="Q1664" s="1476"/>
    </row>
    <row r="1665" spans="1:17" ht="11.1" customHeight="1">
      <c r="A1665" s="250" t="s">
        <v>11681</v>
      </c>
      <c r="B1665" s="187"/>
      <c r="C1665" s="42">
        <v>15</v>
      </c>
      <c r="D1665" s="42" t="s">
        <v>10061</v>
      </c>
      <c r="E1665" s="309" t="s">
        <v>10062</v>
      </c>
      <c r="F1665" s="42" t="s">
        <v>11682</v>
      </c>
      <c r="G1665" s="42">
        <v>33</v>
      </c>
      <c r="H1665" s="42" t="s">
        <v>10064</v>
      </c>
      <c r="I1665" s="42"/>
      <c r="J1665" s="42" t="s">
        <v>10057</v>
      </c>
      <c r="K1665" s="42" t="s">
        <v>10058</v>
      </c>
      <c r="L1665" s="42" t="s">
        <v>10059</v>
      </c>
      <c r="M1665" s="42"/>
      <c r="N1665" s="310"/>
      <c r="O1665" s="1474"/>
      <c r="P1665" s="1475"/>
      <c r="Q1665" s="1476"/>
    </row>
    <row r="1666" spans="1:17" ht="11.1" customHeight="1">
      <c r="A1666" s="250" t="s">
        <v>11683</v>
      </c>
      <c r="B1666" s="187"/>
      <c r="C1666" s="42">
        <v>16</v>
      </c>
      <c r="D1666" s="42" t="s">
        <v>10061</v>
      </c>
      <c r="E1666" s="309" t="s">
        <v>10062</v>
      </c>
      <c r="F1666" s="42" t="s">
        <v>11684</v>
      </c>
      <c r="G1666" s="42">
        <v>64</v>
      </c>
      <c r="H1666" s="42" t="s">
        <v>10064</v>
      </c>
      <c r="I1666" s="42"/>
      <c r="J1666" s="42" t="s">
        <v>10057</v>
      </c>
      <c r="K1666" s="42" t="s">
        <v>10058</v>
      </c>
      <c r="L1666" s="42" t="s">
        <v>10059</v>
      </c>
      <c r="M1666" s="42"/>
      <c r="N1666" s="310"/>
      <c r="O1666" s="1474"/>
      <c r="P1666" s="1475"/>
      <c r="Q1666" s="1476"/>
    </row>
    <row r="1667" spans="1:17" ht="11.1" customHeight="1">
      <c r="A1667" s="250" t="s">
        <v>11685</v>
      </c>
      <c r="B1667" s="187"/>
      <c r="C1667" s="42">
        <v>17</v>
      </c>
      <c r="D1667" s="42" t="s">
        <v>10061</v>
      </c>
      <c r="E1667" s="309" t="s">
        <v>10062</v>
      </c>
      <c r="F1667" s="42" t="s">
        <v>11686</v>
      </c>
      <c r="G1667" s="42">
        <v>50</v>
      </c>
      <c r="H1667" s="42" t="s">
        <v>10064</v>
      </c>
      <c r="I1667" s="42"/>
      <c r="J1667" s="42" t="s">
        <v>10057</v>
      </c>
      <c r="K1667" s="42" t="s">
        <v>10058</v>
      </c>
      <c r="L1667" s="42" t="s">
        <v>10059</v>
      </c>
      <c r="M1667" s="42"/>
      <c r="N1667" s="310"/>
      <c r="O1667" s="1474"/>
      <c r="P1667" s="1475"/>
      <c r="Q1667" s="1476"/>
    </row>
    <row r="1668" spans="1:17" ht="11.1" customHeight="1">
      <c r="A1668" s="250" t="s">
        <v>11687</v>
      </c>
      <c r="B1668" s="302" t="s">
        <v>10098</v>
      </c>
      <c r="C1668" s="303">
        <v>2</v>
      </c>
      <c r="D1668" s="303" t="s">
        <v>11688</v>
      </c>
      <c r="E1668" s="306" t="s">
        <v>10100</v>
      </c>
      <c r="F1668" s="303" t="s">
        <v>11689</v>
      </c>
      <c r="G1668" s="303">
        <v>36</v>
      </c>
      <c r="H1668" s="303" t="s">
        <v>10064</v>
      </c>
      <c r="I1668" s="303" t="s">
        <v>10056</v>
      </c>
      <c r="J1668" s="303" t="s">
        <v>10057</v>
      </c>
      <c r="K1668" s="303" t="s">
        <v>10065</v>
      </c>
      <c r="L1668" s="303" t="s">
        <v>10066</v>
      </c>
      <c r="M1668" s="303">
        <v>2</v>
      </c>
      <c r="N1668" s="307" t="s">
        <v>10071</v>
      </c>
      <c r="O1668" s="1474"/>
      <c r="P1668" s="1475"/>
      <c r="Q1668" s="1476"/>
    </row>
    <row r="1669" spans="1:17" ht="11.1" customHeight="1">
      <c r="A1669" s="250" t="s">
        <v>11690</v>
      </c>
      <c r="B1669" s="302" t="s">
        <v>10098</v>
      </c>
      <c r="C1669" s="303">
        <v>2</v>
      </c>
      <c r="D1669" s="303" t="s">
        <v>11691</v>
      </c>
      <c r="E1669" s="306" t="s">
        <v>10104</v>
      </c>
      <c r="F1669" s="303" t="s">
        <v>11692</v>
      </c>
      <c r="G1669" s="303">
        <v>47</v>
      </c>
      <c r="H1669" s="303" t="s">
        <v>10064</v>
      </c>
      <c r="I1669" s="303" t="s">
        <v>10056</v>
      </c>
      <c r="J1669" s="303" t="s">
        <v>10057</v>
      </c>
      <c r="K1669" s="303" t="s">
        <v>10082</v>
      </c>
      <c r="L1669" s="303" t="s">
        <v>10066</v>
      </c>
      <c r="M1669" s="303">
        <v>2</v>
      </c>
      <c r="N1669" s="307" t="s">
        <v>10071</v>
      </c>
      <c r="O1669" s="1474"/>
      <c r="P1669" s="1475"/>
      <c r="Q1669" s="1476"/>
    </row>
    <row r="1670" spans="1:17" ht="11.1" customHeight="1">
      <c r="A1670" s="250" t="s">
        <v>11693</v>
      </c>
      <c r="B1670" s="302" t="s">
        <v>10098</v>
      </c>
      <c r="C1670" s="303">
        <v>2</v>
      </c>
      <c r="D1670" s="303" t="s">
        <v>11694</v>
      </c>
      <c r="E1670" s="306" t="s">
        <v>10104</v>
      </c>
      <c r="F1670" s="303" t="s">
        <v>11695</v>
      </c>
      <c r="G1670" s="303">
        <v>57</v>
      </c>
      <c r="H1670" s="303" t="s">
        <v>10064</v>
      </c>
      <c r="I1670" s="303" t="s">
        <v>10056</v>
      </c>
      <c r="J1670" s="303" t="s">
        <v>10057</v>
      </c>
      <c r="K1670" s="303" t="s">
        <v>10178</v>
      </c>
      <c r="L1670" s="303" t="s">
        <v>10066</v>
      </c>
      <c r="M1670" s="303">
        <v>6</v>
      </c>
      <c r="N1670" s="307" t="s">
        <v>10071</v>
      </c>
      <c r="O1670" s="1474"/>
      <c r="P1670" s="1475"/>
      <c r="Q1670" s="1476"/>
    </row>
    <row r="1671" spans="1:17" ht="11.1" customHeight="1">
      <c r="A1671" s="250" t="s">
        <v>11696</v>
      </c>
      <c r="B1671" s="302" t="s">
        <v>10098</v>
      </c>
      <c r="C1671" s="303">
        <v>2</v>
      </c>
      <c r="D1671" s="303" t="s">
        <v>11697</v>
      </c>
      <c r="E1671" s="306" t="s">
        <v>10104</v>
      </c>
      <c r="F1671" s="303" t="s">
        <v>11698</v>
      </c>
      <c r="G1671" s="303">
        <v>69</v>
      </c>
      <c r="H1671" s="303" t="s">
        <v>10064</v>
      </c>
      <c r="I1671" s="303" t="s">
        <v>10056</v>
      </c>
      <c r="J1671" s="303" t="s">
        <v>10057</v>
      </c>
      <c r="K1671" s="303" t="s">
        <v>10178</v>
      </c>
      <c r="L1671" s="303" t="s">
        <v>10066</v>
      </c>
      <c r="M1671" s="303">
        <v>6</v>
      </c>
      <c r="N1671" s="307" t="s">
        <v>10071</v>
      </c>
      <c r="O1671" s="1474"/>
      <c r="P1671" s="1475"/>
      <c r="Q1671" s="1476"/>
    </row>
    <row r="1672" spans="1:17" ht="11.1" customHeight="1">
      <c r="A1672" s="250" t="s">
        <v>11699</v>
      </c>
      <c r="B1672" s="302" t="s">
        <v>10098</v>
      </c>
      <c r="C1672" s="303">
        <v>2</v>
      </c>
      <c r="D1672" s="303" t="s">
        <v>11700</v>
      </c>
      <c r="E1672" s="306" t="s">
        <v>10104</v>
      </c>
      <c r="F1672" s="303" t="s">
        <v>11701</v>
      </c>
      <c r="G1672" s="303">
        <v>54</v>
      </c>
      <c r="H1672" s="303" t="s">
        <v>10064</v>
      </c>
      <c r="I1672" s="303" t="s">
        <v>10056</v>
      </c>
      <c r="J1672" s="303" t="s">
        <v>10057</v>
      </c>
      <c r="K1672" s="303" t="s">
        <v>10058</v>
      </c>
      <c r="L1672" s="303" t="s">
        <v>10066</v>
      </c>
      <c r="M1672" s="303">
        <v>3</v>
      </c>
      <c r="N1672" s="307"/>
      <c r="O1672" s="1474"/>
      <c r="P1672" s="1475"/>
      <c r="Q1672" s="1476"/>
    </row>
    <row r="1673" spans="1:17" ht="11.1" customHeight="1">
      <c r="A1673" s="250" t="s">
        <v>11702</v>
      </c>
      <c r="B1673" s="302" t="s">
        <v>10098</v>
      </c>
      <c r="C1673" s="303">
        <v>2</v>
      </c>
      <c r="D1673" s="303" t="s">
        <v>11703</v>
      </c>
      <c r="E1673" s="306" t="s">
        <v>10138</v>
      </c>
      <c r="F1673" s="303" t="s">
        <v>11704</v>
      </c>
      <c r="G1673" s="303">
        <v>53</v>
      </c>
      <c r="H1673" s="303" t="s">
        <v>10064</v>
      </c>
      <c r="I1673" s="303" t="s">
        <v>10056</v>
      </c>
      <c r="J1673" s="303" t="s">
        <v>10057</v>
      </c>
      <c r="K1673" s="303" t="s">
        <v>10210</v>
      </c>
      <c r="L1673" s="303" t="s">
        <v>10066</v>
      </c>
      <c r="M1673" s="303">
        <v>6</v>
      </c>
      <c r="N1673" s="307"/>
      <c r="O1673" s="1474"/>
      <c r="P1673" s="1475"/>
      <c r="Q1673" s="1476"/>
    </row>
    <row r="1674" spans="1:17" ht="11.1" customHeight="1">
      <c r="A1674" s="250" t="s">
        <v>11705</v>
      </c>
      <c r="B1674" s="302" t="s">
        <v>10098</v>
      </c>
      <c r="C1674" s="303">
        <v>2</v>
      </c>
      <c r="D1674" s="303" t="s">
        <v>11706</v>
      </c>
      <c r="E1674" s="306" t="s">
        <v>10138</v>
      </c>
      <c r="F1674" s="303" t="s">
        <v>11707</v>
      </c>
      <c r="G1674" s="303">
        <v>50</v>
      </c>
      <c r="H1674" s="303" t="s">
        <v>10064</v>
      </c>
      <c r="I1674" s="303" t="s">
        <v>10056</v>
      </c>
      <c r="J1674" s="303" t="s">
        <v>10057</v>
      </c>
      <c r="K1674" s="303" t="s">
        <v>10075</v>
      </c>
      <c r="L1674" s="303" t="s">
        <v>10066</v>
      </c>
      <c r="M1674" s="303">
        <v>4</v>
      </c>
      <c r="N1674" s="307"/>
      <c r="O1674" s="1474"/>
      <c r="P1674" s="1475"/>
      <c r="Q1674" s="1476"/>
    </row>
    <row r="1675" spans="1:17" ht="11.1" customHeight="1">
      <c r="A1675" s="250" t="s">
        <v>11708</v>
      </c>
      <c r="B1675" s="302" t="s">
        <v>10098</v>
      </c>
      <c r="C1675" s="303">
        <v>2</v>
      </c>
      <c r="D1675" s="303" t="s">
        <v>11709</v>
      </c>
      <c r="E1675" s="306" t="s">
        <v>10138</v>
      </c>
      <c r="F1675" s="303" t="s">
        <v>11710</v>
      </c>
      <c r="G1675" s="303">
        <v>58</v>
      </c>
      <c r="H1675" s="303" t="s">
        <v>10064</v>
      </c>
      <c r="I1675" s="303" t="s">
        <v>10056</v>
      </c>
      <c r="J1675" s="303" t="s">
        <v>10057</v>
      </c>
      <c r="K1675" s="303" t="s">
        <v>10241</v>
      </c>
      <c r="L1675" s="303" t="s">
        <v>10066</v>
      </c>
      <c r="M1675" s="303">
        <v>4</v>
      </c>
      <c r="N1675" s="307"/>
      <c r="O1675" s="1474"/>
      <c r="P1675" s="1475"/>
      <c r="Q1675" s="1476"/>
    </row>
    <row r="1676" spans="1:17" ht="11.1" customHeight="1">
      <c r="A1676" s="250" t="s">
        <v>11711</v>
      </c>
      <c r="B1676" s="302" t="s">
        <v>10098</v>
      </c>
      <c r="C1676" s="303">
        <v>2</v>
      </c>
      <c r="D1676" s="303" t="s">
        <v>11712</v>
      </c>
      <c r="E1676" s="306" t="s">
        <v>10138</v>
      </c>
      <c r="F1676" s="303" t="s">
        <v>11713</v>
      </c>
      <c r="G1676" s="303">
        <v>51</v>
      </c>
      <c r="H1676" s="303" t="s">
        <v>10064</v>
      </c>
      <c r="I1676" s="303" t="s">
        <v>10056</v>
      </c>
      <c r="J1676" s="303" t="s">
        <v>10057</v>
      </c>
      <c r="K1676" s="303" t="s">
        <v>10082</v>
      </c>
      <c r="L1676" s="303" t="s">
        <v>10066</v>
      </c>
      <c r="M1676" s="303">
        <v>2</v>
      </c>
      <c r="N1676" s="307" t="s">
        <v>10071</v>
      </c>
      <c r="O1676" s="1474"/>
      <c r="P1676" s="1475"/>
      <c r="Q1676" s="1476"/>
    </row>
    <row r="1677" spans="1:17" ht="11.1" customHeight="1">
      <c r="A1677" s="250" t="s">
        <v>11714</v>
      </c>
      <c r="B1677" s="302" t="s">
        <v>10098</v>
      </c>
      <c r="C1677" s="303">
        <v>2</v>
      </c>
      <c r="D1677" s="303" t="s">
        <v>11715</v>
      </c>
      <c r="E1677" s="306" t="s">
        <v>10104</v>
      </c>
      <c r="F1677" s="303" t="s">
        <v>11716</v>
      </c>
      <c r="G1677" s="303">
        <v>47</v>
      </c>
      <c r="H1677" s="303" t="s">
        <v>10064</v>
      </c>
      <c r="I1677" s="303" t="s">
        <v>10056</v>
      </c>
      <c r="J1677" s="303" t="s">
        <v>10057</v>
      </c>
      <c r="K1677" s="303" t="s">
        <v>10241</v>
      </c>
      <c r="L1677" s="303" t="s">
        <v>10066</v>
      </c>
      <c r="M1677" s="303">
        <v>5</v>
      </c>
      <c r="N1677" s="307" t="s">
        <v>10071</v>
      </c>
      <c r="O1677" s="1474"/>
      <c r="P1677" s="1475"/>
      <c r="Q1677" s="1476"/>
    </row>
    <row r="1678" spans="1:17" ht="11.1" customHeight="1">
      <c r="A1678" s="945" t="s">
        <v>11717</v>
      </c>
      <c r="B1678" s="340" t="s">
        <v>10098</v>
      </c>
      <c r="C1678" s="311">
        <v>2</v>
      </c>
      <c r="D1678" s="311" t="s">
        <v>11718</v>
      </c>
      <c r="E1678" s="312" t="s">
        <v>10104</v>
      </c>
      <c r="F1678" s="311" t="s">
        <v>11719</v>
      </c>
      <c r="G1678" s="311">
        <v>53</v>
      </c>
      <c r="H1678" s="311" t="s">
        <v>10064</v>
      </c>
      <c r="I1678" s="311" t="s">
        <v>10056</v>
      </c>
      <c r="J1678" s="311" t="s">
        <v>10057</v>
      </c>
      <c r="K1678" s="311" t="s">
        <v>10210</v>
      </c>
      <c r="L1678" s="311" t="s">
        <v>10066</v>
      </c>
      <c r="M1678" s="311">
        <v>5</v>
      </c>
      <c r="N1678" s="313" t="s">
        <v>10071</v>
      </c>
      <c r="O1678" s="1474"/>
      <c r="P1678" s="1475"/>
      <c r="Q1678" s="1476"/>
    </row>
    <row r="1679" spans="1:17" ht="11.1" customHeight="1">
      <c r="A1679" s="946" t="s">
        <v>11720</v>
      </c>
      <c r="B1679" s="192" t="s">
        <v>10051</v>
      </c>
      <c r="C1679" s="56">
        <v>1</v>
      </c>
      <c r="D1679" s="56" t="s">
        <v>11712</v>
      </c>
      <c r="E1679" s="193">
        <v>92.47</v>
      </c>
      <c r="F1679" s="56" t="s">
        <v>11721</v>
      </c>
      <c r="G1679" s="56">
        <v>66</v>
      </c>
      <c r="H1679" s="56" t="s">
        <v>10064</v>
      </c>
      <c r="I1679" s="56" t="s">
        <v>10056</v>
      </c>
      <c r="J1679" s="56" t="s">
        <v>10115</v>
      </c>
      <c r="K1679" s="56" t="s">
        <v>10127</v>
      </c>
      <c r="L1679" s="56" t="s">
        <v>10066</v>
      </c>
      <c r="M1679" s="56">
        <v>5</v>
      </c>
      <c r="N1679" s="341"/>
      <c r="O1679" s="1474">
        <v>2</v>
      </c>
      <c r="P1679" s="1475">
        <v>711927</v>
      </c>
      <c r="Q1679" s="1476">
        <f>P1679*100/SUM(P1662:P1695)</f>
        <v>33.169487837616842</v>
      </c>
    </row>
    <row r="1680" spans="1:17" ht="11.1" customHeight="1">
      <c r="A1680" s="250" t="s">
        <v>11722</v>
      </c>
      <c r="B1680" s="194" t="s">
        <v>10051</v>
      </c>
      <c r="C1680" s="36">
        <v>1</v>
      </c>
      <c r="D1680" s="36" t="s">
        <v>11691</v>
      </c>
      <c r="E1680" s="195">
        <v>88.29</v>
      </c>
      <c r="F1680" s="36" t="s">
        <v>11723</v>
      </c>
      <c r="G1680" s="36">
        <v>34</v>
      </c>
      <c r="H1680" s="36" t="s">
        <v>10064</v>
      </c>
      <c r="I1680" s="36" t="s">
        <v>10056</v>
      </c>
      <c r="J1680" s="36" t="s">
        <v>10115</v>
      </c>
      <c r="K1680" s="36" t="s">
        <v>10116</v>
      </c>
      <c r="L1680" s="36" t="s">
        <v>10059</v>
      </c>
      <c r="M1680" s="36"/>
      <c r="N1680" s="316"/>
      <c r="O1680" s="1474"/>
      <c r="P1680" s="1475"/>
      <c r="Q1680" s="1476"/>
    </row>
    <row r="1681" spans="1:17" ht="11.1" customHeight="1">
      <c r="A1681" s="250" t="s">
        <v>11724</v>
      </c>
      <c r="B1681" s="187"/>
      <c r="C1681" s="42">
        <v>1</v>
      </c>
      <c r="D1681" s="42" t="s">
        <v>11674</v>
      </c>
      <c r="E1681" s="188">
        <v>75.42</v>
      </c>
      <c r="F1681" s="42" t="s">
        <v>11725</v>
      </c>
      <c r="G1681" s="42">
        <v>33</v>
      </c>
      <c r="H1681" s="42" t="s">
        <v>10054</v>
      </c>
      <c r="I1681" s="42" t="s">
        <v>10056</v>
      </c>
      <c r="J1681" s="42" t="s">
        <v>10115</v>
      </c>
      <c r="K1681" s="42" t="s">
        <v>10116</v>
      </c>
      <c r="L1681" s="42" t="s">
        <v>10066</v>
      </c>
      <c r="M1681" s="42">
        <v>1</v>
      </c>
      <c r="N1681" s="308"/>
      <c r="O1681" s="1474"/>
      <c r="P1681" s="1475"/>
      <c r="Q1681" s="1476"/>
    </row>
    <row r="1682" spans="1:17" ht="11.1" customHeight="1">
      <c r="A1682" s="250" t="s">
        <v>11726</v>
      </c>
      <c r="B1682" s="187"/>
      <c r="C1682" s="42">
        <v>1</v>
      </c>
      <c r="D1682" s="42" t="s">
        <v>11718</v>
      </c>
      <c r="E1682" s="188">
        <v>72.52</v>
      </c>
      <c r="F1682" s="42" t="s">
        <v>11727</v>
      </c>
      <c r="G1682" s="42">
        <v>27</v>
      </c>
      <c r="H1682" s="42" t="s">
        <v>10054</v>
      </c>
      <c r="I1682" s="42" t="s">
        <v>10056</v>
      </c>
      <c r="J1682" s="42" t="s">
        <v>10115</v>
      </c>
      <c r="K1682" s="42" t="s">
        <v>10116</v>
      </c>
      <c r="L1682" s="42" t="s">
        <v>10059</v>
      </c>
      <c r="M1682" s="42"/>
      <c r="N1682" s="308"/>
      <c r="O1682" s="1474"/>
      <c r="P1682" s="1475"/>
      <c r="Q1682" s="1476"/>
    </row>
    <row r="1683" spans="1:17" ht="11.1" customHeight="1">
      <c r="A1683" s="250" t="s">
        <v>11728</v>
      </c>
      <c r="B1683" s="187"/>
      <c r="C1683" s="42">
        <v>1</v>
      </c>
      <c r="D1683" s="42" t="s">
        <v>11694</v>
      </c>
      <c r="E1683" s="188">
        <v>69.62</v>
      </c>
      <c r="F1683" s="42" t="s">
        <v>11729</v>
      </c>
      <c r="G1683" s="42">
        <v>36</v>
      </c>
      <c r="H1683" s="42" t="s">
        <v>10064</v>
      </c>
      <c r="I1683" s="42" t="s">
        <v>10056</v>
      </c>
      <c r="J1683" s="42" t="s">
        <v>10115</v>
      </c>
      <c r="K1683" s="42" t="s">
        <v>10116</v>
      </c>
      <c r="L1683" s="42" t="s">
        <v>10059</v>
      </c>
      <c r="M1683" s="42"/>
      <c r="N1683" s="308"/>
      <c r="O1683" s="1474"/>
      <c r="P1683" s="1475"/>
      <c r="Q1683" s="1476"/>
    </row>
    <row r="1684" spans="1:17" ht="11.1" customHeight="1">
      <c r="A1684" s="250" t="s">
        <v>11730</v>
      </c>
      <c r="B1684" s="187"/>
      <c r="C1684" s="42">
        <v>1</v>
      </c>
      <c r="D1684" s="42" t="s">
        <v>11688</v>
      </c>
      <c r="E1684" s="188">
        <v>67.81</v>
      </c>
      <c r="F1684" s="42" t="s">
        <v>11731</v>
      </c>
      <c r="G1684" s="42">
        <v>39</v>
      </c>
      <c r="H1684" s="42" t="s">
        <v>10064</v>
      </c>
      <c r="I1684" s="42" t="s">
        <v>10056</v>
      </c>
      <c r="J1684" s="42" t="s">
        <v>10115</v>
      </c>
      <c r="K1684" s="42" t="s">
        <v>10116</v>
      </c>
      <c r="L1684" s="42" t="s">
        <v>10059</v>
      </c>
      <c r="M1684" s="42"/>
      <c r="N1684" s="308"/>
      <c r="O1684" s="1474"/>
      <c r="P1684" s="1475"/>
      <c r="Q1684" s="1476"/>
    </row>
    <row r="1685" spans="1:17" ht="11.1" customHeight="1">
      <c r="A1685" s="250" t="s">
        <v>11732</v>
      </c>
      <c r="B1685" s="187"/>
      <c r="C1685" s="42">
        <v>1</v>
      </c>
      <c r="D1685" s="42" t="s">
        <v>11706</v>
      </c>
      <c r="E1685" s="188">
        <v>66.06</v>
      </c>
      <c r="F1685" s="42" t="s">
        <v>11733</v>
      </c>
      <c r="G1685" s="42">
        <v>63</v>
      </c>
      <c r="H1685" s="42" t="s">
        <v>10064</v>
      </c>
      <c r="I1685" s="42" t="s">
        <v>10056</v>
      </c>
      <c r="J1685" s="42" t="s">
        <v>10115</v>
      </c>
      <c r="K1685" s="42" t="s">
        <v>10127</v>
      </c>
      <c r="L1685" s="42" t="s">
        <v>10059</v>
      </c>
      <c r="M1685" s="42"/>
      <c r="N1685" s="308"/>
      <c r="O1685" s="1474"/>
      <c r="P1685" s="1475"/>
      <c r="Q1685" s="1476"/>
    </row>
    <row r="1686" spans="1:17" ht="11.1" customHeight="1">
      <c r="A1686" s="250" t="s">
        <v>11734</v>
      </c>
      <c r="B1686" s="187"/>
      <c r="C1686" s="42">
        <v>1</v>
      </c>
      <c r="D1686" s="42" t="s">
        <v>11715</v>
      </c>
      <c r="E1686" s="188">
        <v>64.12</v>
      </c>
      <c r="F1686" s="42" t="s">
        <v>11735</v>
      </c>
      <c r="G1686" s="42">
        <v>46</v>
      </c>
      <c r="H1686" s="42" t="s">
        <v>10054</v>
      </c>
      <c r="I1686" s="42" t="s">
        <v>10056</v>
      </c>
      <c r="J1686" s="42" t="s">
        <v>10115</v>
      </c>
      <c r="K1686" s="42" t="s">
        <v>10116</v>
      </c>
      <c r="L1686" s="42" t="s">
        <v>10059</v>
      </c>
      <c r="M1686" s="42"/>
      <c r="N1686" s="308"/>
      <c r="O1686" s="1474"/>
      <c r="P1686" s="1475"/>
      <c r="Q1686" s="1476"/>
    </row>
    <row r="1687" spans="1:17" ht="11.1" customHeight="1">
      <c r="A1687" s="250" t="s">
        <v>11736</v>
      </c>
      <c r="B1687" s="187"/>
      <c r="C1687" s="42">
        <v>1</v>
      </c>
      <c r="D1687" s="42" t="s">
        <v>11703</v>
      </c>
      <c r="E1687" s="188">
        <v>56.27</v>
      </c>
      <c r="F1687" s="42" t="s">
        <v>11737</v>
      </c>
      <c r="G1687" s="42">
        <v>36</v>
      </c>
      <c r="H1687" s="42" t="s">
        <v>10064</v>
      </c>
      <c r="I1687" s="42" t="s">
        <v>10056</v>
      </c>
      <c r="J1687" s="42" t="s">
        <v>10115</v>
      </c>
      <c r="K1687" s="42" t="s">
        <v>10116</v>
      </c>
      <c r="L1687" s="42" t="s">
        <v>10059</v>
      </c>
      <c r="M1687" s="42"/>
      <c r="N1687" s="308"/>
      <c r="O1687" s="1474"/>
      <c r="P1687" s="1475"/>
      <c r="Q1687" s="1476"/>
    </row>
    <row r="1688" spans="1:17" ht="11.1" customHeight="1">
      <c r="A1688" s="250" t="s">
        <v>11738</v>
      </c>
      <c r="B1688" s="187"/>
      <c r="C1688" s="42">
        <v>1</v>
      </c>
      <c r="D1688" s="42" t="s">
        <v>11709</v>
      </c>
      <c r="E1688" s="188">
        <v>45.73</v>
      </c>
      <c r="F1688" s="42" t="s">
        <v>11739</v>
      </c>
      <c r="G1688" s="42">
        <v>51</v>
      </c>
      <c r="H1688" s="42" t="s">
        <v>10064</v>
      </c>
      <c r="I1688" s="42" t="s">
        <v>10056</v>
      </c>
      <c r="J1688" s="42" t="s">
        <v>10115</v>
      </c>
      <c r="K1688" s="42" t="s">
        <v>10116</v>
      </c>
      <c r="L1688" s="42" t="s">
        <v>10059</v>
      </c>
      <c r="M1688" s="42"/>
      <c r="N1688" s="308"/>
      <c r="O1688" s="1474"/>
      <c r="P1688" s="1475"/>
      <c r="Q1688" s="1476"/>
    </row>
    <row r="1689" spans="1:17" ht="11.1" customHeight="1">
      <c r="A1689" s="945" t="s">
        <v>11740</v>
      </c>
      <c r="B1689" s="190"/>
      <c r="C1689" s="49">
        <v>1</v>
      </c>
      <c r="D1689" s="49" t="s">
        <v>11700</v>
      </c>
      <c r="E1689" s="201">
        <v>43.45</v>
      </c>
      <c r="F1689" s="49" t="s">
        <v>11741</v>
      </c>
      <c r="G1689" s="49">
        <v>52</v>
      </c>
      <c r="H1689" s="49" t="s">
        <v>10064</v>
      </c>
      <c r="I1689" s="49" t="s">
        <v>10056</v>
      </c>
      <c r="J1689" s="49" t="s">
        <v>10115</v>
      </c>
      <c r="K1689" s="49" t="s">
        <v>10116</v>
      </c>
      <c r="L1689" s="49" t="s">
        <v>10059</v>
      </c>
      <c r="M1689" s="49"/>
      <c r="N1689" s="344"/>
      <c r="O1689" s="1474"/>
      <c r="P1689" s="1475"/>
      <c r="Q1689" s="1476"/>
    </row>
    <row r="1690" spans="1:17" ht="11.1" customHeight="1">
      <c r="A1690" s="946" t="s">
        <v>11742</v>
      </c>
      <c r="B1690" s="197" t="s">
        <v>10051</v>
      </c>
      <c r="C1690" s="198">
        <v>1</v>
      </c>
      <c r="D1690" s="198" t="s">
        <v>10061</v>
      </c>
      <c r="E1690" s="321" t="s">
        <v>10062</v>
      </c>
      <c r="F1690" s="198" t="s">
        <v>11743</v>
      </c>
      <c r="G1690" s="198">
        <v>54</v>
      </c>
      <c r="H1690" s="198" t="s">
        <v>10064</v>
      </c>
      <c r="I1690" s="198"/>
      <c r="J1690" s="198" t="s">
        <v>10153</v>
      </c>
      <c r="K1690" s="198"/>
      <c r="L1690" s="198" t="s">
        <v>10066</v>
      </c>
      <c r="M1690" s="198">
        <v>3</v>
      </c>
      <c r="N1690" s="322"/>
      <c r="O1690" s="1474">
        <v>1</v>
      </c>
      <c r="P1690" s="1475">
        <v>317575</v>
      </c>
      <c r="Q1690" s="1476">
        <f>P1690*100/SUM(P1662:P1695)</f>
        <v>14.796180085923373</v>
      </c>
    </row>
    <row r="1691" spans="1:17" ht="11.1" customHeight="1">
      <c r="A1691" s="945" t="s">
        <v>11744</v>
      </c>
      <c r="B1691" s="190"/>
      <c r="C1691" s="49">
        <v>2</v>
      </c>
      <c r="D1691" s="49" t="s">
        <v>10061</v>
      </c>
      <c r="E1691" s="323" t="s">
        <v>10129</v>
      </c>
      <c r="F1691" s="49" t="s">
        <v>11745</v>
      </c>
      <c r="G1691" s="49">
        <v>47</v>
      </c>
      <c r="H1691" s="49" t="s">
        <v>10064</v>
      </c>
      <c r="I1691" s="49"/>
      <c r="J1691" s="49" t="s">
        <v>10153</v>
      </c>
      <c r="K1691" s="49"/>
      <c r="L1691" s="49" t="s">
        <v>10059</v>
      </c>
      <c r="M1691" s="49"/>
      <c r="N1691" s="324"/>
      <c r="O1691" s="1474"/>
      <c r="P1691" s="1475"/>
      <c r="Q1691" s="1476"/>
    </row>
    <row r="1692" spans="1:17" ht="11.1" customHeight="1">
      <c r="A1692" s="946" t="s">
        <v>11746</v>
      </c>
      <c r="B1692" s="203"/>
      <c r="C1692" s="204">
        <v>1</v>
      </c>
      <c r="D1692" s="204" t="s">
        <v>11712</v>
      </c>
      <c r="E1692" s="205">
        <v>41.61</v>
      </c>
      <c r="F1692" s="204" t="s">
        <v>11747</v>
      </c>
      <c r="G1692" s="204">
        <v>46</v>
      </c>
      <c r="H1692" s="204" t="s">
        <v>10064</v>
      </c>
      <c r="I1692" s="204" t="s">
        <v>10056</v>
      </c>
      <c r="J1692" s="204" t="s">
        <v>10158</v>
      </c>
      <c r="K1692" s="204"/>
      <c r="L1692" s="204" t="s">
        <v>10070</v>
      </c>
      <c r="M1692" s="204">
        <v>2</v>
      </c>
      <c r="N1692" s="326"/>
      <c r="O1692" s="1474">
        <v>0</v>
      </c>
      <c r="P1692" s="1475">
        <v>175994</v>
      </c>
      <c r="Q1692" s="1476">
        <f>P1692*100/SUM(P1662:P1695)</f>
        <v>8.1997604283775427</v>
      </c>
    </row>
    <row r="1693" spans="1:17" ht="11.1" customHeight="1">
      <c r="A1693" s="945" t="s">
        <v>11748</v>
      </c>
      <c r="B1693" s="190"/>
      <c r="C1693" s="49">
        <v>2</v>
      </c>
      <c r="D1693" s="49" t="s">
        <v>10061</v>
      </c>
      <c r="E1693" s="323" t="s">
        <v>10165</v>
      </c>
      <c r="F1693" s="49" t="s">
        <v>11749</v>
      </c>
      <c r="G1693" s="49">
        <v>43</v>
      </c>
      <c r="H1693" s="49" t="s">
        <v>10054</v>
      </c>
      <c r="I1693" s="49"/>
      <c r="J1693" s="49" t="s">
        <v>10158</v>
      </c>
      <c r="K1693" s="49"/>
      <c r="L1693" s="49" t="s">
        <v>10059</v>
      </c>
      <c r="M1693" s="49"/>
      <c r="N1693" s="324"/>
      <c r="O1693" s="1474"/>
      <c r="P1693" s="1475"/>
      <c r="Q1693" s="1476"/>
    </row>
    <row r="1694" spans="1:17" ht="11.1" customHeight="1">
      <c r="A1694" s="946" t="s">
        <v>11750</v>
      </c>
      <c r="B1694" s="203"/>
      <c r="C1694" s="204">
        <v>1</v>
      </c>
      <c r="D1694" s="204" t="s">
        <v>11697</v>
      </c>
      <c r="E1694" s="205">
        <v>36.369999999999997</v>
      </c>
      <c r="F1694" s="204" t="s">
        <v>11751</v>
      </c>
      <c r="G1694" s="204">
        <v>60</v>
      </c>
      <c r="H1694" s="204" t="s">
        <v>10064</v>
      </c>
      <c r="I1694" s="204" t="s">
        <v>10056</v>
      </c>
      <c r="J1694" s="204" t="s">
        <v>10163</v>
      </c>
      <c r="K1694" s="204"/>
      <c r="L1694" s="204" t="s">
        <v>10059</v>
      </c>
      <c r="M1694" s="204"/>
      <c r="N1694" s="326"/>
      <c r="O1694" s="1474">
        <v>0</v>
      </c>
      <c r="P1694" s="1475">
        <v>119089</v>
      </c>
      <c r="Q1694" s="1476">
        <f>P1694*100/SUM(P1662:P1695)</f>
        <v>5.5484918216249035</v>
      </c>
    </row>
    <row r="1695" spans="1:17" ht="11.1" customHeight="1" thickBot="1">
      <c r="A1695" s="948" t="s">
        <v>11752</v>
      </c>
      <c r="B1695" s="215" t="s">
        <v>10313</v>
      </c>
      <c r="C1695" s="78">
        <v>2</v>
      </c>
      <c r="D1695" s="78" t="s">
        <v>11700</v>
      </c>
      <c r="E1695" s="216">
        <v>10.42</v>
      </c>
      <c r="F1695" s="78" t="s">
        <v>11753</v>
      </c>
      <c r="G1695" s="78">
        <v>58</v>
      </c>
      <c r="H1695" s="78" t="s">
        <v>10064</v>
      </c>
      <c r="I1695" s="78" t="s">
        <v>10056</v>
      </c>
      <c r="J1695" s="78" t="s">
        <v>10163</v>
      </c>
      <c r="K1695" s="78"/>
      <c r="L1695" s="78" t="s">
        <v>10059</v>
      </c>
      <c r="M1695" s="78"/>
      <c r="N1695" s="335"/>
      <c r="O1695" s="1477"/>
      <c r="P1695" s="1478"/>
      <c r="Q1695" s="1479"/>
    </row>
    <row r="1696" spans="1:17" ht="11.1" customHeight="1">
      <c r="A1696" s="250" t="s">
        <v>11754</v>
      </c>
      <c r="B1696" s="302" t="s">
        <v>10051</v>
      </c>
      <c r="C1696" s="303">
        <v>2</v>
      </c>
      <c r="D1696" s="303" t="s">
        <v>11755</v>
      </c>
      <c r="E1696" s="304">
        <v>56</v>
      </c>
      <c r="F1696" s="303" t="s">
        <v>11756</v>
      </c>
      <c r="G1696" s="303">
        <v>52</v>
      </c>
      <c r="H1696" s="303" t="s">
        <v>10054</v>
      </c>
      <c r="I1696" s="303" t="s">
        <v>10056</v>
      </c>
      <c r="J1696" s="303" t="s">
        <v>10057</v>
      </c>
      <c r="K1696" s="303" t="s">
        <v>10058</v>
      </c>
      <c r="L1696" s="303" t="s">
        <v>10059</v>
      </c>
      <c r="M1696" s="303"/>
      <c r="N1696" s="305"/>
      <c r="O1696" s="1480">
        <v>9</v>
      </c>
      <c r="P1696" s="1481">
        <v>2883048</v>
      </c>
      <c r="Q1696" s="1482">
        <f>P1696*100/SUM(P1696:P1784)</f>
        <v>37.074193961546356</v>
      </c>
    </row>
    <row r="1697" spans="1:17" ht="11.1" customHeight="1">
      <c r="A1697" s="250" t="s">
        <v>11757</v>
      </c>
      <c r="B1697" s="302" t="s">
        <v>10051</v>
      </c>
      <c r="C1697" s="303">
        <v>3</v>
      </c>
      <c r="D1697" s="303" t="s">
        <v>10061</v>
      </c>
      <c r="E1697" s="306" t="s">
        <v>10062</v>
      </c>
      <c r="F1697" s="303" t="s">
        <v>11758</v>
      </c>
      <c r="G1697" s="303">
        <v>74</v>
      </c>
      <c r="H1697" s="303" t="s">
        <v>10064</v>
      </c>
      <c r="I1697" s="303"/>
      <c r="J1697" s="303" t="s">
        <v>10057</v>
      </c>
      <c r="K1697" s="303" t="s">
        <v>10065</v>
      </c>
      <c r="L1697" s="303" t="s">
        <v>10066</v>
      </c>
      <c r="M1697" s="303">
        <v>6</v>
      </c>
      <c r="N1697" s="305"/>
      <c r="O1697" s="1474"/>
      <c r="P1697" s="1475"/>
      <c r="Q1697" s="1476"/>
    </row>
    <row r="1698" spans="1:17" ht="11.1" customHeight="1">
      <c r="A1698" s="250" t="s">
        <v>11759</v>
      </c>
      <c r="B1698" s="302" t="s">
        <v>10051</v>
      </c>
      <c r="C1698" s="303">
        <v>4</v>
      </c>
      <c r="D1698" s="303" t="s">
        <v>11760</v>
      </c>
      <c r="E1698" s="304">
        <v>48.85</v>
      </c>
      <c r="F1698" s="303" t="s">
        <v>11761</v>
      </c>
      <c r="G1698" s="303">
        <v>54</v>
      </c>
      <c r="H1698" s="303" t="s">
        <v>10064</v>
      </c>
      <c r="I1698" s="303" t="s">
        <v>10056</v>
      </c>
      <c r="J1698" s="303" t="s">
        <v>10057</v>
      </c>
      <c r="K1698" s="303" t="s">
        <v>10075</v>
      </c>
      <c r="L1698" s="303" t="s">
        <v>10066</v>
      </c>
      <c r="M1698" s="303">
        <v>1</v>
      </c>
      <c r="N1698" s="305"/>
      <c r="O1698" s="1474"/>
      <c r="P1698" s="1475"/>
      <c r="Q1698" s="1476"/>
    </row>
    <row r="1699" spans="1:17" ht="11.1" customHeight="1">
      <c r="A1699" s="250" t="s">
        <v>11762</v>
      </c>
      <c r="B1699" s="302" t="s">
        <v>10051</v>
      </c>
      <c r="C1699" s="303">
        <v>5</v>
      </c>
      <c r="D1699" s="303" t="s">
        <v>10061</v>
      </c>
      <c r="E1699" s="306" t="s">
        <v>10129</v>
      </c>
      <c r="F1699" s="303" t="s">
        <v>11763</v>
      </c>
      <c r="G1699" s="303">
        <v>61</v>
      </c>
      <c r="H1699" s="303" t="s">
        <v>10064</v>
      </c>
      <c r="I1699" s="303"/>
      <c r="J1699" s="303" t="s">
        <v>10057</v>
      </c>
      <c r="K1699" s="303" t="s">
        <v>10065</v>
      </c>
      <c r="L1699" s="303" t="s">
        <v>10066</v>
      </c>
      <c r="M1699" s="303">
        <v>3</v>
      </c>
      <c r="N1699" s="305"/>
      <c r="O1699" s="1474"/>
      <c r="P1699" s="1475"/>
      <c r="Q1699" s="1476"/>
    </row>
    <row r="1700" spans="1:17" ht="11.1" customHeight="1">
      <c r="A1700" s="250" t="s">
        <v>11764</v>
      </c>
      <c r="B1700" s="302" t="s">
        <v>10051</v>
      </c>
      <c r="C1700" s="303">
        <v>6</v>
      </c>
      <c r="D1700" s="303" t="s">
        <v>11765</v>
      </c>
      <c r="E1700" s="304">
        <v>99.43</v>
      </c>
      <c r="F1700" s="303" t="s">
        <v>11766</v>
      </c>
      <c r="G1700" s="303">
        <v>57</v>
      </c>
      <c r="H1700" s="303" t="s">
        <v>10064</v>
      </c>
      <c r="I1700" s="303" t="s">
        <v>10056</v>
      </c>
      <c r="J1700" s="303" t="s">
        <v>10057</v>
      </c>
      <c r="K1700" s="303" t="s">
        <v>10082</v>
      </c>
      <c r="L1700" s="303" t="s">
        <v>10070</v>
      </c>
      <c r="M1700" s="303">
        <v>3</v>
      </c>
      <c r="N1700" s="307"/>
      <c r="O1700" s="1474"/>
      <c r="P1700" s="1475"/>
      <c r="Q1700" s="1476"/>
    </row>
    <row r="1701" spans="1:17" ht="11.1" customHeight="1">
      <c r="A1701" s="250" t="s">
        <v>11767</v>
      </c>
      <c r="B1701" s="302" t="s">
        <v>10051</v>
      </c>
      <c r="C1701" s="303">
        <v>6</v>
      </c>
      <c r="D1701" s="303" t="s">
        <v>11768</v>
      </c>
      <c r="E1701" s="304">
        <v>97.84</v>
      </c>
      <c r="F1701" s="303" t="s">
        <v>11769</v>
      </c>
      <c r="G1701" s="303">
        <v>36</v>
      </c>
      <c r="H1701" s="303" t="s">
        <v>10064</v>
      </c>
      <c r="I1701" s="303" t="s">
        <v>10056</v>
      </c>
      <c r="J1701" s="303" t="s">
        <v>10057</v>
      </c>
      <c r="K1701" s="303" t="s">
        <v>10058</v>
      </c>
      <c r="L1701" s="303" t="s">
        <v>10059</v>
      </c>
      <c r="M1701" s="303"/>
      <c r="N1701" s="307" t="s">
        <v>10071</v>
      </c>
      <c r="O1701" s="1474"/>
      <c r="P1701" s="1475"/>
      <c r="Q1701" s="1476"/>
    </row>
    <row r="1702" spans="1:17" ht="11.1" customHeight="1">
      <c r="A1702" s="250" t="s">
        <v>11770</v>
      </c>
      <c r="B1702" s="302" t="s">
        <v>10051</v>
      </c>
      <c r="C1702" s="303">
        <v>6</v>
      </c>
      <c r="D1702" s="303" t="s">
        <v>11771</v>
      </c>
      <c r="E1702" s="304">
        <v>92.95</v>
      </c>
      <c r="F1702" s="303" t="s">
        <v>11772</v>
      </c>
      <c r="G1702" s="303">
        <v>42</v>
      </c>
      <c r="H1702" s="303" t="s">
        <v>10064</v>
      </c>
      <c r="I1702" s="303" t="s">
        <v>10056</v>
      </c>
      <c r="J1702" s="303" t="s">
        <v>10057</v>
      </c>
      <c r="K1702" s="303" t="s">
        <v>10058</v>
      </c>
      <c r="L1702" s="303" t="s">
        <v>10059</v>
      </c>
      <c r="M1702" s="303"/>
      <c r="N1702" s="307"/>
      <c r="O1702" s="1474"/>
      <c r="P1702" s="1475"/>
      <c r="Q1702" s="1476"/>
    </row>
    <row r="1703" spans="1:17" ht="11.1" customHeight="1">
      <c r="A1703" s="250" t="s">
        <v>11773</v>
      </c>
      <c r="B1703" s="302" t="s">
        <v>10051</v>
      </c>
      <c r="C1703" s="303">
        <v>6</v>
      </c>
      <c r="D1703" s="303" t="s">
        <v>11774</v>
      </c>
      <c r="E1703" s="304">
        <v>92.28</v>
      </c>
      <c r="F1703" s="303" t="s">
        <v>11775</v>
      </c>
      <c r="G1703" s="303">
        <v>57</v>
      </c>
      <c r="H1703" s="303" t="s">
        <v>10064</v>
      </c>
      <c r="I1703" s="303" t="s">
        <v>10056</v>
      </c>
      <c r="J1703" s="303" t="s">
        <v>10057</v>
      </c>
      <c r="K1703" s="303" t="s">
        <v>10058</v>
      </c>
      <c r="L1703" s="303" t="s">
        <v>10059</v>
      </c>
      <c r="M1703" s="303"/>
      <c r="N1703" s="307" t="s">
        <v>10071</v>
      </c>
      <c r="O1703" s="1474"/>
      <c r="P1703" s="1475"/>
      <c r="Q1703" s="1476"/>
    </row>
    <row r="1704" spans="1:17" ht="11.1" customHeight="1">
      <c r="A1704" s="250" t="s">
        <v>11776</v>
      </c>
      <c r="B1704" s="302" t="s">
        <v>10051</v>
      </c>
      <c r="C1704" s="303">
        <v>6</v>
      </c>
      <c r="D1704" s="303" t="s">
        <v>11777</v>
      </c>
      <c r="E1704" s="304">
        <v>84.25</v>
      </c>
      <c r="F1704" s="303" t="s">
        <v>11778</v>
      </c>
      <c r="G1704" s="303">
        <v>49</v>
      </c>
      <c r="H1704" s="303" t="s">
        <v>10064</v>
      </c>
      <c r="I1704" s="303" t="s">
        <v>10056</v>
      </c>
      <c r="J1704" s="303" t="s">
        <v>10057</v>
      </c>
      <c r="K1704" s="303" t="s">
        <v>10058</v>
      </c>
      <c r="L1704" s="303" t="s">
        <v>10059</v>
      </c>
      <c r="M1704" s="303"/>
      <c r="N1704" s="307" t="s">
        <v>10071</v>
      </c>
      <c r="O1704" s="1474"/>
      <c r="P1704" s="1475"/>
      <c r="Q1704" s="1476"/>
    </row>
    <row r="1705" spans="1:17" ht="11.1" customHeight="1">
      <c r="A1705" s="250" t="s">
        <v>11779</v>
      </c>
      <c r="B1705" s="187"/>
      <c r="C1705" s="42">
        <v>6</v>
      </c>
      <c r="D1705" s="42" t="s">
        <v>11780</v>
      </c>
      <c r="E1705" s="188">
        <v>81.900000000000006</v>
      </c>
      <c r="F1705" s="42" t="s">
        <v>11781</v>
      </c>
      <c r="G1705" s="42">
        <v>48</v>
      </c>
      <c r="H1705" s="42" t="s">
        <v>10064</v>
      </c>
      <c r="I1705" s="42" t="s">
        <v>10056</v>
      </c>
      <c r="J1705" s="42" t="s">
        <v>10057</v>
      </c>
      <c r="K1705" s="42" t="s">
        <v>10065</v>
      </c>
      <c r="L1705" s="42" t="s">
        <v>10070</v>
      </c>
      <c r="M1705" s="42">
        <v>1</v>
      </c>
      <c r="N1705" s="308"/>
      <c r="O1705" s="1474"/>
      <c r="P1705" s="1475"/>
      <c r="Q1705" s="1476"/>
    </row>
    <row r="1706" spans="1:17" ht="11.1" customHeight="1">
      <c r="A1706" s="250" t="s">
        <v>11782</v>
      </c>
      <c r="B1706" s="187"/>
      <c r="C1706" s="42">
        <v>6</v>
      </c>
      <c r="D1706" s="42" t="s">
        <v>11783</v>
      </c>
      <c r="E1706" s="188">
        <v>79.95</v>
      </c>
      <c r="F1706" s="42" t="s">
        <v>11784</v>
      </c>
      <c r="G1706" s="42">
        <v>45</v>
      </c>
      <c r="H1706" s="42" t="s">
        <v>10064</v>
      </c>
      <c r="I1706" s="42" t="s">
        <v>10056</v>
      </c>
      <c r="J1706" s="42" t="s">
        <v>10057</v>
      </c>
      <c r="K1706" s="42" t="s">
        <v>10082</v>
      </c>
      <c r="L1706" s="42" t="s">
        <v>10059</v>
      </c>
      <c r="M1706" s="42"/>
      <c r="N1706" s="308" t="s">
        <v>10071</v>
      </c>
      <c r="O1706" s="1474"/>
      <c r="P1706" s="1475"/>
      <c r="Q1706" s="1476"/>
    </row>
    <row r="1707" spans="1:17" ht="11.1" customHeight="1">
      <c r="A1707" s="250" t="s">
        <v>11785</v>
      </c>
      <c r="B1707" s="187"/>
      <c r="C1707" s="42">
        <v>6</v>
      </c>
      <c r="D1707" s="42" t="s">
        <v>11786</v>
      </c>
      <c r="E1707" s="188">
        <v>60.88</v>
      </c>
      <c r="F1707" s="42" t="s">
        <v>11787</v>
      </c>
      <c r="G1707" s="42">
        <v>63</v>
      </c>
      <c r="H1707" s="42" t="s">
        <v>10064</v>
      </c>
      <c r="I1707" s="42" t="s">
        <v>10056</v>
      </c>
      <c r="J1707" s="42" t="s">
        <v>10057</v>
      </c>
      <c r="K1707" s="42" t="s">
        <v>10065</v>
      </c>
      <c r="L1707" s="42" t="s">
        <v>10059</v>
      </c>
      <c r="M1707" s="42"/>
      <c r="N1707" s="308"/>
      <c r="O1707" s="1474"/>
      <c r="P1707" s="1475"/>
      <c r="Q1707" s="1476"/>
    </row>
    <row r="1708" spans="1:17" ht="11.1" customHeight="1">
      <c r="A1708" s="250" t="s">
        <v>11788</v>
      </c>
      <c r="B1708" s="187"/>
      <c r="C1708" s="42">
        <v>6</v>
      </c>
      <c r="D1708" s="42" t="s">
        <v>11789</v>
      </c>
      <c r="E1708" s="188">
        <v>52.3</v>
      </c>
      <c r="F1708" s="42" t="s">
        <v>11790</v>
      </c>
      <c r="G1708" s="42">
        <v>33</v>
      </c>
      <c r="H1708" s="42" t="s">
        <v>10064</v>
      </c>
      <c r="I1708" s="42" t="s">
        <v>10056</v>
      </c>
      <c r="J1708" s="42" t="s">
        <v>10057</v>
      </c>
      <c r="K1708" s="42" t="s">
        <v>10058</v>
      </c>
      <c r="L1708" s="42" t="s">
        <v>10059</v>
      </c>
      <c r="M1708" s="42"/>
      <c r="N1708" s="308"/>
      <c r="O1708" s="1474"/>
      <c r="P1708" s="1475"/>
      <c r="Q1708" s="1476"/>
    </row>
    <row r="1709" spans="1:17" ht="11.1" customHeight="1">
      <c r="A1709" s="250" t="s">
        <v>11791</v>
      </c>
      <c r="B1709" s="187"/>
      <c r="C1709" s="42">
        <v>6</v>
      </c>
      <c r="D1709" s="42" t="s">
        <v>11792</v>
      </c>
      <c r="E1709" s="188">
        <v>50.52</v>
      </c>
      <c r="F1709" s="42" t="s">
        <v>11793</v>
      </c>
      <c r="G1709" s="42">
        <v>51</v>
      </c>
      <c r="H1709" s="42" t="s">
        <v>10064</v>
      </c>
      <c r="I1709" s="42" t="s">
        <v>10056</v>
      </c>
      <c r="J1709" s="42" t="s">
        <v>10057</v>
      </c>
      <c r="K1709" s="42" t="s">
        <v>10058</v>
      </c>
      <c r="L1709" s="42" t="s">
        <v>10059</v>
      </c>
      <c r="M1709" s="42"/>
      <c r="N1709" s="308"/>
      <c r="O1709" s="1474"/>
      <c r="P1709" s="1475"/>
      <c r="Q1709" s="1476"/>
    </row>
    <row r="1710" spans="1:17" ht="11.1" customHeight="1">
      <c r="A1710" s="250" t="s">
        <v>11794</v>
      </c>
      <c r="B1710" s="187"/>
      <c r="C1710" s="42">
        <v>38</v>
      </c>
      <c r="D1710" s="42" t="s">
        <v>10061</v>
      </c>
      <c r="E1710" s="309" t="s">
        <v>10062</v>
      </c>
      <c r="F1710" s="42" t="s">
        <v>11795</v>
      </c>
      <c r="G1710" s="42">
        <v>47</v>
      </c>
      <c r="H1710" s="42" t="s">
        <v>10064</v>
      </c>
      <c r="I1710" s="42"/>
      <c r="J1710" s="42" t="s">
        <v>10057</v>
      </c>
      <c r="K1710" s="42" t="s">
        <v>10058</v>
      </c>
      <c r="L1710" s="42" t="s">
        <v>10059</v>
      </c>
      <c r="M1710" s="42"/>
      <c r="N1710" s="310"/>
      <c r="O1710" s="1474"/>
      <c r="P1710" s="1475"/>
      <c r="Q1710" s="1476"/>
    </row>
    <row r="1711" spans="1:17" ht="11.1" customHeight="1">
      <c r="A1711" s="250" t="s">
        <v>11796</v>
      </c>
      <c r="B1711" s="187"/>
      <c r="C1711" s="42">
        <v>39</v>
      </c>
      <c r="D1711" s="42" t="s">
        <v>10061</v>
      </c>
      <c r="E1711" s="309" t="s">
        <v>10062</v>
      </c>
      <c r="F1711" s="42" t="s">
        <v>11797</v>
      </c>
      <c r="G1711" s="42">
        <v>57</v>
      </c>
      <c r="H1711" s="42" t="s">
        <v>10064</v>
      </c>
      <c r="I1711" s="42"/>
      <c r="J1711" s="42" t="s">
        <v>10057</v>
      </c>
      <c r="K1711" s="42" t="s">
        <v>10058</v>
      </c>
      <c r="L1711" s="42" t="s">
        <v>10059</v>
      </c>
      <c r="M1711" s="42"/>
      <c r="N1711" s="310"/>
      <c r="O1711" s="1474"/>
      <c r="P1711" s="1475"/>
      <c r="Q1711" s="1476"/>
    </row>
    <row r="1712" spans="1:17" ht="11.1" customHeight="1">
      <c r="A1712" s="250" t="s">
        <v>11798</v>
      </c>
      <c r="B1712" s="302" t="s">
        <v>10098</v>
      </c>
      <c r="C1712" s="303">
        <v>1</v>
      </c>
      <c r="D1712" s="303" t="s">
        <v>11799</v>
      </c>
      <c r="E1712" s="306" t="s">
        <v>10100</v>
      </c>
      <c r="F1712" s="303" t="s">
        <v>11800</v>
      </c>
      <c r="G1712" s="303">
        <v>59</v>
      </c>
      <c r="H1712" s="303" t="s">
        <v>10054</v>
      </c>
      <c r="I1712" s="303" t="s">
        <v>10056</v>
      </c>
      <c r="J1712" s="303" t="s">
        <v>10057</v>
      </c>
      <c r="K1712" s="303" t="s">
        <v>10092</v>
      </c>
      <c r="L1712" s="303" t="s">
        <v>10066</v>
      </c>
      <c r="M1712" s="303">
        <v>2</v>
      </c>
      <c r="N1712" s="305"/>
      <c r="O1712" s="1474"/>
      <c r="P1712" s="1475"/>
      <c r="Q1712" s="1476"/>
    </row>
    <row r="1713" spans="1:17" ht="11.1" customHeight="1">
      <c r="A1713" s="250" t="s">
        <v>11801</v>
      </c>
      <c r="B1713" s="302" t="s">
        <v>10098</v>
      </c>
      <c r="C1713" s="303">
        <v>6</v>
      </c>
      <c r="D1713" s="303" t="s">
        <v>11802</v>
      </c>
      <c r="E1713" s="306" t="s">
        <v>10138</v>
      </c>
      <c r="F1713" s="303" t="s">
        <v>11803</v>
      </c>
      <c r="G1713" s="303">
        <v>68</v>
      </c>
      <c r="H1713" s="303" t="s">
        <v>10064</v>
      </c>
      <c r="I1713" s="303" t="s">
        <v>10056</v>
      </c>
      <c r="J1713" s="303" t="s">
        <v>10057</v>
      </c>
      <c r="K1713" s="303" t="s">
        <v>10178</v>
      </c>
      <c r="L1713" s="303" t="s">
        <v>10066</v>
      </c>
      <c r="M1713" s="303">
        <v>11</v>
      </c>
      <c r="N1713" s="307" t="s">
        <v>10071</v>
      </c>
      <c r="O1713" s="1474"/>
      <c r="P1713" s="1475"/>
      <c r="Q1713" s="1476"/>
    </row>
    <row r="1714" spans="1:17" ht="11.1" customHeight="1">
      <c r="A1714" s="250" t="s">
        <v>11804</v>
      </c>
      <c r="B1714" s="302" t="s">
        <v>10098</v>
      </c>
      <c r="C1714" s="303">
        <v>6</v>
      </c>
      <c r="D1714" s="303" t="s">
        <v>11805</v>
      </c>
      <c r="E1714" s="306" t="s">
        <v>10104</v>
      </c>
      <c r="F1714" s="303" t="s">
        <v>11806</v>
      </c>
      <c r="G1714" s="303">
        <v>59</v>
      </c>
      <c r="H1714" s="303" t="s">
        <v>10064</v>
      </c>
      <c r="I1714" s="303" t="s">
        <v>10056</v>
      </c>
      <c r="J1714" s="303" t="s">
        <v>10057</v>
      </c>
      <c r="K1714" s="303" t="s">
        <v>10082</v>
      </c>
      <c r="L1714" s="303" t="s">
        <v>10070</v>
      </c>
      <c r="M1714" s="303">
        <v>7</v>
      </c>
      <c r="N1714" s="307" t="s">
        <v>10071</v>
      </c>
      <c r="O1714" s="1474"/>
      <c r="P1714" s="1475"/>
      <c r="Q1714" s="1476"/>
    </row>
    <row r="1715" spans="1:17" ht="11.1" customHeight="1">
      <c r="A1715" s="250" t="s">
        <v>11807</v>
      </c>
      <c r="B1715" s="302" t="s">
        <v>10098</v>
      </c>
      <c r="C1715" s="303">
        <v>6</v>
      </c>
      <c r="D1715" s="303" t="s">
        <v>11808</v>
      </c>
      <c r="E1715" s="306" t="s">
        <v>10104</v>
      </c>
      <c r="F1715" s="303" t="s">
        <v>11809</v>
      </c>
      <c r="G1715" s="303">
        <v>64</v>
      </c>
      <c r="H1715" s="303" t="s">
        <v>10064</v>
      </c>
      <c r="I1715" s="303" t="s">
        <v>10056</v>
      </c>
      <c r="J1715" s="303" t="s">
        <v>10057</v>
      </c>
      <c r="K1715" s="303" t="s">
        <v>10178</v>
      </c>
      <c r="L1715" s="303" t="s">
        <v>10066</v>
      </c>
      <c r="M1715" s="303">
        <v>3</v>
      </c>
      <c r="N1715" s="307" t="s">
        <v>10071</v>
      </c>
      <c r="O1715" s="1474"/>
      <c r="P1715" s="1475"/>
      <c r="Q1715" s="1476"/>
    </row>
    <row r="1716" spans="1:17" ht="11.1" customHeight="1">
      <c r="A1716" s="250" t="s">
        <v>11810</v>
      </c>
      <c r="B1716" s="302" t="s">
        <v>10098</v>
      </c>
      <c r="C1716" s="303">
        <v>6</v>
      </c>
      <c r="D1716" s="303" t="s">
        <v>11811</v>
      </c>
      <c r="E1716" s="306" t="s">
        <v>10104</v>
      </c>
      <c r="F1716" s="303" t="s">
        <v>11812</v>
      </c>
      <c r="G1716" s="303">
        <v>60</v>
      </c>
      <c r="H1716" s="303" t="s">
        <v>10064</v>
      </c>
      <c r="I1716" s="303" t="s">
        <v>10056</v>
      </c>
      <c r="J1716" s="303" t="s">
        <v>10057</v>
      </c>
      <c r="K1716" s="303" t="s">
        <v>10178</v>
      </c>
      <c r="L1716" s="303" t="s">
        <v>10066</v>
      </c>
      <c r="M1716" s="303">
        <v>4</v>
      </c>
      <c r="N1716" s="307" t="s">
        <v>10071</v>
      </c>
      <c r="O1716" s="1474"/>
      <c r="P1716" s="1475"/>
      <c r="Q1716" s="1476"/>
    </row>
    <row r="1717" spans="1:17" ht="11.1" customHeight="1">
      <c r="A1717" s="250" t="s">
        <v>11813</v>
      </c>
      <c r="B1717" s="302" t="s">
        <v>10098</v>
      </c>
      <c r="C1717" s="303">
        <v>6</v>
      </c>
      <c r="D1717" s="303" t="s">
        <v>11814</v>
      </c>
      <c r="E1717" s="306" t="s">
        <v>10104</v>
      </c>
      <c r="F1717" s="303" t="s">
        <v>11815</v>
      </c>
      <c r="G1717" s="303">
        <v>56</v>
      </c>
      <c r="H1717" s="303" t="s">
        <v>10064</v>
      </c>
      <c r="I1717" s="303" t="s">
        <v>10056</v>
      </c>
      <c r="J1717" s="303" t="s">
        <v>10057</v>
      </c>
      <c r="K1717" s="303" t="s">
        <v>10058</v>
      </c>
      <c r="L1717" s="303" t="s">
        <v>10066</v>
      </c>
      <c r="M1717" s="303">
        <v>9</v>
      </c>
      <c r="N1717" s="307" t="s">
        <v>10071</v>
      </c>
      <c r="O1717" s="1474"/>
      <c r="P1717" s="1475"/>
      <c r="Q1717" s="1476"/>
    </row>
    <row r="1718" spans="1:17" ht="11.1" customHeight="1">
      <c r="A1718" s="250" t="s">
        <v>11816</v>
      </c>
      <c r="B1718" s="302" t="s">
        <v>10098</v>
      </c>
      <c r="C1718" s="303">
        <v>6</v>
      </c>
      <c r="D1718" s="303" t="s">
        <v>11817</v>
      </c>
      <c r="E1718" s="306" t="s">
        <v>10104</v>
      </c>
      <c r="F1718" s="303" t="s">
        <v>11818</v>
      </c>
      <c r="G1718" s="303">
        <v>65</v>
      </c>
      <c r="H1718" s="303" t="s">
        <v>10064</v>
      </c>
      <c r="I1718" s="303" t="s">
        <v>10056</v>
      </c>
      <c r="J1718" s="303" t="s">
        <v>10057</v>
      </c>
      <c r="K1718" s="303" t="s">
        <v>10082</v>
      </c>
      <c r="L1718" s="303" t="s">
        <v>10066</v>
      </c>
      <c r="M1718" s="303">
        <v>8</v>
      </c>
      <c r="N1718" s="307"/>
      <c r="O1718" s="1474"/>
      <c r="P1718" s="1475"/>
      <c r="Q1718" s="1476"/>
    </row>
    <row r="1719" spans="1:17" ht="11.1" customHeight="1">
      <c r="A1719" s="250" t="s">
        <v>11819</v>
      </c>
      <c r="B1719" s="302" t="s">
        <v>10098</v>
      </c>
      <c r="C1719" s="303">
        <v>6</v>
      </c>
      <c r="D1719" s="303" t="s">
        <v>11820</v>
      </c>
      <c r="E1719" s="306" t="s">
        <v>10138</v>
      </c>
      <c r="F1719" s="303" t="s">
        <v>11821</v>
      </c>
      <c r="G1719" s="303">
        <v>64</v>
      </c>
      <c r="H1719" s="303" t="s">
        <v>10064</v>
      </c>
      <c r="I1719" s="303" t="s">
        <v>10056</v>
      </c>
      <c r="J1719" s="303" t="s">
        <v>10057</v>
      </c>
      <c r="K1719" s="303" t="s">
        <v>10582</v>
      </c>
      <c r="L1719" s="303" t="s">
        <v>10066</v>
      </c>
      <c r="M1719" s="303">
        <v>8</v>
      </c>
      <c r="N1719" s="307"/>
      <c r="O1719" s="1474"/>
      <c r="P1719" s="1475"/>
      <c r="Q1719" s="1476"/>
    </row>
    <row r="1720" spans="1:17" ht="11.1" customHeight="1">
      <c r="A1720" s="250" t="s">
        <v>11822</v>
      </c>
      <c r="B1720" s="302" t="s">
        <v>10098</v>
      </c>
      <c r="C1720" s="303">
        <v>6</v>
      </c>
      <c r="D1720" s="303" t="s">
        <v>11823</v>
      </c>
      <c r="E1720" s="306" t="s">
        <v>10138</v>
      </c>
      <c r="F1720" s="303" t="s">
        <v>11824</v>
      </c>
      <c r="G1720" s="303">
        <v>58</v>
      </c>
      <c r="H1720" s="303" t="s">
        <v>10064</v>
      </c>
      <c r="I1720" s="303" t="s">
        <v>10056</v>
      </c>
      <c r="J1720" s="303" t="s">
        <v>10057</v>
      </c>
      <c r="K1720" s="303" t="s">
        <v>10065</v>
      </c>
      <c r="L1720" s="303" t="s">
        <v>10066</v>
      </c>
      <c r="M1720" s="303">
        <v>4</v>
      </c>
      <c r="N1720" s="307" t="s">
        <v>10071</v>
      </c>
      <c r="O1720" s="1474"/>
      <c r="P1720" s="1475"/>
      <c r="Q1720" s="1476"/>
    </row>
    <row r="1721" spans="1:17" ht="11.1" customHeight="1">
      <c r="A1721" s="250" t="s">
        <v>11825</v>
      </c>
      <c r="B1721" s="302" t="s">
        <v>10098</v>
      </c>
      <c r="C1721" s="303">
        <v>6</v>
      </c>
      <c r="D1721" s="303" t="s">
        <v>11826</v>
      </c>
      <c r="E1721" s="306" t="s">
        <v>10104</v>
      </c>
      <c r="F1721" s="303" t="s">
        <v>11827</v>
      </c>
      <c r="G1721" s="303">
        <v>32</v>
      </c>
      <c r="H1721" s="303" t="s">
        <v>10064</v>
      </c>
      <c r="I1721" s="303" t="s">
        <v>10056</v>
      </c>
      <c r="J1721" s="303" t="s">
        <v>10057</v>
      </c>
      <c r="K1721" s="303" t="s">
        <v>10058</v>
      </c>
      <c r="L1721" s="303" t="s">
        <v>10059</v>
      </c>
      <c r="M1721" s="303"/>
      <c r="N1721" s="307" t="s">
        <v>10071</v>
      </c>
      <c r="O1721" s="1474"/>
      <c r="P1721" s="1475"/>
      <c r="Q1721" s="1476"/>
    </row>
    <row r="1722" spans="1:17" ht="11.1" customHeight="1">
      <c r="A1722" s="250" t="s">
        <v>11828</v>
      </c>
      <c r="B1722" s="302" t="s">
        <v>10098</v>
      </c>
      <c r="C1722" s="303">
        <v>6</v>
      </c>
      <c r="D1722" s="303" t="s">
        <v>11829</v>
      </c>
      <c r="E1722" s="306" t="s">
        <v>10104</v>
      </c>
      <c r="F1722" s="303" t="s">
        <v>11830</v>
      </c>
      <c r="G1722" s="303">
        <v>64</v>
      </c>
      <c r="H1722" s="303" t="s">
        <v>10064</v>
      </c>
      <c r="I1722" s="303" t="s">
        <v>10056</v>
      </c>
      <c r="J1722" s="303" t="s">
        <v>10057</v>
      </c>
      <c r="K1722" s="303" t="s">
        <v>10058</v>
      </c>
      <c r="L1722" s="303" t="s">
        <v>10066</v>
      </c>
      <c r="M1722" s="303">
        <v>8</v>
      </c>
      <c r="N1722" s="307" t="s">
        <v>10071</v>
      </c>
      <c r="O1722" s="1474"/>
      <c r="P1722" s="1475"/>
      <c r="Q1722" s="1476"/>
    </row>
    <row r="1723" spans="1:17" ht="11.1" customHeight="1">
      <c r="A1723" s="250" t="s">
        <v>11831</v>
      </c>
      <c r="B1723" s="302" t="s">
        <v>10098</v>
      </c>
      <c r="C1723" s="303">
        <v>6</v>
      </c>
      <c r="D1723" s="303" t="s">
        <v>11832</v>
      </c>
      <c r="E1723" s="306" t="s">
        <v>10104</v>
      </c>
      <c r="F1723" s="303" t="s">
        <v>11833</v>
      </c>
      <c r="G1723" s="303">
        <v>64</v>
      </c>
      <c r="H1723" s="303" t="s">
        <v>10064</v>
      </c>
      <c r="I1723" s="303" t="s">
        <v>10056</v>
      </c>
      <c r="J1723" s="303" t="s">
        <v>10057</v>
      </c>
      <c r="K1723" s="303" t="s">
        <v>10075</v>
      </c>
      <c r="L1723" s="303" t="s">
        <v>10066</v>
      </c>
      <c r="M1723" s="303">
        <v>1</v>
      </c>
      <c r="N1723" s="307" t="s">
        <v>10071</v>
      </c>
      <c r="O1723" s="1474"/>
      <c r="P1723" s="1475"/>
      <c r="Q1723" s="1476"/>
    </row>
    <row r="1724" spans="1:17" ht="11.1" customHeight="1">
      <c r="A1724" s="250" t="s">
        <v>11834</v>
      </c>
      <c r="B1724" s="302" t="s">
        <v>10098</v>
      </c>
      <c r="C1724" s="303">
        <v>6</v>
      </c>
      <c r="D1724" s="303" t="s">
        <v>11835</v>
      </c>
      <c r="E1724" s="306" t="s">
        <v>10104</v>
      </c>
      <c r="F1724" s="303" t="s">
        <v>11836</v>
      </c>
      <c r="G1724" s="303">
        <v>58</v>
      </c>
      <c r="H1724" s="303" t="s">
        <v>10064</v>
      </c>
      <c r="I1724" s="303" t="s">
        <v>10056</v>
      </c>
      <c r="J1724" s="303" t="s">
        <v>10057</v>
      </c>
      <c r="K1724" s="303" t="s">
        <v>10082</v>
      </c>
      <c r="L1724" s="303" t="s">
        <v>10066</v>
      </c>
      <c r="M1724" s="303">
        <v>2</v>
      </c>
      <c r="N1724" s="307" t="s">
        <v>10071</v>
      </c>
      <c r="O1724" s="1474"/>
      <c r="P1724" s="1475"/>
      <c r="Q1724" s="1476"/>
    </row>
    <row r="1725" spans="1:17" ht="11.1" customHeight="1">
      <c r="A1725" s="250" t="s">
        <v>11837</v>
      </c>
      <c r="B1725" s="302" t="s">
        <v>10098</v>
      </c>
      <c r="C1725" s="303">
        <v>6</v>
      </c>
      <c r="D1725" s="303" t="s">
        <v>11838</v>
      </c>
      <c r="E1725" s="306" t="s">
        <v>10104</v>
      </c>
      <c r="F1725" s="303" t="s">
        <v>11839</v>
      </c>
      <c r="G1725" s="303">
        <v>63</v>
      </c>
      <c r="H1725" s="303" t="s">
        <v>10064</v>
      </c>
      <c r="I1725" s="303" t="s">
        <v>10056</v>
      </c>
      <c r="J1725" s="303" t="s">
        <v>10057</v>
      </c>
      <c r="K1725" s="303" t="s">
        <v>10178</v>
      </c>
      <c r="L1725" s="303" t="s">
        <v>10066</v>
      </c>
      <c r="M1725" s="303">
        <v>11</v>
      </c>
      <c r="N1725" s="307" t="s">
        <v>10071</v>
      </c>
      <c r="O1725" s="1474"/>
      <c r="P1725" s="1475"/>
      <c r="Q1725" s="1476"/>
    </row>
    <row r="1726" spans="1:17" ht="11.1" customHeight="1">
      <c r="A1726" s="250" t="s">
        <v>11840</v>
      </c>
      <c r="B1726" s="302" t="s">
        <v>10098</v>
      </c>
      <c r="C1726" s="303">
        <v>6</v>
      </c>
      <c r="D1726" s="303" t="s">
        <v>11841</v>
      </c>
      <c r="E1726" s="306" t="s">
        <v>10104</v>
      </c>
      <c r="F1726" s="303" t="s">
        <v>11842</v>
      </c>
      <c r="G1726" s="303">
        <v>63</v>
      </c>
      <c r="H1726" s="303" t="s">
        <v>10064</v>
      </c>
      <c r="I1726" s="303" t="s">
        <v>10056</v>
      </c>
      <c r="J1726" s="303" t="s">
        <v>10057</v>
      </c>
      <c r="K1726" s="303" t="s">
        <v>10241</v>
      </c>
      <c r="L1726" s="303" t="s">
        <v>10066</v>
      </c>
      <c r="M1726" s="303">
        <v>6</v>
      </c>
      <c r="N1726" s="307" t="s">
        <v>10071</v>
      </c>
      <c r="O1726" s="1474"/>
      <c r="P1726" s="1475"/>
      <c r="Q1726" s="1476"/>
    </row>
    <row r="1727" spans="1:17" ht="11.1" customHeight="1">
      <c r="A1727" s="250" t="s">
        <v>11843</v>
      </c>
      <c r="B1727" s="302" t="s">
        <v>10098</v>
      </c>
      <c r="C1727" s="303">
        <v>6</v>
      </c>
      <c r="D1727" s="303" t="s">
        <v>11844</v>
      </c>
      <c r="E1727" s="306" t="s">
        <v>10104</v>
      </c>
      <c r="F1727" s="303" t="s">
        <v>11845</v>
      </c>
      <c r="G1727" s="303">
        <v>44</v>
      </c>
      <c r="H1727" s="303" t="s">
        <v>10064</v>
      </c>
      <c r="I1727" s="303" t="s">
        <v>10056</v>
      </c>
      <c r="J1727" s="303" t="s">
        <v>10057</v>
      </c>
      <c r="K1727" s="303" t="s">
        <v>10178</v>
      </c>
      <c r="L1727" s="303" t="s">
        <v>10066</v>
      </c>
      <c r="M1727" s="303">
        <v>2</v>
      </c>
      <c r="N1727" s="307" t="s">
        <v>10071</v>
      </c>
      <c r="O1727" s="1474"/>
      <c r="P1727" s="1475"/>
      <c r="Q1727" s="1476"/>
    </row>
    <row r="1728" spans="1:17" ht="11.1" customHeight="1">
      <c r="A1728" s="250" t="s">
        <v>11846</v>
      </c>
      <c r="B1728" s="302" t="s">
        <v>10098</v>
      </c>
      <c r="C1728" s="303">
        <v>6</v>
      </c>
      <c r="D1728" s="303" t="s">
        <v>11847</v>
      </c>
      <c r="E1728" s="306" t="s">
        <v>10104</v>
      </c>
      <c r="F1728" s="303" t="s">
        <v>11848</v>
      </c>
      <c r="G1728" s="303">
        <v>64</v>
      </c>
      <c r="H1728" s="303" t="s">
        <v>10064</v>
      </c>
      <c r="I1728" s="303" t="s">
        <v>10056</v>
      </c>
      <c r="J1728" s="303" t="s">
        <v>10057</v>
      </c>
      <c r="K1728" s="303" t="s">
        <v>10075</v>
      </c>
      <c r="L1728" s="303" t="s">
        <v>10066</v>
      </c>
      <c r="M1728" s="303">
        <v>7</v>
      </c>
      <c r="N1728" s="307" t="s">
        <v>10071</v>
      </c>
      <c r="O1728" s="1474"/>
      <c r="P1728" s="1475"/>
      <c r="Q1728" s="1476"/>
    </row>
    <row r="1729" spans="1:17" ht="11.1" customHeight="1">
      <c r="A1729" s="250" t="s">
        <v>11849</v>
      </c>
      <c r="B1729" s="302" t="s">
        <v>10098</v>
      </c>
      <c r="C1729" s="303">
        <v>6</v>
      </c>
      <c r="D1729" s="303" t="s">
        <v>11850</v>
      </c>
      <c r="E1729" s="306" t="s">
        <v>10104</v>
      </c>
      <c r="F1729" s="303" t="s">
        <v>11851</v>
      </c>
      <c r="G1729" s="303">
        <v>48</v>
      </c>
      <c r="H1729" s="303" t="s">
        <v>10064</v>
      </c>
      <c r="I1729" s="303" t="s">
        <v>10056</v>
      </c>
      <c r="J1729" s="303" t="s">
        <v>10057</v>
      </c>
      <c r="K1729" s="303"/>
      <c r="L1729" s="303" t="s">
        <v>10066</v>
      </c>
      <c r="M1729" s="303">
        <v>3</v>
      </c>
      <c r="N1729" s="307" t="s">
        <v>10071</v>
      </c>
      <c r="O1729" s="1474"/>
      <c r="P1729" s="1475"/>
      <c r="Q1729" s="1476"/>
    </row>
    <row r="1730" spans="1:17" ht="11.1" customHeight="1">
      <c r="A1730" s="250" t="s">
        <v>11852</v>
      </c>
      <c r="B1730" s="302" t="s">
        <v>10098</v>
      </c>
      <c r="C1730" s="303">
        <v>6</v>
      </c>
      <c r="D1730" s="303" t="s">
        <v>11853</v>
      </c>
      <c r="E1730" s="306" t="s">
        <v>10104</v>
      </c>
      <c r="F1730" s="303" t="s">
        <v>11854</v>
      </c>
      <c r="G1730" s="303">
        <v>62</v>
      </c>
      <c r="H1730" s="303" t="s">
        <v>10064</v>
      </c>
      <c r="I1730" s="303" t="s">
        <v>10056</v>
      </c>
      <c r="J1730" s="303" t="s">
        <v>10057</v>
      </c>
      <c r="K1730" s="303" t="s">
        <v>10075</v>
      </c>
      <c r="L1730" s="303" t="s">
        <v>10066</v>
      </c>
      <c r="M1730" s="303">
        <v>5</v>
      </c>
      <c r="N1730" s="307" t="s">
        <v>10071</v>
      </c>
      <c r="O1730" s="1474"/>
      <c r="P1730" s="1475"/>
      <c r="Q1730" s="1476"/>
    </row>
    <row r="1731" spans="1:17" ht="11.1" customHeight="1">
      <c r="A1731" s="250" t="s">
        <v>11855</v>
      </c>
      <c r="B1731" s="302" t="s">
        <v>10098</v>
      </c>
      <c r="C1731" s="303">
        <v>6</v>
      </c>
      <c r="D1731" s="303" t="s">
        <v>11856</v>
      </c>
      <c r="E1731" s="306" t="s">
        <v>10104</v>
      </c>
      <c r="F1731" s="303" t="s">
        <v>11857</v>
      </c>
      <c r="G1731" s="303">
        <v>66</v>
      </c>
      <c r="H1731" s="303" t="s">
        <v>10064</v>
      </c>
      <c r="I1731" s="303" t="s">
        <v>10056</v>
      </c>
      <c r="J1731" s="303" t="s">
        <v>10057</v>
      </c>
      <c r="K1731" s="303" t="s">
        <v>10178</v>
      </c>
      <c r="L1731" s="303" t="s">
        <v>10066</v>
      </c>
      <c r="M1731" s="303">
        <v>10</v>
      </c>
      <c r="N1731" s="307" t="s">
        <v>10071</v>
      </c>
      <c r="O1731" s="1474"/>
      <c r="P1731" s="1475"/>
      <c r="Q1731" s="1476"/>
    </row>
    <row r="1732" spans="1:17" ht="11.1" customHeight="1">
      <c r="A1732" s="250" t="s">
        <v>11858</v>
      </c>
      <c r="B1732" s="302" t="s">
        <v>10098</v>
      </c>
      <c r="C1732" s="303">
        <v>6</v>
      </c>
      <c r="D1732" s="303" t="s">
        <v>11859</v>
      </c>
      <c r="E1732" s="306" t="s">
        <v>10104</v>
      </c>
      <c r="F1732" s="303" t="s">
        <v>11860</v>
      </c>
      <c r="G1732" s="303">
        <v>46</v>
      </c>
      <c r="H1732" s="303" t="s">
        <v>10064</v>
      </c>
      <c r="I1732" s="303" t="s">
        <v>10056</v>
      </c>
      <c r="J1732" s="303" t="s">
        <v>10057</v>
      </c>
      <c r="K1732" s="303" t="s">
        <v>10241</v>
      </c>
      <c r="L1732" s="303" t="s">
        <v>10059</v>
      </c>
      <c r="M1732" s="303"/>
      <c r="N1732" s="307" t="s">
        <v>10071</v>
      </c>
      <c r="O1732" s="1474"/>
      <c r="P1732" s="1475"/>
      <c r="Q1732" s="1476"/>
    </row>
    <row r="1733" spans="1:17" ht="11.1" customHeight="1">
      <c r="A1733" s="250" t="s">
        <v>11861</v>
      </c>
      <c r="B1733" s="302" t="s">
        <v>10098</v>
      </c>
      <c r="C1733" s="303">
        <v>6</v>
      </c>
      <c r="D1733" s="303" t="s">
        <v>11862</v>
      </c>
      <c r="E1733" s="306" t="s">
        <v>10104</v>
      </c>
      <c r="F1733" s="303" t="s">
        <v>11863</v>
      </c>
      <c r="G1733" s="303">
        <v>64</v>
      </c>
      <c r="H1733" s="303" t="s">
        <v>10064</v>
      </c>
      <c r="I1733" s="303" t="s">
        <v>10056</v>
      </c>
      <c r="J1733" s="303" t="s">
        <v>10057</v>
      </c>
      <c r="K1733" s="303" t="s">
        <v>10075</v>
      </c>
      <c r="L1733" s="303" t="s">
        <v>10066</v>
      </c>
      <c r="M1733" s="303">
        <v>3</v>
      </c>
      <c r="N1733" s="307" t="s">
        <v>10071</v>
      </c>
      <c r="O1733" s="1474"/>
      <c r="P1733" s="1475"/>
      <c r="Q1733" s="1476"/>
    </row>
    <row r="1734" spans="1:17" ht="11.1" customHeight="1">
      <c r="A1734" s="945" t="s">
        <v>11864</v>
      </c>
      <c r="B1734" s="340" t="s">
        <v>10098</v>
      </c>
      <c r="C1734" s="311">
        <v>6</v>
      </c>
      <c r="D1734" s="311" t="s">
        <v>11865</v>
      </c>
      <c r="E1734" s="312" t="s">
        <v>10104</v>
      </c>
      <c r="F1734" s="311" t="s">
        <v>11866</v>
      </c>
      <c r="G1734" s="311">
        <v>51</v>
      </c>
      <c r="H1734" s="311" t="s">
        <v>10064</v>
      </c>
      <c r="I1734" s="311" t="s">
        <v>10056</v>
      </c>
      <c r="J1734" s="311" t="s">
        <v>10057</v>
      </c>
      <c r="K1734" s="311" t="s">
        <v>10065</v>
      </c>
      <c r="L1734" s="311" t="s">
        <v>10066</v>
      </c>
      <c r="M1734" s="311">
        <v>1</v>
      </c>
      <c r="N1734" s="313" t="s">
        <v>10071</v>
      </c>
      <c r="O1734" s="1474"/>
      <c r="P1734" s="1475"/>
      <c r="Q1734" s="1476"/>
    </row>
    <row r="1735" spans="1:17" ht="11.1" customHeight="1">
      <c r="A1735" s="946" t="s">
        <v>11867</v>
      </c>
      <c r="B1735" s="192" t="s">
        <v>10051</v>
      </c>
      <c r="C1735" s="56">
        <v>1</v>
      </c>
      <c r="D1735" s="56" t="s">
        <v>11826</v>
      </c>
      <c r="E1735" s="193">
        <v>89.14</v>
      </c>
      <c r="F1735" s="56" t="s">
        <v>11868</v>
      </c>
      <c r="G1735" s="56">
        <v>46</v>
      </c>
      <c r="H1735" s="56" t="s">
        <v>10064</v>
      </c>
      <c r="I1735" s="56" t="s">
        <v>10056</v>
      </c>
      <c r="J1735" s="56" t="s">
        <v>10115</v>
      </c>
      <c r="K1735" s="56" t="s">
        <v>10140</v>
      </c>
      <c r="L1735" s="56" t="s">
        <v>10066</v>
      </c>
      <c r="M1735" s="56">
        <v>3</v>
      </c>
      <c r="N1735" s="341"/>
      <c r="O1735" s="1474">
        <v>7</v>
      </c>
      <c r="P1735" s="1475">
        <v>2287753</v>
      </c>
      <c r="Q1735" s="1476">
        <f>P1735*100/SUM(P1696:P1784)</f>
        <v>29.419072612772858</v>
      </c>
    </row>
    <row r="1736" spans="1:17" ht="11.1" customHeight="1">
      <c r="A1736" s="250" t="s">
        <v>11869</v>
      </c>
      <c r="B1736" s="194" t="s">
        <v>10051</v>
      </c>
      <c r="C1736" s="36">
        <v>1</v>
      </c>
      <c r="D1736" s="36" t="s">
        <v>11832</v>
      </c>
      <c r="E1736" s="195">
        <v>88.56</v>
      </c>
      <c r="F1736" s="36" t="s">
        <v>11870</v>
      </c>
      <c r="G1736" s="36">
        <v>63</v>
      </c>
      <c r="H1736" s="36" t="s">
        <v>10064</v>
      </c>
      <c r="I1736" s="36" t="s">
        <v>10056</v>
      </c>
      <c r="J1736" s="36" t="s">
        <v>10115</v>
      </c>
      <c r="K1736" s="36" t="s">
        <v>10122</v>
      </c>
      <c r="L1736" s="36" t="s">
        <v>10066</v>
      </c>
      <c r="M1736" s="36">
        <v>3</v>
      </c>
      <c r="N1736" s="316"/>
      <c r="O1736" s="1474"/>
      <c r="P1736" s="1475"/>
      <c r="Q1736" s="1476"/>
    </row>
    <row r="1737" spans="1:17" ht="11.1" customHeight="1">
      <c r="A1737" s="250" t="s">
        <v>11871</v>
      </c>
      <c r="B1737" s="194" t="s">
        <v>10051</v>
      </c>
      <c r="C1737" s="36">
        <v>1</v>
      </c>
      <c r="D1737" s="36" t="s">
        <v>11850</v>
      </c>
      <c r="E1737" s="195">
        <v>88.39</v>
      </c>
      <c r="F1737" s="36" t="s">
        <v>11872</v>
      </c>
      <c r="G1737" s="36">
        <v>61</v>
      </c>
      <c r="H1737" s="36" t="s">
        <v>10064</v>
      </c>
      <c r="I1737" s="36" t="s">
        <v>10056</v>
      </c>
      <c r="J1737" s="36" t="s">
        <v>10115</v>
      </c>
      <c r="K1737" s="36" t="s">
        <v>10127</v>
      </c>
      <c r="L1737" s="36" t="s">
        <v>10066</v>
      </c>
      <c r="M1737" s="36">
        <v>4</v>
      </c>
      <c r="N1737" s="316"/>
      <c r="O1737" s="1474"/>
      <c r="P1737" s="1475"/>
      <c r="Q1737" s="1476"/>
    </row>
    <row r="1738" spans="1:17" ht="11.1" customHeight="1">
      <c r="A1738" s="250" t="s">
        <v>11873</v>
      </c>
      <c r="B1738" s="194" t="s">
        <v>10051</v>
      </c>
      <c r="C1738" s="36">
        <v>1</v>
      </c>
      <c r="D1738" s="36" t="s">
        <v>11823</v>
      </c>
      <c r="E1738" s="195">
        <v>87.88</v>
      </c>
      <c r="F1738" s="36" t="s">
        <v>11874</v>
      </c>
      <c r="G1738" s="36">
        <v>52</v>
      </c>
      <c r="H1738" s="36" t="s">
        <v>10064</v>
      </c>
      <c r="I1738" s="36" t="s">
        <v>10056</v>
      </c>
      <c r="J1738" s="36" t="s">
        <v>10115</v>
      </c>
      <c r="K1738" s="36" t="s">
        <v>11392</v>
      </c>
      <c r="L1738" s="36" t="s">
        <v>10066</v>
      </c>
      <c r="M1738" s="36">
        <v>5</v>
      </c>
      <c r="N1738" s="316"/>
      <c r="O1738" s="1474"/>
      <c r="P1738" s="1475"/>
      <c r="Q1738" s="1476"/>
    </row>
    <row r="1739" spans="1:17" ht="11.1" customHeight="1">
      <c r="A1739" s="250" t="s">
        <v>11875</v>
      </c>
      <c r="B1739" s="194" t="s">
        <v>10051</v>
      </c>
      <c r="C1739" s="36">
        <v>1</v>
      </c>
      <c r="D1739" s="36" t="s">
        <v>11814</v>
      </c>
      <c r="E1739" s="195">
        <v>83.24</v>
      </c>
      <c r="F1739" s="36" t="s">
        <v>11876</v>
      </c>
      <c r="G1739" s="36">
        <v>58</v>
      </c>
      <c r="H1739" s="36" t="s">
        <v>10064</v>
      </c>
      <c r="I1739" s="36" t="s">
        <v>10056</v>
      </c>
      <c r="J1739" s="36" t="s">
        <v>10115</v>
      </c>
      <c r="K1739" s="36" t="s">
        <v>10140</v>
      </c>
      <c r="L1739" s="36" t="s">
        <v>10066</v>
      </c>
      <c r="M1739" s="36">
        <v>5</v>
      </c>
      <c r="N1739" s="316"/>
      <c r="O1739" s="1474"/>
      <c r="P1739" s="1475"/>
      <c r="Q1739" s="1476"/>
    </row>
    <row r="1740" spans="1:17" ht="11.1" customHeight="1">
      <c r="A1740" s="250" t="s">
        <v>11877</v>
      </c>
      <c r="B1740" s="194" t="s">
        <v>10051</v>
      </c>
      <c r="C1740" s="36">
        <v>1</v>
      </c>
      <c r="D1740" s="36" t="s">
        <v>11856</v>
      </c>
      <c r="E1740" s="195">
        <v>78.52</v>
      </c>
      <c r="F1740" s="36" t="s">
        <v>11878</v>
      </c>
      <c r="G1740" s="36">
        <v>43</v>
      </c>
      <c r="H1740" s="36" t="s">
        <v>10064</v>
      </c>
      <c r="I1740" s="36" t="s">
        <v>10056</v>
      </c>
      <c r="J1740" s="36" t="s">
        <v>10115</v>
      </c>
      <c r="K1740" s="36" t="s">
        <v>10119</v>
      </c>
      <c r="L1740" s="36" t="s">
        <v>10066</v>
      </c>
      <c r="M1740" s="36">
        <v>3</v>
      </c>
      <c r="N1740" s="316"/>
      <c r="O1740" s="1474"/>
      <c r="P1740" s="1475"/>
      <c r="Q1740" s="1476"/>
    </row>
    <row r="1741" spans="1:17" ht="11.1" customHeight="1">
      <c r="A1741" s="250" t="s">
        <v>11879</v>
      </c>
      <c r="B1741" s="194" t="s">
        <v>10051</v>
      </c>
      <c r="C1741" s="36">
        <v>1</v>
      </c>
      <c r="D1741" s="36" t="s">
        <v>11789</v>
      </c>
      <c r="E1741" s="195">
        <v>76.569999999999993</v>
      </c>
      <c r="F1741" s="36" t="s">
        <v>11880</v>
      </c>
      <c r="G1741" s="36">
        <v>40</v>
      </c>
      <c r="H1741" s="36" t="s">
        <v>10064</v>
      </c>
      <c r="I1741" s="36" t="s">
        <v>10056</v>
      </c>
      <c r="J1741" s="36" t="s">
        <v>10115</v>
      </c>
      <c r="K1741" s="36" t="s">
        <v>10116</v>
      </c>
      <c r="L1741" s="36" t="s">
        <v>10059</v>
      </c>
      <c r="M1741" s="36"/>
      <c r="N1741" s="316"/>
      <c r="O1741" s="1474"/>
      <c r="P1741" s="1475"/>
      <c r="Q1741" s="1476"/>
    </row>
    <row r="1742" spans="1:17" ht="11.1" customHeight="1">
      <c r="A1742" s="250" t="s">
        <v>11881</v>
      </c>
      <c r="B1742" s="187"/>
      <c r="C1742" s="42">
        <v>1</v>
      </c>
      <c r="D1742" s="42" t="s">
        <v>11811</v>
      </c>
      <c r="E1742" s="188">
        <v>75.12</v>
      </c>
      <c r="F1742" s="42" t="s">
        <v>11882</v>
      </c>
      <c r="G1742" s="42">
        <v>30</v>
      </c>
      <c r="H1742" s="42" t="s">
        <v>10064</v>
      </c>
      <c r="I1742" s="42" t="s">
        <v>10056</v>
      </c>
      <c r="J1742" s="42" t="s">
        <v>10115</v>
      </c>
      <c r="K1742" s="42" t="s">
        <v>10116</v>
      </c>
      <c r="L1742" s="42" t="s">
        <v>10066</v>
      </c>
      <c r="M1742" s="42">
        <v>1</v>
      </c>
      <c r="N1742" s="308"/>
      <c r="O1742" s="1474"/>
      <c r="P1742" s="1475"/>
      <c r="Q1742" s="1476"/>
    </row>
    <row r="1743" spans="1:17" ht="11.1" customHeight="1">
      <c r="A1743" s="250" t="s">
        <v>11883</v>
      </c>
      <c r="B1743" s="187"/>
      <c r="C1743" s="42">
        <v>1</v>
      </c>
      <c r="D1743" s="42" t="s">
        <v>11805</v>
      </c>
      <c r="E1743" s="188">
        <v>75.117000000000004</v>
      </c>
      <c r="F1743" s="42" t="s">
        <v>11884</v>
      </c>
      <c r="G1743" s="42">
        <v>56</v>
      </c>
      <c r="H1743" s="42" t="s">
        <v>10054</v>
      </c>
      <c r="I1743" s="42" t="s">
        <v>10056</v>
      </c>
      <c r="J1743" s="42" t="s">
        <v>10115</v>
      </c>
      <c r="K1743" s="42" t="s">
        <v>10127</v>
      </c>
      <c r="L1743" s="42" t="s">
        <v>10066</v>
      </c>
      <c r="M1743" s="42">
        <v>1</v>
      </c>
      <c r="N1743" s="308"/>
      <c r="O1743" s="1474"/>
      <c r="P1743" s="1475"/>
      <c r="Q1743" s="1476"/>
    </row>
    <row r="1744" spans="1:17" ht="11.1" customHeight="1">
      <c r="A1744" s="250" t="s">
        <v>11885</v>
      </c>
      <c r="B1744" s="187"/>
      <c r="C1744" s="42">
        <v>1</v>
      </c>
      <c r="D1744" s="42" t="s">
        <v>11808</v>
      </c>
      <c r="E1744" s="188">
        <v>74.739999999999995</v>
      </c>
      <c r="F1744" s="42" t="s">
        <v>11886</v>
      </c>
      <c r="G1744" s="42">
        <v>62</v>
      </c>
      <c r="H1744" s="42" t="s">
        <v>10064</v>
      </c>
      <c r="I1744" s="42" t="s">
        <v>10056</v>
      </c>
      <c r="J1744" s="42" t="s">
        <v>10115</v>
      </c>
      <c r="K1744" s="42" t="s">
        <v>10140</v>
      </c>
      <c r="L1744" s="42" t="s">
        <v>10066</v>
      </c>
      <c r="M1744" s="42">
        <v>2</v>
      </c>
      <c r="N1744" s="308"/>
      <c r="O1744" s="1474"/>
      <c r="P1744" s="1475"/>
      <c r="Q1744" s="1476"/>
    </row>
    <row r="1745" spans="1:17" ht="11.1" customHeight="1">
      <c r="A1745" s="250" t="s">
        <v>11887</v>
      </c>
      <c r="B1745" s="187"/>
      <c r="C1745" s="42">
        <v>1</v>
      </c>
      <c r="D1745" s="42" t="s">
        <v>11829</v>
      </c>
      <c r="E1745" s="188">
        <v>71.790000000000006</v>
      </c>
      <c r="F1745" s="42" t="s">
        <v>11888</v>
      </c>
      <c r="G1745" s="42">
        <v>39</v>
      </c>
      <c r="H1745" s="42" t="s">
        <v>10064</v>
      </c>
      <c r="I1745" s="42" t="s">
        <v>10056</v>
      </c>
      <c r="J1745" s="42" t="s">
        <v>10115</v>
      </c>
      <c r="K1745" s="42" t="s">
        <v>10116</v>
      </c>
      <c r="L1745" s="42" t="s">
        <v>10059</v>
      </c>
      <c r="M1745" s="42"/>
      <c r="N1745" s="308"/>
      <c r="O1745" s="1474"/>
      <c r="P1745" s="1475"/>
      <c r="Q1745" s="1476"/>
    </row>
    <row r="1746" spans="1:17" ht="11.1" customHeight="1">
      <c r="A1746" s="250" t="s">
        <v>11889</v>
      </c>
      <c r="B1746" s="187"/>
      <c r="C1746" s="42">
        <v>1</v>
      </c>
      <c r="D1746" s="42" t="s">
        <v>11802</v>
      </c>
      <c r="E1746" s="188">
        <v>70.930000000000007</v>
      </c>
      <c r="F1746" s="42" t="s">
        <v>11890</v>
      </c>
      <c r="G1746" s="42">
        <v>37</v>
      </c>
      <c r="H1746" s="42" t="s">
        <v>10064</v>
      </c>
      <c r="I1746" s="42" t="s">
        <v>10056</v>
      </c>
      <c r="J1746" s="42" t="s">
        <v>10115</v>
      </c>
      <c r="K1746" s="42" t="s">
        <v>10116</v>
      </c>
      <c r="L1746" s="42" t="s">
        <v>10059</v>
      </c>
      <c r="M1746" s="42"/>
      <c r="N1746" s="308"/>
      <c r="O1746" s="1474"/>
      <c r="P1746" s="1475"/>
      <c r="Q1746" s="1476"/>
    </row>
    <row r="1747" spans="1:17" ht="11.1" customHeight="1">
      <c r="A1747" s="250" t="s">
        <v>11891</v>
      </c>
      <c r="B1747" s="187"/>
      <c r="C1747" s="42">
        <v>1</v>
      </c>
      <c r="D1747" s="42" t="s">
        <v>11838</v>
      </c>
      <c r="E1747" s="188">
        <v>70.900000000000006</v>
      </c>
      <c r="F1747" s="42" t="s">
        <v>11892</v>
      </c>
      <c r="G1747" s="42">
        <v>54</v>
      </c>
      <c r="H1747" s="42" t="s">
        <v>10064</v>
      </c>
      <c r="I1747" s="42" t="s">
        <v>10056</v>
      </c>
      <c r="J1747" s="42" t="s">
        <v>10115</v>
      </c>
      <c r="K1747" s="42" t="s">
        <v>10116</v>
      </c>
      <c r="L1747" s="42" t="s">
        <v>10066</v>
      </c>
      <c r="M1747" s="42">
        <v>1</v>
      </c>
      <c r="N1747" s="308"/>
      <c r="O1747" s="1474"/>
      <c r="P1747" s="1475"/>
      <c r="Q1747" s="1476"/>
    </row>
    <row r="1748" spans="1:17" ht="11.1" customHeight="1">
      <c r="A1748" s="250" t="s">
        <v>11893</v>
      </c>
      <c r="B1748" s="187"/>
      <c r="C1748" s="42">
        <v>1</v>
      </c>
      <c r="D1748" s="42" t="s">
        <v>11835</v>
      </c>
      <c r="E1748" s="188">
        <v>69.040000000000006</v>
      </c>
      <c r="F1748" s="42" t="s">
        <v>11894</v>
      </c>
      <c r="G1748" s="42">
        <v>42</v>
      </c>
      <c r="H1748" s="42" t="s">
        <v>10064</v>
      </c>
      <c r="I1748" s="42" t="s">
        <v>10056</v>
      </c>
      <c r="J1748" s="42" t="s">
        <v>10115</v>
      </c>
      <c r="K1748" s="42" t="s">
        <v>10116</v>
      </c>
      <c r="L1748" s="42" t="s">
        <v>10070</v>
      </c>
      <c r="M1748" s="42">
        <v>1</v>
      </c>
      <c r="N1748" s="308"/>
      <c r="O1748" s="1474"/>
      <c r="P1748" s="1475"/>
      <c r="Q1748" s="1476"/>
    </row>
    <row r="1749" spans="1:17" ht="11.1" customHeight="1">
      <c r="A1749" s="250" t="s">
        <v>11895</v>
      </c>
      <c r="B1749" s="187"/>
      <c r="C1749" s="42">
        <v>1</v>
      </c>
      <c r="D1749" s="42" t="s">
        <v>11817</v>
      </c>
      <c r="E1749" s="188">
        <v>67.180000000000007</v>
      </c>
      <c r="F1749" s="42" t="s">
        <v>11896</v>
      </c>
      <c r="G1749" s="42">
        <v>27</v>
      </c>
      <c r="H1749" s="42" t="s">
        <v>10064</v>
      </c>
      <c r="I1749" s="42" t="s">
        <v>10056</v>
      </c>
      <c r="J1749" s="42" t="s">
        <v>10115</v>
      </c>
      <c r="K1749" s="42" t="s">
        <v>10116</v>
      </c>
      <c r="L1749" s="42" t="s">
        <v>10059</v>
      </c>
      <c r="M1749" s="42"/>
      <c r="N1749" s="308"/>
      <c r="O1749" s="1474"/>
      <c r="P1749" s="1475"/>
      <c r="Q1749" s="1476"/>
    </row>
    <row r="1750" spans="1:17" ht="11.1" customHeight="1">
      <c r="A1750" s="250" t="s">
        <v>11897</v>
      </c>
      <c r="B1750" s="187"/>
      <c r="C1750" s="42">
        <v>1</v>
      </c>
      <c r="D1750" s="42" t="s">
        <v>11859</v>
      </c>
      <c r="E1750" s="188">
        <v>63.42</v>
      </c>
      <c r="F1750" s="42" t="s">
        <v>11898</v>
      </c>
      <c r="G1750" s="42">
        <v>55</v>
      </c>
      <c r="H1750" s="42" t="s">
        <v>10064</v>
      </c>
      <c r="I1750" s="42" t="s">
        <v>10056</v>
      </c>
      <c r="J1750" s="42" t="s">
        <v>10115</v>
      </c>
      <c r="K1750" s="42" t="s">
        <v>10127</v>
      </c>
      <c r="L1750" s="42" t="s">
        <v>10070</v>
      </c>
      <c r="M1750" s="42">
        <v>2</v>
      </c>
      <c r="N1750" s="308"/>
      <c r="O1750" s="1474"/>
      <c r="P1750" s="1475"/>
      <c r="Q1750" s="1476"/>
    </row>
    <row r="1751" spans="1:17" ht="11.1" customHeight="1">
      <c r="A1751" s="250" t="s">
        <v>11899</v>
      </c>
      <c r="B1751" s="187"/>
      <c r="C1751" s="42">
        <v>1</v>
      </c>
      <c r="D1751" s="42" t="s">
        <v>11844</v>
      </c>
      <c r="E1751" s="188">
        <v>62.37</v>
      </c>
      <c r="F1751" s="42" t="s">
        <v>11900</v>
      </c>
      <c r="G1751" s="42">
        <v>38</v>
      </c>
      <c r="H1751" s="42" t="s">
        <v>10064</v>
      </c>
      <c r="I1751" s="42" t="s">
        <v>10056</v>
      </c>
      <c r="J1751" s="42" t="s">
        <v>10115</v>
      </c>
      <c r="K1751" s="42" t="s">
        <v>10116</v>
      </c>
      <c r="L1751" s="42" t="s">
        <v>10059</v>
      </c>
      <c r="M1751" s="42"/>
      <c r="N1751" s="308"/>
      <c r="O1751" s="1474"/>
      <c r="P1751" s="1475"/>
      <c r="Q1751" s="1476"/>
    </row>
    <row r="1752" spans="1:17" ht="11.1" customHeight="1">
      <c r="A1752" s="250" t="s">
        <v>11901</v>
      </c>
      <c r="B1752" s="187"/>
      <c r="C1752" s="42">
        <v>1</v>
      </c>
      <c r="D1752" s="42" t="s">
        <v>11799</v>
      </c>
      <c r="E1752" s="188">
        <v>62.06</v>
      </c>
      <c r="F1752" s="42" t="s">
        <v>11902</v>
      </c>
      <c r="G1752" s="42">
        <v>32</v>
      </c>
      <c r="H1752" s="42" t="s">
        <v>10064</v>
      </c>
      <c r="I1752" s="42" t="s">
        <v>10056</v>
      </c>
      <c r="J1752" s="42" t="s">
        <v>10115</v>
      </c>
      <c r="K1752" s="42" t="s">
        <v>10116</v>
      </c>
      <c r="L1752" s="42" t="s">
        <v>10066</v>
      </c>
      <c r="M1752" s="42">
        <v>1</v>
      </c>
      <c r="N1752" s="308"/>
      <c r="O1752" s="1474"/>
      <c r="P1752" s="1475"/>
      <c r="Q1752" s="1476"/>
    </row>
    <row r="1753" spans="1:17" ht="11.1" customHeight="1">
      <c r="A1753" s="250" t="s">
        <v>11903</v>
      </c>
      <c r="B1753" s="187"/>
      <c r="C1753" s="42">
        <v>1</v>
      </c>
      <c r="D1753" s="42" t="s">
        <v>11865</v>
      </c>
      <c r="E1753" s="188">
        <v>60.7</v>
      </c>
      <c r="F1753" s="42" t="s">
        <v>11904</v>
      </c>
      <c r="G1753" s="42">
        <v>43</v>
      </c>
      <c r="H1753" s="42" t="s">
        <v>10064</v>
      </c>
      <c r="I1753" s="42" t="s">
        <v>10056</v>
      </c>
      <c r="J1753" s="42" t="s">
        <v>10115</v>
      </c>
      <c r="K1753" s="42" t="s">
        <v>10116</v>
      </c>
      <c r="L1753" s="42" t="s">
        <v>10059</v>
      </c>
      <c r="M1753" s="42"/>
      <c r="N1753" s="308" t="s">
        <v>11905</v>
      </c>
      <c r="O1753" s="1474"/>
      <c r="P1753" s="1475"/>
      <c r="Q1753" s="1476"/>
    </row>
    <row r="1754" spans="1:17" ht="11.1" customHeight="1">
      <c r="A1754" s="250" t="s">
        <v>11906</v>
      </c>
      <c r="B1754" s="187"/>
      <c r="C1754" s="42">
        <v>1</v>
      </c>
      <c r="D1754" s="42" t="s">
        <v>11820</v>
      </c>
      <c r="E1754" s="188">
        <v>60.49</v>
      </c>
      <c r="F1754" s="42" t="s">
        <v>11907</v>
      </c>
      <c r="G1754" s="42">
        <v>44</v>
      </c>
      <c r="H1754" s="42" t="s">
        <v>10064</v>
      </c>
      <c r="I1754" s="42" t="s">
        <v>10056</v>
      </c>
      <c r="J1754" s="42" t="s">
        <v>10115</v>
      </c>
      <c r="K1754" s="42" t="s">
        <v>10116</v>
      </c>
      <c r="L1754" s="42" t="s">
        <v>10059</v>
      </c>
      <c r="M1754" s="42"/>
      <c r="N1754" s="308"/>
      <c r="O1754" s="1474"/>
      <c r="P1754" s="1475"/>
      <c r="Q1754" s="1476"/>
    </row>
    <row r="1755" spans="1:17" ht="11.1" customHeight="1">
      <c r="A1755" s="250" t="s">
        <v>11908</v>
      </c>
      <c r="B1755" s="187"/>
      <c r="C1755" s="42">
        <v>1</v>
      </c>
      <c r="D1755" s="42" t="s">
        <v>11862</v>
      </c>
      <c r="E1755" s="188">
        <v>56.37</v>
      </c>
      <c r="F1755" s="42" t="s">
        <v>11909</v>
      </c>
      <c r="G1755" s="42">
        <v>45</v>
      </c>
      <c r="H1755" s="42" t="s">
        <v>10064</v>
      </c>
      <c r="I1755" s="42" t="s">
        <v>10056</v>
      </c>
      <c r="J1755" s="42" t="s">
        <v>10115</v>
      </c>
      <c r="K1755" s="42" t="s">
        <v>10116</v>
      </c>
      <c r="L1755" s="42" t="s">
        <v>10059</v>
      </c>
      <c r="M1755" s="42"/>
      <c r="N1755" s="308"/>
      <c r="O1755" s="1474"/>
      <c r="P1755" s="1475"/>
      <c r="Q1755" s="1476"/>
    </row>
    <row r="1756" spans="1:17" ht="11.1" customHeight="1">
      <c r="A1756" s="250" t="s">
        <v>11910</v>
      </c>
      <c r="B1756" s="187"/>
      <c r="C1756" s="42">
        <v>1</v>
      </c>
      <c r="D1756" s="42" t="s">
        <v>11786</v>
      </c>
      <c r="E1756" s="188">
        <v>50.84</v>
      </c>
      <c r="F1756" s="42" t="s">
        <v>11911</v>
      </c>
      <c r="G1756" s="42">
        <v>52</v>
      </c>
      <c r="H1756" s="42" t="s">
        <v>10064</v>
      </c>
      <c r="I1756" s="42" t="s">
        <v>10056</v>
      </c>
      <c r="J1756" s="42" t="s">
        <v>10115</v>
      </c>
      <c r="K1756" s="42" t="s">
        <v>10116</v>
      </c>
      <c r="L1756" s="42" t="s">
        <v>10059</v>
      </c>
      <c r="M1756" s="42"/>
      <c r="N1756" s="308"/>
      <c r="O1756" s="1474"/>
      <c r="P1756" s="1475"/>
      <c r="Q1756" s="1476"/>
    </row>
    <row r="1757" spans="1:17" ht="11.1" customHeight="1">
      <c r="A1757" s="250" t="s">
        <v>11912</v>
      </c>
      <c r="B1757" s="187"/>
      <c r="C1757" s="42">
        <v>1</v>
      </c>
      <c r="D1757" s="42" t="s">
        <v>11853</v>
      </c>
      <c r="E1757" s="188">
        <v>46.88</v>
      </c>
      <c r="F1757" s="42" t="s">
        <v>11913</v>
      </c>
      <c r="G1757" s="42">
        <v>65</v>
      </c>
      <c r="H1757" s="42" t="s">
        <v>10064</v>
      </c>
      <c r="I1757" s="42" t="s">
        <v>10056</v>
      </c>
      <c r="J1757" s="42" t="s">
        <v>10115</v>
      </c>
      <c r="K1757" s="42" t="s">
        <v>10674</v>
      </c>
      <c r="L1757" s="42" t="s">
        <v>10066</v>
      </c>
      <c r="M1757" s="42">
        <v>9</v>
      </c>
      <c r="N1757" s="308"/>
      <c r="O1757" s="1474"/>
      <c r="P1757" s="1475"/>
      <c r="Q1757" s="1476"/>
    </row>
    <row r="1758" spans="1:17" ht="11.1" customHeight="1">
      <c r="A1758" s="250" t="s">
        <v>11914</v>
      </c>
      <c r="B1758" s="187"/>
      <c r="C1758" s="42">
        <v>1</v>
      </c>
      <c r="D1758" s="42" t="s">
        <v>11841</v>
      </c>
      <c r="E1758" s="188">
        <v>46.32</v>
      </c>
      <c r="F1758" s="42" t="s">
        <v>11915</v>
      </c>
      <c r="G1758" s="42">
        <v>49</v>
      </c>
      <c r="H1758" s="42" t="s">
        <v>10064</v>
      </c>
      <c r="I1758" s="42" t="s">
        <v>10056</v>
      </c>
      <c r="J1758" s="42" t="s">
        <v>10115</v>
      </c>
      <c r="K1758" s="42" t="s">
        <v>10116</v>
      </c>
      <c r="L1758" s="42" t="s">
        <v>10059</v>
      </c>
      <c r="M1758" s="42"/>
      <c r="N1758" s="308"/>
      <c r="O1758" s="1474"/>
      <c r="P1758" s="1475"/>
      <c r="Q1758" s="1476"/>
    </row>
    <row r="1759" spans="1:17" ht="11.1" customHeight="1">
      <c r="A1759" s="250" t="s">
        <v>11916</v>
      </c>
      <c r="B1759" s="187"/>
      <c r="C1759" s="42">
        <v>1</v>
      </c>
      <c r="D1759" s="42" t="s">
        <v>11917</v>
      </c>
      <c r="E1759" s="188">
        <v>41.64</v>
      </c>
      <c r="F1759" s="42" t="s">
        <v>11918</v>
      </c>
      <c r="G1759" s="42">
        <v>44</v>
      </c>
      <c r="H1759" s="42" t="s">
        <v>10064</v>
      </c>
      <c r="I1759" s="42" t="s">
        <v>10056</v>
      </c>
      <c r="J1759" s="42" t="s">
        <v>10115</v>
      </c>
      <c r="K1759" s="42" t="s">
        <v>10116</v>
      </c>
      <c r="L1759" s="42" t="s">
        <v>10059</v>
      </c>
      <c r="M1759" s="42"/>
      <c r="N1759" s="308"/>
      <c r="O1759" s="1474"/>
      <c r="P1759" s="1475"/>
      <c r="Q1759" s="1476"/>
    </row>
    <row r="1760" spans="1:17" ht="11.1" customHeight="1">
      <c r="A1760" s="250" t="s">
        <v>11919</v>
      </c>
      <c r="B1760" s="187"/>
      <c r="C1760" s="42">
        <v>1</v>
      </c>
      <c r="D1760" s="42" t="s">
        <v>11765</v>
      </c>
      <c r="E1760" s="188">
        <v>40.92</v>
      </c>
      <c r="F1760" s="42" t="s">
        <v>11920</v>
      </c>
      <c r="G1760" s="42">
        <v>35</v>
      </c>
      <c r="H1760" s="42" t="s">
        <v>10064</v>
      </c>
      <c r="I1760" s="42" t="s">
        <v>10056</v>
      </c>
      <c r="J1760" s="42" t="s">
        <v>10115</v>
      </c>
      <c r="K1760" s="42" t="s">
        <v>10116</v>
      </c>
      <c r="L1760" s="42" t="s">
        <v>10059</v>
      </c>
      <c r="M1760" s="42"/>
      <c r="N1760" s="308"/>
      <c r="O1760" s="1474"/>
      <c r="P1760" s="1475"/>
      <c r="Q1760" s="1476"/>
    </row>
    <row r="1761" spans="1:17" ht="11.1" customHeight="1">
      <c r="A1761" s="250" t="s">
        <v>11921</v>
      </c>
      <c r="B1761" s="187"/>
      <c r="C1761" s="42">
        <v>1</v>
      </c>
      <c r="D1761" s="42" t="s">
        <v>11922</v>
      </c>
      <c r="E1761" s="188">
        <v>34.049999999999997</v>
      </c>
      <c r="F1761" s="42" t="s">
        <v>11923</v>
      </c>
      <c r="G1761" s="42">
        <v>46</v>
      </c>
      <c r="H1761" s="42" t="s">
        <v>10064</v>
      </c>
      <c r="I1761" s="42" t="s">
        <v>10056</v>
      </c>
      <c r="J1761" s="42" t="s">
        <v>10115</v>
      </c>
      <c r="K1761" s="42" t="s">
        <v>10116</v>
      </c>
      <c r="L1761" s="42" t="s">
        <v>10059</v>
      </c>
      <c r="M1761" s="42"/>
      <c r="N1761" s="308"/>
      <c r="O1761" s="1474"/>
      <c r="P1761" s="1475"/>
      <c r="Q1761" s="1476"/>
    </row>
    <row r="1762" spans="1:17" ht="11.1" customHeight="1">
      <c r="A1762" s="250" t="s">
        <v>11924</v>
      </c>
      <c r="B1762" s="187"/>
      <c r="C1762" s="42">
        <v>1</v>
      </c>
      <c r="D1762" s="42" t="s">
        <v>11783</v>
      </c>
      <c r="E1762" s="188">
        <v>21.74</v>
      </c>
      <c r="F1762" s="42" t="s">
        <v>11925</v>
      </c>
      <c r="G1762" s="42">
        <v>29</v>
      </c>
      <c r="H1762" s="42" t="s">
        <v>10064</v>
      </c>
      <c r="I1762" s="42" t="s">
        <v>10056</v>
      </c>
      <c r="J1762" s="42" t="s">
        <v>10115</v>
      </c>
      <c r="K1762" s="42" t="s">
        <v>10116</v>
      </c>
      <c r="L1762" s="42" t="s">
        <v>10059</v>
      </c>
      <c r="M1762" s="42"/>
      <c r="N1762" s="308"/>
      <c r="O1762" s="1474"/>
      <c r="P1762" s="1475"/>
      <c r="Q1762" s="1476"/>
    </row>
    <row r="1763" spans="1:17" ht="11.1" customHeight="1">
      <c r="A1763" s="250" t="s">
        <v>11926</v>
      </c>
      <c r="B1763" s="194" t="s">
        <v>10098</v>
      </c>
      <c r="C1763" s="36">
        <v>1</v>
      </c>
      <c r="D1763" s="36" t="s">
        <v>11771</v>
      </c>
      <c r="E1763" s="317" t="s">
        <v>10100</v>
      </c>
      <c r="F1763" s="36" t="s">
        <v>11927</v>
      </c>
      <c r="G1763" s="36">
        <v>54</v>
      </c>
      <c r="H1763" s="36" t="s">
        <v>10064</v>
      </c>
      <c r="I1763" s="36" t="s">
        <v>10056</v>
      </c>
      <c r="J1763" s="36" t="s">
        <v>10115</v>
      </c>
      <c r="K1763" s="36" t="s">
        <v>10127</v>
      </c>
      <c r="L1763" s="36" t="s">
        <v>10066</v>
      </c>
      <c r="M1763" s="36">
        <v>5</v>
      </c>
      <c r="N1763" s="316"/>
      <c r="O1763" s="1474"/>
      <c r="P1763" s="1475"/>
      <c r="Q1763" s="1476"/>
    </row>
    <row r="1764" spans="1:17" ht="11.1" customHeight="1">
      <c r="A1764" s="250" t="s">
        <v>11928</v>
      </c>
      <c r="B1764" s="194" t="s">
        <v>10098</v>
      </c>
      <c r="C1764" s="36">
        <v>1</v>
      </c>
      <c r="D1764" s="36" t="s">
        <v>11774</v>
      </c>
      <c r="E1764" s="317" t="s">
        <v>10138</v>
      </c>
      <c r="F1764" s="36" t="s">
        <v>11929</v>
      </c>
      <c r="G1764" s="36">
        <v>59</v>
      </c>
      <c r="H1764" s="36" t="s">
        <v>10064</v>
      </c>
      <c r="I1764" s="36" t="s">
        <v>10056</v>
      </c>
      <c r="J1764" s="36" t="s">
        <v>10115</v>
      </c>
      <c r="K1764" s="36" t="s">
        <v>10674</v>
      </c>
      <c r="L1764" s="36" t="s">
        <v>10066</v>
      </c>
      <c r="M1764" s="36">
        <v>5</v>
      </c>
      <c r="N1764" s="316"/>
      <c r="O1764" s="1474"/>
      <c r="P1764" s="1475"/>
      <c r="Q1764" s="1476"/>
    </row>
    <row r="1765" spans="1:17" ht="11.1" customHeight="1">
      <c r="A1765" s="250" t="s">
        <v>11930</v>
      </c>
      <c r="B1765" s="194" t="s">
        <v>10098</v>
      </c>
      <c r="C1765" s="36">
        <v>1</v>
      </c>
      <c r="D1765" s="36" t="s">
        <v>11768</v>
      </c>
      <c r="E1765" s="317" t="s">
        <v>10138</v>
      </c>
      <c r="F1765" s="36" t="s">
        <v>11931</v>
      </c>
      <c r="G1765" s="36">
        <v>44</v>
      </c>
      <c r="H1765" s="36" t="s">
        <v>10064</v>
      </c>
      <c r="I1765" s="36" t="s">
        <v>10056</v>
      </c>
      <c r="J1765" s="36" t="s">
        <v>10115</v>
      </c>
      <c r="K1765" s="36" t="s">
        <v>10140</v>
      </c>
      <c r="L1765" s="36" t="s">
        <v>10066</v>
      </c>
      <c r="M1765" s="36">
        <v>2</v>
      </c>
      <c r="N1765" s="316"/>
      <c r="O1765" s="1474"/>
      <c r="P1765" s="1475"/>
      <c r="Q1765" s="1476"/>
    </row>
    <row r="1766" spans="1:17" ht="11.1" customHeight="1">
      <c r="A1766" s="945" t="s">
        <v>11932</v>
      </c>
      <c r="B1766" s="318" t="s">
        <v>10098</v>
      </c>
      <c r="C1766" s="141">
        <v>1</v>
      </c>
      <c r="D1766" s="141" t="s">
        <v>11760</v>
      </c>
      <c r="E1766" s="319" t="s">
        <v>10138</v>
      </c>
      <c r="F1766" s="141" t="s">
        <v>11933</v>
      </c>
      <c r="G1766" s="141">
        <v>47</v>
      </c>
      <c r="H1766" s="141" t="s">
        <v>10064</v>
      </c>
      <c r="I1766" s="141" t="s">
        <v>10056</v>
      </c>
      <c r="J1766" s="141" t="s">
        <v>10115</v>
      </c>
      <c r="K1766" s="141" t="s">
        <v>10116</v>
      </c>
      <c r="L1766" s="141" t="s">
        <v>10066</v>
      </c>
      <c r="M1766" s="141">
        <v>1</v>
      </c>
      <c r="N1766" s="320"/>
      <c r="O1766" s="1474"/>
      <c r="P1766" s="1475"/>
      <c r="Q1766" s="1476"/>
    </row>
    <row r="1767" spans="1:17" ht="11.1" customHeight="1">
      <c r="A1767" s="946" t="s">
        <v>11934</v>
      </c>
      <c r="B1767" s="197" t="s">
        <v>10051</v>
      </c>
      <c r="C1767" s="198">
        <v>1</v>
      </c>
      <c r="D1767" s="198" t="s">
        <v>10061</v>
      </c>
      <c r="E1767" s="321" t="s">
        <v>10129</v>
      </c>
      <c r="F1767" s="198" t="s">
        <v>11935</v>
      </c>
      <c r="G1767" s="198">
        <v>62</v>
      </c>
      <c r="H1767" s="198" t="s">
        <v>10064</v>
      </c>
      <c r="I1767" s="198"/>
      <c r="J1767" s="198" t="s">
        <v>10153</v>
      </c>
      <c r="K1767" s="198"/>
      <c r="L1767" s="198" t="s">
        <v>10066</v>
      </c>
      <c r="M1767" s="198">
        <v>7</v>
      </c>
      <c r="N1767" s="322"/>
      <c r="O1767" s="1474">
        <v>3</v>
      </c>
      <c r="P1767" s="1475">
        <v>1240007</v>
      </c>
      <c r="Q1767" s="1476">
        <f>P1767*100/SUM(P1696:P1784)</f>
        <v>15.945714407694638</v>
      </c>
    </row>
    <row r="1768" spans="1:17" ht="11.1" customHeight="1">
      <c r="A1768" s="250" t="s">
        <v>11936</v>
      </c>
      <c r="B1768" s="231" t="s">
        <v>10051</v>
      </c>
      <c r="C1768" s="232">
        <v>2</v>
      </c>
      <c r="D1768" s="232" t="s">
        <v>10061</v>
      </c>
      <c r="E1768" s="348" t="s">
        <v>10129</v>
      </c>
      <c r="F1768" s="232" t="s">
        <v>11937</v>
      </c>
      <c r="G1768" s="232">
        <v>58</v>
      </c>
      <c r="H1768" s="232" t="s">
        <v>10064</v>
      </c>
      <c r="I1768" s="232"/>
      <c r="J1768" s="232" t="s">
        <v>10153</v>
      </c>
      <c r="K1768" s="232"/>
      <c r="L1768" s="232" t="s">
        <v>10066</v>
      </c>
      <c r="M1768" s="232">
        <v>5</v>
      </c>
      <c r="N1768" s="349"/>
      <c r="O1768" s="1474"/>
      <c r="P1768" s="1475"/>
      <c r="Q1768" s="1476"/>
    </row>
    <row r="1769" spans="1:17" ht="11.1" customHeight="1">
      <c r="A1769" s="250" t="s">
        <v>11938</v>
      </c>
      <c r="B1769" s="231" t="s">
        <v>10051</v>
      </c>
      <c r="C1769" s="232">
        <v>3</v>
      </c>
      <c r="D1769" s="232" t="s">
        <v>10061</v>
      </c>
      <c r="E1769" s="348" t="s">
        <v>10129</v>
      </c>
      <c r="F1769" s="232" t="s">
        <v>11939</v>
      </c>
      <c r="G1769" s="232">
        <v>49</v>
      </c>
      <c r="H1769" s="232" t="s">
        <v>10064</v>
      </c>
      <c r="I1769" s="232"/>
      <c r="J1769" s="232" t="s">
        <v>10153</v>
      </c>
      <c r="K1769" s="232"/>
      <c r="L1769" s="232" t="s">
        <v>10066</v>
      </c>
      <c r="M1769" s="232">
        <v>2</v>
      </c>
      <c r="N1769" s="349"/>
      <c r="O1769" s="1474"/>
      <c r="P1769" s="1475"/>
      <c r="Q1769" s="1476"/>
    </row>
    <row r="1770" spans="1:17" ht="11.1" customHeight="1">
      <c r="A1770" s="250" t="s">
        <v>11940</v>
      </c>
      <c r="B1770" s="187"/>
      <c r="C1770" s="42">
        <v>4</v>
      </c>
      <c r="D1770" s="42" t="s">
        <v>10061</v>
      </c>
      <c r="E1770" s="309" t="s">
        <v>10129</v>
      </c>
      <c r="F1770" s="42" t="s">
        <v>11941</v>
      </c>
      <c r="G1770" s="42">
        <v>40</v>
      </c>
      <c r="H1770" s="42" t="s">
        <v>10064</v>
      </c>
      <c r="I1770" s="42"/>
      <c r="J1770" s="42" t="s">
        <v>10153</v>
      </c>
      <c r="K1770" s="42"/>
      <c r="L1770" s="42" t="s">
        <v>10059</v>
      </c>
      <c r="M1770" s="42"/>
      <c r="N1770" s="310"/>
      <c r="O1770" s="1474"/>
      <c r="P1770" s="1475"/>
      <c r="Q1770" s="1476"/>
    </row>
    <row r="1771" spans="1:17" ht="11.1" customHeight="1">
      <c r="A1771" s="945" t="s">
        <v>11942</v>
      </c>
      <c r="B1771" s="190"/>
      <c r="C1771" s="49">
        <v>5</v>
      </c>
      <c r="D1771" s="49" t="s">
        <v>10061</v>
      </c>
      <c r="E1771" s="323" t="s">
        <v>10062</v>
      </c>
      <c r="F1771" s="49" t="s">
        <v>11943</v>
      </c>
      <c r="G1771" s="49">
        <v>52</v>
      </c>
      <c r="H1771" s="49" t="s">
        <v>10064</v>
      </c>
      <c r="I1771" s="49"/>
      <c r="J1771" s="49" t="s">
        <v>10153</v>
      </c>
      <c r="K1771" s="49"/>
      <c r="L1771" s="49" t="s">
        <v>10059</v>
      </c>
      <c r="M1771" s="49"/>
      <c r="N1771" s="324"/>
      <c r="O1771" s="1474"/>
      <c r="P1771" s="1475"/>
      <c r="Q1771" s="1476"/>
    </row>
    <row r="1772" spans="1:17" ht="11.1" customHeight="1">
      <c r="A1772" s="946" t="s">
        <v>11944</v>
      </c>
      <c r="B1772" s="224" t="s">
        <v>10051</v>
      </c>
      <c r="C1772" s="225">
        <v>1</v>
      </c>
      <c r="D1772" s="225" t="s">
        <v>11945</v>
      </c>
      <c r="E1772" s="226">
        <v>31.94</v>
      </c>
      <c r="F1772" s="225" t="s">
        <v>11946</v>
      </c>
      <c r="G1772" s="225">
        <v>57</v>
      </c>
      <c r="H1772" s="225" t="s">
        <v>10064</v>
      </c>
      <c r="I1772" s="225" t="s">
        <v>10056</v>
      </c>
      <c r="J1772" s="225" t="s">
        <v>10158</v>
      </c>
      <c r="K1772" s="225"/>
      <c r="L1772" s="225" t="s">
        <v>10066</v>
      </c>
      <c r="M1772" s="225">
        <v>2</v>
      </c>
      <c r="N1772" s="350" t="s">
        <v>11905</v>
      </c>
      <c r="O1772" s="1474">
        <v>1</v>
      </c>
      <c r="P1772" s="1475">
        <v>451158</v>
      </c>
      <c r="Q1772" s="1476">
        <f>P1772*100/SUM(P1696:P1784)</f>
        <v>5.8016096850636307</v>
      </c>
    </row>
    <row r="1773" spans="1:17" ht="11.1" customHeight="1">
      <c r="A1773" s="250" t="s">
        <v>11947</v>
      </c>
      <c r="B1773" s="187"/>
      <c r="C1773" s="42">
        <v>3</v>
      </c>
      <c r="D1773" s="42" t="s">
        <v>10061</v>
      </c>
      <c r="E1773" s="309" t="s">
        <v>11948</v>
      </c>
      <c r="F1773" s="42" t="s">
        <v>11949</v>
      </c>
      <c r="G1773" s="42">
        <v>58</v>
      </c>
      <c r="H1773" s="42" t="s">
        <v>10054</v>
      </c>
      <c r="I1773" s="42"/>
      <c r="J1773" s="42" t="s">
        <v>10158</v>
      </c>
      <c r="K1773" s="42"/>
      <c r="L1773" s="42" t="s">
        <v>10059</v>
      </c>
      <c r="M1773" s="42"/>
      <c r="N1773" s="310"/>
      <c r="O1773" s="1474"/>
      <c r="P1773" s="1475"/>
      <c r="Q1773" s="1476"/>
    </row>
    <row r="1774" spans="1:17" ht="11.1" customHeight="1">
      <c r="A1774" s="945" t="s">
        <v>11950</v>
      </c>
      <c r="B1774" s="190" t="s">
        <v>10313</v>
      </c>
      <c r="C1774" s="49">
        <v>2</v>
      </c>
      <c r="D1774" s="49" t="s">
        <v>11799</v>
      </c>
      <c r="E1774" s="201">
        <v>21.63</v>
      </c>
      <c r="F1774" s="49" t="s">
        <v>11951</v>
      </c>
      <c r="G1774" s="49">
        <v>44</v>
      </c>
      <c r="H1774" s="49" t="s">
        <v>10064</v>
      </c>
      <c r="I1774" s="49" t="s">
        <v>10056</v>
      </c>
      <c r="J1774" s="49" t="s">
        <v>10158</v>
      </c>
      <c r="K1774" s="49"/>
      <c r="L1774" s="49" t="s">
        <v>10059</v>
      </c>
      <c r="M1774" s="49"/>
      <c r="N1774" s="344"/>
      <c r="O1774" s="1474"/>
      <c r="P1774" s="1475"/>
      <c r="Q1774" s="1476"/>
    </row>
    <row r="1775" spans="1:17" ht="11.1" customHeight="1">
      <c r="A1775" s="946" t="s">
        <v>11952</v>
      </c>
      <c r="B1775" s="228" t="s">
        <v>10051</v>
      </c>
      <c r="C1775" s="122">
        <v>1</v>
      </c>
      <c r="D1775" s="122" t="s">
        <v>11847</v>
      </c>
      <c r="E1775" s="229">
        <v>81.319999999999993</v>
      </c>
      <c r="F1775" s="122" t="s">
        <v>11953</v>
      </c>
      <c r="G1775" s="122">
        <v>63</v>
      </c>
      <c r="H1775" s="122" t="s">
        <v>10064</v>
      </c>
      <c r="I1775" s="122" t="s">
        <v>10056</v>
      </c>
      <c r="J1775" s="122" t="s">
        <v>10163</v>
      </c>
      <c r="K1775" s="122"/>
      <c r="L1775" s="122" t="s">
        <v>10070</v>
      </c>
      <c r="M1775" s="122">
        <v>1</v>
      </c>
      <c r="N1775" s="345"/>
      <c r="O1775" s="1474">
        <v>1</v>
      </c>
      <c r="P1775" s="1475">
        <v>607008</v>
      </c>
      <c r="Q1775" s="1476">
        <f>P1775*100/SUM(P1696:P1784)</f>
        <v>7.80574320240604</v>
      </c>
    </row>
    <row r="1776" spans="1:17" ht="11.1" customHeight="1">
      <c r="A1776" s="250" t="s">
        <v>11954</v>
      </c>
      <c r="B1776" s="187"/>
      <c r="C1776" s="42">
        <v>1</v>
      </c>
      <c r="D1776" s="42" t="s">
        <v>11862</v>
      </c>
      <c r="E1776" s="188">
        <v>70.540000000000006</v>
      </c>
      <c r="F1776" s="42" t="s">
        <v>11955</v>
      </c>
      <c r="G1776" s="42">
        <v>62</v>
      </c>
      <c r="H1776" s="42" t="s">
        <v>10054</v>
      </c>
      <c r="I1776" s="42" t="s">
        <v>10056</v>
      </c>
      <c r="J1776" s="42" t="s">
        <v>10163</v>
      </c>
      <c r="K1776" s="42"/>
      <c r="L1776" s="42" t="s">
        <v>10066</v>
      </c>
      <c r="M1776" s="42">
        <v>2</v>
      </c>
      <c r="N1776" s="308" t="s">
        <v>11905</v>
      </c>
      <c r="O1776" s="1474"/>
      <c r="P1776" s="1475"/>
      <c r="Q1776" s="1476"/>
    </row>
    <row r="1777" spans="1:17" ht="11.1" customHeight="1">
      <c r="A1777" s="250" t="s">
        <v>11956</v>
      </c>
      <c r="B1777" s="187"/>
      <c r="C1777" s="42">
        <v>1</v>
      </c>
      <c r="D1777" s="42" t="s">
        <v>11835</v>
      </c>
      <c r="E1777" s="188">
        <v>28.03</v>
      </c>
      <c r="F1777" s="42" t="s">
        <v>11957</v>
      </c>
      <c r="G1777" s="42">
        <v>58</v>
      </c>
      <c r="H1777" s="42" t="s">
        <v>10064</v>
      </c>
      <c r="I1777" s="42" t="s">
        <v>10056</v>
      </c>
      <c r="J1777" s="42" t="s">
        <v>10163</v>
      </c>
      <c r="K1777" s="42"/>
      <c r="L1777" s="42" t="s">
        <v>10070</v>
      </c>
      <c r="M1777" s="42">
        <v>1</v>
      </c>
      <c r="N1777" s="308"/>
      <c r="O1777" s="1474"/>
      <c r="P1777" s="1475"/>
      <c r="Q1777" s="1476"/>
    </row>
    <row r="1778" spans="1:17" ht="11.1" customHeight="1">
      <c r="A1778" s="250" t="s">
        <v>11958</v>
      </c>
      <c r="B1778" s="187"/>
      <c r="C1778" s="42">
        <v>1</v>
      </c>
      <c r="D1778" s="42" t="s">
        <v>11853</v>
      </c>
      <c r="E1778" s="188">
        <v>21.67</v>
      </c>
      <c r="F1778" s="42" t="s">
        <v>11959</v>
      </c>
      <c r="G1778" s="42">
        <v>57</v>
      </c>
      <c r="H1778" s="42" t="s">
        <v>10064</v>
      </c>
      <c r="I1778" s="42" t="s">
        <v>10056</v>
      </c>
      <c r="J1778" s="42" t="s">
        <v>10163</v>
      </c>
      <c r="K1778" s="42"/>
      <c r="L1778" s="42" t="s">
        <v>10059</v>
      </c>
      <c r="M1778" s="42"/>
      <c r="N1778" s="308"/>
      <c r="O1778" s="1474"/>
      <c r="P1778" s="1475"/>
      <c r="Q1778" s="1476"/>
    </row>
    <row r="1779" spans="1:17" ht="11.1" customHeight="1">
      <c r="A1779" s="250" t="s">
        <v>11960</v>
      </c>
      <c r="B1779" s="187"/>
      <c r="C1779" s="42">
        <v>1</v>
      </c>
      <c r="D1779" s="42" t="s">
        <v>11755</v>
      </c>
      <c r="E1779" s="188">
        <v>19.93</v>
      </c>
      <c r="F1779" s="42" t="s">
        <v>11961</v>
      </c>
      <c r="G1779" s="42">
        <v>51</v>
      </c>
      <c r="H1779" s="42" t="s">
        <v>10064</v>
      </c>
      <c r="I1779" s="42" t="s">
        <v>10056</v>
      </c>
      <c r="J1779" s="42" t="s">
        <v>10163</v>
      </c>
      <c r="K1779" s="42"/>
      <c r="L1779" s="42" t="s">
        <v>10059</v>
      </c>
      <c r="M1779" s="42"/>
      <c r="N1779" s="308"/>
      <c r="O1779" s="1474"/>
      <c r="P1779" s="1475"/>
      <c r="Q1779" s="1476"/>
    </row>
    <row r="1780" spans="1:17" ht="11.1" customHeight="1">
      <c r="A1780" s="250" t="s">
        <v>11962</v>
      </c>
      <c r="B1780" s="187" t="s">
        <v>10313</v>
      </c>
      <c r="C1780" s="42">
        <v>1</v>
      </c>
      <c r="D1780" s="42" t="s">
        <v>11799</v>
      </c>
      <c r="E1780" s="188">
        <v>10.43</v>
      </c>
      <c r="F1780" s="42" t="s">
        <v>11963</v>
      </c>
      <c r="G1780" s="42">
        <v>34</v>
      </c>
      <c r="H1780" s="42" t="s">
        <v>10064</v>
      </c>
      <c r="I1780" s="42" t="s">
        <v>10056</v>
      </c>
      <c r="J1780" s="42" t="s">
        <v>10163</v>
      </c>
      <c r="K1780" s="42"/>
      <c r="L1780" s="42" t="s">
        <v>10059</v>
      </c>
      <c r="M1780" s="42"/>
      <c r="N1780" s="308"/>
      <c r="O1780" s="1474"/>
      <c r="P1780" s="1475"/>
      <c r="Q1780" s="1476"/>
    </row>
    <row r="1781" spans="1:17" ht="11.1" customHeight="1">
      <c r="A1781" s="250" t="s">
        <v>11964</v>
      </c>
      <c r="B1781" s="187" t="s">
        <v>10313</v>
      </c>
      <c r="C1781" s="42">
        <v>1</v>
      </c>
      <c r="D1781" s="42" t="s">
        <v>11802</v>
      </c>
      <c r="E1781" s="188">
        <v>8.61</v>
      </c>
      <c r="F1781" s="42" t="s">
        <v>11965</v>
      </c>
      <c r="G1781" s="42">
        <v>46</v>
      </c>
      <c r="H1781" s="42" t="s">
        <v>10064</v>
      </c>
      <c r="I1781" s="42" t="s">
        <v>10056</v>
      </c>
      <c r="J1781" s="42" t="s">
        <v>10163</v>
      </c>
      <c r="K1781" s="42"/>
      <c r="L1781" s="42" t="s">
        <v>10059</v>
      </c>
      <c r="M1781" s="42"/>
      <c r="N1781" s="308"/>
      <c r="O1781" s="1474"/>
      <c r="P1781" s="1475"/>
      <c r="Q1781" s="1476"/>
    </row>
    <row r="1782" spans="1:17" ht="11.1" customHeight="1">
      <c r="A1782" s="945" t="s">
        <v>11966</v>
      </c>
      <c r="B1782" s="383" t="s">
        <v>10098</v>
      </c>
      <c r="C1782" s="263">
        <v>1</v>
      </c>
      <c r="D1782" s="263" t="s">
        <v>11777</v>
      </c>
      <c r="E1782" s="264" t="s">
        <v>10100</v>
      </c>
      <c r="F1782" s="263" t="s">
        <v>11967</v>
      </c>
      <c r="G1782" s="263">
        <v>60</v>
      </c>
      <c r="H1782" s="263" t="s">
        <v>10064</v>
      </c>
      <c r="I1782" s="263" t="s">
        <v>10056</v>
      </c>
      <c r="J1782" s="263" t="s">
        <v>10163</v>
      </c>
      <c r="K1782" s="263"/>
      <c r="L1782" s="263" t="s">
        <v>10066</v>
      </c>
      <c r="M1782" s="263">
        <v>1</v>
      </c>
      <c r="N1782" s="384" t="s">
        <v>11905</v>
      </c>
      <c r="O1782" s="1474"/>
      <c r="P1782" s="1475"/>
      <c r="Q1782" s="1476"/>
    </row>
    <row r="1783" spans="1:17" ht="11.1" customHeight="1">
      <c r="A1783" s="946" t="s">
        <v>11968</v>
      </c>
      <c r="B1783" s="203"/>
      <c r="C1783" s="204">
        <v>1</v>
      </c>
      <c r="D1783" s="204" t="s">
        <v>11865</v>
      </c>
      <c r="E1783" s="205">
        <v>21.18</v>
      </c>
      <c r="F1783" s="204" t="s">
        <v>11969</v>
      </c>
      <c r="G1783" s="204">
        <v>57</v>
      </c>
      <c r="H1783" s="204" t="s">
        <v>10064</v>
      </c>
      <c r="I1783" s="204" t="s">
        <v>10056</v>
      </c>
      <c r="J1783" s="204" t="s">
        <v>10331</v>
      </c>
      <c r="K1783" s="204"/>
      <c r="L1783" s="204" t="s">
        <v>10059</v>
      </c>
      <c r="M1783" s="204"/>
      <c r="N1783" s="346" t="s">
        <v>10675</v>
      </c>
      <c r="O1783" s="1474">
        <v>0</v>
      </c>
      <c r="P1783" s="1475">
        <v>307454</v>
      </c>
      <c r="Q1783" s="1476">
        <f>P1783*100/SUM(P1696:P1784)</f>
        <v>3.9536661305164786</v>
      </c>
    </row>
    <row r="1784" spans="1:17" ht="11.1" customHeight="1" thickBot="1">
      <c r="A1784" s="948" t="s">
        <v>11970</v>
      </c>
      <c r="B1784" s="215"/>
      <c r="C1784" s="78">
        <v>2</v>
      </c>
      <c r="D1784" s="78" t="s">
        <v>10061</v>
      </c>
      <c r="E1784" s="334" t="s">
        <v>10752</v>
      </c>
      <c r="F1784" s="78" t="s">
        <v>11971</v>
      </c>
      <c r="G1784" s="78">
        <v>33</v>
      </c>
      <c r="H1784" s="78" t="s">
        <v>10064</v>
      </c>
      <c r="I1784" s="78"/>
      <c r="J1784" s="78" t="s">
        <v>10331</v>
      </c>
      <c r="K1784" s="78"/>
      <c r="L1784" s="78" t="s">
        <v>10059</v>
      </c>
      <c r="M1784" s="78"/>
      <c r="N1784" s="335"/>
      <c r="O1784" s="1477"/>
      <c r="P1784" s="1478"/>
      <c r="Q1784" s="1479"/>
    </row>
    <row r="1785" spans="1:17" ht="11.1" customHeight="1">
      <c r="B1785" s="154"/>
      <c r="C1785" s="154"/>
      <c r="D1785" s="154"/>
      <c r="E1785" s="154"/>
      <c r="F1785" s="154"/>
      <c r="G1785" s="154"/>
      <c r="H1785" s="154"/>
      <c r="I1785" s="154"/>
      <c r="J1785" s="154"/>
      <c r="K1785" s="154"/>
      <c r="L1785" s="154"/>
      <c r="M1785" s="154"/>
      <c r="N1785" s="297"/>
      <c r="O1785" s="298"/>
      <c r="P1785" s="298"/>
      <c r="Q1785" s="298"/>
    </row>
    <row r="1786" spans="1:17" ht="11.1" customHeight="1" thickBot="1">
      <c r="B1786" s="154"/>
      <c r="C1786" s="154"/>
      <c r="D1786" s="1471" t="s">
        <v>11972</v>
      </c>
      <c r="E1786" s="1471"/>
      <c r="F1786" s="1471"/>
      <c r="G1786" s="1471"/>
      <c r="H1786" s="1471"/>
      <c r="I1786" s="1471"/>
      <c r="J1786" s="1471"/>
      <c r="K1786" s="1471"/>
      <c r="L1786" s="1471"/>
      <c r="M1786" s="1471"/>
      <c r="N1786" s="1471"/>
      <c r="O1786" s="1471"/>
      <c r="P1786" s="298"/>
      <c r="Q1786" s="298"/>
    </row>
    <row r="1787" spans="1:17" ht="11.1" customHeight="1" thickBot="1">
      <c r="B1787" s="154"/>
      <c r="C1787" s="154"/>
      <c r="D1787" s="155" t="s">
        <v>11973</v>
      </c>
      <c r="E1787" s="156" t="s">
        <v>11974</v>
      </c>
      <c r="F1787" s="1382" t="s">
        <v>10046</v>
      </c>
      <c r="G1787" s="1383"/>
      <c r="H1787" s="1383"/>
      <c r="I1787" s="1383"/>
      <c r="J1787" s="1383"/>
      <c r="K1787" s="1383"/>
      <c r="L1787" s="1384"/>
      <c r="M1787" s="1385" t="s">
        <v>10048</v>
      </c>
      <c r="N1787" s="1385"/>
      <c r="O1787" s="1386"/>
      <c r="P1787" s="298"/>
      <c r="Q1787" s="298"/>
    </row>
    <row r="1788" spans="1:17" ht="11.1" customHeight="1">
      <c r="B1788" s="154"/>
      <c r="C1788" s="154"/>
      <c r="D1788" s="281" t="s">
        <v>11975</v>
      </c>
      <c r="E1788" s="385">
        <f>O1007+O1045+O1111+O1195+O1284+O1354+O1406+O1486+O1602+O1662+O1696</f>
        <v>77</v>
      </c>
      <c r="F1788" s="1472">
        <f>P1007+P1045+P1111+P1195+P1284+P1354+P1406+P1486+P1602+P1662+P1696</f>
        <v>25887798</v>
      </c>
      <c r="G1788" s="1473"/>
      <c r="H1788" s="1473"/>
      <c r="I1788" s="1473"/>
      <c r="J1788" s="1473"/>
      <c r="K1788" s="1473"/>
      <c r="L1788" s="283" t="s">
        <v>11976</v>
      </c>
      <c r="M1788" s="1465" t="e">
        <f>F1788*100/$F$791</f>
        <v>#VALUE!</v>
      </c>
      <c r="N1788" s="1465"/>
      <c r="O1788" s="1466"/>
      <c r="P1788" s="298"/>
      <c r="Q1788" s="298"/>
    </row>
    <row r="1789" spans="1:17" ht="11.1" customHeight="1">
      <c r="B1789" s="154"/>
      <c r="C1789" s="154"/>
      <c r="D1789" s="161" t="s">
        <v>2</v>
      </c>
      <c r="E1789" s="386">
        <f>O1022+O1073+O1150+O1233+O1314+O1375+O1442+O1532+O1629+O1679+O1735</f>
        <v>61</v>
      </c>
      <c r="F1789" s="1463">
        <f>P1022+P1073+P1150+P1233+P1314+P1375+P1442+P1532+P1629+P1679+P1735</f>
        <v>21036425</v>
      </c>
      <c r="G1789" s="1464"/>
      <c r="H1789" s="1464"/>
      <c r="I1789" s="1464"/>
      <c r="J1789" s="1464"/>
      <c r="K1789" s="1464"/>
      <c r="L1789" s="163" t="s">
        <v>11976</v>
      </c>
      <c r="M1789" s="1465" t="e">
        <f t="shared" ref="M1789:M1796" si="1">F1789*100/$F$791</f>
        <v>#VALUE!</v>
      </c>
      <c r="N1789" s="1465"/>
      <c r="O1789" s="1466"/>
      <c r="P1789" s="298"/>
      <c r="Q1789" s="298"/>
    </row>
    <row r="1790" spans="1:17" ht="11.1" customHeight="1">
      <c r="B1790" s="154"/>
      <c r="C1790" s="154"/>
      <c r="D1790" s="165" t="s">
        <v>11977</v>
      </c>
      <c r="E1790" s="386">
        <f>O1037+O1095+O1182+O1269+O1343+O1393+O1474+O1580+O1649+O1690+O1767</f>
        <v>23</v>
      </c>
      <c r="F1790" s="1463">
        <f>P1037+P1095+P1182+P1269+P1343+P1393+P1474+P1580+P1649+P1690+P1767</f>
        <v>8987620</v>
      </c>
      <c r="G1790" s="1464"/>
      <c r="H1790" s="1464"/>
      <c r="I1790" s="1464"/>
      <c r="J1790" s="1464"/>
      <c r="K1790" s="1464"/>
      <c r="L1790" s="163" t="s">
        <v>11976</v>
      </c>
      <c r="M1790" s="1465" t="e">
        <f t="shared" si="1"/>
        <v>#VALUE!</v>
      </c>
      <c r="N1790" s="1465"/>
      <c r="O1790" s="1466"/>
      <c r="P1790" s="298"/>
      <c r="Q1790" s="298"/>
    </row>
    <row r="1791" spans="1:17" ht="11.1" customHeight="1">
      <c r="B1791" s="154"/>
      <c r="C1791" s="154"/>
      <c r="D1791" s="166" t="s">
        <v>11978</v>
      </c>
      <c r="E1791" s="386">
        <f>O1039+O1098+O1186+O1274+O1347+O1395+O1479+O1587+O1653+O1692+O1772</f>
        <v>9</v>
      </c>
      <c r="F1791" s="1463">
        <f>P1039+P1098+P1186+P1274+P1347+P1395+P1479+P1587+P1653+P1692+P1772</f>
        <v>4919187</v>
      </c>
      <c r="G1791" s="1464"/>
      <c r="H1791" s="1464"/>
      <c r="I1791" s="1464"/>
      <c r="J1791" s="1464"/>
      <c r="K1791" s="1464"/>
      <c r="L1791" s="163" t="s">
        <v>11976</v>
      </c>
      <c r="M1791" s="1465" t="e">
        <f t="shared" si="1"/>
        <v>#VALUE!</v>
      </c>
      <c r="N1791" s="1465"/>
      <c r="O1791" s="1466"/>
      <c r="P1791" s="298"/>
      <c r="Q1791" s="298"/>
    </row>
    <row r="1792" spans="1:17" ht="11.1" customHeight="1">
      <c r="B1792" s="154"/>
      <c r="C1792" s="154"/>
      <c r="D1792" s="167" t="s">
        <v>11979</v>
      </c>
      <c r="E1792" s="386">
        <f>O1041+O1101+O1190+O1279+O1351+O1398+O1482+O1595+O1655+O1694+O1775</f>
        <v>6</v>
      </c>
      <c r="F1792" s="1463">
        <f>P1041+P1101+P1190+P1279+P1351+P1398+P1482+P1595+P1655+P1694+P1775</f>
        <v>3719522</v>
      </c>
      <c r="G1792" s="1464"/>
      <c r="H1792" s="1464"/>
      <c r="I1792" s="1464"/>
      <c r="J1792" s="1464"/>
      <c r="K1792" s="1464"/>
      <c r="L1792" s="163" t="s">
        <v>11976</v>
      </c>
      <c r="M1792" s="1465" t="e">
        <f t="shared" si="1"/>
        <v>#VALUE!</v>
      </c>
      <c r="N1792" s="1465"/>
      <c r="O1792" s="1466"/>
      <c r="P1792" s="298"/>
      <c r="Q1792" s="298"/>
    </row>
    <row r="1793" spans="2:17" ht="11.1" customHeight="1">
      <c r="B1793" s="154"/>
      <c r="C1793" s="154"/>
      <c r="D1793" s="168" t="s">
        <v>11980</v>
      </c>
      <c r="E1793" s="386">
        <f>O1108+O1403+O1659+O1783</f>
        <v>2</v>
      </c>
      <c r="F1793" s="1463">
        <f>P1108+P1403+P1659+P1783</f>
        <v>1183073</v>
      </c>
      <c r="G1793" s="1464"/>
      <c r="H1793" s="1464"/>
      <c r="I1793" s="1464"/>
      <c r="J1793" s="1464"/>
      <c r="K1793" s="1464"/>
      <c r="L1793" s="163" t="s">
        <v>11976</v>
      </c>
      <c r="M1793" s="1465" t="e">
        <f t="shared" si="1"/>
        <v>#VALUE!</v>
      </c>
      <c r="N1793" s="1465"/>
      <c r="O1793" s="1466"/>
      <c r="P1793" s="298"/>
      <c r="Q1793" s="298"/>
    </row>
    <row r="1794" spans="2:17" ht="11.1" customHeight="1">
      <c r="B1794" s="154"/>
      <c r="C1794" s="154"/>
      <c r="D1794" s="171" t="s">
        <v>11981</v>
      </c>
      <c r="E1794" s="386">
        <f>O1194+O1282+O1353+O1484+O1600</f>
        <v>1</v>
      </c>
      <c r="F1794" s="1463">
        <f>P1194+P1282+P1353+P1484+P1600</f>
        <v>1643506</v>
      </c>
      <c r="G1794" s="1464"/>
      <c r="H1794" s="1464"/>
      <c r="I1794" s="1464"/>
      <c r="J1794" s="1464"/>
      <c r="K1794" s="1464"/>
      <c r="L1794" s="163" t="s">
        <v>11976</v>
      </c>
      <c r="M1794" s="1465" t="e">
        <f t="shared" si="1"/>
        <v>#VALUE!</v>
      </c>
      <c r="N1794" s="1465"/>
      <c r="O1794" s="1466"/>
      <c r="P1794" s="298"/>
      <c r="Q1794" s="298"/>
    </row>
    <row r="1795" spans="2:17" ht="11.1" customHeight="1" thickBot="1">
      <c r="B1795" s="154"/>
      <c r="C1795" s="154"/>
      <c r="D1795" s="387" t="s">
        <v>11982</v>
      </c>
      <c r="E1795" s="388">
        <f>O1042</f>
        <v>1</v>
      </c>
      <c r="F1795" s="1467">
        <f>P1042</f>
        <v>433938</v>
      </c>
      <c r="G1795" s="1468"/>
      <c r="H1795" s="1468"/>
      <c r="I1795" s="1468"/>
      <c r="J1795" s="1468"/>
      <c r="K1795" s="1468"/>
      <c r="L1795" s="389" t="s">
        <v>11976</v>
      </c>
      <c r="M1795" s="1469" t="e">
        <f t="shared" si="1"/>
        <v>#VALUE!</v>
      </c>
      <c r="N1795" s="1469"/>
      <c r="O1795" s="1470"/>
      <c r="P1795" s="298"/>
      <c r="Q1795" s="298"/>
    </row>
    <row r="1796" spans="2:17" ht="11.1" customHeight="1" thickBot="1">
      <c r="B1796" s="154"/>
      <c r="C1796" s="154"/>
      <c r="D1796" s="177" t="s">
        <v>11983</v>
      </c>
      <c r="E1796" s="390">
        <f>SUM(E1788:E1795)</f>
        <v>180</v>
      </c>
      <c r="F1796" s="1461">
        <f>SUM(F1788:K1795)</f>
        <v>67811069</v>
      </c>
      <c r="G1796" s="1462"/>
      <c r="H1796" s="1462"/>
      <c r="I1796" s="1462"/>
      <c r="J1796" s="1462"/>
      <c r="K1796" s="1462"/>
      <c r="L1796" s="294" t="s">
        <v>11976</v>
      </c>
      <c r="M1796" s="1369" t="e">
        <f t="shared" si="1"/>
        <v>#VALUE!</v>
      </c>
      <c r="N1796" s="1369"/>
      <c r="O1796" s="1370"/>
      <c r="P1796" s="298"/>
      <c r="Q1796" s="298"/>
    </row>
    <row r="1797" spans="2:17" ht="11.1" customHeight="1" thickBot="1">
      <c r="B1797" s="154"/>
      <c r="C1797" s="154"/>
      <c r="D1797" s="295" t="s">
        <v>11984</v>
      </c>
      <c r="E1797" s="391">
        <f>180-E1796</f>
        <v>0</v>
      </c>
      <c r="F1797" s="154"/>
      <c r="G1797" s="154"/>
      <c r="H1797" s="154"/>
      <c r="I1797" s="154"/>
      <c r="J1797" s="154"/>
      <c r="K1797" s="154"/>
      <c r="L1797" s="154"/>
      <c r="M1797" s="154"/>
      <c r="N1797" s="297"/>
      <c r="O1797" s="298"/>
      <c r="P1797" s="298"/>
      <c r="Q1797" s="298"/>
    </row>
  </sheetData>
  <mergeCells count="219">
    <mergeCell ref="C992:J992"/>
    <mergeCell ref="E993:I993"/>
    <mergeCell ref="E994:H994"/>
    <mergeCell ref="E995:H995"/>
    <mergeCell ref="E1002:H1002"/>
    <mergeCell ref="E1003:H1003"/>
    <mergeCell ref="O1007:O1021"/>
    <mergeCell ref="P1007:P1021"/>
    <mergeCell ref="Q1007:Q1021"/>
    <mergeCell ref="O1022:O1036"/>
    <mergeCell ref="P1022:P1036"/>
    <mergeCell ref="Q1022:Q1036"/>
    <mergeCell ref="E996:H996"/>
    <mergeCell ref="E997:H997"/>
    <mergeCell ref="E998:H998"/>
    <mergeCell ref="E999:H999"/>
    <mergeCell ref="E1000:H1000"/>
    <mergeCell ref="E1001:H1001"/>
    <mergeCell ref="O1042:O1044"/>
    <mergeCell ref="P1042:P1044"/>
    <mergeCell ref="Q1042:Q1044"/>
    <mergeCell ref="O1045:O1072"/>
    <mergeCell ref="P1045:P1072"/>
    <mergeCell ref="Q1045:Q1072"/>
    <mergeCell ref="O1037:O1038"/>
    <mergeCell ref="P1037:P1038"/>
    <mergeCell ref="Q1037:Q1038"/>
    <mergeCell ref="O1039:O1040"/>
    <mergeCell ref="P1039:P1040"/>
    <mergeCell ref="Q1039:Q1040"/>
    <mergeCell ref="O1098:O1100"/>
    <mergeCell ref="P1098:P1100"/>
    <mergeCell ref="Q1098:Q1100"/>
    <mergeCell ref="O1101:O1107"/>
    <mergeCell ref="P1101:P1107"/>
    <mergeCell ref="Q1101:Q1107"/>
    <mergeCell ref="O1073:O1094"/>
    <mergeCell ref="P1073:P1094"/>
    <mergeCell ref="Q1073:Q1094"/>
    <mergeCell ref="O1095:O1097"/>
    <mergeCell ref="P1095:P1097"/>
    <mergeCell ref="Q1095:Q1097"/>
    <mergeCell ref="O1150:O1181"/>
    <mergeCell ref="P1150:P1181"/>
    <mergeCell ref="Q1150:Q1181"/>
    <mergeCell ref="O1182:O1185"/>
    <mergeCell ref="P1182:P1185"/>
    <mergeCell ref="Q1182:Q1185"/>
    <mergeCell ref="O1108:O1110"/>
    <mergeCell ref="P1108:P1110"/>
    <mergeCell ref="Q1108:Q1110"/>
    <mergeCell ref="O1111:O1149"/>
    <mergeCell ref="P1111:P1149"/>
    <mergeCell ref="Q1111:Q1149"/>
    <mergeCell ref="O1195:O1232"/>
    <mergeCell ref="P1195:P1232"/>
    <mergeCell ref="Q1195:Q1232"/>
    <mergeCell ref="O1233:O1268"/>
    <mergeCell ref="P1233:P1268"/>
    <mergeCell ref="Q1233:Q1268"/>
    <mergeCell ref="O1186:O1189"/>
    <mergeCell ref="P1186:P1189"/>
    <mergeCell ref="Q1186:Q1189"/>
    <mergeCell ref="O1190:O1193"/>
    <mergeCell ref="P1190:P1193"/>
    <mergeCell ref="Q1190:Q1193"/>
    <mergeCell ref="O1279:O1281"/>
    <mergeCell ref="P1279:P1281"/>
    <mergeCell ref="Q1279:Q1281"/>
    <mergeCell ref="O1282:O1283"/>
    <mergeCell ref="P1282:P1283"/>
    <mergeCell ref="Q1282:Q1283"/>
    <mergeCell ref="O1269:O1273"/>
    <mergeCell ref="P1269:P1273"/>
    <mergeCell ref="Q1269:Q1273"/>
    <mergeCell ref="O1274:O1278"/>
    <mergeCell ref="P1274:P1278"/>
    <mergeCell ref="Q1274:Q1278"/>
    <mergeCell ref="O1343:O1346"/>
    <mergeCell ref="P1343:P1346"/>
    <mergeCell ref="Q1343:Q1346"/>
    <mergeCell ref="O1347:O1350"/>
    <mergeCell ref="P1347:P1350"/>
    <mergeCell ref="Q1347:Q1350"/>
    <mergeCell ref="O1284:O1313"/>
    <mergeCell ref="P1284:P1313"/>
    <mergeCell ref="Q1284:Q1313"/>
    <mergeCell ref="O1314:O1342"/>
    <mergeCell ref="P1314:P1342"/>
    <mergeCell ref="Q1314:Q1342"/>
    <mergeCell ref="O1375:O1392"/>
    <mergeCell ref="P1375:P1392"/>
    <mergeCell ref="Q1375:Q1392"/>
    <mergeCell ref="O1393:O1394"/>
    <mergeCell ref="P1393:P1394"/>
    <mergeCell ref="Q1393:Q1394"/>
    <mergeCell ref="O1351:O1352"/>
    <mergeCell ref="P1351:P1352"/>
    <mergeCell ref="Q1351:Q1352"/>
    <mergeCell ref="O1354:O1374"/>
    <mergeCell ref="P1354:P1374"/>
    <mergeCell ref="Q1354:Q1374"/>
    <mergeCell ref="O1403:O1405"/>
    <mergeCell ref="P1403:P1405"/>
    <mergeCell ref="Q1403:Q1405"/>
    <mergeCell ref="O1406:O1441"/>
    <mergeCell ref="P1406:P1441"/>
    <mergeCell ref="Q1406:Q1441"/>
    <mergeCell ref="O1395:O1397"/>
    <mergeCell ref="P1395:P1397"/>
    <mergeCell ref="Q1395:Q1397"/>
    <mergeCell ref="O1398:O1402"/>
    <mergeCell ref="P1398:P1402"/>
    <mergeCell ref="Q1398:Q1402"/>
    <mergeCell ref="O1479:O1481"/>
    <mergeCell ref="P1479:P1481"/>
    <mergeCell ref="Q1479:Q1481"/>
    <mergeCell ref="O1482:O1483"/>
    <mergeCell ref="P1482:P1483"/>
    <mergeCell ref="Q1482:Q1483"/>
    <mergeCell ref="O1442:O1473"/>
    <mergeCell ref="P1442:P1473"/>
    <mergeCell ref="Q1442:Q1473"/>
    <mergeCell ref="O1474:O1478"/>
    <mergeCell ref="P1474:P1478"/>
    <mergeCell ref="Q1474:Q1478"/>
    <mergeCell ref="O1532:O1579"/>
    <mergeCell ref="P1532:P1579"/>
    <mergeCell ref="Q1532:Q1579"/>
    <mergeCell ref="O1580:O1586"/>
    <mergeCell ref="P1580:P1586"/>
    <mergeCell ref="Q1580:Q1586"/>
    <mergeCell ref="O1484:O1485"/>
    <mergeCell ref="P1484:P1485"/>
    <mergeCell ref="Q1484:Q1485"/>
    <mergeCell ref="O1486:O1531"/>
    <mergeCell ref="P1486:P1531"/>
    <mergeCell ref="Q1486:Q1531"/>
    <mergeCell ref="O1600:O1601"/>
    <mergeCell ref="P1600:P1601"/>
    <mergeCell ref="Q1600:Q1601"/>
    <mergeCell ref="O1602:O1628"/>
    <mergeCell ref="P1602:P1628"/>
    <mergeCell ref="Q1602:Q1628"/>
    <mergeCell ref="O1587:O1594"/>
    <mergeCell ref="P1587:P1594"/>
    <mergeCell ref="Q1587:Q1594"/>
    <mergeCell ref="O1595:O1599"/>
    <mergeCell ref="P1595:P1599"/>
    <mergeCell ref="Q1595:Q1599"/>
    <mergeCell ref="O1653:O1654"/>
    <mergeCell ref="P1653:P1654"/>
    <mergeCell ref="Q1653:Q1654"/>
    <mergeCell ref="O1655:O1658"/>
    <mergeCell ref="P1655:P1658"/>
    <mergeCell ref="Q1655:Q1658"/>
    <mergeCell ref="O1629:O1648"/>
    <mergeCell ref="P1629:P1648"/>
    <mergeCell ref="Q1629:Q1648"/>
    <mergeCell ref="O1649:O1652"/>
    <mergeCell ref="P1649:P1652"/>
    <mergeCell ref="Q1649:Q1652"/>
    <mergeCell ref="O1679:O1689"/>
    <mergeCell ref="P1679:P1689"/>
    <mergeCell ref="Q1679:Q1689"/>
    <mergeCell ref="O1690:O1691"/>
    <mergeCell ref="P1690:P1691"/>
    <mergeCell ref="Q1690:Q1691"/>
    <mergeCell ref="O1659:O1661"/>
    <mergeCell ref="P1659:P1661"/>
    <mergeCell ref="Q1659:Q1661"/>
    <mergeCell ref="O1662:O1678"/>
    <mergeCell ref="P1662:P1678"/>
    <mergeCell ref="Q1662:Q1678"/>
    <mergeCell ref="O1696:O1734"/>
    <mergeCell ref="P1696:P1734"/>
    <mergeCell ref="Q1696:Q1734"/>
    <mergeCell ref="O1735:O1766"/>
    <mergeCell ref="P1735:P1766"/>
    <mergeCell ref="Q1735:Q1766"/>
    <mergeCell ref="O1692:O1693"/>
    <mergeCell ref="P1692:P1693"/>
    <mergeCell ref="Q1692:Q1693"/>
    <mergeCell ref="O1694:O1695"/>
    <mergeCell ref="P1694:P1695"/>
    <mergeCell ref="Q1694:Q1695"/>
    <mergeCell ref="Q1775:Q1782"/>
    <mergeCell ref="O1783:O1784"/>
    <mergeCell ref="P1783:P1784"/>
    <mergeCell ref="Q1783:Q1784"/>
    <mergeCell ref="O1767:O1771"/>
    <mergeCell ref="P1767:P1771"/>
    <mergeCell ref="Q1767:Q1771"/>
    <mergeCell ref="O1772:O1774"/>
    <mergeCell ref="P1772:P1774"/>
    <mergeCell ref="Q1772:Q1774"/>
    <mergeCell ref="D1786:O1786"/>
    <mergeCell ref="F1787:L1787"/>
    <mergeCell ref="M1787:O1787"/>
    <mergeCell ref="F1788:K1788"/>
    <mergeCell ref="M1788:O1788"/>
    <mergeCell ref="F1789:K1789"/>
    <mergeCell ref="M1789:O1789"/>
    <mergeCell ref="O1775:O1782"/>
    <mergeCell ref="P1775:P1782"/>
    <mergeCell ref="F1796:K1796"/>
    <mergeCell ref="M1796:O1796"/>
    <mergeCell ref="F1793:K1793"/>
    <mergeCell ref="M1793:O1793"/>
    <mergeCell ref="F1794:K1794"/>
    <mergeCell ref="M1794:O1794"/>
    <mergeCell ref="F1795:K1795"/>
    <mergeCell ref="M1795:O1795"/>
    <mergeCell ref="F1790:K1790"/>
    <mergeCell ref="M1790:O1790"/>
    <mergeCell ref="F1791:K1791"/>
    <mergeCell ref="M1791:O1791"/>
    <mergeCell ref="F1792:K1792"/>
    <mergeCell ref="M1792:O1792"/>
  </mergeCells>
  <phoneticPr fontId="3"/>
  <conditionalFormatting sqref="B1007:B1784">
    <cfRule type="cellIs" dxfId="430" priority="1" stopIfTrue="1" operator="equal">
      <formula>"当選"</formula>
    </cfRule>
    <cfRule type="cellIs" dxfId="429" priority="2" stopIfTrue="1" operator="equal">
      <formula>"小当"</formula>
    </cfRule>
  </conditionalFormatting>
  <conditionalFormatting sqref="B2:B990">
    <cfRule type="cellIs" dxfId="428" priority="3" stopIfTrue="1" operator="equal">
      <formula>"当選"</formula>
    </cfRule>
    <cfRule type="cellIs" dxfId="427" priority="4" stopIfTrue="1" operator="equal">
      <formula>"比△"</formula>
    </cfRule>
    <cfRule type="cellIs" dxfId="426" priority="5" stopIfTrue="1" operator="equal">
      <formula>"比"</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P1798"/>
  <sheetViews>
    <sheetView workbookViewId="0"/>
  </sheetViews>
  <sheetFormatPr defaultRowHeight="15"/>
  <cols>
    <col min="1" max="1" width="11.625" style="154" customWidth="1"/>
    <col min="2" max="2" width="4.125" style="297" customWidth="1"/>
    <col min="3" max="3" width="8.625" style="617" customWidth="1"/>
    <col min="4" max="4" width="6.625" style="618" customWidth="1"/>
    <col min="5" max="5" width="5.625" style="619" customWidth="1"/>
    <col min="6" max="6" width="2.625" style="154" customWidth="1"/>
    <col min="7" max="7" width="10.625" style="154" customWidth="1"/>
    <col min="8" max="8" width="2.625" style="620" customWidth="1"/>
    <col min="9" max="9" width="8.625" style="154" customWidth="1"/>
    <col min="10" max="10" width="6.625" style="621" customWidth="1"/>
    <col min="11" max="12" width="2.625" style="621" customWidth="1"/>
    <col min="13" max="13" width="9" style="154"/>
    <col min="14" max="16384" width="9" style="298"/>
  </cols>
  <sheetData>
    <row r="1" spans="1:13" s="29" customFormat="1" ht="12" thickBot="1">
      <c r="A1" s="204" t="s">
        <v>12589</v>
      </c>
      <c r="B1" s="204" t="s">
        <v>12590</v>
      </c>
      <c r="C1" s="204" t="s">
        <v>12591</v>
      </c>
      <c r="D1" s="204" t="s">
        <v>12592</v>
      </c>
      <c r="E1" s="492" t="s">
        <v>12593</v>
      </c>
      <c r="F1" s="204" t="s">
        <v>12594</v>
      </c>
      <c r="G1" s="204" t="s">
        <v>12595</v>
      </c>
      <c r="H1" s="204" t="s">
        <v>12596</v>
      </c>
      <c r="I1" s="204" t="s">
        <v>12597</v>
      </c>
      <c r="J1" s="204" t="s">
        <v>12598</v>
      </c>
      <c r="K1" s="204" t="s">
        <v>12599</v>
      </c>
      <c r="L1" s="204" t="s">
        <v>12600</v>
      </c>
      <c r="M1" s="204" t="s">
        <v>12601</v>
      </c>
    </row>
    <row r="2" spans="1:13" ht="11.1" customHeight="1">
      <c r="A2" s="493" t="s">
        <v>12615</v>
      </c>
      <c r="B2" s="494" t="s">
        <v>12590</v>
      </c>
      <c r="C2" s="495">
        <v>143987</v>
      </c>
      <c r="D2" s="496">
        <v>55.435050435050435</v>
      </c>
      <c r="E2" s="497" t="s">
        <v>6251</v>
      </c>
      <c r="F2" s="498" t="s">
        <v>6233</v>
      </c>
      <c r="G2" s="498" t="s">
        <v>6252</v>
      </c>
      <c r="H2" s="499">
        <v>62</v>
      </c>
      <c r="I2" s="498" t="s">
        <v>6253</v>
      </c>
      <c r="J2" s="498" t="s">
        <v>11989</v>
      </c>
      <c r="K2" s="498" t="s">
        <v>6209</v>
      </c>
      <c r="L2" s="498">
        <v>7</v>
      </c>
      <c r="M2" s="500" t="s">
        <v>6254</v>
      </c>
    </row>
    <row r="3" spans="1:13" ht="11.1" customHeight="1">
      <c r="A3" s="501" t="s">
        <v>12616</v>
      </c>
      <c r="B3" s="280" t="s">
        <v>6230</v>
      </c>
      <c r="C3" s="502">
        <v>89758</v>
      </c>
      <c r="D3" s="503">
        <v>34.556864556864554</v>
      </c>
      <c r="E3" s="504">
        <v>62.337572141929478</v>
      </c>
      <c r="F3" s="278" t="s">
        <v>6233</v>
      </c>
      <c r="G3" s="278" t="s">
        <v>11990</v>
      </c>
      <c r="H3" s="505">
        <v>37</v>
      </c>
      <c r="I3" s="278" t="s">
        <v>6257</v>
      </c>
      <c r="J3" s="278" t="s">
        <v>12617</v>
      </c>
      <c r="K3" s="278" t="s">
        <v>6036</v>
      </c>
      <c r="L3" s="278">
        <v>0</v>
      </c>
      <c r="M3" s="308">
        <v>0</v>
      </c>
    </row>
    <row r="4" spans="1:13" ht="11.1" customHeight="1">
      <c r="A4" s="501" t="s">
        <v>12618</v>
      </c>
      <c r="B4" s="280"/>
      <c r="C4" s="502">
        <v>25995</v>
      </c>
      <c r="D4" s="503">
        <v>10.008085008085008</v>
      </c>
      <c r="E4" s="504" t="s">
        <v>6262</v>
      </c>
      <c r="F4" s="506">
        <v>0</v>
      </c>
      <c r="G4" s="506" t="s">
        <v>11991</v>
      </c>
      <c r="H4" s="505">
        <v>61</v>
      </c>
      <c r="I4" s="278" t="s">
        <v>6264</v>
      </c>
      <c r="J4" s="278">
        <v>0</v>
      </c>
      <c r="K4" s="278" t="s">
        <v>6036</v>
      </c>
      <c r="L4" s="278">
        <v>0</v>
      </c>
      <c r="M4" s="308">
        <v>0</v>
      </c>
    </row>
    <row r="5" spans="1:13" ht="11.1" customHeight="1">
      <c r="A5" s="507" t="s">
        <v>12619</v>
      </c>
      <c r="B5" s="508" t="s">
        <v>12590</v>
      </c>
      <c r="C5" s="509">
        <v>107840</v>
      </c>
      <c r="D5" s="510">
        <v>45.61180899209068</v>
      </c>
      <c r="E5" s="511" t="s">
        <v>6251</v>
      </c>
      <c r="F5" s="512" t="s">
        <v>6233</v>
      </c>
      <c r="G5" s="512" t="s">
        <v>6270</v>
      </c>
      <c r="H5" s="513">
        <v>60</v>
      </c>
      <c r="I5" s="514" t="s">
        <v>6253</v>
      </c>
      <c r="J5" s="514" t="s">
        <v>11994</v>
      </c>
      <c r="K5" s="514" t="s">
        <v>6209</v>
      </c>
      <c r="L5" s="514">
        <v>1</v>
      </c>
      <c r="M5" s="341" t="s">
        <v>6254</v>
      </c>
    </row>
    <row r="6" spans="1:13" ht="11.1" customHeight="1">
      <c r="A6" s="501" t="s">
        <v>12620</v>
      </c>
      <c r="B6" s="280" t="s">
        <v>6230</v>
      </c>
      <c r="C6" s="515">
        <v>83573</v>
      </c>
      <c r="D6" s="503">
        <v>35.347883094361968</v>
      </c>
      <c r="E6" s="504">
        <v>77.497218100890208</v>
      </c>
      <c r="F6" s="278" t="s">
        <v>6233</v>
      </c>
      <c r="G6" s="278" t="s">
        <v>6272</v>
      </c>
      <c r="H6" s="505">
        <v>53</v>
      </c>
      <c r="I6" s="278" t="s">
        <v>6257</v>
      </c>
      <c r="J6" s="278" t="s">
        <v>12621</v>
      </c>
      <c r="K6" s="278" t="s">
        <v>6209</v>
      </c>
      <c r="L6" s="278">
        <v>2</v>
      </c>
      <c r="M6" s="308" t="s">
        <v>12622</v>
      </c>
    </row>
    <row r="7" spans="1:13" ht="11.1" customHeight="1">
      <c r="A7" s="501" t="s">
        <v>12623</v>
      </c>
      <c r="B7" s="280"/>
      <c r="C7" s="515">
        <v>24259</v>
      </c>
      <c r="D7" s="503">
        <v>10.260542232373218</v>
      </c>
      <c r="E7" s="504">
        <v>22.495363501483681</v>
      </c>
      <c r="F7" s="278" t="s">
        <v>6233</v>
      </c>
      <c r="G7" s="278" t="s">
        <v>12624</v>
      </c>
      <c r="H7" s="505">
        <v>41</v>
      </c>
      <c r="I7" s="278" t="s">
        <v>6264</v>
      </c>
      <c r="J7" s="278">
        <v>0</v>
      </c>
      <c r="K7" s="278" t="s">
        <v>6036</v>
      </c>
      <c r="L7" s="278">
        <v>0</v>
      </c>
      <c r="M7" s="308">
        <v>0</v>
      </c>
    </row>
    <row r="8" spans="1:13" ht="11.1" customHeight="1">
      <c r="A8" s="501" t="s">
        <v>12625</v>
      </c>
      <c r="B8" s="280" t="s">
        <v>6231</v>
      </c>
      <c r="C8" s="515">
        <v>18227</v>
      </c>
      <c r="D8" s="503">
        <v>7.7092585543289767</v>
      </c>
      <c r="E8" s="504" t="s">
        <v>6262</v>
      </c>
      <c r="F8" s="278">
        <v>0</v>
      </c>
      <c r="G8" s="278" t="s">
        <v>12626</v>
      </c>
      <c r="H8" s="505">
        <v>54</v>
      </c>
      <c r="I8" s="278" t="s">
        <v>6322</v>
      </c>
      <c r="J8" s="278" t="s">
        <v>6476</v>
      </c>
      <c r="K8" s="278" t="s">
        <v>6036</v>
      </c>
      <c r="L8" s="278">
        <v>0</v>
      </c>
      <c r="M8" s="308" t="s">
        <v>6154</v>
      </c>
    </row>
    <row r="9" spans="1:13" ht="11.1" customHeight="1">
      <c r="A9" s="501" t="s">
        <v>12627</v>
      </c>
      <c r="B9" s="280" t="s">
        <v>6231</v>
      </c>
      <c r="C9" s="515">
        <v>2531</v>
      </c>
      <c r="D9" s="503">
        <v>1.0705071268451549</v>
      </c>
      <c r="E9" s="504" t="s">
        <v>6262</v>
      </c>
      <c r="F9" s="278">
        <v>0</v>
      </c>
      <c r="G9" s="278" t="s">
        <v>12628</v>
      </c>
      <c r="H9" s="505">
        <v>55</v>
      </c>
      <c r="I9" s="278" t="s">
        <v>6322</v>
      </c>
      <c r="J9" s="278">
        <v>0</v>
      </c>
      <c r="K9" s="278" t="s">
        <v>6036</v>
      </c>
      <c r="L9" s="278">
        <v>0</v>
      </c>
      <c r="M9" s="308">
        <v>0</v>
      </c>
    </row>
    <row r="10" spans="1:13" ht="11.1" customHeight="1">
      <c r="A10" s="507" t="s">
        <v>12629</v>
      </c>
      <c r="B10" s="508" t="s">
        <v>12590</v>
      </c>
      <c r="C10" s="509">
        <v>114131</v>
      </c>
      <c r="D10" s="510">
        <v>46.790341095441129</v>
      </c>
      <c r="E10" s="511" t="s">
        <v>6251</v>
      </c>
      <c r="F10" s="514" t="s">
        <v>6233</v>
      </c>
      <c r="G10" s="514" t="s">
        <v>11999</v>
      </c>
      <c r="H10" s="513">
        <v>57</v>
      </c>
      <c r="I10" s="514" t="s">
        <v>6253</v>
      </c>
      <c r="J10" s="514" t="s">
        <v>12000</v>
      </c>
      <c r="K10" s="514" t="s">
        <v>6209</v>
      </c>
      <c r="L10" s="514">
        <v>2</v>
      </c>
      <c r="M10" s="341" t="s">
        <v>6254</v>
      </c>
    </row>
    <row r="11" spans="1:13" ht="11.1" customHeight="1">
      <c r="A11" s="501" t="s">
        <v>12630</v>
      </c>
      <c r="B11" s="516" t="s">
        <v>12602</v>
      </c>
      <c r="C11" s="515">
        <v>111252</v>
      </c>
      <c r="D11" s="503">
        <v>45.610036077402427</v>
      </c>
      <c r="E11" s="504">
        <v>97.477460111626115</v>
      </c>
      <c r="F11" s="517" t="s">
        <v>6233</v>
      </c>
      <c r="G11" s="517" t="s">
        <v>11997</v>
      </c>
      <c r="H11" s="518">
        <v>48</v>
      </c>
      <c r="I11" s="517" t="s">
        <v>6257</v>
      </c>
      <c r="J11" s="517" t="s">
        <v>12631</v>
      </c>
      <c r="K11" s="517" t="s">
        <v>6283</v>
      </c>
      <c r="L11" s="517">
        <v>1</v>
      </c>
      <c r="M11" s="308" t="s">
        <v>12622</v>
      </c>
    </row>
    <row r="12" spans="1:13" ht="11.1" customHeight="1">
      <c r="A12" s="501" t="s">
        <v>12632</v>
      </c>
      <c r="B12" s="280" t="s">
        <v>6231</v>
      </c>
      <c r="C12" s="515">
        <v>18537</v>
      </c>
      <c r="D12" s="503">
        <v>7.5996228271564448</v>
      </c>
      <c r="E12" s="504" t="s">
        <v>6262</v>
      </c>
      <c r="F12" s="278">
        <v>0</v>
      </c>
      <c r="G12" s="278" t="s">
        <v>12001</v>
      </c>
      <c r="H12" s="505">
        <v>32</v>
      </c>
      <c r="I12" s="278" t="s">
        <v>6264</v>
      </c>
      <c r="J12" s="278">
        <v>0</v>
      </c>
      <c r="K12" s="278" t="s">
        <v>6036</v>
      </c>
      <c r="L12" s="278">
        <v>0</v>
      </c>
      <c r="M12" s="308">
        <v>0</v>
      </c>
    </row>
    <row r="13" spans="1:13" ht="11.1" customHeight="1">
      <c r="A13" s="507" t="s">
        <v>12633</v>
      </c>
      <c r="B13" s="508" t="s">
        <v>12590</v>
      </c>
      <c r="C13" s="509">
        <v>100883</v>
      </c>
      <c r="D13" s="510">
        <v>49.04279936219033</v>
      </c>
      <c r="E13" s="511" t="s">
        <v>6251</v>
      </c>
      <c r="F13" s="514" t="s">
        <v>6233</v>
      </c>
      <c r="G13" s="514" t="s">
        <v>6290</v>
      </c>
      <c r="H13" s="513">
        <v>55</v>
      </c>
      <c r="I13" s="514" t="s">
        <v>6253</v>
      </c>
      <c r="J13" s="514" t="s">
        <v>11989</v>
      </c>
      <c r="K13" s="514" t="s">
        <v>6283</v>
      </c>
      <c r="L13" s="514">
        <v>4</v>
      </c>
      <c r="M13" s="341" t="s">
        <v>6254</v>
      </c>
    </row>
    <row r="14" spans="1:13" ht="11.1" customHeight="1">
      <c r="A14" s="501" t="s">
        <v>12634</v>
      </c>
      <c r="B14" s="280" t="s">
        <v>6230</v>
      </c>
      <c r="C14" s="515">
        <v>83994</v>
      </c>
      <c r="D14" s="503">
        <v>40.832458289581147</v>
      </c>
      <c r="E14" s="504">
        <v>83.258824578967719</v>
      </c>
      <c r="F14" s="278" t="s">
        <v>6233</v>
      </c>
      <c r="G14" s="278" t="s">
        <v>12002</v>
      </c>
      <c r="H14" s="505">
        <v>62</v>
      </c>
      <c r="I14" s="278" t="s">
        <v>6257</v>
      </c>
      <c r="J14" s="278" t="s">
        <v>12635</v>
      </c>
      <c r="K14" s="278" t="s">
        <v>6209</v>
      </c>
      <c r="L14" s="278">
        <v>4</v>
      </c>
      <c r="M14" s="308" t="s">
        <v>12622</v>
      </c>
    </row>
    <row r="15" spans="1:13" ht="11.1" customHeight="1">
      <c r="A15" s="501" t="s">
        <v>12636</v>
      </c>
      <c r="B15" s="280"/>
      <c r="C15" s="515">
        <v>20827</v>
      </c>
      <c r="D15" s="503">
        <v>10.124742348228523</v>
      </c>
      <c r="E15" s="504" t="s">
        <v>6262</v>
      </c>
      <c r="F15" s="278">
        <v>0</v>
      </c>
      <c r="G15" s="278" t="s">
        <v>12003</v>
      </c>
      <c r="H15" s="505">
        <v>68</v>
      </c>
      <c r="I15" s="278" t="s">
        <v>6264</v>
      </c>
      <c r="J15" s="278">
        <v>0</v>
      </c>
      <c r="K15" s="278" t="s">
        <v>6036</v>
      </c>
      <c r="L15" s="278">
        <v>0</v>
      </c>
      <c r="M15" s="308">
        <v>0</v>
      </c>
    </row>
    <row r="16" spans="1:13" ht="11.1" customHeight="1">
      <c r="A16" s="507" t="s">
        <v>12637</v>
      </c>
      <c r="B16" s="519" t="s">
        <v>12590</v>
      </c>
      <c r="C16" s="520">
        <v>129035</v>
      </c>
      <c r="D16" s="521">
        <v>46.950842338900408</v>
      </c>
      <c r="E16" s="522" t="s">
        <v>6251</v>
      </c>
      <c r="F16" s="523" t="s">
        <v>6233</v>
      </c>
      <c r="G16" s="523" t="s">
        <v>6298</v>
      </c>
      <c r="H16" s="524">
        <v>59</v>
      </c>
      <c r="I16" s="523" t="s">
        <v>6257</v>
      </c>
      <c r="J16" s="523" t="s">
        <v>12631</v>
      </c>
      <c r="K16" s="523" t="s">
        <v>6209</v>
      </c>
      <c r="L16" s="523">
        <v>6</v>
      </c>
      <c r="M16" s="525" t="s">
        <v>12638</v>
      </c>
    </row>
    <row r="17" spans="1:13" ht="11.1" customHeight="1">
      <c r="A17" s="501" t="s">
        <v>12639</v>
      </c>
      <c r="B17" s="516" t="s">
        <v>12602</v>
      </c>
      <c r="C17" s="515">
        <v>120192</v>
      </c>
      <c r="D17" s="503">
        <v>43.733216897718592</v>
      </c>
      <c r="E17" s="504">
        <v>93.146820630061612</v>
      </c>
      <c r="F17" s="512" t="s">
        <v>6233</v>
      </c>
      <c r="G17" s="512" t="s">
        <v>6296</v>
      </c>
      <c r="H17" s="526">
        <v>34</v>
      </c>
      <c r="I17" s="512" t="s">
        <v>6253</v>
      </c>
      <c r="J17" s="512" t="s">
        <v>12007</v>
      </c>
      <c r="K17" s="512" t="s">
        <v>6036</v>
      </c>
      <c r="L17" s="512">
        <v>0</v>
      </c>
      <c r="M17" s="308" t="s">
        <v>6254</v>
      </c>
    </row>
    <row r="18" spans="1:13" ht="11.1" customHeight="1">
      <c r="A18" s="501" t="s">
        <v>12640</v>
      </c>
      <c r="B18" s="280" t="s">
        <v>6231</v>
      </c>
      <c r="C18" s="515">
        <v>25603</v>
      </c>
      <c r="D18" s="503">
        <v>9.3159407633809987</v>
      </c>
      <c r="E18" s="504">
        <v>19.841903359553609</v>
      </c>
      <c r="F18" s="278" t="s">
        <v>6233</v>
      </c>
      <c r="G18" s="278" t="s">
        <v>12641</v>
      </c>
      <c r="H18" s="505">
        <v>40</v>
      </c>
      <c r="I18" s="278" t="s">
        <v>6264</v>
      </c>
      <c r="J18" s="278">
        <v>0</v>
      </c>
      <c r="K18" s="278" t="s">
        <v>6036</v>
      </c>
      <c r="L18" s="278">
        <v>0</v>
      </c>
      <c r="M18" s="308">
        <v>0</v>
      </c>
    </row>
    <row r="19" spans="1:13" ht="11.1" customHeight="1">
      <c r="A19" s="507" t="s">
        <v>12642</v>
      </c>
      <c r="B19" s="519" t="s">
        <v>12590</v>
      </c>
      <c r="C19" s="520">
        <v>112270</v>
      </c>
      <c r="D19" s="521">
        <v>40.155514542827305</v>
      </c>
      <c r="E19" s="522" t="s">
        <v>6251</v>
      </c>
      <c r="F19" s="523" t="s">
        <v>6233</v>
      </c>
      <c r="G19" s="523" t="s">
        <v>12643</v>
      </c>
      <c r="H19" s="524">
        <v>57</v>
      </c>
      <c r="I19" s="523" t="s">
        <v>6257</v>
      </c>
      <c r="J19" s="523" t="s">
        <v>12621</v>
      </c>
      <c r="K19" s="523" t="s">
        <v>6283</v>
      </c>
      <c r="L19" s="523">
        <v>2</v>
      </c>
      <c r="M19" s="525" t="s">
        <v>12622</v>
      </c>
    </row>
    <row r="20" spans="1:13" ht="11.1" customHeight="1">
      <c r="A20" s="501" t="s">
        <v>12644</v>
      </c>
      <c r="B20" s="516" t="s">
        <v>12602</v>
      </c>
      <c r="C20" s="515">
        <v>111656</v>
      </c>
      <c r="D20" s="503">
        <v>39.935905689800705</v>
      </c>
      <c r="E20" s="504">
        <v>99.453104123986819</v>
      </c>
      <c r="F20" s="512" t="s">
        <v>6233</v>
      </c>
      <c r="G20" s="512" t="s">
        <v>12645</v>
      </c>
      <c r="H20" s="526">
        <v>69</v>
      </c>
      <c r="I20" s="512" t="s">
        <v>6253</v>
      </c>
      <c r="J20" s="512" t="s">
        <v>11989</v>
      </c>
      <c r="K20" s="512" t="s">
        <v>6209</v>
      </c>
      <c r="L20" s="512">
        <v>4</v>
      </c>
      <c r="M20" s="308" t="s">
        <v>6254</v>
      </c>
    </row>
    <row r="21" spans="1:13" ht="11.1" customHeight="1">
      <c r="A21" s="501" t="s">
        <v>12646</v>
      </c>
      <c r="B21" s="280"/>
      <c r="C21" s="515">
        <v>37518</v>
      </c>
      <c r="D21" s="503">
        <v>13.419030859693549</v>
      </c>
      <c r="E21" s="504" t="s">
        <v>6262</v>
      </c>
      <c r="F21" s="278">
        <v>0</v>
      </c>
      <c r="G21" s="278" t="s">
        <v>12647</v>
      </c>
      <c r="H21" s="505">
        <v>35</v>
      </c>
      <c r="I21" s="278" t="s">
        <v>6322</v>
      </c>
      <c r="J21" s="278" t="s">
        <v>6760</v>
      </c>
      <c r="K21" s="278" t="s">
        <v>6036</v>
      </c>
      <c r="L21" s="278">
        <v>0</v>
      </c>
      <c r="M21" s="308">
        <v>0</v>
      </c>
    </row>
    <row r="22" spans="1:13" ht="11.1" customHeight="1">
      <c r="A22" s="501" t="s">
        <v>12648</v>
      </c>
      <c r="B22" s="280" t="s">
        <v>6231</v>
      </c>
      <c r="C22" s="515">
        <v>18144</v>
      </c>
      <c r="D22" s="503">
        <v>6.4895489076784409</v>
      </c>
      <c r="E22" s="504" t="s">
        <v>6262</v>
      </c>
      <c r="F22" s="278">
        <v>0</v>
      </c>
      <c r="G22" s="278" t="s">
        <v>12649</v>
      </c>
      <c r="H22" s="505">
        <v>55</v>
      </c>
      <c r="I22" s="278" t="s">
        <v>6264</v>
      </c>
      <c r="J22" s="278">
        <v>0</v>
      </c>
      <c r="K22" s="278" t="s">
        <v>6036</v>
      </c>
      <c r="L22" s="278">
        <v>0</v>
      </c>
      <c r="M22" s="308">
        <v>0</v>
      </c>
    </row>
    <row r="23" spans="1:13" ht="11.1" customHeight="1">
      <c r="A23" s="507" t="s">
        <v>12650</v>
      </c>
      <c r="B23" s="519" t="s">
        <v>12590</v>
      </c>
      <c r="C23" s="520">
        <v>85585</v>
      </c>
      <c r="D23" s="521">
        <v>49.842758138722267</v>
      </c>
      <c r="E23" s="522" t="s">
        <v>6251</v>
      </c>
      <c r="F23" s="523" t="s">
        <v>6233</v>
      </c>
      <c r="G23" s="523" t="s">
        <v>12008</v>
      </c>
      <c r="H23" s="524">
        <v>56</v>
      </c>
      <c r="I23" s="523" t="s">
        <v>6257</v>
      </c>
      <c r="J23" s="523" t="s">
        <v>12651</v>
      </c>
      <c r="K23" s="523" t="s">
        <v>6209</v>
      </c>
      <c r="L23" s="523">
        <v>5</v>
      </c>
      <c r="M23" s="525" t="s">
        <v>12622</v>
      </c>
    </row>
    <row r="24" spans="1:13" ht="11.1" customHeight="1">
      <c r="A24" s="501" t="s">
        <v>12652</v>
      </c>
      <c r="B24" s="516" t="s">
        <v>12602</v>
      </c>
      <c r="C24" s="515">
        <v>72508</v>
      </c>
      <c r="D24" s="503">
        <v>42.227010657503932</v>
      </c>
      <c r="E24" s="504">
        <v>84.720453350470294</v>
      </c>
      <c r="F24" s="512" t="s">
        <v>6233</v>
      </c>
      <c r="G24" s="512" t="s">
        <v>6313</v>
      </c>
      <c r="H24" s="526">
        <v>44</v>
      </c>
      <c r="I24" s="512" t="s">
        <v>6253</v>
      </c>
      <c r="J24" s="512" t="s">
        <v>12007</v>
      </c>
      <c r="K24" s="512" t="s">
        <v>6036</v>
      </c>
      <c r="L24" s="512">
        <v>0</v>
      </c>
      <c r="M24" s="308" t="s">
        <v>6254</v>
      </c>
    </row>
    <row r="25" spans="1:13" ht="11.1" customHeight="1">
      <c r="A25" s="501" t="s">
        <v>12653</v>
      </c>
      <c r="B25" s="280" t="s">
        <v>6231</v>
      </c>
      <c r="C25" s="515">
        <v>13617</v>
      </c>
      <c r="D25" s="503">
        <v>7.930231203773805</v>
      </c>
      <c r="E25" s="504" t="s">
        <v>6262</v>
      </c>
      <c r="F25" s="278">
        <v>0</v>
      </c>
      <c r="G25" s="278" t="s">
        <v>12654</v>
      </c>
      <c r="H25" s="505">
        <v>63</v>
      </c>
      <c r="I25" s="278" t="s">
        <v>6264</v>
      </c>
      <c r="J25" s="278">
        <v>0</v>
      </c>
      <c r="K25" s="278" t="s">
        <v>6036</v>
      </c>
      <c r="L25" s="278">
        <v>0</v>
      </c>
      <c r="M25" s="308">
        <v>0</v>
      </c>
    </row>
    <row r="26" spans="1:13" ht="11.1" customHeight="1">
      <c r="A26" s="507" t="s">
        <v>12655</v>
      </c>
      <c r="B26" s="508" t="s">
        <v>12590</v>
      </c>
      <c r="C26" s="509">
        <v>106709</v>
      </c>
      <c r="D26" s="510">
        <v>42.249110151205009</v>
      </c>
      <c r="E26" s="511" t="s">
        <v>6251</v>
      </c>
      <c r="F26" s="514" t="s">
        <v>6233</v>
      </c>
      <c r="G26" s="514" t="s">
        <v>12011</v>
      </c>
      <c r="H26" s="513">
        <v>56</v>
      </c>
      <c r="I26" s="514" t="s">
        <v>6253</v>
      </c>
      <c r="J26" s="514" t="s">
        <v>12000</v>
      </c>
      <c r="K26" s="514" t="s">
        <v>6209</v>
      </c>
      <c r="L26" s="514">
        <v>3</v>
      </c>
      <c r="M26" s="341" t="s">
        <v>12656</v>
      </c>
    </row>
    <row r="27" spans="1:13" ht="11.1" customHeight="1">
      <c r="A27" s="501" t="s">
        <v>12657</v>
      </c>
      <c r="B27" s="280" t="s">
        <v>6230</v>
      </c>
      <c r="C27" s="515">
        <v>74482</v>
      </c>
      <c r="D27" s="503">
        <v>29.489529676803752</v>
      </c>
      <c r="E27" s="504">
        <v>69.79917345303582</v>
      </c>
      <c r="F27" s="278" t="s">
        <v>6233</v>
      </c>
      <c r="G27" s="278" t="s">
        <v>6321</v>
      </c>
      <c r="H27" s="505">
        <v>46</v>
      </c>
      <c r="I27" s="278" t="s">
        <v>6257</v>
      </c>
      <c r="J27" s="278" t="s">
        <v>12635</v>
      </c>
      <c r="K27" s="278" t="s">
        <v>6036</v>
      </c>
      <c r="L27" s="278">
        <v>0</v>
      </c>
      <c r="M27" s="308">
        <v>0</v>
      </c>
    </row>
    <row r="28" spans="1:13" ht="11.1" customHeight="1">
      <c r="A28" s="501" t="s">
        <v>12658</v>
      </c>
      <c r="B28" s="280" t="s">
        <v>6230</v>
      </c>
      <c r="C28" s="515">
        <v>55400</v>
      </c>
      <c r="D28" s="503">
        <v>21.934426359320746</v>
      </c>
      <c r="E28" s="504" t="s">
        <v>6262</v>
      </c>
      <c r="F28" s="278">
        <v>0</v>
      </c>
      <c r="G28" s="278" t="s">
        <v>12659</v>
      </c>
      <c r="H28" s="505">
        <v>37</v>
      </c>
      <c r="I28" s="278" t="s">
        <v>6322</v>
      </c>
      <c r="J28" s="278" t="s">
        <v>12404</v>
      </c>
      <c r="K28" s="278" t="s">
        <v>6036</v>
      </c>
      <c r="L28" s="278">
        <v>0</v>
      </c>
      <c r="M28" s="308">
        <v>0</v>
      </c>
    </row>
    <row r="29" spans="1:13" ht="11.1" customHeight="1">
      <c r="A29" s="501" t="s">
        <v>12660</v>
      </c>
      <c r="B29" s="280" t="s">
        <v>6231</v>
      </c>
      <c r="C29" s="515">
        <v>15980</v>
      </c>
      <c r="D29" s="503">
        <v>6.3269338126704966</v>
      </c>
      <c r="E29" s="504" t="s">
        <v>6262</v>
      </c>
      <c r="F29" s="278">
        <v>0</v>
      </c>
      <c r="G29" s="278" t="s">
        <v>12661</v>
      </c>
      <c r="H29" s="505">
        <v>56</v>
      </c>
      <c r="I29" s="278" t="s">
        <v>6264</v>
      </c>
      <c r="J29" s="278">
        <v>0</v>
      </c>
      <c r="K29" s="278" t="s">
        <v>6036</v>
      </c>
      <c r="L29" s="278">
        <v>0</v>
      </c>
      <c r="M29" s="308">
        <v>0</v>
      </c>
    </row>
    <row r="30" spans="1:13" ht="11.1" customHeight="1">
      <c r="A30" s="507" t="s">
        <v>12662</v>
      </c>
      <c r="B30" s="508" t="s">
        <v>12590</v>
      </c>
      <c r="C30" s="509">
        <v>141442</v>
      </c>
      <c r="D30" s="510">
        <v>50.018035094171481</v>
      </c>
      <c r="E30" s="511" t="s">
        <v>6251</v>
      </c>
      <c r="F30" s="514" t="s">
        <v>6233</v>
      </c>
      <c r="G30" s="514" t="s">
        <v>6327</v>
      </c>
      <c r="H30" s="513">
        <v>56</v>
      </c>
      <c r="I30" s="514" t="s">
        <v>6253</v>
      </c>
      <c r="J30" s="514" t="s">
        <v>12000</v>
      </c>
      <c r="K30" s="514" t="s">
        <v>6209</v>
      </c>
      <c r="L30" s="514">
        <v>5</v>
      </c>
      <c r="M30" s="341" t="s">
        <v>6254</v>
      </c>
    </row>
    <row r="31" spans="1:13" ht="11.1" customHeight="1">
      <c r="A31" s="501" t="s">
        <v>12663</v>
      </c>
      <c r="B31" s="280" t="s">
        <v>6230</v>
      </c>
      <c r="C31" s="515">
        <v>118958</v>
      </c>
      <c r="D31" s="503">
        <v>42.067033969630316</v>
      </c>
      <c r="E31" s="504">
        <v>84.103731564881713</v>
      </c>
      <c r="F31" s="278" t="s">
        <v>6233</v>
      </c>
      <c r="G31" s="278" t="s">
        <v>12014</v>
      </c>
      <c r="H31" s="505">
        <v>53</v>
      </c>
      <c r="I31" s="278" t="s">
        <v>6257</v>
      </c>
      <c r="J31" s="278" t="s">
        <v>12621</v>
      </c>
      <c r="K31" s="278" t="s">
        <v>6209</v>
      </c>
      <c r="L31" s="278">
        <v>1</v>
      </c>
      <c r="M31" s="308" t="s">
        <v>6260</v>
      </c>
    </row>
    <row r="32" spans="1:13" ht="11.1" customHeight="1">
      <c r="A32" s="501" t="s">
        <v>12664</v>
      </c>
      <c r="B32" s="280" t="s">
        <v>6231</v>
      </c>
      <c r="C32" s="515">
        <v>22382</v>
      </c>
      <c r="D32" s="503">
        <v>7.9149309361982025</v>
      </c>
      <c r="E32" s="504" t="s">
        <v>6262</v>
      </c>
      <c r="F32" s="506">
        <v>0</v>
      </c>
      <c r="G32" s="506" t="s">
        <v>12665</v>
      </c>
      <c r="H32" s="505">
        <v>56</v>
      </c>
      <c r="I32" s="278" t="s">
        <v>6264</v>
      </c>
      <c r="J32" s="278">
        <v>0</v>
      </c>
      <c r="K32" s="278" t="s">
        <v>6036</v>
      </c>
      <c r="L32" s="278">
        <v>0</v>
      </c>
      <c r="M32" s="308">
        <v>0</v>
      </c>
    </row>
    <row r="33" spans="1:13" ht="11.1" customHeight="1">
      <c r="A33" s="507" t="s">
        <v>12666</v>
      </c>
      <c r="B33" s="508" t="s">
        <v>12590</v>
      </c>
      <c r="C33" s="509">
        <v>121516</v>
      </c>
      <c r="D33" s="510">
        <v>49.290153002449983</v>
      </c>
      <c r="E33" s="511" t="s">
        <v>6251</v>
      </c>
      <c r="F33" s="512" t="s">
        <v>6233</v>
      </c>
      <c r="G33" s="512" t="s">
        <v>6335</v>
      </c>
      <c r="H33" s="513">
        <v>61</v>
      </c>
      <c r="I33" s="514" t="s">
        <v>6253</v>
      </c>
      <c r="J33" s="514" t="s">
        <v>12000</v>
      </c>
      <c r="K33" s="514" t="s">
        <v>6209</v>
      </c>
      <c r="L33" s="514">
        <v>4</v>
      </c>
      <c r="M33" s="341" t="s">
        <v>6254</v>
      </c>
    </row>
    <row r="34" spans="1:13" ht="11.1" customHeight="1">
      <c r="A34" s="501" t="s">
        <v>12667</v>
      </c>
      <c r="B34" s="516" t="s">
        <v>12602</v>
      </c>
      <c r="C34" s="515">
        <v>106560</v>
      </c>
      <c r="D34" s="503">
        <v>43.223597747959694</v>
      </c>
      <c r="E34" s="504">
        <v>87.692155765495897</v>
      </c>
      <c r="F34" s="517" t="s">
        <v>6233</v>
      </c>
      <c r="G34" s="517" t="s">
        <v>12016</v>
      </c>
      <c r="H34" s="518">
        <v>51</v>
      </c>
      <c r="I34" s="517" t="s">
        <v>6257</v>
      </c>
      <c r="J34" s="517" t="s">
        <v>12635</v>
      </c>
      <c r="K34" s="517" t="s">
        <v>6036</v>
      </c>
      <c r="L34" s="517">
        <v>0</v>
      </c>
      <c r="M34" s="308">
        <v>0</v>
      </c>
    </row>
    <row r="35" spans="1:13" ht="11.1" customHeight="1">
      <c r="A35" s="501" t="s">
        <v>12668</v>
      </c>
      <c r="B35" s="280" t="s">
        <v>6231</v>
      </c>
      <c r="C35" s="515">
        <v>18456</v>
      </c>
      <c r="D35" s="503">
        <v>7.4862492495903172</v>
      </c>
      <c r="E35" s="504" t="s">
        <v>6262</v>
      </c>
      <c r="F35" s="506">
        <v>0</v>
      </c>
      <c r="G35" s="506" t="s">
        <v>12019</v>
      </c>
      <c r="H35" s="505">
        <v>60</v>
      </c>
      <c r="I35" s="278" t="s">
        <v>6264</v>
      </c>
      <c r="J35" s="278">
        <v>0</v>
      </c>
      <c r="K35" s="278" t="s">
        <v>6036</v>
      </c>
      <c r="L35" s="278">
        <v>0</v>
      </c>
      <c r="M35" s="308">
        <v>0</v>
      </c>
    </row>
    <row r="36" spans="1:13" ht="11.1" customHeight="1">
      <c r="A36" s="507" t="s">
        <v>12669</v>
      </c>
      <c r="B36" s="519" t="s">
        <v>12590</v>
      </c>
      <c r="C36" s="520">
        <v>112210</v>
      </c>
      <c r="D36" s="521">
        <v>62.049325370493257</v>
      </c>
      <c r="E36" s="522" t="s">
        <v>6251</v>
      </c>
      <c r="F36" s="517" t="s">
        <v>6233</v>
      </c>
      <c r="G36" s="517" t="s">
        <v>6343</v>
      </c>
      <c r="H36" s="524">
        <v>50</v>
      </c>
      <c r="I36" s="523" t="s">
        <v>6257</v>
      </c>
      <c r="J36" s="523" t="s">
        <v>12635</v>
      </c>
      <c r="K36" s="523" t="s">
        <v>6209</v>
      </c>
      <c r="L36" s="523">
        <v>6</v>
      </c>
      <c r="M36" s="525" t="s">
        <v>12638</v>
      </c>
    </row>
    <row r="37" spans="1:13" ht="11.1" customHeight="1">
      <c r="A37" s="501" t="s">
        <v>12670</v>
      </c>
      <c r="B37" s="280" t="s">
        <v>6230</v>
      </c>
      <c r="C37" s="515">
        <v>52395</v>
      </c>
      <c r="D37" s="503">
        <v>28.973125414731253</v>
      </c>
      <c r="E37" s="504">
        <v>46.693699313786652</v>
      </c>
      <c r="F37" s="278" t="s">
        <v>6233</v>
      </c>
      <c r="G37" s="278" t="s">
        <v>12671</v>
      </c>
      <c r="H37" s="505">
        <v>63</v>
      </c>
      <c r="I37" s="278" t="s">
        <v>6278</v>
      </c>
      <c r="J37" s="278">
        <v>0</v>
      </c>
      <c r="K37" s="278" t="s">
        <v>6209</v>
      </c>
      <c r="L37" s="278">
        <v>1</v>
      </c>
      <c r="M37" s="308" t="s">
        <v>6481</v>
      </c>
    </row>
    <row r="38" spans="1:13" ht="11.1" customHeight="1">
      <c r="A38" s="501" t="s">
        <v>12672</v>
      </c>
      <c r="B38" s="280" t="s">
        <v>6231</v>
      </c>
      <c r="C38" s="515">
        <v>16235</v>
      </c>
      <c r="D38" s="503">
        <v>8.9775492147754914</v>
      </c>
      <c r="E38" s="504" t="s">
        <v>6262</v>
      </c>
      <c r="F38" s="506">
        <v>0</v>
      </c>
      <c r="G38" s="278" t="s">
        <v>12021</v>
      </c>
      <c r="H38" s="505">
        <v>59</v>
      </c>
      <c r="I38" s="278" t="s">
        <v>6264</v>
      </c>
      <c r="J38" s="278">
        <v>0</v>
      </c>
      <c r="K38" s="278" t="s">
        <v>6036</v>
      </c>
      <c r="L38" s="278">
        <v>0</v>
      </c>
      <c r="M38" s="308">
        <v>0</v>
      </c>
    </row>
    <row r="39" spans="1:13" ht="11.1" customHeight="1">
      <c r="A39" s="507" t="s">
        <v>12673</v>
      </c>
      <c r="B39" s="519" t="s">
        <v>12590</v>
      </c>
      <c r="C39" s="520">
        <v>118258</v>
      </c>
      <c r="D39" s="521">
        <v>54.32778224417136</v>
      </c>
      <c r="E39" s="522" t="s">
        <v>6251</v>
      </c>
      <c r="F39" s="517" t="s">
        <v>6233</v>
      </c>
      <c r="G39" s="523" t="s">
        <v>12022</v>
      </c>
      <c r="H39" s="524">
        <v>62</v>
      </c>
      <c r="I39" s="523" t="s">
        <v>6257</v>
      </c>
      <c r="J39" s="523" t="s">
        <v>12674</v>
      </c>
      <c r="K39" s="523" t="s">
        <v>6209</v>
      </c>
      <c r="L39" s="523">
        <v>5</v>
      </c>
      <c r="M39" s="525" t="s">
        <v>12638</v>
      </c>
    </row>
    <row r="40" spans="1:13" ht="11.1" customHeight="1">
      <c r="A40" s="501" t="s">
        <v>12675</v>
      </c>
      <c r="B40" s="516" t="s">
        <v>12602</v>
      </c>
      <c r="C40" s="515">
        <v>82731</v>
      </c>
      <c r="D40" s="503">
        <v>38.006661306994374</v>
      </c>
      <c r="E40" s="504">
        <v>69.958057805814406</v>
      </c>
      <c r="F40" s="512" t="s">
        <v>6233</v>
      </c>
      <c r="G40" s="512" t="s">
        <v>6347</v>
      </c>
      <c r="H40" s="526">
        <v>44</v>
      </c>
      <c r="I40" s="512" t="s">
        <v>6253</v>
      </c>
      <c r="J40" s="512" t="s">
        <v>12020</v>
      </c>
      <c r="K40" s="512" t="s">
        <v>6036</v>
      </c>
      <c r="L40" s="512">
        <v>0</v>
      </c>
      <c r="M40" s="308" t="s">
        <v>6254</v>
      </c>
    </row>
    <row r="41" spans="1:13" ht="11.1" customHeight="1" thickBot="1">
      <c r="A41" s="527" t="s">
        <v>12676</v>
      </c>
      <c r="B41" s="528"/>
      <c r="C41" s="529">
        <v>16686</v>
      </c>
      <c r="D41" s="530">
        <v>7.6655564488342716</v>
      </c>
      <c r="E41" s="531" t="s">
        <v>6251</v>
      </c>
      <c r="F41" s="532">
        <v>0</v>
      </c>
      <c r="G41" s="532" t="s">
        <v>12677</v>
      </c>
      <c r="H41" s="533">
        <v>67</v>
      </c>
      <c r="I41" s="532" t="s">
        <v>6264</v>
      </c>
      <c r="J41" s="532">
        <v>0</v>
      </c>
      <c r="K41" s="532" t="s">
        <v>6036</v>
      </c>
      <c r="L41" s="532">
        <v>0</v>
      </c>
      <c r="M41" s="347">
        <v>0</v>
      </c>
    </row>
    <row r="42" spans="1:13" ht="11.1" customHeight="1">
      <c r="A42" s="493" t="s">
        <v>12678</v>
      </c>
      <c r="B42" s="534" t="s">
        <v>12590</v>
      </c>
      <c r="C42" s="535">
        <v>81511</v>
      </c>
      <c r="D42" s="536">
        <v>39.703747722822435</v>
      </c>
      <c r="E42" s="537" t="s">
        <v>6262</v>
      </c>
      <c r="F42" s="517">
        <v>0</v>
      </c>
      <c r="G42" s="538" t="s">
        <v>12024</v>
      </c>
      <c r="H42" s="539">
        <v>73</v>
      </c>
      <c r="I42" s="538" t="s">
        <v>6257</v>
      </c>
      <c r="J42" s="538" t="s">
        <v>12621</v>
      </c>
      <c r="K42" s="538" t="s">
        <v>6209</v>
      </c>
      <c r="L42" s="538">
        <v>9</v>
      </c>
      <c r="M42" s="373" t="s">
        <v>12638</v>
      </c>
    </row>
    <row r="43" spans="1:13" ht="11.1" customHeight="1">
      <c r="A43" s="501" t="s">
        <v>12679</v>
      </c>
      <c r="B43" s="280" t="s">
        <v>6230</v>
      </c>
      <c r="C43" s="515">
        <v>74799</v>
      </c>
      <c r="D43" s="503">
        <v>36.434353963506709</v>
      </c>
      <c r="E43" s="504" t="s">
        <v>6262</v>
      </c>
      <c r="F43" s="278">
        <v>0</v>
      </c>
      <c r="G43" s="278" t="s">
        <v>6354</v>
      </c>
      <c r="H43" s="505">
        <v>40</v>
      </c>
      <c r="I43" s="278" t="s">
        <v>6322</v>
      </c>
      <c r="J43" s="278">
        <v>0</v>
      </c>
      <c r="K43" s="278" t="s">
        <v>6036</v>
      </c>
      <c r="L43" s="278">
        <v>0</v>
      </c>
      <c r="M43" s="308">
        <v>0</v>
      </c>
    </row>
    <row r="44" spans="1:13" ht="11.1" customHeight="1">
      <c r="A44" s="501" t="s">
        <v>12680</v>
      </c>
      <c r="B44" s="280" t="s">
        <v>6231</v>
      </c>
      <c r="C44" s="515">
        <v>15736</v>
      </c>
      <c r="D44" s="503">
        <v>7.6649553332229248</v>
      </c>
      <c r="E44" s="504">
        <v>19.30536982738526</v>
      </c>
      <c r="F44" s="278" t="s">
        <v>6233</v>
      </c>
      <c r="G44" s="278" t="s">
        <v>12681</v>
      </c>
      <c r="H44" s="505">
        <v>50</v>
      </c>
      <c r="I44" s="278" t="s">
        <v>6253</v>
      </c>
      <c r="J44" s="278" t="s">
        <v>12007</v>
      </c>
      <c r="K44" s="278" t="s">
        <v>6036</v>
      </c>
      <c r="L44" s="278">
        <v>0</v>
      </c>
      <c r="M44" s="308">
        <v>0</v>
      </c>
    </row>
    <row r="45" spans="1:13" ht="11.1" customHeight="1">
      <c r="A45" s="501" t="s">
        <v>12682</v>
      </c>
      <c r="B45" s="280" t="s">
        <v>6231</v>
      </c>
      <c r="C45" s="515">
        <v>14123</v>
      </c>
      <c r="D45" s="503">
        <v>6.8792681857592379</v>
      </c>
      <c r="E45" s="504">
        <v>17.32649581038142</v>
      </c>
      <c r="F45" s="278" t="s">
        <v>6233</v>
      </c>
      <c r="G45" s="278" t="s">
        <v>12683</v>
      </c>
      <c r="H45" s="505">
        <v>61</v>
      </c>
      <c r="I45" s="278" t="s">
        <v>6278</v>
      </c>
      <c r="J45" s="278">
        <v>0</v>
      </c>
      <c r="K45" s="278" t="s">
        <v>6283</v>
      </c>
      <c r="L45" s="278">
        <v>1</v>
      </c>
      <c r="M45" s="308">
        <v>0</v>
      </c>
    </row>
    <row r="46" spans="1:13" ht="11.1" customHeight="1">
      <c r="A46" s="501" t="s">
        <v>12684</v>
      </c>
      <c r="B46" s="280" t="s">
        <v>6231</v>
      </c>
      <c r="C46" s="515">
        <v>12119</v>
      </c>
      <c r="D46" s="503">
        <v>5.9031261872984633</v>
      </c>
      <c r="E46" s="504" t="s">
        <v>6262</v>
      </c>
      <c r="F46" s="278">
        <v>0</v>
      </c>
      <c r="G46" s="278" t="s">
        <v>12685</v>
      </c>
      <c r="H46" s="505">
        <v>47</v>
      </c>
      <c r="I46" s="278" t="s">
        <v>6322</v>
      </c>
      <c r="J46" s="278" t="s">
        <v>6323</v>
      </c>
      <c r="K46" s="278" t="s">
        <v>6036</v>
      </c>
      <c r="L46" s="278">
        <v>0</v>
      </c>
      <c r="M46" s="308">
        <v>0</v>
      </c>
    </row>
    <row r="47" spans="1:13" ht="11.1" customHeight="1">
      <c r="A47" s="501" t="s">
        <v>12686</v>
      </c>
      <c r="B47" s="280" t="s">
        <v>6231</v>
      </c>
      <c r="C47" s="515">
        <v>7010</v>
      </c>
      <c r="D47" s="503">
        <v>3.4145486073902327</v>
      </c>
      <c r="E47" s="504" t="s">
        <v>6262</v>
      </c>
      <c r="F47" s="506">
        <v>0</v>
      </c>
      <c r="G47" s="278" t="s">
        <v>12687</v>
      </c>
      <c r="H47" s="505">
        <v>40</v>
      </c>
      <c r="I47" s="278" t="s">
        <v>6264</v>
      </c>
      <c r="J47" s="278">
        <v>0</v>
      </c>
      <c r="K47" s="278" t="s">
        <v>6036</v>
      </c>
      <c r="L47" s="278">
        <v>0</v>
      </c>
      <c r="M47" s="308">
        <v>0</v>
      </c>
    </row>
    <row r="48" spans="1:13" ht="11.1" customHeight="1">
      <c r="A48" s="507" t="s">
        <v>12688</v>
      </c>
      <c r="B48" s="519" t="s">
        <v>12590</v>
      </c>
      <c r="C48" s="520">
        <v>96784</v>
      </c>
      <c r="D48" s="521">
        <v>75.069419667095858</v>
      </c>
      <c r="E48" s="522" t="s">
        <v>6251</v>
      </c>
      <c r="F48" s="517" t="s">
        <v>6233</v>
      </c>
      <c r="G48" s="523" t="s">
        <v>6368</v>
      </c>
      <c r="H48" s="524">
        <v>48</v>
      </c>
      <c r="I48" s="523" t="s">
        <v>6257</v>
      </c>
      <c r="J48" s="523" t="s">
        <v>12028</v>
      </c>
      <c r="K48" s="523" t="s">
        <v>6283</v>
      </c>
      <c r="L48" s="523">
        <v>1</v>
      </c>
      <c r="M48" s="525">
        <v>0</v>
      </c>
    </row>
    <row r="49" spans="1:13" ht="11.1" customHeight="1">
      <c r="A49" s="501" t="s">
        <v>12689</v>
      </c>
      <c r="B49" s="280" t="s">
        <v>6230</v>
      </c>
      <c r="C49" s="515">
        <v>21537</v>
      </c>
      <c r="D49" s="503">
        <v>16.704931511099389</v>
      </c>
      <c r="E49" s="504">
        <v>22.252645065300051</v>
      </c>
      <c r="F49" s="278" t="s">
        <v>6233</v>
      </c>
      <c r="G49" s="278" t="s">
        <v>12690</v>
      </c>
      <c r="H49" s="505">
        <v>64</v>
      </c>
      <c r="I49" s="278" t="s">
        <v>6278</v>
      </c>
      <c r="J49" s="278">
        <v>0</v>
      </c>
      <c r="K49" s="278" t="s">
        <v>6036</v>
      </c>
      <c r="L49" s="278">
        <v>0</v>
      </c>
      <c r="M49" s="308">
        <v>0</v>
      </c>
    </row>
    <row r="50" spans="1:13" ht="11.1" customHeight="1">
      <c r="A50" s="501" t="s">
        <v>12691</v>
      </c>
      <c r="B50" s="280" t="s">
        <v>6231</v>
      </c>
      <c r="C50" s="515">
        <v>10605</v>
      </c>
      <c r="D50" s="503">
        <v>8.2256488218047554</v>
      </c>
      <c r="E50" s="504" t="s">
        <v>6262</v>
      </c>
      <c r="F50" s="506">
        <v>0</v>
      </c>
      <c r="G50" s="278" t="s">
        <v>12692</v>
      </c>
      <c r="H50" s="505">
        <v>56</v>
      </c>
      <c r="I50" s="278" t="s">
        <v>6264</v>
      </c>
      <c r="J50" s="278">
        <v>0</v>
      </c>
      <c r="K50" s="278" t="s">
        <v>6036</v>
      </c>
      <c r="L50" s="278">
        <v>0</v>
      </c>
      <c r="M50" s="308">
        <v>0</v>
      </c>
    </row>
    <row r="51" spans="1:13" ht="11.1" customHeight="1">
      <c r="A51" s="507" t="s">
        <v>12693</v>
      </c>
      <c r="B51" s="519" t="s">
        <v>12590</v>
      </c>
      <c r="C51" s="520">
        <v>86909</v>
      </c>
      <c r="D51" s="521">
        <v>53.492995543737841</v>
      </c>
      <c r="E51" s="522" t="s">
        <v>6262</v>
      </c>
      <c r="F51" s="517">
        <v>0</v>
      </c>
      <c r="G51" s="523" t="s">
        <v>6377</v>
      </c>
      <c r="H51" s="524">
        <v>57</v>
      </c>
      <c r="I51" s="523" t="s">
        <v>6257</v>
      </c>
      <c r="J51" s="523" t="s">
        <v>12028</v>
      </c>
      <c r="K51" s="523" t="s">
        <v>6209</v>
      </c>
      <c r="L51" s="523">
        <v>6</v>
      </c>
      <c r="M51" s="525" t="s">
        <v>12638</v>
      </c>
    </row>
    <row r="52" spans="1:13" ht="11.1" customHeight="1">
      <c r="A52" s="501" t="s">
        <v>12694</v>
      </c>
      <c r="B52" s="280" t="s">
        <v>6230</v>
      </c>
      <c r="C52" s="515">
        <v>70275</v>
      </c>
      <c r="D52" s="503">
        <v>43.254671689194183</v>
      </c>
      <c r="E52" s="504">
        <v>80.860440230586022</v>
      </c>
      <c r="F52" s="278" t="s">
        <v>6233</v>
      </c>
      <c r="G52" s="278" t="s">
        <v>6379</v>
      </c>
      <c r="H52" s="505">
        <v>34</v>
      </c>
      <c r="I52" s="278" t="s">
        <v>6253</v>
      </c>
      <c r="J52" s="278" t="s">
        <v>11994</v>
      </c>
      <c r="K52" s="278" t="s">
        <v>6209</v>
      </c>
      <c r="L52" s="278">
        <v>1</v>
      </c>
      <c r="M52" s="308" t="s">
        <v>7918</v>
      </c>
    </row>
    <row r="53" spans="1:13" ht="11.1" customHeight="1">
      <c r="A53" s="501" t="s">
        <v>12695</v>
      </c>
      <c r="B53" s="280" t="s">
        <v>6231</v>
      </c>
      <c r="C53" s="515">
        <v>5284</v>
      </c>
      <c r="D53" s="503">
        <v>3.2523327670679762</v>
      </c>
      <c r="E53" s="504" t="s">
        <v>6262</v>
      </c>
      <c r="F53" s="506">
        <v>0</v>
      </c>
      <c r="G53" s="278" t="s">
        <v>12032</v>
      </c>
      <c r="H53" s="505">
        <v>54</v>
      </c>
      <c r="I53" s="278" t="s">
        <v>6264</v>
      </c>
      <c r="J53" s="278">
        <v>0</v>
      </c>
      <c r="K53" s="278" t="s">
        <v>6036</v>
      </c>
      <c r="L53" s="278">
        <v>0</v>
      </c>
      <c r="M53" s="308">
        <v>0</v>
      </c>
    </row>
    <row r="54" spans="1:13" ht="11.1" customHeight="1">
      <c r="A54" s="507" t="s">
        <v>12696</v>
      </c>
      <c r="B54" s="519" t="s">
        <v>12590</v>
      </c>
      <c r="C54" s="520">
        <v>110675</v>
      </c>
      <c r="D54" s="521">
        <v>63.633018450269368</v>
      </c>
      <c r="E54" s="522" t="s">
        <v>6251</v>
      </c>
      <c r="F54" s="517" t="s">
        <v>6233</v>
      </c>
      <c r="G54" s="523" t="s">
        <v>6383</v>
      </c>
      <c r="H54" s="524">
        <v>38</v>
      </c>
      <c r="I54" s="523" t="s">
        <v>6257</v>
      </c>
      <c r="J54" s="523" t="s">
        <v>12631</v>
      </c>
      <c r="K54" s="523" t="s">
        <v>6209</v>
      </c>
      <c r="L54" s="523">
        <v>2</v>
      </c>
      <c r="M54" s="525" t="s">
        <v>12638</v>
      </c>
    </row>
    <row r="55" spans="1:13" ht="11.1" customHeight="1">
      <c r="A55" s="501" t="s">
        <v>12697</v>
      </c>
      <c r="B55" s="280" t="s">
        <v>6230</v>
      </c>
      <c r="C55" s="515">
        <v>40864</v>
      </c>
      <c r="D55" s="503">
        <v>23.494914533108719</v>
      </c>
      <c r="E55" s="504">
        <v>36.922520894510953</v>
      </c>
      <c r="F55" s="278" t="s">
        <v>6233</v>
      </c>
      <c r="G55" s="278" t="s">
        <v>12033</v>
      </c>
      <c r="H55" s="505">
        <v>53</v>
      </c>
      <c r="I55" s="278" t="s">
        <v>6253</v>
      </c>
      <c r="J55" s="278" t="s">
        <v>12000</v>
      </c>
      <c r="K55" s="278" t="s">
        <v>6283</v>
      </c>
      <c r="L55" s="278">
        <v>2</v>
      </c>
      <c r="M55" s="308">
        <v>0</v>
      </c>
    </row>
    <row r="56" spans="1:13" ht="11.1" customHeight="1">
      <c r="A56" s="501" t="s">
        <v>12698</v>
      </c>
      <c r="B56" s="280" t="s">
        <v>6231</v>
      </c>
      <c r="C56" s="515">
        <v>13524</v>
      </c>
      <c r="D56" s="503">
        <v>7.7756760020008393</v>
      </c>
      <c r="E56" s="504" t="s">
        <v>6262</v>
      </c>
      <c r="F56" s="278">
        <v>0</v>
      </c>
      <c r="G56" s="278" t="s">
        <v>12699</v>
      </c>
      <c r="H56" s="505">
        <v>59</v>
      </c>
      <c r="I56" s="278" t="s">
        <v>6264</v>
      </c>
      <c r="J56" s="278">
        <v>0</v>
      </c>
      <c r="K56" s="278" t="s">
        <v>6036</v>
      </c>
      <c r="L56" s="278">
        <v>0</v>
      </c>
      <c r="M56" s="308">
        <v>0</v>
      </c>
    </row>
    <row r="57" spans="1:13" ht="11.1" customHeight="1" thickBot="1">
      <c r="A57" s="527" t="s">
        <v>12700</v>
      </c>
      <c r="B57" s="528" t="s">
        <v>6231</v>
      </c>
      <c r="C57" s="529">
        <v>8864</v>
      </c>
      <c r="D57" s="530">
        <v>5.0963910146210765</v>
      </c>
      <c r="E57" s="531">
        <v>8.0090354641969732</v>
      </c>
      <c r="F57" s="532" t="s">
        <v>6233</v>
      </c>
      <c r="G57" s="532" t="s">
        <v>12701</v>
      </c>
      <c r="H57" s="533">
        <v>51</v>
      </c>
      <c r="I57" s="532" t="s">
        <v>6278</v>
      </c>
      <c r="J57" s="532">
        <v>0</v>
      </c>
      <c r="K57" s="532" t="s">
        <v>6036</v>
      </c>
      <c r="L57" s="532">
        <v>0</v>
      </c>
      <c r="M57" s="347">
        <v>0</v>
      </c>
    </row>
    <row r="58" spans="1:13" ht="11.1" customHeight="1">
      <c r="A58" s="493" t="s">
        <v>12702</v>
      </c>
      <c r="B58" s="494" t="s">
        <v>12590</v>
      </c>
      <c r="C58" s="540">
        <v>91025</v>
      </c>
      <c r="D58" s="496">
        <v>53.624870393062494</v>
      </c>
      <c r="E58" s="497" t="s">
        <v>6251</v>
      </c>
      <c r="F58" s="512" t="s">
        <v>6233</v>
      </c>
      <c r="G58" s="512" t="s">
        <v>12037</v>
      </c>
      <c r="H58" s="499">
        <v>39</v>
      </c>
      <c r="I58" s="498" t="s">
        <v>6253</v>
      </c>
      <c r="J58" s="498" t="s">
        <v>12020</v>
      </c>
      <c r="K58" s="498" t="s">
        <v>6209</v>
      </c>
      <c r="L58" s="498">
        <v>2</v>
      </c>
      <c r="M58" s="500">
        <v>0</v>
      </c>
    </row>
    <row r="59" spans="1:13" ht="11.1" customHeight="1">
      <c r="A59" s="501" t="s">
        <v>12703</v>
      </c>
      <c r="B59" s="280" t="s">
        <v>6230</v>
      </c>
      <c r="C59" s="515">
        <v>57899</v>
      </c>
      <c r="D59" s="503">
        <v>34.109600339334527</v>
      </c>
      <c r="E59" s="504">
        <v>63.607800054929967</v>
      </c>
      <c r="F59" s="278" t="s">
        <v>6233</v>
      </c>
      <c r="G59" s="278" t="s">
        <v>12038</v>
      </c>
      <c r="H59" s="505">
        <v>36</v>
      </c>
      <c r="I59" s="278" t="s">
        <v>6257</v>
      </c>
      <c r="J59" s="278" t="s">
        <v>12617</v>
      </c>
      <c r="K59" s="278" t="s">
        <v>6036</v>
      </c>
      <c r="L59" s="278">
        <v>0</v>
      </c>
      <c r="M59" s="308" t="s">
        <v>12622</v>
      </c>
    </row>
    <row r="60" spans="1:13" ht="11.1" customHeight="1">
      <c r="A60" s="501" t="s">
        <v>12704</v>
      </c>
      <c r="B60" s="280" t="s">
        <v>6231</v>
      </c>
      <c r="C60" s="515">
        <v>12014</v>
      </c>
      <c r="D60" s="503">
        <v>7.0777170327080778</v>
      </c>
      <c r="E60" s="504">
        <v>13.198571820928317</v>
      </c>
      <c r="F60" s="278" t="s">
        <v>6233</v>
      </c>
      <c r="G60" s="278" t="s">
        <v>12705</v>
      </c>
      <c r="H60" s="505">
        <v>54</v>
      </c>
      <c r="I60" s="278" t="s">
        <v>6278</v>
      </c>
      <c r="J60" s="278">
        <v>0</v>
      </c>
      <c r="K60" s="278" t="s">
        <v>6036</v>
      </c>
      <c r="L60" s="278">
        <v>0</v>
      </c>
      <c r="M60" s="308">
        <v>0</v>
      </c>
    </row>
    <row r="61" spans="1:13" ht="11.1" customHeight="1">
      <c r="A61" s="501" t="s">
        <v>12706</v>
      </c>
      <c r="B61" s="280" t="s">
        <v>6231</v>
      </c>
      <c r="C61" s="515">
        <v>8806</v>
      </c>
      <c r="D61" s="503">
        <v>5.187812234894901</v>
      </c>
      <c r="E61" s="504" t="s">
        <v>6262</v>
      </c>
      <c r="F61" s="278">
        <v>0</v>
      </c>
      <c r="G61" s="278" t="s">
        <v>12707</v>
      </c>
      <c r="H61" s="505">
        <v>45</v>
      </c>
      <c r="I61" s="278" t="s">
        <v>6264</v>
      </c>
      <c r="J61" s="278">
        <v>0</v>
      </c>
      <c r="K61" s="278" t="s">
        <v>6036</v>
      </c>
      <c r="L61" s="278">
        <v>0</v>
      </c>
      <c r="M61" s="308">
        <v>0</v>
      </c>
    </row>
    <row r="62" spans="1:13" ht="11.1" customHeight="1">
      <c r="A62" s="507" t="s">
        <v>12708</v>
      </c>
      <c r="B62" s="519" t="s">
        <v>12590</v>
      </c>
      <c r="C62" s="520">
        <v>116854</v>
      </c>
      <c r="D62" s="521">
        <v>58.431382353676526</v>
      </c>
      <c r="E62" s="522" t="s">
        <v>6251</v>
      </c>
      <c r="F62" s="523" t="s">
        <v>6233</v>
      </c>
      <c r="G62" s="523" t="s">
        <v>6401</v>
      </c>
      <c r="H62" s="524">
        <v>50</v>
      </c>
      <c r="I62" s="523" t="s">
        <v>6257</v>
      </c>
      <c r="J62" s="523" t="s">
        <v>12651</v>
      </c>
      <c r="K62" s="523" t="s">
        <v>6209</v>
      </c>
      <c r="L62" s="523">
        <v>4</v>
      </c>
      <c r="M62" s="525" t="s">
        <v>12622</v>
      </c>
    </row>
    <row r="63" spans="1:13" ht="11.1" customHeight="1">
      <c r="A63" s="501" t="s">
        <v>12709</v>
      </c>
      <c r="B63" s="280" t="s">
        <v>6230</v>
      </c>
      <c r="C63" s="515">
        <v>72599</v>
      </c>
      <c r="D63" s="503">
        <v>36.302222666700004</v>
      </c>
      <c r="E63" s="504">
        <v>62.127954541564691</v>
      </c>
      <c r="F63" s="278" t="s">
        <v>6233</v>
      </c>
      <c r="G63" s="278" t="s">
        <v>12710</v>
      </c>
      <c r="H63" s="505">
        <v>61</v>
      </c>
      <c r="I63" s="278" t="s">
        <v>6253</v>
      </c>
      <c r="J63" s="278" t="s">
        <v>12020</v>
      </c>
      <c r="K63" s="278" t="s">
        <v>6209</v>
      </c>
      <c r="L63" s="278">
        <v>2</v>
      </c>
      <c r="M63" s="308">
        <v>0</v>
      </c>
    </row>
    <row r="64" spans="1:13" ht="11.1" customHeight="1">
      <c r="A64" s="501" t="s">
        <v>12711</v>
      </c>
      <c r="B64" s="280" t="s">
        <v>6231</v>
      </c>
      <c r="C64" s="515">
        <v>10532</v>
      </c>
      <c r="D64" s="503">
        <v>5.2663949796234721</v>
      </c>
      <c r="E64" s="504" t="s">
        <v>6262</v>
      </c>
      <c r="F64" s="278">
        <v>0</v>
      </c>
      <c r="G64" s="278" t="s">
        <v>12712</v>
      </c>
      <c r="H64" s="505">
        <v>45</v>
      </c>
      <c r="I64" s="278" t="s">
        <v>6264</v>
      </c>
      <c r="J64" s="278">
        <v>0</v>
      </c>
      <c r="K64" s="278" t="s">
        <v>6036</v>
      </c>
      <c r="L64" s="278">
        <v>0</v>
      </c>
      <c r="M64" s="308">
        <v>0</v>
      </c>
    </row>
    <row r="65" spans="1:13" ht="11.1" customHeight="1">
      <c r="A65" s="507" t="s">
        <v>12713</v>
      </c>
      <c r="B65" s="508" t="s">
        <v>12590</v>
      </c>
      <c r="C65" s="509">
        <v>93862</v>
      </c>
      <c r="D65" s="510">
        <v>51.010570364935738</v>
      </c>
      <c r="E65" s="511" t="s">
        <v>6251</v>
      </c>
      <c r="F65" s="514" t="s">
        <v>6233</v>
      </c>
      <c r="G65" s="514" t="s">
        <v>6406</v>
      </c>
      <c r="H65" s="513">
        <v>50</v>
      </c>
      <c r="I65" s="514" t="s">
        <v>6253</v>
      </c>
      <c r="J65" s="514" t="s">
        <v>12020</v>
      </c>
      <c r="K65" s="514" t="s">
        <v>6209</v>
      </c>
      <c r="L65" s="514">
        <v>1</v>
      </c>
      <c r="M65" s="341">
        <v>0</v>
      </c>
    </row>
    <row r="66" spans="1:13" ht="11.1" customHeight="1">
      <c r="A66" s="501" t="s">
        <v>12714</v>
      </c>
      <c r="B66" s="280" t="s">
        <v>6230</v>
      </c>
      <c r="C66" s="515">
        <v>79453</v>
      </c>
      <c r="D66" s="503">
        <v>43.179804896606072</v>
      </c>
      <c r="E66" s="504">
        <v>84.64873963904455</v>
      </c>
      <c r="F66" s="278" t="s">
        <v>6233</v>
      </c>
      <c r="G66" s="278" t="s">
        <v>12715</v>
      </c>
      <c r="H66" s="505">
        <v>41</v>
      </c>
      <c r="I66" s="278" t="s">
        <v>6257</v>
      </c>
      <c r="J66" s="278" t="s">
        <v>12631</v>
      </c>
      <c r="K66" s="278" t="s">
        <v>6283</v>
      </c>
      <c r="L66" s="278">
        <v>1</v>
      </c>
      <c r="M66" s="308" t="s">
        <v>12638</v>
      </c>
    </row>
    <row r="67" spans="1:13" ht="11.1" customHeight="1">
      <c r="A67" s="501" t="s">
        <v>12716</v>
      </c>
      <c r="B67" s="280" t="s">
        <v>6231</v>
      </c>
      <c r="C67" s="515">
        <v>10690</v>
      </c>
      <c r="D67" s="503">
        <v>5.8096247384581945</v>
      </c>
      <c r="E67" s="504" t="s">
        <v>6262</v>
      </c>
      <c r="F67" s="506">
        <v>0</v>
      </c>
      <c r="G67" s="506" t="s">
        <v>12042</v>
      </c>
      <c r="H67" s="505">
        <v>44</v>
      </c>
      <c r="I67" s="278" t="s">
        <v>6264</v>
      </c>
      <c r="J67" s="278">
        <v>0</v>
      </c>
      <c r="K67" s="278" t="s">
        <v>6036</v>
      </c>
      <c r="L67" s="278">
        <v>0</v>
      </c>
      <c r="M67" s="308">
        <v>0</v>
      </c>
    </row>
    <row r="68" spans="1:13" ht="11.1" customHeight="1">
      <c r="A68" s="507" t="s">
        <v>12717</v>
      </c>
      <c r="B68" s="508" t="s">
        <v>12590</v>
      </c>
      <c r="C68" s="509">
        <v>128458</v>
      </c>
      <c r="D68" s="510">
        <v>65.112247639226098</v>
      </c>
      <c r="E68" s="511" t="s">
        <v>6262</v>
      </c>
      <c r="F68" s="512">
        <v>0</v>
      </c>
      <c r="G68" s="512" t="s">
        <v>6412</v>
      </c>
      <c r="H68" s="513">
        <v>61</v>
      </c>
      <c r="I68" s="514" t="s">
        <v>6253</v>
      </c>
      <c r="J68" s="514" t="s">
        <v>12020</v>
      </c>
      <c r="K68" s="514" t="s">
        <v>6209</v>
      </c>
      <c r="L68" s="514">
        <v>11</v>
      </c>
      <c r="M68" s="341">
        <v>0</v>
      </c>
    </row>
    <row r="69" spans="1:13" ht="11.1" customHeight="1">
      <c r="A69" s="501" t="s">
        <v>12718</v>
      </c>
      <c r="B69" s="516" t="s">
        <v>12602</v>
      </c>
      <c r="C69" s="515">
        <v>37251</v>
      </c>
      <c r="D69" s="503">
        <v>18.881629301474501</v>
      </c>
      <c r="E69" s="504">
        <v>28.998583194507155</v>
      </c>
      <c r="F69" s="517" t="s">
        <v>6233</v>
      </c>
      <c r="G69" s="517" t="s">
        <v>12719</v>
      </c>
      <c r="H69" s="518">
        <v>65</v>
      </c>
      <c r="I69" s="517" t="s">
        <v>6257</v>
      </c>
      <c r="J69" s="517" t="s">
        <v>12631</v>
      </c>
      <c r="K69" s="517" t="s">
        <v>6283</v>
      </c>
      <c r="L69" s="517">
        <v>7</v>
      </c>
      <c r="M69" s="308">
        <v>0</v>
      </c>
    </row>
    <row r="70" spans="1:13" ht="11.1" customHeight="1">
      <c r="A70" s="501" t="s">
        <v>12720</v>
      </c>
      <c r="B70" s="280"/>
      <c r="C70" s="515">
        <v>20936</v>
      </c>
      <c r="D70" s="503">
        <v>10.611951116900759</v>
      </c>
      <c r="E70" s="504">
        <v>16.297933955067027</v>
      </c>
      <c r="F70" s="278" t="s">
        <v>6233</v>
      </c>
      <c r="G70" s="278" t="s">
        <v>12044</v>
      </c>
      <c r="H70" s="505">
        <v>49</v>
      </c>
      <c r="I70" s="278" t="s">
        <v>6278</v>
      </c>
      <c r="J70" s="278">
        <v>0</v>
      </c>
      <c r="K70" s="278" t="s">
        <v>6036</v>
      </c>
      <c r="L70" s="278">
        <v>0</v>
      </c>
      <c r="M70" s="308">
        <v>0</v>
      </c>
    </row>
    <row r="71" spans="1:13" ht="11.1" customHeight="1" thickBot="1">
      <c r="A71" s="527" t="s">
        <v>12721</v>
      </c>
      <c r="B71" s="528" t="s">
        <v>6231</v>
      </c>
      <c r="C71" s="529">
        <v>10642</v>
      </c>
      <c r="D71" s="530">
        <v>5.3941719423986374</v>
      </c>
      <c r="E71" s="531" t="s">
        <v>6262</v>
      </c>
      <c r="F71" s="278">
        <v>0</v>
      </c>
      <c r="G71" s="532" t="s">
        <v>12045</v>
      </c>
      <c r="H71" s="533">
        <v>55</v>
      </c>
      <c r="I71" s="532" t="s">
        <v>6264</v>
      </c>
      <c r="J71" s="532">
        <v>0</v>
      </c>
      <c r="K71" s="532" t="s">
        <v>6036</v>
      </c>
      <c r="L71" s="532">
        <v>0</v>
      </c>
      <c r="M71" s="347">
        <v>0</v>
      </c>
    </row>
    <row r="72" spans="1:13" ht="11.1" customHeight="1">
      <c r="A72" s="493" t="s">
        <v>12722</v>
      </c>
      <c r="B72" s="494" t="s">
        <v>12590</v>
      </c>
      <c r="C72" s="540">
        <v>106821</v>
      </c>
      <c r="D72" s="496">
        <v>50.783471042948285</v>
      </c>
      <c r="E72" s="497" t="s">
        <v>6251</v>
      </c>
      <c r="F72" s="498" t="s">
        <v>6233</v>
      </c>
      <c r="G72" s="498" t="s">
        <v>12723</v>
      </c>
      <c r="H72" s="499">
        <v>55</v>
      </c>
      <c r="I72" s="498" t="s">
        <v>6253</v>
      </c>
      <c r="J72" s="498" t="s">
        <v>11989</v>
      </c>
      <c r="K72" s="498" t="s">
        <v>6209</v>
      </c>
      <c r="L72" s="498">
        <v>1</v>
      </c>
      <c r="M72" s="500">
        <v>0</v>
      </c>
    </row>
    <row r="73" spans="1:13" ht="11.1" customHeight="1">
      <c r="A73" s="501" t="s">
        <v>12724</v>
      </c>
      <c r="B73" s="280" t="s">
        <v>6230</v>
      </c>
      <c r="C73" s="515">
        <v>84565</v>
      </c>
      <c r="D73" s="503">
        <v>40.202808705656395</v>
      </c>
      <c r="E73" s="504">
        <v>79.165145430205669</v>
      </c>
      <c r="F73" s="278" t="s">
        <v>6233</v>
      </c>
      <c r="G73" s="278" t="s">
        <v>12046</v>
      </c>
      <c r="H73" s="505">
        <v>45</v>
      </c>
      <c r="I73" s="278" t="s">
        <v>6257</v>
      </c>
      <c r="J73" s="278" t="s">
        <v>12617</v>
      </c>
      <c r="K73" s="278" t="s">
        <v>6036</v>
      </c>
      <c r="L73" s="278">
        <v>0</v>
      </c>
      <c r="M73" s="308" t="s">
        <v>6260</v>
      </c>
    </row>
    <row r="74" spans="1:13" ht="11.1" customHeight="1">
      <c r="A74" s="501" t="s">
        <v>12725</v>
      </c>
      <c r="B74" s="280" t="s">
        <v>6231</v>
      </c>
      <c r="C74" s="515">
        <v>18960</v>
      </c>
      <c r="D74" s="503">
        <v>9.0137202513953198</v>
      </c>
      <c r="E74" s="504" t="s">
        <v>6262</v>
      </c>
      <c r="F74" s="278">
        <v>0</v>
      </c>
      <c r="G74" s="278" t="s">
        <v>12726</v>
      </c>
      <c r="H74" s="505">
        <v>31</v>
      </c>
      <c r="I74" s="278" t="s">
        <v>6264</v>
      </c>
      <c r="J74" s="278">
        <v>0</v>
      </c>
      <c r="K74" s="278" t="s">
        <v>6036</v>
      </c>
      <c r="L74" s="278">
        <v>0</v>
      </c>
      <c r="M74" s="308">
        <v>0</v>
      </c>
    </row>
    <row r="75" spans="1:13" ht="11.1" customHeight="1">
      <c r="A75" s="507" t="s">
        <v>12727</v>
      </c>
      <c r="B75" s="508" t="s">
        <v>12590</v>
      </c>
      <c r="C75" s="509">
        <v>98028</v>
      </c>
      <c r="D75" s="510">
        <v>45.365271234601039</v>
      </c>
      <c r="E75" s="511" t="s">
        <v>6251</v>
      </c>
      <c r="F75" s="514" t="s">
        <v>6233</v>
      </c>
      <c r="G75" s="514" t="s">
        <v>12728</v>
      </c>
      <c r="H75" s="513">
        <v>38</v>
      </c>
      <c r="I75" s="514" t="s">
        <v>6253</v>
      </c>
      <c r="J75" s="514" t="s">
        <v>12007</v>
      </c>
      <c r="K75" s="514" t="s">
        <v>6209</v>
      </c>
      <c r="L75" s="514">
        <v>1</v>
      </c>
      <c r="M75" s="341">
        <v>0</v>
      </c>
    </row>
    <row r="76" spans="1:13" ht="11.1" customHeight="1">
      <c r="A76" s="501" t="s">
        <v>12729</v>
      </c>
      <c r="B76" s="516" t="s">
        <v>12602</v>
      </c>
      <c r="C76" s="515">
        <v>94621</v>
      </c>
      <c r="D76" s="503">
        <v>43.788584174819285</v>
      </c>
      <c r="E76" s="504">
        <v>96.524462398498386</v>
      </c>
      <c r="F76" s="517" t="s">
        <v>6233</v>
      </c>
      <c r="G76" s="517" t="s">
        <v>6434</v>
      </c>
      <c r="H76" s="518">
        <v>55</v>
      </c>
      <c r="I76" s="517" t="s">
        <v>6257</v>
      </c>
      <c r="J76" s="517" t="s">
        <v>12631</v>
      </c>
      <c r="K76" s="517" t="s">
        <v>6283</v>
      </c>
      <c r="L76" s="517">
        <v>1</v>
      </c>
      <c r="M76" s="308" t="s">
        <v>6260</v>
      </c>
    </row>
    <row r="77" spans="1:13" ht="11.1" customHeight="1">
      <c r="A77" s="501" t="s">
        <v>12730</v>
      </c>
      <c r="B77" s="280" t="s">
        <v>6231</v>
      </c>
      <c r="C77" s="515">
        <v>11311</v>
      </c>
      <c r="D77" s="503">
        <v>5.2344899715853872</v>
      </c>
      <c r="E77" s="504">
        <v>11.538540008977026</v>
      </c>
      <c r="F77" s="278" t="s">
        <v>6233</v>
      </c>
      <c r="G77" s="278" t="s">
        <v>12049</v>
      </c>
      <c r="H77" s="505">
        <v>52</v>
      </c>
      <c r="I77" s="278" t="s">
        <v>6264</v>
      </c>
      <c r="J77" s="278">
        <v>0</v>
      </c>
      <c r="K77" s="278" t="s">
        <v>6036</v>
      </c>
      <c r="L77" s="278">
        <v>0</v>
      </c>
      <c r="M77" s="308">
        <v>0</v>
      </c>
    </row>
    <row r="78" spans="1:13" ht="11.1" customHeight="1">
      <c r="A78" s="501" t="s">
        <v>12731</v>
      </c>
      <c r="B78" s="280" t="s">
        <v>6231</v>
      </c>
      <c r="C78" s="515">
        <v>9107</v>
      </c>
      <c r="D78" s="503">
        <v>4.2145256981016814</v>
      </c>
      <c r="E78" s="504">
        <v>9.2902027992002285</v>
      </c>
      <c r="F78" s="278" t="s">
        <v>6233</v>
      </c>
      <c r="G78" s="278" t="s">
        <v>12732</v>
      </c>
      <c r="H78" s="505">
        <v>43</v>
      </c>
      <c r="I78" s="278" t="s">
        <v>6278</v>
      </c>
      <c r="J78" s="278">
        <v>0</v>
      </c>
      <c r="K78" s="278" t="s">
        <v>6036</v>
      </c>
      <c r="L78" s="278">
        <v>0</v>
      </c>
      <c r="M78" s="308">
        <v>0</v>
      </c>
    </row>
    <row r="79" spans="1:13" ht="11.1" customHeight="1">
      <c r="A79" s="501" t="s">
        <v>12733</v>
      </c>
      <c r="B79" s="280" t="s">
        <v>6231</v>
      </c>
      <c r="C79" s="515">
        <v>3019</v>
      </c>
      <c r="D79" s="503">
        <v>1.3971289208926077</v>
      </c>
      <c r="E79" s="504" t="s">
        <v>6262</v>
      </c>
      <c r="F79" s="506">
        <v>0</v>
      </c>
      <c r="G79" s="278" t="s">
        <v>12734</v>
      </c>
      <c r="H79" s="505">
        <v>62</v>
      </c>
      <c r="I79" s="278" t="s">
        <v>6322</v>
      </c>
      <c r="J79" s="278">
        <v>0</v>
      </c>
      <c r="K79" s="278" t="s">
        <v>6036</v>
      </c>
      <c r="L79" s="278">
        <v>0</v>
      </c>
      <c r="M79" s="308">
        <v>0</v>
      </c>
    </row>
    <row r="80" spans="1:13" ht="11.1" customHeight="1">
      <c r="A80" s="507" t="s">
        <v>12735</v>
      </c>
      <c r="B80" s="519" t="s">
        <v>12590</v>
      </c>
      <c r="C80" s="520">
        <v>74035</v>
      </c>
      <c r="D80" s="521">
        <v>46.343417650998731</v>
      </c>
      <c r="E80" s="522" t="s">
        <v>6251</v>
      </c>
      <c r="F80" s="517" t="s">
        <v>6233</v>
      </c>
      <c r="G80" s="523" t="s">
        <v>6442</v>
      </c>
      <c r="H80" s="524">
        <v>43</v>
      </c>
      <c r="I80" s="523" t="s">
        <v>6257</v>
      </c>
      <c r="J80" s="523" t="s">
        <v>12631</v>
      </c>
      <c r="K80" s="523" t="s">
        <v>6036</v>
      </c>
      <c r="L80" s="523">
        <v>0</v>
      </c>
      <c r="M80" s="525" t="s">
        <v>6260</v>
      </c>
    </row>
    <row r="81" spans="1:13" ht="11.1" customHeight="1">
      <c r="A81" s="501" t="s">
        <v>12736</v>
      </c>
      <c r="B81" s="516" t="s">
        <v>12602</v>
      </c>
      <c r="C81" s="515">
        <v>73803</v>
      </c>
      <c r="D81" s="503">
        <v>46.198193461155661</v>
      </c>
      <c r="E81" s="504">
        <v>99.686634699804145</v>
      </c>
      <c r="F81" s="512" t="s">
        <v>6233</v>
      </c>
      <c r="G81" s="512" t="s">
        <v>6440</v>
      </c>
      <c r="H81" s="526">
        <v>32</v>
      </c>
      <c r="I81" s="512" t="s">
        <v>6253</v>
      </c>
      <c r="J81" s="512" t="s">
        <v>11994</v>
      </c>
      <c r="K81" s="512" t="s">
        <v>6036</v>
      </c>
      <c r="L81" s="512">
        <v>0</v>
      </c>
      <c r="M81" s="308">
        <v>0</v>
      </c>
    </row>
    <row r="82" spans="1:13" ht="11.1" customHeight="1">
      <c r="A82" s="501" t="s">
        <v>12737</v>
      </c>
      <c r="B82" s="280"/>
      <c r="C82" s="515">
        <v>11915</v>
      </c>
      <c r="D82" s="503">
        <v>7.4583888878456115</v>
      </c>
      <c r="E82" s="504" t="s">
        <v>6262</v>
      </c>
      <c r="F82" s="278">
        <v>0</v>
      </c>
      <c r="G82" s="278" t="s">
        <v>12738</v>
      </c>
      <c r="H82" s="505">
        <v>52</v>
      </c>
      <c r="I82" s="278" t="s">
        <v>6264</v>
      </c>
      <c r="J82" s="278">
        <v>0</v>
      </c>
      <c r="K82" s="278" t="s">
        <v>6036</v>
      </c>
      <c r="L82" s="278">
        <v>0</v>
      </c>
      <c r="M82" s="308">
        <v>0</v>
      </c>
    </row>
    <row r="83" spans="1:13" ht="11.1" customHeight="1">
      <c r="A83" s="507" t="s">
        <v>12739</v>
      </c>
      <c r="B83" s="519" t="s">
        <v>12590</v>
      </c>
      <c r="C83" s="520">
        <v>76554</v>
      </c>
      <c r="D83" s="521">
        <v>40.178866653020734</v>
      </c>
      <c r="E83" s="522" t="s">
        <v>6251</v>
      </c>
      <c r="F83" s="523" t="s">
        <v>6233</v>
      </c>
      <c r="G83" s="523" t="s">
        <v>6448</v>
      </c>
      <c r="H83" s="524">
        <v>50</v>
      </c>
      <c r="I83" s="523" t="s">
        <v>6257</v>
      </c>
      <c r="J83" s="523" t="s">
        <v>12028</v>
      </c>
      <c r="K83" s="523" t="s">
        <v>6209</v>
      </c>
      <c r="L83" s="523">
        <v>1</v>
      </c>
      <c r="M83" s="525">
        <v>0</v>
      </c>
    </row>
    <row r="84" spans="1:13" ht="11.1" customHeight="1">
      <c r="A84" s="501" t="s">
        <v>12740</v>
      </c>
      <c r="B84" s="280" t="s">
        <v>6230</v>
      </c>
      <c r="C84" s="515">
        <v>61200</v>
      </c>
      <c r="D84" s="503">
        <v>32.120420084709735</v>
      </c>
      <c r="E84" s="504" t="s">
        <v>6262</v>
      </c>
      <c r="F84" s="278">
        <v>0</v>
      </c>
      <c r="G84" s="278" t="s">
        <v>12741</v>
      </c>
      <c r="H84" s="505">
        <v>63</v>
      </c>
      <c r="I84" s="278" t="s">
        <v>6322</v>
      </c>
      <c r="J84" s="278">
        <v>0</v>
      </c>
      <c r="K84" s="278" t="s">
        <v>6036</v>
      </c>
      <c r="L84" s="278">
        <v>0</v>
      </c>
      <c r="M84" s="308">
        <v>0</v>
      </c>
    </row>
    <row r="85" spans="1:13" ht="11.1" customHeight="1">
      <c r="A85" s="501" t="s">
        <v>12742</v>
      </c>
      <c r="B85" s="280" t="s">
        <v>6230</v>
      </c>
      <c r="C85" s="515">
        <v>40583</v>
      </c>
      <c r="D85" s="503">
        <v>21.299722357806782</v>
      </c>
      <c r="E85" s="504">
        <v>53.01225278888105</v>
      </c>
      <c r="F85" s="278" t="s">
        <v>6233</v>
      </c>
      <c r="G85" s="278" t="s">
        <v>12743</v>
      </c>
      <c r="H85" s="505">
        <v>40</v>
      </c>
      <c r="I85" s="278" t="s">
        <v>6253</v>
      </c>
      <c r="J85" s="278" t="s">
        <v>12007</v>
      </c>
      <c r="K85" s="278" t="s">
        <v>6036</v>
      </c>
      <c r="L85" s="278">
        <v>0</v>
      </c>
      <c r="M85" s="308">
        <v>0</v>
      </c>
    </row>
    <row r="86" spans="1:13" ht="11.1" customHeight="1">
      <c r="A86" s="501" t="s">
        <v>12744</v>
      </c>
      <c r="B86" s="280" t="s">
        <v>6231</v>
      </c>
      <c r="C86" s="515">
        <v>12196</v>
      </c>
      <c r="D86" s="503">
        <v>6.400990904462744</v>
      </c>
      <c r="E86" s="504" t="s">
        <v>6262</v>
      </c>
      <c r="F86" s="278">
        <v>0</v>
      </c>
      <c r="G86" s="278" t="s">
        <v>12745</v>
      </c>
      <c r="H86" s="505">
        <v>54</v>
      </c>
      <c r="I86" s="278" t="s">
        <v>6264</v>
      </c>
      <c r="J86" s="278">
        <v>0</v>
      </c>
      <c r="K86" s="278" t="s">
        <v>6036</v>
      </c>
      <c r="L86" s="278">
        <v>0</v>
      </c>
      <c r="M86" s="308">
        <v>0</v>
      </c>
    </row>
    <row r="87" spans="1:13" ht="11.1" customHeight="1">
      <c r="A87" s="507" t="s">
        <v>12746</v>
      </c>
      <c r="B87" s="508" t="s">
        <v>12590</v>
      </c>
      <c r="C87" s="509">
        <v>73135</v>
      </c>
      <c r="D87" s="510">
        <v>50.749427520643955</v>
      </c>
      <c r="E87" s="511" t="s">
        <v>6251</v>
      </c>
      <c r="F87" s="514" t="s">
        <v>6233</v>
      </c>
      <c r="G87" s="514" t="s">
        <v>12052</v>
      </c>
      <c r="H87" s="513">
        <v>41</v>
      </c>
      <c r="I87" s="514" t="s">
        <v>6253</v>
      </c>
      <c r="J87" s="514" t="s">
        <v>12000</v>
      </c>
      <c r="K87" s="514" t="s">
        <v>6209</v>
      </c>
      <c r="L87" s="514">
        <v>2</v>
      </c>
      <c r="M87" s="341">
        <v>0</v>
      </c>
    </row>
    <row r="88" spans="1:13" ht="11.1" customHeight="1">
      <c r="A88" s="501" t="s">
        <v>12747</v>
      </c>
      <c r="B88" s="280" t="s">
        <v>6230</v>
      </c>
      <c r="C88" s="515">
        <v>64122</v>
      </c>
      <c r="D88" s="503">
        <v>44.495177295121785</v>
      </c>
      <c r="E88" s="504">
        <v>87.676215218431665</v>
      </c>
      <c r="F88" s="541" t="s">
        <v>6233</v>
      </c>
      <c r="G88" s="541" t="s">
        <v>6456</v>
      </c>
      <c r="H88" s="542">
        <v>48</v>
      </c>
      <c r="I88" s="541" t="s">
        <v>6257</v>
      </c>
      <c r="J88" s="541" t="s">
        <v>12617</v>
      </c>
      <c r="K88" s="541" t="s">
        <v>6036</v>
      </c>
      <c r="L88" s="541">
        <v>0</v>
      </c>
      <c r="M88" s="308" t="s">
        <v>6260</v>
      </c>
    </row>
    <row r="89" spans="1:13" ht="11.1" customHeight="1">
      <c r="A89" s="501" t="s">
        <v>12748</v>
      </c>
      <c r="B89" s="280" t="s">
        <v>6231</v>
      </c>
      <c r="C89" s="515">
        <v>6853</v>
      </c>
      <c r="D89" s="503">
        <v>4.7553951842342652</v>
      </c>
      <c r="E89" s="504" t="s">
        <v>6262</v>
      </c>
      <c r="F89" s="506">
        <v>0</v>
      </c>
      <c r="G89" s="278" t="s">
        <v>12054</v>
      </c>
      <c r="H89" s="505">
        <v>60</v>
      </c>
      <c r="I89" s="278" t="s">
        <v>6264</v>
      </c>
      <c r="J89" s="278">
        <v>0</v>
      </c>
      <c r="K89" s="278" t="s">
        <v>6036</v>
      </c>
      <c r="L89" s="278">
        <v>0</v>
      </c>
      <c r="M89" s="308">
        <v>0</v>
      </c>
    </row>
    <row r="90" spans="1:13" ht="11.1" customHeight="1">
      <c r="A90" s="507" t="s">
        <v>12749</v>
      </c>
      <c r="B90" s="519" t="s">
        <v>12590</v>
      </c>
      <c r="C90" s="520">
        <v>82750</v>
      </c>
      <c r="D90" s="521">
        <v>50.705278250958955</v>
      </c>
      <c r="E90" s="522" t="s">
        <v>6251</v>
      </c>
      <c r="F90" s="517" t="s">
        <v>6233</v>
      </c>
      <c r="G90" s="523" t="s">
        <v>6458</v>
      </c>
      <c r="H90" s="524">
        <v>43</v>
      </c>
      <c r="I90" s="523" t="s">
        <v>6257</v>
      </c>
      <c r="J90" s="523" t="s">
        <v>12651</v>
      </c>
      <c r="K90" s="523" t="s">
        <v>6283</v>
      </c>
      <c r="L90" s="523">
        <v>1</v>
      </c>
      <c r="M90" s="525" t="s">
        <v>12638</v>
      </c>
    </row>
    <row r="91" spans="1:13" ht="11.1" customHeight="1">
      <c r="A91" s="501" t="s">
        <v>12750</v>
      </c>
      <c r="B91" s="280" t="s">
        <v>6230</v>
      </c>
      <c r="C91" s="515">
        <v>58420</v>
      </c>
      <c r="D91" s="503">
        <v>35.797007316266132</v>
      </c>
      <c r="E91" s="504">
        <v>70.598187311178251</v>
      </c>
      <c r="F91" s="278" t="s">
        <v>6233</v>
      </c>
      <c r="G91" s="278" t="s">
        <v>12751</v>
      </c>
      <c r="H91" s="505">
        <v>58</v>
      </c>
      <c r="I91" s="278" t="s">
        <v>6253</v>
      </c>
      <c r="J91" s="278" t="s">
        <v>11994</v>
      </c>
      <c r="K91" s="278" t="s">
        <v>6209</v>
      </c>
      <c r="L91" s="278">
        <v>5</v>
      </c>
      <c r="M91" s="308">
        <v>0</v>
      </c>
    </row>
    <row r="92" spans="1:13" ht="11.1" customHeight="1">
      <c r="A92" s="501" t="s">
        <v>12752</v>
      </c>
      <c r="B92" s="280"/>
      <c r="C92" s="515">
        <v>17772</v>
      </c>
      <c r="D92" s="503">
        <v>10.889839336266375</v>
      </c>
      <c r="E92" s="504">
        <v>21.476737160120845</v>
      </c>
      <c r="F92" s="278" t="s">
        <v>6233</v>
      </c>
      <c r="G92" s="278" t="s">
        <v>6460</v>
      </c>
      <c r="H92" s="505">
        <v>55</v>
      </c>
      <c r="I92" s="278" t="s">
        <v>6278</v>
      </c>
      <c r="J92" s="278">
        <v>0</v>
      </c>
      <c r="K92" s="278" t="s">
        <v>6209</v>
      </c>
      <c r="L92" s="278">
        <v>1</v>
      </c>
      <c r="M92" s="308">
        <v>0</v>
      </c>
    </row>
    <row r="93" spans="1:13" ht="11.1" customHeight="1" thickBot="1">
      <c r="A93" s="527" t="s">
        <v>12753</v>
      </c>
      <c r="B93" s="528" t="s">
        <v>6231</v>
      </c>
      <c r="C93" s="529">
        <v>4256</v>
      </c>
      <c r="D93" s="530">
        <v>2.6078750965085358</v>
      </c>
      <c r="E93" s="531" t="s">
        <v>6262</v>
      </c>
      <c r="F93" s="532">
        <v>0</v>
      </c>
      <c r="G93" s="532" t="s">
        <v>12055</v>
      </c>
      <c r="H93" s="533">
        <v>61</v>
      </c>
      <c r="I93" s="532" t="s">
        <v>6264</v>
      </c>
      <c r="J93" s="532">
        <v>0</v>
      </c>
      <c r="K93" s="532" t="s">
        <v>6036</v>
      </c>
      <c r="L93" s="532">
        <v>0</v>
      </c>
      <c r="M93" s="347">
        <v>0</v>
      </c>
    </row>
    <row r="94" spans="1:13" ht="11.1" customHeight="1">
      <c r="A94" s="493" t="s">
        <v>12754</v>
      </c>
      <c r="B94" s="494" t="s">
        <v>12590</v>
      </c>
      <c r="C94" s="540">
        <v>68586</v>
      </c>
      <c r="D94" s="496">
        <v>44.118668707946838</v>
      </c>
      <c r="E94" s="497" t="s">
        <v>6251</v>
      </c>
      <c r="F94" s="512" t="s">
        <v>6233</v>
      </c>
      <c r="G94" s="498" t="s">
        <v>12056</v>
      </c>
      <c r="H94" s="499">
        <v>27</v>
      </c>
      <c r="I94" s="498" t="s">
        <v>6253</v>
      </c>
      <c r="J94" s="498" t="s">
        <v>12007</v>
      </c>
      <c r="K94" s="498" t="s">
        <v>6036</v>
      </c>
      <c r="L94" s="498">
        <v>0</v>
      </c>
      <c r="M94" s="500">
        <v>0</v>
      </c>
    </row>
    <row r="95" spans="1:13" ht="11.1" customHeight="1">
      <c r="A95" s="501" t="s">
        <v>12755</v>
      </c>
      <c r="B95" s="280" t="s">
        <v>6230</v>
      </c>
      <c r="C95" s="515">
        <v>49777</v>
      </c>
      <c r="D95" s="503">
        <v>32.019580851419676</v>
      </c>
      <c r="E95" s="504" t="s">
        <v>6262</v>
      </c>
      <c r="F95" s="278">
        <v>0</v>
      </c>
      <c r="G95" s="278" t="s">
        <v>12756</v>
      </c>
      <c r="H95" s="505">
        <v>68</v>
      </c>
      <c r="I95" s="278" t="s">
        <v>12757</v>
      </c>
      <c r="J95" s="278">
        <v>0</v>
      </c>
      <c r="K95" s="278" t="s">
        <v>6209</v>
      </c>
      <c r="L95" s="278">
        <v>5</v>
      </c>
      <c r="M95" s="308" t="s">
        <v>12758</v>
      </c>
    </row>
    <row r="96" spans="1:13" ht="11.1" customHeight="1">
      <c r="A96" s="501" t="s">
        <v>12759</v>
      </c>
      <c r="B96" s="280"/>
      <c r="C96" s="515">
        <v>24382</v>
      </c>
      <c r="D96" s="503">
        <v>15.683978952514506</v>
      </c>
      <c r="E96" s="504" t="s">
        <v>6262</v>
      </c>
      <c r="F96" s="278">
        <v>0</v>
      </c>
      <c r="G96" s="278" t="s">
        <v>12760</v>
      </c>
      <c r="H96" s="505">
        <v>64</v>
      </c>
      <c r="I96" s="278" t="s">
        <v>6322</v>
      </c>
      <c r="J96" s="278">
        <v>0</v>
      </c>
      <c r="K96" s="278" t="s">
        <v>6036</v>
      </c>
      <c r="L96" s="278">
        <v>0</v>
      </c>
      <c r="M96" s="308">
        <v>0</v>
      </c>
    </row>
    <row r="97" spans="1:13" ht="11.1" customHeight="1">
      <c r="A97" s="501" t="s">
        <v>12761</v>
      </c>
      <c r="B97" s="280" t="s">
        <v>6231</v>
      </c>
      <c r="C97" s="515">
        <v>12713</v>
      </c>
      <c r="D97" s="503">
        <v>8.177771488118978</v>
      </c>
      <c r="E97" s="504" t="s">
        <v>6262</v>
      </c>
      <c r="F97" s="506">
        <v>0</v>
      </c>
      <c r="G97" s="278" t="s">
        <v>12058</v>
      </c>
      <c r="H97" s="505">
        <v>39</v>
      </c>
      <c r="I97" s="278" t="s">
        <v>6264</v>
      </c>
      <c r="J97" s="278">
        <v>0</v>
      </c>
      <c r="K97" s="278" t="s">
        <v>6036</v>
      </c>
      <c r="L97" s="278">
        <v>0</v>
      </c>
      <c r="M97" s="308">
        <v>0</v>
      </c>
    </row>
    <row r="98" spans="1:13" ht="11.1" customHeight="1">
      <c r="A98" s="507" t="s">
        <v>12762</v>
      </c>
      <c r="B98" s="519" t="s">
        <v>12590</v>
      </c>
      <c r="C98" s="520">
        <v>109296</v>
      </c>
      <c r="D98" s="521">
        <v>53.648264589376957</v>
      </c>
      <c r="E98" s="522" t="s">
        <v>6262</v>
      </c>
      <c r="F98" s="517">
        <v>0</v>
      </c>
      <c r="G98" s="523" t="s">
        <v>12059</v>
      </c>
      <c r="H98" s="524">
        <v>74</v>
      </c>
      <c r="I98" s="523" t="s">
        <v>6257</v>
      </c>
      <c r="J98" s="523" t="s">
        <v>12621</v>
      </c>
      <c r="K98" s="523" t="s">
        <v>6209</v>
      </c>
      <c r="L98" s="523">
        <v>6</v>
      </c>
      <c r="M98" s="525" t="s">
        <v>12638</v>
      </c>
    </row>
    <row r="99" spans="1:13" ht="11.1" customHeight="1">
      <c r="A99" s="501" t="s">
        <v>12763</v>
      </c>
      <c r="B99" s="280" t="s">
        <v>6230</v>
      </c>
      <c r="C99" s="515">
        <v>55969</v>
      </c>
      <c r="D99" s="503">
        <v>27.472549048481547</v>
      </c>
      <c r="E99" s="504">
        <v>51.208644415166155</v>
      </c>
      <c r="F99" s="278" t="s">
        <v>6233</v>
      </c>
      <c r="G99" s="278" t="s">
        <v>6483</v>
      </c>
      <c r="H99" s="505">
        <v>33</v>
      </c>
      <c r="I99" s="278" t="s">
        <v>6253</v>
      </c>
      <c r="J99" s="278" t="s">
        <v>12007</v>
      </c>
      <c r="K99" s="278" t="s">
        <v>6036</v>
      </c>
      <c r="L99" s="278">
        <v>0</v>
      </c>
      <c r="M99" s="308" t="s">
        <v>6154</v>
      </c>
    </row>
    <row r="100" spans="1:13" ht="11.1" customHeight="1">
      <c r="A100" s="501" t="s">
        <v>12764</v>
      </c>
      <c r="B100" s="516" t="s">
        <v>12603</v>
      </c>
      <c r="C100" s="515">
        <v>27624</v>
      </c>
      <c r="D100" s="503">
        <v>13.559322033898304</v>
      </c>
      <c r="E100" s="504">
        <v>25.274483970136146</v>
      </c>
      <c r="F100" s="543" t="s">
        <v>6233</v>
      </c>
      <c r="G100" s="543" t="s">
        <v>6480</v>
      </c>
      <c r="H100" s="544">
        <v>47</v>
      </c>
      <c r="I100" s="543" t="s">
        <v>6278</v>
      </c>
      <c r="J100" s="543">
        <v>0</v>
      </c>
      <c r="K100" s="543" t="s">
        <v>6036</v>
      </c>
      <c r="L100" s="543">
        <v>0</v>
      </c>
      <c r="M100" s="308">
        <v>0</v>
      </c>
    </row>
    <row r="101" spans="1:13" ht="11.1" customHeight="1">
      <c r="A101" s="501" t="s">
        <v>12765</v>
      </c>
      <c r="B101" s="280" t="s">
        <v>6231</v>
      </c>
      <c r="C101" s="515">
        <v>10838</v>
      </c>
      <c r="D101" s="503">
        <v>5.3198643282431881</v>
      </c>
      <c r="E101" s="504" t="s">
        <v>6262</v>
      </c>
      <c r="F101" s="278">
        <v>0</v>
      </c>
      <c r="G101" s="278" t="s">
        <v>12766</v>
      </c>
      <c r="H101" s="505">
        <v>62</v>
      </c>
      <c r="I101" s="278" t="s">
        <v>6264</v>
      </c>
      <c r="J101" s="278">
        <v>0</v>
      </c>
      <c r="K101" s="278" t="s">
        <v>6036</v>
      </c>
      <c r="L101" s="278">
        <v>0</v>
      </c>
      <c r="M101" s="308">
        <v>0</v>
      </c>
    </row>
    <row r="102" spans="1:13" ht="11.1" customHeight="1">
      <c r="A102" s="507" t="s">
        <v>12767</v>
      </c>
      <c r="B102" s="545" t="s">
        <v>12590</v>
      </c>
      <c r="C102" s="546">
        <v>133981</v>
      </c>
      <c r="D102" s="547">
        <v>49.675948240702979</v>
      </c>
      <c r="E102" s="548" t="s">
        <v>6262</v>
      </c>
      <c r="F102" s="549">
        <v>0</v>
      </c>
      <c r="G102" s="549" t="s">
        <v>6490</v>
      </c>
      <c r="H102" s="550">
        <v>39</v>
      </c>
      <c r="I102" s="549" t="s">
        <v>6322</v>
      </c>
      <c r="J102" s="549">
        <v>0</v>
      </c>
      <c r="K102" s="549" t="s">
        <v>6036</v>
      </c>
      <c r="L102" s="549">
        <v>0</v>
      </c>
      <c r="M102" s="551">
        <v>0</v>
      </c>
    </row>
    <row r="103" spans="1:13" ht="11.1" customHeight="1">
      <c r="A103" s="501" t="s">
        <v>12768</v>
      </c>
      <c r="B103" s="280" t="s">
        <v>6230</v>
      </c>
      <c r="C103" s="515">
        <v>117453</v>
      </c>
      <c r="D103" s="503">
        <v>43.547884765118091</v>
      </c>
      <c r="E103" s="504">
        <v>87.663922496473376</v>
      </c>
      <c r="F103" s="278" t="s">
        <v>6233</v>
      </c>
      <c r="G103" s="278" t="s">
        <v>12769</v>
      </c>
      <c r="H103" s="505">
        <v>72</v>
      </c>
      <c r="I103" s="278" t="s">
        <v>6257</v>
      </c>
      <c r="J103" s="278" t="s">
        <v>12621</v>
      </c>
      <c r="K103" s="278" t="s">
        <v>6209</v>
      </c>
      <c r="L103" s="278">
        <v>9</v>
      </c>
      <c r="M103" s="308" t="s">
        <v>12638</v>
      </c>
    </row>
    <row r="104" spans="1:13" ht="11.1" customHeight="1" thickBot="1">
      <c r="A104" s="527" t="s">
        <v>12770</v>
      </c>
      <c r="B104" s="528" t="s">
        <v>6231</v>
      </c>
      <c r="C104" s="529">
        <v>18276</v>
      </c>
      <c r="D104" s="530">
        <v>6.7761669941789329</v>
      </c>
      <c r="E104" s="531" t="s">
        <v>6262</v>
      </c>
      <c r="F104" s="532">
        <v>0</v>
      </c>
      <c r="G104" s="532" t="s">
        <v>12771</v>
      </c>
      <c r="H104" s="533">
        <v>49</v>
      </c>
      <c r="I104" s="532" t="s">
        <v>6264</v>
      </c>
      <c r="J104" s="532">
        <v>0</v>
      </c>
      <c r="K104" s="532" t="s">
        <v>6036</v>
      </c>
      <c r="L104" s="532">
        <v>0</v>
      </c>
      <c r="M104" s="347">
        <v>0</v>
      </c>
    </row>
    <row r="105" spans="1:13" ht="11.1" customHeight="1">
      <c r="A105" s="493" t="s">
        <v>12772</v>
      </c>
      <c r="B105" s="534" t="s">
        <v>12590</v>
      </c>
      <c r="C105" s="535">
        <v>100764</v>
      </c>
      <c r="D105" s="536">
        <v>49.891565907132886</v>
      </c>
      <c r="E105" s="537" t="s">
        <v>6251</v>
      </c>
      <c r="F105" s="517" t="s">
        <v>6233</v>
      </c>
      <c r="G105" s="538" t="s">
        <v>6498</v>
      </c>
      <c r="H105" s="539">
        <v>53</v>
      </c>
      <c r="I105" s="538" t="s">
        <v>6257</v>
      </c>
      <c r="J105" s="538" t="s">
        <v>12773</v>
      </c>
      <c r="K105" s="538" t="s">
        <v>6283</v>
      </c>
      <c r="L105" s="538">
        <v>2</v>
      </c>
      <c r="M105" s="373" t="s">
        <v>12622</v>
      </c>
    </row>
    <row r="106" spans="1:13" ht="11.1" customHeight="1">
      <c r="A106" s="501" t="s">
        <v>12774</v>
      </c>
      <c r="B106" s="516" t="s">
        <v>12602</v>
      </c>
      <c r="C106" s="515">
        <v>81580</v>
      </c>
      <c r="D106" s="503">
        <v>40.392937425111157</v>
      </c>
      <c r="E106" s="504">
        <v>80.961454487713866</v>
      </c>
      <c r="F106" s="512" t="s">
        <v>6233</v>
      </c>
      <c r="G106" s="512" t="s">
        <v>6496</v>
      </c>
      <c r="H106" s="526">
        <v>61</v>
      </c>
      <c r="I106" s="512" t="s">
        <v>6253</v>
      </c>
      <c r="J106" s="512" t="s">
        <v>11994</v>
      </c>
      <c r="K106" s="512" t="s">
        <v>6209</v>
      </c>
      <c r="L106" s="512">
        <v>9</v>
      </c>
      <c r="M106" s="308">
        <v>0</v>
      </c>
    </row>
    <row r="107" spans="1:13" ht="11.1" customHeight="1">
      <c r="A107" s="501" t="s">
        <v>12775</v>
      </c>
      <c r="B107" s="280" t="s">
        <v>6231</v>
      </c>
      <c r="C107" s="515">
        <v>12266</v>
      </c>
      <c r="D107" s="503">
        <v>6.0732994662467936</v>
      </c>
      <c r="E107" s="504">
        <v>12.172998293041166</v>
      </c>
      <c r="F107" s="278" t="s">
        <v>6233</v>
      </c>
      <c r="G107" s="278" t="s">
        <v>12776</v>
      </c>
      <c r="H107" s="505">
        <v>64</v>
      </c>
      <c r="I107" s="278" t="s">
        <v>6278</v>
      </c>
      <c r="J107" s="278">
        <v>0</v>
      </c>
      <c r="K107" s="278" t="s">
        <v>6036</v>
      </c>
      <c r="L107" s="278">
        <v>0</v>
      </c>
      <c r="M107" s="308">
        <v>0</v>
      </c>
    </row>
    <row r="108" spans="1:13" ht="11.1" customHeight="1">
      <c r="A108" s="501" t="s">
        <v>12777</v>
      </c>
      <c r="B108" s="280" t="s">
        <v>6231</v>
      </c>
      <c r="C108" s="515">
        <v>7356</v>
      </c>
      <c r="D108" s="503">
        <v>3.6421972015091648</v>
      </c>
      <c r="E108" s="504" t="s">
        <v>6262</v>
      </c>
      <c r="F108" s="278">
        <v>0</v>
      </c>
      <c r="G108" s="278" t="s">
        <v>12063</v>
      </c>
      <c r="H108" s="505">
        <v>29</v>
      </c>
      <c r="I108" s="278" t="s">
        <v>6264</v>
      </c>
      <c r="J108" s="278">
        <v>0</v>
      </c>
      <c r="K108" s="278" t="s">
        <v>6036</v>
      </c>
      <c r="L108" s="278">
        <v>0</v>
      </c>
      <c r="M108" s="308">
        <v>0</v>
      </c>
    </row>
    <row r="109" spans="1:13" ht="11.1" customHeight="1">
      <c r="A109" s="507" t="s">
        <v>12778</v>
      </c>
      <c r="B109" s="519" t="s">
        <v>12590</v>
      </c>
      <c r="C109" s="520">
        <v>124591</v>
      </c>
      <c r="D109" s="521">
        <v>51.798312899376796</v>
      </c>
      <c r="E109" s="522" t="s">
        <v>6251</v>
      </c>
      <c r="F109" s="523" t="s">
        <v>6233</v>
      </c>
      <c r="G109" s="523" t="s">
        <v>12064</v>
      </c>
      <c r="H109" s="524">
        <v>65</v>
      </c>
      <c r="I109" s="523" t="s">
        <v>6257</v>
      </c>
      <c r="J109" s="523" t="s">
        <v>12674</v>
      </c>
      <c r="K109" s="523" t="s">
        <v>6209</v>
      </c>
      <c r="L109" s="523">
        <v>4</v>
      </c>
      <c r="M109" s="525" t="s">
        <v>12622</v>
      </c>
    </row>
    <row r="110" spans="1:13" ht="11.1" customHeight="1">
      <c r="A110" s="501" t="s">
        <v>12779</v>
      </c>
      <c r="B110" s="516" t="s">
        <v>12602</v>
      </c>
      <c r="C110" s="515">
        <v>106846</v>
      </c>
      <c r="D110" s="503">
        <v>44.420885457591744</v>
      </c>
      <c r="E110" s="504">
        <v>85.75739820693309</v>
      </c>
      <c r="F110" s="512" t="s">
        <v>6233</v>
      </c>
      <c r="G110" s="512" t="s">
        <v>6506</v>
      </c>
      <c r="H110" s="526">
        <v>38</v>
      </c>
      <c r="I110" s="512" t="s">
        <v>6253</v>
      </c>
      <c r="J110" s="512" t="s">
        <v>12007</v>
      </c>
      <c r="K110" s="512" t="s">
        <v>6036</v>
      </c>
      <c r="L110" s="512">
        <v>0</v>
      </c>
      <c r="M110" s="308">
        <v>0</v>
      </c>
    </row>
    <row r="111" spans="1:13" ht="11.1" customHeight="1">
      <c r="A111" s="501" t="s">
        <v>12780</v>
      </c>
      <c r="B111" s="280" t="s">
        <v>6231</v>
      </c>
      <c r="C111" s="515">
        <v>9094</v>
      </c>
      <c r="D111" s="503">
        <v>3.7808016430314595</v>
      </c>
      <c r="E111" s="504" t="s">
        <v>6262</v>
      </c>
      <c r="F111" s="278">
        <v>0</v>
      </c>
      <c r="G111" s="278" t="s">
        <v>12781</v>
      </c>
      <c r="H111" s="505">
        <v>45</v>
      </c>
      <c r="I111" s="278" t="s">
        <v>6264</v>
      </c>
      <c r="J111" s="278">
        <v>0</v>
      </c>
      <c r="K111" s="278" t="s">
        <v>6036</v>
      </c>
      <c r="L111" s="278">
        <v>0</v>
      </c>
      <c r="M111" s="308">
        <v>0</v>
      </c>
    </row>
    <row r="112" spans="1:13" ht="11.1" customHeight="1">
      <c r="A112" s="507" t="s">
        <v>12782</v>
      </c>
      <c r="B112" s="545" t="s">
        <v>12590</v>
      </c>
      <c r="C112" s="546">
        <v>137206</v>
      </c>
      <c r="D112" s="547">
        <v>58.915267919634843</v>
      </c>
      <c r="E112" s="548" t="s">
        <v>6262</v>
      </c>
      <c r="F112" s="549">
        <v>0</v>
      </c>
      <c r="G112" s="549" t="s">
        <v>6512</v>
      </c>
      <c r="H112" s="550">
        <v>64</v>
      </c>
      <c r="I112" s="549" t="s">
        <v>6322</v>
      </c>
      <c r="J112" s="549" t="s">
        <v>12783</v>
      </c>
      <c r="K112" s="549" t="s">
        <v>6283</v>
      </c>
      <c r="L112" s="549">
        <v>10</v>
      </c>
      <c r="M112" s="551">
        <v>0</v>
      </c>
    </row>
    <row r="113" spans="1:13" ht="11.1" customHeight="1">
      <c r="A113" s="501" t="s">
        <v>12784</v>
      </c>
      <c r="B113" s="280" t="s">
        <v>6230</v>
      </c>
      <c r="C113" s="515">
        <v>84946</v>
      </c>
      <c r="D113" s="503">
        <v>36.475200419087372</v>
      </c>
      <c r="E113" s="504">
        <v>61.911286678425142</v>
      </c>
      <c r="F113" s="278" t="s">
        <v>6233</v>
      </c>
      <c r="G113" s="278" t="s">
        <v>12785</v>
      </c>
      <c r="H113" s="505">
        <v>34</v>
      </c>
      <c r="I113" s="278" t="s">
        <v>6253</v>
      </c>
      <c r="J113" s="278" t="s">
        <v>12007</v>
      </c>
      <c r="K113" s="278" t="s">
        <v>6209</v>
      </c>
      <c r="L113" s="278">
        <v>1</v>
      </c>
      <c r="M113" s="308">
        <v>0</v>
      </c>
    </row>
    <row r="114" spans="1:13" ht="11.1" customHeight="1" thickBot="1">
      <c r="A114" s="527" t="s">
        <v>12786</v>
      </c>
      <c r="B114" s="528" t="s">
        <v>6231</v>
      </c>
      <c r="C114" s="529">
        <v>10735</v>
      </c>
      <c r="D114" s="530">
        <v>4.6095316612777868</v>
      </c>
      <c r="E114" s="531" t="s">
        <v>6262</v>
      </c>
      <c r="F114" s="532">
        <v>0</v>
      </c>
      <c r="G114" s="532" t="s">
        <v>6502</v>
      </c>
      <c r="H114" s="533">
        <v>31</v>
      </c>
      <c r="I114" s="532" t="s">
        <v>6264</v>
      </c>
      <c r="J114" s="532">
        <v>0</v>
      </c>
      <c r="K114" s="532" t="s">
        <v>6036</v>
      </c>
      <c r="L114" s="532">
        <v>0</v>
      </c>
      <c r="M114" s="347">
        <v>0</v>
      </c>
    </row>
    <row r="115" spans="1:13" ht="11.1" customHeight="1">
      <c r="A115" s="493" t="s">
        <v>12787</v>
      </c>
      <c r="B115" s="534" t="s">
        <v>12590</v>
      </c>
      <c r="C115" s="535">
        <v>98896</v>
      </c>
      <c r="D115" s="536">
        <v>34.924973602149969</v>
      </c>
      <c r="E115" s="537" t="s">
        <v>6251</v>
      </c>
      <c r="F115" s="538" t="s">
        <v>6233</v>
      </c>
      <c r="G115" s="538" t="s">
        <v>12788</v>
      </c>
      <c r="H115" s="539">
        <v>66</v>
      </c>
      <c r="I115" s="538" t="s">
        <v>6257</v>
      </c>
      <c r="J115" s="538" t="s">
        <v>12674</v>
      </c>
      <c r="K115" s="538" t="s">
        <v>6209</v>
      </c>
      <c r="L115" s="538">
        <v>3</v>
      </c>
      <c r="M115" s="373" t="s">
        <v>12638</v>
      </c>
    </row>
    <row r="116" spans="1:13" ht="11.1" customHeight="1">
      <c r="A116" s="501" t="s">
        <v>12789</v>
      </c>
      <c r="B116" s="280" t="s">
        <v>6230</v>
      </c>
      <c r="C116" s="515">
        <v>96954</v>
      </c>
      <c r="D116" s="503">
        <v>34.239159224062128</v>
      </c>
      <c r="E116" s="504" t="s">
        <v>6262</v>
      </c>
      <c r="F116" s="278">
        <v>0</v>
      </c>
      <c r="G116" s="278" t="s">
        <v>6523</v>
      </c>
      <c r="H116" s="505">
        <v>48</v>
      </c>
      <c r="I116" s="278" t="s">
        <v>12790</v>
      </c>
      <c r="J116" s="278" t="s">
        <v>6323</v>
      </c>
      <c r="K116" s="278" t="s">
        <v>6036</v>
      </c>
      <c r="L116" s="278">
        <v>0</v>
      </c>
      <c r="M116" s="308">
        <v>0</v>
      </c>
    </row>
    <row r="117" spans="1:13" ht="11.1" customHeight="1">
      <c r="A117" s="501" t="s">
        <v>12791</v>
      </c>
      <c r="B117" s="280" t="s">
        <v>6230</v>
      </c>
      <c r="C117" s="515">
        <v>72076</v>
      </c>
      <c r="D117" s="503">
        <v>25.453530955231365</v>
      </c>
      <c r="E117" s="504">
        <v>72.880601844361749</v>
      </c>
      <c r="F117" s="278" t="s">
        <v>6233</v>
      </c>
      <c r="G117" s="278" t="s">
        <v>12066</v>
      </c>
      <c r="H117" s="505">
        <v>36</v>
      </c>
      <c r="I117" s="278" t="s">
        <v>6253</v>
      </c>
      <c r="J117" s="278" t="s">
        <v>12020</v>
      </c>
      <c r="K117" s="278" t="s">
        <v>6036</v>
      </c>
      <c r="L117" s="278">
        <v>0</v>
      </c>
      <c r="M117" s="308">
        <v>0</v>
      </c>
    </row>
    <row r="118" spans="1:13" ht="11.1" customHeight="1">
      <c r="A118" s="501" t="s">
        <v>12792</v>
      </c>
      <c r="B118" s="280" t="s">
        <v>6231</v>
      </c>
      <c r="C118" s="515">
        <v>15241</v>
      </c>
      <c r="D118" s="503">
        <v>5.3823362185565404</v>
      </c>
      <c r="E118" s="504" t="s">
        <v>6262</v>
      </c>
      <c r="F118" s="278">
        <v>0</v>
      </c>
      <c r="G118" s="278" t="s">
        <v>12067</v>
      </c>
      <c r="H118" s="505">
        <v>48</v>
      </c>
      <c r="I118" s="278" t="s">
        <v>6264</v>
      </c>
      <c r="J118" s="278">
        <v>0</v>
      </c>
      <c r="K118" s="278" t="s">
        <v>6036</v>
      </c>
      <c r="L118" s="278">
        <v>0</v>
      </c>
      <c r="M118" s="308">
        <v>0</v>
      </c>
    </row>
    <row r="119" spans="1:13" ht="11.1" customHeight="1">
      <c r="A119" s="507" t="s">
        <v>12793</v>
      </c>
      <c r="B119" s="519" t="s">
        <v>12590</v>
      </c>
      <c r="C119" s="520">
        <v>108838</v>
      </c>
      <c r="D119" s="521">
        <v>51.021001312582037</v>
      </c>
      <c r="E119" s="522" t="s">
        <v>6251</v>
      </c>
      <c r="F119" s="523" t="s">
        <v>6233</v>
      </c>
      <c r="G119" s="523" t="s">
        <v>12068</v>
      </c>
      <c r="H119" s="524">
        <v>52</v>
      </c>
      <c r="I119" s="523" t="s">
        <v>6257</v>
      </c>
      <c r="J119" s="523" t="s">
        <v>12651</v>
      </c>
      <c r="K119" s="523" t="s">
        <v>6209</v>
      </c>
      <c r="L119" s="523">
        <v>3</v>
      </c>
      <c r="M119" s="525" t="s">
        <v>12638</v>
      </c>
    </row>
    <row r="120" spans="1:13" ht="11.1" customHeight="1">
      <c r="A120" s="501" t="s">
        <v>12794</v>
      </c>
      <c r="B120" s="516" t="s">
        <v>12602</v>
      </c>
      <c r="C120" s="515">
        <v>94514</v>
      </c>
      <c r="D120" s="503">
        <v>44.306206637914869</v>
      </c>
      <c r="E120" s="504">
        <v>86.839155442033118</v>
      </c>
      <c r="F120" s="512" t="s">
        <v>6233</v>
      </c>
      <c r="G120" s="512" t="s">
        <v>12069</v>
      </c>
      <c r="H120" s="526">
        <v>56</v>
      </c>
      <c r="I120" s="512" t="s">
        <v>6253</v>
      </c>
      <c r="J120" s="512" t="s">
        <v>11994</v>
      </c>
      <c r="K120" s="512" t="s">
        <v>6283</v>
      </c>
      <c r="L120" s="512">
        <v>2</v>
      </c>
      <c r="M120" s="308">
        <v>0</v>
      </c>
    </row>
    <row r="121" spans="1:13" ht="11.1" customHeight="1">
      <c r="A121" s="501" t="s">
        <v>12795</v>
      </c>
      <c r="B121" s="280" t="s">
        <v>6231</v>
      </c>
      <c r="C121" s="515">
        <v>9968</v>
      </c>
      <c r="D121" s="503">
        <v>4.6727920495030943</v>
      </c>
      <c r="E121" s="504" t="s">
        <v>6262</v>
      </c>
      <c r="F121" s="278">
        <v>0</v>
      </c>
      <c r="G121" s="278" t="s">
        <v>12796</v>
      </c>
      <c r="H121" s="505">
        <v>46</v>
      </c>
      <c r="I121" s="278" t="s">
        <v>6264</v>
      </c>
      <c r="J121" s="278">
        <v>0</v>
      </c>
      <c r="K121" s="278" t="s">
        <v>6036</v>
      </c>
      <c r="L121" s="278">
        <v>0</v>
      </c>
      <c r="M121" s="308">
        <v>0</v>
      </c>
    </row>
    <row r="122" spans="1:13" ht="11.1" customHeight="1">
      <c r="A122" s="552" t="s">
        <v>12797</v>
      </c>
      <c r="B122" s="508" t="s">
        <v>12590</v>
      </c>
      <c r="C122" s="509">
        <v>110606</v>
      </c>
      <c r="D122" s="510">
        <v>52.039841724655481</v>
      </c>
      <c r="E122" s="511" t="s">
        <v>6251</v>
      </c>
      <c r="F122" s="514" t="s">
        <v>6233</v>
      </c>
      <c r="G122" s="514" t="s">
        <v>6535</v>
      </c>
      <c r="H122" s="513">
        <v>39</v>
      </c>
      <c r="I122" s="514" t="s">
        <v>6253</v>
      </c>
      <c r="J122" s="514" t="s">
        <v>12000</v>
      </c>
      <c r="K122" s="514" t="s">
        <v>6209</v>
      </c>
      <c r="L122" s="514">
        <v>3</v>
      </c>
      <c r="M122" s="341">
        <v>0</v>
      </c>
    </row>
    <row r="123" spans="1:13" ht="11.1" customHeight="1">
      <c r="A123" s="553" t="s">
        <v>12798</v>
      </c>
      <c r="B123" s="554" t="s">
        <v>6230</v>
      </c>
      <c r="C123" s="555">
        <v>94413</v>
      </c>
      <c r="D123" s="556">
        <v>44.421076404082037</v>
      </c>
      <c r="E123" s="557">
        <v>85.359745402600225</v>
      </c>
      <c r="F123" s="541" t="s">
        <v>6233</v>
      </c>
      <c r="G123" s="541" t="s">
        <v>12799</v>
      </c>
      <c r="H123" s="542">
        <v>45</v>
      </c>
      <c r="I123" s="541" t="s">
        <v>6257</v>
      </c>
      <c r="J123" s="541" t="s">
        <v>12635</v>
      </c>
      <c r="K123" s="541" t="s">
        <v>6209</v>
      </c>
      <c r="L123" s="541">
        <v>3</v>
      </c>
      <c r="M123" s="376" t="s">
        <v>12638</v>
      </c>
    </row>
    <row r="124" spans="1:13" ht="11.1" customHeight="1">
      <c r="A124" s="553" t="s">
        <v>12800</v>
      </c>
      <c r="B124" s="554" t="s">
        <v>6231</v>
      </c>
      <c r="C124" s="555">
        <v>7522</v>
      </c>
      <c r="D124" s="556">
        <v>3.5390818712624856</v>
      </c>
      <c r="E124" s="557" t="s">
        <v>6262</v>
      </c>
      <c r="F124" s="541">
        <v>0</v>
      </c>
      <c r="G124" s="541" t="s">
        <v>12801</v>
      </c>
      <c r="H124" s="542">
        <v>50</v>
      </c>
      <c r="I124" s="541" t="s">
        <v>6264</v>
      </c>
      <c r="J124" s="541">
        <v>0</v>
      </c>
      <c r="K124" s="541" t="s">
        <v>6036</v>
      </c>
      <c r="L124" s="541">
        <v>0</v>
      </c>
      <c r="M124" s="376">
        <v>0</v>
      </c>
    </row>
    <row r="125" spans="1:13" ht="11.1" customHeight="1">
      <c r="A125" s="507" t="s">
        <v>12802</v>
      </c>
      <c r="B125" s="558" t="s">
        <v>12590</v>
      </c>
      <c r="C125" s="559">
        <v>97014</v>
      </c>
      <c r="D125" s="560">
        <v>52.255270557057756</v>
      </c>
      <c r="E125" s="561" t="s">
        <v>6262</v>
      </c>
      <c r="F125" s="562">
        <v>0</v>
      </c>
      <c r="G125" s="562" t="s">
        <v>6539</v>
      </c>
      <c r="H125" s="563">
        <v>71</v>
      </c>
      <c r="I125" s="562" t="s">
        <v>12790</v>
      </c>
      <c r="J125" s="562">
        <v>0</v>
      </c>
      <c r="K125" s="562" t="s">
        <v>6209</v>
      </c>
      <c r="L125" s="562">
        <v>11</v>
      </c>
      <c r="M125" s="564" t="s">
        <v>12803</v>
      </c>
    </row>
    <row r="126" spans="1:13" ht="11.1" customHeight="1">
      <c r="A126" s="501" t="s">
        <v>12804</v>
      </c>
      <c r="B126" s="280" t="s">
        <v>6230</v>
      </c>
      <c r="C126" s="515">
        <v>78059</v>
      </c>
      <c r="D126" s="503">
        <v>42.045417820246264</v>
      </c>
      <c r="E126" s="504">
        <v>80.461582864328861</v>
      </c>
      <c r="F126" s="278" t="s">
        <v>6233</v>
      </c>
      <c r="G126" s="278" t="s">
        <v>12805</v>
      </c>
      <c r="H126" s="505">
        <v>51</v>
      </c>
      <c r="I126" s="278" t="s">
        <v>6257</v>
      </c>
      <c r="J126" s="278" t="s">
        <v>12651</v>
      </c>
      <c r="K126" s="278" t="s">
        <v>6036</v>
      </c>
      <c r="L126" s="278">
        <v>0</v>
      </c>
      <c r="M126" s="308">
        <v>0</v>
      </c>
    </row>
    <row r="127" spans="1:13" ht="11.1" customHeight="1">
      <c r="A127" s="501" t="s">
        <v>12806</v>
      </c>
      <c r="B127" s="280" t="s">
        <v>6231</v>
      </c>
      <c r="C127" s="515">
        <v>10581</v>
      </c>
      <c r="D127" s="503">
        <v>5.6993116226959826</v>
      </c>
      <c r="E127" s="504" t="s">
        <v>6262</v>
      </c>
      <c r="F127" s="278">
        <v>0</v>
      </c>
      <c r="G127" s="278" t="s">
        <v>12073</v>
      </c>
      <c r="H127" s="505">
        <v>44</v>
      </c>
      <c r="I127" s="278" t="s">
        <v>6264</v>
      </c>
      <c r="J127" s="278">
        <v>0</v>
      </c>
      <c r="K127" s="278" t="s">
        <v>6036</v>
      </c>
      <c r="L127" s="278">
        <v>0</v>
      </c>
      <c r="M127" s="308">
        <v>0</v>
      </c>
    </row>
    <row r="128" spans="1:13" ht="11.1" customHeight="1">
      <c r="A128" s="507" t="s">
        <v>12807</v>
      </c>
      <c r="B128" s="519" t="s">
        <v>12590</v>
      </c>
      <c r="C128" s="520">
        <v>100600</v>
      </c>
      <c r="D128" s="521">
        <v>48.12982613937556</v>
      </c>
      <c r="E128" s="522" t="s">
        <v>6251</v>
      </c>
      <c r="F128" s="523" t="s">
        <v>6233</v>
      </c>
      <c r="G128" s="523" t="s">
        <v>6549</v>
      </c>
      <c r="H128" s="524">
        <v>59</v>
      </c>
      <c r="I128" s="523" t="s">
        <v>6257</v>
      </c>
      <c r="J128" s="523" t="s">
        <v>12631</v>
      </c>
      <c r="K128" s="523" t="s">
        <v>6209</v>
      </c>
      <c r="L128" s="523">
        <v>4</v>
      </c>
      <c r="M128" s="525" t="s">
        <v>12638</v>
      </c>
    </row>
    <row r="129" spans="1:13" ht="11.1" customHeight="1">
      <c r="A129" s="501" t="s">
        <v>12808</v>
      </c>
      <c r="B129" s="516" t="s">
        <v>12602</v>
      </c>
      <c r="C129" s="515">
        <v>84480</v>
      </c>
      <c r="D129" s="503">
        <v>40.417571692390126</v>
      </c>
      <c r="E129" s="504">
        <v>83.976143141153088</v>
      </c>
      <c r="F129" s="512" t="s">
        <v>6233</v>
      </c>
      <c r="G129" s="512" t="s">
        <v>12074</v>
      </c>
      <c r="H129" s="526">
        <v>54</v>
      </c>
      <c r="I129" s="512" t="s">
        <v>6253</v>
      </c>
      <c r="J129" s="512" t="s">
        <v>12007</v>
      </c>
      <c r="K129" s="512" t="s">
        <v>6036</v>
      </c>
      <c r="L129" s="512">
        <v>0</v>
      </c>
      <c r="M129" s="308">
        <v>0</v>
      </c>
    </row>
    <row r="130" spans="1:13" ht="11.1" customHeight="1">
      <c r="A130" s="501" t="s">
        <v>12809</v>
      </c>
      <c r="B130" s="280" t="s">
        <v>6231</v>
      </c>
      <c r="C130" s="515">
        <v>16520</v>
      </c>
      <c r="D130" s="503">
        <v>7.9036255250743954</v>
      </c>
      <c r="E130" s="504" t="s">
        <v>6262</v>
      </c>
      <c r="F130" s="278">
        <v>0</v>
      </c>
      <c r="G130" s="278" t="s">
        <v>12075</v>
      </c>
      <c r="H130" s="505">
        <v>44</v>
      </c>
      <c r="I130" s="278" t="s">
        <v>6264</v>
      </c>
      <c r="J130" s="278">
        <v>0</v>
      </c>
      <c r="K130" s="278" t="s">
        <v>6036</v>
      </c>
      <c r="L130" s="278">
        <v>0</v>
      </c>
      <c r="M130" s="308">
        <v>0</v>
      </c>
    </row>
    <row r="131" spans="1:13" ht="11.1" customHeight="1" thickBot="1">
      <c r="A131" s="527" t="s">
        <v>12810</v>
      </c>
      <c r="B131" s="528" t="s">
        <v>6231</v>
      </c>
      <c r="C131" s="529">
        <v>7418</v>
      </c>
      <c r="D131" s="530">
        <v>3.5489766431599192</v>
      </c>
      <c r="E131" s="531" t="s">
        <v>6262</v>
      </c>
      <c r="F131" s="532">
        <v>0</v>
      </c>
      <c r="G131" s="532" t="s">
        <v>12811</v>
      </c>
      <c r="H131" s="533">
        <v>55</v>
      </c>
      <c r="I131" s="532" t="s">
        <v>6322</v>
      </c>
      <c r="J131" s="532" t="s">
        <v>6760</v>
      </c>
      <c r="K131" s="532" t="s">
        <v>6036</v>
      </c>
      <c r="L131" s="532">
        <v>0</v>
      </c>
      <c r="M131" s="347">
        <v>0</v>
      </c>
    </row>
    <row r="132" spans="1:13" ht="11.1" customHeight="1">
      <c r="A132" s="493" t="s">
        <v>12812</v>
      </c>
      <c r="B132" s="534" t="s">
        <v>12590</v>
      </c>
      <c r="C132" s="535">
        <v>128349</v>
      </c>
      <c r="D132" s="536">
        <v>58.710329622073608</v>
      </c>
      <c r="E132" s="537" t="s">
        <v>6251</v>
      </c>
      <c r="F132" s="538" t="s">
        <v>6233</v>
      </c>
      <c r="G132" s="538" t="s">
        <v>6555</v>
      </c>
      <c r="H132" s="539">
        <v>44</v>
      </c>
      <c r="I132" s="538" t="s">
        <v>6257</v>
      </c>
      <c r="J132" s="538" t="s">
        <v>12028</v>
      </c>
      <c r="K132" s="538" t="s">
        <v>6209</v>
      </c>
      <c r="L132" s="538">
        <v>4</v>
      </c>
      <c r="M132" s="373" t="s">
        <v>12638</v>
      </c>
    </row>
    <row r="133" spans="1:13" ht="11.1" customHeight="1">
      <c r="A133" s="501" t="s">
        <v>12813</v>
      </c>
      <c r="B133" s="280" t="s">
        <v>6230</v>
      </c>
      <c r="C133" s="515">
        <v>77420</v>
      </c>
      <c r="D133" s="503">
        <v>35.414017400532444</v>
      </c>
      <c r="E133" s="504">
        <v>60.319908998122308</v>
      </c>
      <c r="F133" s="278" t="s">
        <v>6233</v>
      </c>
      <c r="G133" s="278" t="s">
        <v>6553</v>
      </c>
      <c r="H133" s="505">
        <v>33</v>
      </c>
      <c r="I133" s="278" t="s">
        <v>6253</v>
      </c>
      <c r="J133" s="278" t="s">
        <v>12007</v>
      </c>
      <c r="K133" s="278" t="s">
        <v>6036</v>
      </c>
      <c r="L133" s="278">
        <v>0</v>
      </c>
      <c r="M133" s="308" t="s">
        <v>6254</v>
      </c>
    </row>
    <row r="134" spans="1:13" ht="11.1" customHeight="1">
      <c r="A134" s="501" t="s">
        <v>12814</v>
      </c>
      <c r="B134" s="280" t="s">
        <v>6231</v>
      </c>
      <c r="C134" s="515">
        <v>12845</v>
      </c>
      <c r="D134" s="503">
        <v>5.8756529773939459</v>
      </c>
      <c r="E134" s="504" t="s">
        <v>6262</v>
      </c>
      <c r="F134" s="278">
        <v>0</v>
      </c>
      <c r="G134" s="278" t="s">
        <v>12815</v>
      </c>
      <c r="H134" s="505">
        <v>41</v>
      </c>
      <c r="I134" s="278" t="s">
        <v>6264</v>
      </c>
      <c r="J134" s="278">
        <v>0</v>
      </c>
      <c r="K134" s="278" t="s">
        <v>6036</v>
      </c>
      <c r="L134" s="278">
        <v>0</v>
      </c>
      <c r="M134" s="308">
        <v>0</v>
      </c>
    </row>
    <row r="135" spans="1:13" ht="11.1" customHeight="1">
      <c r="A135" s="507" t="s">
        <v>12816</v>
      </c>
      <c r="B135" s="519" t="s">
        <v>12590</v>
      </c>
      <c r="C135" s="520">
        <v>127364</v>
      </c>
      <c r="D135" s="521">
        <v>66.529808450733654</v>
      </c>
      <c r="E135" s="522" t="s">
        <v>6251</v>
      </c>
      <c r="F135" s="523" t="s">
        <v>6233</v>
      </c>
      <c r="G135" s="523" t="s">
        <v>6563</v>
      </c>
      <c r="H135" s="524">
        <v>59</v>
      </c>
      <c r="I135" s="523" t="s">
        <v>6257</v>
      </c>
      <c r="J135" s="523" t="s">
        <v>12617</v>
      </c>
      <c r="K135" s="523" t="s">
        <v>6209</v>
      </c>
      <c r="L135" s="523">
        <v>6</v>
      </c>
      <c r="M135" s="525" t="s">
        <v>12638</v>
      </c>
    </row>
    <row r="136" spans="1:13" ht="11.1" customHeight="1">
      <c r="A136" s="501" t="s">
        <v>12817</v>
      </c>
      <c r="B136" s="280" t="s">
        <v>6230</v>
      </c>
      <c r="C136" s="515">
        <v>55444</v>
      </c>
      <c r="D136" s="503">
        <v>28.961705817518897</v>
      </c>
      <c r="E136" s="504">
        <v>43.531924248610281</v>
      </c>
      <c r="F136" s="278" t="s">
        <v>6233</v>
      </c>
      <c r="G136" s="278" t="s">
        <v>12818</v>
      </c>
      <c r="H136" s="505">
        <v>48</v>
      </c>
      <c r="I136" s="278" t="s">
        <v>6253</v>
      </c>
      <c r="J136" s="278" t="s">
        <v>11994</v>
      </c>
      <c r="K136" s="278" t="s">
        <v>6036</v>
      </c>
      <c r="L136" s="278">
        <v>0</v>
      </c>
      <c r="M136" s="308">
        <v>0</v>
      </c>
    </row>
    <row r="137" spans="1:13" ht="11.1" customHeight="1">
      <c r="A137" s="501" t="s">
        <v>12819</v>
      </c>
      <c r="B137" s="280" t="s">
        <v>6231</v>
      </c>
      <c r="C137" s="515">
        <v>8631</v>
      </c>
      <c r="D137" s="503">
        <v>4.5084857317474496</v>
      </c>
      <c r="E137" s="504" t="s">
        <v>6262</v>
      </c>
      <c r="F137" s="278">
        <v>0</v>
      </c>
      <c r="G137" s="278" t="s">
        <v>12079</v>
      </c>
      <c r="H137" s="505">
        <v>53</v>
      </c>
      <c r="I137" s="278" t="s">
        <v>6264</v>
      </c>
      <c r="J137" s="278">
        <v>0</v>
      </c>
      <c r="K137" s="278" t="s">
        <v>6036</v>
      </c>
      <c r="L137" s="278">
        <v>0</v>
      </c>
      <c r="M137" s="308">
        <v>0</v>
      </c>
    </row>
    <row r="138" spans="1:13" ht="11.1" customHeight="1">
      <c r="A138" s="507" t="s">
        <v>12820</v>
      </c>
      <c r="B138" s="519" t="s">
        <v>12590</v>
      </c>
      <c r="C138" s="520">
        <v>102315</v>
      </c>
      <c r="D138" s="521">
        <v>48.915459895681444</v>
      </c>
      <c r="E138" s="522" t="s">
        <v>6251</v>
      </c>
      <c r="F138" s="523" t="s">
        <v>6233</v>
      </c>
      <c r="G138" s="523" t="s">
        <v>6569</v>
      </c>
      <c r="H138" s="524">
        <v>44</v>
      </c>
      <c r="I138" s="523" t="s">
        <v>6257</v>
      </c>
      <c r="J138" s="523" t="s">
        <v>12651</v>
      </c>
      <c r="K138" s="523" t="s">
        <v>6036</v>
      </c>
      <c r="L138" s="523">
        <v>0</v>
      </c>
      <c r="M138" s="525" t="s">
        <v>12638</v>
      </c>
    </row>
    <row r="139" spans="1:13" ht="11.1" customHeight="1">
      <c r="A139" s="501" t="s">
        <v>12821</v>
      </c>
      <c r="B139" s="516" t="s">
        <v>12602</v>
      </c>
      <c r="C139" s="515">
        <v>92306</v>
      </c>
      <c r="D139" s="503">
        <v>44.130288238584477</v>
      </c>
      <c r="E139" s="504">
        <v>90.217465669745394</v>
      </c>
      <c r="F139" s="512" t="s">
        <v>6233</v>
      </c>
      <c r="G139" s="512" t="s">
        <v>6567</v>
      </c>
      <c r="H139" s="526">
        <v>46</v>
      </c>
      <c r="I139" s="512" t="s">
        <v>6253</v>
      </c>
      <c r="J139" s="512" t="s">
        <v>12007</v>
      </c>
      <c r="K139" s="512" t="s">
        <v>6209</v>
      </c>
      <c r="L139" s="512">
        <v>1</v>
      </c>
      <c r="M139" s="308">
        <v>0</v>
      </c>
    </row>
    <row r="140" spans="1:13" ht="11.1" customHeight="1">
      <c r="A140" s="501" t="s">
        <v>12822</v>
      </c>
      <c r="B140" s="280" t="s">
        <v>6231</v>
      </c>
      <c r="C140" s="515">
        <v>14546</v>
      </c>
      <c r="D140" s="503">
        <v>6.9542518657340784</v>
      </c>
      <c r="E140" s="504" t="s">
        <v>6262</v>
      </c>
      <c r="F140" s="278">
        <v>0</v>
      </c>
      <c r="G140" s="278" t="s">
        <v>12083</v>
      </c>
      <c r="H140" s="505">
        <v>39</v>
      </c>
      <c r="I140" s="278" t="s">
        <v>6264</v>
      </c>
      <c r="J140" s="278">
        <v>0</v>
      </c>
      <c r="K140" s="278" t="s">
        <v>6036</v>
      </c>
      <c r="L140" s="278">
        <v>0</v>
      </c>
      <c r="M140" s="308">
        <v>0</v>
      </c>
    </row>
    <row r="141" spans="1:13" ht="11.1" customHeight="1">
      <c r="A141" s="507" t="s">
        <v>12823</v>
      </c>
      <c r="B141" s="519" t="s">
        <v>12590</v>
      </c>
      <c r="C141" s="520">
        <v>119047</v>
      </c>
      <c r="D141" s="521">
        <v>74.070133522479807</v>
      </c>
      <c r="E141" s="522" t="s">
        <v>6251</v>
      </c>
      <c r="F141" s="523" t="s">
        <v>6233</v>
      </c>
      <c r="G141" s="523" t="s">
        <v>6573</v>
      </c>
      <c r="H141" s="524">
        <v>48</v>
      </c>
      <c r="I141" s="523" t="s">
        <v>6257</v>
      </c>
      <c r="J141" s="523" t="s">
        <v>12617</v>
      </c>
      <c r="K141" s="523" t="s">
        <v>6209</v>
      </c>
      <c r="L141" s="523">
        <v>1</v>
      </c>
      <c r="M141" s="525" t="s">
        <v>12638</v>
      </c>
    </row>
    <row r="142" spans="1:13" ht="11.1" customHeight="1">
      <c r="A142" s="501" t="s">
        <v>12824</v>
      </c>
      <c r="B142" s="280" t="s">
        <v>6230</v>
      </c>
      <c r="C142" s="515">
        <v>28660</v>
      </c>
      <c r="D142" s="503">
        <v>17.832032951307227</v>
      </c>
      <c r="E142" s="504">
        <v>24.074525187530977</v>
      </c>
      <c r="F142" s="278" t="s">
        <v>6233</v>
      </c>
      <c r="G142" s="278" t="s">
        <v>12825</v>
      </c>
      <c r="H142" s="505">
        <v>57</v>
      </c>
      <c r="I142" s="278" t="s">
        <v>6278</v>
      </c>
      <c r="J142" s="278">
        <v>0</v>
      </c>
      <c r="K142" s="278" t="s">
        <v>6036</v>
      </c>
      <c r="L142" s="278">
        <v>0</v>
      </c>
      <c r="M142" s="308" t="s">
        <v>6481</v>
      </c>
    </row>
    <row r="143" spans="1:13" ht="11.1" customHeight="1">
      <c r="A143" s="501" t="s">
        <v>12826</v>
      </c>
      <c r="B143" s="280" t="s">
        <v>6231</v>
      </c>
      <c r="C143" s="515">
        <v>13015</v>
      </c>
      <c r="D143" s="503">
        <v>8.0978335262129644</v>
      </c>
      <c r="E143" s="504" t="s">
        <v>6262</v>
      </c>
      <c r="F143" s="278">
        <v>0</v>
      </c>
      <c r="G143" s="278" t="s">
        <v>12087</v>
      </c>
      <c r="H143" s="505">
        <v>50</v>
      </c>
      <c r="I143" s="278" t="s">
        <v>6264</v>
      </c>
      <c r="J143" s="278">
        <v>0</v>
      </c>
      <c r="K143" s="278" t="s">
        <v>6036</v>
      </c>
      <c r="L143" s="278">
        <v>0</v>
      </c>
      <c r="M143" s="308">
        <v>0</v>
      </c>
    </row>
    <row r="144" spans="1:13" ht="11.1" customHeight="1">
      <c r="A144" s="552" t="s">
        <v>12827</v>
      </c>
      <c r="B144" s="508" t="s">
        <v>12590</v>
      </c>
      <c r="C144" s="509">
        <v>74407</v>
      </c>
      <c r="D144" s="510">
        <v>52.709614349267518</v>
      </c>
      <c r="E144" s="511" t="s">
        <v>6251</v>
      </c>
      <c r="F144" s="514" t="s">
        <v>6233</v>
      </c>
      <c r="G144" s="514" t="s">
        <v>6579</v>
      </c>
      <c r="H144" s="513">
        <v>56</v>
      </c>
      <c r="I144" s="514" t="s">
        <v>6253</v>
      </c>
      <c r="J144" s="514" t="s">
        <v>11989</v>
      </c>
      <c r="K144" s="514" t="s">
        <v>6209</v>
      </c>
      <c r="L144" s="514">
        <v>4</v>
      </c>
      <c r="M144" s="341">
        <v>0</v>
      </c>
    </row>
    <row r="145" spans="1:13" ht="11.1" customHeight="1">
      <c r="A145" s="553" t="s">
        <v>12828</v>
      </c>
      <c r="B145" s="554" t="s">
        <v>6230</v>
      </c>
      <c r="C145" s="555">
        <v>59090</v>
      </c>
      <c r="D145" s="556">
        <v>41.859114221756258</v>
      </c>
      <c r="E145" s="557">
        <v>79.414571209698011</v>
      </c>
      <c r="F145" s="541" t="s">
        <v>6233</v>
      </c>
      <c r="G145" s="541" t="s">
        <v>6581</v>
      </c>
      <c r="H145" s="542">
        <v>44</v>
      </c>
      <c r="I145" s="541" t="s">
        <v>6257</v>
      </c>
      <c r="J145" s="541" t="s">
        <v>12635</v>
      </c>
      <c r="K145" s="541" t="s">
        <v>6036</v>
      </c>
      <c r="L145" s="541">
        <v>0</v>
      </c>
      <c r="M145" s="376" t="s">
        <v>12622</v>
      </c>
    </row>
    <row r="146" spans="1:13" ht="11.1" customHeight="1">
      <c r="A146" s="553" t="s">
        <v>12829</v>
      </c>
      <c r="B146" s="554" t="s">
        <v>6231</v>
      </c>
      <c r="C146" s="555">
        <v>7667</v>
      </c>
      <c r="D146" s="556">
        <v>5.4312714289762258</v>
      </c>
      <c r="E146" s="557" t="s">
        <v>6262</v>
      </c>
      <c r="F146" s="541">
        <v>0</v>
      </c>
      <c r="G146" s="541" t="s">
        <v>12830</v>
      </c>
      <c r="H146" s="542">
        <v>26</v>
      </c>
      <c r="I146" s="541" t="s">
        <v>6264</v>
      </c>
      <c r="J146" s="541">
        <v>0</v>
      </c>
      <c r="K146" s="541" t="s">
        <v>6036</v>
      </c>
      <c r="L146" s="541">
        <v>0</v>
      </c>
      <c r="M146" s="376">
        <v>0</v>
      </c>
    </row>
    <row r="147" spans="1:13" ht="11.1" customHeight="1">
      <c r="A147" s="507" t="s">
        <v>12831</v>
      </c>
      <c r="B147" s="519" t="s">
        <v>12590</v>
      </c>
      <c r="C147" s="520">
        <v>130525</v>
      </c>
      <c r="D147" s="521">
        <v>58.554759522858902</v>
      </c>
      <c r="E147" s="522" t="s">
        <v>6251</v>
      </c>
      <c r="F147" s="523" t="s">
        <v>6233</v>
      </c>
      <c r="G147" s="523" t="s">
        <v>6587</v>
      </c>
      <c r="H147" s="524">
        <v>59</v>
      </c>
      <c r="I147" s="523" t="s">
        <v>6257</v>
      </c>
      <c r="J147" s="523" t="s">
        <v>12651</v>
      </c>
      <c r="K147" s="523" t="s">
        <v>6209</v>
      </c>
      <c r="L147" s="523">
        <v>8</v>
      </c>
      <c r="M147" s="525" t="s">
        <v>12638</v>
      </c>
    </row>
    <row r="148" spans="1:13" ht="11.1" customHeight="1">
      <c r="A148" s="501" t="s">
        <v>12832</v>
      </c>
      <c r="B148" s="280" t="s">
        <v>6230</v>
      </c>
      <c r="C148" s="515">
        <v>74915</v>
      </c>
      <c r="D148" s="503">
        <v>33.607583295575367</v>
      </c>
      <c r="E148" s="504">
        <v>57.395135031603139</v>
      </c>
      <c r="F148" s="278" t="s">
        <v>6233</v>
      </c>
      <c r="G148" s="278" t="s">
        <v>12833</v>
      </c>
      <c r="H148" s="505">
        <v>68</v>
      </c>
      <c r="I148" s="278" t="s">
        <v>6253</v>
      </c>
      <c r="J148" s="278" t="s">
        <v>12020</v>
      </c>
      <c r="K148" s="278" t="s">
        <v>6283</v>
      </c>
      <c r="L148" s="278">
        <v>8</v>
      </c>
      <c r="M148" s="308">
        <v>0</v>
      </c>
    </row>
    <row r="149" spans="1:13" ht="11.1" customHeight="1">
      <c r="A149" s="501" t="s">
        <v>12834</v>
      </c>
      <c r="B149" s="280" t="s">
        <v>6231</v>
      </c>
      <c r="C149" s="515">
        <v>17471</v>
      </c>
      <c r="D149" s="503">
        <v>7.8376571815657368</v>
      </c>
      <c r="E149" s="504" t="s">
        <v>6262</v>
      </c>
      <c r="F149" s="278">
        <v>0</v>
      </c>
      <c r="G149" s="278" t="s">
        <v>12835</v>
      </c>
      <c r="H149" s="505">
        <v>45</v>
      </c>
      <c r="I149" s="278" t="s">
        <v>6264</v>
      </c>
      <c r="J149" s="278">
        <v>0</v>
      </c>
      <c r="K149" s="278" t="s">
        <v>6036</v>
      </c>
      <c r="L149" s="278">
        <v>0</v>
      </c>
      <c r="M149" s="308">
        <v>0</v>
      </c>
    </row>
    <row r="150" spans="1:13" ht="11.1" customHeight="1">
      <c r="A150" s="507" t="s">
        <v>12836</v>
      </c>
      <c r="B150" s="519" t="s">
        <v>12590</v>
      </c>
      <c r="C150" s="520">
        <v>97642</v>
      </c>
      <c r="D150" s="521">
        <v>64.184530030829507</v>
      </c>
      <c r="E150" s="522" t="s">
        <v>6251</v>
      </c>
      <c r="F150" s="523" t="s">
        <v>6233</v>
      </c>
      <c r="G150" s="523" t="s">
        <v>12837</v>
      </c>
      <c r="H150" s="524">
        <v>52</v>
      </c>
      <c r="I150" s="523" t="s">
        <v>6257</v>
      </c>
      <c r="J150" s="523" t="s">
        <v>12635</v>
      </c>
      <c r="K150" s="523" t="s">
        <v>6209</v>
      </c>
      <c r="L150" s="523">
        <v>1</v>
      </c>
      <c r="M150" s="525" t="s">
        <v>12638</v>
      </c>
    </row>
    <row r="151" spans="1:13" ht="11.1" customHeight="1">
      <c r="A151" s="501" t="s">
        <v>12838</v>
      </c>
      <c r="B151" s="280" t="s">
        <v>6230</v>
      </c>
      <c r="C151" s="515">
        <v>44543</v>
      </c>
      <c r="D151" s="503">
        <v>29.28014093487678</v>
      </c>
      <c r="E151" s="504">
        <v>45.618688679052049</v>
      </c>
      <c r="F151" s="278" t="s">
        <v>6233</v>
      </c>
      <c r="G151" s="278" t="s">
        <v>12093</v>
      </c>
      <c r="H151" s="505">
        <v>59</v>
      </c>
      <c r="I151" s="278" t="s">
        <v>6253</v>
      </c>
      <c r="J151" s="278" t="s">
        <v>12007</v>
      </c>
      <c r="K151" s="278" t="s">
        <v>6036</v>
      </c>
      <c r="L151" s="278">
        <v>0</v>
      </c>
      <c r="M151" s="308">
        <v>0</v>
      </c>
    </row>
    <row r="152" spans="1:13" ht="11.1" customHeight="1" thickBot="1">
      <c r="A152" s="527" t="s">
        <v>12839</v>
      </c>
      <c r="B152" s="528" t="s">
        <v>6231</v>
      </c>
      <c r="C152" s="529">
        <v>9942</v>
      </c>
      <c r="D152" s="530">
        <v>6.5353290342937154</v>
      </c>
      <c r="E152" s="531">
        <v>10.182093771123082</v>
      </c>
      <c r="F152" s="532" t="s">
        <v>6233</v>
      </c>
      <c r="G152" s="532" t="s">
        <v>6557</v>
      </c>
      <c r="H152" s="533">
        <v>52</v>
      </c>
      <c r="I152" s="532" t="s">
        <v>6264</v>
      </c>
      <c r="J152" s="532">
        <v>0</v>
      </c>
      <c r="K152" s="532" t="s">
        <v>6036</v>
      </c>
      <c r="L152" s="532">
        <v>0</v>
      </c>
      <c r="M152" s="347">
        <v>0</v>
      </c>
    </row>
    <row r="153" spans="1:13" ht="11.1" customHeight="1">
      <c r="A153" s="493" t="s">
        <v>12840</v>
      </c>
      <c r="B153" s="534" t="s">
        <v>12590</v>
      </c>
      <c r="C153" s="535">
        <v>123297</v>
      </c>
      <c r="D153" s="536">
        <v>53.070228297923627</v>
      </c>
      <c r="E153" s="537" t="s">
        <v>6251</v>
      </c>
      <c r="F153" s="538" t="s">
        <v>6233</v>
      </c>
      <c r="G153" s="538" t="s">
        <v>12095</v>
      </c>
      <c r="H153" s="539">
        <v>49</v>
      </c>
      <c r="I153" s="538" t="s">
        <v>6257</v>
      </c>
      <c r="J153" s="538" t="s">
        <v>12674</v>
      </c>
      <c r="K153" s="538" t="s">
        <v>6283</v>
      </c>
      <c r="L153" s="538">
        <v>7</v>
      </c>
      <c r="M153" s="373" t="s">
        <v>12638</v>
      </c>
    </row>
    <row r="154" spans="1:13" ht="11.1" customHeight="1">
      <c r="A154" s="501" t="s">
        <v>12841</v>
      </c>
      <c r="B154" s="516" t="s">
        <v>12602</v>
      </c>
      <c r="C154" s="515">
        <v>102127</v>
      </c>
      <c r="D154" s="503">
        <v>43.958110946592747</v>
      </c>
      <c r="E154" s="504">
        <v>82.830076968620489</v>
      </c>
      <c r="F154" s="512" t="s">
        <v>6233</v>
      </c>
      <c r="G154" s="512" t="s">
        <v>12096</v>
      </c>
      <c r="H154" s="526">
        <v>35</v>
      </c>
      <c r="I154" s="512" t="s">
        <v>6253</v>
      </c>
      <c r="J154" s="512" t="s">
        <v>12007</v>
      </c>
      <c r="K154" s="512" t="s">
        <v>6209</v>
      </c>
      <c r="L154" s="512">
        <v>1</v>
      </c>
      <c r="M154" s="308">
        <v>0</v>
      </c>
    </row>
    <row r="155" spans="1:13" ht="11.1" customHeight="1">
      <c r="A155" s="501" t="s">
        <v>12842</v>
      </c>
      <c r="B155" s="280" t="s">
        <v>6231</v>
      </c>
      <c r="C155" s="515">
        <v>6904</v>
      </c>
      <c r="D155" s="503">
        <v>2.9716607554836267</v>
      </c>
      <c r="E155" s="504" t="s">
        <v>6262</v>
      </c>
      <c r="F155" s="278">
        <v>0</v>
      </c>
      <c r="G155" s="278" t="s">
        <v>12843</v>
      </c>
      <c r="H155" s="505">
        <v>48</v>
      </c>
      <c r="I155" s="278" t="s">
        <v>6264</v>
      </c>
      <c r="J155" s="278">
        <v>0</v>
      </c>
      <c r="K155" s="278" t="s">
        <v>6036</v>
      </c>
      <c r="L155" s="278">
        <v>0</v>
      </c>
      <c r="M155" s="308">
        <v>0</v>
      </c>
    </row>
    <row r="156" spans="1:13" ht="11.1" customHeight="1">
      <c r="A156" s="507" t="s">
        <v>12844</v>
      </c>
      <c r="B156" s="519" t="s">
        <v>12590</v>
      </c>
      <c r="C156" s="520">
        <v>96224</v>
      </c>
      <c r="D156" s="521">
        <v>59.493013478422156</v>
      </c>
      <c r="E156" s="565" t="s">
        <v>6262</v>
      </c>
      <c r="F156" s="523">
        <v>0</v>
      </c>
      <c r="G156" s="523" t="s">
        <v>12098</v>
      </c>
      <c r="H156" s="524">
        <v>76</v>
      </c>
      <c r="I156" s="523" t="s">
        <v>6257</v>
      </c>
      <c r="J156" s="523" t="s">
        <v>12028</v>
      </c>
      <c r="K156" s="523" t="s">
        <v>6209</v>
      </c>
      <c r="L156" s="523">
        <v>2</v>
      </c>
      <c r="M156" s="525" t="s">
        <v>12638</v>
      </c>
    </row>
    <row r="157" spans="1:13" ht="11.1" customHeight="1">
      <c r="A157" s="501" t="s">
        <v>12845</v>
      </c>
      <c r="B157" s="280" t="s">
        <v>6230</v>
      </c>
      <c r="C157" s="515">
        <v>60010</v>
      </c>
      <c r="D157" s="503">
        <v>37.102757512056385</v>
      </c>
      <c r="E157" s="504">
        <v>62.364898570003326</v>
      </c>
      <c r="F157" s="278" t="s">
        <v>6233</v>
      </c>
      <c r="G157" s="278" t="s">
        <v>12846</v>
      </c>
      <c r="H157" s="505">
        <v>59</v>
      </c>
      <c r="I157" s="278" t="s">
        <v>6253</v>
      </c>
      <c r="J157" s="278" t="s">
        <v>11989</v>
      </c>
      <c r="K157" s="278" t="s">
        <v>6209</v>
      </c>
      <c r="L157" s="278">
        <v>4</v>
      </c>
      <c r="M157" s="308" t="s">
        <v>12656</v>
      </c>
    </row>
    <row r="158" spans="1:13" ht="11.1" customHeight="1">
      <c r="A158" s="501" t="s">
        <v>12847</v>
      </c>
      <c r="B158" s="280" t="s">
        <v>6231</v>
      </c>
      <c r="C158" s="515">
        <v>5506</v>
      </c>
      <c r="D158" s="503">
        <v>3.4042290095214542</v>
      </c>
      <c r="E158" s="504" t="s">
        <v>6262</v>
      </c>
      <c r="F158" s="278">
        <v>0</v>
      </c>
      <c r="G158" s="278" t="s">
        <v>12848</v>
      </c>
      <c r="H158" s="505">
        <v>44</v>
      </c>
      <c r="I158" s="278" t="s">
        <v>6264</v>
      </c>
      <c r="J158" s="278">
        <v>0</v>
      </c>
      <c r="K158" s="278" t="s">
        <v>6036</v>
      </c>
      <c r="L158" s="278">
        <v>0</v>
      </c>
      <c r="M158" s="308">
        <v>0</v>
      </c>
    </row>
    <row r="159" spans="1:13" ht="11.1" customHeight="1">
      <c r="A159" s="507" t="s">
        <v>12849</v>
      </c>
      <c r="B159" s="519" t="s">
        <v>12590</v>
      </c>
      <c r="C159" s="520">
        <v>100539</v>
      </c>
      <c r="D159" s="521">
        <v>74.896080096544949</v>
      </c>
      <c r="E159" s="522" t="s">
        <v>6262</v>
      </c>
      <c r="F159" s="523">
        <v>0</v>
      </c>
      <c r="G159" s="523" t="s">
        <v>6614</v>
      </c>
      <c r="H159" s="524">
        <v>51</v>
      </c>
      <c r="I159" s="523" t="s">
        <v>6257</v>
      </c>
      <c r="J159" s="523" t="s">
        <v>12617</v>
      </c>
      <c r="K159" s="523" t="s">
        <v>6209</v>
      </c>
      <c r="L159" s="523">
        <v>2</v>
      </c>
      <c r="M159" s="525" t="s">
        <v>12638</v>
      </c>
    </row>
    <row r="160" spans="1:13" ht="11.1" customHeight="1">
      <c r="A160" s="501" t="s">
        <v>12850</v>
      </c>
      <c r="B160" s="280" t="s">
        <v>6230</v>
      </c>
      <c r="C160" s="515">
        <v>24513</v>
      </c>
      <c r="D160" s="503">
        <v>18.26085013185536</v>
      </c>
      <c r="E160" s="504">
        <v>24.381583266195207</v>
      </c>
      <c r="F160" s="278" t="s">
        <v>6233</v>
      </c>
      <c r="G160" s="278" t="s">
        <v>12851</v>
      </c>
      <c r="H160" s="505">
        <v>62</v>
      </c>
      <c r="I160" s="278" t="s">
        <v>6278</v>
      </c>
      <c r="J160" s="278">
        <v>0</v>
      </c>
      <c r="K160" s="278" t="s">
        <v>6036</v>
      </c>
      <c r="L160" s="278">
        <v>0</v>
      </c>
      <c r="M160" s="308" t="s">
        <v>6481</v>
      </c>
    </row>
    <row r="161" spans="1:13" ht="11.1" customHeight="1">
      <c r="A161" s="501" t="s">
        <v>12852</v>
      </c>
      <c r="B161" s="280" t="s">
        <v>6231</v>
      </c>
      <c r="C161" s="515">
        <v>9186</v>
      </c>
      <c r="D161" s="503">
        <v>6.843069771599696</v>
      </c>
      <c r="E161" s="504" t="s">
        <v>6262</v>
      </c>
      <c r="F161" s="278">
        <v>0</v>
      </c>
      <c r="G161" s="278" t="s">
        <v>12103</v>
      </c>
      <c r="H161" s="505">
        <v>60</v>
      </c>
      <c r="I161" s="278" t="s">
        <v>6264</v>
      </c>
      <c r="J161" s="278">
        <v>0</v>
      </c>
      <c r="K161" s="278" t="s">
        <v>6036</v>
      </c>
      <c r="L161" s="278">
        <v>0</v>
      </c>
      <c r="M161" s="308">
        <v>0</v>
      </c>
    </row>
    <row r="162" spans="1:13" ht="11.1" customHeight="1">
      <c r="A162" s="507" t="s">
        <v>12853</v>
      </c>
      <c r="B162" s="519" t="s">
        <v>12590</v>
      </c>
      <c r="C162" s="520">
        <v>125031</v>
      </c>
      <c r="D162" s="521">
        <v>52.753025163282871</v>
      </c>
      <c r="E162" s="522" t="s">
        <v>6251</v>
      </c>
      <c r="F162" s="523" t="s">
        <v>6233</v>
      </c>
      <c r="G162" s="523" t="s">
        <v>12106</v>
      </c>
      <c r="H162" s="524">
        <v>51</v>
      </c>
      <c r="I162" s="523" t="s">
        <v>6257</v>
      </c>
      <c r="J162" s="523" t="s">
        <v>12773</v>
      </c>
      <c r="K162" s="523" t="s">
        <v>6209</v>
      </c>
      <c r="L162" s="523">
        <v>2</v>
      </c>
      <c r="M162" s="525" t="s">
        <v>12638</v>
      </c>
    </row>
    <row r="163" spans="1:13" ht="11.1" customHeight="1">
      <c r="A163" s="501" t="s">
        <v>12854</v>
      </c>
      <c r="B163" s="516" t="s">
        <v>12602</v>
      </c>
      <c r="C163" s="515">
        <v>104159</v>
      </c>
      <c r="D163" s="503">
        <v>43.946719997299716</v>
      </c>
      <c r="E163" s="504">
        <v>83.306539978085439</v>
      </c>
      <c r="F163" s="512" t="s">
        <v>6233</v>
      </c>
      <c r="G163" s="512" t="s">
        <v>6618</v>
      </c>
      <c r="H163" s="526">
        <v>60</v>
      </c>
      <c r="I163" s="512" t="s">
        <v>6253</v>
      </c>
      <c r="J163" s="512" t="s">
        <v>12020</v>
      </c>
      <c r="K163" s="512" t="s">
        <v>6209</v>
      </c>
      <c r="L163" s="512">
        <v>2</v>
      </c>
      <c r="M163" s="308">
        <v>0</v>
      </c>
    </row>
    <row r="164" spans="1:13" ht="11.1" customHeight="1">
      <c r="A164" s="501" t="s">
        <v>12855</v>
      </c>
      <c r="B164" s="280" t="s">
        <v>6231</v>
      </c>
      <c r="C164" s="515">
        <v>7822</v>
      </c>
      <c r="D164" s="503">
        <v>3.3002548394174136</v>
      </c>
      <c r="E164" s="504" t="s">
        <v>6262</v>
      </c>
      <c r="F164" s="278">
        <v>0</v>
      </c>
      <c r="G164" s="278" t="s">
        <v>12107</v>
      </c>
      <c r="H164" s="505">
        <v>51</v>
      </c>
      <c r="I164" s="278" t="s">
        <v>6264</v>
      </c>
      <c r="J164" s="278">
        <v>0</v>
      </c>
      <c r="K164" s="278" t="s">
        <v>6036</v>
      </c>
      <c r="L164" s="278">
        <v>0</v>
      </c>
      <c r="M164" s="308">
        <v>0</v>
      </c>
    </row>
    <row r="165" spans="1:13" ht="11.1" customHeight="1">
      <c r="A165" s="507" t="s">
        <v>12856</v>
      </c>
      <c r="B165" s="519" t="s">
        <v>12590</v>
      </c>
      <c r="C165" s="520">
        <v>124612</v>
      </c>
      <c r="D165" s="521">
        <v>74.090898280495637</v>
      </c>
      <c r="E165" s="522" t="s">
        <v>6251</v>
      </c>
      <c r="F165" s="523" t="s">
        <v>6233</v>
      </c>
      <c r="G165" s="523" t="s">
        <v>6626</v>
      </c>
      <c r="H165" s="524">
        <v>48</v>
      </c>
      <c r="I165" s="523" t="s">
        <v>6257</v>
      </c>
      <c r="J165" s="523" t="s">
        <v>12621</v>
      </c>
      <c r="K165" s="523" t="s">
        <v>6209</v>
      </c>
      <c r="L165" s="523">
        <v>3</v>
      </c>
      <c r="M165" s="525" t="s">
        <v>12638</v>
      </c>
    </row>
    <row r="166" spans="1:13" ht="11.1" customHeight="1">
      <c r="A166" s="501" t="s">
        <v>12857</v>
      </c>
      <c r="B166" s="280" t="s">
        <v>6230</v>
      </c>
      <c r="C166" s="515">
        <v>35131</v>
      </c>
      <c r="D166" s="503">
        <v>20.887934929959332</v>
      </c>
      <c r="E166" s="504">
        <v>28.192308926909124</v>
      </c>
      <c r="F166" s="278" t="s">
        <v>6233</v>
      </c>
      <c r="G166" s="278" t="s">
        <v>12858</v>
      </c>
      <c r="H166" s="505">
        <v>29</v>
      </c>
      <c r="I166" s="278" t="s">
        <v>6253</v>
      </c>
      <c r="J166" s="278" t="s">
        <v>12007</v>
      </c>
      <c r="K166" s="278" t="s">
        <v>6036</v>
      </c>
      <c r="L166" s="278">
        <v>0</v>
      </c>
      <c r="M166" s="308">
        <v>0</v>
      </c>
    </row>
    <row r="167" spans="1:13" ht="11.1" customHeight="1" thickBot="1">
      <c r="A167" s="527" t="s">
        <v>12859</v>
      </c>
      <c r="B167" s="528" t="s">
        <v>6231</v>
      </c>
      <c r="C167" s="529">
        <v>8445</v>
      </c>
      <c r="D167" s="530">
        <v>5.0211667895450329</v>
      </c>
      <c r="E167" s="531" t="s">
        <v>6262</v>
      </c>
      <c r="F167" s="532">
        <v>0</v>
      </c>
      <c r="G167" s="532" t="s">
        <v>12860</v>
      </c>
      <c r="H167" s="533">
        <v>47</v>
      </c>
      <c r="I167" s="532" t="s">
        <v>6264</v>
      </c>
      <c r="J167" s="532">
        <v>0</v>
      </c>
      <c r="K167" s="532" t="s">
        <v>6036</v>
      </c>
      <c r="L167" s="532">
        <v>0</v>
      </c>
      <c r="M167" s="347">
        <v>0</v>
      </c>
    </row>
    <row r="168" spans="1:13" ht="11.1" customHeight="1">
      <c r="A168" s="493" t="s">
        <v>12861</v>
      </c>
      <c r="B168" s="534" t="s">
        <v>12590</v>
      </c>
      <c r="C168" s="535">
        <v>130242</v>
      </c>
      <c r="D168" s="536">
        <v>60.485399019170757</v>
      </c>
      <c r="E168" s="537" t="s">
        <v>6251</v>
      </c>
      <c r="F168" s="538" t="s">
        <v>6233</v>
      </c>
      <c r="G168" s="538" t="s">
        <v>6634</v>
      </c>
      <c r="H168" s="539">
        <v>70</v>
      </c>
      <c r="I168" s="538" t="s">
        <v>6257</v>
      </c>
      <c r="J168" s="538" t="s">
        <v>12631</v>
      </c>
      <c r="K168" s="538" t="s">
        <v>6209</v>
      </c>
      <c r="L168" s="538">
        <v>6</v>
      </c>
      <c r="M168" s="373" t="s">
        <v>12638</v>
      </c>
    </row>
    <row r="169" spans="1:13" ht="11.1" customHeight="1">
      <c r="A169" s="501" t="s">
        <v>12862</v>
      </c>
      <c r="B169" s="280" t="s">
        <v>6230</v>
      </c>
      <c r="C169" s="515">
        <v>68960</v>
      </c>
      <c r="D169" s="503">
        <v>32.025561004606928</v>
      </c>
      <c r="E169" s="504">
        <v>52.947589871162911</v>
      </c>
      <c r="F169" s="278" t="s">
        <v>6233</v>
      </c>
      <c r="G169" s="278" t="s">
        <v>12108</v>
      </c>
      <c r="H169" s="505">
        <v>38</v>
      </c>
      <c r="I169" s="278" t="s">
        <v>6253</v>
      </c>
      <c r="J169" s="278" t="s">
        <v>12007</v>
      </c>
      <c r="K169" s="278" t="s">
        <v>6036</v>
      </c>
      <c r="L169" s="278">
        <v>0</v>
      </c>
      <c r="M169" s="308">
        <v>0</v>
      </c>
    </row>
    <row r="170" spans="1:13" ht="11.1" customHeight="1">
      <c r="A170" s="501" t="s">
        <v>12863</v>
      </c>
      <c r="B170" s="280" t="s">
        <v>6231</v>
      </c>
      <c r="C170" s="515">
        <v>16126</v>
      </c>
      <c r="D170" s="503">
        <v>7.4890399762223216</v>
      </c>
      <c r="E170" s="504" t="s">
        <v>6262</v>
      </c>
      <c r="F170" s="278">
        <v>0</v>
      </c>
      <c r="G170" s="278" t="s">
        <v>12864</v>
      </c>
      <c r="H170" s="505">
        <v>48</v>
      </c>
      <c r="I170" s="278" t="s">
        <v>6264</v>
      </c>
      <c r="J170" s="278">
        <v>0</v>
      </c>
      <c r="K170" s="278" t="s">
        <v>6036</v>
      </c>
      <c r="L170" s="278">
        <v>0</v>
      </c>
      <c r="M170" s="308">
        <v>0</v>
      </c>
    </row>
    <row r="171" spans="1:13" ht="11.1" customHeight="1">
      <c r="A171" s="507" t="s">
        <v>12865</v>
      </c>
      <c r="B171" s="519" t="s">
        <v>12590</v>
      </c>
      <c r="C171" s="520">
        <v>76779</v>
      </c>
      <c r="D171" s="521">
        <v>43.379436591070885</v>
      </c>
      <c r="E171" s="522" t="s">
        <v>6251</v>
      </c>
      <c r="F171" s="523" t="s">
        <v>6233</v>
      </c>
      <c r="G171" s="523" t="s">
        <v>12866</v>
      </c>
      <c r="H171" s="524">
        <v>68</v>
      </c>
      <c r="I171" s="523" t="s">
        <v>6257</v>
      </c>
      <c r="J171" s="523" t="s">
        <v>12621</v>
      </c>
      <c r="K171" s="523" t="s">
        <v>6209</v>
      </c>
      <c r="L171" s="523">
        <v>5</v>
      </c>
      <c r="M171" s="525" t="s">
        <v>12638</v>
      </c>
    </row>
    <row r="172" spans="1:13" ht="11.1" customHeight="1">
      <c r="A172" s="501" t="s">
        <v>12867</v>
      </c>
      <c r="B172" s="280" t="s">
        <v>6230</v>
      </c>
      <c r="C172" s="515">
        <v>57331</v>
      </c>
      <c r="D172" s="503">
        <v>32.391493496954702</v>
      </c>
      <c r="E172" s="504">
        <v>74.670157204443925</v>
      </c>
      <c r="F172" s="278" t="s">
        <v>6233</v>
      </c>
      <c r="G172" s="278" t="s">
        <v>12868</v>
      </c>
      <c r="H172" s="505">
        <v>36</v>
      </c>
      <c r="I172" s="278" t="s">
        <v>6253</v>
      </c>
      <c r="J172" s="278" t="s">
        <v>12007</v>
      </c>
      <c r="K172" s="278" t="s">
        <v>6036</v>
      </c>
      <c r="L172" s="278">
        <v>0</v>
      </c>
      <c r="M172" s="308">
        <v>0</v>
      </c>
    </row>
    <row r="173" spans="1:13" ht="11.1" customHeight="1">
      <c r="A173" s="501" t="s">
        <v>12869</v>
      </c>
      <c r="B173" s="280" t="s">
        <v>6230</v>
      </c>
      <c r="C173" s="515">
        <v>32037</v>
      </c>
      <c r="D173" s="503">
        <v>18.100613580121362</v>
      </c>
      <c r="E173" s="504" t="s">
        <v>6262</v>
      </c>
      <c r="F173" s="278">
        <v>0</v>
      </c>
      <c r="G173" s="278" t="s">
        <v>12870</v>
      </c>
      <c r="H173" s="505">
        <v>54</v>
      </c>
      <c r="I173" s="278" t="s">
        <v>6322</v>
      </c>
      <c r="J173" s="278" t="s">
        <v>6323</v>
      </c>
      <c r="K173" s="278" t="s">
        <v>6036</v>
      </c>
      <c r="L173" s="278">
        <v>0</v>
      </c>
      <c r="M173" s="308">
        <v>0</v>
      </c>
    </row>
    <row r="174" spans="1:13" ht="11.1" customHeight="1">
      <c r="A174" s="501" t="s">
        <v>12871</v>
      </c>
      <c r="B174" s="280"/>
      <c r="C174" s="515">
        <v>10847</v>
      </c>
      <c r="D174" s="503">
        <v>6.1284563318530569</v>
      </c>
      <c r="E174" s="504" t="s">
        <v>6262</v>
      </c>
      <c r="F174" s="278">
        <v>0</v>
      </c>
      <c r="G174" s="278" t="s">
        <v>12872</v>
      </c>
      <c r="H174" s="505">
        <v>53</v>
      </c>
      <c r="I174" s="278" t="s">
        <v>6264</v>
      </c>
      <c r="J174" s="278">
        <v>0</v>
      </c>
      <c r="K174" s="278" t="s">
        <v>6036</v>
      </c>
      <c r="L174" s="278">
        <v>0</v>
      </c>
      <c r="M174" s="308">
        <v>0</v>
      </c>
    </row>
    <row r="175" spans="1:13" ht="11.1" customHeight="1">
      <c r="A175" s="507" t="s">
        <v>12873</v>
      </c>
      <c r="B175" s="519" t="s">
        <v>12590</v>
      </c>
      <c r="C175" s="520">
        <v>91330</v>
      </c>
      <c r="D175" s="521">
        <v>54.873945540628227</v>
      </c>
      <c r="E175" s="522" t="s">
        <v>6251</v>
      </c>
      <c r="F175" s="523" t="s">
        <v>6233</v>
      </c>
      <c r="G175" s="523" t="s">
        <v>6652</v>
      </c>
      <c r="H175" s="524">
        <v>69</v>
      </c>
      <c r="I175" s="523" t="s">
        <v>6257</v>
      </c>
      <c r="J175" s="523" t="s">
        <v>12635</v>
      </c>
      <c r="K175" s="523" t="s">
        <v>6209</v>
      </c>
      <c r="L175" s="523">
        <v>5</v>
      </c>
      <c r="M175" s="525" t="s">
        <v>12638</v>
      </c>
    </row>
    <row r="176" spans="1:13" ht="11.1" customHeight="1">
      <c r="A176" s="501" t="s">
        <v>12874</v>
      </c>
      <c r="B176" s="280" t="s">
        <v>6230</v>
      </c>
      <c r="C176" s="515">
        <v>67087</v>
      </c>
      <c r="D176" s="503">
        <v>40.307986252974118</v>
      </c>
      <c r="E176" s="504">
        <v>73.455600569363838</v>
      </c>
      <c r="F176" s="278" t="s">
        <v>6233</v>
      </c>
      <c r="G176" s="278" t="s">
        <v>12875</v>
      </c>
      <c r="H176" s="505">
        <v>53</v>
      </c>
      <c r="I176" s="278" t="s">
        <v>6253</v>
      </c>
      <c r="J176" s="278" t="s">
        <v>11989</v>
      </c>
      <c r="K176" s="278" t="s">
        <v>6036</v>
      </c>
      <c r="L176" s="278">
        <v>0</v>
      </c>
      <c r="M176" s="308">
        <v>0</v>
      </c>
    </row>
    <row r="177" spans="1:13" ht="11.1" customHeight="1">
      <c r="A177" s="501" t="s">
        <v>12876</v>
      </c>
      <c r="B177" s="280" t="s">
        <v>6231</v>
      </c>
      <c r="C177" s="515">
        <v>8019</v>
      </c>
      <c r="D177" s="503">
        <v>4.8180682063976548</v>
      </c>
      <c r="E177" s="504" t="s">
        <v>6262</v>
      </c>
      <c r="F177" s="278">
        <v>0</v>
      </c>
      <c r="G177" s="278" t="s">
        <v>12877</v>
      </c>
      <c r="H177" s="505">
        <v>44</v>
      </c>
      <c r="I177" s="278" t="s">
        <v>6264</v>
      </c>
      <c r="J177" s="278">
        <v>0</v>
      </c>
      <c r="K177" s="278" t="s">
        <v>6036</v>
      </c>
      <c r="L177" s="278">
        <v>0</v>
      </c>
      <c r="M177" s="308">
        <v>0</v>
      </c>
    </row>
    <row r="178" spans="1:13" ht="11.1" customHeight="1">
      <c r="A178" s="507" t="s">
        <v>12878</v>
      </c>
      <c r="B178" s="519" t="s">
        <v>12590</v>
      </c>
      <c r="C178" s="520">
        <v>98903</v>
      </c>
      <c r="D178" s="521">
        <v>62.146470200131958</v>
      </c>
      <c r="E178" s="522" t="s">
        <v>6251</v>
      </c>
      <c r="F178" s="523" t="s">
        <v>6233</v>
      </c>
      <c r="G178" s="523" t="s">
        <v>6656</v>
      </c>
      <c r="H178" s="524">
        <v>67</v>
      </c>
      <c r="I178" s="523" t="s">
        <v>6257</v>
      </c>
      <c r="J178" s="523" t="s">
        <v>12631</v>
      </c>
      <c r="K178" s="523" t="s">
        <v>6209</v>
      </c>
      <c r="L178" s="523">
        <v>4</v>
      </c>
      <c r="M178" s="525" t="s">
        <v>12638</v>
      </c>
    </row>
    <row r="179" spans="1:13" ht="11.1" customHeight="1">
      <c r="A179" s="501" t="s">
        <v>12879</v>
      </c>
      <c r="B179" s="280" t="s">
        <v>6230</v>
      </c>
      <c r="C179" s="515">
        <v>48427</v>
      </c>
      <c r="D179" s="503">
        <v>30.429482547362468</v>
      </c>
      <c r="E179" s="504">
        <v>48.964136578263549</v>
      </c>
      <c r="F179" s="278" t="s">
        <v>6233</v>
      </c>
      <c r="G179" s="278" t="s">
        <v>12880</v>
      </c>
      <c r="H179" s="505">
        <v>39</v>
      </c>
      <c r="I179" s="278" t="s">
        <v>6253</v>
      </c>
      <c r="J179" s="278" t="s">
        <v>12007</v>
      </c>
      <c r="K179" s="278" t="s">
        <v>6036</v>
      </c>
      <c r="L179" s="278">
        <v>0</v>
      </c>
      <c r="M179" s="308" t="s">
        <v>6254</v>
      </c>
    </row>
    <row r="180" spans="1:13" ht="11.1" customHeight="1">
      <c r="A180" s="501" t="s">
        <v>12881</v>
      </c>
      <c r="B180" s="280" t="s">
        <v>6231</v>
      </c>
      <c r="C180" s="515">
        <v>11815</v>
      </c>
      <c r="D180" s="503">
        <v>7.4240472525055763</v>
      </c>
      <c r="E180" s="504">
        <v>11.944840415314468</v>
      </c>
      <c r="F180" s="278" t="s">
        <v>6233</v>
      </c>
      <c r="G180" s="278" t="s">
        <v>12882</v>
      </c>
      <c r="H180" s="505">
        <v>54</v>
      </c>
      <c r="I180" s="278" t="s">
        <v>6264</v>
      </c>
      <c r="J180" s="278">
        <v>0</v>
      </c>
      <c r="K180" s="278" t="s">
        <v>6036</v>
      </c>
      <c r="L180" s="278">
        <v>0</v>
      </c>
      <c r="M180" s="308">
        <v>0</v>
      </c>
    </row>
    <row r="181" spans="1:13" ht="11.1" customHeight="1">
      <c r="A181" s="507" t="s">
        <v>12883</v>
      </c>
      <c r="B181" s="519" t="s">
        <v>12590</v>
      </c>
      <c r="C181" s="520">
        <v>144848</v>
      </c>
      <c r="D181" s="521">
        <v>76.958797120314529</v>
      </c>
      <c r="E181" s="522" t="s">
        <v>6251</v>
      </c>
      <c r="F181" s="523" t="s">
        <v>6233</v>
      </c>
      <c r="G181" s="523" t="s">
        <v>6662</v>
      </c>
      <c r="H181" s="524">
        <v>29</v>
      </c>
      <c r="I181" s="523" t="s">
        <v>6257</v>
      </c>
      <c r="J181" s="523" t="s">
        <v>12621</v>
      </c>
      <c r="K181" s="523" t="s">
        <v>6209</v>
      </c>
      <c r="L181" s="523">
        <v>1</v>
      </c>
      <c r="M181" s="525" t="s">
        <v>12638</v>
      </c>
    </row>
    <row r="182" spans="1:13" ht="11.1" customHeight="1">
      <c r="A182" s="501" t="s">
        <v>12884</v>
      </c>
      <c r="B182" s="280"/>
      <c r="C182" s="515">
        <v>27693</v>
      </c>
      <c r="D182" s="503">
        <v>14.713492548415376</v>
      </c>
      <c r="E182" s="504">
        <v>19.118662321882248</v>
      </c>
      <c r="F182" s="278" t="s">
        <v>6233</v>
      </c>
      <c r="G182" s="278" t="s">
        <v>12885</v>
      </c>
      <c r="H182" s="505">
        <v>61</v>
      </c>
      <c r="I182" s="278" t="s">
        <v>6278</v>
      </c>
      <c r="J182" s="278">
        <v>0</v>
      </c>
      <c r="K182" s="278" t="s">
        <v>6036</v>
      </c>
      <c r="L182" s="278">
        <v>0</v>
      </c>
      <c r="M182" s="308" t="s">
        <v>6481</v>
      </c>
    </row>
    <row r="183" spans="1:13" ht="11.1" customHeight="1" thickBot="1">
      <c r="A183" s="527" t="s">
        <v>12886</v>
      </c>
      <c r="B183" s="528" t="s">
        <v>6231</v>
      </c>
      <c r="C183" s="529">
        <v>15674</v>
      </c>
      <c r="D183" s="530">
        <v>8.3277103312700902</v>
      </c>
      <c r="E183" s="531" t="s">
        <v>6262</v>
      </c>
      <c r="F183" s="532">
        <v>0</v>
      </c>
      <c r="G183" s="532" t="s">
        <v>12887</v>
      </c>
      <c r="H183" s="533">
        <v>58</v>
      </c>
      <c r="I183" s="532" t="s">
        <v>6264</v>
      </c>
      <c r="J183" s="532">
        <v>0</v>
      </c>
      <c r="K183" s="532" t="s">
        <v>6036</v>
      </c>
      <c r="L183" s="532">
        <v>0</v>
      </c>
      <c r="M183" s="347">
        <v>0</v>
      </c>
    </row>
    <row r="184" spans="1:13" ht="11.1" customHeight="1">
      <c r="A184" s="493" t="s">
        <v>12888</v>
      </c>
      <c r="B184" s="494" t="s">
        <v>12590</v>
      </c>
      <c r="C184" s="540">
        <v>117587</v>
      </c>
      <c r="D184" s="496">
        <v>56.274916128661744</v>
      </c>
      <c r="E184" s="497" t="s">
        <v>6251</v>
      </c>
      <c r="F184" s="498" t="s">
        <v>6233</v>
      </c>
      <c r="G184" s="498" t="s">
        <v>6668</v>
      </c>
      <c r="H184" s="499">
        <v>42</v>
      </c>
      <c r="I184" s="498" t="s">
        <v>6253</v>
      </c>
      <c r="J184" s="498" t="s">
        <v>12116</v>
      </c>
      <c r="K184" s="498" t="s">
        <v>6209</v>
      </c>
      <c r="L184" s="498">
        <v>1</v>
      </c>
      <c r="M184" s="500">
        <v>0</v>
      </c>
    </row>
    <row r="185" spans="1:13" ht="11.1" customHeight="1">
      <c r="A185" s="501" t="s">
        <v>12889</v>
      </c>
      <c r="B185" s="280" t="s">
        <v>6230</v>
      </c>
      <c r="C185" s="515">
        <v>59910</v>
      </c>
      <c r="D185" s="503">
        <v>28.671793865547425</v>
      </c>
      <c r="E185" s="504" t="s">
        <v>6262</v>
      </c>
      <c r="F185" s="278">
        <v>0</v>
      </c>
      <c r="G185" s="278" t="s">
        <v>6670</v>
      </c>
      <c r="H185" s="505">
        <v>60</v>
      </c>
      <c r="I185" s="278" t="s">
        <v>12757</v>
      </c>
      <c r="J185" s="278">
        <v>0</v>
      </c>
      <c r="K185" s="278" t="s">
        <v>6209</v>
      </c>
      <c r="L185" s="278">
        <v>1</v>
      </c>
      <c r="M185" s="308" t="s">
        <v>12758</v>
      </c>
    </row>
    <row r="186" spans="1:13" ht="11.1" customHeight="1">
      <c r="A186" s="501" t="s">
        <v>12890</v>
      </c>
      <c r="B186" s="280" t="s">
        <v>6231</v>
      </c>
      <c r="C186" s="515">
        <v>16257</v>
      </c>
      <c r="D186" s="503">
        <v>7.7802929873511015</v>
      </c>
      <c r="E186" s="504" t="s">
        <v>6262</v>
      </c>
      <c r="F186" s="278">
        <v>0</v>
      </c>
      <c r="G186" s="278" t="s">
        <v>12117</v>
      </c>
      <c r="H186" s="505">
        <v>43</v>
      </c>
      <c r="I186" s="278" t="s">
        <v>6264</v>
      </c>
      <c r="J186" s="278">
        <v>0</v>
      </c>
      <c r="K186" s="278" t="s">
        <v>6036</v>
      </c>
      <c r="L186" s="278">
        <v>0</v>
      </c>
      <c r="M186" s="308">
        <v>0</v>
      </c>
    </row>
    <row r="187" spans="1:13" ht="11.1" customHeight="1">
      <c r="A187" s="501" t="s">
        <v>12891</v>
      </c>
      <c r="B187" s="280" t="s">
        <v>6231</v>
      </c>
      <c r="C187" s="515">
        <v>8960</v>
      </c>
      <c r="D187" s="503">
        <v>4.2880866806093296</v>
      </c>
      <c r="E187" s="504">
        <v>7.619889953821426</v>
      </c>
      <c r="F187" s="278" t="s">
        <v>6233</v>
      </c>
      <c r="G187" s="278" t="s">
        <v>12892</v>
      </c>
      <c r="H187" s="505">
        <v>58</v>
      </c>
      <c r="I187" s="278" t="s">
        <v>6278</v>
      </c>
      <c r="J187" s="278">
        <v>0</v>
      </c>
      <c r="K187" s="278" t="s">
        <v>6036</v>
      </c>
      <c r="L187" s="278">
        <v>0</v>
      </c>
      <c r="M187" s="308">
        <v>0</v>
      </c>
    </row>
    <row r="188" spans="1:13" ht="11.1" customHeight="1">
      <c r="A188" s="501" t="s">
        <v>12893</v>
      </c>
      <c r="B188" s="280" t="s">
        <v>6231</v>
      </c>
      <c r="C188" s="515">
        <v>6237</v>
      </c>
      <c r="D188" s="503">
        <v>2.9849103378304003</v>
      </c>
      <c r="E188" s="504" t="s">
        <v>6262</v>
      </c>
      <c r="F188" s="278">
        <v>0</v>
      </c>
      <c r="G188" s="278" t="s">
        <v>12138</v>
      </c>
      <c r="H188" s="505">
        <v>54</v>
      </c>
      <c r="I188" s="278" t="s">
        <v>11993</v>
      </c>
      <c r="J188" s="278">
        <v>0</v>
      </c>
      <c r="K188" s="278" t="s">
        <v>6036</v>
      </c>
      <c r="L188" s="278">
        <v>0</v>
      </c>
      <c r="M188" s="308">
        <v>0</v>
      </c>
    </row>
    <row r="189" spans="1:13" ht="11.1" customHeight="1">
      <c r="A189" s="507" t="s">
        <v>12894</v>
      </c>
      <c r="B189" s="508" t="s">
        <v>12590</v>
      </c>
      <c r="C189" s="509">
        <v>114322</v>
      </c>
      <c r="D189" s="510">
        <v>51.00859795737162</v>
      </c>
      <c r="E189" s="511" t="s">
        <v>6251</v>
      </c>
      <c r="F189" s="514" t="s">
        <v>6233</v>
      </c>
      <c r="G189" s="514" t="s">
        <v>6677</v>
      </c>
      <c r="H189" s="513">
        <v>48</v>
      </c>
      <c r="I189" s="514" t="s">
        <v>6253</v>
      </c>
      <c r="J189" s="514" t="s">
        <v>12007</v>
      </c>
      <c r="K189" s="514" t="s">
        <v>6283</v>
      </c>
      <c r="L189" s="514">
        <v>2</v>
      </c>
      <c r="M189" s="341">
        <v>0</v>
      </c>
    </row>
    <row r="190" spans="1:13" ht="11.1" customHeight="1">
      <c r="A190" s="501" t="s">
        <v>12895</v>
      </c>
      <c r="B190" s="280" t="s">
        <v>6230</v>
      </c>
      <c r="C190" s="515">
        <v>91095</v>
      </c>
      <c r="D190" s="503">
        <v>40.645092203834501</v>
      </c>
      <c r="E190" s="504">
        <v>79.682825702839352</v>
      </c>
      <c r="F190" s="278" t="s">
        <v>6233</v>
      </c>
      <c r="G190" s="278" t="s">
        <v>6679</v>
      </c>
      <c r="H190" s="505">
        <v>45</v>
      </c>
      <c r="I190" s="278" t="s">
        <v>6257</v>
      </c>
      <c r="J190" s="278" t="s">
        <v>12621</v>
      </c>
      <c r="K190" s="278" t="s">
        <v>6209</v>
      </c>
      <c r="L190" s="278">
        <v>2</v>
      </c>
      <c r="M190" s="308" t="s">
        <v>12622</v>
      </c>
    </row>
    <row r="191" spans="1:13" ht="11.1" customHeight="1">
      <c r="A191" s="501" t="s">
        <v>12896</v>
      </c>
      <c r="B191" s="280" t="s">
        <v>6231</v>
      </c>
      <c r="C191" s="515">
        <v>18706</v>
      </c>
      <c r="D191" s="503">
        <v>8.3463098387938768</v>
      </c>
      <c r="E191" s="504" t="s">
        <v>6262</v>
      </c>
      <c r="F191" s="278">
        <v>0</v>
      </c>
      <c r="G191" s="278" t="s">
        <v>12897</v>
      </c>
      <c r="H191" s="505">
        <v>55</v>
      </c>
      <c r="I191" s="278" t="s">
        <v>6264</v>
      </c>
      <c r="J191" s="278">
        <v>0</v>
      </c>
      <c r="K191" s="278" t="s">
        <v>6036</v>
      </c>
      <c r="L191" s="278">
        <v>0</v>
      </c>
      <c r="M191" s="308">
        <v>0</v>
      </c>
    </row>
    <row r="192" spans="1:13" ht="11.1" customHeight="1">
      <c r="A192" s="507" t="s">
        <v>12898</v>
      </c>
      <c r="B192" s="508" t="s">
        <v>12590</v>
      </c>
      <c r="C192" s="509">
        <v>104182</v>
      </c>
      <c r="D192" s="510">
        <v>46.411817902375788</v>
      </c>
      <c r="E192" s="511" t="s">
        <v>6251</v>
      </c>
      <c r="F192" s="514" t="s">
        <v>6233</v>
      </c>
      <c r="G192" s="514" t="s">
        <v>6685</v>
      </c>
      <c r="H192" s="513">
        <v>60</v>
      </c>
      <c r="I192" s="514" t="s">
        <v>6253</v>
      </c>
      <c r="J192" s="514" t="s">
        <v>11989</v>
      </c>
      <c r="K192" s="514" t="s">
        <v>6209</v>
      </c>
      <c r="L192" s="514">
        <v>4</v>
      </c>
      <c r="M192" s="341">
        <v>0</v>
      </c>
    </row>
    <row r="193" spans="1:13" ht="11.1" customHeight="1">
      <c r="A193" s="501" t="s">
        <v>12899</v>
      </c>
      <c r="B193" s="516" t="s">
        <v>12602</v>
      </c>
      <c r="C193" s="515">
        <v>103588</v>
      </c>
      <c r="D193" s="503">
        <v>46.1471981040036</v>
      </c>
      <c r="E193" s="504">
        <v>99.429843926973945</v>
      </c>
      <c r="F193" s="517" t="s">
        <v>6233</v>
      </c>
      <c r="G193" s="517" t="s">
        <v>12120</v>
      </c>
      <c r="H193" s="518">
        <v>62</v>
      </c>
      <c r="I193" s="517" t="s">
        <v>6257</v>
      </c>
      <c r="J193" s="517" t="s">
        <v>12617</v>
      </c>
      <c r="K193" s="517" t="s">
        <v>6283</v>
      </c>
      <c r="L193" s="517">
        <v>2</v>
      </c>
      <c r="M193" s="308" t="s">
        <v>12638</v>
      </c>
    </row>
    <row r="194" spans="1:13" ht="11.1" customHeight="1">
      <c r="A194" s="501" t="s">
        <v>12900</v>
      </c>
      <c r="B194" s="280" t="s">
        <v>6231</v>
      </c>
      <c r="C194" s="515">
        <v>16703</v>
      </c>
      <c r="D194" s="503">
        <v>7.4409839936206135</v>
      </c>
      <c r="E194" s="504" t="s">
        <v>6262</v>
      </c>
      <c r="F194" s="278">
        <v>0</v>
      </c>
      <c r="G194" s="278" t="s">
        <v>12901</v>
      </c>
      <c r="H194" s="505">
        <v>55</v>
      </c>
      <c r="I194" s="278" t="s">
        <v>6264</v>
      </c>
      <c r="J194" s="278">
        <v>0</v>
      </c>
      <c r="K194" s="278" t="s">
        <v>6036</v>
      </c>
      <c r="L194" s="278">
        <v>0</v>
      </c>
      <c r="M194" s="308">
        <v>0</v>
      </c>
    </row>
    <row r="195" spans="1:13" ht="11.1" customHeight="1">
      <c r="A195" s="507" t="s">
        <v>12902</v>
      </c>
      <c r="B195" s="508" t="s">
        <v>12590</v>
      </c>
      <c r="C195" s="509">
        <v>81367</v>
      </c>
      <c r="D195" s="510">
        <v>47.99874940272182</v>
      </c>
      <c r="E195" s="511" t="s">
        <v>6251</v>
      </c>
      <c r="F195" s="514" t="s">
        <v>6233</v>
      </c>
      <c r="G195" s="514" t="s">
        <v>6691</v>
      </c>
      <c r="H195" s="513">
        <v>42</v>
      </c>
      <c r="I195" s="514" t="s">
        <v>6253</v>
      </c>
      <c r="J195" s="514" t="s">
        <v>12007</v>
      </c>
      <c r="K195" s="514" t="s">
        <v>6036</v>
      </c>
      <c r="L195" s="514">
        <v>0</v>
      </c>
      <c r="M195" s="341">
        <v>0</v>
      </c>
    </row>
    <row r="196" spans="1:13" ht="11.1" customHeight="1">
      <c r="A196" s="501" t="s">
        <v>12903</v>
      </c>
      <c r="B196" s="516" t="s">
        <v>12602</v>
      </c>
      <c r="C196" s="515">
        <v>69625</v>
      </c>
      <c r="D196" s="503">
        <v>41.072092213852137</v>
      </c>
      <c r="E196" s="504">
        <v>85.569088205292076</v>
      </c>
      <c r="F196" s="517" t="s">
        <v>6233</v>
      </c>
      <c r="G196" s="517" t="s">
        <v>6693</v>
      </c>
      <c r="H196" s="518">
        <v>58</v>
      </c>
      <c r="I196" s="517" t="s">
        <v>6257</v>
      </c>
      <c r="J196" s="517" t="s">
        <v>12635</v>
      </c>
      <c r="K196" s="517" t="s">
        <v>6036</v>
      </c>
      <c r="L196" s="517">
        <v>0</v>
      </c>
      <c r="M196" s="308">
        <v>0</v>
      </c>
    </row>
    <row r="197" spans="1:13" ht="11.1" customHeight="1">
      <c r="A197" s="501" t="s">
        <v>12904</v>
      </c>
      <c r="B197" s="280"/>
      <c r="C197" s="515">
        <v>18527</v>
      </c>
      <c r="D197" s="503">
        <v>10.929158383426048</v>
      </c>
      <c r="E197" s="504" t="s">
        <v>6262</v>
      </c>
      <c r="F197" s="278">
        <v>0</v>
      </c>
      <c r="G197" s="278" t="s">
        <v>8904</v>
      </c>
      <c r="H197" s="505">
        <v>44</v>
      </c>
      <c r="I197" s="278" t="s">
        <v>6264</v>
      </c>
      <c r="J197" s="278">
        <v>0</v>
      </c>
      <c r="K197" s="278" t="s">
        <v>6036</v>
      </c>
      <c r="L197" s="278">
        <v>0</v>
      </c>
      <c r="M197" s="308">
        <v>0</v>
      </c>
    </row>
    <row r="198" spans="1:13" ht="11.1" customHeight="1">
      <c r="A198" s="507" t="s">
        <v>12905</v>
      </c>
      <c r="B198" s="508" t="s">
        <v>12590</v>
      </c>
      <c r="C198" s="509">
        <v>95626</v>
      </c>
      <c r="D198" s="510">
        <v>56.406868441387608</v>
      </c>
      <c r="E198" s="511" t="s">
        <v>6251</v>
      </c>
      <c r="F198" s="514" t="s">
        <v>6233</v>
      </c>
      <c r="G198" s="514" t="s">
        <v>6699</v>
      </c>
      <c r="H198" s="513">
        <v>39</v>
      </c>
      <c r="I198" s="514" t="s">
        <v>6253</v>
      </c>
      <c r="J198" s="514" t="s">
        <v>12000</v>
      </c>
      <c r="K198" s="514" t="s">
        <v>6209</v>
      </c>
      <c r="L198" s="514">
        <v>3</v>
      </c>
      <c r="M198" s="341">
        <v>0</v>
      </c>
    </row>
    <row r="199" spans="1:13" ht="11.1" customHeight="1">
      <c r="A199" s="501" t="s">
        <v>12906</v>
      </c>
      <c r="B199" s="280" t="s">
        <v>6230</v>
      </c>
      <c r="C199" s="515">
        <v>60410</v>
      </c>
      <c r="D199" s="503">
        <v>35.634021317886614</v>
      </c>
      <c r="E199" s="504">
        <v>63.173195574425364</v>
      </c>
      <c r="F199" s="278" t="s">
        <v>6233</v>
      </c>
      <c r="G199" s="278" t="s">
        <v>12907</v>
      </c>
      <c r="H199" s="505">
        <v>47</v>
      </c>
      <c r="I199" s="278" t="s">
        <v>6257</v>
      </c>
      <c r="J199" s="278" t="s">
        <v>12631</v>
      </c>
      <c r="K199" s="278" t="s">
        <v>6036</v>
      </c>
      <c r="L199" s="278">
        <v>0</v>
      </c>
      <c r="M199" s="308" t="s">
        <v>12638</v>
      </c>
    </row>
    <row r="200" spans="1:13" ht="11.1" customHeight="1">
      <c r="A200" s="501" t="s">
        <v>12908</v>
      </c>
      <c r="B200" s="280" t="s">
        <v>6231</v>
      </c>
      <c r="C200" s="515">
        <v>13493</v>
      </c>
      <c r="D200" s="503">
        <v>7.9591102407257752</v>
      </c>
      <c r="E200" s="504" t="s">
        <v>6262</v>
      </c>
      <c r="F200" s="278">
        <v>0</v>
      </c>
      <c r="G200" s="278" t="s">
        <v>12122</v>
      </c>
      <c r="H200" s="505">
        <v>58</v>
      </c>
      <c r="I200" s="278" t="s">
        <v>6264</v>
      </c>
      <c r="J200" s="278">
        <v>0</v>
      </c>
      <c r="K200" s="278" t="s">
        <v>6036</v>
      </c>
      <c r="L200" s="278">
        <v>0</v>
      </c>
      <c r="M200" s="308">
        <v>0</v>
      </c>
    </row>
    <row r="201" spans="1:13" ht="11.1" customHeight="1">
      <c r="A201" s="507" t="s">
        <v>12909</v>
      </c>
      <c r="B201" s="508" t="s">
        <v>12590</v>
      </c>
      <c r="C201" s="509">
        <v>112794</v>
      </c>
      <c r="D201" s="510">
        <v>48.061870166393248</v>
      </c>
      <c r="E201" s="511" t="s">
        <v>6251</v>
      </c>
      <c r="F201" s="514" t="s">
        <v>6233</v>
      </c>
      <c r="G201" s="514" t="s">
        <v>12123</v>
      </c>
      <c r="H201" s="513">
        <v>46</v>
      </c>
      <c r="I201" s="514" t="s">
        <v>6253</v>
      </c>
      <c r="J201" s="514" t="s">
        <v>12007</v>
      </c>
      <c r="K201" s="514" t="s">
        <v>6209</v>
      </c>
      <c r="L201" s="514">
        <v>1</v>
      </c>
      <c r="M201" s="341">
        <v>0</v>
      </c>
    </row>
    <row r="202" spans="1:13" ht="11.1" customHeight="1">
      <c r="A202" s="501" t="s">
        <v>12910</v>
      </c>
      <c r="B202" s="280" t="s">
        <v>6230</v>
      </c>
      <c r="C202" s="515">
        <v>103511</v>
      </c>
      <c r="D202" s="503">
        <v>44.10635532735369</v>
      </c>
      <c r="E202" s="504" t="s">
        <v>6262</v>
      </c>
      <c r="F202" s="278">
        <v>0</v>
      </c>
      <c r="G202" s="278" t="s">
        <v>8762</v>
      </c>
      <c r="H202" s="505">
        <v>48</v>
      </c>
      <c r="I202" s="278" t="s">
        <v>6929</v>
      </c>
      <c r="J202" s="278">
        <v>0</v>
      </c>
      <c r="K202" s="278" t="s">
        <v>6209</v>
      </c>
      <c r="L202" s="278">
        <v>3</v>
      </c>
      <c r="M202" s="308" t="s">
        <v>12911</v>
      </c>
    </row>
    <row r="203" spans="1:13" ht="11.1" customHeight="1">
      <c r="A203" s="501" t="s">
        <v>12912</v>
      </c>
      <c r="B203" s="280" t="s">
        <v>6231</v>
      </c>
      <c r="C203" s="515">
        <v>18380</v>
      </c>
      <c r="D203" s="503">
        <v>7.8317745062530628</v>
      </c>
      <c r="E203" s="504">
        <v>16.295193006720215</v>
      </c>
      <c r="F203" s="278" t="s">
        <v>6233</v>
      </c>
      <c r="G203" s="278" t="s">
        <v>12124</v>
      </c>
      <c r="H203" s="505">
        <v>44</v>
      </c>
      <c r="I203" s="278" t="s">
        <v>6264</v>
      </c>
      <c r="J203" s="278">
        <v>0</v>
      </c>
      <c r="K203" s="278" t="s">
        <v>6036</v>
      </c>
      <c r="L203" s="278">
        <v>0</v>
      </c>
      <c r="M203" s="308">
        <v>0</v>
      </c>
    </row>
    <row r="204" spans="1:13" ht="11.1" customHeight="1">
      <c r="A204" s="507" t="s">
        <v>12913</v>
      </c>
      <c r="B204" s="508" t="s">
        <v>12590</v>
      </c>
      <c r="C204" s="509">
        <v>97353</v>
      </c>
      <c r="D204" s="510">
        <v>46.820534031010737</v>
      </c>
      <c r="E204" s="511" t="s">
        <v>6251</v>
      </c>
      <c r="F204" s="514" t="s">
        <v>6233</v>
      </c>
      <c r="G204" s="514" t="s">
        <v>6711</v>
      </c>
      <c r="H204" s="513">
        <v>38</v>
      </c>
      <c r="I204" s="514" t="s">
        <v>6253</v>
      </c>
      <c r="J204" s="514" t="s">
        <v>12020</v>
      </c>
      <c r="K204" s="514" t="s">
        <v>6036</v>
      </c>
      <c r="L204" s="514">
        <v>0</v>
      </c>
      <c r="M204" s="341">
        <v>0</v>
      </c>
    </row>
    <row r="205" spans="1:13" ht="11.1" customHeight="1">
      <c r="A205" s="501" t="s">
        <v>12914</v>
      </c>
      <c r="B205" s="516" t="s">
        <v>12602</v>
      </c>
      <c r="C205" s="515">
        <v>88151</v>
      </c>
      <c r="D205" s="503">
        <v>42.394963641260439</v>
      </c>
      <c r="E205" s="504">
        <v>90.547800273232468</v>
      </c>
      <c r="F205" s="517" t="s">
        <v>6233</v>
      </c>
      <c r="G205" s="517" t="s">
        <v>12125</v>
      </c>
      <c r="H205" s="518">
        <v>67</v>
      </c>
      <c r="I205" s="517" t="s">
        <v>6257</v>
      </c>
      <c r="J205" s="517" t="s">
        <v>12635</v>
      </c>
      <c r="K205" s="517" t="s">
        <v>6209</v>
      </c>
      <c r="L205" s="517">
        <v>2</v>
      </c>
      <c r="M205" s="308" t="s">
        <v>12638</v>
      </c>
    </row>
    <row r="206" spans="1:13" ht="11.1" customHeight="1">
      <c r="A206" s="501" t="s">
        <v>12915</v>
      </c>
      <c r="B206" s="280" t="s">
        <v>6231</v>
      </c>
      <c r="C206" s="515">
        <v>15489</v>
      </c>
      <c r="D206" s="503">
        <v>7.4492131891808704</v>
      </c>
      <c r="E206" s="504" t="s">
        <v>6262</v>
      </c>
      <c r="F206" s="278">
        <v>0</v>
      </c>
      <c r="G206" s="278" t="s">
        <v>12916</v>
      </c>
      <c r="H206" s="505">
        <v>56</v>
      </c>
      <c r="I206" s="278" t="s">
        <v>6264</v>
      </c>
      <c r="J206" s="278">
        <v>0</v>
      </c>
      <c r="K206" s="278" t="s">
        <v>6036</v>
      </c>
      <c r="L206" s="278">
        <v>0</v>
      </c>
      <c r="M206" s="308">
        <v>0</v>
      </c>
    </row>
    <row r="207" spans="1:13" ht="11.1" customHeight="1">
      <c r="A207" s="501" t="s">
        <v>12917</v>
      </c>
      <c r="B207" s="280" t="s">
        <v>6231</v>
      </c>
      <c r="C207" s="515">
        <v>6935</v>
      </c>
      <c r="D207" s="503">
        <v>3.3352891385479588</v>
      </c>
      <c r="E207" s="504">
        <v>7.1235606504165254</v>
      </c>
      <c r="F207" s="278" t="s">
        <v>6233</v>
      </c>
      <c r="G207" s="278" t="s">
        <v>12918</v>
      </c>
      <c r="H207" s="505">
        <v>55</v>
      </c>
      <c r="I207" s="278" t="s">
        <v>6278</v>
      </c>
      <c r="J207" s="278">
        <v>0</v>
      </c>
      <c r="K207" s="278" t="s">
        <v>6036</v>
      </c>
      <c r="L207" s="278">
        <v>0</v>
      </c>
      <c r="M207" s="308">
        <v>0</v>
      </c>
    </row>
    <row r="208" spans="1:13" ht="11.1" customHeight="1">
      <c r="A208" s="507" t="s">
        <v>12919</v>
      </c>
      <c r="B208" s="519" t="s">
        <v>12590</v>
      </c>
      <c r="C208" s="520">
        <v>70959</v>
      </c>
      <c r="D208" s="521">
        <v>39.117851354480202</v>
      </c>
      <c r="E208" s="522" t="s">
        <v>6251</v>
      </c>
      <c r="F208" s="523" t="s">
        <v>6233</v>
      </c>
      <c r="G208" s="523" t="s">
        <v>12920</v>
      </c>
      <c r="H208" s="524">
        <v>48</v>
      </c>
      <c r="I208" s="523" t="s">
        <v>6257</v>
      </c>
      <c r="J208" s="523" t="s">
        <v>12631</v>
      </c>
      <c r="K208" s="523" t="s">
        <v>6036</v>
      </c>
      <c r="L208" s="523">
        <v>0</v>
      </c>
      <c r="M208" s="525" t="s">
        <v>12622</v>
      </c>
    </row>
    <row r="209" spans="1:13" ht="11.1" customHeight="1">
      <c r="A209" s="501" t="s">
        <v>12921</v>
      </c>
      <c r="B209" s="516" t="s">
        <v>12602</v>
      </c>
      <c r="C209" s="515">
        <v>69418</v>
      </c>
      <c r="D209" s="503">
        <v>38.268338129417081</v>
      </c>
      <c r="E209" s="504">
        <v>97.828323398018568</v>
      </c>
      <c r="F209" s="512" t="s">
        <v>6233</v>
      </c>
      <c r="G209" s="512" t="s">
        <v>12127</v>
      </c>
      <c r="H209" s="526">
        <v>59</v>
      </c>
      <c r="I209" s="512" t="s">
        <v>6253</v>
      </c>
      <c r="J209" s="512" t="s">
        <v>12007</v>
      </c>
      <c r="K209" s="512" t="s">
        <v>6209</v>
      </c>
      <c r="L209" s="512">
        <v>1</v>
      </c>
      <c r="M209" s="308">
        <v>0</v>
      </c>
    </row>
    <row r="210" spans="1:13" ht="11.1" customHeight="1">
      <c r="A210" s="501" t="s">
        <v>12922</v>
      </c>
      <c r="B210" s="280"/>
      <c r="C210" s="515">
        <v>22509</v>
      </c>
      <c r="D210" s="503">
        <v>12.408626335461252</v>
      </c>
      <c r="E210" s="504" t="s">
        <v>6262</v>
      </c>
      <c r="F210" s="278">
        <v>0</v>
      </c>
      <c r="G210" s="278" t="s">
        <v>8837</v>
      </c>
      <c r="H210" s="505">
        <v>54</v>
      </c>
      <c r="I210" s="278" t="s">
        <v>6322</v>
      </c>
      <c r="J210" s="278" t="s">
        <v>12417</v>
      </c>
      <c r="K210" s="278" t="s">
        <v>6283</v>
      </c>
      <c r="L210" s="278">
        <v>1</v>
      </c>
      <c r="M210" s="308">
        <v>0</v>
      </c>
    </row>
    <row r="211" spans="1:13" ht="11.1" customHeight="1">
      <c r="A211" s="501" t="s">
        <v>12923</v>
      </c>
      <c r="B211" s="516" t="s">
        <v>12603</v>
      </c>
      <c r="C211" s="515">
        <v>18512</v>
      </c>
      <c r="D211" s="503">
        <v>10.205184180641462</v>
      </c>
      <c r="E211" s="504">
        <v>26.08830451387421</v>
      </c>
      <c r="F211" s="278" t="s">
        <v>6233</v>
      </c>
      <c r="G211" s="278" t="s">
        <v>6725</v>
      </c>
      <c r="H211" s="505">
        <v>41</v>
      </c>
      <c r="I211" s="278" t="s">
        <v>6264</v>
      </c>
      <c r="J211" s="278">
        <v>0</v>
      </c>
      <c r="K211" s="278" t="s">
        <v>6209</v>
      </c>
      <c r="L211" s="278">
        <v>1</v>
      </c>
      <c r="M211" s="308">
        <v>0</v>
      </c>
    </row>
    <row r="212" spans="1:13" ht="11.1" customHeight="1">
      <c r="A212" s="507" t="s">
        <v>12924</v>
      </c>
      <c r="B212" s="519" t="s">
        <v>12590</v>
      </c>
      <c r="C212" s="520">
        <v>104167</v>
      </c>
      <c r="D212" s="521">
        <v>48.393495934959347</v>
      </c>
      <c r="E212" s="522" t="s">
        <v>6251</v>
      </c>
      <c r="F212" s="523" t="s">
        <v>6233</v>
      </c>
      <c r="G212" s="523" t="s">
        <v>12128</v>
      </c>
      <c r="H212" s="524">
        <v>67</v>
      </c>
      <c r="I212" s="523" t="s">
        <v>6257</v>
      </c>
      <c r="J212" s="523" t="s">
        <v>12631</v>
      </c>
      <c r="K212" s="523" t="s">
        <v>6209</v>
      </c>
      <c r="L212" s="523">
        <v>2</v>
      </c>
      <c r="M212" s="525" t="s">
        <v>12638</v>
      </c>
    </row>
    <row r="213" spans="1:13" ht="11.1" customHeight="1">
      <c r="A213" s="501" t="s">
        <v>12925</v>
      </c>
      <c r="B213" s="516" t="s">
        <v>12602</v>
      </c>
      <c r="C213" s="515">
        <v>94569</v>
      </c>
      <c r="D213" s="503">
        <v>43.934494773519162</v>
      </c>
      <c r="E213" s="504">
        <v>90.785949484961648</v>
      </c>
      <c r="F213" s="512" t="s">
        <v>6233</v>
      </c>
      <c r="G213" s="512" t="s">
        <v>6729</v>
      </c>
      <c r="H213" s="526">
        <v>55</v>
      </c>
      <c r="I213" s="512" t="s">
        <v>6253</v>
      </c>
      <c r="J213" s="512" t="s">
        <v>12000</v>
      </c>
      <c r="K213" s="512" t="s">
        <v>6209</v>
      </c>
      <c r="L213" s="512">
        <v>2</v>
      </c>
      <c r="M213" s="308">
        <v>0</v>
      </c>
    </row>
    <row r="214" spans="1:13" ht="11.1" customHeight="1">
      <c r="A214" s="501" t="s">
        <v>12926</v>
      </c>
      <c r="B214" s="280" t="s">
        <v>6231</v>
      </c>
      <c r="C214" s="515">
        <v>16514</v>
      </c>
      <c r="D214" s="503">
        <v>7.672009291521487</v>
      </c>
      <c r="E214" s="504" t="s">
        <v>6262</v>
      </c>
      <c r="F214" s="278">
        <v>0</v>
      </c>
      <c r="G214" s="278" t="s">
        <v>12927</v>
      </c>
      <c r="H214" s="505">
        <v>49</v>
      </c>
      <c r="I214" s="278" t="s">
        <v>6264</v>
      </c>
      <c r="J214" s="278">
        <v>0</v>
      </c>
      <c r="K214" s="278" t="s">
        <v>6036</v>
      </c>
      <c r="L214" s="278">
        <v>0</v>
      </c>
      <c r="M214" s="308">
        <v>0</v>
      </c>
    </row>
    <row r="215" spans="1:13" ht="11.1" customHeight="1">
      <c r="A215" s="507" t="s">
        <v>12928</v>
      </c>
      <c r="B215" s="519" t="s">
        <v>12590</v>
      </c>
      <c r="C215" s="520">
        <v>87489</v>
      </c>
      <c r="D215" s="521">
        <v>49.816368015578824</v>
      </c>
      <c r="E215" s="522" t="s">
        <v>6251</v>
      </c>
      <c r="F215" s="523" t="s">
        <v>6233</v>
      </c>
      <c r="G215" s="523" t="s">
        <v>6737</v>
      </c>
      <c r="H215" s="524">
        <v>54</v>
      </c>
      <c r="I215" s="523" t="s">
        <v>6257</v>
      </c>
      <c r="J215" s="523" t="s">
        <v>12621</v>
      </c>
      <c r="K215" s="523" t="s">
        <v>6209</v>
      </c>
      <c r="L215" s="523">
        <v>2</v>
      </c>
      <c r="M215" s="525" t="s">
        <v>12638</v>
      </c>
    </row>
    <row r="216" spans="1:13" ht="11.1" customHeight="1">
      <c r="A216" s="501" t="s">
        <v>12929</v>
      </c>
      <c r="B216" s="516" t="s">
        <v>12602</v>
      </c>
      <c r="C216" s="515">
        <v>75083</v>
      </c>
      <c r="D216" s="503">
        <v>42.752372980759922</v>
      </c>
      <c r="E216" s="504">
        <v>85.81993164855011</v>
      </c>
      <c r="F216" s="512" t="s">
        <v>6233</v>
      </c>
      <c r="G216" s="512" t="s">
        <v>6735</v>
      </c>
      <c r="H216" s="526">
        <v>53</v>
      </c>
      <c r="I216" s="512" t="s">
        <v>6253</v>
      </c>
      <c r="J216" s="512" t="s">
        <v>12116</v>
      </c>
      <c r="K216" s="512" t="s">
        <v>6036</v>
      </c>
      <c r="L216" s="512">
        <v>0</v>
      </c>
      <c r="M216" s="308">
        <v>0</v>
      </c>
    </row>
    <row r="217" spans="1:13" ht="11.1" customHeight="1">
      <c r="A217" s="501" t="s">
        <v>12930</v>
      </c>
      <c r="B217" s="280" t="s">
        <v>6231</v>
      </c>
      <c r="C217" s="515">
        <v>13051</v>
      </c>
      <c r="D217" s="503">
        <v>7.4312590036612516</v>
      </c>
      <c r="E217" s="504" t="s">
        <v>6262</v>
      </c>
      <c r="F217" s="278">
        <v>0</v>
      </c>
      <c r="G217" s="278" t="s">
        <v>12931</v>
      </c>
      <c r="H217" s="505">
        <v>28</v>
      </c>
      <c r="I217" s="278" t="s">
        <v>6264</v>
      </c>
      <c r="J217" s="278">
        <v>0</v>
      </c>
      <c r="K217" s="278" t="s">
        <v>6036</v>
      </c>
      <c r="L217" s="278">
        <v>0</v>
      </c>
      <c r="M217" s="308">
        <v>0</v>
      </c>
    </row>
    <row r="218" spans="1:13" ht="11.1" customHeight="1">
      <c r="A218" s="507" t="s">
        <v>12932</v>
      </c>
      <c r="B218" s="519" t="s">
        <v>12590</v>
      </c>
      <c r="C218" s="520">
        <v>123057</v>
      </c>
      <c r="D218" s="521">
        <v>63.872956882367291</v>
      </c>
      <c r="E218" s="522" t="s">
        <v>6251</v>
      </c>
      <c r="F218" s="523" t="s">
        <v>6233</v>
      </c>
      <c r="G218" s="523" t="s">
        <v>6741</v>
      </c>
      <c r="H218" s="524">
        <v>51</v>
      </c>
      <c r="I218" s="523" t="s">
        <v>6257</v>
      </c>
      <c r="J218" s="523" t="s">
        <v>12621</v>
      </c>
      <c r="K218" s="523" t="s">
        <v>6209</v>
      </c>
      <c r="L218" s="523">
        <v>1</v>
      </c>
      <c r="M218" s="525" t="s">
        <v>12638</v>
      </c>
    </row>
    <row r="219" spans="1:13" ht="11.1" customHeight="1">
      <c r="A219" s="501" t="s">
        <v>12933</v>
      </c>
      <c r="B219" s="280" t="s">
        <v>6230</v>
      </c>
      <c r="C219" s="515">
        <v>52729</v>
      </c>
      <c r="D219" s="503">
        <v>27.369082160708817</v>
      </c>
      <c r="E219" s="504">
        <v>42.849248722136899</v>
      </c>
      <c r="F219" s="278" t="s">
        <v>6233</v>
      </c>
      <c r="G219" s="278" t="s">
        <v>12132</v>
      </c>
      <c r="H219" s="505">
        <v>32</v>
      </c>
      <c r="I219" s="278" t="s">
        <v>6253</v>
      </c>
      <c r="J219" s="278" t="s">
        <v>12007</v>
      </c>
      <c r="K219" s="278" t="s">
        <v>6036</v>
      </c>
      <c r="L219" s="278">
        <v>0</v>
      </c>
      <c r="M219" s="308">
        <v>0</v>
      </c>
    </row>
    <row r="220" spans="1:13" ht="11.1" customHeight="1">
      <c r="A220" s="501" t="s">
        <v>12934</v>
      </c>
      <c r="B220" s="280" t="s">
        <v>6231</v>
      </c>
      <c r="C220" s="515">
        <v>16873</v>
      </c>
      <c r="D220" s="503">
        <v>8.7579609569238919</v>
      </c>
      <c r="E220" s="504" t="s">
        <v>6262</v>
      </c>
      <c r="F220" s="278">
        <v>0</v>
      </c>
      <c r="G220" s="278" t="s">
        <v>12133</v>
      </c>
      <c r="H220" s="505">
        <v>51</v>
      </c>
      <c r="I220" s="278" t="s">
        <v>6264</v>
      </c>
      <c r="J220" s="278">
        <v>0</v>
      </c>
      <c r="K220" s="278" t="s">
        <v>6036</v>
      </c>
      <c r="L220" s="278">
        <v>0</v>
      </c>
      <c r="M220" s="308">
        <v>0</v>
      </c>
    </row>
    <row r="221" spans="1:13" ht="11.1" customHeight="1">
      <c r="A221" s="507" t="s">
        <v>12935</v>
      </c>
      <c r="B221" s="519" t="s">
        <v>12590</v>
      </c>
      <c r="C221" s="520">
        <v>95889</v>
      </c>
      <c r="D221" s="521">
        <v>51.710581662478297</v>
      </c>
      <c r="E221" s="522" t="s">
        <v>6262</v>
      </c>
      <c r="F221" s="523">
        <v>0</v>
      </c>
      <c r="G221" s="523" t="s">
        <v>12936</v>
      </c>
      <c r="H221" s="524">
        <v>74</v>
      </c>
      <c r="I221" s="523" t="s">
        <v>6257</v>
      </c>
      <c r="J221" s="523" t="s">
        <v>12651</v>
      </c>
      <c r="K221" s="523" t="s">
        <v>6209</v>
      </c>
      <c r="L221" s="523">
        <v>4</v>
      </c>
      <c r="M221" s="525" t="s">
        <v>12638</v>
      </c>
    </row>
    <row r="222" spans="1:13" ht="11.1" customHeight="1">
      <c r="A222" s="501" t="s">
        <v>12937</v>
      </c>
      <c r="B222" s="280" t="s">
        <v>6230</v>
      </c>
      <c r="C222" s="515">
        <v>75439</v>
      </c>
      <c r="D222" s="503">
        <v>40.682399128530903</v>
      </c>
      <c r="E222" s="504">
        <v>78.673257620790707</v>
      </c>
      <c r="F222" s="278" t="s">
        <v>6233</v>
      </c>
      <c r="G222" s="278" t="s">
        <v>6747</v>
      </c>
      <c r="H222" s="505">
        <v>38</v>
      </c>
      <c r="I222" s="278" t="s">
        <v>6253</v>
      </c>
      <c r="J222" s="278" t="s">
        <v>12000</v>
      </c>
      <c r="K222" s="278" t="s">
        <v>6036</v>
      </c>
      <c r="L222" s="278">
        <v>0</v>
      </c>
      <c r="M222" s="308" t="s">
        <v>6154</v>
      </c>
    </row>
    <row r="223" spans="1:13" ht="11.1" customHeight="1">
      <c r="A223" s="501" t="s">
        <v>12938</v>
      </c>
      <c r="B223" s="280" t="s">
        <v>6231</v>
      </c>
      <c r="C223" s="515">
        <v>14106</v>
      </c>
      <c r="D223" s="503">
        <v>7.6070192089908</v>
      </c>
      <c r="E223" s="504" t="s">
        <v>6262</v>
      </c>
      <c r="F223" s="278">
        <v>0</v>
      </c>
      <c r="G223" s="278" t="s">
        <v>12134</v>
      </c>
      <c r="H223" s="505">
        <v>48</v>
      </c>
      <c r="I223" s="278" t="s">
        <v>6264</v>
      </c>
      <c r="J223" s="278">
        <v>0</v>
      </c>
      <c r="K223" s="278" t="s">
        <v>6036</v>
      </c>
      <c r="L223" s="278">
        <v>0</v>
      </c>
      <c r="M223" s="308">
        <v>0</v>
      </c>
    </row>
    <row r="224" spans="1:13" ht="11.1" customHeight="1">
      <c r="A224" s="507" t="s">
        <v>12939</v>
      </c>
      <c r="B224" s="519" t="s">
        <v>12590</v>
      </c>
      <c r="C224" s="520">
        <v>81935</v>
      </c>
      <c r="D224" s="521">
        <v>43.172764827382707</v>
      </c>
      <c r="E224" s="522" t="s">
        <v>6251</v>
      </c>
      <c r="F224" s="523" t="s">
        <v>6233</v>
      </c>
      <c r="G224" s="523" t="s">
        <v>6755</v>
      </c>
      <c r="H224" s="524">
        <v>51</v>
      </c>
      <c r="I224" s="523" t="s">
        <v>6257</v>
      </c>
      <c r="J224" s="523" t="s">
        <v>12617</v>
      </c>
      <c r="K224" s="523" t="s">
        <v>6209</v>
      </c>
      <c r="L224" s="523">
        <v>2</v>
      </c>
      <c r="M224" s="525" t="s">
        <v>12638</v>
      </c>
    </row>
    <row r="225" spans="1:13" ht="11.1" customHeight="1">
      <c r="A225" s="501" t="s">
        <v>12940</v>
      </c>
      <c r="B225" s="516" t="s">
        <v>12602</v>
      </c>
      <c r="C225" s="515">
        <v>81361</v>
      </c>
      <c r="D225" s="503">
        <v>42.870315727353201</v>
      </c>
      <c r="E225" s="504">
        <v>99.299444681759937</v>
      </c>
      <c r="F225" s="512" t="s">
        <v>6233</v>
      </c>
      <c r="G225" s="512" t="s">
        <v>6759</v>
      </c>
      <c r="H225" s="526">
        <v>56</v>
      </c>
      <c r="I225" s="512" t="s">
        <v>6253</v>
      </c>
      <c r="J225" s="512" t="s">
        <v>12020</v>
      </c>
      <c r="K225" s="512" t="s">
        <v>6209</v>
      </c>
      <c r="L225" s="512">
        <v>3</v>
      </c>
      <c r="M225" s="308">
        <v>0</v>
      </c>
    </row>
    <row r="226" spans="1:13" ht="11.1" customHeight="1">
      <c r="A226" s="501" t="s">
        <v>12941</v>
      </c>
      <c r="B226" s="280" t="s">
        <v>6231</v>
      </c>
      <c r="C226" s="515">
        <v>11942</v>
      </c>
      <c r="D226" s="503">
        <v>6.2924166420773089</v>
      </c>
      <c r="E226" s="504" t="s">
        <v>6262</v>
      </c>
      <c r="F226" s="278">
        <v>0</v>
      </c>
      <c r="G226" s="278" t="s">
        <v>12135</v>
      </c>
      <c r="H226" s="505">
        <v>42</v>
      </c>
      <c r="I226" s="278" t="s">
        <v>6264</v>
      </c>
      <c r="J226" s="278">
        <v>0</v>
      </c>
      <c r="K226" s="278" t="s">
        <v>6036</v>
      </c>
      <c r="L226" s="278">
        <v>0</v>
      </c>
      <c r="M226" s="308">
        <v>0</v>
      </c>
    </row>
    <row r="227" spans="1:13" ht="11.1" customHeight="1">
      <c r="A227" s="501" t="s">
        <v>12942</v>
      </c>
      <c r="B227" s="280" t="s">
        <v>6231</v>
      </c>
      <c r="C227" s="515">
        <v>10555</v>
      </c>
      <c r="D227" s="503">
        <v>5.5615858028074019</v>
      </c>
      <c r="E227" s="504">
        <v>12.882162689937145</v>
      </c>
      <c r="F227" s="278" t="s">
        <v>6233</v>
      </c>
      <c r="G227" s="278" t="s">
        <v>6757</v>
      </c>
      <c r="H227" s="505">
        <v>54</v>
      </c>
      <c r="I227" s="278" t="s">
        <v>6278</v>
      </c>
      <c r="J227" s="278">
        <v>0</v>
      </c>
      <c r="K227" s="278" t="s">
        <v>6209</v>
      </c>
      <c r="L227" s="278">
        <v>1</v>
      </c>
      <c r="M227" s="308">
        <v>0</v>
      </c>
    </row>
    <row r="228" spans="1:13" ht="11.1" customHeight="1">
      <c r="A228" s="501" t="s">
        <v>12943</v>
      </c>
      <c r="B228" s="280" t="s">
        <v>6231</v>
      </c>
      <c r="C228" s="515">
        <v>3991</v>
      </c>
      <c r="D228" s="503">
        <v>2.1029170003793785</v>
      </c>
      <c r="E228" s="504" t="s">
        <v>6262</v>
      </c>
      <c r="F228" s="278">
        <v>0</v>
      </c>
      <c r="G228" s="278" t="s">
        <v>12944</v>
      </c>
      <c r="H228" s="505">
        <v>33</v>
      </c>
      <c r="I228" s="278" t="s">
        <v>6322</v>
      </c>
      <c r="J228" s="278">
        <v>0</v>
      </c>
      <c r="K228" s="278" t="s">
        <v>6036</v>
      </c>
      <c r="L228" s="278">
        <v>0</v>
      </c>
      <c r="M228" s="308">
        <v>0</v>
      </c>
    </row>
    <row r="229" spans="1:13" ht="11.1" customHeight="1">
      <c r="A229" s="507" t="s">
        <v>12945</v>
      </c>
      <c r="B229" s="519" t="s">
        <v>12590</v>
      </c>
      <c r="C229" s="520">
        <v>104066</v>
      </c>
      <c r="D229" s="521">
        <v>50.252552079812254</v>
      </c>
      <c r="E229" s="522" t="s">
        <v>6251</v>
      </c>
      <c r="F229" s="523" t="s">
        <v>6233</v>
      </c>
      <c r="G229" s="523" t="s">
        <v>6766</v>
      </c>
      <c r="H229" s="524">
        <v>50</v>
      </c>
      <c r="I229" s="523" t="s">
        <v>6257</v>
      </c>
      <c r="J229" s="523" t="s">
        <v>12631</v>
      </c>
      <c r="K229" s="523" t="s">
        <v>6209</v>
      </c>
      <c r="L229" s="523">
        <v>1</v>
      </c>
      <c r="M229" s="525" t="s">
        <v>12638</v>
      </c>
    </row>
    <row r="230" spans="1:13" ht="11.1" customHeight="1">
      <c r="A230" s="501" t="s">
        <v>12946</v>
      </c>
      <c r="B230" s="516" t="s">
        <v>12602</v>
      </c>
      <c r="C230" s="515">
        <v>86826</v>
      </c>
      <c r="D230" s="503">
        <v>41.927508378161733</v>
      </c>
      <c r="E230" s="504">
        <v>83.433590221590151</v>
      </c>
      <c r="F230" s="512" t="s">
        <v>6233</v>
      </c>
      <c r="G230" s="512" t="s">
        <v>12136</v>
      </c>
      <c r="H230" s="526">
        <v>36</v>
      </c>
      <c r="I230" s="512" t="s">
        <v>6253</v>
      </c>
      <c r="J230" s="512" t="s">
        <v>12007</v>
      </c>
      <c r="K230" s="512" t="s">
        <v>6036</v>
      </c>
      <c r="L230" s="512">
        <v>0</v>
      </c>
      <c r="M230" s="308">
        <v>0</v>
      </c>
    </row>
    <row r="231" spans="1:13" ht="11.1" customHeight="1">
      <c r="A231" s="501" t="s">
        <v>12947</v>
      </c>
      <c r="B231" s="280" t="s">
        <v>6231</v>
      </c>
      <c r="C231" s="515">
        <v>16194</v>
      </c>
      <c r="D231" s="503">
        <v>7.8199395420260185</v>
      </c>
      <c r="E231" s="504" t="s">
        <v>6262</v>
      </c>
      <c r="F231" s="278">
        <v>0</v>
      </c>
      <c r="G231" s="278" t="s">
        <v>12137</v>
      </c>
      <c r="H231" s="505">
        <v>47</v>
      </c>
      <c r="I231" s="278" t="s">
        <v>6264</v>
      </c>
      <c r="J231" s="278">
        <v>0</v>
      </c>
      <c r="K231" s="278" t="s">
        <v>6036</v>
      </c>
      <c r="L231" s="278">
        <v>0</v>
      </c>
      <c r="M231" s="308">
        <v>0</v>
      </c>
    </row>
    <row r="232" spans="1:13" ht="11.1" customHeight="1">
      <c r="A232" s="507" t="s">
        <v>12948</v>
      </c>
      <c r="B232" s="508" t="s">
        <v>12590</v>
      </c>
      <c r="C232" s="509">
        <v>80745</v>
      </c>
      <c r="D232" s="510">
        <v>46.29714574039884</v>
      </c>
      <c r="E232" s="511" t="s">
        <v>6251</v>
      </c>
      <c r="F232" s="514" t="s">
        <v>6233</v>
      </c>
      <c r="G232" s="514" t="s">
        <v>6770</v>
      </c>
      <c r="H232" s="513">
        <v>33</v>
      </c>
      <c r="I232" s="514" t="s">
        <v>6253</v>
      </c>
      <c r="J232" s="514" t="s">
        <v>12020</v>
      </c>
      <c r="K232" s="514" t="s">
        <v>6036</v>
      </c>
      <c r="L232" s="514">
        <v>0</v>
      </c>
      <c r="M232" s="341">
        <v>0</v>
      </c>
    </row>
    <row r="233" spans="1:13" ht="11.1" customHeight="1">
      <c r="A233" s="501" t="s">
        <v>12949</v>
      </c>
      <c r="B233" s="280" t="s">
        <v>6230</v>
      </c>
      <c r="C233" s="515">
        <v>58522</v>
      </c>
      <c r="D233" s="503">
        <v>33.555038244097105</v>
      </c>
      <c r="E233" s="504" t="s">
        <v>6262</v>
      </c>
      <c r="F233" s="278">
        <v>0</v>
      </c>
      <c r="G233" s="278" t="s">
        <v>12950</v>
      </c>
      <c r="H233" s="505">
        <v>74</v>
      </c>
      <c r="I233" s="278" t="s">
        <v>6257</v>
      </c>
      <c r="J233" s="278" t="s">
        <v>12635</v>
      </c>
      <c r="K233" s="278" t="s">
        <v>6283</v>
      </c>
      <c r="L233" s="278">
        <v>10</v>
      </c>
      <c r="M233" s="308" t="s">
        <v>12622</v>
      </c>
    </row>
    <row r="234" spans="1:13" ht="11.1" customHeight="1">
      <c r="A234" s="501" t="s">
        <v>12951</v>
      </c>
      <c r="B234" s="280" t="s">
        <v>6231</v>
      </c>
      <c r="C234" s="515">
        <v>16394</v>
      </c>
      <c r="D234" s="503">
        <v>9.3999059665378493</v>
      </c>
      <c r="E234" s="504" t="s">
        <v>6262</v>
      </c>
      <c r="F234" s="278">
        <v>0</v>
      </c>
      <c r="G234" s="278" t="s">
        <v>6774</v>
      </c>
      <c r="H234" s="505">
        <v>32</v>
      </c>
      <c r="I234" s="278" t="s">
        <v>6264</v>
      </c>
      <c r="J234" s="278">
        <v>0</v>
      </c>
      <c r="K234" s="278" t="s">
        <v>6036</v>
      </c>
      <c r="L234" s="278">
        <v>0</v>
      </c>
      <c r="M234" s="308">
        <v>0</v>
      </c>
    </row>
    <row r="235" spans="1:13" ht="11.1" customHeight="1">
      <c r="A235" s="501" t="s">
        <v>12952</v>
      </c>
      <c r="B235" s="280" t="s">
        <v>6231</v>
      </c>
      <c r="C235" s="515">
        <v>14566</v>
      </c>
      <c r="D235" s="503">
        <v>8.3517768884098018</v>
      </c>
      <c r="E235" s="504" t="s">
        <v>6262</v>
      </c>
      <c r="F235" s="278">
        <v>0</v>
      </c>
      <c r="G235" s="278" t="s">
        <v>12953</v>
      </c>
      <c r="H235" s="505">
        <v>50</v>
      </c>
      <c r="I235" s="278" t="s">
        <v>6322</v>
      </c>
      <c r="J235" s="278" t="s">
        <v>6323</v>
      </c>
      <c r="K235" s="278" t="s">
        <v>6036</v>
      </c>
      <c r="L235" s="278">
        <v>0</v>
      </c>
      <c r="M235" s="308">
        <v>0</v>
      </c>
    </row>
    <row r="236" spans="1:13" ht="11.1" customHeight="1" thickBot="1">
      <c r="A236" s="527" t="s">
        <v>12954</v>
      </c>
      <c r="B236" s="280" t="s">
        <v>6231</v>
      </c>
      <c r="C236" s="529">
        <v>4179</v>
      </c>
      <c r="D236" s="530">
        <v>2.3961331605564027</v>
      </c>
      <c r="E236" s="531" t="s">
        <v>6262</v>
      </c>
      <c r="F236" s="532">
        <v>0</v>
      </c>
      <c r="G236" s="532" t="s">
        <v>12955</v>
      </c>
      <c r="H236" s="533">
        <v>58</v>
      </c>
      <c r="I236" s="532" t="s">
        <v>6322</v>
      </c>
      <c r="J236" s="532" t="s">
        <v>6323</v>
      </c>
      <c r="K236" s="532" t="s">
        <v>6036</v>
      </c>
      <c r="L236" s="532">
        <v>0</v>
      </c>
      <c r="M236" s="347">
        <v>0</v>
      </c>
    </row>
    <row r="237" spans="1:13" ht="11.1" customHeight="1">
      <c r="A237" s="493" t="s">
        <v>12956</v>
      </c>
      <c r="B237" s="494" t="s">
        <v>12590</v>
      </c>
      <c r="C237" s="540">
        <v>100838</v>
      </c>
      <c r="D237" s="496">
        <v>49.214715901880972</v>
      </c>
      <c r="E237" s="497" t="s">
        <v>6251</v>
      </c>
      <c r="F237" s="498" t="s">
        <v>6233</v>
      </c>
      <c r="G237" s="498" t="s">
        <v>12140</v>
      </c>
      <c r="H237" s="499">
        <v>42</v>
      </c>
      <c r="I237" s="498" t="s">
        <v>6253</v>
      </c>
      <c r="J237" s="498" t="s">
        <v>12007</v>
      </c>
      <c r="K237" s="498" t="s">
        <v>6036</v>
      </c>
      <c r="L237" s="498">
        <v>0</v>
      </c>
      <c r="M237" s="500">
        <v>0</v>
      </c>
    </row>
    <row r="238" spans="1:13" ht="11.1" customHeight="1">
      <c r="A238" s="501" t="s">
        <v>12957</v>
      </c>
      <c r="B238" s="280" t="s">
        <v>6230</v>
      </c>
      <c r="C238" s="515">
        <v>89873</v>
      </c>
      <c r="D238" s="503">
        <v>43.863168272374985</v>
      </c>
      <c r="E238" s="504">
        <v>89.126123088518213</v>
      </c>
      <c r="F238" s="278" t="s">
        <v>6233</v>
      </c>
      <c r="G238" s="278" t="s">
        <v>12139</v>
      </c>
      <c r="H238" s="505">
        <v>64</v>
      </c>
      <c r="I238" s="278" t="s">
        <v>6257</v>
      </c>
      <c r="J238" s="278" t="s">
        <v>12028</v>
      </c>
      <c r="K238" s="278" t="s">
        <v>6209</v>
      </c>
      <c r="L238" s="278">
        <v>7</v>
      </c>
      <c r="M238" s="308" t="s">
        <v>12622</v>
      </c>
    </row>
    <row r="239" spans="1:13" ht="11.1" customHeight="1">
      <c r="A239" s="501" t="s">
        <v>12958</v>
      </c>
      <c r="B239" s="280" t="s">
        <v>6231</v>
      </c>
      <c r="C239" s="515">
        <v>14183</v>
      </c>
      <c r="D239" s="503">
        <v>6.9221158257440436</v>
      </c>
      <c r="E239" s="504" t="s">
        <v>6262</v>
      </c>
      <c r="F239" s="278">
        <v>0</v>
      </c>
      <c r="G239" s="278" t="s">
        <v>6783</v>
      </c>
      <c r="H239" s="505">
        <v>45</v>
      </c>
      <c r="I239" s="278" t="s">
        <v>6264</v>
      </c>
      <c r="J239" s="278">
        <v>0</v>
      </c>
      <c r="K239" s="278" t="s">
        <v>6036</v>
      </c>
      <c r="L239" s="278">
        <v>0</v>
      </c>
      <c r="M239" s="308">
        <v>0</v>
      </c>
    </row>
    <row r="240" spans="1:13" ht="11.1" customHeight="1">
      <c r="A240" s="507" t="s">
        <v>12959</v>
      </c>
      <c r="B240" s="508" t="s">
        <v>12590</v>
      </c>
      <c r="C240" s="509">
        <v>111539</v>
      </c>
      <c r="D240" s="510">
        <v>48.372603357576232</v>
      </c>
      <c r="E240" s="511" t="s">
        <v>6251</v>
      </c>
      <c r="F240" s="514" t="s">
        <v>6233</v>
      </c>
      <c r="G240" s="514" t="s">
        <v>12142</v>
      </c>
      <c r="H240" s="513">
        <v>34</v>
      </c>
      <c r="I240" s="514" t="s">
        <v>6253</v>
      </c>
      <c r="J240" s="514" t="s">
        <v>12007</v>
      </c>
      <c r="K240" s="514" t="s">
        <v>6209</v>
      </c>
      <c r="L240" s="514">
        <v>1</v>
      </c>
      <c r="M240" s="341">
        <v>0</v>
      </c>
    </row>
    <row r="241" spans="1:13" ht="11.1" customHeight="1">
      <c r="A241" s="501" t="s">
        <v>12960</v>
      </c>
      <c r="B241" s="280" t="s">
        <v>6230</v>
      </c>
      <c r="C241" s="515">
        <v>93617</v>
      </c>
      <c r="D241" s="503">
        <v>40.600130972361363</v>
      </c>
      <c r="E241" s="504">
        <v>83.932077569280693</v>
      </c>
      <c r="F241" s="278" t="s">
        <v>6233</v>
      </c>
      <c r="G241" s="278" t="s">
        <v>12961</v>
      </c>
      <c r="H241" s="505">
        <v>66</v>
      </c>
      <c r="I241" s="278" t="s">
        <v>6257</v>
      </c>
      <c r="J241" s="278" t="s">
        <v>12631</v>
      </c>
      <c r="K241" s="278" t="s">
        <v>6283</v>
      </c>
      <c r="L241" s="278">
        <v>3</v>
      </c>
      <c r="M241" s="308" t="s">
        <v>12638</v>
      </c>
    </row>
    <row r="242" spans="1:13" ht="11.1" customHeight="1">
      <c r="A242" s="501" t="s">
        <v>12962</v>
      </c>
      <c r="B242" s="280" t="s">
        <v>6231</v>
      </c>
      <c r="C242" s="515">
        <v>18703</v>
      </c>
      <c r="D242" s="503">
        <v>8.1111790548305809</v>
      </c>
      <c r="E242" s="504" t="s">
        <v>6262</v>
      </c>
      <c r="F242" s="278">
        <v>0</v>
      </c>
      <c r="G242" s="278" t="s">
        <v>12963</v>
      </c>
      <c r="H242" s="505">
        <v>54</v>
      </c>
      <c r="I242" s="278" t="s">
        <v>6264</v>
      </c>
      <c r="J242" s="278">
        <v>0</v>
      </c>
      <c r="K242" s="278" t="s">
        <v>6036</v>
      </c>
      <c r="L242" s="278">
        <v>0</v>
      </c>
      <c r="M242" s="308">
        <v>0</v>
      </c>
    </row>
    <row r="243" spans="1:13" ht="11.1" customHeight="1">
      <c r="A243" s="501" t="s">
        <v>12964</v>
      </c>
      <c r="B243" s="280" t="s">
        <v>6231</v>
      </c>
      <c r="C243" s="515">
        <v>6724</v>
      </c>
      <c r="D243" s="503">
        <v>2.9160866152318254</v>
      </c>
      <c r="E243" s="504">
        <v>6.028384690556666</v>
      </c>
      <c r="F243" s="278" t="s">
        <v>6233</v>
      </c>
      <c r="G243" s="278" t="s">
        <v>12144</v>
      </c>
      <c r="H243" s="505">
        <v>62</v>
      </c>
      <c r="I243" s="278" t="s">
        <v>6278</v>
      </c>
      <c r="J243" s="278">
        <v>0</v>
      </c>
      <c r="K243" s="278" t="s">
        <v>6036</v>
      </c>
      <c r="L243" s="278">
        <v>0</v>
      </c>
      <c r="M243" s="308">
        <v>0</v>
      </c>
    </row>
    <row r="244" spans="1:13" ht="11.1" customHeight="1">
      <c r="A244" s="507" t="s">
        <v>12965</v>
      </c>
      <c r="B244" s="508" t="s">
        <v>12590</v>
      </c>
      <c r="C244" s="509">
        <v>85610</v>
      </c>
      <c r="D244" s="510">
        <v>47.8078527511434</v>
      </c>
      <c r="E244" s="511" t="s">
        <v>6251</v>
      </c>
      <c r="F244" s="514" t="s">
        <v>6233</v>
      </c>
      <c r="G244" s="514" t="s">
        <v>6795</v>
      </c>
      <c r="H244" s="513">
        <v>46</v>
      </c>
      <c r="I244" s="514" t="s">
        <v>6253</v>
      </c>
      <c r="J244" s="514" t="s">
        <v>12020</v>
      </c>
      <c r="K244" s="514" t="s">
        <v>6036</v>
      </c>
      <c r="L244" s="514">
        <v>0</v>
      </c>
      <c r="M244" s="341">
        <v>0</v>
      </c>
    </row>
    <row r="245" spans="1:13" ht="11.1" customHeight="1">
      <c r="A245" s="501" t="s">
        <v>12966</v>
      </c>
      <c r="B245" s="516" t="s">
        <v>12602</v>
      </c>
      <c r="C245" s="515">
        <v>84693</v>
      </c>
      <c r="D245" s="503">
        <v>47.29576536680981</v>
      </c>
      <c r="E245" s="504">
        <v>98.92886345053148</v>
      </c>
      <c r="F245" s="517" t="s">
        <v>6233</v>
      </c>
      <c r="G245" s="517" t="s">
        <v>6797</v>
      </c>
      <c r="H245" s="518">
        <v>41</v>
      </c>
      <c r="I245" s="517" t="s">
        <v>6257</v>
      </c>
      <c r="J245" s="517" t="s">
        <v>12631</v>
      </c>
      <c r="K245" s="517" t="s">
        <v>6209</v>
      </c>
      <c r="L245" s="517">
        <v>1</v>
      </c>
      <c r="M245" s="308" t="s">
        <v>6260</v>
      </c>
    </row>
    <row r="246" spans="1:13" ht="11.1" customHeight="1">
      <c r="A246" s="501" t="s">
        <v>12967</v>
      </c>
      <c r="B246" s="280" t="s">
        <v>6231</v>
      </c>
      <c r="C246" s="515">
        <v>8768</v>
      </c>
      <c r="D246" s="503">
        <v>4.8963818820467857</v>
      </c>
      <c r="E246" s="504" t="s">
        <v>6262</v>
      </c>
      <c r="F246" s="278">
        <v>0</v>
      </c>
      <c r="G246" s="278" t="s">
        <v>12147</v>
      </c>
      <c r="H246" s="505">
        <v>55</v>
      </c>
      <c r="I246" s="278" t="s">
        <v>6264</v>
      </c>
      <c r="J246" s="278">
        <v>0</v>
      </c>
      <c r="K246" s="278" t="s">
        <v>6036</v>
      </c>
      <c r="L246" s="278">
        <v>0</v>
      </c>
      <c r="M246" s="308">
        <v>0</v>
      </c>
    </row>
    <row r="247" spans="1:13" ht="11.1" customHeight="1">
      <c r="A247" s="507" t="s">
        <v>12968</v>
      </c>
      <c r="B247" s="508" t="s">
        <v>12590</v>
      </c>
      <c r="C247" s="509">
        <v>135522</v>
      </c>
      <c r="D247" s="510">
        <v>55.767157447719065</v>
      </c>
      <c r="E247" s="511" t="s">
        <v>6251</v>
      </c>
      <c r="F247" s="514" t="s">
        <v>6233</v>
      </c>
      <c r="G247" s="514" t="s">
        <v>6801</v>
      </c>
      <c r="H247" s="513">
        <v>46</v>
      </c>
      <c r="I247" s="514" t="s">
        <v>6253</v>
      </c>
      <c r="J247" s="514" t="s">
        <v>11994</v>
      </c>
      <c r="K247" s="514" t="s">
        <v>6209</v>
      </c>
      <c r="L247" s="514">
        <v>2</v>
      </c>
      <c r="M247" s="341">
        <v>0</v>
      </c>
    </row>
    <row r="248" spans="1:13" ht="11.1" customHeight="1">
      <c r="A248" s="501" t="s">
        <v>12969</v>
      </c>
      <c r="B248" s="280" t="s">
        <v>6230</v>
      </c>
      <c r="C248" s="515">
        <v>80051</v>
      </c>
      <c r="D248" s="503">
        <v>32.940900524249635</v>
      </c>
      <c r="E248" s="504">
        <v>59.068638302268269</v>
      </c>
      <c r="F248" s="278" t="s">
        <v>6233</v>
      </c>
      <c r="G248" s="278" t="s">
        <v>12970</v>
      </c>
      <c r="H248" s="505">
        <v>44</v>
      </c>
      <c r="I248" s="278" t="s">
        <v>6257</v>
      </c>
      <c r="J248" s="278" t="s">
        <v>12631</v>
      </c>
      <c r="K248" s="278" t="s">
        <v>6036</v>
      </c>
      <c r="L248" s="278">
        <v>0</v>
      </c>
      <c r="M248" s="308">
        <v>0</v>
      </c>
    </row>
    <row r="249" spans="1:13" ht="11.1" customHeight="1">
      <c r="A249" s="501" t="s">
        <v>12971</v>
      </c>
      <c r="B249" s="280"/>
      <c r="C249" s="515">
        <v>27441</v>
      </c>
      <c r="D249" s="503">
        <v>11.291942028031308</v>
      </c>
      <c r="E249" s="504" t="s">
        <v>6262</v>
      </c>
      <c r="F249" s="278">
        <v>0</v>
      </c>
      <c r="G249" s="278" t="s">
        <v>12972</v>
      </c>
      <c r="H249" s="505">
        <v>55</v>
      </c>
      <c r="I249" s="278" t="s">
        <v>6264</v>
      </c>
      <c r="J249" s="278">
        <v>0</v>
      </c>
      <c r="K249" s="278" t="s">
        <v>6036</v>
      </c>
      <c r="L249" s="278">
        <v>0</v>
      </c>
      <c r="M249" s="308">
        <v>0</v>
      </c>
    </row>
    <row r="250" spans="1:13" ht="11.1" customHeight="1">
      <c r="A250" s="507" t="s">
        <v>12973</v>
      </c>
      <c r="B250" s="508" t="s">
        <v>12590</v>
      </c>
      <c r="C250" s="509">
        <v>76671</v>
      </c>
      <c r="D250" s="510">
        <v>38.945780378531587</v>
      </c>
      <c r="E250" s="511" t="s">
        <v>6251</v>
      </c>
      <c r="F250" s="514" t="s">
        <v>6233</v>
      </c>
      <c r="G250" s="514" t="s">
        <v>6811</v>
      </c>
      <c r="H250" s="513">
        <v>29</v>
      </c>
      <c r="I250" s="514" t="s">
        <v>6253</v>
      </c>
      <c r="J250" s="514" t="s">
        <v>12007</v>
      </c>
      <c r="K250" s="514" t="s">
        <v>6036</v>
      </c>
      <c r="L250" s="514">
        <v>0</v>
      </c>
      <c r="M250" s="341">
        <v>0</v>
      </c>
    </row>
    <row r="251" spans="1:13" ht="11.1" customHeight="1">
      <c r="A251" s="501" t="s">
        <v>12974</v>
      </c>
      <c r="B251" s="280" t="s">
        <v>6230</v>
      </c>
      <c r="C251" s="515">
        <v>64393</v>
      </c>
      <c r="D251" s="503">
        <v>32.709050826450479</v>
      </c>
      <c r="E251" s="504">
        <v>83.986122523509536</v>
      </c>
      <c r="F251" s="278" t="s">
        <v>6233</v>
      </c>
      <c r="G251" s="278" t="s">
        <v>6813</v>
      </c>
      <c r="H251" s="505">
        <v>31</v>
      </c>
      <c r="I251" s="278" t="s">
        <v>6257</v>
      </c>
      <c r="J251" s="278" t="s">
        <v>12975</v>
      </c>
      <c r="K251" s="278" t="s">
        <v>6036</v>
      </c>
      <c r="L251" s="278">
        <v>0</v>
      </c>
      <c r="M251" s="308" t="s">
        <v>6260</v>
      </c>
    </row>
    <row r="252" spans="1:13" ht="11.1" customHeight="1">
      <c r="A252" s="501" t="s">
        <v>12976</v>
      </c>
      <c r="B252" s="280" t="s">
        <v>6230</v>
      </c>
      <c r="C252" s="515">
        <v>41883</v>
      </c>
      <c r="D252" s="503">
        <v>21.274877327725459</v>
      </c>
      <c r="E252" s="504" t="s">
        <v>6262</v>
      </c>
      <c r="F252" s="278">
        <v>0</v>
      </c>
      <c r="G252" s="278" t="s">
        <v>12977</v>
      </c>
      <c r="H252" s="505">
        <v>46</v>
      </c>
      <c r="I252" s="278" t="s">
        <v>11993</v>
      </c>
      <c r="J252" s="278" t="s">
        <v>12978</v>
      </c>
      <c r="K252" s="278" t="s">
        <v>6209</v>
      </c>
      <c r="L252" s="278">
        <v>3</v>
      </c>
      <c r="M252" s="308">
        <v>0</v>
      </c>
    </row>
    <row r="253" spans="1:13" ht="11.1" customHeight="1">
      <c r="A253" s="501" t="s">
        <v>12979</v>
      </c>
      <c r="B253" s="280" t="s">
        <v>6231</v>
      </c>
      <c r="C253" s="515">
        <v>13919</v>
      </c>
      <c r="D253" s="503">
        <v>7.0702914672924733</v>
      </c>
      <c r="E253" s="504" t="s">
        <v>6262</v>
      </c>
      <c r="F253" s="278">
        <v>0</v>
      </c>
      <c r="G253" s="278" t="s">
        <v>12980</v>
      </c>
      <c r="H253" s="505">
        <v>65</v>
      </c>
      <c r="I253" s="278" t="s">
        <v>6264</v>
      </c>
      <c r="J253" s="278">
        <v>0</v>
      </c>
      <c r="K253" s="278" t="s">
        <v>6036</v>
      </c>
      <c r="L253" s="278">
        <v>0</v>
      </c>
      <c r="M253" s="308">
        <v>0</v>
      </c>
    </row>
    <row r="254" spans="1:13" ht="11.1" customHeight="1">
      <c r="A254" s="507" t="s">
        <v>12981</v>
      </c>
      <c r="B254" s="508" t="s">
        <v>12590</v>
      </c>
      <c r="C254" s="509">
        <v>83985</v>
      </c>
      <c r="D254" s="510">
        <v>46.754179401105603</v>
      </c>
      <c r="E254" s="511" t="s">
        <v>6251</v>
      </c>
      <c r="F254" s="514" t="s">
        <v>6233</v>
      </c>
      <c r="G254" s="514" t="s">
        <v>6819</v>
      </c>
      <c r="H254" s="513">
        <v>56</v>
      </c>
      <c r="I254" s="514" t="s">
        <v>6253</v>
      </c>
      <c r="J254" s="514" t="s">
        <v>12000</v>
      </c>
      <c r="K254" s="514" t="s">
        <v>6209</v>
      </c>
      <c r="L254" s="514">
        <v>2</v>
      </c>
      <c r="M254" s="341">
        <v>0</v>
      </c>
    </row>
    <row r="255" spans="1:13" ht="11.1" customHeight="1">
      <c r="A255" s="501" t="s">
        <v>12982</v>
      </c>
      <c r="B255" s="516" t="s">
        <v>12602</v>
      </c>
      <c r="C255" s="515">
        <v>79161</v>
      </c>
      <c r="D255" s="503">
        <v>44.068674115269637</v>
      </c>
      <c r="E255" s="504">
        <v>94.256117163779251</v>
      </c>
      <c r="F255" s="517" t="s">
        <v>6233</v>
      </c>
      <c r="G255" s="517" t="s">
        <v>6821</v>
      </c>
      <c r="H255" s="518">
        <v>53</v>
      </c>
      <c r="I255" s="517" t="s">
        <v>6257</v>
      </c>
      <c r="J255" s="517" t="s">
        <v>12621</v>
      </c>
      <c r="K255" s="517" t="s">
        <v>6209</v>
      </c>
      <c r="L255" s="517">
        <v>2</v>
      </c>
      <c r="M255" s="308" t="s">
        <v>6260</v>
      </c>
    </row>
    <row r="256" spans="1:13" ht="11.1" customHeight="1">
      <c r="A256" s="501" t="s">
        <v>12983</v>
      </c>
      <c r="B256" s="280" t="s">
        <v>6231</v>
      </c>
      <c r="C256" s="515">
        <v>16485</v>
      </c>
      <c r="D256" s="503">
        <v>9.1771464836247638</v>
      </c>
      <c r="E256" s="504" t="s">
        <v>6262</v>
      </c>
      <c r="F256" s="278">
        <v>0</v>
      </c>
      <c r="G256" s="278" t="s">
        <v>12152</v>
      </c>
      <c r="H256" s="505">
        <v>59</v>
      </c>
      <c r="I256" s="278" t="s">
        <v>6264</v>
      </c>
      <c r="J256" s="278">
        <v>0</v>
      </c>
      <c r="K256" s="278" t="s">
        <v>6036</v>
      </c>
      <c r="L256" s="278">
        <v>0</v>
      </c>
      <c r="M256" s="308">
        <v>0</v>
      </c>
    </row>
    <row r="257" spans="1:13" ht="11.1" customHeight="1">
      <c r="A257" s="507" t="s">
        <v>12984</v>
      </c>
      <c r="B257" s="508" t="s">
        <v>12590</v>
      </c>
      <c r="C257" s="509">
        <v>96915</v>
      </c>
      <c r="D257" s="510">
        <v>48.030032708890872</v>
      </c>
      <c r="E257" s="511" t="s">
        <v>6251</v>
      </c>
      <c r="F257" s="514" t="s">
        <v>6233</v>
      </c>
      <c r="G257" s="514" t="s">
        <v>12153</v>
      </c>
      <c r="H257" s="513">
        <v>49</v>
      </c>
      <c r="I257" s="514" t="s">
        <v>6253</v>
      </c>
      <c r="J257" s="514" t="s">
        <v>12007</v>
      </c>
      <c r="K257" s="514" t="s">
        <v>6036</v>
      </c>
      <c r="L257" s="514">
        <v>0</v>
      </c>
      <c r="M257" s="341">
        <v>0</v>
      </c>
    </row>
    <row r="258" spans="1:13" ht="11.1" customHeight="1">
      <c r="A258" s="501" t="s">
        <v>12985</v>
      </c>
      <c r="B258" s="280" t="s">
        <v>6230</v>
      </c>
      <c r="C258" s="515">
        <v>83899</v>
      </c>
      <c r="D258" s="503">
        <v>41.579442957676676</v>
      </c>
      <c r="E258" s="504">
        <v>86.569674456998399</v>
      </c>
      <c r="F258" s="278" t="s">
        <v>6233</v>
      </c>
      <c r="G258" s="278" t="s">
        <v>6827</v>
      </c>
      <c r="H258" s="505">
        <v>38</v>
      </c>
      <c r="I258" s="278" t="s">
        <v>6257</v>
      </c>
      <c r="J258" s="278" t="s">
        <v>12621</v>
      </c>
      <c r="K258" s="278" t="s">
        <v>6036</v>
      </c>
      <c r="L258" s="278">
        <v>0</v>
      </c>
      <c r="M258" s="308">
        <v>0</v>
      </c>
    </row>
    <row r="259" spans="1:13" ht="11.1" customHeight="1">
      <c r="A259" s="501" t="s">
        <v>12986</v>
      </c>
      <c r="B259" s="280" t="s">
        <v>6231</v>
      </c>
      <c r="C259" s="515">
        <v>16481</v>
      </c>
      <c r="D259" s="503">
        <v>8.1678065219546045</v>
      </c>
      <c r="E259" s="504" t="s">
        <v>6262</v>
      </c>
      <c r="F259" s="278">
        <v>0</v>
      </c>
      <c r="G259" s="278" t="s">
        <v>12987</v>
      </c>
      <c r="H259" s="505">
        <v>60</v>
      </c>
      <c r="I259" s="278" t="s">
        <v>6264</v>
      </c>
      <c r="J259" s="278">
        <v>0</v>
      </c>
      <c r="K259" s="278" t="s">
        <v>6036</v>
      </c>
      <c r="L259" s="278">
        <v>0</v>
      </c>
      <c r="M259" s="308">
        <v>0</v>
      </c>
    </row>
    <row r="260" spans="1:13" ht="11.1" customHeight="1">
      <c r="A260" s="501" t="s">
        <v>12988</v>
      </c>
      <c r="B260" s="280" t="s">
        <v>6231</v>
      </c>
      <c r="C260" s="515">
        <v>4485</v>
      </c>
      <c r="D260" s="503">
        <v>2.222717811477847</v>
      </c>
      <c r="E260" s="504" t="s">
        <v>6262</v>
      </c>
      <c r="F260" s="278">
        <v>0</v>
      </c>
      <c r="G260" s="278" t="s">
        <v>12989</v>
      </c>
      <c r="H260" s="505">
        <v>62</v>
      </c>
      <c r="I260" s="278" t="s">
        <v>6322</v>
      </c>
      <c r="J260" s="278">
        <v>0</v>
      </c>
      <c r="K260" s="278" t="s">
        <v>6036</v>
      </c>
      <c r="L260" s="278">
        <v>0</v>
      </c>
      <c r="M260" s="308">
        <v>0</v>
      </c>
    </row>
    <row r="261" spans="1:13" ht="11.1" customHeight="1">
      <c r="A261" s="507" t="s">
        <v>12990</v>
      </c>
      <c r="B261" s="508" t="s">
        <v>12590</v>
      </c>
      <c r="C261" s="509">
        <v>100794</v>
      </c>
      <c r="D261" s="510">
        <v>46.763911700025055</v>
      </c>
      <c r="E261" s="511" t="s">
        <v>6251</v>
      </c>
      <c r="F261" s="514" t="s">
        <v>6233</v>
      </c>
      <c r="G261" s="514" t="s">
        <v>6839</v>
      </c>
      <c r="H261" s="513">
        <v>60</v>
      </c>
      <c r="I261" s="514" t="s">
        <v>6253</v>
      </c>
      <c r="J261" s="514" t="s">
        <v>11994</v>
      </c>
      <c r="K261" s="514" t="s">
        <v>6209</v>
      </c>
      <c r="L261" s="514">
        <v>2</v>
      </c>
      <c r="M261" s="341">
        <v>0</v>
      </c>
    </row>
    <row r="262" spans="1:13" ht="11.1" customHeight="1">
      <c r="A262" s="501" t="s">
        <v>12991</v>
      </c>
      <c r="B262" s="516" t="s">
        <v>12602</v>
      </c>
      <c r="C262" s="515">
        <v>95627</v>
      </c>
      <c r="D262" s="503">
        <v>44.366654603828557</v>
      </c>
      <c r="E262" s="504">
        <v>94.873702799769831</v>
      </c>
      <c r="F262" s="517" t="s">
        <v>6233</v>
      </c>
      <c r="G262" s="517" t="s">
        <v>12992</v>
      </c>
      <c r="H262" s="518">
        <v>53</v>
      </c>
      <c r="I262" s="517" t="s">
        <v>6257</v>
      </c>
      <c r="J262" s="517" t="s">
        <v>12621</v>
      </c>
      <c r="K262" s="517" t="s">
        <v>6209</v>
      </c>
      <c r="L262" s="517">
        <v>2</v>
      </c>
      <c r="M262" s="308" t="s">
        <v>6260</v>
      </c>
    </row>
    <row r="263" spans="1:13" ht="11.1" customHeight="1">
      <c r="A263" s="501" t="s">
        <v>12993</v>
      </c>
      <c r="B263" s="280" t="s">
        <v>6231</v>
      </c>
      <c r="C263" s="515">
        <v>19117</v>
      </c>
      <c r="D263" s="503">
        <v>8.8694336961463875</v>
      </c>
      <c r="E263" s="504" t="s">
        <v>6262</v>
      </c>
      <c r="F263" s="278">
        <v>0</v>
      </c>
      <c r="G263" s="278" t="s">
        <v>6843</v>
      </c>
      <c r="H263" s="505">
        <v>50</v>
      </c>
      <c r="I263" s="278" t="s">
        <v>6264</v>
      </c>
      <c r="J263" s="278">
        <v>0</v>
      </c>
      <c r="K263" s="278" t="s">
        <v>6036</v>
      </c>
      <c r="L263" s="278">
        <v>0</v>
      </c>
      <c r="M263" s="308">
        <v>0</v>
      </c>
    </row>
    <row r="264" spans="1:13" ht="11.1" customHeight="1">
      <c r="A264" s="507" t="s">
        <v>12994</v>
      </c>
      <c r="B264" s="519" t="s">
        <v>12590</v>
      </c>
      <c r="C264" s="520">
        <v>103199</v>
      </c>
      <c r="D264" s="521">
        <v>49.342570811100273</v>
      </c>
      <c r="E264" s="522" t="s">
        <v>6251</v>
      </c>
      <c r="F264" s="523" t="s">
        <v>6233</v>
      </c>
      <c r="G264" s="523" t="s">
        <v>6849</v>
      </c>
      <c r="H264" s="524">
        <v>37</v>
      </c>
      <c r="I264" s="523" t="s">
        <v>6257</v>
      </c>
      <c r="J264" s="523" t="s">
        <v>12635</v>
      </c>
      <c r="K264" s="523" t="s">
        <v>6209</v>
      </c>
      <c r="L264" s="523">
        <v>2</v>
      </c>
      <c r="M264" s="525" t="s">
        <v>6260</v>
      </c>
    </row>
    <row r="265" spans="1:13" ht="11.1" customHeight="1">
      <c r="A265" s="501" t="s">
        <v>12995</v>
      </c>
      <c r="B265" s="516" t="s">
        <v>12602</v>
      </c>
      <c r="C265" s="515">
        <v>89057</v>
      </c>
      <c r="D265" s="503">
        <v>42.580851836976684</v>
      </c>
      <c r="E265" s="504">
        <v>86.296378840880237</v>
      </c>
      <c r="F265" s="512" t="s">
        <v>6233</v>
      </c>
      <c r="G265" s="512" t="s">
        <v>12157</v>
      </c>
      <c r="H265" s="526">
        <v>46</v>
      </c>
      <c r="I265" s="512" t="s">
        <v>6253</v>
      </c>
      <c r="J265" s="512" t="s">
        <v>11994</v>
      </c>
      <c r="K265" s="512" t="s">
        <v>6283</v>
      </c>
      <c r="L265" s="512">
        <v>1</v>
      </c>
      <c r="M265" s="308">
        <v>0</v>
      </c>
    </row>
    <row r="266" spans="1:13" ht="11.1" customHeight="1">
      <c r="A266" s="501" t="s">
        <v>12996</v>
      </c>
      <c r="B266" s="280" t="s">
        <v>6231</v>
      </c>
      <c r="C266" s="515">
        <v>16892</v>
      </c>
      <c r="D266" s="503">
        <v>8.0765773519230404</v>
      </c>
      <c r="E266" s="504" t="s">
        <v>6262</v>
      </c>
      <c r="F266" s="278">
        <v>0</v>
      </c>
      <c r="G266" s="278" t="s">
        <v>12997</v>
      </c>
      <c r="H266" s="505">
        <v>62</v>
      </c>
      <c r="I266" s="278" t="s">
        <v>6264</v>
      </c>
      <c r="J266" s="278">
        <v>0</v>
      </c>
      <c r="K266" s="278" t="s">
        <v>6036</v>
      </c>
      <c r="L266" s="278">
        <v>0</v>
      </c>
      <c r="M266" s="308">
        <v>0</v>
      </c>
    </row>
    <row r="267" spans="1:13" ht="11.1" customHeight="1">
      <c r="A267" s="507" t="s">
        <v>12998</v>
      </c>
      <c r="B267" s="519" t="s">
        <v>12590</v>
      </c>
      <c r="C267" s="520">
        <v>94946</v>
      </c>
      <c r="D267" s="521">
        <v>43.574398560768081</v>
      </c>
      <c r="E267" s="522" t="s">
        <v>6251</v>
      </c>
      <c r="F267" s="523" t="s">
        <v>6233</v>
      </c>
      <c r="G267" s="523" t="s">
        <v>12159</v>
      </c>
      <c r="H267" s="524">
        <v>56</v>
      </c>
      <c r="I267" s="523" t="s">
        <v>6257</v>
      </c>
      <c r="J267" s="523" t="s">
        <v>12674</v>
      </c>
      <c r="K267" s="523" t="s">
        <v>6209</v>
      </c>
      <c r="L267" s="523">
        <v>3</v>
      </c>
      <c r="M267" s="525" t="s">
        <v>12638</v>
      </c>
    </row>
    <row r="268" spans="1:13" ht="11.1" customHeight="1">
      <c r="A268" s="501" t="s">
        <v>12999</v>
      </c>
      <c r="B268" s="280" t="s">
        <v>6230</v>
      </c>
      <c r="C268" s="515">
        <v>81950</v>
      </c>
      <c r="D268" s="503">
        <v>37.610030565320756</v>
      </c>
      <c r="E268" s="504" t="s">
        <v>6262</v>
      </c>
      <c r="F268" s="278">
        <v>0</v>
      </c>
      <c r="G268" s="278" t="s">
        <v>6855</v>
      </c>
      <c r="H268" s="505">
        <v>40</v>
      </c>
      <c r="I268" s="278" t="s">
        <v>6322</v>
      </c>
      <c r="J268" s="278" t="s">
        <v>6323</v>
      </c>
      <c r="K268" s="278" t="s">
        <v>6036</v>
      </c>
      <c r="L268" s="278">
        <v>0</v>
      </c>
      <c r="M268" s="308">
        <v>0</v>
      </c>
    </row>
    <row r="269" spans="1:13" ht="11.1" customHeight="1">
      <c r="A269" s="501" t="s">
        <v>13000</v>
      </c>
      <c r="B269" s="280"/>
      <c r="C269" s="515">
        <v>31864</v>
      </c>
      <c r="D269" s="503">
        <v>14.623624331096773</v>
      </c>
      <c r="E269" s="504">
        <v>33.56012891538348</v>
      </c>
      <c r="F269" s="278" t="s">
        <v>6233</v>
      </c>
      <c r="G269" s="278" t="s">
        <v>13001</v>
      </c>
      <c r="H269" s="505">
        <v>48</v>
      </c>
      <c r="I269" s="278" t="s">
        <v>6253</v>
      </c>
      <c r="J269" s="278" t="s">
        <v>11994</v>
      </c>
      <c r="K269" s="278" t="s">
        <v>6036</v>
      </c>
      <c r="L269" s="278">
        <v>0</v>
      </c>
      <c r="M269" s="308">
        <v>0</v>
      </c>
    </row>
    <row r="270" spans="1:13" ht="11.1" customHeight="1">
      <c r="A270" s="501" t="s">
        <v>13002</v>
      </c>
      <c r="B270" s="280" t="s">
        <v>6231</v>
      </c>
      <c r="C270" s="515">
        <v>7595</v>
      </c>
      <c r="D270" s="503">
        <v>3.4856398065114229</v>
      </c>
      <c r="E270" s="504" t="s">
        <v>6262</v>
      </c>
      <c r="F270" s="278">
        <v>0</v>
      </c>
      <c r="G270" s="278" t="s">
        <v>12160</v>
      </c>
      <c r="H270" s="505">
        <v>59</v>
      </c>
      <c r="I270" s="278" t="s">
        <v>6264</v>
      </c>
      <c r="J270" s="278">
        <v>0</v>
      </c>
      <c r="K270" s="278" t="s">
        <v>6036</v>
      </c>
      <c r="L270" s="278">
        <v>0</v>
      </c>
      <c r="M270" s="308">
        <v>0</v>
      </c>
    </row>
    <row r="271" spans="1:13" ht="11.1" customHeight="1">
      <c r="A271" s="501" t="s">
        <v>13003</v>
      </c>
      <c r="B271" s="280" t="s">
        <v>6231</v>
      </c>
      <c r="C271" s="515">
        <v>1539</v>
      </c>
      <c r="D271" s="503">
        <v>0.70630673630297303</v>
      </c>
      <c r="E271" s="504" t="s">
        <v>6262</v>
      </c>
      <c r="F271" s="278">
        <v>0</v>
      </c>
      <c r="G271" s="278" t="s">
        <v>13004</v>
      </c>
      <c r="H271" s="505">
        <v>72</v>
      </c>
      <c r="I271" s="278" t="s">
        <v>6322</v>
      </c>
      <c r="J271" s="278">
        <v>0</v>
      </c>
      <c r="K271" s="278" t="s">
        <v>6036</v>
      </c>
      <c r="L271" s="278">
        <v>0</v>
      </c>
      <c r="M271" s="308">
        <v>0</v>
      </c>
    </row>
    <row r="272" spans="1:13" ht="11.1" customHeight="1">
      <c r="A272" s="507" t="s">
        <v>13005</v>
      </c>
      <c r="B272" s="519" t="s">
        <v>12590</v>
      </c>
      <c r="C272" s="520">
        <v>130863</v>
      </c>
      <c r="D272" s="521">
        <v>63.061339552904101</v>
      </c>
      <c r="E272" s="522" t="s">
        <v>6251</v>
      </c>
      <c r="F272" s="523" t="s">
        <v>6233</v>
      </c>
      <c r="G272" s="523" t="s">
        <v>12161</v>
      </c>
      <c r="H272" s="524">
        <v>55</v>
      </c>
      <c r="I272" s="523" t="s">
        <v>6257</v>
      </c>
      <c r="J272" s="523" t="s">
        <v>12975</v>
      </c>
      <c r="K272" s="523" t="s">
        <v>6209</v>
      </c>
      <c r="L272" s="523">
        <v>4</v>
      </c>
      <c r="M272" s="525" t="s">
        <v>12638</v>
      </c>
    </row>
    <row r="273" spans="1:13" ht="11.1" customHeight="1">
      <c r="A273" s="501" t="s">
        <v>13006</v>
      </c>
      <c r="B273" s="516" t="s">
        <v>12602</v>
      </c>
      <c r="C273" s="515">
        <v>60296</v>
      </c>
      <c r="D273" s="503">
        <v>29.055932766954033</v>
      </c>
      <c r="E273" s="504">
        <v>46.075666918838785</v>
      </c>
      <c r="F273" s="512" t="s">
        <v>6233</v>
      </c>
      <c r="G273" s="512" t="s">
        <v>13007</v>
      </c>
      <c r="H273" s="526">
        <v>45</v>
      </c>
      <c r="I273" s="512" t="s">
        <v>6253</v>
      </c>
      <c r="J273" s="512" t="s">
        <v>11994</v>
      </c>
      <c r="K273" s="512" t="s">
        <v>6209</v>
      </c>
      <c r="L273" s="512">
        <v>2</v>
      </c>
      <c r="M273" s="308">
        <v>0</v>
      </c>
    </row>
    <row r="274" spans="1:13" ht="11.1" customHeight="1">
      <c r="A274" s="501" t="s">
        <v>13008</v>
      </c>
      <c r="B274" s="280" t="s">
        <v>6231</v>
      </c>
      <c r="C274" s="515">
        <v>16358</v>
      </c>
      <c r="D274" s="503">
        <v>7.8827276801418682</v>
      </c>
      <c r="E274" s="504" t="s">
        <v>6262</v>
      </c>
      <c r="F274" s="278">
        <v>0</v>
      </c>
      <c r="G274" s="278" t="s">
        <v>13009</v>
      </c>
      <c r="H274" s="505">
        <v>40</v>
      </c>
      <c r="I274" s="278" t="s">
        <v>6264</v>
      </c>
      <c r="J274" s="278">
        <v>0</v>
      </c>
      <c r="K274" s="278" t="s">
        <v>6036</v>
      </c>
      <c r="L274" s="278">
        <v>0</v>
      </c>
      <c r="M274" s="308">
        <v>0</v>
      </c>
    </row>
    <row r="275" spans="1:13" ht="11.1" customHeight="1">
      <c r="A275" s="507" t="s">
        <v>13010</v>
      </c>
      <c r="B275" s="519" t="s">
        <v>12590</v>
      </c>
      <c r="C275" s="520">
        <v>115708</v>
      </c>
      <c r="D275" s="521">
        <v>53.934825877603913</v>
      </c>
      <c r="E275" s="522" t="s">
        <v>6251</v>
      </c>
      <c r="F275" s="523" t="s">
        <v>6233</v>
      </c>
      <c r="G275" s="523" t="s">
        <v>6867</v>
      </c>
      <c r="H275" s="524">
        <v>48</v>
      </c>
      <c r="I275" s="523" t="s">
        <v>6257</v>
      </c>
      <c r="J275" s="523" t="s">
        <v>12617</v>
      </c>
      <c r="K275" s="523" t="s">
        <v>6209</v>
      </c>
      <c r="L275" s="523">
        <v>3</v>
      </c>
      <c r="M275" s="525" t="s">
        <v>12638</v>
      </c>
    </row>
    <row r="276" spans="1:13" ht="11.1" customHeight="1">
      <c r="A276" s="501" t="s">
        <v>13011</v>
      </c>
      <c r="B276" s="516" t="s">
        <v>12602</v>
      </c>
      <c r="C276" s="515">
        <v>87522</v>
      </c>
      <c r="D276" s="503">
        <v>40.796520814979516</v>
      </c>
      <c r="E276" s="504">
        <v>75.640405157811045</v>
      </c>
      <c r="F276" s="512" t="s">
        <v>6233</v>
      </c>
      <c r="G276" s="512" t="s">
        <v>12164</v>
      </c>
      <c r="H276" s="526">
        <v>38</v>
      </c>
      <c r="I276" s="512" t="s">
        <v>6253</v>
      </c>
      <c r="J276" s="512" t="s">
        <v>12007</v>
      </c>
      <c r="K276" s="512" t="s">
        <v>6036</v>
      </c>
      <c r="L276" s="512">
        <v>0</v>
      </c>
      <c r="M276" s="308">
        <v>0</v>
      </c>
    </row>
    <row r="277" spans="1:13" ht="11.1" customHeight="1">
      <c r="A277" s="501" t="s">
        <v>13012</v>
      </c>
      <c r="B277" s="280" t="s">
        <v>6231</v>
      </c>
      <c r="C277" s="515">
        <v>11303</v>
      </c>
      <c r="D277" s="503">
        <v>5.2686533074165744</v>
      </c>
      <c r="E277" s="504" t="s">
        <v>6262</v>
      </c>
      <c r="F277" s="278">
        <v>0</v>
      </c>
      <c r="G277" s="278" t="s">
        <v>12165</v>
      </c>
      <c r="H277" s="505">
        <v>48</v>
      </c>
      <c r="I277" s="278" t="s">
        <v>6264</v>
      </c>
      <c r="J277" s="278">
        <v>0</v>
      </c>
      <c r="K277" s="278" t="s">
        <v>6036</v>
      </c>
      <c r="L277" s="278">
        <v>0</v>
      </c>
      <c r="M277" s="308">
        <v>0</v>
      </c>
    </row>
    <row r="278" spans="1:13" ht="11.1" customHeight="1">
      <c r="A278" s="507" t="s">
        <v>13013</v>
      </c>
      <c r="B278" s="519" t="s">
        <v>12590</v>
      </c>
      <c r="C278" s="520">
        <v>81625</v>
      </c>
      <c r="D278" s="521">
        <v>48.302532147443294</v>
      </c>
      <c r="E278" s="522" t="s">
        <v>6251</v>
      </c>
      <c r="F278" s="523" t="s">
        <v>6233</v>
      </c>
      <c r="G278" s="523" t="s">
        <v>6875</v>
      </c>
      <c r="H278" s="524">
        <v>60</v>
      </c>
      <c r="I278" s="523" t="s">
        <v>6257</v>
      </c>
      <c r="J278" s="523" t="s">
        <v>12651</v>
      </c>
      <c r="K278" s="523" t="s">
        <v>6209</v>
      </c>
      <c r="L278" s="523">
        <v>3</v>
      </c>
      <c r="M278" s="525" t="s">
        <v>12638</v>
      </c>
    </row>
    <row r="279" spans="1:13" ht="11.1" customHeight="1">
      <c r="A279" s="501" t="s">
        <v>13014</v>
      </c>
      <c r="B279" s="516" t="s">
        <v>12602</v>
      </c>
      <c r="C279" s="515">
        <v>75927</v>
      </c>
      <c r="D279" s="503">
        <v>44.930675140691292</v>
      </c>
      <c r="E279" s="504">
        <v>93.019295558958646</v>
      </c>
      <c r="F279" s="512" t="s">
        <v>6233</v>
      </c>
      <c r="G279" s="512" t="s">
        <v>6873</v>
      </c>
      <c r="H279" s="526">
        <v>57</v>
      </c>
      <c r="I279" s="512" t="s">
        <v>6253</v>
      </c>
      <c r="J279" s="512" t="s">
        <v>12007</v>
      </c>
      <c r="K279" s="512" t="s">
        <v>6036</v>
      </c>
      <c r="L279" s="512">
        <v>0</v>
      </c>
      <c r="M279" s="308">
        <v>0</v>
      </c>
    </row>
    <row r="280" spans="1:13" ht="11.1" customHeight="1" thickBot="1">
      <c r="A280" s="527" t="s">
        <v>13015</v>
      </c>
      <c r="B280" s="528" t="s">
        <v>6231</v>
      </c>
      <c r="C280" s="529">
        <v>11435</v>
      </c>
      <c r="D280" s="530">
        <v>6.7667927118654099</v>
      </c>
      <c r="E280" s="531" t="s">
        <v>6262</v>
      </c>
      <c r="F280" s="532">
        <v>0</v>
      </c>
      <c r="G280" s="532" t="s">
        <v>12166</v>
      </c>
      <c r="H280" s="533">
        <v>31</v>
      </c>
      <c r="I280" s="532" t="s">
        <v>6264</v>
      </c>
      <c r="J280" s="532">
        <v>0</v>
      </c>
      <c r="K280" s="532" t="s">
        <v>6036</v>
      </c>
      <c r="L280" s="532">
        <v>0</v>
      </c>
      <c r="M280" s="347">
        <v>0</v>
      </c>
    </row>
    <row r="281" spans="1:13" ht="11.1" customHeight="1">
      <c r="A281" s="493" t="s">
        <v>13016</v>
      </c>
      <c r="B281" s="534" t="s">
        <v>12590</v>
      </c>
      <c r="C281" s="535">
        <v>111730</v>
      </c>
      <c r="D281" s="536">
        <v>47.558037576510849</v>
      </c>
      <c r="E281" s="537" t="s">
        <v>6251</v>
      </c>
      <c r="F281" s="538" t="s">
        <v>6233</v>
      </c>
      <c r="G281" s="538" t="s">
        <v>12167</v>
      </c>
      <c r="H281" s="539">
        <v>53</v>
      </c>
      <c r="I281" s="538" t="s">
        <v>6257</v>
      </c>
      <c r="J281" s="538" t="s">
        <v>12975</v>
      </c>
      <c r="K281" s="538" t="s">
        <v>6283</v>
      </c>
      <c r="L281" s="538">
        <v>1</v>
      </c>
      <c r="M281" s="373">
        <v>0</v>
      </c>
    </row>
    <row r="282" spans="1:13" ht="11.1" customHeight="1">
      <c r="A282" s="501" t="s">
        <v>13017</v>
      </c>
      <c r="B282" s="516" t="s">
        <v>12602</v>
      </c>
      <c r="C282" s="515">
        <v>97630</v>
      </c>
      <c r="D282" s="503">
        <v>41.556351996730996</v>
      </c>
      <c r="E282" s="504">
        <v>87.380291774814282</v>
      </c>
      <c r="F282" s="512" t="s">
        <v>6233</v>
      </c>
      <c r="G282" s="512" t="s">
        <v>12168</v>
      </c>
      <c r="H282" s="526">
        <v>56</v>
      </c>
      <c r="I282" s="512" t="s">
        <v>6253</v>
      </c>
      <c r="J282" s="512" t="s">
        <v>12000</v>
      </c>
      <c r="K282" s="512" t="s">
        <v>6209</v>
      </c>
      <c r="L282" s="512">
        <v>4</v>
      </c>
      <c r="M282" s="308" t="s">
        <v>13018</v>
      </c>
    </row>
    <row r="283" spans="1:13" ht="11.1" customHeight="1">
      <c r="A283" s="501" t="s">
        <v>13019</v>
      </c>
      <c r="B283" s="280" t="s">
        <v>6231</v>
      </c>
      <c r="C283" s="515">
        <v>15331</v>
      </c>
      <c r="D283" s="503">
        <v>6.5256625264968031</v>
      </c>
      <c r="E283" s="504" t="s">
        <v>6262</v>
      </c>
      <c r="F283" s="278">
        <v>0</v>
      </c>
      <c r="G283" s="278" t="s">
        <v>13020</v>
      </c>
      <c r="H283" s="505">
        <v>49</v>
      </c>
      <c r="I283" s="278" t="s">
        <v>6264</v>
      </c>
      <c r="J283" s="278">
        <v>0</v>
      </c>
      <c r="K283" s="278" t="s">
        <v>6036</v>
      </c>
      <c r="L283" s="278">
        <v>0</v>
      </c>
      <c r="M283" s="308">
        <v>0</v>
      </c>
    </row>
    <row r="284" spans="1:13" ht="11.1" customHeight="1">
      <c r="A284" s="501" t="s">
        <v>13021</v>
      </c>
      <c r="B284" s="280" t="s">
        <v>6231</v>
      </c>
      <c r="C284" s="515">
        <v>10243</v>
      </c>
      <c r="D284" s="503">
        <v>4.3599479002613499</v>
      </c>
      <c r="E284" s="504">
        <v>9.1676362659983894</v>
      </c>
      <c r="F284" s="278" t="s">
        <v>6233</v>
      </c>
      <c r="G284" s="278" t="s">
        <v>13022</v>
      </c>
      <c r="H284" s="505">
        <v>67</v>
      </c>
      <c r="I284" s="278" t="s">
        <v>6278</v>
      </c>
      <c r="J284" s="278">
        <v>0</v>
      </c>
      <c r="K284" s="278" t="s">
        <v>6036</v>
      </c>
      <c r="L284" s="278">
        <v>0</v>
      </c>
      <c r="M284" s="308">
        <v>0</v>
      </c>
    </row>
    <row r="285" spans="1:13" ht="11.1" customHeight="1">
      <c r="A285" s="507" t="s">
        <v>13023</v>
      </c>
      <c r="B285" s="519" t="s">
        <v>12590</v>
      </c>
      <c r="C285" s="520">
        <v>115495</v>
      </c>
      <c r="D285" s="521">
        <v>49.804224271015705</v>
      </c>
      <c r="E285" s="522" t="s">
        <v>6251</v>
      </c>
      <c r="F285" s="523" t="s">
        <v>6233</v>
      </c>
      <c r="G285" s="523" t="s">
        <v>12170</v>
      </c>
      <c r="H285" s="524">
        <v>54</v>
      </c>
      <c r="I285" s="523" t="s">
        <v>6257</v>
      </c>
      <c r="J285" s="523" t="s">
        <v>12651</v>
      </c>
      <c r="K285" s="523" t="s">
        <v>6209</v>
      </c>
      <c r="L285" s="523">
        <v>2</v>
      </c>
      <c r="M285" s="525">
        <v>0</v>
      </c>
    </row>
    <row r="286" spans="1:13" ht="11.1" customHeight="1">
      <c r="A286" s="501" t="s">
        <v>13024</v>
      </c>
      <c r="B286" s="516" t="s">
        <v>12602</v>
      </c>
      <c r="C286" s="515">
        <v>93406</v>
      </c>
      <c r="D286" s="503">
        <v>40.27891573019172</v>
      </c>
      <c r="E286" s="504">
        <v>80.874496731460241</v>
      </c>
      <c r="F286" s="512" t="s">
        <v>6233</v>
      </c>
      <c r="G286" s="512" t="s">
        <v>12171</v>
      </c>
      <c r="H286" s="526">
        <v>52</v>
      </c>
      <c r="I286" s="512" t="s">
        <v>6253</v>
      </c>
      <c r="J286" s="512" t="s">
        <v>11989</v>
      </c>
      <c r="K286" s="512" t="s">
        <v>6209</v>
      </c>
      <c r="L286" s="512">
        <v>1</v>
      </c>
      <c r="M286" s="308" t="s">
        <v>6170</v>
      </c>
    </row>
    <row r="287" spans="1:13" ht="11.1" customHeight="1">
      <c r="A287" s="501" t="s">
        <v>13025</v>
      </c>
      <c r="B287" s="280" t="s">
        <v>6231</v>
      </c>
      <c r="C287" s="515">
        <v>22997</v>
      </c>
      <c r="D287" s="503">
        <v>9.9168599987925727</v>
      </c>
      <c r="E287" s="504" t="s">
        <v>6262</v>
      </c>
      <c r="F287" s="278">
        <v>0</v>
      </c>
      <c r="G287" s="278" t="s">
        <v>13026</v>
      </c>
      <c r="H287" s="505">
        <v>51</v>
      </c>
      <c r="I287" s="278" t="s">
        <v>6264</v>
      </c>
      <c r="J287" s="278">
        <v>0</v>
      </c>
      <c r="K287" s="278" t="s">
        <v>6036</v>
      </c>
      <c r="L287" s="278">
        <v>0</v>
      </c>
      <c r="M287" s="308">
        <v>0</v>
      </c>
    </row>
    <row r="288" spans="1:13" ht="11.1" customHeight="1">
      <c r="A288" s="507" t="s">
        <v>13027</v>
      </c>
      <c r="B288" s="519" t="s">
        <v>12590</v>
      </c>
      <c r="C288" s="520">
        <v>91207</v>
      </c>
      <c r="D288" s="521">
        <v>44.121673592399269</v>
      </c>
      <c r="E288" s="522" t="s">
        <v>6251</v>
      </c>
      <c r="F288" s="523" t="s">
        <v>6233</v>
      </c>
      <c r="G288" s="523" t="s">
        <v>6897</v>
      </c>
      <c r="H288" s="524">
        <v>38</v>
      </c>
      <c r="I288" s="523" t="s">
        <v>6257</v>
      </c>
      <c r="J288" s="523" t="s">
        <v>12617</v>
      </c>
      <c r="K288" s="523" t="s">
        <v>6209</v>
      </c>
      <c r="L288" s="523">
        <v>3</v>
      </c>
      <c r="M288" s="525">
        <v>0</v>
      </c>
    </row>
    <row r="289" spans="1:13" ht="11.1" customHeight="1">
      <c r="A289" s="501" t="s">
        <v>13028</v>
      </c>
      <c r="B289" s="516" t="s">
        <v>12602</v>
      </c>
      <c r="C289" s="515">
        <v>81996</v>
      </c>
      <c r="D289" s="503">
        <v>39.665823323674395</v>
      </c>
      <c r="E289" s="504">
        <v>89.900994441216142</v>
      </c>
      <c r="F289" s="512" t="s">
        <v>6233</v>
      </c>
      <c r="G289" s="512" t="s">
        <v>12173</v>
      </c>
      <c r="H289" s="526">
        <v>66</v>
      </c>
      <c r="I289" s="512" t="s">
        <v>6253</v>
      </c>
      <c r="J289" s="512" t="s">
        <v>12000</v>
      </c>
      <c r="K289" s="512" t="s">
        <v>6036</v>
      </c>
      <c r="L289" s="512">
        <v>0</v>
      </c>
      <c r="M289" s="308" t="s">
        <v>13029</v>
      </c>
    </row>
    <row r="290" spans="1:13" ht="11.1" customHeight="1">
      <c r="A290" s="501" t="s">
        <v>13030</v>
      </c>
      <c r="B290" s="280" t="s">
        <v>6231</v>
      </c>
      <c r="C290" s="515">
        <v>18867</v>
      </c>
      <c r="D290" s="503">
        <v>9.1269706893966145</v>
      </c>
      <c r="E290" s="504" t="s">
        <v>6262</v>
      </c>
      <c r="F290" s="278">
        <v>0</v>
      </c>
      <c r="G290" s="278" t="s">
        <v>12174</v>
      </c>
      <c r="H290" s="505">
        <v>53</v>
      </c>
      <c r="I290" s="278" t="s">
        <v>6264</v>
      </c>
      <c r="J290" s="278">
        <v>0</v>
      </c>
      <c r="K290" s="278" t="s">
        <v>6036</v>
      </c>
      <c r="L290" s="278">
        <v>0</v>
      </c>
      <c r="M290" s="308">
        <v>0</v>
      </c>
    </row>
    <row r="291" spans="1:13" ht="11.1" customHeight="1">
      <c r="A291" s="501" t="s">
        <v>13031</v>
      </c>
      <c r="B291" s="280" t="s">
        <v>6231</v>
      </c>
      <c r="C291" s="515">
        <v>10158</v>
      </c>
      <c r="D291" s="503">
        <v>4.9139645021938207</v>
      </c>
      <c r="E291" s="504">
        <v>11.137303057879329</v>
      </c>
      <c r="F291" s="278" t="s">
        <v>6233</v>
      </c>
      <c r="G291" s="278" t="s">
        <v>13032</v>
      </c>
      <c r="H291" s="505">
        <v>48</v>
      </c>
      <c r="I291" s="278" t="s">
        <v>6278</v>
      </c>
      <c r="J291" s="278">
        <v>0</v>
      </c>
      <c r="K291" s="278" t="s">
        <v>6036</v>
      </c>
      <c r="L291" s="278">
        <v>0</v>
      </c>
      <c r="M291" s="308">
        <v>0</v>
      </c>
    </row>
    <row r="292" spans="1:13" ht="11.1" customHeight="1">
      <c r="A292" s="501" t="s">
        <v>13033</v>
      </c>
      <c r="B292" s="280" t="s">
        <v>6231</v>
      </c>
      <c r="C292" s="515">
        <v>4489</v>
      </c>
      <c r="D292" s="503">
        <v>2.171567892335899</v>
      </c>
      <c r="E292" s="504" t="s">
        <v>6262</v>
      </c>
      <c r="F292" s="278">
        <v>0</v>
      </c>
      <c r="G292" s="278" t="s">
        <v>6903</v>
      </c>
      <c r="H292" s="505">
        <v>51</v>
      </c>
      <c r="I292" s="278" t="s">
        <v>6322</v>
      </c>
      <c r="J292" s="278">
        <v>0</v>
      </c>
      <c r="K292" s="278" t="s">
        <v>6036</v>
      </c>
      <c r="L292" s="278">
        <v>0</v>
      </c>
      <c r="M292" s="308">
        <v>0</v>
      </c>
    </row>
    <row r="293" spans="1:13" ht="11.1" customHeight="1">
      <c r="A293" s="507" t="s">
        <v>13034</v>
      </c>
      <c r="B293" s="508" t="s">
        <v>12590</v>
      </c>
      <c r="C293" s="509">
        <v>89515</v>
      </c>
      <c r="D293" s="510">
        <v>46.876063698870453</v>
      </c>
      <c r="E293" s="511" t="s">
        <v>6251</v>
      </c>
      <c r="F293" s="514" t="s">
        <v>6233</v>
      </c>
      <c r="G293" s="514" t="s">
        <v>12177</v>
      </c>
      <c r="H293" s="513">
        <v>67</v>
      </c>
      <c r="I293" s="514" t="s">
        <v>6253</v>
      </c>
      <c r="J293" s="514" t="s">
        <v>12178</v>
      </c>
      <c r="K293" s="514" t="s">
        <v>6209</v>
      </c>
      <c r="L293" s="514">
        <v>1</v>
      </c>
      <c r="M293" s="341">
        <v>0</v>
      </c>
    </row>
    <row r="294" spans="1:13" ht="11.1" customHeight="1">
      <c r="A294" s="501" t="s">
        <v>13035</v>
      </c>
      <c r="B294" s="280" t="s">
        <v>6230</v>
      </c>
      <c r="C294" s="515">
        <v>74267</v>
      </c>
      <c r="D294" s="503">
        <v>38.891187205764531</v>
      </c>
      <c r="E294" s="504">
        <v>82.965983354745021</v>
      </c>
      <c r="F294" s="278" t="s">
        <v>6233</v>
      </c>
      <c r="G294" s="278" t="s">
        <v>12176</v>
      </c>
      <c r="H294" s="505">
        <v>31</v>
      </c>
      <c r="I294" s="278" t="s">
        <v>6257</v>
      </c>
      <c r="J294" s="278" t="s">
        <v>12773</v>
      </c>
      <c r="K294" s="278" t="s">
        <v>6036</v>
      </c>
      <c r="L294" s="278">
        <v>0</v>
      </c>
      <c r="M294" s="308">
        <v>0</v>
      </c>
    </row>
    <row r="295" spans="1:13" ht="11.1" customHeight="1">
      <c r="A295" s="501" t="s">
        <v>13036</v>
      </c>
      <c r="B295" s="280" t="s">
        <v>6231</v>
      </c>
      <c r="C295" s="515">
        <v>13706</v>
      </c>
      <c r="D295" s="503">
        <v>7.1773817690523192</v>
      </c>
      <c r="E295" s="504" t="s">
        <v>6262</v>
      </c>
      <c r="F295" s="278">
        <v>0</v>
      </c>
      <c r="G295" s="278" t="s">
        <v>7550</v>
      </c>
      <c r="H295" s="505">
        <v>46</v>
      </c>
      <c r="I295" s="278" t="s">
        <v>6322</v>
      </c>
      <c r="J295" s="278" t="s">
        <v>6323</v>
      </c>
      <c r="K295" s="278" t="s">
        <v>6036</v>
      </c>
      <c r="L295" s="278">
        <v>0</v>
      </c>
      <c r="M295" s="308">
        <v>0</v>
      </c>
    </row>
    <row r="296" spans="1:13" ht="11.1" customHeight="1">
      <c r="A296" s="501" t="s">
        <v>13037</v>
      </c>
      <c r="B296" s="280" t="s">
        <v>6231</v>
      </c>
      <c r="C296" s="515">
        <v>13473</v>
      </c>
      <c r="D296" s="503">
        <v>7.0553673263127026</v>
      </c>
      <c r="E296" s="504" t="s">
        <v>6262</v>
      </c>
      <c r="F296" s="278">
        <v>0</v>
      </c>
      <c r="G296" s="278" t="s">
        <v>12180</v>
      </c>
      <c r="H296" s="505">
        <v>37</v>
      </c>
      <c r="I296" s="278" t="s">
        <v>6264</v>
      </c>
      <c r="J296" s="278">
        <v>0</v>
      </c>
      <c r="K296" s="278" t="s">
        <v>6036</v>
      </c>
      <c r="L296" s="278">
        <v>0</v>
      </c>
      <c r="M296" s="308">
        <v>0</v>
      </c>
    </row>
    <row r="297" spans="1:13" ht="11.1" customHeight="1">
      <c r="A297" s="507" t="s">
        <v>13038</v>
      </c>
      <c r="B297" s="508" t="s">
        <v>12590</v>
      </c>
      <c r="C297" s="509">
        <v>123905</v>
      </c>
      <c r="D297" s="510">
        <v>50.329423042552847</v>
      </c>
      <c r="E297" s="511" t="s">
        <v>6251</v>
      </c>
      <c r="F297" s="514" t="s">
        <v>6233</v>
      </c>
      <c r="G297" s="514" t="s">
        <v>6917</v>
      </c>
      <c r="H297" s="513">
        <v>65</v>
      </c>
      <c r="I297" s="514" t="s">
        <v>6253</v>
      </c>
      <c r="J297" s="514" t="s">
        <v>12178</v>
      </c>
      <c r="K297" s="514" t="s">
        <v>6209</v>
      </c>
      <c r="L297" s="514">
        <v>4</v>
      </c>
      <c r="M297" s="341">
        <v>0</v>
      </c>
    </row>
    <row r="298" spans="1:13" ht="11.1" customHeight="1">
      <c r="A298" s="501" t="s">
        <v>13039</v>
      </c>
      <c r="B298" s="280" t="s">
        <v>6230</v>
      </c>
      <c r="C298" s="515">
        <v>91513</v>
      </c>
      <c r="D298" s="503">
        <v>37.171998635189368</v>
      </c>
      <c r="E298" s="504">
        <v>73.857390742907867</v>
      </c>
      <c r="F298" s="278" t="s">
        <v>6233</v>
      </c>
      <c r="G298" s="278" t="s">
        <v>12181</v>
      </c>
      <c r="H298" s="505">
        <v>38</v>
      </c>
      <c r="I298" s="278" t="s">
        <v>6257</v>
      </c>
      <c r="J298" s="278" t="s">
        <v>12617</v>
      </c>
      <c r="K298" s="278" t="s">
        <v>6036</v>
      </c>
      <c r="L298" s="278">
        <v>0</v>
      </c>
      <c r="M298" s="308">
        <v>0</v>
      </c>
    </row>
    <row r="299" spans="1:13" ht="11.1" customHeight="1">
      <c r="A299" s="501" t="s">
        <v>13040</v>
      </c>
      <c r="B299" s="280"/>
      <c r="C299" s="515">
        <v>30770</v>
      </c>
      <c r="D299" s="503">
        <v>12.498578322257787</v>
      </c>
      <c r="E299" s="504">
        <v>24.833541826399259</v>
      </c>
      <c r="F299" s="278" t="s">
        <v>6233</v>
      </c>
      <c r="G299" s="278" t="s">
        <v>12183</v>
      </c>
      <c r="H299" s="505">
        <v>59</v>
      </c>
      <c r="I299" s="278" t="s">
        <v>6264</v>
      </c>
      <c r="J299" s="278">
        <v>0</v>
      </c>
      <c r="K299" s="278" t="s">
        <v>6209</v>
      </c>
      <c r="L299" s="278">
        <v>2</v>
      </c>
      <c r="M299" s="308">
        <v>0</v>
      </c>
    </row>
    <row r="300" spans="1:13" ht="11.1" customHeight="1">
      <c r="A300" s="507" t="s">
        <v>13041</v>
      </c>
      <c r="B300" s="566" t="s">
        <v>12590</v>
      </c>
      <c r="C300" s="567">
        <v>82269</v>
      </c>
      <c r="D300" s="568">
        <v>36.713628432321954</v>
      </c>
      <c r="E300" s="569" t="s">
        <v>6262</v>
      </c>
      <c r="F300" s="570">
        <v>0</v>
      </c>
      <c r="G300" s="570" t="s">
        <v>12184</v>
      </c>
      <c r="H300" s="571">
        <v>45</v>
      </c>
      <c r="I300" s="570" t="s">
        <v>6929</v>
      </c>
      <c r="J300" s="570">
        <v>0</v>
      </c>
      <c r="K300" s="570" t="s">
        <v>6209</v>
      </c>
      <c r="L300" s="570">
        <v>3</v>
      </c>
      <c r="M300" s="572" t="s">
        <v>12911</v>
      </c>
    </row>
    <row r="301" spans="1:13" ht="11.1" customHeight="1">
      <c r="A301" s="501" t="s">
        <v>13042</v>
      </c>
      <c r="B301" s="516" t="s">
        <v>12602</v>
      </c>
      <c r="C301" s="515">
        <v>81733</v>
      </c>
      <c r="D301" s="503">
        <v>36.474431349098325</v>
      </c>
      <c r="E301" s="504">
        <v>99.348478770861448</v>
      </c>
      <c r="F301" s="512" t="s">
        <v>6233</v>
      </c>
      <c r="G301" s="512" t="s">
        <v>6926</v>
      </c>
      <c r="H301" s="526">
        <v>62</v>
      </c>
      <c r="I301" s="512" t="s">
        <v>6253</v>
      </c>
      <c r="J301" s="512" t="s">
        <v>11989</v>
      </c>
      <c r="K301" s="512" t="s">
        <v>6209</v>
      </c>
      <c r="L301" s="512">
        <v>3</v>
      </c>
      <c r="M301" s="308" t="s">
        <v>13029</v>
      </c>
    </row>
    <row r="302" spans="1:13" ht="11.1" customHeight="1">
      <c r="A302" s="501" t="s">
        <v>13043</v>
      </c>
      <c r="B302" s="280"/>
      <c r="C302" s="515">
        <v>30689</v>
      </c>
      <c r="D302" s="503">
        <v>13.695371804197551</v>
      </c>
      <c r="E302" s="504" t="s">
        <v>6262</v>
      </c>
      <c r="F302" s="278">
        <v>0</v>
      </c>
      <c r="G302" s="278" t="s">
        <v>7008</v>
      </c>
      <c r="H302" s="505">
        <v>40</v>
      </c>
      <c r="I302" s="278" t="s">
        <v>6322</v>
      </c>
      <c r="J302" s="278">
        <v>0</v>
      </c>
      <c r="K302" s="278" t="s">
        <v>6036</v>
      </c>
      <c r="L302" s="278">
        <v>0</v>
      </c>
      <c r="M302" s="308">
        <v>0</v>
      </c>
    </row>
    <row r="303" spans="1:13" ht="11.1" customHeight="1">
      <c r="A303" s="501" t="s">
        <v>13044</v>
      </c>
      <c r="B303" s="280" t="s">
        <v>6231</v>
      </c>
      <c r="C303" s="515">
        <v>15854</v>
      </c>
      <c r="D303" s="503">
        <v>7.075057010125712</v>
      </c>
      <c r="E303" s="504">
        <v>19.270928296199056</v>
      </c>
      <c r="F303" s="278" t="s">
        <v>6233</v>
      </c>
      <c r="G303" s="278" t="s">
        <v>6835</v>
      </c>
      <c r="H303" s="505">
        <v>36</v>
      </c>
      <c r="I303" s="278" t="s">
        <v>6278</v>
      </c>
      <c r="J303" s="278">
        <v>0</v>
      </c>
      <c r="K303" s="278" t="s">
        <v>6036</v>
      </c>
      <c r="L303" s="278">
        <v>0</v>
      </c>
      <c r="M303" s="308" t="s">
        <v>6154</v>
      </c>
    </row>
    <row r="304" spans="1:13" ht="11.1" customHeight="1">
      <c r="A304" s="501" t="s">
        <v>13045</v>
      </c>
      <c r="B304" s="280" t="s">
        <v>6231</v>
      </c>
      <c r="C304" s="515">
        <v>13538</v>
      </c>
      <c r="D304" s="503">
        <v>6.0415114042564584</v>
      </c>
      <c r="E304" s="504" t="s">
        <v>6262</v>
      </c>
      <c r="F304" s="278">
        <v>0</v>
      </c>
      <c r="G304" s="278" t="s">
        <v>6932</v>
      </c>
      <c r="H304" s="505">
        <v>48</v>
      </c>
      <c r="I304" s="278" t="s">
        <v>6264</v>
      </c>
      <c r="J304" s="278">
        <v>0</v>
      </c>
      <c r="K304" s="278" t="s">
        <v>6036</v>
      </c>
      <c r="L304" s="278">
        <v>0</v>
      </c>
      <c r="M304" s="308">
        <v>0</v>
      </c>
    </row>
    <row r="305" spans="1:13" ht="11.1" customHeight="1">
      <c r="A305" s="507" t="s">
        <v>13046</v>
      </c>
      <c r="B305" s="508" t="s">
        <v>12590</v>
      </c>
      <c r="C305" s="509">
        <v>96479</v>
      </c>
      <c r="D305" s="510">
        <v>46.578510321920319</v>
      </c>
      <c r="E305" s="511" t="s">
        <v>6251</v>
      </c>
      <c r="F305" s="514" t="s">
        <v>6233</v>
      </c>
      <c r="G305" s="514" t="s">
        <v>6936</v>
      </c>
      <c r="H305" s="513">
        <v>58</v>
      </c>
      <c r="I305" s="514" t="s">
        <v>6253</v>
      </c>
      <c r="J305" s="514" t="s">
        <v>12007</v>
      </c>
      <c r="K305" s="514" t="s">
        <v>6209</v>
      </c>
      <c r="L305" s="514">
        <v>1</v>
      </c>
      <c r="M305" s="341" t="s">
        <v>6170</v>
      </c>
    </row>
    <row r="306" spans="1:13" ht="11.1" customHeight="1">
      <c r="A306" s="501" t="s">
        <v>13047</v>
      </c>
      <c r="B306" s="516" t="s">
        <v>12602</v>
      </c>
      <c r="C306" s="515">
        <v>93857</v>
      </c>
      <c r="D306" s="503">
        <v>45.312650869976636</v>
      </c>
      <c r="E306" s="504">
        <v>97.282310140030475</v>
      </c>
      <c r="F306" s="517" t="s">
        <v>6233</v>
      </c>
      <c r="G306" s="517" t="s">
        <v>12186</v>
      </c>
      <c r="H306" s="518">
        <v>62</v>
      </c>
      <c r="I306" s="517" t="s">
        <v>6257</v>
      </c>
      <c r="J306" s="517" t="s">
        <v>12975</v>
      </c>
      <c r="K306" s="517" t="s">
        <v>6209</v>
      </c>
      <c r="L306" s="517">
        <v>4</v>
      </c>
      <c r="M306" s="308">
        <v>0</v>
      </c>
    </row>
    <row r="307" spans="1:13" ht="11.1" customHeight="1">
      <c r="A307" s="501" t="s">
        <v>13048</v>
      </c>
      <c r="B307" s="280" t="s">
        <v>6231</v>
      </c>
      <c r="C307" s="515">
        <v>16796</v>
      </c>
      <c r="D307" s="503">
        <v>8.1088388081030462</v>
      </c>
      <c r="E307" s="504" t="s">
        <v>6262</v>
      </c>
      <c r="F307" s="278">
        <v>0</v>
      </c>
      <c r="G307" s="278" t="s">
        <v>13049</v>
      </c>
      <c r="H307" s="505">
        <v>49</v>
      </c>
      <c r="I307" s="278" t="s">
        <v>6264</v>
      </c>
      <c r="J307" s="278">
        <v>0</v>
      </c>
      <c r="K307" s="278" t="s">
        <v>6036</v>
      </c>
      <c r="L307" s="278">
        <v>0</v>
      </c>
      <c r="M307" s="308">
        <v>0</v>
      </c>
    </row>
    <row r="308" spans="1:13" ht="11.1" customHeight="1">
      <c r="A308" s="507" t="s">
        <v>13050</v>
      </c>
      <c r="B308" s="508" t="s">
        <v>12590</v>
      </c>
      <c r="C308" s="509">
        <v>80752</v>
      </c>
      <c r="D308" s="510">
        <v>38.680072232946465</v>
      </c>
      <c r="E308" s="511" t="s">
        <v>6251</v>
      </c>
      <c r="F308" s="514" t="s">
        <v>6233</v>
      </c>
      <c r="G308" s="514" t="s">
        <v>12188</v>
      </c>
      <c r="H308" s="513">
        <v>67</v>
      </c>
      <c r="I308" s="514" t="s">
        <v>6253</v>
      </c>
      <c r="J308" s="514" t="s">
        <v>11994</v>
      </c>
      <c r="K308" s="514" t="s">
        <v>6209</v>
      </c>
      <c r="L308" s="514">
        <v>2</v>
      </c>
      <c r="M308" s="341">
        <v>0</v>
      </c>
    </row>
    <row r="309" spans="1:13" ht="11.1" customHeight="1">
      <c r="A309" s="501" t="s">
        <v>13051</v>
      </c>
      <c r="B309" s="280" t="s">
        <v>6230</v>
      </c>
      <c r="C309" s="515">
        <v>78782</v>
      </c>
      <c r="D309" s="503">
        <v>37.736445545076137</v>
      </c>
      <c r="E309" s="504" t="s">
        <v>6262</v>
      </c>
      <c r="F309" s="278">
        <v>0</v>
      </c>
      <c r="G309" s="278" t="s">
        <v>6942</v>
      </c>
      <c r="H309" s="505">
        <v>47</v>
      </c>
      <c r="I309" s="278" t="s">
        <v>6322</v>
      </c>
      <c r="J309" s="278">
        <v>0</v>
      </c>
      <c r="K309" s="278" t="s">
        <v>6209</v>
      </c>
      <c r="L309" s="278">
        <v>1</v>
      </c>
      <c r="M309" s="308" t="s">
        <v>6170</v>
      </c>
    </row>
    <row r="310" spans="1:13" ht="11.1" customHeight="1">
      <c r="A310" s="501" t="s">
        <v>13052</v>
      </c>
      <c r="B310" s="280" t="s">
        <v>6230</v>
      </c>
      <c r="C310" s="515">
        <v>39434</v>
      </c>
      <c r="D310" s="503">
        <v>18.888819700242852</v>
      </c>
      <c r="E310" s="504">
        <v>48.833465425004952</v>
      </c>
      <c r="F310" s="278" t="s">
        <v>6233</v>
      </c>
      <c r="G310" s="278" t="s">
        <v>13053</v>
      </c>
      <c r="H310" s="505">
        <v>39</v>
      </c>
      <c r="I310" s="278" t="s">
        <v>6257</v>
      </c>
      <c r="J310" s="278" t="s">
        <v>12773</v>
      </c>
      <c r="K310" s="278" t="s">
        <v>6036</v>
      </c>
      <c r="L310" s="278">
        <v>0</v>
      </c>
      <c r="M310" s="308">
        <v>0</v>
      </c>
    </row>
    <row r="311" spans="1:13" ht="11.1" customHeight="1">
      <c r="A311" s="501" t="s">
        <v>13054</v>
      </c>
      <c r="B311" s="280" t="s">
        <v>6231</v>
      </c>
      <c r="C311" s="515">
        <v>9801</v>
      </c>
      <c r="D311" s="503">
        <v>4.694662521734549</v>
      </c>
      <c r="E311" s="504" t="s">
        <v>6262</v>
      </c>
      <c r="F311" s="278">
        <v>0</v>
      </c>
      <c r="G311" s="278" t="s">
        <v>12189</v>
      </c>
      <c r="H311" s="505">
        <v>59</v>
      </c>
      <c r="I311" s="278" t="s">
        <v>6264</v>
      </c>
      <c r="J311" s="278">
        <v>0</v>
      </c>
      <c r="K311" s="278" t="s">
        <v>6036</v>
      </c>
      <c r="L311" s="278">
        <v>0</v>
      </c>
      <c r="M311" s="308">
        <v>0</v>
      </c>
    </row>
    <row r="312" spans="1:13" ht="11.1" customHeight="1">
      <c r="A312" s="507" t="s">
        <v>13055</v>
      </c>
      <c r="B312" s="508" t="s">
        <v>12590</v>
      </c>
      <c r="C312" s="509">
        <v>78590</v>
      </c>
      <c r="D312" s="510">
        <v>50.329166453199448</v>
      </c>
      <c r="E312" s="511" t="s">
        <v>6251</v>
      </c>
      <c r="F312" s="514" t="s">
        <v>6233</v>
      </c>
      <c r="G312" s="514" t="s">
        <v>12190</v>
      </c>
      <c r="H312" s="513">
        <v>38</v>
      </c>
      <c r="I312" s="514" t="s">
        <v>6253</v>
      </c>
      <c r="J312" s="514" t="s">
        <v>12007</v>
      </c>
      <c r="K312" s="514" t="s">
        <v>6036</v>
      </c>
      <c r="L312" s="514">
        <v>0</v>
      </c>
      <c r="M312" s="341">
        <v>0</v>
      </c>
    </row>
    <row r="313" spans="1:13" ht="11.1" customHeight="1">
      <c r="A313" s="501" t="s">
        <v>13056</v>
      </c>
      <c r="B313" s="280" t="s">
        <v>6230</v>
      </c>
      <c r="C313" s="515">
        <v>57457</v>
      </c>
      <c r="D313" s="503">
        <v>36.795558174086786</v>
      </c>
      <c r="E313" s="504">
        <v>73.109810408448908</v>
      </c>
      <c r="F313" s="278" t="s">
        <v>6233</v>
      </c>
      <c r="G313" s="278" t="s">
        <v>13057</v>
      </c>
      <c r="H313" s="505">
        <v>34</v>
      </c>
      <c r="I313" s="278" t="s">
        <v>6257</v>
      </c>
      <c r="J313" s="278" t="s">
        <v>12617</v>
      </c>
      <c r="K313" s="278" t="s">
        <v>6036</v>
      </c>
      <c r="L313" s="278">
        <v>0</v>
      </c>
      <c r="M313" s="308">
        <v>0</v>
      </c>
    </row>
    <row r="314" spans="1:13" ht="11.1" customHeight="1">
      <c r="A314" s="501" t="s">
        <v>13058</v>
      </c>
      <c r="B314" s="280" t="s">
        <v>6231</v>
      </c>
      <c r="C314" s="515">
        <v>14409</v>
      </c>
      <c r="D314" s="503">
        <v>9.227547517803167</v>
      </c>
      <c r="E314" s="504" t="s">
        <v>6262</v>
      </c>
      <c r="F314" s="278">
        <v>0</v>
      </c>
      <c r="G314" s="278" t="s">
        <v>12191</v>
      </c>
      <c r="H314" s="505">
        <v>25</v>
      </c>
      <c r="I314" s="278" t="s">
        <v>6264</v>
      </c>
      <c r="J314" s="278">
        <v>0</v>
      </c>
      <c r="K314" s="278" t="s">
        <v>6036</v>
      </c>
      <c r="L314" s="278">
        <v>0</v>
      </c>
      <c r="M314" s="308">
        <v>0</v>
      </c>
    </row>
    <row r="315" spans="1:13" ht="11.1" customHeight="1">
      <c r="A315" s="501" t="s">
        <v>13059</v>
      </c>
      <c r="B315" s="280" t="s">
        <v>6231</v>
      </c>
      <c r="C315" s="515">
        <v>5696</v>
      </c>
      <c r="D315" s="503">
        <v>3.6477278549105998</v>
      </c>
      <c r="E315" s="504" t="s">
        <v>6262</v>
      </c>
      <c r="F315" s="278">
        <v>0</v>
      </c>
      <c r="G315" s="278" t="s">
        <v>13060</v>
      </c>
      <c r="H315" s="505">
        <v>61</v>
      </c>
      <c r="I315" s="278" t="s">
        <v>6322</v>
      </c>
      <c r="J315" s="278">
        <v>0</v>
      </c>
      <c r="K315" s="278" t="s">
        <v>6036</v>
      </c>
      <c r="L315" s="278">
        <v>0</v>
      </c>
      <c r="M315" s="308">
        <v>0</v>
      </c>
    </row>
    <row r="316" spans="1:13" ht="11.1" customHeight="1">
      <c r="A316" s="507" t="s">
        <v>13061</v>
      </c>
      <c r="B316" s="519" t="s">
        <v>12590</v>
      </c>
      <c r="C316" s="520">
        <v>114766</v>
      </c>
      <c r="D316" s="521">
        <v>48.115679541843278</v>
      </c>
      <c r="E316" s="522" t="s">
        <v>6251</v>
      </c>
      <c r="F316" s="523" t="s">
        <v>6233</v>
      </c>
      <c r="G316" s="523" t="s">
        <v>13062</v>
      </c>
      <c r="H316" s="524">
        <v>54</v>
      </c>
      <c r="I316" s="523" t="s">
        <v>6257</v>
      </c>
      <c r="J316" s="523" t="s">
        <v>12674</v>
      </c>
      <c r="K316" s="523" t="s">
        <v>6209</v>
      </c>
      <c r="L316" s="523">
        <v>2</v>
      </c>
      <c r="M316" s="525">
        <v>0</v>
      </c>
    </row>
    <row r="317" spans="1:13" ht="11.1" customHeight="1">
      <c r="A317" s="501" t="s">
        <v>13063</v>
      </c>
      <c r="B317" s="516" t="s">
        <v>12602</v>
      </c>
      <c r="C317" s="515">
        <v>89752</v>
      </c>
      <c r="D317" s="503">
        <v>37.628552622200978</v>
      </c>
      <c r="E317" s="504">
        <v>78.204346234947636</v>
      </c>
      <c r="F317" s="512" t="s">
        <v>6233</v>
      </c>
      <c r="G317" s="512" t="s">
        <v>12192</v>
      </c>
      <c r="H317" s="526">
        <v>58</v>
      </c>
      <c r="I317" s="512" t="s">
        <v>6253</v>
      </c>
      <c r="J317" s="512" t="s">
        <v>12178</v>
      </c>
      <c r="K317" s="512" t="s">
        <v>6036</v>
      </c>
      <c r="L317" s="512">
        <v>0</v>
      </c>
      <c r="M317" s="308" t="s">
        <v>13029</v>
      </c>
    </row>
    <row r="318" spans="1:13" ht="11.1" customHeight="1">
      <c r="A318" s="501" t="s">
        <v>13064</v>
      </c>
      <c r="B318" s="280"/>
      <c r="C318" s="515">
        <v>34003</v>
      </c>
      <c r="D318" s="503">
        <v>14.255767835955744</v>
      </c>
      <c r="E318" s="504">
        <v>29.62811285572382</v>
      </c>
      <c r="F318" s="278" t="s">
        <v>6233</v>
      </c>
      <c r="G318" s="278" t="s">
        <v>12193</v>
      </c>
      <c r="H318" s="505">
        <v>57</v>
      </c>
      <c r="I318" s="278" t="s">
        <v>6264</v>
      </c>
      <c r="J318" s="278">
        <v>0</v>
      </c>
      <c r="K318" s="278" t="s">
        <v>6036</v>
      </c>
      <c r="L318" s="278">
        <v>0</v>
      </c>
      <c r="M318" s="308">
        <v>0</v>
      </c>
    </row>
    <row r="319" spans="1:13" ht="11.1" customHeight="1">
      <c r="A319" s="507" t="s">
        <v>13065</v>
      </c>
      <c r="B319" s="519" t="s">
        <v>12590</v>
      </c>
      <c r="C319" s="520">
        <v>174374</v>
      </c>
      <c r="D319" s="521">
        <v>74.424659405196849</v>
      </c>
      <c r="E319" s="522" t="s">
        <v>6262</v>
      </c>
      <c r="F319" s="523">
        <v>0</v>
      </c>
      <c r="G319" s="523" t="s">
        <v>12194</v>
      </c>
      <c r="H319" s="524">
        <v>61</v>
      </c>
      <c r="I319" s="523" t="s">
        <v>6257</v>
      </c>
      <c r="J319" s="523" t="s">
        <v>12617</v>
      </c>
      <c r="K319" s="523" t="s">
        <v>6209</v>
      </c>
      <c r="L319" s="523">
        <v>10</v>
      </c>
      <c r="M319" s="525">
        <v>0</v>
      </c>
    </row>
    <row r="320" spans="1:13" ht="11.1" customHeight="1">
      <c r="A320" s="501" t="s">
        <v>13066</v>
      </c>
      <c r="B320" s="280" t="s">
        <v>6230</v>
      </c>
      <c r="C320" s="515">
        <v>46290</v>
      </c>
      <c r="D320" s="503">
        <v>19.757059446170658</v>
      </c>
      <c r="E320" s="504">
        <v>26.546388796494892</v>
      </c>
      <c r="F320" s="278" t="s">
        <v>6233</v>
      </c>
      <c r="G320" s="278" t="s">
        <v>13067</v>
      </c>
      <c r="H320" s="505">
        <v>46</v>
      </c>
      <c r="I320" s="278" t="s">
        <v>6253</v>
      </c>
      <c r="J320" s="278" t="s">
        <v>12007</v>
      </c>
      <c r="K320" s="278" t="s">
        <v>6036</v>
      </c>
      <c r="L320" s="278">
        <v>0</v>
      </c>
      <c r="M320" s="308">
        <v>0</v>
      </c>
    </row>
    <row r="321" spans="1:13" ht="11.1" customHeight="1">
      <c r="A321" s="501" t="s">
        <v>13068</v>
      </c>
      <c r="B321" s="280" t="s">
        <v>6231</v>
      </c>
      <c r="C321" s="515">
        <v>13632</v>
      </c>
      <c r="D321" s="503">
        <v>5.818281148632499</v>
      </c>
      <c r="E321" s="504" t="s">
        <v>6262</v>
      </c>
      <c r="F321" s="278">
        <v>0</v>
      </c>
      <c r="G321" s="278" t="s">
        <v>12196</v>
      </c>
      <c r="H321" s="505">
        <v>51</v>
      </c>
      <c r="I321" s="278" t="s">
        <v>6264</v>
      </c>
      <c r="J321" s="278">
        <v>0</v>
      </c>
      <c r="K321" s="278" t="s">
        <v>6036</v>
      </c>
      <c r="L321" s="278">
        <v>0</v>
      </c>
      <c r="M321" s="308">
        <v>0</v>
      </c>
    </row>
    <row r="322" spans="1:13" ht="11.1" customHeight="1">
      <c r="A322" s="507" t="s">
        <v>13069</v>
      </c>
      <c r="B322" s="508" t="s">
        <v>12590</v>
      </c>
      <c r="C322" s="509">
        <v>75826</v>
      </c>
      <c r="D322" s="510">
        <v>39.40159215148303</v>
      </c>
      <c r="E322" s="511" t="s">
        <v>6251</v>
      </c>
      <c r="F322" s="514" t="s">
        <v>6233</v>
      </c>
      <c r="G322" s="514" t="s">
        <v>6978</v>
      </c>
      <c r="H322" s="513">
        <v>38</v>
      </c>
      <c r="I322" s="514" t="s">
        <v>6253</v>
      </c>
      <c r="J322" s="514" t="s">
        <v>12020</v>
      </c>
      <c r="K322" s="514" t="s">
        <v>6209</v>
      </c>
      <c r="L322" s="514">
        <v>1</v>
      </c>
      <c r="M322" s="341">
        <v>0</v>
      </c>
    </row>
    <row r="323" spans="1:13" ht="11.1" customHeight="1">
      <c r="A323" s="501" t="s">
        <v>13070</v>
      </c>
      <c r="B323" s="516" t="s">
        <v>12602</v>
      </c>
      <c r="C323" s="515">
        <v>73767</v>
      </c>
      <c r="D323" s="503">
        <v>38.331670511941134</v>
      </c>
      <c r="E323" s="504">
        <v>97.284572574051111</v>
      </c>
      <c r="F323" s="517" t="s">
        <v>6233</v>
      </c>
      <c r="G323" s="517" t="s">
        <v>6980</v>
      </c>
      <c r="H323" s="518">
        <v>59</v>
      </c>
      <c r="I323" s="517" t="s">
        <v>6257</v>
      </c>
      <c r="J323" s="517" t="s">
        <v>12617</v>
      </c>
      <c r="K323" s="517" t="s">
        <v>6283</v>
      </c>
      <c r="L323" s="517">
        <v>1</v>
      </c>
      <c r="M323" s="308">
        <v>0</v>
      </c>
    </row>
    <row r="324" spans="1:13" ht="11.1" customHeight="1">
      <c r="A324" s="501" t="s">
        <v>13071</v>
      </c>
      <c r="B324" s="516" t="s">
        <v>12603</v>
      </c>
      <c r="C324" s="515">
        <v>26954</v>
      </c>
      <c r="D324" s="503">
        <v>14.00615243915113</v>
      </c>
      <c r="E324" s="504">
        <v>35.547173792630495</v>
      </c>
      <c r="F324" s="543" t="s">
        <v>6233</v>
      </c>
      <c r="G324" s="543" t="s">
        <v>6982</v>
      </c>
      <c r="H324" s="544">
        <v>55</v>
      </c>
      <c r="I324" s="543" t="s">
        <v>6278</v>
      </c>
      <c r="J324" s="543">
        <v>0</v>
      </c>
      <c r="K324" s="543" t="s">
        <v>6209</v>
      </c>
      <c r="L324" s="543">
        <v>1</v>
      </c>
      <c r="M324" s="308" t="s">
        <v>13029</v>
      </c>
    </row>
    <row r="325" spans="1:13" ht="11.1" customHeight="1">
      <c r="A325" s="501" t="s">
        <v>13072</v>
      </c>
      <c r="B325" s="280" t="s">
        <v>6231</v>
      </c>
      <c r="C325" s="515">
        <v>11280</v>
      </c>
      <c r="D325" s="503">
        <v>5.8614454074951672</v>
      </c>
      <c r="E325" s="504" t="s">
        <v>6262</v>
      </c>
      <c r="F325" s="278">
        <v>0</v>
      </c>
      <c r="G325" s="278" t="s">
        <v>13073</v>
      </c>
      <c r="H325" s="505">
        <v>60</v>
      </c>
      <c r="I325" s="278" t="s">
        <v>6264</v>
      </c>
      <c r="J325" s="278">
        <v>0</v>
      </c>
      <c r="K325" s="278" t="s">
        <v>6036</v>
      </c>
      <c r="L325" s="278">
        <v>0</v>
      </c>
      <c r="M325" s="308">
        <v>0</v>
      </c>
    </row>
    <row r="326" spans="1:13" ht="11.1" customHeight="1">
      <c r="A326" s="501" t="s">
        <v>13074</v>
      </c>
      <c r="B326" s="280" t="s">
        <v>6231</v>
      </c>
      <c r="C326" s="515">
        <v>4617</v>
      </c>
      <c r="D326" s="503">
        <v>2.3991394899295377</v>
      </c>
      <c r="E326" s="504" t="s">
        <v>6262</v>
      </c>
      <c r="F326" s="278">
        <v>0</v>
      </c>
      <c r="G326" s="278" t="s">
        <v>13075</v>
      </c>
      <c r="H326" s="505">
        <v>31</v>
      </c>
      <c r="I326" s="278" t="s">
        <v>6322</v>
      </c>
      <c r="J326" s="278">
        <v>0</v>
      </c>
      <c r="K326" s="278" t="s">
        <v>6036</v>
      </c>
      <c r="L326" s="278">
        <v>0</v>
      </c>
      <c r="M326" s="308">
        <v>0</v>
      </c>
    </row>
    <row r="327" spans="1:13" ht="11.1" customHeight="1">
      <c r="A327" s="507" t="s">
        <v>13076</v>
      </c>
      <c r="B327" s="519" t="s">
        <v>12590</v>
      </c>
      <c r="C327" s="520">
        <v>139236</v>
      </c>
      <c r="D327" s="521">
        <v>56.848887201283667</v>
      </c>
      <c r="E327" s="522" t="s">
        <v>6262</v>
      </c>
      <c r="F327" s="523">
        <v>0</v>
      </c>
      <c r="G327" s="523" t="s">
        <v>12200</v>
      </c>
      <c r="H327" s="524">
        <v>54</v>
      </c>
      <c r="I327" s="523" t="s">
        <v>6257</v>
      </c>
      <c r="J327" s="523" t="s">
        <v>12674</v>
      </c>
      <c r="K327" s="523" t="s">
        <v>6209</v>
      </c>
      <c r="L327" s="523">
        <v>6</v>
      </c>
      <c r="M327" s="525">
        <v>0</v>
      </c>
    </row>
    <row r="328" spans="1:13" ht="11.1" customHeight="1">
      <c r="A328" s="501" t="s">
        <v>13077</v>
      </c>
      <c r="B328" s="280" t="s">
        <v>6230</v>
      </c>
      <c r="C328" s="515">
        <v>86256</v>
      </c>
      <c r="D328" s="503">
        <v>35.217599000502197</v>
      </c>
      <c r="E328" s="504">
        <v>61.949495820046536</v>
      </c>
      <c r="F328" s="278" t="s">
        <v>6233</v>
      </c>
      <c r="G328" s="278" t="s">
        <v>12201</v>
      </c>
      <c r="H328" s="505">
        <v>51</v>
      </c>
      <c r="I328" s="278" t="s">
        <v>6253</v>
      </c>
      <c r="J328" s="278" t="s">
        <v>12020</v>
      </c>
      <c r="K328" s="278" t="s">
        <v>6209</v>
      </c>
      <c r="L328" s="278">
        <v>2</v>
      </c>
      <c r="M328" s="308">
        <v>0</v>
      </c>
    </row>
    <row r="329" spans="1:13" ht="11.1" customHeight="1">
      <c r="A329" s="501" t="s">
        <v>13078</v>
      </c>
      <c r="B329" s="280" t="s">
        <v>6231</v>
      </c>
      <c r="C329" s="515">
        <v>19431</v>
      </c>
      <c r="D329" s="503">
        <v>7.9335137982141326</v>
      </c>
      <c r="E329" s="504" t="s">
        <v>6262</v>
      </c>
      <c r="F329" s="278">
        <v>0</v>
      </c>
      <c r="G329" s="278" t="s">
        <v>13079</v>
      </c>
      <c r="H329" s="505">
        <v>65</v>
      </c>
      <c r="I329" s="278" t="s">
        <v>6264</v>
      </c>
      <c r="J329" s="278">
        <v>0</v>
      </c>
      <c r="K329" s="278" t="s">
        <v>6036</v>
      </c>
      <c r="L329" s="278">
        <v>0</v>
      </c>
      <c r="M329" s="308">
        <v>0</v>
      </c>
    </row>
    <row r="330" spans="1:13" ht="11.1" customHeight="1">
      <c r="A330" s="507" t="s">
        <v>13080</v>
      </c>
      <c r="B330" s="508" t="s">
        <v>12590</v>
      </c>
      <c r="C330" s="509">
        <v>97214</v>
      </c>
      <c r="D330" s="510">
        <v>43.678925257789857</v>
      </c>
      <c r="E330" s="511" t="s">
        <v>6251</v>
      </c>
      <c r="F330" s="514" t="s">
        <v>6233</v>
      </c>
      <c r="G330" s="514" t="s">
        <v>9010</v>
      </c>
      <c r="H330" s="513">
        <v>71</v>
      </c>
      <c r="I330" s="514" t="s">
        <v>6253</v>
      </c>
      <c r="J330" s="514" t="s">
        <v>12020</v>
      </c>
      <c r="K330" s="514" t="s">
        <v>6209</v>
      </c>
      <c r="L330" s="514">
        <v>4</v>
      </c>
      <c r="M330" s="341">
        <v>0</v>
      </c>
    </row>
    <row r="331" spans="1:13" ht="11.1" customHeight="1">
      <c r="A331" s="501" t="s">
        <v>13081</v>
      </c>
      <c r="B331" s="280" t="s">
        <v>6230</v>
      </c>
      <c r="C331" s="515">
        <v>81794</v>
      </c>
      <c r="D331" s="503">
        <v>36.750612180711251</v>
      </c>
      <c r="E331" s="504">
        <v>84.138087106795311</v>
      </c>
      <c r="F331" s="278" t="s">
        <v>6233</v>
      </c>
      <c r="G331" s="278" t="s">
        <v>13082</v>
      </c>
      <c r="H331" s="505">
        <v>38</v>
      </c>
      <c r="I331" s="278" t="s">
        <v>6257</v>
      </c>
      <c r="J331" s="278" t="s">
        <v>12621</v>
      </c>
      <c r="K331" s="278" t="s">
        <v>6209</v>
      </c>
      <c r="L331" s="278">
        <v>1</v>
      </c>
      <c r="M331" s="308">
        <v>0</v>
      </c>
    </row>
    <row r="332" spans="1:13" ht="11.1" customHeight="1">
      <c r="A332" s="501" t="s">
        <v>13083</v>
      </c>
      <c r="B332" s="280"/>
      <c r="C332" s="515">
        <v>26508</v>
      </c>
      <c r="D332" s="503">
        <v>11.910228472581045</v>
      </c>
      <c r="E332" s="504">
        <v>27.267677495011007</v>
      </c>
      <c r="F332" s="278" t="s">
        <v>6233</v>
      </c>
      <c r="G332" s="278" t="s">
        <v>13084</v>
      </c>
      <c r="H332" s="505">
        <v>28</v>
      </c>
      <c r="I332" s="278" t="s">
        <v>6278</v>
      </c>
      <c r="J332" s="278">
        <v>0</v>
      </c>
      <c r="K332" s="278" t="s">
        <v>6209</v>
      </c>
      <c r="L332" s="278">
        <v>1</v>
      </c>
      <c r="M332" s="308">
        <v>0</v>
      </c>
    </row>
    <row r="333" spans="1:13" ht="11.1" customHeight="1">
      <c r="A333" s="501" t="s">
        <v>13085</v>
      </c>
      <c r="B333" s="280" t="s">
        <v>6231</v>
      </c>
      <c r="C333" s="515">
        <v>14915</v>
      </c>
      <c r="D333" s="503">
        <v>6.7014130703390018</v>
      </c>
      <c r="E333" s="504" t="s">
        <v>6262</v>
      </c>
      <c r="F333" s="278">
        <v>0</v>
      </c>
      <c r="G333" s="278" t="s">
        <v>12203</v>
      </c>
      <c r="H333" s="505">
        <v>31</v>
      </c>
      <c r="I333" s="278" t="s">
        <v>6264</v>
      </c>
      <c r="J333" s="278">
        <v>0</v>
      </c>
      <c r="K333" s="278" t="s">
        <v>6036</v>
      </c>
      <c r="L333" s="278">
        <v>0</v>
      </c>
      <c r="M333" s="308">
        <v>0</v>
      </c>
    </row>
    <row r="334" spans="1:13" ht="11.1" customHeight="1">
      <c r="A334" s="501" t="s">
        <v>13086</v>
      </c>
      <c r="B334" s="280" t="s">
        <v>6231</v>
      </c>
      <c r="C334" s="515">
        <v>2134</v>
      </c>
      <c r="D334" s="503">
        <v>0.95882101857884217</v>
      </c>
      <c r="E334" s="504" t="s">
        <v>6262</v>
      </c>
      <c r="F334" s="278">
        <v>0</v>
      </c>
      <c r="G334" s="278" t="s">
        <v>13087</v>
      </c>
      <c r="H334" s="505">
        <v>70</v>
      </c>
      <c r="I334" s="278" t="s">
        <v>6322</v>
      </c>
      <c r="J334" s="278">
        <v>0</v>
      </c>
      <c r="K334" s="278" t="s">
        <v>6036</v>
      </c>
      <c r="L334" s="278">
        <v>0</v>
      </c>
      <c r="M334" s="308">
        <v>0</v>
      </c>
    </row>
    <row r="335" spans="1:13" ht="11.1" customHeight="1">
      <c r="A335" s="507" t="s">
        <v>13088</v>
      </c>
      <c r="B335" s="519" t="s">
        <v>12590</v>
      </c>
      <c r="C335" s="520">
        <v>148955</v>
      </c>
      <c r="D335" s="521">
        <v>59.889111363069823</v>
      </c>
      <c r="E335" s="522" t="s">
        <v>6251</v>
      </c>
      <c r="F335" s="523" t="s">
        <v>6233</v>
      </c>
      <c r="G335" s="523" t="s">
        <v>7006</v>
      </c>
      <c r="H335" s="524">
        <v>40</v>
      </c>
      <c r="I335" s="523" t="s">
        <v>6257</v>
      </c>
      <c r="J335" s="523" t="s">
        <v>12975</v>
      </c>
      <c r="K335" s="523" t="s">
        <v>6209</v>
      </c>
      <c r="L335" s="523">
        <v>2</v>
      </c>
      <c r="M335" s="525">
        <v>0</v>
      </c>
    </row>
    <row r="336" spans="1:13" ht="11.1" customHeight="1">
      <c r="A336" s="501" t="s">
        <v>13089</v>
      </c>
      <c r="B336" s="280" t="s">
        <v>6230</v>
      </c>
      <c r="C336" s="515">
        <v>76967</v>
      </c>
      <c r="D336" s="503">
        <v>30.945488464847738</v>
      </c>
      <c r="E336" s="504">
        <v>51.671310127219627</v>
      </c>
      <c r="F336" s="278" t="s">
        <v>6233</v>
      </c>
      <c r="G336" s="278" t="s">
        <v>13090</v>
      </c>
      <c r="H336" s="505">
        <v>50</v>
      </c>
      <c r="I336" s="278" t="s">
        <v>6253</v>
      </c>
      <c r="J336" s="278" t="s">
        <v>11989</v>
      </c>
      <c r="K336" s="278" t="s">
        <v>6036</v>
      </c>
      <c r="L336" s="278">
        <v>0</v>
      </c>
      <c r="M336" s="308">
        <v>0</v>
      </c>
    </row>
    <row r="337" spans="1:13" ht="11.1" customHeight="1">
      <c r="A337" s="501" t="s">
        <v>13091</v>
      </c>
      <c r="B337" s="280" t="s">
        <v>6231</v>
      </c>
      <c r="C337" s="515">
        <v>16122</v>
      </c>
      <c r="D337" s="503">
        <v>6.4820399006103298</v>
      </c>
      <c r="E337" s="504" t="s">
        <v>6262</v>
      </c>
      <c r="F337" s="278">
        <v>0</v>
      </c>
      <c r="G337" s="278" t="s">
        <v>13092</v>
      </c>
      <c r="H337" s="505">
        <v>68</v>
      </c>
      <c r="I337" s="278" t="s">
        <v>6264</v>
      </c>
      <c r="J337" s="278">
        <v>0</v>
      </c>
      <c r="K337" s="278" t="s">
        <v>6036</v>
      </c>
      <c r="L337" s="278">
        <v>0</v>
      </c>
      <c r="M337" s="308">
        <v>0</v>
      </c>
    </row>
    <row r="338" spans="1:13" ht="11.1" customHeight="1">
      <c r="A338" s="501" t="s">
        <v>13093</v>
      </c>
      <c r="B338" s="280" t="s">
        <v>6231</v>
      </c>
      <c r="C338" s="515">
        <v>6674</v>
      </c>
      <c r="D338" s="503">
        <v>2.6833602714721088</v>
      </c>
      <c r="E338" s="504" t="s">
        <v>6262</v>
      </c>
      <c r="F338" s="278">
        <v>0</v>
      </c>
      <c r="G338" s="278" t="s">
        <v>13094</v>
      </c>
      <c r="H338" s="505">
        <v>47</v>
      </c>
      <c r="I338" s="278" t="s">
        <v>6322</v>
      </c>
      <c r="J338" s="278">
        <v>0</v>
      </c>
      <c r="K338" s="278" t="s">
        <v>6036</v>
      </c>
      <c r="L338" s="278">
        <v>0</v>
      </c>
      <c r="M338" s="308">
        <v>0</v>
      </c>
    </row>
    <row r="339" spans="1:13" ht="11.1" customHeight="1">
      <c r="A339" s="507" t="s">
        <v>13095</v>
      </c>
      <c r="B339" s="519" t="s">
        <v>12590</v>
      </c>
      <c r="C339" s="520">
        <v>125067</v>
      </c>
      <c r="D339" s="521">
        <v>55.361182058421235</v>
      </c>
      <c r="E339" s="522" t="s">
        <v>6251</v>
      </c>
      <c r="F339" s="523" t="s">
        <v>6233</v>
      </c>
      <c r="G339" s="523" t="s">
        <v>12205</v>
      </c>
      <c r="H339" s="524">
        <v>67</v>
      </c>
      <c r="I339" s="523" t="s">
        <v>6257</v>
      </c>
      <c r="J339" s="523" t="s">
        <v>12674</v>
      </c>
      <c r="K339" s="523" t="s">
        <v>6209</v>
      </c>
      <c r="L339" s="523">
        <v>7</v>
      </c>
      <c r="M339" s="525">
        <v>0</v>
      </c>
    </row>
    <row r="340" spans="1:13" ht="11.1" customHeight="1">
      <c r="A340" s="501" t="s">
        <v>13096</v>
      </c>
      <c r="B340" s="280" t="s">
        <v>6230</v>
      </c>
      <c r="C340" s="515">
        <v>82967</v>
      </c>
      <c r="D340" s="503">
        <v>36.725524653513993</v>
      </c>
      <c r="E340" s="504">
        <v>66.338042809054343</v>
      </c>
      <c r="F340" s="278" t="s">
        <v>6233</v>
      </c>
      <c r="G340" s="278" t="s">
        <v>12206</v>
      </c>
      <c r="H340" s="505">
        <v>29</v>
      </c>
      <c r="I340" s="278" t="s">
        <v>6253</v>
      </c>
      <c r="J340" s="278" t="s">
        <v>12178</v>
      </c>
      <c r="K340" s="278" t="s">
        <v>6036</v>
      </c>
      <c r="L340" s="278">
        <v>0</v>
      </c>
      <c r="M340" s="308" t="s">
        <v>6170</v>
      </c>
    </row>
    <row r="341" spans="1:13" ht="11.1" customHeight="1">
      <c r="A341" s="501" t="s">
        <v>13097</v>
      </c>
      <c r="B341" s="280" t="s">
        <v>6231</v>
      </c>
      <c r="C341" s="515">
        <v>17877</v>
      </c>
      <c r="D341" s="503">
        <v>7.9132932880647688</v>
      </c>
      <c r="E341" s="504" t="s">
        <v>6262</v>
      </c>
      <c r="F341" s="278">
        <v>0</v>
      </c>
      <c r="G341" s="278" t="s">
        <v>12207</v>
      </c>
      <c r="H341" s="505">
        <v>40</v>
      </c>
      <c r="I341" s="278" t="s">
        <v>6264</v>
      </c>
      <c r="J341" s="278">
        <v>0</v>
      </c>
      <c r="K341" s="278" t="s">
        <v>6036</v>
      </c>
      <c r="L341" s="278">
        <v>0</v>
      </c>
      <c r="M341" s="308">
        <v>0</v>
      </c>
    </row>
    <row r="342" spans="1:13" ht="11.1" customHeight="1">
      <c r="A342" s="507" t="s">
        <v>13098</v>
      </c>
      <c r="B342" s="519" t="s">
        <v>12590</v>
      </c>
      <c r="C342" s="520">
        <v>135206</v>
      </c>
      <c r="D342" s="521">
        <v>57.340243261124023</v>
      </c>
      <c r="E342" s="522" t="s">
        <v>6251</v>
      </c>
      <c r="F342" s="523" t="s">
        <v>6233</v>
      </c>
      <c r="G342" s="523" t="s">
        <v>12208</v>
      </c>
      <c r="H342" s="524">
        <v>66</v>
      </c>
      <c r="I342" s="523" t="s">
        <v>6257</v>
      </c>
      <c r="J342" s="523" t="s">
        <v>12975</v>
      </c>
      <c r="K342" s="523" t="s">
        <v>6209</v>
      </c>
      <c r="L342" s="523">
        <v>12</v>
      </c>
      <c r="M342" s="525">
        <v>0</v>
      </c>
    </row>
    <row r="343" spans="1:13" ht="11.1" customHeight="1">
      <c r="A343" s="501" t="s">
        <v>13099</v>
      </c>
      <c r="B343" s="280" t="s">
        <v>6230</v>
      </c>
      <c r="C343" s="515">
        <v>81900</v>
      </c>
      <c r="D343" s="503">
        <v>34.73341362872992</v>
      </c>
      <c r="E343" s="504">
        <v>60.574234871233529</v>
      </c>
      <c r="F343" s="278" t="s">
        <v>6233</v>
      </c>
      <c r="G343" s="278" t="s">
        <v>8048</v>
      </c>
      <c r="H343" s="505">
        <v>40</v>
      </c>
      <c r="I343" s="278" t="s">
        <v>6253</v>
      </c>
      <c r="J343" s="278" t="s">
        <v>12007</v>
      </c>
      <c r="K343" s="278" t="s">
        <v>6036</v>
      </c>
      <c r="L343" s="278">
        <v>0</v>
      </c>
      <c r="M343" s="308" t="s">
        <v>13029</v>
      </c>
    </row>
    <row r="344" spans="1:13" ht="11.1" customHeight="1">
      <c r="A344" s="501" t="s">
        <v>13100</v>
      </c>
      <c r="B344" s="280" t="s">
        <v>6231</v>
      </c>
      <c r="C344" s="515">
        <v>18690</v>
      </c>
      <c r="D344" s="503">
        <v>7.9263431101460586</v>
      </c>
      <c r="E344" s="504" t="s">
        <v>6262</v>
      </c>
      <c r="F344" s="278">
        <v>0</v>
      </c>
      <c r="G344" s="278" t="s">
        <v>12209</v>
      </c>
      <c r="H344" s="505">
        <v>56</v>
      </c>
      <c r="I344" s="278" t="s">
        <v>6264</v>
      </c>
      <c r="J344" s="278">
        <v>0</v>
      </c>
      <c r="K344" s="278" t="s">
        <v>6036</v>
      </c>
      <c r="L344" s="278">
        <v>0</v>
      </c>
      <c r="M344" s="308">
        <v>0</v>
      </c>
    </row>
    <row r="345" spans="1:13" ht="11.1" customHeight="1">
      <c r="A345" s="507" t="s">
        <v>13101</v>
      </c>
      <c r="B345" s="508" t="s">
        <v>12590</v>
      </c>
      <c r="C345" s="509">
        <v>64879</v>
      </c>
      <c r="D345" s="510">
        <v>37.973801887013323</v>
      </c>
      <c r="E345" s="511" t="s">
        <v>6251</v>
      </c>
      <c r="F345" s="514" t="s">
        <v>6233</v>
      </c>
      <c r="G345" s="514" t="s">
        <v>12210</v>
      </c>
      <c r="H345" s="513">
        <v>37</v>
      </c>
      <c r="I345" s="514" t="s">
        <v>6253</v>
      </c>
      <c r="J345" s="514" t="s">
        <v>12020</v>
      </c>
      <c r="K345" s="514" t="s">
        <v>6209</v>
      </c>
      <c r="L345" s="514">
        <v>1</v>
      </c>
      <c r="M345" s="341" t="s">
        <v>13029</v>
      </c>
    </row>
    <row r="346" spans="1:13" ht="11.1" customHeight="1">
      <c r="A346" s="501" t="s">
        <v>13102</v>
      </c>
      <c r="B346" s="516" t="s">
        <v>12602</v>
      </c>
      <c r="C346" s="515">
        <v>58001</v>
      </c>
      <c r="D346" s="503">
        <v>33.948095427621567</v>
      </c>
      <c r="E346" s="504">
        <v>89.398726860771589</v>
      </c>
      <c r="F346" s="517" t="s">
        <v>6233</v>
      </c>
      <c r="G346" s="517" t="s">
        <v>7031</v>
      </c>
      <c r="H346" s="518">
        <v>35</v>
      </c>
      <c r="I346" s="517" t="s">
        <v>6257</v>
      </c>
      <c r="J346" s="517" t="s">
        <v>12674</v>
      </c>
      <c r="K346" s="517" t="s">
        <v>6036</v>
      </c>
      <c r="L346" s="517">
        <v>0</v>
      </c>
      <c r="M346" s="308">
        <v>0</v>
      </c>
    </row>
    <row r="347" spans="1:13" ht="11.1" customHeight="1">
      <c r="A347" s="501" t="s">
        <v>13103</v>
      </c>
      <c r="B347" s="280" t="s">
        <v>6231</v>
      </c>
      <c r="C347" s="515">
        <v>15136</v>
      </c>
      <c r="D347" s="503">
        <v>8.8591295390162248</v>
      </c>
      <c r="E347" s="504" t="s">
        <v>6262</v>
      </c>
      <c r="F347" s="278">
        <v>0</v>
      </c>
      <c r="G347" s="278" t="s">
        <v>13104</v>
      </c>
      <c r="H347" s="505">
        <v>60</v>
      </c>
      <c r="I347" s="278" t="s">
        <v>6322</v>
      </c>
      <c r="J347" s="278" t="s">
        <v>6323</v>
      </c>
      <c r="K347" s="278" t="s">
        <v>6036</v>
      </c>
      <c r="L347" s="278">
        <v>0</v>
      </c>
      <c r="M347" s="308">
        <v>0</v>
      </c>
    </row>
    <row r="348" spans="1:13" ht="11.1" customHeight="1">
      <c r="A348" s="501" t="s">
        <v>13105</v>
      </c>
      <c r="B348" s="280" t="s">
        <v>6231</v>
      </c>
      <c r="C348" s="515">
        <v>13267</v>
      </c>
      <c r="D348" s="503">
        <v>7.7652002903097417</v>
      </c>
      <c r="E348" s="504" t="s">
        <v>6262</v>
      </c>
      <c r="F348" s="278">
        <v>0</v>
      </c>
      <c r="G348" s="278" t="s">
        <v>13106</v>
      </c>
      <c r="H348" s="505">
        <v>35</v>
      </c>
      <c r="I348" s="278" t="s">
        <v>6322</v>
      </c>
      <c r="J348" s="278">
        <v>0</v>
      </c>
      <c r="K348" s="278" t="s">
        <v>6036</v>
      </c>
      <c r="L348" s="278">
        <v>0</v>
      </c>
      <c r="M348" s="308">
        <v>0</v>
      </c>
    </row>
    <row r="349" spans="1:13" ht="11.1" customHeight="1">
      <c r="A349" s="501" t="s">
        <v>13107</v>
      </c>
      <c r="B349" s="280" t="s">
        <v>6231</v>
      </c>
      <c r="C349" s="515">
        <v>13084</v>
      </c>
      <c r="D349" s="503">
        <v>7.6580900428440986</v>
      </c>
      <c r="E349" s="504" t="s">
        <v>6262</v>
      </c>
      <c r="F349" s="278">
        <v>0</v>
      </c>
      <c r="G349" s="278" t="s">
        <v>7033</v>
      </c>
      <c r="H349" s="505">
        <v>45</v>
      </c>
      <c r="I349" s="278" t="s">
        <v>6264</v>
      </c>
      <c r="J349" s="278">
        <v>0</v>
      </c>
      <c r="K349" s="278" t="s">
        <v>6036</v>
      </c>
      <c r="L349" s="278">
        <v>0</v>
      </c>
      <c r="M349" s="308">
        <v>0</v>
      </c>
    </row>
    <row r="350" spans="1:13" ht="11.1" customHeight="1">
      <c r="A350" s="501" t="s">
        <v>13108</v>
      </c>
      <c r="B350" s="280" t="s">
        <v>6231</v>
      </c>
      <c r="C350" s="515">
        <v>5610</v>
      </c>
      <c r="D350" s="503">
        <v>3.2835436518156067</v>
      </c>
      <c r="E350" s="504">
        <v>8.6468657038487038</v>
      </c>
      <c r="F350" s="278" t="s">
        <v>6233</v>
      </c>
      <c r="G350" s="278" t="s">
        <v>13109</v>
      </c>
      <c r="H350" s="505">
        <v>52</v>
      </c>
      <c r="I350" s="278" t="s">
        <v>6278</v>
      </c>
      <c r="J350" s="278">
        <v>0</v>
      </c>
      <c r="K350" s="278" t="s">
        <v>6036</v>
      </c>
      <c r="L350" s="278">
        <v>0</v>
      </c>
      <c r="M350" s="308" t="s">
        <v>6154</v>
      </c>
    </row>
    <row r="351" spans="1:13" ht="11.1" customHeight="1" thickBot="1">
      <c r="A351" s="527" t="s">
        <v>13110</v>
      </c>
      <c r="B351" s="280" t="s">
        <v>6231</v>
      </c>
      <c r="C351" s="529">
        <v>875</v>
      </c>
      <c r="D351" s="530">
        <v>0.51213916137943949</v>
      </c>
      <c r="E351" s="531" t="s">
        <v>6262</v>
      </c>
      <c r="F351" s="532">
        <v>0</v>
      </c>
      <c r="G351" s="532" t="s">
        <v>13111</v>
      </c>
      <c r="H351" s="533">
        <v>63</v>
      </c>
      <c r="I351" s="532" t="s">
        <v>6322</v>
      </c>
      <c r="J351" s="532">
        <v>0</v>
      </c>
      <c r="K351" s="532" t="s">
        <v>6036</v>
      </c>
      <c r="L351" s="532">
        <v>0</v>
      </c>
      <c r="M351" s="347">
        <v>0</v>
      </c>
    </row>
    <row r="352" spans="1:13" ht="11.1" customHeight="1">
      <c r="A352" s="493" t="s">
        <v>13112</v>
      </c>
      <c r="B352" s="494" t="s">
        <v>12590</v>
      </c>
      <c r="C352" s="540">
        <v>71623</v>
      </c>
      <c r="D352" s="496">
        <v>54.904561134534305</v>
      </c>
      <c r="E352" s="497" t="s">
        <v>6251</v>
      </c>
      <c r="F352" s="498" t="s">
        <v>6233</v>
      </c>
      <c r="G352" s="498" t="s">
        <v>7039</v>
      </c>
      <c r="H352" s="499">
        <v>49</v>
      </c>
      <c r="I352" s="498" t="s">
        <v>6253</v>
      </c>
      <c r="J352" s="498" t="s">
        <v>12000</v>
      </c>
      <c r="K352" s="498" t="s">
        <v>6209</v>
      </c>
      <c r="L352" s="498">
        <v>3</v>
      </c>
      <c r="M352" s="500">
        <v>0</v>
      </c>
    </row>
    <row r="353" spans="1:13" ht="11.1" customHeight="1">
      <c r="A353" s="501" t="s">
        <v>13113</v>
      </c>
      <c r="B353" s="280" t="s">
        <v>6230</v>
      </c>
      <c r="C353" s="515">
        <v>45282</v>
      </c>
      <c r="D353" s="503">
        <v>34.712150249137601</v>
      </c>
      <c r="E353" s="504">
        <v>63.222707789397262</v>
      </c>
      <c r="F353" s="278" t="s">
        <v>6233</v>
      </c>
      <c r="G353" s="278" t="s">
        <v>13114</v>
      </c>
      <c r="H353" s="505">
        <v>56</v>
      </c>
      <c r="I353" s="278" t="s">
        <v>6257</v>
      </c>
      <c r="J353" s="278" t="s">
        <v>12635</v>
      </c>
      <c r="K353" s="278" t="s">
        <v>6209</v>
      </c>
      <c r="L353" s="278">
        <v>3</v>
      </c>
      <c r="M353" s="308" t="s">
        <v>12638</v>
      </c>
    </row>
    <row r="354" spans="1:13" ht="11.1" customHeight="1">
      <c r="A354" s="501" t="s">
        <v>13115</v>
      </c>
      <c r="B354" s="280"/>
      <c r="C354" s="515">
        <v>13545</v>
      </c>
      <c r="D354" s="503">
        <v>10.383288616328095</v>
      </c>
      <c r="E354" s="504" t="s">
        <v>6262</v>
      </c>
      <c r="F354" s="278">
        <v>0</v>
      </c>
      <c r="G354" s="278" t="s">
        <v>7043</v>
      </c>
      <c r="H354" s="505">
        <v>52</v>
      </c>
      <c r="I354" s="278" t="s">
        <v>6264</v>
      </c>
      <c r="J354" s="278">
        <v>0</v>
      </c>
      <c r="K354" s="278" t="s">
        <v>6036</v>
      </c>
      <c r="L354" s="278">
        <v>0</v>
      </c>
      <c r="M354" s="308">
        <v>0</v>
      </c>
    </row>
    <row r="355" spans="1:13" ht="11.1" customHeight="1">
      <c r="A355" s="507" t="s">
        <v>13116</v>
      </c>
      <c r="B355" s="519" t="s">
        <v>12590</v>
      </c>
      <c r="C355" s="520">
        <v>101727</v>
      </c>
      <c r="D355" s="521">
        <v>77.093943252091677</v>
      </c>
      <c r="E355" s="522" t="s">
        <v>6262</v>
      </c>
      <c r="F355" s="523">
        <v>0</v>
      </c>
      <c r="G355" s="523" t="s">
        <v>7051</v>
      </c>
      <c r="H355" s="524">
        <v>73</v>
      </c>
      <c r="I355" s="523" t="s">
        <v>6257</v>
      </c>
      <c r="J355" s="523" t="s">
        <v>12617</v>
      </c>
      <c r="K355" s="523" t="s">
        <v>6209</v>
      </c>
      <c r="L355" s="523">
        <v>8</v>
      </c>
      <c r="M355" s="525" t="s">
        <v>12638</v>
      </c>
    </row>
    <row r="356" spans="1:13" ht="11.1" customHeight="1">
      <c r="A356" s="501" t="s">
        <v>13117</v>
      </c>
      <c r="B356" s="280" t="s">
        <v>6230</v>
      </c>
      <c r="C356" s="515">
        <v>30225</v>
      </c>
      <c r="D356" s="503">
        <v>22.90605674790833</v>
      </c>
      <c r="E356" s="504">
        <v>29.711875903152556</v>
      </c>
      <c r="F356" s="278" t="s">
        <v>6233</v>
      </c>
      <c r="G356" s="278" t="s">
        <v>13118</v>
      </c>
      <c r="H356" s="505">
        <v>42</v>
      </c>
      <c r="I356" s="278" t="s">
        <v>6264</v>
      </c>
      <c r="J356" s="278">
        <v>0</v>
      </c>
      <c r="K356" s="278" t="s">
        <v>6036</v>
      </c>
      <c r="L356" s="278">
        <v>0</v>
      </c>
      <c r="M356" s="308">
        <v>0</v>
      </c>
    </row>
    <row r="357" spans="1:13" ht="11.1" customHeight="1">
      <c r="A357" s="507" t="s">
        <v>13119</v>
      </c>
      <c r="B357" s="519" t="s">
        <v>12590</v>
      </c>
      <c r="C357" s="520">
        <v>83107</v>
      </c>
      <c r="D357" s="521">
        <v>52.888244016367885</v>
      </c>
      <c r="E357" s="522" t="s">
        <v>6251</v>
      </c>
      <c r="F357" s="523" t="s">
        <v>6233</v>
      </c>
      <c r="G357" s="523" t="s">
        <v>12213</v>
      </c>
      <c r="H357" s="524">
        <v>58</v>
      </c>
      <c r="I357" s="523" t="s">
        <v>6257</v>
      </c>
      <c r="J357" s="523" t="s">
        <v>12617</v>
      </c>
      <c r="K357" s="523" t="s">
        <v>6209</v>
      </c>
      <c r="L357" s="523">
        <v>1</v>
      </c>
      <c r="M357" s="525" t="s">
        <v>12638</v>
      </c>
    </row>
    <row r="358" spans="1:13" ht="11.1" customHeight="1">
      <c r="A358" s="501" t="s">
        <v>13120</v>
      </c>
      <c r="B358" s="280" t="s">
        <v>6230</v>
      </c>
      <c r="C358" s="515">
        <v>62475</v>
      </c>
      <c r="D358" s="503">
        <v>39.758300082093967</v>
      </c>
      <c r="E358" s="504">
        <v>75.174173054014702</v>
      </c>
      <c r="F358" s="278" t="s">
        <v>6233</v>
      </c>
      <c r="G358" s="278" t="s">
        <v>12214</v>
      </c>
      <c r="H358" s="505">
        <v>46</v>
      </c>
      <c r="I358" s="278" t="s">
        <v>6253</v>
      </c>
      <c r="J358" s="278" t="s">
        <v>11994</v>
      </c>
      <c r="K358" s="278" t="s">
        <v>6209</v>
      </c>
      <c r="L358" s="278">
        <v>1</v>
      </c>
      <c r="M358" s="308">
        <v>0</v>
      </c>
    </row>
    <row r="359" spans="1:13" ht="11.1" customHeight="1" thickBot="1">
      <c r="A359" s="527" t="s">
        <v>13121</v>
      </c>
      <c r="B359" s="528" t="s">
        <v>6231</v>
      </c>
      <c r="C359" s="529">
        <v>11555</v>
      </c>
      <c r="D359" s="530">
        <v>7.3534559015381484</v>
      </c>
      <c r="E359" s="531" t="s">
        <v>6262</v>
      </c>
      <c r="F359" s="532">
        <v>0</v>
      </c>
      <c r="G359" s="532" t="s">
        <v>13122</v>
      </c>
      <c r="H359" s="533">
        <v>61</v>
      </c>
      <c r="I359" s="532" t="s">
        <v>6264</v>
      </c>
      <c r="J359" s="532">
        <v>0</v>
      </c>
      <c r="K359" s="532" t="s">
        <v>6036</v>
      </c>
      <c r="L359" s="532">
        <v>0</v>
      </c>
      <c r="M359" s="347">
        <v>0</v>
      </c>
    </row>
    <row r="360" spans="1:13" ht="11.1" customHeight="1">
      <c r="A360" s="493" t="s">
        <v>13123</v>
      </c>
      <c r="B360" s="494" t="s">
        <v>12590</v>
      </c>
      <c r="C360" s="540">
        <v>105222</v>
      </c>
      <c r="D360" s="496">
        <v>44.601279263469777</v>
      </c>
      <c r="E360" s="497" t="s">
        <v>6251</v>
      </c>
      <c r="F360" s="498" t="s">
        <v>6233</v>
      </c>
      <c r="G360" s="498" t="s">
        <v>7061</v>
      </c>
      <c r="H360" s="499">
        <v>54</v>
      </c>
      <c r="I360" s="498" t="s">
        <v>6253</v>
      </c>
      <c r="J360" s="498" t="s">
        <v>12215</v>
      </c>
      <c r="K360" s="498" t="s">
        <v>6209</v>
      </c>
      <c r="L360" s="498">
        <v>3</v>
      </c>
      <c r="M360" s="500">
        <v>0</v>
      </c>
    </row>
    <row r="361" spans="1:13" ht="11.1" customHeight="1">
      <c r="A361" s="501" t="s">
        <v>13124</v>
      </c>
      <c r="B361" s="516" t="s">
        <v>12602</v>
      </c>
      <c r="C361" s="515">
        <v>103785</v>
      </c>
      <c r="D361" s="503">
        <v>43.992166736606521</v>
      </c>
      <c r="E361" s="504">
        <v>98.634316017562867</v>
      </c>
      <c r="F361" s="517" t="s">
        <v>6233</v>
      </c>
      <c r="G361" s="517" t="s">
        <v>7064</v>
      </c>
      <c r="H361" s="518">
        <v>65</v>
      </c>
      <c r="I361" s="517" t="s">
        <v>6257</v>
      </c>
      <c r="J361" s="517" t="s">
        <v>12635</v>
      </c>
      <c r="K361" s="517" t="s">
        <v>6283</v>
      </c>
      <c r="L361" s="517">
        <v>7</v>
      </c>
      <c r="M361" s="308" t="s">
        <v>12638</v>
      </c>
    </row>
    <row r="362" spans="1:13" ht="11.1" customHeight="1">
      <c r="A362" s="501" t="s">
        <v>13125</v>
      </c>
      <c r="B362" s="280" t="s">
        <v>6231</v>
      </c>
      <c r="C362" s="515">
        <v>20640</v>
      </c>
      <c r="D362" s="503">
        <v>8.7488396342781574</v>
      </c>
      <c r="E362" s="504" t="s">
        <v>6262</v>
      </c>
      <c r="F362" s="278">
        <v>0</v>
      </c>
      <c r="G362" s="278" t="s">
        <v>12221</v>
      </c>
      <c r="H362" s="505">
        <v>50</v>
      </c>
      <c r="I362" s="278" t="s">
        <v>6264</v>
      </c>
      <c r="J362" s="278">
        <v>0</v>
      </c>
      <c r="K362" s="278" t="s">
        <v>6036</v>
      </c>
      <c r="L362" s="278">
        <v>0</v>
      </c>
      <c r="M362" s="308">
        <v>0</v>
      </c>
    </row>
    <row r="363" spans="1:13" ht="11.1" customHeight="1">
      <c r="A363" s="501" t="s">
        <v>13126</v>
      </c>
      <c r="B363" s="280" t="s">
        <v>6231</v>
      </c>
      <c r="C363" s="515">
        <v>5572</v>
      </c>
      <c r="D363" s="503">
        <v>2.3618475989436964</v>
      </c>
      <c r="E363" s="504" t="s">
        <v>6262</v>
      </c>
      <c r="F363" s="278">
        <v>0</v>
      </c>
      <c r="G363" s="278" t="s">
        <v>13127</v>
      </c>
      <c r="H363" s="505">
        <v>61</v>
      </c>
      <c r="I363" s="278" t="s">
        <v>6322</v>
      </c>
      <c r="J363" s="278">
        <v>0</v>
      </c>
      <c r="K363" s="278" t="s">
        <v>6036</v>
      </c>
      <c r="L363" s="278">
        <v>0</v>
      </c>
      <c r="M363" s="308">
        <v>0</v>
      </c>
    </row>
    <row r="364" spans="1:13" ht="11.1" customHeight="1">
      <c r="A364" s="501" t="s">
        <v>13128</v>
      </c>
      <c r="B364" s="280" t="s">
        <v>6231</v>
      </c>
      <c r="C364" s="515">
        <v>698</v>
      </c>
      <c r="D364" s="503">
        <v>0.29586676670184853</v>
      </c>
      <c r="E364" s="504" t="s">
        <v>6262</v>
      </c>
      <c r="F364" s="278">
        <v>0</v>
      </c>
      <c r="G364" s="278" t="s">
        <v>7076</v>
      </c>
      <c r="H364" s="505">
        <v>59</v>
      </c>
      <c r="I364" s="278" t="s">
        <v>11993</v>
      </c>
      <c r="J364" s="278">
        <v>0</v>
      </c>
      <c r="K364" s="278" t="s">
        <v>6036</v>
      </c>
      <c r="L364" s="278">
        <v>0</v>
      </c>
      <c r="M364" s="308">
        <v>0</v>
      </c>
    </row>
    <row r="365" spans="1:13" ht="11.1" customHeight="1">
      <c r="A365" s="507" t="s">
        <v>13129</v>
      </c>
      <c r="B365" s="508" t="s">
        <v>12590</v>
      </c>
      <c r="C365" s="509">
        <v>104477</v>
      </c>
      <c r="D365" s="510">
        <v>47.983117246953896</v>
      </c>
      <c r="E365" s="511" t="s">
        <v>6251</v>
      </c>
      <c r="F365" s="514" t="s">
        <v>6233</v>
      </c>
      <c r="G365" s="514" t="s">
        <v>7081</v>
      </c>
      <c r="H365" s="513">
        <v>58</v>
      </c>
      <c r="I365" s="514" t="s">
        <v>6253</v>
      </c>
      <c r="J365" s="514" t="s">
        <v>12007</v>
      </c>
      <c r="K365" s="514" t="s">
        <v>6209</v>
      </c>
      <c r="L365" s="514">
        <v>2</v>
      </c>
      <c r="M365" s="341">
        <v>0</v>
      </c>
    </row>
    <row r="366" spans="1:13" ht="11.1" customHeight="1">
      <c r="A366" s="501" t="s">
        <v>13130</v>
      </c>
      <c r="B366" s="280" t="s">
        <v>6230</v>
      </c>
      <c r="C366" s="515">
        <v>91926</v>
      </c>
      <c r="D366" s="503">
        <v>42.218823626668872</v>
      </c>
      <c r="E366" s="504">
        <v>87.986829637145021</v>
      </c>
      <c r="F366" s="278" t="s">
        <v>6233</v>
      </c>
      <c r="G366" s="278" t="s">
        <v>7083</v>
      </c>
      <c r="H366" s="505">
        <v>68</v>
      </c>
      <c r="I366" s="278" t="s">
        <v>6257</v>
      </c>
      <c r="J366" s="278" t="s">
        <v>12674</v>
      </c>
      <c r="K366" s="278" t="s">
        <v>6283</v>
      </c>
      <c r="L366" s="278">
        <v>8</v>
      </c>
      <c r="M366" s="308" t="s">
        <v>12638</v>
      </c>
    </row>
    <row r="367" spans="1:13" ht="11.1" customHeight="1">
      <c r="A367" s="501" t="s">
        <v>13131</v>
      </c>
      <c r="B367" s="280" t="s">
        <v>6231</v>
      </c>
      <c r="C367" s="515">
        <v>21334</v>
      </c>
      <c r="D367" s="503">
        <v>9.7980591263772343</v>
      </c>
      <c r="E367" s="504" t="s">
        <v>6262</v>
      </c>
      <c r="F367" s="278">
        <v>0</v>
      </c>
      <c r="G367" s="278" t="s">
        <v>13132</v>
      </c>
      <c r="H367" s="505">
        <v>48</v>
      </c>
      <c r="I367" s="278" t="s">
        <v>6264</v>
      </c>
      <c r="J367" s="278">
        <v>0</v>
      </c>
      <c r="K367" s="278" t="s">
        <v>6036</v>
      </c>
      <c r="L367" s="278">
        <v>0</v>
      </c>
      <c r="M367" s="308">
        <v>0</v>
      </c>
    </row>
    <row r="368" spans="1:13" ht="11.1" customHeight="1">
      <c r="A368" s="507" t="s">
        <v>13133</v>
      </c>
      <c r="B368" s="508" t="s">
        <v>12590</v>
      </c>
      <c r="C368" s="509">
        <v>122181</v>
      </c>
      <c r="D368" s="510">
        <v>47.303805799682529</v>
      </c>
      <c r="E368" s="511" t="s">
        <v>6251</v>
      </c>
      <c r="F368" s="514" t="s">
        <v>6233</v>
      </c>
      <c r="G368" s="514" t="s">
        <v>12218</v>
      </c>
      <c r="H368" s="513">
        <v>47</v>
      </c>
      <c r="I368" s="514" t="s">
        <v>6253</v>
      </c>
      <c r="J368" s="514" t="s">
        <v>11994</v>
      </c>
      <c r="K368" s="514" t="s">
        <v>6209</v>
      </c>
      <c r="L368" s="514">
        <v>1</v>
      </c>
      <c r="M368" s="341" t="s">
        <v>6170</v>
      </c>
    </row>
    <row r="369" spans="1:13" ht="11.1" customHeight="1">
      <c r="A369" s="501" t="s">
        <v>13134</v>
      </c>
      <c r="B369" s="280" t="s">
        <v>6230</v>
      </c>
      <c r="C369" s="515">
        <v>113494</v>
      </c>
      <c r="D369" s="503">
        <v>43.940531960199777</v>
      </c>
      <c r="E369" s="504">
        <v>92.89005655543825</v>
      </c>
      <c r="F369" s="278" t="s">
        <v>6233</v>
      </c>
      <c r="G369" s="278" t="s">
        <v>7095</v>
      </c>
      <c r="H369" s="505">
        <v>39</v>
      </c>
      <c r="I369" s="278" t="s">
        <v>6257</v>
      </c>
      <c r="J369" s="278" t="s">
        <v>12617</v>
      </c>
      <c r="K369" s="278" t="s">
        <v>6036</v>
      </c>
      <c r="L369" s="278">
        <v>0</v>
      </c>
      <c r="M369" s="308" t="s">
        <v>12622</v>
      </c>
    </row>
    <row r="370" spans="1:13" ht="11.1" customHeight="1">
      <c r="A370" s="501" t="s">
        <v>13135</v>
      </c>
      <c r="B370" s="280" t="s">
        <v>6231</v>
      </c>
      <c r="C370" s="515">
        <v>22615</v>
      </c>
      <c r="D370" s="503">
        <v>8.7556622401176973</v>
      </c>
      <c r="E370" s="504" t="s">
        <v>6262</v>
      </c>
      <c r="F370" s="278">
        <v>0</v>
      </c>
      <c r="G370" s="278" t="s">
        <v>13136</v>
      </c>
      <c r="H370" s="505">
        <v>46</v>
      </c>
      <c r="I370" s="278" t="s">
        <v>6264</v>
      </c>
      <c r="J370" s="278">
        <v>0</v>
      </c>
      <c r="K370" s="278" t="s">
        <v>6036</v>
      </c>
      <c r="L370" s="278">
        <v>0</v>
      </c>
      <c r="M370" s="308">
        <v>0</v>
      </c>
    </row>
    <row r="371" spans="1:13" ht="11.1" customHeight="1">
      <c r="A371" s="507" t="s">
        <v>13137</v>
      </c>
      <c r="B371" s="519" t="s">
        <v>12590</v>
      </c>
      <c r="C371" s="520">
        <v>90693</v>
      </c>
      <c r="D371" s="521">
        <v>41.356620077977155</v>
      </c>
      <c r="E371" s="522" t="s">
        <v>6251</v>
      </c>
      <c r="F371" s="523" t="s">
        <v>6233</v>
      </c>
      <c r="G371" s="523" t="s">
        <v>12222</v>
      </c>
      <c r="H371" s="524">
        <v>39</v>
      </c>
      <c r="I371" s="523" t="s">
        <v>6257</v>
      </c>
      <c r="J371" s="523" t="s">
        <v>12617</v>
      </c>
      <c r="K371" s="523" t="s">
        <v>6036</v>
      </c>
      <c r="L371" s="523">
        <v>0</v>
      </c>
      <c r="M371" s="525">
        <v>0</v>
      </c>
    </row>
    <row r="372" spans="1:13" ht="11.1" customHeight="1">
      <c r="A372" s="501" t="s">
        <v>13138</v>
      </c>
      <c r="B372" s="516" t="s">
        <v>12602</v>
      </c>
      <c r="C372" s="515">
        <v>77953</v>
      </c>
      <c r="D372" s="503">
        <v>35.547094096992637</v>
      </c>
      <c r="E372" s="504">
        <v>85.952609352430727</v>
      </c>
      <c r="F372" s="512" t="s">
        <v>6233</v>
      </c>
      <c r="G372" s="512" t="s">
        <v>7103</v>
      </c>
      <c r="H372" s="526">
        <v>36</v>
      </c>
      <c r="I372" s="512" t="s">
        <v>6253</v>
      </c>
      <c r="J372" s="512" t="s">
        <v>12000</v>
      </c>
      <c r="K372" s="512" t="s">
        <v>6283</v>
      </c>
      <c r="L372" s="512">
        <v>1</v>
      </c>
      <c r="M372" s="308" t="s">
        <v>6170</v>
      </c>
    </row>
    <row r="373" spans="1:13" ht="11.1" customHeight="1">
      <c r="A373" s="501" t="s">
        <v>13139</v>
      </c>
      <c r="B373" s="280"/>
      <c r="C373" s="515">
        <v>26707</v>
      </c>
      <c r="D373" s="503">
        <v>12.178572242869194</v>
      </c>
      <c r="E373" s="504" t="s">
        <v>6262</v>
      </c>
      <c r="F373" s="278">
        <v>0</v>
      </c>
      <c r="G373" s="278" t="s">
        <v>13140</v>
      </c>
      <c r="H373" s="505">
        <v>53</v>
      </c>
      <c r="I373" s="278" t="s">
        <v>12757</v>
      </c>
      <c r="J373" s="278">
        <v>0</v>
      </c>
      <c r="K373" s="278" t="s">
        <v>6209</v>
      </c>
      <c r="L373" s="278">
        <v>1</v>
      </c>
      <c r="M373" s="308">
        <v>0</v>
      </c>
    </row>
    <row r="374" spans="1:13" ht="11.1" customHeight="1">
      <c r="A374" s="501" t="s">
        <v>13141</v>
      </c>
      <c r="B374" s="516" t="s">
        <v>12603</v>
      </c>
      <c r="C374" s="515">
        <v>23942</v>
      </c>
      <c r="D374" s="503">
        <v>10.917713582161015</v>
      </c>
      <c r="E374" s="504">
        <v>26.398950304874688</v>
      </c>
      <c r="F374" s="573" t="s">
        <v>6233</v>
      </c>
      <c r="G374" s="573" t="s">
        <v>13142</v>
      </c>
      <c r="H374" s="574">
        <v>49</v>
      </c>
      <c r="I374" s="573" t="s">
        <v>6264</v>
      </c>
      <c r="J374" s="573">
        <v>0</v>
      </c>
      <c r="K374" s="573" t="s">
        <v>6209</v>
      </c>
      <c r="L374" s="573">
        <v>1</v>
      </c>
      <c r="M374" s="308">
        <v>0</v>
      </c>
    </row>
    <row r="375" spans="1:13" ht="11.1" customHeight="1">
      <c r="A375" s="507" t="s">
        <v>13143</v>
      </c>
      <c r="B375" s="508" t="s">
        <v>12590</v>
      </c>
      <c r="C375" s="509">
        <v>107110</v>
      </c>
      <c r="D375" s="510">
        <v>44.102146021707263</v>
      </c>
      <c r="E375" s="511" t="s">
        <v>6251</v>
      </c>
      <c r="F375" s="514" t="s">
        <v>6233</v>
      </c>
      <c r="G375" s="514" t="s">
        <v>7109</v>
      </c>
      <c r="H375" s="513">
        <v>37</v>
      </c>
      <c r="I375" s="514" t="s">
        <v>6253</v>
      </c>
      <c r="J375" s="514" t="s">
        <v>12116</v>
      </c>
      <c r="K375" s="514" t="s">
        <v>6209</v>
      </c>
      <c r="L375" s="514">
        <v>1</v>
      </c>
      <c r="M375" s="341">
        <v>0</v>
      </c>
    </row>
    <row r="376" spans="1:13" ht="11.1" customHeight="1">
      <c r="A376" s="501" t="s">
        <v>13144</v>
      </c>
      <c r="B376" s="516" t="s">
        <v>12602</v>
      </c>
      <c r="C376" s="515">
        <v>99618</v>
      </c>
      <c r="D376" s="503">
        <v>41.017342754088638</v>
      </c>
      <c r="E376" s="504">
        <v>93.005321631967135</v>
      </c>
      <c r="F376" s="517" t="s">
        <v>6233</v>
      </c>
      <c r="G376" s="517" t="s">
        <v>12224</v>
      </c>
      <c r="H376" s="518">
        <v>68</v>
      </c>
      <c r="I376" s="517" t="s">
        <v>6257</v>
      </c>
      <c r="J376" s="517" t="s">
        <v>12674</v>
      </c>
      <c r="K376" s="517" t="s">
        <v>6283</v>
      </c>
      <c r="L376" s="517">
        <v>6</v>
      </c>
      <c r="M376" s="308" t="s">
        <v>12638</v>
      </c>
    </row>
    <row r="377" spans="1:13" ht="11.1" customHeight="1">
      <c r="A377" s="501" t="s">
        <v>13145</v>
      </c>
      <c r="B377" s="280" t="s">
        <v>6231</v>
      </c>
      <c r="C377" s="515">
        <v>18213</v>
      </c>
      <c r="D377" s="503">
        <v>7.4991353327733581</v>
      </c>
      <c r="E377" s="504" t="s">
        <v>6262</v>
      </c>
      <c r="F377" s="278">
        <v>0</v>
      </c>
      <c r="G377" s="278" t="s">
        <v>8308</v>
      </c>
      <c r="H377" s="505">
        <v>40</v>
      </c>
      <c r="I377" s="278" t="s">
        <v>6322</v>
      </c>
      <c r="J377" s="278" t="s">
        <v>6760</v>
      </c>
      <c r="K377" s="278" t="s">
        <v>6036</v>
      </c>
      <c r="L377" s="278">
        <v>0</v>
      </c>
      <c r="M377" s="308">
        <v>0</v>
      </c>
    </row>
    <row r="378" spans="1:13" ht="11.1" customHeight="1">
      <c r="A378" s="501" t="s">
        <v>13146</v>
      </c>
      <c r="B378" s="280" t="s">
        <v>6231</v>
      </c>
      <c r="C378" s="515">
        <v>17927</v>
      </c>
      <c r="D378" s="503">
        <v>7.3813758914307357</v>
      </c>
      <c r="E378" s="504" t="s">
        <v>6262</v>
      </c>
      <c r="F378" s="278">
        <v>0</v>
      </c>
      <c r="G378" s="278" t="s">
        <v>13147</v>
      </c>
      <c r="H378" s="505">
        <v>41</v>
      </c>
      <c r="I378" s="278" t="s">
        <v>6264</v>
      </c>
      <c r="J378" s="278">
        <v>0</v>
      </c>
      <c r="K378" s="278" t="s">
        <v>6036</v>
      </c>
      <c r="L378" s="278">
        <v>0</v>
      </c>
      <c r="M378" s="308">
        <v>0</v>
      </c>
    </row>
    <row r="379" spans="1:13" ht="11.1" customHeight="1">
      <c r="A379" s="507" t="s">
        <v>13148</v>
      </c>
      <c r="B379" s="508" t="s">
        <v>12590</v>
      </c>
      <c r="C379" s="509">
        <v>131715</v>
      </c>
      <c r="D379" s="510">
        <v>52.203638381356271</v>
      </c>
      <c r="E379" s="511" t="s">
        <v>6251</v>
      </c>
      <c r="F379" s="514" t="s">
        <v>6233</v>
      </c>
      <c r="G379" s="514" t="s">
        <v>7117</v>
      </c>
      <c r="H379" s="513">
        <v>55</v>
      </c>
      <c r="I379" s="514" t="s">
        <v>6253</v>
      </c>
      <c r="J379" s="514" t="s">
        <v>12007</v>
      </c>
      <c r="K379" s="514" t="s">
        <v>6209</v>
      </c>
      <c r="L379" s="514">
        <v>1</v>
      </c>
      <c r="M379" s="341" t="s">
        <v>6170</v>
      </c>
    </row>
    <row r="380" spans="1:13" ht="11.1" customHeight="1">
      <c r="A380" s="501" t="s">
        <v>13149</v>
      </c>
      <c r="B380" s="280" t="s">
        <v>6230</v>
      </c>
      <c r="C380" s="515">
        <v>78650</v>
      </c>
      <c r="D380" s="503">
        <v>31.171970988070232</v>
      </c>
      <c r="E380" s="504">
        <v>59.712257525718407</v>
      </c>
      <c r="F380" s="278" t="s">
        <v>6233</v>
      </c>
      <c r="G380" s="278" t="s">
        <v>7120</v>
      </c>
      <c r="H380" s="505">
        <v>39</v>
      </c>
      <c r="I380" s="278" t="s">
        <v>6257</v>
      </c>
      <c r="J380" s="278" t="s">
        <v>12631</v>
      </c>
      <c r="K380" s="278" t="s">
        <v>6036</v>
      </c>
      <c r="L380" s="278">
        <v>0</v>
      </c>
      <c r="M380" s="308" t="s">
        <v>12638</v>
      </c>
    </row>
    <row r="381" spans="1:13" ht="11.1" customHeight="1">
      <c r="A381" s="501" t="s">
        <v>13150</v>
      </c>
      <c r="B381" s="280" t="s">
        <v>6231</v>
      </c>
      <c r="C381" s="515">
        <v>23320</v>
      </c>
      <c r="D381" s="503">
        <v>9.2425983908683769</v>
      </c>
      <c r="E381" s="504">
        <v>17.704893140492729</v>
      </c>
      <c r="F381" s="278" t="s">
        <v>6233</v>
      </c>
      <c r="G381" s="278" t="s">
        <v>7136</v>
      </c>
      <c r="H381" s="505">
        <v>47</v>
      </c>
      <c r="I381" s="278" t="s">
        <v>6278</v>
      </c>
      <c r="J381" s="278">
        <v>0</v>
      </c>
      <c r="K381" s="278" t="s">
        <v>6209</v>
      </c>
      <c r="L381" s="278">
        <v>2</v>
      </c>
      <c r="M381" s="308" t="s">
        <v>6154</v>
      </c>
    </row>
    <row r="382" spans="1:13" ht="11.1" customHeight="1">
      <c r="A382" s="501" t="s">
        <v>13151</v>
      </c>
      <c r="B382" s="280" t="s">
        <v>6231</v>
      </c>
      <c r="C382" s="515">
        <v>18625</v>
      </c>
      <c r="D382" s="503">
        <v>7.381792239705125</v>
      </c>
      <c r="E382" s="504" t="s">
        <v>6262</v>
      </c>
      <c r="F382" s="278">
        <v>0</v>
      </c>
      <c r="G382" s="278" t="s">
        <v>12226</v>
      </c>
      <c r="H382" s="505">
        <v>56</v>
      </c>
      <c r="I382" s="278" t="s">
        <v>6264</v>
      </c>
      <c r="J382" s="278">
        <v>0</v>
      </c>
      <c r="K382" s="278" t="s">
        <v>6036</v>
      </c>
      <c r="L382" s="278">
        <v>0</v>
      </c>
      <c r="M382" s="308">
        <v>0</v>
      </c>
    </row>
    <row r="383" spans="1:13" ht="11.1" customHeight="1">
      <c r="A383" s="507" t="s">
        <v>13152</v>
      </c>
      <c r="B383" s="508" t="s">
        <v>12590</v>
      </c>
      <c r="C383" s="509">
        <v>99891</v>
      </c>
      <c r="D383" s="510">
        <v>43.059806364286885</v>
      </c>
      <c r="E383" s="511" t="s">
        <v>6251</v>
      </c>
      <c r="F383" s="514" t="s">
        <v>6233</v>
      </c>
      <c r="G383" s="514" t="s">
        <v>12227</v>
      </c>
      <c r="H383" s="513">
        <v>43</v>
      </c>
      <c r="I383" s="514" t="s">
        <v>6253</v>
      </c>
      <c r="J383" s="514" t="s">
        <v>12000</v>
      </c>
      <c r="K383" s="514" t="s">
        <v>6209</v>
      </c>
      <c r="L383" s="514">
        <v>1</v>
      </c>
      <c r="M383" s="341" t="s">
        <v>13018</v>
      </c>
    </row>
    <row r="384" spans="1:13" ht="11.1" customHeight="1">
      <c r="A384" s="501" t="s">
        <v>13153</v>
      </c>
      <c r="B384" s="280" t="s">
        <v>6230</v>
      </c>
      <c r="C384" s="515">
        <v>83588</v>
      </c>
      <c r="D384" s="503">
        <v>36.03210593925391</v>
      </c>
      <c r="E384" s="504">
        <v>83.679210339269801</v>
      </c>
      <c r="F384" s="278" t="s">
        <v>6233</v>
      </c>
      <c r="G384" s="278" t="s">
        <v>7128</v>
      </c>
      <c r="H384" s="505">
        <v>54</v>
      </c>
      <c r="I384" s="278" t="s">
        <v>6257</v>
      </c>
      <c r="J384" s="278" t="s">
        <v>12617</v>
      </c>
      <c r="K384" s="278" t="s">
        <v>6036</v>
      </c>
      <c r="L384" s="278">
        <v>0</v>
      </c>
      <c r="M384" s="308" t="s">
        <v>12638</v>
      </c>
    </row>
    <row r="385" spans="1:13" ht="11.1" customHeight="1">
      <c r="A385" s="501" t="s">
        <v>13154</v>
      </c>
      <c r="B385" s="280" t="s">
        <v>6231</v>
      </c>
      <c r="C385" s="515">
        <v>21982</v>
      </c>
      <c r="D385" s="503">
        <v>9.4757351863506649</v>
      </c>
      <c r="E385" s="504" t="s">
        <v>6262</v>
      </c>
      <c r="F385" s="278">
        <v>0</v>
      </c>
      <c r="G385" s="278" t="s">
        <v>13155</v>
      </c>
      <c r="H385" s="505">
        <v>62</v>
      </c>
      <c r="I385" s="278" t="s">
        <v>6264</v>
      </c>
      <c r="J385" s="278">
        <v>0</v>
      </c>
      <c r="K385" s="278" t="s">
        <v>6036</v>
      </c>
      <c r="L385" s="278">
        <v>0</v>
      </c>
      <c r="M385" s="308">
        <v>0</v>
      </c>
    </row>
    <row r="386" spans="1:13" ht="11.1" customHeight="1">
      <c r="A386" s="501" t="s">
        <v>13156</v>
      </c>
      <c r="B386" s="280" t="s">
        <v>6231</v>
      </c>
      <c r="C386" s="515">
        <v>14743</v>
      </c>
      <c r="D386" s="503">
        <v>6.3552344578458673</v>
      </c>
      <c r="E386" s="504" t="s">
        <v>6262</v>
      </c>
      <c r="F386" s="278">
        <v>0</v>
      </c>
      <c r="G386" s="278" t="s">
        <v>13157</v>
      </c>
      <c r="H386" s="505">
        <v>52</v>
      </c>
      <c r="I386" s="278" t="s">
        <v>6322</v>
      </c>
      <c r="J386" s="278" t="s">
        <v>6323</v>
      </c>
      <c r="K386" s="278" t="s">
        <v>6036</v>
      </c>
      <c r="L386" s="278">
        <v>0</v>
      </c>
      <c r="M386" s="308">
        <v>0</v>
      </c>
    </row>
    <row r="387" spans="1:13" ht="11.1" customHeight="1">
      <c r="A387" s="501" t="s">
        <v>13158</v>
      </c>
      <c r="B387" s="280" t="s">
        <v>6231</v>
      </c>
      <c r="C387" s="515">
        <v>11778</v>
      </c>
      <c r="D387" s="503">
        <v>5.0771180522626755</v>
      </c>
      <c r="E387" s="504" t="s">
        <v>6262</v>
      </c>
      <c r="F387" s="278">
        <v>0</v>
      </c>
      <c r="G387" s="278" t="s">
        <v>13159</v>
      </c>
      <c r="H387" s="505">
        <v>56</v>
      </c>
      <c r="I387" s="278" t="s">
        <v>12790</v>
      </c>
      <c r="J387" s="278">
        <v>0</v>
      </c>
      <c r="K387" s="278" t="s">
        <v>6036</v>
      </c>
      <c r="L387" s="278">
        <v>0</v>
      </c>
      <c r="M387" s="308">
        <v>0</v>
      </c>
    </row>
    <row r="388" spans="1:13" ht="11.1" customHeight="1">
      <c r="A388" s="507" t="s">
        <v>13160</v>
      </c>
      <c r="B388" s="519" t="s">
        <v>12590</v>
      </c>
      <c r="C388" s="520">
        <v>136429</v>
      </c>
      <c r="D388" s="521">
        <v>54.975338888799342</v>
      </c>
      <c r="E388" s="522" t="s">
        <v>6251</v>
      </c>
      <c r="F388" s="523" t="s">
        <v>6233</v>
      </c>
      <c r="G388" s="523" t="s">
        <v>7134</v>
      </c>
      <c r="H388" s="524">
        <v>46</v>
      </c>
      <c r="I388" s="523" t="s">
        <v>6257</v>
      </c>
      <c r="J388" s="523" t="s">
        <v>12617</v>
      </c>
      <c r="K388" s="523" t="s">
        <v>6209</v>
      </c>
      <c r="L388" s="523">
        <v>4</v>
      </c>
      <c r="M388" s="525" t="s">
        <v>12622</v>
      </c>
    </row>
    <row r="389" spans="1:13" ht="11.1" customHeight="1">
      <c r="A389" s="501" t="s">
        <v>13161</v>
      </c>
      <c r="B389" s="280" t="s">
        <v>6230</v>
      </c>
      <c r="C389" s="515">
        <v>78007</v>
      </c>
      <c r="D389" s="503">
        <v>31.433648716171565</v>
      </c>
      <c r="E389" s="504">
        <v>57.177726143268657</v>
      </c>
      <c r="F389" s="278" t="s">
        <v>6233</v>
      </c>
      <c r="G389" s="278" t="s">
        <v>12228</v>
      </c>
      <c r="H389" s="505">
        <v>37</v>
      </c>
      <c r="I389" s="278" t="s">
        <v>6253</v>
      </c>
      <c r="J389" s="278" t="s">
        <v>12020</v>
      </c>
      <c r="K389" s="278" t="s">
        <v>6209</v>
      </c>
      <c r="L389" s="278">
        <v>2</v>
      </c>
      <c r="M389" s="308" t="s">
        <v>6170</v>
      </c>
    </row>
    <row r="390" spans="1:13" ht="11.1" customHeight="1">
      <c r="A390" s="501" t="s">
        <v>13162</v>
      </c>
      <c r="B390" s="280" t="s">
        <v>6231</v>
      </c>
      <c r="C390" s="515">
        <v>17572</v>
      </c>
      <c r="D390" s="503">
        <v>7.0808014055221546</v>
      </c>
      <c r="E390" s="504" t="s">
        <v>6262</v>
      </c>
      <c r="F390" s="278">
        <v>0</v>
      </c>
      <c r="G390" s="278" t="s">
        <v>7139</v>
      </c>
      <c r="H390" s="505">
        <v>52</v>
      </c>
      <c r="I390" s="278" t="s">
        <v>6264</v>
      </c>
      <c r="J390" s="278">
        <v>0</v>
      </c>
      <c r="K390" s="278" t="s">
        <v>6036</v>
      </c>
      <c r="L390" s="278">
        <v>0</v>
      </c>
      <c r="M390" s="308">
        <v>0</v>
      </c>
    </row>
    <row r="391" spans="1:13" ht="11.1" customHeight="1">
      <c r="A391" s="501" t="s">
        <v>13163</v>
      </c>
      <c r="B391" s="280" t="s">
        <v>6231</v>
      </c>
      <c r="C391" s="515">
        <v>16156</v>
      </c>
      <c r="D391" s="503">
        <v>6.5102109895069393</v>
      </c>
      <c r="E391" s="504">
        <v>11.842057040658512</v>
      </c>
      <c r="F391" s="278" t="s">
        <v>6233</v>
      </c>
      <c r="G391" s="278" t="s">
        <v>13164</v>
      </c>
      <c r="H391" s="505">
        <v>26</v>
      </c>
      <c r="I391" s="278" t="s">
        <v>6278</v>
      </c>
      <c r="J391" s="278">
        <v>0</v>
      </c>
      <c r="K391" s="278" t="s">
        <v>6036</v>
      </c>
      <c r="L391" s="278">
        <v>0</v>
      </c>
      <c r="M391" s="308">
        <v>0</v>
      </c>
    </row>
    <row r="392" spans="1:13" ht="11.1" customHeight="1">
      <c r="A392" s="507" t="s">
        <v>13165</v>
      </c>
      <c r="B392" s="519" t="s">
        <v>12590</v>
      </c>
      <c r="C392" s="520">
        <v>112868</v>
      </c>
      <c r="D392" s="521">
        <v>45.830254107213918</v>
      </c>
      <c r="E392" s="522" t="s">
        <v>6251</v>
      </c>
      <c r="F392" s="523" t="s">
        <v>6233</v>
      </c>
      <c r="G392" s="523" t="s">
        <v>7145</v>
      </c>
      <c r="H392" s="524">
        <v>41</v>
      </c>
      <c r="I392" s="523" t="s">
        <v>6257</v>
      </c>
      <c r="J392" s="523" t="s">
        <v>12621</v>
      </c>
      <c r="K392" s="523" t="s">
        <v>6036</v>
      </c>
      <c r="L392" s="523">
        <v>0</v>
      </c>
      <c r="M392" s="525" t="s">
        <v>12638</v>
      </c>
    </row>
    <row r="393" spans="1:13" ht="11.1" customHeight="1">
      <c r="A393" s="501" t="s">
        <v>13166</v>
      </c>
      <c r="B393" s="280" t="s">
        <v>6230</v>
      </c>
      <c r="C393" s="515">
        <v>96662</v>
      </c>
      <c r="D393" s="503">
        <v>39.249778701771199</v>
      </c>
      <c r="E393" s="504">
        <v>85.641634475670699</v>
      </c>
      <c r="F393" s="278" t="s">
        <v>6233</v>
      </c>
      <c r="G393" s="278" t="s">
        <v>6204</v>
      </c>
      <c r="H393" s="505">
        <v>63</v>
      </c>
      <c r="I393" s="278" t="s">
        <v>6253</v>
      </c>
      <c r="J393" s="278" t="s">
        <v>11994</v>
      </c>
      <c r="K393" s="278" t="s">
        <v>6209</v>
      </c>
      <c r="L393" s="278">
        <v>3</v>
      </c>
      <c r="M393" s="308">
        <v>0</v>
      </c>
    </row>
    <row r="394" spans="1:13" ht="11.1" customHeight="1">
      <c r="A394" s="501" t="s">
        <v>13167</v>
      </c>
      <c r="B394" s="280"/>
      <c r="C394" s="515">
        <v>27903</v>
      </c>
      <c r="D394" s="503">
        <v>11.330063262869812</v>
      </c>
      <c r="E394" s="504" t="s">
        <v>6262</v>
      </c>
      <c r="F394" s="278">
        <v>0</v>
      </c>
      <c r="G394" s="278" t="s">
        <v>12229</v>
      </c>
      <c r="H394" s="505">
        <v>47</v>
      </c>
      <c r="I394" s="278" t="s">
        <v>6264</v>
      </c>
      <c r="J394" s="278">
        <v>0</v>
      </c>
      <c r="K394" s="278" t="s">
        <v>6036</v>
      </c>
      <c r="L394" s="278">
        <v>0</v>
      </c>
      <c r="M394" s="308">
        <v>0</v>
      </c>
    </row>
    <row r="395" spans="1:13" ht="11.1" customHeight="1">
      <c r="A395" s="501" t="s">
        <v>13168</v>
      </c>
      <c r="B395" s="280" t="s">
        <v>6231</v>
      </c>
      <c r="C395" s="515">
        <v>8841</v>
      </c>
      <c r="D395" s="503">
        <v>3.5899039281450742</v>
      </c>
      <c r="E395" s="504">
        <v>7.8330439096998266</v>
      </c>
      <c r="F395" s="278" t="s">
        <v>6233</v>
      </c>
      <c r="G395" s="278" t="s">
        <v>13169</v>
      </c>
      <c r="H395" s="505">
        <v>52</v>
      </c>
      <c r="I395" s="278" t="s">
        <v>6278</v>
      </c>
      <c r="J395" s="278">
        <v>0</v>
      </c>
      <c r="K395" s="278" t="s">
        <v>6036</v>
      </c>
      <c r="L395" s="278">
        <v>0</v>
      </c>
      <c r="M395" s="308">
        <v>0</v>
      </c>
    </row>
    <row r="396" spans="1:13" ht="11.1" customHeight="1">
      <c r="A396" s="507" t="s">
        <v>13170</v>
      </c>
      <c r="B396" s="519" t="s">
        <v>12590</v>
      </c>
      <c r="C396" s="520">
        <v>81979</v>
      </c>
      <c r="D396" s="521">
        <v>45.182429453262785</v>
      </c>
      <c r="E396" s="522" t="s">
        <v>6251</v>
      </c>
      <c r="F396" s="523" t="s">
        <v>6233</v>
      </c>
      <c r="G396" s="523" t="s">
        <v>9165</v>
      </c>
      <c r="H396" s="524">
        <v>59</v>
      </c>
      <c r="I396" s="523" t="s">
        <v>6257</v>
      </c>
      <c r="J396" s="523" t="s">
        <v>12635</v>
      </c>
      <c r="K396" s="523" t="s">
        <v>6209</v>
      </c>
      <c r="L396" s="523">
        <v>3</v>
      </c>
      <c r="M396" s="525" t="s">
        <v>12638</v>
      </c>
    </row>
    <row r="397" spans="1:13" ht="11.1" customHeight="1">
      <c r="A397" s="501" t="s">
        <v>13171</v>
      </c>
      <c r="B397" s="516" t="s">
        <v>12602</v>
      </c>
      <c r="C397" s="515">
        <v>77417</v>
      </c>
      <c r="D397" s="503">
        <v>42.668099647266317</v>
      </c>
      <c r="E397" s="504">
        <v>94.435160223959798</v>
      </c>
      <c r="F397" s="512" t="s">
        <v>6233</v>
      </c>
      <c r="G397" s="512" t="s">
        <v>12231</v>
      </c>
      <c r="H397" s="526">
        <v>59</v>
      </c>
      <c r="I397" s="512" t="s">
        <v>6253</v>
      </c>
      <c r="J397" s="512" t="s">
        <v>11994</v>
      </c>
      <c r="K397" s="512" t="s">
        <v>6209</v>
      </c>
      <c r="L397" s="512">
        <v>2</v>
      </c>
      <c r="M397" s="308" t="s">
        <v>6154</v>
      </c>
    </row>
    <row r="398" spans="1:13" ht="11.1" customHeight="1">
      <c r="A398" s="501" t="s">
        <v>13172</v>
      </c>
      <c r="B398" s="280"/>
      <c r="C398" s="515">
        <v>19338</v>
      </c>
      <c r="D398" s="503">
        <v>10.658068783068783</v>
      </c>
      <c r="E398" s="504" t="s">
        <v>6262</v>
      </c>
      <c r="F398" s="278">
        <v>0</v>
      </c>
      <c r="G398" s="278" t="s">
        <v>7155</v>
      </c>
      <c r="H398" s="505">
        <v>54</v>
      </c>
      <c r="I398" s="278" t="s">
        <v>6264</v>
      </c>
      <c r="J398" s="278">
        <v>0</v>
      </c>
      <c r="K398" s="278" t="s">
        <v>6036</v>
      </c>
      <c r="L398" s="278">
        <v>0</v>
      </c>
      <c r="M398" s="308">
        <v>0</v>
      </c>
    </row>
    <row r="399" spans="1:13" ht="11.1" customHeight="1">
      <c r="A399" s="501" t="s">
        <v>13173</v>
      </c>
      <c r="B399" s="280" t="s">
        <v>6231</v>
      </c>
      <c r="C399" s="515">
        <v>2706</v>
      </c>
      <c r="D399" s="503">
        <v>1.4914021164021165</v>
      </c>
      <c r="E399" s="504" t="s">
        <v>6262</v>
      </c>
      <c r="F399" s="278">
        <v>0</v>
      </c>
      <c r="G399" s="278" t="s">
        <v>13174</v>
      </c>
      <c r="H399" s="505">
        <v>66</v>
      </c>
      <c r="I399" s="278" t="s">
        <v>11993</v>
      </c>
      <c r="J399" s="278">
        <v>0</v>
      </c>
      <c r="K399" s="278" t="s">
        <v>6036</v>
      </c>
      <c r="L399" s="278">
        <v>0</v>
      </c>
      <c r="M399" s="308">
        <v>0</v>
      </c>
    </row>
    <row r="400" spans="1:13" ht="11.1" customHeight="1">
      <c r="A400" s="507" t="s">
        <v>13175</v>
      </c>
      <c r="B400" s="519" t="s">
        <v>12590</v>
      </c>
      <c r="C400" s="520">
        <v>113477</v>
      </c>
      <c r="D400" s="521">
        <v>48.95343520012424</v>
      </c>
      <c r="E400" s="522" t="s">
        <v>6251</v>
      </c>
      <c r="F400" s="523" t="s">
        <v>6233</v>
      </c>
      <c r="G400" s="523" t="s">
        <v>7157</v>
      </c>
      <c r="H400" s="524">
        <v>49</v>
      </c>
      <c r="I400" s="523" t="s">
        <v>6257</v>
      </c>
      <c r="J400" s="523" t="s">
        <v>12631</v>
      </c>
      <c r="K400" s="523" t="s">
        <v>6209</v>
      </c>
      <c r="L400" s="523">
        <v>2</v>
      </c>
      <c r="M400" s="525" t="s">
        <v>12638</v>
      </c>
    </row>
    <row r="401" spans="1:13" ht="11.1" customHeight="1">
      <c r="A401" s="501" t="s">
        <v>13176</v>
      </c>
      <c r="B401" s="280" t="s">
        <v>6230</v>
      </c>
      <c r="C401" s="515">
        <v>87331</v>
      </c>
      <c r="D401" s="503">
        <v>37.67417581943522</v>
      </c>
      <c r="E401" s="504">
        <v>76.959207592728035</v>
      </c>
      <c r="F401" s="278" t="s">
        <v>6233</v>
      </c>
      <c r="G401" s="278" t="s">
        <v>9172</v>
      </c>
      <c r="H401" s="505">
        <v>59</v>
      </c>
      <c r="I401" s="278" t="s">
        <v>6253</v>
      </c>
      <c r="J401" s="278" t="s">
        <v>12020</v>
      </c>
      <c r="K401" s="278" t="s">
        <v>6283</v>
      </c>
      <c r="L401" s="278">
        <v>1</v>
      </c>
      <c r="M401" s="308">
        <v>0</v>
      </c>
    </row>
    <row r="402" spans="1:13" ht="11.1" customHeight="1">
      <c r="A402" s="501" t="s">
        <v>13177</v>
      </c>
      <c r="B402" s="280"/>
      <c r="C402" s="515">
        <v>30998</v>
      </c>
      <c r="D402" s="503">
        <v>13.37238898044054</v>
      </c>
      <c r="E402" s="504" t="s">
        <v>6262</v>
      </c>
      <c r="F402" s="278">
        <v>0</v>
      </c>
      <c r="G402" s="278" t="s">
        <v>7163</v>
      </c>
      <c r="H402" s="505">
        <v>51</v>
      </c>
      <c r="I402" s="278" t="s">
        <v>6264</v>
      </c>
      <c r="J402" s="278">
        <v>0</v>
      </c>
      <c r="K402" s="278" t="s">
        <v>6036</v>
      </c>
      <c r="L402" s="278">
        <v>0</v>
      </c>
      <c r="M402" s="308">
        <v>0</v>
      </c>
    </row>
    <row r="403" spans="1:13" ht="11.1" customHeight="1">
      <c r="A403" s="507" t="s">
        <v>13178</v>
      </c>
      <c r="B403" s="566" t="s">
        <v>12590</v>
      </c>
      <c r="C403" s="567">
        <v>98700</v>
      </c>
      <c r="D403" s="568">
        <v>44.050504103793166</v>
      </c>
      <c r="E403" s="569" t="s">
        <v>6262</v>
      </c>
      <c r="F403" s="570">
        <v>0</v>
      </c>
      <c r="G403" s="570" t="s">
        <v>7172</v>
      </c>
      <c r="H403" s="571">
        <v>58</v>
      </c>
      <c r="I403" s="570" t="s">
        <v>6929</v>
      </c>
      <c r="J403" s="570">
        <v>0</v>
      </c>
      <c r="K403" s="570" t="s">
        <v>6209</v>
      </c>
      <c r="L403" s="570">
        <v>3</v>
      </c>
      <c r="M403" s="572" t="s">
        <v>12911</v>
      </c>
    </row>
    <row r="404" spans="1:13" ht="11.1" customHeight="1">
      <c r="A404" s="501" t="s">
        <v>13179</v>
      </c>
      <c r="B404" s="516" t="s">
        <v>12602</v>
      </c>
      <c r="C404" s="515">
        <v>95110</v>
      </c>
      <c r="D404" s="503">
        <v>42.448261857262082</v>
      </c>
      <c r="E404" s="504">
        <v>96.362715298885519</v>
      </c>
      <c r="F404" s="512" t="s">
        <v>6233</v>
      </c>
      <c r="G404" s="512" t="s">
        <v>12233</v>
      </c>
      <c r="H404" s="526">
        <v>53</v>
      </c>
      <c r="I404" s="512" t="s">
        <v>6253</v>
      </c>
      <c r="J404" s="512" t="s">
        <v>12007</v>
      </c>
      <c r="K404" s="512" t="s">
        <v>6283</v>
      </c>
      <c r="L404" s="512">
        <v>1</v>
      </c>
      <c r="M404" s="308">
        <v>0</v>
      </c>
    </row>
    <row r="405" spans="1:13" ht="11.1" customHeight="1">
      <c r="A405" s="501" t="s">
        <v>13180</v>
      </c>
      <c r="B405" s="280"/>
      <c r="C405" s="515">
        <v>30251</v>
      </c>
      <c r="D405" s="503">
        <v>13.501234038944752</v>
      </c>
      <c r="E405" s="504" t="s">
        <v>6262</v>
      </c>
      <c r="F405" s="278">
        <v>0</v>
      </c>
      <c r="G405" s="278" t="s">
        <v>13181</v>
      </c>
      <c r="H405" s="505">
        <v>52</v>
      </c>
      <c r="I405" s="278" t="s">
        <v>6264</v>
      </c>
      <c r="J405" s="278">
        <v>0</v>
      </c>
      <c r="K405" s="278" t="s">
        <v>6036</v>
      </c>
      <c r="L405" s="278">
        <v>0</v>
      </c>
      <c r="M405" s="308">
        <v>0</v>
      </c>
    </row>
    <row r="406" spans="1:13" ht="11.1" customHeight="1">
      <c r="A406" s="507" t="s">
        <v>13182</v>
      </c>
      <c r="B406" s="508" t="s">
        <v>12590</v>
      </c>
      <c r="C406" s="509">
        <v>90277</v>
      </c>
      <c r="D406" s="510">
        <v>43.583442762243166</v>
      </c>
      <c r="E406" s="511" t="s">
        <v>6251</v>
      </c>
      <c r="F406" s="514" t="s">
        <v>6233</v>
      </c>
      <c r="G406" s="514" t="s">
        <v>12235</v>
      </c>
      <c r="H406" s="513">
        <v>56</v>
      </c>
      <c r="I406" s="514" t="s">
        <v>6253</v>
      </c>
      <c r="J406" s="514" t="s">
        <v>12178</v>
      </c>
      <c r="K406" s="514" t="s">
        <v>6209</v>
      </c>
      <c r="L406" s="514">
        <v>2</v>
      </c>
      <c r="M406" s="341" t="s">
        <v>6170</v>
      </c>
    </row>
    <row r="407" spans="1:13" ht="11.1" customHeight="1">
      <c r="A407" s="501" t="s">
        <v>13183</v>
      </c>
      <c r="B407" s="516" t="s">
        <v>12602</v>
      </c>
      <c r="C407" s="515">
        <v>88254</v>
      </c>
      <c r="D407" s="503">
        <v>42.606789742005255</v>
      </c>
      <c r="E407" s="504">
        <v>97.759119155488108</v>
      </c>
      <c r="F407" s="517" t="s">
        <v>6233</v>
      </c>
      <c r="G407" s="517" t="s">
        <v>7180</v>
      </c>
      <c r="H407" s="518">
        <v>54</v>
      </c>
      <c r="I407" s="517" t="s">
        <v>6257</v>
      </c>
      <c r="J407" s="517" t="s">
        <v>12621</v>
      </c>
      <c r="K407" s="517" t="s">
        <v>6209</v>
      </c>
      <c r="L407" s="517">
        <v>3</v>
      </c>
      <c r="M407" s="308" t="s">
        <v>12638</v>
      </c>
    </row>
    <row r="408" spans="1:13" ht="11.1" customHeight="1">
      <c r="A408" s="501" t="s">
        <v>13184</v>
      </c>
      <c r="B408" s="280"/>
      <c r="C408" s="515">
        <v>28605</v>
      </c>
      <c r="D408" s="503">
        <v>13.809767495751583</v>
      </c>
      <c r="E408" s="504" t="s">
        <v>6262</v>
      </c>
      <c r="F408" s="278">
        <v>0</v>
      </c>
      <c r="G408" s="278" t="s">
        <v>12236</v>
      </c>
      <c r="H408" s="505">
        <v>38</v>
      </c>
      <c r="I408" s="278" t="s">
        <v>6264</v>
      </c>
      <c r="J408" s="278">
        <v>0</v>
      </c>
      <c r="K408" s="278" t="s">
        <v>6036</v>
      </c>
      <c r="L408" s="278">
        <v>0</v>
      </c>
      <c r="M408" s="308">
        <v>0</v>
      </c>
    </row>
    <row r="409" spans="1:13" ht="11.1" customHeight="1">
      <c r="A409" s="507" t="s">
        <v>13185</v>
      </c>
      <c r="B409" s="519" t="s">
        <v>12590</v>
      </c>
      <c r="C409" s="520">
        <v>66417</v>
      </c>
      <c r="D409" s="521">
        <v>34.341778697001033</v>
      </c>
      <c r="E409" s="522" t="s">
        <v>6251</v>
      </c>
      <c r="F409" s="523" t="s">
        <v>6233</v>
      </c>
      <c r="G409" s="523" t="s">
        <v>7188</v>
      </c>
      <c r="H409" s="524">
        <v>47</v>
      </c>
      <c r="I409" s="523" t="s">
        <v>6257</v>
      </c>
      <c r="J409" s="523" t="s">
        <v>12631</v>
      </c>
      <c r="K409" s="523" t="s">
        <v>6209</v>
      </c>
      <c r="L409" s="523">
        <v>1</v>
      </c>
      <c r="M409" s="525">
        <v>0</v>
      </c>
    </row>
    <row r="410" spans="1:13" ht="11.1" customHeight="1">
      <c r="A410" s="501" t="s">
        <v>13186</v>
      </c>
      <c r="B410" s="516" t="s">
        <v>12602</v>
      </c>
      <c r="C410" s="515">
        <v>63385</v>
      </c>
      <c r="D410" s="503">
        <v>32.774043433298864</v>
      </c>
      <c r="E410" s="504">
        <v>95.434903714410467</v>
      </c>
      <c r="F410" s="512" t="s">
        <v>6233</v>
      </c>
      <c r="G410" s="512" t="s">
        <v>12237</v>
      </c>
      <c r="H410" s="526">
        <v>51</v>
      </c>
      <c r="I410" s="512" t="s">
        <v>6253</v>
      </c>
      <c r="J410" s="512" t="s">
        <v>12000</v>
      </c>
      <c r="K410" s="512" t="s">
        <v>6209</v>
      </c>
      <c r="L410" s="512">
        <v>1</v>
      </c>
      <c r="M410" s="308">
        <v>0</v>
      </c>
    </row>
    <row r="411" spans="1:13" ht="11.1" customHeight="1">
      <c r="A411" s="501" t="s">
        <v>13187</v>
      </c>
      <c r="B411" s="280" t="s">
        <v>6230</v>
      </c>
      <c r="C411" s="515">
        <v>44799</v>
      </c>
      <c r="D411" s="503">
        <v>23.163908996897622</v>
      </c>
      <c r="E411" s="504" t="s">
        <v>6262</v>
      </c>
      <c r="F411" s="278">
        <v>0</v>
      </c>
      <c r="G411" s="278" t="s">
        <v>13188</v>
      </c>
      <c r="H411" s="505">
        <v>61</v>
      </c>
      <c r="I411" s="278" t="s">
        <v>12757</v>
      </c>
      <c r="J411" s="278">
        <v>0</v>
      </c>
      <c r="K411" s="278" t="s">
        <v>6209</v>
      </c>
      <c r="L411" s="278">
        <v>3</v>
      </c>
      <c r="M411" s="308" t="s">
        <v>6260</v>
      </c>
    </row>
    <row r="412" spans="1:13" ht="11.1" customHeight="1">
      <c r="A412" s="501" t="s">
        <v>13189</v>
      </c>
      <c r="B412" s="280" t="s">
        <v>6231</v>
      </c>
      <c r="C412" s="515">
        <v>18799</v>
      </c>
      <c r="D412" s="503">
        <v>9.7202688728024818</v>
      </c>
      <c r="E412" s="504" t="s">
        <v>6262</v>
      </c>
      <c r="F412" s="278">
        <v>0</v>
      </c>
      <c r="G412" s="278" t="s">
        <v>7190</v>
      </c>
      <c r="H412" s="505">
        <v>59</v>
      </c>
      <c r="I412" s="278" t="s">
        <v>6264</v>
      </c>
      <c r="J412" s="278">
        <v>0</v>
      </c>
      <c r="K412" s="278" t="s">
        <v>6036</v>
      </c>
      <c r="L412" s="278">
        <v>0</v>
      </c>
      <c r="M412" s="308">
        <v>0</v>
      </c>
    </row>
    <row r="413" spans="1:13" ht="11.1" customHeight="1">
      <c r="A413" s="507" t="s">
        <v>13190</v>
      </c>
      <c r="B413" s="519" t="s">
        <v>12590</v>
      </c>
      <c r="C413" s="520">
        <v>69164</v>
      </c>
      <c r="D413" s="521">
        <v>35.426387956953995</v>
      </c>
      <c r="E413" s="522" t="s">
        <v>6251</v>
      </c>
      <c r="F413" s="523" t="s">
        <v>6233</v>
      </c>
      <c r="G413" s="523" t="s">
        <v>12239</v>
      </c>
      <c r="H413" s="524">
        <v>64</v>
      </c>
      <c r="I413" s="523" t="s">
        <v>6257</v>
      </c>
      <c r="J413" s="523" t="s">
        <v>12674</v>
      </c>
      <c r="K413" s="523" t="s">
        <v>6283</v>
      </c>
      <c r="L413" s="523">
        <v>1</v>
      </c>
      <c r="M413" s="525" t="s">
        <v>12638</v>
      </c>
    </row>
    <row r="414" spans="1:13" ht="11.1" customHeight="1">
      <c r="A414" s="501" t="s">
        <v>13191</v>
      </c>
      <c r="B414" s="280" t="s">
        <v>6230</v>
      </c>
      <c r="C414" s="515">
        <v>58616</v>
      </c>
      <c r="D414" s="503">
        <v>30.023612811358735</v>
      </c>
      <c r="E414" s="504">
        <v>84.749291538950899</v>
      </c>
      <c r="F414" s="278" t="s">
        <v>6233</v>
      </c>
      <c r="G414" s="278" t="s">
        <v>12240</v>
      </c>
      <c r="H414" s="505">
        <v>52</v>
      </c>
      <c r="I414" s="278" t="s">
        <v>6253</v>
      </c>
      <c r="J414" s="278" t="s">
        <v>12020</v>
      </c>
      <c r="K414" s="278" t="s">
        <v>6209</v>
      </c>
      <c r="L414" s="278">
        <v>4</v>
      </c>
      <c r="M414" s="308">
        <v>0</v>
      </c>
    </row>
    <row r="415" spans="1:13" ht="11.1" customHeight="1">
      <c r="A415" s="501" t="s">
        <v>13192</v>
      </c>
      <c r="B415" s="280" t="s">
        <v>6230</v>
      </c>
      <c r="C415" s="515">
        <v>47843</v>
      </c>
      <c r="D415" s="503">
        <v>24.505590755661185</v>
      </c>
      <c r="E415" s="504" t="s">
        <v>6262</v>
      </c>
      <c r="F415" s="278">
        <v>0</v>
      </c>
      <c r="G415" s="278" t="s">
        <v>13193</v>
      </c>
      <c r="H415" s="505">
        <v>69</v>
      </c>
      <c r="I415" s="278" t="s">
        <v>12790</v>
      </c>
      <c r="J415" s="278">
        <v>0</v>
      </c>
      <c r="K415" s="278" t="s">
        <v>6209</v>
      </c>
      <c r="L415" s="278">
        <v>7</v>
      </c>
      <c r="M415" s="308">
        <v>0</v>
      </c>
    </row>
    <row r="416" spans="1:13" ht="11.1" customHeight="1">
      <c r="A416" s="501" t="s">
        <v>13194</v>
      </c>
      <c r="B416" s="280"/>
      <c r="C416" s="515">
        <v>19610</v>
      </c>
      <c r="D416" s="503">
        <v>10.044408476026081</v>
      </c>
      <c r="E416" s="504" t="s">
        <v>6262</v>
      </c>
      <c r="F416" s="278">
        <v>0</v>
      </c>
      <c r="G416" s="278" t="s">
        <v>13195</v>
      </c>
      <c r="H416" s="505">
        <v>32</v>
      </c>
      <c r="I416" s="278" t="s">
        <v>6264</v>
      </c>
      <c r="J416" s="278">
        <v>0</v>
      </c>
      <c r="K416" s="278" t="s">
        <v>6036</v>
      </c>
      <c r="L416" s="278">
        <v>0</v>
      </c>
      <c r="M416" s="308">
        <v>0</v>
      </c>
    </row>
    <row r="417" spans="1:13" ht="11.1" customHeight="1">
      <c r="A417" s="507" t="s">
        <v>13196</v>
      </c>
      <c r="B417" s="519" t="s">
        <v>12590</v>
      </c>
      <c r="C417" s="520">
        <v>80015</v>
      </c>
      <c r="D417" s="521">
        <v>35.336227416655255</v>
      </c>
      <c r="E417" s="522" t="s">
        <v>6251</v>
      </c>
      <c r="F417" s="523" t="s">
        <v>6233</v>
      </c>
      <c r="G417" s="523" t="s">
        <v>7206</v>
      </c>
      <c r="H417" s="524">
        <v>69</v>
      </c>
      <c r="I417" s="523" t="s">
        <v>6257</v>
      </c>
      <c r="J417" s="523" t="s">
        <v>12635</v>
      </c>
      <c r="K417" s="523" t="s">
        <v>6283</v>
      </c>
      <c r="L417" s="523">
        <v>7</v>
      </c>
      <c r="M417" s="525" t="s">
        <v>12622</v>
      </c>
    </row>
    <row r="418" spans="1:13" ht="11.1" customHeight="1">
      <c r="A418" s="501" t="s">
        <v>13197</v>
      </c>
      <c r="B418" s="280" t="s">
        <v>6230</v>
      </c>
      <c r="C418" s="515">
        <v>70189</v>
      </c>
      <c r="D418" s="503">
        <v>30.996868913923837</v>
      </c>
      <c r="E418" s="504">
        <v>87.719802537024307</v>
      </c>
      <c r="F418" s="278" t="s">
        <v>6233</v>
      </c>
      <c r="G418" s="278" t="s">
        <v>9170</v>
      </c>
      <c r="H418" s="505">
        <v>54</v>
      </c>
      <c r="I418" s="278" t="s">
        <v>6253</v>
      </c>
      <c r="J418" s="278" t="s">
        <v>11994</v>
      </c>
      <c r="K418" s="278" t="s">
        <v>6209</v>
      </c>
      <c r="L418" s="278">
        <v>1</v>
      </c>
      <c r="M418" s="308" t="s">
        <v>6170</v>
      </c>
    </row>
    <row r="419" spans="1:13" ht="11.1" customHeight="1">
      <c r="A419" s="501" t="s">
        <v>13198</v>
      </c>
      <c r="B419" s="280" t="s">
        <v>6230</v>
      </c>
      <c r="C419" s="515">
        <v>58250</v>
      </c>
      <c r="D419" s="503">
        <v>25.724367268889193</v>
      </c>
      <c r="E419" s="504" t="s">
        <v>6262</v>
      </c>
      <c r="F419" s="278">
        <v>0</v>
      </c>
      <c r="G419" s="278" t="s">
        <v>13199</v>
      </c>
      <c r="H419" s="505">
        <v>74</v>
      </c>
      <c r="I419" s="278" t="s">
        <v>12790</v>
      </c>
      <c r="J419" s="278">
        <v>0</v>
      </c>
      <c r="K419" s="278" t="s">
        <v>6209</v>
      </c>
      <c r="L419" s="278">
        <v>1</v>
      </c>
      <c r="M419" s="308">
        <v>0</v>
      </c>
    </row>
    <row r="420" spans="1:13" ht="11.1" customHeight="1">
      <c r="A420" s="501" t="s">
        <v>13200</v>
      </c>
      <c r="B420" s="280" t="s">
        <v>6231</v>
      </c>
      <c r="C420" s="515">
        <v>17985</v>
      </c>
      <c r="D420" s="503">
        <v>7.9425364005317105</v>
      </c>
      <c r="E420" s="504">
        <v>22.477035555833282</v>
      </c>
      <c r="F420" s="278" t="s">
        <v>6233</v>
      </c>
      <c r="G420" s="278" t="s">
        <v>13201</v>
      </c>
      <c r="H420" s="505">
        <v>47</v>
      </c>
      <c r="I420" s="278" t="s">
        <v>6264</v>
      </c>
      <c r="J420" s="278">
        <v>0</v>
      </c>
      <c r="K420" s="278" t="s">
        <v>6036</v>
      </c>
      <c r="L420" s="278">
        <v>0</v>
      </c>
      <c r="M420" s="308">
        <v>0</v>
      </c>
    </row>
    <row r="421" spans="1:13" ht="11.1" customHeight="1">
      <c r="A421" s="507" t="s">
        <v>13202</v>
      </c>
      <c r="B421" s="519" t="s">
        <v>12590</v>
      </c>
      <c r="C421" s="520">
        <v>142916</v>
      </c>
      <c r="D421" s="521">
        <v>62.00233404627312</v>
      </c>
      <c r="E421" s="522" t="s">
        <v>6251</v>
      </c>
      <c r="F421" s="523" t="s">
        <v>6233</v>
      </c>
      <c r="G421" s="523" t="s">
        <v>7212</v>
      </c>
      <c r="H421" s="524">
        <v>58</v>
      </c>
      <c r="I421" s="523" t="s">
        <v>6257</v>
      </c>
      <c r="J421" s="523" t="s">
        <v>12617</v>
      </c>
      <c r="K421" s="523" t="s">
        <v>6209</v>
      </c>
      <c r="L421" s="523">
        <v>2</v>
      </c>
      <c r="M421" s="525" t="s">
        <v>12622</v>
      </c>
    </row>
    <row r="422" spans="1:13" ht="11.1" customHeight="1">
      <c r="A422" s="501" t="s">
        <v>13203</v>
      </c>
      <c r="B422" s="280" t="s">
        <v>6230</v>
      </c>
      <c r="C422" s="515">
        <v>65269</v>
      </c>
      <c r="D422" s="503">
        <v>28.316146133856254</v>
      </c>
      <c r="E422" s="504">
        <v>45.669484172520924</v>
      </c>
      <c r="F422" s="278" t="s">
        <v>6233</v>
      </c>
      <c r="G422" s="278" t="s">
        <v>12242</v>
      </c>
      <c r="H422" s="505">
        <v>58</v>
      </c>
      <c r="I422" s="278" t="s">
        <v>6253</v>
      </c>
      <c r="J422" s="278" t="s">
        <v>12000</v>
      </c>
      <c r="K422" s="278" t="s">
        <v>6283</v>
      </c>
      <c r="L422" s="278">
        <v>1</v>
      </c>
      <c r="M422" s="308" t="s">
        <v>13018</v>
      </c>
    </row>
    <row r="423" spans="1:13" ht="11.1" customHeight="1">
      <c r="A423" s="501" t="s">
        <v>13204</v>
      </c>
      <c r="B423" s="280" t="s">
        <v>6231</v>
      </c>
      <c r="C423" s="515">
        <v>22316</v>
      </c>
      <c r="D423" s="503">
        <v>9.6815198198706298</v>
      </c>
      <c r="E423" s="504" t="s">
        <v>6262</v>
      </c>
      <c r="F423" s="278">
        <v>0</v>
      </c>
      <c r="G423" s="278" t="s">
        <v>13205</v>
      </c>
      <c r="H423" s="505">
        <v>58</v>
      </c>
      <c r="I423" s="278" t="s">
        <v>6264</v>
      </c>
      <c r="J423" s="278">
        <v>0</v>
      </c>
      <c r="K423" s="278" t="s">
        <v>6036</v>
      </c>
      <c r="L423" s="278">
        <v>0</v>
      </c>
      <c r="M423" s="308">
        <v>0</v>
      </c>
    </row>
    <row r="424" spans="1:13" ht="11.1" customHeight="1">
      <c r="A424" s="507" t="s">
        <v>13206</v>
      </c>
      <c r="B424" s="508" t="s">
        <v>12590</v>
      </c>
      <c r="C424" s="509">
        <v>139195</v>
      </c>
      <c r="D424" s="510">
        <v>58.352407542487278</v>
      </c>
      <c r="E424" s="511" t="s">
        <v>6262</v>
      </c>
      <c r="F424" s="514">
        <v>0</v>
      </c>
      <c r="G424" s="514" t="s">
        <v>12244</v>
      </c>
      <c r="H424" s="513">
        <v>57</v>
      </c>
      <c r="I424" s="514" t="s">
        <v>6253</v>
      </c>
      <c r="J424" s="514" t="s">
        <v>12000</v>
      </c>
      <c r="K424" s="514" t="s">
        <v>6209</v>
      </c>
      <c r="L424" s="514">
        <v>7</v>
      </c>
      <c r="M424" s="341" t="s">
        <v>6170</v>
      </c>
    </row>
    <row r="425" spans="1:13" ht="11.1" customHeight="1">
      <c r="A425" s="501" t="s">
        <v>13207</v>
      </c>
      <c r="B425" s="516" t="s">
        <v>12602</v>
      </c>
      <c r="C425" s="515">
        <v>83337</v>
      </c>
      <c r="D425" s="503">
        <v>34.935986115652589</v>
      </c>
      <c r="E425" s="504">
        <v>59.870685010237437</v>
      </c>
      <c r="F425" s="517" t="s">
        <v>6233</v>
      </c>
      <c r="G425" s="517" t="s">
        <v>8342</v>
      </c>
      <c r="H425" s="518">
        <v>55</v>
      </c>
      <c r="I425" s="517" t="s">
        <v>6257</v>
      </c>
      <c r="J425" s="517" t="s">
        <v>12617</v>
      </c>
      <c r="K425" s="517" t="s">
        <v>6209</v>
      </c>
      <c r="L425" s="517">
        <v>8</v>
      </c>
      <c r="M425" s="308" t="s">
        <v>12638</v>
      </c>
    </row>
    <row r="426" spans="1:13" ht="11.1" customHeight="1">
      <c r="A426" s="501" t="s">
        <v>13208</v>
      </c>
      <c r="B426" s="280" t="s">
        <v>6231</v>
      </c>
      <c r="C426" s="515">
        <v>16010</v>
      </c>
      <c r="D426" s="503">
        <v>6.7116063418601337</v>
      </c>
      <c r="E426" s="504" t="s">
        <v>6262</v>
      </c>
      <c r="F426" s="278">
        <v>0</v>
      </c>
      <c r="G426" s="278" t="s">
        <v>13209</v>
      </c>
      <c r="H426" s="505">
        <v>37</v>
      </c>
      <c r="I426" s="278" t="s">
        <v>6264</v>
      </c>
      <c r="J426" s="278">
        <v>0</v>
      </c>
      <c r="K426" s="278" t="s">
        <v>6036</v>
      </c>
      <c r="L426" s="278">
        <v>0</v>
      </c>
      <c r="M426" s="308">
        <v>0</v>
      </c>
    </row>
    <row r="427" spans="1:13" ht="11.1" customHeight="1">
      <c r="A427" s="507" t="s">
        <v>13210</v>
      </c>
      <c r="B427" s="508" t="s">
        <v>12590</v>
      </c>
      <c r="C427" s="509">
        <v>136082</v>
      </c>
      <c r="D427" s="510">
        <v>52.943396373228339</v>
      </c>
      <c r="E427" s="511" t="s">
        <v>6251</v>
      </c>
      <c r="F427" s="514" t="s">
        <v>6233</v>
      </c>
      <c r="G427" s="514" t="s">
        <v>7228</v>
      </c>
      <c r="H427" s="513">
        <v>46</v>
      </c>
      <c r="I427" s="514" t="s">
        <v>6253</v>
      </c>
      <c r="J427" s="514" t="s">
        <v>12000</v>
      </c>
      <c r="K427" s="514" t="s">
        <v>6209</v>
      </c>
      <c r="L427" s="514">
        <v>2</v>
      </c>
      <c r="M427" s="341" t="s">
        <v>6170</v>
      </c>
    </row>
    <row r="428" spans="1:13" ht="11.1" customHeight="1">
      <c r="A428" s="501" t="s">
        <v>13211</v>
      </c>
      <c r="B428" s="280" t="s">
        <v>6230</v>
      </c>
      <c r="C428" s="515">
        <v>88501</v>
      </c>
      <c r="D428" s="503">
        <v>34.431765570957815</v>
      </c>
      <c r="E428" s="504">
        <v>65.035052394879557</v>
      </c>
      <c r="F428" s="278" t="s">
        <v>6233</v>
      </c>
      <c r="G428" s="278" t="s">
        <v>7230</v>
      </c>
      <c r="H428" s="505">
        <v>30</v>
      </c>
      <c r="I428" s="278" t="s">
        <v>6257</v>
      </c>
      <c r="J428" s="278" t="s">
        <v>12617</v>
      </c>
      <c r="K428" s="278" t="s">
        <v>6036</v>
      </c>
      <c r="L428" s="278">
        <v>0</v>
      </c>
      <c r="M428" s="308" t="s">
        <v>6260</v>
      </c>
    </row>
    <row r="429" spans="1:13" ht="11.1" customHeight="1">
      <c r="A429" s="501" t="s">
        <v>13212</v>
      </c>
      <c r="B429" s="280" t="s">
        <v>6231</v>
      </c>
      <c r="C429" s="515">
        <v>22921</v>
      </c>
      <c r="D429" s="503">
        <v>8.9175319900557515</v>
      </c>
      <c r="E429" s="504" t="s">
        <v>6262</v>
      </c>
      <c r="F429" s="278">
        <v>0</v>
      </c>
      <c r="G429" s="278" t="s">
        <v>13213</v>
      </c>
      <c r="H429" s="505">
        <v>56</v>
      </c>
      <c r="I429" s="278" t="s">
        <v>6264</v>
      </c>
      <c r="J429" s="278">
        <v>0</v>
      </c>
      <c r="K429" s="278" t="s">
        <v>6036</v>
      </c>
      <c r="L429" s="278">
        <v>0</v>
      </c>
      <c r="M429" s="308">
        <v>0</v>
      </c>
    </row>
    <row r="430" spans="1:13" ht="11.1" customHeight="1">
      <c r="A430" s="501" t="s">
        <v>13214</v>
      </c>
      <c r="B430" s="280" t="s">
        <v>6231</v>
      </c>
      <c r="C430" s="515">
        <v>9529</v>
      </c>
      <c r="D430" s="503">
        <v>3.7073060657580932</v>
      </c>
      <c r="E430" s="504">
        <v>7.0023956144089592</v>
      </c>
      <c r="F430" s="278" t="s">
        <v>6233</v>
      </c>
      <c r="G430" s="278" t="s">
        <v>13215</v>
      </c>
      <c r="H430" s="505">
        <v>34</v>
      </c>
      <c r="I430" s="278" t="s">
        <v>6278</v>
      </c>
      <c r="J430" s="278">
        <v>0</v>
      </c>
      <c r="K430" s="278" t="s">
        <v>6036</v>
      </c>
      <c r="L430" s="278">
        <v>0</v>
      </c>
      <c r="M430" s="308">
        <v>0</v>
      </c>
    </row>
    <row r="431" spans="1:13" ht="11.1" customHeight="1">
      <c r="A431" s="507" t="s">
        <v>13216</v>
      </c>
      <c r="B431" s="508" t="s">
        <v>12590</v>
      </c>
      <c r="C431" s="509">
        <v>111041</v>
      </c>
      <c r="D431" s="510">
        <v>50.689071180436677</v>
      </c>
      <c r="E431" s="511" t="s">
        <v>6251</v>
      </c>
      <c r="F431" s="514" t="s">
        <v>6233</v>
      </c>
      <c r="G431" s="514" t="s">
        <v>7238</v>
      </c>
      <c r="H431" s="513">
        <v>39</v>
      </c>
      <c r="I431" s="514" t="s">
        <v>6253</v>
      </c>
      <c r="J431" s="514" t="s">
        <v>12007</v>
      </c>
      <c r="K431" s="514" t="s">
        <v>6209</v>
      </c>
      <c r="L431" s="514">
        <v>1</v>
      </c>
      <c r="M431" s="341" t="s">
        <v>6170</v>
      </c>
    </row>
    <row r="432" spans="1:13" ht="11.1" customHeight="1">
      <c r="A432" s="501" t="s">
        <v>13217</v>
      </c>
      <c r="B432" s="280" t="s">
        <v>6230</v>
      </c>
      <c r="C432" s="515">
        <v>81588</v>
      </c>
      <c r="D432" s="503">
        <v>37.244080470001784</v>
      </c>
      <c r="E432" s="504">
        <v>73.475563080303672</v>
      </c>
      <c r="F432" s="278" t="s">
        <v>6233</v>
      </c>
      <c r="G432" s="278" t="s">
        <v>13218</v>
      </c>
      <c r="H432" s="505">
        <v>56</v>
      </c>
      <c r="I432" s="278" t="s">
        <v>6257</v>
      </c>
      <c r="J432" s="278" t="s">
        <v>12773</v>
      </c>
      <c r="K432" s="278" t="s">
        <v>6036</v>
      </c>
      <c r="L432" s="278">
        <v>0</v>
      </c>
      <c r="M432" s="308" t="s">
        <v>12622</v>
      </c>
    </row>
    <row r="433" spans="1:13" ht="11.1" customHeight="1">
      <c r="A433" s="501" t="s">
        <v>13219</v>
      </c>
      <c r="B433" s="280"/>
      <c r="C433" s="515">
        <v>26434</v>
      </c>
      <c r="D433" s="503">
        <v>12.066848349561541</v>
      </c>
      <c r="E433" s="504">
        <v>23.805621347070002</v>
      </c>
      <c r="F433" s="278" t="s">
        <v>6233</v>
      </c>
      <c r="G433" s="278" t="s">
        <v>7242</v>
      </c>
      <c r="H433" s="505">
        <v>49</v>
      </c>
      <c r="I433" s="278" t="s">
        <v>6264</v>
      </c>
      <c r="J433" s="278">
        <v>0</v>
      </c>
      <c r="K433" s="278" t="s">
        <v>6036</v>
      </c>
      <c r="L433" s="278">
        <v>0</v>
      </c>
      <c r="M433" s="308">
        <v>0</v>
      </c>
    </row>
    <row r="434" spans="1:13" ht="11.1" customHeight="1">
      <c r="A434" s="507" t="s">
        <v>13220</v>
      </c>
      <c r="B434" s="508" t="s">
        <v>12590</v>
      </c>
      <c r="C434" s="509">
        <v>81398</v>
      </c>
      <c r="D434" s="510">
        <v>39.190366828920695</v>
      </c>
      <c r="E434" s="511" t="s">
        <v>6251</v>
      </c>
      <c r="F434" s="514" t="s">
        <v>6233</v>
      </c>
      <c r="G434" s="514" t="s">
        <v>7246</v>
      </c>
      <c r="H434" s="513">
        <v>41</v>
      </c>
      <c r="I434" s="514" t="s">
        <v>6253</v>
      </c>
      <c r="J434" s="514" t="s">
        <v>12007</v>
      </c>
      <c r="K434" s="514" t="s">
        <v>6036</v>
      </c>
      <c r="L434" s="514">
        <v>0</v>
      </c>
      <c r="M434" s="341" t="s">
        <v>6170</v>
      </c>
    </row>
    <row r="435" spans="1:13" ht="11.1" customHeight="1">
      <c r="A435" s="501" t="s">
        <v>13221</v>
      </c>
      <c r="B435" s="280" t="s">
        <v>6230</v>
      </c>
      <c r="C435" s="515">
        <v>71873</v>
      </c>
      <c r="D435" s="503">
        <v>34.604403487739468</v>
      </c>
      <c r="E435" s="504">
        <v>88.298238285952976</v>
      </c>
      <c r="F435" s="278" t="s">
        <v>6233</v>
      </c>
      <c r="G435" s="278" t="s">
        <v>13222</v>
      </c>
      <c r="H435" s="505">
        <v>54</v>
      </c>
      <c r="I435" s="278" t="s">
        <v>6257</v>
      </c>
      <c r="J435" s="278" t="s">
        <v>12631</v>
      </c>
      <c r="K435" s="278" t="s">
        <v>6036</v>
      </c>
      <c r="L435" s="278">
        <v>0</v>
      </c>
      <c r="M435" s="308" t="s">
        <v>6260</v>
      </c>
    </row>
    <row r="436" spans="1:13" ht="11.1" customHeight="1">
      <c r="A436" s="501" t="s">
        <v>13223</v>
      </c>
      <c r="B436" s="280" t="s">
        <v>6230</v>
      </c>
      <c r="C436" s="515">
        <v>37019</v>
      </c>
      <c r="D436" s="503">
        <v>17.823388653773009</v>
      </c>
      <c r="E436" s="504" t="s">
        <v>6262</v>
      </c>
      <c r="F436" s="278">
        <v>0</v>
      </c>
      <c r="G436" s="278" t="s">
        <v>13224</v>
      </c>
      <c r="H436" s="505">
        <v>54</v>
      </c>
      <c r="I436" s="278" t="s">
        <v>6322</v>
      </c>
      <c r="J436" s="278">
        <v>0</v>
      </c>
      <c r="K436" s="278" t="s">
        <v>6209</v>
      </c>
      <c r="L436" s="278">
        <v>1</v>
      </c>
      <c r="M436" s="308">
        <v>0</v>
      </c>
    </row>
    <row r="437" spans="1:13" ht="11.1" customHeight="1">
      <c r="A437" s="501" t="s">
        <v>13225</v>
      </c>
      <c r="B437" s="280" t="s">
        <v>6231</v>
      </c>
      <c r="C437" s="515">
        <v>17409</v>
      </c>
      <c r="D437" s="503">
        <v>8.3818410295668251</v>
      </c>
      <c r="E437" s="504" t="s">
        <v>6262</v>
      </c>
      <c r="F437" s="278">
        <v>0</v>
      </c>
      <c r="G437" s="278" t="s">
        <v>12246</v>
      </c>
      <c r="H437" s="505">
        <v>35</v>
      </c>
      <c r="I437" s="278" t="s">
        <v>6264</v>
      </c>
      <c r="J437" s="278">
        <v>0</v>
      </c>
      <c r="K437" s="278" t="s">
        <v>6036</v>
      </c>
      <c r="L437" s="278">
        <v>0</v>
      </c>
      <c r="M437" s="308">
        <v>0</v>
      </c>
    </row>
    <row r="438" spans="1:13" ht="11.1" customHeight="1">
      <c r="A438" s="507" t="s">
        <v>13226</v>
      </c>
      <c r="B438" s="508" t="s">
        <v>12590</v>
      </c>
      <c r="C438" s="509">
        <v>113931</v>
      </c>
      <c r="D438" s="510">
        <v>45.90733995229192</v>
      </c>
      <c r="E438" s="511" t="s">
        <v>6251</v>
      </c>
      <c r="F438" s="514" t="s">
        <v>6233</v>
      </c>
      <c r="G438" s="514" t="s">
        <v>7254</v>
      </c>
      <c r="H438" s="513">
        <v>36</v>
      </c>
      <c r="I438" s="514" t="s">
        <v>6253</v>
      </c>
      <c r="J438" s="514" t="s">
        <v>11989</v>
      </c>
      <c r="K438" s="514" t="s">
        <v>6209</v>
      </c>
      <c r="L438" s="514">
        <v>1</v>
      </c>
      <c r="M438" s="341" t="s">
        <v>6170</v>
      </c>
    </row>
    <row r="439" spans="1:13" ht="11.1" customHeight="1">
      <c r="A439" s="501" t="s">
        <v>13227</v>
      </c>
      <c r="B439" s="516" t="s">
        <v>12602</v>
      </c>
      <c r="C439" s="515">
        <v>105385</v>
      </c>
      <c r="D439" s="503">
        <v>42.463816001547286</v>
      </c>
      <c r="E439" s="504">
        <v>92.498968674021995</v>
      </c>
      <c r="F439" s="517" t="s">
        <v>6233</v>
      </c>
      <c r="G439" s="517" t="s">
        <v>7256</v>
      </c>
      <c r="H439" s="518">
        <v>42</v>
      </c>
      <c r="I439" s="517" t="s">
        <v>6257</v>
      </c>
      <c r="J439" s="517" t="s">
        <v>12621</v>
      </c>
      <c r="K439" s="517" t="s">
        <v>6209</v>
      </c>
      <c r="L439" s="517">
        <v>3</v>
      </c>
      <c r="M439" s="308" t="s">
        <v>12638</v>
      </c>
    </row>
    <row r="440" spans="1:13" ht="11.1" customHeight="1">
      <c r="A440" s="501" t="s">
        <v>13228</v>
      </c>
      <c r="B440" s="280"/>
      <c r="C440" s="515">
        <v>24859</v>
      </c>
      <c r="D440" s="503">
        <v>10.016681709754367</v>
      </c>
      <c r="E440" s="504">
        <v>21.819346797623123</v>
      </c>
      <c r="F440" s="278" t="s">
        <v>6233</v>
      </c>
      <c r="G440" s="278" t="s">
        <v>12248</v>
      </c>
      <c r="H440" s="505">
        <v>53</v>
      </c>
      <c r="I440" s="278" t="s">
        <v>6264</v>
      </c>
      <c r="J440" s="278">
        <v>0</v>
      </c>
      <c r="K440" s="278" t="s">
        <v>6036</v>
      </c>
      <c r="L440" s="278">
        <v>0</v>
      </c>
      <c r="M440" s="308">
        <v>0</v>
      </c>
    </row>
    <row r="441" spans="1:13" ht="11.1" customHeight="1">
      <c r="A441" s="501" t="s">
        <v>13229</v>
      </c>
      <c r="B441" s="280" t="s">
        <v>6231</v>
      </c>
      <c r="C441" s="515">
        <v>4001</v>
      </c>
      <c r="D441" s="503">
        <v>1.6121623364064213</v>
      </c>
      <c r="E441" s="504" t="s">
        <v>6262</v>
      </c>
      <c r="F441" s="278">
        <v>0</v>
      </c>
      <c r="G441" s="278" t="s">
        <v>13230</v>
      </c>
      <c r="H441" s="505">
        <v>55</v>
      </c>
      <c r="I441" s="278" t="s">
        <v>6322</v>
      </c>
      <c r="J441" s="278">
        <v>0</v>
      </c>
      <c r="K441" s="278" t="s">
        <v>6036</v>
      </c>
      <c r="L441" s="278">
        <v>0</v>
      </c>
      <c r="M441" s="308">
        <v>0</v>
      </c>
    </row>
    <row r="442" spans="1:13" ht="11.1" customHeight="1">
      <c r="A442" s="507" t="s">
        <v>13231</v>
      </c>
      <c r="B442" s="519" t="s">
        <v>12590</v>
      </c>
      <c r="C442" s="520">
        <v>126221</v>
      </c>
      <c r="D442" s="521">
        <v>48.466382521214911</v>
      </c>
      <c r="E442" s="522" t="s">
        <v>6251</v>
      </c>
      <c r="F442" s="523" t="s">
        <v>6233</v>
      </c>
      <c r="G442" s="523" t="s">
        <v>7264</v>
      </c>
      <c r="H442" s="524">
        <v>62</v>
      </c>
      <c r="I442" s="523" t="s">
        <v>6257</v>
      </c>
      <c r="J442" s="523" t="s">
        <v>12631</v>
      </c>
      <c r="K442" s="523" t="s">
        <v>6209</v>
      </c>
      <c r="L442" s="523">
        <v>7</v>
      </c>
      <c r="M442" s="525" t="s">
        <v>12638</v>
      </c>
    </row>
    <row r="443" spans="1:13" ht="11.1" customHeight="1">
      <c r="A443" s="501" t="s">
        <v>13232</v>
      </c>
      <c r="B443" s="516" t="s">
        <v>12602</v>
      </c>
      <c r="C443" s="515">
        <v>110266</v>
      </c>
      <c r="D443" s="503">
        <v>42.339976193218909</v>
      </c>
      <c r="E443" s="504">
        <v>87.359472670950154</v>
      </c>
      <c r="F443" s="512" t="s">
        <v>6233</v>
      </c>
      <c r="G443" s="512" t="s">
        <v>9163</v>
      </c>
      <c r="H443" s="526">
        <v>65</v>
      </c>
      <c r="I443" s="512" t="s">
        <v>6253</v>
      </c>
      <c r="J443" s="512" t="s">
        <v>12007</v>
      </c>
      <c r="K443" s="512" t="s">
        <v>6209</v>
      </c>
      <c r="L443" s="512">
        <v>2</v>
      </c>
      <c r="M443" s="308" t="s">
        <v>6170</v>
      </c>
    </row>
    <row r="444" spans="1:13" ht="11.1" customHeight="1">
      <c r="A444" s="501" t="s">
        <v>13233</v>
      </c>
      <c r="B444" s="280" t="s">
        <v>6231</v>
      </c>
      <c r="C444" s="515">
        <v>23943</v>
      </c>
      <c r="D444" s="503">
        <v>9.1936412855661782</v>
      </c>
      <c r="E444" s="504">
        <v>18.969109736097796</v>
      </c>
      <c r="F444" s="278" t="s">
        <v>6233</v>
      </c>
      <c r="G444" s="278" t="s">
        <v>13234</v>
      </c>
      <c r="H444" s="505">
        <v>44</v>
      </c>
      <c r="I444" s="278" t="s">
        <v>6264</v>
      </c>
      <c r="J444" s="278">
        <v>0</v>
      </c>
      <c r="K444" s="278" t="s">
        <v>6036</v>
      </c>
      <c r="L444" s="278">
        <v>0</v>
      </c>
      <c r="M444" s="308">
        <v>0</v>
      </c>
    </row>
    <row r="445" spans="1:13" ht="11.1" customHeight="1">
      <c r="A445" s="507" t="s">
        <v>13235</v>
      </c>
      <c r="B445" s="519" t="s">
        <v>12590</v>
      </c>
      <c r="C445" s="520">
        <v>108843</v>
      </c>
      <c r="D445" s="521">
        <v>44.291033388268325</v>
      </c>
      <c r="E445" s="522" t="s">
        <v>6251</v>
      </c>
      <c r="F445" s="523" t="s">
        <v>6233</v>
      </c>
      <c r="G445" s="523" t="s">
        <v>7272</v>
      </c>
      <c r="H445" s="524">
        <v>40</v>
      </c>
      <c r="I445" s="523" t="s">
        <v>6257</v>
      </c>
      <c r="J445" s="523" t="s">
        <v>12617</v>
      </c>
      <c r="K445" s="523" t="s">
        <v>6036</v>
      </c>
      <c r="L445" s="523">
        <v>0</v>
      </c>
      <c r="M445" s="525" t="s">
        <v>12638</v>
      </c>
    </row>
    <row r="446" spans="1:13" ht="11.1" customHeight="1">
      <c r="A446" s="501" t="s">
        <v>13236</v>
      </c>
      <c r="B446" s="516" t="s">
        <v>12602</v>
      </c>
      <c r="C446" s="515">
        <v>106733</v>
      </c>
      <c r="D446" s="503">
        <v>43.432419784736211</v>
      </c>
      <c r="E446" s="504">
        <v>98.06142792830039</v>
      </c>
      <c r="F446" s="512" t="s">
        <v>6233</v>
      </c>
      <c r="G446" s="512" t="s">
        <v>7270</v>
      </c>
      <c r="H446" s="526">
        <v>47</v>
      </c>
      <c r="I446" s="512" t="s">
        <v>6253</v>
      </c>
      <c r="J446" s="512" t="s">
        <v>12000</v>
      </c>
      <c r="K446" s="512" t="s">
        <v>6209</v>
      </c>
      <c r="L446" s="512">
        <v>1</v>
      </c>
      <c r="M446" s="308" t="s">
        <v>6170</v>
      </c>
    </row>
    <row r="447" spans="1:13" ht="11.1" customHeight="1">
      <c r="A447" s="501" t="s">
        <v>13237</v>
      </c>
      <c r="B447" s="280" t="s">
        <v>6231</v>
      </c>
      <c r="C447" s="515">
        <v>21407</v>
      </c>
      <c r="D447" s="503">
        <v>8.7110622800056969</v>
      </c>
      <c r="E447" s="504" t="s">
        <v>6262</v>
      </c>
      <c r="F447" s="278">
        <v>0</v>
      </c>
      <c r="G447" s="278" t="s">
        <v>13238</v>
      </c>
      <c r="H447" s="505">
        <v>34</v>
      </c>
      <c r="I447" s="278" t="s">
        <v>6264</v>
      </c>
      <c r="J447" s="278">
        <v>0</v>
      </c>
      <c r="K447" s="278" t="s">
        <v>6036</v>
      </c>
      <c r="L447" s="278">
        <v>0</v>
      </c>
      <c r="M447" s="308">
        <v>0</v>
      </c>
    </row>
    <row r="448" spans="1:13" ht="11.1" customHeight="1">
      <c r="A448" s="501" t="s">
        <v>13239</v>
      </c>
      <c r="B448" s="280" t="s">
        <v>6231</v>
      </c>
      <c r="C448" s="515">
        <v>8762</v>
      </c>
      <c r="D448" s="503">
        <v>3.565484546989766</v>
      </c>
      <c r="E448" s="504" t="s">
        <v>6262</v>
      </c>
      <c r="F448" s="278">
        <v>0</v>
      </c>
      <c r="G448" s="278" t="s">
        <v>13240</v>
      </c>
      <c r="H448" s="505">
        <v>48</v>
      </c>
      <c r="I448" s="278" t="s">
        <v>6322</v>
      </c>
      <c r="J448" s="278">
        <v>0</v>
      </c>
      <c r="K448" s="278" t="s">
        <v>6036</v>
      </c>
      <c r="L448" s="278">
        <v>0</v>
      </c>
      <c r="M448" s="308">
        <v>0</v>
      </c>
    </row>
    <row r="449" spans="1:13" ht="11.1" customHeight="1">
      <c r="A449" s="507" t="s">
        <v>13241</v>
      </c>
      <c r="B449" s="519" t="s">
        <v>12590</v>
      </c>
      <c r="C449" s="520">
        <v>80443</v>
      </c>
      <c r="D449" s="521">
        <v>46.276023539834206</v>
      </c>
      <c r="E449" s="522" t="s">
        <v>6251</v>
      </c>
      <c r="F449" s="523" t="s">
        <v>6233</v>
      </c>
      <c r="G449" s="523" t="s">
        <v>7278</v>
      </c>
      <c r="H449" s="524">
        <v>34</v>
      </c>
      <c r="I449" s="523" t="s">
        <v>6257</v>
      </c>
      <c r="J449" s="523" t="s">
        <v>12617</v>
      </c>
      <c r="K449" s="523" t="s">
        <v>6036</v>
      </c>
      <c r="L449" s="523">
        <v>0</v>
      </c>
      <c r="M449" s="525" t="s">
        <v>12638</v>
      </c>
    </row>
    <row r="450" spans="1:13" ht="11.1" customHeight="1">
      <c r="A450" s="501" t="s">
        <v>13242</v>
      </c>
      <c r="B450" s="516" t="s">
        <v>12602</v>
      </c>
      <c r="C450" s="515">
        <v>71151</v>
      </c>
      <c r="D450" s="503">
        <v>40.930663337801221</v>
      </c>
      <c r="E450" s="504">
        <v>88.448963862610796</v>
      </c>
      <c r="F450" s="512" t="s">
        <v>6233</v>
      </c>
      <c r="G450" s="512" t="s">
        <v>12251</v>
      </c>
      <c r="H450" s="526">
        <v>68</v>
      </c>
      <c r="I450" s="512" t="s">
        <v>6253</v>
      </c>
      <c r="J450" s="512" t="s">
        <v>11989</v>
      </c>
      <c r="K450" s="512" t="s">
        <v>6036</v>
      </c>
      <c r="L450" s="512">
        <v>0</v>
      </c>
      <c r="M450" s="308">
        <v>0</v>
      </c>
    </row>
    <row r="451" spans="1:13" ht="11.1" customHeight="1">
      <c r="A451" s="501" t="s">
        <v>13243</v>
      </c>
      <c r="B451" s="280" t="s">
        <v>6231</v>
      </c>
      <c r="C451" s="515">
        <v>15381</v>
      </c>
      <c r="D451" s="503">
        <v>8.8481473598223577</v>
      </c>
      <c r="E451" s="504" t="s">
        <v>6262</v>
      </c>
      <c r="F451" s="278">
        <v>0</v>
      </c>
      <c r="G451" s="278" t="s">
        <v>12252</v>
      </c>
      <c r="H451" s="505">
        <v>33</v>
      </c>
      <c r="I451" s="278" t="s">
        <v>6264</v>
      </c>
      <c r="J451" s="278">
        <v>0</v>
      </c>
      <c r="K451" s="278" t="s">
        <v>6036</v>
      </c>
      <c r="L451" s="278">
        <v>0</v>
      </c>
      <c r="M451" s="308">
        <v>0</v>
      </c>
    </row>
    <row r="452" spans="1:13" ht="11.1" customHeight="1" thickBot="1">
      <c r="A452" s="527" t="s">
        <v>13244</v>
      </c>
      <c r="B452" s="528" t="s">
        <v>6231</v>
      </c>
      <c r="C452" s="529">
        <v>6858</v>
      </c>
      <c r="D452" s="530">
        <v>3.9451657625422101</v>
      </c>
      <c r="E452" s="531" t="s">
        <v>6262</v>
      </c>
      <c r="F452" s="532">
        <v>0</v>
      </c>
      <c r="G452" s="532" t="s">
        <v>13245</v>
      </c>
      <c r="H452" s="533">
        <v>53</v>
      </c>
      <c r="I452" s="532" t="s">
        <v>6322</v>
      </c>
      <c r="J452" s="532" t="s">
        <v>6323</v>
      </c>
      <c r="K452" s="532" t="s">
        <v>6036</v>
      </c>
      <c r="L452" s="532">
        <v>0</v>
      </c>
      <c r="M452" s="347">
        <v>0</v>
      </c>
    </row>
    <row r="453" spans="1:13" ht="11.1" customHeight="1">
      <c r="A453" s="493" t="s">
        <v>13246</v>
      </c>
      <c r="B453" s="494" t="s">
        <v>12590</v>
      </c>
      <c r="C453" s="540">
        <v>119297</v>
      </c>
      <c r="D453" s="496">
        <v>51.082479082633235</v>
      </c>
      <c r="E453" s="497" t="s">
        <v>6251</v>
      </c>
      <c r="F453" s="498" t="s">
        <v>6233</v>
      </c>
      <c r="G453" s="498" t="s">
        <v>7289</v>
      </c>
      <c r="H453" s="499">
        <v>36</v>
      </c>
      <c r="I453" s="498" t="s">
        <v>6253</v>
      </c>
      <c r="J453" s="498" t="s">
        <v>12007</v>
      </c>
      <c r="K453" s="498" t="s">
        <v>6036</v>
      </c>
      <c r="L453" s="498">
        <v>0</v>
      </c>
      <c r="M453" s="500" t="s">
        <v>6254</v>
      </c>
    </row>
    <row r="454" spans="1:13" ht="11.1" customHeight="1">
      <c r="A454" s="501" t="s">
        <v>13247</v>
      </c>
      <c r="B454" s="280" t="s">
        <v>6230</v>
      </c>
      <c r="C454" s="515">
        <v>96107</v>
      </c>
      <c r="D454" s="503">
        <v>41.152617561167773</v>
      </c>
      <c r="E454" s="504">
        <v>80.561120564641186</v>
      </c>
      <c r="F454" s="278" t="s">
        <v>6233</v>
      </c>
      <c r="G454" s="278" t="s">
        <v>13248</v>
      </c>
      <c r="H454" s="505">
        <v>63</v>
      </c>
      <c r="I454" s="278" t="s">
        <v>6257</v>
      </c>
      <c r="J454" s="278" t="s">
        <v>12635</v>
      </c>
      <c r="K454" s="278" t="s">
        <v>6209</v>
      </c>
      <c r="L454" s="278">
        <v>2</v>
      </c>
      <c r="M454" s="308" t="s">
        <v>12638</v>
      </c>
    </row>
    <row r="455" spans="1:13" ht="11.1" customHeight="1">
      <c r="A455" s="501" t="s">
        <v>13249</v>
      </c>
      <c r="B455" s="280" t="s">
        <v>6231</v>
      </c>
      <c r="C455" s="515">
        <v>18134</v>
      </c>
      <c r="D455" s="503">
        <v>7.7649033561989915</v>
      </c>
      <c r="E455" s="504">
        <v>15.200717536903694</v>
      </c>
      <c r="F455" s="278" t="s">
        <v>6233</v>
      </c>
      <c r="G455" s="278" t="s">
        <v>12253</v>
      </c>
      <c r="H455" s="505">
        <v>48</v>
      </c>
      <c r="I455" s="278" t="s">
        <v>6264</v>
      </c>
      <c r="J455" s="278">
        <v>0</v>
      </c>
      <c r="K455" s="278" t="s">
        <v>6036</v>
      </c>
      <c r="L455" s="278">
        <v>0</v>
      </c>
      <c r="M455" s="308">
        <v>0</v>
      </c>
    </row>
    <row r="456" spans="1:13" ht="11.1" customHeight="1">
      <c r="A456" s="507" t="s">
        <v>13250</v>
      </c>
      <c r="B456" s="519" t="s">
        <v>12590</v>
      </c>
      <c r="C456" s="520">
        <v>95391</v>
      </c>
      <c r="D456" s="521">
        <v>43.932262402593814</v>
      </c>
      <c r="E456" s="522" t="s">
        <v>6251</v>
      </c>
      <c r="F456" s="523" t="s">
        <v>6233</v>
      </c>
      <c r="G456" s="523" t="s">
        <v>13251</v>
      </c>
      <c r="H456" s="524">
        <v>49</v>
      </c>
      <c r="I456" s="523" t="s">
        <v>6257</v>
      </c>
      <c r="J456" s="523" t="s">
        <v>12651</v>
      </c>
      <c r="K456" s="523" t="s">
        <v>6209</v>
      </c>
      <c r="L456" s="523">
        <v>1</v>
      </c>
      <c r="M456" s="525" t="s">
        <v>12638</v>
      </c>
    </row>
    <row r="457" spans="1:13" ht="11.1" customHeight="1">
      <c r="A457" s="501" t="s">
        <v>13252</v>
      </c>
      <c r="B457" s="280" t="s">
        <v>6230</v>
      </c>
      <c r="C457" s="515">
        <v>56002</v>
      </c>
      <c r="D457" s="503">
        <v>25.79168432105816</v>
      </c>
      <c r="E457" s="504" t="s">
        <v>6262</v>
      </c>
      <c r="F457" s="278">
        <v>0</v>
      </c>
      <c r="G457" s="278" t="s">
        <v>13253</v>
      </c>
      <c r="H457" s="505">
        <v>60</v>
      </c>
      <c r="I457" s="278" t="s">
        <v>6322</v>
      </c>
      <c r="J457" s="278" t="s">
        <v>6760</v>
      </c>
      <c r="K457" s="278" t="s">
        <v>6209</v>
      </c>
      <c r="L457" s="278">
        <v>1</v>
      </c>
      <c r="M457" s="308">
        <v>0</v>
      </c>
    </row>
    <row r="458" spans="1:13" ht="11.1" customHeight="1">
      <c r="A458" s="501" t="s">
        <v>13254</v>
      </c>
      <c r="B458" s="280" t="s">
        <v>6230</v>
      </c>
      <c r="C458" s="515">
        <v>49382</v>
      </c>
      <c r="D458" s="503">
        <v>22.742847668699223</v>
      </c>
      <c r="E458" s="504">
        <v>51.767986497677981</v>
      </c>
      <c r="F458" s="278" t="s">
        <v>6233</v>
      </c>
      <c r="G458" s="278" t="s">
        <v>13255</v>
      </c>
      <c r="H458" s="505">
        <v>76</v>
      </c>
      <c r="I458" s="278" t="s">
        <v>6253</v>
      </c>
      <c r="J458" s="278" t="s">
        <v>11989</v>
      </c>
      <c r="K458" s="278" t="s">
        <v>6283</v>
      </c>
      <c r="L458" s="278">
        <v>3</v>
      </c>
      <c r="M458" s="308">
        <v>0</v>
      </c>
    </row>
    <row r="459" spans="1:13" ht="11.1" customHeight="1">
      <c r="A459" s="501" t="s">
        <v>13256</v>
      </c>
      <c r="B459" s="280" t="s">
        <v>6231</v>
      </c>
      <c r="C459" s="515">
        <v>12225</v>
      </c>
      <c r="D459" s="503">
        <v>5.6302157213123811</v>
      </c>
      <c r="E459" s="504" t="s">
        <v>6262</v>
      </c>
      <c r="F459" s="278">
        <v>0</v>
      </c>
      <c r="G459" s="278" t="s">
        <v>13257</v>
      </c>
      <c r="H459" s="505">
        <v>55</v>
      </c>
      <c r="I459" s="278" t="s">
        <v>6264</v>
      </c>
      <c r="J459" s="278">
        <v>0</v>
      </c>
      <c r="K459" s="278" t="s">
        <v>6036</v>
      </c>
      <c r="L459" s="278">
        <v>0</v>
      </c>
      <c r="M459" s="308">
        <v>0</v>
      </c>
    </row>
    <row r="460" spans="1:13" ht="11.1" customHeight="1">
      <c r="A460" s="501" t="s">
        <v>13258</v>
      </c>
      <c r="B460" s="280" t="s">
        <v>6231</v>
      </c>
      <c r="C460" s="515">
        <v>4132</v>
      </c>
      <c r="D460" s="503">
        <v>1.9029898863364221</v>
      </c>
      <c r="E460" s="504" t="s">
        <v>6262</v>
      </c>
      <c r="F460" s="278">
        <v>0</v>
      </c>
      <c r="G460" s="278" t="s">
        <v>13259</v>
      </c>
      <c r="H460" s="505">
        <v>58</v>
      </c>
      <c r="I460" s="278" t="s">
        <v>6322</v>
      </c>
      <c r="J460" s="278">
        <v>0</v>
      </c>
      <c r="K460" s="278" t="s">
        <v>6036</v>
      </c>
      <c r="L460" s="278">
        <v>0</v>
      </c>
      <c r="M460" s="308">
        <v>0</v>
      </c>
    </row>
    <row r="461" spans="1:13" ht="11.1" customHeight="1">
      <c r="A461" s="507" t="s">
        <v>13260</v>
      </c>
      <c r="B461" s="519" t="s">
        <v>12590</v>
      </c>
      <c r="C461" s="520">
        <v>108627</v>
      </c>
      <c r="D461" s="521">
        <v>55.912024788709196</v>
      </c>
      <c r="E461" s="522" t="s">
        <v>6251</v>
      </c>
      <c r="F461" s="523" t="s">
        <v>6233</v>
      </c>
      <c r="G461" s="523" t="s">
        <v>7307</v>
      </c>
      <c r="H461" s="524">
        <v>59</v>
      </c>
      <c r="I461" s="523" t="s">
        <v>6257</v>
      </c>
      <c r="J461" s="523" t="s">
        <v>12674</v>
      </c>
      <c r="K461" s="523" t="s">
        <v>6209</v>
      </c>
      <c r="L461" s="523">
        <v>3</v>
      </c>
      <c r="M461" s="525" t="s">
        <v>12638</v>
      </c>
    </row>
    <row r="462" spans="1:13" ht="11.1" customHeight="1">
      <c r="A462" s="501" t="s">
        <v>13261</v>
      </c>
      <c r="B462" s="280" t="s">
        <v>6230</v>
      </c>
      <c r="C462" s="515">
        <v>70256</v>
      </c>
      <c r="D462" s="503">
        <v>36.16186780041383</v>
      </c>
      <c r="E462" s="504">
        <v>64.676369595036221</v>
      </c>
      <c r="F462" s="278" t="s">
        <v>6233</v>
      </c>
      <c r="G462" s="278" t="s">
        <v>13262</v>
      </c>
      <c r="H462" s="505">
        <v>60</v>
      </c>
      <c r="I462" s="278" t="s">
        <v>6278</v>
      </c>
      <c r="J462" s="278">
        <v>0</v>
      </c>
      <c r="K462" s="278" t="s">
        <v>6036</v>
      </c>
      <c r="L462" s="278">
        <v>0</v>
      </c>
      <c r="M462" s="308" t="s">
        <v>6481</v>
      </c>
    </row>
    <row r="463" spans="1:13" ht="11.1" customHeight="1">
      <c r="A463" s="501" t="s">
        <v>13263</v>
      </c>
      <c r="B463" s="280" t="s">
        <v>6231</v>
      </c>
      <c r="C463" s="515">
        <v>15399</v>
      </c>
      <c r="D463" s="503">
        <v>7.9261074108769725</v>
      </c>
      <c r="E463" s="504" t="s">
        <v>6262</v>
      </c>
      <c r="F463" s="278">
        <v>0</v>
      </c>
      <c r="G463" s="278" t="s">
        <v>12258</v>
      </c>
      <c r="H463" s="505">
        <v>41</v>
      </c>
      <c r="I463" s="278" t="s">
        <v>6264</v>
      </c>
      <c r="J463" s="278">
        <v>0</v>
      </c>
      <c r="K463" s="278" t="s">
        <v>6036</v>
      </c>
      <c r="L463" s="278">
        <v>0</v>
      </c>
      <c r="M463" s="308">
        <v>0</v>
      </c>
    </row>
    <row r="464" spans="1:13" ht="11.1" customHeight="1">
      <c r="A464" s="507" t="s">
        <v>13264</v>
      </c>
      <c r="B464" s="508" t="s">
        <v>12590</v>
      </c>
      <c r="C464" s="509">
        <v>113271</v>
      </c>
      <c r="D464" s="510">
        <v>53.448121287046952</v>
      </c>
      <c r="E464" s="511" t="s">
        <v>6251</v>
      </c>
      <c r="F464" s="514" t="s">
        <v>6233</v>
      </c>
      <c r="G464" s="514" t="s">
        <v>7311</v>
      </c>
      <c r="H464" s="513">
        <v>34</v>
      </c>
      <c r="I464" s="514" t="s">
        <v>6253</v>
      </c>
      <c r="J464" s="514" t="s">
        <v>12020</v>
      </c>
      <c r="K464" s="514" t="s">
        <v>6036</v>
      </c>
      <c r="L464" s="514">
        <v>0</v>
      </c>
      <c r="M464" s="341" t="s">
        <v>6254</v>
      </c>
    </row>
    <row r="465" spans="1:13" ht="11.1" customHeight="1">
      <c r="A465" s="501" t="s">
        <v>13265</v>
      </c>
      <c r="B465" s="280" t="s">
        <v>6230</v>
      </c>
      <c r="C465" s="515">
        <v>83880</v>
      </c>
      <c r="D465" s="503">
        <v>39.579666583304629</v>
      </c>
      <c r="E465" s="504">
        <v>74.052493577349892</v>
      </c>
      <c r="F465" s="278" t="s">
        <v>6233</v>
      </c>
      <c r="G465" s="278" t="s">
        <v>13266</v>
      </c>
      <c r="H465" s="505">
        <v>56</v>
      </c>
      <c r="I465" s="278" t="s">
        <v>6257</v>
      </c>
      <c r="J465" s="278" t="s">
        <v>12635</v>
      </c>
      <c r="K465" s="278" t="s">
        <v>6209</v>
      </c>
      <c r="L465" s="278">
        <v>3</v>
      </c>
      <c r="M465" s="308" t="s">
        <v>12638</v>
      </c>
    </row>
    <row r="466" spans="1:13" ht="11.1" customHeight="1">
      <c r="A466" s="501" t="s">
        <v>13267</v>
      </c>
      <c r="B466" s="280" t="s">
        <v>6231</v>
      </c>
      <c r="C466" s="515">
        <v>14776</v>
      </c>
      <c r="D466" s="503">
        <v>6.9722121296484163</v>
      </c>
      <c r="E466" s="504" t="s">
        <v>6262</v>
      </c>
      <c r="F466" s="278">
        <v>0</v>
      </c>
      <c r="G466" s="278" t="s">
        <v>12259</v>
      </c>
      <c r="H466" s="505">
        <v>46</v>
      </c>
      <c r="I466" s="278" t="s">
        <v>6264</v>
      </c>
      <c r="J466" s="278">
        <v>0</v>
      </c>
      <c r="K466" s="278" t="s">
        <v>6036</v>
      </c>
      <c r="L466" s="278">
        <v>0</v>
      </c>
      <c r="M466" s="308">
        <v>0</v>
      </c>
    </row>
    <row r="467" spans="1:13" ht="11.1" customHeight="1">
      <c r="A467" s="507" t="s">
        <v>13268</v>
      </c>
      <c r="B467" s="545" t="s">
        <v>12590</v>
      </c>
      <c r="C467" s="546">
        <v>98112</v>
      </c>
      <c r="D467" s="547">
        <v>49.144213863885675</v>
      </c>
      <c r="E467" s="548" t="s">
        <v>6262</v>
      </c>
      <c r="F467" s="549">
        <v>0</v>
      </c>
      <c r="G467" s="549" t="s">
        <v>13269</v>
      </c>
      <c r="H467" s="550">
        <v>59</v>
      </c>
      <c r="I467" s="549" t="s">
        <v>6322</v>
      </c>
      <c r="J467" s="549" t="s">
        <v>6323</v>
      </c>
      <c r="K467" s="549" t="s">
        <v>6283</v>
      </c>
      <c r="L467" s="549">
        <v>3</v>
      </c>
      <c r="M467" s="551">
        <v>0</v>
      </c>
    </row>
    <row r="468" spans="1:13" ht="11.1" customHeight="1">
      <c r="A468" s="501" t="s">
        <v>13270</v>
      </c>
      <c r="B468" s="280" t="s">
        <v>6230</v>
      </c>
      <c r="C468" s="515">
        <v>61937</v>
      </c>
      <c r="D468" s="503">
        <v>31.024188418210688</v>
      </c>
      <c r="E468" s="504">
        <v>63.128873124592303</v>
      </c>
      <c r="F468" s="278" t="s">
        <v>6233</v>
      </c>
      <c r="G468" s="278" t="s">
        <v>13271</v>
      </c>
      <c r="H468" s="505">
        <v>71</v>
      </c>
      <c r="I468" s="278" t="s">
        <v>6257</v>
      </c>
      <c r="J468" s="278" t="s">
        <v>12635</v>
      </c>
      <c r="K468" s="278" t="s">
        <v>6209</v>
      </c>
      <c r="L468" s="278">
        <v>3</v>
      </c>
      <c r="M468" s="308" t="s">
        <v>6260</v>
      </c>
    </row>
    <row r="469" spans="1:13" ht="11.1" customHeight="1">
      <c r="A469" s="501" t="s">
        <v>13272</v>
      </c>
      <c r="B469" s="280"/>
      <c r="C469" s="515">
        <v>30086</v>
      </c>
      <c r="D469" s="503">
        <v>15.070050741080239</v>
      </c>
      <c r="E469" s="504" t="s">
        <v>6262</v>
      </c>
      <c r="F469" s="278">
        <v>0</v>
      </c>
      <c r="G469" s="278" t="s">
        <v>13273</v>
      </c>
      <c r="H469" s="505">
        <v>58</v>
      </c>
      <c r="I469" s="278" t="s">
        <v>6322</v>
      </c>
      <c r="J469" s="278">
        <v>0</v>
      </c>
      <c r="K469" s="278" t="s">
        <v>6283</v>
      </c>
      <c r="L469" s="278">
        <v>6</v>
      </c>
      <c r="M469" s="308" t="s">
        <v>13274</v>
      </c>
    </row>
    <row r="470" spans="1:13" ht="11.1" customHeight="1">
      <c r="A470" s="501" t="s">
        <v>13275</v>
      </c>
      <c r="B470" s="280" t="s">
        <v>6231</v>
      </c>
      <c r="C470" s="515">
        <v>9506</v>
      </c>
      <c r="D470" s="503">
        <v>4.7615469768233982</v>
      </c>
      <c r="E470" s="504" t="s">
        <v>6262</v>
      </c>
      <c r="F470" s="278">
        <v>0</v>
      </c>
      <c r="G470" s="278" t="s">
        <v>13276</v>
      </c>
      <c r="H470" s="505">
        <v>46</v>
      </c>
      <c r="I470" s="278" t="s">
        <v>6264</v>
      </c>
      <c r="J470" s="278">
        <v>0</v>
      </c>
      <c r="K470" s="278" t="s">
        <v>6036</v>
      </c>
      <c r="L470" s="278">
        <v>0</v>
      </c>
      <c r="M470" s="308">
        <v>0</v>
      </c>
    </row>
    <row r="471" spans="1:13" ht="11.1" customHeight="1">
      <c r="A471" s="507" t="s">
        <v>13277</v>
      </c>
      <c r="B471" s="508" t="s">
        <v>12590</v>
      </c>
      <c r="C471" s="509">
        <v>89693</v>
      </c>
      <c r="D471" s="510">
        <v>40.649813277256079</v>
      </c>
      <c r="E471" s="511" t="s">
        <v>6251</v>
      </c>
      <c r="F471" s="514" t="s">
        <v>6233</v>
      </c>
      <c r="G471" s="514" t="s">
        <v>7327</v>
      </c>
      <c r="H471" s="513">
        <v>58</v>
      </c>
      <c r="I471" s="514" t="s">
        <v>6253</v>
      </c>
      <c r="J471" s="514" t="s">
        <v>11989</v>
      </c>
      <c r="K471" s="514" t="s">
        <v>6209</v>
      </c>
      <c r="L471" s="514">
        <v>2</v>
      </c>
      <c r="M471" s="341" t="s">
        <v>6254</v>
      </c>
    </row>
    <row r="472" spans="1:13" ht="11.1" customHeight="1">
      <c r="A472" s="501" t="s">
        <v>13278</v>
      </c>
      <c r="B472" s="280" t="s">
        <v>6230</v>
      </c>
      <c r="C472" s="515">
        <v>64582</v>
      </c>
      <c r="D472" s="503">
        <v>29.26924331967659</v>
      </c>
      <c r="E472" s="504">
        <v>72.003389339190349</v>
      </c>
      <c r="F472" s="278" t="s">
        <v>6233</v>
      </c>
      <c r="G472" s="278" t="s">
        <v>7329</v>
      </c>
      <c r="H472" s="505">
        <v>43</v>
      </c>
      <c r="I472" s="278" t="s">
        <v>6257</v>
      </c>
      <c r="J472" s="278" t="s">
        <v>12631</v>
      </c>
      <c r="K472" s="278" t="s">
        <v>6036</v>
      </c>
      <c r="L472" s="278">
        <v>0</v>
      </c>
      <c r="M472" s="308" t="s">
        <v>12638</v>
      </c>
    </row>
    <row r="473" spans="1:13" ht="11.1" customHeight="1">
      <c r="A473" s="501" t="s">
        <v>13279</v>
      </c>
      <c r="B473" s="280" t="s">
        <v>6230</v>
      </c>
      <c r="C473" s="515">
        <v>59116</v>
      </c>
      <c r="D473" s="503">
        <v>26.791994488959791</v>
      </c>
      <c r="E473" s="504" t="s">
        <v>6262</v>
      </c>
      <c r="F473" s="278">
        <v>0</v>
      </c>
      <c r="G473" s="278" t="s">
        <v>13280</v>
      </c>
      <c r="H473" s="505">
        <v>37</v>
      </c>
      <c r="I473" s="278" t="s">
        <v>6322</v>
      </c>
      <c r="J473" s="278" t="s">
        <v>6323</v>
      </c>
      <c r="K473" s="278" t="s">
        <v>6036</v>
      </c>
      <c r="L473" s="278">
        <v>0</v>
      </c>
      <c r="M473" s="308">
        <v>0</v>
      </c>
    </row>
    <row r="474" spans="1:13" ht="11.1" customHeight="1" thickBot="1">
      <c r="A474" s="527" t="s">
        <v>13281</v>
      </c>
      <c r="B474" s="528" t="s">
        <v>6231</v>
      </c>
      <c r="C474" s="529">
        <v>7257</v>
      </c>
      <c r="D474" s="530">
        <v>3.2889489141075376</v>
      </c>
      <c r="E474" s="531" t="s">
        <v>6262</v>
      </c>
      <c r="F474" s="532">
        <v>0</v>
      </c>
      <c r="G474" s="532" t="s">
        <v>13282</v>
      </c>
      <c r="H474" s="533">
        <v>59</v>
      </c>
      <c r="I474" s="532" t="s">
        <v>6264</v>
      </c>
      <c r="J474" s="532">
        <v>0</v>
      </c>
      <c r="K474" s="532" t="s">
        <v>6036</v>
      </c>
      <c r="L474" s="532">
        <v>0</v>
      </c>
      <c r="M474" s="347">
        <v>0</v>
      </c>
    </row>
    <row r="475" spans="1:13" ht="11.1" customHeight="1">
      <c r="A475" s="493" t="s">
        <v>13283</v>
      </c>
      <c r="B475" s="534" t="s">
        <v>12590</v>
      </c>
      <c r="C475" s="535">
        <v>76154</v>
      </c>
      <c r="D475" s="536">
        <v>55.496123127149772</v>
      </c>
      <c r="E475" s="537" t="s">
        <v>6251</v>
      </c>
      <c r="F475" s="538" t="s">
        <v>6233</v>
      </c>
      <c r="G475" s="538" t="s">
        <v>7337</v>
      </c>
      <c r="H475" s="539">
        <v>60</v>
      </c>
      <c r="I475" s="538" t="s">
        <v>6257</v>
      </c>
      <c r="J475" s="538" t="s">
        <v>12631</v>
      </c>
      <c r="K475" s="538" t="s">
        <v>6209</v>
      </c>
      <c r="L475" s="538">
        <v>4</v>
      </c>
      <c r="M475" s="373" t="s">
        <v>12638</v>
      </c>
    </row>
    <row r="476" spans="1:13" ht="11.1" customHeight="1">
      <c r="A476" s="501" t="s">
        <v>13284</v>
      </c>
      <c r="B476" s="516" t="s">
        <v>12602</v>
      </c>
      <c r="C476" s="515">
        <v>51306</v>
      </c>
      <c r="D476" s="503">
        <v>37.388503468780968</v>
      </c>
      <c r="E476" s="504">
        <v>67.371379047719103</v>
      </c>
      <c r="F476" s="512" t="s">
        <v>6233</v>
      </c>
      <c r="G476" s="512" t="s">
        <v>7335</v>
      </c>
      <c r="H476" s="526">
        <v>30</v>
      </c>
      <c r="I476" s="512" t="s">
        <v>6253</v>
      </c>
      <c r="J476" s="512" t="s">
        <v>12007</v>
      </c>
      <c r="K476" s="512" t="s">
        <v>6036</v>
      </c>
      <c r="L476" s="512">
        <v>0</v>
      </c>
      <c r="M476" s="308" t="s">
        <v>6154</v>
      </c>
    </row>
    <row r="477" spans="1:13" ht="11.1" customHeight="1">
      <c r="A477" s="501" t="s">
        <v>13285</v>
      </c>
      <c r="B477" s="280" t="s">
        <v>6231</v>
      </c>
      <c r="C477" s="515">
        <v>9764</v>
      </c>
      <c r="D477" s="503">
        <v>7.1153734040692589</v>
      </c>
      <c r="E477" s="504" t="s">
        <v>6262</v>
      </c>
      <c r="F477" s="278">
        <v>0</v>
      </c>
      <c r="G477" s="278" t="s">
        <v>12261</v>
      </c>
      <c r="H477" s="505">
        <v>56</v>
      </c>
      <c r="I477" s="278" t="s">
        <v>6264</v>
      </c>
      <c r="J477" s="278">
        <v>0</v>
      </c>
      <c r="K477" s="278" t="s">
        <v>6036</v>
      </c>
      <c r="L477" s="278">
        <v>0</v>
      </c>
      <c r="M477" s="308">
        <v>0</v>
      </c>
    </row>
    <row r="478" spans="1:13" ht="11.1" customHeight="1">
      <c r="A478" s="507" t="s">
        <v>13286</v>
      </c>
      <c r="B478" s="519" t="s">
        <v>12590</v>
      </c>
      <c r="C478" s="520">
        <v>93849</v>
      </c>
      <c r="D478" s="521">
        <v>59.435718809373022</v>
      </c>
      <c r="E478" s="522" t="s">
        <v>6251</v>
      </c>
      <c r="F478" s="523" t="s">
        <v>6233</v>
      </c>
      <c r="G478" s="523" t="s">
        <v>7343</v>
      </c>
      <c r="H478" s="524">
        <v>52</v>
      </c>
      <c r="I478" s="523" t="s">
        <v>6257</v>
      </c>
      <c r="J478" s="523" t="s">
        <v>12651</v>
      </c>
      <c r="K478" s="523" t="s">
        <v>6209</v>
      </c>
      <c r="L478" s="523">
        <v>2</v>
      </c>
      <c r="M478" s="525" t="s">
        <v>6260</v>
      </c>
    </row>
    <row r="479" spans="1:13" ht="11.1" customHeight="1">
      <c r="A479" s="501" t="s">
        <v>13287</v>
      </c>
      <c r="B479" s="280" t="s">
        <v>6230</v>
      </c>
      <c r="C479" s="515">
        <v>42244</v>
      </c>
      <c r="D479" s="503">
        <v>26.753641545281823</v>
      </c>
      <c r="E479" s="504">
        <v>45.01273322038594</v>
      </c>
      <c r="F479" s="278" t="s">
        <v>6233</v>
      </c>
      <c r="G479" s="278" t="s">
        <v>12262</v>
      </c>
      <c r="H479" s="505">
        <v>42</v>
      </c>
      <c r="I479" s="278" t="s">
        <v>6253</v>
      </c>
      <c r="J479" s="278" t="s">
        <v>12020</v>
      </c>
      <c r="K479" s="278" t="s">
        <v>6036</v>
      </c>
      <c r="L479" s="278">
        <v>0</v>
      </c>
      <c r="M479" s="308">
        <v>0</v>
      </c>
    </row>
    <row r="480" spans="1:13" ht="11.1" customHeight="1">
      <c r="A480" s="501" t="s">
        <v>13288</v>
      </c>
      <c r="B480" s="280" t="s">
        <v>6231</v>
      </c>
      <c r="C480" s="515">
        <v>13792</v>
      </c>
      <c r="D480" s="503">
        <v>8.7346421785940471</v>
      </c>
      <c r="E480" s="504">
        <v>14.695947745847052</v>
      </c>
      <c r="F480" s="278" t="s">
        <v>6233</v>
      </c>
      <c r="G480" s="278" t="s">
        <v>13289</v>
      </c>
      <c r="H480" s="505">
        <v>54</v>
      </c>
      <c r="I480" s="278" t="s">
        <v>6278</v>
      </c>
      <c r="J480" s="278">
        <v>0</v>
      </c>
      <c r="K480" s="278" t="s">
        <v>6036</v>
      </c>
      <c r="L480" s="278">
        <v>0</v>
      </c>
      <c r="M480" s="308">
        <v>0</v>
      </c>
    </row>
    <row r="481" spans="1:13" ht="11.1" customHeight="1">
      <c r="A481" s="501" t="s">
        <v>13290</v>
      </c>
      <c r="B481" s="280" t="s">
        <v>6231</v>
      </c>
      <c r="C481" s="515">
        <v>8015</v>
      </c>
      <c r="D481" s="503">
        <v>5.0759974667511081</v>
      </c>
      <c r="E481" s="504" t="s">
        <v>6262</v>
      </c>
      <c r="F481" s="278">
        <v>0</v>
      </c>
      <c r="G481" s="278" t="s">
        <v>13291</v>
      </c>
      <c r="H481" s="505">
        <v>49</v>
      </c>
      <c r="I481" s="278" t="s">
        <v>6264</v>
      </c>
      <c r="J481" s="278">
        <v>0</v>
      </c>
      <c r="K481" s="278" t="s">
        <v>6036</v>
      </c>
      <c r="L481" s="278">
        <v>0</v>
      </c>
      <c r="M481" s="308">
        <v>0</v>
      </c>
    </row>
    <row r="482" spans="1:13" ht="11.1" customHeight="1">
      <c r="A482" s="507" t="s">
        <v>13292</v>
      </c>
      <c r="B482" s="519" t="s">
        <v>12590</v>
      </c>
      <c r="C482" s="520">
        <v>159316</v>
      </c>
      <c r="D482" s="521">
        <v>69.65090607034341</v>
      </c>
      <c r="E482" s="522" t="s">
        <v>6262</v>
      </c>
      <c r="F482" s="523">
        <v>0</v>
      </c>
      <c r="G482" s="523" t="s">
        <v>9321</v>
      </c>
      <c r="H482" s="524">
        <v>76</v>
      </c>
      <c r="I482" s="523" t="s">
        <v>6257</v>
      </c>
      <c r="J482" s="523" t="s">
        <v>12621</v>
      </c>
      <c r="K482" s="523" t="s">
        <v>6209</v>
      </c>
      <c r="L482" s="523">
        <v>11</v>
      </c>
      <c r="M482" s="525" t="s">
        <v>12638</v>
      </c>
    </row>
    <row r="483" spans="1:13" ht="11.1" customHeight="1">
      <c r="A483" s="501" t="s">
        <v>13293</v>
      </c>
      <c r="B483" s="280" t="s">
        <v>6230</v>
      </c>
      <c r="C483" s="515">
        <v>51663</v>
      </c>
      <c r="D483" s="503">
        <v>22.586399108138238</v>
      </c>
      <c r="E483" s="504">
        <v>32.428004720178762</v>
      </c>
      <c r="F483" s="278" t="s">
        <v>6233</v>
      </c>
      <c r="G483" s="278" t="s">
        <v>12269</v>
      </c>
      <c r="H483" s="505">
        <v>56</v>
      </c>
      <c r="I483" s="278" t="s">
        <v>6278</v>
      </c>
      <c r="J483" s="278">
        <v>0</v>
      </c>
      <c r="K483" s="278" t="s">
        <v>6036</v>
      </c>
      <c r="L483" s="278">
        <v>0</v>
      </c>
      <c r="M483" s="308">
        <v>0</v>
      </c>
    </row>
    <row r="484" spans="1:13" ht="11.1" customHeight="1" thickBot="1">
      <c r="A484" s="527" t="s">
        <v>13294</v>
      </c>
      <c r="B484" s="528" t="s">
        <v>6231</v>
      </c>
      <c r="C484" s="529">
        <v>17756</v>
      </c>
      <c r="D484" s="530">
        <v>7.7626948215183509</v>
      </c>
      <c r="E484" s="531" t="s">
        <v>6262</v>
      </c>
      <c r="F484" s="532">
        <v>0</v>
      </c>
      <c r="G484" s="532" t="s">
        <v>12270</v>
      </c>
      <c r="H484" s="533">
        <v>33</v>
      </c>
      <c r="I484" s="532" t="s">
        <v>6264</v>
      </c>
      <c r="J484" s="532">
        <v>0</v>
      </c>
      <c r="K484" s="532" t="s">
        <v>6036</v>
      </c>
      <c r="L484" s="532">
        <v>0</v>
      </c>
      <c r="M484" s="347">
        <v>0</v>
      </c>
    </row>
    <row r="485" spans="1:13" ht="11.1" customHeight="1">
      <c r="A485" s="493" t="s">
        <v>13295</v>
      </c>
      <c r="B485" s="494" t="s">
        <v>12590</v>
      </c>
      <c r="C485" s="540">
        <v>99868</v>
      </c>
      <c r="D485" s="496">
        <v>48.126837260854899</v>
      </c>
      <c r="E485" s="497" t="s">
        <v>6251</v>
      </c>
      <c r="F485" s="498" t="s">
        <v>6233</v>
      </c>
      <c r="G485" s="498" t="s">
        <v>12272</v>
      </c>
      <c r="H485" s="499">
        <v>44</v>
      </c>
      <c r="I485" s="498" t="s">
        <v>6253</v>
      </c>
      <c r="J485" s="498" t="s">
        <v>11994</v>
      </c>
      <c r="K485" s="498" t="s">
        <v>6209</v>
      </c>
      <c r="L485" s="498">
        <v>2</v>
      </c>
      <c r="M485" s="500" t="s">
        <v>13296</v>
      </c>
    </row>
    <row r="486" spans="1:13" ht="11.1" customHeight="1">
      <c r="A486" s="501" t="s">
        <v>13297</v>
      </c>
      <c r="B486" s="516" t="s">
        <v>12602</v>
      </c>
      <c r="C486" s="515">
        <v>97075</v>
      </c>
      <c r="D486" s="503">
        <v>46.78087802997446</v>
      </c>
      <c r="E486" s="504">
        <v>97.2033083670445</v>
      </c>
      <c r="F486" s="278" t="s">
        <v>6233</v>
      </c>
      <c r="G486" s="278" t="s">
        <v>12271</v>
      </c>
      <c r="H486" s="505">
        <v>42</v>
      </c>
      <c r="I486" s="278" t="s">
        <v>6257</v>
      </c>
      <c r="J486" s="278" t="s">
        <v>12631</v>
      </c>
      <c r="K486" s="278" t="s">
        <v>6209</v>
      </c>
      <c r="L486" s="278">
        <v>1</v>
      </c>
      <c r="M486" s="308" t="s">
        <v>12638</v>
      </c>
    </row>
    <row r="487" spans="1:13" ht="11.1" customHeight="1">
      <c r="A487" s="501" t="s">
        <v>13298</v>
      </c>
      <c r="B487" s="280"/>
      <c r="C487" s="515">
        <v>10567</v>
      </c>
      <c r="D487" s="503">
        <v>5.0922847091706425</v>
      </c>
      <c r="E487" s="504" t="s">
        <v>6262</v>
      </c>
      <c r="F487" s="278">
        <v>0</v>
      </c>
      <c r="G487" s="278" t="s">
        <v>7363</v>
      </c>
      <c r="H487" s="505">
        <v>35</v>
      </c>
      <c r="I487" s="278" t="s">
        <v>6264</v>
      </c>
      <c r="J487" s="278">
        <v>0</v>
      </c>
      <c r="K487" s="278" t="s">
        <v>6036</v>
      </c>
      <c r="L487" s="278">
        <v>0</v>
      </c>
      <c r="M487" s="308">
        <v>0</v>
      </c>
    </row>
    <row r="488" spans="1:13" ht="11.1" customHeight="1">
      <c r="A488" s="507" t="s">
        <v>13299</v>
      </c>
      <c r="B488" s="519" t="s">
        <v>12590</v>
      </c>
      <c r="C488" s="520">
        <v>114541</v>
      </c>
      <c r="D488" s="521">
        <v>55.615386109384708</v>
      </c>
      <c r="E488" s="522" t="s">
        <v>6251</v>
      </c>
      <c r="F488" s="523" t="s">
        <v>6233</v>
      </c>
      <c r="G488" s="523" t="s">
        <v>12273</v>
      </c>
      <c r="H488" s="524">
        <v>66</v>
      </c>
      <c r="I488" s="523" t="s">
        <v>6257</v>
      </c>
      <c r="J488" s="523" t="s">
        <v>12631</v>
      </c>
      <c r="K488" s="523" t="s">
        <v>6209</v>
      </c>
      <c r="L488" s="523">
        <v>11</v>
      </c>
      <c r="M488" s="525" t="s">
        <v>12638</v>
      </c>
    </row>
    <row r="489" spans="1:13" ht="11.1" customHeight="1">
      <c r="A489" s="501" t="s">
        <v>13300</v>
      </c>
      <c r="B489" s="516" t="s">
        <v>12602</v>
      </c>
      <c r="C489" s="515">
        <v>82069</v>
      </c>
      <c r="D489" s="503">
        <v>39.848605500310754</v>
      </c>
      <c r="E489" s="504">
        <v>71.650326084109622</v>
      </c>
      <c r="F489" s="512" t="s">
        <v>6233</v>
      </c>
      <c r="G489" s="512" t="s">
        <v>12274</v>
      </c>
      <c r="H489" s="526">
        <v>61</v>
      </c>
      <c r="I489" s="512" t="s">
        <v>6253</v>
      </c>
      <c r="J489" s="512" t="s">
        <v>12020</v>
      </c>
      <c r="K489" s="512" t="s">
        <v>6209</v>
      </c>
      <c r="L489" s="512">
        <v>2</v>
      </c>
      <c r="M489" s="308" t="s">
        <v>7918</v>
      </c>
    </row>
    <row r="490" spans="1:13" ht="11.1" customHeight="1">
      <c r="A490" s="501" t="s">
        <v>13301</v>
      </c>
      <c r="B490" s="280" t="s">
        <v>6231</v>
      </c>
      <c r="C490" s="515">
        <v>9342</v>
      </c>
      <c r="D490" s="503">
        <v>4.536008390304537</v>
      </c>
      <c r="E490" s="504" t="s">
        <v>6262</v>
      </c>
      <c r="F490" s="278">
        <v>0</v>
      </c>
      <c r="G490" s="278" t="s">
        <v>12275</v>
      </c>
      <c r="H490" s="505">
        <v>49</v>
      </c>
      <c r="I490" s="278" t="s">
        <v>6264</v>
      </c>
      <c r="J490" s="278">
        <v>0</v>
      </c>
      <c r="K490" s="278" t="s">
        <v>6036</v>
      </c>
      <c r="L490" s="278">
        <v>0</v>
      </c>
      <c r="M490" s="308">
        <v>0</v>
      </c>
    </row>
    <row r="491" spans="1:13" ht="11.1" customHeight="1">
      <c r="A491" s="507" t="s">
        <v>13302</v>
      </c>
      <c r="B491" s="519" t="s">
        <v>12590</v>
      </c>
      <c r="C491" s="520">
        <v>102864</v>
      </c>
      <c r="D491" s="521">
        <v>58.090311504664662</v>
      </c>
      <c r="E491" s="522" t="s">
        <v>6251</v>
      </c>
      <c r="F491" s="523" t="s">
        <v>6233</v>
      </c>
      <c r="G491" s="523" t="s">
        <v>13303</v>
      </c>
      <c r="H491" s="524">
        <v>66</v>
      </c>
      <c r="I491" s="523" t="s">
        <v>6257</v>
      </c>
      <c r="J491" s="523" t="s">
        <v>12651</v>
      </c>
      <c r="K491" s="523" t="s">
        <v>6209</v>
      </c>
      <c r="L491" s="523">
        <v>10</v>
      </c>
      <c r="M491" s="525" t="s">
        <v>12638</v>
      </c>
    </row>
    <row r="492" spans="1:13" ht="11.1" customHeight="1">
      <c r="A492" s="501" t="s">
        <v>13304</v>
      </c>
      <c r="B492" s="280" t="s">
        <v>6230</v>
      </c>
      <c r="C492" s="515">
        <v>66240</v>
      </c>
      <c r="D492" s="503">
        <v>37.40766676455307</v>
      </c>
      <c r="E492" s="504">
        <v>64.395706952869816</v>
      </c>
      <c r="F492" s="278" t="s">
        <v>6233</v>
      </c>
      <c r="G492" s="278" t="s">
        <v>12276</v>
      </c>
      <c r="H492" s="505">
        <v>58</v>
      </c>
      <c r="I492" s="278" t="s">
        <v>6253</v>
      </c>
      <c r="J492" s="278" t="s">
        <v>11989</v>
      </c>
      <c r="K492" s="278" t="s">
        <v>6209</v>
      </c>
      <c r="L492" s="278">
        <v>2</v>
      </c>
      <c r="M492" s="308" t="s">
        <v>7918</v>
      </c>
    </row>
    <row r="493" spans="1:13" ht="11.1" customHeight="1" thickBot="1">
      <c r="A493" s="527" t="s">
        <v>13305</v>
      </c>
      <c r="B493" s="528" t="s">
        <v>6231</v>
      </c>
      <c r="C493" s="529">
        <v>7972</v>
      </c>
      <c r="D493" s="530">
        <v>4.5020217307822632</v>
      </c>
      <c r="E493" s="531" t="s">
        <v>6262</v>
      </c>
      <c r="F493" s="532">
        <v>0</v>
      </c>
      <c r="G493" s="532" t="s">
        <v>13306</v>
      </c>
      <c r="H493" s="533">
        <v>39</v>
      </c>
      <c r="I493" s="532" t="s">
        <v>6264</v>
      </c>
      <c r="J493" s="532">
        <v>0</v>
      </c>
      <c r="K493" s="532" t="s">
        <v>6036</v>
      </c>
      <c r="L493" s="532">
        <v>0</v>
      </c>
      <c r="M493" s="347">
        <v>0</v>
      </c>
    </row>
    <row r="494" spans="1:13" ht="11.1" customHeight="1">
      <c r="A494" s="493" t="s">
        <v>13307</v>
      </c>
      <c r="B494" s="534" t="s">
        <v>12590</v>
      </c>
      <c r="C494" s="535">
        <v>55698</v>
      </c>
      <c r="D494" s="536">
        <v>42.074331470010577</v>
      </c>
      <c r="E494" s="537" t="s">
        <v>6251</v>
      </c>
      <c r="F494" s="538" t="s">
        <v>6233</v>
      </c>
      <c r="G494" s="538" t="s">
        <v>12278</v>
      </c>
      <c r="H494" s="539">
        <v>59</v>
      </c>
      <c r="I494" s="538" t="s">
        <v>6257</v>
      </c>
      <c r="J494" s="538" t="s">
        <v>12635</v>
      </c>
      <c r="K494" s="538" t="s">
        <v>6209</v>
      </c>
      <c r="L494" s="538">
        <v>1</v>
      </c>
      <c r="M494" s="373" t="s">
        <v>12638</v>
      </c>
    </row>
    <row r="495" spans="1:13" ht="11.1" customHeight="1">
      <c r="A495" s="501" t="s">
        <v>13308</v>
      </c>
      <c r="B495" s="280" t="s">
        <v>6230</v>
      </c>
      <c r="C495" s="515">
        <v>54019</v>
      </c>
      <c r="D495" s="503">
        <v>40.806012992899227</v>
      </c>
      <c r="E495" s="504" t="s">
        <v>6262</v>
      </c>
      <c r="F495" s="278">
        <v>0</v>
      </c>
      <c r="G495" s="278" t="s">
        <v>7381</v>
      </c>
      <c r="H495" s="505">
        <v>46</v>
      </c>
      <c r="I495" s="278" t="s">
        <v>6322</v>
      </c>
      <c r="J495" s="278" t="s">
        <v>6323</v>
      </c>
      <c r="K495" s="278" t="s">
        <v>6283</v>
      </c>
      <c r="L495" s="278">
        <v>2</v>
      </c>
      <c r="M495" s="308">
        <v>0</v>
      </c>
    </row>
    <row r="496" spans="1:13" ht="11.1" customHeight="1">
      <c r="A496" s="501" t="s">
        <v>13309</v>
      </c>
      <c r="B496" s="280"/>
      <c r="C496" s="515">
        <v>16309</v>
      </c>
      <c r="D496" s="503">
        <v>12.319836833358513</v>
      </c>
      <c r="E496" s="504">
        <v>29.281123200114905</v>
      </c>
      <c r="F496" s="278" t="s">
        <v>6233</v>
      </c>
      <c r="G496" s="278" t="s">
        <v>13310</v>
      </c>
      <c r="H496" s="505">
        <v>32</v>
      </c>
      <c r="I496" s="278" t="s">
        <v>6253</v>
      </c>
      <c r="J496" s="278" t="s">
        <v>12007</v>
      </c>
      <c r="K496" s="278" t="s">
        <v>6036</v>
      </c>
      <c r="L496" s="278">
        <v>0</v>
      </c>
      <c r="M496" s="308">
        <v>0</v>
      </c>
    </row>
    <row r="497" spans="1:13" ht="11.1" customHeight="1">
      <c r="A497" s="501" t="s">
        <v>13311</v>
      </c>
      <c r="B497" s="280" t="s">
        <v>6231</v>
      </c>
      <c r="C497" s="515">
        <v>6354</v>
      </c>
      <c r="D497" s="503">
        <v>4.799818703731682</v>
      </c>
      <c r="E497" s="504">
        <v>11.407950016158569</v>
      </c>
      <c r="F497" s="278" t="s">
        <v>6233</v>
      </c>
      <c r="G497" s="278" t="s">
        <v>7383</v>
      </c>
      <c r="H497" s="505">
        <v>45</v>
      </c>
      <c r="I497" s="278" t="s">
        <v>6264</v>
      </c>
      <c r="J497" s="278">
        <v>0</v>
      </c>
      <c r="K497" s="278" t="s">
        <v>6036</v>
      </c>
      <c r="L497" s="278">
        <v>0</v>
      </c>
      <c r="M497" s="308">
        <v>0</v>
      </c>
    </row>
    <row r="498" spans="1:13" ht="11.1" customHeight="1">
      <c r="A498" s="507" t="s">
        <v>13312</v>
      </c>
      <c r="B498" s="519" t="s">
        <v>12590</v>
      </c>
      <c r="C498" s="520">
        <v>62558</v>
      </c>
      <c r="D498" s="521">
        <v>44.073862715673634</v>
      </c>
      <c r="E498" s="522" t="s">
        <v>6251</v>
      </c>
      <c r="F498" s="523" t="s">
        <v>6233</v>
      </c>
      <c r="G498" s="523" t="s">
        <v>12279</v>
      </c>
      <c r="H498" s="524">
        <v>51</v>
      </c>
      <c r="I498" s="523" t="s">
        <v>6257</v>
      </c>
      <c r="J498" s="523" t="s">
        <v>12617</v>
      </c>
      <c r="K498" s="523" t="s">
        <v>6283</v>
      </c>
      <c r="L498" s="523">
        <v>2</v>
      </c>
      <c r="M498" s="525">
        <v>0</v>
      </c>
    </row>
    <row r="499" spans="1:13" ht="11.1" customHeight="1">
      <c r="A499" s="501" t="s">
        <v>13313</v>
      </c>
      <c r="B499" s="516" t="s">
        <v>12602</v>
      </c>
      <c r="C499" s="515">
        <v>43143</v>
      </c>
      <c r="D499" s="503">
        <v>30.39545156722254</v>
      </c>
      <c r="E499" s="504">
        <v>68.964800664982903</v>
      </c>
      <c r="F499" s="512" t="s">
        <v>6233</v>
      </c>
      <c r="G499" s="512" t="s">
        <v>9286</v>
      </c>
      <c r="H499" s="526">
        <v>58</v>
      </c>
      <c r="I499" s="512" t="s">
        <v>6253</v>
      </c>
      <c r="J499" s="512" t="s">
        <v>12007</v>
      </c>
      <c r="K499" s="512" t="s">
        <v>6036</v>
      </c>
      <c r="L499" s="512">
        <v>0</v>
      </c>
      <c r="M499" s="308">
        <v>0</v>
      </c>
    </row>
    <row r="500" spans="1:13" ht="11.1" customHeight="1">
      <c r="A500" s="501" t="s">
        <v>13314</v>
      </c>
      <c r="B500" s="280" t="s">
        <v>6230</v>
      </c>
      <c r="C500" s="515">
        <v>31120</v>
      </c>
      <c r="D500" s="503">
        <v>21.924911405603815</v>
      </c>
      <c r="E500" s="504" t="s">
        <v>6262</v>
      </c>
      <c r="F500" s="278">
        <v>0</v>
      </c>
      <c r="G500" s="278" t="s">
        <v>13315</v>
      </c>
      <c r="H500" s="505">
        <v>73</v>
      </c>
      <c r="I500" s="278" t="s">
        <v>6322</v>
      </c>
      <c r="J500" s="278" t="s">
        <v>6323</v>
      </c>
      <c r="K500" s="278" t="s">
        <v>6283</v>
      </c>
      <c r="L500" s="278">
        <v>6</v>
      </c>
      <c r="M500" s="308">
        <v>0</v>
      </c>
    </row>
    <row r="501" spans="1:13" ht="11.1" customHeight="1">
      <c r="A501" s="501" t="s">
        <v>13316</v>
      </c>
      <c r="B501" s="280" t="s">
        <v>6231</v>
      </c>
      <c r="C501" s="515">
        <v>5118</v>
      </c>
      <c r="D501" s="503">
        <v>3.6057743115000105</v>
      </c>
      <c r="E501" s="504" t="s">
        <v>6262</v>
      </c>
      <c r="F501" s="278">
        <v>0</v>
      </c>
      <c r="G501" s="278" t="s">
        <v>13317</v>
      </c>
      <c r="H501" s="505">
        <v>51</v>
      </c>
      <c r="I501" s="278" t="s">
        <v>6264</v>
      </c>
      <c r="J501" s="278">
        <v>0</v>
      </c>
      <c r="K501" s="278" t="s">
        <v>6036</v>
      </c>
      <c r="L501" s="278">
        <v>0</v>
      </c>
      <c r="M501" s="308">
        <v>0</v>
      </c>
    </row>
    <row r="502" spans="1:13" ht="11.1" customHeight="1">
      <c r="A502" s="507" t="s">
        <v>13318</v>
      </c>
      <c r="B502" s="519" t="s">
        <v>12590</v>
      </c>
      <c r="C502" s="520">
        <v>85113</v>
      </c>
      <c r="D502" s="521">
        <v>59.816992177891471</v>
      </c>
      <c r="E502" s="522" t="s">
        <v>6251</v>
      </c>
      <c r="F502" s="523" t="s">
        <v>6233</v>
      </c>
      <c r="G502" s="523" t="s">
        <v>13319</v>
      </c>
      <c r="H502" s="524">
        <v>47</v>
      </c>
      <c r="I502" s="523" t="s">
        <v>6257</v>
      </c>
      <c r="J502" s="523" t="s">
        <v>12631</v>
      </c>
      <c r="K502" s="523" t="s">
        <v>6209</v>
      </c>
      <c r="L502" s="523">
        <v>1</v>
      </c>
      <c r="M502" s="525" t="s">
        <v>6260</v>
      </c>
    </row>
    <row r="503" spans="1:13" ht="11.1" customHeight="1">
      <c r="A503" s="501" t="s">
        <v>13320</v>
      </c>
      <c r="B503" s="280" t="s">
        <v>6230</v>
      </c>
      <c r="C503" s="515">
        <v>49395</v>
      </c>
      <c r="D503" s="503">
        <v>34.714559804341867</v>
      </c>
      <c r="E503" s="504">
        <v>58.034612808854114</v>
      </c>
      <c r="F503" s="278" t="s">
        <v>6233</v>
      </c>
      <c r="G503" s="278" t="s">
        <v>12281</v>
      </c>
      <c r="H503" s="505">
        <v>53</v>
      </c>
      <c r="I503" s="278" t="s">
        <v>6253</v>
      </c>
      <c r="J503" s="278" t="s">
        <v>12007</v>
      </c>
      <c r="K503" s="278" t="s">
        <v>6036</v>
      </c>
      <c r="L503" s="278">
        <v>0</v>
      </c>
      <c r="M503" s="308">
        <v>0</v>
      </c>
    </row>
    <row r="504" spans="1:13" ht="11.1" customHeight="1" thickBot="1">
      <c r="A504" s="527" t="s">
        <v>13321</v>
      </c>
      <c r="B504" s="528" t="s">
        <v>6231</v>
      </c>
      <c r="C504" s="529">
        <v>7781</v>
      </c>
      <c r="D504" s="530">
        <v>5.4684480177666579</v>
      </c>
      <c r="E504" s="531" t="s">
        <v>6262</v>
      </c>
      <c r="F504" s="532">
        <v>0</v>
      </c>
      <c r="G504" s="532" t="s">
        <v>13322</v>
      </c>
      <c r="H504" s="533">
        <v>46</v>
      </c>
      <c r="I504" s="532" t="s">
        <v>6264</v>
      </c>
      <c r="J504" s="532">
        <v>0</v>
      </c>
      <c r="K504" s="532" t="s">
        <v>6036</v>
      </c>
      <c r="L504" s="532">
        <v>0</v>
      </c>
      <c r="M504" s="347">
        <v>0</v>
      </c>
    </row>
    <row r="505" spans="1:13" ht="11.1" customHeight="1">
      <c r="A505" s="493" t="s">
        <v>13323</v>
      </c>
      <c r="B505" s="534" t="s">
        <v>12590</v>
      </c>
      <c r="C505" s="535">
        <v>118065</v>
      </c>
      <c r="D505" s="536">
        <v>44.952654363527678</v>
      </c>
      <c r="E505" s="537" t="s">
        <v>6251</v>
      </c>
      <c r="F505" s="538" t="s">
        <v>6233</v>
      </c>
      <c r="G505" s="538" t="s">
        <v>7400</v>
      </c>
      <c r="H505" s="539">
        <v>57</v>
      </c>
      <c r="I505" s="538" t="s">
        <v>6257</v>
      </c>
      <c r="J505" s="538" t="s">
        <v>12621</v>
      </c>
      <c r="K505" s="538" t="s">
        <v>6209</v>
      </c>
      <c r="L505" s="538">
        <v>4</v>
      </c>
      <c r="M505" s="373" t="s">
        <v>12638</v>
      </c>
    </row>
    <row r="506" spans="1:13" ht="11.1" customHeight="1">
      <c r="A506" s="501" t="s">
        <v>13324</v>
      </c>
      <c r="B506" s="516" t="s">
        <v>12602</v>
      </c>
      <c r="C506" s="515">
        <v>111821</v>
      </c>
      <c r="D506" s="503">
        <v>42.575282798323201</v>
      </c>
      <c r="E506" s="504">
        <v>94.711387794858766</v>
      </c>
      <c r="F506" s="512" t="s">
        <v>6233</v>
      </c>
      <c r="G506" s="512" t="s">
        <v>12282</v>
      </c>
      <c r="H506" s="526">
        <v>55</v>
      </c>
      <c r="I506" s="512" t="s">
        <v>6253</v>
      </c>
      <c r="J506" s="512" t="s">
        <v>12007</v>
      </c>
      <c r="K506" s="512" t="s">
        <v>6036</v>
      </c>
      <c r="L506" s="512">
        <v>0</v>
      </c>
      <c r="M506" s="308" t="s">
        <v>6154</v>
      </c>
    </row>
    <row r="507" spans="1:13" ht="11.1" customHeight="1">
      <c r="A507" s="501" t="s">
        <v>13325</v>
      </c>
      <c r="B507" s="280"/>
      <c r="C507" s="515">
        <v>32757</v>
      </c>
      <c r="D507" s="503">
        <v>12.472062838149123</v>
      </c>
      <c r="E507" s="504" t="s">
        <v>6262</v>
      </c>
      <c r="F507" s="278">
        <v>0</v>
      </c>
      <c r="G507" s="278" t="s">
        <v>9309</v>
      </c>
      <c r="H507" s="505">
        <v>55</v>
      </c>
      <c r="I507" s="278" t="s">
        <v>6264</v>
      </c>
      <c r="J507" s="278">
        <v>0</v>
      </c>
      <c r="K507" s="278" t="s">
        <v>6036</v>
      </c>
      <c r="L507" s="278">
        <v>0</v>
      </c>
      <c r="M507" s="308">
        <v>0</v>
      </c>
    </row>
    <row r="508" spans="1:13" ht="11.1" customHeight="1">
      <c r="A508" s="507" t="s">
        <v>13326</v>
      </c>
      <c r="B508" s="508" t="s">
        <v>12590</v>
      </c>
      <c r="C508" s="509">
        <v>108397</v>
      </c>
      <c r="D508" s="510">
        <v>43.005125845050308</v>
      </c>
      <c r="E508" s="511" t="s">
        <v>6251</v>
      </c>
      <c r="F508" s="514" t="s">
        <v>6233</v>
      </c>
      <c r="G508" s="514" t="s">
        <v>7406</v>
      </c>
      <c r="H508" s="513">
        <v>47</v>
      </c>
      <c r="I508" s="514" t="s">
        <v>6253</v>
      </c>
      <c r="J508" s="514" t="s">
        <v>12007</v>
      </c>
      <c r="K508" s="514" t="s">
        <v>6036</v>
      </c>
      <c r="L508" s="514">
        <v>0</v>
      </c>
      <c r="M508" s="341">
        <v>0</v>
      </c>
    </row>
    <row r="509" spans="1:13" ht="11.1" customHeight="1">
      <c r="A509" s="501" t="s">
        <v>13327</v>
      </c>
      <c r="B509" s="516" t="s">
        <v>12602</v>
      </c>
      <c r="C509" s="515">
        <v>98756</v>
      </c>
      <c r="D509" s="503">
        <v>39.180182181737393</v>
      </c>
      <c r="E509" s="504">
        <v>91.105842412612901</v>
      </c>
      <c r="F509" s="517" t="s">
        <v>6233</v>
      </c>
      <c r="G509" s="517" t="s">
        <v>13328</v>
      </c>
      <c r="H509" s="518">
        <v>66</v>
      </c>
      <c r="I509" s="517" t="s">
        <v>6257</v>
      </c>
      <c r="J509" s="517" t="s">
        <v>12621</v>
      </c>
      <c r="K509" s="517" t="s">
        <v>6209</v>
      </c>
      <c r="L509" s="517">
        <v>5</v>
      </c>
      <c r="M509" s="308" t="s">
        <v>12638</v>
      </c>
    </row>
    <row r="510" spans="1:13" ht="11.1" customHeight="1">
      <c r="A510" s="501" t="s">
        <v>13329</v>
      </c>
      <c r="B510" s="280"/>
      <c r="C510" s="515">
        <v>26865</v>
      </c>
      <c r="D510" s="503">
        <v>10.658345764433301</v>
      </c>
      <c r="E510" s="504">
        <v>24.783896233290591</v>
      </c>
      <c r="F510" s="278" t="s">
        <v>6233</v>
      </c>
      <c r="G510" s="278" t="s">
        <v>12284</v>
      </c>
      <c r="H510" s="505">
        <v>68</v>
      </c>
      <c r="I510" s="278" t="s">
        <v>6278</v>
      </c>
      <c r="J510" s="278">
        <v>0</v>
      </c>
      <c r="K510" s="278" t="s">
        <v>6209</v>
      </c>
      <c r="L510" s="278">
        <v>1</v>
      </c>
      <c r="M510" s="308">
        <v>0</v>
      </c>
    </row>
    <row r="511" spans="1:13" ht="11.1" customHeight="1">
      <c r="A511" s="501" t="s">
        <v>13330</v>
      </c>
      <c r="B511" s="280" t="s">
        <v>6231</v>
      </c>
      <c r="C511" s="515">
        <v>18038</v>
      </c>
      <c r="D511" s="503">
        <v>7.1563462087790013</v>
      </c>
      <c r="E511" s="504" t="s">
        <v>6262</v>
      </c>
      <c r="F511" s="278">
        <v>0</v>
      </c>
      <c r="G511" s="278" t="s">
        <v>13331</v>
      </c>
      <c r="H511" s="505">
        <v>51</v>
      </c>
      <c r="I511" s="278" t="s">
        <v>6264</v>
      </c>
      <c r="J511" s="278">
        <v>0</v>
      </c>
      <c r="K511" s="278" t="s">
        <v>6036</v>
      </c>
      <c r="L511" s="278">
        <v>0</v>
      </c>
      <c r="M511" s="308">
        <v>0</v>
      </c>
    </row>
    <row r="512" spans="1:13" ht="11.1" customHeight="1">
      <c r="A512" s="507" t="s">
        <v>13332</v>
      </c>
      <c r="B512" s="508" t="s">
        <v>12590</v>
      </c>
      <c r="C512" s="509">
        <v>150203</v>
      </c>
      <c r="D512" s="510">
        <v>58.524449639586983</v>
      </c>
      <c r="E512" s="511" t="s">
        <v>6251</v>
      </c>
      <c r="F512" s="514" t="s">
        <v>6233</v>
      </c>
      <c r="G512" s="514" t="s">
        <v>12286</v>
      </c>
      <c r="H512" s="513">
        <v>68</v>
      </c>
      <c r="I512" s="514" t="s">
        <v>6253</v>
      </c>
      <c r="J512" s="514" t="s">
        <v>11994</v>
      </c>
      <c r="K512" s="514" t="s">
        <v>6209</v>
      </c>
      <c r="L512" s="514">
        <v>11</v>
      </c>
      <c r="M512" s="341">
        <v>0</v>
      </c>
    </row>
    <row r="513" spans="1:13" ht="11.1" customHeight="1">
      <c r="A513" s="501" t="s">
        <v>13333</v>
      </c>
      <c r="B513" s="516" t="s">
        <v>12602</v>
      </c>
      <c r="C513" s="515">
        <v>78364</v>
      </c>
      <c r="D513" s="503">
        <v>30.53341126047146</v>
      </c>
      <c r="E513" s="504">
        <v>52.1720604781529</v>
      </c>
      <c r="F513" s="517" t="s">
        <v>6233</v>
      </c>
      <c r="G513" s="517" t="s">
        <v>7420</v>
      </c>
      <c r="H513" s="518">
        <v>60</v>
      </c>
      <c r="I513" s="517" t="s">
        <v>6257</v>
      </c>
      <c r="J513" s="517" t="s">
        <v>12621</v>
      </c>
      <c r="K513" s="517" t="s">
        <v>6209</v>
      </c>
      <c r="L513" s="517">
        <v>1</v>
      </c>
      <c r="M513" s="308" t="s">
        <v>6260</v>
      </c>
    </row>
    <row r="514" spans="1:13" ht="11.1" customHeight="1">
      <c r="A514" s="501" t="s">
        <v>13334</v>
      </c>
      <c r="B514" s="280"/>
      <c r="C514" s="515">
        <v>28083</v>
      </c>
      <c r="D514" s="503">
        <v>10.942139099941555</v>
      </c>
      <c r="E514" s="504" t="s">
        <v>6262</v>
      </c>
      <c r="F514" s="278">
        <v>0</v>
      </c>
      <c r="G514" s="278" t="s">
        <v>7422</v>
      </c>
      <c r="H514" s="505">
        <v>50</v>
      </c>
      <c r="I514" s="278" t="s">
        <v>6264</v>
      </c>
      <c r="J514" s="278">
        <v>0</v>
      </c>
      <c r="K514" s="278" t="s">
        <v>6036</v>
      </c>
      <c r="L514" s="278">
        <v>0</v>
      </c>
      <c r="M514" s="308">
        <v>0</v>
      </c>
    </row>
    <row r="515" spans="1:13" ht="11.1" customHeight="1">
      <c r="A515" s="507" t="s">
        <v>13335</v>
      </c>
      <c r="B515" s="519" t="s">
        <v>12590</v>
      </c>
      <c r="C515" s="520">
        <v>70618</v>
      </c>
      <c r="D515" s="521">
        <v>43.386210879421995</v>
      </c>
      <c r="E515" s="522" t="s">
        <v>6251</v>
      </c>
      <c r="F515" s="523" t="s">
        <v>6233</v>
      </c>
      <c r="G515" s="523" t="s">
        <v>7428</v>
      </c>
      <c r="H515" s="524">
        <v>47</v>
      </c>
      <c r="I515" s="523" t="s">
        <v>6257</v>
      </c>
      <c r="J515" s="523" t="s">
        <v>12617</v>
      </c>
      <c r="K515" s="523" t="s">
        <v>6209</v>
      </c>
      <c r="L515" s="523">
        <v>1</v>
      </c>
      <c r="M515" s="525" t="s">
        <v>6260</v>
      </c>
    </row>
    <row r="516" spans="1:13" ht="11.1" customHeight="1">
      <c r="A516" s="501" t="s">
        <v>13336</v>
      </c>
      <c r="B516" s="516" t="s">
        <v>12602</v>
      </c>
      <c r="C516" s="515">
        <v>50651</v>
      </c>
      <c r="D516" s="503">
        <v>31.118906897017805</v>
      </c>
      <c r="E516" s="504">
        <v>71.725339148658989</v>
      </c>
      <c r="F516" s="512" t="s">
        <v>6233</v>
      </c>
      <c r="G516" s="512" t="s">
        <v>12287</v>
      </c>
      <c r="H516" s="526">
        <v>61</v>
      </c>
      <c r="I516" s="512" t="s">
        <v>6253</v>
      </c>
      <c r="J516" s="512" t="s">
        <v>11994</v>
      </c>
      <c r="K516" s="512" t="s">
        <v>6209</v>
      </c>
      <c r="L516" s="512">
        <v>4</v>
      </c>
      <c r="M516" s="308">
        <v>0</v>
      </c>
    </row>
    <row r="517" spans="1:13" ht="11.1" customHeight="1">
      <c r="A517" s="501" t="s">
        <v>13337</v>
      </c>
      <c r="B517" s="280"/>
      <c r="C517" s="515">
        <v>26211</v>
      </c>
      <c r="D517" s="503">
        <v>16.103485986016736</v>
      </c>
      <c r="E517" s="504">
        <v>37.116599167351097</v>
      </c>
      <c r="F517" s="278" t="s">
        <v>6233</v>
      </c>
      <c r="G517" s="278" t="s">
        <v>13338</v>
      </c>
      <c r="H517" s="505">
        <v>67</v>
      </c>
      <c r="I517" s="278" t="s">
        <v>6278</v>
      </c>
      <c r="J517" s="278">
        <v>0</v>
      </c>
      <c r="K517" s="278" t="s">
        <v>6036</v>
      </c>
      <c r="L517" s="278">
        <v>0</v>
      </c>
      <c r="M517" s="308">
        <v>0</v>
      </c>
    </row>
    <row r="518" spans="1:13" ht="11.1" customHeight="1">
      <c r="A518" s="501" t="s">
        <v>13339</v>
      </c>
      <c r="B518" s="280" t="s">
        <v>6231</v>
      </c>
      <c r="C518" s="515">
        <v>15286</v>
      </c>
      <c r="D518" s="503">
        <v>9.3913962375434679</v>
      </c>
      <c r="E518" s="504" t="s">
        <v>6262</v>
      </c>
      <c r="F518" s="278">
        <v>0</v>
      </c>
      <c r="G518" s="278" t="s">
        <v>7430</v>
      </c>
      <c r="H518" s="505">
        <v>49</v>
      </c>
      <c r="I518" s="278" t="s">
        <v>6264</v>
      </c>
      <c r="J518" s="278">
        <v>0</v>
      </c>
      <c r="K518" s="278" t="s">
        <v>6036</v>
      </c>
      <c r="L518" s="278">
        <v>0</v>
      </c>
      <c r="M518" s="308">
        <v>0</v>
      </c>
    </row>
    <row r="519" spans="1:13" ht="11.1" customHeight="1">
      <c r="A519" s="507" t="s">
        <v>13340</v>
      </c>
      <c r="B519" s="519" t="s">
        <v>12590</v>
      </c>
      <c r="C519" s="520">
        <v>108567</v>
      </c>
      <c r="D519" s="521">
        <v>52.661269590271679</v>
      </c>
      <c r="E519" s="522" t="s">
        <v>6251</v>
      </c>
      <c r="F519" s="523" t="s">
        <v>6233</v>
      </c>
      <c r="G519" s="523" t="s">
        <v>7436</v>
      </c>
      <c r="H519" s="524">
        <v>45</v>
      </c>
      <c r="I519" s="523" t="s">
        <v>6257</v>
      </c>
      <c r="J519" s="523" t="s">
        <v>12631</v>
      </c>
      <c r="K519" s="523" t="s">
        <v>6036</v>
      </c>
      <c r="L519" s="523">
        <v>0</v>
      </c>
      <c r="M519" s="525" t="s">
        <v>12638</v>
      </c>
    </row>
    <row r="520" spans="1:13" ht="11.1" customHeight="1">
      <c r="A520" s="501" t="s">
        <v>13341</v>
      </c>
      <c r="B520" s="280" t="s">
        <v>6230</v>
      </c>
      <c r="C520" s="515">
        <v>70507</v>
      </c>
      <c r="D520" s="503">
        <v>34.199969926416735</v>
      </c>
      <c r="E520" s="504">
        <v>64.943306898044526</v>
      </c>
      <c r="F520" s="278" t="s">
        <v>6233</v>
      </c>
      <c r="G520" s="278" t="s">
        <v>12485</v>
      </c>
      <c r="H520" s="505">
        <v>54</v>
      </c>
      <c r="I520" s="278" t="s">
        <v>6253</v>
      </c>
      <c r="J520" s="278" t="s">
        <v>11994</v>
      </c>
      <c r="K520" s="278" t="s">
        <v>6036</v>
      </c>
      <c r="L520" s="278">
        <v>0</v>
      </c>
      <c r="M520" s="308">
        <v>0</v>
      </c>
    </row>
    <row r="521" spans="1:13" ht="11.1" customHeight="1">
      <c r="A521" s="501" t="s">
        <v>13342</v>
      </c>
      <c r="B521" s="280"/>
      <c r="C521" s="515">
        <v>20679</v>
      </c>
      <c r="D521" s="503">
        <v>10.030510135282618</v>
      </c>
      <c r="E521" s="504" t="s">
        <v>6262</v>
      </c>
      <c r="F521" s="278">
        <v>0</v>
      </c>
      <c r="G521" s="278" t="s">
        <v>7438</v>
      </c>
      <c r="H521" s="505">
        <v>59</v>
      </c>
      <c r="I521" s="278" t="s">
        <v>6264</v>
      </c>
      <c r="J521" s="278">
        <v>0</v>
      </c>
      <c r="K521" s="278" t="s">
        <v>6036</v>
      </c>
      <c r="L521" s="278">
        <v>0</v>
      </c>
      <c r="M521" s="308">
        <v>0</v>
      </c>
    </row>
    <row r="522" spans="1:13" ht="11.1" customHeight="1" thickBot="1">
      <c r="A522" s="527" t="s">
        <v>13343</v>
      </c>
      <c r="B522" s="528" t="s">
        <v>6231</v>
      </c>
      <c r="C522" s="529">
        <v>6408</v>
      </c>
      <c r="D522" s="530">
        <v>3.1082503480289678</v>
      </c>
      <c r="E522" s="531" t="s">
        <v>6262</v>
      </c>
      <c r="F522" s="532">
        <v>0</v>
      </c>
      <c r="G522" s="532" t="s">
        <v>13344</v>
      </c>
      <c r="H522" s="533">
        <v>43</v>
      </c>
      <c r="I522" s="532" t="s">
        <v>6322</v>
      </c>
      <c r="J522" s="532">
        <v>0</v>
      </c>
      <c r="K522" s="532" t="s">
        <v>6036</v>
      </c>
      <c r="L522" s="532">
        <v>0</v>
      </c>
      <c r="M522" s="347">
        <v>0</v>
      </c>
    </row>
    <row r="523" spans="1:13" ht="11.1" customHeight="1">
      <c r="A523" s="493" t="s">
        <v>13345</v>
      </c>
      <c r="B523" s="534" t="s">
        <v>12590</v>
      </c>
      <c r="C523" s="535">
        <v>92717</v>
      </c>
      <c r="D523" s="536">
        <v>51.418890065828514</v>
      </c>
      <c r="E523" s="537" t="s">
        <v>6251</v>
      </c>
      <c r="F523" s="538" t="s">
        <v>6233</v>
      </c>
      <c r="G523" s="538" t="s">
        <v>7446</v>
      </c>
      <c r="H523" s="539">
        <v>43</v>
      </c>
      <c r="I523" s="538" t="s">
        <v>6257</v>
      </c>
      <c r="J523" s="538" t="s">
        <v>12028</v>
      </c>
      <c r="K523" s="538" t="s">
        <v>6209</v>
      </c>
      <c r="L523" s="538">
        <v>3</v>
      </c>
      <c r="M523" s="373" t="s">
        <v>12638</v>
      </c>
    </row>
    <row r="524" spans="1:13" ht="11.1" customHeight="1">
      <c r="A524" s="501" t="s">
        <v>13346</v>
      </c>
      <c r="B524" s="280" t="s">
        <v>6230</v>
      </c>
      <c r="C524" s="515">
        <v>71649</v>
      </c>
      <c r="D524" s="503">
        <v>39.735022210884168</v>
      </c>
      <c r="E524" s="504">
        <v>77.277090501202579</v>
      </c>
      <c r="F524" s="278" t="s">
        <v>6233</v>
      </c>
      <c r="G524" s="278" t="s">
        <v>13347</v>
      </c>
      <c r="H524" s="505">
        <v>34</v>
      </c>
      <c r="I524" s="278" t="s">
        <v>6253</v>
      </c>
      <c r="J524" s="278" t="s">
        <v>12020</v>
      </c>
      <c r="K524" s="278" t="s">
        <v>6036</v>
      </c>
      <c r="L524" s="278">
        <v>0</v>
      </c>
      <c r="M524" s="308">
        <v>0</v>
      </c>
    </row>
    <row r="525" spans="1:13" ht="11.1" customHeight="1">
      <c r="A525" s="501" t="s">
        <v>13348</v>
      </c>
      <c r="B525" s="280" t="s">
        <v>6231</v>
      </c>
      <c r="C525" s="515">
        <v>15951</v>
      </c>
      <c r="D525" s="503">
        <v>8.8460877232873223</v>
      </c>
      <c r="E525" s="504" t="s">
        <v>6262</v>
      </c>
      <c r="F525" s="278">
        <v>0</v>
      </c>
      <c r="G525" s="278" t="s">
        <v>13349</v>
      </c>
      <c r="H525" s="505">
        <v>56</v>
      </c>
      <c r="I525" s="278" t="s">
        <v>6264</v>
      </c>
      <c r="J525" s="278">
        <v>0</v>
      </c>
      <c r="K525" s="278" t="s">
        <v>6036</v>
      </c>
      <c r="L525" s="278">
        <v>0</v>
      </c>
      <c r="M525" s="308">
        <v>0</v>
      </c>
    </row>
    <row r="526" spans="1:13" ht="11.1" customHeight="1">
      <c r="A526" s="507" t="s">
        <v>13350</v>
      </c>
      <c r="B526" s="519" t="s">
        <v>12590</v>
      </c>
      <c r="C526" s="520">
        <v>118748</v>
      </c>
      <c r="D526" s="521">
        <v>61.619411349578648</v>
      </c>
      <c r="E526" s="522" t="s">
        <v>6251</v>
      </c>
      <c r="F526" s="523" t="s">
        <v>6233</v>
      </c>
      <c r="G526" s="523" t="s">
        <v>7452</v>
      </c>
      <c r="H526" s="524">
        <v>40</v>
      </c>
      <c r="I526" s="523" t="s">
        <v>6257</v>
      </c>
      <c r="J526" s="523" t="s">
        <v>12621</v>
      </c>
      <c r="K526" s="523" t="s">
        <v>6209</v>
      </c>
      <c r="L526" s="523">
        <v>2</v>
      </c>
      <c r="M526" s="525" t="s">
        <v>12638</v>
      </c>
    </row>
    <row r="527" spans="1:13" ht="11.1" customHeight="1">
      <c r="A527" s="501" t="s">
        <v>13351</v>
      </c>
      <c r="B527" s="280" t="s">
        <v>6230</v>
      </c>
      <c r="C527" s="515">
        <v>60118</v>
      </c>
      <c r="D527" s="503">
        <v>31.195774004732449</v>
      </c>
      <c r="E527" s="504">
        <v>50.626536867989358</v>
      </c>
      <c r="F527" s="278" t="s">
        <v>6233</v>
      </c>
      <c r="G527" s="278" t="s">
        <v>12291</v>
      </c>
      <c r="H527" s="505">
        <v>26</v>
      </c>
      <c r="I527" s="278" t="s">
        <v>6253</v>
      </c>
      <c r="J527" s="278" t="s">
        <v>12007</v>
      </c>
      <c r="K527" s="278" t="s">
        <v>6036</v>
      </c>
      <c r="L527" s="278">
        <v>0</v>
      </c>
      <c r="M527" s="308">
        <v>0</v>
      </c>
    </row>
    <row r="528" spans="1:13" ht="11.1" customHeight="1">
      <c r="A528" s="501" t="s">
        <v>13352</v>
      </c>
      <c r="B528" s="280" t="s">
        <v>6231</v>
      </c>
      <c r="C528" s="515">
        <v>13846</v>
      </c>
      <c r="D528" s="503">
        <v>7.1848146456889035</v>
      </c>
      <c r="E528" s="504" t="s">
        <v>6262</v>
      </c>
      <c r="F528" s="278">
        <v>0</v>
      </c>
      <c r="G528" s="278" t="s">
        <v>12292</v>
      </c>
      <c r="H528" s="505">
        <v>44</v>
      </c>
      <c r="I528" s="278" t="s">
        <v>6264</v>
      </c>
      <c r="J528" s="278">
        <v>0</v>
      </c>
      <c r="K528" s="278" t="s">
        <v>6036</v>
      </c>
      <c r="L528" s="278">
        <v>0</v>
      </c>
      <c r="M528" s="308">
        <v>0</v>
      </c>
    </row>
    <row r="529" spans="1:13" ht="11.1" customHeight="1">
      <c r="A529" s="507" t="s">
        <v>13353</v>
      </c>
      <c r="B529" s="519" t="s">
        <v>12590</v>
      </c>
      <c r="C529" s="520">
        <v>115221</v>
      </c>
      <c r="D529" s="521">
        <v>47.751093060361796</v>
      </c>
      <c r="E529" s="522" t="s">
        <v>6262</v>
      </c>
      <c r="F529" s="523">
        <v>0</v>
      </c>
      <c r="G529" s="523" t="s">
        <v>13354</v>
      </c>
      <c r="H529" s="524">
        <v>76</v>
      </c>
      <c r="I529" s="523" t="s">
        <v>6257</v>
      </c>
      <c r="J529" s="523" t="s">
        <v>12635</v>
      </c>
      <c r="K529" s="523" t="s">
        <v>6209</v>
      </c>
      <c r="L529" s="523">
        <v>12</v>
      </c>
      <c r="M529" s="525" t="s">
        <v>12638</v>
      </c>
    </row>
    <row r="530" spans="1:13" ht="11.1" customHeight="1">
      <c r="A530" s="501" t="s">
        <v>13355</v>
      </c>
      <c r="B530" s="516" t="s">
        <v>12602</v>
      </c>
      <c r="C530" s="515">
        <v>110796</v>
      </c>
      <c r="D530" s="503">
        <v>45.917238235355065</v>
      </c>
      <c r="E530" s="504">
        <v>96.159554247923552</v>
      </c>
      <c r="F530" s="512" t="s">
        <v>6233</v>
      </c>
      <c r="G530" s="512" t="s">
        <v>7458</v>
      </c>
      <c r="H530" s="526">
        <v>36</v>
      </c>
      <c r="I530" s="512" t="s">
        <v>6253</v>
      </c>
      <c r="J530" s="512" t="s">
        <v>12007</v>
      </c>
      <c r="K530" s="512" t="s">
        <v>6036</v>
      </c>
      <c r="L530" s="512">
        <v>0</v>
      </c>
      <c r="M530" s="308">
        <v>0</v>
      </c>
    </row>
    <row r="531" spans="1:13" ht="11.1" customHeight="1">
      <c r="A531" s="501" t="s">
        <v>13356</v>
      </c>
      <c r="B531" s="280" t="s">
        <v>6231</v>
      </c>
      <c r="C531" s="515">
        <v>15278</v>
      </c>
      <c r="D531" s="503">
        <v>6.331668704283139</v>
      </c>
      <c r="E531" s="504" t="s">
        <v>6262</v>
      </c>
      <c r="F531" s="278">
        <v>0</v>
      </c>
      <c r="G531" s="278" t="s">
        <v>13357</v>
      </c>
      <c r="H531" s="505">
        <v>61</v>
      </c>
      <c r="I531" s="278" t="s">
        <v>6264</v>
      </c>
      <c r="J531" s="278">
        <v>0</v>
      </c>
      <c r="K531" s="278" t="s">
        <v>6036</v>
      </c>
      <c r="L531" s="278">
        <v>0</v>
      </c>
      <c r="M531" s="308">
        <v>0</v>
      </c>
    </row>
    <row r="532" spans="1:13" ht="11.1" customHeight="1">
      <c r="A532" s="507" t="s">
        <v>13358</v>
      </c>
      <c r="B532" s="519" t="s">
        <v>12590</v>
      </c>
      <c r="C532" s="520">
        <v>156179</v>
      </c>
      <c r="D532" s="521">
        <v>63.816598632784569</v>
      </c>
      <c r="E532" s="522" t="s">
        <v>6251</v>
      </c>
      <c r="F532" s="523" t="s">
        <v>6233</v>
      </c>
      <c r="G532" s="523" t="s">
        <v>12295</v>
      </c>
      <c r="H532" s="524">
        <v>60</v>
      </c>
      <c r="I532" s="523" t="s">
        <v>6257</v>
      </c>
      <c r="J532" s="523" t="s">
        <v>12621</v>
      </c>
      <c r="K532" s="523" t="s">
        <v>6209</v>
      </c>
      <c r="L532" s="523">
        <v>3</v>
      </c>
      <c r="M532" s="525" t="s">
        <v>12638</v>
      </c>
    </row>
    <row r="533" spans="1:13" ht="11.1" customHeight="1">
      <c r="A533" s="501" t="s">
        <v>13359</v>
      </c>
      <c r="B533" s="280" t="s">
        <v>6230</v>
      </c>
      <c r="C533" s="515">
        <v>75240</v>
      </c>
      <c r="D533" s="503">
        <v>30.743959694521742</v>
      </c>
      <c r="E533" s="504">
        <v>48.17549094308454</v>
      </c>
      <c r="F533" s="278" t="s">
        <v>6233</v>
      </c>
      <c r="G533" s="278" t="s">
        <v>9402</v>
      </c>
      <c r="H533" s="505">
        <v>43</v>
      </c>
      <c r="I533" s="278" t="s">
        <v>6253</v>
      </c>
      <c r="J533" s="278" t="s">
        <v>12007</v>
      </c>
      <c r="K533" s="278" t="s">
        <v>6036</v>
      </c>
      <c r="L533" s="278">
        <v>0</v>
      </c>
      <c r="M533" s="308">
        <v>0</v>
      </c>
    </row>
    <row r="534" spans="1:13" ht="11.1" customHeight="1">
      <c r="A534" s="501" t="s">
        <v>13360</v>
      </c>
      <c r="B534" s="280" t="s">
        <v>6231</v>
      </c>
      <c r="C534" s="515">
        <v>13312</v>
      </c>
      <c r="D534" s="503">
        <v>5.4394416726936923</v>
      </c>
      <c r="E534" s="504" t="s">
        <v>6262</v>
      </c>
      <c r="F534" s="278">
        <v>0</v>
      </c>
      <c r="G534" s="278" t="s">
        <v>13361</v>
      </c>
      <c r="H534" s="505">
        <v>58</v>
      </c>
      <c r="I534" s="278" t="s">
        <v>6264</v>
      </c>
      <c r="J534" s="278">
        <v>0</v>
      </c>
      <c r="K534" s="278" t="s">
        <v>6036</v>
      </c>
      <c r="L534" s="278">
        <v>0</v>
      </c>
      <c r="M534" s="308">
        <v>0</v>
      </c>
    </row>
    <row r="535" spans="1:13" ht="11.1" customHeight="1">
      <c r="A535" s="507" t="s">
        <v>13362</v>
      </c>
      <c r="B535" s="519" t="s">
        <v>12590</v>
      </c>
      <c r="C535" s="520">
        <v>110553</v>
      </c>
      <c r="D535" s="521">
        <v>57.301239290323586</v>
      </c>
      <c r="E535" s="522" t="s">
        <v>6251</v>
      </c>
      <c r="F535" s="523" t="s">
        <v>6233</v>
      </c>
      <c r="G535" s="523" t="s">
        <v>7472</v>
      </c>
      <c r="H535" s="524">
        <v>51</v>
      </c>
      <c r="I535" s="523" t="s">
        <v>6257</v>
      </c>
      <c r="J535" s="523" t="s">
        <v>12635</v>
      </c>
      <c r="K535" s="523" t="s">
        <v>6209</v>
      </c>
      <c r="L535" s="523">
        <v>4</v>
      </c>
      <c r="M535" s="525" t="s">
        <v>12638</v>
      </c>
    </row>
    <row r="536" spans="1:13" ht="11.1" customHeight="1">
      <c r="A536" s="501" t="s">
        <v>13363</v>
      </c>
      <c r="B536" s="280" t="s">
        <v>6230</v>
      </c>
      <c r="C536" s="515">
        <v>67546</v>
      </c>
      <c r="D536" s="503">
        <v>35.010081219905359</v>
      </c>
      <c r="E536" s="504">
        <v>61.098296744547866</v>
      </c>
      <c r="F536" s="278" t="s">
        <v>6233</v>
      </c>
      <c r="G536" s="278" t="s">
        <v>13364</v>
      </c>
      <c r="H536" s="505">
        <v>38</v>
      </c>
      <c r="I536" s="278" t="s">
        <v>6253</v>
      </c>
      <c r="J536" s="278" t="s">
        <v>11989</v>
      </c>
      <c r="K536" s="278" t="s">
        <v>6036</v>
      </c>
      <c r="L536" s="278">
        <v>0</v>
      </c>
      <c r="M536" s="308">
        <v>0</v>
      </c>
    </row>
    <row r="537" spans="1:13" ht="11.1" customHeight="1" thickBot="1">
      <c r="A537" s="527" t="s">
        <v>13365</v>
      </c>
      <c r="B537" s="528" t="s">
        <v>6231</v>
      </c>
      <c r="C537" s="529">
        <v>14834</v>
      </c>
      <c r="D537" s="530">
        <v>7.6886794897710606</v>
      </c>
      <c r="E537" s="531" t="s">
        <v>6262</v>
      </c>
      <c r="F537" s="532">
        <v>0</v>
      </c>
      <c r="G537" s="532" t="s">
        <v>12301</v>
      </c>
      <c r="H537" s="533">
        <v>36</v>
      </c>
      <c r="I537" s="532" t="s">
        <v>6264</v>
      </c>
      <c r="J537" s="532">
        <v>0</v>
      </c>
      <c r="K537" s="532" t="s">
        <v>6036</v>
      </c>
      <c r="L537" s="532">
        <v>0</v>
      </c>
      <c r="M537" s="347">
        <v>0</v>
      </c>
    </row>
    <row r="538" spans="1:13" ht="11.1" customHeight="1">
      <c r="A538" s="493" t="s">
        <v>13366</v>
      </c>
      <c r="B538" s="494" t="s">
        <v>12590</v>
      </c>
      <c r="C538" s="540">
        <v>74745</v>
      </c>
      <c r="D538" s="496">
        <v>33.481302968948775</v>
      </c>
      <c r="E538" s="497" t="s">
        <v>6251</v>
      </c>
      <c r="F538" s="498" t="s">
        <v>6233</v>
      </c>
      <c r="G538" s="498" t="s">
        <v>7474</v>
      </c>
      <c r="H538" s="499">
        <v>58</v>
      </c>
      <c r="I538" s="498" t="s">
        <v>6253</v>
      </c>
      <c r="J538" s="498" t="s">
        <v>12215</v>
      </c>
      <c r="K538" s="498" t="s">
        <v>6209</v>
      </c>
      <c r="L538" s="498">
        <v>2</v>
      </c>
      <c r="M538" s="500">
        <v>0</v>
      </c>
    </row>
    <row r="539" spans="1:13" ht="11.1" customHeight="1">
      <c r="A539" s="501" t="s">
        <v>13367</v>
      </c>
      <c r="B539" s="516" t="s">
        <v>12602</v>
      </c>
      <c r="C539" s="515">
        <v>67437</v>
      </c>
      <c r="D539" s="503">
        <v>30.207754743688522</v>
      </c>
      <c r="E539" s="504">
        <v>90.222757375075261</v>
      </c>
      <c r="F539" s="517" t="s">
        <v>6233</v>
      </c>
      <c r="G539" s="517" t="s">
        <v>7476</v>
      </c>
      <c r="H539" s="518">
        <v>50</v>
      </c>
      <c r="I539" s="517" t="s">
        <v>6257</v>
      </c>
      <c r="J539" s="517" t="s">
        <v>12651</v>
      </c>
      <c r="K539" s="517" t="s">
        <v>6209</v>
      </c>
      <c r="L539" s="517">
        <v>1</v>
      </c>
      <c r="M539" s="308" t="s">
        <v>12622</v>
      </c>
    </row>
    <row r="540" spans="1:13" ht="11.1" customHeight="1">
      <c r="A540" s="501" t="s">
        <v>13368</v>
      </c>
      <c r="B540" s="280" t="s">
        <v>6230</v>
      </c>
      <c r="C540" s="515">
        <v>59937</v>
      </c>
      <c r="D540" s="503">
        <v>26.848201967354107</v>
      </c>
      <c r="E540" s="504" t="s">
        <v>6262</v>
      </c>
      <c r="F540" s="278">
        <v>0</v>
      </c>
      <c r="G540" s="278" t="s">
        <v>12302</v>
      </c>
      <c r="H540" s="505">
        <v>42</v>
      </c>
      <c r="I540" s="278" t="s">
        <v>6322</v>
      </c>
      <c r="J540" s="278" t="s">
        <v>6323</v>
      </c>
      <c r="K540" s="278" t="s">
        <v>6036</v>
      </c>
      <c r="L540" s="278">
        <v>0</v>
      </c>
      <c r="M540" s="308">
        <v>0</v>
      </c>
    </row>
    <row r="541" spans="1:13" ht="11.1" customHeight="1">
      <c r="A541" s="501" t="s">
        <v>13369</v>
      </c>
      <c r="B541" s="280" t="s">
        <v>6231</v>
      </c>
      <c r="C541" s="515">
        <v>15032</v>
      </c>
      <c r="D541" s="503">
        <v>6.7334396445145224</v>
      </c>
      <c r="E541" s="504" t="s">
        <v>6262</v>
      </c>
      <c r="F541" s="278">
        <v>0</v>
      </c>
      <c r="G541" s="278" t="s">
        <v>13370</v>
      </c>
      <c r="H541" s="505">
        <v>52</v>
      </c>
      <c r="I541" s="278" t="s">
        <v>6264</v>
      </c>
      <c r="J541" s="278">
        <v>0</v>
      </c>
      <c r="K541" s="278" t="s">
        <v>6036</v>
      </c>
      <c r="L541" s="278">
        <v>0</v>
      </c>
      <c r="M541" s="308">
        <v>0</v>
      </c>
    </row>
    <row r="542" spans="1:13" ht="11.1" customHeight="1">
      <c r="A542" s="501" t="s">
        <v>13371</v>
      </c>
      <c r="B542" s="280" t="s">
        <v>6231</v>
      </c>
      <c r="C542" s="515">
        <v>6093</v>
      </c>
      <c r="D542" s="503">
        <v>2.7293006754940783</v>
      </c>
      <c r="E542" s="504">
        <v>8.1517158338350395</v>
      </c>
      <c r="F542" s="278" t="s">
        <v>6233</v>
      </c>
      <c r="G542" s="278" t="s">
        <v>13372</v>
      </c>
      <c r="H542" s="505">
        <v>45</v>
      </c>
      <c r="I542" s="278" t="s">
        <v>6278</v>
      </c>
      <c r="J542" s="278">
        <v>0</v>
      </c>
      <c r="K542" s="278" t="s">
        <v>6036</v>
      </c>
      <c r="L542" s="278">
        <v>0</v>
      </c>
      <c r="M542" s="308">
        <v>0</v>
      </c>
    </row>
    <row r="543" spans="1:13" ht="11.1" customHeight="1">
      <c r="A543" s="507" t="s">
        <v>13373</v>
      </c>
      <c r="B543" s="519" t="s">
        <v>12590</v>
      </c>
      <c r="C543" s="520">
        <v>129162</v>
      </c>
      <c r="D543" s="521">
        <v>51.470242483412697</v>
      </c>
      <c r="E543" s="522" t="s">
        <v>6251</v>
      </c>
      <c r="F543" s="523" t="s">
        <v>6233</v>
      </c>
      <c r="G543" s="523" t="s">
        <v>7486</v>
      </c>
      <c r="H543" s="524">
        <v>51</v>
      </c>
      <c r="I543" s="523" t="s">
        <v>6257</v>
      </c>
      <c r="J543" s="523" t="s">
        <v>12773</v>
      </c>
      <c r="K543" s="523" t="s">
        <v>6036</v>
      </c>
      <c r="L543" s="523">
        <v>0</v>
      </c>
      <c r="M543" s="525" t="s">
        <v>12638</v>
      </c>
    </row>
    <row r="544" spans="1:13" ht="11.1" customHeight="1">
      <c r="A544" s="501" t="s">
        <v>13374</v>
      </c>
      <c r="B544" s="280" t="s">
        <v>6230</v>
      </c>
      <c r="C544" s="515">
        <v>107687</v>
      </c>
      <c r="D544" s="503">
        <v>42.91259040825679</v>
      </c>
      <c r="E544" s="504">
        <v>83.373592852386921</v>
      </c>
      <c r="F544" s="278" t="s">
        <v>6233</v>
      </c>
      <c r="G544" s="278" t="s">
        <v>7484</v>
      </c>
      <c r="H544" s="505">
        <v>31</v>
      </c>
      <c r="I544" s="278" t="s">
        <v>6253</v>
      </c>
      <c r="J544" s="278" t="s">
        <v>12007</v>
      </c>
      <c r="K544" s="278" t="s">
        <v>6209</v>
      </c>
      <c r="L544" s="278">
        <v>1</v>
      </c>
      <c r="M544" s="308">
        <v>0</v>
      </c>
    </row>
    <row r="545" spans="1:13" ht="11.1" customHeight="1">
      <c r="A545" s="501" t="s">
        <v>13375</v>
      </c>
      <c r="B545" s="280" t="s">
        <v>6231</v>
      </c>
      <c r="C545" s="515">
        <v>14096</v>
      </c>
      <c r="D545" s="503">
        <v>5.617167108330511</v>
      </c>
      <c r="E545" s="504" t="s">
        <v>6262</v>
      </c>
      <c r="F545" s="278">
        <v>0</v>
      </c>
      <c r="G545" s="278" t="s">
        <v>13376</v>
      </c>
      <c r="H545" s="505">
        <v>51</v>
      </c>
      <c r="I545" s="278" t="s">
        <v>6264</v>
      </c>
      <c r="J545" s="278">
        <v>0</v>
      </c>
      <c r="K545" s="278" t="s">
        <v>6036</v>
      </c>
      <c r="L545" s="278">
        <v>0</v>
      </c>
      <c r="M545" s="308">
        <v>0</v>
      </c>
    </row>
    <row r="546" spans="1:13" ht="11.1" customHeight="1">
      <c r="A546" s="507" t="s">
        <v>13377</v>
      </c>
      <c r="B546" s="519" t="s">
        <v>12590</v>
      </c>
      <c r="C546" s="520">
        <v>138508</v>
      </c>
      <c r="D546" s="521">
        <v>59.695034177204278</v>
      </c>
      <c r="E546" s="522" t="s">
        <v>6251</v>
      </c>
      <c r="F546" s="523" t="s">
        <v>6233</v>
      </c>
      <c r="G546" s="523" t="s">
        <v>7492</v>
      </c>
      <c r="H546" s="524">
        <v>68</v>
      </c>
      <c r="I546" s="523" t="s">
        <v>6257</v>
      </c>
      <c r="J546" s="523" t="s">
        <v>12651</v>
      </c>
      <c r="K546" s="523" t="s">
        <v>6209</v>
      </c>
      <c r="L546" s="523">
        <v>6</v>
      </c>
      <c r="M546" s="525" t="s">
        <v>12622</v>
      </c>
    </row>
    <row r="547" spans="1:13" ht="11.1" customHeight="1">
      <c r="A547" s="501" t="s">
        <v>13378</v>
      </c>
      <c r="B547" s="280" t="s">
        <v>6230</v>
      </c>
      <c r="C547" s="515">
        <v>81364</v>
      </c>
      <c r="D547" s="503">
        <v>35.066759759682107</v>
      </c>
      <c r="E547" s="504">
        <v>58.743177289398446</v>
      </c>
      <c r="F547" s="278" t="s">
        <v>6233</v>
      </c>
      <c r="G547" s="278" t="s">
        <v>12257</v>
      </c>
      <c r="H547" s="505">
        <v>43</v>
      </c>
      <c r="I547" s="278" t="s">
        <v>6253</v>
      </c>
      <c r="J547" s="278" t="s">
        <v>12215</v>
      </c>
      <c r="K547" s="278" t="s">
        <v>6036</v>
      </c>
      <c r="L547" s="278">
        <v>0</v>
      </c>
      <c r="M547" s="308">
        <v>0</v>
      </c>
    </row>
    <row r="548" spans="1:13" ht="11.1" customHeight="1">
      <c r="A548" s="501" t="s">
        <v>13379</v>
      </c>
      <c r="B548" s="280" t="s">
        <v>6231</v>
      </c>
      <c r="C548" s="515">
        <v>12154</v>
      </c>
      <c r="D548" s="503">
        <v>5.2382060631136165</v>
      </c>
      <c r="E548" s="504" t="s">
        <v>6262</v>
      </c>
      <c r="F548" s="278">
        <v>0</v>
      </c>
      <c r="G548" s="278" t="s">
        <v>13380</v>
      </c>
      <c r="H548" s="505">
        <v>58</v>
      </c>
      <c r="I548" s="278" t="s">
        <v>6264</v>
      </c>
      <c r="J548" s="278">
        <v>0</v>
      </c>
      <c r="K548" s="278" t="s">
        <v>6036</v>
      </c>
      <c r="L548" s="278">
        <v>0</v>
      </c>
      <c r="M548" s="308">
        <v>0</v>
      </c>
    </row>
    <row r="549" spans="1:13" ht="11.1" customHeight="1">
      <c r="A549" s="507" t="s">
        <v>13381</v>
      </c>
      <c r="B549" s="519" t="s">
        <v>12590</v>
      </c>
      <c r="C549" s="520">
        <v>102761</v>
      </c>
      <c r="D549" s="521">
        <v>53.128150511061364</v>
      </c>
      <c r="E549" s="522" t="s">
        <v>6251</v>
      </c>
      <c r="F549" s="523" t="s">
        <v>6233</v>
      </c>
      <c r="G549" s="523" t="s">
        <v>7498</v>
      </c>
      <c r="H549" s="524">
        <v>56</v>
      </c>
      <c r="I549" s="523" t="s">
        <v>6257</v>
      </c>
      <c r="J549" s="523" t="s">
        <v>12651</v>
      </c>
      <c r="K549" s="523" t="s">
        <v>6209</v>
      </c>
      <c r="L549" s="523">
        <v>2</v>
      </c>
      <c r="M549" s="525" t="s">
        <v>12638</v>
      </c>
    </row>
    <row r="550" spans="1:13" ht="11.1" customHeight="1">
      <c r="A550" s="501" t="s">
        <v>13382</v>
      </c>
      <c r="B550" s="280" t="s">
        <v>6230</v>
      </c>
      <c r="C550" s="515">
        <v>76865</v>
      </c>
      <c r="D550" s="503">
        <v>39.739738704690801</v>
      </c>
      <c r="E550" s="504">
        <v>74.799778125942723</v>
      </c>
      <c r="F550" s="278" t="s">
        <v>6233</v>
      </c>
      <c r="G550" s="278" t="s">
        <v>7496</v>
      </c>
      <c r="H550" s="505">
        <v>35</v>
      </c>
      <c r="I550" s="278" t="s">
        <v>6253</v>
      </c>
      <c r="J550" s="278" t="s">
        <v>12007</v>
      </c>
      <c r="K550" s="278" t="s">
        <v>6036</v>
      </c>
      <c r="L550" s="278">
        <v>0</v>
      </c>
      <c r="M550" s="308">
        <v>0</v>
      </c>
    </row>
    <row r="551" spans="1:13" ht="11.1" customHeight="1">
      <c r="A551" s="501" t="s">
        <v>13383</v>
      </c>
      <c r="B551" s="280" t="s">
        <v>6231</v>
      </c>
      <c r="C551" s="515">
        <v>13795</v>
      </c>
      <c r="D551" s="503">
        <v>7.1321107842478328</v>
      </c>
      <c r="E551" s="504" t="s">
        <v>6262</v>
      </c>
      <c r="F551" s="278">
        <v>0</v>
      </c>
      <c r="G551" s="278" t="s">
        <v>13384</v>
      </c>
      <c r="H551" s="505">
        <v>61</v>
      </c>
      <c r="I551" s="278" t="s">
        <v>6264</v>
      </c>
      <c r="J551" s="278">
        <v>0</v>
      </c>
      <c r="K551" s="278" t="s">
        <v>6036</v>
      </c>
      <c r="L551" s="278">
        <v>0</v>
      </c>
      <c r="M551" s="308">
        <v>0</v>
      </c>
    </row>
    <row r="552" spans="1:13" ht="11.1" customHeight="1">
      <c r="A552" s="507" t="s">
        <v>13385</v>
      </c>
      <c r="B552" s="508" t="s">
        <v>12590</v>
      </c>
      <c r="C552" s="509">
        <v>137201</v>
      </c>
      <c r="D552" s="510">
        <v>49.388586711975208</v>
      </c>
      <c r="E552" s="511" t="s">
        <v>6251</v>
      </c>
      <c r="F552" s="514" t="s">
        <v>6233</v>
      </c>
      <c r="G552" s="514" t="s">
        <v>7502</v>
      </c>
      <c r="H552" s="513">
        <v>32</v>
      </c>
      <c r="I552" s="514" t="s">
        <v>6253</v>
      </c>
      <c r="J552" s="514" t="s">
        <v>12007</v>
      </c>
      <c r="K552" s="514" t="s">
        <v>6209</v>
      </c>
      <c r="L552" s="514">
        <v>1</v>
      </c>
      <c r="M552" s="341">
        <v>0</v>
      </c>
    </row>
    <row r="553" spans="1:13" ht="11.1" customHeight="1">
      <c r="A553" s="501" t="s">
        <v>13386</v>
      </c>
      <c r="B553" s="516" t="s">
        <v>12602</v>
      </c>
      <c r="C553" s="515">
        <v>129988</v>
      </c>
      <c r="D553" s="503">
        <v>46.792105083171649</v>
      </c>
      <c r="E553" s="504">
        <v>94.742749688413355</v>
      </c>
      <c r="F553" s="517" t="s">
        <v>6233</v>
      </c>
      <c r="G553" s="517" t="s">
        <v>7504</v>
      </c>
      <c r="H553" s="518">
        <v>58</v>
      </c>
      <c r="I553" s="517" t="s">
        <v>6257</v>
      </c>
      <c r="J553" s="517" t="s">
        <v>12621</v>
      </c>
      <c r="K553" s="517" t="s">
        <v>6209</v>
      </c>
      <c r="L553" s="517">
        <v>5</v>
      </c>
      <c r="M553" s="308" t="s">
        <v>12638</v>
      </c>
    </row>
    <row r="554" spans="1:13" ht="11.1" customHeight="1">
      <c r="A554" s="501" t="s">
        <v>13387</v>
      </c>
      <c r="B554" s="280" t="s">
        <v>6231</v>
      </c>
      <c r="C554" s="515">
        <v>10610</v>
      </c>
      <c r="D554" s="503">
        <v>3.819308204853149</v>
      </c>
      <c r="E554" s="504" t="s">
        <v>6262</v>
      </c>
      <c r="F554" s="278">
        <v>0</v>
      </c>
      <c r="G554" s="278" t="s">
        <v>13388</v>
      </c>
      <c r="H554" s="505">
        <v>56</v>
      </c>
      <c r="I554" s="278" t="s">
        <v>6264</v>
      </c>
      <c r="J554" s="278">
        <v>0</v>
      </c>
      <c r="K554" s="278" t="s">
        <v>6036</v>
      </c>
      <c r="L554" s="278">
        <v>0</v>
      </c>
      <c r="M554" s="308">
        <v>0</v>
      </c>
    </row>
    <row r="555" spans="1:13" ht="11.1" customHeight="1">
      <c r="A555" s="507" t="s">
        <v>13389</v>
      </c>
      <c r="B555" s="508" t="s">
        <v>12590</v>
      </c>
      <c r="C555" s="509">
        <v>136066</v>
      </c>
      <c r="D555" s="510">
        <v>49.920935710276154</v>
      </c>
      <c r="E555" s="511" t="s">
        <v>6251</v>
      </c>
      <c r="F555" s="514" t="s">
        <v>6233</v>
      </c>
      <c r="G555" s="514" t="s">
        <v>12306</v>
      </c>
      <c r="H555" s="513">
        <v>41</v>
      </c>
      <c r="I555" s="514" t="s">
        <v>6253</v>
      </c>
      <c r="J555" s="514" t="s">
        <v>12000</v>
      </c>
      <c r="K555" s="514" t="s">
        <v>6209</v>
      </c>
      <c r="L555" s="514">
        <v>2</v>
      </c>
      <c r="M555" s="341">
        <v>0</v>
      </c>
    </row>
    <row r="556" spans="1:13" ht="11.1" customHeight="1">
      <c r="A556" s="501" t="s">
        <v>13390</v>
      </c>
      <c r="B556" s="280" t="s">
        <v>6230</v>
      </c>
      <c r="C556" s="515">
        <v>100955</v>
      </c>
      <c r="D556" s="503">
        <v>37.039143243947272</v>
      </c>
      <c r="E556" s="504">
        <v>74.195610953507853</v>
      </c>
      <c r="F556" s="278" t="s">
        <v>6233</v>
      </c>
      <c r="G556" s="278" t="s">
        <v>13391</v>
      </c>
      <c r="H556" s="505">
        <v>54</v>
      </c>
      <c r="I556" s="278" t="s">
        <v>6257</v>
      </c>
      <c r="J556" s="278" t="s">
        <v>12975</v>
      </c>
      <c r="K556" s="278" t="s">
        <v>6283</v>
      </c>
      <c r="L556" s="278">
        <v>2</v>
      </c>
      <c r="M556" s="308">
        <v>0</v>
      </c>
    </row>
    <row r="557" spans="1:13" ht="11.1" customHeight="1">
      <c r="A557" s="501" t="s">
        <v>13392</v>
      </c>
      <c r="B557" s="280" t="s">
        <v>6231</v>
      </c>
      <c r="C557" s="515">
        <v>20675</v>
      </c>
      <c r="D557" s="503">
        <v>7.585402273969688</v>
      </c>
      <c r="E557" s="504" t="s">
        <v>6262</v>
      </c>
      <c r="F557" s="278">
        <v>0</v>
      </c>
      <c r="G557" s="278" t="s">
        <v>13393</v>
      </c>
      <c r="H557" s="505">
        <v>41</v>
      </c>
      <c r="I557" s="278" t="s">
        <v>6322</v>
      </c>
      <c r="J557" s="278" t="s">
        <v>12417</v>
      </c>
      <c r="K557" s="278" t="s">
        <v>6036</v>
      </c>
      <c r="L557" s="278">
        <v>0</v>
      </c>
      <c r="M557" s="308" t="s">
        <v>12622</v>
      </c>
    </row>
    <row r="558" spans="1:13" ht="11.1" customHeight="1">
      <c r="A558" s="501" t="s">
        <v>13394</v>
      </c>
      <c r="B558" s="280" t="s">
        <v>6231</v>
      </c>
      <c r="C558" s="515">
        <v>14867</v>
      </c>
      <c r="D558" s="503">
        <v>5.4545187718068853</v>
      </c>
      <c r="E558" s="504" t="s">
        <v>6262</v>
      </c>
      <c r="F558" s="278">
        <v>0</v>
      </c>
      <c r="G558" s="278" t="s">
        <v>12307</v>
      </c>
      <c r="H558" s="505">
        <v>60</v>
      </c>
      <c r="I558" s="278" t="s">
        <v>6264</v>
      </c>
      <c r="J558" s="278">
        <v>0</v>
      </c>
      <c r="K558" s="278" t="s">
        <v>6036</v>
      </c>
      <c r="L558" s="278">
        <v>0</v>
      </c>
      <c r="M558" s="308">
        <v>0</v>
      </c>
    </row>
    <row r="559" spans="1:13" ht="11.1" customHeight="1">
      <c r="A559" s="507" t="s">
        <v>13395</v>
      </c>
      <c r="B559" s="545" t="s">
        <v>12590</v>
      </c>
      <c r="C559" s="546">
        <v>98877</v>
      </c>
      <c r="D559" s="547">
        <v>46.777115985977794</v>
      </c>
      <c r="E559" s="548" t="s">
        <v>6262</v>
      </c>
      <c r="F559" s="549">
        <v>0</v>
      </c>
      <c r="G559" s="549" t="s">
        <v>12308</v>
      </c>
      <c r="H559" s="550">
        <v>38</v>
      </c>
      <c r="I559" s="549" t="s">
        <v>6322</v>
      </c>
      <c r="J559" s="549" t="s">
        <v>12404</v>
      </c>
      <c r="K559" s="549" t="s">
        <v>6036</v>
      </c>
      <c r="L559" s="549">
        <v>0</v>
      </c>
      <c r="M559" s="551">
        <v>0</v>
      </c>
    </row>
    <row r="560" spans="1:13" ht="11.1" customHeight="1">
      <c r="A560" s="501" t="s">
        <v>13396</v>
      </c>
      <c r="B560" s="280" t="s">
        <v>6230</v>
      </c>
      <c r="C560" s="515">
        <v>58932</v>
      </c>
      <c r="D560" s="503">
        <v>27.879779921373459</v>
      </c>
      <c r="E560" s="504" t="s">
        <v>6262</v>
      </c>
      <c r="F560" s="278">
        <v>0</v>
      </c>
      <c r="G560" s="278" t="s">
        <v>13397</v>
      </c>
      <c r="H560" s="505">
        <v>63</v>
      </c>
      <c r="I560" s="278" t="s">
        <v>12757</v>
      </c>
      <c r="J560" s="278">
        <v>0</v>
      </c>
      <c r="K560" s="278" t="s">
        <v>6209</v>
      </c>
      <c r="L560" s="278">
        <v>6</v>
      </c>
      <c r="M560" s="308" t="s">
        <v>12758</v>
      </c>
    </row>
    <row r="561" spans="1:13" ht="11.1" customHeight="1">
      <c r="A561" s="501" t="s">
        <v>13398</v>
      </c>
      <c r="B561" s="280" t="s">
        <v>6230</v>
      </c>
      <c r="C561" s="515">
        <v>43779</v>
      </c>
      <c r="D561" s="503">
        <v>20.711139706404136</v>
      </c>
      <c r="E561" s="504">
        <v>44.27622197275403</v>
      </c>
      <c r="F561" s="278" t="s">
        <v>6233</v>
      </c>
      <c r="G561" s="278" t="s">
        <v>13399</v>
      </c>
      <c r="H561" s="505">
        <v>48</v>
      </c>
      <c r="I561" s="278" t="s">
        <v>6253</v>
      </c>
      <c r="J561" s="278" t="s">
        <v>12020</v>
      </c>
      <c r="K561" s="278" t="s">
        <v>6036</v>
      </c>
      <c r="L561" s="278">
        <v>0</v>
      </c>
      <c r="M561" s="308">
        <v>0</v>
      </c>
    </row>
    <row r="562" spans="1:13" ht="11.1" customHeight="1">
      <c r="A562" s="501" t="s">
        <v>13400</v>
      </c>
      <c r="B562" s="280" t="s">
        <v>6231</v>
      </c>
      <c r="C562" s="515">
        <v>9791</v>
      </c>
      <c r="D562" s="503">
        <v>4.6319643862446132</v>
      </c>
      <c r="E562" s="504" t="s">
        <v>6262</v>
      </c>
      <c r="F562" s="278">
        <v>0</v>
      </c>
      <c r="G562" s="278" t="s">
        <v>13401</v>
      </c>
      <c r="H562" s="505">
        <v>54</v>
      </c>
      <c r="I562" s="278" t="s">
        <v>6264</v>
      </c>
      <c r="J562" s="278">
        <v>0</v>
      </c>
      <c r="K562" s="278" t="s">
        <v>6036</v>
      </c>
      <c r="L562" s="278">
        <v>0</v>
      </c>
      <c r="M562" s="308">
        <v>0</v>
      </c>
    </row>
    <row r="563" spans="1:13" ht="11.1" customHeight="1">
      <c r="A563" s="507" t="s">
        <v>13402</v>
      </c>
      <c r="B563" s="519" t="s">
        <v>12590</v>
      </c>
      <c r="C563" s="520">
        <v>104046</v>
      </c>
      <c r="D563" s="521">
        <v>47.382586400834292</v>
      </c>
      <c r="E563" s="522" t="s">
        <v>6251</v>
      </c>
      <c r="F563" s="523" t="s">
        <v>6233</v>
      </c>
      <c r="G563" s="523" t="s">
        <v>12311</v>
      </c>
      <c r="H563" s="524">
        <v>53</v>
      </c>
      <c r="I563" s="523" t="s">
        <v>6257</v>
      </c>
      <c r="J563" s="523" t="s">
        <v>12631</v>
      </c>
      <c r="K563" s="523" t="s">
        <v>6283</v>
      </c>
      <c r="L563" s="523">
        <v>3</v>
      </c>
      <c r="M563" s="525" t="s">
        <v>12638</v>
      </c>
    </row>
    <row r="564" spans="1:13" ht="11.1" customHeight="1">
      <c r="A564" s="501" t="s">
        <v>13403</v>
      </c>
      <c r="B564" s="516" t="s">
        <v>12602</v>
      </c>
      <c r="C564" s="515">
        <v>101484</v>
      </c>
      <c r="D564" s="503">
        <v>46.215850665112235</v>
      </c>
      <c r="E564" s="504">
        <v>97.537627587797701</v>
      </c>
      <c r="F564" s="512" t="s">
        <v>6233</v>
      </c>
      <c r="G564" s="512" t="s">
        <v>12312</v>
      </c>
      <c r="H564" s="526">
        <v>46</v>
      </c>
      <c r="I564" s="512" t="s">
        <v>6253</v>
      </c>
      <c r="J564" s="512" t="s">
        <v>11994</v>
      </c>
      <c r="K564" s="512" t="s">
        <v>6209</v>
      </c>
      <c r="L564" s="512">
        <v>1</v>
      </c>
      <c r="M564" s="308">
        <v>0</v>
      </c>
    </row>
    <row r="565" spans="1:13" ht="11.1" customHeight="1" thickBot="1">
      <c r="A565" s="527" t="s">
        <v>13404</v>
      </c>
      <c r="B565" s="528" t="s">
        <v>6231</v>
      </c>
      <c r="C565" s="529">
        <v>14057</v>
      </c>
      <c r="D565" s="530">
        <v>6.401562934053473</v>
      </c>
      <c r="E565" s="531">
        <v>13.51037041308652</v>
      </c>
      <c r="F565" s="532" t="s">
        <v>6233</v>
      </c>
      <c r="G565" s="532" t="s">
        <v>7526</v>
      </c>
      <c r="H565" s="533">
        <v>49</v>
      </c>
      <c r="I565" s="532" t="s">
        <v>6264</v>
      </c>
      <c r="J565" s="532">
        <v>0</v>
      </c>
      <c r="K565" s="532" t="s">
        <v>6283</v>
      </c>
      <c r="L565" s="532">
        <v>1</v>
      </c>
      <c r="M565" s="347">
        <v>0</v>
      </c>
    </row>
    <row r="566" spans="1:13" ht="11.1" customHeight="1">
      <c r="A566" s="493" t="s">
        <v>13405</v>
      </c>
      <c r="B566" s="494" t="s">
        <v>12590</v>
      </c>
      <c r="C566" s="540">
        <v>97617</v>
      </c>
      <c r="D566" s="496">
        <v>54.203059496376909</v>
      </c>
      <c r="E566" s="497" t="s">
        <v>6251</v>
      </c>
      <c r="F566" s="498" t="s">
        <v>6233</v>
      </c>
      <c r="G566" s="498" t="s">
        <v>12314</v>
      </c>
      <c r="H566" s="499">
        <v>55</v>
      </c>
      <c r="I566" s="498" t="s">
        <v>6253</v>
      </c>
      <c r="J566" s="498" t="s">
        <v>12007</v>
      </c>
      <c r="K566" s="498" t="s">
        <v>6209</v>
      </c>
      <c r="L566" s="498">
        <v>3</v>
      </c>
      <c r="M566" s="500" t="s">
        <v>6154</v>
      </c>
    </row>
    <row r="567" spans="1:13" ht="11.1" customHeight="1">
      <c r="A567" s="501" t="s">
        <v>13406</v>
      </c>
      <c r="B567" s="280" t="s">
        <v>6230</v>
      </c>
      <c r="C567" s="515">
        <v>64968</v>
      </c>
      <c r="D567" s="503">
        <v>36.074294122546434</v>
      </c>
      <c r="E567" s="504">
        <v>66.553981376194727</v>
      </c>
      <c r="F567" s="278" t="s">
        <v>6233</v>
      </c>
      <c r="G567" s="278" t="s">
        <v>13407</v>
      </c>
      <c r="H567" s="505">
        <v>59</v>
      </c>
      <c r="I567" s="278" t="s">
        <v>6257</v>
      </c>
      <c r="J567" s="278" t="s">
        <v>12621</v>
      </c>
      <c r="K567" s="278" t="s">
        <v>6209</v>
      </c>
      <c r="L567" s="278">
        <v>1</v>
      </c>
      <c r="M567" s="308" t="s">
        <v>12638</v>
      </c>
    </row>
    <row r="568" spans="1:13" ht="11.1" customHeight="1">
      <c r="A568" s="501" t="s">
        <v>13408</v>
      </c>
      <c r="B568" s="280" t="s">
        <v>6231</v>
      </c>
      <c r="C568" s="515">
        <v>17510</v>
      </c>
      <c r="D568" s="503">
        <v>9.7226463810766539</v>
      </c>
      <c r="E568" s="504" t="s">
        <v>6262</v>
      </c>
      <c r="F568" s="278">
        <v>0</v>
      </c>
      <c r="G568" s="278" t="s">
        <v>7534</v>
      </c>
      <c r="H568" s="505">
        <v>53</v>
      </c>
      <c r="I568" s="278" t="s">
        <v>6264</v>
      </c>
      <c r="J568" s="278">
        <v>0</v>
      </c>
      <c r="K568" s="278" t="s">
        <v>6036</v>
      </c>
      <c r="L568" s="278">
        <v>0</v>
      </c>
      <c r="M568" s="308">
        <v>0</v>
      </c>
    </row>
    <row r="569" spans="1:13" ht="11.1" customHeight="1">
      <c r="A569" s="507" t="s">
        <v>13409</v>
      </c>
      <c r="B569" s="508" t="s">
        <v>12590</v>
      </c>
      <c r="C569" s="509">
        <v>115674</v>
      </c>
      <c r="D569" s="510">
        <v>61.014964421915465</v>
      </c>
      <c r="E569" s="511" t="s">
        <v>6251</v>
      </c>
      <c r="F569" s="514" t="s">
        <v>6233</v>
      </c>
      <c r="G569" s="514" t="s">
        <v>7540</v>
      </c>
      <c r="H569" s="513">
        <v>37</v>
      </c>
      <c r="I569" s="514" t="s">
        <v>6253</v>
      </c>
      <c r="J569" s="514" t="s">
        <v>12007</v>
      </c>
      <c r="K569" s="514" t="s">
        <v>6209</v>
      </c>
      <c r="L569" s="514">
        <v>2</v>
      </c>
      <c r="M569" s="341">
        <v>0</v>
      </c>
    </row>
    <row r="570" spans="1:13" ht="11.1" customHeight="1">
      <c r="A570" s="501" t="s">
        <v>13410</v>
      </c>
      <c r="B570" s="280" t="s">
        <v>6230</v>
      </c>
      <c r="C570" s="515">
        <v>56472</v>
      </c>
      <c r="D570" s="503">
        <v>29.787480945021443</v>
      </c>
      <c r="E570" s="504">
        <v>48.819959541469991</v>
      </c>
      <c r="F570" s="278" t="s">
        <v>6233</v>
      </c>
      <c r="G570" s="278" t="s">
        <v>13411</v>
      </c>
      <c r="H570" s="505">
        <v>30</v>
      </c>
      <c r="I570" s="278" t="s">
        <v>6257</v>
      </c>
      <c r="J570" s="278" t="s">
        <v>12617</v>
      </c>
      <c r="K570" s="278" t="s">
        <v>6036</v>
      </c>
      <c r="L570" s="278">
        <v>0</v>
      </c>
      <c r="M570" s="308" t="s">
        <v>12622</v>
      </c>
    </row>
    <row r="571" spans="1:13" ht="11.1" customHeight="1">
      <c r="A571" s="501" t="s">
        <v>13412</v>
      </c>
      <c r="B571" s="280" t="s">
        <v>6231</v>
      </c>
      <c r="C571" s="515">
        <v>17437</v>
      </c>
      <c r="D571" s="503">
        <v>9.197554633063092</v>
      </c>
      <c r="E571" s="504" t="s">
        <v>6262</v>
      </c>
      <c r="F571" s="278">
        <v>0</v>
      </c>
      <c r="G571" s="278" t="s">
        <v>13413</v>
      </c>
      <c r="H571" s="505">
        <v>40</v>
      </c>
      <c r="I571" s="278" t="s">
        <v>6264</v>
      </c>
      <c r="J571" s="278">
        <v>0</v>
      </c>
      <c r="K571" s="278" t="s">
        <v>6036</v>
      </c>
      <c r="L571" s="278">
        <v>0</v>
      </c>
      <c r="M571" s="308">
        <v>0</v>
      </c>
    </row>
    <row r="572" spans="1:13" ht="11.1" customHeight="1">
      <c r="A572" s="507" t="s">
        <v>13414</v>
      </c>
      <c r="B572" s="508" t="s">
        <v>12590</v>
      </c>
      <c r="C572" s="509">
        <v>105017</v>
      </c>
      <c r="D572" s="510">
        <v>53.654013181423387</v>
      </c>
      <c r="E572" s="511" t="s">
        <v>6251</v>
      </c>
      <c r="F572" s="514" t="s">
        <v>6233</v>
      </c>
      <c r="G572" s="514" t="s">
        <v>7548</v>
      </c>
      <c r="H572" s="513">
        <v>45</v>
      </c>
      <c r="I572" s="514" t="s">
        <v>6253</v>
      </c>
      <c r="J572" s="514" t="s">
        <v>12000</v>
      </c>
      <c r="K572" s="514" t="s">
        <v>6209</v>
      </c>
      <c r="L572" s="514">
        <v>2</v>
      </c>
      <c r="M572" s="341">
        <v>0</v>
      </c>
    </row>
    <row r="573" spans="1:13" ht="11.1" customHeight="1">
      <c r="A573" s="501" t="s">
        <v>13415</v>
      </c>
      <c r="B573" s="280" t="s">
        <v>6230</v>
      </c>
      <c r="C573" s="515">
        <v>72035</v>
      </c>
      <c r="D573" s="503">
        <v>36.803249374137842</v>
      </c>
      <c r="E573" s="504">
        <v>68.593656265176108</v>
      </c>
      <c r="F573" s="278" t="s">
        <v>6233</v>
      </c>
      <c r="G573" s="278" t="s">
        <v>13416</v>
      </c>
      <c r="H573" s="505">
        <v>42</v>
      </c>
      <c r="I573" s="278" t="s">
        <v>6257</v>
      </c>
      <c r="J573" s="278" t="s">
        <v>12635</v>
      </c>
      <c r="K573" s="278" t="s">
        <v>6209</v>
      </c>
      <c r="L573" s="278">
        <v>2</v>
      </c>
      <c r="M573" s="308" t="s">
        <v>12638</v>
      </c>
    </row>
    <row r="574" spans="1:13" ht="11.1" customHeight="1">
      <c r="A574" s="501" t="s">
        <v>13417</v>
      </c>
      <c r="B574" s="280" t="s">
        <v>6231</v>
      </c>
      <c r="C574" s="515">
        <v>18678</v>
      </c>
      <c r="D574" s="503">
        <v>9.5427374444387674</v>
      </c>
      <c r="E574" s="504" t="s">
        <v>6262</v>
      </c>
      <c r="F574" s="278">
        <v>0</v>
      </c>
      <c r="G574" s="278" t="s">
        <v>12317</v>
      </c>
      <c r="H574" s="505">
        <v>38</v>
      </c>
      <c r="I574" s="278" t="s">
        <v>6264</v>
      </c>
      <c r="J574" s="278">
        <v>0</v>
      </c>
      <c r="K574" s="278" t="s">
        <v>6036</v>
      </c>
      <c r="L574" s="278">
        <v>0</v>
      </c>
      <c r="M574" s="308">
        <v>0</v>
      </c>
    </row>
    <row r="575" spans="1:13" ht="11.1" customHeight="1">
      <c r="A575" s="507" t="s">
        <v>13418</v>
      </c>
      <c r="B575" s="508" t="s">
        <v>12590</v>
      </c>
      <c r="C575" s="509">
        <v>84919</v>
      </c>
      <c r="D575" s="510">
        <v>44.031193450205073</v>
      </c>
      <c r="E575" s="511" t="s">
        <v>6251</v>
      </c>
      <c r="F575" s="514" t="s">
        <v>6233</v>
      </c>
      <c r="G575" s="514" t="s">
        <v>12319</v>
      </c>
      <c r="H575" s="513">
        <v>45</v>
      </c>
      <c r="I575" s="514" t="s">
        <v>6253</v>
      </c>
      <c r="J575" s="514" t="s">
        <v>12007</v>
      </c>
      <c r="K575" s="514" t="s">
        <v>6209</v>
      </c>
      <c r="L575" s="514">
        <v>1</v>
      </c>
      <c r="M575" s="341">
        <v>0</v>
      </c>
    </row>
    <row r="576" spans="1:13" ht="11.1" customHeight="1">
      <c r="A576" s="501" t="s">
        <v>13419</v>
      </c>
      <c r="B576" s="516" t="s">
        <v>12602</v>
      </c>
      <c r="C576" s="515">
        <v>79749</v>
      </c>
      <c r="D576" s="503">
        <v>41.350506323206872</v>
      </c>
      <c r="E576" s="504">
        <v>93.911845405621833</v>
      </c>
      <c r="F576" s="517" t="s">
        <v>6233</v>
      </c>
      <c r="G576" s="517" t="s">
        <v>13420</v>
      </c>
      <c r="H576" s="518">
        <v>42</v>
      </c>
      <c r="I576" s="517" t="s">
        <v>6257</v>
      </c>
      <c r="J576" s="517" t="s">
        <v>12617</v>
      </c>
      <c r="K576" s="517" t="s">
        <v>6036</v>
      </c>
      <c r="L576" s="517">
        <v>0</v>
      </c>
      <c r="M576" s="308" t="s">
        <v>12638</v>
      </c>
    </row>
    <row r="577" spans="1:13" ht="11.1" customHeight="1">
      <c r="A577" s="501" t="s">
        <v>13421</v>
      </c>
      <c r="B577" s="280"/>
      <c r="C577" s="515">
        <v>28193</v>
      </c>
      <c r="D577" s="503">
        <v>14.618300226588062</v>
      </c>
      <c r="E577" s="504">
        <v>33.199872819981394</v>
      </c>
      <c r="F577" s="278" t="s">
        <v>6233</v>
      </c>
      <c r="G577" s="278" t="s">
        <v>7560</v>
      </c>
      <c r="H577" s="505">
        <v>56</v>
      </c>
      <c r="I577" s="278" t="s">
        <v>6264</v>
      </c>
      <c r="J577" s="278">
        <v>0</v>
      </c>
      <c r="K577" s="278" t="s">
        <v>6209</v>
      </c>
      <c r="L577" s="278">
        <v>2</v>
      </c>
      <c r="M577" s="308">
        <v>0</v>
      </c>
    </row>
    <row r="578" spans="1:13" ht="11.1" customHeight="1">
      <c r="A578" s="507" t="s">
        <v>13422</v>
      </c>
      <c r="B578" s="508" t="s">
        <v>12590</v>
      </c>
      <c r="C578" s="509">
        <v>104346</v>
      </c>
      <c r="D578" s="510">
        <v>49.390114025247435</v>
      </c>
      <c r="E578" s="511" t="s">
        <v>6251</v>
      </c>
      <c r="F578" s="514" t="s">
        <v>6233</v>
      </c>
      <c r="G578" s="514" t="s">
        <v>7564</v>
      </c>
      <c r="H578" s="513">
        <v>55</v>
      </c>
      <c r="I578" s="514" t="s">
        <v>6253</v>
      </c>
      <c r="J578" s="514" t="s">
        <v>11989</v>
      </c>
      <c r="K578" s="514" t="s">
        <v>6209</v>
      </c>
      <c r="L578" s="514">
        <v>4</v>
      </c>
      <c r="M578" s="341">
        <v>0</v>
      </c>
    </row>
    <row r="579" spans="1:13" ht="11.1" customHeight="1">
      <c r="A579" s="501" t="s">
        <v>13423</v>
      </c>
      <c r="B579" s="280" t="s">
        <v>6230</v>
      </c>
      <c r="C579" s="515">
        <v>90668</v>
      </c>
      <c r="D579" s="503">
        <v>42.915903421704087</v>
      </c>
      <c r="E579" s="504">
        <v>86.891687271193916</v>
      </c>
      <c r="F579" s="278" t="s">
        <v>6233</v>
      </c>
      <c r="G579" s="278" t="s">
        <v>12321</v>
      </c>
      <c r="H579" s="505">
        <v>48</v>
      </c>
      <c r="I579" s="278" t="s">
        <v>6257</v>
      </c>
      <c r="J579" s="278" t="s">
        <v>12621</v>
      </c>
      <c r="K579" s="278" t="s">
        <v>6209</v>
      </c>
      <c r="L579" s="278">
        <v>2</v>
      </c>
      <c r="M579" s="308" t="s">
        <v>12638</v>
      </c>
    </row>
    <row r="580" spans="1:13" ht="11.1" customHeight="1">
      <c r="A580" s="501" t="s">
        <v>13424</v>
      </c>
      <c r="B580" s="280" t="s">
        <v>6231</v>
      </c>
      <c r="C580" s="515">
        <v>16255</v>
      </c>
      <c r="D580" s="503">
        <v>7.6939825530484836</v>
      </c>
      <c r="E580" s="504" t="s">
        <v>6262</v>
      </c>
      <c r="F580" s="278">
        <v>0</v>
      </c>
      <c r="G580" s="278" t="s">
        <v>13425</v>
      </c>
      <c r="H580" s="505">
        <v>48</v>
      </c>
      <c r="I580" s="278" t="s">
        <v>6264</v>
      </c>
      <c r="J580" s="278">
        <v>0</v>
      </c>
      <c r="K580" s="278" t="s">
        <v>6036</v>
      </c>
      <c r="L580" s="278">
        <v>0</v>
      </c>
      <c r="M580" s="308">
        <v>0</v>
      </c>
    </row>
    <row r="581" spans="1:13" ht="11.1" customHeight="1">
      <c r="A581" s="507" t="s">
        <v>13426</v>
      </c>
      <c r="B581" s="508" t="s">
        <v>12590</v>
      </c>
      <c r="C581" s="509">
        <v>97776</v>
      </c>
      <c r="D581" s="510">
        <v>44.216324260280103</v>
      </c>
      <c r="E581" s="511" t="s">
        <v>6251</v>
      </c>
      <c r="F581" s="514" t="s">
        <v>6233</v>
      </c>
      <c r="G581" s="514" t="s">
        <v>12322</v>
      </c>
      <c r="H581" s="513">
        <v>43</v>
      </c>
      <c r="I581" s="514" t="s">
        <v>6253</v>
      </c>
      <c r="J581" s="514" t="s">
        <v>12007</v>
      </c>
      <c r="K581" s="514" t="s">
        <v>6209</v>
      </c>
      <c r="L581" s="514">
        <v>1</v>
      </c>
      <c r="M581" s="341">
        <v>0</v>
      </c>
    </row>
    <row r="582" spans="1:13" ht="11.1" customHeight="1">
      <c r="A582" s="501" t="s">
        <v>13427</v>
      </c>
      <c r="B582" s="280" t="s">
        <v>6230</v>
      </c>
      <c r="C582" s="515">
        <v>80700</v>
      </c>
      <c r="D582" s="503">
        <v>36.494204792634228</v>
      </c>
      <c r="E582" s="504">
        <v>82.535591556210107</v>
      </c>
      <c r="F582" s="278" t="s">
        <v>6233</v>
      </c>
      <c r="G582" s="278" t="s">
        <v>7572</v>
      </c>
      <c r="H582" s="505">
        <v>30</v>
      </c>
      <c r="I582" s="278" t="s">
        <v>6257</v>
      </c>
      <c r="J582" s="278" t="s">
        <v>12028</v>
      </c>
      <c r="K582" s="278" t="s">
        <v>6036</v>
      </c>
      <c r="L582" s="278">
        <v>0</v>
      </c>
      <c r="M582" s="308">
        <v>0</v>
      </c>
    </row>
    <row r="583" spans="1:13" ht="11.1" customHeight="1">
      <c r="A583" s="501" t="s">
        <v>13428</v>
      </c>
      <c r="B583" s="280"/>
      <c r="C583" s="515">
        <v>22131</v>
      </c>
      <c r="D583" s="503">
        <v>10.008094749266272</v>
      </c>
      <c r="E583" s="504" t="s">
        <v>6262</v>
      </c>
      <c r="F583" s="278">
        <v>0</v>
      </c>
      <c r="G583" s="278" t="s">
        <v>13429</v>
      </c>
      <c r="H583" s="505">
        <v>51</v>
      </c>
      <c r="I583" s="278" t="s">
        <v>12757</v>
      </c>
      <c r="J583" s="278">
        <v>0</v>
      </c>
      <c r="K583" s="278" t="s">
        <v>6283</v>
      </c>
      <c r="L583" s="278">
        <v>1</v>
      </c>
      <c r="M583" s="308">
        <v>0</v>
      </c>
    </row>
    <row r="584" spans="1:13" ht="11.1" customHeight="1">
      <c r="A584" s="501" t="s">
        <v>13430</v>
      </c>
      <c r="B584" s="280" t="s">
        <v>6231</v>
      </c>
      <c r="C584" s="515">
        <v>20524</v>
      </c>
      <c r="D584" s="503">
        <v>9.2813761978193927</v>
      </c>
      <c r="E584" s="504" t="s">
        <v>6262</v>
      </c>
      <c r="F584" s="278">
        <v>0</v>
      </c>
      <c r="G584" s="278" t="s">
        <v>12323</v>
      </c>
      <c r="H584" s="505">
        <v>53</v>
      </c>
      <c r="I584" s="278" t="s">
        <v>6264</v>
      </c>
      <c r="J584" s="278">
        <v>0</v>
      </c>
      <c r="K584" s="278" t="s">
        <v>6036</v>
      </c>
      <c r="L584" s="278">
        <v>0</v>
      </c>
      <c r="M584" s="308">
        <v>0</v>
      </c>
    </row>
    <row r="585" spans="1:13" ht="11.1" customHeight="1">
      <c r="A585" s="507" t="s">
        <v>13431</v>
      </c>
      <c r="B585" s="508" t="s">
        <v>12590</v>
      </c>
      <c r="C585" s="509">
        <v>102710</v>
      </c>
      <c r="D585" s="510">
        <v>44.077950725048169</v>
      </c>
      <c r="E585" s="511" t="s">
        <v>6251</v>
      </c>
      <c r="F585" s="514" t="s">
        <v>6233</v>
      </c>
      <c r="G585" s="514" t="s">
        <v>12324</v>
      </c>
      <c r="H585" s="513">
        <v>39</v>
      </c>
      <c r="I585" s="514" t="s">
        <v>6253</v>
      </c>
      <c r="J585" s="514" t="s">
        <v>12007</v>
      </c>
      <c r="K585" s="514" t="s">
        <v>6209</v>
      </c>
      <c r="L585" s="514">
        <v>1</v>
      </c>
      <c r="M585" s="341">
        <v>0</v>
      </c>
    </row>
    <row r="586" spans="1:13" ht="11.1" customHeight="1">
      <c r="A586" s="501" t="s">
        <v>13432</v>
      </c>
      <c r="B586" s="516" t="s">
        <v>12602</v>
      </c>
      <c r="C586" s="515">
        <v>93882</v>
      </c>
      <c r="D586" s="503">
        <v>40.289418459438927</v>
      </c>
      <c r="E586" s="504">
        <v>91.404926492065044</v>
      </c>
      <c r="F586" s="517" t="s">
        <v>6233</v>
      </c>
      <c r="G586" s="517" t="s">
        <v>13433</v>
      </c>
      <c r="H586" s="518">
        <v>62</v>
      </c>
      <c r="I586" s="517" t="s">
        <v>6257</v>
      </c>
      <c r="J586" s="517" t="s">
        <v>12635</v>
      </c>
      <c r="K586" s="517" t="s">
        <v>6209</v>
      </c>
      <c r="L586" s="517">
        <v>8</v>
      </c>
      <c r="M586" s="308" t="s">
        <v>12622</v>
      </c>
    </row>
    <row r="587" spans="1:13" ht="11.1" customHeight="1">
      <c r="A587" s="501" t="s">
        <v>13434</v>
      </c>
      <c r="B587" s="280" t="s">
        <v>6231</v>
      </c>
      <c r="C587" s="515">
        <v>20172</v>
      </c>
      <c r="D587" s="503">
        <v>8.6568048099082056</v>
      </c>
      <c r="E587" s="504">
        <v>19.639762437932042</v>
      </c>
      <c r="F587" s="278" t="s">
        <v>6233</v>
      </c>
      <c r="G587" s="278" t="s">
        <v>13435</v>
      </c>
      <c r="H587" s="505">
        <v>51</v>
      </c>
      <c r="I587" s="278" t="s">
        <v>6278</v>
      </c>
      <c r="J587" s="278">
        <v>0</v>
      </c>
      <c r="K587" s="278" t="s">
        <v>6209</v>
      </c>
      <c r="L587" s="278">
        <v>1</v>
      </c>
      <c r="M587" s="308">
        <v>0</v>
      </c>
    </row>
    <row r="588" spans="1:13" ht="11.1" customHeight="1">
      <c r="A588" s="501" t="s">
        <v>13436</v>
      </c>
      <c r="B588" s="280" t="s">
        <v>6231</v>
      </c>
      <c r="C588" s="515">
        <v>16255</v>
      </c>
      <c r="D588" s="503">
        <v>6.9758260056046932</v>
      </c>
      <c r="E588" s="504" t="s">
        <v>6262</v>
      </c>
      <c r="F588" s="278">
        <v>0</v>
      </c>
      <c r="G588" s="278" t="s">
        <v>12325</v>
      </c>
      <c r="H588" s="505">
        <v>41</v>
      </c>
      <c r="I588" s="278" t="s">
        <v>6264</v>
      </c>
      <c r="J588" s="278">
        <v>0</v>
      </c>
      <c r="K588" s="278" t="s">
        <v>6036</v>
      </c>
      <c r="L588" s="278">
        <v>0</v>
      </c>
      <c r="M588" s="308">
        <v>0</v>
      </c>
    </row>
    <row r="589" spans="1:13" ht="11.1" customHeight="1">
      <c r="A589" s="507" t="s">
        <v>13437</v>
      </c>
      <c r="B589" s="508" t="s">
        <v>12590</v>
      </c>
      <c r="C589" s="509">
        <v>127411</v>
      </c>
      <c r="D589" s="510">
        <v>54.017009225342562</v>
      </c>
      <c r="E589" s="511" t="s">
        <v>6251</v>
      </c>
      <c r="F589" s="514" t="s">
        <v>6233</v>
      </c>
      <c r="G589" s="514" t="s">
        <v>12326</v>
      </c>
      <c r="H589" s="513">
        <v>42</v>
      </c>
      <c r="I589" s="514" t="s">
        <v>6253</v>
      </c>
      <c r="J589" s="514" t="s">
        <v>11994</v>
      </c>
      <c r="K589" s="514" t="s">
        <v>6209</v>
      </c>
      <c r="L589" s="514">
        <v>1</v>
      </c>
      <c r="M589" s="341">
        <v>0</v>
      </c>
    </row>
    <row r="590" spans="1:13" ht="11.1" customHeight="1">
      <c r="A590" s="501" t="s">
        <v>13438</v>
      </c>
      <c r="B590" s="280" t="s">
        <v>6230</v>
      </c>
      <c r="C590" s="515">
        <v>92245</v>
      </c>
      <c r="D590" s="503">
        <v>39.1080755664089</v>
      </c>
      <c r="E590" s="504" t="s">
        <v>6262</v>
      </c>
      <c r="F590" s="278">
        <v>0</v>
      </c>
      <c r="G590" s="278" t="s">
        <v>13439</v>
      </c>
      <c r="H590" s="505">
        <v>76</v>
      </c>
      <c r="I590" s="278" t="s">
        <v>6257</v>
      </c>
      <c r="J590" s="278" t="s">
        <v>12621</v>
      </c>
      <c r="K590" s="278" t="s">
        <v>6209</v>
      </c>
      <c r="L590" s="278">
        <v>1</v>
      </c>
      <c r="M590" s="308" t="s">
        <v>12638</v>
      </c>
    </row>
    <row r="591" spans="1:13" ht="11.1" customHeight="1">
      <c r="A591" s="501" t="s">
        <v>13440</v>
      </c>
      <c r="B591" s="280" t="s">
        <v>6231</v>
      </c>
      <c r="C591" s="515">
        <v>16216</v>
      </c>
      <c r="D591" s="503">
        <v>6.8749152082485416</v>
      </c>
      <c r="E591" s="504" t="s">
        <v>6262</v>
      </c>
      <c r="F591" s="278">
        <v>0</v>
      </c>
      <c r="G591" s="278" t="s">
        <v>12329</v>
      </c>
      <c r="H591" s="505">
        <v>62</v>
      </c>
      <c r="I591" s="278" t="s">
        <v>6264</v>
      </c>
      <c r="J591" s="278">
        <v>0</v>
      </c>
      <c r="K591" s="278" t="s">
        <v>6036</v>
      </c>
      <c r="L591" s="278">
        <v>0</v>
      </c>
      <c r="M591" s="308">
        <v>0</v>
      </c>
    </row>
    <row r="592" spans="1:13" ht="11.1" customHeight="1">
      <c r="A592" s="507" t="s">
        <v>13441</v>
      </c>
      <c r="B592" s="575" t="s">
        <v>12590</v>
      </c>
      <c r="C592" s="576">
        <v>104075</v>
      </c>
      <c r="D592" s="577">
        <v>44.589493888358106</v>
      </c>
      <c r="E592" s="578" t="s">
        <v>6262</v>
      </c>
      <c r="F592" s="579">
        <v>0</v>
      </c>
      <c r="G592" s="579" t="s">
        <v>7594</v>
      </c>
      <c r="H592" s="580">
        <v>72</v>
      </c>
      <c r="I592" s="579" t="s">
        <v>12757</v>
      </c>
      <c r="J592" s="579">
        <v>0</v>
      </c>
      <c r="K592" s="579" t="s">
        <v>6209</v>
      </c>
      <c r="L592" s="579">
        <v>14</v>
      </c>
      <c r="M592" s="581" t="s">
        <v>12758</v>
      </c>
    </row>
    <row r="593" spans="1:13" ht="11.1" customHeight="1">
      <c r="A593" s="501" t="s">
        <v>13442</v>
      </c>
      <c r="B593" s="516" t="s">
        <v>12602</v>
      </c>
      <c r="C593" s="515">
        <v>92554</v>
      </c>
      <c r="D593" s="503">
        <v>39.653480829623788</v>
      </c>
      <c r="E593" s="504">
        <v>88.930098486668271</v>
      </c>
      <c r="F593" s="512" t="s">
        <v>6233</v>
      </c>
      <c r="G593" s="512" t="s">
        <v>7592</v>
      </c>
      <c r="H593" s="526">
        <v>32</v>
      </c>
      <c r="I593" s="512" t="s">
        <v>6253</v>
      </c>
      <c r="J593" s="512" t="s">
        <v>12007</v>
      </c>
      <c r="K593" s="512" t="s">
        <v>6036</v>
      </c>
      <c r="L593" s="512">
        <v>0</v>
      </c>
      <c r="M593" s="308">
        <v>0</v>
      </c>
    </row>
    <row r="594" spans="1:13" ht="11.1" customHeight="1">
      <c r="A594" s="501" t="s">
        <v>13443</v>
      </c>
      <c r="B594" s="280" t="s">
        <v>6231</v>
      </c>
      <c r="C594" s="515">
        <v>20565</v>
      </c>
      <c r="D594" s="503">
        <v>8.8107897363832279</v>
      </c>
      <c r="E594" s="504" t="s">
        <v>6262</v>
      </c>
      <c r="F594" s="278">
        <v>0</v>
      </c>
      <c r="G594" s="278" t="s">
        <v>12333</v>
      </c>
      <c r="H594" s="505">
        <v>34</v>
      </c>
      <c r="I594" s="278" t="s">
        <v>6322</v>
      </c>
      <c r="J594" s="278" t="s">
        <v>6760</v>
      </c>
      <c r="K594" s="278" t="s">
        <v>6036</v>
      </c>
      <c r="L594" s="278">
        <v>0</v>
      </c>
      <c r="M594" s="308">
        <v>0</v>
      </c>
    </row>
    <row r="595" spans="1:13" ht="11.1" customHeight="1">
      <c r="A595" s="501" t="s">
        <v>13444</v>
      </c>
      <c r="B595" s="280" t="s">
        <v>6231</v>
      </c>
      <c r="C595" s="515">
        <v>16213</v>
      </c>
      <c r="D595" s="503">
        <v>6.9462355456348783</v>
      </c>
      <c r="E595" s="504" t="s">
        <v>6262</v>
      </c>
      <c r="F595" s="278">
        <v>0</v>
      </c>
      <c r="G595" s="278" t="s">
        <v>12331</v>
      </c>
      <c r="H595" s="505">
        <v>57</v>
      </c>
      <c r="I595" s="278" t="s">
        <v>6264</v>
      </c>
      <c r="J595" s="278">
        <v>0</v>
      </c>
      <c r="K595" s="278" t="s">
        <v>6036</v>
      </c>
      <c r="L595" s="278">
        <v>0</v>
      </c>
      <c r="M595" s="308">
        <v>0</v>
      </c>
    </row>
    <row r="596" spans="1:13" ht="11.1" customHeight="1">
      <c r="A596" s="507" t="s">
        <v>13445</v>
      </c>
      <c r="B596" s="575" t="s">
        <v>12590</v>
      </c>
      <c r="C596" s="576">
        <v>107369</v>
      </c>
      <c r="D596" s="577">
        <v>45.62719383982526</v>
      </c>
      <c r="E596" s="578" t="s">
        <v>6262</v>
      </c>
      <c r="F596" s="579">
        <v>0</v>
      </c>
      <c r="G596" s="579" t="s">
        <v>7600</v>
      </c>
      <c r="H596" s="580">
        <v>60</v>
      </c>
      <c r="I596" s="579" t="s">
        <v>12757</v>
      </c>
      <c r="J596" s="579">
        <v>0</v>
      </c>
      <c r="K596" s="579" t="s">
        <v>6283</v>
      </c>
      <c r="L596" s="579">
        <v>2</v>
      </c>
      <c r="M596" s="581" t="s">
        <v>12758</v>
      </c>
    </row>
    <row r="597" spans="1:13" ht="11.1" customHeight="1">
      <c r="A597" s="501" t="s">
        <v>13446</v>
      </c>
      <c r="B597" s="516" t="s">
        <v>12602</v>
      </c>
      <c r="C597" s="515">
        <v>106599</v>
      </c>
      <c r="D597" s="503">
        <v>45.29997705232919</v>
      </c>
      <c r="E597" s="504">
        <v>99.282847004256354</v>
      </c>
      <c r="F597" s="512" t="s">
        <v>6233</v>
      </c>
      <c r="G597" s="512" t="s">
        <v>13447</v>
      </c>
      <c r="H597" s="526">
        <v>61</v>
      </c>
      <c r="I597" s="512" t="s">
        <v>6253</v>
      </c>
      <c r="J597" s="512" t="s">
        <v>11989</v>
      </c>
      <c r="K597" s="512" t="s">
        <v>6209</v>
      </c>
      <c r="L597" s="512">
        <v>10</v>
      </c>
      <c r="M597" s="308">
        <v>0</v>
      </c>
    </row>
    <row r="598" spans="1:13" ht="11.1" customHeight="1">
      <c r="A598" s="501" t="s">
        <v>13448</v>
      </c>
      <c r="B598" s="280" t="s">
        <v>6231</v>
      </c>
      <c r="C598" s="515">
        <v>21350</v>
      </c>
      <c r="D598" s="503">
        <v>9.0728291078455534</v>
      </c>
      <c r="E598" s="504" t="s">
        <v>6262</v>
      </c>
      <c r="F598" s="278">
        <v>0</v>
      </c>
      <c r="G598" s="278" t="s">
        <v>13449</v>
      </c>
      <c r="H598" s="505">
        <v>53</v>
      </c>
      <c r="I598" s="278" t="s">
        <v>6264</v>
      </c>
      <c r="J598" s="278">
        <v>0</v>
      </c>
      <c r="K598" s="278" t="s">
        <v>6036</v>
      </c>
      <c r="L598" s="278">
        <v>0</v>
      </c>
      <c r="M598" s="308">
        <v>0</v>
      </c>
    </row>
    <row r="599" spans="1:13" ht="11.1" customHeight="1">
      <c r="A599" s="507" t="s">
        <v>13450</v>
      </c>
      <c r="B599" s="508" t="s">
        <v>12590</v>
      </c>
      <c r="C599" s="509">
        <v>181747</v>
      </c>
      <c r="D599" s="510">
        <v>89.563190522653585</v>
      </c>
      <c r="E599" s="511" t="s">
        <v>6251</v>
      </c>
      <c r="F599" s="514" t="s">
        <v>6233</v>
      </c>
      <c r="G599" s="514" t="s">
        <v>7604</v>
      </c>
      <c r="H599" s="513">
        <v>38</v>
      </c>
      <c r="I599" s="514" t="s">
        <v>6253</v>
      </c>
      <c r="J599" s="514" t="s">
        <v>12178</v>
      </c>
      <c r="K599" s="514" t="s">
        <v>6036</v>
      </c>
      <c r="L599" s="514">
        <v>0</v>
      </c>
      <c r="M599" s="341">
        <v>0</v>
      </c>
    </row>
    <row r="600" spans="1:13" ht="11.1" customHeight="1">
      <c r="A600" s="501" t="s">
        <v>13451</v>
      </c>
      <c r="B600" s="280"/>
      <c r="C600" s="515">
        <v>21179</v>
      </c>
      <c r="D600" s="503">
        <v>10.436809477346422</v>
      </c>
      <c r="E600" s="504" t="s">
        <v>6262</v>
      </c>
      <c r="F600" s="278">
        <v>0</v>
      </c>
      <c r="G600" s="278" t="s">
        <v>13452</v>
      </c>
      <c r="H600" s="505">
        <v>27</v>
      </c>
      <c r="I600" s="278" t="s">
        <v>6264</v>
      </c>
      <c r="J600" s="278">
        <v>0</v>
      </c>
      <c r="K600" s="278" t="s">
        <v>6036</v>
      </c>
      <c r="L600" s="278">
        <v>0</v>
      </c>
      <c r="M600" s="308">
        <v>0</v>
      </c>
    </row>
    <row r="601" spans="1:13" ht="11.1" customHeight="1">
      <c r="A601" s="507" t="s">
        <v>13453</v>
      </c>
      <c r="B601" s="519" t="s">
        <v>12590</v>
      </c>
      <c r="C601" s="520">
        <v>135622</v>
      </c>
      <c r="D601" s="521">
        <v>50.37515228954328</v>
      </c>
      <c r="E601" s="522" t="s">
        <v>6251</v>
      </c>
      <c r="F601" s="523" t="s">
        <v>6233</v>
      </c>
      <c r="G601" s="523" t="s">
        <v>7612</v>
      </c>
      <c r="H601" s="524">
        <v>69</v>
      </c>
      <c r="I601" s="523" t="s">
        <v>6257</v>
      </c>
      <c r="J601" s="523" t="s">
        <v>12631</v>
      </c>
      <c r="K601" s="523" t="s">
        <v>6209</v>
      </c>
      <c r="L601" s="523">
        <v>4</v>
      </c>
      <c r="M601" s="525" t="s">
        <v>12638</v>
      </c>
    </row>
    <row r="602" spans="1:13" ht="11.1" customHeight="1">
      <c r="A602" s="501" t="s">
        <v>13454</v>
      </c>
      <c r="B602" s="516" t="s">
        <v>12602</v>
      </c>
      <c r="C602" s="515">
        <v>117411</v>
      </c>
      <c r="D602" s="503">
        <v>43.610896502540633</v>
      </c>
      <c r="E602" s="504">
        <v>86.57223754258159</v>
      </c>
      <c r="F602" s="512" t="s">
        <v>6233</v>
      </c>
      <c r="G602" s="512" t="s">
        <v>7610</v>
      </c>
      <c r="H602" s="526">
        <v>41</v>
      </c>
      <c r="I602" s="512" t="s">
        <v>6253</v>
      </c>
      <c r="J602" s="512" t="s">
        <v>12007</v>
      </c>
      <c r="K602" s="512" t="s">
        <v>6036</v>
      </c>
      <c r="L602" s="512">
        <v>0</v>
      </c>
      <c r="M602" s="308">
        <v>0</v>
      </c>
    </row>
    <row r="603" spans="1:13" ht="11.1" customHeight="1">
      <c r="A603" s="501" t="s">
        <v>13455</v>
      </c>
      <c r="B603" s="280" t="s">
        <v>6231</v>
      </c>
      <c r="C603" s="515">
        <v>16191</v>
      </c>
      <c r="D603" s="503">
        <v>6.0139512079160848</v>
      </c>
      <c r="E603" s="504" t="s">
        <v>6262</v>
      </c>
      <c r="F603" s="278">
        <v>0</v>
      </c>
      <c r="G603" s="278" t="s">
        <v>13456</v>
      </c>
      <c r="H603" s="505">
        <v>55</v>
      </c>
      <c r="I603" s="278" t="s">
        <v>6264</v>
      </c>
      <c r="J603" s="278">
        <v>0</v>
      </c>
      <c r="K603" s="278" t="s">
        <v>6036</v>
      </c>
      <c r="L603" s="278">
        <v>0</v>
      </c>
      <c r="M603" s="308">
        <v>0</v>
      </c>
    </row>
    <row r="604" spans="1:13" ht="11.1" customHeight="1">
      <c r="A604" s="507" t="s">
        <v>13457</v>
      </c>
      <c r="B604" s="519" t="s">
        <v>12590</v>
      </c>
      <c r="C604" s="520">
        <v>114092</v>
      </c>
      <c r="D604" s="521">
        <v>48.441155366476032</v>
      </c>
      <c r="E604" s="522" t="s">
        <v>6251</v>
      </c>
      <c r="F604" s="523" t="s">
        <v>6233</v>
      </c>
      <c r="G604" s="523" t="s">
        <v>7618</v>
      </c>
      <c r="H604" s="524">
        <v>43</v>
      </c>
      <c r="I604" s="523" t="s">
        <v>6257</v>
      </c>
      <c r="J604" s="523" t="s">
        <v>12621</v>
      </c>
      <c r="K604" s="523" t="s">
        <v>6209</v>
      </c>
      <c r="L604" s="523">
        <v>2</v>
      </c>
      <c r="M604" s="525" t="s">
        <v>12638</v>
      </c>
    </row>
    <row r="605" spans="1:13" ht="11.1" customHeight="1">
      <c r="A605" s="501" t="s">
        <v>13458</v>
      </c>
      <c r="B605" s="516" t="s">
        <v>12602</v>
      </c>
      <c r="C605" s="515">
        <v>109670</v>
      </c>
      <c r="D605" s="503">
        <v>46.563663613938104</v>
      </c>
      <c r="E605" s="504">
        <v>96.124180485923645</v>
      </c>
      <c r="F605" s="512" t="s">
        <v>6233</v>
      </c>
      <c r="G605" s="512" t="s">
        <v>12336</v>
      </c>
      <c r="H605" s="526">
        <v>45</v>
      </c>
      <c r="I605" s="512" t="s">
        <v>6253</v>
      </c>
      <c r="J605" s="512" t="s">
        <v>12178</v>
      </c>
      <c r="K605" s="512" t="s">
        <v>6209</v>
      </c>
      <c r="L605" s="512">
        <v>2</v>
      </c>
      <c r="M605" s="308">
        <v>0</v>
      </c>
    </row>
    <row r="606" spans="1:13" ht="11.1" customHeight="1">
      <c r="A606" s="501" t="s">
        <v>13459</v>
      </c>
      <c r="B606" s="280" t="s">
        <v>6231</v>
      </c>
      <c r="C606" s="515">
        <v>11765</v>
      </c>
      <c r="D606" s="503">
        <v>4.995181019585865</v>
      </c>
      <c r="E606" s="504" t="s">
        <v>6262</v>
      </c>
      <c r="F606" s="278">
        <v>0</v>
      </c>
      <c r="G606" s="278" t="s">
        <v>13460</v>
      </c>
      <c r="H606" s="505">
        <v>61</v>
      </c>
      <c r="I606" s="278" t="s">
        <v>6264</v>
      </c>
      <c r="J606" s="278">
        <v>0</v>
      </c>
      <c r="K606" s="278" t="s">
        <v>6036</v>
      </c>
      <c r="L606" s="278">
        <v>0</v>
      </c>
      <c r="M606" s="308">
        <v>0</v>
      </c>
    </row>
    <row r="607" spans="1:13" ht="11.1" customHeight="1">
      <c r="A607" s="507" t="s">
        <v>13461</v>
      </c>
      <c r="B607" s="508" t="s">
        <v>12590</v>
      </c>
      <c r="C607" s="509">
        <v>91713</v>
      </c>
      <c r="D607" s="510">
        <v>51.954092008587921</v>
      </c>
      <c r="E607" s="511" t="s">
        <v>6251</v>
      </c>
      <c r="F607" s="514" t="s">
        <v>6233</v>
      </c>
      <c r="G607" s="514" t="s">
        <v>7622</v>
      </c>
      <c r="H607" s="513">
        <v>59</v>
      </c>
      <c r="I607" s="514" t="s">
        <v>6253</v>
      </c>
      <c r="J607" s="514" t="s">
        <v>12007</v>
      </c>
      <c r="K607" s="514" t="s">
        <v>6036</v>
      </c>
      <c r="L607" s="514">
        <v>0</v>
      </c>
      <c r="M607" s="341">
        <v>0</v>
      </c>
    </row>
    <row r="608" spans="1:13" ht="11.1" customHeight="1">
      <c r="A608" s="501" t="s">
        <v>13462</v>
      </c>
      <c r="B608" s="280" t="s">
        <v>6230</v>
      </c>
      <c r="C608" s="515">
        <v>76019</v>
      </c>
      <c r="D608" s="503">
        <v>43.063667314348514</v>
      </c>
      <c r="E608" s="504">
        <v>82.887922104827013</v>
      </c>
      <c r="F608" s="278" t="s">
        <v>6233</v>
      </c>
      <c r="G608" s="278" t="s">
        <v>13463</v>
      </c>
      <c r="H608" s="505">
        <v>65</v>
      </c>
      <c r="I608" s="278" t="s">
        <v>6257</v>
      </c>
      <c r="J608" s="278" t="s">
        <v>12975</v>
      </c>
      <c r="K608" s="278" t="s">
        <v>6209</v>
      </c>
      <c r="L608" s="278">
        <v>3</v>
      </c>
      <c r="M608" s="308" t="s">
        <v>12638</v>
      </c>
    </row>
    <row r="609" spans="1:13" ht="11.1" customHeight="1">
      <c r="A609" s="501" t="s">
        <v>13464</v>
      </c>
      <c r="B609" s="280" t="s">
        <v>6231</v>
      </c>
      <c r="C609" s="515">
        <v>8795</v>
      </c>
      <c r="D609" s="503">
        <v>4.9822406770635652</v>
      </c>
      <c r="E609" s="504" t="s">
        <v>6262</v>
      </c>
      <c r="F609" s="278">
        <v>0</v>
      </c>
      <c r="G609" s="278" t="s">
        <v>13465</v>
      </c>
      <c r="H609" s="505">
        <v>55</v>
      </c>
      <c r="I609" s="278" t="s">
        <v>6264</v>
      </c>
      <c r="J609" s="278">
        <v>0</v>
      </c>
      <c r="K609" s="278" t="s">
        <v>6036</v>
      </c>
      <c r="L609" s="278">
        <v>0</v>
      </c>
      <c r="M609" s="308">
        <v>0</v>
      </c>
    </row>
    <row r="610" spans="1:13" ht="11.1" customHeight="1">
      <c r="A610" s="507" t="s">
        <v>13466</v>
      </c>
      <c r="B610" s="519" t="s">
        <v>12590</v>
      </c>
      <c r="C610" s="520">
        <v>100443</v>
      </c>
      <c r="D610" s="521">
        <v>50.312565743996636</v>
      </c>
      <c r="E610" s="522" t="s">
        <v>6251</v>
      </c>
      <c r="F610" s="523" t="s">
        <v>6233</v>
      </c>
      <c r="G610" s="523" t="s">
        <v>7630</v>
      </c>
      <c r="H610" s="524">
        <v>56</v>
      </c>
      <c r="I610" s="523" t="s">
        <v>6257</v>
      </c>
      <c r="J610" s="523" t="s">
        <v>12631</v>
      </c>
      <c r="K610" s="523" t="s">
        <v>6209</v>
      </c>
      <c r="L610" s="523">
        <v>1</v>
      </c>
      <c r="M610" s="525" t="s">
        <v>12638</v>
      </c>
    </row>
    <row r="611" spans="1:13" ht="11.1" customHeight="1">
      <c r="A611" s="501" t="s">
        <v>13467</v>
      </c>
      <c r="B611" s="516" t="s">
        <v>12602</v>
      </c>
      <c r="C611" s="515">
        <v>84573</v>
      </c>
      <c r="D611" s="503">
        <v>42.363177351005319</v>
      </c>
      <c r="E611" s="504">
        <v>84.199994026462775</v>
      </c>
      <c r="F611" s="512" t="s">
        <v>6233</v>
      </c>
      <c r="G611" s="512" t="s">
        <v>13468</v>
      </c>
      <c r="H611" s="526">
        <v>53</v>
      </c>
      <c r="I611" s="512" t="s">
        <v>6253</v>
      </c>
      <c r="J611" s="512" t="s">
        <v>12020</v>
      </c>
      <c r="K611" s="512" t="s">
        <v>6209</v>
      </c>
      <c r="L611" s="512">
        <v>1</v>
      </c>
      <c r="M611" s="308">
        <v>0</v>
      </c>
    </row>
    <row r="612" spans="1:13" ht="11.1" customHeight="1" thickBot="1">
      <c r="A612" s="527" t="s">
        <v>13469</v>
      </c>
      <c r="B612" s="528" t="s">
        <v>6231</v>
      </c>
      <c r="C612" s="529">
        <v>14622</v>
      </c>
      <c r="D612" s="530">
        <v>7.3242569049980464</v>
      </c>
      <c r="E612" s="531" t="s">
        <v>6262</v>
      </c>
      <c r="F612" s="532">
        <v>0</v>
      </c>
      <c r="G612" s="532" t="s">
        <v>12339</v>
      </c>
      <c r="H612" s="533">
        <v>32</v>
      </c>
      <c r="I612" s="532" t="s">
        <v>6264</v>
      </c>
      <c r="J612" s="532">
        <v>0</v>
      </c>
      <c r="K612" s="532" t="s">
        <v>6036</v>
      </c>
      <c r="L612" s="532">
        <v>0</v>
      </c>
      <c r="M612" s="347">
        <v>0</v>
      </c>
    </row>
    <row r="613" spans="1:13" ht="11.1" customHeight="1">
      <c r="A613" s="493" t="s">
        <v>13470</v>
      </c>
      <c r="B613" s="534" t="s">
        <v>12590</v>
      </c>
      <c r="C613" s="535">
        <v>101911</v>
      </c>
      <c r="D613" s="536">
        <v>50.091669165245342</v>
      </c>
      <c r="E613" s="537" t="s">
        <v>6262</v>
      </c>
      <c r="F613" s="538">
        <v>0</v>
      </c>
      <c r="G613" s="538" t="s">
        <v>7638</v>
      </c>
      <c r="H613" s="539">
        <v>55</v>
      </c>
      <c r="I613" s="538" t="s">
        <v>6257</v>
      </c>
      <c r="J613" s="538" t="s">
        <v>12773</v>
      </c>
      <c r="K613" s="538" t="s">
        <v>6209</v>
      </c>
      <c r="L613" s="538">
        <v>6</v>
      </c>
      <c r="M613" s="373" t="s">
        <v>12638</v>
      </c>
    </row>
    <row r="614" spans="1:13" ht="11.1" customHeight="1">
      <c r="A614" s="501" t="s">
        <v>13471</v>
      </c>
      <c r="B614" s="516" t="s">
        <v>12602</v>
      </c>
      <c r="C614" s="515">
        <v>90381</v>
      </c>
      <c r="D614" s="503">
        <v>44.424401201283857</v>
      </c>
      <c r="E614" s="504">
        <v>88.68620659202638</v>
      </c>
      <c r="F614" s="512" t="s">
        <v>6233</v>
      </c>
      <c r="G614" s="512" t="s">
        <v>12340</v>
      </c>
      <c r="H614" s="526">
        <v>61</v>
      </c>
      <c r="I614" s="512" t="s">
        <v>6253</v>
      </c>
      <c r="J614" s="512" t="s">
        <v>12020</v>
      </c>
      <c r="K614" s="512" t="s">
        <v>6209</v>
      </c>
      <c r="L614" s="512">
        <v>8</v>
      </c>
      <c r="M614" s="308">
        <v>0</v>
      </c>
    </row>
    <row r="615" spans="1:13" ht="11.1" customHeight="1">
      <c r="A615" s="501" t="s">
        <v>13472</v>
      </c>
      <c r="B615" s="280" t="s">
        <v>6231</v>
      </c>
      <c r="C615" s="515">
        <v>11157</v>
      </c>
      <c r="D615" s="503">
        <v>5.4839296334707965</v>
      </c>
      <c r="E615" s="504" t="s">
        <v>6262</v>
      </c>
      <c r="F615" s="278">
        <v>0</v>
      </c>
      <c r="G615" s="278" t="s">
        <v>13473</v>
      </c>
      <c r="H615" s="505">
        <v>42</v>
      </c>
      <c r="I615" s="278" t="s">
        <v>6264</v>
      </c>
      <c r="J615" s="278">
        <v>0</v>
      </c>
      <c r="K615" s="278" t="s">
        <v>6036</v>
      </c>
      <c r="L615" s="278">
        <v>0</v>
      </c>
      <c r="M615" s="308">
        <v>0</v>
      </c>
    </row>
    <row r="616" spans="1:13" ht="11.1" customHeight="1">
      <c r="A616" s="507" t="s">
        <v>13474</v>
      </c>
      <c r="B616" s="508" t="s">
        <v>12590</v>
      </c>
      <c r="C616" s="509">
        <v>123449</v>
      </c>
      <c r="D616" s="510">
        <v>69.182358215646715</v>
      </c>
      <c r="E616" s="511" t="s">
        <v>6251</v>
      </c>
      <c r="F616" s="514" t="s">
        <v>6233</v>
      </c>
      <c r="G616" s="514" t="s">
        <v>7642</v>
      </c>
      <c r="H616" s="513">
        <v>53</v>
      </c>
      <c r="I616" s="514" t="s">
        <v>6253</v>
      </c>
      <c r="J616" s="514" t="s">
        <v>11994</v>
      </c>
      <c r="K616" s="514" t="s">
        <v>6209</v>
      </c>
      <c r="L616" s="514">
        <v>2</v>
      </c>
      <c r="M616" s="341">
        <v>0</v>
      </c>
    </row>
    <row r="617" spans="1:13" ht="11.1" customHeight="1">
      <c r="A617" s="501" t="s">
        <v>13475</v>
      </c>
      <c r="B617" s="280" t="s">
        <v>6230</v>
      </c>
      <c r="C617" s="515">
        <v>42430</v>
      </c>
      <c r="D617" s="503">
        <v>23.778300829410448</v>
      </c>
      <c r="E617" s="504">
        <v>34.370468776579806</v>
      </c>
      <c r="F617" s="278" t="s">
        <v>6233</v>
      </c>
      <c r="G617" s="278" t="s">
        <v>13476</v>
      </c>
      <c r="H617" s="505">
        <v>42</v>
      </c>
      <c r="I617" s="278" t="s">
        <v>6257</v>
      </c>
      <c r="J617" s="278" t="s">
        <v>12617</v>
      </c>
      <c r="K617" s="278" t="s">
        <v>6036</v>
      </c>
      <c r="L617" s="278">
        <v>0</v>
      </c>
      <c r="M617" s="308">
        <v>0</v>
      </c>
    </row>
    <row r="618" spans="1:13" ht="11.1" customHeight="1">
      <c r="A618" s="501" t="s">
        <v>13477</v>
      </c>
      <c r="B618" s="280" t="s">
        <v>6231</v>
      </c>
      <c r="C618" s="515">
        <v>12561</v>
      </c>
      <c r="D618" s="503">
        <v>7.0393409549428378</v>
      </c>
      <c r="E618" s="504" t="s">
        <v>6262</v>
      </c>
      <c r="F618" s="278">
        <v>0</v>
      </c>
      <c r="G618" s="278" t="s">
        <v>13478</v>
      </c>
      <c r="H618" s="505">
        <v>42</v>
      </c>
      <c r="I618" s="278" t="s">
        <v>6264</v>
      </c>
      <c r="J618" s="278">
        <v>0</v>
      </c>
      <c r="K618" s="278" t="s">
        <v>6036</v>
      </c>
      <c r="L618" s="278">
        <v>0</v>
      </c>
      <c r="M618" s="308">
        <v>0</v>
      </c>
    </row>
    <row r="619" spans="1:13" ht="11.1" customHeight="1">
      <c r="A619" s="507" t="s">
        <v>13479</v>
      </c>
      <c r="B619" s="508" t="s">
        <v>12590</v>
      </c>
      <c r="C619" s="509">
        <v>132109</v>
      </c>
      <c r="D619" s="510">
        <v>62.046891291483107</v>
      </c>
      <c r="E619" s="511" t="s">
        <v>6262</v>
      </c>
      <c r="F619" s="514">
        <v>0</v>
      </c>
      <c r="G619" s="514" t="s">
        <v>7650</v>
      </c>
      <c r="H619" s="513">
        <v>50</v>
      </c>
      <c r="I619" s="514" t="s">
        <v>6253</v>
      </c>
      <c r="J619" s="514" t="s">
        <v>11994</v>
      </c>
      <c r="K619" s="514" t="s">
        <v>6209</v>
      </c>
      <c r="L619" s="514">
        <v>4</v>
      </c>
      <c r="M619" s="341">
        <v>0</v>
      </c>
    </row>
    <row r="620" spans="1:13" ht="11.1" customHeight="1">
      <c r="A620" s="501" t="s">
        <v>13480</v>
      </c>
      <c r="B620" s="516" t="s">
        <v>12602</v>
      </c>
      <c r="C620" s="515">
        <v>67247</v>
      </c>
      <c r="D620" s="503">
        <v>31.583520416310506</v>
      </c>
      <c r="E620" s="504">
        <v>50.902663709512602</v>
      </c>
      <c r="F620" s="517" t="s">
        <v>6233</v>
      </c>
      <c r="G620" s="517" t="s">
        <v>7652</v>
      </c>
      <c r="H620" s="518">
        <v>55</v>
      </c>
      <c r="I620" s="517" t="s">
        <v>6257</v>
      </c>
      <c r="J620" s="517" t="s">
        <v>12621</v>
      </c>
      <c r="K620" s="517" t="s">
        <v>6036</v>
      </c>
      <c r="L620" s="517">
        <v>0</v>
      </c>
      <c r="M620" s="308">
        <v>0</v>
      </c>
    </row>
    <row r="621" spans="1:13" ht="11.1" customHeight="1">
      <c r="A621" s="501" t="s">
        <v>13481</v>
      </c>
      <c r="B621" s="280" t="s">
        <v>6231</v>
      </c>
      <c r="C621" s="515">
        <v>13562</v>
      </c>
      <c r="D621" s="503">
        <v>6.3695882922063891</v>
      </c>
      <c r="E621" s="504" t="s">
        <v>6262</v>
      </c>
      <c r="F621" s="278">
        <v>0</v>
      </c>
      <c r="G621" s="278" t="s">
        <v>12343</v>
      </c>
      <c r="H621" s="505">
        <v>52</v>
      </c>
      <c r="I621" s="278" t="s">
        <v>6264</v>
      </c>
      <c r="J621" s="278">
        <v>0</v>
      </c>
      <c r="K621" s="278" t="s">
        <v>6036</v>
      </c>
      <c r="L621" s="278">
        <v>0</v>
      </c>
      <c r="M621" s="308">
        <v>0</v>
      </c>
    </row>
    <row r="622" spans="1:13" ht="11.1" customHeight="1">
      <c r="A622" s="507" t="s">
        <v>13482</v>
      </c>
      <c r="B622" s="519" t="s">
        <v>12590</v>
      </c>
      <c r="C622" s="520">
        <v>94379</v>
      </c>
      <c r="D622" s="521">
        <v>60.380146889474624</v>
      </c>
      <c r="E622" s="522" t="s">
        <v>6251</v>
      </c>
      <c r="F622" s="523" t="s">
        <v>6233</v>
      </c>
      <c r="G622" s="523" t="s">
        <v>7658</v>
      </c>
      <c r="H622" s="524">
        <v>38</v>
      </c>
      <c r="I622" s="523" t="s">
        <v>6257</v>
      </c>
      <c r="J622" s="523" t="s">
        <v>12621</v>
      </c>
      <c r="K622" s="523" t="s">
        <v>6209</v>
      </c>
      <c r="L622" s="523">
        <v>2</v>
      </c>
      <c r="M622" s="525" t="s">
        <v>12638</v>
      </c>
    </row>
    <row r="623" spans="1:13" ht="11.1" customHeight="1">
      <c r="A623" s="501" t="s">
        <v>13483</v>
      </c>
      <c r="B623" s="516" t="s">
        <v>12602</v>
      </c>
      <c r="C623" s="515">
        <v>51168</v>
      </c>
      <c r="D623" s="503">
        <v>32.735368631164114</v>
      </c>
      <c r="E623" s="504">
        <v>54.215450470973416</v>
      </c>
      <c r="F623" s="512" t="s">
        <v>6233</v>
      </c>
      <c r="G623" s="512" t="s">
        <v>13484</v>
      </c>
      <c r="H623" s="526">
        <v>69</v>
      </c>
      <c r="I623" s="512" t="s">
        <v>6253</v>
      </c>
      <c r="J623" s="512" t="s">
        <v>11989</v>
      </c>
      <c r="K623" s="512" t="s">
        <v>6209</v>
      </c>
      <c r="L623" s="512">
        <v>4</v>
      </c>
      <c r="M623" s="308">
        <v>0</v>
      </c>
    </row>
    <row r="624" spans="1:13" ht="11.1" customHeight="1">
      <c r="A624" s="501" t="s">
        <v>13485</v>
      </c>
      <c r="B624" s="280" t="s">
        <v>6231</v>
      </c>
      <c r="C624" s="515">
        <v>10761</v>
      </c>
      <c r="D624" s="503">
        <v>6.8844844793612614</v>
      </c>
      <c r="E624" s="504" t="s">
        <v>6262</v>
      </c>
      <c r="F624" s="278">
        <v>0</v>
      </c>
      <c r="G624" s="278" t="s">
        <v>12341</v>
      </c>
      <c r="H624" s="505">
        <v>51</v>
      </c>
      <c r="I624" s="278" t="s">
        <v>6264</v>
      </c>
      <c r="J624" s="278">
        <v>0</v>
      </c>
      <c r="K624" s="278" t="s">
        <v>6036</v>
      </c>
      <c r="L624" s="278">
        <v>0</v>
      </c>
      <c r="M624" s="308">
        <v>0</v>
      </c>
    </row>
    <row r="625" spans="1:13" ht="11.1" customHeight="1">
      <c r="A625" s="507" t="s">
        <v>13486</v>
      </c>
      <c r="B625" s="519" t="s">
        <v>12590</v>
      </c>
      <c r="C625" s="520">
        <v>111840</v>
      </c>
      <c r="D625" s="521">
        <v>57.582404003583456</v>
      </c>
      <c r="E625" s="522" t="s">
        <v>6251</v>
      </c>
      <c r="F625" s="523" t="s">
        <v>6233</v>
      </c>
      <c r="G625" s="523" t="s">
        <v>7662</v>
      </c>
      <c r="H625" s="524">
        <v>52</v>
      </c>
      <c r="I625" s="523" t="s">
        <v>6257</v>
      </c>
      <c r="J625" s="523" t="s">
        <v>12631</v>
      </c>
      <c r="K625" s="523" t="s">
        <v>6036</v>
      </c>
      <c r="L625" s="523">
        <v>0</v>
      </c>
      <c r="M625" s="525" t="s">
        <v>12638</v>
      </c>
    </row>
    <row r="626" spans="1:13" ht="11.1" customHeight="1">
      <c r="A626" s="501" t="s">
        <v>13487</v>
      </c>
      <c r="B626" s="280" t="s">
        <v>6230</v>
      </c>
      <c r="C626" s="515">
        <v>71937</v>
      </c>
      <c r="D626" s="503">
        <v>37.037780729665442</v>
      </c>
      <c r="E626" s="504">
        <v>64.321351931330469</v>
      </c>
      <c r="F626" s="278" t="s">
        <v>6233</v>
      </c>
      <c r="G626" s="278" t="s">
        <v>12344</v>
      </c>
      <c r="H626" s="505">
        <v>41</v>
      </c>
      <c r="I626" s="278" t="s">
        <v>6253</v>
      </c>
      <c r="J626" s="278" t="s">
        <v>12178</v>
      </c>
      <c r="K626" s="278" t="s">
        <v>6036</v>
      </c>
      <c r="L626" s="278">
        <v>0</v>
      </c>
      <c r="M626" s="308">
        <v>0</v>
      </c>
    </row>
    <row r="627" spans="1:13" ht="11.1" customHeight="1">
      <c r="A627" s="501" t="s">
        <v>13488</v>
      </c>
      <c r="B627" s="280" t="s">
        <v>6231</v>
      </c>
      <c r="C627" s="515">
        <v>8521</v>
      </c>
      <c r="D627" s="503">
        <v>4.3871572292072125</v>
      </c>
      <c r="E627" s="504" t="s">
        <v>6262</v>
      </c>
      <c r="F627" s="278">
        <v>0</v>
      </c>
      <c r="G627" s="278" t="s">
        <v>13489</v>
      </c>
      <c r="H627" s="505">
        <v>52</v>
      </c>
      <c r="I627" s="278" t="s">
        <v>6264</v>
      </c>
      <c r="J627" s="278">
        <v>0</v>
      </c>
      <c r="K627" s="278" t="s">
        <v>6036</v>
      </c>
      <c r="L627" s="278">
        <v>0</v>
      </c>
      <c r="M627" s="308">
        <v>0</v>
      </c>
    </row>
    <row r="628" spans="1:13" ht="11.1" customHeight="1" thickBot="1">
      <c r="A628" s="527" t="s">
        <v>13490</v>
      </c>
      <c r="B628" s="528" t="s">
        <v>6231</v>
      </c>
      <c r="C628" s="529">
        <v>1928</v>
      </c>
      <c r="D628" s="530">
        <v>0.99265803754389215</v>
      </c>
      <c r="E628" s="531" t="s">
        <v>6262</v>
      </c>
      <c r="F628" s="532">
        <v>0</v>
      </c>
      <c r="G628" s="532" t="s">
        <v>13491</v>
      </c>
      <c r="H628" s="533">
        <v>71</v>
      </c>
      <c r="I628" s="532" t="s">
        <v>6322</v>
      </c>
      <c r="J628" s="532">
        <v>0</v>
      </c>
      <c r="K628" s="532" t="s">
        <v>6036</v>
      </c>
      <c r="L628" s="532">
        <v>0</v>
      </c>
      <c r="M628" s="347">
        <v>0</v>
      </c>
    </row>
    <row r="629" spans="1:13" ht="11.1" customHeight="1">
      <c r="A629" s="493" t="s">
        <v>13492</v>
      </c>
      <c r="B629" s="494" t="s">
        <v>12590</v>
      </c>
      <c r="C629" s="540">
        <v>87857</v>
      </c>
      <c r="D629" s="496">
        <v>51.020621490252559</v>
      </c>
      <c r="E629" s="497" t="s">
        <v>6251</v>
      </c>
      <c r="F629" s="498" t="s">
        <v>6233</v>
      </c>
      <c r="G629" s="498" t="s">
        <v>7668</v>
      </c>
      <c r="H629" s="499">
        <v>58</v>
      </c>
      <c r="I629" s="498" t="s">
        <v>6253</v>
      </c>
      <c r="J629" s="498" t="s">
        <v>12178</v>
      </c>
      <c r="K629" s="498" t="s">
        <v>6209</v>
      </c>
      <c r="L629" s="498">
        <v>5</v>
      </c>
      <c r="M629" s="500">
        <v>0</v>
      </c>
    </row>
    <row r="630" spans="1:13" ht="11.1" customHeight="1">
      <c r="A630" s="501" t="s">
        <v>13493</v>
      </c>
      <c r="B630" s="280" t="s">
        <v>6230</v>
      </c>
      <c r="C630" s="515">
        <v>64002</v>
      </c>
      <c r="D630" s="503">
        <v>37.167463225686561</v>
      </c>
      <c r="E630" s="504">
        <v>72.847923329956629</v>
      </c>
      <c r="F630" s="278" t="s">
        <v>6233</v>
      </c>
      <c r="G630" s="278" t="s">
        <v>7670</v>
      </c>
      <c r="H630" s="505">
        <v>38</v>
      </c>
      <c r="I630" s="278" t="s">
        <v>6257</v>
      </c>
      <c r="J630" s="278" t="s">
        <v>12617</v>
      </c>
      <c r="K630" s="278" t="s">
        <v>6036</v>
      </c>
      <c r="L630" s="278">
        <v>0</v>
      </c>
      <c r="M630" s="308" t="s">
        <v>12622</v>
      </c>
    </row>
    <row r="631" spans="1:13" ht="11.1" customHeight="1">
      <c r="A631" s="501" t="s">
        <v>13494</v>
      </c>
      <c r="B631" s="280"/>
      <c r="C631" s="515">
        <v>20340</v>
      </c>
      <c r="D631" s="503">
        <v>11.811915284060882</v>
      </c>
      <c r="E631" s="504">
        <v>23.151257156515701</v>
      </c>
      <c r="F631" s="278" t="s">
        <v>6233</v>
      </c>
      <c r="G631" s="278" t="s">
        <v>12346</v>
      </c>
      <c r="H631" s="505">
        <v>47</v>
      </c>
      <c r="I631" s="278" t="s">
        <v>6264</v>
      </c>
      <c r="J631" s="278">
        <v>0</v>
      </c>
      <c r="K631" s="278" t="s">
        <v>6036</v>
      </c>
      <c r="L631" s="278">
        <v>0</v>
      </c>
      <c r="M631" s="308">
        <v>0</v>
      </c>
    </row>
    <row r="632" spans="1:13" ht="11.1" customHeight="1">
      <c r="A632" s="507" t="s">
        <v>13495</v>
      </c>
      <c r="B632" s="508" t="s">
        <v>12590</v>
      </c>
      <c r="C632" s="509">
        <v>69620</v>
      </c>
      <c r="D632" s="510">
        <v>44.855935261069014</v>
      </c>
      <c r="E632" s="511" t="s">
        <v>6251</v>
      </c>
      <c r="F632" s="514" t="s">
        <v>6233</v>
      </c>
      <c r="G632" s="514" t="s">
        <v>7676</v>
      </c>
      <c r="H632" s="513">
        <v>41</v>
      </c>
      <c r="I632" s="514" t="s">
        <v>6253</v>
      </c>
      <c r="J632" s="514" t="s">
        <v>12000</v>
      </c>
      <c r="K632" s="514" t="s">
        <v>6036</v>
      </c>
      <c r="L632" s="514">
        <v>0</v>
      </c>
      <c r="M632" s="341">
        <v>0</v>
      </c>
    </row>
    <row r="633" spans="1:13" ht="11.1" customHeight="1">
      <c r="A633" s="501" t="s">
        <v>13496</v>
      </c>
      <c r="B633" s="516" t="s">
        <v>12602</v>
      </c>
      <c r="C633" s="515">
        <v>65033</v>
      </c>
      <c r="D633" s="503">
        <v>41.900546363589505</v>
      </c>
      <c r="E633" s="504">
        <v>93.411376041367419</v>
      </c>
      <c r="F633" s="517" t="s">
        <v>6233</v>
      </c>
      <c r="G633" s="517" t="s">
        <v>12348</v>
      </c>
      <c r="H633" s="518">
        <v>45</v>
      </c>
      <c r="I633" s="517" t="s">
        <v>6257</v>
      </c>
      <c r="J633" s="517" t="s">
        <v>12621</v>
      </c>
      <c r="K633" s="517" t="s">
        <v>6209</v>
      </c>
      <c r="L633" s="517">
        <v>1</v>
      </c>
      <c r="M633" s="308" t="s">
        <v>12638</v>
      </c>
    </row>
    <row r="634" spans="1:13" ht="11.1" customHeight="1">
      <c r="A634" s="501" t="s">
        <v>13497</v>
      </c>
      <c r="B634" s="280" t="s">
        <v>6231</v>
      </c>
      <c r="C634" s="515">
        <v>11814</v>
      </c>
      <c r="D634" s="503">
        <v>7.6117210453069433</v>
      </c>
      <c r="E634" s="504" t="s">
        <v>6262</v>
      </c>
      <c r="F634" s="278">
        <v>0</v>
      </c>
      <c r="G634" s="278" t="s">
        <v>13498</v>
      </c>
      <c r="H634" s="505">
        <v>32</v>
      </c>
      <c r="I634" s="278" t="s">
        <v>6322</v>
      </c>
      <c r="J634" s="278" t="s">
        <v>6323</v>
      </c>
      <c r="K634" s="278" t="s">
        <v>6036</v>
      </c>
      <c r="L634" s="278">
        <v>0</v>
      </c>
      <c r="M634" s="308">
        <v>0</v>
      </c>
    </row>
    <row r="635" spans="1:13" ht="11.1" customHeight="1">
      <c r="A635" s="501" t="s">
        <v>13499</v>
      </c>
      <c r="B635" s="280" t="s">
        <v>6231</v>
      </c>
      <c r="C635" s="515">
        <v>8741</v>
      </c>
      <c r="D635" s="503">
        <v>5.6317973300345345</v>
      </c>
      <c r="E635" s="504" t="s">
        <v>6262</v>
      </c>
      <c r="F635" s="278">
        <v>0</v>
      </c>
      <c r="G635" s="278" t="s">
        <v>13500</v>
      </c>
      <c r="H635" s="505">
        <v>45</v>
      </c>
      <c r="I635" s="278" t="s">
        <v>6264</v>
      </c>
      <c r="J635" s="278">
        <v>0</v>
      </c>
      <c r="K635" s="278" t="s">
        <v>6036</v>
      </c>
      <c r="L635" s="278">
        <v>0</v>
      </c>
      <c r="M635" s="308">
        <v>0</v>
      </c>
    </row>
    <row r="636" spans="1:13" ht="11.1" customHeight="1">
      <c r="A636" s="507" t="s">
        <v>13501</v>
      </c>
      <c r="B636" s="508" t="s">
        <v>12590</v>
      </c>
      <c r="C636" s="509">
        <v>64225</v>
      </c>
      <c r="D636" s="510">
        <v>48.023000194409967</v>
      </c>
      <c r="E636" s="511" t="s">
        <v>6251</v>
      </c>
      <c r="F636" s="514" t="s">
        <v>6233</v>
      </c>
      <c r="G636" s="514" t="s">
        <v>7682</v>
      </c>
      <c r="H636" s="513">
        <v>32</v>
      </c>
      <c r="I636" s="514" t="s">
        <v>6253</v>
      </c>
      <c r="J636" s="514" t="s">
        <v>12007</v>
      </c>
      <c r="K636" s="514" t="s">
        <v>6036</v>
      </c>
      <c r="L636" s="514">
        <v>0</v>
      </c>
      <c r="M636" s="341">
        <v>0</v>
      </c>
    </row>
    <row r="637" spans="1:13" ht="11.1" customHeight="1">
      <c r="A637" s="501" t="s">
        <v>13502</v>
      </c>
      <c r="B637" s="516" t="s">
        <v>12602</v>
      </c>
      <c r="C637" s="515">
        <v>57732</v>
      </c>
      <c r="D637" s="503">
        <v>43.167985165024149</v>
      </c>
      <c r="E637" s="504">
        <v>89.890229661346822</v>
      </c>
      <c r="F637" s="517" t="s">
        <v>6233</v>
      </c>
      <c r="G637" s="517" t="s">
        <v>12350</v>
      </c>
      <c r="H637" s="518">
        <v>56</v>
      </c>
      <c r="I637" s="517" t="s">
        <v>6257</v>
      </c>
      <c r="J637" s="517" t="s">
        <v>12635</v>
      </c>
      <c r="K637" s="517" t="s">
        <v>6036</v>
      </c>
      <c r="L637" s="517">
        <v>0</v>
      </c>
      <c r="M637" s="308" t="s">
        <v>12638</v>
      </c>
    </row>
    <row r="638" spans="1:13" ht="11.1" customHeight="1">
      <c r="A638" s="501" t="s">
        <v>13503</v>
      </c>
      <c r="B638" s="280" t="s">
        <v>6231</v>
      </c>
      <c r="C638" s="515">
        <v>9648</v>
      </c>
      <c r="D638" s="503">
        <v>7.2141051907460856</v>
      </c>
      <c r="E638" s="504" t="s">
        <v>6262</v>
      </c>
      <c r="F638" s="278">
        <v>0</v>
      </c>
      <c r="G638" s="278" t="s">
        <v>13504</v>
      </c>
      <c r="H638" s="505">
        <v>27</v>
      </c>
      <c r="I638" s="278" t="s">
        <v>6264</v>
      </c>
      <c r="J638" s="278">
        <v>0</v>
      </c>
      <c r="K638" s="278" t="s">
        <v>6036</v>
      </c>
      <c r="L638" s="278">
        <v>0</v>
      </c>
      <c r="M638" s="308">
        <v>0</v>
      </c>
    </row>
    <row r="639" spans="1:13" ht="11.1" customHeight="1">
      <c r="A639" s="501" t="s">
        <v>13505</v>
      </c>
      <c r="B639" s="280" t="s">
        <v>6231</v>
      </c>
      <c r="C639" s="515">
        <v>2133</v>
      </c>
      <c r="D639" s="503">
        <v>1.5949094498197969</v>
      </c>
      <c r="E639" s="504" t="s">
        <v>6262</v>
      </c>
      <c r="F639" s="278">
        <v>0</v>
      </c>
      <c r="G639" s="278" t="s">
        <v>13506</v>
      </c>
      <c r="H639" s="505">
        <v>55</v>
      </c>
      <c r="I639" s="278" t="s">
        <v>6322</v>
      </c>
      <c r="J639" s="278">
        <v>0</v>
      </c>
      <c r="K639" s="278" t="s">
        <v>6036</v>
      </c>
      <c r="L639" s="278">
        <v>0</v>
      </c>
      <c r="M639" s="308">
        <v>0</v>
      </c>
    </row>
    <row r="640" spans="1:13" ht="11.1" customHeight="1">
      <c r="A640" s="507" t="s">
        <v>13507</v>
      </c>
      <c r="B640" s="519" t="s">
        <v>12590</v>
      </c>
      <c r="C640" s="520">
        <v>83149</v>
      </c>
      <c r="D640" s="521">
        <v>46.843715317487593</v>
      </c>
      <c r="E640" s="522" t="s">
        <v>6251</v>
      </c>
      <c r="F640" s="523" t="s">
        <v>6233</v>
      </c>
      <c r="G640" s="523" t="s">
        <v>12352</v>
      </c>
      <c r="H640" s="524">
        <v>62</v>
      </c>
      <c r="I640" s="523" t="s">
        <v>6257</v>
      </c>
      <c r="J640" s="523" t="s">
        <v>12651</v>
      </c>
      <c r="K640" s="523" t="s">
        <v>6209</v>
      </c>
      <c r="L640" s="523">
        <v>2</v>
      </c>
      <c r="M640" s="525" t="s">
        <v>12638</v>
      </c>
    </row>
    <row r="641" spans="1:13" ht="11.1" customHeight="1">
      <c r="A641" s="501" t="s">
        <v>13508</v>
      </c>
      <c r="B641" s="516" t="s">
        <v>12602</v>
      </c>
      <c r="C641" s="515">
        <v>78954</v>
      </c>
      <c r="D641" s="503">
        <v>44.48037497957781</v>
      </c>
      <c r="E641" s="504">
        <v>94.954840106315174</v>
      </c>
      <c r="F641" s="512" t="s">
        <v>6233</v>
      </c>
      <c r="G641" s="512" t="s">
        <v>7690</v>
      </c>
      <c r="H641" s="526">
        <v>59</v>
      </c>
      <c r="I641" s="512" t="s">
        <v>6253</v>
      </c>
      <c r="J641" s="512" t="s">
        <v>12000</v>
      </c>
      <c r="K641" s="512" t="s">
        <v>6036</v>
      </c>
      <c r="L641" s="512">
        <v>0</v>
      </c>
      <c r="M641" s="308">
        <v>0</v>
      </c>
    </row>
    <row r="642" spans="1:13" ht="11.1" customHeight="1" thickBot="1">
      <c r="A642" s="527" t="s">
        <v>13509</v>
      </c>
      <c r="B642" s="528" t="s">
        <v>6231</v>
      </c>
      <c r="C642" s="529">
        <v>15400</v>
      </c>
      <c r="D642" s="530">
        <v>8.6759097029345984</v>
      </c>
      <c r="E642" s="531" t="s">
        <v>6262</v>
      </c>
      <c r="F642" s="532">
        <v>0</v>
      </c>
      <c r="G642" s="532" t="s">
        <v>7694</v>
      </c>
      <c r="H642" s="533">
        <v>44</v>
      </c>
      <c r="I642" s="532" t="s">
        <v>6264</v>
      </c>
      <c r="J642" s="532">
        <v>0</v>
      </c>
      <c r="K642" s="532" t="s">
        <v>6036</v>
      </c>
      <c r="L642" s="532">
        <v>0</v>
      </c>
      <c r="M642" s="347">
        <v>0</v>
      </c>
    </row>
    <row r="643" spans="1:13" ht="11.1" customHeight="1">
      <c r="A643" s="493" t="s">
        <v>13510</v>
      </c>
      <c r="B643" s="534" t="s">
        <v>12590</v>
      </c>
      <c r="C643" s="535">
        <v>83644</v>
      </c>
      <c r="D643" s="536">
        <v>42.267285856498212</v>
      </c>
      <c r="E643" s="537" t="s">
        <v>6251</v>
      </c>
      <c r="F643" s="538" t="s">
        <v>6233</v>
      </c>
      <c r="G643" s="538" t="s">
        <v>7700</v>
      </c>
      <c r="H643" s="539">
        <v>65</v>
      </c>
      <c r="I643" s="538" t="s">
        <v>6257</v>
      </c>
      <c r="J643" s="538" t="s">
        <v>12635</v>
      </c>
      <c r="K643" s="538" t="s">
        <v>6209</v>
      </c>
      <c r="L643" s="538">
        <v>6</v>
      </c>
      <c r="M643" s="373" t="s">
        <v>12638</v>
      </c>
    </row>
    <row r="644" spans="1:13" ht="11.1" customHeight="1">
      <c r="A644" s="501" t="s">
        <v>13511</v>
      </c>
      <c r="B644" s="516" t="s">
        <v>12602</v>
      </c>
      <c r="C644" s="515">
        <v>63487</v>
      </c>
      <c r="D644" s="503">
        <v>32.081478374677225</v>
      </c>
      <c r="E644" s="504">
        <v>75.901439433790827</v>
      </c>
      <c r="F644" s="512" t="s">
        <v>6233</v>
      </c>
      <c r="G644" s="512" t="s">
        <v>12353</v>
      </c>
      <c r="H644" s="526">
        <v>59</v>
      </c>
      <c r="I644" s="512" t="s">
        <v>6253</v>
      </c>
      <c r="J644" s="512" t="s">
        <v>12178</v>
      </c>
      <c r="K644" s="512" t="s">
        <v>6209</v>
      </c>
      <c r="L644" s="512">
        <v>7</v>
      </c>
      <c r="M644" s="308">
        <v>0</v>
      </c>
    </row>
    <row r="645" spans="1:13" ht="11.1" customHeight="1">
      <c r="A645" s="501" t="s">
        <v>13512</v>
      </c>
      <c r="B645" s="516" t="s">
        <v>12602</v>
      </c>
      <c r="C645" s="515">
        <v>50762</v>
      </c>
      <c r="D645" s="503">
        <v>25.651235768824566</v>
      </c>
      <c r="E645" s="504">
        <v>60.688154559801063</v>
      </c>
      <c r="F645" s="573" t="s">
        <v>6233</v>
      </c>
      <c r="G645" s="573" t="s">
        <v>7702</v>
      </c>
      <c r="H645" s="574">
        <v>56</v>
      </c>
      <c r="I645" s="573" t="s">
        <v>6264</v>
      </c>
      <c r="J645" s="573">
        <v>0</v>
      </c>
      <c r="K645" s="573" t="s">
        <v>6209</v>
      </c>
      <c r="L645" s="573">
        <v>3</v>
      </c>
      <c r="M645" s="308">
        <v>0</v>
      </c>
    </row>
    <row r="646" spans="1:13" ht="11.1" customHeight="1">
      <c r="A646" s="507" t="s">
        <v>13513</v>
      </c>
      <c r="B646" s="508" t="s">
        <v>12590</v>
      </c>
      <c r="C646" s="509">
        <v>73934</v>
      </c>
      <c r="D646" s="510">
        <v>49.732282193402575</v>
      </c>
      <c r="E646" s="511" t="s">
        <v>6251</v>
      </c>
      <c r="F646" s="514" t="s">
        <v>6233</v>
      </c>
      <c r="G646" s="514" t="s">
        <v>7706</v>
      </c>
      <c r="H646" s="513">
        <v>41</v>
      </c>
      <c r="I646" s="514" t="s">
        <v>6253</v>
      </c>
      <c r="J646" s="514" t="s">
        <v>12000</v>
      </c>
      <c r="K646" s="514" t="s">
        <v>6209</v>
      </c>
      <c r="L646" s="514">
        <v>3</v>
      </c>
      <c r="M646" s="341">
        <v>0</v>
      </c>
    </row>
    <row r="647" spans="1:13" ht="11.1" customHeight="1">
      <c r="A647" s="501" t="s">
        <v>13514</v>
      </c>
      <c r="B647" s="280" t="s">
        <v>6230</v>
      </c>
      <c r="C647" s="515">
        <v>47962</v>
      </c>
      <c r="D647" s="503">
        <v>32.26201366840661</v>
      </c>
      <c r="E647" s="504">
        <v>64.87137176400573</v>
      </c>
      <c r="F647" s="278" t="s">
        <v>6233</v>
      </c>
      <c r="G647" s="278" t="s">
        <v>13515</v>
      </c>
      <c r="H647" s="505">
        <v>61</v>
      </c>
      <c r="I647" s="278" t="s">
        <v>6257</v>
      </c>
      <c r="J647" s="278" t="s">
        <v>12621</v>
      </c>
      <c r="K647" s="278" t="s">
        <v>6036</v>
      </c>
      <c r="L647" s="278">
        <v>0</v>
      </c>
      <c r="M647" s="308" t="s">
        <v>12638</v>
      </c>
    </row>
    <row r="648" spans="1:13" ht="11.1" customHeight="1">
      <c r="A648" s="501" t="s">
        <v>13516</v>
      </c>
      <c r="B648" s="280" t="s">
        <v>6230</v>
      </c>
      <c r="C648" s="515">
        <v>26768</v>
      </c>
      <c r="D648" s="503">
        <v>18.005704138190818</v>
      </c>
      <c r="E648" s="504" t="s">
        <v>6262</v>
      </c>
      <c r="F648" s="278">
        <v>0</v>
      </c>
      <c r="G648" s="278" t="s">
        <v>12354</v>
      </c>
      <c r="H648" s="505">
        <v>36</v>
      </c>
      <c r="I648" s="278" t="s">
        <v>6264</v>
      </c>
      <c r="J648" s="278">
        <v>0</v>
      </c>
      <c r="K648" s="278" t="s">
        <v>6036</v>
      </c>
      <c r="L648" s="278">
        <v>0</v>
      </c>
      <c r="M648" s="308">
        <v>0</v>
      </c>
    </row>
    <row r="649" spans="1:13" ht="11.1" customHeight="1">
      <c r="A649" s="507" t="s">
        <v>13517</v>
      </c>
      <c r="B649" s="508" t="s">
        <v>12590</v>
      </c>
      <c r="C649" s="509">
        <v>84052</v>
      </c>
      <c r="D649" s="510">
        <v>46.789394285205326</v>
      </c>
      <c r="E649" s="511" t="s">
        <v>6251</v>
      </c>
      <c r="F649" s="514" t="s">
        <v>6233</v>
      </c>
      <c r="G649" s="514" t="s">
        <v>12355</v>
      </c>
      <c r="H649" s="513">
        <v>29</v>
      </c>
      <c r="I649" s="514" t="s">
        <v>6253</v>
      </c>
      <c r="J649" s="514" t="s">
        <v>12007</v>
      </c>
      <c r="K649" s="514" t="s">
        <v>6036</v>
      </c>
      <c r="L649" s="514">
        <v>0</v>
      </c>
      <c r="M649" s="341">
        <v>0</v>
      </c>
    </row>
    <row r="650" spans="1:13" ht="11.1" customHeight="1">
      <c r="A650" s="501" t="s">
        <v>13518</v>
      </c>
      <c r="B650" s="280" t="s">
        <v>6230</v>
      </c>
      <c r="C650" s="515">
        <v>64726</v>
      </c>
      <c r="D650" s="503">
        <v>36.031151364681392</v>
      </c>
      <c r="E650" s="504">
        <v>77.007090848522338</v>
      </c>
      <c r="F650" s="278" t="s">
        <v>6233</v>
      </c>
      <c r="G650" s="278" t="s">
        <v>13519</v>
      </c>
      <c r="H650" s="505">
        <v>61</v>
      </c>
      <c r="I650" s="278" t="s">
        <v>6257</v>
      </c>
      <c r="J650" s="278" t="s">
        <v>12621</v>
      </c>
      <c r="K650" s="278" t="s">
        <v>6209</v>
      </c>
      <c r="L650" s="278">
        <v>2</v>
      </c>
      <c r="M650" s="308" t="s">
        <v>12638</v>
      </c>
    </row>
    <row r="651" spans="1:13" ht="11.1" customHeight="1">
      <c r="A651" s="501" t="s">
        <v>13520</v>
      </c>
      <c r="B651" s="280" t="s">
        <v>6230</v>
      </c>
      <c r="C651" s="515">
        <v>30861</v>
      </c>
      <c r="D651" s="503">
        <v>17.179454350113282</v>
      </c>
      <c r="E651" s="504" t="s">
        <v>6262</v>
      </c>
      <c r="F651" s="278">
        <v>0</v>
      </c>
      <c r="G651" s="278" t="s">
        <v>7720</v>
      </c>
      <c r="H651" s="505">
        <v>53</v>
      </c>
      <c r="I651" s="278" t="s">
        <v>6264</v>
      </c>
      <c r="J651" s="278">
        <v>0</v>
      </c>
      <c r="K651" s="278" t="s">
        <v>6036</v>
      </c>
      <c r="L651" s="278">
        <v>0</v>
      </c>
      <c r="M651" s="308">
        <v>0</v>
      </c>
    </row>
    <row r="652" spans="1:13" ht="11.1" customHeight="1">
      <c r="A652" s="507" t="s">
        <v>13521</v>
      </c>
      <c r="B652" s="519" t="s">
        <v>12590</v>
      </c>
      <c r="C652" s="520">
        <v>108209</v>
      </c>
      <c r="D652" s="521">
        <v>49.670421474932752</v>
      </c>
      <c r="E652" s="522" t="s">
        <v>6251</v>
      </c>
      <c r="F652" s="523" t="s">
        <v>6233</v>
      </c>
      <c r="G652" s="523" t="s">
        <v>7726</v>
      </c>
      <c r="H652" s="524">
        <v>59</v>
      </c>
      <c r="I652" s="523" t="s">
        <v>6257</v>
      </c>
      <c r="J652" s="523" t="s">
        <v>12651</v>
      </c>
      <c r="K652" s="523" t="s">
        <v>6036</v>
      </c>
      <c r="L652" s="523">
        <v>0</v>
      </c>
      <c r="M652" s="525" t="s">
        <v>12638</v>
      </c>
    </row>
    <row r="653" spans="1:13" ht="11.1" customHeight="1">
      <c r="A653" s="501" t="s">
        <v>13522</v>
      </c>
      <c r="B653" s="280" t="s">
        <v>6230</v>
      </c>
      <c r="C653" s="515">
        <v>72665</v>
      </c>
      <c r="D653" s="503">
        <v>33.354907415057788</v>
      </c>
      <c r="E653" s="504">
        <v>67.152454971397944</v>
      </c>
      <c r="F653" s="278" t="s">
        <v>6233</v>
      </c>
      <c r="G653" s="278" t="s">
        <v>7724</v>
      </c>
      <c r="H653" s="505">
        <v>36</v>
      </c>
      <c r="I653" s="278" t="s">
        <v>6253</v>
      </c>
      <c r="J653" s="278" t="s">
        <v>12007</v>
      </c>
      <c r="K653" s="278" t="s">
        <v>6036</v>
      </c>
      <c r="L653" s="278">
        <v>0</v>
      </c>
      <c r="M653" s="308">
        <v>0</v>
      </c>
    </row>
    <row r="654" spans="1:13" ht="11.1" customHeight="1">
      <c r="A654" s="582" t="s">
        <v>13523</v>
      </c>
      <c r="B654" s="583" t="s">
        <v>6230</v>
      </c>
      <c r="C654" s="584">
        <v>36980</v>
      </c>
      <c r="D654" s="585">
        <v>16.974671110009456</v>
      </c>
      <c r="E654" s="586" t="s">
        <v>6262</v>
      </c>
      <c r="F654" s="506">
        <v>0</v>
      </c>
      <c r="G654" s="506" t="s">
        <v>12356</v>
      </c>
      <c r="H654" s="587">
        <v>34</v>
      </c>
      <c r="I654" s="506" t="s">
        <v>6264</v>
      </c>
      <c r="J654" s="506">
        <v>0</v>
      </c>
      <c r="K654" s="506" t="s">
        <v>6036</v>
      </c>
      <c r="L654" s="506">
        <v>0</v>
      </c>
      <c r="M654" s="344">
        <v>0</v>
      </c>
    </row>
    <row r="655" spans="1:13" ht="11.1" customHeight="1">
      <c r="A655" s="507" t="s">
        <v>13524</v>
      </c>
      <c r="B655" s="519" t="s">
        <v>12590</v>
      </c>
      <c r="C655" s="520">
        <v>103486</v>
      </c>
      <c r="D655" s="521">
        <v>62.879989305917597</v>
      </c>
      <c r="E655" s="522" t="s">
        <v>6251</v>
      </c>
      <c r="F655" s="523" t="s">
        <v>6233</v>
      </c>
      <c r="G655" s="523" t="s">
        <v>7734</v>
      </c>
      <c r="H655" s="524">
        <v>58</v>
      </c>
      <c r="I655" s="523" t="s">
        <v>6257</v>
      </c>
      <c r="J655" s="523" t="s">
        <v>12773</v>
      </c>
      <c r="K655" s="523" t="s">
        <v>6209</v>
      </c>
      <c r="L655" s="523">
        <v>7</v>
      </c>
      <c r="M655" s="525" t="s">
        <v>12638</v>
      </c>
    </row>
    <row r="656" spans="1:13" ht="11.1" customHeight="1">
      <c r="A656" s="501" t="s">
        <v>13525</v>
      </c>
      <c r="B656" s="280" t="s">
        <v>6230</v>
      </c>
      <c r="C656" s="515">
        <v>36702</v>
      </c>
      <c r="D656" s="503">
        <v>22.300807524745256</v>
      </c>
      <c r="E656" s="504">
        <v>35.465666853487427</v>
      </c>
      <c r="F656" s="278" t="s">
        <v>6233</v>
      </c>
      <c r="G656" s="278" t="s">
        <v>12357</v>
      </c>
      <c r="H656" s="505">
        <v>33</v>
      </c>
      <c r="I656" s="278" t="s">
        <v>6253</v>
      </c>
      <c r="J656" s="278" t="s">
        <v>12007</v>
      </c>
      <c r="K656" s="278" t="s">
        <v>6036</v>
      </c>
      <c r="L656" s="278">
        <v>0</v>
      </c>
      <c r="M656" s="308" t="s">
        <v>6154</v>
      </c>
    </row>
    <row r="657" spans="1:13" ht="11.1" customHeight="1">
      <c r="A657" s="501" t="s">
        <v>13526</v>
      </c>
      <c r="B657" s="280"/>
      <c r="C657" s="515">
        <v>24389</v>
      </c>
      <c r="D657" s="503">
        <v>14.819203169337149</v>
      </c>
      <c r="E657" s="504">
        <v>23.56743907388439</v>
      </c>
      <c r="F657" s="278" t="s">
        <v>6233</v>
      </c>
      <c r="G657" s="278" t="s">
        <v>7737</v>
      </c>
      <c r="H657" s="505">
        <v>52</v>
      </c>
      <c r="I657" s="278" t="s">
        <v>6264</v>
      </c>
      <c r="J657" s="278">
        <v>0</v>
      </c>
      <c r="K657" s="278" t="s">
        <v>6036</v>
      </c>
      <c r="L657" s="278">
        <v>0</v>
      </c>
      <c r="M657" s="308">
        <v>0</v>
      </c>
    </row>
    <row r="658" spans="1:13" ht="11.1" customHeight="1">
      <c r="A658" s="507" t="s">
        <v>13527</v>
      </c>
      <c r="B658" s="508" t="s">
        <v>12590</v>
      </c>
      <c r="C658" s="509">
        <v>117467</v>
      </c>
      <c r="D658" s="510">
        <v>46.8917036250484</v>
      </c>
      <c r="E658" s="511" t="s">
        <v>6251</v>
      </c>
      <c r="F658" s="514" t="s">
        <v>6233</v>
      </c>
      <c r="G658" s="514" t="s">
        <v>7740</v>
      </c>
      <c r="H658" s="513">
        <v>41</v>
      </c>
      <c r="I658" s="514" t="s">
        <v>6253</v>
      </c>
      <c r="J658" s="514" t="s">
        <v>12000</v>
      </c>
      <c r="K658" s="514" t="s">
        <v>6209</v>
      </c>
      <c r="L658" s="514">
        <v>1</v>
      </c>
      <c r="M658" s="341">
        <v>0</v>
      </c>
    </row>
    <row r="659" spans="1:13" ht="11.1" customHeight="1">
      <c r="A659" s="501" t="s">
        <v>13528</v>
      </c>
      <c r="B659" s="280" t="s">
        <v>6230</v>
      </c>
      <c r="C659" s="515">
        <v>100541</v>
      </c>
      <c r="D659" s="503">
        <v>40.135006207411372</v>
      </c>
      <c r="E659" s="504">
        <v>85.590846791013647</v>
      </c>
      <c r="F659" s="278" t="s">
        <v>6233</v>
      </c>
      <c r="G659" s="278" t="s">
        <v>13529</v>
      </c>
      <c r="H659" s="505">
        <v>60</v>
      </c>
      <c r="I659" s="278" t="s">
        <v>6257</v>
      </c>
      <c r="J659" s="278" t="s">
        <v>12621</v>
      </c>
      <c r="K659" s="278" t="s">
        <v>6209</v>
      </c>
      <c r="L659" s="278">
        <v>1</v>
      </c>
      <c r="M659" s="308" t="s">
        <v>12638</v>
      </c>
    </row>
    <row r="660" spans="1:13" ht="11.1" customHeight="1" thickBot="1">
      <c r="A660" s="527" t="s">
        <v>13530</v>
      </c>
      <c r="B660" s="528"/>
      <c r="C660" s="529">
        <v>32499</v>
      </c>
      <c r="D660" s="530">
        <v>12.973290167540229</v>
      </c>
      <c r="E660" s="531" t="s">
        <v>6262</v>
      </c>
      <c r="F660" s="532">
        <v>0</v>
      </c>
      <c r="G660" s="532" t="s">
        <v>12358</v>
      </c>
      <c r="H660" s="533">
        <v>36</v>
      </c>
      <c r="I660" s="532" t="s">
        <v>6264</v>
      </c>
      <c r="J660" s="532">
        <v>0</v>
      </c>
      <c r="K660" s="532" t="s">
        <v>6036</v>
      </c>
      <c r="L660" s="532">
        <v>0</v>
      </c>
      <c r="M660" s="347">
        <v>0</v>
      </c>
    </row>
    <row r="661" spans="1:13" ht="11.1" customHeight="1">
      <c r="A661" s="493" t="s">
        <v>13531</v>
      </c>
      <c r="B661" s="534" t="s">
        <v>12590</v>
      </c>
      <c r="C661" s="535">
        <v>87936</v>
      </c>
      <c r="D661" s="536">
        <v>49.828871914594622</v>
      </c>
      <c r="E661" s="537" t="s">
        <v>6251</v>
      </c>
      <c r="F661" s="538" t="s">
        <v>6233</v>
      </c>
      <c r="G661" s="538" t="s">
        <v>7750</v>
      </c>
      <c r="H661" s="539">
        <v>67</v>
      </c>
      <c r="I661" s="538" t="s">
        <v>6257</v>
      </c>
      <c r="J661" s="538" t="s">
        <v>12975</v>
      </c>
      <c r="K661" s="538" t="s">
        <v>6209</v>
      </c>
      <c r="L661" s="538">
        <v>7</v>
      </c>
      <c r="M661" s="373" t="s">
        <v>12638</v>
      </c>
    </row>
    <row r="662" spans="1:13" ht="11.1" customHeight="1">
      <c r="A662" s="501" t="s">
        <v>13532</v>
      </c>
      <c r="B662" s="280" t="s">
        <v>6230</v>
      </c>
      <c r="C662" s="515">
        <v>64320</v>
      </c>
      <c r="D662" s="503">
        <v>36.446882295609605</v>
      </c>
      <c r="E662" s="504">
        <v>73.144104803493448</v>
      </c>
      <c r="F662" s="278" t="s">
        <v>6233</v>
      </c>
      <c r="G662" s="278" t="s">
        <v>7748</v>
      </c>
      <c r="H662" s="505">
        <v>32</v>
      </c>
      <c r="I662" s="278" t="s">
        <v>6253</v>
      </c>
      <c r="J662" s="278" t="s">
        <v>12178</v>
      </c>
      <c r="K662" s="278" t="s">
        <v>6036</v>
      </c>
      <c r="L662" s="278">
        <v>0</v>
      </c>
      <c r="M662" s="308">
        <v>0</v>
      </c>
    </row>
    <row r="663" spans="1:13" ht="11.1" customHeight="1">
      <c r="A663" s="501" t="s">
        <v>13533</v>
      </c>
      <c r="B663" s="280"/>
      <c r="C663" s="515">
        <v>24220</v>
      </c>
      <c r="D663" s="503">
        <v>13.724245789795779</v>
      </c>
      <c r="E663" s="504" t="s">
        <v>6262</v>
      </c>
      <c r="F663" s="278">
        <v>0</v>
      </c>
      <c r="G663" s="278" t="s">
        <v>13534</v>
      </c>
      <c r="H663" s="505">
        <v>56</v>
      </c>
      <c r="I663" s="278" t="s">
        <v>6264</v>
      </c>
      <c r="J663" s="278">
        <v>0</v>
      </c>
      <c r="K663" s="278" t="s">
        <v>6036</v>
      </c>
      <c r="L663" s="278">
        <v>0</v>
      </c>
      <c r="M663" s="308">
        <v>0</v>
      </c>
    </row>
    <row r="664" spans="1:13" ht="11.1" customHeight="1">
      <c r="A664" s="507" t="s">
        <v>13535</v>
      </c>
      <c r="B664" s="519" t="s">
        <v>12590</v>
      </c>
      <c r="C664" s="520">
        <v>96470</v>
      </c>
      <c r="D664" s="521">
        <v>50.819689403038538</v>
      </c>
      <c r="E664" s="522" t="s">
        <v>6251</v>
      </c>
      <c r="F664" s="523" t="s">
        <v>6233</v>
      </c>
      <c r="G664" s="523" t="s">
        <v>12360</v>
      </c>
      <c r="H664" s="524">
        <v>52</v>
      </c>
      <c r="I664" s="523" t="s">
        <v>6257</v>
      </c>
      <c r="J664" s="523" t="s">
        <v>12651</v>
      </c>
      <c r="K664" s="523" t="s">
        <v>6209</v>
      </c>
      <c r="L664" s="523">
        <v>1</v>
      </c>
      <c r="M664" s="525" t="s">
        <v>12638</v>
      </c>
    </row>
    <row r="665" spans="1:13" ht="11.1" customHeight="1">
      <c r="A665" s="501" t="s">
        <v>13536</v>
      </c>
      <c r="B665" s="280" t="s">
        <v>6230</v>
      </c>
      <c r="C665" s="515">
        <v>56652</v>
      </c>
      <c r="D665" s="503">
        <v>29.843858650989315</v>
      </c>
      <c r="E665" s="504">
        <v>58.724992225562353</v>
      </c>
      <c r="F665" s="278" t="s">
        <v>6233</v>
      </c>
      <c r="G665" s="278" t="s">
        <v>13537</v>
      </c>
      <c r="H665" s="505">
        <v>41</v>
      </c>
      <c r="I665" s="278" t="s">
        <v>6253</v>
      </c>
      <c r="J665" s="278" t="s">
        <v>12007</v>
      </c>
      <c r="K665" s="278" t="s">
        <v>6036</v>
      </c>
      <c r="L665" s="278">
        <v>0</v>
      </c>
      <c r="M665" s="308">
        <v>0</v>
      </c>
    </row>
    <row r="666" spans="1:13" ht="11.1" customHeight="1">
      <c r="A666" s="501" t="s">
        <v>13538</v>
      </c>
      <c r="B666" s="516" t="s">
        <v>12602</v>
      </c>
      <c r="C666" s="515">
        <v>36706</v>
      </c>
      <c r="D666" s="503">
        <v>19.336451945972144</v>
      </c>
      <c r="E666" s="504">
        <v>38.049134445941746</v>
      </c>
      <c r="F666" s="573" t="s">
        <v>6233</v>
      </c>
      <c r="G666" s="573" t="s">
        <v>13539</v>
      </c>
      <c r="H666" s="574">
        <v>63</v>
      </c>
      <c r="I666" s="573" t="s">
        <v>6264</v>
      </c>
      <c r="J666" s="573">
        <v>0</v>
      </c>
      <c r="K666" s="573" t="s">
        <v>6209</v>
      </c>
      <c r="L666" s="573">
        <v>3</v>
      </c>
      <c r="M666" s="308">
        <v>0</v>
      </c>
    </row>
    <row r="667" spans="1:13" ht="11.1" customHeight="1">
      <c r="A667" s="507" t="s">
        <v>13540</v>
      </c>
      <c r="B667" s="566" t="s">
        <v>12590</v>
      </c>
      <c r="C667" s="567">
        <v>97552</v>
      </c>
      <c r="D667" s="568">
        <v>46.333748135763884</v>
      </c>
      <c r="E667" s="569" t="s">
        <v>6262</v>
      </c>
      <c r="F667" s="570">
        <v>0</v>
      </c>
      <c r="G667" s="570" t="s">
        <v>7770</v>
      </c>
      <c r="H667" s="571">
        <v>63</v>
      </c>
      <c r="I667" s="570" t="s">
        <v>6929</v>
      </c>
      <c r="J667" s="570">
        <v>0</v>
      </c>
      <c r="K667" s="570" t="s">
        <v>6209</v>
      </c>
      <c r="L667" s="570">
        <v>3</v>
      </c>
      <c r="M667" s="572" t="s">
        <v>12911</v>
      </c>
    </row>
    <row r="668" spans="1:13" ht="11.1" customHeight="1">
      <c r="A668" s="501" t="s">
        <v>13541</v>
      </c>
      <c r="B668" s="516" t="s">
        <v>12602</v>
      </c>
      <c r="C668" s="515">
        <v>79539</v>
      </c>
      <c r="D668" s="503">
        <v>37.778210523316012</v>
      </c>
      <c r="E668" s="504">
        <v>81.534976217812044</v>
      </c>
      <c r="F668" s="512" t="s">
        <v>6233</v>
      </c>
      <c r="G668" s="512" t="s">
        <v>13542</v>
      </c>
      <c r="H668" s="526">
        <v>55</v>
      </c>
      <c r="I668" s="512" t="s">
        <v>6253</v>
      </c>
      <c r="J668" s="512" t="s">
        <v>12007</v>
      </c>
      <c r="K668" s="512" t="s">
        <v>6036</v>
      </c>
      <c r="L668" s="512">
        <v>0</v>
      </c>
      <c r="M668" s="308">
        <v>0</v>
      </c>
    </row>
    <row r="669" spans="1:13" ht="11.1" customHeight="1">
      <c r="A669" s="501" t="s">
        <v>13543</v>
      </c>
      <c r="B669" s="280"/>
      <c r="C669" s="515">
        <v>33451</v>
      </c>
      <c r="D669" s="503">
        <v>15.888041340920102</v>
      </c>
      <c r="E669" s="504" t="s">
        <v>6262</v>
      </c>
      <c r="F669" s="278">
        <v>0</v>
      </c>
      <c r="G669" s="278" t="s">
        <v>12363</v>
      </c>
      <c r="H669" s="505">
        <v>48</v>
      </c>
      <c r="I669" s="278" t="s">
        <v>6264</v>
      </c>
      <c r="J669" s="278">
        <v>0</v>
      </c>
      <c r="K669" s="278" t="s">
        <v>6036</v>
      </c>
      <c r="L669" s="278">
        <v>0</v>
      </c>
      <c r="M669" s="308">
        <v>0</v>
      </c>
    </row>
    <row r="670" spans="1:13" ht="11.1" customHeight="1">
      <c r="A670" s="507" t="s">
        <v>13544</v>
      </c>
      <c r="B670" s="508" t="s">
        <v>12590</v>
      </c>
      <c r="C670" s="509">
        <v>92470</v>
      </c>
      <c r="D670" s="510">
        <v>44.794194726618322</v>
      </c>
      <c r="E670" s="511" t="s">
        <v>6251</v>
      </c>
      <c r="F670" s="514" t="s">
        <v>6233</v>
      </c>
      <c r="G670" s="514" t="s">
        <v>12364</v>
      </c>
      <c r="H670" s="513">
        <v>41</v>
      </c>
      <c r="I670" s="514" t="s">
        <v>6253</v>
      </c>
      <c r="J670" s="514" t="s">
        <v>12178</v>
      </c>
      <c r="K670" s="514" t="s">
        <v>6283</v>
      </c>
      <c r="L670" s="514">
        <v>2</v>
      </c>
      <c r="M670" s="341">
        <v>0</v>
      </c>
    </row>
    <row r="671" spans="1:13" ht="11.1" customHeight="1">
      <c r="A671" s="501" t="s">
        <v>13545</v>
      </c>
      <c r="B671" s="516" t="s">
        <v>12602</v>
      </c>
      <c r="C671" s="515">
        <v>87187</v>
      </c>
      <c r="D671" s="503">
        <v>42.235010875199215</v>
      </c>
      <c r="E671" s="504">
        <v>94.286795717530012</v>
      </c>
      <c r="F671" s="517" t="s">
        <v>6233</v>
      </c>
      <c r="G671" s="517" t="s">
        <v>7778</v>
      </c>
      <c r="H671" s="518">
        <v>33</v>
      </c>
      <c r="I671" s="517" t="s">
        <v>6257</v>
      </c>
      <c r="J671" s="517" t="s">
        <v>12635</v>
      </c>
      <c r="K671" s="517" t="s">
        <v>6036</v>
      </c>
      <c r="L671" s="517">
        <v>0</v>
      </c>
      <c r="M671" s="308" t="s">
        <v>12638</v>
      </c>
    </row>
    <row r="672" spans="1:13" ht="11.1" customHeight="1">
      <c r="A672" s="501" t="s">
        <v>13546</v>
      </c>
      <c r="B672" s="280"/>
      <c r="C672" s="515">
        <v>26776</v>
      </c>
      <c r="D672" s="503">
        <v>12.970794398182461</v>
      </c>
      <c r="E672" s="504" t="s">
        <v>6262</v>
      </c>
      <c r="F672" s="278">
        <v>0</v>
      </c>
      <c r="G672" s="278" t="s">
        <v>7780</v>
      </c>
      <c r="H672" s="505">
        <v>53</v>
      </c>
      <c r="I672" s="278" t="s">
        <v>6264</v>
      </c>
      <c r="J672" s="278">
        <v>0</v>
      </c>
      <c r="K672" s="278" t="s">
        <v>6036</v>
      </c>
      <c r="L672" s="278">
        <v>0</v>
      </c>
      <c r="M672" s="308">
        <v>0</v>
      </c>
    </row>
    <row r="673" spans="1:13" ht="11.1" customHeight="1">
      <c r="A673" s="507" t="s">
        <v>13547</v>
      </c>
      <c r="B673" s="566" t="s">
        <v>12590</v>
      </c>
      <c r="C673" s="567">
        <v>92350</v>
      </c>
      <c r="D673" s="568">
        <v>42.878102684582458</v>
      </c>
      <c r="E673" s="569" t="s">
        <v>6262</v>
      </c>
      <c r="F673" s="570">
        <v>0</v>
      </c>
      <c r="G673" s="570" t="s">
        <v>7786</v>
      </c>
      <c r="H673" s="571">
        <v>54</v>
      </c>
      <c r="I673" s="570" t="s">
        <v>6929</v>
      </c>
      <c r="J673" s="570">
        <v>0</v>
      </c>
      <c r="K673" s="570" t="s">
        <v>6209</v>
      </c>
      <c r="L673" s="570">
        <v>3</v>
      </c>
      <c r="M673" s="572" t="s">
        <v>12911</v>
      </c>
    </row>
    <row r="674" spans="1:13" ht="11.1" customHeight="1">
      <c r="A674" s="501" t="s">
        <v>13548</v>
      </c>
      <c r="B674" s="516" t="s">
        <v>12602</v>
      </c>
      <c r="C674" s="515">
        <v>85334</v>
      </c>
      <c r="D674" s="503">
        <v>39.620574060488998</v>
      </c>
      <c r="E674" s="504">
        <v>92.402815376285872</v>
      </c>
      <c r="F674" s="512" t="s">
        <v>6233</v>
      </c>
      <c r="G674" s="512" t="s">
        <v>7784</v>
      </c>
      <c r="H674" s="526">
        <v>55</v>
      </c>
      <c r="I674" s="512" t="s">
        <v>6253</v>
      </c>
      <c r="J674" s="512" t="s">
        <v>11989</v>
      </c>
      <c r="K674" s="512" t="s">
        <v>6036</v>
      </c>
      <c r="L674" s="512">
        <v>0</v>
      </c>
      <c r="M674" s="308">
        <v>0</v>
      </c>
    </row>
    <row r="675" spans="1:13" ht="11.1" customHeight="1">
      <c r="A675" s="501" t="s">
        <v>13549</v>
      </c>
      <c r="B675" s="280" t="s">
        <v>6230</v>
      </c>
      <c r="C675" s="515">
        <v>37694</v>
      </c>
      <c r="D675" s="503">
        <v>17.501323254928543</v>
      </c>
      <c r="E675" s="504">
        <v>40.816459122902003</v>
      </c>
      <c r="F675" s="278" t="s">
        <v>6233</v>
      </c>
      <c r="G675" s="278" t="s">
        <v>12365</v>
      </c>
      <c r="H675" s="505">
        <v>43</v>
      </c>
      <c r="I675" s="278" t="s">
        <v>6264</v>
      </c>
      <c r="J675" s="278">
        <v>0</v>
      </c>
      <c r="K675" s="278" t="s">
        <v>6036</v>
      </c>
      <c r="L675" s="278">
        <v>0</v>
      </c>
      <c r="M675" s="308">
        <v>0</v>
      </c>
    </row>
    <row r="676" spans="1:13" ht="11.1" customHeight="1">
      <c r="A676" s="507" t="s">
        <v>13550</v>
      </c>
      <c r="B676" s="566" t="s">
        <v>12590</v>
      </c>
      <c r="C676" s="567">
        <v>101292</v>
      </c>
      <c r="D676" s="568">
        <v>49.36762534177474</v>
      </c>
      <c r="E676" s="569" t="s">
        <v>6262</v>
      </c>
      <c r="F676" s="570">
        <v>0</v>
      </c>
      <c r="G676" s="570" t="s">
        <v>12366</v>
      </c>
      <c r="H676" s="571">
        <v>45</v>
      </c>
      <c r="I676" s="570" t="s">
        <v>6929</v>
      </c>
      <c r="J676" s="570">
        <v>0</v>
      </c>
      <c r="K676" s="570" t="s">
        <v>6209</v>
      </c>
      <c r="L676" s="570">
        <v>3</v>
      </c>
      <c r="M676" s="572" t="s">
        <v>12911</v>
      </c>
    </row>
    <row r="677" spans="1:13" ht="11.1" customHeight="1">
      <c r="A677" s="501" t="s">
        <v>13551</v>
      </c>
      <c r="B677" s="280" t="s">
        <v>6230</v>
      </c>
      <c r="C677" s="515">
        <v>75098</v>
      </c>
      <c r="D677" s="503">
        <v>36.60121162497137</v>
      </c>
      <c r="E677" s="504">
        <v>74.140109781621447</v>
      </c>
      <c r="F677" s="278" t="s">
        <v>6233</v>
      </c>
      <c r="G677" s="278" t="s">
        <v>7792</v>
      </c>
      <c r="H677" s="505">
        <v>51</v>
      </c>
      <c r="I677" s="278" t="s">
        <v>6253</v>
      </c>
      <c r="J677" s="278" t="s">
        <v>12020</v>
      </c>
      <c r="K677" s="278" t="s">
        <v>6036</v>
      </c>
      <c r="L677" s="278">
        <v>0</v>
      </c>
      <c r="M677" s="308">
        <v>0</v>
      </c>
    </row>
    <row r="678" spans="1:13" ht="11.1" customHeight="1">
      <c r="A678" s="501" t="s">
        <v>13552</v>
      </c>
      <c r="B678" s="280"/>
      <c r="C678" s="515">
        <v>28789</v>
      </c>
      <c r="D678" s="503">
        <v>14.03116303325389</v>
      </c>
      <c r="E678" s="504" t="s">
        <v>6262</v>
      </c>
      <c r="F678" s="278">
        <v>0</v>
      </c>
      <c r="G678" s="278" t="s">
        <v>13553</v>
      </c>
      <c r="H678" s="505">
        <v>52</v>
      </c>
      <c r="I678" s="278" t="s">
        <v>6264</v>
      </c>
      <c r="J678" s="278">
        <v>0</v>
      </c>
      <c r="K678" s="278" t="s">
        <v>6036</v>
      </c>
      <c r="L678" s="278">
        <v>0</v>
      </c>
      <c r="M678" s="308">
        <v>0</v>
      </c>
    </row>
    <row r="679" spans="1:13" ht="11.1" customHeight="1">
      <c r="A679" s="507" t="s">
        <v>13554</v>
      </c>
      <c r="B679" s="508" t="s">
        <v>12590</v>
      </c>
      <c r="C679" s="509">
        <v>72643</v>
      </c>
      <c r="D679" s="510">
        <v>39.21624729400714</v>
      </c>
      <c r="E679" s="511" t="s">
        <v>6251</v>
      </c>
      <c r="F679" s="514" t="s">
        <v>6233</v>
      </c>
      <c r="G679" s="514" t="s">
        <v>12368</v>
      </c>
      <c r="H679" s="513">
        <v>54</v>
      </c>
      <c r="I679" s="514" t="s">
        <v>6253</v>
      </c>
      <c r="J679" s="514" t="s">
        <v>11994</v>
      </c>
      <c r="K679" s="514" t="s">
        <v>6209</v>
      </c>
      <c r="L679" s="514">
        <v>3</v>
      </c>
      <c r="M679" s="341">
        <v>0</v>
      </c>
    </row>
    <row r="680" spans="1:13" ht="11.1" customHeight="1">
      <c r="A680" s="501" t="s">
        <v>13555</v>
      </c>
      <c r="B680" s="280" t="s">
        <v>6230</v>
      </c>
      <c r="C680" s="515">
        <v>55234</v>
      </c>
      <c r="D680" s="503">
        <v>29.8180169188661</v>
      </c>
      <c r="E680" s="504">
        <v>76.034855388681635</v>
      </c>
      <c r="F680" s="278" t="s">
        <v>6233</v>
      </c>
      <c r="G680" s="278" t="s">
        <v>13556</v>
      </c>
      <c r="H680" s="505">
        <v>71</v>
      </c>
      <c r="I680" s="278" t="s">
        <v>6257</v>
      </c>
      <c r="J680" s="278" t="s">
        <v>12617</v>
      </c>
      <c r="K680" s="278" t="s">
        <v>6283</v>
      </c>
      <c r="L680" s="278">
        <v>8</v>
      </c>
      <c r="M680" s="308" t="s">
        <v>12622</v>
      </c>
    </row>
    <row r="681" spans="1:13" ht="11.1" customHeight="1">
      <c r="A681" s="501" t="s">
        <v>13557</v>
      </c>
      <c r="B681" s="280"/>
      <c r="C681" s="515">
        <v>28710</v>
      </c>
      <c r="D681" s="503">
        <v>15.499063362071292</v>
      </c>
      <c r="E681" s="504" t="s">
        <v>6262</v>
      </c>
      <c r="F681" s="278">
        <v>0</v>
      </c>
      <c r="G681" s="278" t="s">
        <v>13558</v>
      </c>
      <c r="H681" s="505">
        <v>55</v>
      </c>
      <c r="I681" s="278" t="s">
        <v>6264</v>
      </c>
      <c r="J681" s="278">
        <v>0</v>
      </c>
      <c r="K681" s="278" t="s">
        <v>6036</v>
      </c>
      <c r="L681" s="278">
        <v>0</v>
      </c>
      <c r="M681" s="308">
        <v>0</v>
      </c>
    </row>
    <row r="682" spans="1:13" ht="11.1" customHeight="1">
      <c r="A682" s="501" t="s">
        <v>13559</v>
      </c>
      <c r="B682" s="280"/>
      <c r="C682" s="515">
        <v>19949</v>
      </c>
      <c r="D682" s="503">
        <v>10.769446708810875</v>
      </c>
      <c r="E682" s="504" t="s">
        <v>6262</v>
      </c>
      <c r="F682" s="278">
        <v>0</v>
      </c>
      <c r="G682" s="278" t="s">
        <v>13560</v>
      </c>
      <c r="H682" s="505">
        <v>54</v>
      </c>
      <c r="I682" s="278" t="s">
        <v>12790</v>
      </c>
      <c r="J682" s="278">
        <v>0</v>
      </c>
      <c r="K682" s="278" t="s">
        <v>6036</v>
      </c>
      <c r="L682" s="278">
        <v>0</v>
      </c>
      <c r="M682" s="308">
        <v>0</v>
      </c>
    </row>
    <row r="683" spans="1:13" ht="11.1" customHeight="1">
      <c r="A683" s="501" t="s">
        <v>13561</v>
      </c>
      <c r="B683" s="280" t="s">
        <v>6231</v>
      </c>
      <c r="C683" s="515">
        <v>8701</v>
      </c>
      <c r="D683" s="503">
        <v>4.6972257162445947</v>
      </c>
      <c r="E683" s="504" t="s">
        <v>6262</v>
      </c>
      <c r="F683" s="278">
        <v>0</v>
      </c>
      <c r="G683" s="278" t="s">
        <v>13562</v>
      </c>
      <c r="H683" s="505">
        <v>50</v>
      </c>
      <c r="I683" s="278" t="s">
        <v>6322</v>
      </c>
      <c r="J683" s="278" t="s">
        <v>6323</v>
      </c>
      <c r="K683" s="278" t="s">
        <v>6036</v>
      </c>
      <c r="L683" s="278">
        <v>0</v>
      </c>
      <c r="M683" s="308">
        <v>0</v>
      </c>
    </row>
    <row r="684" spans="1:13" ht="11.1" customHeight="1">
      <c r="A684" s="507" t="s">
        <v>13563</v>
      </c>
      <c r="B684" s="508" t="s">
        <v>12590</v>
      </c>
      <c r="C684" s="509">
        <v>81319</v>
      </c>
      <c r="D684" s="588">
        <v>48.580270145945718</v>
      </c>
      <c r="E684" s="511" t="s">
        <v>6251</v>
      </c>
      <c r="F684" s="514" t="s">
        <v>6233</v>
      </c>
      <c r="G684" s="514" t="s">
        <v>7808</v>
      </c>
      <c r="H684" s="513">
        <v>62</v>
      </c>
      <c r="I684" s="514" t="s">
        <v>6253</v>
      </c>
      <c r="J684" s="514" t="s">
        <v>12178</v>
      </c>
      <c r="K684" s="514" t="s">
        <v>6209</v>
      </c>
      <c r="L684" s="514">
        <v>9</v>
      </c>
      <c r="M684" s="341">
        <v>0</v>
      </c>
    </row>
    <row r="685" spans="1:13" ht="11.1" customHeight="1">
      <c r="A685" s="501" t="s">
        <v>13564</v>
      </c>
      <c r="B685" s="280" t="s">
        <v>6230</v>
      </c>
      <c r="C685" s="515">
        <v>63324</v>
      </c>
      <c r="D685" s="589">
        <v>37.829990859723644</v>
      </c>
      <c r="E685" s="504">
        <v>77.87110023487746</v>
      </c>
      <c r="F685" s="278" t="s">
        <v>6233</v>
      </c>
      <c r="G685" s="278" t="s">
        <v>7810</v>
      </c>
      <c r="H685" s="505">
        <v>39</v>
      </c>
      <c r="I685" s="278" t="s">
        <v>6257</v>
      </c>
      <c r="J685" s="278" t="s">
        <v>12617</v>
      </c>
      <c r="K685" s="278" t="s">
        <v>6036</v>
      </c>
      <c r="L685" s="278">
        <v>0</v>
      </c>
      <c r="M685" s="308" t="s">
        <v>12622</v>
      </c>
    </row>
    <row r="686" spans="1:13" ht="11.1" customHeight="1">
      <c r="A686" s="501" t="s">
        <v>13565</v>
      </c>
      <c r="B686" s="280"/>
      <c r="C686" s="515">
        <v>22748</v>
      </c>
      <c r="D686" s="589">
        <v>13.58973899433064</v>
      </c>
      <c r="E686" s="504" t="s">
        <v>6262</v>
      </c>
      <c r="F686" s="278">
        <v>0</v>
      </c>
      <c r="G686" s="278" t="s">
        <v>12371</v>
      </c>
      <c r="H686" s="505">
        <v>46</v>
      </c>
      <c r="I686" s="278" t="s">
        <v>6264</v>
      </c>
      <c r="J686" s="278">
        <v>0</v>
      </c>
      <c r="K686" s="278" t="s">
        <v>6036</v>
      </c>
      <c r="L686" s="278">
        <v>0</v>
      </c>
      <c r="M686" s="308">
        <v>0</v>
      </c>
    </row>
    <row r="687" spans="1:13" ht="11.1" customHeight="1">
      <c r="A687" s="507" t="s">
        <v>13566</v>
      </c>
      <c r="B687" s="508" t="s">
        <v>12590</v>
      </c>
      <c r="C687" s="509">
        <v>97572</v>
      </c>
      <c r="D687" s="510">
        <v>41.856993324982412</v>
      </c>
      <c r="E687" s="511" t="s">
        <v>6251</v>
      </c>
      <c r="F687" s="514" t="s">
        <v>6233</v>
      </c>
      <c r="G687" s="514" t="s">
        <v>7816</v>
      </c>
      <c r="H687" s="513">
        <v>40</v>
      </c>
      <c r="I687" s="514" t="s">
        <v>6253</v>
      </c>
      <c r="J687" s="514" t="s">
        <v>12000</v>
      </c>
      <c r="K687" s="514" t="s">
        <v>6209</v>
      </c>
      <c r="L687" s="514">
        <v>1</v>
      </c>
      <c r="M687" s="341">
        <v>0</v>
      </c>
    </row>
    <row r="688" spans="1:13" ht="11.1" customHeight="1">
      <c r="A688" s="501" t="s">
        <v>13567</v>
      </c>
      <c r="B688" s="516" t="s">
        <v>12602</v>
      </c>
      <c r="C688" s="515">
        <v>93662</v>
      </c>
      <c r="D688" s="503">
        <v>40.179659213754995</v>
      </c>
      <c r="E688" s="504">
        <v>95.992702824580817</v>
      </c>
      <c r="F688" s="517" t="s">
        <v>6233</v>
      </c>
      <c r="G688" s="517" t="s">
        <v>12372</v>
      </c>
      <c r="H688" s="518">
        <v>48</v>
      </c>
      <c r="I688" s="517" t="s">
        <v>6257</v>
      </c>
      <c r="J688" s="517" t="s">
        <v>12635</v>
      </c>
      <c r="K688" s="517" t="s">
        <v>6283</v>
      </c>
      <c r="L688" s="517">
        <v>1</v>
      </c>
      <c r="M688" s="308" t="s">
        <v>12638</v>
      </c>
    </row>
    <row r="689" spans="1:13" ht="11.1" customHeight="1">
      <c r="A689" s="501" t="s">
        <v>13568</v>
      </c>
      <c r="B689" s="280" t="s">
        <v>6231</v>
      </c>
      <c r="C689" s="515">
        <v>21491</v>
      </c>
      <c r="D689" s="503">
        <v>9.2193318118640288</v>
      </c>
      <c r="E689" s="504" t="s">
        <v>6251</v>
      </c>
      <c r="F689" s="278">
        <v>0</v>
      </c>
      <c r="G689" s="278" t="s">
        <v>13569</v>
      </c>
      <c r="H689" s="505">
        <v>45</v>
      </c>
      <c r="I689" s="278" t="s">
        <v>6264</v>
      </c>
      <c r="J689" s="278">
        <v>0</v>
      </c>
      <c r="K689" s="278" t="s">
        <v>6036</v>
      </c>
      <c r="L689" s="278">
        <v>0</v>
      </c>
      <c r="M689" s="308">
        <v>0</v>
      </c>
    </row>
    <row r="690" spans="1:13" ht="11.1" customHeight="1">
      <c r="A690" s="501" t="s">
        <v>13570</v>
      </c>
      <c r="B690" s="280" t="s">
        <v>6231</v>
      </c>
      <c r="C690" s="515">
        <v>10678</v>
      </c>
      <c r="D690" s="503">
        <v>4.5807093707637661</v>
      </c>
      <c r="E690" s="504" t="s">
        <v>6251</v>
      </c>
      <c r="F690" s="278">
        <v>0</v>
      </c>
      <c r="G690" s="278" t="s">
        <v>13571</v>
      </c>
      <c r="H690" s="505">
        <v>31</v>
      </c>
      <c r="I690" s="278" t="s">
        <v>6322</v>
      </c>
      <c r="J690" s="278">
        <v>0</v>
      </c>
      <c r="K690" s="278" t="s">
        <v>6036</v>
      </c>
      <c r="L690" s="278">
        <v>0</v>
      </c>
      <c r="M690" s="308">
        <v>0</v>
      </c>
    </row>
    <row r="691" spans="1:13" ht="11.1" customHeight="1">
      <c r="A691" s="501" t="s">
        <v>13572</v>
      </c>
      <c r="B691" s="280" t="s">
        <v>6231</v>
      </c>
      <c r="C691" s="515">
        <v>9705</v>
      </c>
      <c r="D691" s="503">
        <v>4.1633062786347956</v>
      </c>
      <c r="E691" s="504">
        <v>9.9465010453818721</v>
      </c>
      <c r="F691" s="278" t="s">
        <v>6233</v>
      </c>
      <c r="G691" s="278" t="s">
        <v>13573</v>
      </c>
      <c r="H691" s="505">
        <v>56</v>
      </c>
      <c r="I691" s="278" t="s">
        <v>6278</v>
      </c>
      <c r="J691" s="278">
        <v>0</v>
      </c>
      <c r="K691" s="278" t="s">
        <v>6036</v>
      </c>
      <c r="L691" s="278">
        <v>0</v>
      </c>
      <c r="M691" s="308">
        <v>0</v>
      </c>
    </row>
    <row r="692" spans="1:13" ht="11.1" customHeight="1">
      <c r="A692" s="507" t="s">
        <v>13574</v>
      </c>
      <c r="B692" s="508" t="s">
        <v>12590</v>
      </c>
      <c r="C692" s="509">
        <v>83077</v>
      </c>
      <c r="D692" s="510">
        <v>47.122785721983675</v>
      </c>
      <c r="E692" s="511" t="s">
        <v>6251</v>
      </c>
      <c r="F692" s="514" t="s">
        <v>6233</v>
      </c>
      <c r="G692" s="514" t="s">
        <v>13575</v>
      </c>
      <c r="H692" s="513">
        <v>62</v>
      </c>
      <c r="I692" s="514" t="s">
        <v>6253</v>
      </c>
      <c r="J692" s="514" t="s">
        <v>11989</v>
      </c>
      <c r="K692" s="514" t="s">
        <v>6209</v>
      </c>
      <c r="L692" s="514">
        <v>2</v>
      </c>
      <c r="M692" s="341">
        <v>0</v>
      </c>
    </row>
    <row r="693" spans="1:13" ht="11.1" customHeight="1">
      <c r="A693" s="501" t="s">
        <v>13576</v>
      </c>
      <c r="B693" s="280" t="s">
        <v>6230</v>
      </c>
      <c r="C693" s="515">
        <v>68646</v>
      </c>
      <c r="D693" s="503">
        <v>38.937259995802584</v>
      </c>
      <c r="E693" s="504">
        <v>82.629367935770432</v>
      </c>
      <c r="F693" s="278" t="s">
        <v>6233</v>
      </c>
      <c r="G693" s="278" t="s">
        <v>7828</v>
      </c>
      <c r="H693" s="505">
        <v>32</v>
      </c>
      <c r="I693" s="278" t="s">
        <v>6257</v>
      </c>
      <c r="J693" s="278" t="s">
        <v>12635</v>
      </c>
      <c r="K693" s="278" t="s">
        <v>6209</v>
      </c>
      <c r="L693" s="278">
        <v>1</v>
      </c>
      <c r="M693" s="308" t="s">
        <v>12638</v>
      </c>
    </row>
    <row r="694" spans="1:13" ht="11.1" customHeight="1">
      <c r="A694" s="501" t="s">
        <v>13577</v>
      </c>
      <c r="B694" s="280"/>
      <c r="C694" s="515">
        <v>22976</v>
      </c>
      <c r="D694" s="503">
        <v>13.032405175298782</v>
      </c>
      <c r="E694" s="504" t="s">
        <v>6262</v>
      </c>
      <c r="F694" s="278">
        <v>0</v>
      </c>
      <c r="G694" s="278" t="s">
        <v>13578</v>
      </c>
      <c r="H694" s="505">
        <v>60</v>
      </c>
      <c r="I694" s="278" t="s">
        <v>6264</v>
      </c>
      <c r="J694" s="278">
        <v>0</v>
      </c>
      <c r="K694" s="278" t="s">
        <v>6283</v>
      </c>
      <c r="L694" s="278">
        <v>1</v>
      </c>
      <c r="M694" s="308">
        <v>0</v>
      </c>
    </row>
    <row r="695" spans="1:13" ht="11.1" customHeight="1">
      <c r="A695" s="501" t="s">
        <v>13579</v>
      </c>
      <c r="B695" s="280" t="s">
        <v>6231</v>
      </c>
      <c r="C695" s="515">
        <v>1600</v>
      </c>
      <c r="D695" s="503">
        <v>0.90754910691495694</v>
      </c>
      <c r="E695" s="504" t="s">
        <v>6262</v>
      </c>
      <c r="F695" s="278">
        <v>0</v>
      </c>
      <c r="G695" s="278" t="s">
        <v>13580</v>
      </c>
      <c r="H695" s="505">
        <v>66</v>
      </c>
      <c r="I695" s="278" t="s">
        <v>6322</v>
      </c>
      <c r="J695" s="278">
        <v>0</v>
      </c>
      <c r="K695" s="278" t="s">
        <v>6036</v>
      </c>
      <c r="L695" s="278">
        <v>0</v>
      </c>
      <c r="M695" s="308">
        <v>0</v>
      </c>
    </row>
    <row r="696" spans="1:13" ht="11.1" customHeight="1">
      <c r="A696" s="507" t="s">
        <v>13581</v>
      </c>
      <c r="B696" s="508" t="s">
        <v>12590</v>
      </c>
      <c r="C696" s="509">
        <v>116834</v>
      </c>
      <c r="D696" s="510">
        <v>58.177019793352422</v>
      </c>
      <c r="E696" s="511" t="s">
        <v>6251</v>
      </c>
      <c r="F696" s="514" t="s">
        <v>6233</v>
      </c>
      <c r="G696" s="514" t="s">
        <v>7834</v>
      </c>
      <c r="H696" s="513">
        <v>54</v>
      </c>
      <c r="I696" s="514" t="s">
        <v>6253</v>
      </c>
      <c r="J696" s="514" t="s">
        <v>11989</v>
      </c>
      <c r="K696" s="514" t="s">
        <v>6209</v>
      </c>
      <c r="L696" s="514">
        <v>2</v>
      </c>
      <c r="M696" s="341">
        <v>0</v>
      </c>
    </row>
    <row r="697" spans="1:13" ht="11.1" customHeight="1">
      <c r="A697" s="501" t="s">
        <v>13582</v>
      </c>
      <c r="B697" s="280" t="s">
        <v>6230</v>
      </c>
      <c r="C697" s="515">
        <v>47835</v>
      </c>
      <c r="D697" s="503">
        <v>23.819245611851112</v>
      </c>
      <c r="E697" s="504" t="s">
        <v>6262</v>
      </c>
      <c r="F697" s="278">
        <v>0</v>
      </c>
      <c r="G697" s="278" t="s">
        <v>13583</v>
      </c>
      <c r="H697" s="505">
        <v>59</v>
      </c>
      <c r="I697" s="278" t="s">
        <v>6322</v>
      </c>
      <c r="J697" s="278" t="s">
        <v>6323</v>
      </c>
      <c r="K697" s="278" t="s">
        <v>6036</v>
      </c>
      <c r="L697" s="278">
        <v>0</v>
      </c>
      <c r="M697" s="308">
        <v>0</v>
      </c>
    </row>
    <row r="698" spans="1:13" ht="11.1" customHeight="1">
      <c r="A698" s="501" t="s">
        <v>13584</v>
      </c>
      <c r="B698" s="280"/>
      <c r="C698" s="515">
        <v>27557</v>
      </c>
      <c r="D698" s="503">
        <v>13.721897174156604</v>
      </c>
      <c r="E698" s="504" t="s">
        <v>6262</v>
      </c>
      <c r="F698" s="278">
        <v>0</v>
      </c>
      <c r="G698" s="278" t="s">
        <v>7838</v>
      </c>
      <c r="H698" s="505">
        <v>49</v>
      </c>
      <c r="I698" s="278" t="s">
        <v>6264</v>
      </c>
      <c r="J698" s="278">
        <v>0</v>
      </c>
      <c r="K698" s="278" t="s">
        <v>6036</v>
      </c>
      <c r="L698" s="278">
        <v>0</v>
      </c>
      <c r="M698" s="308">
        <v>0</v>
      </c>
    </row>
    <row r="699" spans="1:13" ht="11.1" customHeight="1">
      <c r="A699" s="501" t="s">
        <v>13585</v>
      </c>
      <c r="B699" s="280" t="s">
        <v>6231</v>
      </c>
      <c r="C699" s="515">
        <v>8599</v>
      </c>
      <c r="D699" s="503">
        <v>4.2818374206398602</v>
      </c>
      <c r="E699" s="504" t="s">
        <v>6262</v>
      </c>
      <c r="F699" s="278">
        <v>0</v>
      </c>
      <c r="G699" s="278" t="s">
        <v>13586</v>
      </c>
      <c r="H699" s="505">
        <v>50</v>
      </c>
      <c r="I699" s="278" t="s">
        <v>6322</v>
      </c>
      <c r="J699" s="278">
        <v>0</v>
      </c>
      <c r="K699" s="278" t="s">
        <v>6036</v>
      </c>
      <c r="L699" s="278">
        <v>0</v>
      </c>
      <c r="M699" s="308">
        <v>0</v>
      </c>
    </row>
    <row r="700" spans="1:13" ht="11.1" customHeight="1">
      <c r="A700" s="507" t="s">
        <v>13587</v>
      </c>
      <c r="B700" s="508" t="s">
        <v>12590</v>
      </c>
      <c r="C700" s="509">
        <v>82190</v>
      </c>
      <c r="D700" s="510">
        <v>44.551530493324591</v>
      </c>
      <c r="E700" s="511" t="s">
        <v>6251</v>
      </c>
      <c r="F700" s="514" t="s">
        <v>6233</v>
      </c>
      <c r="G700" s="514" t="s">
        <v>7842</v>
      </c>
      <c r="H700" s="513">
        <v>44</v>
      </c>
      <c r="I700" s="514" t="s">
        <v>6253</v>
      </c>
      <c r="J700" s="514" t="s">
        <v>11994</v>
      </c>
      <c r="K700" s="514" t="s">
        <v>6209</v>
      </c>
      <c r="L700" s="514">
        <v>3</v>
      </c>
      <c r="M700" s="341">
        <v>0</v>
      </c>
    </row>
    <row r="701" spans="1:13" ht="11.1" customHeight="1">
      <c r="A701" s="501" t="s">
        <v>13588</v>
      </c>
      <c r="B701" s="516" t="s">
        <v>12602</v>
      </c>
      <c r="C701" s="515">
        <v>81270</v>
      </c>
      <c r="D701" s="503">
        <v>44.052839557032357</v>
      </c>
      <c r="E701" s="504">
        <v>98.880642413918963</v>
      </c>
      <c r="F701" s="517" t="s">
        <v>6233</v>
      </c>
      <c r="G701" s="517" t="s">
        <v>7844</v>
      </c>
      <c r="H701" s="518">
        <v>52</v>
      </c>
      <c r="I701" s="517" t="s">
        <v>6257</v>
      </c>
      <c r="J701" s="517" t="s">
        <v>12028</v>
      </c>
      <c r="K701" s="517" t="s">
        <v>6209</v>
      </c>
      <c r="L701" s="517">
        <v>1</v>
      </c>
      <c r="M701" s="308" t="s">
        <v>12638</v>
      </c>
    </row>
    <row r="702" spans="1:13" ht="11.1" customHeight="1">
      <c r="A702" s="501" t="s">
        <v>13589</v>
      </c>
      <c r="B702" s="280"/>
      <c r="C702" s="515">
        <v>21023</v>
      </c>
      <c r="D702" s="503">
        <v>11.395629949643057</v>
      </c>
      <c r="E702" s="504" t="s">
        <v>6262</v>
      </c>
      <c r="F702" s="278">
        <v>0</v>
      </c>
      <c r="G702" s="278" t="s">
        <v>13590</v>
      </c>
      <c r="H702" s="505">
        <v>55</v>
      </c>
      <c r="I702" s="278" t="s">
        <v>6264</v>
      </c>
      <c r="J702" s="278">
        <v>0</v>
      </c>
      <c r="K702" s="278" t="s">
        <v>6036</v>
      </c>
      <c r="L702" s="278">
        <v>0</v>
      </c>
      <c r="M702" s="308">
        <v>0</v>
      </c>
    </row>
    <row r="703" spans="1:13" ht="11.1" customHeight="1">
      <c r="A703" s="507" t="s">
        <v>13591</v>
      </c>
      <c r="B703" s="519" t="s">
        <v>12590</v>
      </c>
      <c r="C703" s="520">
        <v>97311</v>
      </c>
      <c r="D703" s="521">
        <v>49.668488829681351</v>
      </c>
      <c r="E703" s="522" t="s">
        <v>6251</v>
      </c>
      <c r="F703" s="523" t="s">
        <v>6233</v>
      </c>
      <c r="G703" s="523" t="s">
        <v>13592</v>
      </c>
      <c r="H703" s="524">
        <v>63</v>
      </c>
      <c r="I703" s="523" t="s">
        <v>6257</v>
      </c>
      <c r="J703" s="523" t="s">
        <v>12651</v>
      </c>
      <c r="K703" s="523" t="s">
        <v>6209</v>
      </c>
      <c r="L703" s="523">
        <v>2</v>
      </c>
      <c r="M703" s="525" t="s">
        <v>12638</v>
      </c>
    </row>
    <row r="704" spans="1:13" ht="11.1" customHeight="1">
      <c r="A704" s="501" t="s">
        <v>13593</v>
      </c>
      <c r="B704" s="280" t="s">
        <v>6230</v>
      </c>
      <c r="C704" s="515">
        <v>65164</v>
      </c>
      <c r="D704" s="503">
        <v>33.260344730784347</v>
      </c>
      <c r="E704" s="504">
        <v>66.964680251975622</v>
      </c>
      <c r="F704" s="278" t="s">
        <v>6233</v>
      </c>
      <c r="G704" s="278" t="s">
        <v>13594</v>
      </c>
      <c r="H704" s="505">
        <v>32</v>
      </c>
      <c r="I704" s="278" t="s">
        <v>6253</v>
      </c>
      <c r="J704" s="278" t="s">
        <v>12007</v>
      </c>
      <c r="K704" s="278" t="s">
        <v>6036</v>
      </c>
      <c r="L704" s="278">
        <v>0</v>
      </c>
      <c r="M704" s="308">
        <v>0</v>
      </c>
    </row>
    <row r="705" spans="1:13" ht="11.1" customHeight="1">
      <c r="A705" s="501" t="s">
        <v>13595</v>
      </c>
      <c r="B705" s="516" t="s">
        <v>12602</v>
      </c>
      <c r="C705" s="515">
        <v>33446</v>
      </c>
      <c r="D705" s="503">
        <v>17.071166439534302</v>
      </c>
      <c r="E705" s="504">
        <v>34.370215083597948</v>
      </c>
      <c r="F705" s="573" t="s">
        <v>6233</v>
      </c>
      <c r="G705" s="573" t="s">
        <v>7855</v>
      </c>
      <c r="H705" s="574">
        <v>60</v>
      </c>
      <c r="I705" s="573" t="s">
        <v>6264</v>
      </c>
      <c r="J705" s="573">
        <v>0</v>
      </c>
      <c r="K705" s="573" t="s">
        <v>6209</v>
      </c>
      <c r="L705" s="573">
        <v>4</v>
      </c>
      <c r="M705" s="308">
        <v>0</v>
      </c>
    </row>
    <row r="706" spans="1:13" ht="11.1" customHeight="1">
      <c r="A706" s="507" t="s">
        <v>13596</v>
      </c>
      <c r="B706" s="519" t="s">
        <v>12590</v>
      </c>
      <c r="C706" s="520">
        <v>111543</v>
      </c>
      <c r="D706" s="521">
        <v>50.368701259409448</v>
      </c>
      <c r="E706" s="522" t="s">
        <v>6251</v>
      </c>
      <c r="F706" s="523" t="s">
        <v>6233</v>
      </c>
      <c r="G706" s="523" t="s">
        <v>12378</v>
      </c>
      <c r="H706" s="524">
        <v>56</v>
      </c>
      <c r="I706" s="523" t="s">
        <v>6257</v>
      </c>
      <c r="J706" s="523" t="s">
        <v>12631</v>
      </c>
      <c r="K706" s="523" t="s">
        <v>6209</v>
      </c>
      <c r="L706" s="523">
        <v>2</v>
      </c>
      <c r="M706" s="525" t="s">
        <v>12638</v>
      </c>
    </row>
    <row r="707" spans="1:13" ht="11.1" customHeight="1">
      <c r="A707" s="501" t="s">
        <v>13597</v>
      </c>
      <c r="B707" s="280" t="s">
        <v>6230</v>
      </c>
      <c r="C707" s="515">
        <v>78654</v>
      </c>
      <c r="D707" s="503">
        <v>35.517242936424431</v>
      </c>
      <c r="E707" s="504">
        <v>70.514510099244234</v>
      </c>
      <c r="F707" s="278" t="s">
        <v>6233</v>
      </c>
      <c r="G707" s="278" t="s">
        <v>12379</v>
      </c>
      <c r="H707" s="505">
        <v>40</v>
      </c>
      <c r="I707" s="278" t="s">
        <v>6253</v>
      </c>
      <c r="J707" s="278" t="s">
        <v>12007</v>
      </c>
      <c r="K707" s="278" t="s">
        <v>6036</v>
      </c>
      <c r="L707" s="278">
        <v>0</v>
      </c>
      <c r="M707" s="308">
        <v>0</v>
      </c>
    </row>
    <row r="708" spans="1:13" ht="11.1" customHeight="1">
      <c r="A708" s="501" t="s">
        <v>13598</v>
      </c>
      <c r="B708" s="280"/>
      <c r="C708" s="515">
        <v>31256</v>
      </c>
      <c r="D708" s="503">
        <v>14.114055804166121</v>
      </c>
      <c r="E708" s="504" t="s">
        <v>6262</v>
      </c>
      <c r="F708" s="278">
        <v>0</v>
      </c>
      <c r="G708" s="278" t="s">
        <v>7863</v>
      </c>
      <c r="H708" s="505">
        <v>55</v>
      </c>
      <c r="I708" s="278" t="s">
        <v>6264</v>
      </c>
      <c r="J708" s="278">
        <v>0</v>
      </c>
      <c r="K708" s="278" t="s">
        <v>6036</v>
      </c>
      <c r="L708" s="278">
        <v>0</v>
      </c>
      <c r="M708" s="308">
        <v>0</v>
      </c>
    </row>
    <row r="709" spans="1:13" ht="11.1" customHeight="1">
      <c r="A709" s="507" t="s">
        <v>13599</v>
      </c>
      <c r="B709" s="519" t="s">
        <v>12590</v>
      </c>
      <c r="C709" s="520">
        <v>107323</v>
      </c>
      <c r="D709" s="521">
        <v>49.680364028570501</v>
      </c>
      <c r="E709" s="522" t="s">
        <v>6251</v>
      </c>
      <c r="F709" s="523" t="s">
        <v>6233</v>
      </c>
      <c r="G709" s="523" t="s">
        <v>7871</v>
      </c>
      <c r="H709" s="524">
        <v>62</v>
      </c>
      <c r="I709" s="523" t="s">
        <v>6257</v>
      </c>
      <c r="J709" s="523" t="s">
        <v>12651</v>
      </c>
      <c r="K709" s="523" t="s">
        <v>6209</v>
      </c>
      <c r="L709" s="523">
        <v>2</v>
      </c>
      <c r="M709" s="525" t="s">
        <v>12638</v>
      </c>
    </row>
    <row r="710" spans="1:13" ht="11.1" customHeight="1">
      <c r="A710" s="501" t="s">
        <v>13600</v>
      </c>
      <c r="B710" s="280" t="s">
        <v>6230</v>
      </c>
      <c r="C710" s="515">
        <v>79830</v>
      </c>
      <c r="D710" s="503">
        <v>36.953714119068451</v>
      </c>
      <c r="E710" s="504">
        <v>74.382937487770562</v>
      </c>
      <c r="F710" s="278" t="s">
        <v>6233</v>
      </c>
      <c r="G710" s="278" t="s">
        <v>13601</v>
      </c>
      <c r="H710" s="505">
        <v>58</v>
      </c>
      <c r="I710" s="278" t="s">
        <v>6253</v>
      </c>
      <c r="J710" s="278" t="s">
        <v>11994</v>
      </c>
      <c r="K710" s="278" t="s">
        <v>6036</v>
      </c>
      <c r="L710" s="278">
        <v>0</v>
      </c>
      <c r="M710" s="308">
        <v>0</v>
      </c>
    </row>
    <row r="711" spans="1:13" ht="11.1" customHeight="1">
      <c r="A711" s="501" t="s">
        <v>13602</v>
      </c>
      <c r="B711" s="280"/>
      <c r="C711" s="515">
        <v>28874</v>
      </c>
      <c r="D711" s="503">
        <v>13.365921852361048</v>
      </c>
      <c r="E711" s="504" t="s">
        <v>6262</v>
      </c>
      <c r="F711" s="278">
        <v>0</v>
      </c>
      <c r="G711" s="278" t="s">
        <v>7873</v>
      </c>
      <c r="H711" s="505">
        <v>60</v>
      </c>
      <c r="I711" s="278" t="s">
        <v>6264</v>
      </c>
      <c r="J711" s="278">
        <v>0</v>
      </c>
      <c r="K711" s="278" t="s">
        <v>6036</v>
      </c>
      <c r="L711" s="278">
        <v>0</v>
      </c>
      <c r="M711" s="308">
        <v>0</v>
      </c>
    </row>
    <row r="712" spans="1:13" ht="11.1" customHeight="1">
      <c r="A712" s="507" t="s">
        <v>13603</v>
      </c>
      <c r="B712" s="566" t="s">
        <v>12590</v>
      </c>
      <c r="C712" s="567">
        <v>74718</v>
      </c>
      <c r="D712" s="568">
        <v>46.116813460149736</v>
      </c>
      <c r="E712" s="569" t="s">
        <v>6262</v>
      </c>
      <c r="F712" s="570">
        <v>0</v>
      </c>
      <c r="G712" s="570" t="s">
        <v>7879</v>
      </c>
      <c r="H712" s="571">
        <v>50</v>
      </c>
      <c r="I712" s="570" t="s">
        <v>6929</v>
      </c>
      <c r="J712" s="570">
        <v>0</v>
      </c>
      <c r="K712" s="570" t="s">
        <v>6209</v>
      </c>
      <c r="L712" s="570">
        <v>4</v>
      </c>
      <c r="M712" s="572" t="s">
        <v>12911</v>
      </c>
    </row>
    <row r="713" spans="1:13" ht="11.1" customHeight="1">
      <c r="A713" s="501" t="s">
        <v>13604</v>
      </c>
      <c r="B713" s="516" t="s">
        <v>12602</v>
      </c>
      <c r="C713" s="515">
        <v>63867</v>
      </c>
      <c r="D713" s="503">
        <v>39.419450805152479</v>
      </c>
      <c r="E713" s="504">
        <v>85.47739500521962</v>
      </c>
      <c r="F713" s="512" t="s">
        <v>6233</v>
      </c>
      <c r="G713" s="512" t="s">
        <v>12380</v>
      </c>
      <c r="H713" s="526">
        <v>36</v>
      </c>
      <c r="I713" s="512" t="s">
        <v>6253</v>
      </c>
      <c r="J713" s="512" t="s">
        <v>12007</v>
      </c>
      <c r="K713" s="512" t="s">
        <v>6036</v>
      </c>
      <c r="L713" s="512">
        <v>0</v>
      </c>
      <c r="M713" s="308">
        <v>0</v>
      </c>
    </row>
    <row r="714" spans="1:13" ht="11.1" customHeight="1">
      <c r="A714" s="501" t="s">
        <v>13605</v>
      </c>
      <c r="B714" s="280"/>
      <c r="C714" s="515">
        <v>23434</v>
      </c>
      <c r="D714" s="503">
        <v>14.463735734697782</v>
      </c>
      <c r="E714" s="504" t="s">
        <v>6262</v>
      </c>
      <c r="F714" s="278">
        <v>0</v>
      </c>
      <c r="G714" s="278" t="s">
        <v>13606</v>
      </c>
      <c r="H714" s="505">
        <v>62</v>
      </c>
      <c r="I714" s="278" t="s">
        <v>6264</v>
      </c>
      <c r="J714" s="278">
        <v>0</v>
      </c>
      <c r="K714" s="278" t="s">
        <v>6036</v>
      </c>
      <c r="L714" s="278">
        <v>0</v>
      </c>
      <c r="M714" s="308">
        <v>0</v>
      </c>
    </row>
    <row r="715" spans="1:13" ht="11.1" customHeight="1">
      <c r="A715" s="507" t="s">
        <v>13607</v>
      </c>
      <c r="B715" s="508" t="s">
        <v>12590</v>
      </c>
      <c r="C715" s="509">
        <v>69861</v>
      </c>
      <c r="D715" s="510">
        <v>40.314036424070352</v>
      </c>
      <c r="E715" s="511" t="s">
        <v>6251</v>
      </c>
      <c r="F715" s="514" t="s">
        <v>6233</v>
      </c>
      <c r="G715" s="514" t="s">
        <v>7889</v>
      </c>
      <c r="H715" s="513">
        <v>55</v>
      </c>
      <c r="I715" s="514" t="s">
        <v>6253</v>
      </c>
      <c r="J715" s="514" t="s">
        <v>12020</v>
      </c>
      <c r="K715" s="514" t="s">
        <v>6209</v>
      </c>
      <c r="L715" s="514">
        <v>3</v>
      </c>
      <c r="M715" s="341">
        <v>0</v>
      </c>
    </row>
    <row r="716" spans="1:13" ht="11.1" customHeight="1">
      <c r="A716" s="501" t="s">
        <v>13608</v>
      </c>
      <c r="B716" s="280" t="s">
        <v>6230</v>
      </c>
      <c r="C716" s="515">
        <v>52258</v>
      </c>
      <c r="D716" s="503">
        <v>30.156037208872885</v>
      </c>
      <c r="E716" s="504">
        <v>74.802822748028234</v>
      </c>
      <c r="F716" s="278" t="s">
        <v>6233</v>
      </c>
      <c r="G716" s="278" t="s">
        <v>7887</v>
      </c>
      <c r="H716" s="505">
        <v>64</v>
      </c>
      <c r="I716" s="278" t="s">
        <v>6257</v>
      </c>
      <c r="J716" s="278" t="s">
        <v>12621</v>
      </c>
      <c r="K716" s="278" t="s">
        <v>6209</v>
      </c>
      <c r="L716" s="278">
        <v>1</v>
      </c>
      <c r="M716" s="308">
        <v>0</v>
      </c>
    </row>
    <row r="717" spans="1:13" ht="11.1" customHeight="1">
      <c r="A717" s="501" t="s">
        <v>13609</v>
      </c>
      <c r="B717" s="280"/>
      <c r="C717" s="515">
        <v>26236</v>
      </c>
      <c r="D717" s="503">
        <v>15.139764097592503</v>
      </c>
      <c r="E717" s="504" t="s">
        <v>6262</v>
      </c>
      <c r="F717" s="278">
        <v>0</v>
      </c>
      <c r="G717" s="278" t="s">
        <v>13610</v>
      </c>
      <c r="H717" s="505">
        <v>52</v>
      </c>
      <c r="I717" s="278" t="s">
        <v>6264</v>
      </c>
      <c r="J717" s="278">
        <v>0</v>
      </c>
      <c r="K717" s="278" t="s">
        <v>6036</v>
      </c>
      <c r="L717" s="278">
        <v>0</v>
      </c>
      <c r="M717" s="308">
        <v>0</v>
      </c>
    </row>
    <row r="718" spans="1:13" ht="11.1" customHeight="1">
      <c r="A718" s="501" t="s">
        <v>13611</v>
      </c>
      <c r="B718" s="280"/>
      <c r="C718" s="515">
        <v>24937</v>
      </c>
      <c r="D718" s="503">
        <v>14.390162269464257</v>
      </c>
      <c r="E718" s="504" t="s">
        <v>6262</v>
      </c>
      <c r="F718" s="278">
        <v>0</v>
      </c>
      <c r="G718" s="278" t="s">
        <v>13612</v>
      </c>
      <c r="H718" s="505">
        <v>54</v>
      </c>
      <c r="I718" s="278" t="s">
        <v>6322</v>
      </c>
      <c r="J718" s="278" t="s">
        <v>12783</v>
      </c>
      <c r="K718" s="278" t="s">
        <v>6036</v>
      </c>
      <c r="L718" s="278">
        <v>0</v>
      </c>
      <c r="M718" s="308">
        <v>0</v>
      </c>
    </row>
    <row r="719" spans="1:13" ht="11.1" customHeight="1">
      <c r="A719" s="507" t="s">
        <v>13613</v>
      </c>
      <c r="B719" s="519" t="s">
        <v>12590</v>
      </c>
      <c r="C719" s="520">
        <v>108996</v>
      </c>
      <c r="D719" s="521">
        <v>47.943415895805018</v>
      </c>
      <c r="E719" s="522" t="s">
        <v>6262</v>
      </c>
      <c r="F719" s="523">
        <v>0</v>
      </c>
      <c r="G719" s="523" t="s">
        <v>7896</v>
      </c>
      <c r="H719" s="524">
        <v>79</v>
      </c>
      <c r="I719" s="523" t="s">
        <v>6257</v>
      </c>
      <c r="J719" s="523" t="s">
        <v>12617</v>
      </c>
      <c r="K719" s="523" t="s">
        <v>6209</v>
      </c>
      <c r="L719" s="523">
        <v>5</v>
      </c>
      <c r="M719" s="525" t="s">
        <v>12638</v>
      </c>
    </row>
    <row r="720" spans="1:13" ht="11.1" customHeight="1">
      <c r="A720" s="501" t="s">
        <v>13614</v>
      </c>
      <c r="B720" s="516" t="s">
        <v>12602</v>
      </c>
      <c r="C720" s="515">
        <v>89930</v>
      </c>
      <c r="D720" s="503">
        <v>39.556968985189776</v>
      </c>
      <c r="E720" s="504">
        <v>82.507614958347091</v>
      </c>
      <c r="F720" s="512" t="s">
        <v>6233</v>
      </c>
      <c r="G720" s="512" t="s">
        <v>12383</v>
      </c>
      <c r="H720" s="526">
        <v>52</v>
      </c>
      <c r="I720" s="512" t="s">
        <v>6253</v>
      </c>
      <c r="J720" s="512" t="s">
        <v>11989</v>
      </c>
      <c r="K720" s="512" t="s">
        <v>6036</v>
      </c>
      <c r="L720" s="512">
        <v>0</v>
      </c>
      <c r="M720" s="308">
        <v>0</v>
      </c>
    </row>
    <row r="721" spans="1:13" ht="11.1" customHeight="1">
      <c r="A721" s="582" t="s">
        <v>13615</v>
      </c>
      <c r="B721" s="583"/>
      <c r="C721" s="584">
        <v>28417</v>
      </c>
      <c r="D721" s="585">
        <v>12.499615119005204</v>
      </c>
      <c r="E721" s="586" t="s">
        <v>6262</v>
      </c>
      <c r="F721" s="506">
        <v>0</v>
      </c>
      <c r="G721" s="506" t="s">
        <v>7898</v>
      </c>
      <c r="H721" s="587">
        <v>36</v>
      </c>
      <c r="I721" s="506" t="s">
        <v>6264</v>
      </c>
      <c r="J721" s="506">
        <v>0</v>
      </c>
      <c r="K721" s="506" t="s">
        <v>6036</v>
      </c>
      <c r="L721" s="506">
        <v>0</v>
      </c>
      <c r="M721" s="344">
        <v>0</v>
      </c>
    </row>
    <row r="722" spans="1:13" ht="11.1" customHeight="1">
      <c r="A722" s="507" t="s">
        <v>13616</v>
      </c>
      <c r="B722" s="508" t="s">
        <v>12590</v>
      </c>
      <c r="C722" s="509">
        <v>75369</v>
      </c>
      <c r="D722" s="510">
        <v>47.206528955642689</v>
      </c>
      <c r="E722" s="511" t="s">
        <v>6251</v>
      </c>
      <c r="F722" s="514" t="s">
        <v>6233</v>
      </c>
      <c r="G722" s="514" t="s">
        <v>12384</v>
      </c>
      <c r="H722" s="513">
        <v>35</v>
      </c>
      <c r="I722" s="514" t="s">
        <v>6253</v>
      </c>
      <c r="J722" s="514" t="s">
        <v>12007</v>
      </c>
      <c r="K722" s="514" t="s">
        <v>6036</v>
      </c>
      <c r="L722" s="514">
        <v>0</v>
      </c>
      <c r="M722" s="341">
        <v>0</v>
      </c>
    </row>
    <row r="723" spans="1:13" ht="11.1" customHeight="1">
      <c r="A723" s="501" t="s">
        <v>13617</v>
      </c>
      <c r="B723" s="280" t="s">
        <v>6230</v>
      </c>
      <c r="C723" s="515">
        <v>42284</v>
      </c>
      <c r="D723" s="503">
        <v>26.484109784664721</v>
      </c>
      <c r="E723" s="504" t="s">
        <v>6262</v>
      </c>
      <c r="F723" s="278">
        <v>0</v>
      </c>
      <c r="G723" s="278" t="s">
        <v>7904</v>
      </c>
      <c r="H723" s="505">
        <v>57</v>
      </c>
      <c r="I723" s="278" t="s">
        <v>12757</v>
      </c>
      <c r="J723" s="278">
        <v>0</v>
      </c>
      <c r="K723" s="278" t="s">
        <v>6209</v>
      </c>
      <c r="L723" s="278">
        <v>2</v>
      </c>
      <c r="M723" s="308" t="s">
        <v>7394</v>
      </c>
    </row>
    <row r="724" spans="1:13" ht="11.1" customHeight="1">
      <c r="A724" s="501" t="s">
        <v>13618</v>
      </c>
      <c r="B724" s="280" t="s">
        <v>6230</v>
      </c>
      <c r="C724" s="515">
        <v>27043</v>
      </c>
      <c r="D724" s="503">
        <v>16.938080146312743</v>
      </c>
      <c r="E724" s="504" t="s">
        <v>6262</v>
      </c>
      <c r="F724" s="278">
        <v>0</v>
      </c>
      <c r="G724" s="278" t="s">
        <v>13619</v>
      </c>
      <c r="H724" s="505">
        <v>56</v>
      </c>
      <c r="I724" s="278" t="s">
        <v>6322</v>
      </c>
      <c r="J724" s="278" t="s">
        <v>6323</v>
      </c>
      <c r="K724" s="278" t="s">
        <v>6036</v>
      </c>
      <c r="L724" s="278">
        <v>0</v>
      </c>
      <c r="M724" s="308">
        <v>0</v>
      </c>
    </row>
    <row r="725" spans="1:13" ht="11.1" customHeight="1" thickBot="1">
      <c r="A725" s="527" t="s">
        <v>13620</v>
      </c>
      <c r="B725" s="528" t="s">
        <v>6231</v>
      </c>
      <c r="C725" s="529">
        <v>14962</v>
      </c>
      <c r="D725" s="530">
        <v>9.3712811133798493</v>
      </c>
      <c r="E725" s="531" t="s">
        <v>6262</v>
      </c>
      <c r="F725" s="532">
        <v>0</v>
      </c>
      <c r="G725" s="532" t="s">
        <v>12385</v>
      </c>
      <c r="H725" s="533">
        <v>62</v>
      </c>
      <c r="I725" s="532" t="s">
        <v>6264</v>
      </c>
      <c r="J725" s="532">
        <v>0</v>
      </c>
      <c r="K725" s="532" t="s">
        <v>6036</v>
      </c>
      <c r="L725" s="532">
        <v>0</v>
      </c>
      <c r="M725" s="347">
        <v>0</v>
      </c>
    </row>
    <row r="726" spans="1:13" ht="11.1" customHeight="1">
      <c r="A726" s="493" t="s">
        <v>13621</v>
      </c>
      <c r="B726" s="534" t="s">
        <v>12590</v>
      </c>
      <c r="C726" s="535">
        <v>71587</v>
      </c>
      <c r="D726" s="536">
        <v>38.719744706168697</v>
      </c>
      <c r="E726" s="537" t="s">
        <v>6251</v>
      </c>
      <c r="F726" s="538" t="s">
        <v>6233</v>
      </c>
      <c r="G726" s="538" t="s">
        <v>13622</v>
      </c>
      <c r="H726" s="539">
        <v>69</v>
      </c>
      <c r="I726" s="538" t="s">
        <v>6257</v>
      </c>
      <c r="J726" s="538" t="s">
        <v>12028</v>
      </c>
      <c r="K726" s="538" t="s">
        <v>6209</v>
      </c>
      <c r="L726" s="538">
        <v>2</v>
      </c>
      <c r="M726" s="373" t="s">
        <v>12638</v>
      </c>
    </row>
    <row r="727" spans="1:13" ht="11.1" customHeight="1">
      <c r="A727" s="501" t="s">
        <v>13623</v>
      </c>
      <c r="B727" s="516" t="s">
        <v>12602</v>
      </c>
      <c r="C727" s="515">
        <v>70792</v>
      </c>
      <c r="D727" s="503">
        <v>38.289747680990885</v>
      </c>
      <c r="E727" s="504">
        <v>98.889463170687421</v>
      </c>
      <c r="F727" s="512" t="s">
        <v>6233</v>
      </c>
      <c r="G727" s="512" t="s">
        <v>12386</v>
      </c>
      <c r="H727" s="526">
        <v>69</v>
      </c>
      <c r="I727" s="512" t="s">
        <v>6253</v>
      </c>
      <c r="J727" s="512" t="s">
        <v>11994</v>
      </c>
      <c r="K727" s="512" t="s">
        <v>6209</v>
      </c>
      <c r="L727" s="512">
        <v>10</v>
      </c>
      <c r="M727" s="308">
        <v>0</v>
      </c>
    </row>
    <row r="728" spans="1:13" ht="11.1" customHeight="1">
      <c r="A728" s="501" t="s">
        <v>13624</v>
      </c>
      <c r="B728" s="280"/>
      <c r="C728" s="515">
        <v>21423</v>
      </c>
      <c r="D728" s="503">
        <v>11.587202855829299</v>
      </c>
      <c r="E728" s="504" t="s">
        <v>6262</v>
      </c>
      <c r="F728" s="278">
        <v>0</v>
      </c>
      <c r="G728" s="278" t="s">
        <v>12388</v>
      </c>
      <c r="H728" s="505">
        <v>53</v>
      </c>
      <c r="I728" s="278" t="s">
        <v>6322</v>
      </c>
      <c r="J728" s="278">
        <v>0</v>
      </c>
      <c r="K728" s="278" t="s">
        <v>6036</v>
      </c>
      <c r="L728" s="278">
        <v>0</v>
      </c>
      <c r="M728" s="308" t="s">
        <v>6036</v>
      </c>
    </row>
    <row r="729" spans="1:13" ht="11.1" customHeight="1">
      <c r="A729" s="501" t="s">
        <v>13625</v>
      </c>
      <c r="B729" s="280"/>
      <c r="C729" s="515">
        <v>21083</v>
      </c>
      <c r="D729" s="503">
        <v>11.403304757011115</v>
      </c>
      <c r="E729" s="504" t="s">
        <v>6262</v>
      </c>
      <c r="F729" s="278">
        <v>0</v>
      </c>
      <c r="G729" s="278" t="s">
        <v>13626</v>
      </c>
      <c r="H729" s="505">
        <v>61</v>
      </c>
      <c r="I729" s="278" t="s">
        <v>6264</v>
      </c>
      <c r="J729" s="278">
        <v>0</v>
      </c>
      <c r="K729" s="278" t="s">
        <v>6036</v>
      </c>
      <c r="L729" s="278">
        <v>0</v>
      </c>
      <c r="M729" s="308">
        <v>0</v>
      </c>
    </row>
    <row r="730" spans="1:13" ht="11.1" customHeight="1">
      <c r="A730" s="507" t="s">
        <v>13627</v>
      </c>
      <c r="B730" s="566" t="s">
        <v>12590</v>
      </c>
      <c r="C730" s="567">
        <v>83379</v>
      </c>
      <c r="D730" s="568">
        <v>43.212749416947396</v>
      </c>
      <c r="E730" s="569" t="s">
        <v>6262</v>
      </c>
      <c r="F730" s="570">
        <v>0</v>
      </c>
      <c r="G730" s="570" t="s">
        <v>7924</v>
      </c>
      <c r="H730" s="571">
        <v>45</v>
      </c>
      <c r="I730" s="570" t="s">
        <v>6929</v>
      </c>
      <c r="J730" s="570">
        <v>0</v>
      </c>
      <c r="K730" s="570" t="s">
        <v>6209</v>
      </c>
      <c r="L730" s="570">
        <v>3</v>
      </c>
      <c r="M730" s="572" t="s">
        <v>12911</v>
      </c>
    </row>
    <row r="731" spans="1:13" ht="11.1" customHeight="1">
      <c r="A731" s="501" t="s">
        <v>13628</v>
      </c>
      <c r="B731" s="516" t="s">
        <v>12602</v>
      </c>
      <c r="C731" s="515">
        <v>80061</v>
      </c>
      <c r="D731" s="503">
        <v>41.493132935993778</v>
      </c>
      <c r="E731" s="504">
        <v>96.020580721764475</v>
      </c>
      <c r="F731" s="512" t="s">
        <v>6233</v>
      </c>
      <c r="G731" s="512" t="s">
        <v>12394</v>
      </c>
      <c r="H731" s="526">
        <v>40</v>
      </c>
      <c r="I731" s="512" t="s">
        <v>6253</v>
      </c>
      <c r="J731" s="512" t="s">
        <v>12007</v>
      </c>
      <c r="K731" s="512" t="s">
        <v>6036</v>
      </c>
      <c r="L731" s="512">
        <v>0</v>
      </c>
      <c r="M731" s="308">
        <v>0</v>
      </c>
    </row>
    <row r="732" spans="1:13" ht="11.1" customHeight="1">
      <c r="A732" s="501" t="s">
        <v>13629</v>
      </c>
      <c r="B732" s="280"/>
      <c r="C732" s="515">
        <v>29510</v>
      </c>
      <c r="D732" s="503">
        <v>15.294117647058824</v>
      </c>
      <c r="E732" s="504">
        <v>35.392604852540806</v>
      </c>
      <c r="F732" s="278" t="s">
        <v>6233</v>
      </c>
      <c r="G732" s="278" t="s">
        <v>12395</v>
      </c>
      <c r="H732" s="505">
        <v>54</v>
      </c>
      <c r="I732" s="278" t="s">
        <v>6264</v>
      </c>
      <c r="J732" s="278">
        <v>0</v>
      </c>
      <c r="K732" s="278" t="s">
        <v>6036</v>
      </c>
      <c r="L732" s="278">
        <v>0</v>
      </c>
      <c r="M732" s="308">
        <v>0</v>
      </c>
    </row>
    <row r="733" spans="1:13" ht="11.1" customHeight="1">
      <c r="A733" s="507" t="s">
        <v>13630</v>
      </c>
      <c r="B733" s="508" t="s">
        <v>12590</v>
      </c>
      <c r="C733" s="509">
        <v>88767</v>
      </c>
      <c r="D733" s="510">
        <v>51.097743495279758</v>
      </c>
      <c r="E733" s="511" t="s">
        <v>6251</v>
      </c>
      <c r="F733" s="514" t="s">
        <v>6233</v>
      </c>
      <c r="G733" s="514" t="s">
        <v>7930</v>
      </c>
      <c r="H733" s="513">
        <v>64</v>
      </c>
      <c r="I733" s="514" t="s">
        <v>6253</v>
      </c>
      <c r="J733" s="514" t="s">
        <v>12397</v>
      </c>
      <c r="K733" s="514" t="s">
        <v>6209</v>
      </c>
      <c r="L733" s="514">
        <v>4</v>
      </c>
      <c r="M733" s="341" t="s">
        <v>6254</v>
      </c>
    </row>
    <row r="734" spans="1:13" ht="11.1" customHeight="1">
      <c r="A734" s="501" t="s">
        <v>13631</v>
      </c>
      <c r="B734" s="280" t="s">
        <v>6230</v>
      </c>
      <c r="C734" s="515">
        <v>61263</v>
      </c>
      <c r="D734" s="503">
        <v>35.265369560211838</v>
      </c>
      <c r="E734" s="504">
        <v>69.015512521545162</v>
      </c>
      <c r="F734" s="278" t="s">
        <v>6233</v>
      </c>
      <c r="G734" s="278" t="s">
        <v>13632</v>
      </c>
      <c r="H734" s="505">
        <v>62</v>
      </c>
      <c r="I734" s="278" t="s">
        <v>6257</v>
      </c>
      <c r="J734" s="278" t="s">
        <v>12635</v>
      </c>
      <c r="K734" s="278" t="s">
        <v>6036</v>
      </c>
      <c r="L734" s="278">
        <v>0</v>
      </c>
      <c r="M734" s="308" t="s">
        <v>6260</v>
      </c>
    </row>
    <row r="735" spans="1:13" ht="11.1" customHeight="1">
      <c r="A735" s="501" t="s">
        <v>13633</v>
      </c>
      <c r="B735" s="280"/>
      <c r="C735" s="515">
        <v>23690</v>
      </c>
      <c r="D735" s="503">
        <v>13.636886944508404</v>
      </c>
      <c r="E735" s="504" t="s">
        <v>6262</v>
      </c>
      <c r="F735" s="278">
        <v>0</v>
      </c>
      <c r="G735" s="278" t="s">
        <v>13634</v>
      </c>
      <c r="H735" s="505">
        <v>48</v>
      </c>
      <c r="I735" s="278" t="s">
        <v>6264</v>
      </c>
      <c r="J735" s="278">
        <v>0</v>
      </c>
      <c r="K735" s="278" t="s">
        <v>6036</v>
      </c>
      <c r="L735" s="278">
        <v>0</v>
      </c>
      <c r="M735" s="308">
        <v>0</v>
      </c>
    </row>
    <row r="736" spans="1:13" ht="11.1" customHeight="1">
      <c r="A736" s="507" t="s">
        <v>13635</v>
      </c>
      <c r="B736" s="575" t="s">
        <v>12590</v>
      </c>
      <c r="C736" s="576">
        <v>127330</v>
      </c>
      <c r="D736" s="577">
        <v>55.387841035634743</v>
      </c>
      <c r="E736" s="578" t="s">
        <v>6262</v>
      </c>
      <c r="F736" s="579">
        <v>0</v>
      </c>
      <c r="G736" s="579" t="s">
        <v>7945</v>
      </c>
      <c r="H736" s="580">
        <v>71</v>
      </c>
      <c r="I736" s="579" t="s">
        <v>12757</v>
      </c>
      <c r="J736" s="579">
        <v>0</v>
      </c>
      <c r="K736" s="579" t="s">
        <v>6209</v>
      </c>
      <c r="L736" s="579">
        <v>5</v>
      </c>
      <c r="M736" s="581" t="s">
        <v>12758</v>
      </c>
    </row>
    <row r="737" spans="1:13" ht="11.1" customHeight="1">
      <c r="A737" s="501" t="s">
        <v>13636</v>
      </c>
      <c r="B737" s="280" t="s">
        <v>6230</v>
      </c>
      <c r="C737" s="515">
        <v>81909</v>
      </c>
      <c r="D737" s="503">
        <v>35.629958936525611</v>
      </c>
      <c r="E737" s="504">
        <v>64.328123772873639</v>
      </c>
      <c r="F737" s="278" t="s">
        <v>6233</v>
      </c>
      <c r="G737" s="278" t="s">
        <v>7943</v>
      </c>
      <c r="H737" s="505">
        <v>39</v>
      </c>
      <c r="I737" s="278" t="s">
        <v>6253</v>
      </c>
      <c r="J737" s="278" t="s">
        <v>12007</v>
      </c>
      <c r="K737" s="278" t="s">
        <v>6036</v>
      </c>
      <c r="L737" s="278">
        <v>0</v>
      </c>
      <c r="M737" s="308">
        <v>0</v>
      </c>
    </row>
    <row r="738" spans="1:13" ht="11.1" customHeight="1">
      <c r="A738" s="501" t="s">
        <v>13637</v>
      </c>
      <c r="B738" s="280" t="s">
        <v>6231</v>
      </c>
      <c r="C738" s="515">
        <v>20649</v>
      </c>
      <c r="D738" s="503">
        <v>8.9822000278396441</v>
      </c>
      <c r="E738" s="504" t="s">
        <v>6262</v>
      </c>
      <c r="F738" s="278">
        <v>0</v>
      </c>
      <c r="G738" s="278" t="s">
        <v>13638</v>
      </c>
      <c r="H738" s="505">
        <v>37</v>
      </c>
      <c r="I738" s="278" t="s">
        <v>6264</v>
      </c>
      <c r="J738" s="278">
        <v>0</v>
      </c>
      <c r="K738" s="278" t="s">
        <v>6036</v>
      </c>
      <c r="L738" s="278">
        <v>0</v>
      </c>
      <c r="M738" s="308">
        <v>0</v>
      </c>
    </row>
    <row r="739" spans="1:13" ht="11.1" customHeight="1">
      <c r="A739" s="507" t="s">
        <v>13639</v>
      </c>
      <c r="B739" s="519" t="s">
        <v>12590</v>
      </c>
      <c r="C739" s="520">
        <v>112437</v>
      </c>
      <c r="D739" s="521">
        <v>47.559768539668035</v>
      </c>
      <c r="E739" s="522" t="s">
        <v>6251</v>
      </c>
      <c r="F739" s="523" t="s">
        <v>6233</v>
      </c>
      <c r="G739" s="523" t="s">
        <v>12400</v>
      </c>
      <c r="H739" s="524">
        <v>51</v>
      </c>
      <c r="I739" s="523" t="s">
        <v>6257</v>
      </c>
      <c r="J739" s="523" t="s">
        <v>12635</v>
      </c>
      <c r="K739" s="523" t="s">
        <v>6036</v>
      </c>
      <c r="L739" s="523">
        <v>0</v>
      </c>
      <c r="M739" s="525" t="s">
        <v>12638</v>
      </c>
    </row>
    <row r="740" spans="1:13" ht="11.1" customHeight="1">
      <c r="A740" s="501" t="s">
        <v>13640</v>
      </c>
      <c r="B740" s="516" t="s">
        <v>12602</v>
      </c>
      <c r="C740" s="515">
        <v>108851</v>
      </c>
      <c r="D740" s="503">
        <v>46.042925063025564</v>
      </c>
      <c r="E740" s="504">
        <v>96.810658413155807</v>
      </c>
      <c r="F740" s="512" t="s">
        <v>6233</v>
      </c>
      <c r="G740" s="512" t="s">
        <v>7953</v>
      </c>
      <c r="H740" s="526">
        <v>47</v>
      </c>
      <c r="I740" s="512" t="s">
        <v>6253</v>
      </c>
      <c r="J740" s="512" t="s">
        <v>12020</v>
      </c>
      <c r="K740" s="512" t="s">
        <v>6036</v>
      </c>
      <c r="L740" s="512">
        <v>0</v>
      </c>
      <c r="M740" s="308">
        <v>0</v>
      </c>
    </row>
    <row r="741" spans="1:13" ht="11.1" customHeight="1">
      <c r="A741" s="501" t="s">
        <v>13641</v>
      </c>
      <c r="B741" s="280" t="s">
        <v>6231</v>
      </c>
      <c r="C741" s="515">
        <v>15124</v>
      </c>
      <c r="D741" s="503">
        <v>6.3973063973063971</v>
      </c>
      <c r="E741" s="504" t="s">
        <v>6262</v>
      </c>
      <c r="F741" s="278">
        <v>0</v>
      </c>
      <c r="G741" s="278" t="s">
        <v>13642</v>
      </c>
      <c r="H741" s="505">
        <v>54</v>
      </c>
      <c r="I741" s="278" t="s">
        <v>6264</v>
      </c>
      <c r="J741" s="278">
        <v>0</v>
      </c>
      <c r="K741" s="278" t="s">
        <v>6036</v>
      </c>
      <c r="L741" s="278">
        <v>0</v>
      </c>
      <c r="M741" s="308">
        <v>0</v>
      </c>
    </row>
    <row r="742" spans="1:13" ht="11.1" customHeight="1">
      <c r="A742" s="507" t="s">
        <v>13643</v>
      </c>
      <c r="B742" s="508" t="s">
        <v>12590</v>
      </c>
      <c r="C742" s="509">
        <v>109320</v>
      </c>
      <c r="D742" s="510">
        <v>42.676618818780526</v>
      </c>
      <c r="E742" s="511" t="s">
        <v>6251</v>
      </c>
      <c r="F742" s="514" t="s">
        <v>6233</v>
      </c>
      <c r="G742" s="514" t="s">
        <v>7959</v>
      </c>
      <c r="H742" s="513">
        <v>39</v>
      </c>
      <c r="I742" s="514" t="s">
        <v>6253</v>
      </c>
      <c r="J742" s="514" t="s">
        <v>12007</v>
      </c>
      <c r="K742" s="514" t="s">
        <v>6036</v>
      </c>
      <c r="L742" s="514">
        <v>0</v>
      </c>
      <c r="M742" s="341">
        <v>0</v>
      </c>
    </row>
    <row r="743" spans="1:13" ht="11.1" customHeight="1">
      <c r="A743" s="501" t="s">
        <v>13644</v>
      </c>
      <c r="B743" s="280" t="s">
        <v>6230</v>
      </c>
      <c r="C743" s="515">
        <v>96410</v>
      </c>
      <c r="D743" s="503">
        <v>37.63678028099735</v>
      </c>
      <c r="E743" s="504">
        <v>88.190633004024875</v>
      </c>
      <c r="F743" s="278" t="s">
        <v>6233</v>
      </c>
      <c r="G743" s="278" t="s">
        <v>12407</v>
      </c>
      <c r="H743" s="505">
        <v>56</v>
      </c>
      <c r="I743" s="278" t="s">
        <v>6257</v>
      </c>
      <c r="J743" s="278" t="s">
        <v>12635</v>
      </c>
      <c r="K743" s="278" t="s">
        <v>6209</v>
      </c>
      <c r="L743" s="278">
        <v>2</v>
      </c>
      <c r="M743" s="308" t="s">
        <v>12638</v>
      </c>
    </row>
    <row r="744" spans="1:13" ht="11.1" customHeight="1">
      <c r="A744" s="501" t="s">
        <v>13645</v>
      </c>
      <c r="B744" s="280"/>
      <c r="C744" s="515">
        <v>32078</v>
      </c>
      <c r="D744" s="503">
        <v>12.5226909848961</v>
      </c>
      <c r="E744" s="504">
        <v>29.34321258690084</v>
      </c>
      <c r="F744" s="278" t="s">
        <v>6233</v>
      </c>
      <c r="G744" s="278" t="s">
        <v>12409</v>
      </c>
      <c r="H744" s="505">
        <v>56</v>
      </c>
      <c r="I744" s="278" t="s">
        <v>6278</v>
      </c>
      <c r="J744" s="278">
        <v>0</v>
      </c>
      <c r="K744" s="278" t="s">
        <v>6209</v>
      </c>
      <c r="L744" s="278">
        <v>2</v>
      </c>
      <c r="M744" s="308" t="s">
        <v>6154</v>
      </c>
    </row>
    <row r="745" spans="1:13" ht="11.1" customHeight="1">
      <c r="A745" s="501" t="s">
        <v>13646</v>
      </c>
      <c r="B745" s="280" t="s">
        <v>6231</v>
      </c>
      <c r="C745" s="515">
        <v>18351</v>
      </c>
      <c r="D745" s="503">
        <v>7.1639099153260277</v>
      </c>
      <c r="E745" s="504" t="s">
        <v>6262</v>
      </c>
      <c r="F745" s="278">
        <v>0</v>
      </c>
      <c r="G745" s="278" t="s">
        <v>12410</v>
      </c>
      <c r="H745" s="505">
        <v>64</v>
      </c>
      <c r="I745" s="278" t="s">
        <v>6264</v>
      </c>
      <c r="J745" s="278">
        <v>0</v>
      </c>
      <c r="K745" s="278" t="s">
        <v>6036</v>
      </c>
      <c r="L745" s="278">
        <v>0</v>
      </c>
      <c r="M745" s="308">
        <v>0</v>
      </c>
    </row>
    <row r="746" spans="1:13" ht="11.1" customHeight="1">
      <c r="A746" s="507" t="s">
        <v>13647</v>
      </c>
      <c r="B746" s="519" t="s">
        <v>12590</v>
      </c>
      <c r="C746" s="520">
        <v>111216</v>
      </c>
      <c r="D746" s="521">
        <v>47.096287889695361</v>
      </c>
      <c r="E746" s="522" t="s">
        <v>6251</v>
      </c>
      <c r="F746" s="523" t="s">
        <v>6233</v>
      </c>
      <c r="G746" s="523" t="s">
        <v>7969</v>
      </c>
      <c r="H746" s="524">
        <v>61</v>
      </c>
      <c r="I746" s="523" t="s">
        <v>6257</v>
      </c>
      <c r="J746" s="523" t="s">
        <v>12674</v>
      </c>
      <c r="K746" s="523" t="s">
        <v>6036</v>
      </c>
      <c r="L746" s="523">
        <v>0</v>
      </c>
      <c r="M746" s="525" t="s">
        <v>12638</v>
      </c>
    </row>
    <row r="747" spans="1:13" ht="11.1" customHeight="1">
      <c r="A747" s="501" t="s">
        <v>13648</v>
      </c>
      <c r="B747" s="516" t="s">
        <v>12602</v>
      </c>
      <c r="C747" s="515">
        <v>96404</v>
      </c>
      <c r="D747" s="503">
        <v>40.823897080619616</v>
      </c>
      <c r="E747" s="504">
        <v>86.681772406847941</v>
      </c>
      <c r="F747" s="543" t="s">
        <v>6233</v>
      </c>
      <c r="G747" s="543" t="s">
        <v>13649</v>
      </c>
      <c r="H747" s="544">
        <v>74</v>
      </c>
      <c r="I747" s="543" t="s">
        <v>6278</v>
      </c>
      <c r="J747" s="543">
        <v>0</v>
      </c>
      <c r="K747" s="543" t="s">
        <v>6209</v>
      </c>
      <c r="L747" s="543">
        <v>11</v>
      </c>
      <c r="M747" s="308" t="s">
        <v>6481</v>
      </c>
    </row>
    <row r="748" spans="1:13" ht="11.1" customHeight="1">
      <c r="A748" s="501" t="s">
        <v>13650</v>
      </c>
      <c r="B748" s="280"/>
      <c r="C748" s="515">
        <v>28526</v>
      </c>
      <c r="D748" s="503">
        <v>12.079815029685026</v>
      </c>
      <c r="E748" s="504" t="s">
        <v>6262</v>
      </c>
      <c r="F748" s="278">
        <v>0</v>
      </c>
      <c r="G748" s="278" t="s">
        <v>12412</v>
      </c>
      <c r="H748" s="505">
        <v>46</v>
      </c>
      <c r="I748" s="278" t="s">
        <v>6264</v>
      </c>
      <c r="J748" s="278">
        <v>0</v>
      </c>
      <c r="K748" s="278" t="s">
        <v>6036</v>
      </c>
      <c r="L748" s="278">
        <v>0</v>
      </c>
      <c r="M748" s="308">
        <v>0</v>
      </c>
    </row>
    <row r="749" spans="1:13" ht="11.1" customHeight="1">
      <c r="A749" s="507" t="s">
        <v>13651</v>
      </c>
      <c r="B749" s="566" t="s">
        <v>12590</v>
      </c>
      <c r="C749" s="567">
        <v>94406</v>
      </c>
      <c r="D749" s="568">
        <v>44.099291840281019</v>
      </c>
      <c r="E749" s="569" t="s">
        <v>6262</v>
      </c>
      <c r="F749" s="570">
        <v>0</v>
      </c>
      <c r="G749" s="570" t="s">
        <v>13652</v>
      </c>
      <c r="H749" s="571">
        <v>67</v>
      </c>
      <c r="I749" s="570" t="s">
        <v>6929</v>
      </c>
      <c r="J749" s="570">
        <v>0</v>
      </c>
      <c r="K749" s="570" t="s">
        <v>6209</v>
      </c>
      <c r="L749" s="570">
        <v>5</v>
      </c>
      <c r="M749" s="572" t="s">
        <v>12911</v>
      </c>
    </row>
    <row r="750" spans="1:13" ht="11.1" customHeight="1">
      <c r="A750" s="501" t="s">
        <v>13653</v>
      </c>
      <c r="B750" s="516" t="s">
        <v>12602</v>
      </c>
      <c r="C750" s="515">
        <v>79492</v>
      </c>
      <c r="D750" s="503">
        <v>37.132607111493115</v>
      </c>
      <c r="E750" s="504">
        <v>84.202275279113621</v>
      </c>
      <c r="F750" s="512" t="s">
        <v>6233</v>
      </c>
      <c r="G750" s="512" t="s">
        <v>12413</v>
      </c>
      <c r="H750" s="526">
        <v>56</v>
      </c>
      <c r="I750" s="512" t="s">
        <v>6253</v>
      </c>
      <c r="J750" s="512" t="s">
        <v>12020</v>
      </c>
      <c r="K750" s="512" t="s">
        <v>6036</v>
      </c>
      <c r="L750" s="512">
        <v>0</v>
      </c>
      <c r="M750" s="308">
        <v>0</v>
      </c>
    </row>
    <row r="751" spans="1:13" ht="11.1" customHeight="1">
      <c r="A751" s="501" t="s">
        <v>13654</v>
      </c>
      <c r="B751" s="280"/>
      <c r="C751" s="515">
        <v>22328</v>
      </c>
      <c r="D751" s="503">
        <v>10.429940768698966</v>
      </c>
      <c r="E751" s="504">
        <v>23.651039128868927</v>
      </c>
      <c r="F751" s="278" t="s">
        <v>6233</v>
      </c>
      <c r="G751" s="278" t="s">
        <v>7979</v>
      </c>
      <c r="H751" s="505">
        <v>49</v>
      </c>
      <c r="I751" s="278" t="s">
        <v>6264</v>
      </c>
      <c r="J751" s="278">
        <v>0</v>
      </c>
      <c r="K751" s="278" t="s">
        <v>6036</v>
      </c>
      <c r="L751" s="278">
        <v>0</v>
      </c>
      <c r="M751" s="308">
        <v>0</v>
      </c>
    </row>
    <row r="752" spans="1:13" ht="11.1" customHeight="1">
      <c r="A752" s="501" t="s">
        <v>13655</v>
      </c>
      <c r="B752" s="280" t="s">
        <v>6231</v>
      </c>
      <c r="C752" s="515">
        <v>17850</v>
      </c>
      <c r="D752" s="503">
        <v>8.3381602795268979</v>
      </c>
      <c r="E752" s="504">
        <v>18.90769654471114</v>
      </c>
      <c r="F752" s="278" t="s">
        <v>6233</v>
      </c>
      <c r="G752" s="278" t="s">
        <v>13656</v>
      </c>
      <c r="H752" s="505">
        <v>49</v>
      </c>
      <c r="I752" s="278" t="s">
        <v>6278</v>
      </c>
      <c r="J752" s="278">
        <v>0</v>
      </c>
      <c r="K752" s="278" t="s">
        <v>6209</v>
      </c>
      <c r="L752" s="278">
        <v>1</v>
      </c>
      <c r="M752" s="308" t="s">
        <v>6154</v>
      </c>
    </row>
    <row r="753" spans="1:13" ht="11.1" customHeight="1">
      <c r="A753" s="507" t="s">
        <v>13657</v>
      </c>
      <c r="B753" s="545" t="s">
        <v>12590</v>
      </c>
      <c r="C753" s="546">
        <v>86631</v>
      </c>
      <c r="D753" s="547">
        <v>40.843450177977886</v>
      </c>
      <c r="E753" s="548" t="s">
        <v>6262</v>
      </c>
      <c r="F753" s="549">
        <v>0</v>
      </c>
      <c r="G753" s="549" t="s">
        <v>7985</v>
      </c>
      <c r="H753" s="550">
        <v>41</v>
      </c>
      <c r="I753" s="549" t="s">
        <v>6322</v>
      </c>
      <c r="J753" s="549" t="s">
        <v>13658</v>
      </c>
      <c r="K753" s="549" t="s">
        <v>6036</v>
      </c>
      <c r="L753" s="549">
        <v>0</v>
      </c>
      <c r="M753" s="551">
        <v>0</v>
      </c>
    </row>
    <row r="754" spans="1:13" ht="11.1" customHeight="1">
      <c r="A754" s="501" t="s">
        <v>13659</v>
      </c>
      <c r="B754" s="280" t="s">
        <v>6230</v>
      </c>
      <c r="C754" s="515">
        <v>65374</v>
      </c>
      <c r="D754" s="503">
        <v>30.821527073854931</v>
      </c>
      <c r="E754" s="504">
        <v>75.462594221468066</v>
      </c>
      <c r="F754" s="278" t="s">
        <v>6233</v>
      </c>
      <c r="G754" s="278" t="s">
        <v>7987</v>
      </c>
      <c r="H754" s="505">
        <v>72</v>
      </c>
      <c r="I754" s="278" t="s">
        <v>6257</v>
      </c>
      <c r="J754" s="278" t="s">
        <v>12651</v>
      </c>
      <c r="K754" s="278" t="s">
        <v>6209</v>
      </c>
      <c r="L754" s="278">
        <v>3</v>
      </c>
      <c r="M754" s="308" t="s">
        <v>12638</v>
      </c>
    </row>
    <row r="755" spans="1:13" ht="11.1" customHeight="1">
      <c r="A755" s="501" t="s">
        <v>13660</v>
      </c>
      <c r="B755" s="280" t="s">
        <v>6230</v>
      </c>
      <c r="C755" s="515">
        <v>47406</v>
      </c>
      <c r="D755" s="503">
        <v>22.350251054902053</v>
      </c>
      <c r="E755" s="504">
        <v>54.72175087439831</v>
      </c>
      <c r="F755" s="278" t="s">
        <v>6233</v>
      </c>
      <c r="G755" s="278" t="s">
        <v>12415</v>
      </c>
      <c r="H755" s="505">
        <v>31</v>
      </c>
      <c r="I755" s="278" t="s">
        <v>6253</v>
      </c>
      <c r="J755" s="278" t="s">
        <v>12007</v>
      </c>
      <c r="K755" s="278" t="s">
        <v>6036</v>
      </c>
      <c r="L755" s="278">
        <v>0</v>
      </c>
      <c r="M755" s="308">
        <v>0</v>
      </c>
    </row>
    <row r="756" spans="1:13" ht="11.1" customHeight="1">
      <c r="A756" s="501" t="s">
        <v>13661</v>
      </c>
      <c r="B756" s="280" t="s">
        <v>6231</v>
      </c>
      <c r="C756" s="515">
        <v>12694</v>
      </c>
      <c r="D756" s="503">
        <v>5.9847716932651283</v>
      </c>
      <c r="E756" s="504" t="s">
        <v>6262</v>
      </c>
      <c r="F756" s="278">
        <v>0</v>
      </c>
      <c r="G756" s="278" t="s">
        <v>13662</v>
      </c>
      <c r="H756" s="505">
        <v>55</v>
      </c>
      <c r="I756" s="278" t="s">
        <v>6264</v>
      </c>
      <c r="J756" s="278">
        <v>0</v>
      </c>
      <c r="K756" s="278" t="s">
        <v>6036</v>
      </c>
      <c r="L756" s="278">
        <v>0</v>
      </c>
      <c r="M756" s="308">
        <v>0</v>
      </c>
    </row>
    <row r="757" spans="1:13" ht="11.1" customHeight="1">
      <c r="A757" s="507" t="s">
        <v>13663</v>
      </c>
      <c r="B757" s="519" t="s">
        <v>12590</v>
      </c>
      <c r="C757" s="520">
        <v>97196</v>
      </c>
      <c r="D757" s="521">
        <v>51.340344501550312</v>
      </c>
      <c r="E757" s="522" t="s">
        <v>6262</v>
      </c>
      <c r="F757" s="523">
        <v>0</v>
      </c>
      <c r="G757" s="523" t="s">
        <v>7993</v>
      </c>
      <c r="H757" s="524">
        <v>55</v>
      </c>
      <c r="I757" s="523" t="s">
        <v>6257</v>
      </c>
      <c r="J757" s="523" t="s">
        <v>12674</v>
      </c>
      <c r="K757" s="523" t="s">
        <v>6209</v>
      </c>
      <c r="L757" s="523">
        <v>4</v>
      </c>
      <c r="M757" s="525" t="s">
        <v>12638</v>
      </c>
    </row>
    <row r="758" spans="1:13" ht="11.1" customHeight="1">
      <c r="A758" s="501" t="s">
        <v>13664</v>
      </c>
      <c r="B758" s="280" t="s">
        <v>6230</v>
      </c>
      <c r="C758" s="515">
        <v>77009</v>
      </c>
      <c r="D758" s="503">
        <v>40.677276736901597</v>
      </c>
      <c r="E758" s="504">
        <v>79.230626774764389</v>
      </c>
      <c r="F758" s="278" t="s">
        <v>6233</v>
      </c>
      <c r="G758" s="278" t="s">
        <v>7991</v>
      </c>
      <c r="H758" s="505">
        <v>28</v>
      </c>
      <c r="I758" s="278" t="s">
        <v>6253</v>
      </c>
      <c r="J758" s="278" t="s">
        <v>12007</v>
      </c>
      <c r="K758" s="278" t="s">
        <v>6036</v>
      </c>
      <c r="L758" s="278">
        <v>0</v>
      </c>
      <c r="M758" s="308">
        <v>0</v>
      </c>
    </row>
    <row r="759" spans="1:13" ht="11.1" customHeight="1">
      <c r="A759" s="501" t="s">
        <v>13665</v>
      </c>
      <c r="B759" s="280" t="s">
        <v>6231</v>
      </c>
      <c r="C759" s="515">
        <v>15112</v>
      </c>
      <c r="D759" s="503">
        <v>7.982378761548091</v>
      </c>
      <c r="E759" s="504" t="s">
        <v>6262</v>
      </c>
      <c r="F759" s="278">
        <v>0</v>
      </c>
      <c r="G759" s="278" t="s">
        <v>12419</v>
      </c>
      <c r="H759" s="505">
        <v>61</v>
      </c>
      <c r="I759" s="278" t="s">
        <v>6264</v>
      </c>
      <c r="J759" s="278">
        <v>0</v>
      </c>
      <c r="K759" s="278" t="s">
        <v>6036</v>
      </c>
      <c r="L759" s="278">
        <v>0</v>
      </c>
      <c r="M759" s="308">
        <v>0</v>
      </c>
    </row>
    <row r="760" spans="1:13" ht="11.1" customHeight="1">
      <c r="A760" s="507" t="s">
        <v>13666</v>
      </c>
      <c r="B760" s="508" t="s">
        <v>12590</v>
      </c>
      <c r="C760" s="509">
        <v>112898</v>
      </c>
      <c r="D760" s="510">
        <v>52.620589044096739</v>
      </c>
      <c r="E760" s="511" t="s">
        <v>6251</v>
      </c>
      <c r="F760" s="514" t="s">
        <v>6233</v>
      </c>
      <c r="G760" s="514" t="s">
        <v>7997</v>
      </c>
      <c r="H760" s="513">
        <v>44</v>
      </c>
      <c r="I760" s="514" t="s">
        <v>6253</v>
      </c>
      <c r="J760" s="514" t="s">
        <v>12007</v>
      </c>
      <c r="K760" s="514" t="s">
        <v>6209</v>
      </c>
      <c r="L760" s="514">
        <v>1</v>
      </c>
      <c r="M760" s="341">
        <v>0</v>
      </c>
    </row>
    <row r="761" spans="1:13" ht="11.1" customHeight="1">
      <c r="A761" s="501" t="s">
        <v>13667</v>
      </c>
      <c r="B761" s="280" t="s">
        <v>6230</v>
      </c>
      <c r="C761" s="515">
        <v>89159</v>
      </c>
      <c r="D761" s="503">
        <v>41.556086897753914</v>
      </c>
      <c r="E761" s="504">
        <v>78.973055324275009</v>
      </c>
      <c r="F761" s="278" t="s">
        <v>6233</v>
      </c>
      <c r="G761" s="278" t="s">
        <v>7999</v>
      </c>
      <c r="H761" s="505">
        <v>51</v>
      </c>
      <c r="I761" s="278" t="s">
        <v>6257</v>
      </c>
      <c r="J761" s="278" t="s">
        <v>12621</v>
      </c>
      <c r="K761" s="278" t="s">
        <v>6283</v>
      </c>
      <c r="L761" s="278">
        <v>1</v>
      </c>
      <c r="M761" s="308" t="s">
        <v>12638</v>
      </c>
    </row>
    <row r="762" spans="1:13" ht="11.1" customHeight="1">
      <c r="A762" s="501" t="s">
        <v>13668</v>
      </c>
      <c r="B762" s="280" t="s">
        <v>6231</v>
      </c>
      <c r="C762" s="515">
        <v>12494</v>
      </c>
      <c r="D762" s="503">
        <v>5.8233240581493444</v>
      </c>
      <c r="E762" s="504" t="s">
        <v>6262</v>
      </c>
      <c r="F762" s="278">
        <v>0</v>
      </c>
      <c r="G762" s="278" t="s">
        <v>12420</v>
      </c>
      <c r="H762" s="505">
        <v>28</v>
      </c>
      <c r="I762" s="278" t="s">
        <v>6264</v>
      </c>
      <c r="J762" s="278">
        <v>0</v>
      </c>
      <c r="K762" s="278" t="s">
        <v>6036</v>
      </c>
      <c r="L762" s="278">
        <v>0</v>
      </c>
      <c r="M762" s="308">
        <v>0</v>
      </c>
    </row>
    <row r="763" spans="1:13" ht="11.1" customHeight="1">
      <c r="A763" s="507" t="s">
        <v>13669</v>
      </c>
      <c r="B763" s="519" t="s">
        <v>12590</v>
      </c>
      <c r="C763" s="520">
        <v>108479</v>
      </c>
      <c r="D763" s="521">
        <v>49.131094454131663</v>
      </c>
      <c r="E763" s="522" t="s">
        <v>6251</v>
      </c>
      <c r="F763" s="523" t="s">
        <v>6233</v>
      </c>
      <c r="G763" s="523" t="s">
        <v>8005</v>
      </c>
      <c r="H763" s="524">
        <v>53</v>
      </c>
      <c r="I763" s="523" t="s">
        <v>6257</v>
      </c>
      <c r="J763" s="523" t="s">
        <v>12028</v>
      </c>
      <c r="K763" s="523" t="s">
        <v>6283</v>
      </c>
      <c r="L763" s="523">
        <v>1</v>
      </c>
      <c r="M763" s="525" t="s">
        <v>12638</v>
      </c>
    </row>
    <row r="764" spans="1:13" ht="11.1" customHeight="1">
      <c r="A764" s="501" t="s">
        <v>13670</v>
      </c>
      <c r="B764" s="280" t="s">
        <v>6230</v>
      </c>
      <c r="C764" s="515">
        <v>103848</v>
      </c>
      <c r="D764" s="503">
        <v>47.033673769786454</v>
      </c>
      <c r="E764" s="504" t="s">
        <v>6262</v>
      </c>
      <c r="F764" s="278">
        <v>0</v>
      </c>
      <c r="G764" s="278" t="s">
        <v>12421</v>
      </c>
      <c r="H764" s="505">
        <v>49</v>
      </c>
      <c r="I764" s="278" t="s">
        <v>12790</v>
      </c>
      <c r="J764" s="278">
        <v>0</v>
      </c>
      <c r="K764" s="278" t="s">
        <v>6209</v>
      </c>
      <c r="L764" s="278">
        <v>1</v>
      </c>
      <c r="M764" s="308" t="s">
        <v>6481</v>
      </c>
    </row>
    <row r="765" spans="1:13" ht="11.1" customHeight="1" thickBot="1">
      <c r="A765" s="527" t="s">
        <v>13671</v>
      </c>
      <c r="B765" s="528" t="s">
        <v>6231</v>
      </c>
      <c r="C765" s="529">
        <v>8468</v>
      </c>
      <c r="D765" s="530">
        <v>3.8352317760818857</v>
      </c>
      <c r="E765" s="531" t="s">
        <v>6262</v>
      </c>
      <c r="F765" s="532">
        <v>0</v>
      </c>
      <c r="G765" s="532" t="s">
        <v>12422</v>
      </c>
      <c r="H765" s="533">
        <v>48</v>
      </c>
      <c r="I765" s="532" t="s">
        <v>6264</v>
      </c>
      <c r="J765" s="532">
        <v>0</v>
      </c>
      <c r="K765" s="532" t="s">
        <v>6036</v>
      </c>
      <c r="L765" s="532">
        <v>0</v>
      </c>
      <c r="M765" s="347">
        <v>0</v>
      </c>
    </row>
    <row r="766" spans="1:13" ht="11.1" customHeight="1">
      <c r="A766" s="493" t="s">
        <v>13672</v>
      </c>
      <c r="B766" s="494" t="s">
        <v>12590</v>
      </c>
      <c r="C766" s="540">
        <v>79529</v>
      </c>
      <c r="D766" s="496">
        <v>48.176911380749587</v>
      </c>
      <c r="E766" s="497" t="s">
        <v>6251</v>
      </c>
      <c r="F766" s="498" t="s">
        <v>6233</v>
      </c>
      <c r="G766" s="498" t="s">
        <v>8009</v>
      </c>
      <c r="H766" s="499">
        <v>43</v>
      </c>
      <c r="I766" s="498" t="s">
        <v>6253</v>
      </c>
      <c r="J766" s="498" t="s">
        <v>12007</v>
      </c>
      <c r="K766" s="498" t="s">
        <v>6036</v>
      </c>
      <c r="L766" s="498">
        <v>0</v>
      </c>
      <c r="M766" s="500">
        <v>0</v>
      </c>
    </row>
    <row r="767" spans="1:13" ht="11.1" customHeight="1">
      <c r="A767" s="501" t="s">
        <v>13673</v>
      </c>
      <c r="B767" s="280" t="s">
        <v>6230</v>
      </c>
      <c r="C767" s="515">
        <v>65538</v>
      </c>
      <c r="D767" s="503">
        <v>39.701472646098487</v>
      </c>
      <c r="E767" s="504">
        <v>82.407675187667394</v>
      </c>
      <c r="F767" s="278" t="s">
        <v>6233</v>
      </c>
      <c r="G767" s="278" t="s">
        <v>8020</v>
      </c>
      <c r="H767" s="505">
        <v>42</v>
      </c>
      <c r="I767" s="278" t="s">
        <v>6257</v>
      </c>
      <c r="J767" s="278" t="s">
        <v>12631</v>
      </c>
      <c r="K767" s="278" t="s">
        <v>6209</v>
      </c>
      <c r="L767" s="278">
        <v>3</v>
      </c>
      <c r="M767" s="308" t="s">
        <v>12622</v>
      </c>
    </row>
    <row r="768" spans="1:13" ht="11.1" customHeight="1">
      <c r="A768" s="501" t="s">
        <v>13674</v>
      </c>
      <c r="B768" s="280"/>
      <c r="C768" s="515">
        <v>20010</v>
      </c>
      <c r="D768" s="503">
        <v>12.121615973151924</v>
      </c>
      <c r="E768" s="504">
        <v>25.160633228130617</v>
      </c>
      <c r="F768" s="278" t="s">
        <v>6233</v>
      </c>
      <c r="G768" s="278" t="s">
        <v>13675</v>
      </c>
      <c r="H768" s="505">
        <v>53</v>
      </c>
      <c r="I768" s="278" t="s">
        <v>6264</v>
      </c>
      <c r="J768" s="278">
        <v>0</v>
      </c>
      <c r="K768" s="278" t="s">
        <v>6036</v>
      </c>
      <c r="L768" s="278">
        <v>0</v>
      </c>
      <c r="M768" s="308">
        <v>0</v>
      </c>
    </row>
    <row r="769" spans="1:13" ht="11.1" customHeight="1">
      <c r="A769" s="507" t="s">
        <v>13676</v>
      </c>
      <c r="B769" s="508" t="s">
        <v>12590</v>
      </c>
      <c r="C769" s="509">
        <v>83168</v>
      </c>
      <c r="D769" s="510">
        <v>48.393441096719386</v>
      </c>
      <c r="E769" s="511" t="s">
        <v>6251</v>
      </c>
      <c r="F769" s="514" t="s">
        <v>6233</v>
      </c>
      <c r="G769" s="514" t="s">
        <v>12425</v>
      </c>
      <c r="H769" s="513">
        <v>32</v>
      </c>
      <c r="I769" s="514" t="s">
        <v>6253</v>
      </c>
      <c r="J769" s="514" t="s">
        <v>12007</v>
      </c>
      <c r="K769" s="514" t="s">
        <v>6209</v>
      </c>
      <c r="L769" s="514">
        <v>1</v>
      </c>
      <c r="M769" s="341">
        <v>0</v>
      </c>
    </row>
    <row r="770" spans="1:13" ht="11.1" customHeight="1">
      <c r="A770" s="501" t="s">
        <v>13677</v>
      </c>
      <c r="B770" s="516" t="s">
        <v>12602</v>
      </c>
      <c r="C770" s="515">
        <v>73646</v>
      </c>
      <c r="D770" s="503">
        <v>42.852820351685693</v>
      </c>
      <c r="E770" s="504">
        <v>88.55088495575221</v>
      </c>
      <c r="F770" s="517" t="s">
        <v>6233</v>
      </c>
      <c r="G770" s="517" t="s">
        <v>12426</v>
      </c>
      <c r="H770" s="518">
        <v>65</v>
      </c>
      <c r="I770" s="517" t="s">
        <v>6257</v>
      </c>
      <c r="J770" s="517" t="s">
        <v>12621</v>
      </c>
      <c r="K770" s="517" t="s">
        <v>6209</v>
      </c>
      <c r="L770" s="517">
        <v>2</v>
      </c>
      <c r="M770" s="308" t="s">
        <v>12638</v>
      </c>
    </row>
    <row r="771" spans="1:13" ht="11.1" customHeight="1">
      <c r="A771" s="501" t="s">
        <v>13678</v>
      </c>
      <c r="B771" s="280" t="s">
        <v>6231</v>
      </c>
      <c r="C771" s="515">
        <v>15044</v>
      </c>
      <c r="D771" s="503">
        <v>8.7537385515949211</v>
      </c>
      <c r="E771" s="504" t="s">
        <v>6262</v>
      </c>
      <c r="F771" s="278">
        <v>0</v>
      </c>
      <c r="G771" s="278" t="s">
        <v>13679</v>
      </c>
      <c r="H771" s="505">
        <v>28</v>
      </c>
      <c r="I771" s="278" t="s">
        <v>6264</v>
      </c>
      <c r="J771" s="278">
        <v>0</v>
      </c>
      <c r="K771" s="278" t="s">
        <v>6036</v>
      </c>
      <c r="L771" s="278">
        <v>0</v>
      </c>
      <c r="M771" s="308">
        <v>0</v>
      </c>
    </row>
    <row r="772" spans="1:13" ht="11.1" customHeight="1">
      <c r="A772" s="507" t="s">
        <v>13680</v>
      </c>
      <c r="B772" s="519" t="s">
        <v>12590</v>
      </c>
      <c r="C772" s="520">
        <v>81345</v>
      </c>
      <c r="D772" s="521">
        <v>47.646800410016105</v>
      </c>
      <c r="E772" s="522" t="s">
        <v>6251</v>
      </c>
      <c r="F772" s="523" t="s">
        <v>6233</v>
      </c>
      <c r="G772" s="523" t="s">
        <v>8028</v>
      </c>
      <c r="H772" s="524">
        <v>59</v>
      </c>
      <c r="I772" s="523" t="s">
        <v>6257</v>
      </c>
      <c r="J772" s="523" t="s">
        <v>12617</v>
      </c>
      <c r="K772" s="523" t="s">
        <v>6036</v>
      </c>
      <c r="L772" s="523">
        <v>0</v>
      </c>
      <c r="M772" s="525" t="s">
        <v>12638</v>
      </c>
    </row>
    <row r="773" spans="1:13" ht="11.1" customHeight="1">
      <c r="A773" s="501" t="s">
        <v>13681</v>
      </c>
      <c r="B773" s="280" t="s">
        <v>6230</v>
      </c>
      <c r="C773" s="515">
        <v>58222</v>
      </c>
      <c r="D773" s="503">
        <v>34.102796895592327</v>
      </c>
      <c r="E773" s="504">
        <v>71.574159444342001</v>
      </c>
      <c r="F773" s="278" t="s">
        <v>6233</v>
      </c>
      <c r="G773" s="278" t="s">
        <v>13682</v>
      </c>
      <c r="H773" s="505">
        <v>47</v>
      </c>
      <c r="I773" s="278" t="s">
        <v>6253</v>
      </c>
      <c r="J773" s="278" t="s">
        <v>12007</v>
      </c>
      <c r="K773" s="278" t="s">
        <v>6036</v>
      </c>
      <c r="L773" s="278">
        <v>0</v>
      </c>
      <c r="M773" s="308">
        <v>0</v>
      </c>
    </row>
    <row r="774" spans="1:13" ht="11.1" customHeight="1">
      <c r="A774" s="501" t="s">
        <v>13683</v>
      </c>
      <c r="B774" s="280" t="s">
        <v>6231</v>
      </c>
      <c r="C774" s="515">
        <v>16939</v>
      </c>
      <c r="D774" s="503">
        <v>9.921804070874213</v>
      </c>
      <c r="E774" s="504">
        <v>20.823652344950521</v>
      </c>
      <c r="F774" s="278" t="s">
        <v>6233</v>
      </c>
      <c r="G774" s="278" t="s">
        <v>12414</v>
      </c>
      <c r="H774" s="505">
        <v>37</v>
      </c>
      <c r="I774" s="278" t="s">
        <v>6278</v>
      </c>
      <c r="J774" s="278">
        <v>0</v>
      </c>
      <c r="K774" s="278" t="s">
        <v>6209</v>
      </c>
      <c r="L774" s="278">
        <v>1</v>
      </c>
      <c r="M774" s="308">
        <v>0</v>
      </c>
    </row>
    <row r="775" spans="1:13" ht="11.1" customHeight="1">
      <c r="A775" s="501" t="s">
        <v>13684</v>
      </c>
      <c r="B775" s="280" t="s">
        <v>6231</v>
      </c>
      <c r="C775" s="515">
        <v>14219</v>
      </c>
      <c r="D775" s="503">
        <v>8.3285986235173528</v>
      </c>
      <c r="E775" s="504" t="s">
        <v>6262</v>
      </c>
      <c r="F775" s="278">
        <v>0</v>
      </c>
      <c r="G775" s="278" t="s">
        <v>12428</v>
      </c>
      <c r="H775" s="505">
        <v>32</v>
      </c>
      <c r="I775" s="278" t="s">
        <v>6264</v>
      </c>
      <c r="J775" s="278">
        <v>0</v>
      </c>
      <c r="K775" s="278" t="s">
        <v>6036</v>
      </c>
      <c r="L775" s="278">
        <v>0</v>
      </c>
      <c r="M775" s="308">
        <v>0</v>
      </c>
    </row>
    <row r="776" spans="1:13" ht="11.1" customHeight="1">
      <c r="A776" s="507" t="s">
        <v>13685</v>
      </c>
      <c r="B776" s="519" t="s">
        <v>12590</v>
      </c>
      <c r="C776" s="520">
        <v>112714</v>
      </c>
      <c r="D776" s="521">
        <v>65.377454250166764</v>
      </c>
      <c r="E776" s="522" t="s">
        <v>6251</v>
      </c>
      <c r="F776" s="523" t="s">
        <v>6233</v>
      </c>
      <c r="G776" s="523" t="s">
        <v>8034</v>
      </c>
      <c r="H776" s="524">
        <v>60</v>
      </c>
      <c r="I776" s="523" t="s">
        <v>6257</v>
      </c>
      <c r="J776" s="523" t="s">
        <v>12674</v>
      </c>
      <c r="K776" s="523" t="s">
        <v>6209</v>
      </c>
      <c r="L776" s="523">
        <v>3</v>
      </c>
      <c r="M776" s="525" t="s">
        <v>12638</v>
      </c>
    </row>
    <row r="777" spans="1:13" ht="11.1" customHeight="1">
      <c r="A777" s="501" t="s">
        <v>13686</v>
      </c>
      <c r="B777" s="280" t="s">
        <v>6230</v>
      </c>
      <c r="C777" s="515">
        <v>49077</v>
      </c>
      <c r="D777" s="503">
        <v>28.466111771700358</v>
      </c>
      <c r="E777" s="504">
        <v>43.541175009315616</v>
      </c>
      <c r="F777" s="278" t="s">
        <v>6233</v>
      </c>
      <c r="G777" s="278" t="s">
        <v>13687</v>
      </c>
      <c r="H777" s="505">
        <v>50</v>
      </c>
      <c r="I777" s="278" t="s">
        <v>6253</v>
      </c>
      <c r="J777" s="278" t="s">
        <v>12007</v>
      </c>
      <c r="K777" s="278" t="s">
        <v>6036</v>
      </c>
      <c r="L777" s="278">
        <v>0</v>
      </c>
      <c r="M777" s="308">
        <v>0</v>
      </c>
    </row>
    <row r="778" spans="1:13" ht="11.1" customHeight="1" thickBot="1">
      <c r="A778" s="527" t="s">
        <v>13688</v>
      </c>
      <c r="B778" s="528" t="s">
        <v>6231</v>
      </c>
      <c r="C778" s="529">
        <v>10614</v>
      </c>
      <c r="D778" s="530">
        <v>6.1564339781328847</v>
      </c>
      <c r="E778" s="531" t="s">
        <v>6262</v>
      </c>
      <c r="F778" s="532">
        <v>0</v>
      </c>
      <c r="G778" s="532" t="s">
        <v>13689</v>
      </c>
      <c r="H778" s="533">
        <v>36</v>
      </c>
      <c r="I778" s="532" t="s">
        <v>6264</v>
      </c>
      <c r="J778" s="532">
        <v>0</v>
      </c>
      <c r="K778" s="532" t="s">
        <v>6036</v>
      </c>
      <c r="L778" s="532">
        <v>0</v>
      </c>
      <c r="M778" s="347">
        <v>0</v>
      </c>
    </row>
    <row r="779" spans="1:13" ht="11.1" customHeight="1">
      <c r="A779" s="493" t="s">
        <v>13690</v>
      </c>
      <c r="B779" s="534" t="s">
        <v>12590</v>
      </c>
      <c r="C779" s="535">
        <v>101602</v>
      </c>
      <c r="D779" s="536">
        <v>68.904667928085559</v>
      </c>
      <c r="E779" s="537" t="s">
        <v>6251</v>
      </c>
      <c r="F779" s="538" t="s">
        <v>6233</v>
      </c>
      <c r="G779" s="538" t="s">
        <v>8042</v>
      </c>
      <c r="H779" s="539">
        <v>37</v>
      </c>
      <c r="I779" s="538" t="s">
        <v>6257</v>
      </c>
      <c r="J779" s="538" t="s">
        <v>12631</v>
      </c>
      <c r="K779" s="538" t="s">
        <v>6209</v>
      </c>
      <c r="L779" s="538">
        <v>1</v>
      </c>
      <c r="M779" s="373" t="s">
        <v>12638</v>
      </c>
    </row>
    <row r="780" spans="1:13" ht="11.1" customHeight="1">
      <c r="A780" s="501" t="s">
        <v>13691</v>
      </c>
      <c r="B780" s="280" t="s">
        <v>6230</v>
      </c>
      <c r="C780" s="515">
        <v>45851</v>
      </c>
      <c r="D780" s="503">
        <v>31.095332071914441</v>
      </c>
      <c r="E780" s="504">
        <v>45.128048660459442</v>
      </c>
      <c r="F780" s="278" t="s">
        <v>6233</v>
      </c>
      <c r="G780" s="278" t="s">
        <v>12431</v>
      </c>
      <c r="H780" s="505">
        <v>50</v>
      </c>
      <c r="I780" s="278" t="s">
        <v>6264</v>
      </c>
      <c r="J780" s="278">
        <v>0</v>
      </c>
      <c r="K780" s="278" t="s">
        <v>6036</v>
      </c>
      <c r="L780" s="278">
        <v>0</v>
      </c>
      <c r="M780" s="308">
        <v>0</v>
      </c>
    </row>
    <row r="781" spans="1:13" ht="11.1" customHeight="1">
      <c r="A781" s="507" t="s">
        <v>13692</v>
      </c>
      <c r="B781" s="519" t="s">
        <v>12590</v>
      </c>
      <c r="C781" s="520">
        <v>77102</v>
      </c>
      <c r="D781" s="521">
        <v>50.970799976201022</v>
      </c>
      <c r="E781" s="522" t="s">
        <v>6251</v>
      </c>
      <c r="F781" s="523" t="s">
        <v>6233</v>
      </c>
      <c r="G781" s="523" t="s">
        <v>8050</v>
      </c>
      <c r="H781" s="524">
        <v>51</v>
      </c>
      <c r="I781" s="523" t="s">
        <v>6257</v>
      </c>
      <c r="J781" s="523" t="s">
        <v>12674</v>
      </c>
      <c r="K781" s="523" t="s">
        <v>6209</v>
      </c>
      <c r="L781" s="523">
        <v>1</v>
      </c>
      <c r="M781" s="525" t="s">
        <v>12638</v>
      </c>
    </row>
    <row r="782" spans="1:13" ht="11.1" customHeight="1">
      <c r="A782" s="501" t="s">
        <v>13693</v>
      </c>
      <c r="B782" s="516" t="s">
        <v>12602</v>
      </c>
      <c r="C782" s="515">
        <v>63145</v>
      </c>
      <c r="D782" s="503">
        <v>41.74406843528331</v>
      </c>
      <c r="E782" s="504">
        <v>81.898005239812193</v>
      </c>
      <c r="F782" s="512" t="s">
        <v>6233</v>
      </c>
      <c r="G782" s="512" t="s">
        <v>12432</v>
      </c>
      <c r="H782" s="526">
        <v>33</v>
      </c>
      <c r="I782" s="512" t="s">
        <v>6253</v>
      </c>
      <c r="J782" s="512" t="s">
        <v>12020</v>
      </c>
      <c r="K782" s="512" t="s">
        <v>6036</v>
      </c>
      <c r="L782" s="512">
        <v>0</v>
      </c>
      <c r="M782" s="308">
        <v>0</v>
      </c>
    </row>
    <row r="783" spans="1:13" ht="11.1" customHeight="1">
      <c r="A783" s="501" t="s">
        <v>13694</v>
      </c>
      <c r="B783" s="280" t="s">
        <v>6231</v>
      </c>
      <c r="C783" s="515">
        <v>11020</v>
      </c>
      <c r="D783" s="503">
        <v>7.2851315885156707</v>
      </c>
      <c r="E783" s="504" t="s">
        <v>6262</v>
      </c>
      <c r="F783" s="278">
        <v>0</v>
      </c>
      <c r="G783" s="278" t="s">
        <v>13695</v>
      </c>
      <c r="H783" s="505">
        <v>62</v>
      </c>
      <c r="I783" s="278" t="s">
        <v>6264</v>
      </c>
      <c r="J783" s="278">
        <v>0</v>
      </c>
      <c r="K783" s="278" t="s">
        <v>6036</v>
      </c>
      <c r="L783" s="278">
        <v>0</v>
      </c>
      <c r="M783" s="308">
        <v>0</v>
      </c>
    </row>
    <row r="784" spans="1:13" ht="11.1" customHeight="1">
      <c r="A784" s="507" t="s">
        <v>13696</v>
      </c>
      <c r="B784" s="575" t="s">
        <v>12590</v>
      </c>
      <c r="C784" s="576">
        <v>148274</v>
      </c>
      <c r="D784" s="577">
        <v>78.36726496268578</v>
      </c>
      <c r="E784" s="578" t="s">
        <v>6262</v>
      </c>
      <c r="F784" s="579">
        <v>0</v>
      </c>
      <c r="G784" s="579" t="s">
        <v>8054</v>
      </c>
      <c r="H784" s="580">
        <v>64</v>
      </c>
      <c r="I784" s="579" t="s">
        <v>12757</v>
      </c>
      <c r="J784" s="579">
        <v>0</v>
      </c>
      <c r="K784" s="579" t="s">
        <v>6209</v>
      </c>
      <c r="L784" s="579">
        <v>6</v>
      </c>
      <c r="M784" s="581" t="s">
        <v>12758</v>
      </c>
    </row>
    <row r="785" spans="1:13" ht="11.1" customHeight="1" thickBot="1">
      <c r="A785" s="527" t="s">
        <v>13697</v>
      </c>
      <c r="B785" s="528" t="s">
        <v>6230</v>
      </c>
      <c r="C785" s="529">
        <v>40930</v>
      </c>
      <c r="D785" s="530">
        <v>21.632735037314223</v>
      </c>
      <c r="E785" s="531" t="s">
        <v>6262</v>
      </c>
      <c r="F785" s="532">
        <v>0</v>
      </c>
      <c r="G785" s="532" t="s">
        <v>12435</v>
      </c>
      <c r="H785" s="533">
        <v>56</v>
      </c>
      <c r="I785" s="532" t="s">
        <v>6264</v>
      </c>
      <c r="J785" s="532">
        <v>0</v>
      </c>
      <c r="K785" s="532" t="s">
        <v>6036</v>
      </c>
      <c r="L785" s="532">
        <v>0</v>
      </c>
      <c r="M785" s="347">
        <v>0</v>
      </c>
    </row>
    <row r="786" spans="1:13" ht="11.1" customHeight="1">
      <c r="A786" s="493" t="s">
        <v>13698</v>
      </c>
      <c r="B786" s="534" t="s">
        <v>12590</v>
      </c>
      <c r="C786" s="535">
        <v>114283</v>
      </c>
      <c r="D786" s="536">
        <v>71.600954821409559</v>
      </c>
      <c r="E786" s="537" t="s">
        <v>6251</v>
      </c>
      <c r="F786" s="538" t="s">
        <v>6233</v>
      </c>
      <c r="G786" s="538" t="s">
        <v>12436</v>
      </c>
      <c r="H786" s="539">
        <v>46</v>
      </c>
      <c r="I786" s="538" t="s">
        <v>6257</v>
      </c>
      <c r="J786" s="538" t="s">
        <v>12621</v>
      </c>
      <c r="K786" s="538" t="s">
        <v>6209</v>
      </c>
      <c r="L786" s="538">
        <v>5</v>
      </c>
      <c r="M786" s="373" t="s">
        <v>12638</v>
      </c>
    </row>
    <row r="787" spans="1:13" ht="11.1" customHeight="1">
      <c r="A787" s="501" t="s">
        <v>13699</v>
      </c>
      <c r="B787" s="280" t="s">
        <v>6230</v>
      </c>
      <c r="C787" s="515">
        <v>31236</v>
      </c>
      <c r="D787" s="503">
        <v>19.570079756407765</v>
      </c>
      <c r="E787" s="504">
        <v>27.332149138542039</v>
      </c>
      <c r="F787" s="278" t="s">
        <v>6233</v>
      </c>
      <c r="G787" s="278" t="s">
        <v>12438</v>
      </c>
      <c r="H787" s="505">
        <v>50</v>
      </c>
      <c r="I787" s="278" t="s">
        <v>6278</v>
      </c>
      <c r="J787" s="278">
        <v>0</v>
      </c>
      <c r="K787" s="278" t="s">
        <v>6036</v>
      </c>
      <c r="L787" s="278">
        <v>0</v>
      </c>
      <c r="M787" s="308" t="s">
        <v>6036</v>
      </c>
    </row>
    <row r="788" spans="1:13" ht="11.1" customHeight="1">
      <c r="A788" s="501" t="s">
        <v>13700</v>
      </c>
      <c r="B788" s="280" t="s">
        <v>6231</v>
      </c>
      <c r="C788" s="515">
        <v>14092</v>
      </c>
      <c r="D788" s="503">
        <v>8.8289654221826819</v>
      </c>
      <c r="E788" s="504" t="s">
        <v>6262</v>
      </c>
      <c r="F788" s="278">
        <v>0</v>
      </c>
      <c r="G788" s="278" t="s">
        <v>13701</v>
      </c>
      <c r="H788" s="505">
        <v>53</v>
      </c>
      <c r="I788" s="278" t="s">
        <v>6264</v>
      </c>
      <c r="J788" s="278">
        <v>0</v>
      </c>
      <c r="K788" s="278" t="s">
        <v>6036</v>
      </c>
      <c r="L788" s="278">
        <v>0</v>
      </c>
      <c r="M788" s="308">
        <v>0</v>
      </c>
    </row>
    <row r="789" spans="1:13" ht="11.1" customHeight="1">
      <c r="A789" s="507" t="s">
        <v>13702</v>
      </c>
      <c r="B789" s="545" t="s">
        <v>12590</v>
      </c>
      <c r="C789" s="546">
        <v>52466</v>
      </c>
      <c r="D789" s="547">
        <v>33.076326589795805</v>
      </c>
      <c r="E789" s="548" t="s">
        <v>6262</v>
      </c>
      <c r="F789" s="549">
        <v>0</v>
      </c>
      <c r="G789" s="549" t="s">
        <v>12442</v>
      </c>
      <c r="H789" s="550">
        <v>53</v>
      </c>
      <c r="I789" s="549" t="s">
        <v>6322</v>
      </c>
      <c r="J789" s="549" t="s">
        <v>13658</v>
      </c>
      <c r="K789" s="549" t="s">
        <v>6036</v>
      </c>
      <c r="L789" s="549">
        <v>0</v>
      </c>
      <c r="M789" s="551">
        <v>0</v>
      </c>
    </row>
    <row r="790" spans="1:13" ht="11.1" customHeight="1">
      <c r="A790" s="501" t="s">
        <v>13703</v>
      </c>
      <c r="B790" s="516" t="s">
        <v>12602</v>
      </c>
      <c r="C790" s="515">
        <v>50989</v>
      </c>
      <c r="D790" s="503">
        <v>32.145176237698664</v>
      </c>
      <c r="E790" s="504">
        <v>97.18484351770671</v>
      </c>
      <c r="F790" s="512" t="s">
        <v>6233</v>
      </c>
      <c r="G790" s="512" t="s">
        <v>12443</v>
      </c>
      <c r="H790" s="526">
        <v>49</v>
      </c>
      <c r="I790" s="512" t="s">
        <v>6253</v>
      </c>
      <c r="J790" s="512" t="s">
        <v>11994</v>
      </c>
      <c r="K790" s="512" t="s">
        <v>6209</v>
      </c>
      <c r="L790" s="512">
        <v>1</v>
      </c>
      <c r="M790" s="308">
        <v>0</v>
      </c>
    </row>
    <row r="791" spans="1:13" ht="11.1" customHeight="1">
      <c r="A791" s="501" t="s">
        <v>13704</v>
      </c>
      <c r="B791" s="280" t="s">
        <v>6230</v>
      </c>
      <c r="C791" s="515">
        <v>45900</v>
      </c>
      <c r="D791" s="503">
        <v>28.936899906065403</v>
      </c>
      <c r="E791" s="504" t="s">
        <v>6262</v>
      </c>
      <c r="F791" s="278">
        <v>0</v>
      </c>
      <c r="G791" s="278" t="s">
        <v>13705</v>
      </c>
      <c r="H791" s="505">
        <v>84</v>
      </c>
      <c r="I791" s="278" t="s">
        <v>6257</v>
      </c>
      <c r="J791" s="278" t="s">
        <v>12975</v>
      </c>
      <c r="K791" s="278" t="s">
        <v>6209</v>
      </c>
      <c r="L791" s="278">
        <v>9</v>
      </c>
      <c r="M791" s="308" t="s">
        <v>12622</v>
      </c>
    </row>
    <row r="792" spans="1:13" ht="11.1" customHeight="1" thickBot="1">
      <c r="A792" s="527" t="s">
        <v>13706</v>
      </c>
      <c r="B792" s="528" t="s">
        <v>6231</v>
      </c>
      <c r="C792" s="529">
        <v>9266</v>
      </c>
      <c r="D792" s="530">
        <v>5.8415972664401306</v>
      </c>
      <c r="E792" s="531" t="s">
        <v>6262</v>
      </c>
      <c r="F792" s="532">
        <v>0</v>
      </c>
      <c r="G792" s="532" t="s">
        <v>13707</v>
      </c>
      <c r="H792" s="533">
        <v>67</v>
      </c>
      <c r="I792" s="532" t="s">
        <v>6264</v>
      </c>
      <c r="J792" s="532">
        <v>0</v>
      </c>
      <c r="K792" s="532" t="s">
        <v>6036</v>
      </c>
      <c r="L792" s="532">
        <v>0</v>
      </c>
      <c r="M792" s="347">
        <v>0</v>
      </c>
    </row>
    <row r="793" spans="1:13" ht="11.1" customHeight="1">
      <c r="A793" s="493" t="s">
        <v>13708</v>
      </c>
      <c r="B793" s="534" t="s">
        <v>12590</v>
      </c>
      <c r="C793" s="535">
        <v>117897</v>
      </c>
      <c r="D793" s="536">
        <v>61.021712688595017</v>
      </c>
      <c r="E793" s="537" t="s">
        <v>6251</v>
      </c>
      <c r="F793" s="538" t="s">
        <v>6233</v>
      </c>
      <c r="G793" s="538" t="s">
        <v>8074</v>
      </c>
      <c r="H793" s="539">
        <v>59</v>
      </c>
      <c r="I793" s="538" t="s">
        <v>6257</v>
      </c>
      <c r="J793" s="538" t="s">
        <v>12631</v>
      </c>
      <c r="K793" s="538" t="s">
        <v>6209</v>
      </c>
      <c r="L793" s="538">
        <v>4</v>
      </c>
      <c r="M793" s="373" t="s">
        <v>12638</v>
      </c>
    </row>
    <row r="794" spans="1:13" ht="11.1" customHeight="1">
      <c r="A794" s="501" t="s">
        <v>13709</v>
      </c>
      <c r="B794" s="280" t="s">
        <v>6230</v>
      </c>
      <c r="C794" s="515">
        <v>61071</v>
      </c>
      <c r="D794" s="503">
        <v>31.609430397764033</v>
      </c>
      <c r="E794" s="504">
        <v>51.800300262093181</v>
      </c>
      <c r="F794" s="278" t="s">
        <v>6233</v>
      </c>
      <c r="G794" s="278" t="s">
        <v>13710</v>
      </c>
      <c r="H794" s="505">
        <v>35</v>
      </c>
      <c r="I794" s="278" t="s">
        <v>6253</v>
      </c>
      <c r="J794" s="278" t="s">
        <v>11994</v>
      </c>
      <c r="K794" s="278" t="s">
        <v>6036</v>
      </c>
      <c r="L794" s="278">
        <v>0</v>
      </c>
      <c r="M794" s="308">
        <v>0</v>
      </c>
    </row>
    <row r="795" spans="1:13" ht="11.1" customHeight="1">
      <c r="A795" s="501" t="s">
        <v>13711</v>
      </c>
      <c r="B795" s="280" t="s">
        <v>6231</v>
      </c>
      <c r="C795" s="515">
        <v>14237</v>
      </c>
      <c r="D795" s="503">
        <v>7.3688569136409514</v>
      </c>
      <c r="E795" s="504" t="s">
        <v>6262</v>
      </c>
      <c r="F795" s="278">
        <v>0</v>
      </c>
      <c r="G795" s="278" t="s">
        <v>12446</v>
      </c>
      <c r="H795" s="505">
        <v>49</v>
      </c>
      <c r="I795" s="278" t="s">
        <v>6264</v>
      </c>
      <c r="J795" s="278">
        <v>0</v>
      </c>
      <c r="K795" s="278" t="s">
        <v>6036</v>
      </c>
      <c r="L795" s="278">
        <v>0</v>
      </c>
      <c r="M795" s="308">
        <v>0</v>
      </c>
    </row>
    <row r="796" spans="1:13" ht="11.1" customHeight="1">
      <c r="A796" s="507" t="s">
        <v>13712</v>
      </c>
      <c r="B796" s="519" t="s">
        <v>12590</v>
      </c>
      <c r="C796" s="520">
        <v>145555</v>
      </c>
      <c r="D796" s="521">
        <v>63.771386010646452</v>
      </c>
      <c r="E796" s="522" t="s">
        <v>6251</v>
      </c>
      <c r="F796" s="523" t="s">
        <v>6233</v>
      </c>
      <c r="G796" s="523" t="s">
        <v>12448</v>
      </c>
      <c r="H796" s="524">
        <v>57</v>
      </c>
      <c r="I796" s="523" t="s">
        <v>6257</v>
      </c>
      <c r="J796" s="523" t="s">
        <v>12621</v>
      </c>
      <c r="K796" s="523" t="s">
        <v>6209</v>
      </c>
      <c r="L796" s="523">
        <v>1</v>
      </c>
      <c r="M796" s="525" t="s">
        <v>12638</v>
      </c>
    </row>
    <row r="797" spans="1:13" ht="11.1" customHeight="1">
      <c r="A797" s="501" t="s">
        <v>13713</v>
      </c>
      <c r="B797" s="280" t="s">
        <v>6230</v>
      </c>
      <c r="C797" s="515">
        <v>50951</v>
      </c>
      <c r="D797" s="503">
        <v>22.322942452189533</v>
      </c>
      <c r="E797" s="504">
        <v>35.00463742228024</v>
      </c>
      <c r="F797" s="278" t="s">
        <v>6233</v>
      </c>
      <c r="G797" s="278" t="s">
        <v>13714</v>
      </c>
      <c r="H797" s="505">
        <v>71</v>
      </c>
      <c r="I797" s="278" t="s">
        <v>6253</v>
      </c>
      <c r="J797" s="278" t="s">
        <v>11989</v>
      </c>
      <c r="K797" s="278" t="s">
        <v>6036</v>
      </c>
      <c r="L797" s="278">
        <v>0</v>
      </c>
      <c r="M797" s="308">
        <v>0</v>
      </c>
    </row>
    <row r="798" spans="1:13" ht="11.1" customHeight="1">
      <c r="A798" s="501" t="s">
        <v>13715</v>
      </c>
      <c r="B798" s="280" t="s">
        <v>6231</v>
      </c>
      <c r="C798" s="515">
        <v>20965</v>
      </c>
      <c r="D798" s="503">
        <v>9.1853052640802648</v>
      </c>
      <c r="E798" s="504">
        <v>14.403490089656831</v>
      </c>
      <c r="F798" s="278" t="s">
        <v>6233</v>
      </c>
      <c r="G798" s="278" t="s">
        <v>13716</v>
      </c>
      <c r="H798" s="505">
        <v>59</v>
      </c>
      <c r="I798" s="278" t="s">
        <v>6278</v>
      </c>
      <c r="J798" s="278">
        <v>0</v>
      </c>
      <c r="K798" s="278" t="s">
        <v>6036</v>
      </c>
      <c r="L798" s="278">
        <v>0</v>
      </c>
      <c r="M798" s="308">
        <v>0</v>
      </c>
    </row>
    <row r="799" spans="1:13" ht="11.1" customHeight="1" thickBot="1">
      <c r="A799" s="527" t="s">
        <v>13717</v>
      </c>
      <c r="B799" s="528" t="s">
        <v>6231</v>
      </c>
      <c r="C799" s="529">
        <v>10774</v>
      </c>
      <c r="D799" s="530">
        <v>4.7203662730837479</v>
      </c>
      <c r="E799" s="531" t="s">
        <v>6251</v>
      </c>
      <c r="F799" s="532">
        <v>0</v>
      </c>
      <c r="G799" s="532" t="s">
        <v>12451</v>
      </c>
      <c r="H799" s="533">
        <v>32</v>
      </c>
      <c r="I799" s="532" t="s">
        <v>6264</v>
      </c>
      <c r="J799" s="532">
        <v>0</v>
      </c>
      <c r="K799" s="532" t="s">
        <v>6036</v>
      </c>
      <c r="L799" s="532">
        <v>0</v>
      </c>
      <c r="M799" s="347">
        <v>0</v>
      </c>
    </row>
    <row r="800" spans="1:13" ht="11.1" customHeight="1">
      <c r="A800" s="493" t="s">
        <v>13718</v>
      </c>
      <c r="B800" s="534" t="s">
        <v>12590</v>
      </c>
      <c r="C800" s="535">
        <v>102318</v>
      </c>
      <c r="D800" s="536">
        <v>57.568698939977047</v>
      </c>
      <c r="E800" s="537" t="s">
        <v>6251</v>
      </c>
      <c r="F800" s="538" t="s">
        <v>6233</v>
      </c>
      <c r="G800" s="538" t="s">
        <v>8088</v>
      </c>
      <c r="H800" s="539">
        <v>49</v>
      </c>
      <c r="I800" s="538" t="s">
        <v>6257</v>
      </c>
      <c r="J800" s="538" t="s">
        <v>12773</v>
      </c>
      <c r="K800" s="538" t="s">
        <v>6209</v>
      </c>
      <c r="L800" s="538">
        <v>5</v>
      </c>
      <c r="M800" s="373" t="s">
        <v>12638</v>
      </c>
    </row>
    <row r="801" spans="1:13" ht="11.1" customHeight="1">
      <c r="A801" s="501" t="s">
        <v>13719</v>
      </c>
      <c r="B801" s="280" t="s">
        <v>6230</v>
      </c>
      <c r="C801" s="515">
        <v>63463</v>
      </c>
      <c r="D801" s="503">
        <v>35.707132086512274</v>
      </c>
      <c r="E801" s="504">
        <v>62.025254598408885</v>
      </c>
      <c r="F801" s="278" t="s">
        <v>6233</v>
      </c>
      <c r="G801" s="278" t="s">
        <v>12452</v>
      </c>
      <c r="H801" s="505">
        <v>31</v>
      </c>
      <c r="I801" s="278" t="s">
        <v>6253</v>
      </c>
      <c r="J801" s="278" t="s">
        <v>12000</v>
      </c>
      <c r="K801" s="278" t="s">
        <v>6036</v>
      </c>
      <c r="L801" s="278">
        <v>0</v>
      </c>
      <c r="M801" s="308" t="s">
        <v>6154</v>
      </c>
    </row>
    <row r="802" spans="1:13" ht="11.1" customHeight="1">
      <c r="A802" s="501" t="s">
        <v>13720</v>
      </c>
      <c r="B802" s="280" t="s">
        <v>6231</v>
      </c>
      <c r="C802" s="515">
        <v>11951</v>
      </c>
      <c r="D802" s="503">
        <v>6.7241689735106789</v>
      </c>
      <c r="E802" s="504" t="s">
        <v>6262</v>
      </c>
      <c r="F802" s="278">
        <v>0</v>
      </c>
      <c r="G802" s="278" t="s">
        <v>12453</v>
      </c>
      <c r="H802" s="505">
        <v>44</v>
      </c>
      <c r="I802" s="278" t="s">
        <v>6264</v>
      </c>
      <c r="J802" s="278">
        <v>0</v>
      </c>
      <c r="K802" s="278" t="s">
        <v>6036</v>
      </c>
      <c r="L802" s="278">
        <v>0</v>
      </c>
      <c r="M802" s="308">
        <v>0</v>
      </c>
    </row>
    <row r="803" spans="1:13" ht="11.1" customHeight="1">
      <c r="A803" s="507" t="s">
        <v>13721</v>
      </c>
      <c r="B803" s="519" t="s">
        <v>12590</v>
      </c>
      <c r="C803" s="520">
        <v>78643</v>
      </c>
      <c r="D803" s="521">
        <v>48.488192860225659</v>
      </c>
      <c r="E803" s="522" t="s">
        <v>6251</v>
      </c>
      <c r="F803" s="523" t="s">
        <v>6233</v>
      </c>
      <c r="G803" s="523" t="s">
        <v>8100</v>
      </c>
      <c r="H803" s="524">
        <v>63</v>
      </c>
      <c r="I803" s="523" t="s">
        <v>6257</v>
      </c>
      <c r="J803" s="523" t="s">
        <v>12621</v>
      </c>
      <c r="K803" s="523" t="s">
        <v>6209</v>
      </c>
      <c r="L803" s="523">
        <v>3</v>
      </c>
      <c r="M803" s="525" t="s">
        <v>12638</v>
      </c>
    </row>
    <row r="804" spans="1:13" ht="11.1" customHeight="1">
      <c r="A804" s="501" t="s">
        <v>13722</v>
      </c>
      <c r="B804" s="516" t="s">
        <v>12602</v>
      </c>
      <c r="C804" s="515">
        <v>69190</v>
      </c>
      <c r="D804" s="503">
        <v>42.659843393550773</v>
      </c>
      <c r="E804" s="504">
        <v>87.97985834721463</v>
      </c>
      <c r="F804" s="512" t="s">
        <v>6233</v>
      </c>
      <c r="G804" s="512" t="s">
        <v>8096</v>
      </c>
      <c r="H804" s="526">
        <v>32</v>
      </c>
      <c r="I804" s="512" t="s">
        <v>6253</v>
      </c>
      <c r="J804" s="512" t="s">
        <v>12007</v>
      </c>
      <c r="K804" s="512" t="s">
        <v>6036</v>
      </c>
      <c r="L804" s="512">
        <v>0</v>
      </c>
      <c r="M804" s="308">
        <v>0</v>
      </c>
    </row>
    <row r="805" spans="1:13" ht="11.1" customHeight="1">
      <c r="A805" s="501" t="s">
        <v>13723</v>
      </c>
      <c r="B805" s="280" t="s">
        <v>6231</v>
      </c>
      <c r="C805" s="515">
        <v>14357</v>
      </c>
      <c r="D805" s="503">
        <v>8.8519637462235643</v>
      </c>
      <c r="E805" s="504" t="s">
        <v>6262</v>
      </c>
      <c r="F805" s="278">
        <v>0</v>
      </c>
      <c r="G805" s="278" t="s">
        <v>12455</v>
      </c>
      <c r="H805" s="505">
        <v>47</v>
      </c>
      <c r="I805" s="278" t="s">
        <v>6264</v>
      </c>
      <c r="J805" s="278">
        <v>0</v>
      </c>
      <c r="K805" s="278" t="s">
        <v>6036</v>
      </c>
      <c r="L805" s="278">
        <v>0</v>
      </c>
      <c r="M805" s="308">
        <v>0</v>
      </c>
    </row>
    <row r="806" spans="1:13" ht="11.1" customHeight="1">
      <c r="A806" s="507" t="s">
        <v>13724</v>
      </c>
      <c r="B806" s="519" t="s">
        <v>12590</v>
      </c>
      <c r="C806" s="520">
        <v>125949</v>
      </c>
      <c r="D806" s="521">
        <v>67.26787192565493</v>
      </c>
      <c r="E806" s="522" t="s">
        <v>6251</v>
      </c>
      <c r="F806" s="523" t="s">
        <v>6233</v>
      </c>
      <c r="G806" s="523" t="s">
        <v>8106</v>
      </c>
      <c r="H806" s="524">
        <v>64</v>
      </c>
      <c r="I806" s="523" t="s">
        <v>6257</v>
      </c>
      <c r="J806" s="523" t="s">
        <v>12635</v>
      </c>
      <c r="K806" s="523" t="s">
        <v>6209</v>
      </c>
      <c r="L806" s="523">
        <v>7</v>
      </c>
      <c r="M806" s="525" t="s">
        <v>12638</v>
      </c>
    </row>
    <row r="807" spans="1:13" ht="11.1" customHeight="1">
      <c r="A807" s="501" t="s">
        <v>13725</v>
      </c>
      <c r="B807" s="280" t="s">
        <v>6230</v>
      </c>
      <c r="C807" s="515">
        <v>48010</v>
      </c>
      <c r="D807" s="503">
        <v>25.641573423772265</v>
      </c>
      <c r="E807" s="504">
        <v>38.118603561759123</v>
      </c>
      <c r="F807" s="278" t="s">
        <v>6233</v>
      </c>
      <c r="G807" s="278" t="s">
        <v>12456</v>
      </c>
      <c r="H807" s="505">
        <v>48</v>
      </c>
      <c r="I807" s="278" t="s">
        <v>6253</v>
      </c>
      <c r="J807" s="278" t="s">
        <v>12007</v>
      </c>
      <c r="K807" s="278" t="s">
        <v>6036</v>
      </c>
      <c r="L807" s="278">
        <v>0</v>
      </c>
      <c r="M807" s="308">
        <v>0</v>
      </c>
    </row>
    <row r="808" spans="1:13" ht="11.1" customHeight="1">
      <c r="A808" s="501" t="s">
        <v>13726</v>
      </c>
      <c r="B808" s="280" t="s">
        <v>6231</v>
      </c>
      <c r="C808" s="515">
        <v>13276</v>
      </c>
      <c r="D808" s="503">
        <v>7.0905546505728099</v>
      </c>
      <c r="E808" s="504" t="s">
        <v>6262</v>
      </c>
      <c r="F808" s="278">
        <v>0</v>
      </c>
      <c r="G808" s="278" t="s">
        <v>13727</v>
      </c>
      <c r="H808" s="505">
        <v>46</v>
      </c>
      <c r="I808" s="278" t="s">
        <v>6264</v>
      </c>
      <c r="J808" s="278">
        <v>0</v>
      </c>
      <c r="K808" s="278" t="s">
        <v>6036</v>
      </c>
      <c r="L808" s="278">
        <v>0</v>
      </c>
      <c r="M808" s="308">
        <v>0</v>
      </c>
    </row>
    <row r="809" spans="1:13" ht="11.1" customHeight="1">
      <c r="A809" s="507" t="s">
        <v>13728</v>
      </c>
      <c r="B809" s="519" t="s">
        <v>12590</v>
      </c>
      <c r="C809" s="520">
        <v>104653</v>
      </c>
      <c r="D809" s="521">
        <v>56.502302679530715</v>
      </c>
      <c r="E809" s="522" t="s">
        <v>6262</v>
      </c>
      <c r="F809" s="523">
        <v>0</v>
      </c>
      <c r="G809" s="523" t="s">
        <v>13729</v>
      </c>
      <c r="H809" s="524">
        <v>66</v>
      </c>
      <c r="I809" s="523" t="s">
        <v>6257</v>
      </c>
      <c r="J809" s="523" t="s">
        <v>12621</v>
      </c>
      <c r="K809" s="523" t="s">
        <v>6209</v>
      </c>
      <c r="L809" s="523">
        <v>13</v>
      </c>
      <c r="M809" s="525" t="s">
        <v>12638</v>
      </c>
    </row>
    <row r="810" spans="1:13" ht="11.1" customHeight="1">
      <c r="A810" s="501" t="s">
        <v>13730</v>
      </c>
      <c r="B810" s="280" t="s">
        <v>6230</v>
      </c>
      <c r="C810" s="515">
        <v>66199</v>
      </c>
      <c r="D810" s="503">
        <v>35.740933705505377</v>
      </c>
      <c r="E810" s="504">
        <v>63.255711733060686</v>
      </c>
      <c r="F810" s="278" t="s">
        <v>6233</v>
      </c>
      <c r="G810" s="278" t="s">
        <v>8114</v>
      </c>
      <c r="H810" s="505">
        <v>31</v>
      </c>
      <c r="I810" s="278" t="s">
        <v>6253</v>
      </c>
      <c r="J810" s="278" t="s">
        <v>12007</v>
      </c>
      <c r="K810" s="278" t="s">
        <v>6036</v>
      </c>
      <c r="L810" s="278">
        <v>0</v>
      </c>
      <c r="M810" s="308">
        <v>0</v>
      </c>
    </row>
    <row r="811" spans="1:13" ht="11.1" customHeight="1">
      <c r="A811" s="501" t="s">
        <v>13731</v>
      </c>
      <c r="B811" s="280" t="s">
        <v>6231</v>
      </c>
      <c r="C811" s="515">
        <v>14367</v>
      </c>
      <c r="D811" s="503">
        <v>7.7567636149639076</v>
      </c>
      <c r="E811" s="504" t="s">
        <v>6262</v>
      </c>
      <c r="F811" s="278">
        <v>0</v>
      </c>
      <c r="G811" s="278" t="s">
        <v>12459</v>
      </c>
      <c r="H811" s="505">
        <v>27</v>
      </c>
      <c r="I811" s="278" t="s">
        <v>6264</v>
      </c>
      <c r="J811" s="278">
        <v>0</v>
      </c>
      <c r="K811" s="278" t="s">
        <v>6036</v>
      </c>
      <c r="L811" s="278">
        <v>0</v>
      </c>
      <c r="M811" s="308">
        <v>0</v>
      </c>
    </row>
    <row r="812" spans="1:13" ht="11.1" customHeight="1">
      <c r="A812" s="507" t="s">
        <v>13732</v>
      </c>
      <c r="B812" s="519" t="s">
        <v>12590</v>
      </c>
      <c r="C812" s="520">
        <v>104052</v>
      </c>
      <c r="D812" s="521">
        <v>57.032920051303975</v>
      </c>
      <c r="E812" s="522" t="s">
        <v>6251</v>
      </c>
      <c r="F812" s="523" t="s">
        <v>6233</v>
      </c>
      <c r="G812" s="523" t="s">
        <v>9697</v>
      </c>
      <c r="H812" s="524">
        <v>59</v>
      </c>
      <c r="I812" s="523" t="s">
        <v>6257</v>
      </c>
      <c r="J812" s="523" t="s">
        <v>12651</v>
      </c>
      <c r="K812" s="523" t="s">
        <v>6209</v>
      </c>
      <c r="L812" s="523">
        <v>4</v>
      </c>
      <c r="M812" s="525" t="s">
        <v>12638</v>
      </c>
    </row>
    <row r="813" spans="1:13" ht="11.1" customHeight="1">
      <c r="A813" s="501" t="s">
        <v>13733</v>
      </c>
      <c r="B813" s="280" t="s">
        <v>6230</v>
      </c>
      <c r="C813" s="515">
        <v>69908</v>
      </c>
      <c r="D813" s="503">
        <v>38.317931178127843</v>
      </c>
      <c r="E813" s="504">
        <v>67.185637950255639</v>
      </c>
      <c r="F813" s="278" t="s">
        <v>6233</v>
      </c>
      <c r="G813" s="278" t="s">
        <v>13734</v>
      </c>
      <c r="H813" s="505">
        <v>37</v>
      </c>
      <c r="I813" s="278" t="s">
        <v>6253</v>
      </c>
      <c r="J813" s="278" t="s">
        <v>12007</v>
      </c>
      <c r="K813" s="278" t="s">
        <v>6036</v>
      </c>
      <c r="L813" s="278">
        <v>0</v>
      </c>
      <c r="M813" s="308">
        <v>0</v>
      </c>
    </row>
    <row r="814" spans="1:13" ht="11.1" customHeight="1" thickBot="1">
      <c r="A814" s="527" t="s">
        <v>13735</v>
      </c>
      <c r="B814" s="528" t="s">
        <v>6231</v>
      </c>
      <c r="C814" s="529">
        <v>8482</v>
      </c>
      <c r="D814" s="530">
        <v>4.6491487705681802</v>
      </c>
      <c r="E814" s="531" t="s">
        <v>6262</v>
      </c>
      <c r="F814" s="532">
        <v>0</v>
      </c>
      <c r="G814" s="532" t="s">
        <v>13736</v>
      </c>
      <c r="H814" s="533">
        <v>52</v>
      </c>
      <c r="I814" s="532" t="s">
        <v>6264</v>
      </c>
      <c r="J814" s="532">
        <v>0</v>
      </c>
      <c r="K814" s="532" t="s">
        <v>6036</v>
      </c>
      <c r="L814" s="532">
        <v>0</v>
      </c>
      <c r="M814" s="347">
        <v>0</v>
      </c>
    </row>
    <row r="815" spans="1:13" ht="11.1" customHeight="1">
      <c r="A815" s="493" t="s">
        <v>13737</v>
      </c>
      <c r="B815" s="534" t="s">
        <v>12590</v>
      </c>
      <c r="C815" s="535">
        <v>84292</v>
      </c>
      <c r="D815" s="536">
        <v>55.518451922253618</v>
      </c>
      <c r="E815" s="537" t="s">
        <v>6251</v>
      </c>
      <c r="F815" s="538" t="s">
        <v>6233</v>
      </c>
      <c r="G815" s="538" t="s">
        <v>8126</v>
      </c>
      <c r="H815" s="539">
        <v>46</v>
      </c>
      <c r="I815" s="538" t="s">
        <v>6257</v>
      </c>
      <c r="J815" s="538" t="s">
        <v>12651</v>
      </c>
      <c r="K815" s="538" t="s">
        <v>6209</v>
      </c>
      <c r="L815" s="538">
        <v>3</v>
      </c>
      <c r="M815" s="373" t="s">
        <v>12638</v>
      </c>
    </row>
    <row r="816" spans="1:13" ht="11.1" customHeight="1">
      <c r="A816" s="501" t="s">
        <v>13738</v>
      </c>
      <c r="B816" s="280" t="s">
        <v>6230</v>
      </c>
      <c r="C816" s="515">
        <v>56072</v>
      </c>
      <c r="D816" s="503">
        <v>36.931507571117123</v>
      </c>
      <c r="E816" s="504">
        <v>66.521140796279596</v>
      </c>
      <c r="F816" s="278" t="s">
        <v>6233</v>
      </c>
      <c r="G816" s="278" t="s">
        <v>6650</v>
      </c>
      <c r="H816" s="505">
        <v>38</v>
      </c>
      <c r="I816" s="278" t="s">
        <v>6253</v>
      </c>
      <c r="J816" s="278" t="s">
        <v>12007</v>
      </c>
      <c r="K816" s="278" t="s">
        <v>6036</v>
      </c>
      <c r="L816" s="278">
        <v>0</v>
      </c>
      <c r="M816" s="308">
        <v>0</v>
      </c>
    </row>
    <row r="817" spans="1:13" ht="11.1" customHeight="1">
      <c r="A817" s="501" t="s">
        <v>13739</v>
      </c>
      <c r="B817" s="280" t="s">
        <v>6231</v>
      </c>
      <c r="C817" s="515">
        <v>11463</v>
      </c>
      <c r="D817" s="503">
        <v>7.550040506629256</v>
      </c>
      <c r="E817" s="504" t="s">
        <v>6262</v>
      </c>
      <c r="F817" s="278">
        <v>0</v>
      </c>
      <c r="G817" s="278" t="s">
        <v>13740</v>
      </c>
      <c r="H817" s="505">
        <v>47</v>
      </c>
      <c r="I817" s="278" t="s">
        <v>6264</v>
      </c>
      <c r="J817" s="278">
        <v>0</v>
      </c>
      <c r="K817" s="278" t="s">
        <v>6036</v>
      </c>
      <c r="L817" s="278">
        <v>0</v>
      </c>
      <c r="M817" s="308">
        <v>0</v>
      </c>
    </row>
    <row r="818" spans="1:13" ht="11.1" customHeight="1">
      <c r="A818" s="507" t="s">
        <v>13741</v>
      </c>
      <c r="B818" s="508" t="s">
        <v>12590</v>
      </c>
      <c r="C818" s="509">
        <v>81382</v>
      </c>
      <c r="D818" s="510">
        <v>37.470590131176074</v>
      </c>
      <c r="E818" s="511" t="s">
        <v>6251</v>
      </c>
      <c r="F818" s="514" t="s">
        <v>6233</v>
      </c>
      <c r="G818" s="514" t="s">
        <v>8138</v>
      </c>
      <c r="H818" s="513">
        <v>32</v>
      </c>
      <c r="I818" s="514" t="s">
        <v>6253</v>
      </c>
      <c r="J818" s="514" t="s">
        <v>12007</v>
      </c>
      <c r="K818" s="514" t="s">
        <v>6036</v>
      </c>
      <c r="L818" s="514">
        <v>0</v>
      </c>
      <c r="M818" s="341">
        <v>0</v>
      </c>
    </row>
    <row r="819" spans="1:13" ht="11.1" customHeight="1">
      <c r="A819" s="501" t="s">
        <v>13742</v>
      </c>
      <c r="B819" s="280" t="s">
        <v>6230</v>
      </c>
      <c r="C819" s="515">
        <v>61472</v>
      </c>
      <c r="D819" s="503">
        <v>28.30345919913071</v>
      </c>
      <c r="E819" s="504" t="s">
        <v>6262</v>
      </c>
      <c r="F819" s="278">
        <v>0</v>
      </c>
      <c r="G819" s="278" t="s">
        <v>12463</v>
      </c>
      <c r="H819" s="505">
        <v>55</v>
      </c>
      <c r="I819" s="278" t="s">
        <v>12790</v>
      </c>
      <c r="J819" s="278">
        <v>0</v>
      </c>
      <c r="K819" s="278" t="s">
        <v>6036</v>
      </c>
      <c r="L819" s="278">
        <v>0</v>
      </c>
      <c r="M819" s="308">
        <v>0</v>
      </c>
    </row>
    <row r="820" spans="1:13" ht="11.1" customHeight="1">
      <c r="A820" s="501" t="s">
        <v>13743</v>
      </c>
      <c r="B820" s="280" t="s">
        <v>6230</v>
      </c>
      <c r="C820" s="515">
        <v>48557</v>
      </c>
      <c r="D820" s="503">
        <v>22.357025447881799</v>
      </c>
      <c r="E820" s="504">
        <v>59.665528003735467</v>
      </c>
      <c r="F820" s="278" t="s">
        <v>6233</v>
      </c>
      <c r="G820" s="278" t="s">
        <v>13744</v>
      </c>
      <c r="H820" s="505">
        <v>61</v>
      </c>
      <c r="I820" s="278" t="s">
        <v>6257</v>
      </c>
      <c r="J820" s="278" t="s">
        <v>12621</v>
      </c>
      <c r="K820" s="278" t="s">
        <v>6283</v>
      </c>
      <c r="L820" s="278">
        <v>1</v>
      </c>
      <c r="M820" s="308" t="s">
        <v>12622</v>
      </c>
    </row>
    <row r="821" spans="1:13" ht="11.1" customHeight="1">
      <c r="A821" s="501" t="s">
        <v>13745</v>
      </c>
      <c r="B821" s="280" t="s">
        <v>6231</v>
      </c>
      <c r="C821" s="515">
        <v>16052</v>
      </c>
      <c r="D821" s="503">
        <v>7.3907978765038749</v>
      </c>
      <c r="E821" s="504" t="s">
        <v>6262</v>
      </c>
      <c r="F821" s="278">
        <v>0</v>
      </c>
      <c r="G821" s="278" t="s">
        <v>13746</v>
      </c>
      <c r="H821" s="505">
        <v>51</v>
      </c>
      <c r="I821" s="278" t="s">
        <v>6322</v>
      </c>
      <c r="J821" s="278" t="s">
        <v>12417</v>
      </c>
      <c r="K821" s="278" t="s">
        <v>6036</v>
      </c>
      <c r="L821" s="278">
        <v>0</v>
      </c>
      <c r="M821" s="308">
        <v>0</v>
      </c>
    </row>
    <row r="822" spans="1:13" ht="11.1" customHeight="1">
      <c r="A822" s="501" t="s">
        <v>13747</v>
      </c>
      <c r="B822" s="280" t="s">
        <v>6231</v>
      </c>
      <c r="C822" s="515">
        <v>9726</v>
      </c>
      <c r="D822" s="503">
        <v>4.4781273453075432</v>
      </c>
      <c r="E822" s="504" t="s">
        <v>6262</v>
      </c>
      <c r="F822" s="278">
        <v>0</v>
      </c>
      <c r="G822" s="278" t="s">
        <v>13748</v>
      </c>
      <c r="H822" s="505">
        <v>63</v>
      </c>
      <c r="I822" s="278" t="s">
        <v>6264</v>
      </c>
      <c r="J822" s="278">
        <v>0</v>
      </c>
      <c r="K822" s="278" t="s">
        <v>6036</v>
      </c>
      <c r="L822" s="278">
        <v>0</v>
      </c>
      <c r="M822" s="308">
        <v>0</v>
      </c>
    </row>
    <row r="823" spans="1:13" ht="11.1" customHeight="1">
      <c r="A823" s="507" t="s">
        <v>13749</v>
      </c>
      <c r="B823" s="519" t="s">
        <v>12590</v>
      </c>
      <c r="C823" s="520">
        <v>106972</v>
      </c>
      <c r="D823" s="521">
        <v>60.207573506236209</v>
      </c>
      <c r="E823" s="522" t="s">
        <v>6251</v>
      </c>
      <c r="F823" s="523" t="s">
        <v>6233</v>
      </c>
      <c r="G823" s="523" t="s">
        <v>8146</v>
      </c>
      <c r="H823" s="524">
        <v>58</v>
      </c>
      <c r="I823" s="523" t="s">
        <v>6257</v>
      </c>
      <c r="J823" s="523" t="s">
        <v>12635</v>
      </c>
      <c r="K823" s="523" t="s">
        <v>6209</v>
      </c>
      <c r="L823" s="523">
        <v>1</v>
      </c>
      <c r="M823" s="525" t="s">
        <v>6260</v>
      </c>
    </row>
    <row r="824" spans="1:13" ht="11.1" customHeight="1">
      <c r="A824" s="501" t="s">
        <v>13750</v>
      </c>
      <c r="B824" s="280" t="s">
        <v>6230</v>
      </c>
      <c r="C824" s="515">
        <v>53382</v>
      </c>
      <c r="D824" s="503">
        <v>30.045251924895311</v>
      </c>
      <c r="E824" s="504">
        <v>49.902778297124485</v>
      </c>
      <c r="F824" s="278" t="s">
        <v>6233</v>
      </c>
      <c r="G824" s="278" t="s">
        <v>12468</v>
      </c>
      <c r="H824" s="505">
        <v>55</v>
      </c>
      <c r="I824" s="278" t="s">
        <v>6278</v>
      </c>
      <c r="J824" s="278">
        <v>0</v>
      </c>
      <c r="K824" s="278" t="s">
        <v>6209</v>
      </c>
      <c r="L824" s="278">
        <v>1</v>
      </c>
      <c r="M824" s="308">
        <v>0</v>
      </c>
    </row>
    <row r="825" spans="1:13" ht="11.1" customHeight="1">
      <c r="A825" s="501" t="s">
        <v>13751</v>
      </c>
      <c r="B825" s="280" t="s">
        <v>6231</v>
      </c>
      <c r="C825" s="515">
        <v>17318</v>
      </c>
      <c r="D825" s="503">
        <v>9.747174568868477</v>
      </c>
      <c r="E825" s="504" t="s">
        <v>6262</v>
      </c>
      <c r="F825" s="278">
        <v>0</v>
      </c>
      <c r="G825" s="278" t="s">
        <v>12469</v>
      </c>
      <c r="H825" s="505">
        <v>37</v>
      </c>
      <c r="I825" s="278" t="s">
        <v>6264</v>
      </c>
      <c r="J825" s="278">
        <v>0</v>
      </c>
      <c r="K825" s="278" t="s">
        <v>6036</v>
      </c>
      <c r="L825" s="278">
        <v>0</v>
      </c>
      <c r="M825" s="308">
        <v>0</v>
      </c>
    </row>
    <row r="826" spans="1:13" ht="11.1" customHeight="1">
      <c r="A826" s="507" t="s">
        <v>13752</v>
      </c>
      <c r="B826" s="519" t="s">
        <v>12590</v>
      </c>
      <c r="C826" s="520">
        <v>86275</v>
      </c>
      <c r="D826" s="521">
        <v>54.742672952582787</v>
      </c>
      <c r="E826" s="522" t="s">
        <v>6251</v>
      </c>
      <c r="F826" s="523" t="s">
        <v>6233</v>
      </c>
      <c r="G826" s="523" t="s">
        <v>8152</v>
      </c>
      <c r="H826" s="524">
        <v>59</v>
      </c>
      <c r="I826" s="523" t="s">
        <v>6257</v>
      </c>
      <c r="J826" s="523" t="s">
        <v>12617</v>
      </c>
      <c r="K826" s="523" t="s">
        <v>6209</v>
      </c>
      <c r="L826" s="523">
        <v>7</v>
      </c>
      <c r="M826" s="525" t="s">
        <v>12638</v>
      </c>
    </row>
    <row r="827" spans="1:13" ht="11.1" customHeight="1">
      <c r="A827" s="501" t="s">
        <v>13753</v>
      </c>
      <c r="B827" s="280" t="s">
        <v>6230</v>
      </c>
      <c r="C827" s="515">
        <v>49784</v>
      </c>
      <c r="D827" s="503">
        <v>31.588632051827084</v>
      </c>
      <c r="E827" s="504">
        <v>57.703853955375251</v>
      </c>
      <c r="F827" s="278" t="s">
        <v>6233</v>
      </c>
      <c r="G827" s="278" t="s">
        <v>8150</v>
      </c>
      <c r="H827" s="505">
        <v>39</v>
      </c>
      <c r="I827" s="278" t="s">
        <v>6253</v>
      </c>
      <c r="J827" s="278" t="s">
        <v>12020</v>
      </c>
      <c r="K827" s="278" t="s">
        <v>6036</v>
      </c>
      <c r="L827" s="278">
        <v>0</v>
      </c>
      <c r="M827" s="308">
        <v>0</v>
      </c>
    </row>
    <row r="828" spans="1:13" ht="11.1" customHeight="1">
      <c r="A828" s="501" t="s">
        <v>13754</v>
      </c>
      <c r="B828" s="280" t="s">
        <v>6231</v>
      </c>
      <c r="C828" s="515">
        <v>9681</v>
      </c>
      <c r="D828" s="503">
        <v>6.1427275207644625</v>
      </c>
      <c r="E828" s="504">
        <v>11.221095334685598</v>
      </c>
      <c r="F828" s="278" t="s">
        <v>6233</v>
      </c>
      <c r="G828" s="278" t="s">
        <v>6263</v>
      </c>
      <c r="H828" s="505">
        <v>52</v>
      </c>
      <c r="I828" s="278" t="s">
        <v>6278</v>
      </c>
      <c r="J828" s="278">
        <v>0</v>
      </c>
      <c r="K828" s="278" t="s">
        <v>6036</v>
      </c>
      <c r="L828" s="278">
        <v>0</v>
      </c>
      <c r="M828" s="308">
        <v>0</v>
      </c>
    </row>
    <row r="829" spans="1:13" ht="11.1" customHeight="1">
      <c r="A829" s="501" t="s">
        <v>13755</v>
      </c>
      <c r="B829" s="280" t="s">
        <v>6231</v>
      </c>
      <c r="C829" s="515">
        <v>6636</v>
      </c>
      <c r="D829" s="503">
        <v>4.2106331812615405</v>
      </c>
      <c r="E829" s="504" t="s">
        <v>6262</v>
      </c>
      <c r="F829" s="278">
        <v>0</v>
      </c>
      <c r="G829" s="278" t="s">
        <v>12472</v>
      </c>
      <c r="H829" s="505">
        <v>40</v>
      </c>
      <c r="I829" s="278" t="s">
        <v>6264</v>
      </c>
      <c r="J829" s="278">
        <v>0</v>
      </c>
      <c r="K829" s="278" t="s">
        <v>6036</v>
      </c>
      <c r="L829" s="278">
        <v>0</v>
      </c>
      <c r="M829" s="308">
        <v>0</v>
      </c>
    </row>
    <row r="830" spans="1:13" ht="11.1" customHeight="1">
      <c r="A830" s="501" t="s">
        <v>13756</v>
      </c>
      <c r="B830" s="280" t="s">
        <v>6231</v>
      </c>
      <c r="C830" s="515">
        <v>5225</v>
      </c>
      <c r="D830" s="503">
        <v>3.3153342935641272</v>
      </c>
      <c r="E830" s="504" t="s">
        <v>6262</v>
      </c>
      <c r="F830" s="278">
        <v>0</v>
      </c>
      <c r="G830" s="278" t="s">
        <v>13757</v>
      </c>
      <c r="H830" s="505">
        <v>58</v>
      </c>
      <c r="I830" s="278" t="s">
        <v>6322</v>
      </c>
      <c r="J830" s="278" t="s">
        <v>6476</v>
      </c>
      <c r="K830" s="278" t="s">
        <v>6036</v>
      </c>
      <c r="L830" s="278">
        <v>0</v>
      </c>
      <c r="M830" s="308">
        <v>0</v>
      </c>
    </row>
    <row r="831" spans="1:13" ht="11.1" customHeight="1">
      <c r="A831" s="507" t="s">
        <v>13758</v>
      </c>
      <c r="B831" s="519" t="s">
        <v>12590</v>
      </c>
      <c r="C831" s="520">
        <v>74264</v>
      </c>
      <c r="D831" s="521">
        <v>41.450985426515814</v>
      </c>
      <c r="E831" s="522" t="s">
        <v>6251</v>
      </c>
      <c r="F831" s="523" t="s">
        <v>6233</v>
      </c>
      <c r="G831" s="523" t="s">
        <v>13759</v>
      </c>
      <c r="H831" s="524">
        <v>66</v>
      </c>
      <c r="I831" s="523" t="s">
        <v>6257</v>
      </c>
      <c r="J831" s="523" t="s">
        <v>12651</v>
      </c>
      <c r="K831" s="523" t="s">
        <v>6209</v>
      </c>
      <c r="L831" s="523">
        <v>9</v>
      </c>
      <c r="M831" s="525" t="s">
        <v>12638</v>
      </c>
    </row>
    <row r="832" spans="1:13" ht="11.1" customHeight="1">
      <c r="A832" s="501" t="s">
        <v>13760</v>
      </c>
      <c r="B832" s="280" t="s">
        <v>6230</v>
      </c>
      <c r="C832" s="515">
        <v>48300</v>
      </c>
      <c r="D832" s="503">
        <v>26.958992191380936</v>
      </c>
      <c r="E832" s="504">
        <v>65.038241947646242</v>
      </c>
      <c r="F832" s="278" t="s">
        <v>6233</v>
      </c>
      <c r="G832" s="278" t="s">
        <v>13761</v>
      </c>
      <c r="H832" s="505">
        <v>48</v>
      </c>
      <c r="I832" s="278" t="s">
        <v>6253</v>
      </c>
      <c r="J832" s="278" t="s">
        <v>12007</v>
      </c>
      <c r="K832" s="278" t="s">
        <v>6036</v>
      </c>
      <c r="L832" s="278">
        <v>0</v>
      </c>
      <c r="M832" s="308">
        <v>0</v>
      </c>
    </row>
    <row r="833" spans="1:13" ht="11.1" customHeight="1">
      <c r="A833" s="501" t="s">
        <v>13762</v>
      </c>
      <c r="B833" s="280" t="s">
        <v>6230</v>
      </c>
      <c r="C833" s="515">
        <v>36170</v>
      </c>
      <c r="D833" s="503">
        <v>20.188545498183199</v>
      </c>
      <c r="E833" s="504" t="s">
        <v>6262</v>
      </c>
      <c r="F833" s="278">
        <v>0</v>
      </c>
      <c r="G833" s="278" t="s">
        <v>8156</v>
      </c>
      <c r="H833" s="505">
        <v>44</v>
      </c>
      <c r="I833" s="278" t="s">
        <v>6322</v>
      </c>
      <c r="J833" s="278" t="s">
        <v>6323</v>
      </c>
      <c r="K833" s="278" t="s">
        <v>6036</v>
      </c>
      <c r="L833" s="278">
        <v>0</v>
      </c>
      <c r="M833" s="308">
        <v>0</v>
      </c>
    </row>
    <row r="834" spans="1:13" ht="11.1" customHeight="1">
      <c r="A834" s="501" t="s">
        <v>13763</v>
      </c>
      <c r="B834" s="280" t="s">
        <v>6231</v>
      </c>
      <c r="C834" s="515">
        <v>13531</v>
      </c>
      <c r="D834" s="503">
        <v>7.5524249139042539</v>
      </c>
      <c r="E834" s="504" t="s">
        <v>6262</v>
      </c>
      <c r="F834" s="278">
        <v>0</v>
      </c>
      <c r="G834" s="278" t="s">
        <v>13764</v>
      </c>
      <c r="H834" s="505">
        <v>53</v>
      </c>
      <c r="I834" s="278" t="s">
        <v>6322</v>
      </c>
      <c r="J834" s="278" t="s">
        <v>6323</v>
      </c>
      <c r="K834" s="278" t="s">
        <v>6036</v>
      </c>
      <c r="L834" s="278">
        <v>0</v>
      </c>
      <c r="M834" s="308">
        <v>0</v>
      </c>
    </row>
    <row r="835" spans="1:13" ht="11.1" customHeight="1">
      <c r="A835" s="501" t="s">
        <v>13765</v>
      </c>
      <c r="B835" s="280" t="s">
        <v>6231</v>
      </c>
      <c r="C835" s="515">
        <v>6896</v>
      </c>
      <c r="D835" s="503">
        <v>3.8490519700157959</v>
      </c>
      <c r="E835" s="504" t="s">
        <v>6262</v>
      </c>
      <c r="F835" s="278">
        <v>0</v>
      </c>
      <c r="G835" s="278" t="s">
        <v>13766</v>
      </c>
      <c r="H835" s="505">
        <v>50</v>
      </c>
      <c r="I835" s="278" t="s">
        <v>6264</v>
      </c>
      <c r="J835" s="278">
        <v>0</v>
      </c>
      <c r="K835" s="278" t="s">
        <v>6036</v>
      </c>
      <c r="L835" s="278">
        <v>0</v>
      </c>
      <c r="M835" s="308">
        <v>0</v>
      </c>
    </row>
    <row r="836" spans="1:13" ht="11.1" customHeight="1">
      <c r="A836" s="507" t="s">
        <v>13767</v>
      </c>
      <c r="B836" s="519" t="s">
        <v>12590</v>
      </c>
      <c r="C836" s="520">
        <v>117659</v>
      </c>
      <c r="D836" s="521">
        <v>51.338674066898797</v>
      </c>
      <c r="E836" s="522" t="s">
        <v>6262</v>
      </c>
      <c r="F836" s="523">
        <v>0</v>
      </c>
      <c r="G836" s="523" t="s">
        <v>8162</v>
      </c>
      <c r="H836" s="524">
        <v>67</v>
      </c>
      <c r="I836" s="523" t="s">
        <v>6257</v>
      </c>
      <c r="J836" s="523" t="s">
        <v>12635</v>
      </c>
      <c r="K836" s="523" t="s">
        <v>6209</v>
      </c>
      <c r="L836" s="523">
        <v>8</v>
      </c>
      <c r="M836" s="525" t="s">
        <v>12638</v>
      </c>
    </row>
    <row r="837" spans="1:13" ht="11.1" customHeight="1">
      <c r="A837" s="501" t="s">
        <v>13768</v>
      </c>
      <c r="B837" s="516" t="s">
        <v>12602</v>
      </c>
      <c r="C837" s="515">
        <v>100677</v>
      </c>
      <c r="D837" s="503">
        <v>43.928842579260149</v>
      </c>
      <c r="E837" s="504">
        <v>85.566764973355205</v>
      </c>
      <c r="F837" s="512" t="s">
        <v>6233</v>
      </c>
      <c r="G837" s="512" t="s">
        <v>12476</v>
      </c>
      <c r="H837" s="526">
        <v>44</v>
      </c>
      <c r="I837" s="512" t="s">
        <v>6253</v>
      </c>
      <c r="J837" s="512" t="s">
        <v>12020</v>
      </c>
      <c r="K837" s="512" t="s">
        <v>6209</v>
      </c>
      <c r="L837" s="512">
        <v>1</v>
      </c>
      <c r="M837" s="308">
        <v>0</v>
      </c>
    </row>
    <row r="838" spans="1:13" ht="11.1" customHeight="1">
      <c r="A838" s="501" t="s">
        <v>13769</v>
      </c>
      <c r="B838" s="280" t="s">
        <v>6231</v>
      </c>
      <c r="C838" s="515">
        <v>10846</v>
      </c>
      <c r="D838" s="503">
        <v>4.7324833538410518</v>
      </c>
      <c r="E838" s="504" t="s">
        <v>6262</v>
      </c>
      <c r="F838" s="278">
        <v>0</v>
      </c>
      <c r="G838" s="278" t="s">
        <v>13770</v>
      </c>
      <c r="H838" s="505">
        <v>52</v>
      </c>
      <c r="I838" s="278" t="s">
        <v>6264</v>
      </c>
      <c r="J838" s="278">
        <v>0</v>
      </c>
      <c r="K838" s="278" t="s">
        <v>6036</v>
      </c>
      <c r="L838" s="278">
        <v>0</v>
      </c>
      <c r="M838" s="308">
        <v>0</v>
      </c>
    </row>
    <row r="839" spans="1:13" ht="11.1" customHeight="1">
      <c r="A839" s="507" t="s">
        <v>13771</v>
      </c>
      <c r="B839" s="519" t="s">
        <v>12590</v>
      </c>
      <c r="C839" s="520">
        <v>90487</v>
      </c>
      <c r="D839" s="521">
        <v>45.694966266715149</v>
      </c>
      <c r="E839" s="522" t="s">
        <v>6251</v>
      </c>
      <c r="F839" s="523" t="s">
        <v>6233</v>
      </c>
      <c r="G839" s="523" t="s">
        <v>8172</v>
      </c>
      <c r="H839" s="524">
        <v>53</v>
      </c>
      <c r="I839" s="523" t="s">
        <v>6257</v>
      </c>
      <c r="J839" s="523" t="s">
        <v>12651</v>
      </c>
      <c r="K839" s="523" t="s">
        <v>6209</v>
      </c>
      <c r="L839" s="523">
        <v>1</v>
      </c>
      <c r="M839" s="525" t="s">
        <v>12638</v>
      </c>
    </row>
    <row r="840" spans="1:13" ht="11.1" customHeight="1">
      <c r="A840" s="501" t="s">
        <v>13772</v>
      </c>
      <c r="B840" s="516" t="s">
        <v>12602</v>
      </c>
      <c r="C840" s="515">
        <v>73252</v>
      </c>
      <c r="D840" s="503">
        <v>36.991475780713451</v>
      </c>
      <c r="E840" s="504">
        <v>80.953065081171886</v>
      </c>
      <c r="F840" s="512" t="s">
        <v>6233</v>
      </c>
      <c r="G840" s="512" t="s">
        <v>8170</v>
      </c>
      <c r="H840" s="526">
        <v>40</v>
      </c>
      <c r="I840" s="512" t="s">
        <v>6253</v>
      </c>
      <c r="J840" s="512" t="s">
        <v>12007</v>
      </c>
      <c r="K840" s="512" t="s">
        <v>6036</v>
      </c>
      <c r="L840" s="512">
        <v>0</v>
      </c>
      <c r="M840" s="308">
        <v>0</v>
      </c>
    </row>
    <row r="841" spans="1:13" ht="11.1" customHeight="1">
      <c r="A841" s="501" t="s">
        <v>13773</v>
      </c>
      <c r="B841" s="280"/>
      <c r="C841" s="515">
        <v>23185</v>
      </c>
      <c r="D841" s="503">
        <v>11.708176786652123</v>
      </c>
      <c r="E841" s="504" t="s">
        <v>6262</v>
      </c>
      <c r="F841" s="278">
        <v>0</v>
      </c>
      <c r="G841" s="278" t="s">
        <v>13774</v>
      </c>
      <c r="H841" s="505">
        <v>54</v>
      </c>
      <c r="I841" s="278" t="s">
        <v>6322</v>
      </c>
      <c r="J841" s="278">
        <v>0</v>
      </c>
      <c r="K841" s="278" t="s">
        <v>6283</v>
      </c>
      <c r="L841" s="278">
        <v>1</v>
      </c>
      <c r="M841" s="308">
        <v>0</v>
      </c>
    </row>
    <row r="842" spans="1:13" ht="11.1" customHeight="1" thickBot="1">
      <c r="A842" s="527" t="s">
        <v>13775</v>
      </c>
      <c r="B842" s="528" t="s">
        <v>6231</v>
      </c>
      <c r="C842" s="529">
        <v>11100</v>
      </c>
      <c r="D842" s="530">
        <v>5.6053811659192823</v>
      </c>
      <c r="E842" s="531" t="s">
        <v>6262</v>
      </c>
      <c r="F842" s="532">
        <v>0</v>
      </c>
      <c r="G842" s="532" t="s">
        <v>12478</v>
      </c>
      <c r="H842" s="533">
        <v>53</v>
      </c>
      <c r="I842" s="532" t="s">
        <v>6264</v>
      </c>
      <c r="J842" s="532">
        <v>0</v>
      </c>
      <c r="K842" s="532" t="s">
        <v>6036</v>
      </c>
      <c r="L842" s="532">
        <v>0</v>
      </c>
      <c r="M842" s="347">
        <v>0</v>
      </c>
    </row>
    <row r="843" spans="1:13" ht="11.1" customHeight="1">
      <c r="A843" s="493" t="s">
        <v>13776</v>
      </c>
      <c r="B843" s="534" t="s">
        <v>12590</v>
      </c>
      <c r="C843" s="535">
        <v>137830</v>
      </c>
      <c r="D843" s="536">
        <v>63.64135880280552</v>
      </c>
      <c r="E843" s="537" t="s">
        <v>6251</v>
      </c>
      <c r="F843" s="538" t="s">
        <v>6233</v>
      </c>
      <c r="G843" s="538" t="s">
        <v>8176</v>
      </c>
      <c r="H843" s="539">
        <v>61</v>
      </c>
      <c r="I843" s="538" t="s">
        <v>6257</v>
      </c>
      <c r="J843" s="538" t="s">
        <v>12028</v>
      </c>
      <c r="K843" s="538" t="s">
        <v>6209</v>
      </c>
      <c r="L843" s="538">
        <v>7</v>
      </c>
      <c r="M843" s="373" t="s">
        <v>12638</v>
      </c>
    </row>
    <row r="844" spans="1:13" ht="11.1" customHeight="1">
      <c r="A844" s="501" t="s">
        <v>13777</v>
      </c>
      <c r="B844" s="280" t="s">
        <v>6230</v>
      </c>
      <c r="C844" s="515">
        <v>66672</v>
      </c>
      <c r="D844" s="503">
        <v>30.785000900389246</v>
      </c>
      <c r="E844" s="504">
        <v>48.372632953638544</v>
      </c>
      <c r="F844" s="278" t="s">
        <v>6233</v>
      </c>
      <c r="G844" s="278" t="s">
        <v>6585</v>
      </c>
      <c r="H844" s="505">
        <v>53</v>
      </c>
      <c r="I844" s="278" t="s">
        <v>6253</v>
      </c>
      <c r="J844" s="278" t="s">
        <v>12007</v>
      </c>
      <c r="K844" s="278" t="s">
        <v>6036</v>
      </c>
      <c r="L844" s="278">
        <v>0</v>
      </c>
      <c r="M844" s="308" t="s">
        <v>6254</v>
      </c>
    </row>
    <row r="845" spans="1:13" ht="11.1" customHeight="1">
      <c r="A845" s="501" t="s">
        <v>13778</v>
      </c>
      <c r="B845" s="280" t="s">
        <v>6231</v>
      </c>
      <c r="C845" s="515">
        <v>12071</v>
      </c>
      <c r="D845" s="503">
        <v>5.5736402968052339</v>
      </c>
      <c r="E845" s="504" t="s">
        <v>6262</v>
      </c>
      <c r="F845" s="278">
        <v>0</v>
      </c>
      <c r="G845" s="278" t="s">
        <v>13779</v>
      </c>
      <c r="H845" s="505">
        <v>45</v>
      </c>
      <c r="I845" s="278" t="s">
        <v>6264</v>
      </c>
      <c r="J845" s="278">
        <v>0</v>
      </c>
      <c r="K845" s="278" t="s">
        <v>6036</v>
      </c>
      <c r="L845" s="278">
        <v>0</v>
      </c>
      <c r="M845" s="308">
        <v>0</v>
      </c>
    </row>
    <row r="846" spans="1:13" ht="11.1" customHeight="1">
      <c r="A846" s="507" t="s">
        <v>13780</v>
      </c>
      <c r="B846" s="508" t="s">
        <v>12590</v>
      </c>
      <c r="C846" s="509">
        <v>109647</v>
      </c>
      <c r="D846" s="510">
        <v>51.609517309547904</v>
      </c>
      <c r="E846" s="511" t="s">
        <v>6251</v>
      </c>
      <c r="F846" s="514" t="s">
        <v>6233</v>
      </c>
      <c r="G846" s="514" t="s">
        <v>8184</v>
      </c>
      <c r="H846" s="513">
        <v>49</v>
      </c>
      <c r="I846" s="514" t="s">
        <v>6253</v>
      </c>
      <c r="J846" s="514" t="s">
        <v>12007</v>
      </c>
      <c r="K846" s="514" t="s">
        <v>6209</v>
      </c>
      <c r="L846" s="514">
        <v>1</v>
      </c>
      <c r="M846" s="341" t="s">
        <v>6254</v>
      </c>
    </row>
    <row r="847" spans="1:13" ht="11.1" customHeight="1">
      <c r="A847" s="501" t="s">
        <v>13781</v>
      </c>
      <c r="B847" s="516" t="s">
        <v>12602</v>
      </c>
      <c r="C847" s="515">
        <v>91087</v>
      </c>
      <c r="D847" s="503">
        <v>42.873549692876139</v>
      </c>
      <c r="E847" s="504">
        <v>83.072952292356376</v>
      </c>
      <c r="F847" s="517" t="s">
        <v>6233</v>
      </c>
      <c r="G847" s="517" t="s">
        <v>13782</v>
      </c>
      <c r="H847" s="518">
        <v>71</v>
      </c>
      <c r="I847" s="517" t="s">
        <v>6257</v>
      </c>
      <c r="J847" s="517" t="s">
        <v>12617</v>
      </c>
      <c r="K847" s="517" t="s">
        <v>6283</v>
      </c>
      <c r="L847" s="517">
        <v>7</v>
      </c>
      <c r="M847" s="308" t="s">
        <v>12638</v>
      </c>
    </row>
    <row r="848" spans="1:13" ht="11.1" customHeight="1">
      <c r="A848" s="501" t="s">
        <v>13783</v>
      </c>
      <c r="B848" s="280" t="s">
        <v>6231</v>
      </c>
      <c r="C848" s="515">
        <v>11721</v>
      </c>
      <c r="D848" s="503">
        <v>5.5169329975759576</v>
      </c>
      <c r="E848" s="504" t="s">
        <v>6262</v>
      </c>
      <c r="F848" s="278">
        <v>0</v>
      </c>
      <c r="G848" s="278" t="s">
        <v>12482</v>
      </c>
      <c r="H848" s="505">
        <v>44</v>
      </c>
      <c r="I848" s="278" t="s">
        <v>6264</v>
      </c>
      <c r="J848" s="278">
        <v>0</v>
      </c>
      <c r="K848" s="278" t="s">
        <v>6036</v>
      </c>
      <c r="L848" s="278">
        <v>0</v>
      </c>
      <c r="M848" s="308">
        <v>0</v>
      </c>
    </row>
    <row r="849" spans="1:13" ht="11.1" customHeight="1">
      <c r="A849" s="507" t="s">
        <v>13784</v>
      </c>
      <c r="B849" s="519" t="s">
        <v>12590</v>
      </c>
      <c r="C849" s="520">
        <v>111658</v>
      </c>
      <c r="D849" s="521">
        <v>63.247272603686376</v>
      </c>
      <c r="E849" s="522" t="s">
        <v>6251</v>
      </c>
      <c r="F849" s="523" t="s">
        <v>6233</v>
      </c>
      <c r="G849" s="523" t="s">
        <v>8190</v>
      </c>
      <c r="H849" s="524">
        <v>60</v>
      </c>
      <c r="I849" s="523" t="s">
        <v>6257</v>
      </c>
      <c r="J849" s="523" t="s">
        <v>12635</v>
      </c>
      <c r="K849" s="523" t="s">
        <v>6209</v>
      </c>
      <c r="L849" s="523">
        <v>4</v>
      </c>
      <c r="M849" s="525" t="s">
        <v>12638</v>
      </c>
    </row>
    <row r="850" spans="1:13" ht="11.1" customHeight="1">
      <c r="A850" s="501" t="s">
        <v>13785</v>
      </c>
      <c r="B850" s="280" t="s">
        <v>6230</v>
      </c>
      <c r="C850" s="515">
        <v>50975</v>
      </c>
      <c r="D850" s="503">
        <v>28.874148927733909</v>
      </c>
      <c r="E850" s="504">
        <v>45.652796933493349</v>
      </c>
      <c r="F850" s="278" t="s">
        <v>6233</v>
      </c>
      <c r="G850" s="278" t="s">
        <v>13786</v>
      </c>
      <c r="H850" s="505">
        <v>60</v>
      </c>
      <c r="I850" s="278" t="s">
        <v>6253</v>
      </c>
      <c r="J850" s="278" t="s">
        <v>12007</v>
      </c>
      <c r="K850" s="278" t="s">
        <v>6036</v>
      </c>
      <c r="L850" s="278">
        <v>0</v>
      </c>
      <c r="M850" s="308" t="s">
        <v>6254</v>
      </c>
    </row>
    <row r="851" spans="1:13" ht="11.1" customHeight="1">
      <c r="A851" s="501" t="s">
        <v>13787</v>
      </c>
      <c r="B851" s="280" t="s">
        <v>6231</v>
      </c>
      <c r="C851" s="515">
        <v>13909</v>
      </c>
      <c r="D851" s="503">
        <v>7.8785784685797147</v>
      </c>
      <c r="E851" s="504" t="s">
        <v>6262</v>
      </c>
      <c r="F851" s="278">
        <v>0</v>
      </c>
      <c r="G851" s="278" t="s">
        <v>13788</v>
      </c>
      <c r="H851" s="505">
        <v>31</v>
      </c>
      <c r="I851" s="278" t="s">
        <v>6264</v>
      </c>
      <c r="J851" s="278">
        <v>0</v>
      </c>
      <c r="K851" s="278" t="s">
        <v>6036</v>
      </c>
      <c r="L851" s="278">
        <v>0</v>
      </c>
      <c r="M851" s="308">
        <v>0</v>
      </c>
    </row>
    <row r="852" spans="1:13" ht="11.1" customHeight="1">
      <c r="A852" s="507" t="s">
        <v>13789</v>
      </c>
      <c r="B852" s="519" t="s">
        <v>12590</v>
      </c>
      <c r="C852" s="520">
        <v>140347</v>
      </c>
      <c r="D852" s="521">
        <v>79.74850415087478</v>
      </c>
      <c r="E852" s="522" t="s">
        <v>6262</v>
      </c>
      <c r="F852" s="523">
        <v>0</v>
      </c>
      <c r="G852" s="523" t="s">
        <v>8196</v>
      </c>
      <c r="H852" s="524">
        <v>49</v>
      </c>
      <c r="I852" s="523" t="s">
        <v>6257</v>
      </c>
      <c r="J852" s="523" t="s">
        <v>12617</v>
      </c>
      <c r="K852" s="523" t="s">
        <v>6209</v>
      </c>
      <c r="L852" s="523">
        <v>3</v>
      </c>
      <c r="M852" s="525" t="s">
        <v>12638</v>
      </c>
    </row>
    <row r="853" spans="1:13" ht="11.1" customHeight="1">
      <c r="A853" s="501" t="s">
        <v>13790</v>
      </c>
      <c r="B853" s="280"/>
      <c r="C853" s="515">
        <v>21202</v>
      </c>
      <c r="D853" s="503">
        <v>12.047480779830329</v>
      </c>
      <c r="E853" s="504">
        <v>15.106842326519271</v>
      </c>
      <c r="F853" s="278" t="s">
        <v>6233</v>
      </c>
      <c r="G853" s="278" t="s">
        <v>12534</v>
      </c>
      <c r="H853" s="505">
        <v>32</v>
      </c>
      <c r="I853" s="278" t="s">
        <v>6278</v>
      </c>
      <c r="J853" s="278">
        <v>0</v>
      </c>
      <c r="K853" s="278" t="s">
        <v>6036</v>
      </c>
      <c r="L853" s="278">
        <v>0</v>
      </c>
      <c r="M853" s="308" t="s">
        <v>6481</v>
      </c>
    </row>
    <row r="854" spans="1:13" ht="11.1" customHeight="1" thickBot="1">
      <c r="A854" s="527" t="s">
        <v>13791</v>
      </c>
      <c r="B854" s="528" t="s">
        <v>6231</v>
      </c>
      <c r="C854" s="529">
        <v>14438</v>
      </c>
      <c r="D854" s="530">
        <v>8.2040150692948917</v>
      </c>
      <c r="E854" s="531" t="s">
        <v>6262</v>
      </c>
      <c r="F854" s="532">
        <v>0</v>
      </c>
      <c r="G854" s="532" t="s">
        <v>13792</v>
      </c>
      <c r="H854" s="533">
        <v>49</v>
      </c>
      <c r="I854" s="532" t="s">
        <v>6264</v>
      </c>
      <c r="J854" s="532">
        <v>0</v>
      </c>
      <c r="K854" s="532" t="s">
        <v>6036</v>
      </c>
      <c r="L854" s="532">
        <v>0</v>
      </c>
      <c r="M854" s="347">
        <v>0</v>
      </c>
    </row>
    <row r="855" spans="1:13" ht="11.1" customHeight="1">
      <c r="A855" s="493" t="s">
        <v>13793</v>
      </c>
      <c r="B855" s="494" t="s">
        <v>12590</v>
      </c>
      <c r="C855" s="540">
        <v>60917</v>
      </c>
      <c r="D855" s="496">
        <v>52.983744009463088</v>
      </c>
      <c r="E855" s="497" t="s">
        <v>6251</v>
      </c>
      <c r="F855" s="498" t="s">
        <v>6233</v>
      </c>
      <c r="G855" s="498" t="s">
        <v>8202</v>
      </c>
      <c r="H855" s="499">
        <v>57</v>
      </c>
      <c r="I855" s="498" t="s">
        <v>6253</v>
      </c>
      <c r="J855" s="498" t="s">
        <v>11989</v>
      </c>
      <c r="K855" s="498" t="s">
        <v>6209</v>
      </c>
      <c r="L855" s="498">
        <v>3</v>
      </c>
      <c r="M855" s="500">
        <v>0</v>
      </c>
    </row>
    <row r="856" spans="1:13" ht="11.1" customHeight="1">
      <c r="A856" s="501" t="s">
        <v>13794</v>
      </c>
      <c r="B856" s="516" t="s">
        <v>12602</v>
      </c>
      <c r="C856" s="515">
        <v>44892</v>
      </c>
      <c r="D856" s="503">
        <v>39.045688987849324</v>
      </c>
      <c r="E856" s="504">
        <v>73.693714398279624</v>
      </c>
      <c r="F856" s="517" t="s">
        <v>6233</v>
      </c>
      <c r="G856" s="517" t="s">
        <v>12489</v>
      </c>
      <c r="H856" s="518">
        <v>52</v>
      </c>
      <c r="I856" s="517" t="s">
        <v>6257</v>
      </c>
      <c r="J856" s="517" t="s">
        <v>12028</v>
      </c>
      <c r="K856" s="517" t="s">
        <v>6209</v>
      </c>
      <c r="L856" s="517">
        <v>3</v>
      </c>
      <c r="M856" s="308" t="s">
        <v>12638</v>
      </c>
    </row>
    <row r="857" spans="1:13" ht="11.1" customHeight="1">
      <c r="A857" s="501" t="s">
        <v>13795</v>
      </c>
      <c r="B857" s="280" t="s">
        <v>6231</v>
      </c>
      <c r="C857" s="515">
        <v>9164</v>
      </c>
      <c r="D857" s="503">
        <v>7.9705670026875879</v>
      </c>
      <c r="E857" s="504" t="s">
        <v>6262</v>
      </c>
      <c r="F857" s="278">
        <v>0</v>
      </c>
      <c r="G857" s="278" t="s">
        <v>12490</v>
      </c>
      <c r="H857" s="505">
        <v>54</v>
      </c>
      <c r="I857" s="278" t="s">
        <v>6264</v>
      </c>
      <c r="J857" s="278">
        <v>0</v>
      </c>
      <c r="K857" s="278" t="s">
        <v>6036</v>
      </c>
      <c r="L857" s="278">
        <v>0</v>
      </c>
      <c r="M857" s="308">
        <v>0</v>
      </c>
    </row>
    <row r="858" spans="1:13" ht="11.1" customHeight="1">
      <c r="A858" s="507" t="s">
        <v>13796</v>
      </c>
      <c r="B858" s="519" t="s">
        <v>12590</v>
      </c>
      <c r="C858" s="520">
        <v>72116</v>
      </c>
      <c r="D858" s="521">
        <v>51.401649334635316</v>
      </c>
      <c r="E858" s="522" t="s">
        <v>6251</v>
      </c>
      <c r="F858" s="523" t="s">
        <v>6233</v>
      </c>
      <c r="G858" s="523" t="s">
        <v>8214</v>
      </c>
      <c r="H858" s="524">
        <v>53</v>
      </c>
      <c r="I858" s="523" t="s">
        <v>6257</v>
      </c>
      <c r="J858" s="523" t="s">
        <v>12617</v>
      </c>
      <c r="K858" s="523" t="s">
        <v>6209</v>
      </c>
      <c r="L858" s="523">
        <v>4</v>
      </c>
      <c r="M858" s="525" t="s">
        <v>12638</v>
      </c>
    </row>
    <row r="859" spans="1:13" ht="11.1" customHeight="1">
      <c r="A859" s="501" t="s">
        <v>13797</v>
      </c>
      <c r="B859" s="516" t="s">
        <v>12602</v>
      </c>
      <c r="C859" s="515">
        <v>62494</v>
      </c>
      <c r="D859" s="503">
        <v>44.543439368776681</v>
      </c>
      <c r="E859" s="504">
        <v>86.657607188418652</v>
      </c>
      <c r="F859" s="512" t="s">
        <v>6233</v>
      </c>
      <c r="G859" s="512" t="s">
        <v>8212</v>
      </c>
      <c r="H859" s="526">
        <v>31</v>
      </c>
      <c r="I859" s="512" t="s">
        <v>6253</v>
      </c>
      <c r="J859" s="512" t="s">
        <v>12007</v>
      </c>
      <c r="K859" s="512" t="s">
        <v>6036</v>
      </c>
      <c r="L859" s="512">
        <v>0</v>
      </c>
      <c r="M859" s="308" t="s">
        <v>6154</v>
      </c>
    </row>
    <row r="860" spans="1:13" ht="11.1" customHeight="1">
      <c r="A860" s="501" t="s">
        <v>13798</v>
      </c>
      <c r="B860" s="280" t="s">
        <v>6231</v>
      </c>
      <c r="C860" s="515">
        <v>5689</v>
      </c>
      <c r="D860" s="503">
        <v>4.054911296588001</v>
      </c>
      <c r="E860" s="504" t="s">
        <v>6262</v>
      </c>
      <c r="F860" s="278">
        <v>0</v>
      </c>
      <c r="G860" s="278" t="s">
        <v>13799</v>
      </c>
      <c r="H860" s="505">
        <v>43</v>
      </c>
      <c r="I860" s="278" t="s">
        <v>6264</v>
      </c>
      <c r="J860" s="278">
        <v>0</v>
      </c>
      <c r="K860" s="278" t="s">
        <v>6036</v>
      </c>
      <c r="L860" s="278">
        <v>0</v>
      </c>
      <c r="M860" s="308">
        <v>0</v>
      </c>
    </row>
    <row r="861" spans="1:13" ht="11.1" customHeight="1">
      <c r="A861" s="507" t="s">
        <v>13800</v>
      </c>
      <c r="B861" s="519" t="s">
        <v>12590</v>
      </c>
      <c r="C861" s="520">
        <v>85671</v>
      </c>
      <c r="D861" s="521">
        <v>60.006724148799812</v>
      </c>
      <c r="E861" s="522" t="s">
        <v>6251</v>
      </c>
      <c r="F861" s="523" t="s">
        <v>6233</v>
      </c>
      <c r="G861" s="523" t="s">
        <v>8218</v>
      </c>
      <c r="H861" s="524">
        <v>34</v>
      </c>
      <c r="I861" s="523" t="s">
        <v>6257</v>
      </c>
      <c r="J861" s="523" t="s">
        <v>12621</v>
      </c>
      <c r="K861" s="523" t="s">
        <v>6209</v>
      </c>
      <c r="L861" s="523">
        <v>1</v>
      </c>
      <c r="M861" s="525" t="s">
        <v>12638</v>
      </c>
    </row>
    <row r="862" spans="1:13" ht="11.1" customHeight="1">
      <c r="A862" s="501" t="s">
        <v>13801</v>
      </c>
      <c r="B862" s="280" t="s">
        <v>6230</v>
      </c>
      <c r="C862" s="515">
        <v>49411</v>
      </c>
      <c r="D862" s="503">
        <v>34.609053786186074</v>
      </c>
      <c r="E862" s="504">
        <v>57.675292689474851</v>
      </c>
      <c r="F862" s="278" t="s">
        <v>6233</v>
      </c>
      <c r="G862" s="278" t="s">
        <v>8220</v>
      </c>
      <c r="H862" s="505">
        <v>37</v>
      </c>
      <c r="I862" s="278" t="s">
        <v>6253</v>
      </c>
      <c r="J862" s="278" t="s">
        <v>12007</v>
      </c>
      <c r="K862" s="278" t="s">
        <v>6036</v>
      </c>
      <c r="L862" s="278">
        <v>0</v>
      </c>
      <c r="M862" s="308" t="s">
        <v>6154</v>
      </c>
    </row>
    <row r="863" spans="1:13" ht="11.1" customHeight="1" thickBot="1">
      <c r="A863" s="527" t="s">
        <v>13802</v>
      </c>
      <c r="B863" s="528" t="s">
        <v>6231</v>
      </c>
      <c r="C863" s="529">
        <v>7687</v>
      </c>
      <c r="D863" s="530">
        <v>5.3842220650141135</v>
      </c>
      <c r="E863" s="531" t="s">
        <v>6262</v>
      </c>
      <c r="F863" s="532">
        <v>0</v>
      </c>
      <c r="G863" s="532" t="s">
        <v>13803</v>
      </c>
      <c r="H863" s="533">
        <v>40</v>
      </c>
      <c r="I863" s="532" t="s">
        <v>6264</v>
      </c>
      <c r="J863" s="532">
        <v>0</v>
      </c>
      <c r="K863" s="532" t="s">
        <v>6036</v>
      </c>
      <c r="L863" s="532">
        <v>0</v>
      </c>
      <c r="M863" s="347">
        <v>0</v>
      </c>
    </row>
    <row r="864" spans="1:13" ht="11.1" customHeight="1">
      <c r="A864" s="493" t="s">
        <v>13804</v>
      </c>
      <c r="B864" s="534" t="s">
        <v>12590</v>
      </c>
      <c r="C864" s="535">
        <v>79298</v>
      </c>
      <c r="D864" s="536">
        <v>49.195054314446836</v>
      </c>
      <c r="E864" s="537" t="s">
        <v>6251</v>
      </c>
      <c r="F864" s="538" t="s">
        <v>6233</v>
      </c>
      <c r="G864" s="538" t="s">
        <v>8226</v>
      </c>
      <c r="H864" s="539">
        <v>45</v>
      </c>
      <c r="I864" s="538" t="s">
        <v>6257</v>
      </c>
      <c r="J864" s="538" t="s">
        <v>12651</v>
      </c>
      <c r="K864" s="538" t="s">
        <v>6209</v>
      </c>
      <c r="L864" s="538">
        <v>1</v>
      </c>
      <c r="M864" s="373" t="s">
        <v>12638</v>
      </c>
    </row>
    <row r="865" spans="1:13" ht="11.1" customHeight="1">
      <c r="A865" s="501" t="s">
        <v>13805</v>
      </c>
      <c r="B865" s="280" t="s">
        <v>6230</v>
      </c>
      <c r="C865" s="515">
        <v>62939</v>
      </c>
      <c r="D865" s="503">
        <v>39.046224665148799</v>
      </c>
      <c r="E865" s="504">
        <v>79.370223713082297</v>
      </c>
      <c r="F865" s="278" t="s">
        <v>6233</v>
      </c>
      <c r="G865" s="278" t="s">
        <v>8224</v>
      </c>
      <c r="H865" s="505">
        <v>32</v>
      </c>
      <c r="I865" s="278" t="s">
        <v>6253</v>
      </c>
      <c r="J865" s="278" t="s">
        <v>12007</v>
      </c>
      <c r="K865" s="278" t="s">
        <v>6036</v>
      </c>
      <c r="L865" s="278">
        <v>0</v>
      </c>
      <c r="M865" s="308">
        <v>0</v>
      </c>
    </row>
    <row r="866" spans="1:13" ht="11.1" customHeight="1">
      <c r="A866" s="501" t="s">
        <v>13806</v>
      </c>
      <c r="B866" s="280" t="s">
        <v>6231</v>
      </c>
      <c r="C866" s="515">
        <v>12280</v>
      </c>
      <c r="D866" s="503">
        <v>7.6182913438095179</v>
      </c>
      <c r="E866" s="504">
        <v>15.48588867310651</v>
      </c>
      <c r="F866" s="278" t="s">
        <v>6233</v>
      </c>
      <c r="G866" s="278" t="s">
        <v>13807</v>
      </c>
      <c r="H866" s="505">
        <v>56</v>
      </c>
      <c r="I866" s="278" t="s">
        <v>6278</v>
      </c>
      <c r="J866" s="278">
        <v>0</v>
      </c>
      <c r="K866" s="278" t="s">
        <v>6283</v>
      </c>
      <c r="L866" s="278">
        <v>1</v>
      </c>
      <c r="M866" s="308">
        <v>0</v>
      </c>
    </row>
    <row r="867" spans="1:13" ht="11.1" customHeight="1">
      <c r="A867" s="501" t="s">
        <v>13808</v>
      </c>
      <c r="B867" s="280" t="s">
        <v>6231</v>
      </c>
      <c r="C867" s="515">
        <v>5764</v>
      </c>
      <c r="D867" s="503">
        <v>3.5758820281529364</v>
      </c>
      <c r="E867" s="504" t="s">
        <v>6262</v>
      </c>
      <c r="F867" s="278">
        <v>0</v>
      </c>
      <c r="G867" s="278" t="s">
        <v>13809</v>
      </c>
      <c r="H867" s="505">
        <v>47</v>
      </c>
      <c r="I867" s="278" t="s">
        <v>6264</v>
      </c>
      <c r="J867" s="278">
        <v>0</v>
      </c>
      <c r="K867" s="278" t="s">
        <v>6036</v>
      </c>
      <c r="L867" s="278">
        <v>0</v>
      </c>
      <c r="M867" s="308">
        <v>0</v>
      </c>
    </row>
    <row r="868" spans="1:13" ht="11.1" customHeight="1">
      <c r="A868" s="501" t="s">
        <v>13810</v>
      </c>
      <c r="B868" s="280" t="s">
        <v>6231</v>
      </c>
      <c r="C868" s="515">
        <v>910</v>
      </c>
      <c r="D868" s="503">
        <v>0.56454764844191052</v>
      </c>
      <c r="E868" s="504" t="s">
        <v>6262</v>
      </c>
      <c r="F868" s="278">
        <v>0</v>
      </c>
      <c r="G868" s="278" t="s">
        <v>13811</v>
      </c>
      <c r="H868" s="505">
        <v>45</v>
      </c>
      <c r="I868" s="278" t="s">
        <v>6322</v>
      </c>
      <c r="J868" s="278">
        <v>0</v>
      </c>
      <c r="K868" s="278" t="s">
        <v>6036</v>
      </c>
      <c r="L868" s="278">
        <v>0</v>
      </c>
      <c r="M868" s="308">
        <v>0</v>
      </c>
    </row>
    <row r="869" spans="1:13" ht="11.1" customHeight="1">
      <c r="A869" s="507" t="s">
        <v>13812</v>
      </c>
      <c r="B869" s="519" t="s">
        <v>12590</v>
      </c>
      <c r="C869" s="520">
        <v>85370</v>
      </c>
      <c r="D869" s="521">
        <v>56.358763104386171</v>
      </c>
      <c r="E869" s="522" t="s">
        <v>6251</v>
      </c>
      <c r="F869" s="523" t="s">
        <v>6233</v>
      </c>
      <c r="G869" s="523" t="s">
        <v>8234</v>
      </c>
      <c r="H869" s="524">
        <v>55</v>
      </c>
      <c r="I869" s="523" t="s">
        <v>6257</v>
      </c>
      <c r="J869" s="523" t="s">
        <v>12674</v>
      </c>
      <c r="K869" s="523" t="s">
        <v>6209</v>
      </c>
      <c r="L869" s="523">
        <v>5</v>
      </c>
      <c r="M869" s="525" t="s">
        <v>12638</v>
      </c>
    </row>
    <row r="870" spans="1:13" ht="11.1" customHeight="1">
      <c r="A870" s="501" t="s">
        <v>13813</v>
      </c>
      <c r="B870" s="280" t="s">
        <v>6230</v>
      </c>
      <c r="C870" s="515">
        <v>57676</v>
      </c>
      <c r="D870" s="503">
        <v>38.075998838099764</v>
      </c>
      <c r="E870" s="504">
        <v>67.560032798406937</v>
      </c>
      <c r="F870" s="278" t="s">
        <v>6233</v>
      </c>
      <c r="G870" s="278" t="s">
        <v>13814</v>
      </c>
      <c r="H870" s="505">
        <v>63</v>
      </c>
      <c r="I870" s="278" t="s">
        <v>6253</v>
      </c>
      <c r="J870" s="278" t="s">
        <v>12000</v>
      </c>
      <c r="K870" s="278" t="s">
        <v>6283</v>
      </c>
      <c r="L870" s="278">
        <v>1</v>
      </c>
      <c r="M870" s="308">
        <v>0</v>
      </c>
    </row>
    <row r="871" spans="1:13" ht="11.1" customHeight="1">
      <c r="A871" s="501" t="s">
        <v>13815</v>
      </c>
      <c r="B871" s="280" t="s">
        <v>6231</v>
      </c>
      <c r="C871" s="515">
        <v>8430</v>
      </c>
      <c r="D871" s="503">
        <v>5.5652380575140619</v>
      </c>
      <c r="E871" s="504" t="s">
        <v>6262</v>
      </c>
      <c r="F871" s="278">
        <v>0</v>
      </c>
      <c r="G871" s="278" t="s">
        <v>12493</v>
      </c>
      <c r="H871" s="505">
        <v>44</v>
      </c>
      <c r="I871" s="278" t="s">
        <v>6264</v>
      </c>
      <c r="J871" s="278">
        <v>0</v>
      </c>
      <c r="K871" s="278" t="s">
        <v>6036</v>
      </c>
      <c r="L871" s="278">
        <v>0</v>
      </c>
      <c r="M871" s="308">
        <v>0</v>
      </c>
    </row>
    <row r="872" spans="1:13" ht="11.1" customHeight="1">
      <c r="A872" s="507" t="s">
        <v>13816</v>
      </c>
      <c r="B872" s="519" t="s">
        <v>12590</v>
      </c>
      <c r="C872" s="520">
        <v>84803</v>
      </c>
      <c r="D872" s="521">
        <v>61.062507650544717</v>
      </c>
      <c r="E872" s="522" t="s">
        <v>6251</v>
      </c>
      <c r="F872" s="523" t="s">
        <v>6233</v>
      </c>
      <c r="G872" s="523" t="s">
        <v>8238</v>
      </c>
      <c r="H872" s="524">
        <v>68</v>
      </c>
      <c r="I872" s="523" t="s">
        <v>6257</v>
      </c>
      <c r="J872" s="523" t="s">
        <v>12674</v>
      </c>
      <c r="K872" s="523" t="s">
        <v>6209</v>
      </c>
      <c r="L872" s="523">
        <v>5</v>
      </c>
      <c r="M872" s="525" t="s">
        <v>12638</v>
      </c>
    </row>
    <row r="873" spans="1:13" ht="11.1" customHeight="1">
      <c r="A873" s="501" t="s">
        <v>13817</v>
      </c>
      <c r="B873" s="280"/>
      <c r="C873" s="515">
        <v>23087</v>
      </c>
      <c r="D873" s="503">
        <v>16.623823616241477</v>
      </c>
      <c r="E873" s="504">
        <v>27.224272726200724</v>
      </c>
      <c r="F873" s="278" t="s">
        <v>6233</v>
      </c>
      <c r="G873" s="278" t="s">
        <v>12494</v>
      </c>
      <c r="H873" s="505">
        <v>58</v>
      </c>
      <c r="I873" s="278" t="s">
        <v>6278</v>
      </c>
      <c r="J873" s="278">
        <v>0</v>
      </c>
      <c r="K873" s="278" t="s">
        <v>6036</v>
      </c>
      <c r="L873" s="278">
        <v>0</v>
      </c>
      <c r="M873" s="308">
        <v>0</v>
      </c>
    </row>
    <row r="874" spans="1:13" ht="11.1" customHeight="1">
      <c r="A874" s="501" t="s">
        <v>13818</v>
      </c>
      <c r="B874" s="280"/>
      <c r="C874" s="515">
        <v>22091</v>
      </c>
      <c r="D874" s="503">
        <v>15.906652553661822</v>
      </c>
      <c r="E874" s="504">
        <v>26.049785974552787</v>
      </c>
      <c r="F874" s="278" t="s">
        <v>6233</v>
      </c>
      <c r="G874" s="278" t="s">
        <v>13819</v>
      </c>
      <c r="H874" s="505">
        <v>53</v>
      </c>
      <c r="I874" s="278" t="s">
        <v>6253</v>
      </c>
      <c r="J874" s="278" t="s">
        <v>12020</v>
      </c>
      <c r="K874" s="278" t="s">
        <v>6036</v>
      </c>
      <c r="L874" s="278">
        <v>0</v>
      </c>
      <c r="M874" s="308">
        <v>0</v>
      </c>
    </row>
    <row r="875" spans="1:13" ht="11.1" customHeight="1" thickBot="1">
      <c r="A875" s="527" t="s">
        <v>13820</v>
      </c>
      <c r="B875" s="528" t="s">
        <v>6231</v>
      </c>
      <c r="C875" s="529">
        <v>8898</v>
      </c>
      <c r="D875" s="530">
        <v>6.4070161795519844</v>
      </c>
      <c r="E875" s="531" t="s">
        <v>6262</v>
      </c>
      <c r="F875" s="532">
        <v>0</v>
      </c>
      <c r="G875" s="532" t="s">
        <v>8244</v>
      </c>
      <c r="H875" s="533">
        <v>55</v>
      </c>
      <c r="I875" s="532" t="s">
        <v>6264</v>
      </c>
      <c r="J875" s="532">
        <v>0</v>
      </c>
      <c r="K875" s="532" t="s">
        <v>6036</v>
      </c>
      <c r="L875" s="532">
        <v>0</v>
      </c>
      <c r="M875" s="347">
        <v>0</v>
      </c>
    </row>
    <row r="876" spans="1:13" ht="11.1" customHeight="1">
      <c r="A876" s="493" t="s">
        <v>13821</v>
      </c>
      <c r="B876" s="534" t="s">
        <v>12590</v>
      </c>
      <c r="C876" s="535">
        <v>113516</v>
      </c>
      <c r="D876" s="536">
        <v>60.606190036358591</v>
      </c>
      <c r="E876" s="537" t="s">
        <v>6251</v>
      </c>
      <c r="F876" s="538" t="s">
        <v>6233</v>
      </c>
      <c r="G876" s="538" t="s">
        <v>8248</v>
      </c>
      <c r="H876" s="539">
        <v>53</v>
      </c>
      <c r="I876" s="538" t="s">
        <v>6257</v>
      </c>
      <c r="J876" s="538" t="s">
        <v>12617</v>
      </c>
      <c r="K876" s="538" t="s">
        <v>6209</v>
      </c>
      <c r="L876" s="538">
        <v>2</v>
      </c>
      <c r="M876" s="373" t="s">
        <v>12622</v>
      </c>
    </row>
    <row r="877" spans="1:13" ht="11.1" customHeight="1">
      <c r="A877" s="501" t="s">
        <v>13822</v>
      </c>
      <c r="B877" s="280" t="s">
        <v>6230</v>
      </c>
      <c r="C877" s="515">
        <v>43903</v>
      </c>
      <c r="D877" s="503">
        <v>23.439810785847378</v>
      </c>
      <c r="E877" s="504">
        <v>38.67560520102893</v>
      </c>
      <c r="F877" s="278" t="s">
        <v>6233</v>
      </c>
      <c r="G877" s="278" t="s">
        <v>12495</v>
      </c>
      <c r="H877" s="505">
        <v>50</v>
      </c>
      <c r="I877" s="278" t="s">
        <v>6253</v>
      </c>
      <c r="J877" s="278" t="s">
        <v>12007</v>
      </c>
      <c r="K877" s="278" t="s">
        <v>6036</v>
      </c>
      <c r="L877" s="278">
        <v>0</v>
      </c>
      <c r="M877" s="308">
        <v>0</v>
      </c>
    </row>
    <row r="878" spans="1:13" ht="11.1" customHeight="1">
      <c r="A878" s="501" t="s">
        <v>13823</v>
      </c>
      <c r="B878" s="280" t="s">
        <v>6231</v>
      </c>
      <c r="C878" s="515">
        <v>14222</v>
      </c>
      <c r="D878" s="503">
        <v>7.5931255038681051</v>
      </c>
      <c r="E878" s="504" t="s">
        <v>6262</v>
      </c>
      <c r="F878" s="278">
        <v>0</v>
      </c>
      <c r="G878" s="278" t="s">
        <v>13824</v>
      </c>
      <c r="H878" s="505">
        <v>41</v>
      </c>
      <c r="I878" s="278" t="s">
        <v>6264</v>
      </c>
      <c r="J878" s="278">
        <v>0</v>
      </c>
      <c r="K878" s="278" t="s">
        <v>6036</v>
      </c>
      <c r="L878" s="278">
        <v>0</v>
      </c>
      <c r="M878" s="308">
        <v>0</v>
      </c>
    </row>
    <row r="879" spans="1:13" ht="11.1" customHeight="1">
      <c r="A879" s="501" t="s">
        <v>13825</v>
      </c>
      <c r="B879" s="280" t="s">
        <v>6231</v>
      </c>
      <c r="C879" s="515">
        <v>11653</v>
      </c>
      <c r="D879" s="503">
        <v>6.2215364573600782</v>
      </c>
      <c r="E879" s="504">
        <v>10.265513231614927</v>
      </c>
      <c r="F879" s="278" t="s">
        <v>6233</v>
      </c>
      <c r="G879" s="278" t="s">
        <v>13826</v>
      </c>
      <c r="H879" s="505">
        <v>58</v>
      </c>
      <c r="I879" s="278" t="s">
        <v>6278</v>
      </c>
      <c r="J879" s="278">
        <v>0</v>
      </c>
      <c r="K879" s="278" t="s">
        <v>6036</v>
      </c>
      <c r="L879" s="278">
        <v>0</v>
      </c>
      <c r="M879" s="308">
        <v>0</v>
      </c>
    </row>
    <row r="880" spans="1:13" ht="11.1" customHeight="1">
      <c r="A880" s="501" t="s">
        <v>13827</v>
      </c>
      <c r="B880" s="280" t="s">
        <v>6231</v>
      </c>
      <c r="C880" s="515">
        <v>4007</v>
      </c>
      <c r="D880" s="503">
        <v>2.1393372165658486</v>
      </c>
      <c r="E880" s="504" t="s">
        <v>6262</v>
      </c>
      <c r="F880" s="278">
        <v>0</v>
      </c>
      <c r="G880" s="278" t="s">
        <v>12497</v>
      </c>
      <c r="H880" s="505">
        <v>64</v>
      </c>
      <c r="I880" s="278" t="s">
        <v>6322</v>
      </c>
      <c r="J880" s="278">
        <v>0</v>
      </c>
      <c r="K880" s="278" t="s">
        <v>6036</v>
      </c>
      <c r="L880" s="278">
        <v>0</v>
      </c>
      <c r="M880" s="308">
        <v>0</v>
      </c>
    </row>
    <row r="881" spans="1:13" ht="11.1" customHeight="1">
      <c r="A881" s="507" t="s">
        <v>13828</v>
      </c>
      <c r="B881" s="519" t="s">
        <v>12590</v>
      </c>
      <c r="C881" s="520">
        <v>99208</v>
      </c>
      <c r="D881" s="521">
        <v>58.31751088956424</v>
      </c>
      <c r="E881" s="522" t="s">
        <v>6251</v>
      </c>
      <c r="F881" s="523" t="s">
        <v>6233</v>
      </c>
      <c r="G881" s="523" t="s">
        <v>8258</v>
      </c>
      <c r="H881" s="524">
        <v>51</v>
      </c>
      <c r="I881" s="523" t="s">
        <v>6257</v>
      </c>
      <c r="J881" s="523" t="s">
        <v>12028</v>
      </c>
      <c r="K881" s="523" t="s">
        <v>6209</v>
      </c>
      <c r="L881" s="523">
        <v>5</v>
      </c>
      <c r="M881" s="525" t="s">
        <v>12622</v>
      </c>
    </row>
    <row r="882" spans="1:13" ht="11.1" customHeight="1">
      <c r="A882" s="501" t="s">
        <v>13829</v>
      </c>
      <c r="B882" s="280" t="s">
        <v>6230</v>
      </c>
      <c r="C882" s="515">
        <v>43553</v>
      </c>
      <c r="D882" s="503">
        <v>25.601791708059746</v>
      </c>
      <c r="E882" s="504">
        <v>43.900693492460285</v>
      </c>
      <c r="F882" s="278" t="s">
        <v>6233</v>
      </c>
      <c r="G882" s="278" t="s">
        <v>13830</v>
      </c>
      <c r="H882" s="505">
        <v>34</v>
      </c>
      <c r="I882" s="278" t="s">
        <v>6253</v>
      </c>
      <c r="J882" s="278" t="s">
        <v>12007</v>
      </c>
      <c r="K882" s="278" t="s">
        <v>6036</v>
      </c>
      <c r="L882" s="278">
        <v>0</v>
      </c>
      <c r="M882" s="308">
        <v>0</v>
      </c>
    </row>
    <row r="883" spans="1:13" ht="11.1" customHeight="1">
      <c r="A883" s="501" t="s">
        <v>13831</v>
      </c>
      <c r="B883" s="280" t="s">
        <v>6231</v>
      </c>
      <c r="C883" s="515">
        <v>15150</v>
      </c>
      <c r="D883" s="503">
        <v>8.9056355331918624</v>
      </c>
      <c r="E883" s="504">
        <v>15.270945891460366</v>
      </c>
      <c r="F883" s="278" t="s">
        <v>6233</v>
      </c>
      <c r="G883" s="278" t="s">
        <v>13832</v>
      </c>
      <c r="H883" s="505">
        <v>66</v>
      </c>
      <c r="I883" s="278" t="s">
        <v>6278</v>
      </c>
      <c r="J883" s="278">
        <v>0</v>
      </c>
      <c r="K883" s="278" t="s">
        <v>6036</v>
      </c>
      <c r="L883" s="278">
        <v>0</v>
      </c>
      <c r="M883" s="308">
        <v>0</v>
      </c>
    </row>
    <row r="884" spans="1:13" ht="11.1" customHeight="1">
      <c r="A884" s="501" t="s">
        <v>13833</v>
      </c>
      <c r="B884" s="280" t="s">
        <v>6231</v>
      </c>
      <c r="C884" s="515">
        <v>12206</v>
      </c>
      <c r="D884" s="503">
        <v>7.1750618691841499</v>
      </c>
      <c r="E884" s="504" t="s">
        <v>6251</v>
      </c>
      <c r="F884" s="278">
        <v>0</v>
      </c>
      <c r="G884" s="278" t="s">
        <v>8252</v>
      </c>
      <c r="H884" s="505">
        <v>36</v>
      </c>
      <c r="I884" s="278" t="s">
        <v>6264</v>
      </c>
      <c r="J884" s="278">
        <v>0</v>
      </c>
      <c r="K884" s="278" t="s">
        <v>6036</v>
      </c>
      <c r="L884" s="278">
        <v>0</v>
      </c>
      <c r="M884" s="308">
        <v>0</v>
      </c>
    </row>
    <row r="885" spans="1:13" ht="11.1" customHeight="1">
      <c r="A885" s="507" t="s">
        <v>13834</v>
      </c>
      <c r="B885" s="519" t="s">
        <v>12590</v>
      </c>
      <c r="C885" s="520">
        <v>74160</v>
      </c>
      <c r="D885" s="521">
        <v>50.754195296887403</v>
      </c>
      <c r="E885" s="522" t="s">
        <v>6251</v>
      </c>
      <c r="F885" s="523" t="s">
        <v>6233</v>
      </c>
      <c r="G885" s="523" t="s">
        <v>12500</v>
      </c>
      <c r="H885" s="524">
        <v>48</v>
      </c>
      <c r="I885" s="523" t="s">
        <v>6257</v>
      </c>
      <c r="J885" s="523" t="s">
        <v>12631</v>
      </c>
      <c r="K885" s="523" t="s">
        <v>6209</v>
      </c>
      <c r="L885" s="523">
        <v>3</v>
      </c>
      <c r="M885" s="525">
        <v>0</v>
      </c>
    </row>
    <row r="886" spans="1:13" ht="11.1" customHeight="1">
      <c r="A886" s="501" t="s">
        <v>13835</v>
      </c>
      <c r="B886" s="280" t="s">
        <v>6230</v>
      </c>
      <c r="C886" s="515">
        <v>41030</v>
      </c>
      <c r="D886" s="503">
        <v>28.080429247994743</v>
      </c>
      <c r="E886" s="504">
        <v>55.326321467098168</v>
      </c>
      <c r="F886" s="278" t="s">
        <v>6233</v>
      </c>
      <c r="G886" s="278" t="s">
        <v>12501</v>
      </c>
      <c r="H886" s="505">
        <v>61</v>
      </c>
      <c r="I886" s="278" t="s">
        <v>6253</v>
      </c>
      <c r="J886" s="278" t="s">
        <v>12007</v>
      </c>
      <c r="K886" s="278" t="s">
        <v>6036</v>
      </c>
      <c r="L886" s="278">
        <v>0</v>
      </c>
      <c r="M886" s="308">
        <v>0</v>
      </c>
    </row>
    <row r="887" spans="1:13" ht="11.1" customHeight="1">
      <c r="A887" s="501" t="s">
        <v>13836</v>
      </c>
      <c r="B887" s="280" t="s">
        <v>6231</v>
      </c>
      <c r="C887" s="515">
        <v>11757</v>
      </c>
      <c r="D887" s="503">
        <v>8.0463467382079994</v>
      </c>
      <c r="E887" s="504">
        <v>15.853559870550162</v>
      </c>
      <c r="F887" s="278" t="s">
        <v>6233</v>
      </c>
      <c r="G887" s="278" t="s">
        <v>7712</v>
      </c>
      <c r="H887" s="505">
        <v>55</v>
      </c>
      <c r="I887" s="278" t="s">
        <v>6278</v>
      </c>
      <c r="J887" s="278">
        <v>0</v>
      </c>
      <c r="K887" s="278" t="s">
        <v>6036</v>
      </c>
      <c r="L887" s="278">
        <v>0</v>
      </c>
      <c r="M887" s="308">
        <v>0</v>
      </c>
    </row>
    <row r="888" spans="1:13" ht="11.1" customHeight="1">
      <c r="A888" s="501" t="s">
        <v>13837</v>
      </c>
      <c r="B888" s="280" t="s">
        <v>6231</v>
      </c>
      <c r="C888" s="515">
        <v>10931</v>
      </c>
      <c r="D888" s="503">
        <v>7.4810424594158063</v>
      </c>
      <c r="E888" s="504" t="s">
        <v>6262</v>
      </c>
      <c r="F888" s="278">
        <v>0</v>
      </c>
      <c r="G888" s="278" t="s">
        <v>12502</v>
      </c>
      <c r="H888" s="505">
        <v>53</v>
      </c>
      <c r="I888" s="278" t="s">
        <v>6264</v>
      </c>
      <c r="J888" s="278">
        <v>0</v>
      </c>
      <c r="K888" s="278" t="s">
        <v>6036</v>
      </c>
      <c r="L888" s="278">
        <v>0</v>
      </c>
      <c r="M888" s="308">
        <v>0</v>
      </c>
    </row>
    <row r="889" spans="1:13" ht="11.1" customHeight="1">
      <c r="A889" s="501" t="s">
        <v>13838</v>
      </c>
      <c r="B889" s="280" t="s">
        <v>6231</v>
      </c>
      <c r="C889" s="515">
        <v>8238</v>
      </c>
      <c r="D889" s="503">
        <v>5.6379862574940462</v>
      </c>
      <c r="E889" s="504" t="s">
        <v>6262</v>
      </c>
      <c r="F889" s="278">
        <v>0</v>
      </c>
      <c r="G889" s="278" t="s">
        <v>13839</v>
      </c>
      <c r="H889" s="505">
        <v>52</v>
      </c>
      <c r="I889" s="278" t="s">
        <v>6322</v>
      </c>
      <c r="J889" s="278" t="s">
        <v>6476</v>
      </c>
      <c r="K889" s="278" t="s">
        <v>6036</v>
      </c>
      <c r="L889" s="278">
        <v>0</v>
      </c>
      <c r="M889" s="308">
        <v>0</v>
      </c>
    </row>
    <row r="890" spans="1:13" ht="11.1" customHeight="1">
      <c r="A890" s="507" t="s">
        <v>13840</v>
      </c>
      <c r="B890" s="519" t="s">
        <v>12590</v>
      </c>
      <c r="C890" s="520">
        <v>117252</v>
      </c>
      <c r="D890" s="521">
        <v>71.219796639819236</v>
      </c>
      <c r="E890" s="522" t="s">
        <v>6251</v>
      </c>
      <c r="F890" s="523" t="s">
        <v>6233</v>
      </c>
      <c r="G890" s="523" t="s">
        <v>8272</v>
      </c>
      <c r="H890" s="524">
        <v>56</v>
      </c>
      <c r="I890" s="523" t="s">
        <v>6257</v>
      </c>
      <c r="J890" s="523" t="s">
        <v>12773</v>
      </c>
      <c r="K890" s="523" t="s">
        <v>6209</v>
      </c>
      <c r="L890" s="523">
        <v>3</v>
      </c>
      <c r="M890" s="525" t="s">
        <v>12622</v>
      </c>
    </row>
    <row r="891" spans="1:13" ht="11.1" customHeight="1">
      <c r="A891" s="501" t="s">
        <v>13841</v>
      </c>
      <c r="B891" s="280" t="s">
        <v>6230</v>
      </c>
      <c r="C891" s="515">
        <v>37564</v>
      </c>
      <c r="D891" s="503">
        <v>22.816672133338194</v>
      </c>
      <c r="E891" s="504">
        <v>32.036980179442565</v>
      </c>
      <c r="F891" s="278" t="s">
        <v>6233</v>
      </c>
      <c r="G891" s="278" t="s">
        <v>12503</v>
      </c>
      <c r="H891" s="505">
        <v>50</v>
      </c>
      <c r="I891" s="278" t="s">
        <v>6253</v>
      </c>
      <c r="J891" s="278" t="s">
        <v>12007</v>
      </c>
      <c r="K891" s="278" t="s">
        <v>6036</v>
      </c>
      <c r="L891" s="278">
        <v>0</v>
      </c>
      <c r="M891" s="308">
        <v>0</v>
      </c>
    </row>
    <row r="892" spans="1:13" ht="11.1" customHeight="1" thickBot="1">
      <c r="A892" s="527" t="s">
        <v>13842</v>
      </c>
      <c r="B892" s="528" t="s">
        <v>6231</v>
      </c>
      <c r="C892" s="529">
        <v>9818</v>
      </c>
      <c r="D892" s="530">
        <v>5.963531226842572</v>
      </c>
      <c r="E892" s="531" t="s">
        <v>6262</v>
      </c>
      <c r="F892" s="532">
        <v>0</v>
      </c>
      <c r="G892" s="532" t="s">
        <v>13843</v>
      </c>
      <c r="H892" s="533">
        <v>60</v>
      </c>
      <c r="I892" s="532" t="s">
        <v>6264</v>
      </c>
      <c r="J892" s="532">
        <v>0</v>
      </c>
      <c r="K892" s="532" t="s">
        <v>6036</v>
      </c>
      <c r="L892" s="532">
        <v>0</v>
      </c>
      <c r="M892" s="347">
        <v>0</v>
      </c>
    </row>
    <row r="893" spans="1:13" ht="11.1" customHeight="1">
      <c r="A893" s="493" t="s">
        <v>13844</v>
      </c>
      <c r="B893" s="534" t="s">
        <v>12590</v>
      </c>
      <c r="C893" s="535">
        <v>43232</v>
      </c>
      <c r="D893" s="536">
        <v>41.410754995306426</v>
      </c>
      <c r="E893" s="537" t="s">
        <v>6251</v>
      </c>
      <c r="F893" s="538" t="s">
        <v>6233</v>
      </c>
      <c r="G893" s="538" t="s">
        <v>12505</v>
      </c>
      <c r="H893" s="539">
        <v>49</v>
      </c>
      <c r="I893" s="538" t="s">
        <v>6257</v>
      </c>
      <c r="J893" s="538" t="s">
        <v>12651</v>
      </c>
      <c r="K893" s="538" t="s">
        <v>6209</v>
      </c>
      <c r="L893" s="538">
        <v>1</v>
      </c>
      <c r="M893" s="373" t="s">
        <v>12638</v>
      </c>
    </row>
    <row r="894" spans="1:13" ht="11.1" customHeight="1">
      <c r="A894" s="501" t="s">
        <v>13845</v>
      </c>
      <c r="B894" s="516" t="s">
        <v>12602</v>
      </c>
      <c r="C894" s="515">
        <v>36333</v>
      </c>
      <c r="D894" s="503">
        <v>34.802390850399433</v>
      </c>
      <c r="E894" s="504">
        <v>84.041913397483341</v>
      </c>
      <c r="F894" s="512" t="s">
        <v>6233</v>
      </c>
      <c r="G894" s="512" t="s">
        <v>12506</v>
      </c>
      <c r="H894" s="526">
        <v>64</v>
      </c>
      <c r="I894" s="512" t="s">
        <v>6253</v>
      </c>
      <c r="J894" s="512" t="s">
        <v>11989</v>
      </c>
      <c r="K894" s="512" t="s">
        <v>6209</v>
      </c>
      <c r="L894" s="512">
        <v>4</v>
      </c>
      <c r="M894" s="308">
        <v>0</v>
      </c>
    </row>
    <row r="895" spans="1:13" ht="11.1" customHeight="1">
      <c r="A895" s="501" t="s">
        <v>13846</v>
      </c>
      <c r="B895" s="280" t="s">
        <v>6230</v>
      </c>
      <c r="C895" s="515">
        <v>20302</v>
      </c>
      <c r="D895" s="503">
        <v>19.446732696028661</v>
      </c>
      <c r="E895" s="504" t="s">
        <v>6262</v>
      </c>
      <c r="F895" s="278">
        <v>0</v>
      </c>
      <c r="G895" s="278" t="s">
        <v>13847</v>
      </c>
      <c r="H895" s="505">
        <v>66</v>
      </c>
      <c r="I895" s="278" t="s">
        <v>6264</v>
      </c>
      <c r="J895" s="278">
        <v>0</v>
      </c>
      <c r="K895" s="278" t="s">
        <v>6036</v>
      </c>
      <c r="L895" s="278">
        <v>0</v>
      </c>
      <c r="M895" s="308">
        <v>0</v>
      </c>
    </row>
    <row r="896" spans="1:13" ht="11.1" customHeight="1">
      <c r="A896" s="501" t="s">
        <v>13848</v>
      </c>
      <c r="B896" s="280" t="s">
        <v>6231</v>
      </c>
      <c r="C896" s="515">
        <v>4531</v>
      </c>
      <c r="D896" s="503">
        <v>4.3401214582654841</v>
      </c>
      <c r="E896" s="504">
        <v>10.480662472242782</v>
      </c>
      <c r="F896" s="278" t="s">
        <v>6233</v>
      </c>
      <c r="G896" s="278" t="s">
        <v>13849</v>
      </c>
      <c r="H896" s="505">
        <v>69</v>
      </c>
      <c r="I896" s="278" t="s">
        <v>6278</v>
      </c>
      <c r="J896" s="278">
        <v>0</v>
      </c>
      <c r="K896" s="278" t="s">
        <v>6036</v>
      </c>
      <c r="L896" s="278">
        <v>0</v>
      </c>
      <c r="M896" s="308">
        <v>0</v>
      </c>
    </row>
    <row r="897" spans="1:13" ht="11.1" customHeight="1">
      <c r="A897" s="507" t="s">
        <v>13850</v>
      </c>
      <c r="B897" s="519" t="s">
        <v>12590</v>
      </c>
      <c r="C897" s="520">
        <v>72504</v>
      </c>
      <c r="D897" s="521">
        <v>59.038499120578464</v>
      </c>
      <c r="E897" s="522" t="s">
        <v>6251</v>
      </c>
      <c r="F897" s="523" t="s">
        <v>6233</v>
      </c>
      <c r="G897" s="523" t="s">
        <v>12507</v>
      </c>
      <c r="H897" s="524">
        <v>46</v>
      </c>
      <c r="I897" s="523" t="s">
        <v>6257</v>
      </c>
      <c r="J897" s="523" t="s">
        <v>12773</v>
      </c>
      <c r="K897" s="523" t="s">
        <v>6209</v>
      </c>
      <c r="L897" s="523">
        <v>4</v>
      </c>
      <c r="M897" s="525" t="s">
        <v>12638</v>
      </c>
    </row>
    <row r="898" spans="1:13" ht="11.1" customHeight="1">
      <c r="A898" s="501" t="s">
        <v>13851</v>
      </c>
      <c r="B898" s="280" t="s">
        <v>6230</v>
      </c>
      <c r="C898" s="515">
        <v>31377</v>
      </c>
      <c r="D898" s="503">
        <v>25.549638460035176</v>
      </c>
      <c r="E898" s="504">
        <v>43.276233035418734</v>
      </c>
      <c r="F898" s="278" t="s">
        <v>6233</v>
      </c>
      <c r="G898" s="278" t="s">
        <v>8284</v>
      </c>
      <c r="H898" s="505">
        <v>44</v>
      </c>
      <c r="I898" s="278" t="s">
        <v>6253</v>
      </c>
      <c r="J898" s="278" t="s">
        <v>12007</v>
      </c>
      <c r="K898" s="278" t="s">
        <v>6036</v>
      </c>
      <c r="L898" s="278">
        <v>0</v>
      </c>
      <c r="M898" s="308">
        <v>0</v>
      </c>
    </row>
    <row r="899" spans="1:13" ht="11.1" customHeight="1">
      <c r="A899" s="501" t="s">
        <v>13852</v>
      </c>
      <c r="B899" s="280"/>
      <c r="C899" s="515">
        <v>18927</v>
      </c>
      <c r="D899" s="503">
        <v>15.41186241938636</v>
      </c>
      <c r="E899" s="504" t="s">
        <v>6262</v>
      </c>
      <c r="F899" s="278">
        <v>0</v>
      </c>
      <c r="G899" s="278" t="s">
        <v>12508</v>
      </c>
      <c r="H899" s="505">
        <v>44</v>
      </c>
      <c r="I899" s="278" t="s">
        <v>6264</v>
      </c>
      <c r="J899" s="278">
        <v>0</v>
      </c>
      <c r="K899" s="278" t="s">
        <v>6036</v>
      </c>
      <c r="L899" s="278">
        <v>0</v>
      </c>
      <c r="M899" s="308">
        <v>0</v>
      </c>
    </row>
    <row r="900" spans="1:13" ht="11.1" customHeight="1">
      <c r="A900" s="507" t="s">
        <v>13853</v>
      </c>
      <c r="B900" s="519" t="s">
        <v>12590</v>
      </c>
      <c r="C900" s="520">
        <v>84287</v>
      </c>
      <c r="D900" s="521">
        <v>62.678098694190787</v>
      </c>
      <c r="E900" s="522" t="s">
        <v>6251</v>
      </c>
      <c r="F900" s="523" t="s">
        <v>6233</v>
      </c>
      <c r="G900" s="523" t="s">
        <v>8298</v>
      </c>
      <c r="H900" s="524">
        <v>51</v>
      </c>
      <c r="I900" s="523" t="s">
        <v>6257</v>
      </c>
      <c r="J900" s="523" t="s">
        <v>12028</v>
      </c>
      <c r="K900" s="523" t="s">
        <v>6209</v>
      </c>
      <c r="L900" s="523">
        <v>4</v>
      </c>
      <c r="M900" s="525" t="s">
        <v>12638</v>
      </c>
    </row>
    <row r="901" spans="1:13" ht="11.1" customHeight="1">
      <c r="A901" s="501" t="s">
        <v>13854</v>
      </c>
      <c r="B901" s="280" t="s">
        <v>6230</v>
      </c>
      <c r="C901" s="515">
        <v>33208</v>
      </c>
      <c r="D901" s="503">
        <v>24.694369255480531</v>
      </c>
      <c r="E901" s="504">
        <v>39.398721036458767</v>
      </c>
      <c r="F901" s="278" t="s">
        <v>6233</v>
      </c>
      <c r="G901" s="278" t="s">
        <v>13855</v>
      </c>
      <c r="H901" s="505">
        <v>66</v>
      </c>
      <c r="I901" s="278" t="s">
        <v>6253</v>
      </c>
      <c r="J901" s="278" t="s">
        <v>11989</v>
      </c>
      <c r="K901" s="278" t="s">
        <v>6036</v>
      </c>
      <c r="L901" s="278">
        <v>0</v>
      </c>
      <c r="M901" s="308">
        <v>0</v>
      </c>
    </row>
    <row r="902" spans="1:13" ht="11.1" customHeight="1" thickBot="1">
      <c r="A902" s="527" t="s">
        <v>13856</v>
      </c>
      <c r="B902" s="528"/>
      <c r="C902" s="529">
        <v>16981</v>
      </c>
      <c r="D902" s="530">
        <v>12.627532050328684</v>
      </c>
      <c r="E902" s="531" t="s">
        <v>6262</v>
      </c>
      <c r="F902" s="532">
        <v>0</v>
      </c>
      <c r="G902" s="532" t="s">
        <v>12509</v>
      </c>
      <c r="H902" s="533">
        <v>56</v>
      </c>
      <c r="I902" s="532" t="s">
        <v>6264</v>
      </c>
      <c r="J902" s="532">
        <v>0</v>
      </c>
      <c r="K902" s="532" t="s">
        <v>6036</v>
      </c>
      <c r="L902" s="532">
        <v>0</v>
      </c>
      <c r="M902" s="347">
        <v>0</v>
      </c>
    </row>
    <row r="903" spans="1:13" ht="11.1" customHeight="1">
      <c r="A903" s="493" t="s">
        <v>13857</v>
      </c>
      <c r="B903" s="494" t="s">
        <v>12590</v>
      </c>
      <c r="C903" s="540">
        <v>92969</v>
      </c>
      <c r="D903" s="496">
        <v>54.556070653130682</v>
      </c>
      <c r="E903" s="497" t="s">
        <v>6251</v>
      </c>
      <c r="F903" s="498" t="s">
        <v>6233</v>
      </c>
      <c r="G903" s="498" t="s">
        <v>12510</v>
      </c>
      <c r="H903" s="499">
        <v>52</v>
      </c>
      <c r="I903" s="498" t="s">
        <v>6253</v>
      </c>
      <c r="J903" s="498" t="s">
        <v>11989</v>
      </c>
      <c r="K903" s="498" t="s">
        <v>6209</v>
      </c>
      <c r="L903" s="498">
        <v>4</v>
      </c>
      <c r="M903" s="500" t="s">
        <v>6254</v>
      </c>
    </row>
    <row r="904" spans="1:13" ht="11.1" customHeight="1">
      <c r="A904" s="501" t="s">
        <v>13858</v>
      </c>
      <c r="B904" s="280" t="s">
        <v>6230</v>
      </c>
      <c r="C904" s="515">
        <v>53611</v>
      </c>
      <c r="D904" s="503">
        <v>31.460008215480311</v>
      </c>
      <c r="E904" s="504">
        <v>57.665458378599318</v>
      </c>
      <c r="F904" s="278" t="s">
        <v>6233</v>
      </c>
      <c r="G904" s="278" t="s">
        <v>13859</v>
      </c>
      <c r="H904" s="505">
        <v>28</v>
      </c>
      <c r="I904" s="278" t="s">
        <v>6257</v>
      </c>
      <c r="J904" s="278" t="s">
        <v>12635</v>
      </c>
      <c r="K904" s="278" t="s">
        <v>6036</v>
      </c>
      <c r="L904" s="278">
        <v>0</v>
      </c>
      <c r="M904" s="308">
        <v>0</v>
      </c>
    </row>
    <row r="905" spans="1:13" ht="11.1" customHeight="1">
      <c r="A905" s="501" t="s">
        <v>13860</v>
      </c>
      <c r="B905" s="280" t="s">
        <v>6231</v>
      </c>
      <c r="C905" s="515">
        <v>15940</v>
      </c>
      <c r="D905" s="503">
        <v>9.3539111554486247</v>
      </c>
      <c r="E905" s="504" t="s">
        <v>6262</v>
      </c>
      <c r="F905" s="278">
        <v>0</v>
      </c>
      <c r="G905" s="278" t="s">
        <v>13861</v>
      </c>
      <c r="H905" s="505">
        <v>47</v>
      </c>
      <c r="I905" s="278" t="s">
        <v>6264</v>
      </c>
      <c r="J905" s="278">
        <v>0</v>
      </c>
      <c r="K905" s="278" t="s">
        <v>6036</v>
      </c>
      <c r="L905" s="278">
        <v>0</v>
      </c>
      <c r="M905" s="308">
        <v>0</v>
      </c>
    </row>
    <row r="906" spans="1:13" ht="11.1" customHeight="1">
      <c r="A906" s="501" t="s">
        <v>13862</v>
      </c>
      <c r="B906" s="280" t="s">
        <v>6231</v>
      </c>
      <c r="C906" s="515">
        <v>4179</v>
      </c>
      <c r="D906" s="503">
        <v>2.4523208731881931</v>
      </c>
      <c r="E906" s="504" t="s">
        <v>6262</v>
      </c>
      <c r="F906" s="278">
        <v>0</v>
      </c>
      <c r="G906" s="278" t="s">
        <v>12517</v>
      </c>
      <c r="H906" s="505">
        <v>52</v>
      </c>
      <c r="I906" s="278" t="s">
        <v>6322</v>
      </c>
      <c r="J906" s="278">
        <v>0</v>
      </c>
      <c r="K906" s="278" t="s">
        <v>6036</v>
      </c>
      <c r="L906" s="278">
        <v>0</v>
      </c>
      <c r="M906" s="308">
        <v>0</v>
      </c>
    </row>
    <row r="907" spans="1:13" ht="11.1" customHeight="1">
      <c r="A907" s="501" t="s">
        <v>13863</v>
      </c>
      <c r="B907" s="280" t="s">
        <v>6231</v>
      </c>
      <c r="C907" s="515">
        <v>3711</v>
      </c>
      <c r="D907" s="503">
        <v>2.1776891027521859</v>
      </c>
      <c r="E907" s="504" t="s">
        <v>6262</v>
      </c>
      <c r="F907" s="278">
        <v>0</v>
      </c>
      <c r="G907" s="278" t="s">
        <v>13864</v>
      </c>
      <c r="H907" s="505">
        <v>67</v>
      </c>
      <c r="I907" s="278" t="s">
        <v>6322</v>
      </c>
      <c r="J907" s="278">
        <v>0</v>
      </c>
      <c r="K907" s="278" t="s">
        <v>6036</v>
      </c>
      <c r="L907" s="278">
        <v>0</v>
      </c>
      <c r="M907" s="308">
        <v>0</v>
      </c>
    </row>
    <row r="908" spans="1:13" ht="11.1" customHeight="1">
      <c r="A908" s="507" t="s">
        <v>13865</v>
      </c>
      <c r="B908" s="508" t="s">
        <v>12590</v>
      </c>
      <c r="C908" s="509">
        <v>104620</v>
      </c>
      <c r="D908" s="510">
        <v>48.703278696156154</v>
      </c>
      <c r="E908" s="511" t="s">
        <v>6251</v>
      </c>
      <c r="F908" s="514" t="s">
        <v>6233</v>
      </c>
      <c r="G908" s="514" t="s">
        <v>13866</v>
      </c>
      <c r="H908" s="513">
        <v>45</v>
      </c>
      <c r="I908" s="514" t="s">
        <v>6253</v>
      </c>
      <c r="J908" s="514" t="s">
        <v>12020</v>
      </c>
      <c r="K908" s="514" t="s">
        <v>6036</v>
      </c>
      <c r="L908" s="514">
        <v>0</v>
      </c>
      <c r="M908" s="341">
        <v>0</v>
      </c>
    </row>
    <row r="909" spans="1:13" ht="11.1" customHeight="1">
      <c r="A909" s="501" t="s">
        <v>13867</v>
      </c>
      <c r="B909" s="280" t="s">
        <v>6230</v>
      </c>
      <c r="C909" s="515">
        <v>94565</v>
      </c>
      <c r="D909" s="503">
        <v>44.022419708487924</v>
      </c>
      <c r="E909" s="504">
        <v>90.389026954693179</v>
      </c>
      <c r="F909" s="278" t="s">
        <v>6233</v>
      </c>
      <c r="G909" s="278" t="s">
        <v>12512</v>
      </c>
      <c r="H909" s="505">
        <v>66</v>
      </c>
      <c r="I909" s="278" t="s">
        <v>6257</v>
      </c>
      <c r="J909" s="278" t="s">
        <v>12617</v>
      </c>
      <c r="K909" s="278" t="s">
        <v>6209</v>
      </c>
      <c r="L909" s="278">
        <v>10</v>
      </c>
      <c r="M909" s="308" t="s">
        <v>12638</v>
      </c>
    </row>
    <row r="910" spans="1:13" ht="11.1" customHeight="1">
      <c r="A910" s="501" t="s">
        <v>13868</v>
      </c>
      <c r="B910" s="280" t="s">
        <v>6231</v>
      </c>
      <c r="C910" s="515">
        <v>15626</v>
      </c>
      <c r="D910" s="503">
        <v>7.2743015953559178</v>
      </c>
      <c r="E910" s="504" t="s">
        <v>6262</v>
      </c>
      <c r="F910" s="278">
        <v>0</v>
      </c>
      <c r="G910" s="278" t="s">
        <v>13869</v>
      </c>
      <c r="H910" s="505">
        <v>62</v>
      </c>
      <c r="I910" s="278" t="s">
        <v>6264</v>
      </c>
      <c r="J910" s="278">
        <v>0</v>
      </c>
      <c r="K910" s="278" t="s">
        <v>6036</v>
      </c>
      <c r="L910" s="278">
        <v>0</v>
      </c>
      <c r="M910" s="308">
        <v>0</v>
      </c>
    </row>
    <row r="911" spans="1:13" ht="11.1" customHeight="1">
      <c r="A911" s="507" t="s">
        <v>13870</v>
      </c>
      <c r="B911" s="508" t="s">
        <v>12590</v>
      </c>
      <c r="C911" s="509">
        <v>101742</v>
      </c>
      <c r="D911" s="510">
        <v>48.028210236123833</v>
      </c>
      <c r="E911" s="511" t="s">
        <v>6251</v>
      </c>
      <c r="F911" s="514" t="s">
        <v>6233</v>
      </c>
      <c r="G911" s="514" t="s">
        <v>8322</v>
      </c>
      <c r="H911" s="513">
        <v>54</v>
      </c>
      <c r="I911" s="514" t="s">
        <v>6253</v>
      </c>
      <c r="J911" s="514" t="s">
        <v>11989</v>
      </c>
      <c r="K911" s="514" t="s">
        <v>6036</v>
      </c>
      <c r="L911" s="514">
        <v>0</v>
      </c>
      <c r="M911" s="341">
        <v>0</v>
      </c>
    </row>
    <row r="912" spans="1:13" ht="11.1" customHeight="1">
      <c r="A912" s="501" t="s">
        <v>13871</v>
      </c>
      <c r="B912" s="280" t="s">
        <v>6230</v>
      </c>
      <c r="C912" s="515">
        <v>95839</v>
      </c>
      <c r="D912" s="503">
        <v>45.241646918871972</v>
      </c>
      <c r="E912" s="504">
        <v>94.19806962709599</v>
      </c>
      <c r="F912" s="278" t="s">
        <v>6233</v>
      </c>
      <c r="G912" s="278" t="s">
        <v>8324</v>
      </c>
      <c r="H912" s="505">
        <v>58</v>
      </c>
      <c r="I912" s="278" t="s">
        <v>6257</v>
      </c>
      <c r="J912" s="278" t="s">
        <v>12651</v>
      </c>
      <c r="K912" s="278" t="s">
        <v>6209</v>
      </c>
      <c r="L912" s="278">
        <v>7</v>
      </c>
      <c r="M912" s="308" t="s">
        <v>12638</v>
      </c>
    </row>
    <row r="913" spans="1:13" ht="11.1" customHeight="1">
      <c r="A913" s="501" t="s">
        <v>13872</v>
      </c>
      <c r="B913" s="280" t="s">
        <v>6231</v>
      </c>
      <c r="C913" s="515">
        <v>14257</v>
      </c>
      <c r="D913" s="503">
        <v>6.7301428450042016</v>
      </c>
      <c r="E913" s="504" t="s">
        <v>6262</v>
      </c>
      <c r="F913" s="278">
        <v>0</v>
      </c>
      <c r="G913" s="278" t="s">
        <v>12518</v>
      </c>
      <c r="H913" s="505">
        <v>51</v>
      </c>
      <c r="I913" s="278" t="s">
        <v>6264</v>
      </c>
      <c r="J913" s="278">
        <v>0</v>
      </c>
      <c r="K913" s="278" t="s">
        <v>6036</v>
      </c>
      <c r="L913" s="278">
        <v>0</v>
      </c>
      <c r="M913" s="308">
        <v>0</v>
      </c>
    </row>
    <row r="914" spans="1:13" ht="11.1" customHeight="1">
      <c r="A914" s="507" t="s">
        <v>13873</v>
      </c>
      <c r="B914" s="519" t="s">
        <v>12590</v>
      </c>
      <c r="C914" s="520">
        <v>95469</v>
      </c>
      <c r="D914" s="521">
        <v>50.810031187797378</v>
      </c>
      <c r="E914" s="522" t="s">
        <v>6251</v>
      </c>
      <c r="F914" s="523" t="s">
        <v>6233</v>
      </c>
      <c r="G914" s="523" t="s">
        <v>8332</v>
      </c>
      <c r="H914" s="524">
        <v>62</v>
      </c>
      <c r="I914" s="523" t="s">
        <v>6257</v>
      </c>
      <c r="J914" s="523" t="s">
        <v>12674</v>
      </c>
      <c r="K914" s="523" t="s">
        <v>6209</v>
      </c>
      <c r="L914" s="523">
        <v>2</v>
      </c>
      <c r="M914" s="525" t="s">
        <v>12622</v>
      </c>
    </row>
    <row r="915" spans="1:13" ht="11.1" customHeight="1">
      <c r="A915" s="501" t="s">
        <v>13874</v>
      </c>
      <c r="B915" s="516" t="s">
        <v>12602</v>
      </c>
      <c r="C915" s="515">
        <v>79712</v>
      </c>
      <c r="D915" s="503">
        <v>42.423919869713778</v>
      </c>
      <c r="E915" s="504">
        <v>83.495165970105475</v>
      </c>
      <c r="F915" s="512" t="s">
        <v>6233</v>
      </c>
      <c r="G915" s="512" t="s">
        <v>12519</v>
      </c>
      <c r="H915" s="526">
        <v>60</v>
      </c>
      <c r="I915" s="512" t="s">
        <v>6253</v>
      </c>
      <c r="J915" s="512" t="s">
        <v>11994</v>
      </c>
      <c r="K915" s="512" t="s">
        <v>6209</v>
      </c>
      <c r="L915" s="512">
        <v>1</v>
      </c>
      <c r="M915" s="308">
        <v>0</v>
      </c>
    </row>
    <row r="916" spans="1:13" ht="11.1" customHeight="1">
      <c r="A916" s="501" t="s">
        <v>13875</v>
      </c>
      <c r="B916" s="280" t="s">
        <v>6231</v>
      </c>
      <c r="C916" s="515">
        <v>12713</v>
      </c>
      <c r="D916" s="503">
        <v>6.7660489424888501</v>
      </c>
      <c r="E916" s="504" t="s">
        <v>6262</v>
      </c>
      <c r="F916" s="278">
        <v>0</v>
      </c>
      <c r="G916" s="278" t="s">
        <v>12520</v>
      </c>
      <c r="H916" s="505">
        <v>48</v>
      </c>
      <c r="I916" s="278" t="s">
        <v>6264</v>
      </c>
      <c r="J916" s="278">
        <v>0</v>
      </c>
      <c r="K916" s="278" t="s">
        <v>6036</v>
      </c>
      <c r="L916" s="278">
        <v>0</v>
      </c>
      <c r="M916" s="308">
        <v>0</v>
      </c>
    </row>
    <row r="917" spans="1:13" ht="11.1" customHeight="1">
      <c r="A917" s="507" t="s">
        <v>13876</v>
      </c>
      <c r="B917" s="519" t="s">
        <v>12590</v>
      </c>
      <c r="C917" s="520">
        <v>105071</v>
      </c>
      <c r="D917" s="521">
        <v>48.328059168767133</v>
      </c>
      <c r="E917" s="522" t="s">
        <v>6251</v>
      </c>
      <c r="F917" s="523" t="s">
        <v>6233</v>
      </c>
      <c r="G917" s="523" t="s">
        <v>8338</v>
      </c>
      <c r="H917" s="524">
        <v>59</v>
      </c>
      <c r="I917" s="523" t="s">
        <v>6257</v>
      </c>
      <c r="J917" s="523" t="s">
        <v>12674</v>
      </c>
      <c r="K917" s="523" t="s">
        <v>6209</v>
      </c>
      <c r="L917" s="523">
        <v>3</v>
      </c>
      <c r="M917" s="525" t="s">
        <v>12622</v>
      </c>
    </row>
    <row r="918" spans="1:13" ht="11.1" customHeight="1">
      <c r="A918" s="501" t="s">
        <v>13877</v>
      </c>
      <c r="B918" s="516" t="s">
        <v>12602</v>
      </c>
      <c r="C918" s="515">
        <v>81166</v>
      </c>
      <c r="D918" s="503">
        <v>37.332805916876715</v>
      </c>
      <c r="E918" s="504">
        <v>77.248717533858056</v>
      </c>
      <c r="F918" s="512" t="s">
        <v>6233</v>
      </c>
      <c r="G918" s="512" t="s">
        <v>8336</v>
      </c>
      <c r="H918" s="526">
        <v>28</v>
      </c>
      <c r="I918" s="512" t="s">
        <v>6253</v>
      </c>
      <c r="J918" s="512" t="s">
        <v>12007</v>
      </c>
      <c r="K918" s="512" t="s">
        <v>6036</v>
      </c>
      <c r="L918" s="512">
        <v>0</v>
      </c>
      <c r="M918" s="308">
        <v>0</v>
      </c>
    </row>
    <row r="919" spans="1:13" ht="11.1" customHeight="1">
      <c r="A919" s="501" t="s">
        <v>13878</v>
      </c>
      <c r="B919" s="280" t="s">
        <v>6231</v>
      </c>
      <c r="C919" s="515">
        <v>18419</v>
      </c>
      <c r="D919" s="503">
        <v>8.4719334719334718</v>
      </c>
      <c r="E919" s="504">
        <v>17.530051108298199</v>
      </c>
      <c r="F919" s="278" t="s">
        <v>6233</v>
      </c>
      <c r="G919" s="278" t="s">
        <v>13879</v>
      </c>
      <c r="H919" s="505">
        <v>48</v>
      </c>
      <c r="I919" s="278" t="s">
        <v>6278</v>
      </c>
      <c r="J919" s="278">
        <v>0</v>
      </c>
      <c r="K919" s="278" t="s">
        <v>6036</v>
      </c>
      <c r="L919" s="278">
        <v>0</v>
      </c>
      <c r="M919" s="308">
        <v>0</v>
      </c>
    </row>
    <row r="920" spans="1:13" ht="11.1" customHeight="1">
      <c r="A920" s="501" t="s">
        <v>13880</v>
      </c>
      <c r="B920" s="280" t="s">
        <v>6231</v>
      </c>
      <c r="C920" s="515">
        <v>12756</v>
      </c>
      <c r="D920" s="503">
        <v>5.8672014424226813</v>
      </c>
      <c r="E920" s="504" t="s">
        <v>6262</v>
      </c>
      <c r="F920" s="278">
        <v>0</v>
      </c>
      <c r="G920" s="278" t="s">
        <v>12521</v>
      </c>
      <c r="H920" s="505">
        <v>50</v>
      </c>
      <c r="I920" s="278" t="s">
        <v>6264</v>
      </c>
      <c r="J920" s="278">
        <v>0</v>
      </c>
      <c r="K920" s="278" t="s">
        <v>6036</v>
      </c>
      <c r="L920" s="278">
        <v>0</v>
      </c>
      <c r="M920" s="308">
        <v>0</v>
      </c>
    </row>
    <row r="921" spans="1:13" ht="11.1" customHeight="1">
      <c r="A921" s="507" t="s">
        <v>13881</v>
      </c>
      <c r="B921" s="508" t="s">
        <v>12590</v>
      </c>
      <c r="C921" s="509">
        <v>108678</v>
      </c>
      <c r="D921" s="510">
        <v>48.936639664263616</v>
      </c>
      <c r="E921" s="511" t="s">
        <v>6251</v>
      </c>
      <c r="F921" s="514" t="s">
        <v>6233</v>
      </c>
      <c r="G921" s="514" t="s">
        <v>8344</v>
      </c>
      <c r="H921" s="513">
        <v>56</v>
      </c>
      <c r="I921" s="514" t="s">
        <v>6253</v>
      </c>
      <c r="J921" s="514" t="s">
        <v>11994</v>
      </c>
      <c r="K921" s="514" t="s">
        <v>6283</v>
      </c>
      <c r="L921" s="514">
        <v>4</v>
      </c>
      <c r="M921" s="341">
        <v>0</v>
      </c>
    </row>
    <row r="922" spans="1:13" ht="11.1" customHeight="1">
      <c r="A922" s="501" t="s">
        <v>13882</v>
      </c>
      <c r="B922" s="280" t="s">
        <v>6230</v>
      </c>
      <c r="C922" s="515">
        <v>103616</v>
      </c>
      <c r="D922" s="503">
        <v>46.657270610908732</v>
      </c>
      <c r="E922" s="504">
        <v>95.342203573860388</v>
      </c>
      <c r="F922" s="278" t="s">
        <v>6233</v>
      </c>
      <c r="G922" s="278" t="s">
        <v>13883</v>
      </c>
      <c r="H922" s="505">
        <v>31</v>
      </c>
      <c r="I922" s="278" t="s">
        <v>6257</v>
      </c>
      <c r="J922" s="278" t="s">
        <v>12651</v>
      </c>
      <c r="K922" s="278" t="s">
        <v>6209</v>
      </c>
      <c r="L922" s="278">
        <v>1</v>
      </c>
      <c r="M922" s="308" t="s">
        <v>12638</v>
      </c>
    </row>
    <row r="923" spans="1:13" ht="11.1" customHeight="1">
      <c r="A923" s="501" t="s">
        <v>13884</v>
      </c>
      <c r="B923" s="280" t="s">
        <v>6231</v>
      </c>
      <c r="C923" s="515">
        <v>9785</v>
      </c>
      <c r="D923" s="503">
        <v>4.4060897248276518</v>
      </c>
      <c r="E923" s="504" t="s">
        <v>6262</v>
      </c>
      <c r="F923" s="278">
        <v>0</v>
      </c>
      <c r="G923" s="278" t="s">
        <v>12522</v>
      </c>
      <c r="H923" s="505">
        <v>61</v>
      </c>
      <c r="I923" s="278" t="s">
        <v>6264</v>
      </c>
      <c r="J923" s="278">
        <v>0</v>
      </c>
      <c r="K923" s="278" t="s">
        <v>6036</v>
      </c>
      <c r="L923" s="278">
        <v>0</v>
      </c>
      <c r="M923" s="308">
        <v>0</v>
      </c>
    </row>
    <row r="924" spans="1:13" ht="11.1" customHeight="1">
      <c r="A924" s="507" t="s">
        <v>13885</v>
      </c>
      <c r="B924" s="519" t="s">
        <v>12590</v>
      </c>
      <c r="C924" s="520">
        <v>119837</v>
      </c>
      <c r="D924" s="521">
        <v>63.553775986423418</v>
      </c>
      <c r="E924" s="522" t="s">
        <v>6251</v>
      </c>
      <c r="F924" s="523" t="s">
        <v>6233</v>
      </c>
      <c r="G924" s="523" t="s">
        <v>12523</v>
      </c>
      <c r="H924" s="524">
        <v>63</v>
      </c>
      <c r="I924" s="523" t="s">
        <v>6257</v>
      </c>
      <c r="J924" s="523" t="s">
        <v>12651</v>
      </c>
      <c r="K924" s="523" t="s">
        <v>6209</v>
      </c>
      <c r="L924" s="523">
        <v>7</v>
      </c>
      <c r="M924" s="525" t="s">
        <v>12622</v>
      </c>
    </row>
    <row r="925" spans="1:13" ht="11.1" customHeight="1">
      <c r="A925" s="501" t="s">
        <v>13886</v>
      </c>
      <c r="B925" s="280" t="s">
        <v>6230</v>
      </c>
      <c r="C925" s="515">
        <v>49262</v>
      </c>
      <c r="D925" s="503">
        <v>26.125371234620282</v>
      </c>
      <c r="E925" s="504">
        <v>41.107504360089123</v>
      </c>
      <c r="F925" s="278" t="s">
        <v>6233</v>
      </c>
      <c r="G925" s="278" t="s">
        <v>13887</v>
      </c>
      <c r="H925" s="505">
        <v>52</v>
      </c>
      <c r="I925" s="278" t="s">
        <v>6278</v>
      </c>
      <c r="J925" s="278">
        <v>0</v>
      </c>
      <c r="K925" s="278" t="s">
        <v>6036</v>
      </c>
      <c r="L925" s="278">
        <v>0</v>
      </c>
      <c r="M925" s="308" t="s">
        <v>13888</v>
      </c>
    </row>
    <row r="926" spans="1:13" ht="11.1" customHeight="1">
      <c r="A926" s="501" t="s">
        <v>13889</v>
      </c>
      <c r="B926" s="280"/>
      <c r="C926" s="515">
        <v>19461</v>
      </c>
      <c r="D926" s="503">
        <v>10.320852778956301</v>
      </c>
      <c r="E926" s="504" t="s">
        <v>6262</v>
      </c>
      <c r="F926" s="278">
        <v>0</v>
      </c>
      <c r="G926" s="278" t="s">
        <v>12525</v>
      </c>
      <c r="H926" s="505">
        <v>52</v>
      </c>
      <c r="I926" s="278" t="s">
        <v>6264</v>
      </c>
      <c r="J926" s="278">
        <v>0</v>
      </c>
      <c r="K926" s="278" t="s">
        <v>6036</v>
      </c>
      <c r="L926" s="278">
        <v>0</v>
      </c>
      <c r="M926" s="308">
        <v>0</v>
      </c>
    </row>
    <row r="927" spans="1:13" ht="11.1" customHeight="1">
      <c r="A927" s="507" t="s">
        <v>13890</v>
      </c>
      <c r="B927" s="519" t="s">
        <v>12590</v>
      </c>
      <c r="C927" s="520">
        <v>132646</v>
      </c>
      <c r="D927" s="521">
        <v>57.723120841438316</v>
      </c>
      <c r="E927" s="522" t="s">
        <v>6251</v>
      </c>
      <c r="F927" s="523" t="s">
        <v>6233</v>
      </c>
      <c r="G927" s="523" t="s">
        <v>8352</v>
      </c>
      <c r="H927" s="524">
        <v>63</v>
      </c>
      <c r="I927" s="523" t="s">
        <v>6257</v>
      </c>
      <c r="J927" s="523" t="s">
        <v>12975</v>
      </c>
      <c r="K927" s="523" t="s">
        <v>6209</v>
      </c>
      <c r="L927" s="523">
        <v>7</v>
      </c>
      <c r="M927" s="525" t="s">
        <v>12622</v>
      </c>
    </row>
    <row r="928" spans="1:13" ht="11.1" customHeight="1">
      <c r="A928" s="501" t="s">
        <v>13891</v>
      </c>
      <c r="B928" s="280" t="s">
        <v>6230</v>
      </c>
      <c r="C928" s="515">
        <v>75879</v>
      </c>
      <c r="D928" s="503">
        <v>33.02001331610073</v>
      </c>
      <c r="E928" s="504">
        <v>57.204137327925459</v>
      </c>
      <c r="F928" s="278" t="s">
        <v>6233</v>
      </c>
      <c r="G928" s="278" t="s">
        <v>12526</v>
      </c>
      <c r="H928" s="505">
        <v>42</v>
      </c>
      <c r="I928" s="278" t="s">
        <v>6253</v>
      </c>
      <c r="J928" s="278" t="s">
        <v>12007</v>
      </c>
      <c r="K928" s="278" t="s">
        <v>6036</v>
      </c>
      <c r="L928" s="278">
        <v>0</v>
      </c>
      <c r="M928" s="308">
        <v>0</v>
      </c>
    </row>
    <row r="929" spans="1:13" ht="11.1" customHeight="1">
      <c r="A929" s="501" t="s">
        <v>13892</v>
      </c>
      <c r="B929" s="280" t="s">
        <v>6231</v>
      </c>
      <c r="C929" s="515">
        <v>21272</v>
      </c>
      <c r="D929" s="503">
        <v>9.2568658424609538</v>
      </c>
      <c r="E929" s="504" t="s">
        <v>6262</v>
      </c>
      <c r="F929" s="278">
        <v>0</v>
      </c>
      <c r="G929" s="278" t="s">
        <v>12527</v>
      </c>
      <c r="H929" s="505">
        <v>44</v>
      </c>
      <c r="I929" s="278" t="s">
        <v>6264</v>
      </c>
      <c r="J929" s="278">
        <v>0</v>
      </c>
      <c r="K929" s="278" t="s">
        <v>6036</v>
      </c>
      <c r="L929" s="278">
        <v>0</v>
      </c>
      <c r="M929" s="308">
        <v>0</v>
      </c>
    </row>
    <row r="930" spans="1:13" ht="11.1" customHeight="1">
      <c r="A930" s="507" t="s">
        <v>13893</v>
      </c>
      <c r="B930" s="508" t="s">
        <v>12590</v>
      </c>
      <c r="C930" s="509">
        <v>102581</v>
      </c>
      <c r="D930" s="510">
        <v>45.184692502180368</v>
      </c>
      <c r="E930" s="511" t="s">
        <v>6251</v>
      </c>
      <c r="F930" s="514" t="s">
        <v>6233</v>
      </c>
      <c r="G930" s="514" t="s">
        <v>12528</v>
      </c>
      <c r="H930" s="513">
        <v>50</v>
      </c>
      <c r="I930" s="514" t="s">
        <v>6253</v>
      </c>
      <c r="J930" s="514" t="s">
        <v>12397</v>
      </c>
      <c r="K930" s="514" t="s">
        <v>6209</v>
      </c>
      <c r="L930" s="514">
        <v>4</v>
      </c>
      <c r="M930" s="341">
        <v>0</v>
      </c>
    </row>
    <row r="931" spans="1:13" ht="11.1" customHeight="1">
      <c r="A931" s="501" t="s">
        <v>13894</v>
      </c>
      <c r="B931" s="516" t="s">
        <v>12602</v>
      </c>
      <c r="C931" s="515">
        <v>99091</v>
      </c>
      <c r="D931" s="503">
        <v>43.647423643106954</v>
      </c>
      <c r="E931" s="504">
        <v>96.597810510718361</v>
      </c>
      <c r="F931" s="517" t="s">
        <v>6233</v>
      </c>
      <c r="G931" s="517" t="s">
        <v>8360</v>
      </c>
      <c r="H931" s="518">
        <v>56</v>
      </c>
      <c r="I931" s="517" t="s">
        <v>6257</v>
      </c>
      <c r="J931" s="517" t="s">
        <v>12621</v>
      </c>
      <c r="K931" s="517" t="s">
        <v>6283</v>
      </c>
      <c r="L931" s="517">
        <v>3</v>
      </c>
      <c r="M931" s="308" t="s">
        <v>12638</v>
      </c>
    </row>
    <row r="932" spans="1:13" ht="11.1" customHeight="1">
      <c r="A932" s="501" t="s">
        <v>13895</v>
      </c>
      <c r="B932" s="280"/>
      <c r="C932" s="515">
        <v>25354</v>
      </c>
      <c r="D932" s="503">
        <v>11.167883854712676</v>
      </c>
      <c r="E932" s="504" t="s">
        <v>6262</v>
      </c>
      <c r="F932" s="278">
        <v>0</v>
      </c>
      <c r="G932" s="278" t="s">
        <v>13896</v>
      </c>
      <c r="H932" s="505">
        <v>27</v>
      </c>
      <c r="I932" s="278" t="s">
        <v>6264</v>
      </c>
      <c r="J932" s="278">
        <v>0</v>
      </c>
      <c r="K932" s="278" t="s">
        <v>6036</v>
      </c>
      <c r="L932" s="278">
        <v>0</v>
      </c>
      <c r="M932" s="308">
        <v>0</v>
      </c>
    </row>
    <row r="933" spans="1:13" ht="11.1" customHeight="1">
      <c r="A933" s="507" t="s">
        <v>13897</v>
      </c>
      <c r="B933" s="519" t="s">
        <v>12590</v>
      </c>
      <c r="C933" s="520">
        <v>91974</v>
      </c>
      <c r="D933" s="521">
        <v>45.198734077685174</v>
      </c>
      <c r="E933" s="522" t="s">
        <v>6251</v>
      </c>
      <c r="F933" s="523" t="s">
        <v>6233</v>
      </c>
      <c r="G933" s="523" t="s">
        <v>12531</v>
      </c>
      <c r="H933" s="524">
        <v>58</v>
      </c>
      <c r="I933" s="523" t="s">
        <v>6257</v>
      </c>
      <c r="J933" s="523" t="s">
        <v>12674</v>
      </c>
      <c r="K933" s="523" t="s">
        <v>6209</v>
      </c>
      <c r="L933" s="523">
        <v>6</v>
      </c>
      <c r="M933" s="525" t="s">
        <v>12622</v>
      </c>
    </row>
    <row r="934" spans="1:13" ht="11.1" customHeight="1">
      <c r="A934" s="501" t="s">
        <v>13898</v>
      </c>
      <c r="B934" s="516" t="s">
        <v>12602</v>
      </c>
      <c r="C934" s="515">
        <v>79735</v>
      </c>
      <c r="D934" s="503">
        <v>39.184128793835505</v>
      </c>
      <c r="E934" s="504">
        <v>86.692978450431639</v>
      </c>
      <c r="F934" s="512" t="s">
        <v>6233</v>
      </c>
      <c r="G934" s="512" t="s">
        <v>12533</v>
      </c>
      <c r="H934" s="526">
        <v>30</v>
      </c>
      <c r="I934" s="512" t="s">
        <v>6253</v>
      </c>
      <c r="J934" s="512" t="s">
        <v>12007</v>
      </c>
      <c r="K934" s="512" t="s">
        <v>6036</v>
      </c>
      <c r="L934" s="512">
        <v>0</v>
      </c>
      <c r="M934" s="308">
        <v>0</v>
      </c>
    </row>
    <row r="935" spans="1:13" ht="11.1" customHeight="1">
      <c r="A935" s="501" t="s">
        <v>13899</v>
      </c>
      <c r="B935" s="280"/>
      <c r="C935" s="515">
        <v>31779</v>
      </c>
      <c r="D935" s="503">
        <v>15.617137128479321</v>
      </c>
      <c r="E935" s="504">
        <v>34.552156044099419</v>
      </c>
      <c r="F935" s="278" t="s">
        <v>6233</v>
      </c>
      <c r="G935" s="278" t="s">
        <v>13900</v>
      </c>
      <c r="H935" s="505">
        <v>40</v>
      </c>
      <c r="I935" s="278" t="s">
        <v>6264</v>
      </c>
      <c r="J935" s="278">
        <v>0</v>
      </c>
      <c r="K935" s="278" t="s">
        <v>6036</v>
      </c>
      <c r="L935" s="278">
        <v>0</v>
      </c>
      <c r="M935" s="308">
        <v>0</v>
      </c>
    </row>
    <row r="936" spans="1:13" ht="11.1" customHeight="1">
      <c r="A936" s="507" t="s">
        <v>13901</v>
      </c>
      <c r="B936" s="545" t="s">
        <v>12590</v>
      </c>
      <c r="C936" s="546">
        <v>78882</v>
      </c>
      <c r="D936" s="547">
        <v>42.434544975281213</v>
      </c>
      <c r="E936" s="548" t="s">
        <v>6262</v>
      </c>
      <c r="F936" s="549">
        <v>0</v>
      </c>
      <c r="G936" s="549" t="s">
        <v>8374</v>
      </c>
      <c r="H936" s="550">
        <v>35</v>
      </c>
      <c r="I936" s="549" t="s">
        <v>6322</v>
      </c>
      <c r="J936" s="549" t="s">
        <v>13658</v>
      </c>
      <c r="K936" s="549" t="s">
        <v>6036</v>
      </c>
      <c r="L936" s="549">
        <v>0</v>
      </c>
      <c r="M936" s="551">
        <v>0</v>
      </c>
    </row>
    <row r="937" spans="1:13" ht="11.1" customHeight="1">
      <c r="A937" s="501" t="s">
        <v>13902</v>
      </c>
      <c r="B937" s="280" t="s">
        <v>6230</v>
      </c>
      <c r="C937" s="515">
        <v>62628</v>
      </c>
      <c r="D937" s="503">
        <v>33.690711223243731</v>
      </c>
      <c r="E937" s="504">
        <v>79.394538678025398</v>
      </c>
      <c r="F937" s="278" t="s">
        <v>6233</v>
      </c>
      <c r="G937" s="278" t="s">
        <v>9861</v>
      </c>
      <c r="H937" s="505">
        <v>55</v>
      </c>
      <c r="I937" s="278" t="s">
        <v>6257</v>
      </c>
      <c r="J937" s="278" t="s">
        <v>12651</v>
      </c>
      <c r="K937" s="278" t="s">
        <v>6209</v>
      </c>
      <c r="L937" s="278">
        <v>3</v>
      </c>
      <c r="M937" s="308" t="s">
        <v>12622</v>
      </c>
    </row>
    <row r="938" spans="1:13" ht="11.1" customHeight="1">
      <c r="A938" s="501" t="s">
        <v>13903</v>
      </c>
      <c r="B938" s="280" t="s">
        <v>6230</v>
      </c>
      <c r="C938" s="515">
        <v>35591</v>
      </c>
      <c r="D938" s="503">
        <v>19.146166301757482</v>
      </c>
      <c r="E938" s="504">
        <v>45.119292107198092</v>
      </c>
      <c r="F938" s="278" t="s">
        <v>6233</v>
      </c>
      <c r="G938" s="278" t="s">
        <v>13904</v>
      </c>
      <c r="H938" s="505">
        <v>61</v>
      </c>
      <c r="I938" s="278" t="s">
        <v>6278</v>
      </c>
      <c r="J938" s="278">
        <v>0</v>
      </c>
      <c r="K938" s="278" t="s">
        <v>6036</v>
      </c>
      <c r="L938" s="278">
        <v>0</v>
      </c>
      <c r="M938" s="308" t="s">
        <v>6481</v>
      </c>
    </row>
    <row r="939" spans="1:13" ht="11.1" customHeight="1" thickBot="1">
      <c r="A939" s="527" t="s">
        <v>13905</v>
      </c>
      <c r="B939" s="528" t="s">
        <v>6231</v>
      </c>
      <c r="C939" s="529">
        <v>8790</v>
      </c>
      <c r="D939" s="530">
        <v>4.7285774997175762</v>
      </c>
      <c r="E939" s="531" t="s">
        <v>6262</v>
      </c>
      <c r="F939" s="532">
        <v>0</v>
      </c>
      <c r="G939" s="532" t="s">
        <v>12535</v>
      </c>
      <c r="H939" s="533">
        <v>52</v>
      </c>
      <c r="I939" s="532" t="s">
        <v>6264</v>
      </c>
      <c r="J939" s="532">
        <v>0</v>
      </c>
      <c r="K939" s="532" t="s">
        <v>6036</v>
      </c>
      <c r="L939" s="532">
        <v>0</v>
      </c>
      <c r="M939" s="347">
        <v>0</v>
      </c>
    </row>
    <row r="940" spans="1:13" ht="11.1" customHeight="1">
      <c r="A940" s="493" t="s">
        <v>13906</v>
      </c>
      <c r="B940" s="494" t="s">
        <v>12590</v>
      </c>
      <c r="C940" s="540">
        <v>70271</v>
      </c>
      <c r="D940" s="496">
        <v>46.844522661973613</v>
      </c>
      <c r="E940" s="497" t="s">
        <v>6251</v>
      </c>
      <c r="F940" s="498" t="s">
        <v>6233</v>
      </c>
      <c r="G940" s="498" t="s">
        <v>8382</v>
      </c>
      <c r="H940" s="499">
        <v>44</v>
      </c>
      <c r="I940" s="498" t="s">
        <v>6253</v>
      </c>
      <c r="J940" s="498" t="s">
        <v>11994</v>
      </c>
      <c r="K940" s="498" t="s">
        <v>6209</v>
      </c>
      <c r="L940" s="498">
        <v>2</v>
      </c>
      <c r="M940" s="500">
        <v>0</v>
      </c>
    </row>
    <row r="941" spans="1:13" ht="11.1" customHeight="1">
      <c r="A941" s="501" t="s">
        <v>13907</v>
      </c>
      <c r="B941" s="280" t="s">
        <v>6230</v>
      </c>
      <c r="C941" s="515">
        <v>66446</v>
      </c>
      <c r="D941" s="503">
        <v>44.294675652794169</v>
      </c>
      <c r="E941" s="504">
        <v>94.55678729490117</v>
      </c>
      <c r="F941" s="278" t="s">
        <v>6233</v>
      </c>
      <c r="G941" s="278" t="s">
        <v>8384</v>
      </c>
      <c r="H941" s="505">
        <v>30</v>
      </c>
      <c r="I941" s="278" t="s">
        <v>6257</v>
      </c>
      <c r="J941" s="278" t="s">
        <v>12617</v>
      </c>
      <c r="K941" s="278" t="s">
        <v>6036</v>
      </c>
      <c r="L941" s="278">
        <v>0</v>
      </c>
      <c r="M941" s="308" t="s">
        <v>12638</v>
      </c>
    </row>
    <row r="942" spans="1:13" ht="11.1" customHeight="1">
      <c r="A942" s="501" t="s">
        <v>13908</v>
      </c>
      <c r="B942" s="280" t="s">
        <v>6231</v>
      </c>
      <c r="C942" s="515">
        <v>8315</v>
      </c>
      <c r="D942" s="503">
        <v>5.543000753288136</v>
      </c>
      <c r="E942" s="504">
        <v>11.832761736705041</v>
      </c>
      <c r="F942" s="278" t="s">
        <v>6233</v>
      </c>
      <c r="G942" s="278" t="s">
        <v>13909</v>
      </c>
      <c r="H942" s="505">
        <v>61</v>
      </c>
      <c r="I942" s="278" t="s">
        <v>6278</v>
      </c>
      <c r="J942" s="278">
        <v>0</v>
      </c>
      <c r="K942" s="278" t="s">
        <v>6036</v>
      </c>
      <c r="L942" s="278">
        <v>0</v>
      </c>
      <c r="M942" s="308">
        <v>0</v>
      </c>
    </row>
    <row r="943" spans="1:13" ht="11.1" customHeight="1">
      <c r="A943" s="501" t="s">
        <v>13910</v>
      </c>
      <c r="B943" s="280" t="s">
        <v>6231</v>
      </c>
      <c r="C943" s="515">
        <v>4977</v>
      </c>
      <c r="D943" s="503">
        <v>3.3178009319440833</v>
      </c>
      <c r="E943" s="504" t="s">
        <v>6262</v>
      </c>
      <c r="F943" s="278">
        <v>0</v>
      </c>
      <c r="G943" s="278" t="s">
        <v>13911</v>
      </c>
      <c r="H943" s="505">
        <v>38</v>
      </c>
      <c r="I943" s="278" t="s">
        <v>6264</v>
      </c>
      <c r="J943" s="278">
        <v>0</v>
      </c>
      <c r="K943" s="278" t="s">
        <v>6036</v>
      </c>
      <c r="L943" s="278">
        <v>0</v>
      </c>
      <c r="M943" s="308">
        <v>0</v>
      </c>
    </row>
    <row r="944" spans="1:13" ht="11.1" customHeight="1">
      <c r="A944" s="507" t="s">
        <v>13912</v>
      </c>
      <c r="B944" s="519" t="s">
        <v>12590</v>
      </c>
      <c r="C944" s="520">
        <v>107522</v>
      </c>
      <c r="D944" s="521">
        <v>82.442876859377392</v>
      </c>
      <c r="E944" s="522" t="s">
        <v>6251</v>
      </c>
      <c r="F944" s="523" t="s">
        <v>6233</v>
      </c>
      <c r="G944" s="523" t="s">
        <v>8390</v>
      </c>
      <c r="H944" s="524">
        <v>56</v>
      </c>
      <c r="I944" s="523" t="s">
        <v>6257</v>
      </c>
      <c r="J944" s="523" t="s">
        <v>12621</v>
      </c>
      <c r="K944" s="523" t="s">
        <v>6209</v>
      </c>
      <c r="L944" s="523">
        <v>2</v>
      </c>
      <c r="M944" s="525" t="s">
        <v>12638</v>
      </c>
    </row>
    <row r="945" spans="1:13" ht="11.1" customHeight="1">
      <c r="A945" s="501" t="s">
        <v>13913</v>
      </c>
      <c r="B945" s="280" t="s">
        <v>6230</v>
      </c>
      <c r="C945" s="515">
        <v>22898</v>
      </c>
      <c r="D945" s="503">
        <v>17.557123140622604</v>
      </c>
      <c r="E945" s="504" t="s">
        <v>6262</v>
      </c>
      <c r="F945" s="278">
        <v>0</v>
      </c>
      <c r="G945" s="278" t="s">
        <v>13914</v>
      </c>
      <c r="H945" s="505">
        <v>58</v>
      </c>
      <c r="I945" s="278" t="s">
        <v>6264</v>
      </c>
      <c r="J945" s="278">
        <v>0</v>
      </c>
      <c r="K945" s="278" t="s">
        <v>6036</v>
      </c>
      <c r="L945" s="278">
        <v>0</v>
      </c>
      <c r="M945" s="308">
        <v>0</v>
      </c>
    </row>
    <row r="946" spans="1:13" ht="11.1" customHeight="1">
      <c r="A946" s="507" t="s">
        <v>13915</v>
      </c>
      <c r="B946" s="519" t="s">
        <v>12590</v>
      </c>
      <c r="C946" s="520">
        <v>102859</v>
      </c>
      <c r="D946" s="521">
        <v>69.69191888394279</v>
      </c>
      <c r="E946" s="522" t="s">
        <v>6251</v>
      </c>
      <c r="F946" s="523" t="s">
        <v>6233</v>
      </c>
      <c r="G946" s="523" t="s">
        <v>8394</v>
      </c>
      <c r="H946" s="524">
        <v>69</v>
      </c>
      <c r="I946" s="523" t="s">
        <v>6257</v>
      </c>
      <c r="J946" s="523" t="s">
        <v>12621</v>
      </c>
      <c r="K946" s="523" t="s">
        <v>6209</v>
      </c>
      <c r="L946" s="523">
        <v>8</v>
      </c>
      <c r="M946" s="525" t="s">
        <v>12638</v>
      </c>
    </row>
    <row r="947" spans="1:13" ht="11.1" customHeight="1">
      <c r="A947" s="501" t="s">
        <v>13916</v>
      </c>
      <c r="B947" s="280" t="s">
        <v>6230</v>
      </c>
      <c r="C947" s="515">
        <v>36653</v>
      </c>
      <c r="D947" s="503">
        <v>24.834170105223219</v>
      </c>
      <c r="E947" s="504">
        <v>35.634217715513472</v>
      </c>
      <c r="F947" s="278" t="s">
        <v>6233</v>
      </c>
      <c r="G947" s="278" t="s">
        <v>13917</v>
      </c>
      <c r="H947" s="505">
        <v>34</v>
      </c>
      <c r="I947" s="278" t="s">
        <v>6253</v>
      </c>
      <c r="J947" s="278" t="s">
        <v>12007</v>
      </c>
      <c r="K947" s="278" t="s">
        <v>6036</v>
      </c>
      <c r="L947" s="278">
        <v>0</v>
      </c>
      <c r="M947" s="308" t="s">
        <v>6154</v>
      </c>
    </row>
    <row r="948" spans="1:13" ht="11.1" customHeight="1" thickBot="1">
      <c r="A948" s="527" t="s">
        <v>13918</v>
      </c>
      <c r="B948" s="528" t="s">
        <v>6231</v>
      </c>
      <c r="C948" s="529">
        <v>8079</v>
      </c>
      <c r="D948" s="530">
        <v>5.4739110108339943</v>
      </c>
      <c r="E948" s="531" t="s">
        <v>6262</v>
      </c>
      <c r="F948" s="532">
        <v>0</v>
      </c>
      <c r="G948" s="532" t="s">
        <v>13919</v>
      </c>
      <c r="H948" s="533">
        <v>56</v>
      </c>
      <c r="I948" s="532" t="s">
        <v>6264</v>
      </c>
      <c r="J948" s="532">
        <v>0</v>
      </c>
      <c r="K948" s="532" t="s">
        <v>6036</v>
      </c>
      <c r="L948" s="532">
        <v>0</v>
      </c>
      <c r="M948" s="347">
        <v>0</v>
      </c>
    </row>
    <row r="949" spans="1:13" ht="11.1" customHeight="1">
      <c r="A949" s="493" t="s">
        <v>13920</v>
      </c>
      <c r="B949" s="494" t="s">
        <v>12590</v>
      </c>
      <c r="C949" s="540">
        <v>106331</v>
      </c>
      <c r="D949" s="496">
        <v>50.637426482844013</v>
      </c>
      <c r="E949" s="497" t="s">
        <v>6251</v>
      </c>
      <c r="F949" s="498" t="s">
        <v>6233</v>
      </c>
      <c r="G949" s="498" t="s">
        <v>13921</v>
      </c>
      <c r="H949" s="499">
        <v>57</v>
      </c>
      <c r="I949" s="498" t="s">
        <v>6253</v>
      </c>
      <c r="J949" s="498" t="s">
        <v>12178</v>
      </c>
      <c r="K949" s="498" t="s">
        <v>6209</v>
      </c>
      <c r="L949" s="498">
        <v>4</v>
      </c>
      <c r="M949" s="500" t="s">
        <v>6254</v>
      </c>
    </row>
    <row r="950" spans="1:13" ht="11.1" customHeight="1">
      <c r="A950" s="501" t="s">
        <v>13922</v>
      </c>
      <c r="B950" s="280" t="s">
        <v>6230</v>
      </c>
      <c r="C950" s="515">
        <v>90857</v>
      </c>
      <c r="D950" s="503">
        <v>43.268328690144536</v>
      </c>
      <c r="E950" s="504">
        <v>85.447329565225573</v>
      </c>
      <c r="F950" s="278" t="s">
        <v>6233</v>
      </c>
      <c r="G950" s="278" t="s">
        <v>13923</v>
      </c>
      <c r="H950" s="505">
        <v>52</v>
      </c>
      <c r="I950" s="278" t="s">
        <v>6257</v>
      </c>
      <c r="J950" s="278" t="s">
        <v>12674</v>
      </c>
      <c r="K950" s="278" t="s">
        <v>6283</v>
      </c>
      <c r="L950" s="278">
        <v>1</v>
      </c>
      <c r="M950" s="308" t="s">
        <v>12638</v>
      </c>
    </row>
    <row r="951" spans="1:13" ht="11.1" customHeight="1">
      <c r="A951" s="501" t="s">
        <v>13924</v>
      </c>
      <c r="B951" s="280" t="s">
        <v>6231</v>
      </c>
      <c r="C951" s="515">
        <v>12797</v>
      </c>
      <c r="D951" s="503">
        <v>6.0942448270114529</v>
      </c>
      <c r="E951" s="504" t="s">
        <v>6262</v>
      </c>
      <c r="F951" s="278">
        <v>0</v>
      </c>
      <c r="G951" s="278" t="s">
        <v>12542</v>
      </c>
      <c r="H951" s="505">
        <v>41</v>
      </c>
      <c r="I951" s="278" t="s">
        <v>6264</v>
      </c>
      <c r="J951" s="278">
        <v>0</v>
      </c>
      <c r="K951" s="278" t="s">
        <v>6036</v>
      </c>
      <c r="L951" s="278">
        <v>0</v>
      </c>
      <c r="M951" s="308">
        <v>0</v>
      </c>
    </row>
    <row r="952" spans="1:13" ht="11.1" customHeight="1">
      <c r="A952" s="507" t="s">
        <v>13925</v>
      </c>
      <c r="B952" s="519" t="s">
        <v>12590</v>
      </c>
      <c r="C952" s="520">
        <v>126705</v>
      </c>
      <c r="D952" s="521">
        <v>65.297719050514843</v>
      </c>
      <c r="E952" s="522" t="s">
        <v>6251</v>
      </c>
      <c r="F952" s="523" t="s">
        <v>6233</v>
      </c>
      <c r="G952" s="523" t="s">
        <v>8414</v>
      </c>
      <c r="H952" s="524">
        <v>62</v>
      </c>
      <c r="I952" s="523" t="s">
        <v>6257</v>
      </c>
      <c r="J952" s="523" t="s">
        <v>12617</v>
      </c>
      <c r="K952" s="523" t="s">
        <v>6209</v>
      </c>
      <c r="L952" s="523">
        <v>7</v>
      </c>
      <c r="M952" s="525" t="s">
        <v>12638</v>
      </c>
    </row>
    <row r="953" spans="1:13" ht="11.1" customHeight="1">
      <c r="A953" s="501" t="s">
        <v>13926</v>
      </c>
      <c r="B953" s="280" t="s">
        <v>6230</v>
      </c>
      <c r="C953" s="515">
        <v>50772</v>
      </c>
      <c r="D953" s="503">
        <v>26.165469331381864</v>
      </c>
      <c r="E953" s="504">
        <v>40.071031135314314</v>
      </c>
      <c r="F953" s="278" t="s">
        <v>6233</v>
      </c>
      <c r="G953" s="278" t="s">
        <v>13927</v>
      </c>
      <c r="H953" s="505">
        <v>65</v>
      </c>
      <c r="I953" s="278" t="s">
        <v>6278</v>
      </c>
      <c r="J953" s="278">
        <v>0</v>
      </c>
      <c r="K953" s="278" t="s">
        <v>6036</v>
      </c>
      <c r="L953" s="278">
        <v>0</v>
      </c>
      <c r="M953" s="308" t="s">
        <v>6481</v>
      </c>
    </row>
    <row r="954" spans="1:13" ht="11.1" customHeight="1">
      <c r="A954" s="501" t="s">
        <v>13928</v>
      </c>
      <c r="B954" s="280" t="s">
        <v>6231</v>
      </c>
      <c r="C954" s="515">
        <v>16565</v>
      </c>
      <c r="D954" s="503">
        <v>8.5368116181032967</v>
      </c>
      <c r="E954" s="504" t="s">
        <v>6262</v>
      </c>
      <c r="F954" s="278">
        <v>0</v>
      </c>
      <c r="G954" s="278" t="s">
        <v>13929</v>
      </c>
      <c r="H954" s="505">
        <v>54</v>
      </c>
      <c r="I954" s="278" t="s">
        <v>6264</v>
      </c>
      <c r="J954" s="278">
        <v>0</v>
      </c>
      <c r="K954" s="278" t="s">
        <v>6036</v>
      </c>
      <c r="L954" s="278">
        <v>0</v>
      </c>
      <c r="M954" s="308">
        <v>0</v>
      </c>
    </row>
    <row r="955" spans="1:13" ht="11.1" customHeight="1">
      <c r="A955" s="507" t="s">
        <v>13930</v>
      </c>
      <c r="B955" s="519" t="s">
        <v>12590</v>
      </c>
      <c r="C955" s="520">
        <v>77528</v>
      </c>
      <c r="D955" s="521">
        <v>50.342530243310108</v>
      </c>
      <c r="E955" s="522" t="s">
        <v>6251</v>
      </c>
      <c r="F955" s="523" t="s">
        <v>6233</v>
      </c>
      <c r="G955" s="523" t="s">
        <v>8424</v>
      </c>
      <c r="H955" s="524">
        <v>62</v>
      </c>
      <c r="I955" s="523" t="s">
        <v>6257</v>
      </c>
      <c r="J955" s="523" t="s">
        <v>12617</v>
      </c>
      <c r="K955" s="523" t="s">
        <v>6036</v>
      </c>
      <c r="L955" s="523">
        <v>0</v>
      </c>
      <c r="M955" s="525" t="s">
        <v>6260</v>
      </c>
    </row>
    <row r="956" spans="1:13" ht="11.1" customHeight="1">
      <c r="A956" s="501" t="s">
        <v>13931</v>
      </c>
      <c r="B956" s="516" t="s">
        <v>12602</v>
      </c>
      <c r="C956" s="515">
        <v>71099</v>
      </c>
      <c r="D956" s="503">
        <v>46.167882026740088</v>
      </c>
      <c r="E956" s="504">
        <v>91.707512124651743</v>
      </c>
      <c r="F956" s="512" t="s">
        <v>6233</v>
      </c>
      <c r="G956" s="512" t="s">
        <v>8422</v>
      </c>
      <c r="H956" s="526">
        <v>61</v>
      </c>
      <c r="I956" s="512" t="s">
        <v>6253</v>
      </c>
      <c r="J956" s="512" t="s">
        <v>12020</v>
      </c>
      <c r="K956" s="512" t="s">
        <v>6209</v>
      </c>
      <c r="L956" s="512">
        <v>2</v>
      </c>
      <c r="M956" s="308" t="s">
        <v>6254</v>
      </c>
    </row>
    <row r="957" spans="1:13" ht="11.1" customHeight="1">
      <c r="A957" s="501" t="s">
        <v>13932</v>
      </c>
      <c r="B957" s="280" t="s">
        <v>6231</v>
      </c>
      <c r="C957" s="515">
        <v>5374</v>
      </c>
      <c r="D957" s="503">
        <v>3.4895877299498057</v>
      </c>
      <c r="E957" s="504" t="s">
        <v>6262</v>
      </c>
      <c r="F957" s="278">
        <v>0</v>
      </c>
      <c r="G957" s="278" t="s">
        <v>13933</v>
      </c>
      <c r="H957" s="505">
        <v>49</v>
      </c>
      <c r="I957" s="278" t="s">
        <v>6264</v>
      </c>
      <c r="J957" s="278">
        <v>0</v>
      </c>
      <c r="K957" s="278" t="s">
        <v>6036</v>
      </c>
      <c r="L957" s="278">
        <v>0</v>
      </c>
      <c r="M957" s="308">
        <v>0</v>
      </c>
    </row>
    <row r="958" spans="1:13" ht="11.1" customHeight="1">
      <c r="A958" s="507" t="s">
        <v>13934</v>
      </c>
      <c r="B958" s="519" t="s">
        <v>12590</v>
      </c>
      <c r="C958" s="520">
        <v>100767</v>
      </c>
      <c r="D958" s="521">
        <v>61.59050902156374</v>
      </c>
      <c r="E958" s="522" t="s">
        <v>6251</v>
      </c>
      <c r="F958" s="523" t="s">
        <v>6233</v>
      </c>
      <c r="G958" s="523" t="s">
        <v>8430</v>
      </c>
      <c r="H958" s="524">
        <v>56</v>
      </c>
      <c r="I958" s="523" t="s">
        <v>6257</v>
      </c>
      <c r="J958" s="523" t="s">
        <v>12651</v>
      </c>
      <c r="K958" s="523" t="s">
        <v>6209</v>
      </c>
      <c r="L958" s="523">
        <v>1</v>
      </c>
      <c r="M958" s="525" t="s">
        <v>12638</v>
      </c>
    </row>
    <row r="959" spans="1:13" ht="11.1" customHeight="1">
      <c r="A959" s="501" t="s">
        <v>13935</v>
      </c>
      <c r="B959" s="280" t="s">
        <v>6230</v>
      </c>
      <c r="C959" s="515">
        <v>53557</v>
      </c>
      <c r="D959" s="503">
        <v>32.734951836096037</v>
      </c>
      <c r="E959" s="504">
        <v>53.14934452747427</v>
      </c>
      <c r="F959" s="278" t="s">
        <v>6233</v>
      </c>
      <c r="G959" s="278" t="s">
        <v>12544</v>
      </c>
      <c r="H959" s="505">
        <v>56</v>
      </c>
      <c r="I959" s="278" t="s">
        <v>6278</v>
      </c>
      <c r="J959" s="278">
        <v>0</v>
      </c>
      <c r="K959" s="278" t="s">
        <v>6209</v>
      </c>
      <c r="L959" s="278">
        <v>1</v>
      </c>
      <c r="M959" s="308" t="s">
        <v>6481</v>
      </c>
    </row>
    <row r="960" spans="1:13" ht="11.1" customHeight="1" thickBot="1">
      <c r="A960" s="527" t="s">
        <v>13936</v>
      </c>
      <c r="B960" s="528" t="s">
        <v>6231</v>
      </c>
      <c r="C960" s="529">
        <v>9284</v>
      </c>
      <c r="D960" s="530">
        <v>5.6745391423402278</v>
      </c>
      <c r="E960" s="531" t="s">
        <v>6262</v>
      </c>
      <c r="F960" s="532">
        <v>0</v>
      </c>
      <c r="G960" s="532" t="s">
        <v>13937</v>
      </c>
      <c r="H960" s="533">
        <v>60</v>
      </c>
      <c r="I960" s="532" t="s">
        <v>6264</v>
      </c>
      <c r="J960" s="532">
        <v>0</v>
      </c>
      <c r="K960" s="532" t="s">
        <v>6036</v>
      </c>
      <c r="L960" s="532">
        <v>0</v>
      </c>
      <c r="M960" s="347">
        <v>0</v>
      </c>
    </row>
    <row r="961" spans="1:13" ht="11.1" customHeight="1">
      <c r="A961" s="493" t="s">
        <v>13938</v>
      </c>
      <c r="B961" s="494" t="s">
        <v>12590</v>
      </c>
      <c r="C961" s="540">
        <v>111205</v>
      </c>
      <c r="D961" s="496">
        <v>54.223858400175537</v>
      </c>
      <c r="E961" s="497" t="s">
        <v>6251</v>
      </c>
      <c r="F961" s="498" t="s">
        <v>6233</v>
      </c>
      <c r="G961" s="498" t="s">
        <v>8434</v>
      </c>
      <c r="H961" s="499">
        <v>43</v>
      </c>
      <c r="I961" s="498" t="s">
        <v>6253</v>
      </c>
      <c r="J961" s="498" t="s">
        <v>11994</v>
      </c>
      <c r="K961" s="498" t="s">
        <v>6209</v>
      </c>
      <c r="L961" s="498">
        <v>1</v>
      </c>
      <c r="M961" s="500">
        <v>0</v>
      </c>
    </row>
    <row r="962" spans="1:13" ht="11.1" customHeight="1">
      <c r="A962" s="501" t="s">
        <v>13939</v>
      </c>
      <c r="B962" s="280" t="s">
        <v>6230</v>
      </c>
      <c r="C962" s="515">
        <v>80111</v>
      </c>
      <c r="D962" s="503">
        <v>39.06234000536363</v>
      </c>
      <c r="E962" s="504">
        <v>72.039027022166266</v>
      </c>
      <c r="F962" s="278" t="s">
        <v>6233</v>
      </c>
      <c r="G962" s="278" t="s">
        <v>13940</v>
      </c>
      <c r="H962" s="505">
        <v>57</v>
      </c>
      <c r="I962" s="278" t="s">
        <v>6257</v>
      </c>
      <c r="J962" s="278" t="s">
        <v>12975</v>
      </c>
      <c r="K962" s="278" t="s">
        <v>6283</v>
      </c>
      <c r="L962" s="278">
        <v>1</v>
      </c>
      <c r="M962" s="308">
        <v>0</v>
      </c>
    </row>
    <row r="963" spans="1:13" ht="11.1" customHeight="1">
      <c r="A963" s="501" t="s">
        <v>13941</v>
      </c>
      <c r="B963" s="280" t="s">
        <v>6231</v>
      </c>
      <c r="C963" s="515">
        <v>13769</v>
      </c>
      <c r="D963" s="503">
        <v>6.7138015944608336</v>
      </c>
      <c r="E963" s="504" t="s">
        <v>6262</v>
      </c>
      <c r="F963" s="278">
        <v>0</v>
      </c>
      <c r="G963" s="278" t="s">
        <v>13942</v>
      </c>
      <c r="H963" s="505">
        <v>49</v>
      </c>
      <c r="I963" s="278" t="s">
        <v>6264</v>
      </c>
      <c r="J963" s="278">
        <v>0</v>
      </c>
      <c r="K963" s="278" t="s">
        <v>6036</v>
      </c>
      <c r="L963" s="278">
        <v>0</v>
      </c>
      <c r="M963" s="308">
        <v>0</v>
      </c>
    </row>
    <row r="964" spans="1:13" ht="11.1" customHeight="1">
      <c r="A964" s="507" t="s">
        <v>13943</v>
      </c>
      <c r="B964" s="519" t="s">
        <v>12590</v>
      </c>
      <c r="C964" s="520">
        <v>95233</v>
      </c>
      <c r="D964" s="521">
        <v>52.737582996915478</v>
      </c>
      <c r="E964" s="522" t="s">
        <v>6251</v>
      </c>
      <c r="F964" s="523" t="s">
        <v>6233</v>
      </c>
      <c r="G964" s="523" t="s">
        <v>13944</v>
      </c>
      <c r="H964" s="524">
        <v>59</v>
      </c>
      <c r="I964" s="523" t="s">
        <v>6257</v>
      </c>
      <c r="J964" s="523" t="s">
        <v>12621</v>
      </c>
      <c r="K964" s="523" t="s">
        <v>6209</v>
      </c>
      <c r="L964" s="523">
        <v>2</v>
      </c>
      <c r="M964" s="525" t="s">
        <v>12638</v>
      </c>
    </row>
    <row r="965" spans="1:13" ht="11.1" customHeight="1">
      <c r="A965" s="501" t="s">
        <v>13945</v>
      </c>
      <c r="B965" s="516" t="s">
        <v>12602</v>
      </c>
      <c r="C965" s="515">
        <v>75517</v>
      </c>
      <c r="D965" s="503">
        <v>41.819369915660182</v>
      </c>
      <c r="E965" s="504">
        <v>79.297092394443098</v>
      </c>
      <c r="F965" s="512" t="s">
        <v>6233</v>
      </c>
      <c r="G965" s="512" t="s">
        <v>12548</v>
      </c>
      <c r="H965" s="526">
        <v>52</v>
      </c>
      <c r="I965" s="512" t="s">
        <v>6253</v>
      </c>
      <c r="J965" s="512" t="s">
        <v>12007</v>
      </c>
      <c r="K965" s="512" t="s">
        <v>6036</v>
      </c>
      <c r="L965" s="512">
        <v>0</v>
      </c>
      <c r="M965" s="308" t="s">
        <v>6154</v>
      </c>
    </row>
    <row r="966" spans="1:13" ht="11.1" customHeight="1">
      <c r="A966" s="501" t="s">
        <v>13946</v>
      </c>
      <c r="B966" s="280" t="s">
        <v>6231</v>
      </c>
      <c r="C966" s="515">
        <v>9829</v>
      </c>
      <c r="D966" s="503">
        <v>5.4430470874243406</v>
      </c>
      <c r="E966" s="504" t="s">
        <v>6262</v>
      </c>
      <c r="F966" s="278">
        <v>0</v>
      </c>
      <c r="G966" s="278" t="s">
        <v>13947</v>
      </c>
      <c r="H966" s="505">
        <v>49</v>
      </c>
      <c r="I966" s="278" t="s">
        <v>6264</v>
      </c>
      <c r="J966" s="278">
        <v>0</v>
      </c>
      <c r="K966" s="278" t="s">
        <v>6036</v>
      </c>
      <c r="L966" s="278">
        <v>0</v>
      </c>
      <c r="M966" s="308">
        <v>0</v>
      </c>
    </row>
    <row r="967" spans="1:13" ht="11.1" customHeight="1">
      <c r="A967" s="507" t="s">
        <v>13948</v>
      </c>
      <c r="B967" s="545" t="s">
        <v>12590</v>
      </c>
      <c r="C967" s="546">
        <v>79500</v>
      </c>
      <c r="D967" s="547">
        <v>42.545904087082633</v>
      </c>
      <c r="E967" s="548" t="s">
        <v>6262</v>
      </c>
      <c r="F967" s="549">
        <v>0</v>
      </c>
      <c r="G967" s="549" t="s">
        <v>8448</v>
      </c>
      <c r="H967" s="550">
        <v>53</v>
      </c>
      <c r="I967" s="549" t="s">
        <v>6322</v>
      </c>
      <c r="J967" s="549" t="s">
        <v>6323</v>
      </c>
      <c r="K967" s="549" t="s">
        <v>6036</v>
      </c>
      <c r="L967" s="549">
        <v>0</v>
      </c>
      <c r="M967" s="551">
        <v>0</v>
      </c>
    </row>
    <row r="968" spans="1:13" ht="11.1" customHeight="1">
      <c r="A968" s="501" t="s">
        <v>13949</v>
      </c>
      <c r="B968" s="516" t="s">
        <v>12602</v>
      </c>
      <c r="C968" s="515">
        <v>76469</v>
      </c>
      <c r="D968" s="503">
        <v>40.923808045724805</v>
      </c>
      <c r="E968" s="504">
        <v>96.187421383647802</v>
      </c>
      <c r="F968" s="517" t="s">
        <v>6233</v>
      </c>
      <c r="G968" s="517" t="s">
        <v>12549</v>
      </c>
      <c r="H968" s="518">
        <v>58</v>
      </c>
      <c r="I968" s="517" t="s">
        <v>6257</v>
      </c>
      <c r="J968" s="517" t="s">
        <v>12635</v>
      </c>
      <c r="K968" s="517" t="s">
        <v>6209</v>
      </c>
      <c r="L968" s="517">
        <v>4</v>
      </c>
      <c r="M968" s="308" t="s">
        <v>12638</v>
      </c>
    </row>
    <row r="969" spans="1:13" ht="11.1" customHeight="1">
      <c r="A969" s="501" t="s">
        <v>13950</v>
      </c>
      <c r="B969" s="280"/>
      <c r="C969" s="515">
        <v>26317</v>
      </c>
      <c r="D969" s="503">
        <v>14.084032174336524</v>
      </c>
      <c r="E969" s="504">
        <v>33.103144654088048</v>
      </c>
      <c r="F969" s="278" t="s">
        <v>6233</v>
      </c>
      <c r="G969" s="278" t="s">
        <v>13951</v>
      </c>
      <c r="H969" s="505">
        <v>51</v>
      </c>
      <c r="I969" s="278" t="s">
        <v>6253</v>
      </c>
      <c r="J969" s="278" t="s">
        <v>12007</v>
      </c>
      <c r="K969" s="278" t="s">
        <v>6036</v>
      </c>
      <c r="L969" s="278">
        <v>0</v>
      </c>
      <c r="M969" s="308">
        <v>0</v>
      </c>
    </row>
    <row r="970" spans="1:13" ht="11.1" customHeight="1">
      <c r="A970" s="501" t="s">
        <v>13952</v>
      </c>
      <c r="B970" s="280" t="s">
        <v>6231</v>
      </c>
      <c r="C970" s="515">
        <v>4571</v>
      </c>
      <c r="D970" s="503">
        <v>2.4462556928560342</v>
      </c>
      <c r="E970" s="504" t="s">
        <v>6262</v>
      </c>
      <c r="F970" s="278">
        <v>0</v>
      </c>
      <c r="G970" s="278" t="s">
        <v>13953</v>
      </c>
      <c r="H970" s="505">
        <v>63</v>
      </c>
      <c r="I970" s="278" t="s">
        <v>6264</v>
      </c>
      <c r="J970" s="278">
        <v>0</v>
      </c>
      <c r="K970" s="278" t="s">
        <v>6036</v>
      </c>
      <c r="L970" s="278">
        <v>0</v>
      </c>
      <c r="M970" s="308">
        <v>0</v>
      </c>
    </row>
    <row r="971" spans="1:13" ht="11.1" customHeight="1">
      <c r="A971" s="507" t="s">
        <v>13954</v>
      </c>
      <c r="B971" s="519" t="s">
        <v>12590</v>
      </c>
      <c r="C971" s="520">
        <v>137428</v>
      </c>
      <c r="D971" s="521">
        <v>73.622011389265381</v>
      </c>
      <c r="E971" s="522" t="s">
        <v>6251</v>
      </c>
      <c r="F971" s="523" t="s">
        <v>6233</v>
      </c>
      <c r="G971" s="523" t="s">
        <v>8456</v>
      </c>
      <c r="H971" s="524">
        <v>61</v>
      </c>
      <c r="I971" s="523" t="s">
        <v>6257</v>
      </c>
      <c r="J971" s="523" t="s">
        <v>12773</v>
      </c>
      <c r="K971" s="523" t="s">
        <v>6209</v>
      </c>
      <c r="L971" s="523">
        <v>5</v>
      </c>
      <c r="M971" s="525" t="s">
        <v>12638</v>
      </c>
    </row>
    <row r="972" spans="1:13" ht="11.1" customHeight="1">
      <c r="A972" s="501" t="s">
        <v>13955</v>
      </c>
      <c r="B972" s="280" t="s">
        <v>6230</v>
      </c>
      <c r="C972" s="515">
        <v>36977</v>
      </c>
      <c r="D972" s="503">
        <v>19.809071769514699</v>
      </c>
      <c r="E972" s="504">
        <v>26.906452833483716</v>
      </c>
      <c r="F972" s="278" t="s">
        <v>6233</v>
      </c>
      <c r="G972" s="278" t="s">
        <v>13956</v>
      </c>
      <c r="H972" s="505">
        <v>65</v>
      </c>
      <c r="I972" s="278" t="s">
        <v>6278</v>
      </c>
      <c r="J972" s="278">
        <v>0</v>
      </c>
      <c r="K972" s="278" t="s">
        <v>6036</v>
      </c>
      <c r="L972" s="278">
        <v>0</v>
      </c>
      <c r="M972" s="308">
        <v>0</v>
      </c>
    </row>
    <row r="973" spans="1:13" ht="11.1" customHeight="1">
      <c r="A973" s="501" t="s">
        <v>13957</v>
      </c>
      <c r="B973" s="280" t="s">
        <v>6231</v>
      </c>
      <c r="C973" s="515">
        <v>12262</v>
      </c>
      <c r="D973" s="503">
        <v>6.5689168412199264</v>
      </c>
      <c r="E973" s="504" t="s">
        <v>6262</v>
      </c>
      <c r="F973" s="278">
        <v>0</v>
      </c>
      <c r="G973" s="278" t="s">
        <v>13958</v>
      </c>
      <c r="H973" s="505">
        <v>52</v>
      </c>
      <c r="I973" s="278" t="s">
        <v>6264</v>
      </c>
      <c r="J973" s="278">
        <v>0</v>
      </c>
      <c r="K973" s="278" t="s">
        <v>6036</v>
      </c>
      <c r="L973" s="278">
        <v>0</v>
      </c>
      <c r="M973" s="308">
        <v>0</v>
      </c>
    </row>
    <row r="974" spans="1:13" ht="11.1" customHeight="1">
      <c r="A974" s="507" t="s">
        <v>13959</v>
      </c>
      <c r="B974" s="519" t="s">
        <v>12590</v>
      </c>
      <c r="C974" s="520">
        <v>95321</v>
      </c>
      <c r="D974" s="521">
        <v>57.839710683122775</v>
      </c>
      <c r="E974" s="522" t="s">
        <v>6251</v>
      </c>
      <c r="F974" s="523" t="s">
        <v>6233</v>
      </c>
      <c r="G974" s="523" t="s">
        <v>8462</v>
      </c>
      <c r="H974" s="524">
        <v>42</v>
      </c>
      <c r="I974" s="523" t="s">
        <v>6257</v>
      </c>
      <c r="J974" s="523" t="s">
        <v>12674</v>
      </c>
      <c r="K974" s="523" t="s">
        <v>6209</v>
      </c>
      <c r="L974" s="523">
        <v>1</v>
      </c>
      <c r="M974" s="525" t="s">
        <v>12638</v>
      </c>
    </row>
    <row r="975" spans="1:13" ht="11.1" customHeight="1">
      <c r="A975" s="501" t="s">
        <v>13960</v>
      </c>
      <c r="B975" s="280" t="s">
        <v>6230</v>
      </c>
      <c r="C975" s="515">
        <v>57901</v>
      </c>
      <c r="D975" s="503">
        <v>35.133675562189779</v>
      </c>
      <c r="E975" s="504">
        <v>60.743173067844438</v>
      </c>
      <c r="F975" s="278" t="s">
        <v>6233</v>
      </c>
      <c r="G975" s="278" t="s">
        <v>8450</v>
      </c>
      <c r="H975" s="505">
        <v>37</v>
      </c>
      <c r="I975" s="278" t="s">
        <v>6253</v>
      </c>
      <c r="J975" s="278" t="s">
        <v>12007</v>
      </c>
      <c r="K975" s="278" t="s">
        <v>6036</v>
      </c>
      <c r="L975" s="278">
        <v>0</v>
      </c>
      <c r="M975" s="308" t="s">
        <v>6154</v>
      </c>
    </row>
    <row r="976" spans="1:13" ht="11.1" customHeight="1" thickBot="1">
      <c r="A976" s="527" t="s">
        <v>13961</v>
      </c>
      <c r="B976" s="528" t="s">
        <v>6231</v>
      </c>
      <c r="C976" s="529">
        <v>11580</v>
      </c>
      <c r="D976" s="530">
        <v>7.0266137546874434</v>
      </c>
      <c r="E976" s="531" t="s">
        <v>6262</v>
      </c>
      <c r="F976" s="532">
        <v>0</v>
      </c>
      <c r="G976" s="532" t="s">
        <v>13962</v>
      </c>
      <c r="H976" s="533">
        <v>45</v>
      </c>
      <c r="I976" s="532" t="s">
        <v>6264</v>
      </c>
      <c r="J976" s="532">
        <v>0</v>
      </c>
      <c r="K976" s="532" t="s">
        <v>6036</v>
      </c>
      <c r="L976" s="532">
        <v>0</v>
      </c>
      <c r="M976" s="347">
        <v>0</v>
      </c>
    </row>
    <row r="977" spans="1:13" ht="11.1" customHeight="1">
      <c r="A977" s="493" t="s">
        <v>13963</v>
      </c>
      <c r="B977" s="590" t="s">
        <v>12590</v>
      </c>
      <c r="C977" s="591">
        <v>105628</v>
      </c>
      <c r="D977" s="592">
        <v>48.605493357629641</v>
      </c>
      <c r="E977" s="593" t="s">
        <v>6262</v>
      </c>
      <c r="F977" s="594">
        <v>0</v>
      </c>
      <c r="G977" s="594" t="s">
        <v>8471</v>
      </c>
      <c r="H977" s="595">
        <v>45</v>
      </c>
      <c r="I977" s="594" t="s">
        <v>6322</v>
      </c>
      <c r="J977" s="594" t="s">
        <v>6476</v>
      </c>
      <c r="K977" s="594" t="s">
        <v>6036</v>
      </c>
      <c r="L977" s="594">
        <v>0</v>
      </c>
      <c r="M977" s="596" t="s">
        <v>13964</v>
      </c>
    </row>
    <row r="978" spans="1:13" ht="11.1" customHeight="1">
      <c r="A978" s="501" t="s">
        <v>13965</v>
      </c>
      <c r="B978" s="516" t="s">
        <v>12602</v>
      </c>
      <c r="C978" s="515">
        <v>101789</v>
      </c>
      <c r="D978" s="503">
        <v>46.838949552957203</v>
      </c>
      <c r="E978" s="504">
        <v>96.365547014049298</v>
      </c>
      <c r="F978" s="517" t="s">
        <v>6233</v>
      </c>
      <c r="G978" s="517" t="s">
        <v>12553</v>
      </c>
      <c r="H978" s="518">
        <v>56</v>
      </c>
      <c r="I978" s="517" t="s">
        <v>6257</v>
      </c>
      <c r="J978" s="517" t="s">
        <v>12631</v>
      </c>
      <c r="K978" s="517" t="s">
        <v>6283</v>
      </c>
      <c r="L978" s="517">
        <v>3</v>
      </c>
      <c r="M978" s="308" t="s">
        <v>12638</v>
      </c>
    </row>
    <row r="979" spans="1:13" ht="11.1" customHeight="1">
      <c r="A979" s="501" t="s">
        <v>13966</v>
      </c>
      <c r="B979" s="280" t="s">
        <v>6231</v>
      </c>
      <c r="C979" s="515">
        <v>8646</v>
      </c>
      <c r="D979" s="503">
        <v>3.9785198580874943</v>
      </c>
      <c r="E979" s="504" t="s">
        <v>6262</v>
      </c>
      <c r="F979" s="278">
        <v>0</v>
      </c>
      <c r="G979" s="278" t="s">
        <v>13967</v>
      </c>
      <c r="H979" s="505">
        <v>46</v>
      </c>
      <c r="I979" s="278" t="s">
        <v>6264</v>
      </c>
      <c r="J979" s="278">
        <v>0</v>
      </c>
      <c r="K979" s="278" t="s">
        <v>6036</v>
      </c>
      <c r="L979" s="278">
        <v>0</v>
      </c>
      <c r="M979" s="308">
        <v>0</v>
      </c>
    </row>
    <row r="980" spans="1:13" ht="11.1" customHeight="1">
      <c r="A980" s="501" t="s">
        <v>13968</v>
      </c>
      <c r="B980" s="280" t="s">
        <v>6231</v>
      </c>
      <c r="C980" s="515">
        <v>1254</v>
      </c>
      <c r="D980" s="503">
        <v>0.57703723132566709</v>
      </c>
      <c r="E980" s="504" t="s">
        <v>6262</v>
      </c>
      <c r="F980" s="278">
        <v>0</v>
      </c>
      <c r="G980" s="278" t="s">
        <v>13969</v>
      </c>
      <c r="H980" s="505">
        <v>39</v>
      </c>
      <c r="I980" s="278" t="s">
        <v>6322</v>
      </c>
      <c r="J980" s="278">
        <v>0</v>
      </c>
      <c r="K980" s="278" t="s">
        <v>6036</v>
      </c>
      <c r="L980" s="278">
        <v>0</v>
      </c>
      <c r="M980" s="308">
        <v>0</v>
      </c>
    </row>
    <row r="981" spans="1:13" ht="11.1" customHeight="1">
      <c r="A981" s="507" t="s">
        <v>13970</v>
      </c>
      <c r="B981" s="519" t="s">
        <v>12590</v>
      </c>
      <c r="C981" s="520">
        <v>123434</v>
      </c>
      <c r="D981" s="521">
        <v>56.185534161773411</v>
      </c>
      <c r="E981" s="522" t="s">
        <v>6251</v>
      </c>
      <c r="F981" s="523" t="s">
        <v>6233</v>
      </c>
      <c r="G981" s="523" t="s">
        <v>8481</v>
      </c>
      <c r="H981" s="524">
        <v>62</v>
      </c>
      <c r="I981" s="523" t="s">
        <v>6257</v>
      </c>
      <c r="J981" s="523" t="s">
        <v>12631</v>
      </c>
      <c r="K981" s="523" t="s">
        <v>6209</v>
      </c>
      <c r="L981" s="523">
        <v>6</v>
      </c>
      <c r="M981" s="525" t="s">
        <v>12638</v>
      </c>
    </row>
    <row r="982" spans="1:13" ht="11.1" customHeight="1">
      <c r="A982" s="501" t="s">
        <v>13971</v>
      </c>
      <c r="B982" s="280" t="s">
        <v>6230</v>
      </c>
      <c r="C982" s="515">
        <v>85666</v>
      </c>
      <c r="D982" s="503">
        <v>38.994037052209933</v>
      </c>
      <c r="E982" s="504">
        <v>69.402271659348315</v>
      </c>
      <c r="F982" s="278" t="s">
        <v>6233</v>
      </c>
      <c r="G982" s="278" t="s">
        <v>8479</v>
      </c>
      <c r="H982" s="505">
        <v>61</v>
      </c>
      <c r="I982" s="278" t="s">
        <v>6278</v>
      </c>
      <c r="J982" s="278">
        <v>0</v>
      </c>
      <c r="K982" s="278" t="s">
        <v>6209</v>
      </c>
      <c r="L982" s="278">
        <v>1</v>
      </c>
      <c r="M982" s="308" t="s">
        <v>6481</v>
      </c>
    </row>
    <row r="983" spans="1:13" ht="11.1" customHeight="1">
      <c r="A983" s="501" t="s">
        <v>13972</v>
      </c>
      <c r="B983" s="280" t="s">
        <v>6231</v>
      </c>
      <c r="C983" s="515">
        <v>10590</v>
      </c>
      <c r="D983" s="503">
        <v>4.8204287860166595</v>
      </c>
      <c r="E983" s="504" t="s">
        <v>6262</v>
      </c>
      <c r="F983" s="278">
        <v>0</v>
      </c>
      <c r="G983" s="278" t="s">
        <v>13973</v>
      </c>
      <c r="H983" s="505">
        <v>61</v>
      </c>
      <c r="I983" s="278" t="s">
        <v>6264</v>
      </c>
      <c r="J983" s="278">
        <v>0</v>
      </c>
      <c r="K983" s="278" t="s">
        <v>6036</v>
      </c>
      <c r="L983" s="278">
        <v>0</v>
      </c>
      <c r="M983" s="308">
        <v>0</v>
      </c>
    </row>
    <row r="984" spans="1:13" ht="11.1" customHeight="1">
      <c r="A984" s="507" t="s">
        <v>13974</v>
      </c>
      <c r="B984" s="519" t="s">
        <v>12590</v>
      </c>
      <c r="C984" s="520">
        <v>123798</v>
      </c>
      <c r="D984" s="521">
        <v>51.262324067594484</v>
      </c>
      <c r="E984" s="522" t="s">
        <v>6251</v>
      </c>
      <c r="F984" s="523" t="s">
        <v>6233</v>
      </c>
      <c r="G984" s="523" t="s">
        <v>12557</v>
      </c>
      <c r="H984" s="524">
        <v>46</v>
      </c>
      <c r="I984" s="523" t="s">
        <v>6257</v>
      </c>
      <c r="J984" s="523" t="s">
        <v>12975</v>
      </c>
      <c r="K984" s="523" t="s">
        <v>6209</v>
      </c>
      <c r="L984" s="523">
        <v>2</v>
      </c>
      <c r="M984" s="525" t="s">
        <v>12638</v>
      </c>
    </row>
    <row r="985" spans="1:13" ht="11.1" customHeight="1">
      <c r="A985" s="501" t="s">
        <v>13975</v>
      </c>
      <c r="B985" s="516" t="s">
        <v>12602</v>
      </c>
      <c r="C985" s="515">
        <v>111180</v>
      </c>
      <c r="D985" s="503">
        <v>46.037457712040215</v>
      </c>
      <c r="E985" s="504">
        <v>89.807589783356761</v>
      </c>
      <c r="F985" s="543" t="s">
        <v>6233</v>
      </c>
      <c r="G985" s="543" t="s">
        <v>8485</v>
      </c>
      <c r="H985" s="544">
        <v>60</v>
      </c>
      <c r="I985" s="543" t="s">
        <v>6278</v>
      </c>
      <c r="J985" s="543">
        <v>0</v>
      </c>
      <c r="K985" s="543" t="s">
        <v>6209</v>
      </c>
      <c r="L985" s="543">
        <v>3</v>
      </c>
      <c r="M985" s="308" t="s">
        <v>6481</v>
      </c>
    </row>
    <row r="986" spans="1:13" ht="11.1" customHeight="1" thickBot="1">
      <c r="A986" s="527" t="s">
        <v>13976</v>
      </c>
      <c r="B986" s="528" t="s">
        <v>6231</v>
      </c>
      <c r="C986" s="529">
        <v>6521</v>
      </c>
      <c r="D986" s="530">
        <v>2.7002182203653016</v>
      </c>
      <c r="E986" s="531" t="s">
        <v>6262</v>
      </c>
      <c r="F986" s="532">
        <v>0</v>
      </c>
      <c r="G986" s="532" t="s">
        <v>13977</v>
      </c>
      <c r="H986" s="533">
        <v>57</v>
      </c>
      <c r="I986" s="532" t="s">
        <v>6264</v>
      </c>
      <c r="J986" s="532">
        <v>0</v>
      </c>
      <c r="K986" s="532" t="s">
        <v>6036</v>
      </c>
      <c r="L986" s="532">
        <v>0</v>
      </c>
      <c r="M986" s="347">
        <v>0</v>
      </c>
    </row>
    <row r="987" spans="1:13" ht="11.1" customHeight="1">
      <c r="A987" s="493" t="s">
        <v>13978</v>
      </c>
      <c r="B987" s="534" t="s">
        <v>12590</v>
      </c>
      <c r="C987" s="535">
        <v>99969</v>
      </c>
      <c r="D987" s="536">
        <v>52.713476688145285</v>
      </c>
      <c r="E987" s="537" t="s">
        <v>6251</v>
      </c>
      <c r="F987" s="538" t="s">
        <v>6233</v>
      </c>
      <c r="G987" s="538" t="s">
        <v>8494</v>
      </c>
      <c r="H987" s="539">
        <v>60</v>
      </c>
      <c r="I987" s="538" t="s">
        <v>6257</v>
      </c>
      <c r="J987" s="538" t="s">
        <v>12631</v>
      </c>
      <c r="K987" s="538" t="s">
        <v>6209</v>
      </c>
      <c r="L987" s="538">
        <v>4</v>
      </c>
      <c r="M987" s="373" t="s">
        <v>12622</v>
      </c>
    </row>
    <row r="988" spans="1:13" ht="11.1" customHeight="1">
      <c r="A988" s="501" t="s">
        <v>13979</v>
      </c>
      <c r="B988" s="516" t="s">
        <v>12602</v>
      </c>
      <c r="C988" s="515">
        <v>71616</v>
      </c>
      <c r="D988" s="503">
        <v>37.762989991879607</v>
      </c>
      <c r="E988" s="504">
        <v>71.638207844431776</v>
      </c>
      <c r="F988" s="512" t="s">
        <v>6233</v>
      </c>
      <c r="G988" s="512" t="s">
        <v>12558</v>
      </c>
      <c r="H988" s="526">
        <v>63</v>
      </c>
      <c r="I988" s="512" t="s">
        <v>6253</v>
      </c>
      <c r="J988" s="512" t="s">
        <v>12178</v>
      </c>
      <c r="K988" s="512" t="s">
        <v>6209</v>
      </c>
      <c r="L988" s="512">
        <v>8</v>
      </c>
      <c r="M988" s="308">
        <v>0</v>
      </c>
    </row>
    <row r="989" spans="1:13" ht="11.1" customHeight="1">
      <c r="A989" s="501" t="s">
        <v>13980</v>
      </c>
      <c r="B989" s="280" t="s">
        <v>6231</v>
      </c>
      <c r="C989" s="515">
        <v>9196</v>
      </c>
      <c r="D989" s="503">
        <v>4.8490345169420923</v>
      </c>
      <c r="E989" s="504" t="s">
        <v>6262</v>
      </c>
      <c r="F989" s="278">
        <v>0</v>
      </c>
      <c r="G989" s="278" t="s">
        <v>13981</v>
      </c>
      <c r="H989" s="505">
        <v>49</v>
      </c>
      <c r="I989" s="278" t="s">
        <v>6322</v>
      </c>
      <c r="J989" s="278" t="s">
        <v>12082</v>
      </c>
      <c r="K989" s="278" t="s">
        <v>6036</v>
      </c>
      <c r="L989" s="278">
        <v>0</v>
      </c>
      <c r="M989" s="308">
        <v>0</v>
      </c>
    </row>
    <row r="990" spans="1:13" ht="11.1" customHeight="1">
      <c r="A990" s="501" t="s">
        <v>13982</v>
      </c>
      <c r="B990" s="280" t="s">
        <v>6231</v>
      </c>
      <c r="C990" s="515">
        <v>8865</v>
      </c>
      <c r="D990" s="503">
        <v>4.6744988030330195</v>
      </c>
      <c r="E990" s="504" t="s">
        <v>6262</v>
      </c>
      <c r="F990" s="278">
        <v>0</v>
      </c>
      <c r="G990" s="278" t="s">
        <v>13983</v>
      </c>
      <c r="H990" s="505">
        <v>43</v>
      </c>
      <c r="I990" s="278" t="s">
        <v>6264</v>
      </c>
      <c r="J990" s="278">
        <v>0</v>
      </c>
      <c r="K990" s="278" t="s">
        <v>6036</v>
      </c>
      <c r="L990" s="278">
        <v>0</v>
      </c>
      <c r="M990" s="308">
        <v>0</v>
      </c>
    </row>
    <row r="991" spans="1:13" ht="11.1" customHeight="1">
      <c r="A991" s="507" t="s">
        <v>13984</v>
      </c>
      <c r="B991" s="545" t="s">
        <v>12590</v>
      </c>
      <c r="C991" s="546">
        <v>88540</v>
      </c>
      <c r="D991" s="547">
        <v>43.626079072884231</v>
      </c>
      <c r="E991" s="548" t="s">
        <v>6262</v>
      </c>
      <c r="F991" s="549">
        <v>0</v>
      </c>
      <c r="G991" s="549" t="s">
        <v>12561</v>
      </c>
      <c r="H991" s="550">
        <v>43</v>
      </c>
      <c r="I991" s="549" t="s">
        <v>6322</v>
      </c>
      <c r="J991" s="549" t="s">
        <v>13658</v>
      </c>
      <c r="K991" s="549" t="s">
        <v>6036</v>
      </c>
      <c r="L991" s="549">
        <v>0</v>
      </c>
      <c r="M991" s="551" t="s">
        <v>7394</v>
      </c>
    </row>
    <row r="992" spans="1:13" ht="11.1" customHeight="1">
      <c r="A992" s="501" t="s">
        <v>13985</v>
      </c>
      <c r="B992" s="280" t="s">
        <v>6230</v>
      </c>
      <c r="C992" s="515">
        <v>79119</v>
      </c>
      <c r="D992" s="503">
        <v>38.984094761322872</v>
      </c>
      <c r="E992" s="504" t="s">
        <v>6262</v>
      </c>
      <c r="F992" s="278">
        <v>0</v>
      </c>
      <c r="G992" s="278" t="s">
        <v>12562</v>
      </c>
      <c r="H992" s="505">
        <v>50</v>
      </c>
      <c r="I992" s="278" t="s">
        <v>6322</v>
      </c>
      <c r="J992" s="278" t="s">
        <v>6323</v>
      </c>
      <c r="K992" s="278" t="s">
        <v>6036</v>
      </c>
      <c r="L992" s="278">
        <v>0</v>
      </c>
      <c r="M992" s="308" t="s">
        <v>7394</v>
      </c>
    </row>
    <row r="993" spans="1:13" ht="11.1" customHeight="1">
      <c r="A993" s="501" t="s">
        <v>13986</v>
      </c>
      <c r="B993" s="280"/>
      <c r="C993" s="515">
        <v>29585</v>
      </c>
      <c r="D993" s="503">
        <v>14.577338483976506</v>
      </c>
      <c r="E993" s="504">
        <v>33.414276033431214</v>
      </c>
      <c r="F993" s="278" t="s">
        <v>6233</v>
      </c>
      <c r="G993" s="278" t="s">
        <v>13987</v>
      </c>
      <c r="H993" s="505">
        <v>51</v>
      </c>
      <c r="I993" s="278" t="s">
        <v>6253</v>
      </c>
      <c r="J993" s="278" t="s">
        <v>12007</v>
      </c>
      <c r="K993" s="278" t="s">
        <v>6036</v>
      </c>
      <c r="L993" s="278">
        <v>0</v>
      </c>
      <c r="M993" s="308">
        <v>0</v>
      </c>
    </row>
    <row r="994" spans="1:13" ht="11.1" customHeight="1">
      <c r="A994" s="501" t="s">
        <v>13988</v>
      </c>
      <c r="B994" s="280" t="s">
        <v>6231</v>
      </c>
      <c r="C994" s="515">
        <v>5708</v>
      </c>
      <c r="D994" s="503">
        <v>2.81248768181639</v>
      </c>
      <c r="E994" s="504" t="s">
        <v>6262</v>
      </c>
      <c r="F994" s="278">
        <v>0</v>
      </c>
      <c r="G994" s="278" t="s">
        <v>13989</v>
      </c>
      <c r="H994" s="505">
        <v>63</v>
      </c>
      <c r="I994" s="278" t="s">
        <v>6264</v>
      </c>
      <c r="J994" s="278">
        <v>0</v>
      </c>
      <c r="K994" s="278" t="s">
        <v>6036</v>
      </c>
      <c r="L994" s="278">
        <v>0</v>
      </c>
      <c r="M994" s="308">
        <v>0</v>
      </c>
    </row>
    <row r="995" spans="1:13" ht="11.1" customHeight="1">
      <c r="A995" s="507" t="s">
        <v>13990</v>
      </c>
      <c r="B995" s="545" t="s">
        <v>12590</v>
      </c>
      <c r="C995" s="546">
        <v>118607</v>
      </c>
      <c r="D995" s="547">
        <v>63.169135230425915</v>
      </c>
      <c r="E995" s="548" t="s">
        <v>6262</v>
      </c>
      <c r="F995" s="549">
        <v>0</v>
      </c>
      <c r="G995" s="549" t="s">
        <v>8510</v>
      </c>
      <c r="H995" s="550">
        <v>38</v>
      </c>
      <c r="I995" s="549" t="s">
        <v>6322</v>
      </c>
      <c r="J995" s="549" t="s">
        <v>6323</v>
      </c>
      <c r="K995" s="549" t="s">
        <v>6036</v>
      </c>
      <c r="L995" s="549">
        <v>0</v>
      </c>
      <c r="M995" s="551" t="s">
        <v>7394</v>
      </c>
    </row>
    <row r="996" spans="1:13" ht="11.1" customHeight="1">
      <c r="A996" s="501" t="s">
        <v>13991</v>
      </c>
      <c r="B996" s="280" t="s">
        <v>6230</v>
      </c>
      <c r="C996" s="515">
        <v>58353</v>
      </c>
      <c r="D996" s="503">
        <v>31.078338952178566</v>
      </c>
      <c r="E996" s="504" t="s">
        <v>6262</v>
      </c>
      <c r="F996" s="278">
        <v>0</v>
      </c>
      <c r="G996" s="278" t="s">
        <v>12563</v>
      </c>
      <c r="H996" s="505">
        <v>43</v>
      </c>
      <c r="I996" s="278" t="s">
        <v>6322</v>
      </c>
      <c r="J996" s="278" t="s">
        <v>12417</v>
      </c>
      <c r="K996" s="278" t="s">
        <v>6036</v>
      </c>
      <c r="L996" s="278">
        <v>0</v>
      </c>
      <c r="M996" s="308" t="s">
        <v>7394</v>
      </c>
    </row>
    <row r="997" spans="1:13" ht="11.1" customHeight="1" thickBot="1">
      <c r="A997" s="527" t="s">
        <v>13992</v>
      </c>
      <c r="B997" s="528" t="s">
        <v>6231</v>
      </c>
      <c r="C997" s="529">
        <v>10801</v>
      </c>
      <c r="D997" s="530">
        <v>5.7525258173955187</v>
      </c>
      <c r="E997" s="531" t="s">
        <v>6262</v>
      </c>
      <c r="F997" s="532">
        <v>0</v>
      </c>
      <c r="G997" s="532" t="s">
        <v>13993</v>
      </c>
      <c r="H997" s="533">
        <v>54</v>
      </c>
      <c r="I997" s="532" t="s">
        <v>6264</v>
      </c>
      <c r="J997" s="532">
        <v>0</v>
      </c>
      <c r="K997" s="532" t="s">
        <v>6036</v>
      </c>
      <c r="L997" s="532">
        <v>0</v>
      </c>
      <c r="M997" s="347">
        <v>0</v>
      </c>
    </row>
    <row r="998" spans="1:13" ht="11.1" customHeight="1">
      <c r="A998" s="493" t="s">
        <v>13994</v>
      </c>
      <c r="B998" s="534" t="s">
        <v>12590</v>
      </c>
      <c r="C998" s="535">
        <v>95841</v>
      </c>
      <c r="D998" s="536">
        <v>51.962394886225013</v>
      </c>
      <c r="E998" s="537" t="s">
        <v>6251</v>
      </c>
      <c r="F998" s="538" t="s">
        <v>6233</v>
      </c>
      <c r="G998" s="538" t="s">
        <v>8518</v>
      </c>
      <c r="H998" s="539">
        <v>64</v>
      </c>
      <c r="I998" s="538" t="s">
        <v>6257</v>
      </c>
      <c r="J998" s="538" t="s">
        <v>12674</v>
      </c>
      <c r="K998" s="538" t="s">
        <v>6209</v>
      </c>
      <c r="L998" s="538">
        <v>9</v>
      </c>
      <c r="M998" s="373" t="s">
        <v>12638</v>
      </c>
    </row>
    <row r="999" spans="1:13" ht="11.1" customHeight="1">
      <c r="A999" s="501" t="s">
        <v>13995</v>
      </c>
      <c r="B999" s="516" t="s">
        <v>12602</v>
      </c>
      <c r="C999" s="515">
        <v>79243</v>
      </c>
      <c r="D999" s="503">
        <v>42.963408749586591</v>
      </c>
      <c r="E999" s="504">
        <v>82.681733287423967</v>
      </c>
      <c r="F999" s="512" t="s">
        <v>6233</v>
      </c>
      <c r="G999" s="512" t="s">
        <v>8516</v>
      </c>
      <c r="H999" s="526">
        <v>42</v>
      </c>
      <c r="I999" s="512" t="s">
        <v>6253</v>
      </c>
      <c r="J999" s="512" t="s">
        <v>12000</v>
      </c>
      <c r="K999" s="512" t="s">
        <v>6209</v>
      </c>
      <c r="L999" s="512">
        <v>2</v>
      </c>
      <c r="M999" s="308" t="s">
        <v>6254</v>
      </c>
    </row>
    <row r="1000" spans="1:13" ht="11.1" customHeight="1">
      <c r="A1000" s="501" t="s">
        <v>13996</v>
      </c>
      <c r="B1000" s="280" t="s">
        <v>6231</v>
      </c>
      <c r="C1000" s="515">
        <v>9359</v>
      </c>
      <c r="D1000" s="503">
        <v>5.0741963641883938</v>
      </c>
      <c r="E1000" s="504" t="s">
        <v>6262</v>
      </c>
      <c r="F1000" s="278">
        <v>0</v>
      </c>
      <c r="G1000" s="278" t="s">
        <v>13997</v>
      </c>
      <c r="H1000" s="505">
        <v>50</v>
      </c>
      <c r="I1000" s="278" t="s">
        <v>6264</v>
      </c>
      <c r="J1000" s="278">
        <v>0</v>
      </c>
      <c r="K1000" s="278" t="s">
        <v>6036</v>
      </c>
      <c r="L1000" s="278">
        <v>0</v>
      </c>
      <c r="M1000" s="308">
        <v>0</v>
      </c>
    </row>
    <row r="1001" spans="1:13" ht="11.1" customHeight="1">
      <c r="A1001" s="507" t="s">
        <v>13998</v>
      </c>
      <c r="B1001" s="597" t="s">
        <v>12590</v>
      </c>
      <c r="C1001" s="598">
        <v>97423</v>
      </c>
      <c r="D1001" s="599">
        <v>49.134548462260057</v>
      </c>
      <c r="E1001" s="600" t="s">
        <v>6262</v>
      </c>
      <c r="F1001" s="601">
        <v>0</v>
      </c>
      <c r="G1001" s="601" t="s">
        <v>13999</v>
      </c>
      <c r="H1001" s="602">
        <v>65</v>
      </c>
      <c r="I1001" s="601" t="s">
        <v>14000</v>
      </c>
      <c r="J1001" s="601">
        <v>0</v>
      </c>
      <c r="K1001" s="601" t="s">
        <v>6209</v>
      </c>
      <c r="L1001" s="601">
        <v>3</v>
      </c>
      <c r="M1001" s="603">
        <v>0</v>
      </c>
    </row>
    <row r="1002" spans="1:13" ht="11.1" customHeight="1">
      <c r="A1002" s="501" t="s">
        <v>14001</v>
      </c>
      <c r="B1002" s="280" t="s">
        <v>6230</v>
      </c>
      <c r="C1002" s="515">
        <v>90952</v>
      </c>
      <c r="D1002" s="503">
        <v>45.870948869768711</v>
      </c>
      <c r="E1002" s="504">
        <v>93.357831312934323</v>
      </c>
      <c r="F1002" s="278" t="s">
        <v>6233</v>
      </c>
      <c r="G1002" s="278" t="s">
        <v>12568</v>
      </c>
      <c r="H1002" s="505">
        <v>46</v>
      </c>
      <c r="I1002" s="278" t="s">
        <v>6257</v>
      </c>
      <c r="J1002" s="278" t="s">
        <v>12621</v>
      </c>
      <c r="K1002" s="278" t="s">
        <v>6283</v>
      </c>
      <c r="L1002" s="278">
        <v>1</v>
      </c>
      <c r="M1002" s="308">
        <v>0</v>
      </c>
    </row>
    <row r="1003" spans="1:13" ht="11.1" customHeight="1">
      <c r="A1003" s="501" t="s">
        <v>14002</v>
      </c>
      <c r="B1003" s="280" t="s">
        <v>6231</v>
      </c>
      <c r="C1003" s="515">
        <v>9903</v>
      </c>
      <c r="D1003" s="503">
        <v>4.9945026679712319</v>
      </c>
      <c r="E1003" s="504" t="s">
        <v>6262</v>
      </c>
      <c r="F1003" s="278">
        <v>0</v>
      </c>
      <c r="G1003" s="278" t="s">
        <v>14003</v>
      </c>
      <c r="H1003" s="505">
        <v>26</v>
      </c>
      <c r="I1003" s="278" t="s">
        <v>6264</v>
      </c>
      <c r="J1003" s="278">
        <v>0</v>
      </c>
      <c r="K1003" s="278" t="s">
        <v>6036</v>
      </c>
      <c r="L1003" s="278">
        <v>0</v>
      </c>
      <c r="M1003" s="308">
        <v>0</v>
      </c>
    </row>
    <row r="1004" spans="1:13" ht="11.1" customHeight="1">
      <c r="A1004" s="507" t="s">
        <v>14004</v>
      </c>
      <c r="B1004" s="519" t="s">
        <v>12590</v>
      </c>
      <c r="C1004" s="520">
        <v>113743</v>
      </c>
      <c r="D1004" s="521">
        <v>66.87106465286638</v>
      </c>
      <c r="E1004" s="522" t="s">
        <v>6251</v>
      </c>
      <c r="F1004" s="523" t="s">
        <v>6233</v>
      </c>
      <c r="G1004" s="523" t="s">
        <v>8534</v>
      </c>
      <c r="H1004" s="524">
        <v>62</v>
      </c>
      <c r="I1004" s="523" t="s">
        <v>6257</v>
      </c>
      <c r="J1004" s="523" t="s">
        <v>12631</v>
      </c>
      <c r="K1004" s="523" t="s">
        <v>6209</v>
      </c>
      <c r="L1004" s="523">
        <v>4</v>
      </c>
      <c r="M1004" s="525" t="s">
        <v>12622</v>
      </c>
    </row>
    <row r="1005" spans="1:13" ht="11.1" customHeight="1">
      <c r="A1005" s="501" t="s">
        <v>14005</v>
      </c>
      <c r="B1005" s="280" t="s">
        <v>6230</v>
      </c>
      <c r="C1005" s="515">
        <v>45308</v>
      </c>
      <c r="D1005" s="503">
        <v>26.637192594639401</v>
      </c>
      <c r="E1005" s="504">
        <v>39.83366009336838</v>
      </c>
      <c r="F1005" s="278" t="s">
        <v>6233</v>
      </c>
      <c r="G1005" s="278" t="s">
        <v>14006</v>
      </c>
      <c r="H1005" s="505">
        <v>45</v>
      </c>
      <c r="I1005" s="278" t="s">
        <v>6253</v>
      </c>
      <c r="J1005" s="278" t="s">
        <v>12007</v>
      </c>
      <c r="K1005" s="278" t="s">
        <v>6036</v>
      </c>
      <c r="L1005" s="278">
        <v>0</v>
      </c>
      <c r="M1005" s="308">
        <v>0</v>
      </c>
    </row>
    <row r="1006" spans="1:13" ht="11.1" customHeight="1">
      <c r="A1006" s="501" t="s">
        <v>14007</v>
      </c>
      <c r="B1006" s="280" t="s">
        <v>6231</v>
      </c>
      <c r="C1006" s="515">
        <v>11042</v>
      </c>
      <c r="D1006" s="503">
        <v>6.4917427524942237</v>
      </c>
      <c r="E1006" s="504" t="s">
        <v>6262</v>
      </c>
      <c r="F1006" s="278">
        <v>0</v>
      </c>
      <c r="G1006" s="278" t="s">
        <v>14008</v>
      </c>
      <c r="H1006" s="505">
        <v>56</v>
      </c>
      <c r="I1006" s="278" t="s">
        <v>6264</v>
      </c>
      <c r="J1006" s="278">
        <v>0</v>
      </c>
      <c r="K1006" s="278" t="s">
        <v>6036</v>
      </c>
      <c r="L1006" s="278">
        <v>0</v>
      </c>
      <c r="M1006" s="308">
        <v>0</v>
      </c>
    </row>
    <row r="1007" spans="1:13" ht="11.1" customHeight="1">
      <c r="A1007" s="507" t="s">
        <v>14009</v>
      </c>
      <c r="B1007" s="519" t="s">
        <v>12590</v>
      </c>
      <c r="C1007" s="520">
        <v>104843</v>
      </c>
      <c r="D1007" s="521">
        <v>61.5297487000716</v>
      </c>
      <c r="E1007" s="522" t="s">
        <v>6262</v>
      </c>
      <c r="F1007" s="523">
        <v>0</v>
      </c>
      <c r="G1007" s="523" t="s">
        <v>14010</v>
      </c>
      <c r="H1007" s="524">
        <v>73</v>
      </c>
      <c r="I1007" s="523" t="s">
        <v>6257</v>
      </c>
      <c r="J1007" s="523" t="s">
        <v>12773</v>
      </c>
      <c r="K1007" s="523" t="s">
        <v>6209</v>
      </c>
      <c r="L1007" s="523">
        <v>8</v>
      </c>
      <c r="M1007" s="525" t="s">
        <v>12638</v>
      </c>
    </row>
    <row r="1008" spans="1:13" ht="11.1" customHeight="1">
      <c r="A1008" s="501" t="s">
        <v>14011</v>
      </c>
      <c r="B1008" s="280" t="s">
        <v>6230</v>
      </c>
      <c r="C1008" s="515">
        <v>59075</v>
      </c>
      <c r="D1008" s="503">
        <v>34.669647992300199</v>
      </c>
      <c r="E1008" s="504">
        <v>56.346155680398311</v>
      </c>
      <c r="F1008" s="278" t="s">
        <v>6233</v>
      </c>
      <c r="G1008" s="278" t="s">
        <v>12570</v>
      </c>
      <c r="H1008" s="505">
        <v>53</v>
      </c>
      <c r="I1008" s="278" t="s">
        <v>6278</v>
      </c>
      <c r="J1008" s="278">
        <v>0</v>
      </c>
      <c r="K1008" s="278" t="s">
        <v>6283</v>
      </c>
      <c r="L1008" s="278">
        <v>2</v>
      </c>
      <c r="M1008" s="308" t="s">
        <v>6481</v>
      </c>
    </row>
    <row r="1009" spans="1:13" ht="11.1" customHeight="1">
      <c r="A1009" s="501" t="s">
        <v>14012</v>
      </c>
      <c r="B1009" s="280" t="s">
        <v>6231</v>
      </c>
      <c r="C1009" s="515">
        <v>6476</v>
      </c>
      <c r="D1009" s="503">
        <v>3.8006033076282031</v>
      </c>
      <c r="E1009" s="504" t="s">
        <v>6262</v>
      </c>
      <c r="F1009" s="278">
        <v>0</v>
      </c>
      <c r="G1009" s="278" t="s">
        <v>14013</v>
      </c>
      <c r="H1009" s="505">
        <v>67</v>
      </c>
      <c r="I1009" s="278" t="s">
        <v>6264</v>
      </c>
      <c r="J1009" s="278">
        <v>0</v>
      </c>
      <c r="K1009" s="278" t="s">
        <v>6036</v>
      </c>
      <c r="L1009" s="278">
        <v>0</v>
      </c>
      <c r="M1009" s="308">
        <v>0</v>
      </c>
    </row>
    <row r="1010" spans="1:13" ht="11.1" customHeight="1">
      <c r="A1010" s="507" t="s">
        <v>14014</v>
      </c>
      <c r="B1010" s="519" t="s">
        <v>12590</v>
      </c>
      <c r="C1010" s="520">
        <v>100851</v>
      </c>
      <c r="D1010" s="521">
        <v>61.5906537033418</v>
      </c>
      <c r="E1010" s="522" t="s">
        <v>6262</v>
      </c>
      <c r="F1010" s="523">
        <v>0</v>
      </c>
      <c r="G1010" s="523" t="s">
        <v>14015</v>
      </c>
      <c r="H1010" s="524">
        <v>82</v>
      </c>
      <c r="I1010" s="523" t="s">
        <v>6257</v>
      </c>
      <c r="J1010" s="523" t="s">
        <v>12635</v>
      </c>
      <c r="K1010" s="523" t="s">
        <v>6209</v>
      </c>
      <c r="L1010" s="523">
        <v>16</v>
      </c>
      <c r="M1010" s="525" t="s">
        <v>12638</v>
      </c>
    </row>
    <row r="1011" spans="1:13" ht="11.1" customHeight="1">
      <c r="A1011" s="501" t="s">
        <v>14016</v>
      </c>
      <c r="B1011" s="280" t="s">
        <v>6230</v>
      </c>
      <c r="C1011" s="515">
        <v>51885</v>
      </c>
      <c r="D1011" s="503">
        <v>31.686657221027946</v>
      </c>
      <c r="E1011" s="504" t="s">
        <v>6262</v>
      </c>
      <c r="F1011" s="278">
        <v>0</v>
      </c>
      <c r="G1011" s="278" t="s">
        <v>12573</v>
      </c>
      <c r="H1011" s="505">
        <v>49</v>
      </c>
      <c r="I1011" s="278" t="s">
        <v>6322</v>
      </c>
      <c r="J1011" s="278">
        <v>0</v>
      </c>
      <c r="K1011" s="278" t="s">
        <v>6036</v>
      </c>
      <c r="L1011" s="278">
        <v>0</v>
      </c>
      <c r="M1011" s="308">
        <v>0</v>
      </c>
    </row>
    <row r="1012" spans="1:13" ht="11.1" customHeight="1" thickBot="1">
      <c r="A1012" s="527" t="s">
        <v>14017</v>
      </c>
      <c r="B1012" s="528" t="s">
        <v>6231</v>
      </c>
      <c r="C1012" s="529">
        <v>11008</v>
      </c>
      <c r="D1012" s="530">
        <v>6.7226890756302522</v>
      </c>
      <c r="E1012" s="531" t="s">
        <v>6262</v>
      </c>
      <c r="F1012" s="532">
        <v>0</v>
      </c>
      <c r="G1012" s="532" t="s">
        <v>14018</v>
      </c>
      <c r="H1012" s="533">
        <v>60</v>
      </c>
      <c r="I1012" s="532" t="s">
        <v>6264</v>
      </c>
      <c r="J1012" s="532">
        <v>0</v>
      </c>
      <c r="K1012" s="532" t="s">
        <v>6036</v>
      </c>
      <c r="L1012" s="532">
        <v>0</v>
      </c>
      <c r="M1012" s="347">
        <v>0</v>
      </c>
    </row>
    <row r="1013" spans="1:13" ht="11.1" customHeight="1">
      <c r="A1013" s="493" t="s">
        <v>14019</v>
      </c>
      <c r="B1013" s="604" t="s">
        <v>12590</v>
      </c>
      <c r="C1013" s="605">
        <v>58330</v>
      </c>
      <c r="D1013" s="606">
        <v>37.048799232728449</v>
      </c>
      <c r="E1013" s="607" t="s">
        <v>6262</v>
      </c>
      <c r="F1013" s="608">
        <v>0</v>
      </c>
      <c r="G1013" s="608" t="s">
        <v>12576</v>
      </c>
      <c r="H1013" s="609">
        <v>61</v>
      </c>
      <c r="I1013" s="608" t="s">
        <v>6929</v>
      </c>
      <c r="J1013" s="608">
        <v>0</v>
      </c>
      <c r="K1013" s="608" t="s">
        <v>6209</v>
      </c>
      <c r="L1013" s="608">
        <v>2</v>
      </c>
      <c r="M1013" s="610" t="s">
        <v>12911</v>
      </c>
    </row>
    <row r="1014" spans="1:13" ht="11.1" customHeight="1">
      <c r="A1014" s="501" t="s">
        <v>14020</v>
      </c>
      <c r="B1014" s="280" t="s">
        <v>6230</v>
      </c>
      <c r="C1014" s="515">
        <v>52374</v>
      </c>
      <c r="D1014" s="503">
        <v>33.265794805673238</v>
      </c>
      <c r="E1014" s="504" t="s">
        <v>6262</v>
      </c>
      <c r="F1014" s="278">
        <v>0</v>
      </c>
      <c r="G1014" s="278" t="s">
        <v>8550</v>
      </c>
      <c r="H1014" s="505">
        <v>42</v>
      </c>
      <c r="I1014" s="278" t="s">
        <v>6322</v>
      </c>
      <c r="J1014" s="278" t="s">
        <v>12082</v>
      </c>
      <c r="K1014" s="278" t="s">
        <v>6209</v>
      </c>
      <c r="L1014" s="278">
        <v>2</v>
      </c>
      <c r="M1014" s="308">
        <v>0</v>
      </c>
    </row>
    <row r="1015" spans="1:13" ht="11.1" customHeight="1">
      <c r="A1015" s="501" t="s">
        <v>14021</v>
      </c>
      <c r="B1015" s="280" t="s">
        <v>6230</v>
      </c>
      <c r="C1015" s="515">
        <v>27209</v>
      </c>
      <c r="D1015" s="503">
        <v>17.282029458654353</v>
      </c>
      <c r="E1015" s="504">
        <v>46.646665523744211</v>
      </c>
      <c r="F1015" s="278" t="s">
        <v>6233</v>
      </c>
      <c r="G1015" s="278" t="s">
        <v>12579</v>
      </c>
      <c r="H1015" s="505">
        <v>45</v>
      </c>
      <c r="I1015" s="278" t="s">
        <v>6253</v>
      </c>
      <c r="J1015" s="278" t="s">
        <v>12000</v>
      </c>
      <c r="K1015" s="278" t="s">
        <v>6036</v>
      </c>
      <c r="L1015" s="278">
        <v>0</v>
      </c>
      <c r="M1015" s="308" t="s">
        <v>14022</v>
      </c>
    </row>
    <row r="1016" spans="1:13" ht="11.1" customHeight="1">
      <c r="A1016" s="501" t="s">
        <v>14023</v>
      </c>
      <c r="B1016" s="516" t="s">
        <v>12603</v>
      </c>
      <c r="C1016" s="515">
        <v>19528</v>
      </c>
      <c r="D1016" s="503">
        <v>12.40337650294396</v>
      </c>
      <c r="E1016" s="504">
        <v>33.478484484827703</v>
      </c>
      <c r="F1016" s="573" t="s">
        <v>6233</v>
      </c>
      <c r="G1016" s="573" t="s">
        <v>9976</v>
      </c>
      <c r="H1016" s="574">
        <v>55</v>
      </c>
      <c r="I1016" s="573" t="s">
        <v>6264</v>
      </c>
      <c r="J1016" s="573">
        <v>0</v>
      </c>
      <c r="K1016" s="573" t="s">
        <v>6209</v>
      </c>
      <c r="L1016" s="573">
        <v>1</v>
      </c>
      <c r="M1016" s="308" t="s">
        <v>8559</v>
      </c>
    </row>
    <row r="1017" spans="1:13" ht="11.1" customHeight="1">
      <c r="A1017" s="507" t="s">
        <v>14024</v>
      </c>
      <c r="B1017" s="611" t="s">
        <v>12590</v>
      </c>
      <c r="C1017" s="612">
        <v>74123</v>
      </c>
      <c r="D1017" s="613">
        <v>55.42362362512057</v>
      </c>
      <c r="E1017" s="614" t="s">
        <v>6251</v>
      </c>
      <c r="F1017" s="615" t="s">
        <v>6233</v>
      </c>
      <c r="G1017" s="615" t="s">
        <v>8558</v>
      </c>
      <c r="H1017" s="616">
        <v>58</v>
      </c>
      <c r="I1017" s="615" t="s">
        <v>6278</v>
      </c>
      <c r="J1017" s="615">
        <v>0</v>
      </c>
      <c r="K1017" s="615" t="s">
        <v>6036</v>
      </c>
      <c r="L1017" s="615">
        <v>0</v>
      </c>
      <c r="M1017" s="345" t="s">
        <v>14025</v>
      </c>
    </row>
    <row r="1018" spans="1:13" ht="11.1" customHeight="1">
      <c r="A1018" s="501" t="s">
        <v>14026</v>
      </c>
      <c r="B1018" s="280" t="s">
        <v>6230</v>
      </c>
      <c r="C1018" s="515">
        <v>47759</v>
      </c>
      <c r="D1018" s="503">
        <v>35.710600497984878</v>
      </c>
      <c r="E1018" s="504">
        <v>64.432092602835823</v>
      </c>
      <c r="F1018" s="278" t="s">
        <v>6233</v>
      </c>
      <c r="G1018" s="278" t="s">
        <v>14027</v>
      </c>
      <c r="H1018" s="505">
        <v>50</v>
      </c>
      <c r="I1018" s="278" t="s">
        <v>6257</v>
      </c>
      <c r="J1018" s="278" t="s">
        <v>12617</v>
      </c>
      <c r="K1018" s="278" t="s">
        <v>6036</v>
      </c>
      <c r="L1018" s="278">
        <v>0</v>
      </c>
      <c r="M1018" s="308" t="s">
        <v>12638</v>
      </c>
    </row>
    <row r="1019" spans="1:13" ht="11.1" customHeight="1">
      <c r="A1019" s="501" t="s">
        <v>14028</v>
      </c>
      <c r="B1019" s="280" t="s">
        <v>6231</v>
      </c>
      <c r="C1019" s="515">
        <v>6560</v>
      </c>
      <c r="D1019" s="503">
        <v>4.9050763053409998</v>
      </c>
      <c r="E1019" s="504" t="s">
        <v>6262</v>
      </c>
      <c r="F1019" s="278">
        <v>0</v>
      </c>
      <c r="G1019" s="278" t="s">
        <v>14029</v>
      </c>
      <c r="H1019" s="505">
        <v>52</v>
      </c>
      <c r="I1019" s="278" t="s">
        <v>6264</v>
      </c>
      <c r="J1019" s="278">
        <v>0</v>
      </c>
      <c r="K1019" s="278" t="s">
        <v>6036</v>
      </c>
      <c r="L1019" s="278">
        <v>0</v>
      </c>
      <c r="M1019" s="308">
        <v>0</v>
      </c>
    </row>
    <row r="1020" spans="1:13" ht="11.1" customHeight="1">
      <c r="A1020" s="501" t="s">
        <v>14030</v>
      </c>
      <c r="B1020" s="280" t="s">
        <v>6231</v>
      </c>
      <c r="C1020" s="515">
        <v>5297</v>
      </c>
      <c r="D1020" s="503">
        <v>3.9606995715535485</v>
      </c>
      <c r="E1020" s="504" t="s">
        <v>6262</v>
      </c>
      <c r="F1020" s="278">
        <v>0</v>
      </c>
      <c r="G1020" s="278" t="s">
        <v>14031</v>
      </c>
      <c r="H1020" s="505">
        <v>53</v>
      </c>
      <c r="I1020" s="278" t="s">
        <v>6322</v>
      </c>
      <c r="J1020" s="278" t="s">
        <v>6323</v>
      </c>
      <c r="K1020" s="278" t="s">
        <v>6036</v>
      </c>
      <c r="L1020" s="278">
        <v>0</v>
      </c>
      <c r="M1020" s="308">
        <v>0</v>
      </c>
    </row>
    <row r="1021" spans="1:13" ht="11.1" customHeight="1">
      <c r="A1021" s="507" t="s">
        <v>14032</v>
      </c>
      <c r="B1021" s="519" t="s">
        <v>12590</v>
      </c>
      <c r="C1021" s="520">
        <v>62975</v>
      </c>
      <c r="D1021" s="521">
        <v>38.48480774401721</v>
      </c>
      <c r="E1021" s="522" t="s">
        <v>6251</v>
      </c>
      <c r="F1021" s="523" t="s">
        <v>6233</v>
      </c>
      <c r="G1021" s="523" t="s">
        <v>8568</v>
      </c>
      <c r="H1021" s="524">
        <v>62</v>
      </c>
      <c r="I1021" s="523" t="s">
        <v>6257</v>
      </c>
      <c r="J1021" s="523" t="s">
        <v>12631</v>
      </c>
      <c r="K1021" s="523" t="s">
        <v>6209</v>
      </c>
      <c r="L1021" s="523">
        <v>2</v>
      </c>
      <c r="M1021" s="525" t="s">
        <v>6260</v>
      </c>
    </row>
    <row r="1022" spans="1:13" ht="11.1" customHeight="1">
      <c r="A1022" s="501" t="s">
        <v>14033</v>
      </c>
      <c r="B1022" s="516" t="s">
        <v>12602</v>
      </c>
      <c r="C1022" s="515">
        <v>58931</v>
      </c>
      <c r="D1022" s="503">
        <v>36.013468918819818</v>
      </c>
      <c r="E1022" s="504">
        <v>93.578404128622466</v>
      </c>
      <c r="F1022" s="543" t="s">
        <v>6233</v>
      </c>
      <c r="G1022" s="543" t="s">
        <v>12581</v>
      </c>
      <c r="H1022" s="544">
        <v>60</v>
      </c>
      <c r="I1022" s="543" t="s">
        <v>6278</v>
      </c>
      <c r="J1022" s="543">
        <v>0</v>
      </c>
      <c r="K1022" s="543" t="s">
        <v>6209</v>
      </c>
      <c r="L1022" s="543">
        <v>1</v>
      </c>
      <c r="M1022" s="308" t="s">
        <v>14025</v>
      </c>
    </row>
    <row r="1023" spans="1:13" ht="11.1" customHeight="1">
      <c r="A1023" s="501" t="s">
        <v>14034</v>
      </c>
      <c r="B1023" s="280" t="s">
        <v>6230</v>
      </c>
      <c r="C1023" s="515">
        <v>35149</v>
      </c>
      <c r="D1023" s="503">
        <v>21.479992177760394</v>
      </c>
      <c r="E1023" s="504" t="s">
        <v>6262</v>
      </c>
      <c r="F1023" s="278">
        <v>0</v>
      </c>
      <c r="G1023" s="278" t="s">
        <v>8552</v>
      </c>
      <c r="H1023" s="505">
        <v>30</v>
      </c>
      <c r="I1023" s="278" t="s">
        <v>6322</v>
      </c>
      <c r="J1023" s="278" t="s">
        <v>6323</v>
      </c>
      <c r="K1023" s="278" t="s">
        <v>6036</v>
      </c>
      <c r="L1023" s="278">
        <v>0</v>
      </c>
      <c r="M1023" s="308" t="s">
        <v>12622</v>
      </c>
    </row>
    <row r="1024" spans="1:13" ht="11.1" customHeight="1">
      <c r="A1024" s="501" t="s">
        <v>14035</v>
      </c>
      <c r="B1024" s="280" t="s">
        <v>6231</v>
      </c>
      <c r="C1024" s="515">
        <v>6581</v>
      </c>
      <c r="D1024" s="503">
        <v>4.0217311594025764</v>
      </c>
      <c r="E1024" s="504" t="s">
        <v>6262</v>
      </c>
      <c r="F1024" s="278">
        <v>0</v>
      </c>
      <c r="G1024" s="278" t="s">
        <v>12582</v>
      </c>
      <c r="H1024" s="505">
        <v>27</v>
      </c>
      <c r="I1024" s="278" t="s">
        <v>6264</v>
      </c>
      <c r="J1024" s="278">
        <v>0</v>
      </c>
      <c r="K1024" s="278" t="s">
        <v>6036</v>
      </c>
      <c r="L1024" s="278">
        <v>0</v>
      </c>
      <c r="M1024" s="308">
        <v>0</v>
      </c>
    </row>
    <row r="1025" spans="1:13" ht="11.1" customHeight="1">
      <c r="A1025" s="507" t="s">
        <v>14036</v>
      </c>
      <c r="B1025" s="519" t="s">
        <v>12590</v>
      </c>
      <c r="C1025" s="520">
        <v>67752</v>
      </c>
      <c r="D1025" s="521">
        <v>54.473531871100533</v>
      </c>
      <c r="E1025" s="522" t="s">
        <v>6251</v>
      </c>
      <c r="F1025" s="523" t="s">
        <v>6233</v>
      </c>
      <c r="G1025" s="523" t="s">
        <v>8578</v>
      </c>
      <c r="H1025" s="524">
        <v>49</v>
      </c>
      <c r="I1025" s="523" t="s">
        <v>6257</v>
      </c>
      <c r="J1025" s="523" t="s">
        <v>12617</v>
      </c>
      <c r="K1025" s="523" t="s">
        <v>6036</v>
      </c>
      <c r="L1025" s="523">
        <v>0</v>
      </c>
      <c r="M1025" s="525" t="s">
        <v>6260</v>
      </c>
    </row>
    <row r="1026" spans="1:13" ht="11.1" customHeight="1">
      <c r="A1026" s="501" t="s">
        <v>14037</v>
      </c>
      <c r="B1026" s="280" t="s">
        <v>6230</v>
      </c>
      <c r="C1026" s="515">
        <v>38550</v>
      </c>
      <c r="D1026" s="503">
        <v>30.994725670547371</v>
      </c>
      <c r="E1026" s="504">
        <v>56.89868933758413</v>
      </c>
      <c r="F1026" s="278" t="s">
        <v>6233</v>
      </c>
      <c r="G1026" s="278" t="s">
        <v>12583</v>
      </c>
      <c r="H1026" s="505">
        <v>41</v>
      </c>
      <c r="I1026" s="278" t="s">
        <v>6253</v>
      </c>
      <c r="J1026" s="278" t="s">
        <v>12007</v>
      </c>
      <c r="K1026" s="278" t="s">
        <v>6036</v>
      </c>
      <c r="L1026" s="278">
        <v>0</v>
      </c>
      <c r="M1026" s="308" t="s">
        <v>14038</v>
      </c>
    </row>
    <row r="1027" spans="1:13" ht="11.1" customHeight="1" thickBot="1">
      <c r="A1027" s="527" t="s">
        <v>14039</v>
      </c>
      <c r="B1027" s="528"/>
      <c r="C1027" s="529">
        <v>18074</v>
      </c>
      <c r="D1027" s="530">
        <v>14.531742458352094</v>
      </c>
      <c r="E1027" s="531" t="s">
        <v>6262</v>
      </c>
      <c r="F1027" s="532">
        <v>0</v>
      </c>
      <c r="G1027" s="532" t="s">
        <v>14040</v>
      </c>
      <c r="H1027" s="533">
        <v>47</v>
      </c>
      <c r="I1027" s="532" t="s">
        <v>6264</v>
      </c>
      <c r="J1027" s="532">
        <v>0</v>
      </c>
      <c r="K1027" s="532" t="s">
        <v>6036</v>
      </c>
      <c r="L1027" s="532">
        <v>0</v>
      </c>
      <c r="M1027" s="347">
        <v>0</v>
      </c>
    </row>
    <row r="1028" spans="1:13" ht="11.1" customHeight="1"/>
    <row r="1029" spans="1:13" ht="11.1" customHeight="1"/>
    <row r="1030" spans="1:13" ht="11.1" customHeight="1"/>
    <row r="1031" spans="1:13" ht="11.1" customHeight="1">
      <c r="C1031" s="1501" t="s">
        <v>12604</v>
      </c>
      <c r="D1031" s="1500"/>
      <c r="E1031" s="1500"/>
      <c r="F1031" s="1500"/>
      <c r="G1031" s="1500"/>
    </row>
    <row r="1032" spans="1:13" ht="11.1" customHeight="1">
      <c r="C1032" s="29" t="s">
        <v>12606</v>
      </c>
      <c r="D1032" s="620">
        <f>SUMPRODUCT((($I$2:$I$1027)="０１自民党")*(($B$2:$B$1027)="当選"))</f>
        <v>168</v>
      </c>
      <c r="E1032" s="1498">
        <f>SUMIF($I$2:$I$1027,"０１自民党",$C$2:$C$1027)</f>
        <v>26089316</v>
      </c>
      <c r="F1032" s="1498"/>
      <c r="G1032" s="1498"/>
      <c r="H1032" s="1499">
        <f>E1032*100/(SUM($E$1032:$E$1041))</f>
        <v>43.845851556910539</v>
      </c>
      <c r="I1032" s="1499"/>
    </row>
    <row r="1033" spans="1:13" ht="11.1" customHeight="1">
      <c r="C1033" s="29" t="s">
        <v>2</v>
      </c>
      <c r="D1033" s="620">
        <f>SUMPRODUCT((($I$2:$I$1027)="０２民主党")*(($B$2:$B$1027)="当選"))</f>
        <v>105</v>
      </c>
      <c r="E1033" s="1498">
        <f>SUMIF($I$2:$I$1027,"０２民主党",$C$2:$C$1027)</f>
        <v>21814153</v>
      </c>
      <c r="F1033" s="1498"/>
      <c r="G1033" s="1498"/>
      <c r="H1033" s="1499">
        <f t="shared" ref="H1033:H1041" si="0">E1033*100/(SUM($E$1032:$E$1041))</f>
        <v>36.660988516438479</v>
      </c>
      <c r="I1033" s="1499"/>
    </row>
    <row r="1034" spans="1:13" ht="11.1" customHeight="1">
      <c r="C1034" s="29" t="s">
        <v>11977</v>
      </c>
      <c r="D1034" s="620">
        <f>SUMPRODUCT((($I$2:$I$1027)="０３公明党")*(($B$2:$B$1027)="当選"))</f>
        <v>9</v>
      </c>
      <c r="E1034" s="1498">
        <f>SUMIF($I$2:$I$1027,"０３公明党",$C$2:$C$1027)</f>
        <v>886507</v>
      </c>
      <c r="F1034" s="1498"/>
      <c r="G1034" s="1498"/>
      <c r="H1034" s="1499">
        <f t="shared" si="0"/>
        <v>1.4898686621819481</v>
      </c>
      <c r="I1034" s="1499"/>
    </row>
    <row r="1035" spans="1:13" ht="11.1" customHeight="1">
      <c r="C1035" s="29" t="s">
        <v>11978</v>
      </c>
      <c r="D1035" s="620">
        <f>SUMPRODUCT((($I$2:$I$1027)="０４共産党")*(($B$2:$B$1027)="当選"))</f>
        <v>0</v>
      </c>
      <c r="E1035" s="1498">
        <f>SUMIF($I$2:$I$1027,"０４共産党",$C$2:$C$1027)</f>
        <v>4837951</v>
      </c>
      <c r="F1035" s="1498"/>
      <c r="G1035" s="1498"/>
      <c r="H1035" s="1499">
        <f t="shared" si="0"/>
        <v>8.1306877261790582</v>
      </c>
      <c r="I1035" s="1499"/>
    </row>
    <row r="1036" spans="1:13" ht="11.1" customHeight="1">
      <c r="C1036" s="29" t="s">
        <v>11979</v>
      </c>
      <c r="D1036" s="620">
        <f>SUMPRODUCT((($I$2:$I$1027)="０５社民党")*(($B$2:$B$1027)="当選"))</f>
        <v>1</v>
      </c>
      <c r="E1036" s="1498">
        <f>SUMIF($I$2:$I$1027,"０５社民党",$C$2:$C$1027)</f>
        <v>1708671</v>
      </c>
      <c r="F1036" s="1498"/>
      <c r="G1036" s="1498"/>
      <c r="H1036" s="1499">
        <f t="shared" si="0"/>
        <v>2.8716021158085514</v>
      </c>
      <c r="I1036" s="1499"/>
    </row>
    <row r="1037" spans="1:13" ht="11.1" customHeight="1">
      <c r="C1037" s="29" t="s">
        <v>12611</v>
      </c>
      <c r="D1037" s="620">
        <f>SUMPRODUCT((($I$2:$I$1027)="０６保新党")*(($B$2:$B$1027)="当選"))</f>
        <v>4</v>
      </c>
      <c r="E1037" s="1498">
        <f>SUMIF($I$2:$I$1027,"０６保新党",$C$2:$C$1027)</f>
        <v>791588</v>
      </c>
      <c r="F1037" s="1498"/>
      <c r="G1037" s="1498"/>
      <c r="H1037" s="1499">
        <f t="shared" si="0"/>
        <v>1.3303472556440998</v>
      </c>
      <c r="I1037" s="1499"/>
    </row>
    <row r="1038" spans="1:13" ht="11.1" customHeight="1">
      <c r="C1038" s="29" t="s">
        <v>12612</v>
      </c>
      <c r="D1038" s="620">
        <f>SUMPRODUCT((($I$2:$I$1027)="０７無の会")*(($B$2:$B$1027)="当選"))</f>
        <v>1</v>
      </c>
      <c r="E1038" s="1498">
        <f>SUMIF($I$2:$I$1027,"０７無の会",$C$2:$C$1027)</f>
        <v>497108</v>
      </c>
      <c r="F1038" s="1498"/>
      <c r="G1038" s="1498"/>
      <c r="H1038" s="1499">
        <f t="shared" si="0"/>
        <v>0.83544250741386572</v>
      </c>
      <c r="I1038" s="1499"/>
    </row>
    <row r="1039" spans="1:13" ht="11.1" customHeight="1">
      <c r="C1039" s="29" t="s">
        <v>12613</v>
      </c>
      <c r="D1039" s="620">
        <f>SUMPRODUCT((($I$2:$I$1027)="０８自連合")*(($B$2:$B$1027)="当選"))</f>
        <v>1</v>
      </c>
      <c r="E1039" s="1498">
        <f>SUMIF($I$2:$I$1027,"０８自連合",$C$2:$C$1027)</f>
        <v>97423</v>
      </c>
      <c r="F1039" s="1498"/>
      <c r="G1039" s="1498"/>
      <c r="H1039" s="1499">
        <f t="shared" si="0"/>
        <v>0.16372964305499216</v>
      </c>
      <c r="I1039" s="1499"/>
    </row>
    <row r="1040" spans="1:13" ht="11.1" customHeight="1">
      <c r="C1040" s="29" t="s">
        <v>11982</v>
      </c>
      <c r="D1040" s="620">
        <f>SUMPRODUCT((($I$2:$I$1027)="０９諸　派")*(($B$2:$B$1027)="当選"))</f>
        <v>0</v>
      </c>
      <c r="E1040" s="1498">
        <f>SUMIF($I$2:$I$1027,"０９諸　派",$C$2:$C$1027)</f>
        <v>51524</v>
      </c>
      <c r="F1040" s="1498"/>
      <c r="G1040" s="1498"/>
      <c r="H1040" s="1499">
        <f t="shared" si="0"/>
        <v>8.6591524883912585E-2</v>
      </c>
      <c r="I1040" s="1499"/>
    </row>
    <row r="1041" spans="1:16" ht="13.5">
      <c r="A1041" s="298"/>
      <c r="B1041" s="298"/>
      <c r="C1041" s="29" t="s">
        <v>11988</v>
      </c>
      <c r="D1041" s="620">
        <f>SUMPRODUCT((($I$2:$I$1027)="１１無所属")*(($B$2:$B$1027)="当選"))</f>
        <v>11</v>
      </c>
      <c r="E1041" s="1498">
        <f>SUMIF($I$2:$I$1027,"１１無所属",$C$2:$C$1027)</f>
        <v>2728118</v>
      </c>
      <c r="F1041" s="1498"/>
      <c r="G1041" s="1498"/>
      <c r="H1041" s="1499">
        <f t="shared" si="0"/>
        <v>4.5848904914845479</v>
      </c>
      <c r="I1041" s="1499"/>
      <c r="J1041" s="298"/>
      <c r="K1041" s="298"/>
      <c r="L1041" s="298"/>
      <c r="M1041" s="298"/>
    </row>
    <row r="1042" spans="1:16">
      <c r="A1042" s="298"/>
      <c r="B1042" s="298"/>
      <c r="G1042" s="154" t="s">
        <v>12614</v>
      </c>
      <c r="H1042" s="1500">
        <f>300-SUM(D1032:D1041)</f>
        <v>0</v>
      </c>
      <c r="I1042" s="1500"/>
      <c r="J1042" s="298"/>
      <c r="K1042" s="298"/>
      <c r="L1042" s="298"/>
      <c r="M1042" s="298"/>
    </row>
    <row r="1043" spans="1:16">
      <c r="A1043" s="298"/>
      <c r="B1043" s="298"/>
      <c r="J1043" s="298"/>
      <c r="K1043" s="298"/>
      <c r="L1043" s="298"/>
      <c r="M1043" s="298"/>
    </row>
    <row r="1044" spans="1:16" ht="11.1" customHeight="1">
      <c r="A1044" s="298" t="s">
        <v>14041</v>
      </c>
      <c r="B1044" s="298" t="s">
        <v>14042</v>
      </c>
      <c r="C1044" s="617" t="s">
        <v>14043</v>
      </c>
      <c r="D1044" s="618" t="s">
        <v>12594</v>
      </c>
      <c r="F1044" s="154" t="s">
        <v>12593</v>
      </c>
      <c r="G1044" s="154" t="s">
        <v>12595</v>
      </c>
      <c r="H1044" s="620" t="s">
        <v>12596</v>
      </c>
      <c r="I1044" s="154" t="s">
        <v>14044</v>
      </c>
      <c r="J1044" s="298" t="s">
        <v>12598</v>
      </c>
      <c r="K1044" s="298" t="s">
        <v>12599</v>
      </c>
      <c r="L1044" s="298" t="s">
        <v>14045</v>
      </c>
      <c r="M1044" s="298" t="s">
        <v>12601</v>
      </c>
      <c r="N1044" s="298" t="s">
        <v>14046</v>
      </c>
      <c r="O1044" s="298" t="s">
        <v>14046</v>
      </c>
      <c r="P1044" s="298" t="s">
        <v>14047</v>
      </c>
    </row>
    <row r="1045" spans="1:16" ht="11.1" customHeight="1">
      <c r="A1045" s="298" t="s">
        <v>14051</v>
      </c>
      <c r="B1045" s="298" t="s">
        <v>12590</v>
      </c>
      <c r="C1045" s="617">
        <v>1</v>
      </c>
      <c r="D1045" s="618" t="s">
        <v>8608</v>
      </c>
      <c r="E1045" s="619" t="s">
        <v>14052</v>
      </c>
      <c r="F1045" s="154" t="s">
        <v>6262</v>
      </c>
      <c r="G1045" s="154" t="s">
        <v>12005</v>
      </c>
      <c r="H1045" s="620">
        <v>60</v>
      </c>
      <c r="I1045" s="154" t="s">
        <v>6257</v>
      </c>
      <c r="J1045" s="298" t="s">
        <v>12631</v>
      </c>
      <c r="K1045" s="298" t="s">
        <v>6209</v>
      </c>
      <c r="L1045" s="298">
        <v>3</v>
      </c>
      <c r="M1045" s="298">
        <v>0</v>
      </c>
      <c r="N1045" s="298">
        <v>3</v>
      </c>
      <c r="O1045" s="298">
        <v>876653</v>
      </c>
      <c r="P1045" s="298">
        <v>31.025869254004967</v>
      </c>
    </row>
    <row r="1046" spans="1:16" ht="11.1" customHeight="1">
      <c r="A1046" s="298" t="s">
        <v>14053</v>
      </c>
      <c r="B1046" s="298" t="s">
        <v>12590</v>
      </c>
      <c r="C1046" s="617">
        <v>2</v>
      </c>
      <c r="D1046" s="618" t="s">
        <v>14054</v>
      </c>
      <c r="E1046" s="619">
        <v>0</v>
      </c>
      <c r="F1046" s="154">
        <v>97.48</v>
      </c>
      <c r="G1046" s="154" t="s">
        <v>11997</v>
      </c>
      <c r="H1046" s="620">
        <v>48</v>
      </c>
      <c r="I1046" s="154" t="s">
        <v>6257</v>
      </c>
      <c r="J1046" s="298" t="s">
        <v>12631</v>
      </c>
      <c r="K1046" s="298" t="s">
        <v>6283</v>
      </c>
      <c r="L1046" s="298">
        <v>1</v>
      </c>
      <c r="M1046" s="298">
        <v>0</v>
      </c>
    </row>
    <row r="1047" spans="1:16" ht="11.1" customHeight="1">
      <c r="A1047" s="298" t="s">
        <v>14055</v>
      </c>
      <c r="B1047" s="298" t="s">
        <v>12590</v>
      </c>
      <c r="C1047" s="617">
        <v>2</v>
      </c>
      <c r="D1047" s="618" t="s">
        <v>14056</v>
      </c>
      <c r="E1047" s="619">
        <v>0</v>
      </c>
      <c r="F1047" s="154">
        <v>87.69</v>
      </c>
      <c r="G1047" s="154" t="s">
        <v>12016</v>
      </c>
      <c r="H1047" s="620">
        <v>51</v>
      </c>
      <c r="I1047" s="154" t="s">
        <v>6257</v>
      </c>
      <c r="J1047" s="298" t="s">
        <v>12635</v>
      </c>
      <c r="K1047" s="298" t="s">
        <v>6036</v>
      </c>
      <c r="L1047" s="298">
        <v>0</v>
      </c>
      <c r="M1047" s="298">
        <v>0</v>
      </c>
    </row>
    <row r="1048" spans="1:16" ht="11.1" customHeight="1">
      <c r="A1048" s="154" t="s">
        <v>14057</v>
      </c>
      <c r="C1048" s="617">
        <v>2</v>
      </c>
      <c r="D1048" s="618" t="s">
        <v>14058</v>
      </c>
      <c r="E1048" s="619">
        <v>0</v>
      </c>
      <c r="F1048" s="154">
        <v>84.1</v>
      </c>
      <c r="G1048" s="154" t="s">
        <v>12014</v>
      </c>
      <c r="H1048" s="620">
        <v>53</v>
      </c>
      <c r="I1048" s="154" t="s">
        <v>6257</v>
      </c>
      <c r="J1048" s="621" t="s">
        <v>12621</v>
      </c>
      <c r="K1048" s="621" t="s">
        <v>6209</v>
      </c>
      <c r="L1048" s="621">
        <v>1</v>
      </c>
      <c r="M1048" s="154" t="s">
        <v>6260</v>
      </c>
    </row>
    <row r="1049" spans="1:16" ht="11.1" customHeight="1">
      <c r="A1049" s="154" t="s">
        <v>14059</v>
      </c>
      <c r="C1049" s="617">
        <v>2</v>
      </c>
      <c r="D1049" s="618" t="s">
        <v>14060</v>
      </c>
      <c r="E1049" s="619">
        <v>0</v>
      </c>
      <c r="F1049" s="154">
        <v>83.26</v>
      </c>
      <c r="G1049" s="154" t="s">
        <v>12002</v>
      </c>
      <c r="H1049" s="620">
        <v>62</v>
      </c>
      <c r="I1049" s="154" t="s">
        <v>6257</v>
      </c>
      <c r="J1049" s="621" t="s">
        <v>12635</v>
      </c>
      <c r="K1049" s="621" t="s">
        <v>6209</v>
      </c>
      <c r="L1049" s="621">
        <v>4</v>
      </c>
      <c r="M1049" s="154" t="s">
        <v>12622</v>
      </c>
    </row>
    <row r="1050" spans="1:16" ht="11.1" customHeight="1">
      <c r="A1050" s="154" t="s">
        <v>14061</v>
      </c>
      <c r="C1050" s="617">
        <v>2</v>
      </c>
      <c r="D1050" s="618" t="s">
        <v>14062</v>
      </c>
      <c r="E1050" s="619">
        <v>0</v>
      </c>
      <c r="F1050" s="154">
        <v>77.5</v>
      </c>
      <c r="G1050" s="154" t="s">
        <v>6272</v>
      </c>
      <c r="H1050" s="620">
        <v>53</v>
      </c>
      <c r="I1050" s="154" t="s">
        <v>6257</v>
      </c>
      <c r="J1050" s="621" t="s">
        <v>12621</v>
      </c>
      <c r="K1050" s="621" t="s">
        <v>6209</v>
      </c>
      <c r="L1050" s="621">
        <v>2</v>
      </c>
      <c r="M1050" s="154" t="s">
        <v>12622</v>
      </c>
    </row>
    <row r="1051" spans="1:16" ht="11.1" customHeight="1">
      <c r="A1051" s="154" t="s">
        <v>14063</v>
      </c>
      <c r="C1051" s="617">
        <v>2</v>
      </c>
      <c r="D1051" s="618" t="s">
        <v>14064</v>
      </c>
      <c r="E1051" s="619">
        <v>0</v>
      </c>
      <c r="F1051" s="154">
        <v>69.8</v>
      </c>
      <c r="G1051" s="154" t="s">
        <v>6321</v>
      </c>
      <c r="H1051" s="620">
        <v>46</v>
      </c>
      <c r="I1051" s="154" t="s">
        <v>6257</v>
      </c>
      <c r="J1051" s="621" t="s">
        <v>12635</v>
      </c>
      <c r="K1051" s="621" t="s">
        <v>6036</v>
      </c>
      <c r="L1051" s="621">
        <v>0</v>
      </c>
      <c r="M1051" s="154">
        <v>0</v>
      </c>
    </row>
    <row r="1052" spans="1:16" ht="11.1" customHeight="1">
      <c r="A1052" s="154" t="s">
        <v>14065</v>
      </c>
      <c r="C1052" s="617">
        <v>2</v>
      </c>
      <c r="D1052" s="618" t="s">
        <v>14066</v>
      </c>
      <c r="E1052" s="619">
        <v>0</v>
      </c>
      <c r="F1052" s="154">
        <v>62.34</v>
      </c>
      <c r="G1052" s="154" t="s">
        <v>11990</v>
      </c>
      <c r="H1052" s="620">
        <v>37</v>
      </c>
      <c r="I1052" s="154" t="s">
        <v>6257</v>
      </c>
      <c r="J1052" s="621" t="s">
        <v>12617</v>
      </c>
      <c r="K1052" s="621" t="s">
        <v>6036</v>
      </c>
      <c r="L1052" s="621">
        <v>0</v>
      </c>
      <c r="M1052" s="154">
        <v>0</v>
      </c>
    </row>
    <row r="1053" spans="1:16" ht="11.1" customHeight="1">
      <c r="A1053" s="154" t="s">
        <v>14067</v>
      </c>
      <c r="C1053" s="617">
        <v>14</v>
      </c>
      <c r="D1053" s="618" t="s">
        <v>8608</v>
      </c>
      <c r="E1053" s="619">
        <v>0</v>
      </c>
      <c r="F1053" s="154" t="s">
        <v>6262</v>
      </c>
      <c r="G1053" s="154" t="s">
        <v>14068</v>
      </c>
      <c r="H1053" s="620">
        <v>49</v>
      </c>
      <c r="I1053" s="154" t="s">
        <v>6257</v>
      </c>
      <c r="J1053" s="621" t="s">
        <v>12617</v>
      </c>
      <c r="K1053" s="621" t="s">
        <v>6036</v>
      </c>
      <c r="L1053" s="621">
        <v>0</v>
      </c>
      <c r="M1053" s="154">
        <v>0</v>
      </c>
    </row>
    <row r="1054" spans="1:16" ht="11.1" customHeight="1">
      <c r="A1054" s="154" t="s">
        <v>14069</v>
      </c>
      <c r="C1054" s="617">
        <v>15</v>
      </c>
      <c r="D1054" s="618" t="s">
        <v>8608</v>
      </c>
      <c r="E1054" s="619">
        <v>0</v>
      </c>
      <c r="F1054" s="154" t="s">
        <v>6262</v>
      </c>
      <c r="G1054" s="154" t="s">
        <v>14070</v>
      </c>
      <c r="H1054" s="620">
        <v>52</v>
      </c>
      <c r="I1054" s="154" t="s">
        <v>6257</v>
      </c>
      <c r="J1054" s="621" t="s">
        <v>12617</v>
      </c>
      <c r="K1054" s="621" t="s">
        <v>6036</v>
      </c>
      <c r="L1054" s="621">
        <v>0</v>
      </c>
      <c r="M1054" s="154">
        <v>0</v>
      </c>
    </row>
    <row r="1055" spans="1:16" ht="11.1" customHeight="1">
      <c r="A1055" s="154" t="s">
        <v>14071</v>
      </c>
      <c r="B1055" s="297" t="s">
        <v>14048</v>
      </c>
      <c r="C1055" s="617">
        <v>2</v>
      </c>
      <c r="D1055" s="618" t="s">
        <v>14072</v>
      </c>
      <c r="E1055" s="619">
        <v>0</v>
      </c>
      <c r="F1055" s="154" t="s">
        <v>6251</v>
      </c>
      <c r="G1055" s="154" t="s">
        <v>6298</v>
      </c>
      <c r="H1055" s="620">
        <v>59</v>
      </c>
      <c r="I1055" s="154" t="s">
        <v>6257</v>
      </c>
      <c r="J1055" s="621" t="s">
        <v>12631</v>
      </c>
      <c r="K1055" s="621" t="s">
        <v>6209</v>
      </c>
      <c r="L1055" s="621">
        <v>6</v>
      </c>
      <c r="M1055" s="154" t="s">
        <v>12638</v>
      </c>
    </row>
    <row r="1056" spans="1:16" ht="11.1" customHeight="1">
      <c r="A1056" s="154" t="s">
        <v>14073</v>
      </c>
      <c r="B1056" s="297" t="s">
        <v>14048</v>
      </c>
      <c r="C1056" s="617">
        <v>2</v>
      </c>
      <c r="D1056" s="618" t="s">
        <v>14074</v>
      </c>
      <c r="E1056" s="619">
        <v>0</v>
      </c>
      <c r="F1056" s="154" t="s">
        <v>6251</v>
      </c>
      <c r="G1056" s="154" t="s">
        <v>12643</v>
      </c>
      <c r="H1056" s="620">
        <v>57</v>
      </c>
      <c r="I1056" s="154" t="s">
        <v>6257</v>
      </c>
      <c r="J1056" s="621" t="s">
        <v>12621</v>
      </c>
      <c r="K1056" s="621" t="s">
        <v>6283</v>
      </c>
      <c r="L1056" s="621">
        <v>2</v>
      </c>
      <c r="M1056" s="154">
        <v>0</v>
      </c>
    </row>
    <row r="1057" spans="1:16" ht="11.1" customHeight="1">
      <c r="A1057" s="154" t="s">
        <v>14075</v>
      </c>
      <c r="B1057" s="297" t="s">
        <v>14048</v>
      </c>
      <c r="C1057" s="617">
        <v>2</v>
      </c>
      <c r="D1057" s="618" t="s">
        <v>14076</v>
      </c>
      <c r="E1057" s="619" t="s">
        <v>14052</v>
      </c>
      <c r="F1057" s="154" t="s">
        <v>6251</v>
      </c>
      <c r="G1057" s="154" t="s">
        <v>12008</v>
      </c>
      <c r="H1057" s="620">
        <v>56</v>
      </c>
      <c r="I1057" s="154" t="s">
        <v>6257</v>
      </c>
      <c r="J1057" s="621" t="s">
        <v>12651</v>
      </c>
      <c r="K1057" s="621" t="s">
        <v>6209</v>
      </c>
      <c r="L1057" s="621">
        <v>5</v>
      </c>
      <c r="M1057" s="154" t="s">
        <v>12622</v>
      </c>
    </row>
    <row r="1058" spans="1:16" ht="11.1" customHeight="1">
      <c r="A1058" s="154" t="s">
        <v>14077</v>
      </c>
      <c r="B1058" s="297" t="s">
        <v>14048</v>
      </c>
      <c r="C1058" s="617">
        <v>2</v>
      </c>
      <c r="D1058" s="618" t="s">
        <v>14078</v>
      </c>
      <c r="E1058" s="619">
        <v>0</v>
      </c>
      <c r="F1058" s="154" t="s">
        <v>6251</v>
      </c>
      <c r="G1058" s="154" t="s">
        <v>6343</v>
      </c>
      <c r="H1058" s="620">
        <v>50</v>
      </c>
      <c r="I1058" s="154" t="s">
        <v>6257</v>
      </c>
      <c r="J1058" s="621" t="s">
        <v>12635</v>
      </c>
      <c r="K1058" s="621" t="s">
        <v>6209</v>
      </c>
      <c r="L1058" s="621">
        <v>6</v>
      </c>
      <c r="M1058" s="154" t="s">
        <v>12638</v>
      </c>
    </row>
    <row r="1059" spans="1:16" ht="11.1" customHeight="1">
      <c r="A1059" s="154" t="s">
        <v>14079</v>
      </c>
      <c r="B1059" s="297" t="s">
        <v>14048</v>
      </c>
      <c r="C1059" s="617">
        <v>2</v>
      </c>
      <c r="D1059" s="618" t="s">
        <v>14080</v>
      </c>
      <c r="E1059" s="619">
        <v>0</v>
      </c>
      <c r="F1059" s="154" t="s">
        <v>6251</v>
      </c>
      <c r="G1059" s="154" t="s">
        <v>12022</v>
      </c>
      <c r="H1059" s="620">
        <v>62</v>
      </c>
      <c r="I1059" s="154" t="s">
        <v>6257</v>
      </c>
      <c r="J1059" s="621" t="s">
        <v>12674</v>
      </c>
      <c r="K1059" s="621" t="s">
        <v>6209</v>
      </c>
      <c r="L1059" s="621">
        <v>5</v>
      </c>
      <c r="M1059" s="154" t="s">
        <v>12638</v>
      </c>
    </row>
    <row r="1060" spans="1:16" ht="11.1" customHeight="1">
      <c r="A1060" s="154" t="s">
        <v>14081</v>
      </c>
      <c r="B1060" s="297" t="s">
        <v>12590</v>
      </c>
      <c r="C1060" s="617">
        <v>3</v>
      </c>
      <c r="D1060" s="618" t="s">
        <v>14074</v>
      </c>
      <c r="E1060" s="619">
        <v>0</v>
      </c>
      <c r="F1060" s="154">
        <v>99.45</v>
      </c>
      <c r="G1060" s="154" t="s">
        <v>12645</v>
      </c>
      <c r="H1060" s="620">
        <v>69</v>
      </c>
      <c r="I1060" s="154" t="s">
        <v>6253</v>
      </c>
      <c r="J1060" s="621" t="s">
        <v>11989</v>
      </c>
      <c r="K1060" s="621" t="s">
        <v>6209</v>
      </c>
      <c r="L1060" s="621">
        <v>4</v>
      </c>
      <c r="M1060" s="154" t="s">
        <v>6254</v>
      </c>
      <c r="N1060" s="298">
        <v>4</v>
      </c>
      <c r="O1060" s="298">
        <v>1153471</v>
      </c>
      <c r="P1060" s="298">
        <v>40.822811801575263</v>
      </c>
    </row>
    <row r="1061" spans="1:16" ht="11.1" customHeight="1">
      <c r="A1061" s="154" t="s">
        <v>14082</v>
      </c>
      <c r="B1061" s="297" t="s">
        <v>12590</v>
      </c>
      <c r="C1061" s="617">
        <v>3</v>
      </c>
      <c r="D1061" s="618" t="s">
        <v>14072</v>
      </c>
      <c r="E1061" s="619">
        <v>0</v>
      </c>
      <c r="F1061" s="154">
        <v>93.15</v>
      </c>
      <c r="G1061" s="154" t="s">
        <v>6296</v>
      </c>
      <c r="H1061" s="620">
        <v>34</v>
      </c>
      <c r="I1061" s="154" t="s">
        <v>6253</v>
      </c>
      <c r="J1061" s="621" t="s">
        <v>12007</v>
      </c>
      <c r="K1061" s="621" t="s">
        <v>6036</v>
      </c>
      <c r="L1061" s="621">
        <v>0</v>
      </c>
      <c r="M1061" s="154" t="s">
        <v>6254</v>
      </c>
    </row>
    <row r="1062" spans="1:16" ht="11.1" customHeight="1">
      <c r="A1062" s="154" t="s">
        <v>14083</v>
      </c>
      <c r="B1062" s="297" t="s">
        <v>12590</v>
      </c>
      <c r="C1062" s="617">
        <v>3</v>
      </c>
      <c r="D1062" s="618" t="s">
        <v>14076</v>
      </c>
      <c r="E1062" s="619">
        <v>0</v>
      </c>
      <c r="F1062" s="154">
        <v>84.72</v>
      </c>
      <c r="G1062" s="154" t="s">
        <v>6313</v>
      </c>
      <c r="H1062" s="620">
        <v>44</v>
      </c>
      <c r="I1062" s="154" t="s">
        <v>6253</v>
      </c>
      <c r="J1062" s="621" t="s">
        <v>12007</v>
      </c>
      <c r="K1062" s="621" t="s">
        <v>6036</v>
      </c>
      <c r="L1062" s="621">
        <v>0</v>
      </c>
      <c r="M1062" s="154" t="s">
        <v>6254</v>
      </c>
    </row>
    <row r="1063" spans="1:16" ht="11.1" customHeight="1">
      <c r="A1063" s="154" t="s">
        <v>14084</v>
      </c>
      <c r="B1063" s="297" t="s">
        <v>12590</v>
      </c>
      <c r="C1063" s="617">
        <v>3</v>
      </c>
      <c r="D1063" s="618" t="s">
        <v>14080</v>
      </c>
      <c r="E1063" s="619">
        <v>0</v>
      </c>
      <c r="F1063" s="154">
        <v>69.959999999999994</v>
      </c>
      <c r="G1063" s="154" t="s">
        <v>6347</v>
      </c>
      <c r="H1063" s="620">
        <v>44</v>
      </c>
      <c r="I1063" s="154" t="s">
        <v>6253</v>
      </c>
      <c r="J1063" s="621" t="s">
        <v>12020</v>
      </c>
      <c r="K1063" s="621" t="s">
        <v>6036</v>
      </c>
      <c r="L1063" s="621">
        <v>0</v>
      </c>
      <c r="M1063" s="154" t="s">
        <v>6254</v>
      </c>
    </row>
    <row r="1064" spans="1:16" ht="11.1" customHeight="1">
      <c r="A1064" s="154" t="s">
        <v>14085</v>
      </c>
      <c r="C1064" s="617">
        <v>11</v>
      </c>
      <c r="D1064" s="618" t="s">
        <v>8608</v>
      </c>
      <c r="E1064" s="619">
        <v>0</v>
      </c>
      <c r="F1064" s="154" t="s">
        <v>6262</v>
      </c>
      <c r="G1064" s="154" t="s">
        <v>14086</v>
      </c>
      <c r="H1064" s="620">
        <v>60</v>
      </c>
      <c r="I1064" s="154" t="s">
        <v>6253</v>
      </c>
      <c r="J1064" s="621" t="s">
        <v>12020</v>
      </c>
      <c r="K1064" s="621" t="s">
        <v>6036</v>
      </c>
      <c r="L1064" s="621">
        <v>0</v>
      </c>
      <c r="M1064" s="154">
        <v>0</v>
      </c>
    </row>
    <row r="1065" spans="1:16" ht="11.1" customHeight="1">
      <c r="A1065" s="154" t="s">
        <v>14087</v>
      </c>
      <c r="C1065" s="617">
        <v>12</v>
      </c>
      <c r="D1065" s="618" t="s">
        <v>8608</v>
      </c>
      <c r="E1065" s="619">
        <v>0</v>
      </c>
      <c r="F1065" s="154" t="s">
        <v>6262</v>
      </c>
      <c r="G1065" s="154" t="s">
        <v>14088</v>
      </c>
      <c r="H1065" s="620">
        <v>39</v>
      </c>
      <c r="I1065" s="154" t="s">
        <v>6253</v>
      </c>
      <c r="J1065" s="621" t="s">
        <v>12007</v>
      </c>
      <c r="K1065" s="621" t="s">
        <v>6036</v>
      </c>
      <c r="L1065" s="621">
        <v>0</v>
      </c>
      <c r="M1065" s="154">
        <v>0</v>
      </c>
    </row>
    <row r="1066" spans="1:16" ht="11.1" customHeight="1">
      <c r="A1066" s="154" t="s">
        <v>14089</v>
      </c>
      <c r="C1066" s="617">
        <v>13</v>
      </c>
      <c r="D1066" s="618" t="s">
        <v>8608</v>
      </c>
      <c r="E1066" s="619">
        <v>0</v>
      </c>
      <c r="F1066" s="154" t="s">
        <v>6262</v>
      </c>
      <c r="G1066" s="154" t="s">
        <v>14090</v>
      </c>
      <c r="H1066" s="620">
        <v>34</v>
      </c>
      <c r="I1066" s="154" t="s">
        <v>6253</v>
      </c>
      <c r="J1066" s="621" t="s">
        <v>12007</v>
      </c>
      <c r="K1066" s="621" t="s">
        <v>6036</v>
      </c>
      <c r="L1066" s="621">
        <v>0</v>
      </c>
      <c r="M1066" s="154">
        <v>0</v>
      </c>
    </row>
    <row r="1067" spans="1:16" ht="11.1" customHeight="1">
      <c r="A1067" s="154" t="s">
        <v>14091</v>
      </c>
      <c r="C1067" s="617">
        <v>14</v>
      </c>
      <c r="D1067" s="618" t="s">
        <v>8608</v>
      </c>
      <c r="E1067" s="619">
        <v>0</v>
      </c>
      <c r="F1067" s="154" t="s">
        <v>6262</v>
      </c>
      <c r="G1067" s="154" t="s">
        <v>14092</v>
      </c>
      <c r="H1067" s="620">
        <v>34</v>
      </c>
      <c r="I1067" s="154" t="s">
        <v>6253</v>
      </c>
      <c r="J1067" s="621" t="s">
        <v>12007</v>
      </c>
      <c r="K1067" s="621" t="s">
        <v>6036</v>
      </c>
      <c r="L1067" s="621">
        <v>0</v>
      </c>
      <c r="M1067" s="154">
        <v>0</v>
      </c>
    </row>
    <row r="1068" spans="1:16" ht="11.1" customHeight="1">
      <c r="A1068" s="154" t="s">
        <v>14093</v>
      </c>
      <c r="B1068" s="297" t="s">
        <v>14048</v>
      </c>
      <c r="C1068" s="617">
        <v>1</v>
      </c>
      <c r="D1068" s="618" t="s">
        <v>14062</v>
      </c>
      <c r="E1068" s="619">
        <v>0</v>
      </c>
      <c r="F1068" s="154" t="s">
        <v>6251</v>
      </c>
      <c r="G1068" s="154" t="s">
        <v>6270</v>
      </c>
      <c r="H1068" s="620">
        <v>60</v>
      </c>
      <c r="I1068" s="154" t="s">
        <v>6253</v>
      </c>
      <c r="J1068" s="621" t="s">
        <v>11994</v>
      </c>
      <c r="K1068" s="621" t="s">
        <v>6209</v>
      </c>
      <c r="L1068" s="621">
        <v>1</v>
      </c>
      <c r="M1068" s="154" t="s">
        <v>6254</v>
      </c>
    </row>
    <row r="1069" spans="1:16" ht="11.1" customHeight="1">
      <c r="A1069" s="154" t="s">
        <v>14094</v>
      </c>
      <c r="B1069" s="297" t="s">
        <v>14048</v>
      </c>
      <c r="C1069" s="617">
        <v>1</v>
      </c>
      <c r="D1069" s="618" t="s">
        <v>14060</v>
      </c>
      <c r="E1069" s="619">
        <v>0</v>
      </c>
      <c r="F1069" s="154" t="s">
        <v>6251</v>
      </c>
      <c r="G1069" s="154" t="s">
        <v>6290</v>
      </c>
      <c r="H1069" s="620">
        <v>55</v>
      </c>
      <c r="I1069" s="154" t="s">
        <v>6253</v>
      </c>
      <c r="J1069" s="621" t="s">
        <v>11989</v>
      </c>
      <c r="K1069" s="621" t="s">
        <v>6283</v>
      </c>
      <c r="L1069" s="621">
        <v>4</v>
      </c>
      <c r="M1069" s="154" t="s">
        <v>6254</v>
      </c>
    </row>
    <row r="1070" spans="1:16" ht="11.1" customHeight="1">
      <c r="A1070" s="154" t="s">
        <v>14095</v>
      </c>
      <c r="B1070" s="297" t="s">
        <v>14048</v>
      </c>
      <c r="C1070" s="617">
        <v>3</v>
      </c>
      <c r="D1070" s="618" t="s">
        <v>14066</v>
      </c>
      <c r="E1070" s="619">
        <v>0</v>
      </c>
      <c r="F1070" s="154" t="s">
        <v>6251</v>
      </c>
      <c r="G1070" s="154" t="s">
        <v>6252</v>
      </c>
      <c r="H1070" s="620">
        <v>62</v>
      </c>
      <c r="I1070" s="154" t="s">
        <v>6253</v>
      </c>
      <c r="J1070" s="621" t="s">
        <v>11989</v>
      </c>
      <c r="K1070" s="621" t="s">
        <v>6209</v>
      </c>
      <c r="L1070" s="621">
        <v>7</v>
      </c>
      <c r="M1070" s="154" t="s">
        <v>6254</v>
      </c>
    </row>
    <row r="1071" spans="1:16" ht="11.1" customHeight="1">
      <c r="A1071" s="154" t="s">
        <v>14096</v>
      </c>
      <c r="B1071" s="297" t="s">
        <v>14048</v>
      </c>
      <c r="C1071" s="617">
        <v>3</v>
      </c>
      <c r="D1071" s="618" t="s">
        <v>14054</v>
      </c>
      <c r="E1071" s="619">
        <v>0</v>
      </c>
      <c r="F1071" s="154" t="s">
        <v>6251</v>
      </c>
      <c r="G1071" s="154" t="s">
        <v>11999</v>
      </c>
      <c r="H1071" s="620">
        <v>57</v>
      </c>
      <c r="I1071" s="154" t="s">
        <v>6253</v>
      </c>
      <c r="J1071" s="621" t="s">
        <v>12000</v>
      </c>
      <c r="K1071" s="621" t="s">
        <v>6209</v>
      </c>
      <c r="L1071" s="621">
        <v>2</v>
      </c>
      <c r="M1071" s="154" t="s">
        <v>6254</v>
      </c>
    </row>
    <row r="1072" spans="1:16" ht="11.1" customHeight="1">
      <c r="A1072" s="154" t="s">
        <v>14097</v>
      </c>
      <c r="B1072" s="297" t="s">
        <v>14048</v>
      </c>
      <c r="C1072" s="617">
        <v>3</v>
      </c>
      <c r="D1072" s="618" t="s">
        <v>14064</v>
      </c>
      <c r="E1072" s="619">
        <v>0</v>
      </c>
      <c r="F1072" s="154" t="s">
        <v>6251</v>
      </c>
      <c r="G1072" s="154" t="s">
        <v>12011</v>
      </c>
      <c r="H1072" s="620">
        <v>56</v>
      </c>
      <c r="I1072" s="154" t="s">
        <v>6253</v>
      </c>
      <c r="J1072" s="621" t="s">
        <v>12000</v>
      </c>
      <c r="K1072" s="621" t="s">
        <v>6209</v>
      </c>
      <c r="L1072" s="621">
        <v>3</v>
      </c>
      <c r="M1072" s="154" t="s">
        <v>12656</v>
      </c>
    </row>
    <row r="1073" spans="1:16" ht="11.1" customHeight="1">
      <c r="A1073" s="154" t="s">
        <v>14098</v>
      </c>
      <c r="B1073" s="297" t="s">
        <v>14048</v>
      </c>
      <c r="C1073" s="617">
        <v>3</v>
      </c>
      <c r="D1073" s="618" t="s">
        <v>14058</v>
      </c>
      <c r="E1073" s="619">
        <v>0</v>
      </c>
      <c r="F1073" s="154" t="s">
        <v>6251</v>
      </c>
      <c r="G1073" s="154" t="s">
        <v>6327</v>
      </c>
      <c r="H1073" s="620">
        <v>56</v>
      </c>
      <c r="I1073" s="154" t="s">
        <v>6253</v>
      </c>
      <c r="J1073" s="621" t="s">
        <v>12000</v>
      </c>
      <c r="K1073" s="621" t="s">
        <v>6209</v>
      </c>
      <c r="L1073" s="621">
        <v>5</v>
      </c>
      <c r="M1073" s="154" t="s">
        <v>6254</v>
      </c>
    </row>
    <row r="1074" spans="1:16" ht="11.1" customHeight="1">
      <c r="A1074" s="154" t="s">
        <v>14099</v>
      </c>
      <c r="B1074" s="297" t="s">
        <v>14048</v>
      </c>
      <c r="C1074" s="617">
        <v>3</v>
      </c>
      <c r="D1074" s="618" t="s">
        <v>14056</v>
      </c>
      <c r="E1074" s="619">
        <v>0</v>
      </c>
      <c r="F1074" s="154" t="s">
        <v>6251</v>
      </c>
      <c r="G1074" s="154" t="s">
        <v>6335</v>
      </c>
      <c r="H1074" s="620">
        <v>61</v>
      </c>
      <c r="I1074" s="154" t="s">
        <v>6253</v>
      </c>
      <c r="J1074" s="621" t="s">
        <v>12000</v>
      </c>
      <c r="K1074" s="621" t="s">
        <v>6209</v>
      </c>
      <c r="L1074" s="621">
        <v>4</v>
      </c>
      <c r="M1074" s="154" t="s">
        <v>6254</v>
      </c>
    </row>
    <row r="1075" spans="1:16" ht="11.1" customHeight="1">
      <c r="A1075" s="154" t="s">
        <v>14100</v>
      </c>
      <c r="B1075" s="297" t="s">
        <v>12590</v>
      </c>
      <c r="C1075" s="617">
        <v>1</v>
      </c>
      <c r="D1075" s="618" t="s">
        <v>8608</v>
      </c>
      <c r="E1075" s="619">
        <v>0</v>
      </c>
      <c r="F1075" s="154" t="s">
        <v>6262</v>
      </c>
      <c r="G1075" s="154" t="s">
        <v>14101</v>
      </c>
      <c r="H1075" s="620">
        <v>38</v>
      </c>
      <c r="I1075" s="154" t="s">
        <v>6929</v>
      </c>
      <c r="J1075" s="621">
        <v>0</v>
      </c>
      <c r="K1075" s="621" t="s">
        <v>6209</v>
      </c>
      <c r="L1075" s="621">
        <v>2</v>
      </c>
      <c r="M1075" s="154">
        <v>0</v>
      </c>
      <c r="N1075" s="298">
        <v>1</v>
      </c>
      <c r="O1075" s="298">
        <v>394843</v>
      </c>
      <c r="P1075" s="298">
        <v>13.973998028705864</v>
      </c>
    </row>
    <row r="1076" spans="1:16" ht="11.1" customHeight="1">
      <c r="A1076" s="154" t="s">
        <v>14102</v>
      </c>
      <c r="C1076" s="617">
        <v>2</v>
      </c>
      <c r="D1076" s="618" t="s">
        <v>8608</v>
      </c>
      <c r="E1076" s="619">
        <v>0</v>
      </c>
      <c r="F1076" s="154" t="s">
        <v>6262</v>
      </c>
      <c r="G1076" s="154" t="s">
        <v>14103</v>
      </c>
      <c r="H1076" s="620">
        <v>38</v>
      </c>
      <c r="I1076" s="154" t="s">
        <v>6929</v>
      </c>
      <c r="J1076" s="621">
        <v>0</v>
      </c>
      <c r="K1076" s="621" t="s">
        <v>6036</v>
      </c>
      <c r="L1076" s="621">
        <v>0</v>
      </c>
      <c r="M1076" s="154">
        <v>0</v>
      </c>
    </row>
    <row r="1077" spans="1:16" ht="11.1" customHeight="1">
      <c r="A1077" s="154" t="s">
        <v>14104</v>
      </c>
      <c r="C1077" s="617">
        <v>1</v>
      </c>
      <c r="D1077" s="618" t="s">
        <v>8608</v>
      </c>
      <c r="E1077" s="619">
        <v>0</v>
      </c>
      <c r="F1077" s="154" t="s">
        <v>6262</v>
      </c>
      <c r="G1077" s="154" t="s">
        <v>14105</v>
      </c>
      <c r="H1077" s="620">
        <v>70</v>
      </c>
      <c r="I1077" s="154" t="s">
        <v>6264</v>
      </c>
      <c r="J1077" s="621">
        <v>0</v>
      </c>
      <c r="K1077" s="621" t="s">
        <v>6209</v>
      </c>
      <c r="L1077" s="621">
        <v>4</v>
      </c>
      <c r="M1077" s="154">
        <v>0</v>
      </c>
      <c r="N1077" s="298">
        <v>0</v>
      </c>
      <c r="O1077" s="298">
        <v>253442</v>
      </c>
      <c r="P1077" s="298">
        <v>8.9696360538018194</v>
      </c>
    </row>
    <row r="1078" spans="1:16" ht="11.1" customHeight="1">
      <c r="A1078" s="154" t="s">
        <v>14106</v>
      </c>
      <c r="C1078" s="617">
        <v>3</v>
      </c>
      <c r="D1078" s="618" t="s">
        <v>14062</v>
      </c>
      <c r="E1078" s="619">
        <v>0</v>
      </c>
      <c r="F1078" s="154">
        <v>22.5</v>
      </c>
      <c r="G1078" s="154" t="s">
        <v>12624</v>
      </c>
      <c r="H1078" s="620">
        <v>41</v>
      </c>
      <c r="I1078" s="154" t="s">
        <v>6264</v>
      </c>
      <c r="J1078" s="621">
        <v>0</v>
      </c>
      <c r="K1078" s="621" t="s">
        <v>6036</v>
      </c>
      <c r="L1078" s="621">
        <v>0</v>
      </c>
      <c r="M1078" s="154">
        <v>0</v>
      </c>
    </row>
    <row r="1079" spans="1:16" ht="11.1" customHeight="1">
      <c r="A1079" s="154" t="s">
        <v>14107</v>
      </c>
      <c r="B1079" s="297" t="s">
        <v>6231</v>
      </c>
      <c r="C1079" s="617">
        <v>2</v>
      </c>
      <c r="D1079" s="618" t="s">
        <v>14072</v>
      </c>
      <c r="E1079" s="619">
        <v>0</v>
      </c>
      <c r="F1079" s="154">
        <v>9.32</v>
      </c>
      <c r="G1079" s="154" t="s">
        <v>12641</v>
      </c>
      <c r="H1079" s="620">
        <v>40</v>
      </c>
      <c r="I1079" s="154" t="s">
        <v>6264</v>
      </c>
      <c r="J1079" s="621">
        <v>0</v>
      </c>
      <c r="K1079" s="621" t="s">
        <v>6036</v>
      </c>
      <c r="L1079" s="621">
        <v>0</v>
      </c>
      <c r="M1079" s="154">
        <v>0</v>
      </c>
    </row>
    <row r="1080" spans="1:16" ht="11.1" customHeight="1">
      <c r="A1080" s="154" t="s">
        <v>14108</v>
      </c>
      <c r="C1080" s="617">
        <v>1</v>
      </c>
      <c r="D1080" s="618" t="s">
        <v>14078</v>
      </c>
      <c r="E1080" s="619">
        <v>0</v>
      </c>
      <c r="F1080" s="154">
        <v>46.69</v>
      </c>
      <c r="G1080" s="154" t="s">
        <v>12671</v>
      </c>
      <c r="H1080" s="620">
        <v>63</v>
      </c>
      <c r="I1080" s="154" t="s">
        <v>6278</v>
      </c>
      <c r="J1080" s="621">
        <v>0</v>
      </c>
      <c r="K1080" s="621" t="s">
        <v>6209</v>
      </c>
      <c r="L1080" s="621">
        <v>1</v>
      </c>
      <c r="M1080" s="154" t="s">
        <v>6481</v>
      </c>
      <c r="N1080" s="298">
        <v>0</v>
      </c>
      <c r="O1080" s="298">
        <v>147146</v>
      </c>
      <c r="P1080" s="298">
        <v>5.2076848619120844</v>
      </c>
    </row>
    <row r="1081" spans="1:16" ht="11.1" customHeight="1">
      <c r="A1081" s="154" t="s">
        <v>14109</v>
      </c>
      <c r="C1081" s="617">
        <v>2</v>
      </c>
      <c r="D1081" s="618" t="s">
        <v>8608</v>
      </c>
      <c r="E1081" s="619">
        <v>0</v>
      </c>
      <c r="F1081" s="154" t="s">
        <v>6262</v>
      </c>
      <c r="G1081" s="154" t="s">
        <v>14110</v>
      </c>
      <c r="H1081" s="620">
        <v>58</v>
      </c>
      <c r="I1081" s="154" t="s">
        <v>6278</v>
      </c>
      <c r="J1081" s="621">
        <v>0</v>
      </c>
      <c r="K1081" s="621" t="s">
        <v>6036</v>
      </c>
      <c r="L1081" s="621">
        <v>0</v>
      </c>
      <c r="M1081" s="154">
        <v>0</v>
      </c>
    </row>
    <row r="1082" spans="1:16" ht="11.1" customHeight="1">
      <c r="A1082" s="154" t="s">
        <v>14111</v>
      </c>
      <c r="B1082" s="297" t="s">
        <v>12590</v>
      </c>
      <c r="C1082" s="617">
        <v>1</v>
      </c>
      <c r="D1082" s="618" t="s">
        <v>8608</v>
      </c>
      <c r="E1082" s="619" t="s">
        <v>14052</v>
      </c>
      <c r="F1082" s="154" t="s">
        <v>6262</v>
      </c>
      <c r="G1082" s="154" t="s">
        <v>6537</v>
      </c>
      <c r="H1082" s="620">
        <v>55</v>
      </c>
      <c r="I1082" s="154" t="s">
        <v>6257</v>
      </c>
      <c r="J1082" s="621" t="s">
        <v>12631</v>
      </c>
      <c r="K1082" s="621" t="s">
        <v>6209</v>
      </c>
      <c r="L1082" s="621">
        <v>1</v>
      </c>
      <c r="M1082" s="154">
        <v>0</v>
      </c>
      <c r="N1082" s="298">
        <v>6</v>
      </c>
      <c r="O1082" s="298">
        <v>1794284</v>
      </c>
      <c r="P1082" s="298">
        <v>37.634100074920696</v>
      </c>
    </row>
    <row r="1083" spans="1:16" ht="11.1" customHeight="1">
      <c r="A1083" s="154" t="s">
        <v>14112</v>
      </c>
      <c r="B1083" s="297" t="s">
        <v>12590</v>
      </c>
      <c r="C1083" s="617">
        <v>2</v>
      </c>
      <c r="D1083" s="618" t="s">
        <v>8608</v>
      </c>
      <c r="E1083" s="619">
        <v>0</v>
      </c>
      <c r="F1083" s="154" t="s">
        <v>6262</v>
      </c>
      <c r="G1083" s="154" t="s">
        <v>6467</v>
      </c>
      <c r="H1083" s="620">
        <v>65</v>
      </c>
      <c r="I1083" s="154" t="s">
        <v>6257</v>
      </c>
      <c r="J1083" s="621" t="s">
        <v>12651</v>
      </c>
      <c r="K1083" s="621" t="s">
        <v>6209</v>
      </c>
      <c r="L1083" s="621">
        <v>5</v>
      </c>
      <c r="M1083" s="154">
        <v>0</v>
      </c>
    </row>
    <row r="1084" spans="1:16" ht="11.1" customHeight="1">
      <c r="A1084" s="154" t="s">
        <v>14113</v>
      </c>
      <c r="B1084" s="297" t="s">
        <v>12590</v>
      </c>
      <c r="C1084" s="617">
        <v>3</v>
      </c>
      <c r="D1084" s="618" t="s">
        <v>8608</v>
      </c>
      <c r="E1084" s="619">
        <v>0</v>
      </c>
      <c r="F1084" s="154" t="s">
        <v>6262</v>
      </c>
      <c r="G1084" s="154" t="s">
        <v>14114</v>
      </c>
      <c r="H1084" s="620">
        <v>63</v>
      </c>
      <c r="I1084" s="154" t="s">
        <v>6257</v>
      </c>
      <c r="J1084" s="621" t="s">
        <v>12621</v>
      </c>
      <c r="K1084" s="621" t="s">
        <v>6209</v>
      </c>
      <c r="L1084" s="621">
        <v>2</v>
      </c>
      <c r="M1084" s="154">
        <v>0</v>
      </c>
    </row>
    <row r="1085" spans="1:16" ht="11.1" customHeight="1">
      <c r="A1085" s="154" t="s">
        <v>14115</v>
      </c>
      <c r="B1085" s="297" t="s">
        <v>12590</v>
      </c>
      <c r="C1085" s="617">
        <v>4</v>
      </c>
      <c r="D1085" s="618" t="s">
        <v>8608</v>
      </c>
      <c r="E1085" s="619" t="s">
        <v>14052</v>
      </c>
      <c r="F1085" s="154" t="s">
        <v>6262</v>
      </c>
      <c r="G1085" s="154" t="s">
        <v>6385</v>
      </c>
      <c r="H1085" s="620">
        <v>49</v>
      </c>
      <c r="I1085" s="154" t="s">
        <v>6257</v>
      </c>
      <c r="J1085" s="621" t="s">
        <v>12621</v>
      </c>
      <c r="K1085" s="621" t="s">
        <v>6209</v>
      </c>
      <c r="L1085" s="621">
        <v>1</v>
      </c>
      <c r="M1085" s="154">
        <v>0</v>
      </c>
    </row>
    <row r="1086" spans="1:16" ht="11.1" customHeight="1">
      <c r="A1086" s="154" t="s">
        <v>14116</v>
      </c>
      <c r="B1086" s="297" t="s">
        <v>12590</v>
      </c>
      <c r="C1086" s="617">
        <v>5</v>
      </c>
      <c r="D1086" s="618" t="s">
        <v>8706</v>
      </c>
      <c r="E1086" s="619">
        <v>0</v>
      </c>
      <c r="F1086" s="154">
        <v>29</v>
      </c>
      <c r="G1086" s="154" t="s">
        <v>12719</v>
      </c>
      <c r="H1086" s="620">
        <v>65</v>
      </c>
      <c r="I1086" s="154" t="s">
        <v>6257</v>
      </c>
      <c r="J1086" s="621" t="s">
        <v>12631</v>
      </c>
      <c r="K1086" s="621" t="s">
        <v>6283</v>
      </c>
      <c r="L1086" s="621">
        <v>7</v>
      </c>
      <c r="M1086" s="154">
        <v>0</v>
      </c>
    </row>
    <row r="1087" spans="1:16" ht="11.1" customHeight="1">
      <c r="A1087" s="154" t="s">
        <v>14117</v>
      </c>
      <c r="B1087" s="297" t="s">
        <v>12590</v>
      </c>
      <c r="C1087" s="617">
        <v>6</v>
      </c>
      <c r="D1087" s="618" t="s">
        <v>8694</v>
      </c>
      <c r="E1087" s="619">
        <v>0</v>
      </c>
      <c r="F1087" s="154">
        <v>96.52</v>
      </c>
      <c r="G1087" s="154" t="s">
        <v>6434</v>
      </c>
      <c r="H1087" s="620">
        <v>55</v>
      </c>
      <c r="I1087" s="154" t="s">
        <v>6257</v>
      </c>
      <c r="J1087" s="621" t="s">
        <v>12631</v>
      </c>
      <c r="K1087" s="621" t="s">
        <v>6283</v>
      </c>
      <c r="L1087" s="621">
        <v>1</v>
      </c>
      <c r="M1087" s="154" t="s">
        <v>6260</v>
      </c>
    </row>
    <row r="1088" spans="1:16" ht="11.1" customHeight="1">
      <c r="A1088" s="154" t="s">
        <v>14118</v>
      </c>
      <c r="C1088" s="617">
        <v>6</v>
      </c>
      <c r="D1088" s="618" t="s">
        <v>8688</v>
      </c>
      <c r="E1088" s="619">
        <v>0</v>
      </c>
      <c r="F1088" s="154">
        <v>87.68</v>
      </c>
      <c r="G1088" s="154" t="s">
        <v>6456</v>
      </c>
      <c r="H1088" s="620">
        <v>48</v>
      </c>
      <c r="I1088" s="154" t="s">
        <v>6257</v>
      </c>
      <c r="J1088" s="621" t="s">
        <v>12617</v>
      </c>
      <c r="K1088" s="621" t="s">
        <v>6036</v>
      </c>
      <c r="L1088" s="621">
        <v>0</v>
      </c>
      <c r="M1088" s="154" t="s">
        <v>6260</v>
      </c>
    </row>
    <row r="1089" spans="1:13" ht="11.1" customHeight="1">
      <c r="A1089" s="154" t="s">
        <v>14119</v>
      </c>
      <c r="C1089" s="617">
        <v>6</v>
      </c>
      <c r="D1089" s="618" t="s">
        <v>8676</v>
      </c>
      <c r="E1089" s="619">
        <v>0</v>
      </c>
      <c r="F1089" s="154">
        <v>87.66</v>
      </c>
      <c r="G1089" s="154" t="s">
        <v>12769</v>
      </c>
      <c r="H1089" s="620">
        <v>72</v>
      </c>
      <c r="I1089" s="154" t="s">
        <v>6257</v>
      </c>
      <c r="J1089" s="621" t="s">
        <v>12621</v>
      </c>
      <c r="K1089" s="621" t="s">
        <v>6209</v>
      </c>
      <c r="L1089" s="621">
        <v>9</v>
      </c>
      <c r="M1089" s="154" t="s">
        <v>12638</v>
      </c>
    </row>
    <row r="1090" spans="1:13" ht="11.1" customHeight="1">
      <c r="A1090" s="154" t="s">
        <v>14120</v>
      </c>
      <c r="C1090" s="617">
        <v>6</v>
      </c>
      <c r="D1090" s="618" t="s">
        <v>8668</v>
      </c>
      <c r="E1090" s="619">
        <v>0</v>
      </c>
      <c r="F1090" s="154">
        <v>85.36</v>
      </c>
      <c r="G1090" s="154" t="s">
        <v>12799</v>
      </c>
      <c r="H1090" s="620">
        <v>45</v>
      </c>
      <c r="I1090" s="154" t="s">
        <v>6257</v>
      </c>
      <c r="J1090" s="621" t="s">
        <v>14121</v>
      </c>
      <c r="K1090" s="621" t="s">
        <v>6209</v>
      </c>
      <c r="L1090" s="621">
        <v>3</v>
      </c>
      <c r="M1090" s="154" t="s">
        <v>12638</v>
      </c>
    </row>
    <row r="1091" spans="1:13" ht="11.1" customHeight="1">
      <c r="A1091" s="154" t="s">
        <v>14122</v>
      </c>
      <c r="C1091" s="617">
        <v>6</v>
      </c>
      <c r="D1091" s="618" t="s">
        <v>8702</v>
      </c>
      <c r="E1091" s="619">
        <v>0</v>
      </c>
      <c r="F1091" s="154">
        <v>84.65</v>
      </c>
      <c r="G1091" s="154" t="s">
        <v>12715</v>
      </c>
      <c r="H1091" s="620">
        <v>41</v>
      </c>
      <c r="I1091" s="154" t="s">
        <v>6257</v>
      </c>
      <c r="J1091" s="621" t="s">
        <v>12631</v>
      </c>
      <c r="K1091" s="621" t="s">
        <v>6283</v>
      </c>
      <c r="L1091" s="621">
        <v>1</v>
      </c>
      <c r="M1091" s="154" t="s">
        <v>12638</v>
      </c>
    </row>
    <row r="1092" spans="1:13" ht="11.1" customHeight="1">
      <c r="A1092" s="154" t="s">
        <v>14123</v>
      </c>
      <c r="C1092" s="617">
        <v>6</v>
      </c>
      <c r="D1092" s="618" t="s">
        <v>8698</v>
      </c>
      <c r="E1092" s="619">
        <v>0</v>
      </c>
      <c r="F1092" s="154">
        <v>80.459999999999994</v>
      </c>
      <c r="G1092" s="154" t="s">
        <v>12805</v>
      </c>
      <c r="H1092" s="620">
        <v>51</v>
      </c>
      <c r="I1092" s="154" t="s">
        <v>6257</v>
      </c>
      <c r="J1092" s="621" t="s">
        <v>14124</v>
      </c>
      <c r="K1092" s="621" t="s">
        <v>6036</v>
      </c>
      <c r="L1092" s="621">
        <v>0</v>
      </c>
      <c r="M1092" s="154">
        <v>0</v>
      </c>
    </row>
    <row r="1093" spans="1:13" ht="11.1" customHeight="1">
      <c r="A1093" s="154" t="s">
        <v>14125</v>
      </c>
      <c r="C1093" s="617">
        <v>6</v>
      </c>
      <c r="D1093" s="618" t="s">
        <v>8696</v>
      </c>
      <c r="E1093" s="619">
        <v>0</v>
      </c>
      <c r="F1093" s="154">
        <v>79.17</v>
      </c>
      <c r="G1093" s="154" t="s">
        <v>12046</v>
      </c>
      <c r="H1093" s="620">
        <v>45</v>
      </c>
      <c r="I1093" s="154" t="s">
        <v>6257</v>
      </c>
      <c r="J1093" s="621" t="s">
        <v>12617</v>
      </c>
      <c r="K1093" s="621" t="s">
        <v>6036</v>
      </c>
      <c r="L1093" s="621">
        <v>0</v>
      </c>
      <c r="M1093" s="154" t="s">
        <v>6260</v>
      </c>
    </row>
    <row r="1094" spans="1:13" ht="11.1" customHeight="1">
      <c r="A1094" s="154" t="s">
        <v>14126</v>
      </c>
      <c r="C1094" s="617">
        <v>6</v>
      </c>
      <c r="D1094" s="618" t="s">
        <v>8704</v>
      </c>
      <c r="E1094" s="619">
        <v>0</v>
      </c>
      <c r="F1094" s="154">
        <v>63.61</v>
      </c>
      <c r="G1094" s="154" t="s">
        <v>12038</v>
      </c>
      <c r="H1094" s="620">
        <v>36</v>
      </c>
      <c r="I1094" s="154" t="s">
        <v>6257</v>
      </c>
      <c r="J1094" s="621" t="s">
        <v>12617</v>
      </c>
      <c r="K1094" s="621" t="s">
        <v>6036</v>
      </c>
      <c r="L1094" s="621">
        <v>0</v>
      </c>
      <c r="M1094" s="154" t="s">
        <v>12622</v>
      </c>
    </row>
    <row r="1095" spans="1:13" ht="11.1" customHeight="1">
      <c r="A1095" s="154" t="s">
        <v>14127</v>
      </c>
      <c r="C1095" s="617">
        <v>25</v>
      </c>
      <c r="D1095" s="618" t="s">
        <v>8608</v>
      </c>
      <c r="E1095" s="619">
        <v>0</v>
      </c>
      <c r="F1095" s="154" t="s">
        <v>6262</v>
      </c>
      <c r="G1095" s="154" t="s">
        <v>14128</v>
      </c>
      <c r="H1095" s="620">
        <v>55</v>
      </c>
      <c r="I1095" s="154" t="s">
        <v>6257</v>
      </c>
      <c r="J1095" s="621" t="s">
        <v>12617</v>
      </c>
      <c r="K1095" s="621" t="s">
        <v>6036</v>
      </c>
      <c r="L1095" s="621">
        <v>0</v>
      </c>
      <c r="M1095" s="154">
        <v>0</v>
      </c>
    </row>
    <row r="1096" spans="1:13" ht="11.1" customHeight="1">
      <c r="A1096" s="154" t="s">
        <v>14129</v>
      </c>
      <c r="B1096" s="297" t="s">
        <v>14048</v>
      </c>
      <c r="C1096" s="617">
        <v>6</v>
      </c>
      <c r="D1096" s="618" t="s">
        <v>8714</v>
      </c>
      <c r="E1096" s="619">
        <v>0</v>
      </c>
      <c r="F1096" s="154" t="s">
        <v>6251</v>
      </c>
      <c r="G1096" s="154" t="s">
        <v>6368</v>
      </c>
      <c r="H1096" s="620">
        <v>48</v>
      </c>
      <c r="I1096" s="154" t="s">
        <v>6257</v>
      </c>
      <c r="J1096" s="621" t="s">
        <v>12028</v>
      </c>
      <c r="K1096" s="621" t="s">
        <v>6283</v>
      </c>
      <c r="L1096" s="621">
        <v>1</v>
      </c>
      <c r="M1096" s="154">
        <v>0</v>
      </c>
    </row>
    <row r="1097" spans="1:13" ht="11.1" customHeight="1">
      <c r="A1097" s="154" t="s">
        <v>14130</v>
      </c>
      <c r="B1097" s="297" t="s">
        <v>14048</v>
      </c>
      <c r="C1097" s="617">
        <v>6</v>
      </c>
      <c r="D1097" s="618" t="s">
        <v>8718</v>
      </c>
      <c r="E1097" s="619">
        <v>0</v>
      </c>
      <c r="F1097" s="154" t="s">
        <v>6251</v>
      </c>
      <c r="G1097" s="154" t="s">
        <v>6383</v>
      </c>
      <c r="H1097" s="620">
        <v>38</v>
      </c>
      <c r="I1097" s="154" t="s">
        <v>6257</v>
      </c>
      <c r="J1097" s="621" t="s">
        <v>12631</v>
      </c>
      <c r="K1097" s="621" t="s">
        <v>6209</v>
      </c>
      <c r="L1097" s="621">
        <v>2</v>
      </c>
      <c r="M1097" s="154">
        <v>0</v>
      </c>
    </row>
    <row r="1098" spans="1:13" ht="11.1" customHeight="1">
      <c r="A1098" s="154" t="s">
        <v>14131</v>
      </c>
      <c r="B1098" s="297" t="s">
        <v>14048</v>
      </c>
      <c r="C1098" s="617">
        <v>6</v>
      </c>
      <c r="D1098" s="618" t="s">
        <v>8682</v>
      </c>
      <c r="E1098" s="619">
        <v>0</v>
      </c>
      <c r="F1098" s="154" t="s">
        <v>6251</v>
      </c>
      <c r="G1098" s="154" t="s">
        <v>6401</v>
      </c>
      <c r="H1098" s="620">
        <v>50</v>
      </c>
      <c r="I1098" s="154" t="s">
        <v>6257</v>
      </c>
      <c r="J1098" s="621" t="s">
        <v>12651</v>
      </c>
      <c r="K1098" s="621" t="s">
        <v>6209</v>
      </c>
      <c r="L1098" s="621">
        <v>4</v>
      </c>
      <c r="M1098" s="154" t="s">
        <v>12622</v>
      </c>
    </row>
    <row r="1099" spans="1:13" ht="11.1" customHeight="1">
      <c r="A1099" s="154" t="s">
        <v>14132</v>
      </c>
      <c r="B1099" s="297" t="s">
        <v>14048</v>
      </c>
      <c r="C1099" s="617">
        <v>6</v>
      </c>
      <c r="D1099" s="618" t="s">
        <v>8684</v>
      </c>
      <c r="E1099" s="619">
        <v>0</v>
      </c>
      <c r="F1099" s="154" t="s">
        <v>6251</v>
      </c>
      <c r="G1099" s="154" t="s">
        <v>6442</v>
      </c>
      <c r="H1099" s="620">
        <v>43</v>
      </c>
      <c r="I1099" s="154" t="s">
        <v>6257</v>
      </c>
      <c r="J1099" s="621" t="s">
        <v>12631</v>
      </c>
      <c r="K1099" s="621" t="s">
        <v>6036</v>
      </c>
      <c r="L1099" s="621">
        <v>0</v>
      </c>
      <c r="M1099" s="154" t="s">
        <v>6260</v>
      </c>
    </row>
    <row r="1100" spans="1:13" ht="11.1" customHeight="1">
      <c r="A1100" s="154" t="s">
        <v>14133</v>
      </c>
      <c r="B1100" s="297" t="s">
        <v>14048</v>
      </c>
      <c r="C1100" s="617">
        <v>6</v>
      </c>
      <c r="D1100" s="618" t="s">
        <v>8686</v>
      </c>
      <c r="E1100" s="619">
        <v>0</v>
      </c>
      <c r="F1100" s="154" t="s">
        <v>6251</v>
      </c>
      <c r="G1100" s="154" t="s">
        <v>6448</v>
      </c>
      <c r="H1100" s="620">
        <v>50</v>
      </c>
      <c r="I1100" s="154" t="s">
        <v>6257</v>
      </c>
      <c r="J1100" s="621" t="s">
        <v>12028</v>
      </c>
      <c r="K1100" s="621" t="s">
        <v>6209</v>
      </c>
      <c r="L1100" s="621">
        <v>1</v>
      </c>
      <c r="M1100" s="154">
        <v>0</v>
      </c>
    </row>
    <row r="1101" spans="1:13" ht="11.1" customHeight="1">
      <c r="A1101" s="154" t="s">
        <v>14134</v>
      </c>
      <c r="B1101" s="297" t="s">
        <v>14048</v>
      </c>
      <c r="C1101" s="617">
        <v>6</v>
      </c>
      <c r="D1101" s="618" t="s">
        <v>8720</v>
      </c>
      <c r="E1101" s="619">
        <v>0</v>
      </c>
      <c r="F1101" s="154" t="s">
        <v>6251</v>
      </c>
      <c r="G1101" s="154" t="s">
        <v>6458</v>
      </c>
      <c r="H1101" s="620">
        <v>43</v>
      </c>
      <c r="I1101" s="154" t="s">
        <v>6257</v>
      </c>
      <c r="J1101" s="621" t="s">
        <v>12651</v>
      </c>
      <c r="K1101" s="621" t="s">
        <v>6283</v>
      </c>
      <c r="L1101" s="621">
        <v>1</v>
      </c>
      <c r="M1101" s="154" t="s">
        <v>12638</v>
      </c>
    </row>
    <row r="1102" spans="1:13" ht="11.1" customHeight="1">
      <c r="A1102" s="154" t="s">
        <v>14135</v>
      </c>
      <c r="B1102" s="297" t="s">
        <v>14048</v>
      </c>
      <c r="C1102" s="617">
        <v>6</v>
      </c>
      <c r="D1102" s="618" t="s">
        <v>8672</v>
      </c>
      <c r="E1102" s="619">
        <v>0</v>
      </c>
      <c r="F1102" s="154" t="s">
        <v>6251</v>
      </c>
      <c r="G1102" s="154" t="s">
        <v>6498</v>
      </c>
      <c r="H1102" s="620">
        <v>53</v>
      </c>
      <c r="I1102" s="154" t="s">
        <v>6257</v>
      </c>
      <c r="J1102" s="621" t="s">
        <v>12773</v>
      </c>
      <c r="K1102" s="621" t="s">
        <v>6283</v>
      </c>
      <c r="L1102" s="621">
        <v>2</v>
      </c>
      <c r="M1102" s="154" t="s">
        <v>12622</v>
      </c>
    </row>
    <row r="1103" spans="1:13" ht="11.1" customHeight="1">
      <c r="A1103" s="154" t="s">
        <v>14136</v>
      </c>
      <c r="B1103" s="297" t="s">
        <v>14048</v>
      </c>
      <c r="C1103" s="617">
        <v>6</v>
      </c>
      <c r="D1103" s="618" t="s">
        <v>8700</v>
      </c>
      <c r="E1103" s="619">
        <v>0</v>
      </c>
      <c r="F1103" s="154" t="s">
        <v>6251</v>
      </c>
      <c r="G1103" s="154" t="s">
        <v>12064</v>
      </c>
      <c r="H1103" s="620">
        <v>65</v>
      </c>
      <c r="I1103" s="154" t="s">
        <v>6257</v>
      </c>
      <c r="J1103" s="621" t="s">
        <v>12674</v>
      </c>
      <c r="K1103" s="621" t="s">
        <v>6209</v>
      </c>
      <c r="L1103" s="621">
        <v>4</v>
      </c>
      <c r="M1103" s="154" t="s">
        <v>12622</v>
      </c>
    </row>
    <row r="1104" spans="1:13" ht="11.1" customHeight="1">
      <c r="A1104" s="154" t="s">
        <v>14137</v>
      </c>
      <c r="B1104" s="297" t="s">
        <v>14048</v>
      </c>
      <c r="C1104" s="617">
        <v>6</v>
      </c>
      <c r="D1104" s="618" t="s">
        <v>8678</v>
      </c>
      <c r="E1104" s="619">
        <v>0</v>
      </c>
      <c r="F1104" s="154" t="s">
        <v>6251</v>
      </c>
      <c r="G1104" s="154" t="s">
        <v>12788</v>
      </c>
      <c r="H1104" s="620">
        <v>66</v>
      </c>
      <c r="I1104" s="154" t="s">
        <v>6257</v>
      </c>
      <c r="J1104" s="621" t="s">
        <v>12674</v>
      </c>
      <c r="K1104" s="621" t="s">
        <v>6209</v>
      </c>
      <c r="L1104" s="621">
        <v>3</v>
      </c>
      <c r="M1104" s="154" t="s">
        <v>12638</v>
      </c>
    </row>
    <row r="1105" spans="1:16" ht="11.1" customHeight="1">
      <c r="A1105" s="154" t="s">
        <v>14138</v>
      </c>
      <c r="B1105" s="297" t="s">
        <v>14048</v>
      </c>
      <c r="C1105" s="617">
        <v>6</v>
      </c>
      <c r="D1105" s="618" t="s">
        <v>8680</v>
      </c>
      <c r="E1105" s="619">
        <v>0</v>
      </c>
      <c r="F1105" s="154" t="s">
        <v>6251</v>
      </c>
      <c r="G1105" s="154" t="s">
        <v>12068</v>
      </c>
      <c r="H1105" s="620">
        <v>52</v>
      </c>
      <c r="I1105" s="154" t="s">
        <v>6257</v>
      </c>
      <c r="J1105" s="621" t="s">
        <v>12651</v>
      </c>
      <c r="K1105" s="621" t="s">
        <v>6209</v>
      </c>
      <c r="L1105" s="621">
        <v>3</v>
      </c>
      <c r="M1105" s="154" t="s">
        <v>12638</v>
      </c>
    </row>
    <row r="1106" spans="1:16" ht="11.1" customHeight="1">
      <c r="A1106" s="154" t="s">
        <v>14139</v>
      </c>
      <c r="B1106" s="297" t="s">
        <v>14048</v>
      </c>
      <c r="C1106" s="617">
        <v>6</v>
      </c>
      <c r="D1106" s="618" t="s">
        <v>8692</v>
      </c>
      <c r="E1106" s="619">
        <v>0</v>
      </c>
      <c r="F1106" s="154" t="s">
        <v>6251</v>
      </c>
      <c r="G1106" s="154" t="s">
        <v>6549</v>
      </c>
      <c r="H1106" s="620">
        <v>59</v>
      </c>
      <c r="I1106" s="154" t="s">
        <v>6257</v>
      </c>
      <c r="J1106" s="621" t="s">
        <v>12631</v>
      </c>
      <c r="K1106" s="621" t="s">
        <v>6209</v>
      </c>
      <c r="L1106" s="621">
        <v>4</v>
      </c>
      <c r="M1106" s="154" t="s">
        <v>12638</v>
      </c>
    </row>
    <row r="1107" spans="1:16" ht="11.1" customHeight="1">
      <c r="A1107" s="154" t="s">
        <v>14140</v>
      </c>
      <c r="B1107" s="297" t="s">
        <v>12590</v>
      </c>
      <c r="C1107" s="617">
        <v>1</v>
      </c>
      <c r="D1107" s="618" t="s">
        <v>8684</v>
      </c>
      <c r="E1107" s="619">
        <v>0</v>
      </c>
      <c r="F1107" s="154">
        <v>99.69</v>
      </c>
      <c r="G1107" s="154" t="s">
        <v>6440</v>
      </c>
      <c r="H1107" s="620">
        <v>32</v>
      </c>
      <c r="I1107" s="154" t="s">
        <v>6253</v>
      </c>
      <c r="J1107" s="621" t="s">
        <v>11994</v>
      </c>
      <c r="K1107" s="621" t="s">
        <v>6036</v>
      </c>
      <c r="L1107" s="621">
        <v>0</v>
      </c>
      <c r="M1107" s="154">
        <v>0</v>
      </c>
      <c r="N1107" s="298">
        <v>5</v>
      </c>
      <c r="O1107" s="298">
        <v>1784768</v>
      </c>
      <c r="P1107" s="298">
        <v>37.434507314625812</v>
      </c>
    </row>
    <row r="1108" spans="1:16" ht="11.1" customHeight="1">
      <c r="A1108" s="154" t="s">
        <v>14141</v>
      </c>
      <c r="B1108" s="297" t="s">
        <v>12590</v>
      </c>
      <c r="C1108" s="617">
        <v>1</v>
      </c>
      <c r="D1108" s="618" t="s">
        <v>8680</v>
      </c>
      <c r="E1108" s="619">
        <v>0</v>
      </c>
      <c r="F1108" s="154">
        <v>86.84</v>
      </c>
      <c r="G1108" s="154" t="s">
        <v>12069</v>
      </c>
      <c r="H1108" s="620">
        <v>56</v>
      </c>
      <c r="I1108" s="154" t="s">
        <v>6253</v>
      </c>
      <c r="J1108" s="621" t="s">
        <v>11994</v>
      </c>
      <c r="K1108" s="621" t="s">
        <v>6283</v>
      </c>
      <c r="L1108" s="621">
        <v>2</v>
      </c>
      <c r="M1108" s="154">
        <v>0</v>
      </c>
    </row>
    <row r="1109" spans="1:16" ht="11.1" customHeight="1">
      <c r="A1109" s="154" t="s">
        <v>14142</v>
      </c>
      <c r="B1109" s="297" t="s">
        <v>12590</v>
      </c>
      <c r="C1109" s="617">
        <v>1</v>
      </c>
      <c r="D1109" s="618" t="s">
        <v>8700</v>
      </c>
      <c r="E1109" s="619">
        <v>0</v>
      </c>
      <c r="F1109" s="154">
        <v>85.76</v>
      </c>
      <c r="G1109" s="154" t="s">
        <v>6506</v>
      </c>
      <c r="H1109" s="620">
        <v>38</v>
      </c>
      <c r="I1109" s="154" t="s">
        <v>6253</v>
      </c>
      <c r="J1109" s="621" t="s">
        <v>12007</v>
      </c>
      <c r="K1109" s="621" t="s">
        <v>6036</v>
      </c>
      <c r="L1109" s="621">
        <v>0</v>
      </c>
      <c r="M1109" s="154">
        <v>0</v>
      </c>
    </row>
    <row r="1110" spans="1:16" ht="11.1" customHeight="1">
      <c r="A1110" s="154" t="s">
        <v>14143</v>
      </c>
      <c r="B1110" s="297" t="s">
        <v>12590</v>
      </c>
      <c r="C1110" s="617">
        <v>1</v>
      </c>
      <c r="D1110" s="618" t="s">
        <v>8692</v>
      </c>
      <c r="E1110" s="619">
        <v>0</v>
      </c>
      <c r="F1110" s="154">
        <v>83.98</v>
      </c>
      <c r="G1110" s="154" t="s">
        <v>12074</v>
      </c>
      <c r="H1110" s="620">
        <v>54</v>
      </c>
      <c r="I1110" s="154" t="s">
        <v>6253</v>
      </c>
      <c r="J1110" s="621" t="s">
        <v>12007</v>
      </c>
      <c r="K1110" s="621" t="s">
        <v>6036</v>
      </c>
      <c r="L1110" s="621">
        <v>0</v>
      </c>
      <c r="M1110" s="154">
        <v>0</v>
      </c>
    </row>
    <row r="1111" spans="1:16" ht="11.1" customHeight="1">
      <c r="A1111" s="154" t="s">
        <v>14144</v>
      </c>
      <c r="B1111" s="297" t="s">
        <v>12590</v>
      </c>
      <c r="C1111" s="617">
        <v>1</v>
      </c>
      <c r="D1111" s="618" t="s">
        <v>8672</v>
      </c>
      <c r="E1111" s="619">
        <v>0</v>
      </c>
      <c r="F1111" s="154">
        <v>80.959999999999994</v>
      </c>
      <c r="G1111" s="154" t="s">
        <v>6496</v>
      </c>
      <c r="H1111" s="620">
        <v>61</v>
      </c>
      <c r="I1111" s="154" t="s">
        <v>6253</v>
      </c>
      <c r="J1111" s="621" t="s">
        <v>11994</v>
      </c>
      <c r="K1111" s="621" t="s">
        <v>6209</v>
      </c>
      <c r="L1111" s="621">
        <v>9</v>
      </c>
      <c r="M1111" s="154">
        <v>0</v>
      </c>
    </row>
    <row r="1112" spans="1:16" ht="11.1" customHeight="1">
      <c r="A1112" s="154" t="s">
        <v>14145</v>
      </c>
      <c r="C1112" s="617">
        <v>1</v>
      </c>
      <c r="D1112" s="618" t="s">
        <v>8716</v>
      </c>
      <c r="E1112" s="619">
        <v>0</v>
      </c>
      <c r="F1112" s="154">
        <v>80.86</v>
      </c>
      <c r="G1112" s="154" t="s">
        <v>6379</v>
      </c>
      <c r="H1112" s="620">
        <v>34</v>
      </c>
      <c r="I1112" s="154" t="s">
        <v>6253</v>
      </c>
      <c r="J1112" s="621" t="s">
        <v>11994</v>
      </c>
      <c r="K1112" s="621" t="s">
        <v>6036</v>
      </c>
      <c r="L1112" s="621">
        <v>0</v>
      </c>
      <c r="M1112" s="154" t="s">
        <v>7918</v>
      </c>
    </row>
    <row r="1113" spans="1:16" ht="11.1" customHeight="1">
      <c r="A1113" s="154" t="s">
        <v>14146</v>
      </c>
      <c r="C1113" s="617">
        <v>1</v>
      </c>
      <c r="D1113" s="618" t="s">
        <v>8678</v>
      </c>
      <c r="E1113" s="619">
        <v>0</v>
      </c>
      <c r="F1113" s="154">
        <v>72.88</v>
      </c>
      <c r="G1113" s="154" t="s">
        <v>12066</v>
      </c>
      <c r="H1113" s="620">
        <v>36</v>
      </c>
      <c r="I1113" s="154" t="s">
        <v>6253</v>
      </c>
      <c r="J1113" s="621" t="s">
        <v>12020</v>
      </c>
      <c r="K1113" s="621" t="s">
        <v>6036</v>
      </c>
      <c r="L1113" s="621">
        <v>0</v>
      </c>
      <c r="M1113" s="154">
        <v>0</v>
      </c>
    </row>
    <row r="1114" spans="1:16" ht="11.1" customHeight="1">
      <c r="A1114" s="154" t="s">
        <v>14147</v>
      </c>
      <c r="C1114" s="617">
        <v>1</v>
      </c>
      <c r="D1114" s="618" t="s">
        <v>8720</v>
      </c>
      <c r="E1114" s="619">
        <v>0</v>
      </c>
      <c r="F1114" s="154">
        <v>70.599999999999994</v>
      </c>
      <c r="G1114" s="154" t="s">
        <v>12751</v>
      </c>
      <c r="H1114" s="620">
        <v>58</v>
      </c>
      <c r="I1114" s="154" t="s">
        <v>6253</v>
      </c>
      <c r="J1114" s="621" t="s">
        <v>11994</v>
      </c>
      <c r="K1114" s="621" t="s">
        <v>6209</v>
      </c>
      <c r="L1114" s="621">
        <v>5</v>
      </c>
      <c r="M1114" s="154">
        <v>0</v>
      </c>
    </row>
    <row r="1115" spans="1:16" ht="11.1" customHeight="1">
      <c r="A1115" s="154" t="s">
        <v>14148</v>
      </c>
      <c r="C1115" s="617">
        <v>1</v>
      </c>
      <c r="D1115" s="618" t="s">
        <v>8682</v>
      </c>
      <c r="E1115" s="619">
        <v>0</v>
      </c>
      <c r="F1115" s="154">
        <v>62.13</v>
      </c>
      <c r="G1115" s="154" t="s">
        <v>12710</v>
      </c>
      <c r="H1115" s="620">
        <v>61</v>
      </c>
      <c r="I1115" s="154" t="s">
        <v>6253</v>
      </c>
      <c r="J1115" s="621" t="s">
        <v>12020</v>
      </c>
      <c r="K1115" s="621" t="s">
        <v>6209</v>
      </c>
      <c r="L1115" s="621">
        <v>2</v>
      </c>
      <c r="M1115" s="154">
        <v>0</v>
      </c>
    </row>
    <row r="1116" spans="1:16" ht="11.1" customHeight="1">
      <c r="A1116" s="154" t="s">
        <v>14149</v>
      </c>
      <c r="C1116" s="617">
        <v>1</v>
      </c>
      <c r="D1116" s="618" t="s">
        <v>8722</v>
      </c>
      <c r="E1116" s="619">
        <v>0</v>
      </c>
      <c r="F1116" s="154">
        <v>61.91</v>
      </c>
      <c r="G1116" s="154" t="s">
        <v>12785</v>
      </c>
      <c r="H1116" s="620">
        <v>34</v>
      </c>
      <c r="I1116" s="154" t="s">
        <v>6253</v>
      </c>
      <c r="J1116" s="621" t="s">
        <v>12007</v>
      </c>
      <c r="K1116" s="621" t="s">
        <v>6209</v>
      </c>
      <c r="L1116" s="621">
        <v>1</v>
      </c>
      <c r="M1116" s="154">
        <v>0</v>
      </c>
    </row>
    <row r="1117" spans="1:16" ht="11.1" customHeight="1">
      <c r="A1117" s="154" t="s">
        <v>14150</v>
      </c>
      <c r="C1117" s="617">
        <v>1</v>
      </c>
      <c r="D1117" s="618" t="s">
        <v>8686</v>
      </c>
      <c r="E1117" s="619">
        <v>0</v>
      </c>
      <c r="F1117" s="154">
        <v>53.01</v>
      </c>
      <c r="G1117" s="154" t="s">
        <v>12743</v>
      </c>
      <c r="H1117" s="620">
        <v>40</v>
      </c>
      <c r="I1117" s="154" t="s">
        <v>6253</v>
      </c>
      <c r="J1117" s="621" t="s">
        <v>12007</v>
      </c>
      <c r="K1117" s="621" t="s">
        <v>6036</v>
      </c>
      <c r="L1117" s="621">
        <v>0</v>
      </c>
      <c r="M1117" s="154">
        <v>0</v>
      </c>
    </row>
    <row r="1118" spans="1:16" ht="11.1" customHeight="1">
      <c r="A1118" s="154" t="s">
        <v>14151</v>
      </c>
      <c r="C1118" s="617">
        <v>1</v>
      </c>
      <c r="D1118" s="618" t="s">
        <v>8674</v>
      </c>
      <c r="E1118" s="619">
        <v>0</v>
      </c>
      <c r="F1118" s="154">
        <v>51.21</v>
      </c>
      <c r="G1118" s="154" t="s">
        <v>6483</v>
      </c>
      <c r="H1118" s="620">
        <v>33</v>
      </c>
      <c r="I1118" s="154" t="s">
        <v>6253</v>
      </c>
      <c r="J1118" s="621" t="s">
        <v>12007</v>
      </c>
      <c r="K1118" s="621" t="s">
        <v>6036</v>
      </c>
      <c r="L1118" s="621">
        <v>0</v>
      </c>
      <c r="M1118" s="154" t="s">
        <v>6154</v>
      </c>
    </row>
    <row r="1119" spans="1:16" ht="11.1" customHeight="1">
      <c r="A1119" s="154" t="s">
        <v>14152</v>
      </c>
      <c r="C1119" s="617">
        <v>1</v>
      </c>
      <c r="D1119" s="618" t="s">
        <v>8718</v>
      </c>
      <c r="E1119" s="619">
        <v>0</v>
      </c>
      <c r="F1119" s="154">
        <v>36.92</v>
      </c>
      <c r="G1119" s="154" t="s">
        <v>12033</v>
      </c>
      <c r="H1119" s="620">
        <v>53</v>
      </c>
      <c r="I1119" s="154" t="s">
        <v>6253</v>
      </c>
      <c r="J1119" s="621" t="s">
        <v>12000</v>
      </c>
      <c r="K1119" s="621" t="s">
        <v>6283</v>
      </c>
      <c r="L1119" s="621">
        <v>2</v>
      </c>
      <c r="M1119" s="154">
        <v>0</v>
      </c>
    </row>
    <row r="1120" spans="1:16" ht="11.1" customHeight="1">
      <c r="A1120" s="154" t="s">
        <v>14153</v>
      </c>
      <c r="B1120" s="297" t="s">
        <v>6231</v>
      </c>
      <c r="C1120" s="617">
        <v>1</v>
      </c>
      <c r="D1120" s="618" t="s">
        <v>8741</v>
      </c>
      <c r="E1120" s="619">
        <v>0</v>
      </c>
      <c r="F1120" s="154">
        <v>19.309999999999999</v>
      </c>
      <c r="G1120" s="154" t="s">
        <v>12681</v>
      </c>
      <c r="H1120" s="620">
        <v>50</v>
      </c>
      <c r="I1120" s="154" t="s">
        <v>6253</v>
      </c>
      <c r="J1120" s="621" t="s">
        <v>12007</v>
      </c>
      <c r="K1120" s="621" t="s">
        <v>6036</v>
      </c>
      <c r="L1120" s="621">
        <v>0</v>
      </c>
      <c r="M1120" s="154">
        <v>0</v>
      </c>
    </row>
    <row r="1121" spans="1:16" ht="11.1" customHeight="1">
      <c r="A1121" s="154" t="s">
        <v>14154</v>
      </c>
      <c r="B1121" s="297" t="s">
        <v>14048</v>
      </c>
      <c r="C1121" s="617">
        <v>1</v>
      </c>
      <c r="D1121" s="618" t="s">
        <v>8704</v>
      </c>
      <c r="E1121" s="619">
        <v>0</v>
      </c>
      <c r="F1121" s="154" t="s">
        <v>6251</v>
      </c>
      <c r="G1121" s="154" t="s">
        <v>12037</v>
      </c>
      <c r="H1121" s="620">
        <v>39</v>
      </c>
      <c r="I1121" s="154" t="s">
        <v>6253</v>
      </c>
      <c r="J1121" s="621" t="s">
        <v>12020</v>
      </c>
      <c r="K1121" s="621" t="s">
        <v>6209</v>
      </c>
      <c r="L1121" s="621">
        <v>2</v>
      </c>
      <c r="M1121" s="154">
        <v>0</v>
      </c>
    </row>
    <row r="1122" spans="1:16" ht="11.1" customHeight="1">
      <c r="A1122" s="154" t="s">
        <v>14155</v>
      </c>
      <c r="B1122" s="297" t="s">
        <v>14048</v>
      </c>
      <c r="C1122" s="617">
        <v>1</v>
      </c>
      <c r="D1122" s="618" t="s">
        <v>8702</v>
      </c>
      <c r="E1122" s="619">
        <v>0</v>
      </c>
      <c r="F1122" s="154" t="s">
        <v>6251</v>
      </c>
      <c r="G1122" s="154" t="s">
        <v>6406</v>
      </c>
      <c r="H1122" s="620">
        <v>50</v>
      </c>
      <c r="I1122" s="154" t="s">
        <v>6253</v>
      </c>
      <c r="J1122" s="621" t="s">
        <v>12020</v>
      </c>
      <c r="K1122" s="621" t="s">
        <v>6209</v>
      </c>
      <c r="L1122" s="621">
        <v>1</v>
      </c>
      <c r="M1122" s="154">
        <v>0</v>
      </c>
    </row>
    <row r="1123" spans="1:16" ht="11.1" customHeight="1">
      <c r="A1123" s="154" t="s">
        <v>14156</v>
      </c>
      <c r="B1123" s="297" t="s">
        <v>14048</v>
      </c>
      <c r="C1123" s="617">
        <v>1</v>
      </c>
      <c r="D1123" s="618" t="s">
        <v>8696</v>
      </c>
      <c r="E1123" s="619">
        <v>0</v>
      </c>
      <c r="F1123" s="154" t="s">
        <v>6251</v>
      </c>
      <c r="G1123" s="154" t="s">
        <v>12723</v>
      </c>
      <c r="H1123" s="620">
        <v>55</v>
      </c>
      <c r="I1123" s="154" t="s">
        <v>6253</v>
      </c>
      <c r="J1123" s="621" t="s">
        <v>11989</v>
      </c>
      <c r="K1123" s="621" t="s">
        <v>6209</v>
      </c>
      <c r="L1123" s="621">
        <v>1</v>
      </c>
      <c r="M1123" s="154">
        <v>0</v>
      </c>
    </row>
    <row r="1124" spans="1:16" ht="11.1" customHeight="1">
      <c r="A1124" s="154" t="s">
        <v>14157</v>
      </c>
      <c r="B1124" s="297" t="s">
        <v>14048</v>
      </c>
      <c r="C1124" s="617">
        <v>1</v>
      </c>
      <c r="D1124" s="618" t="s">
        <v>8694</v>
      </c>
      <c r="E1124" s="619">
        <v>0</v>
      </c>
      <c r="F1124" s="154" t="s">
        <v>6251</v>
      </c>
      <c r="G1124" s="154" t="s">
        <v>12728</v>
      </c>
      <c r="H1124" s="620">
        <v>38</v>
      </c>
      <c r="I1124" s="154" t="s">
        <v>6253</v>
      </c>
      <c r="J1124" s="621" t="s">
        <v>12007</v>
      </c>
      <c r="K1124" s="621" t="s">
        <v>6209</v>
      </c>
      <c r="L1124" s="621">
        <v>1</v>
      </c>
      <c r="M1124" s="154">
        <v>0</v>
      </c>
    </row>
    <row r="1125" spans="1:16" ht="11.1" customHeight="1">
      <c r="A1125" s="154" t="s">
        <v>14158</v>
      </c>
      <c r="B1125" s="297" t="s">
        <v>14048</v>
      </c>
      <c r="C1125" s="617">
        <v>1</v>
      </c>
      <c r="D1125" s="618" t="s">
        <v>8688</v>
      </c>
      <c r="E1125" s="619">
        <v>0</v>
      </c>
      <c r="F1125" s="154" t="s">
        <v>6251</v>
      </c>
      <c r="G1125" s="154" t="s">
        <v>12052</v>
      </c>
      <c r="H1125" s="620">
        <v>41</v>
      </c>
      <c r="I1125" s="154" t="s">
        <v>6253</v>
      </c>
      <c r="J1125" s="621" t="s">
        <v>12000</v>
      </c>
      <c r="K1125" s="621" t="s">
        <v>6209</v>
      </c>
      <c r="L1125" s="621">
        <v>2</v>
      </c>
      <c r="M1125" s="154">
        <v>0</v>
      </c>
    </row>
    <row r="1126" spans="1:16" ht="11.1" customHeight="1">
      <c r="A1126" s="154" t="s">
        <v>14159</v>
      </c>
      <c r="B1126" s="297" t="s">
        <v>14048</v>
      </c>
      <c r="C1126" s="617">
        <v>1</v>
      </c>
      <c r="D1126" s="618" t="s">
        <v>8690</v>
      </c>
      <c r="E1126" s="619">
        <v>0</v>
      </c>
      <c r="F1126" s="154" t="s">
        <v>6251</v>
      </c>
      <c r="G1126" s="154" t="s">
        <v>12056</v>
      </c>
      <c r="H1126" s="620">
        <v>27</v>
      </c>
      <c r="I1126" s="154" t="s">
        <v>6253</v>
      </c>
      <c r="J1126" s="621" t="s">
        <v>12007</v>
      </c>
      <c r="K1126" s="621" t="s">
        <v>6036</v>
      </c>
      <c r="L1126" s="621">
        <v>0</v>
      </c>
      <c r="M1126" s="154">
        <v>0</v>
      </c>
    </row>
    <row r="1127" spans="1:16" ht="11.1" customHeight="1">
      <c r="A1127" s="154" t="s">
        <v>14160</v>
      </c>
      <c r="B1127" s="297" t="s">
        <v>14048</v>
      </c>
      <c r="C1127" s="617">
        <v>1</v>
      </c>
      <c r="D1127" s="618" t="s">
        <v>8668</v>
      </c>
      <c r="E1127" s="619">
        <v>0</v>
      </c>
      <c r="F1127" s="154" t="s">
        <v>6251</v>
      </c>
      <c r="G1127" s="154" t="s">
        <v>6535</v>
      </c>
      <c r="H1127" s="620">
        <v>39</v>
      </c>
      <c r="I1127" s="154" t="s">
        <v>6253</v>
      </c>
      <c r="J1127" s="621" t="s">
        <v>12000</v>
      </c>
      <c r="K1127" s="621" t="s">
        <v>6209</v>
      </c>
      <c r="L1127" s="621">
        <v>3</v>
      </c>
      <c r="M1127" s="154">
        <v>0</v>
      </c>
    </row>
    <row r="1128" spans="1:16" ht="11.1" customHeight="1">
      <c r="A1128" s="154" t="s">
        <v>14161</v>
      </c>
      <c r="B1128" s="297" t="s">
        <v>12590</v>
      </c>
      <c r="C1128" s="617">
        <v>1</v>
      </c>
      <c r="D1128" s="618" t="s">
        <v>8608</v>
      </c>
      <c r="E1128" s="619">
        <v>0</v>
      </c>
      <c r="F1128" s="154" t="s">
        <v>6262</v>
      </c>
      <c r="G1128" s="154" t="s">
        <v>8760</v>
      </c>
      <c r="H1128" s="620">
        <v>56</v>
      </c>
      <c r="I1128" s="154" t="s">
        <v>6929</v>
      </c>
      <c r="J1128" s="621">
        <v>0</v>
      </c>
      <c r="K1128" s="621" t="s">
        <v>6209</v>
      </c>
      <c r="L1128" s="621">
        <v>3</v>
      </c>
      <c r="M1128" s="154">
        <v>0</v>
      </c>
      <c r="N1128" s="298">
        <v>1</v>
      </c>
      <c r="O1128" s="298">
        <v>565179</v>
      </c>
      <c r="P1128" s="298">
        <v>11.854312386580721</v>
      </c>
    </row>
    <row r="1129" spans="1:16" ht="11.1" customHeight="1">
      <c r="A1129" s="154" t="s">
        <v>14162</v>
      </c>
      <c r="C1129" s="617">
        <v>2</v>
      </c>
      <c r="D1129" s="618" t="s">
        <v>8608</v>
      </c>
      <c r="E1129" s="619">
        <v>0</v>
      </c>
      <c r="F1129" s="154" t="s">
        <v>6262</v>
      </c>
      <c r="G1129" s="154" t="s">
        <v>14163</v>
      </c>
      <c r="H1129" s="620">
        <v>51</v>
      </c>
      <c r="I1129" s="154" t="s">
        <v>6929</v>
      </c>
      <c r="J1129" s="621">
        <v>0</v>
      </c>
      <c r="K1129" s="621" t="s">
        <v>6036</v>
      </c>
      <c r="L1129" s="621">
        <v>0</v>
      </c>
      <c r="M1129" s="154">
        <v>0</v>
      </c>
    </row>
    <row r="1130" spans="1:16" ht="11.1" customHeight="1">
      <c r="A1130" s="154" t="s">
        <v>14164</v>
      </c>
      <c r="C1130" s="617">
        <v>3</v>
      </c>
      <c r="D1130" s="618" t="s">
        <v>8608</v>
      </c>
      <c r="E1130" s="619">
        <v>0</v>
      </c>
      <c r="F1130" s="154" t="s">
        <v>6262</v>
      </c>
      <c r="G1130" s="154" t="s">
        <v>14165</v>
      </c>
      <c r="H1130" s="620">
        <v>54</v>
      </c>
      <c r="I1130" s="154" t="s">
        <v>6929</v>
      </c>
      <c r="J1130" s="621">
        <v>0</v>
      </c>
      <c r="K1130" s="621" t="s">
        <v>6036</v>
      </c>
      <c r="L1130" s="621">
        <v>0</v>
      </c>
      <c r="M1130" s="154">
        <v>0</v>
      </c>
    </row>
    <row r="1131" spans="1:16" ht="11.1" customHeight="1">
      <c r="A1131" s="154" t="s">
        <v>14166</v>
      </c>
      <c r="B1131" s="297" t="s">
        <v>12590</v>
      </c>
      <c r="C1131" s="617">
        <v>1</v>
      </c>
      <c r="D1131" s="618" t="s">
        <v>8608</v>
      </c>
      <c r="E1131" s="619">
        <v>0</v>
      </c>
      <c r="F1131" s="154" t="s">
        <v>6262</v>
      </c>
      <c r="G1131" s="154" t="s">
        <v>8766</v>
      </c>
      <c r="H1131" s="620">
        <v>44</v>
      </c>
      <c r="I1131" s="154" t="s">
        <v>6264</v>
      </c>
      <c r="J1131" s="621">
        <v>0</v>
      </c>
      <c r="K1131" s="621" t="s">
        <v>6036</v>
      </c>
      <c r="L1131" s="621">
        <v>0</v>
      </c>
      <c r="M1131" s="154">
        <v>0</v>
      </c>
      <c r="N1131" s="298">
        <v>1</v>
      </c>
      <c r="O1131" s="298">
        <v>313290</v>
      </c>
      <c r="P1131" s="298">
        <v>6.5710819538444891</v>
      </c>
    </row>
    <row r="1132" spans="1:16" ht="11.1" customHeight="1">
      <c r="A1132" s="154" t="s">
        <v>14167</v>
      </c>
      <c r="C1132" s="617">
        <v>3</v>
      </c>
      <c r="D1132" s="618" t="s">
        <v>8608</v>
      </c>
      <c r="E1132" s="619">
        <v>0</v>
      </c>
      <c r="F1132" s="154" t="s">
        <v>6262</v>
      </c>
      <c r="G1132" s="154" t="s">
        <v>14168</v>
      </c>
      <c r="H1132" s="620">
        <v>36</v>
      </c>
      <c r="I1132" s="154" t="s">
        <v>6264</v>
      </c>
      <c r="J1132" s="621">
        <v>0</v>
      </c>
      <c r="K1132" s="621" t="s">
        <v>6036</v>
      </c>
      <c r="L1132" s="621">
        <v>0</v>
      </c>
      <c r="M1132" s="154">
        <v>0</v>
      </c>
    </row>
    <row r="1133" spans="1:16" ht="11.1" customHeight="1">
      <c r="A1133" s="154" t="s">
        <v>14169</v>
      </c>
      <c r="B1133" s="297" t="s">
        <v>6231</v>
      </c>
      <c r="C1133" s="617">
        <v>2</v>
      </c>
      <c r="D1133" s="618" t="s">
        <v>8694</v>
      </c>
      <c r="E1133" s="619">
        <v>0</v>
      </c>
      <c r="F1133" s="154">
        <v>11.54</v>
      </c>
      <c r="G1133" s="154" t="s">
        <v>12049</v>
      </c>
      <c r="H1133" s="620">
        <v>52</v>
      </c>
      <c r="I1133" s="154" t="s">
        <v>6264</v>
      </c>
      <c r="J1133" s="621">
        <v>0</v>
      </c>
      <c r="K1133" s="621" t="s">
        <v>6036</v>
      </c>
      <c r="L1133" s="621">
        <v>0</v>
      </c>
      <c r="M1133" s="154">
        <v>0</v>
      </c>
    </row>
    <row r="1134" spans="1:16" ht="11.1" customHeight="1">
      <c r="A1134" s="154" t="s">
        <v>14170</v>
      </c>
      <c r="B1134" s="297" t="s">
        <v>12590</v>
      </c>
      <c r="C1134" s="617">
        <v>1</v>
      </c>
      <c r="D1134" s="618" t="s">
        <v>8674</v>
      </c>
      <c r="E1134" s="619">
        <v>0</v>
      </c>
      <c r="F1134" s="154">
        <v>25.27</v>
      </c>
      <c r="G1134" s="154" t="s">
        <v>6480</v>
      </c>
      <c r="H1134" s="620">
        <v>47</v>
      </c>
      <c r="I1134" s="154" t="s">
        <v>6278</v>
      </c>
      <c r="J1134" s="621">
        <v>0</v>
      </c>
      <c r="K1134" s="621" t="s">
        <v>6036</v>
      </c>
      <c r="L1134" s="621">
        <v>0</v>
      </c>
      <c r="M1134" s="154">
        <v>0</v>
      </c>
      <c r="N1134" s="298">
        <v>1</v>
      </c>
      <c r="O1134" s="298">
        <v>310187</v>
      </c>
      <c r="P1134" s="298">
        <v>6.5059982700282823</v>
      </c>
    </row>
    <row r="1135" spans="1:16" ht="11.1" customHeight="1">
      <c r="A1135" s="154" t="s">
        <v>14171</v>
      </c>
      <c r="C1135" s="617">
        <v>1</v>
      </c>
      <c r="D1135" s="618" t="s">
        <v>8714</v>
      </c>
      <c r="E1135" s="619">
        <v>0</v>
      </c>
      <c r="F1135" s="154">
        <v>22.25</v>
      </c>
      <c r="G1135" s="154" t="s">
        <v>12690</v>
      </c>
      <c r="H1135" s="620">
        <v>64</v>
      </c>
      <c r="I1135" s="154" t="s">
        <v>6278</v>
      </c>
      <c r="J1135" s="621">
        <v>0</v>
      </c>
      <c r="K1135" s="621" t="s">
        <v>6036</v>
      </c>
      <c r="L1135" s="621">
        <v>0</v>
      </c>
      <c r="M1135" s="154">
        <v>0</v>
      </c>
    </row>
    <row r="1136" spans="1:16" ht="11.1" customHeight="1">
      <c r="A1136" s="154" t="s">
        <v>14172</v>
      </c>
      <c r="C1136" s="617">
        <v>1</v>
      </c>
      <c r="D1136" s="618" t="s">
        <v>8720</v>
      </c>
      <c r="E1136" s="619">
        <v>0</v>
      </c>
      <c r="F1136" s="154">
        <v>21.48</v>
      </c>
      <c r="G1136" s="154" t="s">
        <v>6460</v>
      </c>
      <c r="H1136" s="620">
        <v>55</v>
      </c>
      <c r="I1136" s="154" t="s">
        <v>6278</v>
      </c>
      <c r="J1136" s="621">
        <v>0</v>
      </c>
      <c r="K1136" s="621" t="s">
        <v>6209</v>
      </c>
      <c r="L1136" s="621">
        <v>1</v>
      </c>
      <c r="M1136" s="154">
        <v>0</v>
      </c>
    </row>
    <row r="1137" spans="1:16" ht="11.1" customHeight="1">
      <c r="A1137" s="154" t="s">
        <v>14173</v>
      </c>
      <c r="C1137" s="617">
        <v>1</v>
      </c>
      <c r="D1137" s="618" t="s">
        <v>8706</v>
      </c>
      <c r="E1137" s="619">
        <v>0</v>
      </c>
      <c r="F1137" s="154">
        <v>16.3</v>
      </c>
      <c r="G1137" s="154" t="s">
        <v>12044</v>
      </c>
      <c r="H1137" s="620">
        <v>49</v>
      </c>
      <c r="I1137" s="154" t="s">
        <v>6278</v>
      </c>
      <c r="J1137" s="621">
        <v>0</v>
      </c>
      <c r="K1137" s="621" t="s">
        <v>6036</v>
      </c>
      <c r="L1137" s="621">
        <v>0</v>
      </c>
      <c r="M1137" s="154">
        <v>0</v>
      </c>
    </row>
    <row r="1138" spans="1:16" ht="11.1" customHeight="1">
      <c r="A1138" s="154" t="s">
        <v>14174</v>
      </c>
      <c r="B1138" s="297" t="s">
        <v>6231</v>
      </c>
      <c r="C1138" s="617">
        <v>1</v>
      </c>
      <c r="D1138" s="618" t="s">
        <v>8741</v>
      </c>
      <c r="E1138" s="619">
        <v>0</v>
      </c>
      <c r="F1138" s="154">
        <v>17.329999999999998</v>
      </c>
      <c r="G1138" s="154" t="s">
        <v>12683</v>
      </c>
      <c r="H1138" s="620">
        <v>61</v>
      </c>
      <c r="I1138" s="154" t="s">
        <v>6278</v>
      </c>
      <c r="J1138" s="621">
        <v>0</v>
      </c>
      <c r="K1138" s="621" t="s">
        <v>6283</v>
      </c>
      <c r="L1138" s="621">
        <v>1</v>
      </c>
      <c r="M1138" s="154">
        <v>0</v>
      </c>
    </row>
    <row r="1139" spans="1:16" ht="11.1" customHeight="1">
      <c r="A1139" s="154" t="s">
        <v>14175</v>
      </c>
      <c r="B1139" s="297" t="s">
        <v>6231</v>
      </c>
      <c r="C1139" s="617">
        <v>1</v>
      </c>
      <c r="D1139" s="618" t="s">
        <v>8704</v>
      </c>
      <c r="E1139" s="619">
        <v>0</v>
      </c>
      <c r="F1139" s="154">
        <v>13.2</v>
      </c>
      <c r="G1139" s="154" t="s">
        <v>12705</v>
      </c>
      <c r="H1139" s="620">
        <v>54</v>
      </c>
      <c r="I1139" s="154" t="s">
        <v>6278</v>
      </c>
      <c r="J1139" s="621">
        <v>0</v>
      </c>
      <c r="K1139" s="621" t="s">
        <v>6036</v>
      </c>
      <c r="L1139" s="621">
        <v>0</v>
      </c>
      <c r="M1139" s="154">
        <v>0</v>
      </c>
    </row>
    <row r="1140" spans="1:16" ht="11.1" customHeight="1">
      <c r="A1140" s="154" t="s">
        <v>14176</v>
      </c>
      <c r="B1140" s="297" t="s">
        <v>6231</v>
      </c>
      <c r="C1140" s="617">
        <v>1</v>
      </c>
      <c r="D1140" s="618" t="s">
        <v>8672</v>
      </c>
      <c r="E1140" s="619">
        <v>0</v>
      </c>
      <c r="F1140" s="154">
        <v>12.17</v>
      </c>
      <c r="G1140" s="154" t="s">
        <v>12776</v>
      </c>
      <c r="H1140" s="620">
        <v>64</v>
      </c>
      <c r="I1140" s="154" t="s">
        <v>6278</v>
      </c>
      <c r="J1140" s="621">
        <v>0</v>
      </c>
      <c r="K1140" s="621" t="s">
        <v>6036</v>
      </c>
      <c r="L1140" s="621">
        <v>0</v>
      </c>
      <c r="M1140" s="154">
        <v>0</v>
      </c>
    </row>
    <row r="1141" spans="1:16" ht="11.1" customHeight="1">
      <c r="A1141" s="154" t="s">
        <v>14177</v>
      </c>
      <c r="B1141" s="297" t="s">
        <v>6231</v>
      </c>
      <c r="C1141" s="617">
        <v>1</v>
      </c>
      <c r="D1141" s="618" t="s">
        <v>8694</v>
      </c>
      <c r="E1141" s="619">
        <v>0</v>
      </c>
      <c r="F1141" s="154">
        <v>9.2899999999999991</v>
      </c>
      <c r="G1141" s="154" t="s">
        <v>12732</v>
      </c>
      <c r="H1141" s="620">
        <v>43</v>
      </c>
      <c r="I1141" s="154" t="s">
        <v>6278</v>
      </c>
      <c r="J1141" s="621">
        <v>0</v>
      </c>
      <c r="K1141" s="621" t="s">
        <v>6036</v>
      </c>
      <c r="L1141" s="621">
        <v>0</v>
      </c>
      <c r="M1141" s="154">
        <v>0</v>
      </c>
    </row>
    <row r="1142" spans="1:16" ht="11.1" customHeight="1">
      <c r="A1142" s="154" t="s">
        <v>14178</v>
      </c>
      <c r="B1142" s="297" t="s">
        <v>6231</v>
      </c>
      <c r="C1142" s="617">
        <v>1</v>
      </c>
      <c r="D1142" s="618" t="s">
        <v>8718</v>
      </c>
      <c r="E1142" s="619">
        <v>0</v>
      </c>
      <c r="F1142" s="154">
        <v>8.01</v>
      </c>
      <c r="G1142" s="154" t="s">
        <v>12701</v>
      </c>
      <c r="H1142" s="620">
        <v>51</v>
      </c>
      <c r="I1142" s="154" t="s">
        <v>6278</v>
      </c>
      <c r="J1142" s="621">
        <v>0</v>
      </c>
      <c r="K1142" s="621" t="s">
        <v>6036</v>
      </c>
      <c r="L1142" s="621">
        <v>0</v>
      </c>
      <c r="M1142" s="154">
        <v>0</v>
      </c>
    </row>
    <row r="1143" spans="1:16" ht="11.1" customHeight="1">
      <c r="A1143" s="154" t="s">
        <v>14179</v>
      </c>
      <c r="B1143" s="297" t="s">
        <v>12590</v>
      </c>
      <c r="C1143" s="617">
        <v>1</v>
      </c>
      <c r="D1143" s="618" t="s">
        <v>8608</v>
      </c>
      <c r="E1143" s="619" t="s">
        <v>14052</v>
      </c>
      <c r="F1143" s="154" t="s">
        <v>6262</v>
      </c>
      <c r="G1143" s="154" t="s">
        <v>8789</v>
      </c>
      <c r="H1143" s="620">
        <v>50</v>
      </c>
      <c r="I1143" s="154" t="s">
        <v>6257</v>
      </c>
      <c r="J1143" s="621" t="s">
        <v>12621</v>
      </c>
      <c r="K1143" s="621" t="s">
        <v>6209</v>
      </c>
      <c r="L1143" s="621">
        <v>4</v>
      </c>
      <c r="M1143" s="154">
        <v>0</v>
      </c>
      <c r="N1143" s="298">
        <v>8</v>
      </c>
      <c r="O1143" s="298">
        <v>2275223</v>
      </c>
      <c r="P1143" s="298">
        <v>37.505806648575529</v>
      </c>
    </row>
    <row r="1144" spans="1:16" ht="11.1" customHeight="1">
      <c r="A1144" s="154" t="s">
        <v>14180</v>
      </c>
      <c r="B1144" s="297" t="s">
        <v>12590</v>
      </c>
      <c r="C1144" s="617">
        <v>2</v>
      </c>
      <c r="D1144" s="618" t="s">
        <v>8608</v>
      </c>
      <c r="E1144" s="619" t="s">
        <v>14052</v>
      </c>
      <c r="F1144" s="154" t="s">
        <v>6262</v>
      </c>
      <c r="G1144" s="154" t="s">
        <v>6749</v>
      </c>
      <c r="H1144" s="620">
        <v>63</v>
      </c>
      <c r="I1144" s="154" t="s">
        <v>6257</v>
      </c>
      <c r="J1144" s="621" t="s">
        <v>12635</v>
      </c>
      <c r="K1144" s="621" t="s">
        <v>6209</v>
      </c>
      <c r="L1144" s="621">
        <v>2</v>
      </c>
      <c r="M1144" s="154">
        <v>0</v>
      </c>
    </row>
    <row r="1145" spans="1:16" ht="11.1" customHeight="1">
      <c r="A1145" s="154" t="s">
        <v>14181</v>
      </c>
      <c r="B1145" s="297" t="s">
        <v>12590</v>
      </c>
      <c r="C1145" s="617">
        <v>3</v>
      </c>
      <c r="D1145" s="618" t="s">
        <v>8608</v>
      </c>
      <c r="E1145" s="619" t="s">
        <v>14052</v>
      </c>
      <c r="F1145" s="154" t="s">
        <v>6262</v>
      </c>
      <c r="G1145" s="154" t="s">
        <v>6610</v>
      </c>
      <c r="H1145" s="620">
        <v>60</v>
      </c>
      <c r="I1145" s="154" t="s">
        <v>6257</v>
      </c>
      <c r="J1145" s="621" t="s">
        <v>12635</v>
      </c>
      <c r="K1145" s="621" t="s">
        <v>6209</v>
      </c>
      <c r="L1145" s="621">
        <v>2</v>
      </c>
      <c r="M1145" s="154">
        <v>0</v>
      </c>
    </row>
    <row r="1146" spans="1:16" ht="11.1" customHeight="1">
      <c r="A1146" s="154" t="s">
        <v>14182</v>
      </c>
      <c r="B1146" s="297" t="s">
        <v>12590</v>
      </c>
      <c r="C1146" s="617">
        <v>4</v>
      </c>
      <c r="D1146" s="618" t="s">
        <v>8608</v>
      </c>
      <c r="E1146" s="619">
        <v>0</v>
      </c>
      <c r="F1146" s="154" t="s">
        <v>6262</v>
      </c>
      <c r="G1146" s="154" t="s">
        <v>12071</v>
      </c>
      <c r="H1146" s="620">
        <v>70</v>
      </c>
      <c r="I1146" s="154" t="s">
        <v>6257</v>
      </c>
      <c r="J1146" s="621" t="s">
        <v>12631</v>
      </c>
      <c r="K1146" s="621" t="s">
        <v>6209</v>
      </c>
      <c r="L1146" s="621">
        <v>3</v>
      </c>
      <c r="M1146" s="154">
        <v>0</v>
      </c>
    </row>
    <row r="1147" spans="1:16" ht="11.1" customHeight="1">
      <c r="A1147" s="154" t="s">
        <v>14183</v>
      </c>
      <c r="B1147" s="297" t="s">
        <v>12590</v>
      </c>
      <c r="C1147" s="617">
        <v>5</v>
      </c>
      <c r="D1147" s="618" t="s">
        <v>8608</v>
      </c>
      <c r="E1147" s="619">
        <v>0</v>
      </c>
      <c r="F1147" s="154" t="s">
        <v>6262</v>
      </c>
      <c r="G1147" s="154" t="s">
        <v>14184</v>
      </c>
      <c r="H1147" s="620">
        <v>72</v>
      </c>
      <c r="I1147" s="154" t="s">
        <v>6257</v>
      </c>
      <c r="J1147" s="621" t="s">
        <v>12651</v>
      </c>
      <c r="K1147" s="621" t="s">
        <v>6209</v>
      </c>
      <c r="L1147" s="621">
        <v>4</v>
      </c>
      <c r="M1147" s="154">
        <v>0</v>
      </c>
    </row>
    <row r="1148" spans="1:16" ht="11.1" customHeight="1">
      <c r="A1148" s="154" t="s">
        <v>14185</v>
      </c>
      <c r="B1148" s="297" t="s">
        <v>12590</v>
      </c>
      <c r="C1148" s="617">
        <v>6</v>
      </c>
      <c r="D1148" s="618" t="s">
        <v>8823</v>
      </c>
      <c r="E1148" s="619">
        <v>0</v>
      </c>
      <c r="F1148" s="154">
        <v>99.43</v>
      </c>
      <c r="G1148" s="154" t="s">
        <v>12120</v>
      </c>
      <c r="H1148" s="620">
        <v>62</v>
      </c>
      <c r="I1148" s="154" t="s">
        <v>6257</v>
      </c>
      <c r="J1148" s="621" t="s">
        <v>12617</v>
      </c>
      <c r="K1148" s="621" t="s">
        <v>6283</v>
      </c>
      <c r="L1148" s="621">
        <v>2</v>
      </c>
      <c r="M1148" s="154" t="s">
        <v>12638</v>
      </c>
    </row>
    <row r="1149" spans="1:16" ht="11.1" customHeight="1">
      <c r="A1149" s="154" t="s">
        <v>14186</v>
      </c>
      <c r="B1149" s="297" t="s">
        <v>12590</v>
      </c>
      <c r="C1149" s="617">
        <v>6</v>
      </c>
      <c r="D1149" s="618" t="s">
        <v>8886</v>
      </c>
      <c r="E1149" s="619">
        <v>0</v>
      </c>
      <c r="F1149" s="154">
        <v>90.55</v>
      </c>
      <c r="G1149" s="154" t="s">
        <v>12125</v>
      </c>
      <c r="H1149" s="620">
        <v>67</v>
      </c>
      <c r="I1149" s="154" t="s">
        <v>6257</v>
      </c>
      <c r="J1149" s="621" t="s">
        <v>12635</v>
      </c>
      <c r="K1149" s="621" t="s">
        <v>6209</v>
      </c>
      <c r="L1149" s="621">
        <v>2</v>
      </c>
      <c r="M1149" s="154" t="s">
        <v>12638</v>
      </c>
    </row>
    <row r="1150" spans="1:16" ht="11.1" customHeight="1">
      <c r="A1150" s="154" t="s">
        <v>14187</v>
      </c>
      <c r="B1150" s="297" t="s">
        <v>12590</v>
      </c>
      <c r="C1150" s="617">
        <v>6</v>
      </c>
      <c r="D1150" s="618" t="s">
        <v>8821</v>
      </c>
      <c r="E1150" s="619">
        <v>0</v>
      </c>
      <c r="F1150" s="154">
        <v>85.57</v>
      </c>
      <c r="G1150" s="154" t="s">
        <v>6693</v>
      </c>
      <c r="H1150" s="620">
        <v>58</v>
      </c>
      <c r="I1150" s="154" t="s">
        <v>6257</v>
      </c>
      <c r="J1150" s="621" t="s">
        <v>12635</v>
      </c>
      <c r="K1150" s="621" t="s">
        <v>6036</v>
      </c>
      <c r="L1150" s="621">
        <v>0</v>
      </c>
      <c r="M1150" s="154">
        <v>0</v>
      </c>
    </row>
    <row r="1151" spans="1:16" ht="11.1" customHeight="1">
      <c r="A1151" s="154" t="s">
        <v>14188</v>
      </c>
      <c r="C1151" s="617">
        <v>6</v>
      </c>
      <c r="D1151" s="618" t="s">
        <v>8795</v>
      </c>
      <c r="E1151" s="619">
        <v>0</v>
      </c>
      <c r="F1151" s="154">
        <v>79.680000000000007</v>
      </c>
      <c r="G1151" s="154" t="s">
        <v>6679</v>
      </c>
      <c r="H1151" s="620">
        <v>45</v>
      </c>
      <c r="I1151" s="154" t="s">
        <v>6257</v>
      </c>
      <c r="J1151" s="621" t="s">
        <v>12621</v>
      </c>
      <c r="K1151" s="621" t="s">
        <v>6209</v>
      </c>
      <c r="L1151" s="621">
        <v>2</v>
      </c>
      <c r="M1151" s="154" t="s">
        <v>12622</v>
      </c>
    </row>
    <row r="1152" spans="1:16" ht="11.1" customHeight="1">
      <c r="A1152" s="154" t="s">
        <v>14189</v>
      </c>
      <c r="C1152" s="617">
        <v>6</v>
      </c>
      <c r="D1152" s="618" t="s">
        <v>8827</v>
      </c>
      <c r="E1152" s="619">
        <v>0</v>
      </c>
      <c r="F1152" s="154">
        <v>79.41</v>
      </c>
      <c r="G1152" s="154" t="s">
        <v>6581</v>
      </c>
      <c r="H1152" s="620">
        <v>44</v>
      </c>
      <c r="I1152" s="154" t="s">
        <v>6257</v>
      </c>
      <c r="J1152" s="621" t="s">
        <v>12635</v>
      </c>
      <c r="K1152" s="621" t="s">
        <v>6036</v>
      </c>
      <c r="L1152" s="621">
        <v>0</v>
      </c>
      <c r="M1152" s="154" t="s">
        <v>12622</v>
      </c>
    </row>
    <row r="1153" spans="1:13" ht="11.1" customHeight="1">
      <c r="A1153" s="154" t="s">
        <v>14190</v>
      </c>
      <c r="C1153" s="617">
        <v>6</v>
      </c>
      <c r="D1153" s="618" t="s">
        <v>8819</v>
      </c>
      <c r="E1153" s="619">
        <v>0</v>
      </c>
      <c r="F1153" s="154">
        <v>63.17</v>
      </c>
      <c r="G1153" s="154" t="s">
        <v>12907</v>
      </c>
      <c r="H1153" s="620">
        <v>47</v>
      </c>
      <c r="I1153" s="154" t="s">
        <v>6257</v>
      </c>
      <c r="J1153" s="621" t="s">
        <v>12631</v>
      </c>
      <c r="K1153" s="621" t="s">
        <v>6036</v>
      </c>
      <c r="L1153" s="621">
        <v>0</v>
      </c>
      <c r="M1153" s="154" t="s">
        <v>12638</v>
      </c>
    </row>
    <row r="1154" spans="1:13" ht="11.1" customHeight="1">
      <c r="A1154" s="154" t="s">
        <v>14191</v>
      </c>
      <c r="C1154" s="617">
        <v>32</v>
      </c>
      <c r="D1154" s="618" t="s">
        <v>8608</v>
      </c>
      <c r="E1154" s="619" t="s">
        <v>14052</v>
      </c>
      <c r="F1154" s="154" t="s">
        <v>6262</v>
      </c>
      <c r="G1154" s="154" t="s">
        <v>12081</v>
      </c>
      <c r="H1154" s="620">
        <v>40</v>
      </c>
      <c r="I1154" s="154" t="s">
        <v>6257</v>
      </c>
      <c r="J1154" s="621" t="s">
        <v>12621</v>
      </c>
      <c r="K1154" s="621" t="s">
        <v>6036</v>
      </c>
      <c r="L1154" s="621">
        <v>0</v>
      </c>
      <c r="M1154" s="154">
        <v>0</v>
      </c>
    </row>
    <row r="1155" spans="1:13" ht="11.1" customHeight="1">
      <c r="A1155" s="154" t="s">
        <v>14192</v>
      </c>
      <c r="C1155" s="617">
        <v>33</v>
      </c>
      <c r="D1155" s="618" t="s">
        <v>8608</v>
      </c>
      <c r="E1155" s="619">
        <v>0</v>
      </c>
      <c r="F1155" s="154" t="s">
        <v>6262</v>
      </c>
      <c r="G1155" s="154" t="s">
        <v>14193</v>
      </c>
      <c r="H1155" s="620">
        <v>71</v>
      </c>
      <c r="I1155" s="154" t="s">
        <v>6257</v>
      </c>
      <c r="J1155" s="621" t="s">
        <v>12617</v>
      </c>
      <c r="K1155" s="621" t="s">
        <v>6036</v>
      </c>
      <c r="L1155" s="621">
        <v>0</v>
      </c>
      <c r="M1155" s="154">
        <v>0</v>
      </c>
    </row>
    <row r="1156" spans="1:13" ht="11.1" customHeight="1">
      <c r="A1156" s="154" t="s">
        <v>14194</v>
      </c>
      <c r="C1156" s="617">
        <v>34</v>
      </c>
      <c r="D1156" s="618" t="s">
        <v>8608</v>
      </c>
      <c r="E1156" s="619">
        <v>0</v>
      </c>
      <c r="F1156" s="154" t="s">
        <v>6262</v>
      </c>
      <c r="G1156" s="154" t="s">
        <v>6060</v>
      </c>
      <c r="H1156" s="620">
        <v>51</v>
      </c>
      <c r="I1156" s="154" t="s">
        <v>6257</v>
      </c>
      <c r="J1156" s="621" t="s">
        <v>12617</v>
      </c>
      <c r="K1156" s="621" t="s">
        <v>6036</v>
      </c>
      <c r="L1156" s="621">
        <v>0</v>
      </c>
      <c r="M1156" s="154">
        <v>0</v>
      </c>
    </row>
    <row r="1157" spans="1:13" ht="11.1" customHeight="1">
      <c r="A1157" s="154" t="s">
        <v>14195</v>
      </c>
      <c r="C1157" s="617">
        <v>35</v>
      </c>
      <c r="D1157" s="618" t="s">
        <v>8608</v>
      </c>
      <c r="E1157" s="619">
        <v>0</v>
      </c>
      <c r="F1157" s="154" t="s">
        <v>6262</v>
      </c>
      <c r="G1157" s="154" t="s">
        <v>6064</v>
      </c>
      <c r="H1157" s="620">
        <v>41</v>
      </c>
      <c r="I1157" s="154" t="s">
        <v>6257</v>
      </c>
      <c r="J1157" s="621" t="s">
        <v>12617</v>
      </c>
      <c r="K1157" s="621" t="s">
        <v>6036</v>
      </c>
      <c r="L1157" s="621">
        <v>0</v>
      </c>
      <c r="M1157" s="154">
        <v>0</v>
      </c>
    </row>
    <row r="1158" spans="1:13" ht="11.1" customHeight="1">
      <c r="A1158" s="154" t="s">
        <v>14196</v>
      </c>
      <c r="B1158" s="297" t="s">
        <v>14048</v>
      </c>
      <c r="C1158" s="617">
        <v>6</v>
      </c>
      <c r="D1158" s="618" t="s">
        <v>8825</v>
      </c>
      <c r="E1158" s="619">
        <v>0</v>
      </c>
      <c r="F1158" s="154" t="s">
        <v>6251</v>
      </c>
      <c r="G1158" s="154" t="s">
        <v>6555</v>
      </c>
      <c r="H1158" s="620">
        <v>44</v>
      </c>
      <c r="I1158" s="154" t="s">
        <v>6257</v>
      </c>
      <c r="J1158" s="621" t="s">
        <v>12028</v>
      </c>
      <c r="K1158" s="621" t="s">
        <v>6209</v>
      </c>
      <c r="L1158" s="621">
        <v>4</v>
      </c>
      <c r="M1158" s="154" t="s">
        <v>12638</v>
      </c>
    </row>
    <row r="1159" spans="1:13" ht="11.1" customHeight="1">
      <c r="A1159" s="154" t="s">
        <v>14197</v>
      </c>
      <c r="B1159" s="297" t="s">
        <v>14048</v>
      </c>
      <c r="C1159" s="617">
        <v>6</v>
      </c>
      <c r="D1159" s="618" t="s">
        <v>8791</v>
      </c>
      <c r="E1159" s="619">
        <v>0</v>
      </c>
      <c r="F1159" s="154" t="s">
        <v>6251</v>
      </c>
      <c r="G1159" s="154" t="s">
        <v>6563</v>
      </c>
      <c r="H1159" s="620">
        <v>59</v>
      </c>
      <c r="I1159" s="154" t="s">
        <v>6257</v>
      </c>
      <c r="J1159" s="621" t="s">
        <v>12617</v>
      </c>
      <c r="K1159" s="621" t="s">
        <v>6209</v>
      </c>
      <c r="L1159" s="621">
        <v>6</v>
      </c>
      <c r="M1159" s="154" t="s">
        <v>12638</v>
      </c>
    </row>
    <row r="1160" spans="1:13" ht="11.1" customHeight="1">
      <c r="A1160" s="154" t="s">
        <v>14198</v>
      </c>
      <c r="B1160" s="297" t="s">
        <v>14048</v>
      </c>
      <c r="C1160" s="617">
        <v>6</v>
      </c>
      <c r="D1160" s="618" t="s">
        <v>8813</v>
      </c>
      <c r="E1160" s="619">
        <v>0</v>
      </c>
      <c r="F1160" s="154" t="s">
        <v>6251</v>
      </c>
      <c r="G1160" s="154" t="s">
        <v>6569</v>
      </c>
      <c r="H1160" s="620">
        <v>44</v>
      </c>
      <c r="I1160" s="154" t="s">
        <v>6257</v>
      </c>
      <c r="J1160" s="621" t="s">
        <v>12651</v>
      </c>
      <c r="K1160" s="621" t="s">
        <v>6036</v>
      </c>
      <c r="L1160" s="621">
        <v>0</v>
      </c>
      <c r="M1160" s="154" t="s">
        <v>12638</v>
      </c>
    </row>
    <row r="1161" spans="1:13" ht="11.1" customHeight="1">
      <c r="A1161" s="154" t="s">
        <v>14199</v>
      </c>
      <c r="B1161" s="297" t="s">
        <v>14048</v>
      </c>
      <c r="C1161" s="617">
        <v>6</v>
      </c>
      <c r="D1161" s="618" t="s">
        <v>8841</v>
      </c>
      <c r="E1161" s="619">
        <v>0</v>
      </c>
      <c r="F1161" s="154" t="s">
        <v>6251</v>
      </c>
      <c r="G1161" s="154" t="s">
        <v>6573</v>
      </c>
      <c r="H1161" s="620">
        <v>48</v>
      </c>
      <c r="I1161" s="154" t="s">
        <v>6257</v>
      </c>
      <c r="J1161" s="621" t="s">
        <v>12617</v>
      </c>
      <c r="K1161" s="621" t="s">
        <v>6209</v>
      </c>
      <c r="L1161" s="621">
        <v>1</v>
      </c>
      <c r="M1161" s="154" t="s">
        <v>12638</v>
      </c>
    </row>
    <row r="1162" spans="1:13" ht="11.1" customHeight="1">
      <c r="A1162" s="154" t="s">
        <v>14200</v>
      </c>
      <c r="B1162" s="297" t="s">
        <v>14048</v>
      </c>
      <c r="C1162" s="617">
        <v>6</v>
      </c>
      <c r="D1162" s="618" t="s">
        <v>8801</v>
      </c>
      <c r="E1162" s="619">
        <v>0</v>
      </c>
      <c r="F1162" s="154" t="s">
        <v>6251</v>
      </c>
      <c r="G1162" s="154" t="s">
        <v>6587</v>
      </c>
      <c r="H1162" s="620">
        <v>59</v>
      </c>
      <c r="I1162" s="154" t="s">
        <v>6257</v>
      </c>
      <c r="J1162" s="621" t="s">
        <v>12651</v>
      </c>
      <c r="K1162" s="621" t="s">
        <v>6209</v>
      </c>
      <c r="L1162" s="621">
        <v>8</v>
      </c>
      <c r="M1162" s="154" t="s">
        <v>12638</v>
      </c>
    </row>
    <row r="1163" spans="1:13" ht="11.1" customHeight="1">
      <c r="A1163" s="154" t="s">
        <v>14201</v>
      </c>
      <c r="B1163" s="297" t="s">
        <v>14048</v>
      </c>
      <c r="C1163" s="617">
        <v>6</v>
      </c>
      <c r="D1163" s="618" t="s">
        <v>8793</v>
      </c>
      <c r="E1163" s="619">
        <v>0</v>
      </c>
      <c r="F1163" s="154" t="s">
        <v>6251</v>
      </c>
      <c r="G1163" s="154" t="s">
        <v>12837</v>
      </c>
      <c r="H1163" s="620">
        <v>52</v>
      </c>
      <c r="I1163" s="154" t="s">
        <v>6257</v>
      </c>
      <c r="J1163" s="621" t="s">
        <v>12635</v>
      </c>
      <c r="K1163" s="621" t="s">
        <v>6209</v>
      </c>
      <c r="L1163" s="621">
        <v>1</v>
      </c>
      <c r="M1163" s="154" t="s">
        <v>12638</v>
      </c>
    </row>
    <row r="1164" spans="1:13" ht="11.1" customHeight="1">
      <c r="A1164" s="154" t="s">
        <v>14202</v>
      </c>
      <c r="B1164" s="297" t="s">
        <v>14048</v>
      </c>
      <c r="C1164" s="617">
        <v>6</v>
      </c>
      <c r="D1164" s="618" t="s">
        <v>8805</v>
      </c>
      <c r="E1164" s="619">
        <v>0</v>
      </c>
      <c r="F1164" s="154" t="s">
        <v>6251</v>
      </c>
      <c r="G1164" s="154" t="s">
        <v>12095</v>
      </c>
      <c r="H1164" s="620">
        <v>49</v>
      </c>
      <c r="I1164" s="154" t="s">
        <v>6257</v>
      </c>
      <c r="J1164" s="621" t="s">
        <v>12674</v>
      </c>
      <c r="K1164" s="621" t="s">
        <v>6283</v>
      </c>
      <c r="L1164" s="621">
        <v>7</v>
      </c>
      <c r="M1164" s="154" t="s">
        <v>12638</v>
      </c>
    </row>
    <row r="1165" spans="1:13" ht="11.1" customHeight="1">
      <c r="A1165" s="154" t="s">
        <v>14203</v>
      </c>
      <c r="B1165" s="297" t="s">
        <v>14048</v>
      </c>
      <c r="C1165" s="617">
        <v>6</v>
      </c>
      <c r="D1165" s="618" t="s">
        <v>8799</v>
      </c>
      <c r="E1165" s="619">
        <v>0</v>
      </c>
      <c r="F1165" s="154" t="s">
        <v>6251</v>
      </c>
      <c r="G1165" s="154" t="s">
        <v>12106</v>
      </c>
      <c r="H1165" s="620">
        <v>51</v>
      </c>
      <c r="I1165" s="154" t="s">
        <v>6257</v>
      </c>
      <c r="J1165" s="621" t="s">
        <v>12773</v>
      </c>
      <c r="K1165" s="621" t="s">
        <v>6209</v>
      </c>
      <c r="L1165" s="621">
        <v>2</v>
      </c>
      <c r="M1165" s="154" t="s">
        <v>12638</v>
      </c>
    </row>
    <row r="1166" spans="1:13" ht="11.1" customHeight="1">
      <c r="A1166" s="154" t="s">
        <v>14204</v>
      </c>
      <c r="B1166" s="297" t="s">
        <v>14048</v>
      </c>
      <c r="C1166" s="617">
        <v>6</v>
      </c>
      <c r="D1166" s="618" t="s">
        <v>8843</v>
      </c>
      <c r="E1166" s="619">
        <v>0</v>
      </c>
      <c r="F1166" s="154" t="s">
        <v>6251</v>
      </c>
      <c r="G1166" s="154" t="s">
        <v>6626</v>
      </c>
      <c r="H1166" s="620">
        <v>48</v>
      </c>
      <c r="I1166" s="154" t="s">
        <v>6257</v>
      </c>
      <c r="J1166" s="621" t="s">
        <v>12621</v>
      </c>
      <c r="K1166" s="621" t="s">
        <v>6209</v>
      </c>
      <c r="L1166" s="621">
        <v>3</v>
      </c>
      <c r="M1166" s="154" t="s">
        <v>12638</v>
      </c>
    </row>
    <row r="1167" spans="1:13" ht="11.1" customHeight="1">
      <c r="A1167" s="154" t="s">
        <v>14205</v>
      </c>
      <c r="B1167" s="297" t="s">
        <v>14048</v>
      </c>
      <c r="C1167" s="617">
        <v>6</v>
      </c>
      <c r="D1167" s="618" t="s">
        <v>8874</v>
      </c>
      <c r="E1167" s="619">
        <v>0</v>
      </c>
      <c r="F1167" s="154" t="s">
        <v>6251</v>
      </c>
      <c r="G1167" s="154" t="s">
        <v>6634</v>
      </c>
      <c r="H1167" s="620">
        <v>70</v>
      </c>
      <c r="I1167" s="154" t="s">
        <v>6257</v>
      </c>
      <c r="J1167" s="621" t="s">
        <v>12631</v>
      </c>
      <c r="K1167" s="621" t="s">
        <v>6209</v>
      </c>
      <c r="L1167" s="621">
        <v>6</v>
      </c>
      <c r="M1167" s="154" t="s">
        <v>12638</v>
      </c>
    </row>
    <row r="1168" spans="1:13" ht="11.1" customHeight="1">
      <c r="A1168" s="154" t="s">
        <v>14206</v>
      </c>
      <c r="B1168" s="297" t="s">
        <v>14048</v>
      </c>
      <c r="C1168" s="617">
        <v>6</v>
      </c>
      <c r="D1168" s="618" t="s">
        <v>8876</v>
      </c>
      <c r="E1168" s="619">
        <v>0</v>
      </c>
      <c r="F1168" s="154" t="s">
        <v>6251</v>
      </c>
      <c r="G1168" s="154" t="s">
        <v>12866</v>
      </c>
      <c r="H1168" s="620">
        <v>68</v>
      </c>
      <c r="I1168" s="154" t="s">
        <v>6257</v>
      </c>
      <c r="J1168" s="621" t="s">
        <v>12621</v>
      </c>
      <c r="K1168" s="621" t="s">
        <v>6209</v>
      </c>
      <c r="L1168" s="621">
        <v>5</v>
      </c>
      <c r="M1168" s="154" t="s">
        <v>12638</v>
      </c>
    </row>
    <row r="1169" spans="1:16" ht="11.1" customHeight="1">
      <c r="A1169" s="154" t="s">
        <v>14207</v>
      </c>
      <c r="B1169" s="297" t="s">
        <v>14048</v>
      </c>
      <c r="C1169" s="617">
        <v>6</v>
      </c>
      <c r="D1169" s="618" t="s">
        <v>8878</v>
      </c>
      <c r="E1169" s="619">
        <v>0</v>
      </c>
      <c r="F1169" s="154" t="s">
        <v>6251</v>
      </c>
      <c r="G1169" s="154" t="s">
        <v>6652</v>
      </c>
      <c r="H1169" s="620">
        <v>69</v>
      </c>
      <c r="I1169" s="154" t="s">
        <v>6257</v>
      </c>
      <c r="J1169" s="621" t="s">
        <v>12635</v>
      </c>
      <c r="K1169" s="621" t="s">
        <v>6209</v>
      </c>
      <c r="L1169" s="621">
        <v>5</v>
      </c>
      <c r="M1169" s="154" t="s">
        <v>12638</v>
      </c>
    </row>
    <row r="1170" spans="1:16" ht="11.1" customHeight="1">
      <c r="A1170" s="154" t="s">
        <v>14208</v>
      </c>
      <c r="B1170" s="297" t="s">
        <v>14048</v>
      </c>
      <c r="C1170" s="617">
        <v>6</v>
      </c>
      <c r="D1170" s="618" t="s">
        <v>8849</v>
      </c>
      <c r="E1170" s="619">
        <v>0</v>
      </c>
      <c r="F1170" s="154" t="s">
        <v>6251</v>
      </c>
      <c r="G1170" s="154" t="s">
        <v>6656</v>
      </c>
      <c r="H1170" s="620">
        <v>67</v>
      </c>
      <c r="I1170" s="154" t="s">
        <v>6257</v>
      </c>
      <c r="J1170" s="621" t="s">
        <v>12631</v>
      </c>
      <c r="K1170" s="621" t="s">
        <v>6209</v>
      </c>
      <c r="L1170" s="621">
        <v>4</v>
      </c>
      <c r="M1170" s="154" t="s">
        <v>12638</v>
      </c>
    </row>
    <row r="1171" spans="1:16" ht="11.1" customHeight="1">
      <c r="A1171" s="154" t="s">
        <v>14209</v>
      </c>
      <c r="B1171" s="297" t="s">
        <v>14048</v>
      </c>
      <c r="C1171" s="617">
        <v>6</v>
      </c>
      <c r="D1171" s="618" t="s">
        <v>8845</v>
      </c>
      <c r="E1171" s="619">
        <v>0</v>
      </c>
      <c r="F1171" s="154" t="s">
        <v>6251</v>
      </c>
      <c r="G1171" s="154" t="s">
        <v>6662</v>
      </c>
      <c r="H1171" s="620">
        <v>29</v>
      </c>
      <c r="I1171" s="154" t="s">
        <v>6257</v>
      </c>
      <c r="J1171" s="621" t="s">
        <v>12621</v>
      </c>
      <c r="K1171" s="621" t="s">
        <v>6209</v>
      </c>
      <c r="L1171" s="621">
        <v>1</v>
      </c>
      <c r="M1171" s="154" t="s">
        <v>12638</v>
      </c>
    </row>
    <row r="1172" spans="1:16" ht="11.1" customHeight="1">
      <c r="A1172" s="154" t="s">
        <v>14210</v>
      </c>
      <c r="B1172" s="297" t="s">
        <v>14048</v>
      </c>
      <c r="C1172" s="617">
        <v>6</v>
      </c>
      <c r="D1172" s="618" t="s">
        <v>8797</v>
      </c>
      <c r="E1172" s="619">
        <v>0</v>
      </c>
      <c r="F1172" s="154" t="s">
        <v>6251</v>
      </c>
      <c r="G1172" s="154" t="s">
        <v>12920</v>
      </c>
      <c r="H1172" s="620">
        <v>48</v>
      </c>
      <c r="I1172" s="154" t="s">
        <v>6257</v>
      </c>
      <c r="J1172" s="621" t="s">
        <v>12631</v>
      </c>
      <c r="K1172" s="621" t="s">
        <v>6036</v>
      </c>
      <c r="L1172" s="621">
        <v>0</v>
      </c>
      <c r="M1172" s="154" t="s">
        <v>12622</v>
      </c>
    </row>
    <row r="1173" spans="1:16" ht="11.1" customHeight="1">
      <c r="A1173" s="154" t="s">
        <v>14211</v>
      </c>
      <c r="B1173" s="297" t="s">
        <v>14048</v>
      </c>
      <c r="C1173" s="617">
        <v>6</v>
      </c>
      <c r="D1173" s="618" t="s">
        <v>8807</v>
      </c>
      <c r="E1173" s="619">
        <v>0</v>
      </c>
      <c r="F1173" s="154" t="s">
        <v>6251</v>
      </c>
      <c r="G1173" s="154" t="s">
        <v>12128</v>
      </c>
      <c r="H1173" s="620">
        <v>67</v>
      </c>
      <c r="I1173" s="154" t="s">
        <v>6257</v>
      </c>
      <c r="J1173" s="621" t="s">
        <v>12631</v>
      </c>
      <c r="K1173" s="621" t="s">
        <v>6209</v>
      </c>
      <c r="L1173" s="621">
        <v>2</v>
      </c>
      <c r="M1173" s="154" t="s">
        <v>12638</v>
      </c>
    </row>
    <row r="1174" spans="1:16" ht="11.1" customHeight="1">
      <c r="A1174" s="154" t="s">
        <v>14212</v>
      </c>
      <c r="B1174" s="297" t="s">
        <v>14048</v>
      </c>
      <c r="C1174" s="617">
        <v>6</v>
      </c>
      <c r="D1174" s="618" t="s">
        <v>8803</v>
      </c>
      <c r="E1174" s="619">
        <v>0</v>
      </c>
      <c r="F1174" s="154" t="s">
        <v>6251</v>
      </c>
      <c r="G1174" s="154" t="s">
        <v>6737</v>
      </c>
      <c r="H1174" s="620">
        <v>54</v>
      </c>
      <c r="I1174" s="154" t="s">
        <v>6257</v>
      </c>
      <c r="J1174" s="621" t="s">
        <v>12621</v>
      </c>
      <c r="K1174" s="621" t="s">
        <v>6209</v>
      </c>
      <c r="L1174" s="621">
        <v>2</v>
      </c>
      <c r="M1174" s="154" t="s">
        <v>12638</v>
      </c>
    </row>
    <row r="1175" spans="1:16" ht="11.1" customHeight="1">
      <c r="A1175" s="154" t="s">
        <v>14213</v>
      </c>
      <c r="B1175" s="297" t="s">
        <v>14048</v>
      </c>
      <c r="C1175" s="617">
        <v>6</v>
      </c>
      <c r="D1175" s="618" t="s">
        <v>8835</v>
      </c>
      <c r="E1175" s="619">
        <v>0</v>
      </c>
      <c r="F1175" s="154" t="s">
        <v>6251</v>
      </c>
      <c r="G1175" s="154" t="s">
        <v>6741</v>
      </c>
      <c r="H1175" s="620">
        <v>51</v>
      </c>
      <c r="I1175" s="154" t="s">
        <v>6257</v>
      </c>
      <c r="J1175" s="621" t="s">
        <v>12621</v>
      </c>
      <c r="K1175" s="621" t="s">
        <v>6209</v>
      </c>
      <c r="L1175" s="621">
        <v>1</v>
      </c>
      <c r="M1175" s="154" t="s">
        <v>12638</v>
      </c>
    </row>
    <row r="1176" spans="1:16" ht="11.1" customHeight="1">
      <c r="A1176" s="154" t="s">
        <v>14214</v>
      </c>
      <c r="B1176" s="297" t="s">
        <v>14048</v>
      </c>
      <c r="C1176" s="617">
        <v>6</v>
      </c>
      <c r="D1176" s="618" t="s">
        <v>8815</v>
      </c>
      <c r="E1176" s="619">
        <v>0</v>
      </c>
      <c r="F1176" s="154" t="s">
        <v>6251</v>
      </c>
      <c r="G1176" s="154" t="s">
        <v>6755</v>
      </c>
      <c r="H1176" s="620">
        <v>51</v>
      </c>
      <c r="I1176" s="154" t="s">
        <v>6257</v>
      </c>
      <c r="J1176" s="621" t="s">
        <v>12617</v>
      </c>
      <c r="K1176" s="621" t="s">
        <v>6209</v>
      </c>
      <c r="L1176" s="621">
        <v>2</v>
      </c>
      <c r="M1176" s="154" t="s">
        <v>12638</v>
      </c>
    </row>
    <row r="1177" spans="1:16" ht="11.1" customHeight="1">
      <c r="A1177" s="154" t="s">
        <v>14215</v>
      </c>
      <c r="B1177" s="297" t="s">
        <v>14048</v>
      </c>
      <c r="C1177" s="617">
        <v>6</v>
      </c>
      <c r="D1177" s="618" t="s">
        <v>8817</v>
      </c>
      <c r="E1177" s="619">
        <v>0</v>
      </c>
      <c r="F1177" s="154" t="s">
        <v>6251</v>
      </c>
      <c r="G1177" s="154" t="s">
        <v>6766</v>
      </c>
      <c r="H1177" s="620">
        <v>50</v>
      </c>
      <c r="I1177" s="154" t="s">
        <v>6257</v>
      </c>
      <c r="J1177" s="621" t="s">
        <v>12631</v>
      </c>
      <c r="K1177" s="621" t="s">
        <v>6209</v>
      </c>
      <c r="L1177" s="621">
        <v>1</v>
      </c>
      <c r="M1177" s="154" t="s">
        <v>12638</v>
      </c>
    </row>
    <row r="1178" spans="1:16" ht="11.1" customHeight="1">
      <c r="A1178" s="154" t="s">
        <v>14216</v>
      </c>
      <c r="B1178" s="297" t="s">
        <v>12590</v>
      </c>
      <c r="C1178" s="617">
        <v>1</v>
      </c>
      <c r="D1178" s="618" t="s">
        <v>8815</v>
      </c>
      <c r="E1178" s="619">
        <v>0</v>
      </c>
      <c r="F1178" s="154">
        <v>99.3</v>
      </c>
      <c r="G1178" s="154" t="s">
        <v>6759</v>
      </c>
      <c r="H1178" s="620">
        <v>56</v>
      </c>
      <c r="I1178" s="154" t="s">
        <v>6253</v>
      </c>
      <c r="J1178" s="621" t="s">
        <v>12020</v>
      </c>
      <c r="K1178" s="621" t="s">
        <v>6209</v>
      </c>
      <c r="L1178" s="621">
        <v>3</v>
      </c>
      <c r="M1178" s="154">
        <v>0</v>
      </c>
      <c r="N1178" s="298">
        <v>8</v>
      </c>
      <c r="O1178" s="298">
        <v>2299620</v>
      </c>
      <c r="P1178" s="298">
        <v>37.907977848851409</v>
      </c>
    </row>
    <row r="1179" spans="1:16" ht="11.1" customHeight="1">
      <c r="A1179" s="154" t="s">
        <v>14217</v>
      </c>
      <c r="B1179" s="297" t="s">
        <v>12590</v>
      </c>
      <c r="C1179" s="617">
        <v>1</v>
      </c>
      <c r="D1179" s="618" t="s">
        <v>8797</v>
      </c>
      <c r="E1179" s="619">
        <v>0</v>
      </c>
      <c r="F1179" s="154">
        <v>97.83</v>
      </c>
      <c r="G1179" s="154" t="s">
        <v>12127</v>
      </c>
      <c r="H1179" s="620">
        <v>59</v>
      </c>
      <c r="I1179" s="154" t="s">
        <v>6253</v>
      </c>
      <c r="J1179" s="621" t="s">
        <v>12007</v>
      </c>
      <c r="K1179" s="621" t="s">
        <v>6209</v>
      </c>
      <c r="L1179" s="621">
        <v>1</v>
      </c>
      <c r="M1179" s="154">
        <v>0</v>
      </c>
    </row>
    <row r="1180" spans="1:16" ht="11.1" customHeight="1">
      <c r="A1180" s="154" t="s">
        <v>14218</v>
      </c>
      <c r="B1180" s="297" t="s">
        <v>12590</v>
      </c>
      <c r="C1180" s="617">
        <v>1</v>
      </c>
      <c r="D1180" s="618" t="s">
        <v>8807</v>
      </c>
      <c r="E1180" s="619">
        <v>0</v>
      </c>
      <c r="F1180" s="154">
        <v>90.79</v>
      </c>
      <c r="G1180" s="154" t="s">
        <v>6729</v>
      </c>
      <c r="H1180" s="620">
        <v>55</v>
      </c>
      <c r="I1180" s="154" t="s">
        <v>6253</v>
      </c>
      <c r="J1180" s="621" t="s">
        <v>12000</v>
      </c>
      <c r="K1180" s="621" t="s">
        <v>6209</v>
      </c>
      <c r="L1180" s="621">
        <v>2</v>
      </c>
      <c r="M1180" s="154">
        <v>0</v>
      </c>
    </row>
    <row r="1181" spans="1:16" ht="11.1" customHeight="1">
      <c r="A1181" s="154" t="s">
        <v>14219</v>
      </c>
      <c r="B1181" s="297" t="s">
        <v>12590</v>
      </c>
      <c r="C1181" s="617">
        <v>1</v>
      </c>
      <c r="D1181" s="618" t="s">
        <v>8813</v>
      </c>
      <c r="E1181" s="619">
        <v>0</v>
      </c>
      <c r="F1181" s="154">
        <v>90.22</v>
      </c>
      <c r="G1181" s="154" t="s">
        <v>6567</v>
      </c>
      <c r="H1181" s="620">
        <v>46</v>
      </c>
      <c r="I1181" s="154" t="s">
        <v>6253</v>
      </c>
      <c r="J1181" s="621" t="s">
        <v>12007</v>
      </c>
      <c r="K1181" s="621" t="s">
        <v>6209</v>
      </c>
      <c r="L1181" s="621">
        <v>1</v>
      </c>
      <c r="M1181" s="154">
        <v>0</v>
      </c>
    </row>
    <row r="1182" spans="1:16" ht="11.1" customHeight="1">
      <c r="A1182" s="154" t="s">
        <v>14220</v>
      </c>
      <c r="B1182" s="297" t="s">
        <v>12590</v>
      </c>
      <c r="C1182" s="617">
        <v>1</v>
      </c>
      <c r="D1182" s="618" t="s">
        <v>8803</v>
      </c>
      <c r="E1182" s="619">
        <v>0</v>
      </c>
      <c r="F1182" s="154">
        <v>85.82</v>
      </c>
      <c r="G1182" s="154" t="s">
        <v>6735</v>
      </c>
      <c r="H1182" s="620">
        <v>53</v>
      </c>
      <c r="I1182" s="154" t="s">
        <v>6253</v>
      </c>
      <c r="J1182" s="621" t="s">
        <v>12116</v>
      </c>
      <c r="K1182" s="621" t="s">
        <v>6036</v>
      </c>
      <c r="L1182" s="621">
        <v>0</v>
      </c>
      <c r="M1182" s="154">
        <v>0</v>
      </c>
    </row>
    <row r="1183" spans="1:16" ht="11.1" customHeight="1">
      <c r="A1183" s="154" t="s">
        <v>14221</v>
      </c>
      <c r="B1183" s="297" t="s">
        <v>12590</v>
      </c>
      <c r="C1183" s="617">
        <v>1</v>
      </c>
      <c r="D1183" s="618" t="s">
        <v>8817</v>
      </c>
      <c r="E1183" s="619">
        <v>0</v>
      </c>
      <c r="F1183" s="154">
        <v>83.43</v>
      </c>
      <c r="G1183" s="154" t="s">
        <v>12136</v>
      </c>
      <c r="H1183" s="620">
        <v>36</v>
      </c>
      <c r="I1183" s="154" t="s">
        <v>6253</v>
      </c>
      <c r="J1183" s="621" t="s">
        <v>12007</v>
      </c>
      <c r="K1183" s="621" t="s">
        <v>6036</v>
      </c>
      <c r="L1183" s="621">
        <v>0</v>
      </c>
      <c r="M1183" s="154">
        <v>0</v>
      </c>
    </row>
    <row r="1184" spans="1:16" ht="11.1" customHeight="1">
      <c r="A1184" s="154" t="s">
        <v>14222</v>
      </c>
      <c r="B1184" s="297" t="s">
        <v>12590</v>
      </c>
      <c r="C1184" s="617">
        <v>1</v>
      </c>
      <c r="D1184" s="618" t="s">
        <v>8799</v>
      </c>
      <c r="E1184" s="619">
        <v>0</v>
      </c>
      <c r="F1184" s="154">
        <v>83.31</v>
      </c>
      <c r="G1184" s="154" t="s">
        <v>6618</v>
      </c>
      <c r="H1184" s="620">
        <v>60</v>
      </c>
      <c r="I1184" s="154" t="s">
        <v>6253</v>
      </c>
      <c r="J1184" s="621" t="s">
        <v>12020</v>
      </c>
      <c r="K1184" s="621" t="s">
        <v>6209</v>
      </c>
      <c r="L1184" s="621">
        <v>2</v>
      </c>
      <c r="M1184" s="154">
        <v>0</v>
      </c>
    </row>
    <row r="1185" spans="1:13" ht="11.1" customHeight="1">
      <c r="A1185" s="154" t="s">
        <v>14223</v>
      </c>
      <c r="B1185" s="297" t="s">
        <v>12590</v>
      </c>
      <c r="C1185" s="617">
        <v>1</v>
      </c>
      <c r="D1185" s="618" t="s">
        <v>8805</v>
      </c>
      <c r="E1185" s="619">
        <v>0</v>
      </c>
      <c r="F1185" s="154">
        <v>82.83</v>
      </c>
      <c r="G1185" s="154" t="s">
        <v>12096</v>
      </c>
      <c r="H1185" s="620">
        <v>35</v>
      </c>
      <c r="I1185" s="154" t="s">
        <v>6253</v>
      </c>
      <c r="J1185" s="621" t="s">
        <v>12007</v>
      </c>
      <c r="K1185" s="621" t="s">
        <v>6209</v>
      </c>
      <c r="L1185" s="621">
        <v>1</v>
      </c>
      <c r="M1185" s="154">
        <v>0</v>
      </c>
    </row>
    <row r="1186" spans="1:13" ht="11.1" customHeight="1">
      <c r="A1186" s="154" t="s">
        <v>14224</v>
      </c>
      <c r="C1186" s="617">
        <v>1</v>
      </c>
      <c r="D1186" s="618" t="s">
        <v>8809</v>
      </c>
      <c r="E1186" s="619">
        <v>0</v>
      </c>
      <c r="F1186" s="154">
        <v>78.67</v>
      </c>
      <c r="G1186" s="154" t="s">
        <v>6747</v>
      </c>
      <c r="H1186" s="620">
        <v>38</v>
      </c>
      <c r="I1186" s="154" t="s">
        <v>6253</v>
      </c>
      <c r="J1186" s="621" t="s">
        <v>12000</v>
      </c>
      <c r="K1186" s="621" t="s">
        <v>6036</v>
      </c>
      <c r="L1186" s="621">
        <v>0</v>
      </c>
      <c r="M1186" s="154" t="s">
        <v>6154</v>
      </c>
    </row>
    <row r="1187" spans="1:13" ht="11.1" customHeight="1">
      <c r="A1187" s="154" t="s">
        <v>14225</v>
      </c>
      <c r="C1187" s="617">
        <v>1</v>
      </c>
      <c r="D1187" s="618" t="s">
        <v>8876</v>
      </c>
      <c r="E1187" s="619">
        <v>0</v>
      </c>
      <c r="F1187" s="154">
        <v>74.67</v>
      </c>
      <c r="G1187" s="154" t="s">
        <v>12868</v>
      </c>
      <c r="H1187" s="620">
        <v>36</v>
      </c>
      <c r="I1187" s="154" t="s">
        <v>6253</v>
      </c>
      <c r="J1187" s="621" t="s">
        <v>12007</v>
      </c>
      <c r="K1187" s="621" t="s">
        <v>6036</v>
      </c>
      <c r="L1187" s="621">
        <v>0</v>
      </c>
      <c r="M1187" s="154">
        <v>0</v>
      </c>
    </row>
    <row r="1188" spans="1:13" ht="11.1" customHeight="1">
      <c r="A1188" s="154" t="s">
        <v>14226</v>
      </c>
      <c r="C1188" s="617">
        <v>1</v>
      </c>
      <c r="D1188" s="618" t="s">
        <v>8878</v>
      </c>
      <c r="E1188" s="619">
        <v>0</v>
      </c>
      <c r="F1188" s="154">
        <v>73.459999999999994</v>
      </c>
      <c r="G1188" s="154" t="s">
        <v>12875</v>
      </c>
      <c r="H1188" s="620">
        <v>53</v>
      </c>
      <c r="I1188" s="154" t="s">
        <v>6253</v>
      </c>
      <c r="J1188" s="621" t="s">
        <v>11989</v>
      </c>
      <c r="K1188" s="621" t="s">
        <v>6036</v>
      </c>
      <c r="L1188" s="621">
        <v>0</v>
      </c>
      <c r="M1188" s="154">
        <v>0</v>
      </c>
    </row>
    <row r="1189" spans="1:13" ht="11.1" customHeight="1">
      <c r="A1189" s="154" t="s">
        <v>14227</v>
      </c>
      <c r="C1189" s="617">
        <v>1</v>
      </c>
      <c r="D1189" s="618" t="s">
        <v>8829</v>
      </c>
      <c r="E1189" s="619">
        <v>0</v>
      </c>
      <c r="F1189" s="154">
        <v>62.36</v>
      </c>
      <c r="G1189" s="154" t="s">
        <v>12846</v>
      </c>
      <c r="H1189" s="620">
        <v>59</v>
      </c>
      <c r="I1189" s="154" t="s">
        <v>6253</v>
      </c>
      <c r="J1189" s="621" t="s">
        <v>11989</v>
      </c>
      <c r="K1189" s="621" t="s">
        <v>6209</v>
      </c>
      <c r="L1189" s="621">
        <v>4</v>
      </c>
      <c r="M1189" s="154" t="s">
        <v>12656</v>
      </c>
    </row>
    <row r="1190" spans="1:13" ht="11.1" customHeight="1">
      <c r="A1190" s="154" t="s">
        <v>14228</v>
      </c>
      <c r="C1190" s="617">
        <v>1</v>
      </c>
      <c r="D1190" s="618" t="s">
        <v>8825</v>
      </c>
      <c r="E1190" s="619">
        <v>0</v>
      </c>
      <c r="F1190" s="154">
        <v>60.32</v>
      </c>
      <c r="G1190" s="154" t="s">
        <v>6553</v>
      </c>
      <c r="H1190" s="620">
        <v>33</v>
      </c>
      <c r="I1190" s="154" t="s">
        <v>6253</v>
      </c>
      <c r="J1190" s="621" t="s">
        <v>12007</v>
      </c>
      <c r="K1190" s="621" t="s">
        <v>6036</v>
      </c>
      <c r="L1190" s="621">
        <v>0</v>
      </c>
      <c r="M1190" s="154" t="s">
        <v>6254</v>
      </c>
    </row>
    <row r="1191" spans="1:13" ht="11.1" customHeight="1">
      <c r="A1191" s="154" t="s">
        <v>14229</v>
      </c>
      <c r="C1191" s="617">
        <v>1</v>
      </c>
      <c r="D1191" s="618" t="s">
        <v>8801</v>
      </c>
      <c r="E1191" s="619">
        <v>0</v>
      </c>
      <c r="F1191" s="154">
        <v>57.4</v>
      </c>
      <c r="G1191" s="154" t="s">
        <v>12833</v>
      </c>
      <c r="H1191" s="620">
        <v>68</v>
      </c>
      <c r="I1191" s="154" t="s">
        <v>6253</v>
      </c>
      <c r="J1191" s="621" t="s">
        <v>12020</v>
      </c>
      <c r="K1191" s="621" t="s">
        <v>6283</v>
      </c>
      <c r="L1191" s="621">
        <v>8</v>
      </c>
      <c r="M1191" s="154">
        <v>0</v>
      </c>
    </row>
    <row r="1192" spans="1:13" ht="11.1" customHeight="1">
      <c r="A1192" s="154" t="s">
        <v>14230</v>
      </c>
      <c r="C1192" s="617">
        <v>1</v>
      </c>
      <c r="D1192" s="618" t="s">
        <v>8874</v>
      </c>
      <c r="E1192" s="619">
        <v>0</v>
      </c>
      <c r="F1192" s="154">
        <v>52.95</v>
      </c>
      <c r="G1192" s="154" t="s">
        <v>12108</v>
      </c>
      <c r="H1192" s="620">
        <v>38</v>
      </c>
      <c r="I1192" s="154" t="s">
        <v>6253</v>
      </c>
      <c r="J1192" s="621" t="s">
        <v>12007</v>
      </c>
      <c r="K1192" s="621" t="s">
        <v>6036</v>
      </c>
      <c r="L1192" s="621">
        <v>0</v>
      </c>
      <c r="M1192" s="154">
        <v>0</v>
      </c>
    </row>
    <row r="1193" spans="1:13" ht="11.1" customHeight="1">
      <c r="A1193" s="154" t="s">
        <v>14231</v>
      </c>
      <c r="C1193" s="617">
        <v>1</v>
      </c>
      <c r="D1193" s="618" t="s">
        <v>8849</v>
      </c>
      <c r="E1193" s="619">
        <v>0</v>
      </c>
      <c r="F1193" s="154">
        <v>48.96</v>
      </c>
      <c r="G1193" s="154" t="s">
        <v>12880</v>
      </c>
      <c r="H1193" s="620">
        <v>39</v>
      </c>
      <c r="I1193" s="154" t="s">
        <v>6253</v>
      </c>
      <c r="J1193" s="621" t="s">
        <v>12007</v>
      </c>
      <c r="K1193" s="621" t="s">
        <v>6036</v>
      </c>
      <c r="L1193" s="621">
        <v>0</v>
      </c>
      <c r="M1193" s="154" t="s">
        <v>6254</v>
      </c>
    </row>
    <row r="1194" spans="1:13" ht="11.1" customHeight="1">
      <c r="A1194" s="154" t="s">
        <v>14232</v>
      </c>
      <c r="C1194" s="617">
        <v>1</v>
      </c>
      <c r="D1194" s="618" t="s">
        <v>8793</v>
      </c>
      <c r="E1194" s="619">
        <v>0</v>
      </c>
      <c r="F1194" s="154">
        <v>45.62</v>
      </c>
      <c r="G1194" s="154" t="s">
        <v>12093</v>
      </c>
      <c r="H1194" s="620">
        <v>59</v>
      </c>
      <c r="I1194" s="154" t="s">
        <v>6253</v>
      </c>
      <c r="J1194" s="621" t="s">
        <v>12007</v>
      </c>
      <c r="K1194" s="621" t="s">
        <v>6036</v>
      </c>
      <c r="L1194" s="621">
        <v>0</v>
      </c>
      <c r="M1194" s="154">
        <v>0</v>
      </c>
    </row>
    <row r="1195" spans="1:13" ht="11.1" customHeight="1">
      <c r="A1195" s="154" t="s">
        <v>14233</v>
      </c>
      <c r="C1195" s="617">
        <v>1</v>
      </c>
      <c r="D1195" s="618" t="s">
        <v>8791</v>
      </c>
      <c r="E1195" s="619">
        <v>0</v>
      </c>
      <c r="F1195" s="154">
        <v>43.53</v>
      </c>
      <c r="G1195" s="154" t="s">
        <v>12818</v>
      </c>
      <c r="H1195" s="620">
        <v>48</v>
      </c>
      <c r="I1195" s="154" t="s">
        <v>6253</v>
      </c>
      <c r="J1195" s="621" t="s">
        <v>11994</v>
      </c>
      <c r="K1195" s="621" t="s">
        <v>6036</v>
      </c>
      <c r="L1195" s="621">
        <v>0</v>
      </c>
      <c r="M1195" s="154">
        <v>0</v>
      </c>
    </row>
    <row r="1196" spans="1:13" ht="11.1" customHeight="1">
      <c r="A1196" s="154" t="s">
        <v>14234</v>
      </c>
      <c r="C1196" s="617">
        <v>1</v>
      </c>
      <c r="D1196" s="618" t="s">
        <v>8835</v>
      </c>
      <c r="E1196" s="619">
        <v>0</v>
      </c>
      <c r="F1196" s="154">
        <v>42.85</v>
      </c>
      <c r="G1196" s="154" t="s">
        <v>12132</v>
      </c>
      <c r="H1196" s="620">
        <v>32</v>
      </c>
      <c r="I1196" s="154" t="s">
        <v>6253</v>
      </c>
      <c r="J1196" s="621" t="s">
        <v>12007</v>
      </c>
      <c r="K1196" s="621" t="s">
        <v>6036</v>
      </c>
      <c r="L1196" s="621">
        <v>0</v>
      </c>
      <c r="M1196" s="154">
        <v>0</v>
      </c>
    </row>
    <row r="1197" spans="1:13" ht="11.1" customHeight="1">
      <c r="A1197" s="154" t="s">
        <v>14235</v>
      </c>
      <c r="C1197" s="617">
        <v>1</v>
      </c>
      <c r="D1197" s="618" t="s">
        <v>8843</v>
      </c>
      <c r="E1197" s="619">
        <v>0</v>
      </c>
      <c r="F1197" s="154">
        <v>28.19</v>
      </c>
      <c r="G1197" s="154" t="s">
        <v>12858</v>
      </c>
      <c r="H1197" s="620">
        <v>29</v>
      </c>
      <c r="I1197" s="154" t="s">
        <v>6253</v>
      </c>
      <c r="J1197" s="621" t="s">
        <v>12007</v>
      </c>
      <c r="K1197" s="621" t="s">
        <v>6036</v>
      </c>
      <c r="L1197" s="621">
        <v>0</v>
      </c>
      <c r="M1197" s="154">
        <v>0</v>
      </c>
    </row>
    <row r="1198" spans="1:13" ht="11.1" customHeight="1">
      <c r="A1198" s="154" t="s">
        <v>14236</v>
      </c>
      <c r="B1198" s="297" t="s">
        <v>14048</v>
      </c>
      <c r="C1198" s="617">
        <v>1</v>
      </c>
      <c r="D1198" s="618" t="s">
        <v>8827</v>
      </c>
      <c r="E1198" s="619">
        <v>0</v>
      </c>
      <c r="F1198" s="154" t="s">
        <v>6251</v>
      </c>
      <c r="G1198" s="154" t="s">
        <v>6579</v>
      </c>
      <c r="H1198" s="620">
        <v>56</v>
      </c>
      <c r="I1198" s="154" t="s">
        <v>6253</v>
      </c>
      <c r="J1198" s="621" t="s">
        <v>11989</v>
      </c>
      <c r="K1198" s="621" t="s">
        <v>6209</v>
      </c>
      <c r="L1198" s="621">
        <v>4</v>
      </c>
      <c r="M1198" s="154">
        <v>0</v>
      </c>
    </row>
    <row r="1199" spans="1:13" ht="11.1" customHeight="1">
      <c r="A1199" s="154" t="s">
        <v>14237</v>
      </c>
      <c r="B1199" s="297" t="s">
        <v>14048</v>
      </c>
      <c r="C1199" s="617">
        <v>1</v>
      </c>
      <c r="D1199" s="618" t="s">
        <v>8831</v>
      </c>
      <c r="E1199" s="619">
        <v>0</v>
      </c>
      <c r="F1199" s="154" t="s">
        <v>6251</v>
      </c>
      <c r="G1199" s="154" t="s">
        <v>6668</v>
      </c>
      <c r="H1199" s="620">
        <v>42</v>
      </c>
      <c r="I1199" s="154" t="s">
        <v>6253</v>
      </c>
      <c r="J1199" s="621" t="s">
        <v>12116</v>
      </c>
      <c r="K1199" s="621" t="s">
        <v>6209</v>
      </c>
      <c r="L1199" s="621">
        <v>1</v>
      </c>
      <c r="M1199" s="154">
        <v>0</v>
      </c>
    </row>
    <row r="1200" spans="1:13" ht="11.1" customHeight="1">
      <c r="A1200" s="154" t="s">
        <v>14238</v>
      </c>
      <c r="B1200" s="297" t="s">
        <v>14048</v>
      </c>
      <c r="C1200" s="617">
        <v>1</v>
      </c>
      <c r="D1200" s="618" t="s">
        <v>8795</v>
      </c>
      <c r="E1200" s="619">
        <v>0</v>
      </c>
      <c r="F1200" s="154" t="s">
        <v>6251</v>
      </c>
      <c r="G1200" s="154" t="s">
        <v>6677</v>
      </c>
      <c r="H1200" s="620">
        <v>48</v>
      </c>
      <c r="I1200" s="154" t="s">
        <v>6253</v>
      </c>
      <c r="J1200" s="621" t="s">
        <v>12007</v>
      </c>
      <c r="K1200" s="621" t="s">
        <v>6283</v>
      </c>
      <c r="L1200" s="621">
        <v>2</v>
      </c>
      <c r="M1200" s="154">
        <v>0</v>
      </c>
    </row>
    <row r="1201" spans="1:16" ht="11.1" customHeight="1">
      <c r="A1201" s="154" t="s">
        <v>14239</v>
      </c>
      <c r="B1201" s="297" t="s">
        <v>14048</v>
      </c>
      <c r="C1201" s="617">
        <v>1</v>
      </c>
      <c r="D1201" s="618" t="s">
        <v>8823</v>
      </c>
      <c r="E1201" s="619">
        <v>0</v>
      </c>
      <c r="F1201" s="154" t="s">
        <v>6251</v>
      </c>
      <c r="G1201" s="154" t="s">
        <v>6685</v>
      </c>
      <c r="H1201" s="620">
        <v>60</v>
      </c>
      <c r="I1201" s="154" t="s">
        <v>6253</v>
      </c>
      <c r="J1201" s="621" t="s">
        <v>11989</v>
      </c>
      <c r="K1201" s="621" t="s">
        <v>6209</v>
      </c>
      <c r="L1201" s="621">
        <v>4</v>
      </c>
      <c r="M1201" s="154">
        <v>0</v>
      </c>
    </row>
    <row r="1202" spans="1:16" ht="11.1" customHeight="1">
      <c r="A1202" s="154" t="s">
        <v>14240</v>
      </c>
      <c r="B1202" s="297" t="s">
        <v>14048</v>
      </c>
      <c r="C1202" s="617">
        <v>1</v>
      </c>
      <c r="D1202" s="618" t="s">
        <v>8821</v>
      </c>
      <c r="E1202" s="619">
        <v>0</v>
      </c>
      <c r="F1202" s="154" t="s">
        <v>6251</v>
      </c>
      <c r="G1202" s="154" t="s">
        <v>6691</v>
      </c>
      <c r="H1202" s="620">
        <v>42</v>
      </c>
      <c r="I1202" s="154" t="s">
        <v>6253</v>
      </c>
      <c r="J1202" s="621" t="s">
        <v>12007</v>
      </c>
      <c r="K1202" s="621" t="s">
        <v>6036</v>
      </c>
      <c r="L1202" s="621">
        <v>0</v>
      </c>
      <c r="M1202" s="154">
        <v>0</v>
      </c>
    </row>
    <row r="1203" spans="1:16" ht="11.1" customHeight="1">
      <c r="A1203" s="154" t="s">
        <v>14241</v>
      </c>
      <c r="B1203" s="297" t="s">
        <v>14048</v>
      </c>
      <c r="C1203" s="617">
        <v>1</v>
      </c>
      <c r="D1203" s="618" t="s">
        <v>8819</v>
      </c>
      <c r="E1203" s="619">
        <v>0</v>
      </c>
      <c r="F1203" s="154" t="s">
        <v>6251</v>
      </c>
      <c r="G1203" s="154" t="s">
        <v>6699</v>
      </c>
      <c r="H1203" s="620">
        <v>39</v>
      </c>
      <c r="I1203" s="154" t="s">
        <v>6253</v>
      </c>
      <c r="J1203" s="621" t="s">
        <v>12000</v>
      </c>
      <c r="K1203" s="621" t="s">
        <v>6209</v>
      </c>
      <c r="L1203" s="621">
        <v>3</v>
      </c>
      <c r="M1203" s="154">
        <v>0</v>
      </c>
    </row>
    <row r="1204" spans="1:16" ht="11.1" customHeight="1">
      <c r="A1204" s="154" t="s">
        <v>14242</v>
      </c>
      <c r="B1204" s="297" t="s">
        <v>14048</v>
      </c>
      <c r="C1204" s="617">
        <v>1</v>
      </c>
      <c r="D1204" s="618" t="s">
        <v>8833</v>
      </c>
      <c r="E1204" s="619">
        <v>0</v>
      </c>
      <c r="F1204" s="154" t="s">
        <v>6251</v>
      </c>
      <c r="G1204" s="154" t="s">
        <v>12123</v>
      </c>
      <c r="H1204" s="620">
        <v>46</v>
      </c>
      <c r="I1204" s="154" t="s">
        <v>6253</v>
      </c>
      <c r="J1204" s="621" t="s">
        <v>12007</v>
      </c>
      <c r="K1204" s="621" t="s">
        <v>6209</v>
      </c>
      <c r="L1204" s="621">
        <v>1</v>
      </c>
      <c r="M1204" s="154">
        <v>0</v>
      </c>
    </row>
    <row r="1205" spans="1:16" ht="11.1" customHeight="1">
      <c r="A1205" s="154" t="s">
        <v>14243</v>
      </c>
      <c r="B1205" s="297" t="s">
        <v>14048</v>
      </c>
      <c r="C1205" s="617">
        <v>1</v>
      </c>
      <c r="D1205" s="618" t="s">
        <v>8886</v>
      </c>
      <c r="E1205" s="619">
        <v>0</v>
      </c>
      <c r="F1205" s="154" t="s">
        <v>6251</v>
      </c>
      <c r="G1205" s="154" t="s">
        <v>6711</v>
      </c>
      <c r="H1205" s="620">
        <v>38</v>
      </c>
      <c r="I1205" s="154" t="s">
        <v>6253</v>
      </c>
      <c r="J1205" s="621" t="s">
        <v>12020</v>
      </c>
      <c r="K1205" s="621" t="s">
        <v>6036</v>
      </c>
      <c r="L1205" s="621">
        <v>0</v>
      </c>
      <c r="M1205" s="154">
        <v>0</v>
      </c>
    </row>
    <row r="1206" spans="1:16" ht="11.1" customHeight="1">
      <c r="A1206" s="154" t="s">
        <v>14244</v>
      </c>
      <c r="B1206" s="297" t="s">
        <v>14048</v>
      </c>
      <c r="C1206" s="617">
        <v>1</v>
      </c>
      <c r="D1206" s="618" t="s">
        <v>8811</v>
      </c>
      <c r="E1206" s="619">
        <v>0</v>
      </c>
      <c r="F1206" s="154" t="s">
        <v>6251</v>
      </c>
      <c r="G1206" s="154" t="s">
        <v>6770</v>
      </c>
      <c r="H1206" s="620">
        <v>33</v>
      </c>
      <c r="I1206" s="154" t="s">
        <v>6253</v>
      </c>
      <c r="J1206" s="621" t="s">
        <v>12020</v>
      </c>
      <c r="K1206" s="621" t="s">
        <v>6036</v>
      </c>
      <c r="L1206" s="621">
        <v>0</v>
      </c>
      <c r="M1206" s="154">
        <v>0</v>
      </c>
    </row>
    <row r="1207" spans="1:16" ht="11.1" customHeight="1">
      <c r="A1207" s="154" t="s">
        <v>14245</v>
      </c>
      <c r="B1207" s="297" t="s">
        <v>12590</v>
      </c>
      <c r="C1207" s="617">
        <v>1</v>
      </c>
      <c r="D1207" s="618" t="s">
        <v>8608</v>
      </c>
      <c r="E1207" s="619">
        <v>0</v>
      </c>
      <c r="F1207" s="154" t="s">
        <v>6262</v>
      </c>
      <c r="G1207" s="154" t="s">
        <v>8895</v>
      </c>
      <c r="H1207" s="620">
        <v>45</v>
      </c>
      <c r="I1207" s="154" t="s">
        <v>6929</v>
      </c>
      <c r="J1207" s="621">
        <v>0</v>
      </c>
      <c r="K1207" s="621" t="s">
        <v>6209</v>
      </c>
      <c r="L1207" s="621">
        <v>3</v>
      </c>
      <c r="M1207" s="154">
        <v>0</v>
      </c>
      <c r="N1207" s="298">
        <v>3</v>
      </c>
      <c r="O1207" s="298">
        <v>857490</v>
      </c>
      <c r="P1207" s="298">
        <v>14.135253618255016</v>
      </c>
    </row>
    <row r="1208" spans="1:16" ht="11.1" customHeight="1">
      <c r="A1208" s="154" t="s">
        <v>14246</v>
      </c>
      <c r="B1208" s="297" t="s">
        <v>12590</v>
      </c>
      <c r="C1208" s="617">
        <v>2</v>
      </c>
      <c r="D1208" s="618" t="s">
        <v>8608</v>
      </c>
      <c r="E1208" s="619">
        <v>0</v>
      </c>
      <c r="F1208" s="154" t="s">
        <v>6262</v>
      </c>
      <c r="G1208" s="154" t="s">
        <v>8897</v>
      </c>
      <c r="H1208" s="620">
        <v>56</v>
      </c>
      <c r="I1208" s="154" t="s">
        <v>6929</v>
      </c>
      <c r="J1208" s="621">
        <v>0</v>
      </c>
      <c r="K1208" s="621" t="s">
        <v>6283</v>
      </c>
      <c r="L1208" s="621">
        <v>3</v>
      </c>
      <c r="M1208" s="154">
        <v>0</v>
      </c>
    </row>
    <row r="1209" spans="1:16" ht="11.1" customHeight="1">
      <c r="A1209" s="154" t="s">
        <v>14247</v>
      </c>
      <c r="B1209" s="297" t="s">
        <v>12590</v>
      </c>
      <c r="C1209" s="617">
        <v>3</v>
      </c>
      <c r="D1209" s="618" t="s">
        <v>8608</v>
      </c>
      <c r="E1209" s="619">
        <v>0</v>
      </c>
      <c r="F1209" s="154" t="s">
        <v>6262</v>
      </c>
      <c r="G1209" s="154" t="s">
        <v>8899</v>
      </c>
      <c r="H1209" s="620">
        <v>45</v>
      </c>
      <c r="I1209" s="154" t="s">
        <v>6929</v>
      </c>
      <c r="J1209" s="621">
        <v>0</v>
      </c>
      <c r="K1209" s="621" t="s">
        <v>6036</v>
      </c>
      <c r="L1209" s="621">
        <v>0</v>
      </c>
      <c r="M1209" s="154">
        <v>0</v>
      </c>
    </row>
    <row r="1210" spans="1:16" ht="11.1" customHeight="1">
      <c r="A1210" s="154" t="s">
        <v>14248</v>
      </c>
      <c r="C1210" s="617">
        <v>4</v>
      </c>
      <c r="D1210" s="618" t="s">
        <v>8608</v>
      </c>
      <c r="E1210" s="619">
        <v>0</v>
      </c>
      <c r="F1210" s="154" t="s">
        <v>6262</v>
      </c>
      <c r="G1210" s="154" t="s">
        <v>14249</v>
      </c>
      <c r="H1210" s="620">
        <v>45</v>
      </c>
      <c r="I1210" s="154" t="s">
        <v>6929</v>
      </c>
      <c r="J1210" s="621">
        <v>0</v>
      </c>
      <c r="K1210" s="621" t="s">
        <v>6036</v>
      </c>
      <c r="L1210" s="621">
        <v>0</v>
      </c>
      <c r="M1210" s="154">
        <v>0</v>
      </c>
    </row>
    <row r="1211" spans="1:16" ht="11.1" customHeight="1">
      <c r="A1211" s="154" t="s">
        <v>14250</v>
      </c>
      <c r="B1211" s="297" t="s">
        <v>12590</v>
      </c>
      <c r="C1211" s="617">
        <v>1</v>
      </c>
      <c r="D1211" s="618" t="s">
        <v>8797</v>
      </c>
      <c r="E1211" s="619">
        <v>0</v>
      </c>
      <c r="F1211" s="154">
        <v>26.09</v>
      </c>
      <c r="G1211" s="154" t="s">
        <v>6725</v>
      </c>
      <c r="H1211" s="620">
        <v>41</v>
      </c>
      <c r="I1211" s="154" t="s">
        <v>6264</v>
      </c>
      <c r="J1211" s="621">
        <v>0</v>
      </c>
      <c r="K1211" s="621" t="s">
        <v>6209</v>
      </c>
      <c r="L1211" s="621">
        <v>1</v>
      </c>
      <c r="M1211" s="154">
        <v>0</v>
      </c>
      <c r="N1211" s="298">
        <v>1</v>
      </c>
      <c r="O1211" s="298">
        <v>402849</v>
      </c>
      <c r="P1211" s="298">
        <v>6.6407454137779034</v>
      </c>
    </row>
    <row r="1212" spans="1:16" ht="11.1" customHeight="1">
      <c r="A1212" s="154" t="s">
        <v>14251</v>
      </c>
      <c r="C1212" s="617">
        <v>2</v>
      </c>
      <c r="D1212" s="618" t="s">
        <v>8608</v>
      </c>
      <c r="E1212" s="619">
        <v>0</v>
      </c>
      <c r="F1212" s="154" t="s">
        <v>6262</v>
      </c>
      <c r="G1212" s="154" t="s">
        <v>14252</v>
      </c>
      <c r="H1212" s="620">
        <v>54</v>
      </c>
      <c r="I1212" s="154" t="s">
        <v>6264</v>
      </c>
      <c r="J1212" s="621">
        <v>0</v>
      </c>
      <c r="K1212" s="621" t="s">
        <v>6036</v>
      </c>
      <c r="L1212" s="621">
        <v>0</v>
      </c>
      <c r="M1212" s="154">
        <v>0</v>
      </c>
    </row>
    <row r="1213" spans="1:16" ht="11.1" customHeight="1">
      <c r="A1213" s="154" t="s">
        <v>14253</v>
      </c>
      <c r="B1213" s="297" t="s">
        <v>6231</v>
      </c>
      <c r="C1213" s="617">
        <v>3</v>
      </c>
      <c r="D1213" s="618" t="s">
        <v>8833</v>
      </c>
      <c r="E1213" s="619">
        <v>0</v>
      </c>
      <c r="F1213" s="154">
        <v>16.3</v>
      </c>
      <c r="G1213" s="154" t="s">
        <v>12124</v>
      </c>
      <c r="H1213" s="620">
        <v>44</v>
      </c>
      <c r="I1213" s="154" t="s">
        <v>6264</v>
      </c>
      <c r="J1213" s="621">
        <v>0</v>
      </c>
      <c r="K1213" s="621" t="s">
        <v>6036</v>
      </c>
      <c r="L1213" s="621">
        <v>0</v>
      </c>
      <c r="M1213" s="154">
        <v>0</v>
      </c>
    </row>
    <row r="1214" spans="1:16" ht="11.1" customHeight="1">
      <c r="A1214" s="154" t="s">
        <v>14254</v>
      </c>
      <c r="B1214" s="297" t="s">
        <v>6231</v>
      </c>
      <c r="C1214" s="617">
        <v>4</v>
      </c>
      <c r="D1214" s="618" t="s">
        <v>8793</v>
      </c>
      <c r="E1214" s="619">
        <v>0</v>
      </c>
      <c r="F1214" s="154">
        <v>10.18</v>
      </c>
      <c r="G1214" s="154" t="s">
        <v>6557</v>
      </c>
      <c r="H1214" s="620">
        <v>52</v>
      </c>
      <c r="I1214" s="154" t="s">
        <v>6264</v>
      </c>
      <c r="J1214" s="621">
        <v>0</v>
      </c>
      <c r="K1214" s="621" t="s">
        <v>6036</v>
      </c>
      <c r="L1214" s="621">
        <v>0</v>
      </c>
      <c r="M1214" s="154">
        <v>0</v>
      </c>
    </row>
    <row r="1215" spans="1:16" ht="11.1" customHeight="1">
      <c r="A1215" s="154" t="s">
        <v>14255</v>
      </c>
      <c r="B1215" s="297" t="s">
        <v>6231</v>
      </c>
      <c r="C1215" s="617">
        <v>5</v>
      </c>
      <c r="D1215" s="618" t="s">
        <v>8849</v>
      </c>
      <c r="E1215" s="619">
        <v>0</v>
      </c>
      <c r="F1215" s="154">
        <v>11.94</v>
      </c>
      <c r="G1215" s="154" t="s">
        <v>12882</v>
      </c>
      <c r="H1215" s="620">
        <v>54</v>
      </c>
      <c r="I1215" s="154" t="s">
        <v>6264</v>
      </c>
      <c r="J1215" s="621">
        <v>0</v>
      </c>
      <c r="K1215" s="621" t="s">
        <v>6036</v>
      </c>
      <c r="L1215" s="621">
        <v>0</v>
      </c>
      <c r="M1215" s="154">
        <v>0</v>
      </c>
    </row>
    <row r="1216" spans="1:16" ht="11.1" customHeight="1">
      <c r="A1216" s="154" t="s">
        <v>14256</v>
      </c>
      <c r="C1216" s="617">
        <v>1</v>
      </c>
      <c r="D1216" s="618" t="s">
        <v>8921</v>
      </c>
      <c r="E1216" s="619">
        <v>0</v>
      </c>
      <c r="F1216" s="154">
        <v>24.38</v>
      </c>
      <c r="G1216" s="154" t="s">
        <v>12851</v>
      </c>
      <c r="H1216" s="620">
        <v>62</v>
      </c>
      <c r="I1216" s="154" t="s">
        <v>6278</v>
      </c>
      <c r="J1216" s="621">
        <v>0</v>
      </c>
      <c r="K1216" s="621" t="s">
        <v>6036</v>
      </c>
      <c r="L1216" s="621">
        <v>0</v>
      </c>
      <c r="M1216" s="154" t="s">
        <v>6481</v>
      </c>
      <c r="N1216" s="298">
        <v>0</v>
      </c>
      <c r="O1216" s="298">
        <v>231140</v>
      </c>
      <c r="P1216" s="298">
        <v>3.8102164705401393</v>
      </c>
    </row>
    <row r="1217" spans="1:16" ht="11.1" customHeight="1">
      <c r="A1217" s="154" t="s">
        <v>14257</v>
      </c>
      <c r="C1217" s="617">
        <v>1</v>
      </c>
      <c r="D1217" s="618" t="s">
        <v>8841</v>
      </c>
      <c r="E1217" s="619">
        <v>0</v>
      </c>
      <c r="F1217" s="154">
        <v>24.07</v>
      </c>
      <c r="G1217" s="154" t="s">
        <v>12825</v>
      </c>
      <c r="H1217" s="620">
        <v>57</v>
      </c>
      <c r="I1217" s="154" t="s">
        <v>6278</v>
      </c>
      <c r="J1217" s="621">
        <v>0</v>
      </c>
      <c r="K1217" s="621" t="s">
        <v>6036</v>
      </c>
      <c r="L1217" s="621">
        <v>0</v>
      </c>
      <c r="M1217" s="154" t="s">
        <v>6481</v>
      </c>
    </row>
    <row r="1218" spans="1:16" ht="11.1" customHeight="1">
      <c r="A1218" s="154" t="s">
        <v>14258</v>
      </c>
      <c r="C1218" s="617">
        <v>1</v>
      </c>
      <c r="D1218" s="618" t="s">
        <v>8845</v>
      </c>
      <c r="E1218" s="619">
        <v>0</v>
      </c>
      <c r="F1218" s="154">
        <v>19.12</v>
      </c>
      <c r="G1218" s="154" t="s">
        <v>12885</v>
      </c>
      <c r="H1218" s="620">
        <v>61</v>
      </c>
      <c r="I1218" s="154" t="s">
        <v>6278</v>
      </c>
      <c r="J1218" s="621">
        <v>0</v>
      </c>
      <c r="K1218" s="621" t="s">
        <v>6036</v>
      </c>
      <c r="L1218" s="621">
        <v>0</v>
      </c>
      <c r="M1218" s="154" t="s">
        <v>6481</v>
      </c>
    </row>
    <row r="1219" spans="1:16" ht="11.1" customHeight="1">
      <c r="A1219" s="154" t="s">
        <v>14259</v>
      </c>
      <c r="B1219" s="297" t="s">
        <v>6231</v>
      </c>
      <c r="C1219" s="617">
        <v>1</v>
      </c>
      <c r="D1219" s="618" t="s">
        <v>8815</v>
      </c>
      <c r="E1219" s="619">
        <v>0</v>
      </c>
      <c r="F1219" s="154">
        <v>12.88</v>
      </c>
      <c r="G1219" s="154" t="s">
        <v>6757</v>
      </c>
      <c r="H1219" s="620">
        <v>55</v>
      </c>
      <c r="I1219" s="154" t="s">
        <v>6278</v>
      </c>
      <c r="J1219" s="621">
        <v>0</v>
      </c>
      <c r="K1219" s="621" t="s">
        <v>6209</v>
      </c>
      <c r="L1219" s="621">
        <v>1</v>
      </c>
      <c r="M1219" s="154">
        <v>0</v>
      </c>
    </row>
    <row r="1220" spans="1:16" ht="11.1" customHeight="1">
      <c r="A1220" s="154" t="s">
        <v>14260</v>
      </c>
      <c r="B1220" s="297" t="s">
        <v>6231</v>
      </c>
      <c r="C1220" s="617">
        <v>1</v>
      </c>
      <c r="D1220" s="618" t="s">
        <v>8831</v>
      </c>
      <c r="E1220" s="619">
        <v>0</v>
      </c>
      <c r="F1220" s="154">
        <v>7.62</v>
      </c>
      <c r="G1220" s="154" t="s">
        <v>12892</v>
      </c>
      <c r="H1220" s="620">
        <v>58</v>
      </c>
      <c r="I1220" s="154" t="s">
        <v>6278</v>
      </c>
      <c r="J1220" s="621">
        <v>0</v>
      </c>
      <c r="K1220" s="621" t="s">
        <v>6036</v>
      </c>
      <c r="L1220" s="621">
        <v>0</v>
      </c>
      <c r="M1220" s="154">
        <v>0</v>
      </c>
    </row>
    <row r="1221" spans="1:16" ht="11.1" customHeight="1">
      <c r="A1221" s="154" t="s">
        <v>14261</v>
      </c>
      <c r="B1221" s="297" t="s">
        <v>6231</v>
      </c>
      <c r="C1221" s="617">
        <v>1</v>
      </c>
      <c r="D1221" s="618" t="s">
        <v>8886</v>
      </c>
      <c r="E1221" s="619">
        <v>0</v>
      </c>
      <c r="F1221" s="154">
        <v>7.12</v>
      </c>
      <c r="G1221" s="154" t="s">
        <v>12918</v>
      </c>
      <c r="H1221" s="620">
        <v>55</v>
      </c>
      <c r="I1221" s="154" t="s">
        <v>6278</v>
      </c>
      <c r="J1221" s="621">
        <v>0</v>
      </c>
      <c r="K1221" s="621" t="s">
        <v>6036</v>
      </c>
      <c r="L1221" s="621">
        <v>0</v>
      </c>
      <c r="M1221" s="154">
        <v>0</v>
      </c>
    </row>
    <row r="1222" spans="1:16" ht="11.1" customHeight="1">
      <c r="A1222" s="154" t="s">
        <v>14262</v>
      </c>
      <c r="B1222" s="297" t="s">
        <v>12590</v>
      </c>
      <c r="C1222" s="617">
        <v>1</v>
      </c>
      <c r="D1222" s="618" t="s">
        <v>8608</v>
      </c>
      <c r="E1222" s="619" t="s">
        <v>14052</v>
      </c>
      <c r="F1222" s="154" t="s">
        <v>6262</v>
      </c>
      <c r="G1222" s="154" t="s">
        <v>14263</v>
      </c>
      <c r="H1222" s="620">
        <v>69</v>
      </c>
      <c r="I1222" s="154" t="s">
        <v>6257</v>
      </c>
      <c r="J1222" s="621" t="s">
        <v>12631</v>
      </c>
      <c r="K1222" s="621" t="s">
        <v>6209</v>
      </c>
      <c r="L1222" s="621">
        <v>8</v>
      </c>
      <c r="M1222" s="154">
        <v>0</v>
      </c>
      <c r="N1222" s="298">
        <v>8</v>
      </c>
      <c r="O1222" s="298">
        <v>2441590</v>
      </c>
      <c r="P1222" s="298">
        <v>34.622036727358996</v>
      </c>
    </row>
    <row r="1223" spans="1:16" ht="11.1" customHeight="1">
      <c r="A1223" s="154" t="s">
        <v>14264</v>
      </c>
      <c r="B1223" s="297" t="s">
        <v>12590</v>
      </c>
      <c r="C1223" s="617">
        <v>2</v>
      </c>
      <c r="D1223" s="618" t="s">
        <v>8608</v>
      </c>
      <c r="E1223" s="619" t="s">
        <v>14052</v>
      </c>
      <c r="F1223" s="154" t="s">
        <v>6262</v>
      </c>
      <c r="G1223" s="154" t="s">
        <v>8987</v>
      </c>
      <c r="H1223" s="620">
        <v>45</v>
      </c>
      <c r="I1223" s="154" t="s">
        <v>6257</v>
      </c>
      <c r="J1223" s="621" t="s">
        <v>12617</v>
      </c>
      <c r="K1223" s="621" t="s">
        <v>6209</v>
      </c>
      <c r="L1223" s="621">
        <v>1</v>
      </c>
      <c r="M1223" s="154">
        <v>0</v>
      </c>
    </row>
    <row r="1224" spans="1:16" ht="11.1" customHeight="1">
      <c r="A1224" s="154" t="s">
        <v>14265</v>
      </c>
      <c r="B1224" s="297" t="s">
        <v>12590</v>
      </c>
      <c r="C1224" s="617">
        <v>3</v>
      </c>
      <c r="D1224" s="618" t="s">
        <v>8943</v>
      </c>
      <c r="E1224" s="619">
        <v>0</v>
      </c>
      <c r="F1224" s="154">
        <v>98.93</v>
      </c>
      <c r="G1224" s="154" t="s">
        <v>6797</v>
      </c>
      <c r="H1224" s="620">
        <v>41</v>
      </c>
      <c r="I1224" s="154" t="s">
        <v>6257</v>
      </c>
      <c r="J1224" s="621" t="s">
        <v>12631</v>
      </c>
      <c r="K1224" s="621" t="s">
        <v>6209</v>
      </c>
      <c r="L1224" s="621">
        <v>1</v>
      </c>
      <c r="M1224" s="154" t="s">
        <v>6260</v>
      </c>
    </row>
    <row r="1225" spans="1:16" ht="11.1" customHeight="1">
      <c r="A1225" s="154" t="s">
        <v>14266</v>
      </c>
      <c r="B1225" s="297" t="s">
        <v>12590</v>
      </c>
      <c r="C1225" s="617">
        <v>3</v>
      </c>
      <c r="D1225" s="618" t="s">
        <v>14267</v>
      </c>
      <c r="E1225" s="619">
        <v>0</v>
      </c>
      <c r="F1225" s="154">
        <v>97.28</v>
      </c>
      <c r="G1225" s="154" t="s">
        <v>6980</v>
      </c>
      <c r="H1225" s="620">
        <v>59</v>
      </c>
      <c r="I1225" s="154" t="s">
        <v>6257</v>
      </c>
      <c r="J1225" s="621" t="s">
        <v>12617</v>
      </c>
      <c r="K1225" s="621" t="s">
        <v>6283</v>
      </c>
      <c r="L1225" s="621">
        <v>1</v>
      </c>
      <c r="M1225" s="154">
        <v>0</v>
      </c>
    </row>
    <row r="1226" spans="1:16" ht="11.1" customHeight="1">
      <c r="A1226" s="154" t="s">
        <v>14268</v>
      </c>
      <c r="B1226" s="297" t="s">
        <v>12590</v>
      </c>
      <c r="C1226" s="617">
        <v>3</v>
      </c>
      <c r="D1226" s="618" t="s">
        <v>14269</v>
      </c>
      <c r="E1226" s="619">
        <v>0</v>
      </c>
      <c r="F1226" s="154">
        <v>97.28</v>
      </c>
      <c r="G1226" s="154" t="s">
        <v>12186</v>
      </c>
      <c r="H1226" s="620">
        <v>62</v>
      </c>
      <c r="I1226" s="154" t="s">
        <v>6257</v>
      </c>
      <c r="J1226" s="621" t="s">
        <v>12975</v>
      </c>
      <c r="K1226" s="621" t="s">
        <v>6209</v>
      </c>
      <c r="L1226" s="621">
        <v>4</v>
      </c>
      <c r="M1226" s="154">
        <v>0</v>
      </c>
    </row>
    <row r="1227" spans="1:16" ht="11.1" customHeight="1">
      <c r="A1227" s="154" t="s">
        <v>14270</v>
      </c>
      <c r="B1227" s="297" t="s">
        <v>12590</v>
      </c>
      <c r="C1227" s="617">
        <v>3</v>
      </c>
      <c r="D1227" s="618" t="s">
        <v>8959</v>
      </c>
      <c r="E1227" s="619">
        <v>0</v>
      </c>
      <c r="F1227" s="154">
        <v>94.87</v>
      </c>
      <c r="G1227" s="154" t="s">
        <v>12992</v>
      </c>
      <c r="H1227" s="620">
        <v>53</v>
      </c>
      <c r="I1227" s="154" t="s">
        <v>6257</v>
      </c>
      <c r="J1227" s="621" t="s">
        <v>12621</v>
      </c>
      <c r="K1227" s="621" t="s">
        <v>6209</v>
      </c>
      <c r="L1227" s="621">
        <v>2</v>
      </c>
      <c r="M1227" s="154" t="s">
        <v>6260</v>
      </c>
    </row>
    <row r="1228" spans="1:16" ht="11.1" customHeight="1">
      <c r="A1228" s="154" t="s">
        <v>14271</v>
      </c>
      <c r="B1228" s="297" t="s">
        <v>12590</v>
      </c>
      <c r="C1228" s="617">
        <v>3</v>
      </c>
      <c r="D1228" s="618" t="s">
        <v>8965</v>
      </c>
      <c r="E1228" s="619">
        <v>0</v>
      </c>
      <c r="F1228" s="154">
        <v>94.26</v>
      </c>
      <c r="G1228" s="154" t="s">
        <v>6821</v>
      </c>
      <c r="H1228" s="620">
        <v>53</v>
      </c>
      <c r="I1228" s="154" t="s">
        <v>6257</v>
      </c>
      <c r="J1228" s="621" t="s">
        <v>12621</v>
      </c>
      <c r="K1228" s="621" t="s">
        <v>6209</v>
      </c>
      <c r="L1228" s="621">
        <v>2</v>
      </c>
      <c r="M1228" s="154" t="s">
        <v>6260</v>
      </c>
    </row>
    <row r="1229" spans="1:16" ht="11.1" customHeight="1">
      <c r="A1229" s="154" t="s">
        <v>14272</v>
      </c>
      <c r="B1229" s="297" t="s">
        <v>12590</v>
      </c>
      <c r="C1229" s="617">
        <v>3</v>
      </c>
      <c r="D1229" s="618" t="s">
        <v>14273</v>
      </c>
      <c r="E1229" s="619">
        <v>0</v>
      </c>
      <c r="F1229" s="154">
        <v>89.4</v>
      </c>
      <c r="G1229" s="154" t="s">
        <v>7031</v>
      </c>
      <c r="H1229" s="620">
        <v>35</v>
      </c>
      <c r="I1229" s="154" t="s">
        <v>6257</v>
      </c>
      <c r="J1229" s="621" t="s">
        <v>12674</v>
      </c>
      <c r="K1229" s="621" t="s">
        <v>6036</v>
      </c>
      <c r="L1229" s="621">
        <v>0</v>
      </c>
      <c r="M1229" s="154">
        <v>0</v>
      </c>
    </row>
    <row r="1230" spans="1:16" ht="11.1" customHeight="1">
      <c r="A1230" s="154" t="s">
        <v>14274</v>
      </c>
      <c r="C1230" s="617">
        <v>3</v>
      </c>
      <c r="D1230" s="618" t="s">
        <v>8967</v>
      </c>
      <c r="E1230" s="619">
        <v>0</v>
      </c>
      <c r="F1230" s="154">
        <v>89.13</v>
      </c>
      <c r="G1230" s="154" t="s">
        <v>12139</v>
      </c>
      <c r="H1230" s="620">
        <v>64</v>
      </c>
      <c r="I1230" s="154" t="s">
        <v>6257</v>
      </c>
      <c r="J1230" s="621" t="s">
        <v>12028</v>
      </c>
      <c r="K1230" s="621" t="s">
        <v>6209</v>
      </c>
      <c r="L1230" s="621">
        <v>7</v>
      </c>
      <c r="M1230" s="154" t="s">
        <v>12622</v>
      </c>
    </row>
    <row r="1231" spans="1:16" ht="11.1" customHeight="1">
      <c r="A1231" s="154" t="s">
        <v>14275</v>
      </c>
      <c r="C1231" s="617">
        <v>3</v>
      </c>
      <c r="D1231" s="618" t="s">
        <v>8939</v>
      </c>
      <c r="E1231" s="619">
        <v>0</v>
      </c>
      <c r="F1231" s="154">
        <v>86.57</v>
      </c>
      <c r="G1231" s="154" t="s">
        <v>6827</v>
      </c>
      <c r="H1231" s="620">
        <v>38</v>
      </c>
      <c r="I1231" s="154" t="s">
        <v>6257</v>
      </c>
      <c r="J1231" s="621" t="s">
        <v>12621</v>
      </c>
      <c r="K1231" s="621" t="s">
        <v>6036</v>
      </c>
      <c r="L1231" s="621">
        <v>0</v>
      </c>
      <c r="M1231" s="154">
        <v>0</v>
      </c>
    </row>
    <row r="1232" spans="1:16" ht="11.1" customHeight="1">
      <c r="A1232" s="154" t="s">
        <v>14276</v>
      </c>
      <c r="C1232" s="617">
        <v>3</v>
      </c>
      <c r="D1232" s="618" t="s">
        <v>14277</v>
      </c>
      <c r="E1232" s="619">
        <v>0</v>
      </c>
      <c r="F1232" s="154">
        <v>84.14</v>
      </c>
      <c r="G1232" s="154" t="s">
        <v>13082</v>
      </c>
      <c r="H1232" s="620">
        <v>38</v>
      </c>
      <c r="I1232" s="154" t="s">
        <v>6257</v>
      </c>
      <c r="J1232" s="621" t="s">
        <v>12621</v>
      </c>
      <c r="K1232" s="621" t="s">
        <v>6209</v>
      </c>
      <c r="L1232" s="621">
        <v>1</v>
      </c>
      <c r="M1232" s="154">
        <v>0</v>
      </c>
    </row>
    <row r="1233" spans="1:13" ht="11.1" customHeight="1">
      <c r="A1233" s="154" t="s">
        <v>14278</v>
      </c>
      <c r="C1233" s="617">
        <v>3</v>
      </c>
      <c r="D1233" s="618" t="s">
        <v>8971</v>
      </c>
      <c r="E1233" s="619">
        <v>0</v>
      </c>
      <c r="F1233" s="154">
        <v>83.99</v>
      </c>
      <c r="G1233" s="154" t="s">
        <v>6813</v>
      </c>
      <c r="H1233" s="620">
        <v>31</v>
      </c>
      <c r="I1233" s="154" t="s">
        <v>6257</v>
      </c>
      <c r="J1233" s="621" t="s">
        <v>12975</v>
      </c>
      <c r="K1233" s="621" t="s">
        <v>6036</v>
      </c>
      <c r="L1233" s="621">
        <v>0</v>
      </c>
      <c r="M1233" s="154" t="s">
        <v>6260</v>
      </c>
    </row>
    <row r="1234" spans="1:13" ht="11.1" customHeight="1">
      <c r="A1234" s="154" t="s">
        <v>14279</v>
      </c>
      <c r="C1234" s="617">
        <v>3</v>
      </c>
      <c r="D1234" s="618" t="s">
        <v>8975</v>
      </c>
      <c r="E1234" s="619">
        <v>0</v>
      </c>
      <c r="F1234" s="154">
        <v>83.93</v>
      </c>
      <c r="G1234" s="154" t="s">
        <v>12961</v>
      </c>
      <c r="H1234" s="620">
        <v>66</v>
      </c>
      <c r="I1234" s="154" t="s">
        <v>6257</v>
      </c>
      <c r="J1234" s="621" t="s">
        <v>12631</v>
      </c>
      <c r="K1234" s="621" t="s">
        <v>6283</v>
      </c>
      <c r="L1234" s="621">
        <v>3</v>
      </c>
      <c r="M1234" s="154" t="s">
        <v>12638</v>
      </c>
    </row>
    <row r="1235" spans="1:13" ht="11.1" customHeight="1">
      <c r="A1235" s="154" t="s">
        <v>14280</v>
      </c>
      <c r="C1235" s="617">
        <v>3</v>
      </c>
      <c r="D1235" s="618" t="s">
        <v>14281</v>
      </c>
      <c r="E1235" s="619">
        <v>0</v>
      </c>
      <c r="F1235" s="154">
        <v>82.97</v>
      </c>
      <c r="G1235" s="154" t="s">
        <v>12176</v>
      </c>
      <c r="H1235" s="620">
        <v>31</v>
      </c>
      <c r="I1235" s="154" t="s">
        <v>6257</v>
      </c>
      <c r="J1235" s="621" t="s">
        <v>12773</v>
      </c>
      <c r="K1235" s="621" t="s">
        <v>6036</v>
      </c>
      <c r="L1235" s="621">
        <v>0</v>
      </c>
      <c r="M1235" s="154">
        <v>0</v>
      </c>
    </row>
    <row r="1236" spans="1:13" ht="11.1" customHeight="1">
      <c r="A1236" s="154" t="s">
        <v>14282</v>
      </c>
      <c r="C1236" s="617">
        <v>3</v>
      </c>
      <c r="D1236" s="618" t="s">
        <v>14283</v>
      </c>
      <c r="E1236" s="619">
        <v>0</v>
      </c>
      <c r="F1236" s="154">
        <v>73.86</v>
      </c>
      <c r="G1236" s="154" t="s">
        <v>12181</v>
      </c>
      <c r="H1236" s="620">
        <v>38</v>
      </c>
      <c r="I1236" s="154" t="s">
        <v>6257</v>
      </c>
      <c r="J1236" s="621" t="s">
        <v>12617</v>
      </c>
      <c r="K1236" s="621" t="s">
        <v>6036</v>
      </c>
      <c r="L1236" s="621">
        <v>0</v>
      </c>
      <c r="M1236" s="154">
        <v>0</v>
      </c>
    </row>
    <row r="1237" spans="1:13" ht="11.1" customHeight="1">
      <c r="A1237" s="154" t="s">
        <v>14284</v>
      </c>
      <c r="C1237" s="617">
        <v>3</v>
      </c>
      <c r="D1237" s="618" t="s">
        <v>14285</v>
      </c>
      <c r="E1237" s="619">
        <v>0</v>
      </c>
      <c r="F1237" s="154">
        <v>73.11</v>
      </c>
      <c r="G1237" s="154" t="s">
        <v>13057</v>
      </c>
      <c r="H1237" s="620">
        <v>34</v>
      </c>
      <c r="I1237" s="154" t="s">
        <v>6257</v>
      </c>
      <c r="J1237" s="621" t="s">
        <v>12617</v>
      </c>
      <c r="K1237" s="621" t="s">
        <v>6036</v>
      </c>
      <c r="L1237" s="621">
        <v>0</v>
      </c>
      <c r="M1237" s="154">
        <v>0</v>
      </c>
    </row>
    <row r="1238" spans="1:13" ht="11.1" customHeight="1">
      <c r="A1238" s="154" t="s">
        <v>14286</v>
      </c>
      <c r="C1238" s="617">
        <v>3</v>
      </c>
      <c r="D1238" s="618" t="s">
        <v>9052</v>
      </c>
      <c r="E1238" s="619">
        <v>0</v>
      </c>
      <c r="F1238" s="154">
        <v>63.22</v>
      </c>
      <c r="G1238" s="154" t="s">
        <v>13114</v>
      </c>
      <c r="H1238" s="620">
        <v>56</v>
      </c>
      <c r="I1238" s="154" t="s">
        <v>6257</v>
      </c>
      <c r="J1238" s="621" t="s">
        <v>12635</v>
      </c>
      <c r="K1238" s="621" t="s">
        <v>6209</v>
      </c>
      <c r="L1238" s="621">
        <v>3</v>
      </c>
      <c r="M1238" s="154" t="s">
        <v>12638</v>
      </c>
    </row>
    <row r="1239" spans="1:13" ht="11.1" customHeight="1">
      <c r="A1239" s="154" t="s">
        <v>14287</v>
      </c>
      <c r="C1239" s="617">
        <v>3</v>
      </c>
      <c r="D1239" s="618" t="s">
        <v>8979</v>
      </c>
      <c r="E1239" s="619">
        <v>0</v>
      </c>
      <c r="F1239" s="154">
        <v>59.07</v>
      </c>
      <c r="G1239" s="154" t="s">
        <v>12970</v>
      </c>
      <c r="H1239" s="620">
        <v>44</v>
      </c>
      <c r="I1239" s="154" t="s">
        <v>6257</v>
      </c>
      <c r="J1239" s="621" t="s">
        <v>12631</v>
      </c>
      <c r="K1239" s="621" t="s">
        <v>6036</v>
      </c>
      <c r="L1239" s="621">
        <v>0</v>
      </c>
      <c r="M1239" s="154">
        <v>0</v>
      </c>
    </row>
    <row r="1240" spans="1:13" ht="11.1" customHeight="1">
      <c r="A1240" s="154" t="s">
        <v>14288</v>
      </c>
      <c r="C1240" s="617">
        <v>3</v>
      </c>
      <c r="D1240" s="618" t="s">
        <v>14289</v>
      </c>
      <c r="E1240" s="619">
        <v>0</v>
      </c>
      <c r="F1240" s="154">
        <v>48.83</v>
      </c>
      <c r="G1240" s="154" t="s">
        <v>13053</v>
      </c>
      <c r="H1240" s="620">
        <v>39</v>
      </c>
      <c r="I1240" s="154" t="s">
        <v>6257</v>
      </c>
      <c r="J1240" s="621" t="s">
        <v>12773</v>
      </c>
      <c r="K1240" s="621" t="s">
        <v>6036</v>
      </c>
      <c r="L1240" s="621">
        <v>0</v>
      </c>
      <c r="M1240" s="154">
        <v>0</v>
      </c>
    </row>
    <row r="1241" spans="1:13" ht="11.1" customHeight="1">
      <c r="A1241" s="154" t="s">
        <v>14290</v>
      </c>
      <c r="C1241" s="617">
        <v>33</v>
      </c>
      <c r="D1241" s="618" t="s">
        <v>8608</v>
      </c>
      <c r="E1241" s="619" t="s">
        <v>14052</v>
      </c>
      <c r="F1241" s="154" t="s">
        <v>6262</v>
      </c>
      <c r="G1241" s="154" t="s">
        <v>14291</v>
      </c>
      <c r="H1241" s="620">
        <v>61</v>
      </c>
      <c r="I1241" s="154" t="s">
        <v>6257</v>
      </c>
      <c r="J1241" s="621" t="s">
        <v>12975</v>
      </c>
      <c r="K1241" s="621" t="s">
        <v>6036</v>
      </c>
      <c r="L1241" s="621">
        <v>0</v>
      </c>
      <c r="M1241" s="154">
        <v>0</v>
      </c>
    </row>
    <row r="1242" spans="1:13" ht="11.1" customHeight="1">
      <c r="A1242" s="154" t="s">
        <v>14292</v>
      </c>
      <c r="B1242" s="297" t="s">
        <v>14048</v>
      </c>
      <c r="C1242" s="617">
        <v>3</v>
      </c>
      <c r="D1242" s="618" t="s">
        <v>8951</v>
      </c>
      <c r="E1242" s="619">
        <v>0</v>
      </c>
      <c r="F1242" s="154" t="s">
        <v>6251</v>
      </c>
      <c r="G1242" s="154" t="s">
        <v>6849</v>
      </c>
      <c r="H1242" s="620">
        <v>37</v>
      </c>
      <c r="I1242" s="154" t="s">
        <v>6257</v>
      </c>
      <c r="J1242" s="621" t="s">
        <v>12635</v>
      </c>
      <c r="K1242" s="621" t="s">
        <v>6209</v>
      </c>
      <c r="L1242" s="621">
        <v>2</v>
      </c>
      <c r="M1242" s="154" t="s">
        <v>6260</v>
      </c>
    </row>
    <row r="1243" spans="1:13" ht="11.1" customHeight="1">
      <c r="A1243" s="154" t="s">
        <v>14293</v>
      </c>
      <c r="B1243" s="297" t="s">
        <v>14048</v>
      </c>
      <c r="C1243" s="617">
        <v>3</v>
      </c>
      <c r="D1243" s="618" t="s">
        <v>8935</v>
      </c>
      <c r="E1243" s="619">
        <v>0</v>
      </c>
      <c r="F1243" s="154" t="s">
        <v>6251</v>
      </c>
      <c r="G1243" s="154" t="s">
        <v>12159</v>
      </c>
      <c r="H1243" s="620">
        <v>56</v>
      </c>
      <c r="I1243" s="154" t="s">
        <v>6257</v>
      </c>
      <c r="J1243" s="621" t="s">
        <v>12674</v>
      </c>
      <c r="K1243" s="621" t="s">
        <v>6209</v>
      </c>
      <c r="L1243" s="621">
        <v>3</v>
      </c>
      <c r="M1243" s="154" t="s">
        <v>12638</v>
      </c>
    </row>
    <row r="1244" spans="1:13" ht="11.1" customHeight="1">
      <c r="A1244" s="154" t="s">
        <v>14294</v>
      </c>
      <c r="B1244" s="297" t="s">
        <v>14048</v>
      </c>
      <c r="C1244" s="617">
        <v>3</v>
      </c>
      <c r="D1244" s="618" t="s">
        <v>8995</v>
      </c>
      <c r="E1244" s="619">
        <v>0</v>
      </c>
      <c r="F1244" s="154" t="s">
        <v>6251</v>
      </c>
      <c r="G1244" s="154" t="s">
        <v>12161</v>
      </c>
      <c r="H1244" s="620">
        <v>55</v>
      </c>
      <c r="I1244" s="154" t="s">
        <v>6257</v>
      </c>
      <c r="J1244" s="621" t="s">
        <v>12975</v>
      </c>
      <c r="K1244" s="621" t="s">
        <v>6209</v>
      </c>
      <c r="L1244" s="621">
        <v>4</v>
      </c>
      <c r="M1244" s="154" t="s">
        <v>12638</v>
      </c>
    </row>
    <row r="1245" spans="1:13" ht="11.1" customHeight="1">
      <c r="A1245" s="154" t="s">
        <v>14295</v>
      </c>
      <c r="B1245" s="297" t="s">
        <v>14048</v>
      </c>
      <c r="C1245" s="617">
        <v>3</v>
      </c>
      <c r="D1245" s="618" t="s">
        <v>8997</v>
      </c>
      <c r="E1245" s="619">
        <v>0</v>
      </c>
      <c r="F1245" s="154" t="s">
        <v>6251</v>
      </c>
      <c r="G1245" s="154" t="s">
        <v>6867</v>
      </c>
      <c r="H1245" s="620">
        <v>48</v>
      </c>
      <c r="I1245" s="154" t="s">
        <v>6257</v>
      </c>
      <c r="J1245" s="621" t="s">
        <v>12617</v>
      </c>
      <c r="K1245" s="621" t="s">
        <v>6209</v>
      </c>
      <c r="L1245" s="621">
        <v>3</v>
      </c>
      <c r="M1245" s="154" t="s">
        <v>12638</v>
      </c>
    </row>
    <row r="1246" spans="1:13" ht="11.1" customHeight="1">
      <c r="A1246" s="154" t="s">
        <v>14296</v>
      </c>
      <c r="B1246" s="297" t="s">
        <v>14048</v>
      </c>
      <c r="C1246" s="617">
        <v>3</v>
      </c>
      <c r="D1246" s="618" t="s">
        <v>8961</v>
      </c>
      <c r="E1246" s="619">
        <v>0</v>
      </c>
      <c r="F1246" s="154" t="s">
        <v>6251</v>
      </c>
      <c r="G1246" s="154" t="s">
        <v>6875</v>
      </c>
      <c r="H1246" s="620">
        <v>60</v>
      </c>
      <c r="I1246" s="154" t="s">
        <v>6257</v>
      </c>
      <c r="J1246" s="621" t="s">
        <v>12651</v>
      </c>
      <c r="K1246" s="621" t="s">
        <v>6209</v>
      </c>
      <c r="L1246" s="621">
        <v>3</v>
      </c>
      <c r="M1246" s="154" t="s">
        <v>12638</v>
      </c>
    </row>
    <row r="1247" spans="1:13" ht="11.1" customHeight="1">
      <c r="A1247" s="154" t="s">
        <v>14297</v>
      </c>
      <c r="B1247" s="297" t="s">
        <v>14048</v>
      </c>
      <c r="C1247" s="617">
        <v>3</v>
      </c>
      <c r="D1247" s="618" t="s">
        <v>14298</v>
      </c>
      <c r="E1247" s="619">
        <v>0</v>
      </c>
      <c r="F1247" s="154" t="s">
        <v>6251</v>
      </c>
      <c r="G1247" s="154" t="s">
        <v>12167</v>
      </c>
      <c r="H1247" s="620">
        <v>53</v>
      </c>
      <c r="I1247" s="154" t="s">
        <v>6257</v>
      </c>
      <c r="J1247" s="621" t="s">
        <v>12975</v>
      </c>
      <c r="K1247" s="621" t="s">
        <v>6283</v>
      </c>
      <c r="L1247" s="621">
        <v>1</v>
      </c>
      <c r="M1247" s="154">
        <v>0</v>
      </c>
    </row>
    <row r="1248" spans="1:13" ht="11.1" customHeight="1">
      <c r="A1248" s="154" t="s">
        <v>14299</v>
      </c>
      <c r="B1248" s="297" t="s">
        <v>14048</v>
      </c>
      <c r="C1248" s="617">
        <v>3</v>
      </c>
      <c r="D1248" s="618" t="s">
        <v>14300</v>
      </c>
      <c r="E1248" s="619">
        <v>0</v>
      </c>
      <c r="F1248" s="154" t="s">
        <v>6251</v>
      </c>
      <c r="G1248" s="154" t="s">
        <v>12170</v>
      </c>
      <c r="H1248" s="620">
        <v>54</v>
      </c>
      <c r="I1248" s="154" t="s">
        <v>6257</v>
      </c>
      <c r="J1248" s="621" t="s">
        <v>12651</v>
      </c>
      <c r="K1248" s="621" t="s">
        <v>6209</v>
      </c>
      <c r="L1248" s="621">
        <v>2</v>
      </c>
      <c r="M1248" s="154">
        <v>0</v>
      </c>
    </row>
    <row r="1249" spans="1:16" ht="11.1" customHeight="1">
      <c r="A1249" s="154" t="s">
        <v>14301</v>
      </c>
      <c r="B1249" s="297" t="s">
        <v>14048</v>
      </c>
      <c r="C1249" s="617">
        <v>3</v>
      </c>
      <c r="D1249" s="618" t="s">
        <v>14302</v>
      </c>
      <c r="E1249" s="619">
        <v>0</v>
      </c>
      <c r="F1249" s="154" t="s">
        <v>6251</v>
      </c>
      <c r="G1249" s="154" t="s">
        <v>6897</v>
      </c>
      <c r="H1249" s="620">
        <v>38</v>
      </c>
      <c r="I1249" s="154" t="s">
        <v>6257</v>
      </c>
      <c r="J1249" s="621" t="s">
        <v>12617</v>
      </c>
      <c r="K1249" s="621" t="s">
        <v>6209</v>
      </c>
      <c r="L1249" s="621">
        <v>3</v>
      </c>
      <c r="M1249" s="154">
        <v>0</v>
      </c>
    </row>
    <row r="1250" spans="1:16" ht="11.1" customHeight="1">
      <c r="A1250" s="154" t="s">
        <v>14303</v>
      </c>
      <c r="B1250" s="297" t="s">
        <v>14048</v>
      </c>
      <c r="C1250" s="617">
        <v>3</v>
      </c>
      <c r="D1250" s="618" t="s">
        <v>14304</v>
      </c>
      <c r="E1250" s="619">
        <v>0</v>
      </c>
      <c r="F1250" s="154" t="s">
        <v>6251</v>
      </c>
      <c r="G1250" s="154" t="s">
        <v>13062</v>
      </c>
      <c r="H1250" s="620">
        <v>54</v>
      </c>
      <c r="I1250" s="154" t="s">
        <v>6257</v>
      </c>
      <c r="J1250" s="621" t="s">
        <v>12674</v>
      </c>
      <c r="K1250" s="621" t="s">
        <v>6209</v>
      </c>
      <c r="L1250" s="621">
        <v>2</v>
      </c>
      <c r="M1250" s="154">
        <v>0</v>
      </c>
    </row>
    <row r="1251" spans="1:16" ht="11.1" customHeight="1">
      <c r="A1251" s="154" t="s">
        <v>14305</v>
      </c>
      <c r="B1251" s="297" t="s">
        <v>14048</v>
      </c>
      <c r="C1251" s="617">
        <v>3</v>
      </c>
      <c r="D1251" s="618" t="s">
        <v>14306</v>
      </c>
      <c r="E1251" s="619">
        <v>0</v>
      </c>
      <c r="F1251" s="154" t="s">
        <v>6251</v>
      </c>
      <c r="G1251" s="154" t="s">
        <v>7006</v>
      </c>
      <c r="H1251" s="620">
        <v>40</v>
      </c>
      <c r="I1251" s="154" t="s">
        <v>6257</v>
      </c>
      <c r="J1251" s="621" t="s">
        <v>12975</v>
      </c>
      <c r="K1251" s="621" t="s">
        <v>6209</v>
      </c>
      <c r="L1251" s="621">
        <v>2</v>
      </c>
      <c r="M1251" s="154">
        <v>0</v>
      </c>
    </row>
    <row r="1252" spans="1:16" ht="11.1" customHeight="1">
      <c r="A1252" s="154" t="s">
        <v>14307</v>
      </c>
      <c r="B1252" s="297" t="s">
        <v>14048</v>
      </c>
      <c r="C1252" s="617">
        <v>3</v>
      </c>
      <c r="D1252" s="618" t="s">
        <v>14308</v>
      </c>
      <c r="E1252" s="619">
        <v>0</v>
      </c>
      <c r="F1252" s="154" t="s">
        <v>6251</v>
      </c>
      <c r="G1252" s="154" t="s">
        <v>12205</v>
      </c>
      <c r="H1252" s="620">
        <v>67</v>
      </c>
      <c r="I1252" s="154" t="s">
        <v>6257</v>
      </c>
      <c r="J1252" s="621" t="s">
        <v>12674</v>
      </c>
      <c r="K1252" s="621" t="s">
        <v>6209</v>
      </c>
      <c r="L1252" s="621">
        <v>7</v>
      </c>
      <c r="M1252" s="154">
        <v>0</v>
      </c>
    </row>
    <row r="1253" spans="1:16" ht="11.1" customHeight="1">
      <c r="A1253" s="154" t="s">
        <v>14309</v>
      </c>
      <c r="B1253" s="297" t="s">
        <v>14048</v>
      </c>
      <c r="C1253" s="617">
        <v>3</v>
      </c>
      <c r="D1253" s="618" t="s">
        <v>14310</v>
      </c>
      <c r="E1253" s="619">
        <v>0</v>
      </c>
      <c r="F1253" s="154" t="s">
        <v>6251</v>
      </c>
      <c r="G1253" s="154" t="s">
        <v>12208</v>
      </c>
      <c r="H1253" s="620">
        <v>66</v>
      </c>
      <c r="I1253" s="154" t="s">
        <v>6257</v>
      </c>
      <c r="J1253" s="621" t="s">
        <v>12975</v>
      </c>
      <c r="K1253" s="621" t="s">
        <v>6209</v>
      </c>
      <c r="L1253" s="621">
        <v>11</v>
      </c>
      <c r="M1253" s="154">
        <v>0</v>
      </c>
    </row>
    <row r="1254" spans="1:16" ht="11.1" customHeight="1">
      <c r="A1254" s="154" t="s">
        <v>14311</v>
      </c>
      <c r="B1254" s="297" t="s">
        <v>14048</v>
      </c>
      <c r="C1254" s="617">
        <v>3</v>
      </c>
      <c r="D1254" s="618" t="s">
        <v>9056</v>
      </c>
      <c r="E1254" s="619">
        <v>0</v>
      </c>
      <c r="F1254" s="154" t="s">
        <v>6251</v>
      </c>
      <c r="G1254" s="154" t="s">
        <v>12213</v>
      </c>
      <c r="H1254" s="620">
        <v>58</v>
      </c>
      <c r="I1254" s="154" t="s">
        <v>6257</v>
      </c>
      <c r="J1254" s="621" t="s">
        <v>12617</v>
      </c>
      <c r="K1254" s="621" t="s">
        <v>6209</v>
      </c>
      <c r="L1254" s="621">
        <v>1</v>
      </c>
      <c r="M1254" s="154" t="s">
        <v>12638</v>
      </c>
    </row>
    <row r="1255" spans="1:16" ht="11.1" customHeight="1">
      <c r="A1255" s="154" t="s">
        <v>14312</v>
      </c>
      <c r="B1255" s="297" t="s">
        <v>12590</v>
      </c>
      <c r="C1255" s="617">
        <v>2</v>
      </c>
      <c r="D1255" s="618" t="s">
        <v>8995</v>
      </c>
      <c r="E1255" s="619">
        <v>0</v>
      </c>
      <c r="F1255" s="154">
        <v>46.08</v>
      </c>
      <c r="G1255" s="154" t="s">
        <v>13007</v>
      </c>
      <c r="H1255" s="620">
        <v>45</v>
      </c>
      <c r="I1255" s="154" t="s">
        <v>6253</v>
      </c>
      <c r="J1255" s="621" t="s">
        <v>11994</v>
      </c>
      <c r="K1255" s="621" t="s">
        <v>6209</v>
      </c>
      <c r="L1255" s="621">
        <v>2</v>
      </c>
      <c r="M1255" s="154">
        <v>0</v>
      </c>
      <c r="N1255" s="298">
        <v>9</v>
      </c>
      <c r="O1255" s="298">
        <v>2819165</v>
      </c>
      <c r="P1255" s="298">
        <v>39.976095155404884</v>
      </c>
    </row>
    <row r="1256" spans="1:16" ht="11.1" customHeight="1">
      <c r="A1256" s="154" t="s">
        <v>14313</v>
      </c>
      <c r="B1256" s="297" t="s">
        <v>12590</v>
      </c>
      <c r="C1256" s="617">
        <v>3</v>
      </c>
      <c r="D1256" s="618" t="s">
        <v>14314</v>
      </c>
      <c r="E1256" s="619">
        <v>0</v>
      </c>
      <c r="F1256" s="154">
        <v>99.35</v>
      </c>
      <c r="G1256" s="154" t="s">
        <v>6926</v>
      </c>
      <c r="H1256" s="620">
        <v>62</v>
      </c>
      <c r="I1256" s="154" t="s">
        <v>6253</v>
      </c>
      <c r="J1256" s="621" t="s">
        <v>11989</v>
      </c>
      <c r="K1256" s="621" t="s">
        <v>6209</v>
      </c>
      <c r="L1256" s="621">
        <v>3</v>
      </c>
      <c r="M1256" s="154">
        <v>0</v>
      </c>
    </row>
    <row r="1257" spans="1:16" ht="11.1" customHeight="1">
      <c r="A1257" s="154" t="s">
        <v>14315</v>
      </c>
      <c r="B1257" s="297" t="s">
        <v>12590</v>
      </c>
      <c r="C1257" s="617">
        <v>3</v>
      </c>
      <c r="D1257" s="618" t="s">
        <v>8961</v>
      </c>
      <c r="E1257" s="619">
        <v>0</v>
      </c>
      <c r="F1257" s="154">
        <v>93.02</v>
      </c>
      <c r="G1257" s="154" t="s">
        <v>6873</v>
      </c>
      <c r="H1257" s="620">
        <v>57</v>
      </c>
      <c r="I1257" s="154" t="s">
        <v>6253</v>
      </c>
      <c r="J1257" s="621" t="s">
        <v>12007</v>
      </c>
      <c r="K1257" s="621" t="s">
        <v>6036</v>
      </c>
      <c r="L1257" s="621">
        <v>0</v>
      </c>
      <c r="M1257" s="154">
        <v>0</v>
      </c>
    </row>
    <row r="1258" spans="1:16" ht="11.1" customHeight="1">
      <c r="A1258" s="154" t="s">
        <v>14316</v>
      </c>
      <c r="B1258" s="297" t="s">
        <v>12590</v>
      </c>
      <c r="C1258" s="617">
        <v>3</v>
      </c>
      <c r="D1258" s="618" t="s">
        <v>14302</v>
      </c>
      <c r="E1258" s="619">
        <v>0</v>
      </c>
      <c r="F1258" s="154">
        <v>89.9</v>
      </c>
      <c r="G1258" s="154" t="s">
        <v>12173</v>
      </c>
      <c r="H1258" s="620">
        <v>66</v>
      </c>
      <c r="I1258" s="154" t="s">
        <v>6253</v>
      </c>
      <c r="J1258" s="621" t="s">
        <v>12000</v>
      </c>
      <c r="K1258" s="621" t="s">
        <v>6036</v>
      </c>
      <c r="L1258" s="621">
        <v>0</v>
      </c>
      <c r="M1258" s="154">
        <v>0</v>
      </c>
    </row>
    <row r="1259" spans="1:16" ht="11.1" customHeight="1">
      <c r="A1259" s="154" t="s">
        <v>14317</v>
      </c>
      <c r="B1259" s="297" t="s">
        <v>12590</v>
      </c>
      <c r="C1259" s="617">
        <v>3</v>
      </c>
      <c r="D1259" s="618" t="s">
        <v>14298</v>
      </c>
      <c r="E1259" s="619">
        <v>0</v>
      </c>
      <c r="F1259" s="154">
        <v>87.38</v>
      </c>
      <c r="G1259" s="154" t="s">
        <v>12168</v>
      </c>
      <c r="H1259" s="620">
        <v>56</v>
      </c>
      <c r="I1259" s="154" t="s">
        <v>6253</v>
      </c>
      <c r="J1259" s="621" t="s">
        <v>12000</v>
      </c>
      <c r="K1259" s="621" t="s">
        <v>6209</v>
      </c>
      <c r="L1259" s="621">
        <v>4</v>
      </c>
      <c r="M1259" s="154" t="s">
        <v>6154</v>
      </c>
    </row>
    <row r="1260" spans="1:16" ht="11.1" customHeight="1">
      <c r="A1260" s="154" t="s">
        <v>14318</v>
      </c>
      <c r="B1260" s="297" t="s">
        <v>12590</v>
      </c>
      <c r="C1260" s="617">
        <v>3</v>
      </c>
      <c r="D1260" s="618" t="s">
        <v>8951</v>
      </c>
      <c r="E1260" s="619">
        <v>0</v>
      </c>
      <c r="F1260" s="154">
        <v>86.3</v>
      </c>
      <c r="G1260" s="154" t="s">
        <v>12157</v>
      </c>
      <c r="H1260" s="620">
        <v>46</v>
      </c>
      <c r="I1260" s="154" t="s">
        <v>6253</v>
      </c>
      <c r="J1260" s="621" t="s">
        <v>11994</v>
      </c>
      <c r="K1260" s="621" t="s">
        <v>6283</v>
      </c>
      <c r="L1260" s="621">
        <v>1</v>
      </c>
      <c r="M1260" s="154">
        <v>0</v>
      </c>
    </row>
    <row r="1261" spans="1:16" ht="11.1" customHeight="1">
      <c r="A1261" s="154" t="s">
        <v>14319</v>
      </c>
      <c r="B1261" s="297" t="s">
        <v>12590</v>
      </c>
      <c r="C1261" s="617">
        <v>3</v>
      </c>
      <c r="D1261" s="618" t="s">
        <v>14300</v>
      </c>
      <c r="E1261" s="619">
        <v>0</v>
      </c>
      <c r="F1261" s="154">
        <v>80.87</v>
      </c>
      <c r="G1261" s="154" t="s">
        <v>12171</v>
      </c>
      <c r="H1261" s="620">
        <v>52</v>
      </c>
      <c r="I1261" s="154" t="s">
        <v>6253</v>
      </c>
      <c r="J1261" s="621" t="s">
        <v>11989</v>
      </c>
      <c r="K1261" s="621" t="s">
        <v>6209</v>
      </c>
      <c r="L1261" s="621">
        <v>1</v>
      </c>
      <c r="M1261" s="154">
        <v>0</v>
      </c>
    </row>
    <row r="1262" spans="1:16" ht="11.1" customHeight="1">
      <c r="A1262" s="154" t="s">
        <v>14320</v>
      </c>
      <c r="B1262" s="297" t="s">
        <v>12590</v>
      </c>
      <c r="C1262" s="617">
        <v>3</v>
      </c>
      <c r="D1262" s="618" t="s">
        <v>14304</v>
      </c>
      <c r="E1262" s="619">
        <v>0</v>
      </c>
      <c r="F1262" s="154">
        <v>78.2</v>
      </c>
      <c r="G1262" s="154" t="s">
        <v>12192</v>
      </c>
      <c r="H1262" s="620">
        <v>58</v>
      </c>
      <c r="I1262" s="154" t="s">
        <v>6253</v>
      </c>
      <c r="J1262" s="621" t="s">
        <v>12178</v>
      </c>
      <c r="K1262" s="621" t="s">
        <v>6036</v>
      </c>
      <c r="L1262" s="621">
        <v>0</v>
      </c>
      <c r="M1262" s="154">
        <v>0</v>
      </c>
    </row>
    <row r="1263" spans="1:16" ht="11.1" customHeight="1">
      <c r="A1263" s="154" t="s">
        <v>14321</v>
      </c>
      <c r="B1263" s="297" t="s">
        <v>12590</v>
      </c>
      <c r="C1263" s="617">
        <v>3</v>
      </c>
      <c r="D1263" s="618" t="s">
        <v>8997</v>
      </c>
      <c r="E1263" s="619">
        <v>0</v>
      </c>
      <c r="F1263" s="154">
        <v>75.64</v>
      </c>
      <c r="G1263" s="154" t="s">
        <v>12164</v>
      </c>
      <c r="H1263" s="620">
        <v>38</v>
      </c>
      <c r="I1263" s="154" t="s">
        <v>6253</v>
      </c>
      <c r="J1263" s="621" t="s">
        <v>12007</v>
      </c>
      <c r="K1263" s="621" t="s">
        <v>6036</v>
      </c>
      <c r="L1263" s="621">
        <v>0</v>
      </c>
      <c r="M1263" s="154">
        <v>0</v>
      </c>
    </row>
    <row r="1264" spans="1:16" ht="11.1" customHeight="1">
      <c r="A1264" s="154" t="s">
        <v>14322</v>
      </c>
      <c r="C1264" s="617">
        <v>3</v>
      </c>
      <c r="D1264" s="618" t="s">
        <v>9056</v>
      </c>
      <c r="E1264" s="619">
        <v>0</v>
      </c>
      <c r="F1264" s="154">
        <v>75.17</v>
      </c>
      <c r="G1264" s="154" t="s">
        <v>12214</v>
      </c>
      <c r="H1264" s="620">
        <v>46</v>
      </c>
      <c r="I1264" s="154" t="s">
        <v>6253</v>
      </c>
      <c r="J1264" s="621" t="s">
        <v>11994</v>
      </c>
      <c r="K1264" s="621" t="s">
        <v>6209</v>
      </c>
      <c r="L1264" s="621">
        <v>1</v>
      </c>
      <c r="M1264" s="154">
        <v>0</v>
      </c>
    </row>
    <row r="1265" spans="1:13" ht="11.1" customHeight="1">
      <c r="A1265" s="154" t="s">
        <v>14323</v>
      </c>
      <c r="C1265" s="617">
        <v>3</v>
      </c>
      <c r="D1265" s="618" t="s">
        <v>14308</v>
      </c>
      <c r="E1265" s="619">
        <v>0</v>
      </c>
      <c r="F1265" s="154">
        <v>66.34</v>
      </c>
      <c r="G1265" s="154" t="s">
        <v>12206</v>
      </c>
      <c r="H1265" s="620">
        <v>29</v>
      </c>
      <c r="I1265" s="154" t="s">
        <v>6253</v>
      </c>
      <c r="J1265" s="621" t="s">
        <v>12178</v>
      </c>
      <c r="K1265" s="621" t="s">
        <v>6036</v>
      </c>
      <c r="L1265" s="621">
        <v>0</v>
      </c>
      <c r="M1265" s="154">
        <v>0</v>
      </c>
    </row>
    <row r="1266" spans="1:13" ht="11.1" customHeight="1">
      <c r="A1266" s="154" t="s">
        <v>14324</v>
      </c>
      <c r="C1266" s="617">
        <v>3</v>
      </c>
      <c r="D1266" s="618" t="s">
        <v>14325</v>
      </c>
      <c r="E1266" s="619">
        <v>0</v>
      </c>
      <c r="F1266" s="154">
        <v>61.95</v>
      </c>
      <c r="G1266" s="154" t="s">
        <v>12201</v>
      </c>
      <c r="H1266" s="620">
        <v>51</v>
      </c>
      <c r="I1266" s="154" t="s">
        <v>6253</v>
      </c>
      <c r="J1266" s="621" t="s">
        <v>12020</v>
      </c>
      <c r="K1266" s="621" t="s">
        <v>6209</v>
      </c>
      <c r="L1266" s="621">
        <v>2</v>
      </c>
      <c r="M1266" s="154">
        <v>0</v>
      </c>
    </row>
    <row r="1267" spans="1:13" ht="11.1" customHeight="1">
      <c r="A1267" s="154" t="s">
        <v>14326</v>
      </c>
      <c r="C1267" s="617">
        <v>3</v>
      </c>
      <c r="D1267" s="618" t="s">
        <v>14310</v>
      </c>
      <c r="E1267" s="619">
        <v>0</v>
      </c>
      <c r="F1267" s="154">
        <v>60.57</v>
      </c>
      <c r="G1267" s="154" t="s">
        <v>8048</v>
      </c>
      <c r="H1267" s="620">
        <v>40</v>
      </c>
      <c r="I1267" s="154" t="s">
        <v>6253</v>
      </c>
      <c r="J1267" s="621" t="s">
        <v>12007</v>
      </c>
      <c r="K1267" s="621" t="s">
        <v>6036</v>
      </c>
      <c r="L1267" s="621">
        <v>0</v>
      </c>
      <c r="M1267" s="154">
        <v>0</v>
      </c>
    </row>
    <row r="1268" spans="1:13" ht="11.1" customHeight="1">
      <c r="A1268" s="154" t="s">
        <v>14327</v>
      </c>
      <c r="C1268" s="617">
        <v>3</v>
      </c>
      <c r="D1268" s="618" t="s">
        <v>14306</v>
      </c>
      <c r="E1268" s="619">
        <v>0</v>
      </c>
      <c r="F1268" s="154">
        <v>51.67</v>
      </c>
      <c r="G1268" s="154" t="s">
        <v>13090</v>
      </c>
      <c r="H1268" s="620">
        <v>50</v>
      </c>
      <c r="I1268" s="154" t="s">
        <v>6253</v>
      </c>
      <c r="J1268" s="621" t="s">
        <v>11989</v>
      </c>
      <c r="K1268" s="621" t="s">
        <v>6036</v>
      </c>
      <c r="L1268" s="621">
        <v>0</v>
      </c>
      <c r="M1268" s="154">
        <v>0</v>
      </c>
    </row>
    <row r="1269" spans="1:13" ht="11.1" customHeight="1">
      <c r="A1269" s="154" t="s">
        <v>14328</v>
      </c>
      <c r="C1269" s="617">
        <v>3</v>
      </c>
      <c r="D1269" s="618" t="s">
        <v>8935</v>
      </c>
      <c r="E1269" s="619">
        <v>0</v>
      </c>
      <c r="F1269" s="154">
        <v>33.56</v>
      </c>
      <c r="G1269" s="154" t="s">
        <v>13001</v>
      </c>
      <c r="H1269" s="620">
        <v>48</v>
      </c>
      <c r="I1269" s="154" t="s">
        <v>6253</v>
      </c>
      <c r="J1269" s="621" t="s">
        <v>11994</v>
      </c>
      <c r="K1269" s="621" t="s">
        <v>6036</v>
      </c>
      <c r="L1269" s="621">
        <v>0</v>
      </c>
      <c r="M1269" s="154">
        <v>0</v>
      </c>
    </row>
    <row r="1270" spans="1:13" ht="11.1" customHeight="1">
      <c r="A1270" s="154" t="s">
        <v>14329</v>
      </c>
      <c r="C1270" s="617">
        <v>3</v>
      </c>
      <c r="D1270" s="618" t="s">
        <v>14330</v>
      </c>
      <c r="E1270" s="619">
        <v>0</v>
      </c>
      <c r="F1270" s="154">
        <v>26.55</v>
      </c>
      <c r="G1270" s="154" t="s">
        <v>13067</v>
      </c>
      <c r="H1270" s="620">
        <v>46</v>
      </c>
      <c r="I1270" s="154" t="s">
        <v>6253</v>
      </c>
      <c r="J1270" s="621" t="s">
        <v>12007</v>
      </c>
      <c r="K1270" s="621" t="s">
        <v>6036</v>
      </c>
      <c r="L1270" s="621">
        <v>0</v>
      </c>
      <c r="M1270" s="154">
        <v>0</v>
      </c>
    </row>
    <row r="1271" spans="1:13" ht="11.1" customHeight="1">
      <c r="A1271" s="154" t="s">
        <v>14331</v>
      </c>
      <c r="B1271" s="297" t="s">
        <v>14048</v>
      </c>
      <c r="C1271" s="617">
        <v>1</v>
      </c>
      <c r="D1271" s="618" t="s">
        <v>14273</v>
      </c>
      <c r="E1271" s="619">
        <v>0</v>
      </c>
      <c r="F1271" s="154" t="s">
        <v>6251</v>
      </c>
      <c r="G1271" s="154" t="s">
        <v>12210</v>
      </c>
      <c r="H1271" s="620">
        <v>37</v>
      </c>
      <c r="I1271" s="154" t="s">
        <v>6253</v>
      </c>
      <c r="J1271" s="621" t="s">
        <v>12020</v>
      </c>
      <c r="K1271" s="621" t="s">
        <v>6209</v>
      </c>
      <c r="L1271" s="621">
        <v>1</v>
      </c>
      <c r="M1271" s="154">
        <v>0</v>
      </c>
    </row>
    <row r="1272" spans="1:13" ht="11.1" customHeight="1">
      <c r="A1272" s="154" t="s">
        <v>14332</v>
      </c>
      <c r="B1272" s="297" t="s">
        <v>14048</v>
      </c>
      <c r="C1272" s="617">
        <v>3</v>
      </c>
      <c r="D1272" s="618" t="s">
        <v>8967</v>
      </c>
      <c r="E1272" s="619">
        <v>0</v>
      </c>
      <c r="F1272" s="154" t="s">
        <v>6251</v>
      </c>
      <c r="G1272" s="154" t="s">
        <v>12140</v>
      </c>
      <c r="H1272" s="620">
        <v>42</v>
      </c>
      <c r="I1272" s="154" t="s">
        <v>6253</v>
      </c>
      <c r="J1272" s="621" t="s">
        <v>12007</v>
      </c>
      <c r="K1272" s="621" t="s">
        <v>6036</v>
      </c>
      <c r="L1272" s="621">
        <v>0</v>
      </c>
      <c r="M1272" s="154">
        <v>0</v>
      </c>
    </row>
    <row r="1273" spans="1:13" ht="11.1" customHeight="1">
      <c r="A1273" s="154" t="s">
        <v>14333</v>
      </c>
      <c r="B1273" s="297" t="s">
        <v>14048</v>
      </c>
      <c r="C1273" s="617">
        <v>3</v>
      </c>
      <c r="D1273" s="618" t="s">
        <v>8975</v>
      </c>
      <c r="E1273" s="619">
        <v>0</v>
      </c>
      <c r="F1273" s="154" t="s">
        <v>6251</v>
      </c>
      <c r="G1273" s="154" t="s">
        <v>12142</v>
      </c>
      <c r="H1273" s="620">
        <v>34</v>
      </c>
      <c r="I1273" s="154" t="s">
        <v>6253</v>
      </c>
      <c r="J1273" s="621" t="s">
        <v>12007</v>
      </c>
      <c r="K1273" s="621" t="s">
        <v>6209</v>
      </c>
      <c r="L1273" s="621">
        <v>1</v>
      </c>
      <c r="M1273" s="154">
        <v>0</v>
      </c>
    </row>
    <row r="1274" spans="1:13" ht="11.1" customHeight="1">
      <c r="A1274" s="154" t="s">
        <v>14334</v>
      </c>
      <c r="B1274" s="297" t="s">
        <v>14048</v>
      </c>
      <c r="C1274" s="617">
        <v>3</v>
      </c>
      <c r="D1274" s="618" t="s">
        <v>8943</v>
      </c>
      <c r="E1274" s="619">
        <v>0</v>
      </c>
      <c r="F1274" s="154" t="s">
        <v>6251</v>
      </c>
      <c r="G1274" s="154" t="s">
        <v>6795</v>
      </c>
      <c r="H1274" s="620">
        <v>46</v>
      </c>
      <c r="I1274" s="154" t="s">
        <v>6253</v>
      </c>
      <c r="J1274" s="621" t="s">
        <v>12020</v>
      </c>
      <c r="K1274" s="621" t="s">
        <v>6036</v>
      </c>
      <c r="L1274" s="621">
        <v>0</v>
      </c>
      <c r="M1274" s="154">
        <v>0</v>
      </c>
    </row>
    <row r="1275" spans="1:13" ht="11.1" customHeight="1">
      <c r="A1275" s="154" t="s">
        <v>14335</v>
      </c>
      <c r="B1275" s="297" t="s">
        <v>14048</v>
      </c>
      <c r="C1275" s="617">
        <v>3</v>
      </c>
      <c r="D1275" s="618" t="s">
        <v>8979</v>
      </c>
      <c r="E1275" s="619">
        <v>0</v>
      </c>
      <c r="F1275" s="154" t="s">
        <v>6251</v>
      </c>
      <c r="G1275" s="154" t="s">
        <v>6801</v>
      </c>
      <c r="H1275" s="620">
        <v>46</v>
      </c>
      <c r="I1275" s="154" t="s">
        <v>6253</v>
      </c>
      <c r="J1275" s="621" t="s">
        <v>11994</v>
      </c>
      <c r="K1275" s="621" t="s">
        <v>6209</v>
      </c>
      <c r="L1275" s="621">
        <v>2</v>
      </c>
      <c r="M1275" s="154">
        <v>0</v>
      </c>
    </row>
    <row r="1276" spans="1:13" ht="11.1" customHeight="1">
      <c r="A1276" s="154" t="s">
        <v>14336</v>
      </c>
      <c r="B1276" s="297" t="s">
        <v>14048</v>
      </c>
      <c r="C1276" s="617">
        <v>3</v>
      </c>
      <c r="D1276" s="618" t="s">
        <v>8971</v>
      </c>
      <c r="E1276" s="619">
        <v>0</v>
      </c>
      <c r="F1276" s="154" t="s">
        <v>6251</v>
      </c>
      <c r="G1276" s="154" t="s">
        <v>6811</v>
      </c>
      <c r="H1276" s="620">
        <v>29</v>
      </c>
      <c r="I1276" s="154" t="s">
        <v>6253</v>
      </c>
      <c r="J1276" s="621" t="s">
        <v>12007</v>
      </c>
      <c r="K1276" s="621" t="s">
        <v>6036</v>
      </c>
      <c r="L1276" s="621">
        <v>0</v>
      </c>
      <c r="M1276" s="154">
        <v>0</v>
      </c>
    </row>
    <row r="1277" spans="1:13" ht="11.1" customHeight="1">
      <c r="A1277" s="154" t="s">
        <v>14337</v>
      </c>
      <c r="B1277" s="297" t="s">
        <v>14048</v>
      </c>
      <c r="C1277" s="617">
        <v>3</v>
      </c>
      <c r="D1277" s="618" t="s">
        <v>8965</v>
      </c>
      <c r="E1277" s="619">
        <v>0</v>
      </c>
      <c r="F1277" s="154" t="s">
        <v>6251</v>
      </c>
      <c r="G1277" s="154" t="s">
        <v>6819</v>
      </c>
      <c r="H1277" s="620">
        <v>56</v>
      </c>
      <c r="I1277" s="154" t="s">
        <v>6253</v>
      </c>
      <c r="J1277" s="621" t="s">
        <v>12000</v>
      </c>
      <c r="K1277" s="621" t="s">
        <v>6209</v>
      </c>
      <c r="L1277" s="621">
        <v>2</v>
      </c>
      <c r="M1277" s="154">
        <v>0</v>
      </c>
    </row>
    <row r="1278" spans="1:13" ht="11.1" customHeight="1">
      <c r="A1278" s="154" t="s">
        <v>14338</v>
      </c>
      <c r="B1278" s="297" t="s">
        <v>14048</v>
      </c>
      <c r="C1278" s="617">
        <v>3</v>
      </c>
      <c r="D1278" s="618" t="s">
        <v>8939</v>
      </c>
      <c r="E1278" s="619">
        <v>0</v>
      </c>
      <c r="F1278" s="154" t="s">
        <v>6251</v>
      </c>
      <c r="G1278" s="154" t="s">
        <v>12153</v>
      </c>
      <c r="H1278" s="620">
        <v>49</v>
      </c>
      <c r="I1278" s="154" t="s">
        <v>6253</v>
      </c>
      <c r="J1278" s="621" t="s">
        <v>12007</v>
      </c>
      <c r="K1278" s="621" t="s">
        <v>6036</v>
      </c>
      <c r="L1278" s="621">
        <v>0</v>
      </c>
      <c r="M1278" s="154">
        <v>0</v>
      </c>
    </row>
    <row r="1279" spans="1:13" ht="11.1" customHeight="1">
      <c r="A1279" s="154" t="s">
        <v>14339</v>
      </c>
      <c r="B1279" s="297" t="s">
        <v>14048</v>
      </c>
      <c r="C1279" s="617">
        <v>3</v>
      </c>
      <c r="D1279" s="618" t="s">
        <v>8959</v>
      </c>
      <c r="E1279" s="619">
        <v>0</v>
      </c>
      <c r="F1279" s="154" t="s">
        <v>6251</v>
      </c>
      <c r="G1279" s="154" t="s">
        <v>6839</v>
      </c>
      <c r="H1279" s="620">
        <v>60</v>
      </c>
      <c r="I1279" s="154" t="s">
        <v>6253</v>
      </c>
      <c r="J1279" s="621" t="s">
        <v>11994</v>
      </c>
      <c r="K1279" s="621" t="s">
        <v>6209</v>
      </c>
      <c r="L1279" s="621">
        <v>2</v>
      </c>
      <c r="M1279" s="154">
        <v>0</v>
      </c>
    </row>
    <row r="1280" spans="1:13" ht="11.1" customHeight="1">
      <c r="A1280" s="154" t="s">
        <v>14340</v>
      </c>
      <c r="B1280" s="297" t="s">
        <v>14048</v>
      </c>
      <c r="C1280" s="617">
        <v>3</v>
      </c>
      <c r="D1280" s="618" t="s">
        <v>14281</v>
      </c>
      <c r="E1280" s="619">
        <v>0</v>
      </c>
      <c r="F1280" s="154" t="s">
        <v>6251</v>
      </c>
      <c r="G1280" s="154" t="s">
        <v>12177</v>
      </c>
      <c r="H1280" s="620">
        <v>67</v>
      </c>
      <c r="I1280" s="154" t="s">
        <v>6253</v>
      </c>
      <c r="J1280" s="621" t="s">
        <v>12178</v>
      </c>
      <c r="K1280" s="621" t="s">
        <v>6209</v>
      </c>
      <c r="L1280" s="621">
        <v>1</v>
      </c>
      <c r="M1280" s="154">
        <v>0</v>
      </c>
    </row>
    <row r="1281" spans="1:16" ht="11.1" customHeight="1">
      <c r="A1281" s="154" t="s">
        <v>14341</v>
      </c>
      <c r="B1281" s="297" t="s">
        <v>14048</v>
      </c>
      <c r="C1281" s="617">
        <v>3</v>
      </c>
      <c r="D1281" s="618" t="s">
        <v>14283</v>
      </c>
      <c r="E1281" s="619">
        <v>0</v>
      </c>
      <c r="F1281" s="154" t="s">
        <v>6251</v>
      </c>
      <c r="G1281" s="154" t="s">
        <v>6917</v>
      </c>
      <c r="H1281" s="620">
        <v>65</v>
      </c>
      <c r="I1281" s="154" t="s">
        <v>6253</v>
      </c>
      <c r="J1281" s="621" t="s">
        <v>12178</v>
      </c>
      <c r="K1281" s="621" t="s">
        <v>6209</v>
      </c>
      <c r="L1281" s="621">
        <v>5</v>
      </c>
      <c r="M1281" s="154">
        <v>0</v>
      </c>
    </row>
    <row r="1282" spans="1:16" ht="11.1" customHeight="1">
      <c r="A1282" s="154" t="s">
        <v>14342</v>
      </c>
      <c r="B1282" s="297" t="s">
        <v>14048</v>
      </c>
      <c r="C1282" s="617">
        <v>3</v>
      </c>
      <c r="D1282" s="618" t="s">
        <v>14269</v>
      </c>
      <c r="E1282" s="619">
        <v>0</v>
      </c>
      <c r="F1282" s="154" t="s">
        <v>6251</v>
      </c>
      <c r="G1282" s="154" t="s">
        <v>6936</v>
      </c>
      <c r="H1282" s="620">
        <v>58</v>
      </c>
      <c r="I1282" s="154" t="s">
        <v>6253</v>
      </c>
      <c r="J1282" s="621" t="s">
        <v>12007</v>
      </c>
      <c r="K1282" s="621" t="s">
        <v>6209</v>
      </c>
      <c r="L1282" s="621">
        <v>1</v>
      </c>
      <c r="M1282" s="154">
        <v>0</v>
      </c>
    </row>
    <row r="1283" spans="1:16" ht="11.1" customHeight="1">
      <c r="A1283" s="154" t="s">
        <v>14343</v>
      </c>
      <c r="B1283" s="297" t="s">
        <v>14048</v>
      </c>
      <c r="C1283" s="617">
        <v>3</v>
      </c>
      <c r="D1283" s="618" t="s">
        <v>14289</v>
      </c>
      <c r="E1283" s="619">
        <v>0</v>
      </c>
      <c r="F1283" s="154" t="s">
        <v>6251</v>
      </c>
      <c r="G1283" s="154" t="s">
        <v>12188</v>
      </c>
      <c r="H1283" s="620">
        <v>67</v>
      </c>
      <c r="I1283" s="154" t="s">
        <v>6253</v>
      </c>
      <c r="J1283" s="621" t="s">
        <v>11994</v>
      </c>
      <c r="K1283" s="621" t="s">
        <v>6209</v>
      </c>
      <c r="L1283" s="621">
        <v>2</v>
      </c>
      <c r="M1283" s="154">
        <v>0</v>
      </c>
    </row>
    <row r="1284" spans="1:16" ht="11.1" customHeight="1">
      <c r="A1284" s="154" t="s">
        <v>14344</v>
      </c>
      <c r="B1284" s="297" t="s">
        <v>14048</v>
      </c>
      <c r="C1284" s="617">
        <v>3</v>
      </c>
      <c r="D1284" s="618" t="s">
        <v>14285</v>
      </c>
      <c r="E1284" s="619">
        <v>0</v>
      </c>
      <c r="F1284" s="154" t="s">
        <v>6251</v>
      </c>
      <c r="G1284" s="154" t="s">
        <v>12190</v>
      </c>
      <c r="H1284" s="620">
        <v>38</v>
      </c>
      <c r="I1284" s="154" t="s">
        <v>6253</v>
      </c>
      <c r="J1284" s="621" t="s">
        <v>12007</v>
      </c>
      <c r="K1284" s="621" t="s">
        <v>6036</v>
      </c>
      <c r="L1284" s="621">
        <v>0</v>
      </c>
      <c r="M1284" s="154">
        <v>0</v>
      </c>
    </row>
    <row r="1285" spans="1:16" ht="11.1" customHeight="1">
      <c r="A1285" s="154" t="s">
        <v>14345</v>
      </c>
      <c r="B1285" s="297" t="s">
        <v>14048</v>
      </c>
      <c r="C1285" s="617">
        <v>3</v>
      </c>
      <c r="D1285" s="618" t="s">
        <v>14267</v>
      </c>
      <c r="E1285" s="619">
        <v>0</v>
      </c>
      <c r="F1285" s="154" t="s">
        <v>6251</v>
      </c>
      <c r="G1285" s="154" t="s">
        <v>6978</v>
      </c>
      <c r="H1285" s="620">
        <v>38</v>
      </c>
      <c r="I1285" s="154" t="s">
        <v>6253</v>
      </c>
      <c r="J1285" s="621" t="s">
        <v>12020</v>
      </c>
      <c r="K1285" s="621" t="s">
        <v>6209</v>
      </c>
      <c r="L1285" s="621">
        <v>1</v>
      </c>
      <c r="M1285" s="154">
        <v>0</v>
      </c>
    </row>
    <row r="1286" spans="1:16" ht="11.1" customHeight="1">
      <c r="A1286" s="154" t="s">
        <v>14346</v>
      </c>
      <c r="B1286" s="297" t="s">
        <v>14048</v>
      </c>
      <c r="C1286" s="617">
        <v>3</v>
      </c>
      <c r="D1286" s="618" t="s">
        <v>14277</v>
      </c>
      <c r="E1286" s="619">
        <v>0</v>
      </c>
      <c r="F1286" s="154" t="s">
        <v>6251</v>
      </c>
      <c r="G1286" s="154" t="s">
        <v>9010</v>
      </c>
      <c r="H1286" s="620">
        <v>71</v>
      </c>
      <c r="I1286" s="154" t="s">
        <v>6253</v>
      </c>
      <c r="J1286" s="621" t="s">
        <v>12020</v>
      </c>
      <c r="K1286" s="621" t="s">
        <v>6209</v>
      </c>
      <c r="L1286" s="621">
        <v>4</v>
      </c>
      <c r="M1286" s="154">
        <v>0</v>
      </c>
    </row>
    <row r="1287" spans="1:16" ht="11.1" customHeight="1">
      <c r="A1287" s="154" t="s">
        <v>14347</v>
      </c>
      <c r="B1287" s="297" t="s">
        <v>14048</v>
      </c>
      <c r="C1287" s="617">
        <v>3</v>
      </c>
      <c r="D1287" s="618" t="s">
        <v>9052</v>
      </c>
      <c r="E1287" s="619">
        <v>0</v>
      </c>
      <c r="F1287" s="154" t="s">
        <v>6251</v>
      </c>
      <c r="G1287" s="154" t="s">
        <v>7039</v>
      </c>
      <c r="H1287" s="620">
        <v>49</v>
      </c>
      <c r="I1287" s="154" t="s">
        <v>6253</v>
      </c>
      <c r="J1287" s="621" t="s">
        <v>12000</v>
      </c>
      <c r="K1287" s="621" t="s">
        <v>6209</v>
      </c>
      <c r="L1287" s="621">
        <v>3</v>
      </c>
      <c r="M1287" s="154">
        <v>0</v>
      </c>
    </row>
    <row r="1288" spans="1:16" ht="11.1" customHeight="1">
      <c r="A1288" s="154" t="s">
        <v>14348</v>
      </c>
      <c r="B1288" s="297" t="s">
        <v>12590</v>
      </c>
      <c r="C1288" s="617">
        <v>1</v>
      </c>
      <c r="D1288" s="618" t="s">
        <v>8608</v>
      </c>
      <c r="E1288" s="619">
        <v>0</v>
      </c>
      <c r="F1288" s="154" t="s">
        <v>6262</v>
      </c>
      <c r="G1288" s="154" t="s">
        <v>14349</v>
      </c>
      <c r="H1288" s="620">
        <v>57</v>
      </c>
      <c r="I1288" s="154" t="s">
        <v>6929</v>
      </c>
      <c r="J1288" s="621">
        <v>0</v>
      </c>
      <c r="K1288" s="621" t="s">
        <v>6209</v>
      </c>
      <c r="L1288" s="621">
        <v>4</v>
      </c>
      <c r="M1288" s="154">
        <v>0</v>
      </c>
      <c r="N1288" s="298">
        <v>3</v>
      </c>
      <c r="O1288" s="298">
        <v>969464</v>
      </c>
      <c r="P1288" s="298">
        <v>13.747114877539783</v>
      </c>
    </row>
    <row r="1289" spans="1:16" ht="11.1" customHeight="1">
      <c r="A1289" s="154" t="s">
        <v>14350</v>
      </c>
      <c r="B1289" s="297" t="s">
        <v>12590</v>
      </c>
      <c r="C1289" s="617">
        <v>2</v>
      </c>
      <c r="D1289" s="618" t="s">
        <v>8608</v>
      </c>
      <c r="E1289" s="619">
        <v>0</v>
      </c>
      <c r="F1289" s="154" t="s">
        <v>6262</v>
      </c>
      <c r="G1289" s="154" t="s">
        <v>9058</v>
      </c>
      <c r="H1289" s="620">
        <v>50</v>
      </c>
      <c r="I1289" s="154" t="s">
        <v>6929</v>
      </c>
      <c r="J1289" s="621">
        <v>0</v>
      </c>
      <c r="K1289" s="621" t="s">
        <v>6283</v>
      </c>
      <c r="L1289" s="621">
        <v>2</v>
      </c>
      <c r="M1289" s="154">
        <v>0</v>
      </c>
    </row>
    <row r="1290" spans="1:16" ht="11.1" customHeight="1">
      <c r="A1290" s="154" t="s">
        <v>14351</v>
      </c>
      <c r="B1290" s="297" t="s">
        <v>12590</v>
      </c>
      <c r="C1290" s="617">
        <v>3</v>
      </c>
      <c r="D1290" s="618" t="s">
        <v>8608</v>
      </c>
      <c r="E1290" s="619">
        <v>0</v>
      </c>
      <c r="F1290" s="154" t="s">
        <v>6262</v>
      </c>
      <c r="G1290" s="154" t="s">
        <v>9060</v>
      </c>
      <c r="H1290" s="620">
        <v>47</v>
      </c>
      <c r="I1290" s="154" t="s">
        <v>6929</v>
      </c>
      <c r="J1290" s="621">
        <v>0</v>
      </c>
      <c r="K1290" s="621" t="s">
        <v>6036</v>
      </c>
      <c r="L1290" s="621">
        <v>0</v>
      </c>
      <c r="M1290" s="154">
        <v>0</v>
      </c>
    </row>
    <row r="1291" spans="1:16" ht="11.1" customHeight="1">
      <c r="A1291" s="154" t="s">
        <v>14352</v>
      </c>
      <c r="C1291" s="617">
        <v>4</v>
      </c>
      <c r="D1291" s="618" t="s">
        <v>8608</v>
      </c>
      <c r="E1291" s="619">
        <v>0</v>
      </c>
      <c r="F1291" s="154" t="s">
        <v>6262</v>
      </c>
      <c r="G1291" s="154" t="s">
        <v>14353</v>
      </c>
      <c r="H1291" s="620">
        <v>39</v>
      </c>
      <c r="I1291" s="154" t="s">
        <v>6929</v>
      </c>
      <c r="J1291" s="621">
        <v>0</v>
      </c>
      <c r="K1291" s="621" t="s">
        <v>6036</v>
      </c>
      <c r="L1291" s="621">
        <v>0</v>
      </c>
      <c r="M1291" s="154">
        <v>0</v>
      </c>
    </row>
    <row r="1292" spans="1:16" ht="11.1" customHeight="1">
      <c r="A1292" s="154" t="s">
        <v>14354</v>
      </c>
      <c r="C1292" s="617">
        <v>5</v>
      </c>
      <c r="D1292" s="618" t="s">
        <v>8608</v>
      </c>
      <c r="E1292" s="619">
        <v>0</v>
      </c>
      <c r="F1292" s="154" t="s">
        <v>6262</v>
      </c>
      <c r="G1292" s="154" t="s">
        <v>14355</v>
      </c>
      <c r="H1292" s="620">
        <v>56</v>
      </c>
      <c r="I1292" s="154" t="s">
        <v>6929</v>
      </c>
      <c r="J1292" s="621">
        <v>0</v>
      </c>
      <c r="K1292" s="621" t="s">
        <v>6036</v>
      </c>
      <c r="L1292" s="621">
        <v>0</v>
      </c>
      <c r="M1292" s="154">
        <v>0</v>
      </c>
    </row>
    <row r="1293" spans="1:16" ht="11.1" customHeight="1">
      <c r="A1293" s="154" t="s">
        <v>14356</v>
      </c>
      <c r="C1293" s="617">
        <v>6</v>
      </c>
      <c r="D1293" s="618" t="s">
        <v>8608</v>
      </c>
      <c r="E1293" s="619">
        <v>0</v>
      </c>
      <c r="F1293" s="154" t="s">
        <v>6262</v>
      </c>
      <c r="G1293" s="154" t="s">
        <v>14357</v>
      </c>
      <c r="H1293" s="620">
        <v>43</v>
      </c>
      <c r="I1293" s="154" t="s">
        <v>6929</v>
      </c>
      <c r="J1293" s="621">
        <v>0</v>
      </c>
      <c r="K1293" s="621" t="s">
        <v>6036</v>
      </c>
      <c r="L1293" s="621">
        <v>0</v>
      </c>
      <c r="M1293" s="154">
        <v>0</v>
      </c>
    </row>
    <row r="1294" spans="1:16" ht="11.1" customHeight="1">
      <c r="A1294" s="154" t="s">
        <v>14358</v>
      </c>
      <c r="B1294" s="297" t="s">
        <v>12590</v>
      </c>
      <c r="C1294" s="617">
        <v>1</v>
      </c>
      <c r="D1294" s="618" t="s">
        <v>8608</v>
      </c>
      <c r="E1294" s="619">
        <v>0</v>
      </c>
      <c r="F1294" s="154" t="s">
        <v>6262</v>
      </c>
      <c r="G1294" s="154" t="s">
        <v>9068</v>
      </c>
      <c r="H1294" s="620">
        <v>49</v>
      </c>
      <c r="I1294" s="154" t="s">
        <v>6264</v>
      </c>
      <c r="J1294" s="621">
        <v>0</v>
      </c>
      <c r="K1294" s="621" t="s">
        <v>6209</v>
      </c>
      <c r="L1294" s="621">
        <v>3</v>
      </c>
      <c r="M1294" s="154">
        <v>0</v>
      </c>
      <c r="N1294" s="298">
        <v>1</v>
      </c>
      <c r="O1294" s="298">
        <v>521309</v>
      </c>
      <c r="P1294" s="298">
        <v>7.3922236511055459</v>
      </c>
    </row>
    <row r="1295" spans="1:16" ht="11.1" customHeight="1">
      <c r="A1295" s="154" t="s">
        <v>14359</v>
      </c>
      <c r="C1295" s="617">
        <v>2</v>
      </c>
      <c r="D1295" s="618" t="s">
        <v>14283</v>
      </c>
      <c r="E1295" s="619">
        <v>0</v>
      </c>
      <c r="F1295" s="154">
        <v>24.83</v>
      </c>
      <c r="G1295" s="154" t="s">
        <v>12183</v>
      </c>
      <c r="H1295" s="620">
        <v>59</v>
      </c>
      <c r="I1295" s="154" t="s">
        <v>6264</v>
      </c>
      <c r="J1295" s="621">
        <v>0</v>
      </c>
      <c r="K1295" s="621" t="s">
        <v>6209</v>
      </c>
      <c r="L1295" s="621">
        <v>1</v>
      </c>
      <c r="M1295" s="154">
        <v>0</v>
      </c>
    </row>
    <row r="1296" spans="1:16" ht="11.1" customHeight="1">
      <c r="A1296" s="154" t="s">
        <v>14360</v>
      </c>
      <c r="C1296" s="617">
        <v>3</v>
      </c>
      <c r="D1296" s="618" t="s">
        <v>14304</v>
      </c>
      <c r="E1296" s="619">
        <v>0</v>
      </c>
      <c r="F1296" s="154">
        <v>29.63</v>
      </c>
      <c r="G1296" s="154" t="s">
        <v>12193</v>
      </c>
      <c r="H1296" s="620">
        <v>57</v>
      </c>
      <c r="I1296" s="154" t="s">
        <v>6264</v>
      </c>
      <c r="J1296" s="621">
        <v>0</v>
      </c>
      <c r="K1296" s="621" t="s">
        <v>6036</v>
      </c>
      <c r="L1296" s="621">
        <v>0</v>
      </c>
      <c r="M1296" s="154">
        <v>0</v>
      </c>
    </row>
    <row r="1297" spans="1:16" ht="11.1" customHeight="1">
      <c r="A1297" s="154" t="s">
        <v>14361</v>
      </c>
      <c r="C1297" s="617">
        <v>4</v>
      </c>
      <c r="D1297" s="618" t="s">
        <v>8608</v>
      </c>
      <c r="E1297" s="619">
        <v>0</v>
      </c>
      <c r="F1297" s="154" t="s">
        <v>6262</v>
      </c>
      <c r="G1297" s="154" t="s">
        <v>14362</v>
      </c>
      <c r="H1297" s="620">
        <v>33</v>
      </c>
      <c r="I1297" s="154" t="s">
        <v>6264</v>
      </c>
      <c r="J1297" s="621">
        <v>0</v>
      </c>
      <c r="K1297" s="621" t="s">
        <v>6036</v>
      </c>
      <c r="L1297" s="621">
        <v>0</v>
      </c>
      <c r="M1297" s="154">
        <v>0</v>
      </c>
    </row>
    <row r="1298" spans="1:16" ht="11.1" customHeight="1">
      <c r="A1298" s="154" t="s">
        <v>14363</v>
      </c>
      <c r="C1298" s="617">
        <v>5</v>
      </c>
      <c r="D1298" s="618" t="s">
        <v>9054</v>
      </c>
      <c r="E1298" s="619">
        <v>0</v>
      </c>
      <c r="F1298" s="154">
        <v>29.71</v>
      </c>
      <c r="G1298" s="154" t="s">
        <v>13118</v>
      </c>
      <c r="H1298" s="620">
        <v>42</v>
      </c>
      <c r="I1298" s="154" t="s">
        <v>6264</v>
      </c>
      <c r="J1298" s="621">
        <v>0</v>
      </c>
      <c r="K1298" s="621" t="s">
        <v>6036</v>
      </c>
      <c r="L1298" s="621">
        <v>0</v>
      </c>
      <c r="M1298" s="154">
        <v>0</v>
      </c>
    </row>
    <row r="1299" spans="1:16" ht="11.1" customHeight="1">
      <c r="A1299" s="154" t="s">
        <v>14364</v>
      </c>
      <c r="B1299" s="297" t="s">
        <v>12590</v>
      </c>
      <c r="C1299" s="617">
        <v>1</v>
      </c>
      <c r="D1299" s="618" t="s">
        <v>14267</v>
      </c>
      <c r="E1299" s="619">
        <v>0</v>
      </c>
      <c r="F1299" s="154">
        <v>35.549999999999997</v>
      </c>
      <c r="G1299" s="154" t="s">
        <v>6982</v>
      </c>
      <c r="H1299" s="620">
        <v>55</v>
      </c>
      <c r="I1299" s="154" t="s">
        <v>6278</v>
      </c>
      <c r="J1299" s="621">
        <v>0</v>
      </c>
      <c r="K1299" s="621" t="s">
        <v>6209</v>
      </c>
      <c r="L1299" s="621">
        <v>1</v>
      </c>
      <c r="M1299" s="154">
        <v>0</v>
      </c>
      <c r="N1299" s="298">
        <v>1</v>
      </c>
      <c r="O1299" s="298">
        <v>300599</v>
      </c>
      <c r="P1299" s="298">
        <v>4.2625295885907901</v>
      </c>
    </row>
    <row r="1300" spans="1:16" ht="11.1" customHeight="1">
      <c r="A1300" s="154" t="s">
        <v>14365</v>
      </c>
      <c r="C1300" s="617">
        <v>1</v>
      </c>
      <c r="D1300" s="618" t="s">
        <v>14277</v>
      </c>
      <c r="E1300" s="619">
        <v>0</v>
      </c>
      <c r="F1300" s="154">
        <v>27.27</v>
      </c>
      <c r="G1300" s="154" t="s">
        <v>13084</v>
      </c>
      <c r="H1300" s="620">
        <v>28</v>
      </c>
      <c r="I1300" s="154" t="s">
        <v>6278</v>
      </c>
      <c r="J1300" s="621">
        <v>0</v>
      </c>
      <c r="K1300" s="621" t="s">
        <v>6209</v>
      </c>
      <c r="L1300" s="621">
        <v>1</v>
      </c>
      <c r="M1300" s="154">
        <v>0</v>
      </c>
    </row>
    <row r="1301" spans="1:16" ht="11.1" customHeight="1">
      <c r="A1301" s="154" t="s">
        <v>14366</v>
      </c>
      <c r="B1301" s="297" t="s">
        <v>6231</v>
      </c>
      <c r="C1301" s="617">
        <v>1</v>
      </c>
      <c r="D1301" s="618" t="s">
        <v>14314</v>
      </c>
      <c r="E1301" s="619">
        <v>0</v>
      </c>
      <c r="F1301" s="154">
        <v>19.27</v>
      </c>
      <c r="G1301" s="154" t="s">
        <v>6835</v>
      </c>
      <c r="H1301" s="620">
        <v>36</v>
      </c>
      <c r="I1301" s="154" t="s">
        <v>6278</v>
      </c>
      <c r="J1301" s="621">
        <v>0</v>
      </c>
      <c r="K1301" s="621" t="s">
        <v>6036</v>
      </c>
      <c r="L1301" s="621">
        <v>0</v>
      </c>
      <c r="M1301" s="154" t="s">
        <v>6154</v>
      </c>
    </row>
    <row r="1302" spans="1:16" ht="11.1" customHeight="1">
      <c r="A1302" s="154" t="s">
        <v>14367</v>
      </c>
      <c r="B1302" s="297" t="s">
        <v>6231</v>
      </c>
      <c r="C1302" s="617">
        <v>1</v>
      </c>
      <c r="D1302" s="618" t="s">
        <v>14302</v>
      </c>
      <c r="E1302" s="619">
        <v>0</v>
      </c>
      <c r="F1302" s="154">
        <v>11.14</v>
      </c>
      <c r="G1302" s="154" t="s">
        <v>13032</v>
      </c>
      <c r="H1302" s="620">
        <v>48</v>
      </c>
      <c r="I1302" s="154" t="s">
        <v>6278</v>
      </c>
      <c r="J1302" s="621">
        <v>0</v>
      </c>
      <c r="K1302" s="621" t="s">
        <v>6036</v>
      </c>
      <c r="L1302" s="621">
        <v>0</v>
      </c>
      <c r="M1302" s="154">
        <v>0</v>
      </c>
    </row>
    <row r="1303" spans="1:16" ht="11.1" customHeight="1">
      <c r="A1303" s="154" t="s">
        <v>14368</v>
      </c>
      <c r="B1303" s="297" t="s">
        <v>6231</v>
      </c>
      <c r="C1303" s="617">
        <v>1</v>
      </c>
      <c r="D1303" s="618" t="s">
        <v>14298</v>
      </c>
      <c r="E1303" s="619">
        <v>0</v>
      </c>
      <c r="F1303" s="154">
        <v>9.17</v>
      </c>
      <c r="G1303" s="154" t="s">
        <v>13022</v>
      </c>
      <c r="H1303" s="620">
        <v>67</v>
      </c>
      <c r="I1303" s="154" t="s">
        <v>6278</v>
      </c>
      <c r="J1303" s="621">
        <v>0</v>
      </c>
      <c r="K1303" s="621" t="s">
        <v>6036</v>
      </c>
      <c r="L1303" s="621">
        <v>0</v>
      </c>
      <c r="M1303" s="154">
        <v>0</v>
      </c>
    </row>
    <row r="1304" spans="1:16" ht="11.1" customHeight="1">
      <c r="A1304" s="154" t="s">
        <v>14369</v>
      </c>
      <c r="B1304" s="297" t="s">
        <v>6231</v>
      </c>
      <c r="C1304" s="617">
        <v>1</v>
      </c>
      <c r="D1304" s="618" t="s">
        <v>14273</v>
      </c>
      <c r="E1304" s="619">
        <v>0</v>
      </c>
      <c r="F1304" s="154">
        <v>8.65</v>
      </c>
      <c r="G1304" s="154" t="s">
        <v>13109</v>
      </c>
      <c r="H1304" s="620">
        <v>52</v>
      </c>
      <c r="I1304" s="154" t="s">
        <v>6278</v>
      </c>
      <c r="J1304" s="621">
        <v>0</v>
      </c>
      <c r="K1304" s="621" t="s">
        <v>6036</v>
      </c>
      <c r="L1304" s="621">
        <v>0</v>
      </c>
      <c r="M1304" s="154" t="s">
        <v>6154</v>
      </c>
    </row>
    <row r="1305" spans="1:16" ht="11.1" customHeight="1">
      <c r="A1305" s="154" t="s">
        <v>14370</v>
      </c>
      <c r="B1305" s="297" t="s">
        <v>6231</v>
      </c>
      <c r="C1305" s="617">
        <v>1</v>
      </c>
      <c r="D1305" s="618" t="s">
        <v>8975</v>
      </c>
      <c r="E1305" s="619">
        <v>0</v>
      </c>
      <c r="F1305" s="154">
        <v>6.03</v>
      </c>
      <c r="G1305" s="154" t="s">
        <v>12144</v>
      </c>
      <c r="H1305" s="620">
        <v>62</v>
      </c>
      <c r="I1305" s="154" t="s">
        <v>6278</v>
      </c>
      <c r="J1305" s="621">
        <v>0</v>
      </c>
      <c r="K1305" s="621" t="s">
        <v>6036</v>
      </c>
      <c r="L1305" s="621">
        <v>0</v>
      </c>
      <c r="M1305" s="154">
        <v>0</v>
      </c>
    </row>
    <row r="1306" spans="1:16" ht="11.1" customHeight="1">
      <c r="A1306" s="154" t="s">
        <v>14371</v>
      </c>
      <c r="B1306" s="297" t="s">
        <v>12590</v>
      </c>
      <c r="C1306" s="617">
        <v>1</v>
      </c>
      <c r="D1306" s="618" t="s">
        <v>8608</v>
      </c>
      <c r="E1306" s="619">
        <v>0</v>
      </c>
      <c r="F1306" s="154" t="s">
        <v>6262</v>
      </c>
      <c r="G1306" s="154" t="s">
        <v>8653</v>
      </c>
      <c r="H1306" s="620">
        <v>66</v>
      </c>
      <c r="I1306" s="154" t="s">
        <v>6257</v>
      </c>
      <c r="J1306" s="621" t="s">
        <v>12621</v>
      </c>
      <c r="K1306" s="621" t="s">
        <v>6209</v>
      </c>
      <c r="L1306" s="621">
        <v>2</v>
      </c>
      <c r="M1306" s="154">
        <v>0</v>
      </c>
      <c r="N1306" s="298">
        <v>6</v>
      </c>
      <c r="O1306" s="298">
        <v>1867544</v>
      </c>
      <c r="P1306" s="298">
        <v>32.514158341874449</v>
      </c>
    </row>
    <row r="1307" spans="1:16" ht="11.1" customHeight="1">
      <c r="A1307" s="154" t="s">
        <v>14372</v>
      </c>
      <c r="B1307" s="297" t="s">
        <v>12590</v>
      </c>
      <c r="C1307" s="617">
        <v>2</v>
      </c>
      <c r="D1307" s="618" t="s">
        <v>9136</v>
      </c>
      <c r="E1307" s="619">
        <v>0</v>
      </c>
      <c r="F1307" s="154">
        <v>59.87</v>
      </c>
      <c r="G1307" s="154" t="s">
        <v>8342</v>
      </c>
      <c r="H1307" s="620">
        <v>55</v>
      </c>
      <c r="I1307" s="154" t="s">
        <v>6257</v>
      </c>
      <c r="J1307" s="621" t="s">
        <v>12617</v>
      </c>
      <c r="K1307" s="621" t="s">
        <v>6209</v>
      </c>
      <c r="L1307" s="621">
        <v>8</v>
      </c>
      <c r="M1307" s="154" t="s">
        <v>12638</v>
      </c>
    </row>
    <row r="1308" spans="1:16" ht="11.1" customHeight="1">
      <c r="A1308" s="154" t="s">
        <v>14373</v>
      </c>
      <c r="B1308" s="297" t="s">
        <v>12590</v>
      </c>
      <c r="C1308" s="617">
        <v>3</v>
      </c>
      <c r="D1308" s="618" t="s">
        <v>9122</v>
      </c>
      <c r="E1308" s="619">
        <v>0</v>
      </c>
      <c r="F1308" s="154">
        <v>92.5</v>
      </c>
      <c r="G1308" s="154" t="s">
        <v>7256</v>
      </c>
      <c r="H1308" s="620">
        <v>42</v>
      </c>
      <c r="I1308" s="154" t="s">
        <v>6257</v>
      </c>
      <c r="J1308" s="621" t="s">
        <v>12621</v>
      </c>
      <c r="K1308" s="621" t="s">
        <v>6209</v>
      </c>
      <c r="L1308" s="621">
        <v>3</v>
      </c>
      <c r="M1308" s="154" t="s">
        <v>12638</v>
      </c>
    </row>
    <row r="1309" spans="1:16" ht="11.1" customHeight="1">
      <c r="A1309" s="154" t="s">
        <v>14374</v>
      </c>
      <c r="B1309" s="297" t="s">
        <v>12590</v>
      </c>
      <c r="C1309" s="617">
        <v>4</v>
      </c>
      <c r="D1309" s="618" t="s">
        <v>9108</v>
      </c>
      <c r="E1309" s="619">
        <v>0</v>
      </c>
      <c r="F1309" s="154">
        <v>98.63</v>
      </c>
      <c r="G1309" s="154" t="s">
        <v>7064</v>
      </c>
      <c r="H1309" s="620">
        <v>65</v>
      </c>
      <c r="I1309" s="154" t="s">
        <v>6257</v>
      </c>
      <c r="J1309" s="621" t="s">
        <v>12635</v>
      </c>
      <c r="K1309" s="621" t="s">
        <v>6283</v>
      </c>
      <c r="L1309" s="621">
        <v>7</v>
      </c>
      <c r="M1309" s="154" t="s">
        <v>12638</v>
      </c>
    </row>
    <row r="1310" spans="1:16" ht="11.1" customHeight="1">
      <c r="A1310" s="154" t="s">
        <v>14375</v>
      </c>
      <c r="B1310" s="297" t="s">
        <v>12590</v>
      </c>
      <c r="C1310" s="617">
        <v>4</v>
      </c>
      <c r="D1310" s="618" t="s">
        <v>9104</v>
      </c>
      <c r="E1310" s="619">
        <v>0</v>
      </c>
      <c r="F1310" s="154">
        <v>97.76</v>
      </c>
      <c r="G1310" s="154" t="s">
        <v>7180</v>
      </c>
      <c r="H1310" s="620">
        <v>54</v>
      </c>
      <c r="I1310" s="154" t="s">
        <v>6257</v>
      </c>
      <c r="J1310" s="621" t="s">
        <v>12621</v>
      </c>
      <c r="K1310" s="621" t="s">
        <v>6209</v>
      </c>
      <c r="L1310" s="621">
        <v>3</v>
      </c>
      <c r="M1310" s="154" t="s">
        <v>12638</v>
      </c>
    </row>
    <row r="1311" spans="1:16" ht="11.1" customHeight="1">
      <c r="A1311" s="154" t="s">
        <v>14376</v>
      </c>
      <c r="B1311" s="297" t="s">
        <v>12590</v>
      </c>
      <c r="C1311" s="617">
        <v>4</v>
      </c>
      <c r="D1311" s="618" t="s">
        <v>9118</v>
      </c>
      <c r="E1311" s="619">
        <v>0</v>
      </c>
      <c r="F1311" s="154">
        <v>93.01</v>
      </c>
      <c r="G1311" s="154" t="s">
        <v>12224</v>
      </c>
      <c r="H1311" s="620">
        <v>68</v>
      </c>
      <c r="I1311" s="154" t="s">
        <v>6257</v>
      </c>
      <c r="J1311" s="621" t="s">
        <v>12674</v>
      </c>
      <c r="K1311" s="621" t="s">
        <v>6283</v>
      </c>
      <c r="L1311" s="621">
        <v>6</v>
      </c>
      <c r="M1311" s="154" t="s">
        <v>12638</v>
      </c>
    </row>
    <row r="1312" spans="1:16" ht="11.1" customHeight="1">
      <c r="A1312" s="154" t="s">
        <v>14377</v>
      </c>
      <c r="C1312" s="617">
        <v>4</v>
      </c>
      <c r="D1312" s="618" t="s">
        <v>9124</v>
      </c>
      <c r="E1312" s="619">
        <v>0</v>
      </c>
      <c r="F1312" s="154">
        <v>92.89</v>
      </c>
      <c r="G1312" s="154" t="s">
        <v>7095</v>
      </c>
      <c r="H1312" s="620">
        <v>39</v>
      </c>
      <c r="I1312" s="154" t="s">
        <v>6257</v>
      </c>
      <c r="J1312" s="621" t="s">
        <v>12617</v>
      </c>
      <c r="K1312" s="621" t="s">
        <v>6036</v>
      </c>
      <c r="L1312" s="621">
        <v>0</v>
      </c>
      <c r="M1312" s="154" t="s">
        <v>12622</v>
      </c>
    </row>
    <row r="1313" spans="1:13" ht="11.1" customHeight="1">
      <c r="A1313" s="154" t="s">
        <v>14378</v>
      </c>
      <c r="C1313" s="617">
        <v>4</v>
      </c>
      <c r="D1313" s="618" t="s">
        <v>9134</v>
      </c>
      <c r="E1313" s="619">
        <v>0</v>
      </c>
      <c r="F1313" s="154">
        <v>88.3</v>
      </c>
      <c r="G1313" s="154" t="s">
        <v>13222</v>
      </c>
      <c r="H1313" s="620">
        <v>54</v>
      </c>
      <c r="I1313" s="154" t="s">
        <v>6257</v>
      </c>
      <c r="J1313" s="621" t="s">
        <v>12631</v>
      </c>
      <c r="K1313" s="621" t="s">
        <v>6036</v>
      </c>
      <c r="L1313" s="621">
        <v>0</v>
      </c>
      <c r="M1313" s="154" t="s">
        <v>6260</v>
      </c>
    </row>
    <row r="1314" spans="1:13" ht="11.1" customHeight="1">
      <c r="A1314" s="154" t="s">
        <v>14379</v>
      </c>
      <c r="C1314" s="617">
        <v>4</v>
      </c>
      <c r="D1314" s="618" t="s">
        <v>9177</v>
      </c>
      <c r="E1314" s="619">
        <v>0</v>
      </c>
      <c r="F1314" s="154">
        <v>87.99</v>
      </c>
      <c r="G1314" s="154" t="s">
        <v>7083</v>
      </c>
      <c r="H1314" s="620">
        <v>68</v>
      </c>
      <c r="I1314" s="154" t="s">
        <v>6257</v>
      </c>
      <c r="J1314" s="621" t="s">
        <v>12674</v>
      </c>
      <c r="K1314" s="621" t="s">
        <v>6283</v>
      </c>
      <c r="L1314" s="621">
        <v>8</v>
      </c>
      <c r="M1314" s="154" t="s">
        <v>12638</v>
      </c>
    </row>
    <row r="1315" spans="1:13" ht="11.1" customHeight="1">
      <c r="A1315" s="154" t="s">
        <v>14380</v>
      </c>
      <c r="C1315" s="617">
        <v>4</v>
      </c>
      <c r="D1315" s="618" t="s">
        <v>9138</v>
      </c>
      <c r="E1315" s="619">
        <v>0</v>
      </c>
      <c r="F1315" s="154">
        <v>83.68</v>
      </c>
      <c r="G1315" s="154" t="s">
        <v>7128</v>
      </c>
      <c r="H1315" s="620">
        <v>54</v>
      </c>
      <c r="I1315" s="154" t="s">
        <v>6257</v>
      </c>
      <c r="J1315" s="621" t="s">
        <v>12617</v>
      </c>
      <c r="K1315" s="621" t="s">
        <v>6036</v>
      </c>
      <c r="L1315" s="621">
        <v>0</v>
      </c>
      <c r="M1315" s="154" t="s">
        <v>12638</v>
      </c>
    </row>
    <row r="1316" spans="1:13" ht="11.1" customHeight="1">
      <c r="A1316" s="154" t="s">
        <v>14381</v>
      </c>
      <c r="C1316" s="617">
        <v>4</v>
      </c>
      <c r="D1316" s="618" t="s">
        <v>9126</v>
      </c>
      <c r="E1316" s="619">
        <v>0</v>
      </c>
      <c r="F1316" s="154">
        <v>73.48</v>
      </c>
      <c r="G1316" s="154" t="s">
        <v>13218</v>
      </c>
      <c r="H1316" s="620">
        <v>56</v>
      </c>
      <c r="I1316" s="154" t="s">
        <v>6257</v>
      </c>
      <c r="J1316" s="621" t="s">
        <v>12773</v>
      </c>
      <c r="K1316" s="621" t="s">
        <v>6036</v>
      </c>
      <c r="L1316" s="621">
        <v>0</v>
      </c>
      <c r="M1316" s="154" t="s">
        <v>12622</v>
      </c>
    </row>
    <row r="1317" spans="1:13" ht="11.1" customHeight="1">
      <c r="A1317" s="154" t="s">
        <v>14382</v>
      </c>
      <c r="C1317" s="617">
        <v>4</v>
      </c>
      <c r="D1317" s="618" t="s">
        <v>9130</v>
      </c>
      <c r="E1317" s="619">
        <v>0</v>
      </c>
      <c r="F1317" s="154">
        <v>65.040000000000006</v>
      </c>
      <c r="G1317" s="154" t="s">
        <v>7230</v>
      </c>
      <c r="H1317" s="620">
        <v>30</v>
      </c>
      <c r="I1317" s="154" t="s">
        <v>6257</v>
      </c>
      <c r="J1317" s="621" t="s">
        <v>12617</v>
      </c>
      <c r="K1317" s="621" t="s">
        <v>6036</v>
      </c>
      <c r="L1317" s="621">
        <v>0</v>
      </c>
      <c r="M1317" s="154" t="s">
        <v>6260</v>
      </c>
    </row>
    <row r="1318" spans="1:13" ht="11.1" customHeight="1">
      <c r="A1318" s="154" t="s">
        <v>14383</v>
      </c>
      <c r="C1318" s="617">
        <v>4</v>
      </c>
      <c r="D1318" s="618" t="s">
        <v>9132</v>
      </c>
      <c r="E1318" s="619">
        <v>0</v>
      </c>
      <c r="F1318" s="154">
        <v>59.71</v>
      </c>
      <c r="G1318" s="154" t="s">
        <v>7120</v>
      </c>
      <c r="H1318" s="620">
        <v>39</v>
      </c>
      <c r="I1318" s="154" t="s">
        <v>6257</v>
      </c>
      <c r="J1318" s="621" t="s">
        <v>12631</v>
      </c>
      <c r="K1318" s="621" t="s">
        <v>6036</v>
      </c>
      <c r="L1318" s="621">
        <v>0</v>
      </c>
      <c r="M1318" s="154" t="s">
        <v>12638</v>
      </c>
    </row>
    <row r="1319" spans="1:13" ht="11.1" customHeight="1">
      <c r="A1319" s="154" t="s">
        <v>14384</v>
      </c>
      <c r="C1319" s="617">
        <v>26</v>
      </c>
      <c r="D1319" s="618" t="s">
        <v>8608</v>
      </c>
      <c r="E1319" s="619" t="s">
        <v>14052</v>
      </c>
      <c r="F1319" s="154" t="s">
        <v>6262</v>
      </c>
      <c r="G1319" s="154" t="s">
        <v>14385</v>
      </c>
      <c r="H1319" s="620">
        <v>52</v>
      </c>
      <c r="I1319" s="154" t="s">
        <v>6257</v>
      </c>
      <c r="J1319" s="621" t="s">
        <v>12631</v>
      </c>
      <c r="K1319" s="621" t="s">
        <v>6036</v>
      </c>
      <c r="L1319" s="621">
        <v>0</v>
      </c>
      <c r="M1319" s="154">
        <v>0</v>
      </c>
    </row>
    <row r="1320" spans="1:13" ht="11.1" customHeight="1">
      <c r="A1320" s="154" t="s">
        <v>14386</v>
      </c>
      <c r="B1320" s="297" t="s">
        <v>14048</v>
      </c>
      <c r="C1320" s="617">
        <v>4</v>
      </c>
      <c r="D1320" s="618" t="s">
        <v>9106</v>
      </c>
      <c r="E1320" s="619">
        <v>0</v>
      </c>
      <c r="F1320" s="154" t="s">
        <v>6251</v>
      </c>
      <c r="G1320" s="154" t="s">
        <v>12222</v>
      </c>
      <c r="H1320" s="620">
        <v>39</v>
      </c>
      <c r="I1320" s="154" t="s">
        <v>6257</v>
      </c>
      <c r="J1320" s="621" t="s">
        <v>12617</v>
      </c>
      <c r="K1320" s="621" t="s">
        <v>6036</v>
      </c>
      <c r="L1320" s="621">
        <v>0</v>
      </c>
      <c r="M1320" s="154">
        <v>0</v>
      </c>
    </row>
    <row r="1321" spans="1:13" ht="11.1" customHeight="1">
      <c r="A1321" s="154" t="s">
        <v>14387</v>
      </c>
      <c r="B1321" s="297" t="s">
        <v>14048</v>
      </c>
      <c r="C1321" s="617">
        <v>4</v>
      </c>
      <c r="D1321" s="618" t="s">
        <v>9152</v>
      </c>
      <c r="E1321" s="619">
        <v>0</v>
      </c>
      <c r="F1321" s="154" t="s">
        <v>6251</v>
      </c>
      <c r="G1321" s="154" t="s">
        <v>7134</v>
      </c>
      <c r="H1321" s="620">
        <v>46</v>
      </c>
      <c r="I1321" s="154" t="s">
        <v>6257</v>
      </c>
      <c r="J1321" s="621" t="s">
        <v>12617</v>
      </c>
      <c r="K1321" s="621" t="s">
        <v>6209</v>
      </c>
      <c r="L1321" s="621">
        <v>4</v>
      </c>
      <c r="M1321" s="154" t="s">
        <v>12622</v>
      </c>
    </row>
    <row r="1322" spans="1:13" ht="11.1" customHeight="1">
      <c r="A1322" s="154" t="s">
        <v>14388</v>
      </c>
      <c r="B1322" s="297" t="s">
        <v>14048</v>
      </c>
      <c r="C1322" s="617">
        <v>4</v>
      </c>
      <c r="D1322" s="618" t="s">
        <v>9112</v>
      </c>
      <c r="E1322" s="619">
        <v>0</v>
      </c>
      <c r="F1322" s="154" t="s">
        <v>6251</v>
      </c>
      <c r="G1322" s="154" t="s">
        <v>7145</v>
      </c>
      <c r="H1322" s="620">
        <v>41</v>
      </c>
      <c r="I1322" s="154" t="s">
        <v>6257</v>
      </c>
      <c r="J1322" s="621" t="s">
        <v>12621</v>
      </c>
      <c r="K1322" s="621" t="s">
        <v>6036</v>
      </c>
      <c r="L1322" s="621">
        <v>0</v>
      </c>
      <c r="M1322" s="154" t="s">
        <v>12638</v>
      </c>
    </row>
    <row r="1323" spans="1:13" ht="11.1" customHeight="1">
      <c r="A1323" s="154" t="s">
        <v>14389</v>
      </c>
      <c r="B1323" s="297" t="s">
        <v>14048</v>
      </c>
      <c r="C1323" s="617">
        <v>4</v>
      </c>
      <c r="D1323" s="618" t="s">
        <v>9110</v>
      </c>
      <c r="E1323" s="619">
        <v>0</v>
      </c>
      <c r="F1323" s="154" t="s">
        <v>6251</v>
      </c>
      <c r="G1323" s="154" t="s">
        <v>9165</v>
      </c>
      <c r="H1323" s="620">
        <v>59</v>
      </c>
      <c r="I1323" s="154" t="s">
        <v>6257</v>
      </c>
      <c r="J1323" s="621" t="s">
        <v>12635</v>
      </c>
      <c r="K1323" s="621" t="s">
        <v>6209</v>
      </c>
      <c r="L1323" s="621">
        <v>3</v>
      </c>
      <c r="M1323" s="154" t="s">
        <v>12638</v>
      </c>
    </row>
    <row r="1324" spans="1:13" ht="11.1" customHeight="1">
      <c r="A1324" s="154" t="s">
        <v>14390</v>
      </c>
      <c r="B1324" s="297" t="s">
        <v>14048</v>
      </c>
      <c r="C1324" s="617">
        <v>4</v>
      </c>
      <c r="D1324" s="618" t="s">
        <v>9154</v>
      </c>
      <c r="E1324" s="619">
        <v>0</v>
      </c>
      <c r="F1324" s="154" t="s">
        <v>6251</v>
      </c>
      <c r="G1324" s="154" t="s">
        <v>7157</v>
      </c>
      <c r="H1324" s="620">
        <v>49</v>
      </c>
      <c r="I1324" s="154" t="s">
        <v>6257</v>
      </c>
      <c r="J1324" s="621" t="s">
        <v>12631</v>
      </c>
      <c r="K1324" s="621" t="s">
        <v>6209</v>
      </c>
      <c r="L1324" s="621">
        <v>2</v>
      </c>
      <c r="M1324" s="154" t="s">
        <v>12638</v>
      </c>
    </row>
    <row r="1325" spans="1:13" ht="11.1" customHeight="1">
      <c r="A1325" s="154" t="s">
        <v>14391</v>
      </c>
      <c r="B1325" s="297" t="s">
        <v>14048</v>
      </c>
      <c r="C1325" s="617">
        <v>4</v>
      </c>
      <c r="D1325" s="618" t="s">
        <v>9114</v>
      </c>
      <c r="E1325" s="619">
        <v>0</v>
      </c>
      <c r="F1325" s="154" t="s">
        <v>6251</v>
      </c>
      <c r="G1325" s="154" t="s">
        <v>7188</v>
      </c>
      <c r="H1325" s="620">
        <v>47</v>
      </c>
      <c r="I1325" s="154" t="s">
        <v>6257</v>
      </c>
      <c r="J1325" s="621" t="s">
        <v>12631</v>
      </c>
      <c r="K1325" s="621" t="s">
        <v>6209</v>
      </c>
      <c r="L1325" s="621">
        <v>1</v>
      </c>
      <c r="M1325" s="154">
        <v>0</v>
      </c>
    </row>
    <row r="1326" spans="1:13" ht="11.1" customHeight="1">
      <c r="A1326" s="154" t="s">
        <v>14392</v>
      </c>
      <c r="B1326" s="297" t="s">
        <v>14048</v>
      </c>
      <c r="C1326" s="617">
        <v>4</v>
      </c>
      <c r="D1326" s="618" t="s">
        <v>9120</v>
      </c>
      <c r="E1326" s="619">
        <v>0</v>
      </c>
      <c r="F1326" s="154" t="s">
        <v>6251</v>
      </c>
      <c r="G1326" s="154" t="s">
        <v>12239</v>
      </c>
      <c r="H1326" s="620">
        <v>64</v>
      </c>
      <c r="I1326" s="154" t="s">
        <v>6257</v>
      </c>
      <c r="J1326" s="621" t="s">
        <v>12674</v>
      </c>
      <c r="K1326" s="621" t="s">
        <v>6283</v>
      </c>
      <c r="L1326" s="621">
        <v>1</v>
      </c>
      <c r="M1326" s="154" t="s">
        <v>12638</v>
      </c>
    </row>
    <row r="1327" spans="1:13" ht="11.1" customHeight="1">
      <c r="A1327" s="154" t="s">
        <v>14393</v>
      </c>
      <c r="B1327" s="297" t="s">
        <v>14048</v>
      </c>
      <c r="C1327" s="617">
        <v>4</v>
      </c>
      <c r="D1327" s="618" t="s">
        <v>9191</v>
      </c>
      <c r="E1327" s="619">
        <v>0</v>
      </c>
      <c r="F1327" s="154" t="s">
        <v>6251</v>
      </c>
      <c r="G1327" s="154" t="s">
        <v>7206</v>
      </c>
      <c r="H1327" s="620">
        <v>69</v>
      </c>
      <c r="I1327" s="154" t="s">
        <v>6257</v>
      </c>
      <c r="J1327" s="621" t="s">
        <v>12635</v>
      </c>
      <c r="K1327" s="621" t="s">
        <v>6283</v>
      </c>
      <c r="L1327" s="621">
        <v>7</v>
      </c>
      <c r="M1327" s="154" t="s">
        <v>12622</v>
      </c>
    </row>
    <row r="1328" spans="1:13" ht="11.1" customHeight="1">
      <c r="A1328" s="154" t="s">
        <v>14394</v>
      </c>
      <c r="B1328" s="297" t="s">
        <v>14048</v>
      </c>
      <c r="C1328" s="617">
        <v>4</v>
      </c>
      <c r="D1328" s="618" t="s">
        <v>9156</v>
      </c>
      <c r="E1328" s="619">
        <v>0</v>
      </c>
      <c r="F1328" s="154" t="s">
        <v>6251</v>
      </c>
      <c r="G1328" s="154" t="s">
        <v>7212</v>
      </c>
      <c r="H1328" s="620">
        <v>58</v>
      </c>
      <c r="I1328" s="154" t="s">
        <v>6257</v>
      </c>
      <c r="J1328" s="621" t="s">
        <v>12617</v>
      </c>
      <c r="K1328" s="621" t="s">
        <v>6209</v>
      </c>
      <c r="L1328" s="621">
        <v>2</v>
      </c>
      <c r="M1328" s="154" t="s">
        <v>12622</v>
      </c>
    </row>
    <row r="1329" spans="1:16" ht="11.1" customHeight="1">
      <c r="A1329" s="154" t="s">
        <v>14395</v>
      </c>
      <c r="B1329" s="297" t="s">
        <v>14048</v>
      </c>
      <c r="C1329" s="617">
        <v>4</v>
      </c>
      <c r="D1329" s="618" t="s">
        <v>9128</v>
      </c>
      <c r="E1329" s="619">
        <v>0</v>
      </c>
      <c r="F1329" s="154" t="s">
        <v>6251</v>
      </c>
      <c r="G1329" s="154" t="s">
        <v>7264</v>
      </c>
      <c r="H1329" s="620">
        <v>62</v>
      </c>
      <c r="I1329" s="154" t="s">
        <v>6257</v>
      </c>
      <c r="J1329" s="621" t="s">
        <v>12631</v>
      </c>
      <c r="K1329" s="621" t="s">
        <v>6209</v>
      </c>
      <c r="L1329" s="621">
        <v>7</v>
      </c>
      <c r="M1329" s="154" t="s">
        <v>12638</v>
      </c>
    </row>
    <row r="1330" spans="1:16" ht="11.1" customHeight="1">
      <c r="A1330" s="154" t="s">
        <v>14396</v>
      </c>
      <c r="B1330" s="297" t="s">
        <v>14048</v>
      </c>
      <c r="C1330" s="617">
        <v>4</v>
      </c>
      <c r="D1330" s="618" t="s">
        <v>9116</v>
      </c>
      <c r="E1330" s="619">
        <v>0</v>
      </c>
      <c r="F1330" s="154" t="s">
        <v>6251</v>
      </c>
      <c r="G1330" s="154" t="s">
        <v>7272</v>
      </c>
      <c r="H1330" s="620">
        <v>30</v>
      </c>
      <c r="I1330" s="154" t="s">
        <v>6257</v>
      </c>
      <c r="J1330" s="621" t="s">
        <v>12617</v>
      </c>
      <c r="K1330" s="621" t="s">
        <v>6036</v>
      </c>
      <c r="L1330" s="621">
        <v>0</v>
      </c>
      <c r="M1330" s="154" t="s">
        <v>12638</v>
      </c>
    </row>
    <row r="1331" spans="1:16" ht="11.1" customHeight="1">
      <c r="A1331" s="154" t="s">
        <v>14397</v>
      </c>
      <c r="B1331" s="297" t="s">
        <v>14048</v>
      </c>
      <c r="C1331" s="617">
        <v>4</v>
      </c>
      <c r="D1331" s="618" t="s">
        <v>9158</v>
      </c>
      <c r="E1331" s="619">
        <v>0</v>
      </c>
      <c r="F1331" s="154" t="s">
        <v>6251</v>
      </c>
      <c r="G1331" s="154" t="s">
        <v>7278</v>
      </c>
      <c r="H1331" s="620">
        <v>34</v>
      </c>
      <c r="I1331" s="154" t="s">
        <v>6257</v>
      </c>
      <c r="J1331" s="621" t="s">
        <v>12617</v>
      </c>
      <c r="K1331" s="621" t="s">
        <v>6036</v>
      </c>
      <c r="L1331" s="621">
        <v>0</v>
      </c>
      <c r="M1331" s="154" t="s">
        <v>12638</v>
      </c>
    </row>
    <row r="1332" spans="1:16" ht="11.1" customHeight="1">
      <c r="A1332" s="154" t="s">
        <v>14398</v>
      </c>
      <c r="B1332" s="297" t="s">
        <v>12590</v>
      </c>
      <c r="C1332" s="617">
        <v>1</v>
      </c>
      <c r="D1332" s="618" t="s">
        <v>9116</v>
      </c>
      <c r="E1332" s="619">
        <v>0</v>
      </c>
      <c r="F1332" s="154">
        <v>98.06</v>
      </c>
      <c r="G1332" s="154" t="s">
        <v>7270</v>
      </c>
      <c r="H1332" s="620">
        <v>47</v>
      </c>
      <c r="I1332" s="154" t="s">
        <v>6253</v>
      </c>
      <c r="J1332" s="621" t="s">
        <v>12000</v>
      </c>
      <c r="K1332" s="621" t="s">
        <v>6209</v>
      </c>
      <c r="L1332" s="621">
        <v>1</v>
      </c>
      <c r="M1332" s="154" t="s">
        <v>6170</v>
      </c>
      <c r="N1332" s="298">
        <v>8</v>
      </c>
      <c r="O1332" s="298">
        <v>2291124</v>
      </c>
      <c r="P1332" s="298">
        <v>39.888735428385488</v>
      </c>
    </row>
    <row r="1333" spans="1:16" ht="11.1" customHeight="1">
      <c r="A1333" s="154" t="s">
        <v>14399</v>
      </c>
      <c r="B1333" s="297" t="s">
        <v>12590</v>
      </c>
      <c r="C1333" s="617">
        <v>1</v>
      </c>
      <c r="D1333" s="618" t="s">
        <v>9186</v>
      </c>
      <c r="E1333" s="619">
        <v>0</v>
      </c>
      <c r="F1333" s="154">
        <v>96.36</v>
      </c>
      <c r="G1333" s="154" t="s">
        <v>12233</v>
      </c>
      <c r="H1333" s="620">
        <v>53</v>
      </c>
      <c r="I1333" s="154" t="s">
        <v>6253</v>
      </c>
      <c r="J1333" s="621" t="s">
        <v>12007</v>
      </c>
      <c r="K1333" s="621" t="s">
        <v>6283</v>
      </c>
      <c r="L1333" s="621">
        <v>1</v>
      </c>
      <c r="M1333" s="154">
        <v>0</v>
      </c>
    </row>
    <row r="1334" spans="1:16" ht="11.1" customHeight="1">
      <c r="A1334" s="154" t="s">
        <v>14400</v>
      </c>
      <c r="B1334" s="297" t="s">
        <v>12590</v>
      </c>
      <c r="C1334" s="617">
        <v>1</v>
      </c>
      <c r="D1334" s="618" t="s">
        <v>9114</v>
      </c>
      <c r="E1334" s="619">
        <v>0</v>
      </c>
      <c r="F1334" s="154">
        <v>95.43</v>
      </c>
      <c r="G1334" s="154" t="s">
        <v>12237</v>
      </c>
      <c r="H1334" s="620">
        <v>51</v>
      </c>
      <c r="I1334" s="154" t="s">
        <v>6253</v>
      </c>
      <c r="J1334" s="621" t="s">
        <v>12000</v>
      </c>
      <c r="K1334" s="621" t="s">
        <v>6209</v>
      </c>
      <c r="L1334" s="621">
        <v>1</v>
      </c>
      <c r="M1334" s="154">
        <v>0</v>
      </c>
    </row>
    <row r="1335" spans="1:16" ht="11.1" customHeight="1">
      <c r="A1335" s="154" t="s">
        <v>14401</v>
      </c>
      <c r="B1335" s="297" t="s">
        <v>12590</v>
      </c>
      <c r="C1335" s="617">
        <v>1</v>
      </c>
      <c r="D1335" s="618" t="s">
        <v>9110</v>
      </c>
      <c r="E1335" s="619">
        <v>0</v>
      </c>
      <c r="F1335" s="154">
        <v>94.44</v>
      </c>
      <c r="G1335" s="154" t="s">
        <v>12231</v>
      </c>
      <c r="H1335" s="620">
        <v>59</v>
      </c>
      <c r="I1335" s="154" t="s">
        <v>6253</v>
      </c>
      <c r="J1335" s="621" t="s">
        <v>11994</v>
      </c>
      <c r="K1335" s="621" t="s">
        <v>6209</v>
      </c>
      <c r="L1335" s="621">
        <v>2</v>
      </c>
      <c r="M1335" s="154" t="s">
        <v>6154</v>
      </c>
    </row>
    <row r="1336" spans="1:16" ht="11.1" customHeight="1">
      <c r="A1336" s="154" t="s">
        <v>14402</v>
      </c>
      <c r="B1336" s="297" t="s">
        <v>12590</v>
      </c>
      <c r="C1336" s="617">
        <v>1</v>
      </c>
      <c r="D1336" s="618" t="s">
        <v>9158</v>
      </c>
      <c r="E1336" s="619">
        <v>0</v>
      </c>
      <c r="F1336" s="154">
        <v>88.45</v>
      </c>
      <c r="G1336" s="154" t="s">
        <v>12251</v>
      </c>
      <c r="H1336" s="620">
        <v>68</v>
      </c>
      <c r="I1336" s="154" t="s">
        <v>6253</v>
      </c>
      <c r="J1336" s="621" t="s">
        <v>11989</v>
      </c>
      <c r="K1336" s="621" t="s">
        <v>6036</v>
      </c>
      <c r="L1336" s="621">
        <v>0</v>
      </c>
      <c r="M1336" s="154">
        <v>0</v>
      </c>
    </row>
    <row r="1337" spans="1:16" ht="11.1" customHeight="1">
      <c r="A1337" s="154" t="s">
        <v>14403</v>
      </c>
      <c r="B1337" s="297" t="s">
        <v>12590</v>
      </c>
      <c r="C1337" s="617">
        <v>1</v>
      </c>
      <c r="D1337" s="618" t="s">
        <v>9191</v>
      </c>
      <c r="E1337" s="619">
        <v>0</v>
      </c>
      <c r="F1337" s="154">
        <v>87.72</v>
      </c>
      <c r="G1337" s="154" t="s">
        <v>9170</v>
      </c>
      <c r="H1337" s="620">
        <v>54</v>
      </c>
      <c r="I1337" s="154" t="s">
        <v>6253</v>
      </c>
      <c r="J1337" s="621" t="s">
        <v>11994</v>
      </c>
      <c r="K1337" s="621" t="s">
        <v>6209</v>
      </c>
      <c r="L1337" s="621">
        <v>1</v>
      </c>
      <c r="M1337" s="154" t="s">
        <v>6170</v>
      </c>
    </row>
    <row r="1338" spans="1:16" ht="11.1" customHeight="1">
      <c r="A1338" s="154" t="s">
        <v>14404</v>
      </c>
      <c r="B1338" s="297" t="s">
        <v>12590</v>
      </c>
      <c r="C1338" s="617">
        <v>1</v>
      </c>
      <c r="D1338" s="618" t="s">
        <v>9128</v>
      </c>
      <c r="E1338" s="619">
        <v>0</v>
      </c>
      <c r="F1338" s="154">
        <v>87.36</v>
      </c>
      <c r="G1338" s="154" t="s">
        <v>9163</v>
      </c>
      <c r="H1338" s="620">
        <v>65</v>
      </c>
      <c r="I1338" s="154" t="s">
        <v>6253</v>
      </c>
      <c r="J1338" s="621" t="s">
        <v>12007</v>
      </c>
      <c r="K1338" s="621" t="s">
        <v>6209</v>
      </c>
      <c r="L1338" s="621">
        <v>2</v>
      </c>
      <c r="M1338" s="154" t="s">
        <v>6170</v>
      </c>
    </row>
    <row r="1339" spans="1:16" ht="11.1" customHeight="1">
      <c r="A1339" s="154" t="s">
        <v>14405</v>
      </c>
      <c r="B1339" s="297" t="s">
        <v>12590</v>
      </c>
      <c r="C1339" s="617">
        <v>1</v>
      </c>
      <c r="D1339" s="618" t="s">
        <v>9106</v>
      </c>
      <c r="E1339" s="619">
        <v>0</v>
      </c>
      <c r="F1339" s="154">
        <v>85.95</v>
      </c>
      <c r="G1339" s="154" t="s">
        <v>7103</v>
      </c>
      <c r="H1339" s="620">
        <v>36</v>
      </c>
      <c r="I1339" s="154" t="s">
        <v>6253</v>
      </c>
      <c r="J1339" s="621" t="s">
        <v>12000</v>
      </c>
      <c r="K1339" s="621" t="s">
        <v>6283</v>
      </c>
      <c r="L1339" s="621">
        <v>1</v>
      </c>
      <c r="M1339" s="154" t="s">
        <v>6170</v>
      </c>
    </row>
    <row r="1340" spans="1:16" ht="11.1" customHeight="1">
      <c r="A1340" s="154" t="s">
        <v>14406</v>
      </c>
      <c r="C1340" s="617">
        <v>1</v>
      </c>
      <c r="D1340" s="618" t="s">
        <v>9112</v>
      </c>
      <c r="E1340" s="619">
        <v>0</v>
      </c>
      <c r="F1340" s="154">
        <v>85.64</v>
      </c>
      <c r="G1340" s="154" t="s">
        <v>6204</v>
      </c>
      <c r="H1340" s="620">
        <v>63</v>
      </c>
      <c r="I1340" s="154" t="s">
        <v>6253</v>
      </c>
      <c r="J1340" s="621" t="s">
        <v>11994</v>
      </c>
      <c r="K1340" s="621" t="s">
        <v>6209</v>
      </c>
      <c r="L1340" s="621">
        <v>3</v>
      </c>
      <c r="M1340" s="154">
        <v>0</v>
      </c>
    </row>
    <row r="1341" spans="1:16" ht="11.1" customHeight="1">
      <c r="A1341" s="154" t="s">
        <v>14407</v>
      </c>
      <c r="C1341" s="617">
        <v>1</v>
      </c>
      <c r="D1341" s="618" t="s">
        <v>9120</v>
      </c>
      <c r="E1341" s="619">
        <v>0</v>
      </c>
      <c r="F1341" s="154">
        <v>84.75</v>
      </c>
      <c r="G1341" s="154" t="s">
        <v>12240</v>
      </c>
      <c r="H1341" s="620">
        <v>52</v>
      </c>
      <c r="I1341" s="154" t="s">
        <v>6253</v>
      </c>
      <c r="J1341" s="621" t="s">
        <v>12020</v>
      </c>
      <c r="K1341" s="621" t="s">
        <v>6209</v>
      </c>
      <c r="L1341" s="621">
        <v>4</v>
      </c>
      <c r="M1341" s="154">
        <v>0</v>
      </c>
    </row>
    <row r="1342" spans="1:16" ht="11.1" customHeight="1">
      <c r="A1342" s="154" t="s">
        <v>14408</v>
      </c>
      <c r="C1342" s="617">
        <v>1</v>
      </c>
      <c r="D1342" s="618" t="s">
        <v>9154</v>
      </c>
      <c r="E1342" s="619">
        <v>0</v>
      </c>
      <c r="F1342" s="154">
        <v>76.959999999999994</v>
      </c>
      <c r="G1342" s="154" t="s">
        <v>9172</v>
      </c>
      <c r="H1342" s="620">
        <v>59</v>
      </c>
      <c r="I1342" s="154" t="s">
        <v>6253</v>
      </c>
      <c r="J1342" s="621" t="s">
        <v>12020</v>
      </c>
      <c r="K1342" s="621" t="s">
        <v>6283</v>
      </c>
      <c r="L1342" s="621">
        <v>1</v>
      </c>
      <c r="M1342" s="154">
        <v>0</v>
      </c>
    </row>
    <row r="1343" spans="1:16" ht="11.1" customHeight="1">
      <c r="A1343" s="154" t="s">
        <v>14409</v>
      </c>
      <c r="C1343" s="617">
        <v>1</v>
      </c>
      <c r="D1343" s="618" t="s">
        <v>9152</v>
      </c>
      <c r="E1343" s="619">
        <v>0</v>
      </c>
      <c r="F1343" s="154">
        <v>57.18</v>
      </c>
      <c r="G1343" s="154" t="s">
        <v>12228</v>
      </c>
      <c r="H1343" s="620">
        <v>37</v>
      </c>
      <c r="I1343" s="154" t="s">
        <v>6253</v>
      </c>
      <c r="J1343" s="621" t="s">
        <v>12020</v>
      </c>
      <c r="K1343" s="621" t="s">
        <v>6209</v>
      </c>
      <c r="L1343" s="621">
        <v>2</v>
      </c>
      <c r="M1343" s="154" t="s">
        <v>6170</v>
      </c>
    </row>
    <row r="1344" spans="1:16" ht="11.1" customHeight="1">
      <c r="A1344" s="154" t="s">
        <v>14410</v>
      </c>
      <c r="C1344" s="617">
        <v>1</v>
      </c>
      <c r="D1344" s="618" t="s">
        <v>9156</v>
      </c>
      <c r="E1344" s="619">
        <v>0</v>
      </c>
      <c r="F1344" s="154">
        <v>45.67</v>
      </c>
      <c r="G1344" s="154" t="s">
        <v>12242</v>
      </c>
      <c r="H1344" s="620">
        <v>58</v>
      </c>
      <c r="I1344" s="154" t="s">
        <v>6253</v>
      </c>
      <c r="J1344" s="621" t="s">
        <v>12000</v>
      </c>
      <c r="K1344" s="621" t="s">
        <v>6283</v>
      </c>
      <c r="L1344" s="621">
        <v>1</v>
      </c>
      <c r="M1344" s="154" t="s">
        <v>13018</v>
      </c>
    </row>
    <row r="1345" spans="1:16" ht="11.1" customHeight="1">
      <c r="A1345" s="154" t="s">
        <v>14411</v>
      </c>
      <c r="C1345" s="617">
        <v>25</v>
      </c>
      <c r="D1345" s="618" t="s">
        <v>8608</v>
      </c>
      <c r="E1345" s="619">
        <v>0</v>
      </c>
      <c r="F1345" s="154" t="s">
        <v>6262</v>
      </c>
      <c r="G1345" s="154" t="s">
        <v>14412</v>
      </c>
      <c r="H1345" s="620">
        <v>72</v>
      </c>
      <c r="I1345" s="154" t="s">
        <v>6253</v>
      </c>
      <c r="J1345" s="621" t="s">
        <v>12020</v>
      </c>
      <c r="K1345" s="621" t="s">
        <v>6209</v>
      </c>
      <c r="L1345" s="621">
        <v>2</v>
      </c>
      <c r="M1345" s="154">
        <v>0</v>
      </c>
    </row>
    <row r="1346" spans="1:16" ht="11.1" customHeight="1">
      <c r="A1346" s="154" t="s">
        <v>14413</v>
      </c>
      <c r="C1346" s="617">
        <v>26</v>
      </c>
      <c r="D1346" s="618" t="s">
        <v>8608</v>
      </c>
      <c r="E1346" s="619">
        <v>0</v>
      </c>
      <c r="F1346" s="154" t="s">
        <v>6262</v>
      </c>
      <c r="G1346" s="154" t="s">
        <v>9168</v>
      </c>
      <c r="H1346" s="620">
        <v>39</v>
      </c>
      <c r="I1346" s="154" t="s">
        <v>6253</v>
      </c>
      <c r="J1346" s="621" t="s">
        <v>12020</v>
      </c>
      <c r="K1346" s="621" t="s">
        <v>6036</v>
      </c>
      <c r="L1346" s="621">
        <v>0</v>
      </c>
      <c r="M1346" s="154">
        <v>0</v>
      </c>
    </row>
    <row r="1347" spans="1:16" ht="11.1" customHeight="1">
      <c r="A1347" s="154" t="s">
        <v>14414</v>
      </c>
      <c r="C1347" s="617">
        <v>27</v>
      </c>
      <c r="D1347" s="618" t="s">
        <v>8608</v>
      </c>
      <c r="E1347" s="619">
        <v>0</v>
      </c>
      <c r="F1347" s="154" t="s">
        <v>6262</v>
      </c>
      <c r="G1347" s="154" t="s">
        <v>14415</v>
      </c>
      <c r="H1347" s="620">
        <v>63</v>
      </c>
      <c r="I1347" s="154" t="s">
        <v>6253</v>
      </c>
      <c r="J1347" s="621" t="s">
        <v>12116</v>
      </c>
      <c r="K1347" s="621" t="s">
        <v>6036</v>
      </c>
      <c r="L1347" s="621">
        <v>0</v>
      </c>
      <c r="M1347" s="154">
        <v>0</v>
      </c>
    </row>
    <row r="1348" spans="1:16" ht="11.1" customHeight="1">
      <c r="A1348" s="154" t="s">
        <v>14416</v>
      </c>
      <c r="C1348" s="617">
        <v>28</v>
      </c>
      <c r="D1348" s="618" t="s">
        <v>8608</v>
      </c>
      <c r="E1348" s="619">
        <v>0</v>
      </c>
      <c r="F1348" s="154" t="s">
        <v>6262</v>
      </c>
      <c r="G1348" s="154" t="s">
        <v>14417</v>
      </c>
      <c r="H1348" s="620">
        <v>35</v>
      </c>
      <c r="I1348" s="154" t="s">
        <v>6253</v>
      </c>
      <c r="J1348" s="621" t="s">
        <v>12007</v>
      </c>
      <c r="K1348" s="621" t="s">
        <v>6036</v>
      </c>
      <c r="L1348" s="621">
        <v>0</v>
      </c>
      <c r="M1348" s="154">
        <v>0</v>
      </c>
    </row>
    <row r="1349" spans="1:16" ht="11.1" customHeight="1">
      <c r="A1349" s="154" t="s">
        <v>14418</v>
      </c>
      <c r="B1349" s="297" t="s">
        <v>14048</v>
      </c>
      <c r="C1349" s="617">
        <v>1</v>
      </c>
      <c r="D1349" s="618" t="s">
        <v>9108</v>
      </c>
      <c r="E1349" s="619">
        <v>0</v>
      </c>
      <c r="F1349" s="154" t="s">
        <v>6251</v>
      </c>
      <c r="G1349" s="154" t="s">
        <v>7061</v>
      </c>
      <c r="H1349" s="620">
        <v>54</v>
      </c>
      <c r="I1349" s="154" t="s">
        <v>6253</v>
      </c>
      <c r="J1349" s="621" t="s">
        <v>12215</v>
      </c>
      <c r="K1349" s="621" t="s">
        <v>6209</v>
      </c>
      <c r="L1349" s="621">
        <v>3</v>
      </c>
      <c r="M1349" s="154">
        <v>0</v>
      </c>
    </row>
    <row r="1350" spans="1:16" ht="11.1" customHeight="1">
      <c r="A1350" s="154" t="s">
        <v>14419</v>
      </c>
      <c r="B1350" s="297" t="s">
        <v>14048</v>
      </c>
      <c r="C1350" s="617">
        <v>1</v>
      </c>
      <c r="D1350" s="618" t="s">
        <v>9177</v>
      </c>
      <c r="E1350" s="619">
        <v>0</v>
      </c>
      <c r="F1350" s="154" t="s">
        <v>6251</v>
      </c>
      <c r="G1350" s="154" t="s">
        <v>7081</v>
      </c>
      <c r="H1350" s="620">
        <v>58</v>
      </c>
      <c r="I1350" s="154" t="s">
        <v>6253</v>
      </c>
      <c r="J1350" s="621" t="s">
        <v>12007</v>
      </c>
      <c r="K1350" s="621" t="s">
        <v>6209</v>
      </c>
      <c r="L1350" s="621">
        <v>2</v>
      </c>
      <c r="M1350" s="154">
        <v>0</v>
      </c>
    </row>
    <row r="1351" spans="1:16" ht="11.1" customHeight="1">
      <c r="A1351" s="154" t="s">
        <v>14420</v>
      </c>
      <c r="B1351" s="297" t="s">
        <v>14048</v>
      </c>
      <c r="C1351" s="617">
        <v>1</v>
      </c>
      <c r="D1351" s="618" t="s">
        <v>9124</v>
      </c>
      <c r="E1351" s="619">
        <v>0</v>
      </c>
      <c r="F1351" s="154" t="s">
        <v>6251</v>
      </c>
      <c r="G1351" s="154" t="s">
        <v>12218</v>
      </c>
      <c r="H1351" s="620">
        <v>47</v>
      </c>
      <c r="I1351" s="154" t="s">
        <v>6253</v>
      </c>
      <c r="J1351" s="621" t="s">
        <v>11994</v>
      </c>
      <c r="K1351" s="621" t="s">
        <v>6209</v>
      </c>
      <c r="L1351" s="621">
        <v>1</v>
      </c>
      <c r="M1351" s="154" t="s">
        <v>6170</v>
      </c>
    </row>
    <row r="1352" spans="1:16" ht="11.1" customHeight="1">
      <c r="A1352" s="154" t="s">
        <v>14421</v>
      </c>
      <c r="B1352" s="297" t="s">
        <v>14048</v>
      </c>
      <c r="C1352" s="617">
        <v>1</v>
      </c>
      <c r="D1352" s="618" t="s">
        <v>9118</v>
      </c>
      <c r="E1352" s="619">
        <v>0</v>
      </c>
      <c r="F1352" s="154" t="s">
        <v>6251</v>
      </c>
      <c r="G1352" s="154" t="s">
        <v>7109</v>
      </c>
      <c r="H1352" s="620">
        <v>37</v>
      </c>
      <c r="I1352" s="154" t="s">
        <v>6253</v>
      </c>
      <c r="J1352" s="621" t="s">
        <v>12116</v>
      </c>
      <c r="K1352" s="621" t="s">
        <v>6209</v>
      </c>
      <c r="L1352" s="621">
        <v>1</v>
      </c>
      <c r="M1352" s="154">
        <v>0</v>
      </c>
    </row>
    <row r="1353" spans="1:16" ht="11.1" customHeight="1">
      <c r="A1353" s="154" t="s">
        <v>14422</v>
      </c>
      <c r="B1353" s="297" t="s">
        <v>14048</v>
      </c>
      <c r="C1353" s="617">
        <v>1</v>
      </c>
      <c r="D1353" s="618" t="s">
        <v>9132</v>
      </c>
      <c r="E1353" s="619">
        <v>0</v>
      </c>
      <c r="F1353" s="154" t="s">
        <v>6251</v>
      </c>
      <c r="G1353" s="154" t="s">
        <v>7117</v>
      </c>
      <c r="H1353" s="620">
        <v>55</v>
      </c>
      <c r="I1353" s="154" t="s">
        <v>6253</v>
      </c>
      <c r="J1353" s="621" t="s">
        <v>12007</v>
      </c>
      <c r="K1353" s="621" t="s">
        <v>6209</v>
      </c>
      <c r="L1353" s="621">
        <v>1</v>
      </c>
      <c r="M1353" s="154" t="s">
        <v>6170</v>
      </c>
    </row>
    <row r="1354" spans="1:16" ht="11.1" customHeight="1">
      <c r="A1354" s="154" t="s">
        <v>14423</v>
      </c>
      <c r="B1354" s="297" t="s">
        <v>14048</v>
      </c>
      <c r="C1354" s="617">
        <v>1</v>
      </c>
      <c r="D1354" s="618" t="s">
        <v>9138</v>
      </c>
      <c r="E1354" s="619">
        <v>0</v>
      </c>
      <c r="F1354" s="154" t="s">
        <v>6251</v>
      </c>
      <c r="G1354" s="154" t="s">
        <v>12227</v>
      </c>
      <c r="H1354" s="620">
        <v>43</v>
      </c>
      <c r="I1354" s="154" t="s">
        <v>6253</v>
      </c>
      <c r="J1354" s="621" t="s">
        <v>12000</v>
      </c>
      <c r="K1354" s="621" t="s">
        <v>6209</v>
      </c>
      <c r="L1354" s="621">
        <v>1</v>
      </c>
      <c r="M1354" s="154" t="s">
        <v>13018</v>
      </c>
    </row>
    <row r="1355" spans="1:16" ht="11.1" customHeight="1">
      <c r="A1355" s="154" t="s">
        <v>14424</v>
      </c>
      <c r="B1355" s="297" t="s">
        <v>14048</v>
      </c>
      <c r="C1355" s="617">
        <v>1</v>
      </c>
      <c r="D1355" s="618" t="s">
        <v>9104</v>
      </c>
      <c r="E1355" s="619">
        <v>0</v>
      </c>
      <c r="F1355" s="154" t="s">
        <v>6251</v>
      </c>
      <c r="G1355" s="154" t="s">
        <v>12235</v>
      </c>
      <c r="H1355" s="620">
        <v>56</v>
      </c>
      <c r="I1355" s="154" t="s">
        <v>6253</v>
      </c>
      <c r="J1355" s="621" t="s">
        <v>12178</v>
      </c>
      <c r="K1355" s="621" t="s">
        <v>6209</v>
      </c>
      <c r="L1355" s="621">
        <v>2</v>
      </c>
      <c r="M1355" s="154" t="s">
        <v>6170</v>
      </c>
    </row>
    <row r="1356" spans="1:16" ht="11.1" customHeight="1">
      <c r="A1356" s="154" t="s">
        <v>14425</v>
      </c>
      <c r="B1356" s="297" t="s">
        <v>14048</v>
      </c>
      <c r="C1356" s="617">
        <v>1</v>
      </c>
      <c r="D1356" s="618" t="s">
        <v>9130</v>
      </c>
      <c r="E1356" s="619">
        <v>0</v>
      </c>
      <c r="F1356" s="154" t="s">
        <v>6251</v>
      </c>
      <c r="G1356" s="154" t="s">
        <v>7228</v>
      </c>
      <c r="H1356" s="620">
        <v>46</v>
      </c>
      <c r="I1356" s="154" t="s">
        <v>6253</v>
      </c>
      <c r="J1356" s="621" t="s">
        <v>12000</v>
      </c>
      <c r="K1356" s="621" t="s">
        <v>6209</v>
      </c>
      <c r="L1356" s="621">
        <v>2</v>
      </c>
      <c r="M1356" s="154" t="s">
        <v>6170</v>
      </c>
    </row>
    <row r="1357" spans="1:16" ht="11.1" customHeight="1">
      <c r="A1357" s="154" t="s">
        <v>14426</v>
      </c>
      <c r="B1357" s="297" t="s">
        <v>14048</v>
      </c>
      <c r="C1357" s="617">
        <v>1</v>
      </c>
      <c r="D1357" s="618" t="s">
        <v>9126</v>
      </c>
      <c r="E1357" s="619">
        <v>0</v>
      </c>
      <c r="F1357" s="154" t="s">
        <v>6251</v>
      </c>
      <c r="G1357" s="154" t="s">
        <v>7238</v>
      </c>
      <c r="H1357" s="620">
        <v>39</v>
      </c>
      <c r="I1357" s="154" t="s">
        <v>6253</v>
      </c>
      <c r="J1357" s="621" t="s">
        <v>12007</v>
      </c>
      <c r="K1357" s="621" t="s">
        <v>6209</v>
      </c>
      <c r="L1357" s="621">
        <v>1</v>
      </c>
      <c r="M1357" s="154" t="s">
        <v>6170</v>
      </c>
    </row>
    <row r="1358" spans="1:16" ht="11.1" customHeight="1">
      <c r="A1358" s="154" t="s">
        <v>14427</v>
      </c>
      <c r="B1358" s="297" t="s">
        <v>14048</v>
      </c>
      <c r="C1358" s="617">
        <v>1</v>
      </c>
      <c r="D1358" s="618" t="s">
        <v>9134</v>
      </c>
      <c r="E1358" s="619">
        <v>0</v>
      </c>
      <c r="F1358" s="154" t="s">
        <v>6251</v>
      </c>
      <c r="G1358" s="154" t="s">
        <v>7246</v>
      </c>
      <c r="H1358" s="620">
        <v>41</v>
      </c>
      <c r="I1358" s="154" t="s">
        <v>6253</v>
      </c>
      <c r="J1358" s="621" t="s">
        <v>12007</v>
      </c>
      <c r="K1358" s="621" t="s">
        <v>6036</v>
      </c>
      <c r="L1358" s="621">
        <v>0</v>
      </c>
      <c r="M1358" s="154" t="s">
        <v>6170</v>
      </c>
    </row>
    <row r="1359" spans="1:16" ht="11.1" customHeight="1">
      <c r="A1359" s="154" t="s">
        <v>14428</v>
      </c>
      <c r="B1359" s="297" t="s">
        <v>14048</v>
      </c>
      <c r="C1359" s="617">
        <v>1</v>
      </c>
      <c r="D1359" s="618" t="s">
        <v>9122</v>
      </c>
      <c r="E1359" s="619">
        <v>0</v>
      </c>
      <c r="F1359" s="154" t="s">
        <v>6251</v>
      </c>
      <c r="G1359" s="154" t="s">
        <v>7254</v>
      </c>
      <c r="H1359" s="620">
        <v>36</v>
      </c>
      <c r="I1359" s="154" t="s">
        <v>6253</v>
      </c>
      <c r="J1359" s="621" t="s">
        <v>11989</v>
      </c>
      <c r="K1359" s="621" t="s">
        <v>6209</v>
      </c>
      <c r="L1359" s="621">
        <v>1</v>
      </c>
      <c r="M1359" s="154" t="s">
        <v>6170</v>
      </c>
    </row>
    <row r="1360" spans="1:16" ht="11.1" customHeight="1">
      <c r="A1360" s="154" t="s">
        <v>14429</v>
      </c>
      <c r="B1360" s="297" t="s">
        <v>12590</v>
      </c>
      <c r="C1360" s="617">
        <v>1</v>
      </c>
      <c r="D1360" s="618" t="s">
        <v>8608</v>
      </c>
      <c r="E1360" s="619">
        <v>0</v>
      </c>
      <c r="F1360" s="154" t="s">
        <v>6262</v>
      </c>
      <c r="G1360" s="154" t="s">
        <v>9200</v>
      </c>
      <c r="H1360" s="620">
        <v>43</v>
      </c>
      <c r="I1360" s="154" t="s">
        <v>6929</v>
      </c>
      <c r="J1360" s="621">
        <v>0</v>
      </c>
      <c r="K1360" s="621" t="s">
        <v>6209</v>
      </c>
      <c r="L1360" s="621">
        <v>2</v>
      </c>
      <c r="M1360" s="154">
        <v>0</v>
      </c>
      <c r="N1360" s="298">
        <v>2</v>
      </c>
      <c r="O1360" s="298">
        <v>805640</v>
      </c>
      <c r="P1360" s="298">
        <v>14.026286141878172</v>
      </c>
    </row>
    <row r="1361" spans="1:16" ht="11.1" customHeight="1">
      <c r="A1361" s="154" t="s">
        <v>14430</v>
      </c>
      <c r="B1361" s="297" t="s">
        <v>12590</v>
      </c>
      <c r="C1361" s="617">
        <v>2</v>
      </c>
      <c r="D1361" s="618" t="s">
        <v>8608</v>
      </c>
      <c r="E1361" s="619">
        <v>0</v>
      </c>
      <c r="F1361" s="154" t="s">
        <v>6262</v>
      </c>
      <c r="G1361" s="154" t="s">
        <v>9202</v>
      </c>
      <c r="H1361" s="620">
        <v>51</v>
      </c>
      <c r="I1361" s="154" t="s">
        <v>6929</v>
      </c>
      <c r="J1361" s="621">
        <v>0</v>
      </c>
      <c r="K1361" s="621" t="s">
        <v>6036</v>
      </c>
      <c r="L1361" s="621">
        <v>0</v>
      </c>
      <c r="M1361" s="154">
        <v>0</v>
      </c>
    </row>
    <row r="1362" spans="1:16" ht="11.1" customHeight="1">
      <c r="A1362" s="154" t="s">
        <v>14431</v>
      </c>
      <c r="C1362" s="617">
        <v>3</v>
      </c>
      <c r="D1362" s="618" t="s">
        <v>8608</v>
      </c>
      <c r="E1362" s="619">
        <v>0</v>
      </c>
      <c r="F1362" s="154" t="s">
        <v>6262</v>
      </c>
      <c r="G1362" s="154" t="s">
        <v>14432</v>
      </c>
      <c r="H1362" s="620">
        <v>41</v>
      </c>
      <c r="I1362" s="154" t="s">
        <v>6929</v>
      </c>
      <c r="J1362" s="621">
        <v>0</v>
      </c>
      <c r="K1362" s="621" t="s">
        <v>6036</v>
      </c>
      <c r="L1362" s="621">
        <v>0</v>
      </c>
      <c r="M1362" s="154">
        <v>0</v>
      </c>
    </row>
    <row r="1363" spans="1:16" ht="11.1" customHeight="1">
      <c r="A1363" s="154" t="s">
        <v>14433</v>
      </c>
      <c r="C1363" s="617">
        <v>4</v>
      </c>
      <c r="D1363" s="618" t="s">
        <v>8608</v>
      </c>
      <c r="E1363" s="619">
        <v>0</v>
      </c>
      <c r="F1363" s="154" t="s">
        <v>6262</v>
      </c>
      <c r="G1363" s="154" t="s">
        <v>14434</v>
      </c>
      <c r="H1363" s="620">
        <v>57</v>
      </c>
      <c r="I1363" s="154" t="s">
        <v>6929</v>
      </c>
      <c r="J1363" s="621">
        <v>0</v>
      </c>
      <c r="K1363" s="621" t="s">
        <v>6036</v>
      </c>
      <c r="L1363" s="621">
        <v>0</v>
      </c>
      <c r="M1363" s="154">
        <v>0</v>
      </c>
    </row>
    <row r="1364" spans="1:16" ht="11.1" customHeight="1">
      <c r="A1364" s="154" t="s">
        <v>14435</v>
      </c>
      <c r="B1364" s="297" t="s">
        <v>12590</v>
      </c>
      <c r="C1364" s="617">
        <v>1</v>
      </c>
      <c r="D1364" s="618" t="s">
        <v>9106</v>
      </c>
      <c r="E1364" s="619">
        <v>0</v>
      </c>
      <c r="F1364" s="154">
        <v>26.4</v>
      </c>
      <c r="G1364" s="154" t="s">
        <v>13142</v>
      </c>
      <c r="H1364" s="620">
        <v>49</v>
      </c>
      <c r="I1364" s="154" t="s">
        <v>6264</v>
      </c>
      <c r="J1364" s="621">
        <v>0</v>
      </c>
      <c r="K1364" s="621" t="s">
        <v>6209</v>
      </c>
      <c r="L1364" s="621">
        <v>1</v>
      </c>
      <c r="M1364" s="154">
        <v>0</v>
      </c>
      <c r="N1364" s="298">
        <v>1</v>
      </c>
      <c r="O1364" s="298">
        <v>532376</v>
      </c>
      <c r="P1364" s="298">
        <v>9.2687281056905491</v>
      </c>
    </row>
    <row r="1365" spans="1:16" ht="11.1" customHeight="1">
      <c r="A1365" s="154" t="s">
        <v>14436</v>
      </c>
      <c r="C1365" s="617">
        <v>2</v>
      </c>
      <c r="D1365" s="618" t="s">
        <v>9122</v>
      </c>
      <c r="E1365" s="619">
        <v>0</v>
      </c>
      <c r="F1365" s="154">
        <v>21.82</v>
      </c>
      <c r="G1365" s="154" t="s">
        <v>12248</v>
      </c>
      <c r="H1365" s="620">
        <v>53</v>
      </c>
      <c r="I1365" s="154" t="s">
        <v>6264</v>
      </c>
      <c r="J1365" s="621">
        <v>0</v>
      </c>
      <c r="K1365" s="621" t="s">
        <v>6036</v>
      </c>
      <c r="L1365" s="621">
        <v>0</v>
      </c>
      <c r="M1365" s="154">
        <v>0</v>
      </c>
    </row>
    <row r="1366" spans="1:16" ht="11.1" customHeight="1">
      <c r="A1366" s="154" t="s">
        <v>14437</v>
      </c>
      <c r="C1366" s="617">
        <v>4</v>
      </c>
      <c r="D1366" s="618" t="s">
        <v>9126</v>
      </c>
      <c r="E1366" s="619">
        <v>0</v>
      </c>
      <c r="F1366" s="154">
        <v>23.81</v>
      </c>
      <c r="G1366" s="154" t="s">
        <v>7242</v>
      </c>
      <c r="H1366" s="620">
        <v>49</v>
      </c>
      <c r="I1366" s="154" t="s">
        <v>6264</v>
      </c>
      <c r="J1366" s="621">
        <v>0</v>
      </c>
      <c r="K1366" s="621" t="s">
        <v>6036</v>
      </c>
      <c r="L1366" s="621">
        <v>0</v>
      </c>
      <c r="M1366" s="154">
        <v>0</v>
      </c>
    </row>
    <row r="1367" spans="1:16" ht="11.1" customHeight="1">
      <c r="A1367" s="154" t="s">
        <v>14438</v>
      </c>
      <c r="B1367" s="297" t="s">
        <v>6231</v>
      </c>
      <c r="C1367" s="617">
        <v>3</v>
      </c>
      <c r="D1367" s="618" t="s">
        <v>9128</v>
      </c>
      <c r="E1367" s="619">
        <v>0</v>
      </c>
      <c r="F1367" s="154">
        <v>18.97</v>
      </c>
      <c r="G1367" s="154" t="s">
        <v>13234</v>
      </c>
      <c r="H1367" s="620">
        <v>44</v>
      </c>
      <c r="I1367" s="154" t="s">
        <v>6264</v>
      </c>
      <c r="J1367" s="621">
        <v>0</v>
      </c>
      <c r="K1367" s="621" t="s">
        <v>6036</v>
      </c>
      <c r="L1367" s="621">
        <v>0</v>
      </c>
      <c r="M1367" s="154">
        <v>0</v>
      </c>
    </row>
    <row r="1368" spans="1:16" ht="11.1" customHeight="1">
      <c r="A1368" s="154" t="s">
        <v>14439</v>
      </c>
      <c r="B1368" s="297" t="s">
        <v>6231</v>
      </c>
      <c r="C1368" s="617">
        <v>5</v>
      </c>
      <c r="D1368" s="618" t="s">
        <v>9191</v>
      </c>
      <c r="E1368" s="619">
        <v>0</v>
      </c>
      <c r="F1368" s="154">
        <v>22.48</v>
      </c>
      <c r="G1368" s="154" t="s">
        <v>13201</v>
      </c>
      <c r="H1368" s="620">
        <v>47</v>
      </c>
      <c r="I1368" s="154" t="s">
        <v>6264</v>
      </c>
      <c r="J1368" s="621">
        <v>0</v>
      </c>
      <c r="K1368" s="621" t="s">
        <v>6036</v>
      </c>
      <c r="L1368" s="621">
        <v>0</v>
      </c>
      <c r="M1368" s="154">
        <v>0</v>
      </c>
    </row>
    <row r="1369" spans="1:16" ht="11.1" customHeight="1">
      <c r="A1369" s="154" t="s">
        <v>14440</v>
      </c>
      <c r="C1369" s="617">
        <v>5</v>
      </c>
      <c r="D1369" s="618" t="s">
        <v>8608</v>
      </c>
      <c r="E1369" s="619">
        <v>0</v>
      </c>
      <c r="F1369" s="154" t="s">
        <v>6262</v>
      </c>
      <c r="G1369" s="154" t="s">
        <v>12230</v>
      </c>
      <c r="H1369" s="620">
        <v>46</v>
      </c>
      <c r="I1369" s="154" t="s">
        <v>6278</v>
      </c>
      <c r="J1369" s="621">
        <v>0</v>
      </c>
      <c r="K1369" s="621" t="s">
        <v>6036</v>
      </c>
      <c r="L1369" s="621">
        <v>0</v>
      </c>
      <c r="M1369" s="154">
        <v>0</v>
      </c>
      <c r="N1369" s="298">
        <v>0</v>
      </c>
      <c r="O1369" s="298">
        <v>247103</v>
      </c>
      <c r="P1369" s="298">
        <v>4.3020919821713441</v>
      </c>
    </row>
    <row r="1370" spans="1:16" ht="11.1" customHeight="1">
      <c r="A1370" s="154" t="s">
        <v>14441</v>
      </c>
      <c r="B1370" s="297" t="s">
        <v>6231</v>
      </c>
      <c r="C1370" s="617">
        <v>1</v>
      </c>
      <c r="D1370" s="618" t="s">
        <v>9132</v>
      </c>
      <c r="E1370" s="619">
        <v>0</v>
      </c>
      <c r="F1370" s="154">
        <v>17.7</v>
      </c>
      <c r="G1370" s="154" t="s">
        <v>7136</v>
      </c>
      <c r="H1370" s="620">
        <v>47</v>
      </c>
      <c r="I1370" s="154" t="s">
        <v>6278</v>
      </c>
      <c r="J1370" s="621">
        <v>0</v>
      </c>
      <c r="K1370" s="621" t="s">
        <v>6209</v>
      </c>
      <c r="L1370" s="621">
        <v>2</v>
      </c>
      <c r="M1370" s="154" t="s">
        <v>6154</v>
      </c>
    </row>
    <row r="1371" spans="1:16" ht="11.1" customHeight="1">
      <c r="A1371" s="154" t="s">
        <v>14442</v>
      </c>
      <c r="B1371" s="297" t="s">
        <v>6231</v>
      </c>
      <c r="C1371" s="617">
        <v>1</v>
      </c>
      <c r="D1371" s="618" t="s">
        <v>9152</v>
      </c>
      <c r="E1371" s="619">
        <v>0</v>
      </c>
      <c r="F1371" s="154">
        <v>11.84</v>
      </c>
      <c r="G1371" s="154" t="s">
        <v>13164</v>
      </c>
      <c r="H1371" s="620">
        <v>26</v>
      </c>
      <c r="I1371" s="154" t="s">
        <v>6278</v>
      </c>
      <c r="J1371" s="621">
        <v>0</v>
      </c>
      <c r="K1371" s="621" t="s">
        <v>6036</v>
      </c>
      <c r="L1371" s="621">
        <v>0</v>
      </c>
      <c r="M1371" s="154">
        <v>0</v>
      </c>
    </row>
    <row r="1372" spans="1:16" ht="11.1" customHeight="1">
      <c r="A1372" s="154" t="s">
        <v>14443</v>
      </c>
      <c r="B1372" s="297" t="s">
        <v>6231</v>
      </c>
      <c r="C1372" s="617">
        <v>1</v>
      </c>
      <c r="D1372" s="618" t="s">
        <v>9112</v>
      </c>
      <c r="E1372" s="619">
        <v>0</v>
      </c>
      <c r="F1372" s="154">
        <v>7.83</v>
      </c>
      <c r="G1372" s="154" t="s">
        <v>13169</v>
      </c>
      <c r="H1372" s="620">
        <v>52</v>
      </c>
      <c r="I1372" s="154" t="s">
        <v>6278</v>
      </c>
      <c r="J1372" s="621">
        <v>0</v>
      </c>
      <c r="K1372" s="621" t="s">
        <v>6036</v>
      </c>
      <c r="L1372" s="621">
        <v>0</v>
      </c>
      <c r="M1372" s="154">
        <v>0</v>
      </c>
    </row>
    <row r="1373" spans="1:16" ht="11.1" customHeight="1">
      <c r="A1373" s="154" t="s">
        <v>14444</v>
      </c>
      <c r="B1373" s="297" t="s">
        <v>6231</v>
      </c>
      <c r="C1373" s="617">
        <v>1</v>
      </c>
      <c r="D1373" s="618" t="s">
        <v>9130</v>
      </c>
      <c r="E1373" s="619">
        <v>0</v>
      </c>
      <c r="F1373" s="154">
        <v>7</v>
      </c>
      <c r="G1373" s="154" t="s">
        <v>13215</v>
      </c>
      <c r="H1373" s="620">
        <v>34</v>
      </c>
      <c r="I1373" s="154" t="s">
        <v>6278</v>
      </c>
      <c r="J1373" s="621">
        <v>0</v>
      </c>
      <c r="K1373" s="621" t="s">
        <v>6036</v>
      </c>
      <c r="L1373" s="621">
        <v>0</v>
      </c>
      <c r="M1373" s="154">
        <v>0</v>
      </c>
    </row>
    <row r="1374" spans="1:16" ht="11.1" customHeight="1">
      <c r="A1374" s="154" t="s">
        <v>14445</v>
      </c>
      <c r="B1374" s="297" t="s">
        <v>12590</v>
      </c>
      <c r="C1374" s="617">
        <v>1</v>
      </c>
      <c r="D1374" s="618" t="s">
        <v>8608</v>
      </c>
      <c r="E1374" s="619">
        <v>0</v>
      </c>
      <c r="F1374" s="154" t="s">
        <v>6262</v>
      </c>
      <c r="G1374" s="154" t="s">
        <v>12267</v>
      </c>
      <c r="H1374" s="620">
        <v>71</v>
      </c>
      <c r="I1374" s="154" t="s">
        <v>6257</v>
      </c>
      <c r="J1374" s="621" t="s">
        <v>12635</v>
      </c>
      <c r="K1374" s="621" t="s">
        <v>6209</v>
      </c>
      <c r="L1374" s="621">
        <v>4</v>
      </c>
      <c r="M1374" s="154">
        <v>0</v>
      </c>
      <c r="N1374" s="298">
        <v>5</v>
      </c>
      <c r="O1374" s="298">
        <v>1502822</v>
      </c>
      <c r="P1374" s="298">
        <v>38.889738543571113</v>
      </c>
    </row>
    <row r="1375" spans="1:16" ht="11.1" customHeight="1">
      <c r="A1375" s="154" t="s">
        <v>14446</v>
      </c>
      <c r="B1375" s="297" t="s">
        <v>12590</v>
      </c>
      <c r="C1375" s="617">
        <v>2</v>
      </c>
      <c r="D1375" s="618" t="s">
        <v>8608</v>
      </c>
      <c r="E1375" s="619">
        <v>0</v>
      </c>
      <c r="F1375" s="154" t="s">
        <v>6262</v>
      </c>
      <c r="G1375" s="154" t="s">
        <v>14447</v>
      </c>
      <c r="H1375" s="620">
        <v>69</v>
      </c>
      <c r="I1375" s="154" t="s">
        <v>6257</v>
      </c>
      <c r="J1375" s="621" t="s">
        <v>12631</v>
      </c>
      <c r="K1375" s="621" t="s">
        <v>6209</v>
      </c>
      <c r="L1375" s="621">
        <v>3</v>
      </c>
      <c r="M1375" s="154">
        <v>0</v>
      </c>
    </row>
    <row r="1376" spans="1:16" ht="11.1" customHeight="1">
      <c r="A1376" s="154" t="s">
        <v>14448</v>
      </c>
      <c r="B1376" s="297" t="s">
        <v>12590</v>
      </c>
      <c r="C1376" s="617">
        <v>3</v>
      </c>
      <c r="D1376" s="618" t="s">
        <v>9250</v>
      </c>
      <c r="E1376" s="619">
        <v>0</v>
      </c>
      <c r="F1376" s="154">
        <v>52.17</v>
      </c>
      <c r="G1376" s="154" t="s">
        <v>7420</v>
      </c>
      <c r="H1376" s="620">
        <v>60</v>
      </c>
      <c r="I1376" s="154" t="s">
        <v>6257</v>
      </c>
      <c r="J1376" s="621" t="s">
        <v>12621</v>
      </c>
      <c r="K1376" s="621" t="s">
        <v>6209</v>
      </c>
      <c r="L1376" s="621">
        <v>1</v>
      </c>
      <c r="M1376" s="154" t="s">
        <v>6260</v>
      </c>
    </row>
    <row r="1377" spans="1:13" ht="11.1" customHeight="1">
      <c r="A1377" s="154" t="s">
        <v>14449</v>
      </c>
      <c r="B1377" s="297" t="s">
        <v>12590</v>
      </c>
      <c r="C1377" s="617">
        <v>4</v>
      </c>
      <c r="D1377" s="618" t="s">
        <v>9242</v>
      </c>
      <c r="E1377" s="619">
        <v>0</v>
      </c>
      <c r="F1377" s="154">
        <v>97.2</v>
      </c>
      <c r="G1377" s="154" t="s">
        <v>12271</v>
      </c>
      <c r="H1377" s="620">
        <v>42</v>
      </c>
      <c r="I1377" s="154" t="s">
        <v>6257</v>
      </c>
      <c r="J1377" s="621" t="s">
        <v>12631</v>
      </c>
      <c r="K1377" s="621" t="s">
        <v>6209</v>
      </c>
      <c r="L1377" s="621">
        <v>1</v>
      </c>
      <c r="M1377" s="154" t="s">
        <v>12638</v>
      </c>
    </row>
    <row r="1378" spans="1:13" ht="11.1" customHeight="1">
      <c r="A1378" s="154" t="s">
        <v>14450</v>
      </c>
      <c r="B1378" s="297" t="s">
        <v>12590</v>
      </c>
      <c r="C1378" s="617">
        <v>4</v>
      </c>
      <c r="D1378" s="618" t="s">
        <v>9264</v>
      </c>
      <c r="E1378" s="619">
        <v>0</v>
      </c>
      <c r="F1378" s="154">
        <v>91.11</v>
      </c>
      <c r="G1378" s="154" t="s">
        <v>13328</v>
      </c>
      <c r="H1378" s="620">
        <v>66</v>
      </c>
      <c r="I1378" s="154" t="s">
        <v>6257</v>
      </c>
      <c r="J1378" s="621" t="s">
        <v>12621</v>
      </c>
      <c r="K1378" s="621" t="s">
        <v>6209</v>
      </c>
      <c r="L1378" s="621">
        <v>5</v>
      </c>
      <c r="M1378" s="154" t="s">
        <v>12638</v>
      </c>
    </row>
    <row r="1379" spans="1:13" ht="11.1" customHeight="1">
      <c r="A1379" s="154" t="s">
        <v>14451</v>
      </c>
      <c r="C1379" s="617">
        <v>4</v>
      </c>
      <c r="D1379" s="618" t="s">
        <v>9262</v>
      </c>
      <c r="E1379" s="619">
        <v>0</v>
      </c>
      <c r="F1379" s="154">
        <v>80.56</v>
      </c>
      <c r="G1379" s="154" t="s">
        <v>13248</v>
      </c>
      <c r="H1379" s="620">
        <v>63</v>
      </c>
      <c r="I1379" s="154" t="s">
        <v>6257</v>
      </c>
      <c r="J1379" s="621" t="s">
        <v>12635</v>
      </c>
      <c r="K1379" s="621" t="s">
        <v>6209</v>
      </c>
      <c r="L1379" s="621">
        <v>2</v>
      </c>
      <c r="M1379" s="154" t="s">
        <v>12638</v>
      </c>
    </row>
    <row r="1380" spans="1:13" ht="11.1" customHeight="1">
      <c r="A1380" s="154" t="s">
        <v>14452</v>
      </c>
      <c r="C1380" s="617">
        <v>4</v>
      </c>
      <c r="D1380" s="618" t="s">
        <v>9260</v>
      </c>
      <c r="E1380" s="619">
        <v>0</v>
      </c>
      <c r="F1380" s="154">
        <v>74.05</v>
      </c>
      <c r="G1380" s="154" t="s">
        <v>13266</v>
      </c>
      <c r="H1380" s="620">
        <v>56</v>
      </c>
      <c r="I1380" s="154" t="s">
        <v>6257</v>
      </c>
      <c r="J1380" s="621" t="s">
        <v>12635</v>
      </c>
      <c r="K1380" s="621" t="s">
        <v>6209</v>
      </c>
      <c r="L1380" s="621">
        <v>3</v>
      </c>
      <c r="M1380" s="154" t="s">
        <v>12638</v>
      </c>
    </row>
    <row r="1381" spans="1:13" ht="11.1" customHeight="1">
      <c r="A1381" s="154" t="s">
        <v>14453</v>
      </c>
      <c r="C1381" s="617">
        <v>4</v>
      </c>
      <c r="D1381" s="618" t="s">
        <v>9254</v>
      </c>
      <c r="E1381" s="619">
        <v>0</v>
      </c>
      <c r="F1381" s="154">
        <v>72</v>
      </c>
      <c r="G1381" s="154" t="s">
        <v>7329</v>
      </c>
      <c r="H1381" s="620">
        <v>43</v>
      </c>
      <c r="I1381" s="154" t="s">
        <v>6257</v>
      </c>
      <c r="J1381" s="621" t="s">
        <v>12631</v>
      </c>
      <c r="K1381" s="621" t="s">
        <v>6036</v>
      </c>
      <c r="L1381" s="621">
        <v>0</v>
      </c>
      <c r="M1381" s="154" t="s">
        <v>12638</v>
      </c>
    </row>
    <row r="1382" spans="1:13" ht="11.1" customHeight="1">
      <c r="A1382" s="154" t="s">
        <v>14454</v>
      </c>
      <c r="C1382" s="617">
        <v>4</v>
      </c>
      <c r="D1382" s="618" t="s">
        <v>9248</v>
      </c>
      <c r="E1382" s="619">
        <v>0</v>
      </c>
      <c r="F1382" s="154">
        <v>63.13</v>
      </c>
      <c r="G1382" s="154" t="s">
        <v>13271</v>
      </c>
      <c r="H1382" s="620">
        <v>71</v>
      </c>
      <c r="I1382" s="154" t="s">
        <v>6257</v>
      </c>
      <c r="J1382" s="621" t="s">
        <v>12635</v>
      </c>
      <c r="K1382" s="621" t="s">
        <v>6209</v>
      </c>
      <c r="L1382" s="621">
        <v>3</v>
      </c>
      <c r="M1382" s="154" t="s">
        <v>6260</v>
      </c>
    </row>
    <row r="1383" spans="1:13" ht="11.1" customHeight="1">
      <c r="A1383" s="154" t="s">
        <v>14455</v>
      </c>
      <c r="C1383" s="617">
        <v>22</v>
      </c>
      <c r="D1383" s="618" t="s">
        <v>8608</v>
      </c>
      <c r="E1383" s="619">
        <v>0</v>
      </c>
      <c r="F1383" s="154" t="s">
        <v>6262</v>
      </c>
      <c r="G1383" s="154" t="s">
        <v>14456</v>
      </c>
      <c r="H1383" s="620">
        <v>67</v>
      </c>
      <c r="I1383" s="154" t="s">
        <v>6257</v>
      </c>
      <c r="J1383" s="621" t="s">
        <v>12617</v>
      </c>
      <c r="K1383" s="621" t="s">
        <v>6036</v>
      </c>
      <c r="L1383" s="621">
        <v>0</v>
      </c>
      <c r="M1383" s="154">
        <v>0</v>
      </c>
    </row>
    <row r="1384" spans="1:13" ht="11.1" customHeight="1">
      <c r="A1384" s="154" t="s">
        <v>14457</v>
      </c>
      <c r="C1384" s="617">
        <v>23</v>
      </c>
      <c r="D1384" s="618" t="s">
        <v>8608</v>
      </c>
      <c r="E1384" s="619">
        <v>0</v>
      </c>
      <c r="F1384" s="154" t="s">
        <v>6262</v>
      </c>
      <c r="G1384" s="154" t="s">
        <v>14458</v>
      </c>
      <c r="H1384" s="620">
        <v>57</v>
      </c>
      <c r="I1384" s="154" t="s">
        <v>6257</v>
      </c>
      <c r="J1384" s="621" t="s">
        <v>12617</v>
      </c>
      <c r="K1384" s="621" t="s">
        <v>6036</v>
      </c>
      <c r="L1384" s="621">
        <v>0</v>
      </c>
      <c r="M1384" s="154">
        <v>0</v>
      </c>
    </row>
    <row r="1385" spans="1:13" ht="11.1" customHeight="1">
      <c r="A1385" s="154" t="s">
        <v>14459</v>
      </c>
      <c r="B1385" s="297" t="s">
        <v>14048</v>
      </c>
      <c r="C1385" s="617">
        <v>4</v>
      </c>
      <c r="D1385" s="618" t="s">
        <v>9256</v>
      </c>
      <c r="E1385" s="619">
        <v>0</v>
      </c>
      <c r="F1385" s="154" t="s">
        <v>6251</v>
      </c>
      <c r="G1385" s="154" t="s">
        <v>13251</v>
      </c>
      <c r="H1385" s="620">
        <v>49</v>
      </c>
      <c r="I1385" s="154" t="s">
        <v>6257</v>
      </c>
      <c r="J1385" s="621" t="s">
        <v>12651</v>
      </c>
      <c r="K1385" s="621" t="s">
        <v>6209</v>
      </c>
      <c r="L1385" s="621">
        <v>1</v>
      </c>
      <c r="M1385" s="154" t="s">
        <v>12638</v>
      </c>
    </row>
    <row r="1386" spans="1:13" ht="11.1" customHeight="1">
      <c r="A1386" s="154" t="s">
        <v>14460</v>
      </c>
      <c r="B1386" s="297" t="s">
        <v>14048</v>
      </c>
      <c r="C1386" s="617">
        <v>4</v>
      </c>
      <c r="D1386" s="618" t="s">
        <v>9266</v>
      </c>
      <c r="E1386" s="619">
        <v>0</v>
      </c>
      <c r="F1386" s="154" t="s">
        <v>6251</v>
      </c>
      <c r="G1386" s="154" t="s">
        <v>7307</v>
      </c>
      <c r="H1386" s="620">
        <v>59</v>
      </c>
      <c r="I1386" s="154" t="s">
        <v>6257</v>
      </c>
      <c r="J1386" s="621" t="s">
        <v>12674</v>
      </c>
      <c r="K1386" s="621" t="s">
        <v>6209</v>
      </c>
      <c r="L1386" s="621">
        <v>3</v>
      </c>
      <c r="M1386" s="154" t="s">
        <v>12638</v>
      </c>
    </row>
    <row r="1387" spans="1:13" ht="11.1" customHeight="1">
      <c r="A1387" s="154" t="s">
        <v>14461</v>
      </c>
      <c r="B1387" s="297" t="s">
        <v>14048</v>
      </c>
      <c r="C1387" s="617">
        <v>4</v>
      </c>
      <c r="D1387" s="618" t="s">
        <v>9244</v>
      </c>
      <c r="E1387" s="619">
        <v>0</v>
      </c>
      <c r="F1387" s="154" t="s">
        <v>6251</v>
      </c>
      <c r="G1387" s="154" t="s">
        <v>7337</v>
      </c>
      <c r="H1387" s="620">
        <v>60</v>
      </c>
      <c r="I1387" s="154" t="s">
        <v>6257</v>
      </c>
      <c r="J1387" s="621" t="s">
        <v>12631</v>
      </c>
      <c r="K1387" s="621" t="s">
        <v>6209</v>
      </c>
      <c r="L1387" s="621">
        <v>4</v>
      </c>
      <c r="M1387" s="154" t="s">
        <v>6260</v>
      </c>
    </row>
    <row r="1388" spans="1:13" ht="11.1" customHeight="1">
      <c r="A1388" s="154" t="s">
        <v>14462</v>
      </c>
      <c r="B1388" s="297" t="s">
        <v>14048</v>
      </c>
      <c r="C1388" s="617">
        <v>4</v>
      </c>
      <c r="D1388" s="618" t="s">
        <v>9268</v>
      </c>
      <c r="E1388" s="619">
        <v>0</v>
      </c>
      <c r="F1388" s="154" t="s">
        <v>6251</v>
      </c>
      <c r="G1388" s="154" t="s">
        <v>7343</v>
      </c>
      <c r="H1388" s="620">
        <v>52</v>
      </c>
      <c r="I1388" s="154" t="s">
        <v>6257</v>
      </c>
      <c r="J1388" s="621" t="s">
        <v>12651</v>
      </c>
      <c r="K1388" s="621" t="s">
        <v>6209</v>
      </c>
      <c r="L1388" s="621">
        <v>2</v>
      </c>
      <c r="M1388" s="154" t="s">
        <v>12638</v>
      </c>
    </row>
    <row r="1389" spans="1:13" ht="11.1" customHeight="1">
      <c r="A1389" s="154" t="s">
        <v>14463</v>
      </c>
      <c r="B1389" s="297" t="s">
        <v>14048</v>
      </c>
      <c r="C1389" s="617">
        <v>4</v>
      </c>
      <c r="D1389" s="618" t="s">
        <v>9272</v>
      </c>
      <c r="E1389" s="619">
        <v>0</v>
      </c>
      <c r="F1389" s="154" t="s">
        <v>6251</v>
      </c>
      <c r="G1389" s="154" t="s">
        <v>12273</v>
      </c>
      <c r="H1389" s="620">
        <v>66</v>
      </c>
      <c r="I1389" s="154" t="s">
        <v>6257</v>
      </c>
      <c r="J1389" s="621" t="s">
        <v>12631</v>
      </c>
      <c r="K1389" s="621" t="s">
        <v>6209</v>
      </c>
      <c r="L1389" s="621">
        <v>11</v>
      </c>
      <c r="M1389" s="154" t="s">
        <v>12638</v>
      </c>
    </row>
    <row r="1390" spans="1:13" ht="11.1" customHeight="1">
      <c r="A1390" s="154" t="s">
        <v>14464</v>
      </c>
      <c r="B1390" s="297" t="s">
        <v>14048</v>
      </c>
      <c r="C1390" s="617">
        <v>4</v>
      </c>
      <c r="D1390" s="618" t="s">
        <v>9240</v>
      </c>
      <c r="E1390" s="619">
        <v>0</v>
      </c>
      <c r="F1390" s="154" t="s">
        <v>6251</v>
      </c>
      <c r="G1390" s="154" t="s">
        <v>13303</v>
      </c>
      <c r="H1390" s="620">
        <v>66</v>
      </c>
      <c r="I1390" s="154" t="s">
        <v>6257</v>
      </c>
      <c r="J1390" s="621" t="s">
        <v>12651</v>
      </c>
      <c r="K1390" s="621" t="s">
        <v>6209</v>
      </c>
      <c r="L1390" s="621">
        <v>10</v>
      </c>
      <c r="M1390" s="154" t="s">
        <v>12638</v>
      </c>
    </row>
    <row r="1391" spans="1:13" ht="11.1" customHeight="1">
      <c r="A1391" s="154" t="s">
        <v>14465</v>
      </c>
      <c r="B1391" s="297" t="s">
        <v>14048</v>
      </c>
      <c r="C1391" s="617">
        <v>4</v>
      </c>
      <c r="D1391" s="618" t="s">
        <v>9274</v>
      </c>
      <c r="E1391" s="619">
        <v>0</v>
      </c>
      <c r="F1391" s="154" t="s">
        <v>6251</v>
      </c>
      <c r="G1391" s="154" t="s">
        <v>12278</v>
      </c>
      <c r="H1391" s="620">
        <v>59</v>
      </c>
      <c r="I1391" s="154" t="s">
        <v>6257</v>
      </c>
      <c r="J1391" s="621" t="s">
        <v>12635</v>
      </c>
      <c r="K1391" s="621" t="s">
        <v>6209</v>
      </c>
      <c r="L1391" s="621">
        <v>1</v>
      </c>
      <c r="M1391" s="154" t="s">
        <v>12638</v>
      </c>
    </row>
    <row r="1392" spans="1:13" ht="11.1" customHeight="1">
      <c r="A1392" s="154" t="s">
        <v>14466</v>
      </c>
      <c r="B1392" s="297" t="s">
        <v>14048</v>
      </c>
      <c r="C1392" s="617">
        <v>4</v>
      </c>
      <c r="D1392" s="618" t="s">
        <v>9276</v>
      </c>
      <c r="E1392" s="619">
        <v>0</v>
      </c>
      <c r="F1392" s="154" t="s">
        <v>6251</v>
      </c>
      <c r="G1392" s="154" t="s">
        <v>12279</v>
      </c>
      <c r="H1392" s="620">
        <v>51</v>
      </c>
      <c r="I1392" s="154" t="s">
        <v>6257</v>
      </c>
      <c r="J1392" s="621" t="s">
        <v>12617</v>
      </c>
      <c r="K1392" s="621" t="s">
        <v>6283</v>
      </c>
      <c r="L1392" s="621">
        <v>2</v>
      </c>
      <c r="M1392" s="154">
        <v>0</v>
      </c>
    </row>
    <row r="1393" spans="1:16" ht="11.1" customHeight="1">
      <c r="A1393" s="154" t="s">
        <v>14467</v>
      </c>
      <c r="B1393" s="297" t="s">
        <v>14048</v>
      </c>
      <c r="C1393" s="617">
        <v>4</v>
      </c>
      <c r="D1393" s="618" t="s">
        <v>9278</v>
      </c>
      <c r="E1393" s="619">
        <v>0</v>
      </c>
      <c r="F1393" s="154" t="s">
        <v>6251</v>
      </c>
      <c r="G1393" s="154" t="s">
        <v>13319</v>
      </c>
      <c r="H1393" s="620">
        <v>47</v>
      </c>
      <c r="I1393" s="154" t="s">
        <v>6257</v>
      </c>
      <c r="J1393" s="621" t="s">
        <v>12631</v>
      </c>
      <c r="K1393" s="621" t="s">
        <v>6209</v>
      </c>
      <c r="L1393" s="621">
        <v>1</v>
      </c>
      <c r="M1393" s="154" t="s">
        <v>6260</v>
      </c>
    </row>
    <row r="1394" spans="1:16" ht="11.1" customHeight="1">
      <c r="A1394" s="154" t="s">
        <v>14468</v>
      </c>
      <c r="B1394" s="297" t="s">
        <v>14048</v>
      </c>
      <c r="C1394" s="617">
        <v>4</v>
      </c>
      <c r="D1394" s="618" t="s">
        <v>9252</v>
      </c>
      <c r="E1394" s="619">
        <v>0</v>
      </c>
      <c r="F1394" s="154" t="s">
        <v>6251</v>
      </c>
      <c r="G1394" s="154" t="s">
        <v>7400</v>
      </c>
      <c r="H1394" s="620">
        <v>57</v>
      </c>
      <c r="I1394" s="154" t="s">
        <v>6257</v>
      </c>
      <c r="J1394" s="621" t="s">
        <v>12621</v>
      </c>
      <c r="K1394" s="621" t="s">
        <v>6209</v>
      </c>
      <c r="L1394" s="621">
        <v>4</v>
      </c>
      <c r="M1394" s="154" t="s">
        <v>12638</v>
      </c>
    </row>
    <row r="1395" spans="1:16" ht="11.1" customHeight="1">
      <c r="A1395" s="154" t="s">
        <v>14469</v>
      </c>
      <c r="B1395" s="297" t="s">
        <v>14048</v>
      </c>
      <c r="C1395" s="617">
        <v>4</v>
      </c>
      <c r="D1395" s="618" t="s">
        <v>9258</v>
      </c>
      <c r="E1395" s="619">
        <v>0</v>
      </c>
      <c r="F1395" s="154" t="s">
        <v>6251</v>
      </c>
      <c r="G1395" s="154" t="s">
        <v>7428</v>
      </c>
      <c r="H1395" s="620">
        <v>47</v>
      </c>
      <c r="I1395" s="154" t="s">
        <v>6257</v>
      </c>
      <c r="J1395" s="621" t="s">
        <v>12617</v>
      </c>
      <c r="K1395" s="621" t="s">
        <v>6209</v>
      </c>
      <c r="L1395" s="621">
        <v>1</v>
      </c>
      <c r="M1395" s="154" t="s">
        <v>6260</v>
      </c>
    </row>
    <row r="1396" spans="1:16" ht="11.1" customHeight="1">
      <c r="A1396" s="154" t="s">
        <v>14470</v>
      </c>
      <c r="B1396" s="297" t="s">
        <v>14048</v>
      </c>
      <c r="C1396" s="617">
        <v>4</v>
      </c>
      <c r="D1396" s="618" t="s">
        <v>9246</v>
      </c>
      <c r="E1396" s="619">
        <v>0</v>
      </c>
      <c r="F1396" s="154" t="s">
        <v>6251</v>
      </c>
      <c r="G1396" s="154" t="s">
        <v>7436</v>
      </c>
      <c r="H1396" s="620">
        <v>45</v>
      </c>
      <c r="I1396" s="154" t="s">
        <v>6257</v>
      </c>
      <c r="J1396" s="621" t="s">
        <v>12631</v>
      </c>
      <c r="K1396" s="621" t="s">
        <v>6036</v>
      </c>
      <c r="L1396" s="621">
        <v>0</v>
      </c>
      <c r="M1396" s="154" t="s">
        <v>12638</v>
      </c>
    </row>
    <row r="1397" spans="1:16" ht="11.1" customHeight="1">
      <c r="A1397" s="154" t="s">
        <v>14471</v>
      </c>
      <c r="B1397" s="297" t="s">
        <v>12590</v>
      </c>
      <c r="C1397" s="617">
        <v>1</v>
      </c>
      <c r="D1397" s="618" t="s">
        <v>9252</v>
      </c>
      <c r="E1397" s="619">
        <v>0</v>
      </c>
      <c r="F1397" s="154">
        <v>94.71</v>
      </c>
      <c r="G1397" s="154" t="s">
        <v>12282</v>
      </c>
      <c r="H1397" s="620">
        <v>55</v>
      </c>
      <c r="I1397" s="154" t="s">
        <v>6253</v>
      </c>
      <c r="J1397" s="621" t="s">
        <v>12007</v>
      </c>
      <c r="K1397" s="621" t="s">
        <v>6036</v>
      </c>
      <c r="L1397" s="621">
        <v>0</v>
      </c>
      <c r="M1397" s="154" t="s">
        <v>6154</v>
      </c>
      <c r="N1397" s="298">
        <v>5</v>
      </c>
      <c r="O1397" s="298">
        <v>1424537</v>
      </c>
      <c r="P1397" s="298">
        <v>36.863894377140582</v>
      </c>
    </row>
    <row r="1398" spans="1:16" ht="11.1" customHeight="1">
      <c r="A1398" s="154" t="s">
        <v>14472</v>
      </c>
      <c r="B1398" s="297" t="s">
        <v>12590</v>
      </c>
      <c r="C1398" s="617">
        <v>1</v>
      </c>
      <c r="D1398" s="618" t="s">
        <v>9258</v>
      </c>
      <c r="E1398" s="619">
        <v>0</v>
      </c>
      <c r="F1398" s="154">
        <v>71.73</v>
      </c>
      <c r="G1398" s="154" t="s">
        <v>12287</v>
      </c>
      <c r="H1398" s="620">
        <v>61</v>
      </c>
      <c r="I1398" s="154" t="s">
        <v>6253</v>
      </c>
      <c r="J1398" s="621" t="s">
        <v>11994</v>
      </c>
      <c r="K1398" s="621" t="s">
        <v>6209</v>
      </c>
      <c r="L1398" s="621">
        <v>4</v>
      </c>
      <c r="M1398" s="154">
        <v>0</v>
      </c>
    </row>
    <row r="1399" spans="1:16" ht="11.1" customHeight="1">
      <c r="A1399" s="154" t="s">
        <v>14473</v>
      </c>
      <c r="B1399" s="297" t="s">
        <v>12590</v>
      </c>
      <c r="C1399" s="617">
        <v>1</v>
      </c>
      <c r="D1399" s="618" t="s">
        <v>9272</v>
      </c>
      <c r="E1399" s="619">
        <v>0</v>
      </c>
      <c r="F1399" s="154">
        <v>71.650000000000006</v>
      </c>
      <c r="G1399" s="154" t="s">
        <v>12274</v>
      </c>
      <c r="H1399" s="620">
        <v>61</v>
      </c>
      <c r="I1399" s="154" t="s">
        <v>6253</v>
      </c>
      <c r="J1399" s="621" t="s">
        <v>12020</v>
      </c>
      <c r="K1399" s="621" t="s">
        <v>6209</v>
      </c>
      <c r="L1399" s="621">
        <v>2</v>
      </c>
      <c r="M1399" s="154" t="s">
        <v>7918</v>
      </c>
    </row>
    <row r="1400" spans="1:16" ht="11.1" customHeight="1">
      <c r="A1400" s="154" t="s">
        <v>14474</v>
      </c>
      <c r="B1400" s="297" t="s">
        <v>12590</v>
      </c>
      <c r="C1400" s="617">
        <v>1</v>
      </c>
      <c r="D1400" s="618" t="s">
        <v>9276</v>
      </c>
      <c r="E1400" s="619">
        <v>0</v>
      </c>
      <c r="F1400" s="154">
        <v>68.959999999999994</v>
      </c>
      <c r="G1400" s="154" t="s">
        <v>9286</v>
      </c>
      <c r="H1400" s="620">
        <v>58</v>
      </c>
      <c r="I1400" s="154" t="s">
        <v>6253</v>
      </c>
      <c r="J1400" s="621" t="s">
        <v>12007</v>
      </c>
      <c r="K1400" s="621" t="s">
        <v>6036</v>
      </c>
      <c r="L1400" s="621">
        <v>0</v>
      </c>
      <c r="M1400" s="154">
        <v>0</v>
      </c>
    </row>
    <row r="1401" spans="1:16" ht="11.1" customHeight="1">
      <c r="A1401" s="154" t="s">
        <v>14475</v>
      </c>
      <c r="B1401" s="297" t="s">
        <v>12590</v>
      </c>
      <c r="C1401" s="617">
        <v>1</v>
      </c>
      <c r="D1401" s="618" t="s">
        <v>9244</v>
      </c>
      <c r="E1401" s="619">
        <v>0</v>
      </c>
      <c r="F1401" s="154">
        <v>67.37</v>
      </c>
      <c r="G1401" s="154" t="s">
        <v>7335</v>
      </c>
      <c r="H1401" s="620">
        <v>30</v>
      </c>
      <c r="I1401" s="154" t="s">
        <v>6253</v>
      </c>
      <c r="J1401" s="621" t="s">
        <v>12007</v>
      </c>
      <c r="K1401" s="621" t="s">
        <v>6036</v>
      </c>
      <c r="L1401" s="621">
        <v>0</v>
      </c>
      <c r="M1401" s="154" t="s">
        <v>6154</v>
      </c>
    </row>
    <row r="1402" spans="1:16" ht="11.1" customHeight="1">
      <c r="A1402" s="154" t="s">
        <v>14476</v>
      </c>
      <c r="C1402" s="617">
        <v>1</v>
      </c>
      <c r="D1402" s="618" t="s">
        <v>9246</v>
      </c>
      <c r="E1402" s="619">
        <v>0</v>
      </c>
      <c r="F1402" s="154">
        <v>64.94</v>
      </c>
      <c r="G1402" s="154" t="s">
        <v>12485</v>
      </c>
      <c r="H1402" s="620">
        <v>54</v>
      </c>
      <c r="I1402" s="154" t="s">
        <v>6253</v>
      </c>
      <c r="J1402" s="621" t="s">
        <v>11994</v>
      </c>
      <c r="K1402" s="621" t="s">
        <v>6036</v>
      </c>
      <c r="L1402" s="621">
        <v>0</v>
      </c>
      <c r="M1402" s="154">
        <v>0</v>
      </c>
    </row>
    <row r="1403" spans="1:16" ht="11.1" customHeight="1">
      <c r="A1403" s="154" t="s">
        <v>14477</v>
      </c>
      <c r="C1403" s="617">
        <v>1</v>
      </c>
      <c r="D1403" s="618" t="s">
        <v>9240</v>
      </c>
      <c r="E1403" s="619">
        <v>0</v>
      </c>
      <c r="F1403" s="154">
        <v>64.400000000000006</v>
      </c>
      <c r="G1403" s="154" t="s">
        <v>12276</v>
      </c>
      <c r="H1403" s="620">
        <v>58</v>
      </c>
      <c r="I1403" s="154" t="s">
        <v>6253</v>
      </c>
      <c r="J1403" s="621" t="s">
        <v>11989</v>
      </c>
      <c r="K1403" s="621" t="s">
        <v>6209</v>
      </c>
      <c r="L1403" s="621">
        <v>2</v>
      </c>
      <c r="M1403" s="154" t="s">
        <v>7918</v>
      </c>
    </row>
    <row r="1404" spans="1:16" ht="11.1" customHeight="1">
      <c r="A1404" s="154" t="s">
        <v>14478</v>
      </c>
      <c r="C1404" s="617">
        <v>1</v>
      </c>
      <c r="D1404" s="618" t="s">
        <v>9278</v>
      </c>
      <c r="E1404" s="619">
        <v>0</v>
      </c>
      <c r="F1404" s="154">
        <v>58.03</v>
      </c>
      <c r="G1404" s="154" t="s">
        <v>12281</v>
      </c>
      <c r="H1404" s="620">
        <v>53</v>
      </c>
      <c r="I1404" s="154" t="s">
        <v>6253</v>
      </c>
      <c r="J1404" s="621" t="s">
        <v>12007</v>
      </c>
      <c r="K1404" s="621" t="s">
        <v>6036</v>
      </c>
      <c r="L1404" s="621">
        <v>0</v>
      </c>
      <c r="M1404" s="154">
        <v>0</v>
      </c>
    </row>
    <row r="1405" spans="1:16" ht="11.1" customHeight="1">
      <c r="A1405" s="154" t="s">
        <v>14479</v>
      </c>
      <c r="C1405" s="617">
        <v>1</v>
      </c>
      <c r="D1405" s="618" t="s">
        <v>9256</v>
      </c>
      <c r="E1405" s="619">
        <v>0</v>
      </c>
      <c r="F1405" s="154">
        <v>51.77</v>
      </c>
      <c r="G1405" s="154" t="s">
        <v>13255</v>
      </c>
      <c r="H1405" s="620">
        <v>76</v>
      </c>
      <c r="I1405" s="154" t="s">
        <v>6253</v>
      </c>
      <c r="J1405" s="621" t="s">
        <v>11989</v>
      </c>
      <c r="K1405" s="621" t="s">
        <v>6283</v>
      </c>
      <c r="L1405" s="621">
        <v>3</v>
      </c>
      <c r="M1405" s="154">
        <v>0</v>
      </c>
    </row>
    <row r="1406" spans="1:16" ht="11.1" customHeight="1">
      <c r="A1406" s="154" t="s">
        <v>14480</v>
      </c>
      <c r="C1406" s="617">
        <v>1</v>
      </c>
      <c r="D1406" s="618" t="s">
        <v>9268</v>
      </c>
      <c r="E1406" s="619">
        <v>0</v>
      </c>
      <c r="F1406" s="154">
        <v>45.01</v>
      </c>
      <c r="G1406" s="154" t="s">
        <v>12262</v>
      </c>
      <c r="H1406" s="620">
        <v>42</v>
      </c>
      <c r="I1406" s="154" t="s">
        <v>6253</v>
      </c>
      <c r="J1406" s="621" t="s">
        <v>12020</v>
      </c>
      <c r="K1406" s="621" t="s">
        <v>6036</v>
      </c>
      <c r="L1406" s="621">
        <v>0</v>
      </c>
      <c r="M1406" s="154">
        <v>0</v>
      </c>
    </row>
    <row r="1407" spans="1:16" ht="11.1" customHeight="1">
      <c r="A1407" s="154" t="s">
        <v>14481</v>
      </c>
      <c r="C1407" s="617">
        <v>1</v>
      </c>
      <c r="D1407" s="618" t="s">
        <v>9274</v>
      </c>
      <c r="E1407" s="619">
        <v>0</v>
      </c>
      <c r="F1407" s="154">
        <v>29.28</v>
      </c>
      <c r="G1407" s="154" t="s">
        <v>13310</v>
      </c>
      <c r="H1407" s="620">
        <v>32</v>
      </c>
      <c r="I1407" s="154" t="s">
        <v>6253</v>
      </c>
      <c r="J1407" s="621" t="s">
        <v>12007</v>
      </c>
      <c r="K1407" s="621" t="s">
        <v>6036</v>
      </c>
      <c r="L1407" s="621">
        <v>0</v>
      </c>
      <c r="M1407" s="154">
        <v>0</v>
      </c>
    </row>
    <row r="1408" spans="1:16" ht="11.1" customHeight="1">
      <c r="A1408" s="154" t="s">
        <v>14482</v>
      </c>
      <c r="B1408" s="297" t="s">
        <v>14048</v>
      </c>
      <c r="C1408" s="617">
        <v>1</v>
      </c>
      <c r="D1408" s="618" t="s">
        <v>9262</v>
      </c>
      <c r="E1408" s="619">
        <v>0</v>
      </c>
      <c r="F1408" s="154" t="s">
        <v>6251</v>
      </c>
      <c r="G1408" s="154" t="s">
        <v>7289</v>
      </c>
      <c r="H1408" s="620">
        <v>36</v>
      </c>
      <c r="I1408" s="154" t="s">
        <v>6253</v>
      </c>
      <c r="J1408" s="621" t="s">
        <v>12007</v>
      </c>
      <c r="K1408" s="621" t="s">
        <v>6036</v>
      </c>
      <c r="L1408" s="621">
        <v>0</v>
      </c>
      <c r="M1408" s="154" t="s">
        <v>6254</v>
      </c>
    </row>
    <row r="1409" spans="1:16" ht="11.1" customHeight="1">
      <c r="A1409" s="154" t="s">
        <v>14483</v>
      </c>
      <c r="B1409" s="297" t="s">
        <v>14048</v>
      </c>
      <c r="C1409" s="617">
        <v>1</v>
      </c>
      <c r="D1409" s="618" t="s">
        <v>9260</v>
      </c>
      <c r="E1409" s="619">
        <v>0</v>
      </c>
      <c r="F1409" s="154" t="s">
        <v>6251</v>
      </c>
      <c r="G1409" s="154" t="s">
        <v>7311</v>
      </c>
      <c r="H1409" s="620">
        <v>34</v>
      </c>
      <c r="I1409" s="154" t="s">
        <v>6253</v>
      </c>
      <c r="J1409" s="621" t="s">
        <v>12020</v>
      </c>
      <c r="K1409" s="621" t="s">
        <v>6036</v>
      </c>
      <c r="L1409" s="621">
        <v>0</v>
      </c>
      <c r="M1409" s="154" t="s">
        <v>6254</v>
      </c>
    </row>
    <row r="1410" spans="1:16" ht="11.1" customHeight="1">
      <c r="A1410" s="154" t="s">
        <v>14484</v>
      </c>
      <c r="B1410" s="297" t="s">
        <v>14048</v>
      </c>
      <c r="C1410" s="617">
        <v>1</v>
      </c>
      <c r="D1410" s="618" t="s">
        <v>9254</v>
      </c>
      <c r="E1410" s="619">
        <v>0</v>
      </c>
      <c r="F1410" s="154" t="s">
        <v>6251</v>
      </c>
      <c r="G1410" s="154" t="s">
        <v>7327</v>
      </c>
      <c r="H1410" s="620">
        <v>58</v>
      </c>
      <c r="I1410" s="154" t="s">
        <v>6253</v>
      </c>
      <c r="J1410" s="621" t="s">
        <v>11989</v>
      </c>
      <c r="K1410" s="621" t="s">
        <v>6209</v>
      </c>
      <c r="L1410" s="621">
        <v>2</v>
      </c>
      <c r="M1410" s="154" t="s">
        <v>6254</v>
      </c>
    </row>
    <row r="1411" spans="1:16" ht="11.1" customHeight="1">
      <c r="A1411" s="154" t="s">
        <v>14485</v>
      </c>
      <c r="B1411" s="297" t="s">
        <v>14048</v>
      </c>
      <c r="C1411" s="617">
        <v>1</v>
      </c>
      <c r="D1411" s="618" t="s">
        <v>9242</v>
      </c>
      <c r="E1411" s="619">
        <v>0</v>
      </c>
      <c r="F1411" s="154" t="s">
        <v>6251</v>
      </c>
      <c r="G1411" s="154" t="s">
        <v>12272</v>
      </c>
      <c r="H1411" s="620">
        <v>44</v>
      </c>
      <c r="I1411" s="154" t="s">
        <v>6253</v>
      </c>
      <c r="J1411" s="621" t="s">
        <v>11994</v>
      </c>
      <c r="K1411" s="621" t="s">
        <v>6209</v>
      </c>
      <c r="L1411" s="621">
        <v>2</v>
      </c>
      <c r="M1411" s="154" t="s">
        <v>13296</v>
      </c>
    </row>
    <row r="1412" spans="1:16" ht="11.1" customHeight="1">
      <c r="A1412" s="154" t="s">
        <v>14486</v>
      </c>
      <c r="B1412" s="297" t="s">
        <v>14048</v>
      </c>
      <c r="C1412" s="617">
        <v>1</v>
      </c>
      <c r="D1412" s="618" t="s">
        <v>9264</v>
      </c>
      <c r="E1412" s="619">
        <v>0</v>
      </c>
      <c r="F1412" s="154" t="s">
        <v>6251</v>
      </c>
      <c r="G1412" s="154" t="s">
        <v>7406</v>
      </c>
      <c r="H1412" s="620">
        <v>47</v>
      </c>
      <c r="I1412" s="154" t="s">
        <v>6253</v>
      </c>
      <c r="J1412" s="621" t="s">
        <v>12007</v>
      </c>
      <c r="K1412" s="621" t="s">
        <v>6036</v>
      </c>
      <c r="L1412" s="621">
        <v>0</v>
      </c>
      <c r="M1412" s="154">
        <v>0</v>
      </c>
    </row>
    <row r="1413" spans="1:16" ht="11.1" customHeight="1">
      <c r="A1413" s="154" t="s">
        <v>14487</v>
      </c>
      <c r="B1413" s="297" t="s">
        <v>14048</v>
      </c>
      <c r="C1413" s="617">
        <v>1</v>
      </c>
      <c r="D1413" s="618" t="s">
        <v>9250</v>
      </c>
      <c r="E1413" s="619">
        <v>0</v>
      </c>
      <c r="F1413" s="154" t="s">
        <v>6251</v>
      </c>
      <c r="G1413" s="154" t="s">
        <v>12286</v>
      </c>
      <c r="H1413" s="620">
        <v>68</v>
      </c>
      <c r="I1413" s="154" t="s">
        <v>6253</v>
      </c>
      <c r="J1413" s="621" t="s">
        <v>11994</v>
      </c>
      <c r="K1413" s="621" t="s">
        <v>6209</v>
      </c>
      <c r="L1413" s="621">
        <v>11</v>
      </c>
      <c r="M1413" s="154">
        <v>0</v>
      </c>
    </row>
    <row r="1414" spans="1:16" ht="11.1" customHeight="1">
      <c r="A1414" s="154" t="s">
        <v>14488</v>
      </c>
      <c r="B1414" s="297" t="s">
        <v>12590</v>
      </c>
      <c r="C1414" s="617">
        <v>1</v>
      </c>
      <c r="D1414" s="618" t="s">
        <v>8608</v>
      </c>
      <c r="E1414" s="619">
        <v>0</v>
      </c>
      <c r="F1414" s="154" t="s">
        <v>6262</v>
      </c>
      <c r="G1414" s="154" t="s">
        <v>9305</v>
      </c>
      <c r="H1414" s="620">
        <v>58</v>
      </c>
      <c r="I1414" s="154" t="s">
        <v>6929</v>
      </c>
      <c r="J1414" s="621">
        <v>0</v>
      </c>
      <c r="K1414" s="621" t="s">
        <v>6209</v>
      </c>
      <c r="L1414" s="621">
        <v>2</v>
      </c>
      <c r="M1414" s="154">
        <v>0</v>
      </c>
      <c r="N1414" s="298">
        <v>1</v>
      </c>
      <c r="O1414" s="298">
        <v>390921</v>
      </c>
      <c r="P1414" s="298">
        <v>10.116178417132144</v>
      </c>
    </row>
    <row r="1415" spans="1:16" ht="11.1" customHeight="1">
      <c r="A1415" s="154" t="s">
        <v>14489</v>
      </c>
      <c r="C1415" s="617">
        <v>2</v>
      </c>
      <c r="D1415" s="618" t="s">
        <v>8608</v>
      </c>
      <c r="E1415" s="619">
        <v>0</v>
      </c>
      <c r="F1415" s="154" t="s">
        <v>6262</v>
      </c>
      <c r="G1415" s="154" t="s">
        <v>14490</v>
      </c>
      <c r="H1415" s="620">
        <v>35</v>
      </c>
      <c r="I1415" s="154" t="s">
        <v>6929</v>
      </c>
      <c r="J1415" s="621">
        <v>0</v>
      </c>
      <c r="K1415" s="621" t="s">
        <v>6036</v>
      </c>
      <c r="L1415" s="621">
        <v>0</v>
      </c>
      <c r="M1415" s="154">
        <v>0</v>
      </c>
    </row>
    <row r="1416" spans="1:16" ht="11.1" customHeight="1">
      <c r="A1416" s="154" t="s">
        <v>14491</v>
      </c>
      <c r="C1416" s="617">
        <v>1</v>
      </c>
      <c r="D1416" s="618" t="s">
        <v>8608</v>
      </c>
      <c r="E1416" s="619">
        <v>0</v>
      </c>
      <c r="F1416" s="154" t="s">
        <v>6262</v>
      </c>
      <c r="G1416" s="154" t="s">
        <v>14492</v>
      </c>
      <c r="H1416" s="620">
        <v>57</v>
      </c>
      <c r="I1416" s="154" t="s">
        <v>6264</v>
      </c>
      <c r="J1416" s="621">
        <v>0</v>
      </c>
      <c r="K1416" s="621" t="s">
        <v>6209</v>
      </c>
      <c r="L1416" s="621">
        <v>3</v>
      </c>
      <c r="M1416" s="154">
        <v>0</v>
      </c>
      <c r="N1416" s="298">
        <v>0</v>
      </c>
      <c r="O1416" s="298">
        <v>278939</v>
      </c>
      <c r="P1416" s="298">
        <v>7.2183297686653392</v>
      </c>
    </row>
    <row r="1417" spans="1:16" ht="11.1" customHeight="1">
      <c r="A1417" s="154" t="s">
        <v>14493</v>
      </c>
      <c r="B1417" s="297" t="s">
        <v>6231</v>
      </c>
      <c r="C1417" s="617">
        <v>2</v>
      </c>
      <c r="D1417" s="618" t="s">
        <v>9262</v>
      </c>
      <c r="E1417" s="619">
        <v>0</v>
      </c>
      <c r="F1417" s="154">
        <v>15.2</v>
      </c>
      <c r="G1417" s="154" t="s">
        <v>12253</v>
      </c>
      <c r="H1417" s="620">
        <v>48</v>
      </c>
      <c r="I1417" s="154" t="s">
        <v>6264</v>
      </c>
      <c r="J1417" s="621">
        <v>0</v>
      </c>
      <c r="K1417" s="621" t="s">
        <v>6036</v>
      </c>
      <c r="L1417" s="621">
        <v>0</v>
      </c>
      <c r="M1417" s="154">
        <v>0</v>
      </c>
    </row>
    <row r="1418" spans="1:16" ht="11.1" customHeight="1">
      <c r="A1418" s="154" t="s">
        <v>14494</v>
      </c>
      <c r="B1418" s="297" t="s">
        <v>6231</v>
      </c>
      <c r="C1418" s="617">
        <v>3</v>
      </c>
      <c r="D1418" s="618" t="s">
        <v>9274</v>
      </c>
      <c r="E1418" s="619">
        <v>0</v>
      </c>
      <c r="F1418" s="154">
        <v>11.41</v>
      </c>
      <c r="G1418" s="154" t="s">
        <v>7383</v>
      </c>
      <c r="H1418" s="620">
        <v>45</v>
      </c>
      <c r="I1418" s="154" t="s">
        <v>6264</v>
      </c>
      <c r="J1418" s="621">
        <v>0</v>
      </c>
      <c r="K1418" s="621" t="s">
        <v>6036</v>
      </c>
      <c r="L1418" s="621">
        <v>0</v>
      </c>
      <c r="M1418" s="154">
        <v>0</v>
      </c>
    </row>
    <row r="1419" spans="1:16" ht="11.1" customHeight="1">
      <c r="A1419" s="154" t="s">
        <v>14495</v>
      </c>
      <c r="C1419" s="617">
        <v>1</v>
      </c>
      <c r="D1419" s="618" t="s">
        <v>9266</v>
      </c>
      <c r="E1419" s="619">
        <v>0</v>
      </c>
      <c r="F1419" s="154">
        <v>64.680000000000007</v>
      </c>
      <c r="G1419" s="154" t="s">
        <v>13262</v>
      </c>
      <c r="H1419" s="620">
        <v>60</v>
      </c>
      <c r="I1419" s="154" t="s">
        <v>6278</v>
      </c>
      <c r="J1419" s="621">
        <v>0</v>
      </c>
      <c r="K1419" s="621" t="s">
        <v>6036</v>
      </c>
      <c r="L1419" s="621">
        <v>0</v>
      </c>
      <c r="M1419" s="154" t="s">
        <v>6481</v>
      </c>
      <c r="N1419" s="298">
        <v>0</v>
      </c>
      <c r="O1419" s="298">
        <v>267096</v>
      </c>
      <c r="P1419" s="298">
        <v>6.9118588934908258</v>
      </c>
    </row>
    <row r="1420" spans="1:16" ht="11.1" customHeight="1">
      <c r="A1420" s="154" t="s">
        <v>14496</v>
      </c>
      <c r="C1420" s="617">
        <v>1</v>
      </c>
      <c r="D1420" s="618" t="s">
        <v>9258</v>
      </c>
      <c r="E1420" s="619">
        <v>0</v>
      </c>
      <c r="F1420" s="154">
        <v>37.119999999999997</v>
      </c>
      <c r="G1420" s="154" t="s">
        <v>13338</v>
      </c>
      <c r="H1420" s="620">
        <v>67</v>
      </c>
      <c r="I1420" s="154" t="s">
        <v>6278</v>
      </c>
      <c r="J1420" s="621">
        <v>0</v>
      </c>
      <c r="K1420" s="621" t="s">
        <v>6036</v>
      </c>
      <c r="L1420" s="621">
        <v>0</v>
      </c>
      <c r="M1420" s="154">
        <v>0</v>
      </c>
    </row>
    <row r="1421" spans="1:16" ht="11.1" customHeight="1">
      <c r="A1421" s="154" t="s">
        <v>14497</v>
      </c>
      <c r="C1421" s="617">
        <v>1</v>
      </c>
      <c r="D1421" s="618" t="s">
        <v>9270</v>
      </c>
      <c r="E1421" s="619">
        <v>0</v>
      </c>
      <c r="F1421" s="154">
        <v>32.43</v>
      </c>
      <c r="G1421" s="154" t="s">
        <v>12269</v>
      </c>
      <c r="H1421" s="620">
        <v>56</v>
      </c>
      <c r="I1421" s="154" t="s">
        <v>6278</v>
      </c>
      <c r="J1421" s="621">
        <v>0</v>
      </c>
      <c r="K1421" s="621" t="s">
        <v>6036</v>
      </c>
      <c r="L1421" s="621">
        <v>0</v>
      </c>
      <c r="M1421" s="154">
        <v>0</v>
      </c>
    </row>
    <row r="1422" spans="1:16" ht="11.1" customHeight="1">
      <c r="A1422" s="154" t="s">
        <v>14498</v>
      </c>
      <c r="C1422" s="617">
        <v>1</v>
      </c>
      <c r="D1422" s="618" t="s">
        <v>9264</v>
      </c>
      <c r="E1422" s="619">
        <v>0</v>
      </c>
      <c r="F1422" s="154">
        <v>24.78</v>
      </c>
      <c r="G1422" s="154" t="s">
        <v>12284</v>
      </c>
      <c r="H1422" s="620">
        <v>68</v>
      </c>
      <c r="I1422" s="154" t="s">
        <v>6278</v>
      </c>
      <c r="J1422" s="621">
        <v>0</v>
      </c>
      <c r="K1422" s="621" t="s">
        <v>6209</v>
      </c>
      <c r="L1422" s="621">
        <v>1</v>
      </c>
      <c r="M1422" s="154">
        <v>0</v>
      </c>
    </row>
    <row r="1423" spans="1:16" ht="11.1" customHeight="1">
      <c r="A1423" s="154" t="s">
        <v>14499</v>
      </c>
      <c r="B1423" s="297" t="s">
        <v>6231</v>
      </c>
      <c r="C1423" s="617">
        <v>1</v>
      </c>
      <c r="D1423" s="618" t="s">
        <v>9268</v>
      </c>
      <c r="E1423" s="619">
        <v>0</v>
      </c>
      <c r="F1423" s="154">
        <v>14.7</v>
      </c>
      <c r="G1423" s="154" t="s">
        <v>13289</v>
      </c>
      <c r="H1423" s="620">
        <v>54</v>
      </c>
      <c r="I1423" s="154" t="s">
        <v>6278</v>
      </c>
      <c r="J1423" s="621">
        <v>0</v>
      </c>
      <c r="K1423" s="621" t="s">
        <v>6036</v>
      </c>
      <c r="L1423" s="621">
        <v>0</v>
      </c>
      <c r="M1423" s="154">
        <v>0</v>
      </c>
    </row>
    <row r="1424" spans="1:16" ht="11.1" customHeight="1">
      <c r="A1424" s="154" t="s">
        <v>14500</v>
      </c>
      <c r="B1424" s="297" t="s">
        <v>12590</v>
      </c>
      <c r="C1424" s="617">
        <v>1</v>
      </c>
      <c r="D1424" s="618" t="s">
        <v>8608</v>
      </c>
      <c r="E1424" s="619" t="s">
        <v>14052</v>
      </c>
      <c r="F1424" s="154" t="s">
        <v>6262</v>
      </c>
      <c r="G1424" s="154" t="s">
        <v>7464</v>
      </c>
      <c r="H1424" s="620">
        <v>60</v>
      </c>
      <c r="I1424" s="154" t="s">
        <v>6257</v>
      </c>
      <c r="J1424" s="621" t="s">
        <v>12651</v>
      </c>
      <c r="K1424" s="621" t="s">
        <v>6209</v>
      </c>
      <c r="L1424" s="621">
        <v>5</v>
      </c>
      <c r="M1424" s="154">
        <v>0</v>
      </c>
      <c r="N1424" s="298">
        <v>8</v>
      </c>
      <c r="O1424" s="298">
        <v>2436791</v>
      </c>
      <c r="P1424" s="298">
        <v>34.583478862743192</v>
      </c>
    </row>
    <row r="1425" spans="1:13" ht="11.1" customHeight="1">
      <c r="A1425" s="154" t="s">
        <v>14501</v>
      </c>
      <c r="B1425" s="297" t="s">
        <v>12590</v>
      </c>
      <c r="C1425" s="617">
        <v>2</v>
      </c>
      <c r="D1425" s="618" t="s">
        <v>8608</v>
      </c>
      <c r="E1425" s="619">
        <v>0</v>
      </c>
      <c r="F1425" s="154" t="s">
        <v>6262</v>
      </c>
      <c r="G1425" s="154" t="s">
        <v>7510</v>
      </c>
      <c r="H1425" s="620">
        <v>64</v>
      </c>
      <c r="I1425" s="154" t="s">
        <v>6257</v>
      </c>
      <c r="J1425" s="621" t="s">
        <v>12621</v>
      </c>
      <c r="K1425" s="621" t="s">
        <v>6209</v>
      </c>
      <c r="L1425" s="621">
        <v>1</v>
      </c>
      <c r="M1425" s="154">
        <v>0</v>
      </c>
    </row>
    <row r="1426" spans="1:13" ht="11.1" customHeight="1">
      <c r="A1426" s="154" t="s">
        <v>14502</v>
      </c>
      <c r="B1426" s="297" t="s">
        <v>12590</v>
      </c>
      <c r="C1426" s="617">
        <v>3</v>
      </c>
      <c r="D1426" s="618" t="s">
        <v>8608</v>
      </c>
      <c r="E1426" s="619" t="s">
        <v>14052</v>
      </c>
      <c r="F1426" s="154" t="s">
        <v>6262</v>
      </c>
      <c r="G1426" s="154" t="s">
        <v>7582</v>
      </c>
      <c r="H1426" s="620">
        <v>45</v>
      </c>
      <c r="I1426" s="154" t="s">
        <v>6257</v>
      </c>
      <c r="J1426" s="621" t="s">
        <v>12631</v>
      </c>
      <c r="K1426" s="621" t="s">
        <v>6036</v>
      </c>
      <c r="L1426" s="621">
        <v>0</v>
      </c>
      <c r="M1426" s="154">
        <v>0</v>
      </c>
    </row>
    <row r="1427" spans="1:13" ht="11.1" customHeight="1">
      <c r="A1427" s="154" t="s">
        <v>14503</v>
      </c>
      <c r="B1427" s="297" t="s">
        <v>12590</v>
      </c>
      <c r="C1427" s="617">
        <v>4</v>
      </c>
      <c r="D1427" s="618" t="s">
        <v>9385</v>
      </c>
      <c r="E1427" s="619">
        <v>0</v>
      </c>
      <c r="F1427" s="154">
        <v>50.9</v>
      </c>
      <c r="G1427" s="154" t="s">
        <v>7652</v>
      </c>
      <c r="H1427" s="620">
        <v>55</v>
      </c>
      <c r="I1427" s="154" t="s">
        <v>6257</v>
      </c>
      <c r="J1427" s="621" t="s">
        <v>12621</v>
      </c>
      <c r="K1427" s="621" t="s">
        <v>6036</v>
      </c>
      <c r="L1427" s="621">
        <v>0</v>
      </c>
      <c r="M1427" s="154">
        <v>0</v>
      </c>
    </row>
    <row r="1428" spans="1:13" ht="11.1" customHeight="1">
      <c r="A1428" s="154" t="s">
        <v>14504</v>
      </c>
      <c r="B1428" s="297" t="s">
        <v>12590</v>
      </c>
      <c r="C1428" s="617">
        <v>5</v>
      </c>
      <c r="D1428" s="618" t="s">
        <v>9357</v>
      </c>
      <c r="E1428" s="619">
        <v>0</v>
      </c>
      <c r="F1428" s="154">
        <v>94.74</v>
      </c>
      <c r="G1428" s="154" t="s">
        <v>7504</v>
      </c>
      <c r="H1428" s="620">
        <v>58</v>
      </c>
      <c r="I1428" s="154" t="s">
        <v>6257</v>
      </c>
      <c r="J1428" s="621" t="s">
        <v>12621</v>
      </c>
      <c r="K1428" s="621" t="s">
        <v>6209</v>
      </c>
      <c r="L1428" s="621">
        <v>5</v>
      </c>
      <c r="M1428" s="154" t="s">
        <v>12638</v>
      </c>
    </row>
    <row r="1429" spans="1:13" ht="11.1" customHeight="1">
      <c r="A1429" s="154" t="s">
        <v>14505</v>
      </c>
      <c r="B1429" s="297" t="s">
        <v>12590</v>
      </c>
      <c r="C1429" s="617">
        <v>5</v>
      </c>
      <c r="D1429" s="618" t="s">
        <v>9377</v>
      </c>
      <c r="E1429" s="619">
        <v>0</v>
      </c>
      <c r="F1429" s="154">
        <v>93.91</v>
      </c>
      <c r="G1429" s="154" t="s">
        <v>13420</v>
      </c>
      <c r="H1429" s="620">
        <v>42</v>
      </c>
      <c r="I1429" s="154" t="s">
        <v>6257</v>
      </c>
      <c r="J1429" s="621" t="s">
        <v>12617</v>
      </c>
      <c r="K1429" s="621" t="s">
        <v>6036</v>
      </c>
      <c r="L1429" s="621">
        <v>0</v>
      </c>
      <c r="M1429" s="154" t="s">
        <v>6260</v>
      </c>
    </row>
    <row r="1430" spans="1:13" ht="11.1" customHeight="1">
      <c r="A1430" s="154" t="s">
        <v>14506</v>
      </c>
      <c r="B1430" s="297" t="s">
        <v>12590</v>
      </c>
      <c r="C1430" s="617">
        <v>5</v>
      </c>
      <c r="D1430" s="618" t="s">
        <v>9369</v>
      </c>
      <c r="E1430" s="619">
        <v>0</v>
      </c>
      <c r="F1430" s="154">
        <v>91.4</v>
      </c>
      <c r="G1430" s="154" t="s">
        <v>13433</v>
      </c>
      <c r="H1430" s="620">
        <v>62</v>
      </c>
      <c r="I1430" s="154" t="s">
        <v>6257</v>
      </c>
      <c r="J1430" s="621" t="s">
        <v>12635</v>
      </c>
      <c r="K1430" s="621" t="s">
        <v>6209</v>
      </c>
      <c r="L1430" s="621">
        <v>8</v>
      </c>
      <c r="M1430" s="154" t="s">
        <v>12622</v>
      </c>
    </row>
    <row r="1431" spans="1:13" ht="11.1" customHeight="1">
      <c r="A1431" s="154" t="s">
        <v>14507</v>
      </c>
      <c r="B1431" s="297" t="s">
        <v>12590</v>
      </c>
      <c r="C1431" s="617">
        <v>5</v>
      </c>
      <c r="D1431" s="618" t="s">
        <v>9349</v>
      </c>
      <c r="E1431" s="619">
        <v>0</v>
      </c>
      <c r="F1431" s="154">
        <v>90.22</v>
      </c>
      <c r="G1431" s="154" t="s">
        <v>7476</v>
      </c>
      <c r="H1431" s="620">
        <v>50</v>
      </c>
      <c r="I1431" s="154" t="s">
        <v>6257</v>
      </c>
      <c r="J1431" s="621" t="s">
        <v>12651</v>
      </c>
      <c r="K1431" s="621" t="s">
        <v>6209</v>
      </c>
      <c r="L1431" s="621">
        <v>1</v>
      </c>
      <c r="M1431" s="154" t="s">
        <v>12622</v>
      </c>
    </row>
    <row r="1432" spans="1:13" ht="11.1" customHeight="1">
      <c r="A1432" s="154" t="s">
        <v>14508</v>
      </c>
      <c r="C1432" s="617">
        <v>5</v>
      </c>
      <c r="D1432" s="618" t="s">
        <v>9371</v>
      </c>
      <c r="E1432" s="619">
        <v>0</v>
      </c>
      <c r="F1432" s="154">
        <v>86.89</v>
      </c>
      <c r="G1432" s="154" t="s">
        <v>12321</v>
      </c>
      <c r="H1432" s="620">
        <v>48</v>
      </c>
      <c r="I1432" s="154" t="s">
        <v>6257</v>
      </c>
      <c r="J1432" s="621" t="s">
        <v>12621</v>
      </c>
      <c r="K1432" s="621" t="s">
        <v>6209</v>
      </c>
      <c r="L1432" s="621">
        <v>2</v>
      </c>
      <c r="M1432" s="154" t="s">
        <v>6260</v>
      </c>
    </row>
    <row r="1433" spans="1:13" ht="11.1" customHeight="1">
      <c r="A1433" s="154" t="s">
        <v>14509</v>
      </c>
      <c r="C1433" s="617">
        <v>5</v>
      </c>
      <c r="D1433" s="618" t="s">
        <v>9365</v>
      </c>
      <c r="E1433" s="619">
        <v>0</v>
      </c>
      <c r="F1433" s="154">
        <v>82.89</v>
      </c>
      <c r="G1433" s="154" t="s">
        <v>13463</v>
      </c>
      <c r="H1433" s="620">
        <v>65</v>
      </c>
      <c r="I1433" s="154" t="s">
        <v>6257</v>
      </c>
      <c r="J1433" s="621" t="s">
        <v>12975</v>
      </c>
      <c r="K1433" s="621" t="s">
        <v>6209</v>
      </c>
      <c r="L1433" s="621">
        <v>3</v>
      </c>
      <c r="M1433" s="154" t="s">
        <v>12638</v>
      </c>
    </row>
    <row r="1434" spans="1:13" ht="11.1" customHeight="1">
      <c r="A1434" s="154" t="s">
        <v>14510</v>
      </c>
      <c r="C1434" s="617">
        <v>5</v>
      </c>
      <c r="D1434" s="618" t="s">
        <v>9363</v>
      </c>
      <c r="E1434" s="619">
        <v>0</v>
      </c>
      <c r="F1434" s="154">
        <v>82.54</v>
      </c>
      <c r="G1434" s="154" t="s">
        <v>7572</v>
      </c>
      <c r="H1434" s="620">
        <v>30</v>
      </c>
      <c r="I1434" s="154" t="s">
        <v>6257</v>
      </c>
      <c r="J1434" s="621" t="s">
        <v>12028</v>
      </c>
      <c r="K1434" s="621" t="s">
        <v>6036</v>
      </c>
      <c r="L1434" s="621">
        <v>0</v>
      </c>
      <c r="M1434" s="154">
        <v>0</v>
      </c>
    </row>
    <row r="1435" spans="1:13" ht="11.1" customHeight="1">
      <c r="A1435" s="154" t="s">
        <v>14511</v>
      </c>
      <c r="C1435" s="617">
        <v>5</v>
      </c>
      <c r="D1435" s="618" t="s">
        <v>9379</v>
      </c>
      <c r="E1435" s="619">
        <v>0</v>
      </c>
      <c r="F1435" s="154">
        <v>74.2</v>
      </c>
      <c r="G1435" s="154" t="s">
        <v>13391</v>
      </c>
      <c r="H1435" s="620">
        <v>54</v>
      </c>
      <c r="I1435" s="154" t="s">
        <v>6257</v>
      </c>
      <c r="J1435" s="621" t="s">
        <v>12975</v>
      </c>
      <c r="K1435" s="621" t="s">
        <v>6283</v>
      </c>
      <c r="L1435" s="621">
        <v>2</v>
      </c>
      <c r="M1435" s="154">
        <v>0</v>
      </c>
    </row>
    <row r="1436" spans="1:13" ht="11.1" customHeight="1">
      <c r="A1436" s="154" t="s">
        <v>14512</v>
      </c>
      <c r="C1436" s="617">
        <v>5</v>
      </c>
      <c r="D1436" s="618" t="s">
        <v>9381</v>
      </c>
      <c r="E1436" s="619">
        <v>0</v>
      </c>
      <c r="F1436" s="154">
        <v>68.59</v>
      </c>
      <c r="G1436" s="154" t="s">
        <v>13416</v>
      </c>
      <c r="H1436" s="620">
        <v>42</v>
      </c>
      <c r="I1436" s="154" t="s">
        <v>6257</v>
      </c>
      <c r="J1436" s="621" t="s">
        <v>12635</v>
      </c>
      <c r="K1436" s="621" t="s">
        <v>6209</v>
      </c>
      <c r="L1436" s="621">
        <v>2</v>
      </c>
      <c r="M1436" s="154" t="s">
        <v>12638</v>
      </c>
    </row>
    <row r="1437" spans="1:13" ht="11.1" customHeight="1">
      <c r="A1437" s="154" t="s">
        <v>14513</v>
      </c>
      <c r="C1437" s="617">
        <v>5</v>
      </c>
      <c r="D1437" s="618" t="s">
        <v>9359</v>
      </c>
      <c r="E1437" s="619">
        <v>0</v>
      </c>
      <c r="F1437" s="154">
        <v>66.55</v>
      </c>
      <c r="G1437" s="154" t="s">
        <v>13407</v>
      </c>
      <c r="H1437" s="620">
        <v>59</v>
      </c>
      <c r="I1437" s="154" t="s">
        <v>6257</v>
      </c>
      <c r="J1437" s="621" t="s">
        <v>12621</v>
      </c>
      <c r="K1437" s="621" t="s">
        <v>6209</v>
      </c>
      <c r="L1437" s="621">
        <v>1</v>
      </c>
      <c r="M1437" s="154" t="s">
        <v>6260</v>
      </c>
    </row>
    <row r="1438" spans="1:13" ht="11.1" customHeight="1">
      <c r="A1438" s="154" t="s">
        <v>14514</v>
      </c>
      <c r="C1438" s="617">
        <v>5</v>
      </c>
      <c r="D1438" s="618" t="s">
        <v>9387</v>
      </c>
      <c r="E1438" s="619">
        <v>0</v>
      </c>
      <c r="F1438" s="154">
        <v>48.82</v>
      </c>
      <c r="G1438" s="154" t="s">
        <v>13411</v>
      </c>
      <c r="H1438" s="620">
        <v>30</v>
      </c>
      <c r="I1438" s="154" t="s">
        <v>6257</v>
      </c>
      <c r="J1438" s="621" t="s">
        <v>12617</v>
      </c>
      <c r="K1438" s="621" t="s">
        <v>6036</v>
      </c>
      <c r="L1438" s="621">
        <v>0</v>
      </c>
      <c r="M1438" s="154">
        <v>0</v>
      </c>
    </row>
    <row r="1439" spans="1:13" ht="11.1" customHeight="1">
      <c r="A1439" s="154" t="s">
        <v>14515</v>
      </c>
      <c r="C1439" s="617">
        <v>5</v>
      </c>
      <c r="D1439" s="618" t="s">
        <v>9373</v>
      </c>
      <c r="E1439" s="619">
        <v>0</v>
      </c>
      <c r="F1439" s="154">
        <v>34.369999999999997</v>
      </c>
      <c r="G1439" s="154" t="s">
        <v>13476</v>
      </c>
      <c r="H1439" s="620">
        <v>42</v>
      </c>
      <c r="I1439" s="154" t="s">
        <v>6257</v>
      </c>
      <c r="J1439" s="621" t="s">
        <v>12617</v>
      </c>
      <c r="K1439" s="621" t="s">
        <v>6036</v>
      </c>
      <c r="L1439" s="621">
        <v>0</v>
      </c>
      <c r="M1439" s="154">
        <v>0</v>
      </c>
    </row>
    <row r="1440" spans="1:13" ht="11.1" customHeight="1">
      <c r="A1440" s="154" t="s">
        <v>14516</v>
      </c>
      <c r="C1440" s="617">
        <v>30</v>
      </c>
      <c r="D1440" s="618" t="s">
        <v>8608</v>
      </c>
      <c r="E1440" s="619">
        <v>0</v>
      </c>
      <c r="F1440" s="154" t="s">
        <v>6262</v>
      </c>
      <c r="G1440" s="154" t="s">
        <v>14517</v>
      </c>
      <c r="H1440" s="620">
        <v>49</v>
      </c>
      <c r="I1440" s="154" t="s">
        <v>6257</v>
      </c>
      <c r="J1440" s="621" t="s">
        <v>12975</v>
      </c>
      <c r="K1440" s="621" t="s">
        <v>6036</v>
      </c>
      <c r="L1440" s="621">
        <v>0</v>
      </c>
      <c r="M1440" s="154">
        <v>0</v>
      </c>
    </row>
    <row r="1441" spans="1:16" ht="11.1" customHeight="1">
      <c r="A1441" s="154" t="s">
        <v>14518</v>
      </c>
      <c r="C1441" s="617">
        <v>31</v>
      </c>
      <c r="D1441" s="618" t="s">
        <v>8608</v>
      </c>
      <c r="E1441" s="619">
        <v>0</v>
      </c>
      <c r="F1441" s="154" t="s">
        <v>6262</v>
      </c>
      <c r="G1441" s="154" t="s">
        <v>14519</v>
      </c>
      <c r="H1441" s="620">
        <v>38</v>
      </c>
      <c r="I1441" s="154" t="s">
        <v>6257</v>
      </c>
      <c r="J1441" s="621" t="s">
        <v>12617</v>
      </c>
      <c r="K1441" s="621" t="s">
        <v>6036</v>
      </c>
      <c r="L1441" s="621">
        <v>0</v>
      </c>
      <c r="M1441" s="154">
        <v>0</v>
      </c>
    </row>
    <row r="1442" spans="1:16" ht="11.1" customHeight="1">
      <c r="A1442" s="154" t="s">
        <v>14520</v>
      </c>
      <c r="C1442" s="617">
        <v>32</v>
      </c>
      <c r="D1442" s="618" t="s">
        <v>8608</v>
      </c>
      <c r="E1442" s="619">
        <v>0</v>
      </c>
      <c r="F1442" s="154" t="s">
        <v>6262</v>
      </c>
      <c r="G1442" s="154" t="s">
        <v>14521</v>
      </c>
      <c r="H1442" s="620">
        <v>33</v>
      </c>
      <c r="I1442" s="154" t="s">
        <v>6257</v>
      </c>
      <c r="J1442" s="621" t="s">
        <v>12635</v>
      </c>
      <c r="K1442" s="621" t="s">
        <v>6036</v>
      </c>
      <c r="L1442" s="621">
        <v>0</v>
      </c>
      <c r="M1442" s="154">
        <v>0</v>
      </c>
    </row>
    <row r="1443" spans="1:16" ht="11.1" customHeight="1">
      <c r="A1443" s="154" t="s">
        <v>14522</v>
      </c>
      <c r="B1443" s="297" t="s">
        <v>14048</v>
      </c>
      <c r="C1443" s="617">
        <v>5</v>
      </c>
      <c r="D1443" s="618" t="s">
        <v>9339</v>
      </c>
      <c r="E1443" s="619">
        <v>0</v>
      </c>
      <c r="F1443" s="154" t="s">
        <v>6251</v>
      </c>
      <c r="G1443" s="154" t="s">
        <v>7446</v>
      </c>
      <c r="H1443" s="620">
        <v>43</v>
      </c>
      <c r="I1443" s="154" t="s">
        <v>6257</v>
      </c>
      <c r="J1443" s="621" t="s">
        <v>12028</v>
      </c>
      <c r="K1443" s="621" t="s">
        <v>6209</v>
      </c>
      <c r="L1443" s="621">
        <v>3</v>
      </c>
      <c r="M1443" s="154" t="s">
        <v>12638</v>
      </c>
    </row>
    <row r="1444" spans="1:16" ht="11.1" customHeight="1">
      <c r="A1444" s="154" t="s">
        <v>14523</v>
      </c>
      <c r="B1444" s="297" t="s">
        <v>14048</v>
      </c>
      <c r="C1444" s="617">
        <v>5</v>
      </c>
      <c r="D1444" s="618" t="s">
        <v>9389</v>
      </c>
      <c r="E1444" s="619">
        <v>0</v>
      </c>
      <c r="F1444" s="154" t="s">
        <v>6251</v>
      </c>
      <c r="G1444" s="154" t="s">
        <v>7452</v>
      </c>
      <c r="H1444" s="620">
        <v>40</v>
      </c>
      <c r="I1444" s="154" t="s">
        <v>6257</v>
      </c>
      <c r="J1444" s="621" t="s">
        <v>12621</v>
      </c>
      <c r="K1444" s="621" t="s">
        <v>6209</v>
      </c>
      <c r="L1444" s="621">
        <v>2</v>
      </c>
      <c r="M1444" s="154" t="s">
        <v>12638</v>
      </c>
    </row>
    <row r="1445" spans="1:16" ht="11.1" customHeight="1">
      <c r="A1445" s="154" t="s">
        <v>14524</v>
      </c>
      <c r="B1445" s="297" t="s">
        <v>14048</v>
      </c>
      <c r="C1445" s="617">
        <v>5</v>
      </c>
      <c r="D1445" s="618" t="s">
        <v>9391</v>
      </c>
      <c r="E1445" s="619">
        <v>0</v>
      </c>
      <c r="F1445" s="154" t="s">
        <v>6251</v>
      </c>
      <c r="G1445" s="154" t="s">
        <v>12295</v>
      </c>
      <c r="H1445" s="620">
        <v>60</v>
      </c>
      <c r="I1445" s="154" t="s">
        <v>6257</v>
      </c>
      <c r="J1445" s="621" t="s">
        <v>12621</v>
      </c>
      <c r="K1445" s="621" t="s">
        <v>6209</v>
      </c>
      <c r="L1445" s="621">
        <v>3</v>
      </c>
      <c r="M1445" s="154" t="s">
        <v>12638</v>
      </c>
    </row>
    <row r="1446" spans="1:16" ht="11.1" customHeight="1">
      <c r="A1446" s="154" t="s">
        <v>14525</v>
      </c>
      <c r="B1446" s="297" t="s">
        <v>14048</v>
      </c>
      <c r="C1446" s="617">
        <v>5</v>
      </c>
      <c r="D1446" s="618" t="s">
        <v>9341</v>
      </c>
      <c r="E1446" s="619">
        <v>0</v>
      </c>
      <c r="F1446" s="154" t="s">
        <v>6251</v>
      </c>
      <c r="G1446" s="154" t="s">
        <v>7472</v>
      </c>
      <c r="H1446" s="620">
        <v>51</v>
      </c>
      <c r="I1446" s="154" t="s">
        <v>6257</v>
      </c>
      <c r="J1446" s="621" t="s">
        <v>12635</v>
      </c>
      <c r="K1446" s="621" t="s">
        <v>6209</v>
      </c>
      <c r="L1446" s="621">
        <v>4</v>
      </c>
      <c r="M1446" s="154" t="s">
        <v>12638</v>
      </c>
    </row>
    <row r="1447" spans="1:16" ht="11.1" customHeight="1">
      <c r="A1447" s="154" t="s">
        <v>14526</v>
      </c>
      <c r="B1447" s="297" t="s">
        <v>14048</v>
      </c>
      <c r="C1447" s="617">
        <v>5</v>
      </c>
      <c r="D1447" s="618" t="s">
        <v>9355</v>
      </c>
      <c r="E1447" s="619">
        <v>0</v>
      </c>
      <c r="F1447" s="154" t="s">
        <v>6251</v>
      </c>
      <c r="G1447" s="154" t="s">
        <v>7486</v>
      </c>
      <c r="H1447" s="620">
        <v>51</v>
      </c>
      <c r="I1447" s="154" t="s">
        <v>6257</v>
      </c>
      <c r="J1447" s="621" t="s">
        <v>12773</v>
      </c>
      <c r="K1447" s="621" t="s">
        <v>6036</v>
      </c>
      <c r="L1447" s="621">
        <v>0</v>
      </c>
      <c r="M1447" s="154" t="s">
        <v>12638</v>
      </c>
    </row>
    <row r="1448" spans="1:16" ht="11.1" customHeight="1">
      <c r="A1448" s="154" t="s">
        <v>14527</v>
      </c>
      <c r="B1448" s="297" t="s">
        <v>14048</v>
      </c>
      <c r="C1448" s="617">
        <v>5</v>
      </c>
      <c r="D1448" s="618" t="s">
        <v>9419</v>
      </c>
      <c r="E1448" s="619">
        <v>0</v>
      </c>
      <c r="F1448" s="154" t="s">
        <v>6251</v>
      </c>
      <c r="G1448" s="154" t="s">
        <v>7492</v>
      </c>
      <c r="H1448" s="620">
        <v>68</v>
      </c>
      <c r="I1448" s="154" t="s">
        <v>6257</v>
      </c>
      <c r="J1448" s="621" t="s">
        <v>12651</v>
      </c>
      <c r="K1448" s="621" t="s">
        <v>6209</v>
      </c>
      <c r="L1448" s="621">
        <v>6</v>
      </c>
      <c r="M1448" s="154" t="s">
        <v>12622</v>
      </c>
    </row>
    <row r="1449" spans="1:16" ht="11.1" customHeight="1">
      <c r="A1449" s="154" t="s">
        <v>14528</v>
      </c>
      <c r="B1449" s="297" t="s">
        <v>14048</v>
      </c>
      <c r="C1449" s="617">
        <v>5</v>
      </c>
      <c r="D1449" s="618" t="s">
        <v>9347</v>
      </c>
      <c r="E1449" s="619">
        <v>0</v>
      </c>
      <c r="F1449" s="154" t="s">
        <v>6251</v>
      </c>
      <c r="G1449" s="154" t="s">
        <v>7498</v>
      </c>
      <c r="H1449" s="620">
        <v>56</v>
      </c>
      <c r="I1449" s="154" t="s">
        <v>6257</v>
      </c>
      <c r="J1449" s="621" t="s">
        <v>12651</v>
      </c>
      <c r="K1449" s="621" t="s">
        <v>6209</v>
      </c>
      <c r="L1449" s="621">
        <v>2</v>
      </c>
      <c r="M1449" s="154" t="s">
        <v>12638</v>
      </c>
    </row>
    <row r="1450" spans="1:16" ht="11.1" customHeight="1">
      <c r="A1450" s="154" t="s">
        <v>14529</v>
      </c>
      <c r="B1450" s="297" t="s">
        <v>14048</v>
      </c>
      <c r="C1450" s="617">
        <v>5</v>
      </c>
      <c r="D1450" s="618" t="s">
        <v>9337</v>
      </c>
      <c r="E1450" s="619">
        <v>0</v>
      </c>
      <c r="F1450" s="154" t="s">
        <v>6251</v>
      </c>
      <c r="G1450" s="154" t="s">
        <v>12311</v>
      </c>
      <c r="H1450" s="620">
        <v>53</v>
      </c>
      <c r="I1450" s="154" t="s">
        <v>6257</v>
      </c>
      <c r="J1450" s="621" t="s">
        <v>12631</v>
      </c>
      <c r="K1450" s="621" t="s">
        <v>6283</v>
      </c>
      <c r="L1450" s="621">
        <v>3</v>
      </c>
      <c r="M1450" s="154" t="s">
        <v>12638</v>
      </c>
    </row>
    <row r="1451" spans="1:16" ht="11.1" customHeight="1">
      <c r="A1451" s="154" t="s">
        <v>14530</v>
      </c>
      <c r="B1451" s="297" t="s">
        <v>14048</v>
      </c>
      <c r="C1451" s="617">
        <v>5</v>
      </c>
      <c r="D1451" s="618" t="s">
        <v>9437</v>
      </c>
      <c r="E1451" s="619">
        <v>0</v>
      </c>
      <c r="F1451" s="154" t="s">
        <v>6251</v>
      </c>
      <c r="G1451" s="154" t="s">
        <v>7612</v>
      </c>
      <c r="H1451" s="620">
        <v>69</v>
      </c>
      <c r="I1451" s="154" t="s">
        <v>6257</v>
      </c>
      <c r="J1451" s="621" t="s">
        <v>12631</v>
      </c>
      <c r="K1451" s="621" t="s">
        <v>6209</v>
      </c>
      <c r="L1451" s="621">
        <v>4</v>
      </c>
      <c r="M1451" s="154" t="s">
        <v>12638</v>
      </c>
    </row>
    <row r="1452" spans="1:16" ht="11.1" customHeight="1">
      <c r="A1452" s="154" t="s">
        <v>14531</v>
      </c>
      <c r="B1452" s="297" t="s">
        <v>14048</v>
      </c>
      <c r="C1452" s="617">
        <v>5</v>
      </c>
      <c r="D1452" s="618" t="s">
        <v>9343</v>
      </c>
      <c r="E1452" s="619">
        <v>0</v>
      </c>
      <c r="F1452" s="154" t="s">
        <v>6251</v>
      </c>
      <c r="G1452" s="154" t="s">
        <v>7618</v>
      </c>
      <c r="H1452" s="620">
        <v>43</v>
      </c>
      <c r="I1452" s="154" t="s">
        <v>6257</v>
      </c>
      <c r="J1452" s="621" t="s">
        <v>12621</v>
      </c>
      <c r="K1452" s="621" t="s">
        <v>6209</v>
      </c>
      <c r="L1452" s="621">
        <v>2</v>
      </c>
      <c r="M1452" s="154" t="s">
        <v>12638</v>
      </c>
    </row>
    <row r="1453" spans="1:16" ht="11.1" customHeight="1">
      <c r="A1453" s="154" t="s">
        <v>14532</v>
      </c>
      <c r="B1453" s="297" t="s">
        <v>14048</v>
      </c>
      <c r="C1453" s="617">
        <v>5</v>
      </c>
      <c r="D1453" s="618" t="s">
        <v>9351</v>
      </c>
      <c r="E1453" s="619">
        <v>0</v>
      </c>
      <c r="F1453" s="154" t="s">
        <v>6251</v>
      </c>
      <c r="G1453" s="154" t="s">
        <v>7630</v>
      </c>
      <c r="H1453" s="620">
        <v>56</v>
      </c>
      <c r="I1453" s="154" t="s">
        <v>6257</v>
      </c>
      <c r="J1453" s="621" t="s">
        <v>12631</v>
      </c>
      <c r="K1453" s="621" t="s">
        <v>6209</v>
      </c>
      <c r="L1453" s="621">
        <v>1</v>
      </c>
      <c r="M1453" s="154" t="s">
        <v>6260</v>
      </c>
    </row>
    <row r="1454" spans="1:16" ht="11.1" customHeight="1">
      <c r="A1454" s="154" t="s">
        <v>14533</v>
      </c>
      <c r="B1454" s="297" t="s">
        <v>14048</v>
      </c>
      <c r="C1454" s="617">
        <v>5</v>
      </c>
      <c r="D1454" s="618" t="s">
        <v>9335</v>
      </c>
      <c r="E1454" s="619">
        <v>0</v>
      </c>
      <c r="F1454" s="154" t="s">
        <v>6251</v>
      </c>
      <c r="G1454" s="154" t="s">
        <v>7658</v>
      </c>
      <c r="H1454" s="620">
        <v>38</v>
      </c>
      <c r="I1454" s="154" t="s">
        <v>6257</v>
      </c>
      <c r="J1454" s="621" t="s">
        <v>12621</v>
      </c>
      <c r="K1454" s="621" t="s">
        <v>6209</v>
      </c>
      <c r="L1454" s="621">
        <v>2</v>
      </c>
      <c r="M1454" s="154" t="s">
        <v>12638</v>
      </c>
    </row>
    <row r="1455" spans="1:16" ht="11.1" customHeight="1">
      <c r="A1455" s="154" t="s">
        <v>14534</v>
      </c>
      <c r="B1455" s="297" t="s">
        <v>14048</v>
      </c>
      <c r="C1455" s="617">
        <v>5</v>
      </c>
      <c r="D1455" s="618" t="s">
        <v>9393</v>
      </c>
      <c r="E1455" s="619">
        <v>0</v>
      </c>
      <c r="F1455" s="154" t="s">
        <v>6251</v>
      </c>
      <c r="G1455" s="154" t="s">
        <v>7662</v>
      </c>
      <c r="H1455" s="620">
        <v>52</v>
      </c>
      <c r="I1455" s="154" t="s">
        <v>6257</v>
      </c>
      <c r="J1455" s="621" t="s">
        <v>12631</v>
      </c>
      <c r="K1455" s="621" t="s">
        <v>6036</v>
      </c>
      <c r="L1455" s="621">
        <v>0</v>
      </c>
      <c r="M1455" s="154" t="s">
        <v>12638</v>
      </c>
    </row>
    <row r="1456" spans="1:16" ht="11.1" customHeight="1">
      <c r="A1456" s="154" t="s">
        <v>14535</v>
      </c>
      <c r="B1456" s="297" t="s">
        <v>12590</v>
      </c>
      <c r="C1456" s="617">
        <v>1</v>
      </c>
      <c r="D1456" s="618" t="s">
        <v>9351</v>
      </c>
      <c r="E1456" s="619">
        <v>0</v>
      </c>
      <c r="F1456" s="154">
        <v>84.2</v>
      </c>
      <c r="G1456" s="154" t="s">
        <v>13468</v>
      </c>
      <c r="H1456" s="620">
        <v>53</v>
      </c>
      <c r="I1456" s="154" t="s">
        <v>6253</v>
      </c>
      <c r="J1456" s="621" t="s">
        <v>12020</v>
      </c>
      <c r="K1456" s="621" t="s">
        <v>6209</v>
      </c>
      <c r="L1456" s="621">
        <v>1</v>
      </c>
      <c r="M1456" s="154">
        <v>0</v>
      </c>
      <c r="N1456" s="298">
        <v>9</v>
      </c>
      <c r="O1456" s="298">
        <v>2872501</v>
      </c>
      <c r="P1456" s="298">
        <v>40.767171914500942</v>
      </c>
    </row>
    <row r="1457" spans="1:13" ht="11.1" customHeight="1">
      <c r="A1457" s="154" t="s">
        <v>14536</v>
      </c>
      <c r="B1457" s="297" t="s">
        <v>12590</v>
      </c>
      <c r="C1457" s="617">
        <v>1</v>
      </c>
      <c r="D1457" s="618" t="s">
        <v>9335</v>
      </c>
      <c r="E1457" s="619">
        <v>0</v>
      </c>
      <c r="F1457" s="154">
        <v>54.22</v>
      </c>
      <c r="G1457" s="154" t="s">
        <v>13484</v>
      </c>
      <c r="H1457" s="620">
        <v>69</v>
      </c>
      <c r="I1457" s="154" t="s">
        <v>6253</v>
      </c>
      <c r="J1457" s="621" t="s">
        <v>11989</v>
      </c>
      <c r="K1457" s="621" t="s">
        <v>6209</v>
      </c>
      <c r="L1457" s="621">
        <v>4</v>
      </c>
      <c r="M1457" s="154">
        <v>0</v>
      </c>
    </row>
    <row r="1458" spans="1:13" ht="11.1" customHeight="1">
      <c r="A1458" s="154" t="s">
        <v>14537</v>
      </c>
      <c r="B1458" s="297" t="s">
        <v>12590</v>
      </c>
      <c r="C1458" s="617">
        <v>3</v>
      </c>
      <c r="D1458" s="618" t="s">
        <v>9367</v>
      </c>
      <c r="E1458" s="619">
        <v>0</v>
      </c>
      <c r="F1458" s="154">
        <v>99.28</v>
      </c>
      <c r="G1458" s="154" t="s">
        <v>13447</v>
      </c>
      <c r="H1458" s="620">
        <v>61</v>
      </c>
      <c r="I1458" s="154" t="s">
        <v>6253</v>
      </c>
      <c r="J1458" s="621" t="s">
        <v>11989</v>
      </c>
      <c r="K1458" s="621" t="s">
        <v>6209</v>
      </c>
      <c r="L1458" s="621">
        <v>10</v>
      </c>
      <c r="M1458" s="154">
        <v>0</v>
      </c>
    </row>
    <row r="1459" spans="1:13" ht="11.1" customHeight="1">
      <c r="A1459" s="154" t="s">
        <v>14538</v>
      </c>
      <c r="B1459" s="297" t="s">
        <v>12590</v>
      </c>
      <c r="C1459" s="617">
        <v>3</v>
      </c>
      <c r="D1459" s="618" t="s">
        <v>9337</v>
      </c>
      <c r="E1459" s="619">
        <v>0</v>
      </c>
      <c r="F1459" s="154">
        <v>97.54</v>
      </c>
      <c r="G1459" s="154" t="s">
        <v>12312</v>
      </c>
      <c r="H1459" s="620">
        <v>46</v>
      </c>
      <c r="I1459" s="154" t="s">
        <v>6253</v>
      </c>
      <c r="J1459" s="621" t="s">
        <v>11994</v>
      </c>
      <c r="K1459" s="621" t="s">
        <v>6209</v>
      </c>
      <c r="L1459" s="621">
        <v>1</v>
      </c>
      <c r="M1459" s="154">
        <v>0</v>
      </c>
    </row>
    <row r="1460" spans="1:13" ht="11.1" customHeight="1">
      <c r="A1460" s="154" t="s">
        <v>14539</v>
      </c>
      <c r="B1460" s="297" t="s">
        <v>12590</v>
      </c>
      <c r="C1460" s="617">
        <v>3</v>
      </c>
      <c r="D1460" s="618" t="s">
        <v>9353</v>
      </c>
      <c r="E1460" s="619">
        <v>0</v>
      </c>
      <c r="F1460" s="154">
        <v>96.16</v>
      </c>
      <c r="G1460" s="154" t="s">
        <v>7458</v>
      </c>
      <c r="H1460" s="620">
        <v>36</v>
      </c>
      <c r="I1460" s="154" t="s">
        <v>6253</v>
      </c>
      <c r="J1460" s="621" t="s">
        <v>12007</v>
      </c>
      <c r="K1460" s="621" t="s">
        <v>6036</v>
      </c>
      <c r="L1460" s="621">
        <v>0</v>
      </c>
      <c r="M1460" s="154">
        <v>0</v>
      </c>
    </row>
    <row r="1461" spans="1:13" ht="11.1" customHeight="1">
      <c r="A1461" s="154" t="s">
        <v>14540</v>
      </c>
      <c r="B1461" s="297" t="s">
        <v>12590</v>
      </c>
      <c r="C1461" s="617">
        <v>3</v>
      </c>
      <c r="D1461" s="618" t="s">
        <v>9343</v>
      </c>
      <c r="E1461" s="619">
        <v>0</v>
      </c>
      <c r="F1461" s="154">
        <v>96.12</v>
      </c>
      <c r="G1461" s="154" t="s">
        <v>12336</v>
      </c>
      <c r="H1461" s="620">
        <v>45</v>
      </c>
      <c r="I1461" s="154" t="s">
        <v>6253</v>
      </c>
      <c r="J1461" s="621" t="s">
        <v>12178</v>
      </c>
      <c r="K1461" s="621" t="s">
        <v>6209</v>
      </c>
      <c r="L1461" s="621">
        <v>2</v>
      </c>
      <c r="M1461" s="154">
        <v>0</v>
      </c>
    </row>
    <row r="1462" spans="1:13" ht="11.1" customHeight="1">
      <c r="A1462" s="154" t="s">
        <v>14541</v>
      </c>
      <c r="B1462" s="297" t="s">
        <v>12590</v>
      </c>
      <c r="C1462" s="617">
        <v>3</v>
      </c>
      <c r="D1462" s="618" t="s">
        <v>9433</v>
      </c>
      <c r="E1462" s="619">
        <v>0</v>
      </c>
      <c r="F1462" s="154">
        <v>88.93</v>
      </c>
      <c r="G1462" s="154" t="s">
        <v>7592</v>
      </c>
      <c r="H1462" s="620">
        <v>32</v>
      </c>
      <c r="I1462" s="154" t="s">
        <v>6253</v>
      </c>
      <c r="J1462" s="621" t="s">
        <v>12007</v>
      </c>
      <c r="K1462" s="621" t="s">
        <v>6036</v>
      </c>
      <c r="L1462" s="621">
        <v>0</v>
      </c>
      <c r="M1462" s="154">
        <v>0</v>
      </c>
    </row>
    <row r="1463" spans="1:13" ht="11.1" customHeight="1">
      <c r="A1463" s="154" t="s">
        <v>14542</v>
      </c>
      <c r="B1463" s="297" t="s">
        <v>12590</v>
      </c>
      <c r="C1463" s="617">
        <v>3</v>
      </c>
      <c r="D1463" s="618" t="s">
        <v>9345</v>
      </c>
      <c r="E1463" s="619">
        <v>0</v>
      </c>
      <c r="F1463" s="154">
        <v>88.69</v>
      </c>
      <c r="G1463" s="154" t="s">
        <v>12340</v>
      </c>
      <c r="H1463" s="620">
        <v>61</v>
      </c>
      <c r="I1463" s="154" t="s">
        <v>6253</v>
      </c>
      <c r="J1463" s="621" t="s">
        <v>12020</v>
      </c>
      <c r="K1463" s="621" t="s">
        <v>6209</v>
      </c>
      <c r="L1463" s="621">
        <v>8</v>
      </c>
      <c r="M1463" s="154">
        <v>0</v>
      </c>
    </row>
    <row r="1464" spans="1:13" ht="11.1" customHeight="1">
      <c r="A1464" s="154" t="s">
        <v>14543</v>
      </c>
      <c r="B1464" s="297" t="s">
        <v>12590</v>
      </c>
      <c r="C1464" s="617">
        <v>3</v>
      </c>
      <c r="D1464" s="618" t="s">
        <v>9437</v>
      </c>
      <c r="E1464" s="619">
        <v>0</v>
      </c>
      <c r="F1464" s="154">
        <v>86.57</v>
      </c>
      <c r="G1464" s="154" t="s">
        <v>7610</v>
      </c>
      <c r="H1464" s="620">
        <v>41</v>
      </c>
      <c r="I1464" s="154" t="s">
        <v>6253</v>
      </c>
      <c r="J1464" s="621" t="s">
        <v>12007</v>
      </c>
      <c r="K1464" s="621" t="s">
        <v>6036</v>
      </c>
      <c r="L1464" s="621">
        <v>0</v>
      </c>
      <c r="M1464" s="154">
        <v>0</v>
      </c>
    </row>
    <row r="1465" spans="1:13" ht="11.1" customHeight="1">
      <c r="A1465" s="154" t="s">
        <v>14544</v>
      </c>
      <c r="C1465" s="617">
        <v>3</v>
      </c>
      <c r="D1465" s="618" t="s">
        <v>9355</v>
      </c>
      <c r="E1465" s="619">
        <v>0</v>
      </c>
      <c r="F1465" s="154">
        <v>83.37</v>
      </c>
      <c r="G1465" s="154" t="s">
        <v>7484</v>
      </c>
      <c r="H1465" s="620">
        <v>31</v>
      </c>
      <c r="I1465" s="154" t="s">
        <v>6253</v>
      </c>
      <c r="J1465" s="621" t="s">
        <v>12007</v>
      </c>
      <c r="K1465" s="621" t="s">
        <v>6209</v>
      </c>
      <c r="L1465" s="621">
        <v>1</v>
      </c>
      <c r="M1465" s="154">
        <v>0</v>
      </c>
    </row>
    <row r="1466" spans="1:13" ht="11.1" customHeight="1">
      <c r="A1466" s="154" t="s">
        <v>14545</v>
      </c>
      <c r="C1466" s="617">
        <v>3</v>
      </c>
      <c r="D1466" s="618" t="s">
        <v>9339</v>
      </c>
      <c r="E1466" s="619">
        <v>0</v>
      </c>
      <c r="F1466" s="154">
        <v>77.28</v>
      </c>
      <c r="G1466" s="154" t="s">
        <v>13347</v>
      </c>
      <c r="H1466" s="620">
        <v>34</v>
      </c>
      <c r="I1466" s="154" t="s">
        <v>6253</v>
      </c>
      <c r="J1466" s="621" t="s">
        <v>12020</v>
      </c>
      <c r="K1466" s="621" t="s">
        <v>6036</v>
      </c>
      <c r="L1466" s="621">
        <v>0</v>
      </c>
      <c r="M1466" s="154">
        <v>0</v>
      </c>
    </row>
    <row r="1467" spans="1:13" ht="11.1" customHeight="1">
      <c r="A1467" s="154" t="s">
        <v>14546</v>
      </c>
      <c r="C1467" s="617">
        <v>3</v>
      </c>
      <c r="D1467" s="618" t="s">
        <v>9347</v>
      </c>
      <c r="E1467" s="619">
        <v>0</v>
      </c>
      <c r="F1467" s="154">
        <v>74.8</v>
      </c>
      <c r="G1467" s="154" t="s">
        <v>7496</v>
      </c>
      <c r="H1467" s="620">
        <v>35</v>
      </c>
      <c r="I1467" s="154" t="s">
        <v>6253</v>
      </c>
      <c r="J1467" s="621" t="s">
        <v>12007</v>
      </c>
      <c r="K1467" s="621" t="s">
        <v>6036</v>
      </c>
      <c r="L1467" s="621">
        <v>0</v>
      </c>
      <c r="M1467" s="154">
        <v>0</v>
      </c>
    </row>
    <row r="1468" spans="1:13" ht="11.1" customHeight="1">
      <c r="A1468" s="154" t="s">
        <v>14547</v>
      </c>
      <c r="C1468" s="617">
        <v>3</v>
      </c>
      <c r="D1468" s="618" t="s">
        <v>9393</v>
      </c>
      <c r="E1468" s="619">
        <v>0</v>
      </c>
      <c r="F1468" s="154">
        <v>64.319999999999993</v>
      </c>
      <c r="G1468" s="154" t="s">
        <v>12344</v>
      </c>
      <c r="H1468" s="620">
        <v>41</v>
      </c>
      <c r="I1468" s="154" t="s">
        <v>6253</v>
      </c>
      <c r="J1468" s="621" t="s">
        <v>12178</v>
      </c>
      <c r="K1468" s="621" t="s">
        <v>6036</v>
      </c>
      <c r="L1468" s="621">
        <v>0</v>
      </c>
      <c r="M1468" s="154">
        <v>0</v>
      </c>
    </row>
    <row r="1469" spans="1:13" ht="11.1" customHeight="1">
      <c r="A1469" s="154" t="s">
        <v>14548</v>
      </c>
      <c r="C1469" s="617">
        <v>3</v>
      </c>
      <c r="D1469" s="618" t="s">
        <v>9341</v>
      </c>
      <c r="E1469" s="619">
        <v>0</v>
      </c>
      <c r="F1469" s="154">
        <v>61.1</v>
      </c>
      <c r="G1469" s="154" t="s">
        <v>13364</v>
      </c>
      <c r="H1469" s="620">
        <v>38</v>
      </c>
      <c r="I1469" s="154" t="s">
        <v>6253</v>
      </c>
      <c r="J1469" s="621" t="s">
        <v>11989</v>
      </c>
      <c r="K1469" s="621" t="s">
        <v>6036</v>
      </c>
      <c r="L1469" s="621">
        <v>0</v>
      </c>
      <c r="M1469" s="154">
        <v>0</v>
      </c>
    </row>
    <row r="1470" spans="1:13" ht="11.1" customHeight="1">
      <c r="A1470" s="154" t="s">
        <v>14549</v>
      </c>
      <c r="C1470" s="617">
        <v>3</v>
      </c>
      <c r="D1470" s="618" t="s">
        <v>9419</v>
      </c>
      <c r="E1470" s="619">
        <v>0</v>
      </c>
      <c r="F1470" s="154">
        <v>58.74</v>
      </c>
      <c r="G1470" s="154" t="s">
        <v>12257</v>
      </c>
      <c r="H1470" s="620">
        <v>43</v>
      </c>
      <c r="I1470" s="154" t="s">
        <v>6253</v>
      </c>
      <c r="J1470" s="621" t="s">
        <v>12215</v>
      </c>
      <c r="K1470" s="621" t="s">
        <v>6036</v>
      </c>
      <c r="L1470" s="621">
        <v>0</v>
      </c>
      <c r="M1470" s="154">
        <v>0</v>
      </c>
    </row>
    <row r="1471" spans="1:13" ht="11.1" customHeight="1">
      <c r="A1471" s="154" t="s">
        <v>14550</v>
      </c>
      <c r="C1471" s="617">
        <v>3</v>
      </c>
      <c r="D1471" s="618" t="s">
        <v>9389</v>
      </c>
      <c r="E1471" s="619">
        <v>0</v>
      </c>
      <c r="F1471" s="154">
        <v>50.63</v>
      </c>
      <c r="G1471" s="154" t="s">
        <v>12291</v>
      </c>
      <c r="H1471" s="620">
        <v>26</v>
      </c>
      <c r="I1471" s="154" t="s">
        <v>6253</v>
      </c>
      <c r="J1471" s="621" t="s">
        <v>12007</v>
      </c>
      <c r="K1471" s="621" t="s">
        <v>6036</v>
      </c>
      <c r="L1471" s="621">
        <v>0</v>
      </c>
      <c r="M1471" s="154">
        <v>0</v>
      </c>
    </row>
    <row r="1472" spans="1:13" ht="11.1" customHeight="1">
      <c r="A1472" s="154" t="s">
        <v>14551</v>
      </c>
      <c r="C1472" s="617">
        <v>3</v>
      </c>
      <c r="D1472" s="618" t="s">
        <v>9391</v>
      </c>
      <c r="E1472" s="619">
        <v>0</v>
      </c>
      <c r="F1472" s="154">
        <v>48.18</v>
      </c>
      <c r="G1472" s="154" t="s">
        <v>9402</v>
      </c>
      <c r="H1472" s="620">
        <v>43</v>
      </c>
      <c r="I1472" s="154" t="s">
        <v>6253</v>
      </c>
      <c r="J1472" s="621" t="s">
        <v>12007</v>
      </c>
      <c r="K1472" s="621" t="s">
        <v>6036</v>
      </c>
      <c r="L1472" s="621">
        <v>0</v>
      </c>
      <c r="M1472" s="154">
        <v>0</v>
      </c>
    </row>
    <row r="1473" spans="1:16" ht="11.1" customHeight="1">
      <c r="A1473" s="154" t="s">
        <v>14552</v>
      </c>
      <c r="C1473" s="617">
        <v>3</v>
      </c>
      <c r="D1473" s="618" t="s">
        <v>9383</v>
      </c>
      <c r="E1473" s="619">
        <v>0</v>
      </c>
      <c r="F1473" s="154">
        <v>44.28</v>
      </c>
      <c r="G1473" s="154" t="s">
        <v>13399</v>
      </c>
      <c r="H1473" s="620">
        <v>48</v>
      </c>
      <c r="I1473" s="154" t="s">
        <v>6253</v>
      </c>
      <c r="J1473" s="621" t="s">
        <v>12020</v>
      </c>
      <c r="K1473" s="621" t="s">
        <v>6036</v>
      </c>
      <c r="L1473" s="621">
        <v>0</v>
      </c>
      <c r="M1473" s="154">
        <v>0</v>
      </c>
    </row>
    <row r="1474" spans="1:16" ht="11.1" customHeight="1">
      <c r="A1474" s="154" t="s">
        <v>14553</v>
      </c>
      <c r="B1474" s="297" t="s">
        <v>14048</v>
      </c>
      <c r="C1474" s="617">
        <v>3</v>
      </c>
      <c r="D1474" s="618" t="s">
        <v>9349</v>
      </c>
      <c r="E1474" s="619">
        <v>0</v>
      </c>
      <c r="F1474" s="154" t="s">
        <v>6251</v>
      </c>
      <c r="G1474" s="154" t="s">
        <v>7474</v>
      </c>
      <c r="H1474" s="620">
        <v>58</v>
      </c>
      <c r="I1474" s="154" t="s">
        <v>6253</v>
      </c>
      <c r="J1474" s="621" t="s">
        <v>12215</v>
      </c>
      <c r="K1474" s="621" t="s">
        <v>6209</v>
      </c>
      <c r="L1474" s="621">
        <v>2</v>
      </c>
      <c r="M1474" s="154">
        <v>0</v>
      </c>
    </row>
    <row r="1475" spans="1:16" ht="11.1" customHeight="1">
      <c r="A1475" s="154" t="s">
        <v>14554</v>
      </c>
      <c r="B1475" s="297" t="s">
        <v>14048</v>
      </c>
      <c r="C1475" s="617">
        <v>3</v>
      </c>
      <c r="D1475" s="618" t="s">
        <v>9357</v>
      </c>
      <c r="E1475" s="619">
        <v>0</v>
      </c>
      <c r="F1475" s="154" t="s">
        <v>6251</v>
      </c>
      <c r="G1475" s="154" t="s">
        <v>7502</v>
      </c>
      <c r="H1475" s="620">
        <v>32</v>
      </c>
      <c r="I1475" s="154" t="s">
        <v>6253</v>
      </c>
      <c r="J1475" s="621" t="s">
        <v>12007</v>
      </c>
      <c r="K1475" s="621" t="s">
        <v>6209</v>
      </c>
      <c r="L1475" s="621">
        <v>1</v>
      </c>
      <c r="M1475" s="154">
        <v>0</v>
      </c>
    </row>
    <row r="1476" spans="1:16" ht="11.1" customHeight="1">
      <c r="A1476" s="154" t="s">
        <v>14555</v>
      </c>
      <c r="B1476" s="297" t="s">
        <v>14048</v>
      </c>
      <c r="C1476" s="617">
        <v>3</v>
      </c>
      <c r="D1476" s="618" t="s">
        <v>9379</v>
      </c>
      <c r="E1476" s="619">
        <v>0</v>
      </c>
      <c r="F1476" s="154" t="s">
        <v>6251</v>
      </c>
      <c r="G1476" s="154" t="s">
        <v>12306</v>
      </c>
      <c r="H1476" s="620">
        <v>41</v>
      </c>
      <c r="I1476" s="154" t="s">
        <v>6253</v>
      </c>
      <c r="J1476" s="621" t="s">
        <v>12000</v>
      </c>
      <c r="K1476" s="621" t="s">
        <v>6209</v>
      </c>
      <c r="L1476" s="621">
        <v>2</v>
      </c>
      <c r="M1476" s="154">
        <v>0</v>
      </c>
    </row>
    <row r="1477" spans="1:16" ht="11.1" customHeight="1">
      <c r="A1477" s="154" t="s">
        <v>14556</v>
      </c>
      <c r="B1477" s="297" t="s">
        <v>14048</v>
      </c>
      <c r="C1477" s="617">
        <v>3</v>
      </c>
      <c r="D1477" s="618" t="s">
        <v>9359</v>
      </c>
      <c r="E1477" s="619">
        <v>0</v>
      </c>
      <c r="F1477" s="154" t="s">
        <v>6251</v>
      </c>
      <c r="G1477" s="154" t="s">
        <v>12314</v>
      </c>
      <c r="H1477" s="620">
        <v>55</v>
      </c>
      <c r="I1477" s="154" t="s">
        <v>6253</v>
      </c>
      <c r="J1477" s="621" t="s">
        <v>12007</v>
      </c>
      <c r="K1477" s="621" t="s">
        <v>6209</v>
      </c>
      <c r="L1477" s="621">
        <v>3</v>
      </c>
      <c r="M1477" s="154" t="s">
        <v>6154</v>
      </c>
    </row>
    <row r="1478" spans="1:16" ht="11.1" customHeight="1">
      <c r="A1478" s="154" t="s">
        <v>14557</v>
      </c>
      <c r="B1478" s="297" t="s">
        <v>14048</v>
      </c>
      <c r="C1478" s="617">
        <v>3</v>
      </c>
      <c r="D1478" s="618" t="s">
        <v>9387</v>
      </c>
      <c r="E1478" s="619">
        <v>0</v>
      </c>
      <c r="F1478" s="154" t="s">
        <v>6251</v>
      </c>
      <c r="G1478" s="154" t="s">
        <v>7540</v>
      </c>
      <c r="H1478" s="620">
        <v>37</v>
      </c>
      <c r="I1478" s="154" t="s">
        <v>6253</v>
      </c>
      <c r="J1478" s="621" t="s">
        <v>12007</v>
      </c>
      <c r="K1478" s="621" t="s">
        <v>6209</v>
      </c>
      <c r="L1478" s="621">
        <v>2</v>
      </c>
      <c r="M1478" s="154">
        <v>0</v>
      </c>
    </row>
    <row r="1479" spans="1:16" ht="11.1" customHeight="1">
      <c r="A1479" s="154" t="s">
        <v>14558</v>
      </c>
      <c r="B1479" s="297" t="s">
        <v>14048</v>
      </c>
      <c r="C1479" s="617">
        <v>3</v>
      </c>
      <c r="D1479" s="618" t="s">
        <v>9381</v>
      </c>
      <c r="E1479" s="619">
        <v>0</v>
      </c>
      <c r="F1479" s="154" t="s">
        <v>6251</v>
      </c>
      <c r="G1479" s="154" t="s">
        <v>7548</v>
      </c>
      <c r="H1479" s="620">
        <v>45</v>
      </c>
      <c r="I1479" s="154" t="s">
        <v>6253</v>
      </c>
      <c r="J1479" s="621" t="s">
        <v>12000</v>
      </c>
      <c r="K1479" s="621" t="s">
        <v>6209</v>
      </c>
      <c r="L1479" s="621">
        <v>2</v>
      </c>
      <c r="M1479" s="154">
        <v>0</v>
      </c>
    </row>
    <row r="1480" spans="1:16" ht="11.1" customHeight="1">
      <c r="A1480" s="154" t="s">
        <v>14559</v>
      </c>
      <c r="B1480" s="297" t="s">
        <v>14048</v>
      </c>
      <c r="C1480" s="617">
        <v>3</v>
      </c>
      <c r="D1480" s="618" t="s">
        <v>9377</v>
      </c>
      <c r="E1480" s="619">
        <v>0</v>
      </c>
      <c r="F1480" s="154" t="s">
        <v>6251</v>
      </c>
      <c r="G1480" s="154" t="s">
        <v>12319</v>
      </c>
      <c r="H1480" s="620">
        <v>45</v>
      </c>
      <c r="I1480" s="154" t="s">
        <v>6253</v>
      </c>
      <c r="J1480" s="621" t="s">
        <v>12007</v>
      </c>
      <c r="K1480" s="621" t="s">
        <v>6209</v>
      </c>
      <c r="L1480" s="621">
        <v>1</v>
      </c>
      <c r="M1480" s="154">
        <v>0</v>
      </c>
    </row>
    <row r="1481" spans="1:16" ht="11.1" customHeight="1">
      <c r="A1481" s="154" t="s">
        <v>14560</v>
      </c>
      <c r="B1481" s="297" t="s">
        <v>14048</v>
      </c>
      <c r="C1481" s="617">
        <v>3</v>
      </c>
      <c r="D1481" s="618" t="s">
        <v>9371</v>
      </c>
      <c r="E1481" s="619">
        <v>0</v>
      </c>
      <c r="F1481" s="154" t="s">
        <v>6251</v>
      </c>
      <c r="G1481" s="154" t="s">
        <v>7564</v>
      </c>
      <c r="H1481" s="620">
        <v>55</v>
      </c>
      <c r="I1481" s="154" t="s">
        <v>6253</v>
      </c>
      <c r="J1481" s="621" t="s">
        <v>11989</v>
      </c>
      <c r="K1481" s="621" t="s">
        <v>6209</v>
      </c>
      <c r="L1481" s="621">
        <v>4</v>
      </c>
      <c r="M1481" s="154">
        <v>0</v>
      </c>
    </row>
    <row r="1482" spans="1:16" ht="11.1" customHeight="1">
      <c r="A1482" s="154" t="s">
        <v>14561</v>
      </c>
      <c r="B1482" s="297" t="s">
        <v>14048</v>
      </c>
      <c r="C1482" s="617">
        <v>3</v>
      </c>
      <c r="D1482" s="618" t="s">
        <v>9363</v>
      </c>
      <c r="E1482" s="619">
        <v>0</v>
      </c>
      <c r="F1482" s="154" t="s">
        <v>6251</v>
      </c>
      <c r="G1482" s="154" t="s">
        <v>12322</v>
      </c>
      <c r="H1482" s="620">
        <v>43</v>
      </c>
      <c r="I1482" s="154" t="s">
        <v>6253</v>
      </c>
      <c r="J1482" s="621" t="s">
        <v>12007</v>
      </c>
      <c r="K1482" s="621" t="s">
        <v>6209</v>
      </c>
      <c r="L1482" s="621">
        <v>1</v>
      </c>
      <c r="M1482" s="154">
        <v>0</v>
      </c>
    </row>
    <row r="1483" spans="1:16" ht="11.1" customHeight="1">
      <c r="A1483" s="154" t="s">
        <v>14562</v>
      </c>
      <c r="B1483" s="297" t="s">
        <v>14048</v>
      </c>
      <c r="C1483" s="617">
        <v>3</v>
      </c>
      <c r="D1483" s="618" t="s">
        <v>9369</v>
      </c>
      <c r="E1483" s="619">
        <v>0</v>
      </c>
      <c r="F1483" s="154" t="s">
        <v>6251</v>
      </c>
      <c r="G1483" s="154" t="s">
        <v>12324</v>
      </c>
      <c r="H1483" s="620">
        <v>39</v>
      </c>
      <c r="I1483" s="154" t="s">
        <v>6253</v>
      </c>
      <c r="J1483" s="621" t="s">
        <v>12007</v>
      </c>
      <c r="K1483" s="621" t="s">
        <v>6209</v>
      </c>
      <c r="L1483" s="621">
        <v>1</v>
      </c>
      <c r="M1483" s="154">
        <v>0</v>
      </c>
    </row>
    <row r="1484" spans="1:16" ht="11.1" customHeight="1">
      <c r="A1484" s="154" t="s">
        <v>14563</v>
      </c>
      <c r="B1484" s="297" t="s">
        <v>14048</v>
      </c>
      <c r="C1484" s="617">
        <v>3</v>
      </c>
      <c r="D1484" s="618" t="s">
        <v>9361</v>
      </c>
      <c r="E1484" s="619">
        <v>0</v>
      </c>
      <c r="F1484" s="154" t="s">
        <v>6251</v>
      </c>
      <c r="G1484" s="154" t="s">
        <v>12326</v>
      </c>
      <c r="H1484" s="620">
        <v>42</v>
      </c>
      <c r="I1484" s="154" t="s">
        <v>6253</v>
      </c>
      <c r="J1484" s="621" t="s">
        <v>11994</v>
      </c>
      <c r="K1484" s="621" t="s">
        <v>6209</v>
      </c>
      <c r="L1484" s="621">
        <v>1</v>
      </c>
      <c r="M1484" s="154">
        <v>0</v>
      </c>
    </row>
    <row r="1485" spans="1:16" ht="11.1" customHeight="1">
      <c r="A1485" s="154" t="s">
        <v>14564</v>
      </c>
      <c r="B1485" s="297" t="s">
        <v>14048</v>
      </c>
      <c r="C1485" s="617">
        <v>3</v>
      </c>
      <c r="D1485" s="618" t="s">
        <v>9375</v>
      </c>
      <c r="E1485" s="619">
        <v>0</v>
      </c>
      <c r="F1485" s="154" t="s">
        <v>6251</v>
      </c>
      <c r="G1485" s="154" t="s">
        <v>7604</v>
      </c>
      <c r="H1485" s="620">
        <v>38</v>
      </c>
      <c r="I1485" s="154" t="s">
        <v>6253</v>
      </c>
      <c r="J1485" s="621" t="s">
        <v>12178</v>
      </c>
      <c r="K1485" s="621" t="s">
        <v>6036</v>
      </c>
      <c r="L1485" s="621">
        <v>0</v>
      </c>
      <c r="M1485" s="154">
        <v>0</v>
      </c>
    </row>
    <row r="1486" spans="1:16" ht="11.1" customHeight="1">
      <c r="A1486" s="154" t="s">
        <v>14565</v>
      </c>
      <c r="B1486" s="297" t="s">
        <v>14048</v>
      </c>
      <c r="C1486" s="617">
        <v>3</v>
      </c>
      <c r="D1486" s="618" t="s">
        <v>9365</v>
      </c>
      <c r="E1486" s="619">
        <v>0</v>
      </c>
      <c r="F1486" s="154" t="s">
        <v>6251</v>
      </c>
      <c r="G1486" s="154" t="s">
        <v>7622</v>
      </c>
      <c r="H1486" s="620">
        <v>59</v>
      </c>
      <c r="I1486" s="154" t="s">
        <v>6253</v>
      </c>
      <c r="J1486" s="621" t="s">
        <v>12007</v>
      </c>
      <c r="K1486" s="621" t="s">
        <v>6036</v>
      </c>
      <c r="L1486" s="621">
        <v>0</v>
      </c>
      <c r="M1486" s="154">
        <v>0</v>
      </c>
    </row>
    <row r="1487" spans="1:16" ht="11.1" customHeight="1">
      <c r="A1487" s="154" t="s">
        <v>14566</v>
      </c>
      <c r="B1487" s="297" t="s">
        <v>14048</v>
      </c>
      <c r="C1487" s="617">
        <v>3</v>
      </c>
      <c r="D1487" s="618" t="s">
        <v>9373</v>
      </c>
      <c r="E1487" s="619">
        <v>0</v>
      </c>
      <c r="F1487" s="154" t="s">
        <v>6251</v>
      </c>
      <c r="G1487" s="154" t="s">
        <v>7642</v>
      </c>
      <c r="H1487" s="620">
        <v>53</v>
      </c>
      <c r="I1487" s="154" t="s">
        <v>6253</v>
      </c>
      <c r="J1487" s="621" t="s">
        <v>11994</v>
      </c>
      <c r="K1487" s="621" t="s">
        <v>6209</v>
      </c>
      <c r="L1487" s="621">
        <v>2</v>
      </c>
      <c r="M1487" s="154">
        <v>0</v>
      </c>
    </row>
    <row r="1488" spans="1:16" ht="11.1" customHeight="1">
      <c r="A1488" s="154" t="s">
        <v>14567</v>
      </c>
      <c r="B1488" s="297" t="s">
        <v>12590</v>
      </c>
      <c r="C1488" s="617">
        <v>1</v>
      </c>
      <c r="D1488" s="618" t="s">
        <v>8608</v>
      </c>
      <c r="E1488" s="619">
        <v>0</v>
      </c>
      <c r="F1488" s="154" t="s">
        <v>6262</v>
      </c>
      <c r="G1488" s="154" t="s">
        <v>14568</v>
      </c>
      <c r="H1488" s="620">
        <v>69</v>
      </c>
      <c r="I1488" s="154" t="s">
        <v>6929</v>
      </c>
      <c r="J1488" s="621">
        <v>0</v>
      </c>
      <c r="K1488" s="621" t="s">
        <v>6209</v>
      </c>
      <c r="L1488" s="621">
        <v>8</v>
      </c>
      <c r="M1488" s="154">
        <v>0</v>
      </c>
      <c r="N1488" s="298">
        <v>3</v>
      </c>
      <c r="O1488" s="298">
        <v>1002576</v>
      </c>
      <c r="P1488" s="298">
        <v>14.228781173393047</v>
      </c>
    </row>
    <row r="1489" spans="1:16" ht="11.1" customHeight="1">
      <c r="A1489" s="154" t="s">
        <v>14569</v>
      </c>
      <c r="B1489" s="297" t="s">
        <v>12590</v>
      </c>
      <c r="C1489" s="617">
        <v>2</v>
      </c>
      <c r="D1489" s="618" t="s">
        <v>8608</v>
      </c>
      <c r="E1489" s="619">
        <v>0</v>
      </c>
      <c r="F1489" s="154" t="s">
        <v>6262</v>
      </c>
      <c r="G1489" s="154" t="s">
        <v>14570</v>
      </c>
      <c r="H1489" s="620">
        <v>59</v>
      </c>
      <c r="I1489" s="154" t="s">
        <v>6929</v>
      </c>
      <c r="J1489" s="621">
        <v>0</v>
      </c>
      <c r="K1489" s="621" t="s">
        <v>6209</v>
      </c>
      <c r="L1489" s="621">
        <v>3</v>
      </c>
      <c r="M1489" s="154">
        <v>0</v>
      </c>
    </row>
    <row r="1490" spans="1:16" ht="11.1" customHeight="1">
      <c r="A1490" s="154" t="s">
        <v>14571</v>
      </c>
      <c r="B1490" s="297" t="s">
        <v>12590</v>
      </c>
      <c r="C1490" s="617">
        <v>3</v>
      </c>
      <c r="D1490" s="618" t="s">
        <v>8608</v>
      </c>
      <c r="E1490" s="619">
        <v>0</v>
      </c>
      <c r="F1490" s="154" t="s">
        <v>6262</v>
      </c>
      <c r="G1490" s="154" t="s">
        <v>9448</v>
      </c>
      <c r="H1490" s="620">
        <v>48</v>
      </c>
      <c r="I1490" s="154" t="s">
        <v>6929</v>
      </c>
      <c r="J1490" s="621">
        <v>0</v>
      </c>
      <c r="K1490" s="621" t="s">
        <v>6283</v>
      </c>
      <c r="L1490" s="621">
        <v>2</v>
      </c>
      <c r="M1490" s="154">
        <v>0</v>
      </c>
    </row>
    <row r="1491" spans="1:16" ht="11.1" customHeight="1">
      <c r="A1491" s="154" t="s">
        <v>14572</v>
      </c>
      <c r="C1491" s="617">
        <v>4</v>
      </c>
      <c r="D1491" s="618" t="s">
        <v>8608</v>
      </c>
      <c r="E1491" s="619">
        <v>0</v>
      </c>
      <c r="F1491" s="154" t="s">
        <v>6262</v>
      </c>
      <c r="G1491" s="154" t="s">
        <v>14573</v>
      </c>
      <c r="H1491" s="620">
        <v>41</v>
      </c>
      <c r="I1491" s="154" t="s">
        <v>6929</v>
      </c>
      <c r="J1491" s="621">
        <v>0</v>
      </c>
      <c r="K1491" s="621" t="s">
        <v>6036</v>
      </c>
      <c r="L1491" s="621">
        <v>0</v>
      </c>
      <c r="M1491" s="154">
        <v>0</v>
      </c>
    </row>
    <row r="1492" spans="1:16" ht="11.1" customHeight="1">
      <c r="A1492" s="154" t="s">
        <v>14574</v>
      </c>
      <c r="C1492" s="617">
        <v>5</v>
      </c>
      <c r="D1492" s="618" t="s">
        <v>8608</v>
      </c>
      <c r="E1492" s="619">
        <v>0</v>
      </c>
      <c r="F1492" s="154" t="s">
        <v>6262</v>
      </c>
      <c r="G1492" s="154" t="s">
        <v>14575</v>
      </c>
      <c r="H1492" s="620">
        <v>33</v>
      </c>
      <c r="I1492" s="154" t="s">
        <v>6929</v>
      </c>
      <c r="J1492" s="621">
        <v>0</v>
      </c>
      <c r="K1492" s="621" t="s">
        <v>6036</v>
      </c>
      <c r="L1492" s="621">
        <v>0</v>
      </c>
      <c r="M1492" s="154">
        <v>0</v>
      </c>
    </row>
    <row r="1493" spans="1:16" ht="11.1" customHeight="1">
      <c r="A1493" s="154" t="s">
        <v>14576</v>
      </c>
      <c r="B1493" s="297" t="s">
        <v>12590</v>
      </c>
      <c r="C1493" s="617">
        <v>1</v>
      </c>
      <c r="D1493" s="618" t="s">
        <v>8608</v>
      </c>
      <c r="E1493" s="619">
        <v>0</v>
      </c>
      <c r="F1493" s="154" t="s">
        <v>6262</v>
      </c>
      <c r="G1493" s="154" t="s">
        <v>9456</v>
      </c>
      <c r="H1493" s="620">
        <v>57</v>
      </c>
      <c r="I1493" s="154" t="s">
        <v>6264</v>
      </c>
      <c r="J1493" s="621">
        <v>0</v>
      </c>
      <c r="K1493" s="621" t="s">
        <v>6209</v>
      </c>
      <c r="L1493" s="621">
        <v>2</v>
      </c>
      <c r="M1493" s="154">
        <v>0</v>
      </c>
      <c r="N1493" s="298">
        <v>1</v>
      </c>
      <c r="O1493" s="298">
        <v>474414</v>
      </c>
      <c r="P1493" s="298">
        <v>6.7329888124133124</v>
      </c>
    </row>
    <row r="1494" spans="1:16" ht="11.1" customHeight="1">
      <c r="A1494" s="154" t="s">
        <v>14577</v>
      </c>
      <c r="C1494" s="617">
        <v>2</v>
      </c>
      <c r="D1494" s="618" t="s">
        <v>9377</v>
      </c>
      <c r="E1494" s="619">
        <v>0</v>
      </c>
      <c r="G1494" s="154" t="s">
        <v>7560</v>
      </c>
      <c r="H1494" s="620">
        <v>56</v>
      </c>
      <c r="I1494" s="154" t="s">
        <v>6264</v>
      </c>
      <c r="J1494" s="621">
        <v>0</v>
      </c>
      <c r="K1494" s="621" t="s">
        <v>6209</v>
      </c>
      <c r="L1494" s="621">
        <v>2</v>
      </c>
      <c r="M1494" s="154">
        <v>0</v>
      </c>
    </row>
    <row r="1495" spans="1:16" ht="11.1" customHeight="1">
      <c r="A1495" s="154" t="s">
        <v>14578</v>
      </c>
      <c r="C1495" s="617">
        <v>3</v>
      </c>
      <c r="D1495" s="618" t="s">
        <v>9337</v>
      </c>
      <c r="E1495" s="619">
        <v>0</v>
      </c>
      <c r="G1495" s="154" t="s">
        <v>7526</v>
      </c>
      <c r="H1495" s="620">
        <v>49</v>
      </c>
      <c r="I1495" s="154" t="s">
        <v>6264</v>
      </c>
      <c r="J1495" s="621">
        <v>0</v>
      </c>
      <c r="K1495" s="621" t="s">
        <v>6283</v>
      </c>
      <c r="L1495" s="621">
        <v>1</v>
      </c>
      <c r="M1495" s="154">
        <v>0</v>
      </c>
    </row>
    <row r="1496" spans="1:16" ht="11.1" customHeight="1">
      <c r="A1496" s="154" t="s">
        <v>14579</v>
      </c>
      <c r="C1496" s="617">
        <v>4</v>
      </c>
      <c r="D1496" s="618" t="s">
        <v>8608</v>
      </c>
      <c r="E1496" s="619">
        <v>0</v>
      </c>
      <c r="G1496" s="154" t="s">
        <v>14580</v>
      </c>
      <c r="H1496" s="620">
        <v>55</v>
      </c>
      <c r="I1496" s="154" t="s">
        <v>6264</v>
      </c>
      <c r="J1496" s="621">
        <v>0</v>
      </c>
      <c r="K1496" s="621" t="s">
        <v>6036</v>
      </c>
      <c r="L1496" s="621">
        <v>0</v>
      </c>
      <c r="M1496" s="154">
        <v>0</v>
      </c>
    </row>
    <row r="1497" spans="1:16" ht="11.1" customHeight="1">
      <c r="A1497" s="154" t="s">
        <v>14581</v>
      </c>
      <c r="C1497" s="617">
        <v>1</v>
      </c>
      <c r="D1497" s="618" t="s">
        <v>9349</v>
      </c>
      <c r="E1497" s="619">
        <v>0</v>
      </c>
      <c r="G1497" s="154" t="s">
        <v>13372</v>
      </c>
      <c r="H1497" s="620">
        <v>45</v>
      </c>
      <c r="I1497" s="154" t="s">
        <v>6278</v>
      </c>
      <c r="J1497" s="621">
        <v>0</v>
      </c>
      <c r="K1497" s="621" t="s">
        <v>6036</v>
      </c>
      <c r="L1497" s="621">
        <v>0</v>
      </c>
      <c r="M1497" s="154">
        <v>0</v>
      </c>
      <c r="N1497" s="298">
        <v>0</v>
      </c>
      <c r="O1497" s="298">
        <v>259831</v>
      </c>
      <c r="P1497" s="298">
        <v>3.6875792369495066</v>
      </c>
    </row>
    <row r="1498" spans="1:16" ht="11.1" customHeight="1">
      <c r="A1498" s="154" t="s">
        <v>14582</v>
      </c>
      <c r="C1498" s="617">
        <v>1</v>
      </c>
      <c r="D1498" s="618" t="s">
        <v>9369</v>
      </c>
      <c r="E1498" s="619">
        <v>0</v>
      </c>
      <c r="G1498" s="154" t="s">
        <v>13435</v>
      </c>
      <c r="H1498" s="620">
        <v>51</v>
      </c>
      <c r="I1498" s="154" t="s">
        <v>6278</v>
      </c>
      <c r="J1498" s="621">
        <v>0</v>
      </c>
      <c r="K1498" s="621" t="s">
        <v>6209</v>
      </c>
      <c r="L1498" s="621">
        <v>1</v>
      </c>
      <c r="M1498" s="154">
        <v>0</v>
      </c>
    </row>
    <row r="1499" spans="1:16" ht="11.1" customHeight="1">
      <c r="A1499" s="154" t="s">
        <v>14583</v>
      </c>
      <c r="B1499" s="297" t="s">
        <v>12590</v>
      </c>
      <c r="C1499" s="617">
        <v>1</v>
      </c>
      <c r="D1499" s="618" t="s">
        <v>8608</v>
      </c>
      <c r="E1499" s="619" t="s">
        <v>14052</v>
      </c>
      <c r="F1499" s="154" t="s">
        <v>6262</v>
      </c>
      <c r="G1499" s="154" t="s">
        <v>9487</v>
      </c>
      <c r="H1499" s="620">
        <v>58</v>
      </c>
      <c r="I1499" s="154" t="s">
        <v>6257</v>
      </c>
      <c r="J1499" s="621" t="s">
        <v>12635</v>
      </c>
      <c r="K1499" s="621" t="s">
        <v>6209</v>
      </c>
      <c r="L1499" s="621">
        <v>3</v>
      </c>
      <c r="M1499" s="154">
        <v>0</v>
      </c>
      <c r="N1499" s="298">
        <v>9</v>
      </c>
      <c r="O1499" s="298">
        <v>2833181</v>
      </c>
      <c r="P1499" s="298">
        <v>30.694148290175402</v>
      </c>
    </row>
    <row r="1500" spans="1:16" ht="11.1" customHeight="1">
      <c r="A1500" s="154" t="s">
        <v>14584</v>
      </c>
      <c r="B1500" s="297" t="s">
        <v>12590</v>
      </c>
      <c r="C1500" s="617">
        <v>2</v>
      </c>
      <c r="D1500" s="618" t="s">
        <v>8608</v>
      </c>
      <c r="E1500" s="619" t="s">
        <v>14052</v>
      </c>
      <c r="F1500" s="154" t="s">
        <v>6262</v>
      </c>
      <c r="G1500" s="154" t="s">
        <v>8011</v>
      </c>
      <c r="H1500" s="620">
        <v>60</v>
      </c>
      <c r="I1500" s="154" t="s">
        <v>6257</v>
      </c>
      <c r="J1500" s="621" t="s">
        <v>12621</v>
      </c>
      <c r="K1500" s="621" t="s">
        <v>6209</v>
      </c>
      <c r="L1500" s="621">
        <v>1</v>
      </c>
      <c r="M1500" s="154">
        <v>0</v>
      </c>
    </row>
    <row r="1501" spans="1:16" ht="11.1" customHeight="1">
      <c r="A1501" s="154" t="s">
        <v>14585</v>
      </c>
      <c r="B1501" s="297" t="s">
        <v>12590</v>
      </c>
      <c r="C1501" s="617">
        <v>3</v>
      </c>
      <c r="D1501" s="618" t="s">
        <v>8608</v>
      </c>
      <c r="E1501" s="619" t="s">
        <v>14052</v>
      </c>
      <c r="F1501" s="154" t="s">
        <v>6262</v>
      </c>
      <c r="G1501" s="154" t="s">
        <v>7153</v>
      </c>
      <c r="H1501" s="620">
        <v>51</v>
      </c>
      <c r="I1501" s="154" t="s">
        <v>6257</v>
      </c>
      <c r="J1501" s="621" t="s">
        <v>12631</v>
      </c>
      <c r="K1501" s="621" t="s">
        <v>6209</v>
      </c>
      <c r="L1501" s="621">
        <v>3</v>
      </c>
      <c r="M1501" s="154">
        <v>0</v>
      </c>
    </row>
    <row r="1502" spans="1:16" ht="11.1" customHeight="1">
      <c r="A1502" s="154" t="s">
        <v>14586</v>
      </c>
      <c r="B1502" s="297" t="s">
        <v>12590</v>
      </c>
      <c r="C1502" s="617">
        <v>4</v>
      </c>
      <c r="D1502" s="618" t="s">
        <v>9513</v>
      </c>
      <c r="E1502" s="619">
        <v>0</v>
      </c>
      <c r="F1502" s="154">
        <v>98.88</v>
      </c>
      <c r="G1502" s="154" t="s">
        <v>7844</v>
      </c>
      <c r="H1502" s="620">
        <v>52</v>
      </c>
      <c r="I1502" s="154" t="s">
        <v>6257</v>
      </c>
      <c r="J1502" s="621" t="s">
        <v>12028</v>
      </c>
      <c r="K1502" s="621" t="s">
        <v>6209</v>
      </c>
      <c r="L1502" s="621">
        <v>1</v>
      </c>
      <c r="M1502" s="154" t="s">
        <v>12638</v>
      </c>
    </row>
    <row r="1503" spans="1:16" ht="11.1" customHeight="1">
      <c r="A1503" s="154" t="s">
        <v>14587</v>
      </c>
      <c r="B1503" s="297" t="s">
        <v>12590</v>
      </c>
      <c r="C1503" s="617">
        <v>4</v>
      </c>
      <c r="D1503" s="618" t="s">
        <v>9525</v>
      </c>
      <c r="E1503" s="619">
        <v>0</v>
      </c>
      <c r="F1503" s="154">
        <v>95.99</v>
      </c>
      <c r="G1503" s="154" t="s">
        <v>12372</v>
      </c>
      <c r="H1503" s="620">
        <v>48</v>
      </c>
      <c r="I1503" s="154" t="s">
        <v>6257</v>
      </c>
      <c r="J1503" s="621" t="s">
        <v>12635</v>
      </c>
      <c r="K1503" s="621" t="s">
        <v>6283</v>
      </c>
      <c r="L1503" s="621">
        <v>1</v>
      </c>
      <c r="M1503" s="154" t="s">
        <v>12638</v>
      </c>
    </row>
    <row r="1504" spans="1:16" ht="11.1" customHeight="1">
      <c r="A1504" s="154" t="s">
        <v>14588</v>
      </c>
      <c r="B1504" s="297" t="s">
        <v>12590</v>
      </c>
      <c r="C1504" s="617">
        <v>4</v>
      </c>
      <c r="D1504" s="618" t="s">
        <v>9507</v>
      </c>
      <c r="E1504" s="619">
        <v>0</v>
      </c>
      <c r="F1504" s="154">
        <v>94.29</v>
      </c>
      <c r="G1504" s="154" t="s">
        <v>7778</v>
      </c>
      <c r="H1504" s="620">
        <v>33</v>
      </c>
      <c r="I1504" s="154" t="s">
        <v>6257</v>
      </c>
      <c r="J1504" s="621" t="s">
        <v>12635</v>
      </c>
      <c r="K1504" s="621" t="s">
        <v>6036</v>
      </c>
      <c r="L1504" s="621">
        <v>0</v>
      </c>
      <c r="M1504" s="154" t="s">
        <v>12638</v>
      </c>
    </row>
    <row r="1505" spans="1:13" ht="11.1" customHeight="1">
      <c r="A1505" s="154" t="s">
        <v>14589</v>
      </c>
      <c r="B1505" s="297" t="s">
        <v>12590</v>
      </c>
      <c r="C1505" s="617">
        <v>4</v>
      </c>
      <c r="D1505" s="618" t="s">
        <v>9531</v>
      </c>
      <c r="E1505" s="619">
        <v>0</v>
      </c>
      <c r="F1505" s="154">
        <v>93.41</v>
      </c>
      <c r="G1505" s="154" t="s">
        <v>12348</v>
      </c>
      <c r="H1505" s="620">
        <v>45</v>
      </c>
      <c r="I1505" s="154" t="s">
        <v>6257</v>
      </c>
      <c r="J1505" s="621" t="s">
        <v>12621</v>
      </c>
      <c r="K1505" s="621" t="s">
        <v>6209</v>
      </c>
      <c r="L1505" s="621">
        <v>1</v>
      </c>
      <c r="M1505" s="154" t="s">
        <v>12638</v>
      </c>
    </row>
    <row r="1506" spans="1:13" ht="11.1" customHeight="1">
      <c r="A1506" s="154" t="s">
        <v>14590</v>
      </c>
      <c r="B1506" s="297" t="s">
        <v>12590</v>
      </c>
      <c r="C1506" s="617">
        <v>4</v>
      </c>
      <c r="D1506" s="618" t="s">
        <v>9543</v>
      </c>
      <c r="E1506" s="619">
        <v>0</v>
      </c>
      <c r="F1506" s="154">
        <v>89.89</v>
      </c>
      <c r="G1506" s="154" t="s">
        <v>12350</v>
      </c>
      <c r="H1506" s="620">
        <v>56</v>
      </c>
      <c r="I1506" s="154" t="s">
        <v>6257</v>
      </c>
      <c r="J1506" s="621" t="s">
        <v>12635</v>
      </c>
      <c r="K1506" s="621" t="s">
        <v>6036</v>
      </c>
      <c r="L1506" s="621">
        <v>0</v>
      </c>
      <c r="M1506" s="154" t="s">
        <v>12638</v>
      </c>
    </row>
    <row r="1507" spans="1:13" ht="11.1" customHeight="1">
      <c r="A1507" s="154" t="s">
        <v>14591</v>
      </c>
      <c r="B1507" s="297" t="s">
        <v>12590</v>
      </c>
      <c r="C1507" s="617">
        <v>4</v>
      </c>
      <c r="D1507" s="618" t="s">
        <v>9489</v>
      </c>
      <c r="E1507" s="619">
        <v>0</v>
      </c>
      <c r="F1507" s="154">
        <v>88.55</v>
      </c>
      <c r="G1507" s="154" t="s">
        <v>12426</v>
      </c>
      <c r="H1507" s="620">
        <v>65</v>
      </c>
      <c r="I1507" s="154" t="s">
        <v>6257</v>
      </c>
      <c r="J1507" s="621" t="s">
        <v>12621</v>
      </c>
      <c r="K1507" s="621" t="s">
        <v>6209</v>
      </c>
      <c r="L1507" s="621">
        <v>2</v>
      </c>
      <c r="M1507" s="154" t="s">
        <v>12638</v>
      </c>
    </row>
    <row r="1508" spans="1:13" ht="11.1" customHeight="1">
      <c r="A1508" s="154" t="s">
        <v>14592</v>
      </c>
      <c r="C1508" s="617">
        <v>4</v>
      </c>
      <c r="D1508" s="618" t="s">
        <v>9533</v>
      </c>
      <c r="E1508" s="619">
        <v>0</v>
      </c>
      <c r="F1508" s="154">
        <v>88.19</v>
      </c>
      <c r="G1508" s="154" t="s">
        <v>12407</v>
      </c>
      <c r="H1508" s="620">
        <v>56</v>
      </c>
      <c r="I1508" s="154" t="s">
        <v>6257</v>
      </c>
      <c r="J1508" s="621" t="s">
        <v>12635</v>
      </c>
      <c r="K1508" s="621" t="s">
        <v>6209</v>
      </c>
      <c r="L1508" s="621">
        <v>2</v>
      </c>
      <c r="M1508" s="154" t="s">
        <v>12638</v>
      </c>
    </row>
    <row r="1509" spans="1:13" ht="11.1" customHeight="1">
      <c r="A1509" s="154" t="s">
        <v>14593</v>
      </c>
      <c r="C1509" s="617">
        <v>4</v>
      </c>
      <c r="D1509" s="618" t="s">
        <v>9545</v>
      </c>
      <c r="E1509" s="619">
        <v>0</v>
      </c>
      <c r="F1509" s="154">
        <v>85.59</v>
      </c>
      <c r="G1509" s="154" t="s">
        <v>13529</v>
      </c>
      <c r="H1509" s="620">
        <v>60</v>
      </c>
      <c r="I1509" s="154" t="s">
        <v>6257</v>
      </c>
      <c r="J1509" s="621" t="s">
        <v>12621</v>
      </c>
      <c r="K1509" s="621" t="s">
        <v>6209</v>
      </c>
      <c r="L1509" s="621">
        <v>1</v>
      </c>
      <c r="M1509" s="154" t="s">
        <v>12638</v>
      </c>
    </row>
    <row r="1510" spans="1:13" ht="11.1" customHeight="1">
      <c r="A1510" s="154" t="s">
        <v>14594</v>
      </c>
      <c r="C1510" s="617">
        <v>4</v>
      </c>
      <c r="D1510" s="618" t="s">
        <v>9495</v>
      </c>
      <c r="E1510" s="619">
        <v>0</v>
      </c>
      <c r="F1510" s="154">
        <v>82.63</v>
      </c>
      <c r="G1510" s="154" t="s">
        <v>7828</v>
      </c>
      <c r="H1510" s="620">
        <v>32</v>
      </c>
      <c r="I1510" s="154" t="s">
        <v>6257</v>
      </c>
      <c r="J1510" s="621" t="s">
        <v>12635</v>
      </c>
      <c r="K1510" s="621" t="s">
        <v>6209</v>
      </c>
      <c r="L1510" s="621">
        <v>1</v>
      </c>
      <c r="M1510" s="154" t="s">
        <v>12638</v>
      </c>
    </row>
    <row r="1511" spans="1:13" ht="11.1" customHeight="1">
      <c r="A1511" s="154" t="s">
        <v>14595</v>
      </c>
      <c r="C1511" s="617">
        <v>4</v>
      </c>
      <c r="D1511" s="618" t="s">
        <v>9549</v>
      </c>
      <c r="E1511" s="619">
        <v>0</v>
      </c>
      <c r="F1511" s="154">
        <v>82.41</v>
      </c>
      <c r="G1511" s="154" t="s">
        <v>8020</v>
      </c>
      <c r="H1511" s="620">
        <v>42</v>
      </c>
      <c r="I1511" s="154" t="s">
        <v>6257</v>
      </c>
      <c r="J1511" s="621" t="s">
        <v>12631</v>
      </c>
      <c r="K1511" s="621" t="s">
        <v>6209</v>
      </c>
      <c r="L1511" s="621">
        <v>3</v>
      </c>
      <c r="M1511" s="154" t="s">
        <v>12622</v>
      </c>
    </row>
    <row r="1512" spans="1:13" ht="11.1" customHeight="1">
      <c r="A1512" s="154" t="s">
        <v>14596</v>
      </c>
      <c r="C1512" s="617">
        <v>4</v>
      </c>
      <c r="D1512" s="618" t="s">
        <v>9537</v>
      </c>
      <c r="E1512" s="619">
        <v>0</v>
      </c>
      <c r="F1512" s="154">
        <v>78.97</v>
      </c>
      <c r="G1512" s="154" t="s">
        <v>7999</v>
      </c>
      <c r="H1512" s="620">
        <v>51</v>
      </c>
      <c r="I1512" s="154" t="s">
        <v>6257</v>
      </c>
      <c r="J1512" s="621" t="s">
        <v>12621</v>
      </c>
      <c r="K1512" s="621" t="s">
        <v>6283</v>
      </c>
      <c r="L1512" s="621">
        <v>1</v>
      </c>
      <c r="M1512" s="154" t="s">
        <v>12638</v>
      </c>
    </row>
    <row r="1513" spans="1:13" ht="11.1" customHeight="1">
      <c r="A1513" s="154" t="s">
        <v>14597</v>
      </c>
      <c r="C1513" s="617">
        <v>4</v>
      </c>
      <c r="D1513" s="618" t="s">
        <v>9517</v>
      </c>
      <c r="E1513" s="619">
        <v>0</v>
      </c>
      <c r="F1513" s="154">
        <v>77.87</v>
      </c>
      <c r="G1513" s="154" t="s">
        <v>7810</v>
      </c>
      <c r="H1513" s="620">
        <v>39</v>
      </c>
      <c r="I1513" s="154" t="s">
        <v>6257</v>
      </c>
      <c r="J1513" s="621" t="s">
        <v>12617</v>
      </c>
      <c r="K1513" s="621" t="s">
        <v>6036</v>
      </c>
      <c r="L1513" s="621">
        <v>0</v>
      </c>
      <c r="M1513" s="154" t="s">
        <v>12622</v>
      </c>
    </row>
    <row r="1514" spans="1:13" ht="11.1" customHeight="1">
      <c r="A1514" s="154" t="s">
        <v>14598</v>
      </c>
      <c r="C1514" s="617">
        <v>4</v>
      </c>
      <c r="D1514" s="618" t="s">
        <v>9539</v>
      </c>
      <c r="E1514" s="619">
        <v>0</v>
      </c>
      <c r="F1514" s="154">
        <v>77.010000000000005</v>
      </c>
      <c r="G1514" s="154" t="s">
        <v>13519</v>
      </c>
      <c r="H1514" s="620">
        <v>61</v>
      </c>
      <c r="I1514" s="154" t="s">
        <v>6257</v>
      </c>
      <c r="J1514" s="621" t="s">
        <v>12621</v>
      </c>
      <c r="K1514" s="621" t="s">
        <v>6209</v>
      </c>
      <c r="L1514" s="621">
        <v>2</v>
      </c>
      <c r="M1514" s="154" t="s">
        <v>12638</v>
      </c>
    </row>
    <row r="1515" spans="1:13" ht="11.1" customHeight="1">
      <c r="A1515" s="154" t="s">
        <v>14599</v>
      </c>
      <c r="C1515" s="617">
        <v>4</v>
      </c>
      <c r="D1515" s="618" t="s">
        <v>9529</v>
      </c>
      <c r="E1515" s="619">
        <v>0</v>
      </c>
      <c r="F1515" s="154">
        <v>76.03</v>
      </c>
      <c r="G1515" s="154" t="s">
        <v>13556</v>
      </c>
      <c r="H1515" s="620">
        <v>71</v>
      </c>
      <c r="I1515" s="154" t="s">
        <v>6257</v>
      </c>
      <c r="J1515" s="621" t="s">
        <v>12617</v>
      </c>
      <c r="K1515" s="621" t="s">
        <v>6283</v>
      </c>
      <c r="L1515" s="621">
        <v>8</v>
      </c>
      <c r="M1515" s="154" t="s">
        <v>12622</v>
      </c>
    </row>
    <row r="1516" spans="1:13" ht="11.1" customHeight="1">
      <c r="A1516" s="154" t="s">
        <v>14600</v>
      </c>
      <c r="C1516" s="617">
        <v>4</v>
      </c>
      <c r="D1516" s="618" t="s">
        <v>9569</v>
      </c>
      <c r="E1516" s="619">
        <v>0</v>
      </c>
      <c r="F1516" s="154">
        <v>75.459999999999994</v>
      </c>
      <c r="G1516" s="154" t="s">
        <v>7987</v>
      </c>
      <c r="H1516" s="620">
        <v>72</v>
      </c>
      <c r="I1516" s="154" t="s">
        <v>6257</v>
      </c>
      <c r="J1516" s="621" t="s">
        <v>12651</v>
      </c>
      <c r="K1516" s="621" t="s">
        <v>6209</v>
      </c>
      <c r="L1516" s="621">
        <v>3</v>
      </c>
      <c r="M1516" s="154" t="s">
        <v>12638</v>
      </c>
    </row>
    <row r="1517" spans="1:13" ht="11.1" customHeight="1">
      <c r="A1517" s="154" t="s">
        <v>14601</v>
      </c>
      <c r="C1517" s="617">
        <v>4</v>
      </c>
      <c r="D1517" s="618" t="s">
        <v>9509</v>
      </c>
      <c r="E1517" s="619">
        <v>0</v>
      </c>
      <c r="F1517" s="154">
        <v>74.8</v>
      </c>
      <c r="G1517" s="154" t="s">
        <v>7887</v>
      </c>
      <c r="H1517" s="620">
        <v>64</v>
      </c>
      <c r="I1517" s="154" t="s">
        <v>6257</v>
      </c>
      <c r="J1517" s="621" t="s">
        <v>12621</v>
      </c>
      <c r="K1517" s="621" t="s">
        <v>6209</v>
      </c>
      <c r="L1517" s="621">
        <v>1</v>
      </c>
      <c r="M1517" s="154">
        <v>0</v>
      </c>
    </row>
    <row r="1518" spans="1:13" ht="11.1" customHeight="1">
      <c r="A1518" s="154" t="s">
        <v>14602</v>
      </c>
      <c r="C1518" s="617">
        <v>4</v>
      </c>
      <c r="D1518" s="618" t="s">
        <v>9505</v>
      </c>
      <c r="E1518" s="619">
        <v>0</v>
      </c>
      <c r="F1518" s="154">
        <v>72.849999999999994</v>
      </c>
      <c r="G1518" s="154" t="s">
        <v>7670</v>
      </c>
      <c r="H1518" s="620">
        <v>38</v>
      </c>
      <c r="I1518" s="154" t="s">
        <v>6257</v>
      </c>
      <c r="J1518" s="621" t="s">
        <v>12617</v>
      </c>
      <c r="K1518" s="621" t="s">
        <v>6036</v>
      </c>
      <c r="L1518" s="621">
        <v>0</v>
      </c>
      <c r="M1518" s="154" t="s">
        <v>12622</v>
      </c>
    </row>
    <row r="1519" spans="1:13" ht="11.1" customHeight="1">
      <c r="A1519" s="154" t="s">
        <v>14603</v>
      </c>
      <c r="C1519" s="617">
        <v>4</v>
      </c>
      <c r="D1519" s="618" t="s">
        <v>9523</v>
      </c>
      <c r="E1519" s="619">
        <v>0</v>
      </c>
      <c r="F1519" s="154">
        <v>69.02</v>
      </c>
      <c r="G1519" s="154" t="s">
        <v>13632</v>
      </c>
      <c r="H1519" s="620">
        <v>62</v>
      </c>
      <c r="I1519" s="154" t="s">
        <v>6257</v>
      </c>
      <c r="J1519" s="621" t="s">
        <v>12635</v>
      </c>
      <c r="K1519" s="621" t="s">
        <v>6036</v>
      </c>
      <c r="L1519" s="621">
        <v>0</v>
      </c>
      <c r="M1519" s="154" t="s">
        <v>6260</v>
      </c>
    </row>
    <row r="1520" spans="1:13" ht="11.1" customHeight="1">
      <c r="A1520" s="154" t="s">
        <v>14604</v>
      </c>
      <c r="C1520" s="617">
        <v>4</v>
      </c>
      <c r="D1520" s="618" t="s">
        <v>9553</v>
      </c>
      <c r="E1520" s="619">
        <v>0</v>
      </c>
      <c r="F1520" s="154">
        <v>64.87</v>
      </c>
      <c r="G1520" s="154" t="s">
        <v>13515</v>
      </c>
      <c r="H1520" s="620">
        <v>61</v>
      </c>
      <c r="I1520" s="154" t="s">
        <v>6257</v>
      </c>
      <c r="J1520" s="621" t="s">
        <v>12621</v>
      </c>
      <c r="K1520" s="621" t="s">
        <v>6036</v>
      </c>
      <c r="L1520" s="621">
        <v>0</v>
      </c>
      <c r="M1520" s="154" t="s">
        <v>12638</v>
      </c>
    </row>
    <row r="1521" spans="1:13" ht="11.1" customHeight="1">
      <c r="A1521" s="154" t="s">
        <v>14605</v>
      </c>
      <c r="C1521" s="617">
        <v>40</v>
      </c>
      <c r="D1521" s="618" t="s">
        <v>8608</v>
      </c>
      <c r="E1521" s="619">
        <v>0</v>
      </c>
      <c r="F1521" s="154" t="s">
        <v>6262</v>
      </c>
      <c r="G1521" s="154" t="s">
        <v>14606</v>
      </c>
      <c r="H1521" s="620">
        <v>60</v>
      </c>
      <c r="I1521" s="154" t="s">
        <v>6257</v>
      </c>
      <c r="J1521" s="621" t="s">
        <v>12635</v>
      </c>
      <c r="K1521" s="621" t="s">
        <v>6209</v>
      </c>
      <c r="L1521" s="621">
        <v>1</v>
      </c>
      <c r="M1521" s="154">
        <v>0</v>
      </c>
    </row>
    <row r="1522" spans="1:13" ht="11.1" customHeight="1">
      <c r="A1522" s="154" t="s">
        <v>14607</v>
      </c>
      <c r="C1522" s="617">
        <v>41</v>
      </c>
      <c r="D1522" s="618" t="s">
        <v>8608</v>
      </c>
      <c r="E1522" s="619">
        <v>0</v>
      </c>
      <c r="F1522" s="154" t="s">
        <v>6262</v>
      </c>
      <c r="G1522" s="154" t="s">
        <v>9559</v>
      </c>
      <c r="H1522" s="620">
        <v>62</v>
      </c>
      <c r="I1522" s="154" t="s">
        <v>6257</v>
      </c>
      <c r="J1522" s="621" t="s">
        <v>12617</v>
      </c>
      <c r="K1522" s="621" t="s">
        <v>6036</v>
      </c>
      <c r="L1522" s="621">
        <v>0</v>
      </c>
      <c r="M1522" s="154">
        <v>0</v>
      </c>
    </row>
    <row r="1523" spans="1:13" ht="11.1" customHeight="1">
      <c r="A1523" s="154" t="s">
        <v>14608</v>
      </c>
      <c r="C1523" s="617">
        <v>42</v>
      </c>
      <c r="D1523" s="618" t="s">
        <v>8608</v>
      </c>
      <c r="E1523" s="619">
        <v>0</v>
      </c>
      <c r="F1523" s="154" t="s">
        <v>6262</v>
      </c>
      <c r="G1523" s="154" t="s">
        <v>14609</v>
      </c>
      <c r="H1523" s="620">
        <v>55</v>
      </c>
      <c r="I1523" s="154" t="s">
        <v>6257</v>
      </c>
      <c r="J1523" s="621" t="s">
        <v>12617</v>
      </c>
      <c r="K1523" s="621" t="s">
        <v>6036</v>
      </c>
      <c r="L1523" s="621">
        <v>0</v>
      </c>
      <c r="M1523" s="154">
        <v>0</v>
      </c>
    </row>
    <row r="1524" spans="1:13" ht="11.1" customHeight="1">
      <c r="A1524" s="154" t="s">
        <v>14610</v>
      </c>
      <c r="C1524" s="617">
        <v>43</v>
      </c>
      <c r="D1524" s="618" t="s">
        <v>8608</v>
      </c>
      <c r="E1524" s="619">
        <v>0</v>
      </c>
      <c r="F1524" s="154" t="s">
        <v>6262</v>
      </c>
      <c r="G1524" s="154" t="s">
        <v>14611</v>
      </c>
      <c r="H1524" s="620">
        <v>67</v>
      </c>
      <c r="I1524" s="154" t="s">
        <v>6257</v>
      </c>
      <c r="J1524" s="621" t="s">
        <v>12617</v>
      </c>
      <c r="K1524" s="621" t="s">
        <v>6036</v>
      </c>
      <c r="L1524" s="621">
        <v>0</v>
      </c>
      <c r="M1524" s="154">
        <v>0</v>
      </c>
    </row>
    <row r="1525" spans="1:13" ht="11.1" customHeight="1">
      <c r="A1525" s="154" t="s">
        <v>14612</v>
      </c>
      <c r="B1525" s="297" t="s">
        <v>14048</v>
      </c>
      <c r="C1525" s="617">
        <v>4</v>
      </c>
      <c r="D1525" s="618" t="s">
        <v>9541</v>
      </c>
      <c r="E1525" s="619">
        <v>0</v>
      </c>
      <c r="F1525" s="154" t="s">
        <v>6251</v>
      </c>
      <c r="G1525" s="154" t="s">
        <v>12352</v>
      </c>
      <c r="H1525" s="620">
        <v>62</v>
      </c>
      <c r="I1525" s="154" t="s">
        <v>6257</v>
      </c>
      <c r="J1525" s="621" t="s">
        <v>12651</v>
      </c>
      <c r="K1525" s="621" t="s">
        <v>6209</v>
      </c>
      <c r="L1525" s="621">
        <v>2</v>
      </c>
      <c r="M1525" s="154" t="s">
        <v>12638</v>
      </c>
    </row>
    <row r="1526" spans="1:13" ht="11.1" customHeight="1">
      <c r="A1526" s="154" t="s">
        <v>14613</v>
      </c>
      <c r="B1526" s="297" t="s">
        <v>14048</v>
      </c>
      <c r="C1526" s="617">
        <v>4</v>
      </c>
      <c r="D1526" s="618" t="s">
        <v>9497</v>
      </c>
      <c r="E1526" s="619">
        <v>0</v>
      </c>
      <c r="F1526" s="154" t="s">
        <v>6251</v>
      </c>
      <c r="G1526" s="154" t="s">
        <v>7700</v>
      </c>
      <c r="H1526" s="620">
        <v>65</v>
      </c>
      <c r="I1526" s="154" t="s">
        <v>6257</v>
      </c>
      <c r="J1526" s="621" t="s">
        <v>12635</v>
      </c>
      <c r="K1526" s="621" t="s">
        <v>6209</v>
      </c>
      <c r="L1526" s="621">
        <v>6</v>
      </c>
      <c r="M1526" s="154" t="s">
        <v>12638</v>
      </c>
    </row>
    <row r="1527" spans="1:13" ht="11.1" customHeight="1">
      <c r="A1527" s="154" t="s">
        <v>14614</v>
      </c>
      <c r="B1527" s="297" t="s">
        <v>14048</v>
      </c>
      <c r="C1527" s="617">
        <v>4</v>
      </c>
      <c r="D1527" s="618" t="s">
        <v>9557</v>
      </c>
      <c r="E1527" s="619">
        <v>0</v>
      </c>
      <c r="F1527" s="154" t="s">
        <v>6251</v>
      </c>
      <c r="G1527" s="154" t="s">
        <v>7726</v>
      </c>
      <c r="H1527" s="620">
        <v>59</v>
      </c>
      <c r="I1527" s="154" t="s">
        <v>6257</v>
      </c>
      <c r="J1527" s="621" t="s">
        <v>12651</v>
      </c>
      <c r="K1527" s="621" t="s">
        <v>6036</v>
      </c>
      <c r="L1527" s="621">
        <v>0</v>
      </c>
      <c r="M1527" s="154" t="s">
        <v>12638</v>
      </c>
    </row>
    <row r="1528" spans="1:13" ht="11.1" customHeight="1">
      <c r="A1528" s="154" t="s">
        <v>14615</v>
      </c>
      <c r="B1528" s="297" t="s">
        <v>14048</v>
      </c>
      <c r="C1528" s="617">
        <v>4</v>
      </c>
      <c r="D1528" s="618" t="s">
        <v>9565</v>
      </c>
      <c r="E1528" s="619">
        <v>0</v>
      </c>
      <c r="F1528" s="154" t="s">
        <v>6251</v>
      </c>
      <c r="G1528" s="154" t="s">
        <v>7734</v>
      </c>
      <c r="H1528" s="620">
        <v>58</v>
      </c>
      <c r="I1528" s="154" t="s">
        <v>6257</v>
      </c>
      <c r="J1528" s="621" t="s">
        <v>12773</v>
      </c>
      <c r="K1528" s="621" t="s">
        <v>6209</v>
      </c>
      <c r="L1528" s="621">
        <v>7</v>
      </c>
      <c r="M1528" s="154" t="s">
        <v>12638</v>
      </c>
    </row>
    <row r="1529" spans="1:13" ht="11.1" customHeight="1">
      <c r="A1529" s="154" t="s">
        <v>14616</v>
      </c>
      <c r="B1529" s="297" t="s">
        <v>14048</v>
      </c>
      <c r="C1529" s="617">
        <v>4</v>
      </c>
      <c r="D1529" s="618" t="s">
        <v>9519</v>
      </c>
      <c r="E1529" s="619">
        <v>0</v>
      </c>
      <c r="F1529" s="154" t="s">
        <v>6251</v>
      </c>
      <c r="G1529" s="154" t="s">
        <v>7750</v>
      </c>
      <c r="H1529" s="620">
        <v>67</v>
      </c>
      <c r="I1529" s="154" t="s">
        <v>6257</v>
      </c>
      <c r="J1529" s="621" t="s">
        <v>12975</v>
      </c>
      <c r="K1529" s="621" t="s">
        <v>6209</v>
      </c>
      <c r="L1529" s="621">
        <v>7</v>
      </c>
      <c r="M1529" s="154" t="s">
        <v>12638</v>
      </c>
    </row>
    <row r="1530" spans="1:13" ht="11.1" customHeight="1">
      <c r="A1530" s="154" t="s">
        <v>14617</v>
      </c>
      <c r="B1530" s="297" t="s">
        <v>14048</v>
      </c>
      <c r="C1530" s="617">
        <v>4</v>
      </c>
      <c r="D1530" s="618" t="s">
        <v>9555</v>
      </c>
      <c r="E1530" s="619">
        <v>0</v>
      </c>
      <c r="F1530" s="154" t="s">
        <v>6251</v>
      </c>
      <c r="G1530" s="154" t="s">
        <v>12360</v>
      </c>
      <c r="H1530" s="620">
        <v>52</v>
      </c>
      <c r="I1530" s="154" t="s">
        <v>6257</v>
      </c>
      <c r="J1530" s="621" t="s">
        <v>12651</v>
      </c>
      <c r="K1530" s="621" t="s">
        <v>6209</v>
      </c>
      <c r="L1530" s="621">
        <v>1</v>
      </c>
      <c r="M1530" s="154" t="s">
        <v>12638</v>
      </c>
    </row>
    <row r="1531" spans="1:13" ht="11.1" customHeight="1">
      <c r="A1531" s="154" t="s">
        <v>14618</v>
      </c>
      <c r="B1531" s="297" t="s">
        <v>14048</v>
      </c>
      <c r="C1531" s="617">
        <v>4</v>
      </c>
      <c r="D1531" s="618" t="s">
        <v>9567</v>
      </c>
      <c r="E1531" s="619">
        <v>0</v>
      </c>
      <c r="F1531" s="154" t="s">
        <v>6251</v>
      </c>
      <c r="G1531" s="154" t="s">
        <v>13592</v>
      </c>
      <c r="H1531" s="620">
        <v>63</v>
      </c>
      <c r="I1531" s="154" t="s">
        <v>6257</v>
      </c>
      <c r="J1531" s="621" t="s">
        <v>12651</v>
      </c>
      <c r="K1531" s="621" t="s">
        <v>6209</v>
      </c>
      <c r="L1531" s="621">
        <v>2</v>
      </c>
      <c r="M1531" s="154" t="s">
        <v>12638</v>
      </c>
    </row>
    <row r="1532" spans="1:13" ht="11.1" customHeight="1">
      <c r="A1532" s="154" t="s">
        <v>14619</v>
      </c>
      <c r="B1532" s="297" t="s">
        <v>14048</v>
      </c>
      <c r="C1532" s="617">
        <v>4</v>
      </c>
      <c r="D1532" s="618" t="s">
        <v>9501</v>
      </c>
      <c r="E1532" s="619">
        <v>0</v>
      </c>
      <c r="F1532" s="154" t="s">
        <v>6251</v>
      </c>
      <c r="G1532" s="154" t="s">
        <v>12378</v>
      </c>
      <c r="H1532" s="620">
        <v>56</v>
      </c>
      <c r="I1532" s="154" t="s">
        <v>6257</v>
      </c>
      <c r="J1532" s="621" t="s">
        <v>12631</v>
      </c>
      <c r="K1532" s="621" t="s">
        <v>6209</v>
      </c>
      <c r="L1532" s="621">
        <v>2</v>
      </c>
      <c r="M1532" s="154" t="s">
        <v>12638</v>
      </c>
    </row>
    <row r="1533" spans="1:13" ht="11.1" customHeight="1">
      <c r="A1533" s="154" t="s">
        <v>14620</v>
      </c>
      <c r="B1533" s="297" t="s">
        <v>14048</v>
      </c>
      <c r="C1533" s="617">
        <v>4</v>
      </c>
      <c r="D1533" s="618" t="s">
        <v>9491</v>
      </c>
      <c r="E1533" s="619">
        <v>0</v>
      </c>
      <c r="F1533" s="154" t="s">
        <v>6251</v>
      </c>
      <c r="G1533" s="154" t="s">
        <v>7871</v>
      </c>
      <c r="H1533" s="620">
        <v>62</v>
      </c>
      <c r="I1533" s="154" t="s">
        <v>6257</v>
      </c>
      <c r="J1533" s="621" t="s">
        <v>12651</v>
      </c>
      <c r="K1533" s="621" t="s">
        <v>6209</v>
      </c>
      <c r="L1533" s="621">
        <v>2</v>
      </c>
      <c r="M1533" s="154" t="s">
        <v>12638</v>
      </c>
    </row>
    <row r="1534" spans="1:13" ht="11.1" customHeight="1">
      <c r="A1534" s="154" t="s">
        <v>14621</v>
      </c>
      <c r="B1534" s="297" t="s">
        <v>14048</v>
      </c>
      <c r="C1534" s="617">
        <v>4</v>
      </c>
      <c r="D1534" s="618" t="s">
        <v>9521</v>
      </c>
      <c r="E1534" s="619">
        <v>0</v>
      </c>
      <c r="F1534" s="154" t="s">
        <v>6251</v>
      </c>
      <c r="G1534" s="154" t="s">
        <v>13622</v>
      </c>
      <c r="H1534" s="620">
        <v>69</v>
      </c>
      <c r="I1534" s="154" t="s">
        <v>6257</v>
      </c>
      <c r="J1534" s="621" t="s">
        <v>12028</v>
      </c>
      <c r="K1534" s="621" t="s">
        <v>6209</v>
      </c>
      <c r="L1534" s="621">
        <v>2</v>
      </c>
      <c r="M1534" s="154" t="s">
        <v>12638</v>
      </c>
    </row>
    <row r="1535" spans="1:13" ht="11.1" customHeight="1">
      <c r="A1535" s="154" t="s">
        <v>14622</v>
      </c>
      <c r="B1535" s="297" t="s">
        <v>14048</v>
      </c>
      <c r="C1535" s="617">
        <v>4</v>
      </c>
      <c r="D1535" s="618" t="s">
        <v>9499</v>
      </c>
      <c r="E1535" s="619">
        <v>0</v>
      </c>
      <c r="F1535" s="154" t="s">
        <v>6251</v>
      </c>
      <c r="G1535" s="154" t="s">
        <v>12400</v>
      </c>
      <c r="H1535" s="620">
        <v>51</v>
      </c>
      <c r="I1535" s="154" t="s">
        <v>6257</v>
      </c>
      <c r="J1535" s="621" t="s">
        <v>12635</v>
      </c>
      <c r="K1535" s="621" t="s">
        <v>6036</v>
      </c>
      <c r="L1535" s="621">
        <v>0</v>
      </c>
      <c r="M1535" s="154" t="s">
        <v>12638</v>
      </c>
    </row>
    <row r="1536" spans="1:13" ht="11.1" customHeight="1">
      <c r="A1536" s="154" t="s">
        <v>14623</v>
      </c>
      <c r="B1536" s="297" t="s">
        <v>14048</v>
      </c>
      <c r="C1536" s="617">
        <v>4</v>
      </c>
      <c r="D1536" s="618" t="s">
        <v>9547</v>
      </c>
      <c r="E1536" s="619">
        <v>0</v>
      </c>
      <c r="F1536" s="154" t="s">
        <v>6251</v>
      </c>
      <c r="G1536" s="154" t="s">
        <v>7969</v>
      </c>
      <c r="H1536" s="620">
        <v>61</v>
      </c>
      <c r="I1536" s="154" t="s">
        <v>6257</v>
      </c>
      <c r="J1536" s="621" t="s">
        <v>12674</v>
      </c>
      <c r="K1536" s="621" t="s">
        <v>6036</v>
      </c>
      <c r="L1536" s="621">
        <v>0</v>
      </c>
      <c r="M1536" s="154" t="s">
        <v>12638</v>
      </c>
    </row>
    <row r="1537" spans="1:16" ht="11.1" customHeight="1">
      <c r="A1537" s="154" t="s">
        <v>14624</v>
      </c>
      <c r="B1537" s="297" t="s">
        <v>14048</v>
      </c>
      <c r="C1537" s="617">
        <v>4</v>
      </c>
      <c r="D1537" s="618" t="s">
        <v>9503</v>
      </c>
      <c r="E1537" s="619">
        <v>0</v>
      </c>
      <c r="F1537" s="154" t="s">
        <v>6251</v>
      </c>
      <c r="G1537" s="154" t="s">
        <v>8005</v>
      </c>
      <c r="H1537" s="620">
        <v>53</v>
      </c>
      <c r="I1537" s="154" t="s">
        <v>6257</v>
      </c>
      <c r="J1537" s="621" t="s">
        <v>12028</v>
      </c>
      <c r="K1537" s="621" t="s">
        <v>6283</v>
      </c>
      <c r="L1537" s="621">
        <v>1</v>
      </c>
      <c r="M1537" s="154" t="s">
        <v>12638</v>
      </c>
    </row>
    <row r="1538" spans="1:16" ht="11.1" customHeight="1">
      <c r="A1538" s="154" t="s">
        <v>14625</v>
      </c>
      <c r="B1538" s="297" t="s">
        <v>14048</v>
      </c>
      <c r="C1538" s="617">
        <v>4</v>
      </c>
      <c r="D1538" s="618" t="s">
        <v>9515</v>
      </c>
      <c r="E1538" s="619">
        <v>0</v>
      </c>
      <c r="F1538" s="154" t="s">
        <v>6251</v>
      </c>
      <c r="G1538" s="154" t="s">
        <v>8028</v>
      </c>
      <c r="H1538" s="620">
        <v>59</v>
      </c>
      <c r="I1538" s="154" t="s">
        <v>6257</v>
      </c>
      <c r="J1538" s="621" t="s">
        <v>12617</v>
      </c>
      <c r="K1538" s="621" t="s">
        <v>6036</v>
      </c>
      <c r="L1538" s="621">
        <v>0</v>
      </c>
      <c r="M1538" s="154" t="s">
        <v>12638</v>
      </c>
    </row>
    <row r="1539" spans="1:16" ht="11.1" customHeight="1">
      <c r="A1539" s="154" t="s">
        <v>14626</v>
      </c>
      <c r="B1539" s="297" t="s">
        <v>14048</v>
      </c>
      <c r="C1539" s="617">
        <v>4</v>
      </c>
      <c r="D1539" s="618" t="s">
        <v>9571</v>
      </c>
      <c r="E1539" s="619">
        <v>0</v>
      </c>
      <c r="F1539" s="154" t="s">
        <v>6251</v>
      </c>
      <c r="G1539" s="154" t="s">
        <v>8034</v>
      </c>
      <c r="H1539" s="620">
        <v>60</v>
      </c>
      <c r="I1539" s="154" t="s">
        <v>6257</v>
      </c>
      <c r="J1539" s="621" t="s">
        <v>12674</v>
      </c>
      <c r="K1539" s="621" t="s">
        <v>6209</v>
      </c>
      <c r="L1539" s="621">
        <v>3</v>
      </c>
      <c r="M1539" s="154" t="s">
        <v>12638</v>
      </c>
    </row>
    <row r="1540" spans="1:16" ht="11.1" customHeight="1">
      <c r="A1540" s="154" t="s">
        <v>14627</v>
      </c>
      <c r="B1540" s="297" t="s">
        <v>14048</v>
      </c>
      <c r="C1540" s="617">
        <v>4</v>
      </c>
      <c r="D1540" s="618" t="s">
        <v>14628</v>
      </c>
      <c r="E1540" s="619">
        <v>0</v>
      </c>
      <c r="F1540" s="154" t="s">
        <v>6251</v>
      </c>
      <c r="G1540" s="154" t="s">
        <v>8042</v>
      </c>
      <c r="H1540" s="620">
        <v>37</v>
      </c>
      <c r="I1540" s="154" t="s">
        <v>6257</v>
      </c>
      <c r="J1540" s="621" t="s">
        <v>12631</v>
      </c>
      <c r="K1540" s="621" t="s">
        <v>6209</v>
      </c>
      <c r="L1540" s="621">
        <v>1</v>
      </c>
      <c r="M1540" s="154" t="s">
        <v>12638</v>
      </c>
    </row>
    <row r="1541" spans="1:16" ht="11.1" customHeight="1">
      <c r="A1541" s="154" t="s">
        <v>14629</v>
      </c>
      <c r="B1541" s="297" t="s">
        <v>14048</v>
      </c>
      <c r="C1541" s="617">
        <v>4</v>
      </c>
      <c r="D1541" s="618" t="s">
        <v>14630</v>
      </c>
      <c r="E1541" s="619">
        <v>0</v>
      </c>
      <c r="F1541" s="154" t="s">
        <v>6251</v>
      </c>
      <c r="G1541" s="154" t="s">
        <v>8050</v>
      </c>
      <c r="H1541" s="620">
        <v>51</v>
      </c>
      <c r="I1541" s="154" t="s">
        <v>6257</v>
      </c>
      <c r="J1541" s="621" t="s">
        <v>12674</v>
      </c>
      <c r="K1541" s="621" t="s">
        <v>6209</v>
      </c>
      <c r="L1541" s="621">
        <v>1</v>
      </c>
      <c r="M1541" s="154" t="s">
        <v>12638</v>
      </c>
    </row>
    <row r="1542" spans="1:16" ht="11.1" customHeight="1">
      <c r="A1542" s="154" t="s">
        <v>14631</v>
      </c>
      <c r="B1542" s="297" t="s">
        <v>12590</v>
      </c>
      <c r="C1542" s="617">
        <v>1</v>
      </c>
      <c r="D1542" s="618" t="s">
        <v>9497</v>
      </c>
      <c r="E1542" s="619">
        <v>0</v>
      </c>
      <c r="F1542" s="154">
        <v>75.900000000000006</v>
      </c>
      <c r="G1542" s="154" t="s">
        <v>12353</v>
      </c>
      <c r="H1542" s="620">
        <v>59</v>
      </c>
      <c r="I1542" s="154" t="s">
        <v>6253</v>
      </c>
      <c r="J1542" s="621" t="s">
        <v>12178</v>
      </c>
      <c r="K1542" s="621" t="s">
        <v>6209</v>
      </c>
      <c r="L1542" s="621">
        <v>7</v>
      </c>
      <c r="M1542" s="154">
        <v>0</v>
      </c>
      <c r="N1542" s="298">
        <v>11</v>
      </c>
      <c r="O1542" s="298">
        <v>3425342</v>
      </c>
      <c r="P1542" s="298">
        <v>37.109508814497197</v>
      </c>
    </row>
    <row r="1543" spans="1:16" ht="11.1" customHeight="1">
      <c r="A1543" s="154" t="s">
        <v>14632</v>
      </c>
      <c r="B1543" s="297" t="s">
        <v>12590</v>
      </c>
      <c r="C1543" s="617">
        <v>2</v>
      </c>
      <c r="D1543" s="618" t="s">
        <v>9521</v>
      </c>
      <c r="E1543" s="619">
        <v>0</v>
      </c>
      <c r="F1543" s="154">
        <v>98.89</v>
      </c>
      <c r="G1543" s="154" t="s">
        <v>12386</v>
      </c>
      <c r="H1543" s="620">
        <v>69</v>
      </c>
      <c r="I1543" s="154" t="s">
        <v>6253</v>
      </c>
      <c r="J1543" s="621" t="s">
        <v>11994</v>
      </c>
      <c r="K1543" s="621" t="s">
        <v>6209</v>
      </c>
      <c r="L1543" s="621">
        <v>10</v>
      </c>
      <c r="M1543" s="154">
        <v>0</v>
      </c>
    </row>
    <row r="1544" spans="1:16" ht="11.1" customHeight="1">
      <c r="A1544" s="154" t="s">
        <v>14633</v>
      </c>
      <c r="B1544" s="297" t="s">
        <v>12590</v>
      </c>
      <c r="C1544" s="617">
        <v>2</v>
      </c>
      <c r="D1544" s="618" t="s">
        <v>9499</v>
      </c>
      <c r="E1544" s="619">
        <v>0</v>
      </c>
      <c r="F1544" s="154">
        <v>96.81</v>
      </c>
      <c r="G1544" s="154" t="s">
        <v>7953</v>
      </c>
      <c r="H1544" s="620">
        <v>47</v>
      </c>
      <c r="I1544" s="154" t="s">
        <v>6253</v>
      </c>
      <c r="J1544" s="621" t="s">
        <v>12020</v>
      </c>
      <c r="K1544" s="621" t="s">
        <v>6036</v>
      </c>
      <c r="L1544" s="621">
        <v>0</v>
      </c>
      <c r="M1544" s="154">
        <v>0</v>
      </c>
    </row>
    <row r="1545" spans="1:16" ht="11.1" customHeight="1">
      <c r="A1545" s="154" t="s">
        <v>14634</v>
      </c>
      <c r="B1545" s="297" t="s">
        <v>12590</v>
      </c>
      <c r="C1545" s="617">
        <v>2</v>
      </c>
      <c r="D1545" s="618" t="s">
        <v>9626</v>
      </c>
      <c r="E1545" s="619">
        <v>0</v>
      </c>
      <c r="F1545" s="154">
        <v>96.02</v>
      </c>
      <c r="G1545" s="154" t="s">
        <v>12394</v>
      </c>
      <c r="H1545" s="620">
        <v>40</v>
      </c>
      <c r="I1545" s="154" t="s">
        <v>6253</v>
      </c>
      <c r="J1545" s="621" t="s">
        <v>12007</v>
      </c>
      <c r="K1545" s="621" t="s">
        <v>6036</v>
      </c>
      <c r="L1545" s="621">
        <v>0</v>
      </c>
      <c r="M1545" s="154">
        <v>0</v>
      </c>
    </row>
    <row r="1546" spans="1:16" ht="11.1" customHeight="1">
      <c r="A1546" s="154" t="s">
        <v>14635</v>
      </c>
      <c r="B1546" s="297" t="s">
        <v>12590</v>
      </c>
      <c r="C1546" s="617">
        <v>2</v>
      </c>
      <c r="D1546" s="618" t="s">
        <v>9541</v>
      </c>
      <c r="E1546" s="619">
        <v>0</v>
      </c>
      <c r="F1546" s="154">
        <v>94.95</v>
      </c>
      <c r="G1546" s="154" t="s">
        <v>7690</v>
      </c>
      <c r="H1546" s="620">
        <v>59</v>
      </c>
      <c r="I1546" s="154" t="s">
        <v>6253</v>
      </c>
      <c r="J1546" s="621" t="s">
        <v>12000</v>
      </c>
      <c r="K1546" s="621" t="s">
        <v>6036</v>
      </c>
      <c r="L1546" s="621">
        <v>0</v>
      </c>
      <c r="M1546" s="154">
        <v>0</v>
      </c>
    </row>
    <row r="1547" spans="1:16" ht="11.1" customHeight="1">
      <c r="A1547" s="154" t="s">
        <v>14636</v>
      </c>
      <c r="B1547" s="297" t="s">
        <v>12590</v>
      </c>
      <c r="C1547" s="617">
        <v>2</v>
      </c>
      <c r="D1547" s="618" t="s">
        <v>9608</v>
      </c>
      <c r="E1547" s="619">
        <v>0</v>
      </c>
      <c r="F1547" s="154">
        <v>92.4</v>
      </c>
      <c r="G1547" s="154" t="s">
        <v>7784</v>
      </c>
      <c r="H1547" s="620">
        <v>55</v>
      </c>
      <c r="I1547" s="154" t="s">
        <v>6253</v>
      </c>
      <c r="J1547" s="621" t="s">
        <v>11989</v>
      </c>
      <c r="K1547" s="621" t="s">
        <v>6036</v>
      </c>
      <c r="L1547" s="621">
        <v>0</v>
      </c>
      <c r="M1547" s="154">
        <v>0</v>
      </c>
    </row>
    <row r="1548" spans="1:16" ht="11.1" customHeight="1">
      <c r="A1548" s="154" t="s">
        <v>14637</v>
      </c>
      <c r="B1548" s="297" t="s">
        <v>12590</v>
      </c>
      <c r="C1548" s="617">
        <v>2</v>
      </c>
      <c r="D1548" s="618" t="s">
        <v>9619</v>
      </c>
      <c r="E1548" s="619">
        <v>0</v>
      </c>
      <c r="F1548" s="154">
        <v>85.48</v>
      </c>
      <c r="G1548" s="154" t="s">
        <v>12380</v>
      </c>
      <c r="H1548" s="620">
        <v>36</v>
      </c>
      <c r="I1548" s="154" t="s">
        <v>6253</v>
      </c>
      <c r="J1548" s="621" t="s">
        <v>12007</v>
      </c>
      <c r="K1548" s="621" t="s">
        <v>6036</v>
      </c>
      <c r="L1548" s="621">
        <v>0</v>
      </c>
      <c r="M1548" s="154">
        <v>0</v>
      </c>
    </row>
    <row r="1549" spans="1:16" ht="11.1" customHeight="1">
      <c r="A1549" s="154" t="s">
        <v>14638</v>
      </c>
      <c r="B1549" s="297" t="s">
        <v>12590</v>
      </c>
      <c r="C1549" s="617">
        <v>2</v>
      </c>
      <c r="D1549" s="618" t="s">
        <v>9670</v>
      </c>
      <c r="E1549" s="619">
        <v>0</v>
      </c>
      <c r="F1549" s="154">
        <v>84.2</v>
      </c>
      <c r="G1549" s="154" t="s">
        <v>12413</v>
      </c>
      <c r="H1549" s="620">
        <v>56</v>
      </c>
      <c r="I1549" s="154" t="s">
        <v>6253</v>
      </c>
      <c r="J1549" s="621" t="s">
        <v>12020</v>
      </c>
      <c r="K1549" s="621" t="s">
        <v>6036</v>
      </c>
      <c r="L1549" s="621">
        <v>0</v>
      </c>
      <c r="M1549" s="154">
        <v>0</v>
      </c>
    </row>
    <row r="1550" spans="1:16" ht="11.1" customHeight="1">
      <c r="A1550" s="154" t="s">
        <v>14639</v>
      </c>
      <c r="B1550" s="297" t="s">
        <v>12590</v>
      </c>
      <c r="C1550" s="617">
        <v>2</v>
      </c>
      <c r="D1550" s="618" t="s">
        <v>9622</v>
      </c>
      <c r="E1550" s="619">
        <v>0</v>
      </c>
      <c r="F1550" s="154">
        <v>82.51</v>
      </c>
      <c r="G1550" s="154" t="s">
        <v>12383</v>
      </c>
      <c r="H1550" s="620">
        <v>52</v>
      </c>
      <c r="I1550" s="154" t="s">
        <v>6253</v>
      </c>
      <c r="J1550" s="621" t="s">
        <v>11989</v>
      </c>
      <c r="K1550" s="621" t="s">
        <v>6036</v>
      </c>
      <c r="L1550" s="621">
        <v>0</v>
      </c>
      <c r="M1550" s="154">
        <v>0</v>
      </c>
    </row>
    <row r="1551" spans="1:16" ht="11.1" customHeight="1">
      <c r="A1551" s="154" t="s">
        <v>14640</v>
      </c>
      <c r="B1551" s="297" t="s">
        <v>12590</v>
      </c>
      <c r="C1551" s="617">
        <v>2</v>
      </c>
      <c r="D1551" s="618" t="s">
        <v>14630</v>
      </c>
      <c r="E1551" s="619">
        <v>0</v>
      </c>
      <c r="F1551" s="154">
        <v>81.900000000000006</v>
      </c>
      <c r="G1551" s="154" t="s">
        <v>12432</v>
      </c>
      <c r="H1551" s="620">
        <v>33</v>
      </c>
      <c r="I1551" s="154" t="s">
        <v>6253</v>
      </c>
      <c r="J1551" s="621" t="s">
        <v>12020</v>
      </c>
      <c r="K1551" s="621" t="s">
        <v>6036</v>
      </c>
      <c r="L1551" s="621">
        <v>0</v>
      </c>
      <c r="M1551" s="154">
        <v>0</v>
      </c>
    </row>
    <row r="1552" spans="1:16" ht="11.1" customHeight="1">
      <c r="A1552" s="154" t="s">
        <v>14641</v>
      </c>
      <c r="B1552" s="297" t="s">
        <v>12590</v>
      </c>
      <c r="C1552" s="617">
        <v>2</v>
      </c>
      <c r="D1552" s="618" t="s">
        <v>9605</v>
      </c>
      <c r="E1552" s="619">
        <v>0</v>
      </c>
      <c r="F1552" s="154">
        <v>81.53</v>
      </c>
      <c r="G1552" s="154" t="s">
        <v>13542</v>
      </c>
      <c r="H1552" s="620">
        <v>55</v>
      </c>
      <c r="I1552" s="154" t="s">
        <v>6253</v>
      </c>
      <c r="J1552" s="621" t="s">
        <v>12007</v>
      </c>
      <c r="K1552" s="621" t="s">
        <v>6036</v>
      </c>
      <c r="L1552" s="621">
        <v>0</v>
      </c>
      <c r="M1552" s="154">
        <v>0</v>
      </c>
    </row>
    <row r="1553" spans="1:13" ht="11.1" customHeight="1">
      <c r="A1553" s="154" t="s">
        <v>14642</v>
      </c>
      <c r="C1553" s="617">
        <v>2</v>
      </c>
      <c r="D1553" s="618" t="s">
        <v>9511</v>
      </c>
      <c r="E1553" s="619">
        <v>0</v>
      </c>
      <c r="F1553" s="154">
        <v>79.23</v>
      </c>
      <c r="G1553" s="154" t="s">
        <v>7991</v>
      </c>
      <c r="H1553" s="620">
        <v>28</v>
      </c>
      <c r="I1553" s="154" t="s">
        <v>6253</v>
      </c>
      <c r="J1553" s="621" t="s">
        <v>12007</v>
      </c>
      <c r="K1553" s="621" t="s">
        <v>6036</v>
      </c>
      <c r="L1553" s="621">
        <v>0</v>
      </c>
      <c r="M1553" s="154">
        <v>0</v>
      </c>
    </row>
    <row r="1554" spans="1:13" ht="11.1" customHeight="1">
      <c r="A1554" s="154" t="s">
        <v>14643</v>
      </c>
      <c r="C1554" s="617">
        <v>2</v>
      </c>
      <c r="D1554" s="618" t="s">
        <v>9491</v>
      </c>
      <c r="E1554" s="619">
        <v>0</v>
      </c>
      <c r="F1554" s="154">
        <v>74.38</v>
      </c>
      <c r="G1554" s="154" t="s">
        <v>13601</v>
      </c>
      <c r="H1554" s="620">
        <v>58</v>
      </c>
      <c r="I1554" s="154" t="s">
        <v>6253</v>
      </c>
      <c r="J1554" s="621" t="s">
        <v>11994</v>
      </c>
      <c r="K1554" s="621" t="s">
        <v>6036</v>
      </c>
      <c r="L1554" s="621">
        <v>0</v>
      </c>
      <c r="M1554" s="154">
        <v>0</v>
      </c>
    </row>
    <row r="1555" spans="1:13" ht="11.1" customHeight="1">
      <c r="A1555" s="154" t="s">
        <v>14644</v>
      </c>
      <c r="C1555" s="617">
        <v>2</v>
      </c>
      <c r="D1555" s="618" t="s">
        <v>9610</v>
      </c>
      <c r="E1555" s="619">
        <v>0</v>
      </c>
      <c r="F1555" s="154">
        <v>74.14</v>
      </c>
      <c r="G1555" s="154" t="s">
        <v>7792</v>
      </c>
      <c r="H1555" s="620">
        <v>51</v>
      </c>
      <c r="I1555" s="154" t="s">
        <v>6253</v>
      </c>
      <c r="J1555" s="621" t="s">
        <v>12020</v>
      </c>
      <c r="K1555" s="621" t="s">
        <v>6036</v>
      </c>
      <c r="L1555" s="621">
        <v>0</v>
      </c>
      <c r="M1555" s="154">
        <v>0</v>
      </c>
    </row>
    <row r="1556" spans="1:13" ht="11.1" customHeight="1">
      <c r="A1556" s="154" t="s">
        <v>14645</v>
      </c>
      <c r="C1556" s="617">
        <v>2</v>
      </c>
      <c r="D1556" s="618" t="s">
        <v>9519</v>
      </c>
      <c r="E1556" s="619">
        <v>0</v>
      </c>
      <c r="F1556" s="154">
        <v>73.14</v>
      </c>
      <c r="G1556" s="154" t="s">
        <v>7748</v>
      </c>
      <c r="H1556" s="620">
        <v>32</v>
      </c>
      <c r="I1556" s="154" t="s">
        <v>6253</v>
      </c>
      <c r="J1556" s="621" t="s">
        <v>12178</v>
      </c>
      <c r="K1556" s="621" t="s">
        <v>6036</v>
      </c>
      <c r="L1556" s="621">
        <v>0</v>
      </c>
      <c r="M1556" s="154">
        <v>0</v>
      </c>
    </row>
    <row r="1557" spans="1:13" ht="11.1" customHeight="1">
      <c r="A1557" s="154" t="s">
        <v>14646</v>
      </c>
      <c r="C1557" s="617">
        <v>2</v>
      </c>
      <c r="D1557" s="618" t="s">
        <v>9515</v>
      </c>
      <c r="E1557" s="619">
        <v>0</v>
      </c>
      <c r="F1557" s="154">
        <v>71.569999999999993</v>
      </c>
      <c r="G1557" s="154" t="s">
        <v>13682</v>
      </c>
      <c r="H1557" s="620">
        <v>47</v>
      </c>
      <c r="I1557" s="154" t="s">
        <v>6253</v>
      </c>
      <c r="J1557" s="621" t="s">
        <v>12007</v>
      </c>
      <c r="K1557" s="621" t="s">
        <v>6036</v>
      </c>
      <c r="L1557" s="621">
        <v>0</v>
      </c>
      <c r="M1557" s="154">
        <v>0</v>
      </c>
    </row>
    <row r="1558" spans="1:13" ht="11.1" customHeight="1">
      <c r="A1558" s="154" t="s">
        <v>14647</v>
      </c>
      <c r="C1558" s="617">
        <v>2</v>
      </c>
      <c r="D1558" s="618" t="s">
        <v>9501</v>
      </c>
      <c r="E1558" s="619">
        <v>0</v>
      </c>
      <c r="F1558" s="154">
        <v>70.510000000000005</v>
      </c>
      <c r="G1558" s="154" t="s">
        <v>12379</v>
      </c>
      <c r="H1558" s="620">
        <v>40</v>
      </c>
      <c r="I1558" s="154" t="s">
        <v>6253</v>
      </c>
      <c r="J1558" s="621" t="s">
        <v>12007</v>
      </c>
      <c r="K1558" s="621" t="s">
        <v>6036</v>
      </c>
      <c r="L1558" s="621">
        <v>0</v>
      </c>
      <c r="M1558" s="154">
        <v>0</v>
      </c>
    </row>
    <row r="1559" spans="1:13" ht="11.1" customHeight="1">
      <c r="A1559" s="154" t="s">
        <v>14648</v>
      </c>
      <c r="C1559" s="617">
        <v>2</v>
      </c>
      <c r="D1559" s="618" t="s">
        <v>9557</v>
      </c>
      <c r="E1559" s="619">
        <v>0</v>
      </c>
      <c r="F1559" s="154">
        <v>67.150000000000006</v>
      </c>
      <c r="G1559" s="154" t="s">
        <v>7724</v>
      </c>
      <c r="H1559" s="620">
        <v>36</v>
      </c>
      <c r="I1559" s="154" t="s">
        <v>6253</v>
      </c>
      <c r="J1559" s="621" t="s">
        <v>12007</v>
      </c>
      <c r="K1559" s="621" t="s">
        <v>6036</v>
      </c>
      <c r="L1559" s="621">
        <v>0</v>
      </c>
      <c r="M1559" s="154">
        <v>0</v>
      </c>
    </row>
    <row r="1560" spans="1:13" ht="11.1" customHeight="1">
      <c r="A1560" s="154" t="s">
        <v>14649</v>
      </c>
      <c r="C1560" s="617">
        <v>2</v>
      </c>
      <c r="D1560" s="618" t="s">
        <v>9567</v>
      </c>
      <c r="E1560" s="619">
        <v>0</v>
      </c>
      <c r="F1560" s="154">
        <v>66.959999999999994</v>
      </c>
      <c r="G1560" s="154" t="s">
        <v>13594</v>
      </c>
      <c r="H1560" s="620">
        <v>32</v>
      </c>
      <c r="I1560" s="154" t="s">
        <v>6253</v>
      </c>
      <c r="J1560" s="621" t="s">
        <v>12007</v>
      </c>
      <c r="K1560" s="621" t="s">
        <v>6036</v>
      </c>
      <c r="L1560" s="621">
        <v>0</v>
      </c>
      <c r="M1560" s="154">
        <v>0</v>
      </c>
    </row>
    <row r="1561" spans="1:13" ht="11.1" customHeight="1">
      <c r="A1561" s="154" t="s">
        <v>14650</v>
      </c>
      <c r="C1561" s="617">
        <v>2</v>
      </c>
      <c r="D1561" s="618" t="s">
        <v>9629</v>
      </c>
      <c r="E1561" s="619">
        <v>0</v>
      </c>
      <c r="F1561" s="154">
        <v>64.33</v>
      </c>
      <c r="G1561" s="154" t="s">
        <v>7943</v>
      </c>
      <c r="H1561" s="620">
        <v>39</v>
      </c>
      <c r="I1561" s="154" t="s">
        <v>6253</v>
      </c>
      <c r="J1561" s="621" t="s">
        <v>12007</v>
      </c>
      <c r="K1561" s="621" t="s">
        <v>6036</v>
      </c>
      <c r="L1561" s="621">
        <v>0</v>
      </c>
      <c r="M1561" s="154">
        <v>0</v>
      </c>
    </row>
    <row r="1562" spans="1:13" ht="11.1" customHeight="1">
      <c r="A1562" s="154" t="s">
        <v>14651</v>
      </c>
      <c r="C1562" s="617">
        <v>2</v>
      </c>
      <c r="D1562" s="618" t="s">
        <v>9555</v>
      </c>
      <c r="E1562" s="619">
        <v>0</v>
      </c>
      <c r="F1562" s="154">
        <v>58.72</v>
      </c>
      <c r="G1562" s="154" t="s">
        <v>13537</v>
      </c>
      <c r="H1562" s="620">
        <v>41</v>
      </c>
      <c r="I1562" s="154" t="s">
        <v>6253</v>
      </c>
      <c r="J1562" s="621" t="s">
        <v>12007</v>
      </c>
      <c r="K1562" s="621" t="s">
        <v>6036</v>
      </c>
      <c r="L1562" s="621">
        <v>0</v>
      </c>
      <c r="M1562" s="154">
        <v>0</v>
      </c>
    </row>
    <row r="1563" spans="1:13" ht="11.1" customHeight="1">
      <c r="A1563" s="154" t="s">
        <v>14652</v>
      </c>
      <c r="C1563" s="617">
        <v>2</v>
      </c>
      <c r="D1563" s="618" t="s">
        <v>9569</v>
      </c>
      <c r="E1563" s="619">
        <v>0</v>
      </c>
      <c r="F1563" s="154">
        <v>54.72</v>
      </c>
      <c r="G1563" s="154" t="s">
        <v>12415</v>
      </c>
      <c r="H1563" s="620">
        <v>31</v>
      </c>
      <c r="I1563" s="154" t="s">
        <v>6253</v>
      </c>
      <c r="J1563" s="621" t="s">
        <v>12007</v>
      </c>
      <c r="K1563" s="621" t="s">
        <v>6036</v>
      </c>
      <c r="L1563" s="621">
        <v>0</v>
      </c>
      <c r="M1563" s="154">
        <v>0</v>
      </c>
    </row>
    <row r="1564" spans="1:13" ht="11.1" customHeight="1">
      <c r="A1564" s="154" t="s">
        <v>14653</v>
      </c>
      <c r="C1564" s="617">
        <v>2</v>
      </c>
      <c r="D1564" s="618" t="s">
        <v>9571</v>
      </c>
      <c r="E1564" s="619">
        <v>0</v>
      </c>
      <c r="F1564" s="154">
        <v>43.54</v>
      </c>
      <c r="G1564" s="154" t="s">
        <v>13687</v>
      </c>
      <c r="H1564" s="620">
        <v>50</v>
      </c>
      <c r="I1564" s="154" t="s">
        <v>6253</v>
      </c>
      <c r="J1564" s="621" t="s">
        <v>12007</v>
      </c>
      <c r="K1564" s="621" t="s">
        <v>6036</v>
      </c>
      <c r="L1564" s="621">
        <v>0</v>
      </c>
      <c r="M1564" s="154">
        <v>0</v>
      </c>
    </row>
    <row r="1565" spans="1:13" ht="11.1" customHeight="1">
      <c r="A1565" s="154" t="s">
        <v>14654</v>
      </c>
      <c r="C1565" s="617">
        <v>2</v>
      </c>
      <c r="D1565" s="618" t="s">
        <v>9565</v>
      </c>
      <c r="E1565" s="619">
        <v>0</v>
      </c>
      <c r="F1565" s="154">
        <v>35.47</v>
      </c>
      <c r="G1565" s="154" t="s">
        <v>12357</v>
      </c>
      <c r="H1565" s="620">
        <v>33</v>
      </c>
      <c r="I1565" s="154" t="s">
        <v>6253</v>
      </c>
      <c r="J1565" s="621" t="s">
        <v>12007</v>
      </c>
      <c r="K1565" s="621" t="s">
        <v>6036</v>
      </c>
      <c r="L1565" s="621">
        <v>0</v>
      </c>
      <c r="M1565" s="154" t="s">
        <v>6154</v>
      </c>
    </row>
    <row r="1566" spans="1:13" ht="11.1" customHeight="1">
      <c r="A1566" s="154" t="s">
        <v>14655</v>
      </c>
      <c r="B1566" s="297" t="s">
        <v>14048</v>
      </c>
      <c r="C1566" s="617">
        <v>2</v>
      </c>
      <c r="D1566" s="618" t="s">
        <v>9505</v>
      </c>
      <c r="E1566" s="619">
        <v>0</v>
      </c>
      <c r="F1566" s="154" t="s">
        <v>6251</v>
      </c>
      <c r="G1566" s="154" t="s">
        <v>7668</v>
      </c>
      <c r="H1566" s="620">
        <v>58</v>
      </c>
      <c r="I1566" s="154" t="s">
        <v>6253</v>
      </c>
      <c r="J1566" s="621" t="s">
        <v>12178</v>
      </c>
      <c r="K1566" s="621" t="s">
        <v>6209</v>
      </c>
      <c r="L1566" s="621">
        <v>5</v>
      </c>
      <c r="M1566" s="154">
        <v>0</v>
      </c>
    </row>
    <row r="1567" spans="1:13" ht="11.1" customHeight="1">
      <c r="A1567" s="154" t="s">
        <v>14656</v>
      </c>
      <c r="B1567" s="297" t="s">
        <v>14048</v>
      </c>
      <c r="C1567" s="617">
        <v>2</v>
      </c>
      <c r="D1567" s="618" t="s">
        <v>9531</v>
      </c>
      <c r="E1567" s="619">
        <v>0</v>
      </c>
      <c r="F1567" s="154" t="s">
        <v>6251</v>
      </c>
      <c r="G1567" s="154" t="s">
        <v>7676</v>
      </c>
      <c r="H1567" s="620">
        <v>41</v>
      </c>
      <c r="I1567" s="154" t="s">
        <v>6253</v>
      </c>
      <c r="J1567" s="621" t="s">
        <v>12000</v>
      </c>
      <c r="K1567" s="621" t="s">
        <v>6036</v>
      </c>
      <c r="L1567" s="621">
        <v>0</v>
      </c>
      <c r="M1567" s="154">
        <v>0</v>
      </c>
    </row>
    <row r="1568" spans="1:13" ht="11.1" customHeight="1">
      <c r="A1568" s="154" t="s">
        <v>14657</v>
      </c>
      <c r="B1568" s="297" t="s">
        <v>14048</v>
      </c>
      <c r="C1568" s="617">
        <v>2</v>
      </c>
      <c r="D1568" s="618" t="s">
        <v>9543</v>
      </c>
      <c r="E1568" s="619">
        <v>0</v>
      </c>
      <c r="F1568" s="154" t="s">
        <v>6251</v>
      </c>
      <c r="G1568" s="154" t="s">
        <v>7682</v>
      </c>
      <c r="H1568" s="620">
        <v>32</v>
      </c>
      <c r="I1568" s="154" t="s">
        <v>6253</v>
      </c>
      <c r="J1568" s="621" t="s">
        <v>12007</v>
      </c>
      <c r="K1568" s="621" t="s">
        <v>6036</v>
      </c>
      <c r="L1568" s="621">
        <v>0</v>
      </c>
      <c r="M1568" s="154">
        <v>0</v>
      </c>
    </row>
    <row r="1569" spans="1:13" ht="11.1" customHeight="1">
      <c r="A1569" s="154" t="s">
        <v>14658</v>
      </c>
      <c r="B1569" s="297" t="s">
        <v>14048</v>
      </c>
      <c r="C1569" s="617">
        <v>2</v>
      </c>
      <c r="D1569" s="618" t="s">
        <v>9553</v>
      </c>
      <c r="E1569" s="619">
        <v>0</v>
      </c>
      <c r="F1569" s="154" t="s">
        <v>6251</v>
      </c>
      <c r="G1569" s="154" t="s">
        <v>7706</v>
      </c>
      <c r="H1569" s="620">
        <v>41</v>
      </c>
      <c r="I1569" s="154" t="s">
        <v>6253</v>
      </c>
      <c r="J1569" s="621" t="s">
        <v>12000</v>
      </c>
      <c r="K1569" s="621" t="s">
        <v>6209</v>
      </c>
      <c r="L1569" s="621">
        <v>3</v>
      </c>
      <c r="M1569" s="154">
        <v>0</v>
      </c>
    </row>
    <row r="1570" spans="1:13" ht="11.1" customHeight="1">
      <c r="A1570" s="154" t="s">
        <v>14659</v>
      </c>
      <c r="B1570" s="297" t="s">
        <v>14048</v>
      </c>
      <c r="C1570" s="617">
        <v>2</v>
      </c>
      <c r="D1570" s="618" t="s">
        <v>9539</v>
      </c>
      <c r="E1570" s="619">
        <v>0</v>
      </c>
      <c r="F1570" s="154" t="s">
        <v>6251</v>
      </c>
      <c r="G1570" s="154" t="s">
        <v>12355</v>
      </c>
      <c r="H1570" s="620">
        <v>29</v>
      </c>
      <c r="I1570" s="154" t="s">
        <v>6253</v>
      </c>
      <c r="J1570" s="621" t="s">
        <v>12007</v>
      </c>
      <c r="K1570" s="621" t="s">
        <v>6036</v>
      </c>
      <c r="L1570" s="621">
        <v>0</v>
      </c>
      <c r="M1570" s="154">
        <v>0</v>
      </c>
    </row>
    <row r="1571" spans="1:13" ht="11.1" customHeight="1">
      <c r="A1571" s="154" t="s">
        <v>14660</v>
      </c>
      <c r="B1571" s="297" t="s">
        <v>14048</v>
      </c>
      <c r="C1571" s="617">
        <v>2</v>
      </c>
      <c r="D1571" s="618" t="s">
        <v>9545</v>
      </c>
      <c r="E1571" s="619">
        <v>0</v>
      </c>
      <c r="F1571" s="154" t="s">
        <v>6251</v>
      </c>
      <c r="G1571" s="154" t="s">
        <v>7740</v>
      </c>
      <c r="H1571" s="620">
        <v>41</v>
      </c>
      <c r="I1571" s="154" t="s">
        <v>6253</v>
      </c>
      <c r="J1571" s="621" t="s">
        <v>12000</v>
      </c>
      <c r="K1571" s="621" t="s">
        <v>6209</v>
      </c>
      <c r="L1571" s="621">
        <v>1</v>
      </c>
      <c r="M1571" s="154">
        <v>0</v>
      </c>
    </row>
    <row r="1572" spans="1:13" ht="11.1" customHeight="1">
      <c r="A1572" s="154" t="s">
        <v>14661</v>
      </c>
      <c r="B1572" s="297" t="s">
        <v>14048</v>
      </c>
      <c r="C1572" s="617">
        <v>2</v>
      </c>
      <c r="D1572" s="618" t="s">
        <v>9507</v>
      </c>
      <c r="E1572" s="619">
        <v>0</v>
      </c>
      <c r="F1572" s="154" t="s">
        <v>6251</v>
      </c>
      <c r="G1572" s="154" t="s">
        <v>12364</v>
      </c>
      <c r="H1572" s="620">
        <v>41</v>
      </c>
      <c r="I1572" s="154" t="s">
        <v>6253</v>
      </c>
      <c r="J1572" s="621" t="s">
        <v>12178</v>
      </c>
      <c r="K1572" s="621" t="s">
        <v>6283</v>
      </c>
      <c r="L1572" s="621">
        <v>2</v>
      </c>
      <c r="M1572" s="154">
        <v>0</v>
      </c>
    </row>
    <row r="1573" spans="1:13" ht="11.1" customHeight="1">
      <c r="A1573" s="154" t="s">
        <v>14662</v>
      </c>
      <c r="B1573" s="297" t="s">
        <v>14048</v>
      </c>
      <c r="C1573" s="617">
        <v>2</v>
      </c>
      <c r="D1573" s="618" t="s">
        <v>9529</v>
      </c>
      <c r="E1573" s="619">
        <v>0</v>
      </c>
      <c r="F1573" s="154" t="s">
        <v>6251</v>
      </c>
      <c r="G1573" s="154" t="s">
        <v>12368</v>
      </c>
      <c r="H1573" s="620">
        <v>54</v>
      </c>
      <c r="I1573" s="154" t="s">
        <v>6253</v>
      </c>
      <c r="J1573" s="621" t="s">
        <v>11994</v>
      </c>
      <c r="K1573" s="621" t="s">
        <v>6209</v>
      </c>
      <c r="L1573" s="621">
        <v>3</v>
      </c>
      <c r="M1573" s="154">
        <v>0</v>
      </c>
    </row>
    <row r="1574" spans="1:13" ht="11.1" customHeight="1">
      <c r="A1574" s="154" t="s">
        <v>14663</v>
      </c>
      <c r="B1574" s="297" t="s">
        <v>14048</v>
      </c>
      <c r="C1574" s="617">
        <v>2</v>
      </c>
      <c r="D1574" s="618" t="s">
        <v>9517</v>
      </c>
      <c r="E1574" s="619">
        <v>0</v>
      </c>
      <c r="F1574" s="154" t="s">
        <v>6251</v>
      </c>
      <c r="G1574" s="154" t="s">
        <v>7808</v>
      </c>
      <c r="H1574" s="620">
        <v>62</v>
      </c>
      <c r="I1574" s="154" t="s">
        <v>6253</v>
      </c>
      <c r="J1574" s="621" t="s">
        <v>12178</v>
      </c>
      <c r="K1574" s="621" t="s">
        <v>6209</v>
      </c>
      <c r="L1574" s="621">
        <v>9</v>
      </c>
      <c r="M1574" s="154">
        <v>0</v>
      </c>
    </row>
    <row r="1575" spans="1:13" ht="11.1" customHeight="1">
      <c r="A1575" s="154" t="s">
        <v>14664</v>
      </c>
      <c r="B1575" s="297" t="s">
        <v>14048</v>
      </c>
      <c r="C1575" s="617">
        <v>2</v>
      </c>
      <c r="D1575" s="618" t="s">
        <v>9525</v>
      </c>
      <c r="E1575" s="619">
        <v>0</v>
      </c>
      <c r="F1575" s="154" t="s">
        <v>6251</v>
      </c>
      <c r="G1575" s="154" t="s">
        <v>7816</v>
      </c>
      <c r="H1575" s="620">
        <v>40</v>
      </c>
      <c r="I1575" s="154" t="s">
        <v>6253</v>
      </c>
      <c r="J1575" s="621" t="s">
        <v>12000</v>
      </c>
      <c r="K1575" s="621" t="s">
        <v>6209</v>
      </c>
      <c r="L1575" s="621">
        <v>1</v>
      </c>
      <c r="M1575" s="154">
        <v>0</v>
      </c>
    </row>
    <row r="1576" spans="1:13" ht="11.1" customHeight="1">
      <c r="A1576" s="154" t="s">
        <v>14665</v>
      </c>
      <c r="B1576" s="297" t="s">
        <v>14048</v>
      </c>
      <c r="C1576" s="617">
        <v>2</v>
      </c>
      <c r="D1576" s="618" t="s">
        <v>9495</v>
      </c>
      <c r="E1576" s="619">
        <v>0</v>
      </c>
      <c r="F1576" s="154" t="s">
        <v>6251</v>
      </c>
      <c r="G1576" s="154" t="s">
        <v>13575</v>
      </c>
      <c r="H1576" s="620">
        <v>62</v>
      </c>
      <c r="I1576" s="154" t="s">
        <v>6253</v>
      </c>
      <c r="J1576" s="621" t="s">
        <v>11989</v>
      </c>
      <c r="K1576" s="621" t="s">
        <v>6209</v>
      </c>
      <c r="L1576" s="621">
        <v>2</v>
      </c>
      <c r="M1576" s="154">
        <v>0</v>
      </c>
    </row>
    <row r="1577" spans="1:13" ht="11.1" customHeight="1">
      <c r="A1577" s="154" t="s">
        <v>14666</v>
      </c>
      <c r="B1577" s="297" t="s">
        <v>14048</v>
      </c>
      <c r="C1577" s="617">
        <v>2</v>
      </c>
      <c r="D1577" s="618" t="s">
        <v>9551</v>
      </c>
      <c r="E1577" s="619">
        <v>0</v>
      </c>
      <c r="F1577" s="154" t="s">
        <v>6251</v>
      </c>
      <c r="G1577" s="154" t="s">
        <v>7834</v>
      </c>
      <c r="H1577" s="620">
        <v>54</v>
      </c>
      <c r="I1577" s="154" t="s">
        <v>6253</v>
      </c>
      <c r="J1577" s="621" t="s">
        <v>11989</v>
      </c>
      <c r="K1577" s="621" t="s">
        <v>6209</v>
      </c>
      <c r="L1577" s="621">
        <v>2</v>
      </c>
      <c r="M1577" s="154">
        <v>0</v>
      </c>
    </row>
    <row r="1578" spans="1:13" ht="11.1" customHeight="1">
      <c r="A1578" s="154" t="s">
        <v>14667</v>
      </c>
      <c r="B1578" s="297" t="s">
        <v>14048</v>
      </c>
      <c r="C1578" s="617">
        <v>2</v>
      </c>
      <c r="D1578" s="618" t="s">
        <v>9513</v>
      </c>
      <c r="E1578" s="619">
        <v>0</v>
      </c>
      <c r="F1578" s="154" t="s">
        <v>6251</v>
      </c>
      <c r="G1578" s="154" t="s">
        <v>7842</v>
      </c>
      <c r="H1578" s="620">
        <v>44</v>
      </c>
      <c r="I1578" s="154" t="s">
        <v>6253</v>
      </c>
      <c r="J1578" s="621" t="s">
        <v>11994</v>
      </c>
      <c r="K1578" s="621" t="s">
        <v>6209</v>
      </c>
      <c r="L1578" s="621">
        <v>3</v>
      </c>
      <c r="M1578" s="154">
        <v>0</v>
      </c>
    </row>
    <row r="1579" spans="1:13" ht="11.1" customHeight="1">
      <c r="A1579" s="154" t="s">
        <v>14668</v>
      </c>
      <c r="B1579" s="297" t="s">
        <v>14048</v>
      </c>
      <c r="C1579" s="617">
        <v>2</v>
      </c>
      <c r="D1579" s="618" t="s">
        <v>9509</v>
      </c>
      <c r="E1579" s="619">
        <v>0</v>
      </c>
      <c r="F1579" s="154" t="s">
        <v>6251</v>
      </c>
      <c r="G1579" s="154" t="s">
        <v>7889</v>
      </c>
      <c r="H1579" s="620">
        <v>55</v>
      </c>
      <c r="I1579" s="154" t="s">
        <v>6253</v>
      </c>
      <c r="J1579" s="621" t="s">
        <v>12020</v>
      </c>
      <c r="K1579" s="621" t="s">
        <v>6209</v>
      </c>
      <c r="L1579" s="621">
        <v>3</v>
      </c>
      <c r="M1579" s="154">
        <v>0</v>
      </c>
    </row>
    <row r="1580" spans="1:13" ht="11.1" customHeight="1">
      <c r="A1580" s="154" t="s">
        <v>14669</v>
      </c>
      <c r="B1580" s="297" t="s">
        <v>14048</v>
      </c>
      <c r="C1580" s="617">
        <v>2</v>
      </c>
      <c r="D1580" s="618" t="s">
        <v>9527</v>
      </c>
      <c r="E1580" s="619">
        <v>0</v>
      </c>
      <c r="F1580" s="154" t="s">
        <v>6251</v>
      </c>
      <c r="G1580" s="154" t="s">
        <v>12384</v>
      </c>
      <c r="H1580" s="620">
        <v>35</v>
      </c>
      <c r="I1580" s="154" t="s">
        <v>6253</v>
      </c>
      <c r="J1580" s="621" t="s">
        <v>12007</v>
      </c>
      <c r="K1580" s="621" t="s">
        <v>6036</v>
      </c>
      <c r="L1580" s="621">
        <v>0</v>
      </c>
      <c r="M1580" s="154">
        <v>0</v>
      </c>
    </row>
    <row r="1581" spans="1:13" ht="11.1" customHeight="1">
      <c r="A1581" s="154" t="s">
        <v>14670</v>
      </c>
      <c r="B1581" s="297" t="s">
        <v>14048</v>
      </c>
      <c r="C1581" s="617">
        <v>2</v>
      </c>
      <c r="D1581" s="618" t="s">
        <v>9523</v>
      </c>
      <c r="E1581" s="619">
        <v>0</v>
      </c>
      <c r="F1581" s="154" t="s">
        <v>6251</v>
      </c>
      <c r="G1581" s="154" t="s">
        <v>7930</v>
      </c>
      <c r="H1581" s="620">
        <v>64</v>
      </c>
      <c r="I1581" s="154" t="s">
        <v>6253</v>
      </c>
      <c r="J1581" s="621" t="s">
        <v>12397</v>
      </c>
      <c r="K1581" s="621" t="s">
        <v>6209</v>
      </c>
      <c r="L1581" s="621">
        <v>4</v>
      </c>
      <c r="M1581" s="154" t="s">
        <v>6254</v>
      </c>
    </row>
    <row r="1582" spans="1:13" ht="11.1" customHeight="1">
      <c r="A1582" s="154" t="s">
        <v>14671</v>
      </c>
      <c r="B1582" s="297" t="s">
        <v>14048</v>
      </c>
      <c r="C1582" s="617">
        <v>2</v>
      </c>
      <c r="D1582" s="618" t="s">
        <v>9533</v>
      </c>
      <c r="E1582" s="619">
        <v>0</v>
      </c>
      <c r="F1582" s="154" t="s">
        <v>6251</v>
      </c>
      <c r="G1582" s="154" t="s">
        <v>7959</v>
      </c>
      <c r="H1582" s="620">
        <v>39</v>
      </c>
      <c r="I1582" s="154" t="s">
        <v>6253</v>
      </c>
      <c r="J1582" s="621" t="s">
        <v>12007</v>
      </c>
      <c r="K1582" s="621" t="s">
        <v>6036</v>
      </c>
      <c r="L1582" s="621">
        <v>0</v>
      </c>
      <c r="M1582" s="154">
        <v>0</v>
      </c>
    </row>
    <row r="1583" spans="1:13" ht="11.1" customHeight="1">
      <c r="A1583" s="154" t="s">
        <v>14672</v>
      </c>
      <c r="B1583" s="297" t="s">
        <v>14048</v>
      </c>
      <c r="C1583" s="617">
        <v>2</v>
      </c>
      <c r="D1583" s="618" t="s">
        <v>9537</v>
      </c>
      <c r="E1583" s="619">
        <v>0</v>
      </c>
      <c r="F1583" s="154" t="s">
        <v>6251</v>
      </c>
      <c r="G1583" s="154" t="s">
        <v>7997</v>
      </c>
      <c r="H1583" s="620">
        <v>44</v>
      </c>
      <c r="I1583" s="154" t="s">
        <v>6253</v>
      </c>
      <c r="J1583" s="621" t="s">
        <v>12007</v>
      </c>
      <c r="K1583" s="621" t="s">
        <v>6209</v>
      </c>
      <c r="L1583" s="621">
        <v>1</v>
      </c>
      <c r="M1583" s="154">
        <v>0</v>
      </c>
    </row>
    <row r="1584" spans="1:13" ht="11.1" customHeight="1">
      <c r="A1584" s="154" t="s">
        <v>14673</v>
      </c>
      <c r="B1584" s="297" t="s">
        <v>14048</v>
      </c>
      <c r="C1584" s="617">
        <v>2</v>
      </c>
      <c r="D1584" s="618" t="s">
        <v>9549</v>
      </c>
      <c r="E1584" s="619">
        <v>0</v>
      </c>
      <c r="F1584" s="154" t="s">
        <v>6251</v>
      </c>
      <c r="G1584" s="154" t="s">
        <v>8009</v>
      </c>
      <c r="H1584" s="620">
        <v>43</v>
      </c>
      <c r="I1584" s="154" t="s">
        <v>6253</v>
      </c>
      <c r="J1584" s="621" t="s">
        <v>12007</v>
      </c>
      <c r="K1584" s="621" t="s">
        <v>6036</v>
      </c>
      <c r="L1584" s="621">
        <v>0</v>
      </c>
      <c r="M1584" s="154">
        <v>0</v>
      </c>
    </row>
    <row r="1585" spans="1:16" ht="11.1" customHeight="1">
      <c r="A1585" s="154" t="s">
        <v>14674</v>
      </c>
      <c r="B1585" s="297" t="s">
        <v>14048</v>
      </c>
      <c r="C1585" s="617">
        <v>2</v>
      </c>
      <c r="D1585" s="618" t="s">
        <v>9489</v>
      </c>
      <c r="E1585" s="619">
        <v>0</v>
      </c>
      <c r="F1585" s="154" t="s">
        <v>6251</v>
      </c>
      <c r="G1585" s="154" t="s">
        <v>12425</v>
      </c>
      <c r="H1585" s="620">
        <v>32</v>
      </c>
      <c r="I1585" s="154" t="s">
        <v>6253</v>
      </c>
      <c r="J1585" s="621" t="s">
        <v>12007</v>
      </c>
      <c r="K1585" s="621" t="s">
        <v>6209</v>
      </c>
      <c r="L1585" s="621">
        <v>1</v>
      </c>
      <c r="M1585" s="154">
        <v>0</v>
      </c>
    </row>
    <row r="1586" spans="1:16" ht="11.1" customHeight="1">
      <c r="A1586" s="154" t="s">
        <v>14675</v>
      </c>
      <c r="B1586" s="297" t="s">
        <v>12590</v>
      </c>
      <c r="C1586" s="617">
        <v>1</v>
      </c>
      <c r="D1586" s="618" t="s">
        <v>8608</v>
      </c>
      <c r="E1586" s="619">
        <v>0</v>
      </c>
      <c r="F1586" s="154" t="s">
        <v>6262</v>
      </c>
      <c r="G1586" s="154" t="s">
        <v>9642</v>
      </c>
      <c r="H1586" s="620">
        <v>61</v>
      </c>
      <c r="I1586" s="154" t="s">
        <v>6929</v>
      </c>
      <c r="J1586" s="621">
        <v>0</v>
      </c>
      <c r="K1586" s="621" t="s">
        <v>6209</v>
      </c>
      <c r="L1586" s="621">
        <v>2</v>
      </c>
      <c r="M1586" s="154">
        <v>0</v>
      </c>
      <c r="N1586" s="298">
        <v>5</v>
      </c>
      <c r="O1586" s="298">
        <v>1604469</v>
      </c>
      <c r="P1586" s="298">
        <v>17.382514358591788</v>
      </c>
    </row>
    <row r="1587" spans="1:16" ht="11.1" customHeight="1">
      <c r="A1587" s="154" t="s">
        <v>14676</v>
      </c>
      <c r="B1587" s="297" t="s">
        <v>12590</v>
      </c>
      <c r="C1587" s="617">
        <v>2</v>
      </c>
      <c r="D1587" s="618" t="s">
        <v>8608</v>
      </c>
      <c r="E1587" s="619">
        <v>0</v>
      </c>
      <c r="F1587" s="154" t="s">
        <v>6262</v>
      </c>
      <c r="G1587" s="154" t="s">
        <v>9650</v>
      </c>
      <c r="H1587" s="620">
        <v>57</v>
      </c>
      <c r="I1587" s="154" t="s">
        <v>6929</v>
      </c>
      <c r="J1587" s="621">
        <v>0</v>
      </c>
      <c r="K1587" s="621" t="s">
        <v>6209</v>
      </c>
      <c r="L1587" s="621">
        <v>3</v>
      </c>
      <c r="M1587" s="154">
        <v>0</v>
      </c>
    </row>
    <row r="1588" spans="1:16" ht="11.1" customHeight="1">
      <c r="A1588" s="154" t="s">
        <v>14677</v>
      </c>
      <c r="B1588" s="297" t="s">
        <v>12590</v>
      </c>
      <c r="C1588" s="617">
        <v>3</v>
      </c>
      <c r="D1588" s="618" t="s">
        <v>8608</v>
      </c>
      <c r="E1588" s="619">
        <v>0</v>
      </c>
      <c r="F1588" s="154" t="s">
        <v>6262</v>
      </c>
      <c r="G1588" s="154" t="s">
        <v>14678</v>
      </c>
      <c r="H1588" s="620">
        <v>55</v>
      </c>
      <c r="I1588" s="154" t="s">
        <v>6929</v>
      </c>
      <c r="J1588" s="621">
        <v>0</v>
      </c>
      <c r="K1588" s="621" t="s">
        <v>6209</v>
      </c>
      <c r="L1588" s="621">
        <v>3</v>
      </c>
      <c r="M1588" s="154">
        <v>0</v>
      </c>
    </row>
    <row r="1589" spans="1:16" ht="11.1" customHeight="1">
      <c r="A1589" s="154" t="s">
        <v>14679</v>
      </c>
      <c r="B1589" s="297" t="s">
        <v>12590</v>
      </c>
      <c r="C1589" s="617">
        <v>4</v>
      </c>
      <c r="D1589" s="618" t="s">
        <v>8608</v>
      </c>
      <c r="E1589" s="619">
        <v>0</v>
      </c>
      <c r="F1589" s="154" t="s">
        <v>6262</v>
      </c>
      <c r="G1589" s="154" t="s">
        <v>9646</v>
      </c>
      <c r="H1589" s="620">
        <v>44</v>
      </c>
      <c r="I1589" s="154" t="s">
        <v>6929</v>
      </c>
      <c r="J1589" s="621">
        <v>0</v>
      </c>
      <c r="K1589" s="621" t="s">
        <v>6209</v>
      </c>
      <c r="L1589" s="621">
        <v>3</v>
      </c>
      <c r="M1589" s="154">
        <v>0</v>
      </c>
    </row>
    <row r="1590" spans="1:16" ht="11.1" customHeight="1">
      <c r="A1590" s="154" t="s">
        <v>14680</v>
      </c>
      <c r="B1590" s="297" t="s">
        <v>12590</v>
      </c>
      <c r="C1590" s="617">
        <v>5</v>
      </c>
      <c r="D1590" s="618" t="s">
        <v>8608</v>
      </c>
      <c r="E1590" s="619">
        <v>0</v>
      </c>
      <c r="F1590" s="154" t="s">
        <v>6262</v>
      </c>
      <c r="G1590" s="154" t="s">
        <v>14681</v>
      </c>
      <c r="H1590" s="620">
        <v>59</v>
      </c>
      <c r="I1590" s="154" t="s">
        <v>6929</v>
      </c>
      <c r="J1590" s="621">
        <v>0</v>
      </c>
      <c r="K1590" s="621" t="s">
        <v>6209</v>
      </c>
      <c r="L1590" s="621">
        <v>2</v>
      </c>
      <c r="M1590" s="154">
        <v>0</v>
      </c>
    </row>
    <row r="1591" spans="1:16" ht="11.1" customHeight="1">
      <c r="A1591" s="154" t="s">
        <v>14682</v>
      </c>
      <c r="C1591" s="617">
        <v>6</v>
      </c>
      <c r="D1591" s="618" t="s">
        <v>8608</v>
      </c>
      <c r="E1591" s="619">
        <v>0</v>
      </c>
      <c r="F1591" s="154" t="s">
        <v>6262</v>
      </c>
      <c r="G1591" s="154" t="s">
        <v>14683</v>
      </c>
      <c r="H1591" s="620">
        <v>48</v>
      </c>
      <c r="I1591" s="154" t="s">
        <v>6929</v>
      </c>
      <c r="J1591" s="621">
        <v>0</v>
      </c>
      <c r="K1591" s="621" t="s">
        <v>6036</v>
      </c>
      <c r="L1591" s="621">
        <v>0</v>
      </c>
      <c r="M1591" s="154">
        <v>0</v>
      </c>
    </row>
    <row r="1592" spans="1:16" ht="11.1" customHeight="1">
      <c r="A1592" s="154" t="s">
        <v>14684</v>
      </c>
      <c r="C1592" s="617">
        <v>7</v>
      </c>
      <c r="D1592" s="618" t="s">
        <v>8608</v>
      </c>
      <c r="E1592" s="619">
        <v>0</v>
      </c>
      <c r="F1592" s="154" t="s">
        <v>6262</v>
      </c>
      <c r="G1592" s="154" t="s">
        <v>14685</v>
      </c>
      <c r="H1592" s="620">
        <v>55</v>
      </c>
      <c r="I1592" s="154" t="s">
        <v>6929</v>
      </c>
      <c r="J1592" s="621">
        <v>0</v>
      </c>
      <c r="K1592" s="621" t="s">
        <v>6036</v>
      </c>
      <c r="L1592" s="621">
        <v>0</v>
      </c>
      <c r="M1592" s="154">
        <v>0</v>
      </c>
    </row>
    <row r="1593" spans="1:16" ht="11.1" customHeight="1">
      <c r="A1593" s="154" t="s">
        <v>14686</v>
      </c>
      <c r="B1593" s="297" t="s">
        <v>12590</v>
      </c>
      <c r="C1593" s="617">
        <v>1</v>
      </c>
      <c r="D1593" s="618" t="s">
        <v>14687</v>
      </c>
      <c r="E1593" s="619">
        <v>0</v>
      </c>
      <c r="F1593" s="154">
        <v>38.049999999999997</v>
      </c>
      <c r="G1593" s="154" t="s">
        <v>13539</v>
      </c>
      <c r="H1593" s="620">
        <v>63</v>
      </c>
      <c r="I1593" s="154" t="s">
        <v>6264</v>
      </c>
      <c r="J1593" s="621">
        <v>0</v>
      </c>
      <c r="K1593" s="621" t="s">
        <v>6209</v>
      </c>
      <c r="L1593" s="621">
        <v>3</v>
      </c>
      <c r="M1593" s="154">
        <v>0</v>
      </c>
      <c r="N1593" s="298">
        <v>3</v>
      </c>
      <c r="O1593" s="298">
        <v>992142</v>
      </c>
      <c r="P1593" s="298">
        <v>10.748679195897193</v>
      </c>
    </row>
    <row r="1594" spans="1:16" ht="11.1" customHeight="1">
      <c r="A1594" s="154" t="s">
        <v>14688</v>
      </c>
      <c r="B1594" s="297" t="s">
        <v>12590</v>
      </c>
      <c r="C1594" s="617">
        <v>2</v>
      </c>
      <c r="D1594" s="618" t="s">
        <v>14689</v>
      </c>
      <c r="E1594" s="619">
        <v>0</v>
      </c>
      <c r="F1594" s="154">
        <v>60.69</v>
      </c>
      <c r="G1594" s="154" t="s">
        <v>7702</v>
      </c>
      <c r="H1594" s="620">
        <v>56</v>
      </c>
      <c r="I1594" s="154" t="s">
        <v>6264</v>
      </c>
      <c r="J1594" s="621">
        <v>0</v>
      </c>
      <c r="K1594" s="621" t="s">
        <v>6209</v>
      </c>
      <c r="L1594" s="621">
        <v>3</v>
      </c>
      <c r="M1594" s="154">
        <v>0</v>
      </c>
    </row>
    <row r="1595" spans="1:16" ht="11.1" customHeight="1">
      <c r="A1595" s="154" t="s">
        <v>14690</v>
      </c>
      <c r="B1595" s="297" t="s">
        <v>12590</v>
      </c>
      <c r="C1595" s="617">
        <v>3</v>
      </c>
      <c r="D1595" s="618" t="s">
        <v>14691</v>
      </c>
      <c r="E1595" s="619">
        <v>0</v>
      </c>
      <c r="F1595" s="154">
        <v>34.369999999999997</v>
      </c>
      <c r="G1595" s="154" t="s">
        <v>7855</v>
      </c>
      <c r="H1595" s="620">
        <v>60</v>
      </c>
      <c r="I1595" s="154" t="s">
        <v>6264</v>
      </c>
      <c r="J1595" s="621">
        <v>0</v>
      </c>
      <c r="K1595" s="621" t="s">
        <v>6209</v>
      </c>
      <c r="L1595" s="621">
        <v>4</v>
      </c>
      <c r="M1595" s="154">
        <v>0</v>
      </c>
    </row>
    <row r="1596" spans="1:16" ht="11.1" customHeight="1">
      <c r="A1596" s="154" t="s">
        <v>14692</v>
      </c>
      <c r="C1596" s="617">
        <v>4</v>
      </c>
      <c r="D1596" s="618" t="s">
        <v>14693</v>
      </c>
      <c r="E1596" s="619">
        <v>0</v>
      </c>
      <c r="F1596" s="154">
        <v>40.82</v>
      </c>
      <c r="G1596" s="154" t="s">
        <v>12365</v>
      </c>
      <c r="H1596" s="620">
        <v>43</v>
      </c>
      <c r="I1596" s="154" t="s">
        <v>6264</v>
      </c>
      <c r="J1596" s="621">
        <v>0</v>
      </c>
      <c r="K1596" s="621" t="s">
        <v>6036</v>
      </c>
      <c r="L1596" s="621">
        <v>0</v>
      </c>
      <c r="M1596" s="154">
        <v>0</v>
      </c>
    </row>
    <row r="1597" spans="1:16" ht="11.1" customHeight="1">
      <c r="A1597" s="154" t="s">
        <v>14694</v>
      </c>
      <c r="C1597" s="617">
        <v>5</v>
      </c>
      <c r="D1597" s="618" t="s">
        <v>14695</v>
      </c>
      <c r="E1597" s="619">
        <v>0</v>
      </c>
      <c r="F1597" s="154">
        <v>35.39</v>
      </c>
      <c r="G1597" s="154" t="s">
        <v>12395</v>
      </c>
      <c r="H1597" s="620">
        <v>54</v>
      </c>
      <c r="I1597" s="154" t="s">
        <v>6264</v>
      </c>
      <c r="J1597" s="621">
        <v>0</v>
      </c>
      <c r="K1597" s="621" t="s">
        <v>6036</v>
      </c>
      <c r="L1597" s="621">
        <v>0</v>
      </c>
      <c r="M1597" s="154">
        <v>0</v>
      </c>
    </row>
    <row r="1598" spans="1:16" ht="11.1" customHeight="1">
      <c r="A1598" s="154" t="s">
        <v>14696</v>
      </c>
      <c r="C1598" s="617">
        <v>6</v>
      </c>
      <c r="D1598" s="618" t="s">
        <v>14697</v>
      </c>
      <c r="E1598" s="619">
        <v>0</v>
      </c>
      <c r="F1598" s="154">
        <v>25.16</v>
      </c>
      <c r="G1598" s="154" t="s">
        <v>13675</v>
      </c>
      <c r="H1598" s="620">
        <v>53</v>
      </c>
      <c r="I1598" s="154" t="s">
        <v>6264</v>
      </c>
      <c r="J1598" s="621">
        <v>0</v>
      </c>
      <c r="K1598" s="621" t="s">
        <v>6036</v>
      </c>
      <c r="L1598" s="621">
        <v>0</v>
      </c>
      <c r="M1598" s="154">
        <v>0</v>
      </c>
    </row>
    <row r="1599" spans="1:16" ht="11.1" customHeight="1">
      <c r="A1599" s="154" t="s">
        <v>14698</v>
      </c>
      <c r="C1599" s="617">
        <v>7</v>
      </c>
      <c r="D1599" s="618" t="s">
        <v>14699</v>
      </c>
      <c r="E1599" s="619">
        <v>0</v>
      </c>
      <c r="F1599" s="154">
        <v>23.15</v>
      </c>
      <c r="G1599" s="154" t="s">
        <v>12346</v>
      </c>
      <c r="H1599" s="620">
        <v>47</v>
      </c>
      <c r="I1599" s="154" t="s">
        <v>6264</v>
      </c>
      <c r="J1599" s="621">
        <v>0</v>
      </c>
      <c r="K1599" s="621" t="s">
        <v>6036</v>
      </c>
      <c r="L1599" s="621">
        <v>0</v>
      </c>
      <c r="M1599" s="154">
        <v>0</v>
      </c>
    </row>
    <row r="1600" spans="1:16" ht="11.1" customHeight="1">
      <c r="A1600" s="154" t="s">
        <v>14700</v>
      </c>
      <c r="C1600" s="617">
        <v>8</v>
      </c>
      <c r="D1600" s="618" t="s">
        <v>14701</v>
      </c>
      <c r="E1600" s="619">
        <v>0</v>
      </c>
      <c r="F1600" s="154">
        <v>45.13</v>
      </c>
      <c r="G1600" s="154" t="s">
        <v>12431</v>
      </c>
      <c r="H1600" s="620">
        <v>50</v>
      </c>
      <c r="I1600" s="154" t="s">
        <v>6264</v>
      </c>
      <c r="J1600" s="621">
        <v>0</v>
      </c>
      <c r="K1600" s="621" t="s">
        <v>6036</v>
      </c>
      <c r="L1600" s="621">
        <v>0</v>
      </c>
      <c r="M1600" s="154">
        <v>0</v>
      </c>
    </row>
    <row r="1601" spans="1:16" ht="11.1" customHeight="1">
      <c r="A1601" s="154" t="s">
        <v>14702</v>
      </c>
      <c r="C1601" s="617">
        <v>9</v>
      </c>
      <c r="D1601" s="618" t="s">
        <v>14703</v>
      </c>
      <c r="E1601" s="619">
        <v>0</v>
      </c>
      <c r="F1601" s="154">
        <v>23.57</v>
      </c>
      <c r="G1601" s="154" t="s">
        <v>7737</v>
      </c>
      <c r="H1601" s="620">
        <v>52</v>
      </c>
      <c r="I1601" s="154" t="s">
        <v>6264</v>
      </c>
      <c r="J1601" s="621">
        <v>0</v>
      </c>
      <c r="K1601" s="621" t="s">
        <v>6036</v>
      </c>
      <c r="L1601" s="621">
        <v>0</v>
      </c>
      <c r="M1601" s="154">
        <v>0</v>
      </c>
    </row>
    <row r="1602" spans="1:16" ht="11.1" customHeight="1">
      <c r="A1602" s="154" t="s">
        <v>14704</v>
      </c>
      <c r="C1602" s="617">
        <v>10</v>
      </c>
      <c r="D1602" s="618" t="s">
        <v>14705</v>
      </c>
      <c r="E1602" s="619">
        <v>0</v>
      </c>
      <c r="F1602" s="154">
        <v>23.65</v>
      </c>
      <c r="G1602" s="154" t="s">
        <v>7979</v>
      </c>
      <c r="H1602" s="620">
        <v>49</v>
      </c>
      <c r="I1602" s="154" t="s">
        <v>6264</v>
      </c>
      <c r="J1602" s="621">
        <v>0</v>
      </c>
      <c r="K1602" s="621" t="s">
        <v>6036</v>
      </c>
      <c r="L1602" s="621">
        <v>0</v>
      </c>
      <c r="M1602" s="154">
        <v>0</v>
      </c>
    </row>
    <row r="1603" spans="1:16" ht="11.1" customHeight="1">
      <c r="A1603" s="154" t="s">
        <v>14706</v>
      </c>
      <c r="B1603" s="297" t="s">
        <v>12590</v>
      </c>
      <c r="C1603" s="617">
        <v>1</v>
      </c>
      <c r="D1603" s="618" t="s">
        <v>14707</v>
      </c>
      <c r="E1603" s="619">
        <v>0</v>
      </c>
      <c r="F1603" s="154">
        <v>86.68</v>
      </c>
      <c r="G1603" s="154" t="s">
        <v>13649</v>
      </c>
      <c r="H1603" s="620">
        <v>74</v>
      </c>
      <c r="I1603" s="154" t="s">
        <v>6278</v>
      </c>
      <c r="J1603" s="621">
        <v>0</v>
      </c>
      <c r="K1603" s="621" t="s">
        <v>6209</v>
      </c>
      <c r="L1603" s="621">
        <v>11</v>
      </c>
      <c r="M1603" s="154" t="s">
        <v>6481</v>
      </c>
      <c r="N1603" s="298">
        <v>1</v>
      </c>
      <c r="O1603" s="298">
        <v>375228</v>
      </c>
      <c r="P1603" s="298">
        <v>4.0651493408384196</v>
      </c>
    </row>
    <row r="1604" spans="1:16" ht="11.1" customHeight="1">
      <c r="A1604" s="154" t="s">
        <v>14708</v>
      </c>
      <c r="C1604" s="617">
        <v>1</v>
      </c>
      <c r="D1604" s="618" t="s">
        <v>14709</v>
      </c>
      <c r="E1604" s="619">
        <v>0</v>
      </c>
      <c r="F1604" s="154">
        <v>29.34</v>
      </c>
      <c r="G1604" s="154" t="s">
        <v>12409</v>
      </c>
      <c r="H1604" s="620">
        <v>56</v>
      </c>
      <c r="I1604" s="154" t="s">
        <v>6278</v>
      </c>
      <c r="J1604" s="621">
        <v>0</v>
      </c>
      <c r="K1604" s="621" t="s">
        <v>6209</v>
      </c>
      <c r="L1604" s="621">
        <v>2</v>
      </c>
      <c r="M1604" s="154" t="s">
        <v>6154</v>
      </c>
    </row>
    <row r="1605" spans="1:16" ht="11.1" customHeight="1">
      <c r="A1605" s="154" t="s">
        <v>14710</v>
      </c>
      <c r="C1605" s="617">
        <v>6</v>
      </c>
      <c r="D1605" s="618" t="s">
        <v>8608</v>
      </c>
      <c r="E1605" s="619">
        <v>0</v>
      </c>
      <c r="F1605" s="154" t="s">
        <v>6262</v>
      </c>
      <c r="G1605" s="154" t="s">
        <v>14711</v>
      </c>
      <c r="H1605" s="620">
        <v>42</v>
      </c>
      <c r="I1605" s="154" t="s">
        <v>6278</v>
      </c>
      <c r="J1605" s="621">
        <v>0</v>
      </c>
      <c r="K1605" s="621" t="s">
        <v>6036</v>
      </c>
      <c r="L1605" s="621">
        <v>0</v>
      </c>
      <c r="M1605" s="154">
        <v>0</v>
      </c>
    </row>
    <row r="1606" spans="1:16" ht="11.1" customHeight="1">
      <c r="A1606" s="154" t="s">
        <v>14712</v>
      </c>
      <c r="B1606" s="297" t="s">
        <v>6231</v>
      </c>
      <c r="C1606" s="617">
        <v>1</v>
      </c>
      <c r="D1606" s="618" t="s">
        <v>14713</v>
      </c>
      <c r="E1606" s="619">
        <v>0</v>
      </c>
      <c r="F1606" s="154">
        <v>20.82</v>
      </c>
      <c r="G1606" s="154" t="s">
        <v>12414</v>
      </c>
      <c r="H1606" s="620">
        <v>37</v>
      </c>
      <c r="I1606" s="154" t="s">
        <v>6278</v>
      </c>
      <c r="J1606" s="621">
        <v>0</v>
      </c>
      <c r="K1606" s="621" t="s">
        <v>6209</v>
      </c>
      <c r="L1606" s="621">
        <v>1</v>
      </c>
      <c r="M1606" s="154">
        <v>0</v>
      </c>
    </row>
    <row r="1607" spans="1:16" ht="11.1" customHeight="1">
      <c r="A1607" s="154" t="s">
        <v>14714</v>
      </c>
      <c r="B1607" s="297" t="s">
        <v>6231</v>
      </c>
      <c r="C1607" s="617">
        <v>1</v>
      </c>
      <c r="D1607" s="618" t="s">
        <v>14705</v>
      </c>
      <c r="E1607" s="619">
        <v>0</v>
      </c>
      <c r="F1607" s="154">
        <v>18.91</v>
      </c>
      <c r="G1607" s="154" t="s">
        <v>13656</v>
      </c>
      <c r="H1607" s="620">
        <v>49</v>
      </c>
      <c r="I1607" s="154" t="s">
        <v>6278</v>
      </c>
      <c r="J1607" s="621">
        <v>0</v>
      </c>
      <c r="K1607" s="621" t="s">
        <v>6209</v>
      </c>
      <c r="L1607" s="621">
        <v>1</v>
      </c>
      <c r="M1607" s="154" t="s">
        <v>6154</v>
      </c>
    </row>
    <row r="1608" spans="1:16" ht="11.1" customHeight="1">
      <c r="A1608" s="154" t="s">
        <v>14715</v>
      </c>
      <c r="B1608" s="297" t="s">
        <v>6231</v>
      </c>
      <c r="C1608" s="617">
        <v>1</v>
      </c>
      <c r="D1608" s="618" t="s">
        <v>14716</v>
      </c>
      <c r="E1608" s="619">
        <v>0</v>
      </c>
      <c r="F1608" s="154">
        <v>9.9499999999999993</v>
      </c>
      <c r="G1608" s="154" t="s">
        <v>13573</v>
      </c>
      <c r="H1608" s="620">
        <v>56</v>
      </c>
      <c r="I1608" s="154" t="s">
        <v>6278</v>
      </c>
      <c r="J1608" s="621">
        <v>0</v>
      </c>
      <c r="K1608" s="621" t="s">
        <v>6036</v>
      </c>
      <c r="L1608" s="621">
        <v>0</v>
      </c>
      <c r="M1608" s="154">
        <v>0</v>
      </c>
    </row>
    <row r="1609" spans="1:16" ht="11.1" customHeight="1">
      <c r="A1609" s="154" t="s">
        <v>14717</v>
      </c>
      <c r="B1609" s="297" t="s">
        <v>12590</v>
      </c>
      <c r="C1609" s="617">
        <v>1</v>
      </c>
      <c r="D1609" s="618" t="s">
        <v>8608</v>
      </c>
      <c r="E1609" s="619">
        <v>0</v>
      </c>
      <c r="F1609" s="154" t="s">
        <v>6262</v>
      </c>
      <c r="G1609" s="154" t="s">
        <v>8084</v>
      </c>
      <c r="H1609" s="620">
        <v>64</v>
      </c>
      <c r="I1609" s="154" t="s">
        <v>6257</v>
      </c>
      <c r="J1609" s="621" t="s">
        <v>12975</v>
      </c>
      <c r="K1609" s="621" t="s">
        <v>6209</v>
      </c>
      <c r="L1609" s="621">
        <v>3</v>
      </c>
      <c r="M1609" s="154">
        <v>0</v>
      </c>
      <c r="N1609" s="298">
        <v>5</v>
      </c>
      <c r="O1609" s="298">
        <v>1388768</v>
      </c>
      <c r="P1609" s="298">
        <v>37.41031070022035</v>
      </c>
    </row>
    <row r="1610" spans="1:16" ht="11.1" customHeight="1">
      <c r="A1610" s="154" t="s">
        <v>14718</v>
      </c>
      <c r="B1610" s="297" t="s">
        <v>12590</v>
      </c>
      <c r="C1610" s="617">
        <v>2</v>
      </c>
      <c r="D1610" s="618" t="s">
        <v>8608</v>
      </c>
      <c r="E1610" s="619" t="s">
        <v>14052</v>
      </c>
      <c r="F1610" s="154" t="s">
        <v>6262</v>
      </c>
      <c r="G1610" s="154" t="s">
        <v>9699</v>
      </c>
      <c r="H1610" s="620">
        <v>40</v>
      </c>
      <c r="I1610" s="154" t="s">
        <v>6257</v>
      </c>
      <c r="J1610" s="621" t="s">
        <v>12621</v>
      </c>
      <c r="K1610" s="621" t="s">
        <v>6283</v>
      </c>
      <c r="L1610" s="621">
        <v>1</v>
      </c>
      <c r="M1610" s="154">
        <v>0</v>
      </c>
    </row>
    <row r="1611" spans="1:16" ht="11.1" customHeight="1">
      <c r="A1611" s="154" t="s">
        <v>14719</v>
      </c>
      <c r="B1611" s="297" t="s">
        <v>12590</v>
      </c>
      <c r="C1611" s="617">
        <v>3</v>
      </c>
      <c r="D1611" s="618" t="s">
        <v>8608</v>
      </c>
      <c r="E1611" s="619">
        <v>0</v>
      </c>
      <c r="F1611" s="154" t="s">
        <v>6262</v>
      </c>
      <c r="G1611" s="154" t="s">
        <v>8120</v>
      </c>
      <c r="H1611" s="620">
        <v>47</v>
      </c>
      <c r="I1611" s="154" t="s">
        <v>6257</v>
      </c>
      <c r="J1611" s="621" t="s">
        <v>12621</v>
      </c>
      <c r="K1611" s="621" t="s">
        <v>6036</v>
      </c>
      <c r="L1611" s="621">
        <v>0</v>
      </c>
      <c r="M1611" s="154">
        <v>0</v>
      </c>
    </row>
    <row r="1612" spans="1:16" ht="11.1" customHeight="1">
      <c r="A1612" s="154" t="s">
        <v>14720</v>
      </c>
      <c r="B1612" s="297" t="s">
        <v>12590</v>
      </c>
      <c r="C1612" s="617">
        <v>4</v>
      </c>
      <c r="D1612" s="618" t="s">
        <v>8608</v>
      </c>
      <c r="E1612" s="619">
        <v>0</v>
      </c>
      <c r="F1612" s="154" t="s">
        <v>6262</v>
      </c>
      <c r="G1612" s="154" t="s">
        <v>14721</v>
      </c>
      <c r="H1612" s="620">
        <v>64</v>
      </c>
      <c r="I1612" s="154" t="s">
        <v>6257</v>
      </c>
      <c r="J1612" s="621" t="s">
        <v>12635</v>
      </c>
      <c r="K1612" s="621" t="s">
        <v>6283</v>
      </c>
      <c r="L1612" s="621">
        <v>1</v>
      </c>
      <c r="M1612" s="154">
        <v>0</v>
      </c>
    </row>
    <row r="1613" spans="1:16" ht="11.1" customHeight="1">
      <c r="A1613" s="154" t="s">
        <v>14722</v>
      </c>
      <c r="B1613" s="297" t="s">
        <v>12590</v>
      </c>
      <c r="C1613" s="617">
        <v>5</v>
      </c>
      <c r="D1613" s="618" t="s">
        <v>9705</v>
      </c>
      <c r="E1613" s="619">
        <v>0</v>
      </c>
      <c r="F1613" s="154">
        <v>83.07</v>
      </c>
      <c r="G1613" s="154" t="s">
        <v>13782</v>
      </c>
      <c r="H1613" s="620">
        <v>71</v>
      </c>
      <c r="I1613" s="154" t="s">
        <v>6257</v>
      </c>
      <c r="J1613" s="621" t="s">
        <v>12617</v>
      </c>
      <c r="K1613" s="621" t="s">
        <v>6283</v>
      </c>
      <c r="L1613" s="621">
        <v>7</v>
      </c>
      <c r="M1613" s="154" t="s">
        <v>12638</v>
      </c>
    </row>
    <row r="1614" spans="1:16" ht="11.1" customHeight="1">
      <c r="A1614" s="154" t="s">
        <v>14723</v>
      </c>
      <c r="C1614" s="617">
        <v>5</v>
      </c>
      <c r="D1614" s="618" t="s">
        <v>9709</v>
      </c>
      <c r="E1614" s="619">
        <v>0</v>
      </c>
      <c r="F1614" s="154">
        <v>59.67</v>
      </c>
      <c r="G1614" s="154" t="s">
        <v>13744</v>
      </c>
      <c r="H1614" s="620">
        <v>61</v>
      </c>
      <c r="I1614" s="154" t="s">
        <v>6257</v>
      </c>
      <c r="J1614" s="621" t="s">
        <v>12621</v>
      </c>
      <c r="K1614" s="621" t="s">
        <v>6283</v>
      </c>
      <c r="L1614" s="621">
        <v>1</v>
      </c>
      <c r="M1614" s="154" t="s">
        <v>12622</v>
      </c>
    </row>
    <row r="1615" spans="1:16" ht="11.1" customHeight="1">
      <c r="A1615" s="154" t="s">
        <v>14724</v>
      </c>
      <c r="C1615" s="617">
        <v>21</v>
      </c>
      <c r="D1615" s="618" t="s">
        <v>8608</v>
      </c>
      <c r="E1615" s="619">
        <v>0</v>
      </c>
      <c r="F1615" s="154" t="s">
        <v>6262</v>
      </c>
      <c r="G1615" s="154" t="s">
        <v>14725</v>
      </c>
      <c r="H1615" s="620">
        <v>72</v>
      </c>
      <c r="I1615" s="154" t="s">
        <v>6257</v>
      </c>
      <c r="J1615" s="621" t="s">
        <v>12621</v>
      </c>
      <c r="K1615" s="621" t="s">
        <v>6209</v>
      </c>
      <c r="L1615" s="621">
        <v>5</v>
      </c>
      <c r="M1615" s="154">
        <v>0</v>
      </c>
    </row>
    <row r="1616" spans="1:16" ht="11.1" customHeight="1">
      <c r="A1616" s="154" t="s">
        <v>14726</v>
      </c>
      <c r="C1616" s="617">
        <v>22</v>
      </c>
      <c r="D1616" s="618" t="s">
        <v>8608</v>
      </c>
      <c r="E1616" s="619">
        <v>0</v>
      </c>
      <c r="F1616" s="154" t="s">
        <v>6262</v>
      </c>
      <c r="G1616" s="154" t="s">
        <v>14727</v>
      </c>
      <c r="H1616" s="620">
        <v>61</v>
      </c>
      <c r="I1616" s="154" t="s">
        <v>6257</v>
      </c>
      <c r="J1616" s="621" t="s">
        <v>12617</v>
      </c>
      <c r="K1616" s="621" t="s">
        <v>6036</v>
      </c>
      <c r="L1616" s="621">
        <v>0</v>
      </c>
      <c r="M1616" s="154">
        <v>0</v>
      </c>
    </row>
    <row r="1617" spans="1:13" ht="11.1" customHeight="1">
      <c r="A1617" s="154" t="s">
        <v>14728</v>
      </c>
      <c r="C1617" s="617">
        <v>23</v>
      </c>
      <c r="D1617" s="618" t="s">
        <v>8608</v>
      </c>
      <c r="E1617" s="619">
        <v>0</v>
      </c>
      <c r="F1617" s="154" t="s">
        <v>6262</v>
      </c>
      <c r="G1617" s="154" t="s">
        <v>14729</v>
      </c>
      <c r="H1617" s="620">
        <v>62</v>
      </c>
      <c r="I1617" s="154" t="s">
        <v>6257</v>
      </c>
      <c r="J1617" s="621" t="s">
        <v>12617</v>
      </c>
      <c r="K1617" s="621" t="s">
        <v>6036</v>
      </c>
      <c r="L1617" s="621">
        <v>0</v>
      </c>
      <c r="M1617" s="154">
        <v>0</v>
      </c>
    </row>
    <row r="1618" spans="1:13" ht="11.1" customHeight="1">
      <c r="A1618" s="154" t="s">
        <v>14730</v>
      </c>
      <c r="C1618" s="617">
        <v>24</v>
      </c>
      <c r="D1618" s="618" t="s">
        <v>8608</v>
      </c>
      <c r="E1618" s="619">
        <v>0</v>
      </c>
      <c r="F1618" s="154" t="s">
        <v>6262</v>
      </c>
      <c r="G1618" s="154" t="s">
        <v>14731</v>
      </c>
      <c r="H1618" s="620">
        <v>48</v>
      </c>
      <c r="I1618" s="154" t="s">
        <v>6257</v>
      </c>
      <c r="J1618" s="621" t="s">
        <v>12617</v>
      </c>
      <c r="K1618" s="621" t="s">
        <v>6036</v>
      </c>
      <c r="L1618" s="621">
        <v>0</v>
      </c>
      <c r="M1618" s="154">
        <v>0</v>
      </c>
    </row>
    <row r="1619" spans="1:13" ht="11.1" customHeight="1">
      <c r="A1619" s="154" t="s">
        <v>14732</v>
      </c>
      <c r="C1619" s="617">
        <v>25</v>
      </c>
      <c r="D1619" s="618" t="s">
        <v>8608</v>
      </c>
      <c r="E1619" s="619">
        <v>0</v>
      </c>
      <c r="F1619" s="154" t="s">
        <v>6262</v>
      </c>
      <c r="G1619" s="154" t="s">
        <v>14733</v>
      </c>
      <c r="H1619" s="620">
        <v>65</v>
      </c>
      <c r="I1619" s="154" t="s">
        <v>6257</v>
      </c>
      <c r="J1619" s="621" t="s">
        <v>12617</v>
      </c>
      <c r="K1619" s="621" t="s">
        <v>6036</v>
      </c>
      <c r="L1619" s="621">
        <v>0</v>
      </c>
      <c r="M1619" s="154">
        <v>0</v>
      </c>
    </row>
    <row r="1620" spans="1:13" ht="11.1" customHeight="1">
      <c r="A1620" s="154" t="s">
        <v>14734</v>
      </c>
      <c r="C1620" s="617">
        <v>26</v>
      </c>
      <c r="D1620" s="618" t="s">
        <v>8608</v>
      </c>
      <c r="E1620" s="619">
        <v>0</v>
      </c>
      <c r="F1620" s="154" t="s">
        <v>6262</v>
      </c>
      <c r="G1620" s="154" t="s">
        <v>9721</v>
      </c>
      <c r="H1620" s="620">
        <v>36</v>
      </c>
      <c r="I1620" s="154" t="s">
        <v>6257</v>
      </c>
      <c r="J1620" s="621" t="s">
        <v>12617</v>
      </c>
      <c r="K1620" s="621" t="s">
        <v>6036</v>
      </c>
      <c r="L1620" s="621">
        <v>0</v>
      </c>
      <c r="M1620" s="154">
        <v>0</v>
      </c>
    </row>
    <row r="1621" spans="1:13" ht="11.1" customHeight="1">
      <c r="A1621" s="154" t="s">
        <v>14735</v>
      </c>
      <c r="B1621" s="297" t="s">
        <v>14048</v>
      </c>
      <c r="C1621" s="617">
        <v>5</v>
      </c>
      <c r="D1621" s="618" t="s">
        <v>9725</v>
      </c>
      <c r="E1621" s="619">
        <v>0</v>
      </c>
      <c r="F1621" s="154" t="s">
        <v>6251</v>
      </c>
      <c r="G1621" s="154" t="s">
        <v>12436</v>
      </c>
      <c r="H1621" s="620">
        <v>46</v>
      </c>
      <c r="I1621" s="154" t="s">
        <v>6257</v>
      </c>
      <c r="J1621" s="621" t="s">
        <v>12621</v>
      </c>
      <c r="K1621" s="621" t="s">
        <v>6209</v>
      </c>
      <c r="L1621" s="621">
        <v>5</v>
      </c>
      <c r="M1621" s="154" t="s">
        <v>12638</v>
      </c>
    </row>
    <row r="1622" spans="1:13" ht="11.1" customHeight="1">
      <c r="A1622" s="154" t="s">
        <v>14736</v>
      </c>
      <c r="B1622" s="297" t="s">
        <v>14048</v>
      </c>
      <c r="C1622" s="617">
        <v>5</v>
      </c>
      <c r="D1622" s="618" t="s">
        <v>9729</v>
      </c>
      <c r="E1622" s="619">
        <v>0</v>
      </c>
      <c r="F1622" s="154" t="s">
        <v>6251</v>
      </c>
      <c r="G1622" s="154" t="s">
        <v>8074</v>
      </c>
      <c r="H1622" s="620">
        <v>59</v>
      </c>
      <c r="I1622" s="154" t="s">
        <v>6257</v>
      </c>
      <c r="J1622" s="621" t="s">
        <v>12631</v>
      </c>
      <c r="K1622" s="621" t="s">
        <v>6209</v>
      </c>
      <c r="L1622" s="621">
        <v>4</v>
      </c>
      <c r="M1622" s="154" t="s">
        <v>12638</v>
      </c>
    </row>
    <row r="1623" spans="1:13" ht="11.1" customHeight="1">
      <c r="A1623" s="154" t="s">
        <v>14737</v>
      </c>
      <c r="B1623" s="297" t="s">
        <v>14048</v>
      </c>
      <c r="C1623" s="617">
        <v>5</v>
      </c>
      <c r="D1623" s="618" t="s">
        <v>9731</v>
      </c>
      <c r="E1623" s="619">
        <v>0</v>
      </c>
      <c r="F1623" s="154" t="s">
        <v>6251</v>
      </c>
      <c r="G1623" s="154" t="s">
        <v>12448</v>
      </c>
      <c r="H1623" s="620">
        <v>57</v>
      </c>
      <c r="I1623" s="154" t="s">
        <v>6257</v>
      </c>
      <c r="J1623" s="621" t="s">
        <v>12621</v>
      </c>
      <c r="K1623" s="621" t="s">
        <v>6209</v>
      </c>
      <c r="L1623" s="621">
        <v>1</v>
      </c>
      <c r="M1623" s="154" t="s">
        <v>12638</v>
      </c>
    </row>
    <row r="1624" spans="1:13" ht="11.1" customHeight="1">
      <c r="A1624" s="154" t="s">
        <v>14738</v>
      </c>
      <c r="B1624" s="297" t="s">
        <v>14048</v>
      </c>
      <c r="C1624" s="617">
        <v>5</v>
      </c>
      <c r="D1624" s="618" t="s">
        <v>9733</v>
      </c>
      <c r="E1624" s="619">
        <v>0</v>
      </c>
      <c r="F1624" s="154" t="s">
        <v>6251</v>
      </c>
      <c r="G1624" s="154" t="s">
        <v>8088</v>
      </c>
      <c r="H1624" s="620">
        <v>49</v>
      </c>
      <c r="I1624" s="154" t="s">
        <v>6257</v>
      </c>
      <c r="J1624" s="621" t="s">
        <v>12773</v>
      </c>
      <c r="K1624" s="621" t="s">
        <v>6209</v>
      </c>
      <c r="L1624" s="621">
        <v>5</v>
      </c>
      <c r="M1624" s="154" t="s">
        <v>12638</v>
      </c>
    </row>
    <row r="1625" spans="1:13" ht="11.1" customHeight="1">
      <c r="A1625" s="154" t="s">
        <v>14739</v>
      </c>
      <c r="B1625" s="297" t="s">
        <v>14048</v>
      </c>
      <c r="C1625" s="617">
        <v>5</v>
      </c>
      <c r="D1625" s="618" t="s">
        <v>9715</v>
      </c>
      <c r="E1625" s="619">
        <v>0</v>
      </c>
      <c r="F1625" s="154" t="s">
        <v>6251</v>
      </c>
      <c r="G1625" s="154" t="s">
        <v>8100</v>
      </c>
      <c r="H1625" s="620">
        <v>63</v>
      </c>
      <c r="I1625" s="154" t="s">
        <v>6257</v>
      </c>
      <c r="J1625" s="621" t="s">
        <v>12621</v>
      </c>
      <c r="K1625" s="621" t="s">
        <v>6209</v>
      </c>
      <c r="L1625" s="621">
        <v>3</v>
      </c>
      <c r="M1625" s="154" t="s">
        <v>12638</v>
      </c>
    </row>
    <row r="1626" spans="1:13" ht="11.1" customHeight="1">
      <c r="A1626" s="154" t="s">
        <v>14740</v>
      </c>
      <c r="B1626" s="297" t="s">
        <v>14048</v>
      </c>
      <c r="C1626" s="617">
        <v>5</v>
      </c>
      <c r="D1626" s="618" t="s">
        <v>9695</v>
      </c>
      <c r="E1626" s="619">
        <v>0</v>
      </c>
      <c r="F1626" s="154" t="s">
        <v>6251</v>
      </c>
      <c r="G1626" s="154" t="s">
        <v>8106</v>
      </c>
      <c r="H1626" s="620">
        <v>64</v>
      </c>
      <c r="I1626" s="154" t="s">
        <v>6257</v>
      </c>
      <c r="J1626" s="621" t="s">
        <v>12635</v>
      </c>
      <c r="K1626" s="621" t="s">
        <v>6209</v>
      </c>
      <c r="L1626" s="621">
        <v>7</v>
      </c>
      <c r="M1626" s="154" t="s">
        <v>12638</v>
      </c>
    </row>
    <row r="1627" spans="1:13" ht="11.1" customHeight="1">
      <c r="A1627" s="154" t="s">
        <v>14741</v>
      </c>
      <c r="B1627" s="297" t="s">
        <v>14048</v>
      </c>
      <c r="C1627" s="617">
        <v>5</v>
      </c>
      <c r="D1627" s="618" t="s">
        <v>9735</v>
      </c>
      <c r="E1627" s="619">
        <v>0</v>
      </c>
      <c r="F1627" s="154" t="s">
        <v>6251</v>
      </c>
      <c r="G1627" s="154" t="s">
        <v>9697</v>
      </c>
      <c r="H1627" s="620">
        <v>59</v>
      </c>
      <c r="I1627" s="154" t="s">
        <v>6257</v>
      </c>
      <c r="J1627" s="621" t="s">
        <v>12651</v>
      </c>
      <c r="K1627" s="621" t="s">
        <v>6209</v>
      </c>
      <c r="L1627" s="621">
        <v>4</v>
      </c>
      <c r="M1627" s="154" t="s">
        <v>12638</v>
      </c>
    </row>
    <row r="1628" spans="1:13" ht="11.1" customHeight="1">
      <c r="A1628" s="154" t="s">
        <v>14742</v>
      </c>
      <c r="B1628" s="297" t="s">
        <v>14048</v>
      </c>
      <c r="C1628" s="617">
        <v>5</v>
      </c>
      <c r="D1628" s="618" t="s">
        <v>9737</v>
      </c>
      <c r="E1628" s="619">
        <v>0</v>
      </c>
      <c r="F1628" s="154" t="s">
        <v>6251</v>
      </c>
      <c r="G1628" s="154" t="s">
        <v>8126</v>
      </c>
      <c r="H1628" s="620">
        <v>46</v>
      </c>
      <c r="I1628" s="154" t="s">
        <v>6257</v>
      </c>
      <c r="J1628" s="621" t="s">
        <v>12651</v>
      </c>
      <c r="K1628" s="621" t="s">
        <v>6209</v>
      </c>
      <c r="L1628" s="621">
        <v>3</v>
      </c>
      <c r="M1628" s="154" t="s">
        <v>12638</v>
      </c>
    </row>
    <row r="1629" spans="1:13" ht="11.1" customHeight="1">
      <c r="A1629" s="154" t="s">
        <v>14743</v>
      </c>
      <c r="B1629" s="297" t="s">
        <v>14048</v>
      </c>
      <c r="C1629" s="617">
        <v>5</v>
      </c>
      <c r="D1629" s="618" t="s">
        <v>9713</v>
      </c>
      <c r="E1629" s="619">
        <v>0</v>
      </c>
      <c r="F1629" s="154" t="s">
        <v>6251</v>
      </c>
      <c r="G1629" s="154" t="s">
        <v>8146</v>
      </c>
      <c r="H1629" s="620">
        <v>58</v>
      </c>
      <c r="I1629" s="154" t="s">
        <v>6257</v>
      </c>
      <c r="J1629" s="621" t="s">
        <v>12635</v>
      </c>
      <c r="K1629" s="621" t="s">
        <v>6209</v>
      </c>
      <c r="L1629" s="621">
        <v>1</v>
      </c>
      <c r="M1629" s="154" t="s">
        <v>6260</v>
      </c>
    </row>
    <row r="1630" spans="1:13" ht="11.1" customHeight="1">
      <c r="A1630" s="154" t="s">
        <v>14744</v>
      </c>
      <c r="B1630" s="297" t="s">
        <v>14048</v>
      </c>
      <c r="C1630" s="617">
        <v>5</v>
      </c>
      <c r="D1630" s="618" t="s">
        <v>9701</v>
      </c>
      <c r="E1630" s="619">
        <v>0</v>
      </c>
      <c r="F1630" s="154" t="s">
        <v>6251</v>
      </c>
      <c r="G1630" s="154" t="s">
        <v>8152</v>
      </c>
      <c r="H1630" s="620">
        <v>59</v>
      </c>
      <c r="I1630" s="154" t="s">
        <v>6257</v>
      </c>
      <c r="J1630" s="621" t="s">
        <v>12617</v>
      </c>
      <c r="K1630" s="621" t="s">
        <v>6209</v>
      </c>
      <c r="L1630" s="621">
        <v>7</v>
      </c>
      <c r="M1630" s="154" t="s">
        <v>12638</v>
      </c>
    </row>
    <row r="1631" spans="1:13" ht="11.1" customHeight="1">
      <c r="A1631" s="154" t="s">
        <v>14745</v>
      </c>
      <c r="B1631" s="297" t="s">
        <v>14048</v>
      </c>
      <c r="C1631" s="617">
        <v>5</v>
      </c>
      <c r="D1631" s="618" t="s">
        <v>9703</v>
      </c>
      <c r="E1631" s="619">
        <v>0</v>
      </c>
      <c r="F1631" s="154" t="s">
        <v>6251</v>
      </c>
      <c r="G1631" s="154" t="s">
        <v>13759</v>
      </c>
      <c r="H1631" s="620">
        <v>66</v>
      </c>
      <c r="I1631" s="154" t="s">
        <v>6257</v>
      </c>
      <c r="J1631" s="621" t="s">
        <v>12651</v>
      </c>
      <c r="K1631" s="621" t="s">
        <v>6209</v>
      </c>
      <c r="L1631" s="621">
        <v>9</v>
      </c>
      <c r="M1631" s="154" t="s">
        <v>12638</v>
      </c>
    </row>
    <row r="1632" spans="1:13" ht="11.1" customHeight="1">
      <c r="A1632" s="154" t="s">
        <v>14746</v>
      </c>
      <c r="B1632" s="297" t="s">
        <v>14048</v>
      </c>
      <c r="C1632" s="617">
        <v>5</v>
      </c>
      <c r="D1632" s="618" t="s">
        <v>9707</v>
      </c>
      <c r="E1632" s="619">
        <v>0</v>
      </c>
      <c r="F1632" s="154" t="s">
        <v>6251</v>
      </c>
      <c r="G1632" s="154" t="s">
        <v>8172</v>
      </c>
      <c r="H1632" s="620">
        <v>53</v>
      </c>
      <c r="I1632" s="154" t="s">
        <v>6257</v>
      </c>
      <c r="J1632" s="621" t="s">
        <v>12651</v>
      </c>
      <c r="K1632" s="621" t="s">
        <v>6209</v>
      </c>
      <c r="L1632" s="621">
        <v>1</v>
      </c>
      <c r="M1632" s="154" t="s">
        <v>12638</v>
      </c>
    </row>
    <row r="1633" spans="1:16" ht="11.1" customHeight="1">
      <c r="A1633" s="154" t="s">
        <v>14747</v>
      </c>
      <c r="B1633" s="297" t="s">
        <v>14048</v>
      </c>
      <c r="C1633" s="617">
        <v>5</v>
      </c>
      <c r="D1633" s="618" t="s">
        <v>9739</v>
      </c>
      <c r="E1633" s="619">
        <v>0</v>
      </c>
      <c r="F1633" s="154" t="s">
        <v>6251</v>
      </c>
      <c r="G1633" s="154" t="s">
        <v>8176</v>
      </c>
      <c r="H1633" s="620">
        <v>61</v>
      </c>
      <c r="I1633" s="154" t="s">
        <v>6257</v>
      </c>
      <c r="J1633" s="621" t="s">
        <v>12028</v>
      </c>
      <c r="K1633" s="621" t="s">
        <v>6209</v>
      </c>
      <c r="L1633" s="621">
        <v>7</v>
      </c>
      <c r="M1633" s="154" t="s">
        <v>12638</v>
      </c>
    </row>
    <row r="1634" spans="1:16" ht="11.1" customHeight="1">
      <c r="A1634" s="154" t="s">
        <v>14748</v>
      </c>
      <c r="B1634" s="297" t="s">
        <v>14048</v>
      </c>
      <c r="C1634" s="617">
        <v>5</v>
      </c>
      <c r="D1634" s="618" t="s">
        <v>9741</v>
      </c>
      <c r="E1634" s="619">
        <v>0</v>
      </c>
      <c r="F1634" s="154" t="s">
        <v>6251</v>
      </c>
      <c r="G1634" s="154" t="s">
        <v>8190</v>
      </c>
      <c r="H1634" s="620">
        <v>60</v>
      </c>
      <c r="I1634" s="154" t="s">
        <v>6257</v>
      </c>
      <c r="J1634" s="621" t="s">
        <v>12635</v>
      </c>
      <c r="K1634" s="621" t="s">
        <v>6209</v>
      </c>
      <c r="L1634" s="621">
        <v>4</v>
      </c>
      <c r="M1634" s="154" t="s">
        <v>12638</v>
      </c>
    </row>
    <row r="1635" spans="1:16" ht="11.1" customHeight="1">
      <c r="A1635" s="154" t="s">
        <v>14749</v>
      </c>
      <c r="B1635" s="297" t="s">
        <v>12590</v>
      </c>
      <c r="C1635" s="617">
        <v>1</v>
      </c>
      <c r="D1635" s="618" t="s">
        <v>9727</v>
      </c>
      <c r="E1635" s="619">
        <v>0</v>
      </c>
      <c r="F1635" s="154">
        <v>97.18</v>
      </c>
      <c r="G1635" s="154" t="s">
        <v>12443</v>
      </c>
      <c r="H1635" s="620">
        <v>49</v>
      </c>
      <c r="I1635" s="154" t="s">
        <v>6253</v>
      </c>
      <c r="J1635" s="621" t="s">
        <v>11994</v>
      </c>
      <c r="K1635" s="621" t="s">
        <v>6209</v>
      </c>
      <c r="L1635" s="621">
        <v>1</v>
      </c>
      <c r="M1635" s="154">
        <v>0</v>
      </c>
      <c r="N1635" s="298">
        <v>4</v>
      </c>
      <c r="O1635" s="298">
        <v>1254880</v>
      </c>
      <c r="P1635" s="298">
        <v>33.803666769030187</v>
      </c>
    </row>
    <row r="1636" spans="1:16" ht="11.1" customHeight="1">
      <c r="A1636" s="154" t="s">
        <v>14750</v>
      </c>
      <c r="B1636" s="297" t="s">
        <v>12590</v>
      </c>
      <c r="C1636" s="617">
        <v>1</v>
      </c>
      <c r="D1636" s="618" t="s">
        <v>9715</v>
      </c>
      <c r="E1636" s="619">
        <v>0</v>
      </c>
      <c r="F1636" s="154">
        <v>87.98</v>
      </c>
      <c r="G1636" s="154" t="s">
        <v>8096</v>
      </c>
      <c r="H1636" s="620">
        <v>32</v>
      </c>
      <c r="I1636" s="154" t="s">
        <v>6253</v>
      </c>
      <c r="J1636" s="621" t="s">
        <v>12007</v>
      </c>
      <c r="K1636" s="621" t="s">
        <v>6036</v>
      </c>
      <c r="L1636" s="621">
        <v>0</v>
      </c>
      <c r="M1636" s="154">
        <v>0</v>
      </c>
    </row>
    <row r="1637" spans="1:16" ht="11.1" customHeight="1">
      <c r="A1637" s="154" t="s">
        <v>14751</v>
      </c>
      <c r="B1637" s="297" t="s">
        <v>12590</v>
      </c>
      <c r="C1637" s="617">
        <v>1</v>
      </c>
      <c r="D1637" s="618" t="s">
        <v>9717</v>
      </c>
      <c r="E1637" s="619">
        <v>0</v>
      </c>
      <c r="F1637" s="154">
        <v>85.57</v>
      </c>
      <c r="G1637" s="154" t="s">
        <v>12476</v>
      </c>
      <c r="H1637" s="620">
        <v>44</v>
      </c>
      <c r="I1637" s="154" t="s">
        <v>6253</v>
      </c>
      <c r="J1637" s="621" t="s">
        <v>12020</v>
      </c>
      <c r="K1637" s="621" t="s">
        <v>6209</v>
      </c>
      <c r="L1637" s="621">
        <v>1</v>
      </c>
      <c r="M1637" s="154">
        <v>0</v>
      </c>
    </row>
    <row r="1638" spans="1:16" ht="11.1" customHeight="1">
      <c r="A1638" s="154" t="s">
        <v>14752</v>
      </c>
      <c r="B1638" s="297" t="s">
        <v>12590</v>
      </c>
      <c r="C1638" s="617">
        <v>1</v>
      </c>
      <c r="D1638" s="618" t="s">
        <v>9707</v>
      </c>
      <c r="E1638" s="619">
        <v>0</v>
      </c>
      <c r="F1638" s="154">
        <v>80.95</v>
      </c>
      <c r="G1638" s="154" t="s">
        <v>8170</v>
      </c>
      <c r="H1638" s="620">
        <v>40</v>
      </c>
      <c r="I1638" s="154" t="s">
        <v>6253</v>
      </c>
      <c r="J1638" s="621" t="s">
        <v>12007</v>
      </c>
      <c r="K1638" s="621" t="s">
        <v>6036</v>
      </c>
      <c r="L1638" s="621">
        <v>0</v>
      </c>
      <c r="M1638" s="154">
        <v>0</v>
      </c>
    </row>
    <row r="1639" spans="1:16" ht="11.1" customHeight="1">
      <c r="A1639" s="154" t="s">
        <v>14753</v>
      </c>
      <c r="C1639" s="617">
        <v>1</v>
      </c>
      <c r="D1639" s="618" t="s">
        <v>9735</v>
      </c>
      <c r="E1639" s="619">
        <v>0</v>
      </c>
      <c r="F1639" s="154">
        <v>67.19</v>
      </c>
      <c r="G1639" s="154" t="s">
        <v>13734</v>
      </c>
      <c r="H1639" s="620">
        <v>37</v>
      </c>
      <c r="I1639" s="154" t="s">
        <v>6253</v>
      </c>
      <c r="J1639" s="621" t="s">
        <v>12007</v>
      </c>
      <c r="K1639" s="621" t="s">
        <v>6036</v>
      </c>
      <c r="L1639" s="621">
        <v>0</v>
      </c>
      <c r="M1639" s="154">
        <v>0</v>
      </c>
    </row>
    <row r="1640" spans="1:16" ht="11.1" customHeight="1">
      <c r="A1640" s="154" t="s">
        <v>14754</v>
      </c>
      <c r="C1640" s="617">
        <v>1</v>
      </c>
      <c r="D1640" s="618" t="s">
        <v>9737</v>
      </c>
      <c r="E1640" s="619">
        <v>0</v>
      </c>
      <c r="F1640" s="154">
        <v>66.52</v>
      </c>
      <c r="G1640" s="154" t="s">
        <v>6650</v>
      </c>
      <c r="H1640" s="620">
        <v>38</v>
      </c>
      <c r="I1640" s="154" t="s">
        <v>6253</v>
      </c>
      <c r="J1640" s="621" t="s">
        <v>12007</v>
      </c>
      <c r="K1640" s="621" t="s">
        <v>6036</v>
      </c>
      <c r="L1640" s="621">
        <v>0</v>
      </c>
      <c r="M1640" s="154">
        <v>0</v>
      </c>
    </row>
    <row r="1641" spans="1:16" ht="11.1" customHeight="1">
      <c r="A1641" s="154" t="s">
        <v>14755</v>
      </c>
      <c r="C1641" s="617">
        <v>1</v>
      </c>
      <c r="D1641" s="618" t="s">
        <v>9703</v>
      </c>
      <c r="E1641" s="619">
        <v>0</v>
      </c>
      <c r="F1641" s="154">
        <v>65.040000000000006</v>
      </c>
      <c r="G1641" s="154" t="s">
        <v>13761</v>
      </c>
      <c r="H1641" s="620">
        <v>48</v>
      </c>
      <c r="I1641" s="154" t="s">
        <v>6253</v>
      </c>
      <c r="J1641" s="621" t="s">
        <v>12007</v>
      </c>
      <c r="K1641" s="621" t="s">
        <v>6036</v>
      </c>
      <c r="L1641" s="621">
        <v>0</v>
      </c>
      <c r="M1641" s="154">
        <v>0</v>
      </c>
    </row>
    <row r="1642" spans="1:16" ht="11.1" customHeight="1">
      <c r="A1642" s="154" t="s">
        <v>14756</v>
      </c>
      <c r="C1642" s="617">
        <v>1</v>
      </c>
      <c r="D1642" s="618" t="s">
        <v>9711</v>
      </c>
      <c r="E1642" s="619">
        <v>0</v>
      </c>
      <c r="F1642" s="154">
        <v>63.26</v>
      </c>
      <c r="G1642" s="154" t="s">
        <v>8114</v>
      </c>
      <c r="H1642" s="620">
        <v>31</v>
      </c>
      <c r="I1642" s="154" t="s">
        <v>6253</v>
      </c>
      <c r="J1642" s="621" t="s">
        <v>12007</v>
      </c>
      <c r="K1642" s="621" t="s">
        <v>6036</v>
      </c>
      <c r="L1642" s="621">
        <v>0</v>
      </c>
      <c r="M1642" s="154">
        <v>0</v>
      </c>
    </row>
    <row r="1643" spans="1:16" ht="11.1" customHeight="1">
      <c r="A1643" s="154" t="s">
        <v>14757</v>
      </c>
      <c r="C1643" s="617">
        <v>1</v>
      </c>
      <c r="D1643" s="618" t="s">
        <v>9733</v>
      </c>
      <c r="E1643" s="619">
        <v>0</v>
      </c>
      <c r="F1643" s="154">
        <v>62.03</v>
      </c>
      <c r="G1643" s="154" t="s">
        <v>12452</v>
      </c>
      <c r="H1643" s="620">
        <v>31</v>
      </c>
      <c r="I1643" s="154" t="s">
        <v>6253</v>
      </c>
      <c r="J1643" s="621" t="s">
        <v>12000</v>
      </c>
      <c r="K1643" s="621" t="s">
        <v>6036</v>
      </c>
      <c r="L1643" s="621">
        <v>0</v>
      </c>
      <c r="M1643" s="154" t="s">
        <v>6154</v>
      </c>
    </row>
    <row r="1644" spans="1:16" ht="11.1" customHeight="1">
      <c r="A1644" s="154" t="s">
        <v>14758</v>
      </c>
      <c r="C1644" s="617">
        <v>1</v>
      </c>
      <c r="D1644" s="618" t="s">
        <v>9701</v>
      </c>
      <c r="E1644" s="619">
        <v>0</v>
      </c>
      <c r="F1644" s="154">
        <v>57.7</v>
      </c>
      <c r="G1644" s="154" t="s">
        <v>8150</v>
      </c>
      <c r="H1644" s="620">
        <v>39</v>
      </c>
      <c r="I1644" s="154" t="s">
        <v>6253</v>
      </c>
      <c r="J1644" s="621" t="s">
        <v>12020</v>
      </c>
      <c r="K1644" s="621" t="s">
        <v>6036</v>
      </c>
      <c r="L1644" s="621">
        <v>0</v>
      </c>
      <c r="M1644" s="154">
        <v>0</v>
      </c>
    </row>
    <row r="1645" spans="1:16" ht="11.1" customHeight="1">
      <c r="A1645" s="154" t="s">
        <v>14759</v>
      </c>
      <c r="C1645" s="617">
        <v>1</v>
      </c>
      <c r="D1645" s="618" t="s">
        <v>9729</v>
      </c>
      <c r="E1645" s="619">
        <v>0</v>
      </c>
      <c r="F1645" s="154">
        <v>51.8</v>
      </c>
      <c r="G1645" s="154" t="s">
        <v>13710</v>
      </c>
      <c r="H1645" s="620">
        <v>35</v>
      </c>
      <c r="I1645" s="154" t="s">
        <v>6253</v>
      </c>
      <c r="J1645" s="621" t="s">
        <v>11994</v>
      </c>
      <c r="K1645" s="621" t="s">
        <v>6036</v>
      </c>
      <c r="L1645" s="621">
        <v>0</v>
      </c>
      <c r="M1645" s="154">
        <v>0</v>
      </c>
    </row>
    <row r="1646" spans="1:16" ht="11.1" customHeight="1">
      <c r="A1646" s="154" t="s">
        <v>14760</v>
      </c>
      <c r="C1646" s="617">
        <v>1</v>
      </c>
      <c r="D1646" s="618" t="s">
        <v>9739</v>
      </c>
      <c r="E1646" s="619">
        <v>0</v>
      </c>
      <c r="F1646" s="154">
        <v>48.37</v>
      </c>
      <c r="G1646" s="154" t="s">
        <v>6585</v>
      </c>
      <c r="H1646" s="620">
        <v>53</v>
      </c>
      <c r="I1646" s="154" t="s">
        <v>6253</v>
      </c>
      <c r="J1646" s="621" t="s">
        <v>12007</v>
      </c>
      <c r="K1646" s="621" t="s">
        <v>6036</v>
      </c>
      <c r="L1646" s="621">
        <v>0</v>
      </c>
      <c r="M1646" s="154" t="s">
        <v>6254</v>
      </c>
    </row>
    <row r="1647" spans="1:16" ht="11.1" customHeight="1">
      <c r="A1647" s="154" t="s">
        <v>14761</v>
      </c>
      <c r="C1647" s="617">
        <v>1</v>
      </c>
      <c r="D1647" s="618" t="s">
        <v>9741</v>
      </c>
      <c r="E1647" s="619">
        <v>0</v>
      </c>
      <c r="F1647" s="154">
        <v>45.65</v>
      </c>
      <c r="G1647" s="154" t="s">
        <v>13786</v>
      </c>
      <c r="H1647" s="620">
        <v>60</v>
      </c>
      <c r="I1647" s="154" t="s">
        <v>6253</v>
      </c>
      <c r="J1647" s="621" t="s">
        <v>12007</v>
      </c>
      <c r="K1647" s="621" t="s">
        <v>6036</v>
      </c>
      <c r="L1647" s="621">
        <v>0</v>
      </c>
      <c r="M1647" s="154" t="s">
        <v>6254</v>
      </c>
    </row>
    <row r="1648" spans="1:16" ht="11.1" customHeight="1">
      <c r="A1648" s="154" t="s">
        <v>14762</v>
      </c>
      <c r="C1648" s="617">
        <v>1</v>
      </c>
      <c r="D1648" s="618" t="s">
        <v>9695</v>
      </c>
      <c r="E1648" s="619">
        <v>0</v>
      </c>
      <c r="F1648" s="154">
        <v>38.119999999999997</v>
      </c>
      <c r="G1648" s="154" t="s">
        <v>12456</v>
      </c>
      <c r="H1648" s="620">
        <v>48</v>
      </c>
      <c r="I1648" s="154" t="s">
        <v>6253</v>
      </c>
      <c r="J1648" s="621" t="s">
        <v>12007</v>
      </c>
      <c r="K1648" s="621" t="s">
        <v>6036</v>
      </c>
      <c r="L1648" s="621">
        <v>0</v>
      </c>
      <c r="M1648" s="154">
        <v>0</v>
      </c>
    </row>
    <row r="1649" spans="1:16" ht="11.1" customHeight="1">
      <c r="A1649" s="154" t="s">
        <v>14763</v>
      </c>
      <c r="C1649" s="617">
        <v>1</v>
      </c>
      <c r="D1649" s="618" t="s">
        <v>9731</v>
      </c>
      <c r="E1649" s="619">
        <v>0</v>
      </c>
      <c r="F1649" s="154">
        <v>35</v>
      </c>
      <c r="G1649" s="154" t="s">
        <v>13714</v>
      </c>
      <c r="H1649" s="620">
        <v>71</v>
      </c>
      <c r="I1649" s="154" t="s">
        <v>6253</v>
      </c>
      <c r="J1649" s="621" t="s">
        <v>11989</v>
      </c>
      <c r="K1649" s="621" t="s">
        <v>6036</v>
      </c>
      <c r="L1649" s="621">
        <v>0</v>
      </c>
      <c r="M1649" s="154">
        <v>0</v>
      </c>
    </row>
    <row r="1650" spans="1:16" ht="11.1" customHeight="1">
      <c r="A1650" s="154" t="s">
        <v>14764</v>
      </c>
      <c r="B1650" s="297" t="s">
        <v>14048</v>
      </c>
      <c r="C1650" s="617">
        <v>1</v>
      </c>
      <c r="D1650" s="618" t="s">
        <v>9709</v>
      </c>
      <c r="E1650" s="619">
        <v>0</v>
      </c>
      <c r="F1650" s="154" t="s">
        <v>6251</v>
      </c>
      <c r="G1650" s="154" t="s">
        <v>8138</v>
      </c>
      <c r="H1650" s="620">
        <v>32</v>
      </c>
      <c r="I1650" s="154" t="s">
        <v>6253</v>
      </c>
      <c r="J1650" s="621" t="s">
        <v>12007</v>
      </c>
      <c r="K1650" s="621" t="s">
        <v>6036</v>
      </c>
      <c r="L1650" s="621">
        <v>0</v>
      </c>
      <c r="M1650" s="154">
        <v>0</v>
      </c>
    </row>
    <row r="1651" spans="1:16" ht="11.1" customHeight="1">
      <c r="A1651" s="154" t="s">
        <v>14765</v>
      </c>
      <c r="B1651" s="297" t="s">
        <v>14048</v>
      </c>
      <c r="C1651" s="617">
        <v>1</v>
      </c>
      <c r="D1651" s="618" t="s">
        <v>9705</v>
      </c>
      <c r="E1651" s="619">
        <v>0</v>
      </c>
      <c r="F1651" s="154" t="s">
        <v>6251</v>
      </c>
      <c r="G1651" s="154" t="s">
        <v>8184</v>
      </c>
      <c r="H1651" s="620">
        <v>49</v>
      </c>
      <c r="I1651" s="154" t="s">
        <v>6253</v>
      </c>
      <c r="J1651" s="621" t="s">
        <v>12007</v>
      </c>
      <c r="K1651" s="621" t="s">
        <v>6209</v>
      </c>
      <c r="L1651" s="621">
        <v>1</v>
      </c>
      <c r="M1651" s="154" t="s">
        <v>6254</v>
      </c>
    </row>
    <row r="1652" spans="1:16" ht="11.1" customHeight="1">
      <c r="A1652" s="154" t="s">
        <v>14766</v>
      </c>
      <c r="B1652" s="297" t="s">
        <v>12590</v>
      </c>
      <c r="C1652" s="617">
        <v>1</v>
      </c>
      <c r="D1652" s="618" t="s">
        <v>8608</v>
      </c>
      <c r="E1652" s="619">
        <v>0</v>
      </c>
      <c r="F1652" s="154" t="s">
        <v>6262</v>
      </c>
      <c r="G1652" s="154" t="s">
        <v>9765</v>
      </c>
      <c r="H1652" s="620">
        <v>51</v>
      </c>
      <c r="I1652" s="154" t="s">
        <v>6929</v>
      </c>
      <c r="J1652" s="621">
        <v>0</v>
      </c>
      <c r="K1652" s="621" t="s">
        <v>6209</v>
      </c>
      <c r="L1652" s="621">
        <v>3</v>
      </c>
      <c r="M1652" s="154">
        <v>0</v>
      </c>
      <c r="N1652" s="298">
        <v>2</v>
      </c>
      <c r="O1652" s="298">
        <v>657311</v>
      </c>
      <c r="P1652" s="298">
        <v>17.706491463421205</v>
      </c>
    </row>
    <row r="1653" spans="1:16" ht="11.1" customHeight="1">
      <c r="A1653" s="154" t="s">
        <v>14767</v>
      </c>
      <c r="B1653" s="297" t="s">
        <v>12590</v>
      </c>
      <c r="C1653" s="617">
        <v>2</v>
      </c>
      <c r="D1653" s="618" t="s">
        <v>8608</v>
      </c>
      <c r="E1653" s="619">
        <v>0</v>
      </c>
      <c r="F1653" s="154" t="s">
        <v>6262</v>
      </c>
      <c r="G1653" s="154" t="s">
        <v>9767</v>
      </c>
      <c r="H1653" s="620">
        <v>52</v>
      </c>
      <c r="I1653" s="154" t="s">
        <v>6929</v>
      </c>
      <c r="J1653" s="621">
        <v>0</v>
      </c>
      <c r="K1653" s="621" t="s">
        <v>6209</v>
      </c>
      <c r="L1653" s="621">
        <v>3</v>
      </c>
      <c r="M1653" s="154">
        <v>0</v>
      </c>
    </row>
    <row r="1654" spans="1:16" ht="11.1" customHeight="1">
      <c r="A1654" s="154" t="s">
        <v>14768</v>
      </c>
      <c r="C1654" s="617">
        <v>3</v>
      </c>
      <c r="D1654" s="618" t="s">
        <v>8608</v>
      </c>
      <c r="E1654" s="619">
        <v>0</v>
      </c>
      <c r="F1654" s="154" t="s">
        <v>6262</v>
      </c>
      <c r="G1654" s="154" t="s">
        <v>9769</v>
      </c>
      <c r="H1654" s="620">
        <v>40</v>
      </c>
      <c r="I1654" s="154" t="s">
        <v>6929</v>
      </c>
      <c r="J1654" s="621">
        <v>0</v>
      </c>
      <c r="K1654" s="621" t="s">
        <v>6036</v>
      </c>
      <c r="L1654" s="621">
        <v>0</v>
      </c>
      <c r="M1654" s="154">
        <v>0</v>
      </c>
    </row>
    <row r="1655" spans="1:16" ht="11.1" customHeight="1">
      <c r="A1655" s="154" t="s">
        <v>14769</v>
      </c>
      <c r="C1655" s="617">
        <v>4</v>
      </c>
      <c r="D1655" s="618" t="s">
        <v>8608</v>
      </c>
      <c r="E1655" s="619">
        <v>0</v>
      </c>
      <c r="F1655" s="154" t="s">
        <v>6262</v>
      </c>
      <c r="G1655" s="154" t="s">
        <v>14770</v>
      </c>
      <c r="H1655" s="620">
        <v>55</v>
      </c>
      <c r="I1655" s="154" t="s">
        <v>6929</v>
      </c>
      <c r="J1655" s="621">
        <v>0</v>
      </c>
      <c r="K1655" s="621" t="s">
        <v>6036</v>
      </c>
      <c r="L1655" s="621">
        <v>0</v>
      </c>
      <c r="M1655" s="154">
        <v>0</v>
      </c>
    </row>
    <row r="1656" spans="1:16" ht="11.1" customHeight="1">
      <c r="A1656" s="154" t="s">
        <v>14771</v>
      </c>
      <c r="C1656" s="617">
        <v>1</v>
      </c>
      <c r="D1656" s="618" t="s">
        <v>8608</v>
      </c>
      <c r="E1656" s="619">
        <v>0</v>
      </c>
      <c r="F1656" s="154" t="s">
        <v>6262</v>
      </c>
      <c r="G1656" s="154" t="s">
        <v>9771</v>
      </c>
      <c r="H1656" s="620">
        <v>57</v>
      </c>
      <c r="I1656" s="154" t="s">
        <v>6264</v>
      </c>
      <c r="J1656" s="621">
        <v>0</v>
      </c>
      <c r="K1656" s="621" t="s">
        <v>6209</v>
      </c>
      <c r="L1656" s="621">
        <v>4</v>
      </c>
      <c r="M1656" s="154">
        <v>0</v>
      </c>
      <c r="N1656" s="298">
        <v>0</v>
      </c>
      <c r="O1656" s="298">
        <v>234359</v>
      </c>
      <c r="P1656" s="298">
        <v>6.3131084568430014</v>
      </c>
    </row>
    <row r="1657" spans="1:16" ht="11.1" customHeight="1">
      <c r="A1657" s="154" t="s">
        <v>14772</v>
      </c>
      <c r="C1657" s="617">
        <v>2</v>
      </c>
      <c r="D1657" s="618" t="s">
        <v>8608</v>
      </c>
      <c r="E1657" s="619">
        <v>0</v>
      </c>
      <c r="F1657" s="154" t="s">
        <v>6262</v>
      </c>
      <c r="G1657" s="154" t="s">
        <v>14773</v>
      </c>
      <c r="H1657" s="620">
        <v>47</v>
      </c>
      <c r="I1657" s="154" t="s">
        <v>6264</v>
      </c>
      <c r="J1657" s="621">
        <v>0</v>
      </c>
      <c r="K1657" s="621" t="s">
        <v>6036</v>
      </c>
      <c r="L1657" s="621">
        <v>0</v>
      </c>
      <c r="M1657" s="154">
        <v>0</v>
      </c>
    </row>
    <row r="1658" spans="1:16" ht="11.1" customHeight="1">
      <c r="A1658" s="154" t="s">
        <v>14774</v>
      </c>
      <c r="C1658" s="617">
        <v>3</v>
      </c>
      <c r="D1658" s="618" t="s">
        <v>8608</v>
      </c>
      <c r="E1658" s="619">
        <v>0</v>
      </c>
      <c r="F1658" s="154" t="s">
        <v>6262</v>
      </c>
      <c r="G1658" s="154" t="s">
        <v>8130</v>
      </c>
      <c r="H1658" s="620">
        <v>49</v>
      </c>
      <c r="I1658" s="154" t="s">
        <v>6264</v>
      </c>
      <c r="J1658" s="621">
        <v>0</v>
      </c>
      <c r="K1658" s="621" t="s">
        <v>6036</v>
      </c>
      <c r="L1658" s="621">
        <v>0</v>
      </c>
      <c r="M1658" s="154">
        <v>0</v>
      </c>
    </row>
    <row r="1659" spans="1:16" ht="11.1" customHeight="1">
      <c r="A1659" s="154" t="s">
        <v>14775</v>
      </c>
      <c r="C1659" s="617">
        <v>1</v>
      </c>
      <c r="D1659" s="618" t="s">
        <v>9713</v>
      </c>
      <c r="E1659" s="619">
        <v>0</v>
      </c>
      <c r="F1659" s="154">
        <v>49.9</v>
      </c>
      <c r="G1659" s="154" t="s">
        <v>12468</v>
      </c>
      <c r="H1659" s="620">
        <v>55</v>
      </c>
      <c r="I1659" s="154" t="s">
        <v>6278</v>
      </c>
      <c r="J1659" s="621">
        <v>0</v>
      </c>
      <c r="K1659" s="621" t="s">
        <v>6209</v>
      </c>
      <c r="L1659" s="621">
        <v>1</v>
      </c>
      <c r="M1659" s="154">
        <v>0</v>
      </c>
      <c r="N1659" s="298">
        <v>0</v>
      </c>
      <c r="O1659" s="298">
        <v>176942</v>
      </c>
      <c r="P1659" s="298">
        <v>4.7664226104852574</v>
      </c>
    </row>
    <row r="1660" spans="1:16" ht="11.1" customHeight="1">
      <c r="A1660" s="154" t="s">
        <v>14776</v>
      </c>
      <c r="C1660" s="617">
        <v>1</v>
      </c>
      <c r="D1660" s="618" t="s">
        <v>9725</v>
      </c>
      <c r="E1660" s="619">
        <v>0</v>
      </c>
      <c r="F1660" s="154">
        <v>27.33</v>
      </c>
      <c r="G1660" s="154" t="s">
        <v>12438</v>
      </c>
      <c r="H1660" s="620">
        <v>50</v>
      </c>
      <c r="I1660" s="154" t="s">
        <v>6278</v>
      </c>
      <c r="J1660" s="621">
        <v>0</v>
      </c>
      <c r="K1660" s="621" t="s">
        <v>6036</v>
      </c>
      <c r="L1660" s="621">
        <v>0</v>
      </c>
      <c r="M1660" s="154" t="s">
        <v>6036</v>
      </c>
    </row>
    <row r="1661" spans="1:16" ht="11.1" customHeight="1">
      <c r="A1661" s="154" t="s">
        <v>14777</v>
      </c>
      <c r="C1661" s="617">
        <v>1</v>
      </c>
      <c r="D1661" s="618" t="s">
        <v>9743</v>
      </c>
      <c r="E1661" s="619">
        <v>0</v>
      </c>
      <c r="F1661" s="154">
        <v>15.11</v>
      </c>
      <c r="G1661" s="154" t="s">
        <v>12534</v>
      </c>
      <c r="H1661" s="620">
        <v>32</v>
      </c>
      <c r="I1661" s="154" t="s">
        <v>6278</v>
      </c>
      <c r="J1661" s="621">
        <v>0</v>
      </c>
      <c r="K1661" s="621" t="s">
        <v>6036</v>
      </c>
      <c r="L1661" s="621">
        <v>0</v>
      </c>
      <c r="M1661" s="154" t="s">
        <v>6481</v>
      </c>
    </row>
    <row r="1662" spans="1:16" ht="11.1" customHeight="1">
      <c r="A1662" s="154" t="s">
        <v>14778</v>
      </c>
      <c r="B1662" s="297" t="s">
        <v>6231</v>
      </c>
      <c r="C1662" s="617">
        <v>1</v>
      </c>
      <c r="D1662" s="618" t="s">
        <v>9731</v>
      </c>
      <c r="E1662" s="619">
        <v>0</v>
      </c>
      <c r="F1662" s="154">
        <v>14.4</v>
      </c>
      <c r="G1662" s="154" t="s">
        <v>13716</v>
      </c>
      <c r="H1662" s="620">
        <v>59</v>
      </c>
      <c r="I1662" s="154" t="s">
        <v>6278</v>
      </c>
      <c r="J1662" s="621">
        <v>0</v>
      </c>
      <c r="K1662" s="621" t="s">
        <v>6036</v>
      </c>
      <c r="L1662" s="621">
        <v>0</v>
      </c>
      <c r="M1662" s="154">
        <v>0</v>
      </c>
    </row>
    <row r="1663" spans="1:16" ht="11.1" customHeight="1">
      <c r="A1663" s="154" t="s">
        <v>14779</v>
      </c>
      <c r="B1663" s="297" t="s">
        <v>6231</v>
      </c>
      <c r="C1663" s="617">
        <v>1</v>
      </c>
      <c r="D1663" s="618" t="s">
        <v>9701</v>
      </c>
      <c r="E1663" s="619">
        <v>0</v>
      </c>
      <c r="F1663" s="154">
        <v>11.22</v>
      </c>
      <c r="G1663" s="154" t="s">
        <v>6263</v>
      </c>
      <c r="H1663" s="620">
        <v>52</v>
      </c>
      <c r="I1663" s="154" t="s">
        <v>6278</v>
      </c>
      <c r="J1663" s="621">
        <v>0</v>
      </c>
      <c r="K1663" s="621" t="s">
        <v>6036</v>
      </c>
      <c r="L1663" s="621">
        <v>0</v>
      </c>
      <c r="M1663" s="154">
        <v>0</v>
      </c>
    </row>
    <row r="1664" spans="1:16" ht="11.1" customHeight="1">
      <c r="A1664" s="154" t="s">
        <v>14780</v>
      </c>
      <c r="B1664" s="297" t="s">
        <v>12590</v>
      </c>
      <c r="C1664" s="617">
        <v>1</v>
      </c>
      <c r="D1664" s="618" t="s">
        <v>8608</v>
      </c>
      <c r="E1664" s="619">
        <v>0</v>
      </c>
      <c r="F1664" s="154" t="s">
        <v>6262</v>
      </c>
      <c r="G1664" s="154" t="s">
        <v>14781</v>
      </c>
      <c r="H1664" s="620">
        <v>69</v>
      </c>
      <c r="I1664" s="154" t="s">
        <v>6257</v>
      </c>
      <c r="J1664" s="621" t="s">
        <v>12773</v>
      </c>
      <c r="K1664" s="621" t="s">
        <v>6209</v>
      </c>
      <c r="L1664" s="621">
        <v>7</v>
      </c>
      <c r="M1664" s="154">
        <v>0</v>
      </c>
      <c r="N1664" s="298">
        <v>3</v>
      </c>
      <c r="O1664" s="298">
        <v>708051</v>
      </c>
      <c r="P1664" s="298">
        <v>38.226844865797268</v>
      </c>
    </row>
    <row r="1665" spans="1:13" ht="11.1" customHeight="1">
      <c r="A1665" s="154" t="s">
        <v>14782</v>
      </c>
      <c r="B1665" s="297" t="s">
        <v>12590</v>
      </c>
      <c r="C1665" s="617">
        <v>2</v>
      </c>
      <c r="D1665" s="618" t="s">
        <v>8608</v>
      </c>
      <c r="E1665" s="619" t="s">
        <v>14052</v>
      </c>
      <c r="F1665" s="154" t="s">
        <v>6262</v>
      </c>
      <c r="G1665" s="154" t="s">
        <v>8204</v>
      </c>
      <c r="H1665" s="620">
        <v>60</v>
      </c>
      <c r="I1665" s="154" t="s">
        <v>6257</v>
      </c>
      <c r="J1665" s="621" t="s">
        <v>12621</v>
      </c>
      <c r="K1665" s="621" t="s">
        <v>6036</v>
      </c>
      <c r="L1665" s="621">
        <v>0</v>
      </c>
      <c r="M1665" s="154">
        <v>0</v>
      </c>
    </row>
    <row r="1666" spans="1:13" ht="11.1" customHeight="1">
      <c r="A1666" s="154" t="s">
        <v>14783</v>
      </c>
      <c r="B1666" s="297" t="s">
        <v>12590</v>
      </c>
      <c r="C1666" s="617">
        <v>3</v>
      </c>
      <c r="D1666" s="618" t="s">
        <v>9800</v>
      </c>
      <c r="E1666" s="619">
        <v>0</v>
      </c>
      <c r="F1666" s="154">
        <v>73.69</v>
      </c>
      <c r="G1666" s="154" t="s">
        <v>12489</v>
      </c>
      <c r="H1666" s="620">
        <v>52</v>
      </c>
      <c r="I1666" s="154" t="s">
        <v>6257</v>
      </c>
      <c r="J1666" s="621" t="s">
        <v>12028</v>
      </c>
      <c r="K1666" s="621" t="s">
        <v>6209</v>
      </c>
      <c r="L1666" s="621">
        <v>3</v>
      </c>
      <c r="M1666" s="154" t="s">
        <v>12638</v>
      </c>
    </row>
    <row r="1667" spans="1:13" ht="11.1" customHeight="1">
      <c r="A1667" s="154" t="s">
        <v>14784</v>
      </c>
      <c r="C1667" s="617">
        <v>16</v>
      </c>
      <c r="D1667" s="618" t="s">
        <v>8608</v>
      </c>
      <c r="E1667" s="619">
        <v>0</v>
      </c>
      <c r="F1667" s="154" t="s">
        <v>6262</v>
      </c>
      <c r="G1667" s="154" t="s">
        <v>14785</v>
      </c>
      <c r="H1667" s="620">
        <v>72</v>
      </c>
      <c r="I1667" s="154" t="s">
        <v>6257</v>
      </c>
      <c r="J1667" s="621" t="s">
        <v>12028</v>
      </c>
      <c r="K1667" s="621" t="s">
        <v>6283</v>
      </c>
      <c r="L1667" s="621">
        <v>10</v>
      </c>
      <c r="M1667" s="154">
        <v>0</v>
      </c>
    </row>
    <row r="1668" spans="1:13" ht="11.1" customHeight="1">
      <c r="A1668" s="154" t="s">
        <v>14786</v>
      </c>
      <c r="C1668" s="617">
        <v>17</v>
      </c>
      <c r="D1668" s="618" t="s">
        <v>8608</v>
      </c>
      <c r="E1668" s="619">
        <v>0</v>
      </c>
      <c r="F1668" s="154" t="s">
        <v>6262</v>
      </c>
      <c r="G1668" s="154" t="s">
        <v>14787</v>
      </c>
      <c r="H1668" s="620">
        <v>56</v>
      </c>
      <c r="I1668" s="154" t="s">
        <v>6257</v>
      </c>
      <c r="J1668" s="621" t="s">
        <v>12617</v>
      </c>
      <c r="K1668" s="621" t="s">
        <v>6036</v>
      </c>
      <c r="L1668" s="621">
        <v>0</v>
      </c>
      <c r="M1668" s="154">
        <v>0</v>
      </c>
    </row>
    <row r="1669" spans="1:13" ht="11.1" customHeight="1">
      <c r="A1669" s="154" t="s">
        <v>14788</v>
      </c>
      <c r="B1669" s="297" t="s">
        <v>14048</v>
      </c>
      <c r="C1669" s="617">
        <v>3</v>
      </c>
      <c r="D1669" s="618" t="s">
        <v>9794</v>
      </c>
      <c r="E1669" s="619">
        <v>0</v>
      </c>
      <c r="F1669" s="154">
        <v>1</v>
      </c>
      <c r="G1669" s="154" t="s">
        <v>8214</v>
      </c>
      <c r="H1669" s="620">
        <v>53</v>
      </c>
      <c r="I1669" s="154" t="s">
        <v>6257</v>
      </c>
      <c r="J1669" s="621" t="s">
        <v>12617</v>
      </c>
      <c r="K1669" s="621" t="s">
        <v>6209</v>
      </c>
      <c r="L1669" s="621">
        <v>4</v>
      </c>
      <c r="M1669" s="154" t="s">
        <v>12638</v>
      </c>
    </row>
    <row r="1670" spans="1:13" ht="11.1" customHeight="1">
      <c r="A1670" s="154" t="s">
        <v>14789</v>
      </c>
      <c r="B1670" s="297" t="s">
        <v>14048</v>
      </c>
      <c r="C1670" s="617">
        <v>3</v>
      </c>
      <c r="D1670" s="618" t="s">
        <v>9810</v>
      </c>
      <c r="E1670" s="619">
        <v>0</v>
      </c>
      <c r="F1670" s="154">
        <v>1</v>
      </c>
      <c r="G1670" s="154" t="s">
        <v>8218</v>
      </c>
      <c r="H1670" s="620">
        <v>34</v>
      </c>
      <c r="I1670" s="154" t="s">
        <v>6257</v>
      </c>
      <c r="J1670" s="621" t="s">
        <v>12621</v>
      </c>
      <c r="K1670" s="621" t="s">
        <v>6209</v>
      </c>
      <c r="L1670" s="621">
        <v>1</v>
      </c>
      <c r="M1670" s="154" t="s">
        <v>12638</v>
      </c>
    </row>
    <row r="1671" spans="1:13" ht="11.1" customHeight="1">
      <c r="A1671" s="154" t="s">
        <v>14790</v>
      </c>
      <c r="B1671" s="297" t="s">
        <v>14048</v>
      </c>
      <c r="C1671" s="617">
        <v>3</v>
      </c>
      <c r="D1671" s="618" t="s">
        <v>9792</v>
      </c>
      <c r="E1671" s="619">
        <v>0</v>
      </c>
      <c r="F1671" s="154">
        <v>1</v>
      </c>
      <c r="G1671" s="154" t="s">
        <v>8226</v>
      </c>
      <c r="H1671" s="620">
        <v>45</v>
      </c>
      <c r="I1671" s="154" t="s">
        <v>6257</v>
      </c>
      <c r="J1671" s="621" t="s">
        <v>12651</v>
      </c>
      <c r="K1671" s="621" t="s">
        <v>6209</v>
      </c>
      <c r="L1671" s="621">
        <v>1</v>
      </c>
      <c r="M1671" s="154" t="s">
        <v>12638</v>
      </c>
    </row>
    <row r="1672" spans="1:13" ht="11.1" customHeight="1">
      <c r="A1672" s="154" t="s">
        <v>14791</v>
      </c>
      <c r="B1672" s="297" t="s">
        <v>14048</v>
      </c>
      <c r="C1672" s="617">
        <v>3</v>
      </c>
      <c r="D1672" s="618" t="s">
        <v>9798</v>
      </c>
      <c r="E1672" s="619">
        <v>0</v>
      </c>
      <c r="F1672" s="154">
        <v>1</v>
      </c>
      <c r="G1672" s="154" t="s">
        <v>8234</v>
      </c>
      <c r="H1672" s="620">
        <v>55</v>
      </c>
      <c r="I1672" s="154" t="s">
        <v>6257</v>
      </c>
      <c r="J1672" s="621" t="s">
        <v>12674</v>
      </c>
      <c r="K1672" s="621" t="s">
        <v>6209</v>
      </c>
      <c r="L1672" s="621">
        <v>5</v>
      </c>
      <c r="M1672" s="154" t="s">
        <v>12638</v>
      </c>
    </row>
    <row r="1673" spans="1:13" ht="11.1" customHeight="1">
      <c r="A1673" s="154" t="s">
        <v>14792</v>
      </c>
      <c r="B1673" s="297" t="s">
        <v>14048</v>
      </c>
      <c r="C1673" s="617">
        <v>3</v>
      </c>
      <c r="D1673" s="618" t="s">
        <v>9846</v>
      </c>
      <c r="E1673" s="619">
        <v>0</v>
      </c>
      <c r="F1673" s="154">
        <v>1</v>
      </c>
      <c r="G1673" s="154" t="s">
        <v>8238</v>
      </c>
      <c r="H1673" s="620">
        <v>68</v>
      </c>
      <c r="I1673" s="154" t="s">
        <v>6257</v>
      </c>
      <c r="J1673" s="621" t="s">
        <v>12674</v>
      </c>
      <c r="K1673" s="621" t="s">
        <v>6209</v>
      </c>
      <c r="L1673" s="621">
        <v>5</v>
      </c>
      <c r="M1673" s="154" t="s">
        <v>12638</v>
      </c>
    </row>
    <row r="1674" spans="1:13" ht="11.1" customHeight="1">
      <c r="A1674" s="154" t="s">
        <v>14793</v>
      </c>
      <c r="B1674" s="297" t="s">
        <v>14048</v>
      </c>
      <c r="C1674" s="617">
        <v>3</v>
      </c>
      <c r="D1674" s="618" t="s">
        <v>9812</v>
      </c>
      <c r="E1674" s="619">
        <v>0</v>
      </c>
      <c r="F1674" s="154">
        <v>1</v>
      </c>
      <c r="G1674" s="154" t="s">
        <v>8248</v>
      </c>
      <c r="H1674" s="620">
        <v>53</v>
      </c>
      <c r="I1674" s="154" t="s">
        <v>6257</v>
      </c>
      <c r="J1674" s="621" t="s">
        <v>12617</v>
      </c>
      <c r="K1674" s="621" t="s">
        <v>6209</v>
      </c>
      <c r="L1674" s="621">
        <v>2</v>
      </c>
      <c r="M1674" s="154" t="s">
        <v>12622</v>
      </c>
    </row>
    <row r="1675" spans="1:13" ht="11.1" customHeight="1">
      <c r="A1675" s="154" t="s">
        <v>14794</v>
      </c>
      <c r="B1675" s="297" t="s">
        <v>14048</v>
      </c>
      <c r="C1675" s="617">
        <v>3</v>
      </c>
      <c r="D1675" s="618" t="s">
        <v>9814</v>
      </c>
      <c r="E1675" s="619">
        <v>0</v>
      </c>
      <c r="F1675" s="154">
        <v>1</v>
      </c>
      <c r="G1675" s="154" t="s">
        <v>8258</v>
      </c>
      <c r="H1675" s="620">
        <v>51</v>
      </c>
      <c r="I1675" s="154" t="s">
        <v>6257</v>
      </c>
      <c r="J1675" s="621" t="s">
        <v>12028</v>
      </c>
      <c r="K1675" s="621" t="s">
        <v>6209</v>
      </c>
      <c r="L1675" s="621">
        <v>5</v>
      </c>
      <c r="M1675" s="154" t="s">
        <v>12622</v>
      </c>
    </row>
    <row r="1676" spans="1:13" ht="11.1" customHeight="1">
      <c r="A1676" s="154" t="s">
        <v>14795</v>
      </c>
      <c r="B1676" s="297" t="s">
        <v>14048</v>
      </c>
      <c r="C1676" s="617">
        <v>3</v>
      </c>
      <c r="D1676" s="618" t="s">
        <v>9796</v>
      </c>
      <c r="E1676" s="619">
        <v>0</v>
      </c>
      <c r="F1676" s="154">
        <v>1</v>
      </c>
      <c r="G1676" s="154" t="s">
        <v>12500</v>
      </c>
      <c r="H1676" s="620">
        <v>48</v>
      </c>
      <c r="I1676" s="154" t="s">
        <v>6257</v>
      </c>
      <c r="J1676" s="621" t="s">
        <v>12631</v>
      </c>
      <c r="K1676" s="621" t="s">
        <v>6209</v>
      </c>
      <c r="L1676" s="621">
        <v>3</v>
      </c>
      <c r="M1676" s="154">
        <v>0</v>
      </c>
    </row>
    <row r="1677" spans="1:13" ht="11.1" customHeight="1">
      <c r="A1677" s="154" t="s">
        <v>14796</v>
      </c>
      <c r="B1677" s="297" t="s">
        <v>14048</v>
      </c>
      <c r="C1677" s="617">
        <v>3</v>
      </c>
      <c r="D1677" s="618" t="s">
        <v>9816</v>
      </c>
      <c r="E1677" s="619">
        <v>0</v>
      </c>
      <c r="F1677" s="154">
        <v>1</v>
      </c>
      <c r="G1677" s="154" t="s">
        <v>8272</v>
      </c>
      <c r="H1677" s="620">
        <v>56</v>
      </c>
      <c r="I1677" s="154" t="s">
        <v>6257</v>
      </c>
      <c r="J1677" s="621" t="s">
        <v>12773</v>
      </c>
      <c r="K1677" s="621" t="s">
        <v>6209</v>
      </c>
      <c r="L1677" s="621">
        <v>3</v>
      </c>
      <c r="M1677" s="154" t="s">
        <v>12622</v>
      </c>
    </row>
    <row r="1678" spans="1:13" ht="11.1" customHeight="1">
      <c r="A1678" s="154" t="s">
        <v>14797</v>
      </c>
      <c r="B1678" s="297" t="s">
        <v>14048</v>
      </c>
      <c r="C1678" s="617">
        <v>3</v>
      </c>
      <c r="D1678" s="618" t="s">
        <v>9818</v>
      </c>
      <c r="E1678" s="619">
        <v>0</v>
      </c>
      <c r="F1678" s="154">
        <v>1</v>
      </c>
      <c r="G1678" s="154" t="s">
        <v>12505</v>
      </c>
      <c r="H1678" s="620">
        <v>49</v>
      </c>
      <c r="I1678" s="154" t="s">
        <v>6257</v>
      </c>
      <c r="J1678" s="621" t="s">
        <v>12651</v>
      </c>
      <c r="K1678" s="621" t="s">
        <v>6209</v>
      </c>
      <c r="L1678" s="621">
        <v>1</v>
      </c>
      <c r="M1678" s="154" t="s">
        <v>12638</v>
      </c>
    </row>
    <row r="1679" spans="1:13" ht="11.1" customHeight="1">
      <c r="A1679" s="154" t="s">
        <v>14798</v>
      </c>
      <c r="B1679" s="297" t="s">
        <v>14048</v>
      </c>
      <c r="C1679" s="617">
        <v>3</v>
      </c>
      <c r="D1679" s="618" t="s">
        <v>9820</v>
      </c>
      <c r="E1679" s="619">
        <v>0</v>
      </c>
      <c r="F1679" s="154">
        <v>1</v>
      </c>
      <c r="G1679" s="154" t="s">
        <v>12507</v>
      </c>
      <c r="H1679" s="620">
        <v>46</v>
      </c>
      <c r="I1679" s="154" t="s">
        <v>6257</v>
      </c>
      <c r="J1679" s="621" t="s">
        <v>12773</v>
      </c>
      <c r="K1679" s="621" t="s">
        <v>6209</v>
      </c>
      <c r="L1679" s="621">
        <v>4</v>
      </c>
      <c r="M1679" s="154" t="s">
        <v>12638</v>
      </c>
    </row>
    <row r="1680" spans="1:13" ht="11.1" customHeight="1">
      <c r="A1680" s="154" t="s">
        <v>14799</v>
      </c>
      <c r="B1680" s="297" t="s">
        <v>14048</v>
      </c>
      <c r="C1680" s="617">
        <v>3</v>
      </c>
      <c r="D1680" s="618" t="s">
        <v>9822</v>
      </c>
      <c r="E1680" s="619">
        <v>0</v>
      </c>
      <c r="F1680" s="154">
        <v>1</v>
      </c>
      <c r="G1680" s="154" t="s">
        <v>8298</v>
      </c>
      <c r="H1680" s="620">
        <v>51</v>
      </c>
      <c r="I1680" s="154" t="s">
        <v>6257</v>
      </c>
      <c r="J1680" s="621" t="s">
        <v>12028</v>
      </c>
      <c r="K1680" s="621" t="s">
        <v>6209</v>
      </c>
      <c r="L1680" s="621">
        <v>4</v>
      </c>
      <c r="M1680" s="154" t="s">
        <v>12638</v>
      </c>
    </row>
    <row r="1681" spans="1:16" ht="11.1" customHeight="1">
      <c r="A1681" s="154" t="s">
        <v>14800</v>
      </c>
      <c r="B1681" s="297" t="s">
        <v>12590</v>
      </c>
      <c r="C1681" s="617">
        <v>1</v>
      </c>
      <c r="D1681" s="618" t="s">
        <v>9794</v>
      </c>
      <c r="E1681" s="619">
        <v>0</v>
      </c>
      <c r="F1681" s="154">
        <v>86.66</v>
      </c>
      <c r="G1681" s="154" t="s">
        <v>8212</v>
      </c>
      <c r="H1681" s="620">
        <v>31</v>
      </c>
      <c r="I1681" s="154" t="s">
        <v>6253</v>
      </c>
      <c r="J1681" s="621" t="s">
        <v>12007</v>
      </c>
      <c r="K1681" s="621" t="s">
        <v>6036</v>
      </c>
      <c r="L1681" s="621">
        <v>0</v>
      </c>
      <c r="M1681" s="154" t="s">
        <v>6154</v>
      </c>
      <c r="N1681" s="298">
        <v>2</v>
      </c>
      <c r="O1681" s="298">
        <v>587828</v>
      </c>
      <c r="P1681" s="298">
        <v>31.736145791435753</v>
      </c>
    </row>
    <row r="1682" spans="1:16" ht="11.1" customHeight="1">
      <c r="A1682" s="154" t="s">
        <v>14801</v>
      </c>
      <c r="B1682" s="297" t="s">
        <v>12590</v>
      </c>
      <c r="C1682" s="617">
        <v>1</v>
      </c>
      <c r="D1682" s="618" t="s">
        <v>9818</v>
      </c>
      <c r="E1682" s="619">
        <v>0</v>
      </c>
      <c r="F1682" s="154">
        <v>84.04</v>
      </c>
      <c r="G1682" s="154" t="s">
        <v>12506</v>
      </c>
      <c r="H1682" s="620">
        <v>64</v>
      </c>
      <c r="I1682" s="154" t="s">
        <v>6253</v>
      </c>
      <c r="J1682" s="621" t="s">
        <v>11989</v>
      </c>
      <c r="K1682" s="621" t="s">
        <v>6209</v>
      </c>
      <c r="L1682" s="621">
        <v>4</v>
      </c>
      <c r="M1682" s="154">
        <v>0</v>
      </c>
    </row>
    <row r="1683" spans="1:16" ht="11.1" customHeight="1">
      <c r="A1683" s="154" t="s">
        <v>14802</v>
      </c>
      <c r="C1683" s="617">
        <v>1</v>
      </c>
      <c r="D1683" s="618" t="s">
        <v>9792</v>
      </c>
      <c r="E1683" s="619">
        <v>0</v>
      </c>
      <c r="F1683" s="154">
        <v>79.37</v>
      </c>
      <c r="G1683" s="154" t="s">
        <v>8224</v>
      </c>
      <c r="H1683" s="620">
        <v>32</v>
      </c>
      <c r="I1683" s="154" t="s">
        <v>6253</v>
      </c>
      <c r="J1683" s="621" t="s">
        <v>12007</v>
      </c>
      <c r="K1683" s="621" t="s">
        <v>6036</v>
      </c>
      <c r="L1683" s="621">
        <v>0</v>
      </c>
      <c r="M1683" s="154">
        <v>0</v>
      </c>
    </row>
    <row r="1684" spans="1:16" ht="11.1" customHeight="1">
      <c r="A1684" s="154" t="s">
        <v>14803</v>
      </c>
      <c r="C1684" s="617">
        <v>1</v>
      </c>
      <c r="D1684" s="618" t="s">
        <v>9798</v>
      </c>
      <c r="E1684" s="619">
        <v>0</v>
      </c>
      <c r="F1684" s="154">
        <v>67.56</v>
      </c>
      <c r="G1684" s="154" t="s">
        <v>13814</v>
      </c>
      <c r="H1684" s="620">
        <v>63</v>
      </c>
      <c r="I1684" s="154" t="s">
        <v>6253</v>
      </c>
      <c r="J1684" s="621" t="s">
        <v>12000</v>
      </c>
      <c r="K1684" s="621" t="s">
        <v>6283</v>
      </c>
      <c r="L1684" s="621">
        <v>1</v>
      </c>
      <c r="M1684" s="154">
        <v>0</v>
      </c>
    </row>
    <row r="1685" spans="1:16" ht="11.1" customHeight="1">
      <c r="A1685" s="154" t="s">
        <v>14804</v>
      </c>
      <c r="C1685" s="617">
        <v>1</v>
      </c>
      <c r="D1685" s="618" t="s">
        <v>9810</v>
      </c>
      <c r="E1685" s="619">
        <v>0</v>
      </c>
      <c r="F1685" s="154">
        <v>57.68</v>
      </c>
      <c r="G1685" s="154" t="s">
        <v>8220</v>
      </c>
      <c r="H1685" s="620">
        <v>37</v>
      </c>
      <c r="I1685" s="154" t="s">
        <v>6253</v>
      </c>
      <c r="J1685" s="621" t="s">
        <v>12007</v>
      </c>
      <c r="K1685" s="621" t="s">
        <v>6036</v>
      </c>
      <c r="L1685" s="621">
        <v>0</v>
      </c>
      <c r="M1685" s="154" t="s">
        <v>6154</v>
      </c>
    </row>
    <row r="1686" spans="1:16" ht="11.1" customHeight="1">
      <c r="A1686" s="154" t="s">
        <v>14805</v>
      </c>
      <c r="C1686" s="617">
        <v>1</v>
      </c>
      <c r="D1686" s="618" t="s">
        <v>9796</v>
      </c>
      <c r="E1686" s="619">
        <v>0</v>
      </c>
      <c r="F1686" s="154">
        <v>55.33</v>
      </c>
      <c r="G1686" s="154" t="s">
        <v>12501</v>
      </c>
      <c r="H1686" s="620">
        <v>61</v>
      </c>
      <c r="I1686" s="154" t="s">
        <v>6253</v>
      </c>
      <c r="J1686" s="621" t="s">
        <v>12007</v>
      </c>
      <c r="K1686" s="621" t="s">
        <v>6036</v>
      </c>
      <c r="L1686" s="621">
        <v>0</v>
      </c>
      <c r="M1686" s="154">
        <v>0</v>
      </c>
    </row>
    <row r="1687" spans="1:16" ht="11.1" customHeight="1">
      <c r="A1687" s="154" t="s">
        <v>14806</v>
      </c>
      <c r="C1687" s="617">
        <v>1</v>
      </c>
      <c r="D1687" s="618" t="s">
        <v>9814</v>
      </c>
      <c r="E1687" s="619">
        <v>0</v>
      </c>
      <c r="F1687" s="154">
        <v>43.9</v>
      </c>
      <c r="G1687" s="154" t="s">
        <v>13830</v>
      </c>
      <c r="H1687" s="620">
        <v>34</v>
      </c>
      <c r="I1687" s="154" t="s">
        <v>6253</v>
      </c>
      <c r="J1687" s="621" t="s">
        <v>12007</v>
      </c>
      <c r="K1687" s="621" t="s">
        <v>6036</v>
      </c>
      <c r="L1687" s="621">
        <v>0</v>
      </c>
      <c r="M1687" s="154">
        <v>0</v>
      </c>
    </row>
    <row r="1688" spans="1:16" ht="11.1" customHeight="1">
      <c r="A1688" s="154" t="s">
        <v>14807</v>
      </c>
      <c r="C1688" s="617">
        <v>1</v>
      </c>
      <c r="D1688" s="618" t="s">
        <v>9820</v>
      </c>
      <c r="E1688" s="619">
        <v>0</v>
      </c>
      <c r="F1688" s="154">
        <v>43.28</v>
      </c>
      <c r="G1688" s="154" t="s">
        <v>8284</v>
      </c>
      <c r="H1688" s="620">
        <v>44</v>
      </c>
      <c r="I1688" s="154" t="s">
        <v>6253</v>
      </c>
      <c r="J1688" s="621" t="s">
        <v>12007</v>
      </c>
      <c r="K1688" s="621" t="s">
        <v>6036</v>
      </c>
      <c r="L1688" s="621">
        <v>0</v>
      </c>
      <c r="M1688" s="154">
        <v>0</v>
      </c>
    </row>
    <row r="1689" spans="1:16" ht="11.1" customHeight="1">
      <c r="A1689" s="154" t="s">
        <v>14808</v>
      </c>
      <c r="C1689" s="617">
        <v>1</v>
      </c>
      <c r="D1689" s="618" t="s">
        <v>9822</v>
      </c>
      <c r="E1689" s="619">
        <v>0</v>
      </c>
      <c r="F1689" s="154">
        <v>39.4</v>
      </c>
      <c r="G1689" s="154" t="s">
        <v>13855</v>
      </c>
      <c r="H1689" s="620">
        <v>66</v>
      </c>
      <c r="I1689" s="154" t="s">
        <v>6253</v>
      </c>
      <c r="J1689" s="621" t="s">
        <v>11989</v>
      </c>
      <c r="K1689" s="621" t="s">
        <v>6036</v>
      </c>
      <c r="L1689" s="621">
        <v>0</v>
      </c>
      <c r="M1689" s="154">
        <v>0</v>
      </c>
    </row>
    <row r="1690" spans="1:16" ht="11.1" customHeight="1">
      <c r="A1690" s="154" t="s">
        <v>14809</v>
      </c>
      <c r="C1690" s="617">
        <v>1</v>
      </c>
      <c r="D1690" s="618" t="s">
        <v>9812</v>
      </c>
      <c r="E1690" s="619">
        <v>0</v>
      </c>
      <c r="F1690" s="154">
        <v>38.68</v>
      </c>
      <c r="G1690" s="154" t="s">
        <v>12495</v>
      </c>
      <c r="H1690" s="620">
        <v>50</v>
      </c>
      <c r="I1690" s="154" t="s">
        <v>6253</v>
      </c>
      <c r="J1690" s="621" t="s">
        <v>12007</v>
      </c>
      <c r="K1690" s="621" t="s">
        <v>6036</v>
      </c>
      <c r="L1690" s="621">
        <v>0</v>
      </c>
      <c r="M1690" s="154">
        <v>0</v>
      </c>
    </row>
    <row r="1691" spans="1:16" ht="11.1" customHeight="1">
      <c r="A1691" s="154" t="s">
        <v>14810</v>
      </c>
      <c r="C1691" s="617">
        <v>1</v>
      </c>
      <c r="D1691" s="618" t="s">
        <v>9816</v>
      </c>
      <c r="E1691" s="619">
        <v>0</v>
      </c>
      <c r="F1691" s="154">
        <v>32.04</v>
      </c>
      <c r="G1691" s="154" t="s">
        <v>12503</v>
      </c>
      <c r="H1691" s="620">
        <v>50</v>
      </c>
      <c r="I1691" s="154" t="s">
        <v>6253</v>
      </c>
      <c r="J1691" s="621" t="s">
        <v>12007</v>
      </c>
      <c r="K1691" s="621" t="s">
        <v>6036</v>
      </c>
      <c r="L1691" s="621">
        <v>0</v>
      </c>
      <c r="M1691" s="154">
        <v>0</v>
      </c>
    </row>
    <row r="1692" spans="1:16" ht="11.1" customHeight="1">
      <c r="A1692" s="154" t="s">
        <v>14811</v>
      </c>
      <c r="C1692" s="617">
        <v>1</v>
      </c>
      <c r="D1692" s="618" t="s">
        <v>9846</v>
      </c>
      <c r="E1692" s="619">
        <v>0</v>
      </c>
      <c r="F1692" s="154">
        <v>26.05</v>
      </c>
      <c r="G1692" s="154" t="s">
        <v>13819</v>
      </c>
      <c r="H1692" s="620">
        <v>53</v>
      </c>
      <c r="I1692" s="154" t="s">
        <v>6253</v>
      </c>
      <c r="J1692" s="621" t="s">
        <v>12020</v>
      </c>
      <c r="K1692" s="621" t="s">
        <v>6036</v>
      </c>
      <c r="L1692" s="621">
        <v>0</v>
      </c>
      <c r="M1692" s="154">
        <v>0</v>
      </c>
    </row>
    <row r="1693" spans="1:16" ht="11.1" customHeight="1">
      <c r="A1693" s="154" t="s">
        <v>14812</v>
      </c>
      <c r="B1693" s="297" t="s">
        <v>14048</v>
      </c>
      <c r="C1693" s="617">
        <v>1</v>
      </c>
      <c r="D1693" s="618" t="s">
        <v>9800</v>
      </c>
      <c r="E1693" s="619">
        <v>0</v>
      </c>
      <c r="F1693" s="154" t="s">
        <v>6251</v>
      </c>
      <c r="G1693" s="154" t="s">
        <v>8202</v>
      </c>
      <c r="H1693" s="620">
        <v>57</v>
      </c>
      <c r="I1693" s="154" t="s">
        <v>6253</v>
      </c>
      <c r="J1693" s="621" t="s">
        <v>11989</v>
      </c>
      <c r="K1693" s="621" t="s">
        <v>6209</v>
      </c>
      <c r="L1693" s="621">
        <v>3</v>
      </c>
      <c r="M1693" s="154">
        <v>0</v>
      </c>
    </row>
    <row r="1694" spans="1:16" ht="11.1" customHeight="1">
      <c r="A1694" s="154" t="s">
        <v>14813</v>
      </c>
      <c r="B1694" s="297" t="s">
        <v>12590</v>
      </c>
      <c r="C1694" s="617">
        <v>1</v>
      </c>
      <c r="D1694" s="618" t="s">
        <v>8608</v>
      </c>
      <c r="E1694" s="619">
        <v>0</v>
      </c>
      <c r="F1694" s="154" t="s">
        <v>6262</v>
      </c>
      <c r="G1694" s="154" t="s">
        <v>9839</v>
      </c>
      <c r="H1694" s="620">
        <v>52</v>
      </c>
      <c r="I1694" s="154" t="s">
        <v>6929</v>
      </c>
      <c r="J1694" s="621">
        <v>0</v>
      </c>
      <c r="K1694" s="621" t="s">
        <v>6283</v>
      </c>
      <c r="L1694" s="621">
        <v>2</v>
      </c>
      <c r="M1694" s="154">
        <v>0</v>
      </c>
      <c r="N1694" s="298">
        <v>1</v>
      </c>
      <c r="O1694" s="298">
        <v>309160</v>
      </c>
      <c r="P1694" s="298">
        <v>16.691186593493807</v>
      </c>
    </row>
    <row r="1695" spans="1:16" ht="11.1" customHeight="1">
      <c r="A1695" s="154" t="s">
        <v>14814</v>
      </c>
      <c r="C1695" s="617">
        <v>2</v>
      </c>
      <c r="D1695" s="618" t="s">
        <v>8608</v>
      </c>
      <c r="E1695" s="619">
        <v>0</v>
      </c>
      <c r="F1695" s="154" t="s">
        <v>6262</v>
      </c>
      <c r="G1695" s="154" t="s">
        <v>14815</v>
      </c>
      <c r="H1695" s="620">
        <v>42</v>
      </c>
      <c r="I1695" s="154" t="s">
        <v>6929</v>
      </c>
      <c r="J1695" s="621">
        <v>0</v>
      </c>
      <c r="K1695" s="621" t="s">
        <v>6036</v>
      </c>
      <c r="L1695" s="621">
        <v>0</v>
      </c>
      <c r="M1695" s="154">
        <v>0</v>
      </c>
    </row>
    <row r="1696" spans="1:16" ht="11.1" customHeight="1">
      <c r="A1696" s="154" t="s">
        <v>14816</v>
      </c>
      <c r="C1696" s="617">
        <v>3</v>
      </c>
      <c r="D1696" s="618" t="s">
        <v>8608</v>
      </c>
      <c r="E1696" s="619">
        <v>0</v>
      </c>
      <c r="F1696" s="154" t="s">
        <v>6262</v>
      </c>
      <c r="G1696" s="154" t="s">
        <v>14817</v>
      </c>
      <c r="H1696" s="620">
        <v>45</v>
      </c>
      <c r="I1696" s="154" t="s">
        <v>6929</v>
      </c>
      <c r="J1696" s="621">
        <v>0</v>
      </c>
      <c r="K1696" s="621" t="s">
        <v>6036</v>
      </c>
      <c r="L1696" s="621">
        <v>0</v>
      </c>
      <c r="M1696" s="154">
        <v>0</v>
      </c>
    </row>
    <row r="1697" spans="1:16" ht="11.1" customHeight="1">
      <c r="A1697" s="154" t="s">
        <v>14818</v>
      </c>
      <c r="C1697" s="617">
        <v>1</v>
      </c>
      <c r="D1697" s="618" t="s">
        <v>8608</v>
      </c>
      <c r="E1697" s="619">
        <v>0</v>
      </c>
      <c r="F1697" s="154" t="s">
        <v>6262</v>
      </c>
      <c r="G1697" s="154" t="s">
        <v>8286</v>
      </c>
      <c r="H1697" s="620">
        <v>44</v>
      </c>
      <c r="I1697" s="154" t="s">
        <v>6264</v>
      </c>
      <c r="J1697" s="621">
        <v>0</v>
      </c>
      <c r="K1697" s="621" t="s">
        <v>6209</v>
      </c>
      <c r="L1697" s="621">
        <v>2</v>
      </c>
      <c r="M1697" s="154">
        <v>0</v>
      </c>
      <c r="N1697" s="298">
        <v>0</v>
      </c>
      <c r="O1697" s="298">
        <v>148953</v>
      </c>
      <c r="P1697" s="298">
        <v>8.0417981519623591</v>
      </c>
    </row>
    <row r="1698" spans="1:16" ht="11.1" customHeight="1">
      <c r="A1698" s="154" t="s">
        <v>14819</v>
      </c>
      <c r="C1698" s="617">
        <v>2</v>
      </c>
      <c r="D1698" s="618" t="s">
        <v>8608</v>
      </c>
      <c r="E1698" s="619">
        <v>0</v>
      </c>
      <c r="F1698" s="154" t="s">
        <v>6262</v>
      </c>
      <c r="G1698" s="154" t="s">
        <v>14820</v>
      </c>
      <c r="H1698" s="620">
        <v>41</v>
      </c>
      <c r="I1698" s="154" t="s">
        <v>6264</v>
      </c>
      <c r="J1698" s="621">
        <v>0</v>
      </c>
      <c r="K1698" s="621" t="s">
        <v>6036</v>
      </c>
      <c r="L1698" s="621">
        <v>0</v>
      </c>
      <c r="M1698" s="154">
        <v>0</v>
      </c>
    </row>
    <row r="1699" spans="1:16" ht="11.1" customHeight="1">
      <c r="A1699" s="154" t="s">
        <v>14821</v>
      </c>
      <c r="C1699" s="617">
        <v>1</v>
      </c>
      <c r="D1699" s="618" t="s">
        <v>9846</v>
      </c>
      <c r="E1699" s="619">
        <v>0</v>
      </c>
      <c r="F1699" s="154">
        <v>27.22</v>
      </c>
      <c r="G1699" s="154" t="s">
        <v>12494</v>
      </c>
      <c r="H1699" s="620">
        <v>58</v>
      </c>
      <c r="I1699" s="154" t="s">
        <v>6278</v>
      </c>
      <c r="J1699" s="621">
        <v>0</v>
      </c>
      <c r="K1699" s="621" t="s">
        <v>6036</v>
      </c>
      <c r="L1699" s="621">
        <v>0</v>
      </c>
      <c r="M1699" s="154">
        <v>0</v>
      </c>
      <c r="N1699" s="298">
        <v>0</v>
      </c>
      <c r="O1699" s="298">
        <v>98243</v>
      </c>
      <c r="P1699" s="298">
        <v>5.304024597310816</v>
      </c>
    </row>
    <row r="1700" spans="1:16" ht="11.1" customHeight="1">
      <c r="A1700" s="154" t="s">
        <v>14822</v>
      </c>
      <c r="B1700" s="297" t="s">
        <v>6231</v>
      </c>
      <c r="C1700" s="617">
        <v>1</v>
      </c>
      <c r="D1700" s="618" t="s">
        <v>9796</v>
      </c>
      <c r="E1700" s="619">
        <v>0</v>
      </c>
      <c r="F1700" s="154">
        <v>15.85</v>
      </c>
      <c r="G1700" s="154" t="s">
        <v>7712</v>
      </c>
      <c r="H1700" s="620">
        <v>55</v>
      </c>
      <c r="I1700" s="154" t="s">
        <v>6278</v>
      </c>
      <c r="J1700" s="621">
        <v>0</v>
      </c>
      <c r="K1700" s="621" t="s">
        <v>6036</v>
      </c>
      <c r="L1700" s="621">
        <v>0</v>
      </c>
      <c r="M1700" s="154">
        <v>0</v>
      </c>
    </row>
    <row r="1701" spans="1:16" ht="11.1" customHeight="1">
      <c r="A1701" s="154" t="s">
        <v>14823</v>
      </c>
      <c r="B1701" s="297" t="s">
        <v>6231</v>
      </c>
      <c r="C1701" s="617">
        <v>1</v>
      </c>
      <c r="D1701" s="618" t="s">
        <v>9792</v>
      </c>
      <c r="E1701" s="619">
        <v>0</v>
      </c>
      <c r="F1701" s="154">
        <v>15.49</v>
      </c>
      <c r="G1701" s="154" t="s">
        <v>13807</v>
      </c>
      <c r="H1701" s="620">
        <v>56</v>
      </c>
      <c r="I1701" s="154" t="s">
        <v>6278</v>
      </c>
      <c r="J1701" s="621">
        <v>0</v>
      </c>
      <c r="K1701" s="621" t="s">
        <v>6283</v>
      </c>
      <c r="L1701" s="621">
        <v>1</v>
      </c>
      <c r="M1701" s="154">
        <v>0</v>
      </c>
    </row>
    <row r="1702" spans="1:16" ht="11.1" customHeight="1">
      <c r="A1702" s="154" t="s">
        <v>14824</v>
      </c>
      <c r="B1702" s="297" t="s">
        <v>6231</v>
      </c>
      <c r="C1702" s="617">
        <v>1</v>
      </c>
      <c r="D1702" s="618" t="s">
        <v>9814</v>
      </c>
      <c r="E1702" s="619">
        <v>0</v>
      </c>
      <c r="F1702" s="154">
        <v>15.27</v>
      </c>
      <c r="G1702" s="154" t="s">
        <v>13832</v>
      </c>
      <c r="H1702" s="620">
        <v>66</v>
      </c>
      <c r="I1702" s="154" t="s">
        <v>6278</v>
      </c>
      <c r="J1702" s="621">
        <v>0</v>
      </c>
      <c r="K1702" s="621" t="s">
        <v>6036</v>
      </c>
      <c r="L1702" s="621">
        <v>0</v>
      </c>
      <c r="M1702" s="154">
        <v>0</v>
      </c>
    </row>
    <row r="1703" spans="1:16" ht="11.1" customHeight="1">
      <c r="A1703" s="154" t="s">
        <v>14825</v>
      </c>
      <c r="B1703" s="297" t="s">
        <v>6231</v>
      </c>
      <c r="C1703" s="617">
        <v>1</v>
      </c>
      <c r="D1703" s="618" t="s">
        <v>9818</v>
      </c>
      <c r="E1703" s="619">
        <v>0</v>
      </c>
      <c r="F1703" s="154">
        <v>10.48</v>
      </c>
      <c r="G1703" s="154" t="s">
        <v>13849</v>
      </c>
      <c r="H1703" s="620">
        <v>69</v>
      </c>
      <c r="I1703" s="154" t="s">
        <v>6278</v>
      </c>
      <c r="J1703" s="621">
        <v>0</v>
      </c>
      <c r="K1703" s="621" t="s">
        <v>6036</v>
      </c>
      <c r="L1703" s="621">
        <v>0</v>
      </c>
      <c r="M1703" s="154">
        <v>0</v>
      </c>
    </row>
    <row r="1704" spans="1:16" ht="11.1" customHeight="1">
      <c r="A1704" s="154" t="s">
        <v>14826</v>
      </c>
      <c r="B1704" s="297" t="s">
        <v>6231</v>
      </c>
      <c r="C1704" s="617">
        <v>1</v>
      </c>
      <c r="D1704" s="618" t="s">
        <v>9812</v>
      </c>
      <c r="E1704" s="619">
        <v>0</v>
      </c>
      <c r="F1704" s="154">
        <v>10.27</v>
      </c>
      <c r="G1704" s="154" t="s">
        <v>13826</v>
      </c>
      <c r="H1704" s="620">
        <v>58</v>
      </c>
      <c r="I1704" s="154" t="s">
        <v>6278</v>
      </c>
      <c r="J1704" s="621">
        <v>0</v>
      </c>
      <c r="K1704" s="621" t="s">
        <v>6036</v>
      </c>
      <c r="L1704" s="621">
        <v>0</v>
      </c>
      <c r="M1704" s="154">
        <v>0</v>
      </c>
    </row>
    <row r="1705" spans="1:16" ht="11.1" customHeight="1">
      <c r="A1705" s="154" t="s">
        <v>14827</v>
      </c>
      <c r="B1705" s="297" t="s">
        <v>12590</v>
      </c>
      <c r="C1705" s="617">
        <v>1</v>
      </c>
      <c r="D1705" s="618" t="s">
        <v>8608</v>
      </c>
      <c r="E1705" s="619" t="s">
        <v>14052</v>
      </c>
      <c r="F1705" s="154" t="s">
        <v>6262</v>
      </c>
      <c r="G1705" s="154" t="s">
        <v>12547</v>
      </c>
      <c r="H1705" s="620">
        <v>62</v>
      </c>
      <c r="I1705" s="154" t="s">
        <v>6257</v>
      </c>
      <c r="J1705" s="621" t="s">
        <v>12674</v>
      </c>
      <c r="K1705" s="621" t="s">
        <v>6209</v>
      </c>
      <c r="L1705" s="621">
        <v>10</v>
      </c>
      <c r="M1705" s="154">
        <v>0</v>
      </c>
      <c r="N1705" s="298">
        <v>8</v>
      </c>
      <c r="O1705" s="298">
        <v>2535278</v>
      </c>
      <c r="P1705" s="298">
        <v>36.520632326823673</v>
      </c>
    </row>
    <row r="1706" spans="1:16" ht="11.1" customHeight="1">
      <c r="A1706" s="154" t="s">
        <v>14828</v>
      </c>
      <c r="B1706" s="297" t="s">
        <v>12590</v>
      </c>
      <c r="C1706" s="617">
        <v>2</v>
      </c>
      <c r="D1706" s="618" t="s">
        <v>8608</v>
      </c>
      <c r="E1706" s="619" t="s">
        <v>14052</v>
      </c>
      <c r="F1706" s="154" t="s">
        <v>6262</v>
      </c>
      <c r="G1706" s="154" t="s">
        <v>8532</v>
      </c>
      <c r="H1706" s="620">
        <v>64</v>
      </c>
      <c r="I1706" s="154" t="s">
        <v>6257</v>
      </c>
      <c r="J1706" s="621" t="s">
        <v>12621</v>
      </c>
      <c r="K1706" s="621" t="s">
        <v>6209</v>
      </c>
      <c r="L1706" s="621">
        <v>3</v>
      </c>
      <c r="M1706" s="154">
        <v>0</v>
      </c>
    </row>
    <row r="1707" spans="1:16" ht="11.1" customHeight="1">
      <c r="A1707" s="154" t="s">
        <v>14829</v>
      </c>
      <c r="B1707" s="297" t="s">
        <v>12590</v>
      </c>
      <c r="C1707" s="617">
        <v>3</v>
      </c>
      <c r="D1707" s="618" t="s">
        <v>8608</v>
      </c>
      <c r="E1707" s="619">
        <v>0</v>
      </c>
      <c r="F1707" s="154" t="s">
        <v>6262</v>
      </c>
      <c r="G1707" s="154" t="s">
        <v>14830</v>
      </c>
      <c r="H1707" s="620">
        <v>72</v>
      </c>
      <c r="I1707" s="154" t="s">
        <v>6257</v>
      </c>
      <c r="J1707" s="621" t="s">
        <v>12621</v>
      </c>
      <c r="K1707" s="621" t="s">
        <v>6209</v>
      </c>
      <c r="L1707" s="621">
        <v>5</v>
      </c>
      <c r="M1707" s="154">
        <v>0</v>
      </c>
    </row>
    <row r="1708" spans="1:16" ht="11.1" customHeight="1">
      <c r="A1708" s="154" t="s">
        <v>14831</v>
      </c>
      <c r="B1708" s="297" t="s">
        <v>12590</v>
      </c>
      <c r="C1708" s="617">
        <v>4</v>
      </c>
      <c r="D1708" s="618" t="s">
        <v>8608</v>
      </c>
      <c r="E1708" s="619">
        <v>0</v>
      </c>
      <c r="F1708" s="154" t="s">
        <v>6262</v>
      </c>
      <c r="G1708" s="154" t="s">
        <v>8368</v>
      </c>
      <c r="H1708" s="620">
        <v>58</v>
      </c>
      <c r="I1708" s="154" t="s">
        <v>6257</v>
      </c>
      <c r="J1708" s="621" t="s">
        <v>12635</v>
      </c>
      <c r="K1708" s="621" t="s">
        <v>6209</v>
      </c>
      <c r="L1708" s="621">
        <v>1</v>
      </c>
      <c r="M1708" s="154">
        <v>0</v>
      </c>
    </row>
    <row r="1709" spans="1:16" ht="11.1" customHeight="1">
      <c r="A1709" s="154" t="s">
        <v>14832</v>
      </c>
      <c r="B1709" s="297" t="s">
        <v>12590</v>
      </c>
      <c r="C1709" s="617">
        <v>5</v>
      </c>
      <c r="D1709" s="618" t="s">
        <v>8608</v>
      </c>
      <c r="E1709" s="619">
        <v>0</v>
      </c>
      <c r="F1709" s="154" t="s">
        <v>6262</v>
      </c>
      <c r="G1709" s="154" t="s">
        <v>12554</v>
      </c>
      <c r="H1709" s="620">
        <v>52</v>
      </c>
      <c r="I1709" s="154" t="s">
        <v>6257</v>
      </c>
      <c r="J1709" s="621" t="s">
        <v>12631</v>
      </c>
      <c r="K1709" s="621" t="s">
        <v>6036</v>
      </c>
      <c r="L1709" s="621">
        <v>0</v>
      </c>
      <c r="M1709" s="154">
        <v>0</v>
      </c>
    </row>
    <row r="1710" spans="1:16" ht="11.1" customHeight="1">
      <c r="A1710" s="154" t="s">
        <v>14833</v>
      </c>
      <c r="B1710" s="297" t="s">
        <v>12590</v>
      </c>
      <c r="C1710" s="617">
        <v>6</v>
      </c>
      <c r="D1710" s="618" t="s">
        <v>9873</v>
      </c>
      <c r="E1710" s="619">
        <v>0</v>
      </c>
      <c r="F1710" s="154">
        <v>96.6</v>
      </c>
      <c r="G1710" s="154" t="s">
        <v>8360</v>
      </c>
      <c r="H1710" s="620">
        <v>56</v>
      </c>
      <c r="I1710" s="154" t="s">
        <v>6257</v>
      </c>
      <c r="J1710" s="621" t="s">
        <v>12621</v>
      </c>
      <c r="K1710" s="621" t="s">
        <v>6283</v>
      </c>
      <c r="L1710" s="621">
        <v>3</v>
      </c>
      <c r="M1710" s="154" t="s">
        <v>12638</v>
      </c>
    </row>
    <row r="1711" spans="1:16" ht="11.1" customHeight="1">
      <c r="A1711" s="154" t="s">
        <v>14834</v>
      </c>
      <c r="B1711" s="297" t="s">
        <v>12590</v>
      </c>
      <c r="C1711" s="617">
        <v>6</v>
      </c>
      <c r="D1711" s="618" t="s">
        <v>9905</v>
      </c>
      <c r="E1711" s="619">
        <v>0</v>
      </c>
      <c r="F1711" s="154">
        <v>96.37</v>
      </c>
      <c r="G1711" s="154" t="s">
        <v>12553</v>
      </c>
      <c r="H1711" s="620">
        <v>56</v>
      </c>
      <c r="I1711" s="154" t="s">
        <v>6257</v>
      </c>
      <c r="J1711" s="621" t="s">
        <v>12631</v>
      </c>
      <c r="K1711" s="621" t="s">
        <v>6283</v>
      </c>
      <c r="L1711" s="621">
        <v>3</v>
      </c>
      <c r="M1711" s="154" t="s">
        <v>12638</v>
      </c>
    </row>
    <row r="1712" spans="1:16" ht="11.1" customHeight="1">
      <c r="A1712" s="154" t="s">
        <v>14835</v>
      </c>
      <c r="B1712" s="297" t="s">
        <v>12590</v>
      </c>
      <c r="C1712" s="617">
        <v>6</v>
      </c>
      <c r="D1712" s="618" t="s">
        <v>9913</v>
      </c>
      <c r="E1712" s="619">
        <v>0</v>
      </c>
      <c r="F1712" s="154">
        <v>96.19</v>
      </c>
      <c r="G1712" s="154" t="s">
        <v>12549</v>
      </c>
      <c r="H1712" s="620">
        <v>58</v>
      </c>
      <c r="I1712" s="154" t="s">
        <v>6257</v>
      </c>
      <c r="J1712" s="621" t="s">
        <v>12635</v>
      </c>
      <c r="K1712" s="621" t="s">
        <v>6209</v>
      </c>
      <c r="L1712" s="621">
        <v>4</v>
      </c>
      <c r="M1712" s="154" t="s">
        <v>12638</v>
      </c>
    </row>
    <row r="1713" spans="1:13" ht="11.1" customHeight="1">
      <c r="A1713" s="154" t="s">
        <v>14836</v>
      </c>
      <c r="C1713" s="617">
        <v>6</v>
      </c>
      <c r="D1713" s="618" t="s">
        <v>9909</v>
      </c>
      <c r="E1713" s="619">
        <v>0</v>
      </c>
      <c r="F1713" s="154">
        <v>95.34</v>
      </c>
      <c r="G1713" s="154" t="s">
        <v>13883</v>
      </c>
      <c r="H1713" s="620">
        <v>31</v>
      </c>
      <c r="I1713" s="154" t="s">
        <v>6257</v>
      </c>
      <c r="J1713" s="621" t="s">
        <v>12651</v>
      </c>
      <c r="K1713" s="621" t="s">
        <v>6209</v>
      </c>
      <c r="L1713" s="621">
        <v>1</v>
      </c>
      <c r="M1713" s="154" t="s">
        <v>12638</v>
      </c>
    </row>
    <row r="1714" spans="1:13" ht="11.1" customHeight="1">
      <c r="A1714" s="154" t="s">
        <v>14837</v>
      </c>
      <c r="C1714" s="617">
        <v>6</v>
      </c>
      <c r="D1714" s="618" t="s">
        <v>9889</v>
      </c>
      <c r="E1714" s="619">
        <v>0</v>
      </c>
      <c r="F1714" s="154">
        <v>94.56</v>
      </c>
      <c r="G1714" s="154" t="s">
        <v>8384</v>
      </c>
      <c r="H1714" s="620">
        <v>30</v>
      </c>
      <c r="I1714" s="154" t="s">
        <v>6257</v>
      </c>
      <c r="J1714" s="621" t="s">
        <v>12617</v>
      </c>
      <c r="K1714" s="621" t="s">
        <v>6036</v>
      </c>
      <c r="L1714" s="621">
        <v>0</v>
      </c>
      <c r="M1714" s="154" t="s">
        <v>12638</v>
      </c>
    </row>
    <row r="1715" spans="1:13" ht="11.1" customHeight="1">
      <c r="A1715" s="154" t="s">
        <v>14838</v>
      </c>
      <c r="C1715" s="617">
        <v>6</v>
      </c>
      <c r="D1715" s="618" t="s">
        <v>9891</v>
      </c>
      <c r="E1715" s="619">
        <v>0</v>
      </c>
      <c r="F1715" s="154">
        <v>94.2</v>
      </c>
      <c r="G1715" s="154" t="s">
        <v>8324</v>
      </c>
      <c r="H1715" s="620">
        <v>58</v>
      </c>
      <c r="I1715" s="154" t="s">
        <v>6257</v>
      </c>
      <c r="J1715" s="621" t="s">
        <v>12651</v>
      </c>
      <c r="K1715" s="621" t="s">
        <v>6209</v>
      </c>
      <c r="L1715" s="621">
        <v>7</v>
      </c>
      <c r="M1715" s="154" t="s">
        <v>12638</v>
      </c>
    </row>
    <row r="1716" spans="1:13" ht="11.1" customHeight="1">
      <c r="A1716" s="154" t="s">
        <v>14839</v>
      </c>
      <c r="C1716" s="617">
        <v>6</v>
      </c>
      <c r="D1716" s="618" t="s">
        <v>14840</v>
      </c>
      <c r="E1716" s="619">
        <v>0</v>
      </c>
      <c r="F1716" s="154">
        <v>93.36</v>
      </c>
      <c r="G1716" s="154" t="s">
        <v>12568</v>
      </c>
      <c r="H1716" s="620">
        <v>46</v>
      </c>
      <c r="I1716" s="154" t="s">
        <v>6257</v>
      </c>
      <c r="J1716" s="621" t="s">
        <v>12621</v>
      </c>
      <c r="K1716" s="621" t="s">
        <v>6283</v>
      </c>
      <c r="L1716" s="621">
        <v>1</v>
      </c>
      <c r="M1716" s="154">
        <v>0</v>
      </c>
    </row>
    <row r="1717" spans="1:13" ht="11.1" customHeight="1">
      <c r="A1717" s="154" t="s">
        <v>14841</v>
      </c>
      <c r="C1717" s="617">
        <v>6</v>
      </c>
      <c r="D1717" s="618" t="s">
        <v>9901</v>
      </c>
      <c r="E1717" s="619">
        <v>0</v>
      </c>
      <c r="F1717" s="154">
        <v>90.39</v>
      </c>
      <c r="G1717" s="154" t="s">
        <v>12512</v>
      </c>
      <c r="H1717" s="620">
        <v>66</v>
      </c>
      <c r="I1717" s="154" t="s">
        <v>6257</v>
      </c>
      <c r="J1717" s="621" t="s">
        <v>12617</v>
      </c>
      <c r="K1717" s="621" t="s">
        <v>6209</v>
      </c>
      <c r="L1717" s="621">
        <v>10</v>
      </c>
      <c r="M1717" s="154" t="s">
        <v>12638</v>
      </c>
    </row>
    <row r="1718" spans="1:13" ht="11.1" customHeight="1">
      <c r="A1718" s="154" t="s">
        <v>14842</v>
      </c>
      <c r="C1718" s="617">
        <v>6</v>
      </c>
      <c r="D1718" s="618" t="s">
        <v>9899</v>
      </c>
      <c r="E1718" s="619">
        <v>0</v>
      </c>
      <c r="F1718" s="154">
        <v>85.45</v>
      </c>
      <c r="G1718" s="154" t="s">
        <v>13923</v>
      </c>
      <c r="H1718" s="620">
        <v>52</v>
      </c>
      <c r="I1718" s="154" t="s">
        <v>6257</v>
      </c>
      <c r="J1718" s="621" t="s">
        <v>12674</v>
      </c>
      <c r="K1718" s="621" t="s">
        <v>6283</v>
      </c>
      <c r="L1718" s="621">
        <v>1</v>
      </c>
      <c r="M1718" s="154" t="s">
        <v>12638</v>
      </c>
    </row>
    <row r="1719" spans="1:13" ht="11.1" customHeight="1">
      <c r="A1719" s="154" t="s">
        <v>14843</v>
      </c>
      <c r="C1719" s="617">
        <v>6</v>
      </c>
      <c r="D1719" s="618" t="s">
        <v>9911</v>
      </c>
      <c r="E1719" s="619">
        <v>0</v>
      </c>
      <c r="F1719" s="154">
        <v>79.39</v>
      </c>
      <c r="G1719" s="154" t="s">
        <v>9861</v>
      </c>
      <c r="H1719" s="620">
        <v>55</v>
      </c>
      <c r="I1719" s="154" t="s">
        <v>6257</v>
      </c>
      <c r="J1719" s="621" t="s">
        <v>12651</v>
      </c>
      <c r="K1719" s="621" t="s">
        <v>6209</v>
      </c>
      <c r="L1719" s="621">
        <v>3</v>
      </c>
      <c r="M1719" s="154" t="s">
        <v>12622</v>
      </c>
    </row>
    <row r="1720" spans="1:13" ht="11.1" customHeight="1">
      <c r="A1720" s="154" t="s">
        <v>14844</v>
      </c>
      <c r="C1720" s="617">
        <v>6</v>
      </c>
      <c r="D1720" s="618" t="s">
        <v>9897</v>
      </c>
      <c r="E1720" s="619">
        <v>0</v>
      </c>
      <c r="F1720" s="154">
        <v>72.040000000000006</v>
      </c>
      <c r="G1720" s="154" t="s">
        <v>13940</v>
      </c>
      <c r="H1720" s="620">
        <v>57</v>
      </c>
      <c r="I1720" s="154" t="s">
        <v>6257</v>
      </c>
      <c r="J1720" s="621" t="s">
        <v>12975</v>
      </c>
      <c r="K1720" s="621" t="s">
        <v>6283</v>
      </c>
      <c r="L1720" s="621">
        <v>1</v>
      </c>
      <c r="M1720" s="154">
        <v>0</v>
      </c>
    </row>
    <row r="1721" spans="1:13" ht="11.1" customHeight="1">
      <c r="A1721" s="154" t="s">
        <v>14845</v>
      </c>
      <c r="C1721" s="617">
        <v>6</v>
      </c>
      <c r="D1721" s="618" t="s">
        <v>9903</v>
      </c>
      <c r="E1721" s="619">
        <v>0</v>
      </c>
      <c r="F1721" s="154">
        <v>64.430000000000007</v>
      </c>
      <c r="G1721" s="154" t="s">
        <v>14027</v>
      </c>
      <c r="H1721" s="620">
        <v>50</v>
      </c>
      <c r="I1721" s="154" t="s">
        <v>6257</v>
      </c>
      <c r="J1721" s="621" t="s">
        <v>12617</v>
      </c>
      <c r="K1721" s="621" t="s">
        <v>6036</v>
      </c>
      <c r="L1721" s="621">
        <v>0</v>
      </c>
      <c r="M1721" s="154" t="s">
        <v>12638</v>
      </c>
    </row>
    <row r="1722" spans="1:13" ht="11.1" customHeight="1">
      <c r="A1722" s="154" t="s">
        <v>14846</v>
      </c>
      <c r="C1722" s="617">
        <v>6</v>
      </c>
      <c r="D1722" s="618" t="s">
        <v>9895</v>
      </c>
      <c r="E1722" s="619">
        <v>0</v>
      </c>
      <c r="F1722" s="154">
        <v>57.67</v>
      </c>
      <c r="G1722" s="154" t="s">
        <v>13859</v>
      </c>
      <c r="H1722" s="620">
        <v>28</v>
      </c>
      <c r="I1722" s="154" t="s">
        <v>6257</v>
      </c>
      <c r="J1722" s="621" t="s">
        <v>12635</v>
      </c>
      <c r="K1722" s="621" t="s">
        <v>6036</v>
      </c>
      <c r="L1722" s="621">
        <v>0</v>
      </c>
      <c r="M1722" s="154">
        <v>0</v>
      </c>
    </row>
    <row r="1723" spans="1:13" ht="11.1" customHeight="1">
      <c r="A1723" s="154" t="s">
        <v>14847</v>
      </c>
      <c r="C1723" s="617">
        <v>39</v>
      </c>
      <c r="D1723" s="618" t="s">
        <v>8608</v>
      </c>
      <c r="E1723" s="619" t="s">
        <v>14052</v>
      </c>
      <c r="F1723" s="154" t="s">
        <v>6262</v>
      </c>
      <c r="G1723" s="154" t="s">
        <v>8428</v>
      </c>
      <c r="H1723" s="620">
        <v>40</v>
      </c>
      <c r="I1723" s="154" t="s">
        <v>6257</v>
      </c>
      <c r="J1723" s="621" t="s">
        <v>12651</v>
      </c>
      <c r="K1723" s="621" t="s">
        <v>6283</v>
      </c>
      <c r="L1723" s="621">
        <v>1</v>
      </c>
      <c r="M1723" s="154">
        <v>0</v>
      </c>
    </row>
    <row r="1724" spans="1:13" ht="11.1" customHeight="1">
      <c r="A1724" s="154" t="s">
        <v>14848</v>
      </c>
      <c r="B1724" s="297" t="s">
        <v>14048</v>
      </c>
      <c r="C1724" s="617">
        <v>6</v>
      </c>
      <c r="D1724" s="618" t="s">
        <v>9875</v>
      </c>
      <c r="E1724" s="619">
        <v>0</v>
      </c>
      <c r="F1724" s="154" t="s">
        <v>6251</v>
      </c>
      <c r="G1724" s="154" t="s">
        <v>8332</v>
      </c>
      <c r="H1724" s="620">
        <v>62</v>
      </c>
      <c r="I1724" s="154" t="s">
        <v>6257</v>
      </c>
      <c r="J1724" s="621" t="s">
        <v>12674</v>
      </c>
      <c r="K1724" s="621" t="s">
        <v>6209</v>
      </c>
      <c r="L1724" s="621">
        <v>2</v>
      </c>
      <c r="M1724" s="154" t="s">
        <v>12622</v>
      </c>
    </row>
    <row r="1725" spans="1:13" ht="11.1" customHeight="1">
      <c r="A1725" s="154" t="s">
        <v>14849</v>
      </c>
      <c r="B1725" s="297" t="s">
        <v>14048</v>
      </c>
      <c r="C1725" s="617">
        <v>6</v>
      </c>
      <c r="D1725" s="618" t="s">
        <v>9881</v>
      </c>
      <c r="E1725" s="619">
        <v>0</v>
      </c>
      <c r="F1725" s="154" t="s">
        <v>6251</v>
      </c>
      <c r="G1725" s="154" t="s">
        <v>8338</v>
      </c>
      <c r="H1725" s="620">
        <v>59</v>
      </c>
      <c r="I1725" s="154" t="s">
        <v>6257</v>
      </c>
      <c r="J1725" s="621" t="s">
        <v>12674</v>
      </c>
      <c r="K1725" s="621" t="s">
        <v>6209</v>
      </c>
      <c r="L1725" s="621">
        <v>3</v>
      </c>
      <c r="M1725" s="154" t="s">
        <v>12622</v>
      </c>
    </row>
    <row r="1726" spans="1:13" ht="11.1" customHeight="1">
      <c r="A1726" s="154" t="s">
        <v>14850</v>
      </c>
      <c r="B1726" s="297" t="s">
        <v>14048</v>
      </c>
      <c r="C1726" s="617">
        <v>6</v>
      </c>
      <c r="D1726" s="618" t="s">
        <v>9932</v>
      </c>
      <c r="E1726" s="619">
        <v>0</v>
      </c>
      <c r="F1726" s="154" t="s">
        <v>6251</v>
      </c>
      <c r="G1726" s="154" t="s">
        <v>12523</v>
      </c>
      <c r="H1726" s="620">
        <v>63</v>
      </c>
      <c r="I1726" s="154" t="s">
        <v>6257</v>
      </c>
      <c r="J1726" s="621" t="s">
        <v>12651</v>
      </c>
      <c r="K1726" s="621" t="s">
        <v>6209</v>
      </c>
      <c r="L1726" s="621">
        <v>7</v>
      </c>
      <c r="M1726" s="154" t="s">
        <v>12622</v>
      </c>
    </row>
    <row r="1727" spans="1:13" ht="11.1" customHeight="1">
      <c r="A1727" s="154" t="s">
        <v>14851</v>
      </c>
      <c r="B1727" s="297" t="s">
        <v>14048</v>
      </c>
      <c r="C1727" s="617">
        <v>6</v>
      </c>
      <c r="D1727" s="618" t="s">
        <v>9937</v>
      </c>
      <c r="E1727" s="619">
        <v>0</v>
      </c>
      <c r="F1727" s="154" t="s">
        <v>6251</v>
      </c>
      <c r="G1727" s="154" t="s">
        <v>8352</v>
      </c>
      <c r="H1727" s="620">
        <v>63</v>
      </c>
      <c r="I1727" s="154" t="s">
        <v>6257</v>
      </c>
      <c r="J1727" s="621" t="s">
        <v>12975</v>
      </c>
      <c r="K1727" s="621" t="s">
        <v>6209</v>
      </c>
      <c r="L1727" s="621">
        <v>7</v>
      </c>
      <c r="M1727" s="154" t="s">
        <v>12622</v>
      </c>
    </row>
    <row r="1728" spans="1:13" ht="11.1" customHeight="1">
      <c r="A1728" s="154" t="s">
        <v>14852</v>
      </c>
      <c r="B1728" s="297" t="s">
        <v>14048</v>
      </c>
      <c r="C1728" s="617">
        <v>6</v>
      </c>
      <c r="D1728" s="618" t="s">
        <v>9879</v>
      </c>
      <c r="E1728" s="619">
        <v>0</v>
      </c>
      <c r="F1728" s="154" t="s">
        <v>6251</v>
      </c>
      <c r="G1728" s="154" t="s">
        <v>12531</v>
      </c>
      <c r="H1728" s="620">
        <v>58</v>
      </c>
      <c r="I1728" s="154" t="s">
        <v>6257</v>
      </c>
      <c r="J1728" s="621" t="s">
        <v>12674</v>
      </c>
      <c r="K1728" s="621" t="s">
        <v>6209</v>
      </c>
      <c r="L1728" s="621">
        <v>6</v>
      </c>
      <c r="M1728" s="154" t="s">
        <v>12622</v>
      </c>
    </row>
    <row r="1729" spans="1:16" ht="11.1" customHeight="1">
      <c r="A1729" s="154" t="s">
        <v>14853</v>
      </c>
      <c r="B1729" s="297" t="s">
        <v>14048</v>
      </c>
      <c r="C1729" s="617">
        <v>6</v>
      </c>
      <c r="D1729" s="618" t="s">
        <v>9871</v>
      </c>
      <c r="E1729" s="619">
        <v>0</v>
      </c>
      <c r="F1729" s="154" t="s">
        <v>6251</v>
      </c>
      <c r="G1729" s="154" t="s">
        <v>8390</v>
      </c>
      <c r="H1729" s="620">
        <v>56</v>
      </c>
      <c r="I1729" s="154" t="s">
        <v>6257</v>
      </c>
      <c r="J1729" s="621" t="s">
        <v>12621</v>
      </c>
      <c r="K1729" s="621" t="s">
        <v>6209</v>
      </c>
      <c r="L1729" s="621">
        <v>2</v>
      </c>
      <c r="M1729" s="154" t="s">
        <v>12638</v>
      </c>
    </row>
    <row r="1730" spans="1:16" ht="11.1" customHeight="1">
      <c r="A1730" s="154" t="s">
        <v>14854</v>
      </c>
      <c r="B1730" s="297" t="s">
        <v>14048</v>
      </c>
      <c r="C1730" s="617">
        <v>6</v>
      </c>
      <c r="D1730" s="618" t="s">
        <v>9983</v>
      </c>
      <c r="E1730" s="619">
        <v>0</v>
      </c>
      <c r="F1730" s="154" t="s">
        <v>6251</v>
      </c>
      <c r="G1730" s="154" t="s">
        <v>8394</v>
      </c>
      <c r="H1730" s="620">
        <v>69</v>
      </c>
      <c r="I1730" s="154" t="s">
        <v>6257</v>
      </c>
      <c r="J1730" s="621" t="s">
        <v>12621</v>
      </c>
      <c r="K1730" s="621" t="s">
        <v>6209</v>
      </c>
      <c r="L1730" s="621">
        <v>8</v>
      </c>
      <c r="M1730" s="154" t="s">
        <v>12638</v>
      </c>
    </row>
    <row r="1731" spans="1:16" ht="11.1" customHeight="1">
      <c r="A1731" s="154" t="s">
        <v>14855</v>
      </c>
      <c r="B1731" s="297" t="s">
        <v>14048</v>
      </c>
      <c r="C1731" s="617">
        <v>6</v>
      </c>
      <c r="D1731" s="618" t="s">
        <v>9877</v>
      </c>
      <c r="E1731" s="619">
        <v>0</v>
      </c>
      <c r="F1731" s="154" t="s">
        <v>6251</v>
      </c>
      <c r="G1731" s="154" t="s">
        <v>8414</v>
      </c>
      <c r="H1731" s="620">
        <v>62</v>
      </c>
      <c r="I1731" s="154" t="s">
        <v>6257</v>
      </c>
      <c r="J1731" s="621" t="s">
        <v>12617</v>
      </c>
      <c r="K1731" s="621" t="s">
        <v>6209</v>
      </c>
      <c r="L1731" s="621">
        <v>7</v>
      </c>
      <c r="M1731" s="154" t="s">
        <v>12638</v>
      </c>
    </row>
    <row r="1732" spans="1:16" ht="11.1" customHeight="1">
      <c r="A1732" s="154" t="s">
        <v>14856</v>
      </c>
      <c r="B1732" s="297" t="s">
        <v>14048</v>
      </c>
      <c r="C1732" s="617">
        <v>6</v>
      </c>
      <c r="D1732" s="618" t="s">
        <v>9863</v>
      </c>
      <c r="E1732" s="619">
        <v>0</v>
      </c>
      <c r="F1732" s="154" t="s">
        <v>6251</v>
      </c>
      <c r="G1732" s="154" t="s">
        <v>8424</v>
      </c>
      <c r="H1732" s="620">
        <v>62</v>
      </c>
      <c r="I1732" s="154" t="s">
        <v>6257</v>
      </c>
      <c r="J1732" s="621" t="s">
        <v>12617</v>
      </c>
      <c r="K1732" s="621" t="s">
        <v>6036</v>
      </c>
      <c r="L1732" s="621">
        <v>0</v>
      </c>
      <c r="M1732" s="154" t="s">
        <v>6260</v>
      </c>
    </row>
    <row r="1733" spans="1:16" ht="11.1" customHeight="1">
      <c r="A1733" s="154" t="s">
        <v>14857</v>
      </c>
      <c r="B1733" s="297" t="s">
        <v>14048</v>
      </c>
      <c r="C1733" s="617">
        <v>6</v>
      </c>
      <c r="D1733" s="618" t="s">
        <v>9867</v>
      </c>
      <c r="E1733" s="619">
        <v>0</v>
      </c>
      <c r="F1733" s="154" t="s">
        <v>6251</v>
      </c>
      <c r="G1733" s="154" t="s">
        <v>8430</v>
      </c>
      <c r="H1733" s="620">
        <v>56</v>
      </c>
      <c r="I1733" s="154" t="s">
        <v>6257</v>
      </c>
      <c r="J1733" s="621" t="s">
        <v>12651</v>
      </c>
      <c r="K1733" s="621" t="s">
        <v>6209</v>
      </c>
      <c r="L1733" s="621">
        <v>1</v>
      </c>
      <c r="M1733" s="154" t="s">
        <v>6260</v>
      </c>
    </row>
    <row r="1734" spans="1:16" ht="11.1" customHeight="1">
      <c r="A1734" s="154" t="s">
        <v>14858</v>
      </c>
      <c r="B1734" s="297" t="s">
        <v>14048</v>
      </c>
      <c r="C1734" s="617">
        <v>6</v>
      </c>
      <c r="D1734" s="618" t="s">
        <v>9957</v>
      </c>
      <c r="E1734" s="619">
        <v>0</v>
      </c>
      <c r="F1734" s="154" t="s">
        <v>6251</v>
      </c>
      <c r="G1734" s="154" t="s">
        <v>13944</v>
      </c>
      <c r="H1734" s="620">
        <v>59</v>
      </c>
      <c r="I1734" s="154" t="s">
        <v>6257</v>
      </c>
      <c r="J1734" s="621" t="s">
        <v>12621</v>
      </c>
      <c r="K1734" s="621" t="s">
        <v>6209</v>
      </c>
      <c r="L1734" s="621">
        <v>2</v>
      </c>
      <c r="M1734" s="154" t="s">
        <v>12638</v>
      </c>
    </row>
    <row r="1735" spans="1:16" ht="11.1" customHeight="1">
      <c r="A1735" s="154" t="s">
        <v>14859</v>
      </c>
      <c r="B1735" s="297" t="s">
        <v>14048</v>
      </c>
      <c r="C1735" s="617">
        <v>6</v>
      </c>
      <c r="D1735" s="618" t="s">
        <v>9915</v>
      </c>
      <c r="E1735" s="619">
        <v>0</v>
      </c>
      <c r="F1735" s="154" t="s">
        <v>6251</v>
      </c>
      <c r="G1735" s="154" t="s">
        <v>8456</v>
      </c>
      <c r="H1735" s="620">
        <v>61</v>
      </c>
      <c r="I1735" s="154" t="s">
        <v>6257</v>
      </c>
      <c r="J1735" s="621" t="s">
        <v>12773</v>
      </c>
      <c r="K1735" s="621" t="s">
        <v>6209</v>
      </c>
      <c r="L1735" s="621">
        <v>5</v>
      </c>
      <c r="M1735" s="154" t="s">
        <v>12638</v>
      </c>
    </row>
    <row r="1736" spans="1:16" ht="11.1" customHeight="1">
      <c r="A1736" s="154" t="s">
        <v>14860</v>
      </c>
      <c r="B1736" s="297" t="s">
        <v>14048</v>
      </c>
      <c r="C1736" s="617">
        <v>6</v>
      </c>
      <c r="D1736" s="618" t="s">
        <v>9917</v>
      </c>
      <c r="E1736" s="619">
        <v>0</v>
      </c>
      <c r="F1736" s="154" t="s">
        <v>6251</v>
      </c>
      <c r="G1736" s="154" t="s">
        <v>8462</v>
      </c>
      <c r="H1736" s="620">
        <v>42</v>
      </c>
      <c r="I1736" s="154" t="s">
        <v>6257</v>
      </c>
      <c r="J1736" s="621" t="s">
        <v>12674</v>
      </c>
      <c r="K1736" s="621" t="s">
        <v>6209</v>
      </c>
      <c r="L1736" s="621">
        <v>1</v>
      </c>
      <c r="M1736" s="154" t="s">
        <v>12638</v>
      </c>
    </row>
    <row r="1737" spans="1:16" ht="11.1" customHeight="1">
      <c r="A1737" s="154" t="s">
        <v>14861</v>
      </c>
      <c r="B1737" s="297" t="s">
        <v>14048</v>
      </c>
      <c r="C1737" s="617">
        <v>6</v>
      </c>
      <c r="D1737" s="618" t="s">
        <v>9865</v>
      </c>
      <c r="E1737" s="619">
        <v>0</v>
      </c>
      <c r="F1737" s="154" t="s">
        <v>6251</v>
      </c>
      <c r="G1737" s="154" t="s">
        <v>8481</v>
      </c>
      <c r="H1737" s="620">
        <v>62</v>
      </c>
      <c r="I1737" s="154" t="s">
        <v>6257</v>
      </c>
      <c r="J1737" s="621" t="s">
        <v>12631</v>
      </c>
      <c r="K1737" s="621" t="s">
        <v>6209</v>
      </c>
      <c r="L1737" s="621">
        <v>6</v>
      </c>
      <c r="M1737" s="154" t="s">
        <v>12638</v>
      </c>
    </row>
    <row r="1738" spans="1:16" ht="11.1" customHeight="1">
      <c r="A1738" s="154" t="s">
        <v>14862</v>
      </c>
      <c r="B1738" s="297" t="s">
        <v>14048</v>
      </c>
      <c r="C1738" s="617">
        <v>6</v>
      </c>
      <c r="D1738" s="618" t="s">
        <v>9869</v>
      </c>
      <c r="E1738" s="619">
        <v>0</v>
      </c>
      <c r="F1738" s="154" t="s">
        <v>6251</v>
      </c>
      <c r="G1738" s="154" t="s">
        <v>12557</v>
      </c>
      <c r="H1738" s="620">
        <v>46</v>
      </c>
      <c r="I1738" s="154" t="s">
        <v>6257</v>
      </c>
      <c r="J1738" s="621" t="s">
        <v>12975</v>
      </c>
      <c r="K1738" s="621" t="s">
        <v>6209</v>
      </c>
      <c r="L1738" s="621">
        <v>2</v>
      </c>
      <c r="M1738" s="154" t="s">
        <v>12638</v>
      </c>
    </row>
    <row r="1739" spans="1:16" ht="11.1" customHeight="1">
      <c r="A1739" s="154" t="s">
        <v>14863</v>
      </c>
      <c r="B1739" s="297" t="s">
        <v>14048</v>
      </c>
      <c r="C1739" s="617">
        <v>6</v>
      </c>
      <c r="D1739" s="618" t="s">
        <v>9987</v>
      </c>
      <c r="E1739" s="619">
        <v>0</v>
      </c>
      <c r="F1739" s="154" t="s">
        <v>6251</v>
      </c>
      <c r="G1739" s="154" t="s">
        <v>8494</v>
      </c>
      <c r="H1739" s="620">
        <v>60</v>
      </c>
      <c r="I1739" s="154" t="s">
        <v>6257</v>
      </c>
      <c r="J1739" s="621" t="s">
        <v>12631</v>
      </c>
      <c r="K1739" s="621" t="s">
        <v>6209</v>
      </c>
      <c r="L1739" s="621">
        <v>4</v>
      </c>
      <c r="M1739" s="154" t="s">
        <v>12622</v>
      </c>
    </row>
    <row r="1740" spans="1:16" ht="11.1" customHeight="1">
      <c r="A1740" s="154" t="s">
        <v>14864</v>
      </c>
      <c r="B1740" s="297" t="s">
        <v>14048</v>
      </c>
      <c r="C1740" s="617">
        <v>6</v>
      </c>
      <c r="D1740" s="618" t="s">
        <v>14865</v>
      </c>
      <c r="E1740" s="619">
        <v>0</v>
      </c>
      <c r="F1740" s="154" t="s">
        <v>6251</v>
      </c>
      <c r="G1740" s="154" t="s">
        <v>8518</v>
      </c>
      <c r="H1740" s="620">
        <v>64</v>
      </c>
      <c r="I1740" s="154" t="s">
        <v>6257</v>
      </c>
      <c r="J1740" s="621" t="s">
        <v>12674</v>
      </c>
      <c r="K1740" s="621" t="s">
        <v>6209</v>
      </c>
      <c r="L1740" s="621">
        <v>9</v>
      </c>
      <c r="M1740" s="154" t="s">
        <v>12638</v>
      </c>
    </row>
    <row r="1741" spans="1:16" ht="11.1" customHeight="1">
      <c r="A1741" s="154" t="s">
        <v>14866</v>
      </c>
      <c r="B1741" s="297" t="s">
        <v>14048</v>
      </c>
      <c r="C1741" s="617">
        <v>6</v>
      </c>
      <c r="D1741" s="618" t="s">
        <v>14867</v>
      </c>
      <c r="E1741" s="619">
        <v>0</v>
      </c>
      <c r="F1741" s="154" t="s">
        <v>6251</v>
      </c>
      <c r="G1741" s="154" t="s">
        <v>8534</v>
      </c>
      <c r="H1741" s="620">
        <v>62</v>
      </c>
      <c r="I1741" s="154" t="s">
        <v>6257</v>
      </c>
      <c r="J1741" s="621" t="s">
        <v>12631</v>
      </c>
      <c r="K1741" s="621" t="s">
        <v>6209</v>
      </c>
      <c r="L1741" s="621">
        <v>4</v>
      </c>
      <c r="M1741" s="154" t="s">
        <v>12622</v>
      </c>
    </row>
    <row r="1742" spans="1:16" ht="11.1" customHeight="1">
      <c r="A1742" s="154" t="s">
        <v>14868</v>
      </c>
      <c r="B1742" s="297" t="s">
        <v>14048</v>
      </c>
      <c r="C1742" s="617">
        <v>6</v>
      </c>
      <c r="D1742" s="618" t="s">
        <v>9907</v>
      </c>
      <c r="E1742" s="619">
        <v>0</v>
      </c>
      <c r="F1742" s="154" t="s">
        <v>6251</v>
      </c>
      <c r="G1742" s="154" t="s">
        <v>8568</v>
      </c>
      <c r="H1742" s="620">
        <v>62</v>
      </c>
      <c r="I1742" s="154" t="s">
        <v>6257</v>
      </c>
      <c r="J1742" s="621" t="s">
        <v>12631</v>
      </c>
      <c r="K1742" s="621" t="s">
        <v>6209</v>
      </c>
      <c r="L1742" s="621">
        <v>2</v>
      </c>
      <c r="M1742" s="154" t="s">
        <v>6260</v>
      </c>
    </row>
    <row r="1743" spans="1:16" ht="11.1" customHeight="1">
      <c r="A1743" s="154" t="s">
        <v>14869</v>
      </c>
      <c r="B1743" s="297" t="s">
        <v>14048</v>
      </c>
      <c r="C1743" s="617">
        <v>6</v>
      </c>
      <c r="D1743" s="618" t="s">
        <v>9887</v>
      </c>
      <c r="E1743" s="619">
        <v>0</v>
      </c>
      <c r="F1743" s="154" t="s">
        <v>6251</v>
      </c>
      <c r="G1743" s="154" t="s">
        <v>8578</v>
      </c>
      <c r="H1743" s="620">
        <v>49</v>
      </c>
      <c r="I1743" s="154" t="s">
        <v>6257</v>
      </c>
      <c r="J1743" s="621" t="s">
        <v>12617</v>
      </c>
      <c r="K1743" s="621" t="s">
        <v>6036</v>
      </c>
      <c r="L1743" s="621">
        <v>0</v>
      </c>
      <c r="M1743" s="154" t="s">
        <v>6260</v>
      </c>
    </row>
    <row r="1744" spans="1:16" ht="11.1" customHeight="1">
      <c r="A1744" s="154" t="s">
        <v>14870</v>
      </c>
      <c r="B1744" s="297" t="s">
        <v>12590</v>
      </c>
      <c r="C1744" s="617">
        <v>1</v>
      </c>
      <c r="D1744" s="618" t="s">
        <v>9863</v>
      </c>
      <c r="E1744" s="619">
        <v>0</v>
      </c>
      <c r="F1744" s="154">
        <v>91.71</v>
      </c>
      <c r="G1744" s="154" t="s">
        <v>8422</v>
      </c>
      <c r="H1744" s="620">
        <v>61</v>
      </c>
      <c r="I1744" s="154" t="s">
        <v>6253</v>
      </c>
      <c r="J1744" s="621" t="s">
        <v>12020</v>
      </c>
      <c r="K1744" s="621" t="s">
        <v>6209</v>
      </c>
      <c r="L1744" s="621">
        <v>2</v>
      </c>
      <c r="M1744" s="154" t="s">
        <v>6254</v>
      </c>
      <c r="N1744" s="298">
        <v>7</v>
      </c>
      <c r="O1744" s="298">
        <v>2182400</v>
      </c>
      <c r="P1744" s="298">
        <v>31.437431315248265</v>
      </c>
    </row>
    <row r="1745" spans="1:13" ht="11.1" customHeight="1">
      <c r="A1745" s="154" t="s">
        <v>14871</v>
      </c>
      <c r="B1745" s="297" t="s">
        <v>12590</v>
      </c>
      <c r="C1745" s="617">
        <v>1</v>
      </c>
      <c r="D1745" s="618" t="s">
        <v>9879</v>
      </c>
      <c r="E1745" s="619">
        <v>0</v>
      </c>
      <c r="F1745" s="154">
        <v>86.69</v>
      </c>
      <c r="G1745" s="154" t="s">
        <v>12533</v>
      </c>
      <c r="H1745" s="620">
        <v>30</v>
      </c>
      <c r="I1745" s="154" t="s">
        <v>6253</v>
      </c>
      <c r="J1745" s="621" t="s">
        <v>12007</v>
      </c>
      <c r="K1745" s="621" t="s">
        <v>6036</v>
      </c>
      <c r="L1745" s="621">
        <v>0</v>
      </c>
      <c r="M1745" s="154">
        <v>0</v>
      </c>
    </row>
    <row r="1746" spans="1:13" ht="11.1" customHeight="1">
      <c r="A1746" s="154" t="s">
        <v>14872</v>
      </c>
      <c r="B1746" s="297" t="s">
        <v>12590</v>
      </c>
      <c r="C1746" s="617">
        <v>1</v>
      </c>
      <c r="D1746" s="618" t="s">
        <v>9875</v>
      </c>
      <c r="E1746" s="619">
        <v>0</v>
      </c>
      <c r="F1746" s="154">
        <v>83.5</v>
      </c>
      <c r="G1746" s="154" t="s">
        <v>12519</v>
      </c>
      <c r="H1746" s="620">
        <v>60</v>
      </c>
      <c r="I1746" s="154" t="s">
        <v>6253</v>
      </c>
      <c r="J1746" s="621" t="s">
        <v>11994</v>
      </c>
      <c r="K1746" s="621" t="s">
        <v>6209</v>
      </c>
      <c r="L1746" s="621">
        <v>1</v>
      </c>
      <c r="M1746" s="154">
        <v>0</v>
      </c>
    </row>
    <row r="1747" spans="1:13" ht="11.1" customHeight="1">
      <c r="A1747" s="154" t="s">
        <v>14873</v>
      </c>
      <c r="B1747" s="297" t="s">
        <v>12590</v>
      </c>
      <c r="C1747" s="617">
        <v>1</v>
      </c>
      <c r="D1747" s="618" t="s">
        <v>14865</v>
      </c>
      <c r="E1747" s="619">
        <v>0</v>
      </c>
      <c r="F1747" s="154">
        <v>82.68</v>
      </c>
      <c r="G1747" s="154" t="s">
        <v>8516</v>
      </c>
      <c r="H1747" s="620">
        <v>42</v>
      </c>
      <c r="I1747" s="154" t="s">
        <v>6253</v>
      </c>
      <c r="J1747" s="621" t="s">
        <v>12000</v>
      </c>
      <c r="K1747" s="621" t="s">
        <v>6209</v>
      </c>
      <c r="L1747" s="621">
        <v>2</v>
      </c>
      <c r="M1747" s="154" t="s">
        <v>6254</v>
      </c>
    </row>
    <row r="1748" spans="1:13" ht="11.1" customHeight="1">
      <c r="A1748" s="154" t="s">
        <v>14874</v>
      </c>
      <c r="B1748" s="297" t="s">
        <v>12590</v>
      </c>
      <c r="C1748" s="617">
        <v>1</v>
      </c>
      <c r="D1748" s="618" t="s">
        <v>9957</v>
      </c>
      <c r="E1748" s="619">
        <v>0</v>
      </c>
      <c r="F1748" s="154">
        <v>79.3</v>
      </c>
      <c r="G1748" s="154" t="s">
        <v>12548</v>
      </c>
      <c r="H1748" s="620">
        <v>52</v>
      </c>
      <c r="I1748" s="154" t="s">
        <v>6253</v>
      </c>
      <c r="J1748" s="621" t="s">
        <v>12007</v>
      </c>
      <c r="K1748" s="621" t="s">
        <v>6036</v>
      </c>
      <c r="L1748" s="621">
        <v>0</v>
      </c>
      <c r="M1748" s="154" t="s">
        <v>6154</v>
      </c>
    </row>
    <row r="1749" spans="1:13" ht="11.1" customHeight="1">
      <c r="A1749" s="154" t="s">
        <v>14875</v>
      </c>
      <c r="B1749" s="297" t="s">
        <v>12590</v>
      </c>
      <c r="C1749" s="617">
        <v>1</v>
      </c>
      <c r="D1749" s="618" t="s">
        <v>9881</v>
      </c>
      <c r="E1749" s="619">
        <v>0</v>
      </c>
      <c r="F1749" s="154">
        <v>77.25</v>
      </c>
      <c r="G1749" s="154" t="s">
        <v>8336</v>
      </c>
      <c r="H1749" s="620">
        <v>28</v>
      </c>
      <c r="I1749" s="154" t="s">
        <v>6253</v>
      </c>
      <c r="J1749" s="621" t="s">
        <v>12007</v>
      </c>
      <c r="K1749" s="621" t="s">
        <v>6036</v>
      </c>
      <c r="L1749" s="621">
        <v>0</v>
      </c>
      <c r="M1749" s="154">
        <v>0</v>
      </c>
    </row>
    <row r="1750" spans="1:13" ht="11.1" customHeight="1">
      <c r="A1750" s="154" t="s">
        <v>14876</v>
      </c>
      <c r="B1750" s="297" t="s">
        <v>12590</v>
      </c>
      <c r="C1750" s="617">
        <v>1</v>
      </c>
      <c r="D1750" s="618" t="s">
        <v>9987</v>
      </c>
      <c r="E1750" s="619">
        <v>0</v>
      </c>
      <c r="F1750" s="154">
        <v>71.64</v>
      </c>
      <c r="G1750" s="154" t="s">
        <v>12558</v>
      </c>
      <c r="H1750" s="620">
        <v>63</v>
      </c>
      <c r="I1750" s="154" t="s">
        <v>6253</v>
      </c>
      <c r="J1750" s="621" t="s">
        <v>12178</v>
      </c>
      <c r="K1750" s="621" t="s">
        <v>6209</v>
      </c>
      <c r="L1750" s="621">
        <v>8</v>
      </c>
      <c r="M1750" s="154">
        <v>0</v>
      </c>
    </row>
    <row r="1751" spans="1:13" ht="11.1" customHeight="1">
      <c r="A1751" s="154" t="s">
        <v>14877</v>
      </c>
      <c r="C1751" s="617">
        <v>1</v>
      </c>
      <c r="D1751" s="618" t="s">
        <v>9917</v>
      </c>
      <c r="E1751" s="619">
        <v>0</v>
      </c>
      <c r="F1751" s="154">
        <v>60.74</v>
      </c>
      <c r="G1751" s="154" t="s">
        <v>8450</v>
      </c>
      <c r="H1751" s="620">
        <v>37</v>
      </c>
      <c r="I1751" s="154" t="s">
        <v>6253</v>
      </c>
      <c r="J1751" s="621" t="s">
        <v>12007</v>
      </c>
      <c r="K1751" s="621" t="s">
        <v>6036</v>
      </c>
      <c r="L1751" s="621">
        <v>0</v>
      </c>
      <c r="M1751" s="154" t="s">
        <v>6154</v>
      </c>
    </row>
    <row r="1752" spans="1:13" ht="11.1" customHeight="1">
      <c r="A1752" s="154" t="s">
        <v>14878</v>
      </c>
      <c r="C1752" s="617">
        <v>1</v>
      </c>
      <c r="D1752" s="618" t="s">
        <v>9937</v>
      </c>
      <c r="E1752" s="619">
        <v>0</v>
      </c>
      <c r="F1752" s="154">
        <v>57.2</v>
      </c>
      <c r="G1752" s="154" t="s">
        <v>12526</v>
      </c>
      <c r="H1752" s="620">
        <v>42</v>
      </c>
      <c r="I1752" s="154" t="s">
        <v>6253</v>
      </c>
      <c r="J1752" s="621" t="s">
        <v>12007</v>
      </c>
      <c r="K1752" s="621" t="s">
        <v>6036</v>
      </c>
      <c r="L1752" s="621">
        <v>0</v>
      </c>
      <c r="M1752" s="154">
        <v>0</v>
      </c>
    </row>
    <row r="1753" spans="1:13" ht="11.1" customHeight="1">
      <c r="A1753" s="154" t="s">
        <v>14879</v>
      </c>
      <c r="C1753" s="617">
        <v>1</v>
      </c>
      <c r="D1753" s="618" t="s">
        <v>9887</v>
      </c>
      <c r="E1753" s="619">
        <v>0</v>
      </c>
      <c r="F1753" s="154">
        <v>56.9</v>
      </c>
      <c r="G1753" s="154" t="s">
        <v>12583</v>
      </c>
      <c r="H1753" s="620">
        <v>41</v>
      </c>
      <c r="I1753" s="154" t="s">
        <v>6253</v>
      </c>
      <c r="J1753" s="621" t="s">
        <v>12007</v>
      </c>
      <c r="K1753" s="621" t="s">
        <v>6036</v>
      </c>
      <c r="L1753" s="621">
        <v>0</v>
      </c>
      <c r="M1753" s="154" t="s">
        <v>6254</v>
      </c>
    </row>
    <row r="1754" spans="1:13" ht="11.1" customHeight="1">
      <c r="A1754" s="154" t="s">
        <v>14880</v>
      </c>
      <c r="C1754" s="617">
        <v>1</v>
      </c>
      <c r="D1754" s="618" t="s">
        <v>9883</v>
      </c>
      <c r="E1754" s="619">
        <v>0</v>
      </c>
      <c r="F1754" s="154">
        <v>46.65</v>
      </c>
      <c r="G1754" s="154" t="s">
        <v>12579</v>
      </c>
      <c r="H1754" s="620">
        <v>45</v>
      </c>
      <c r="I1754" s="154" t="s">
        <v>6253</v>
      </c>
      <c r="J1754" s="621" t="s">
        <v>12000</v>
      </c>
      <c r="K1754" s="621" t="s">
        <v>6036</v>
      </c>
      <c r="L1754" s="621">
        <v>0</v>
      </c>
      <c r="M1754" s="154" t="s">
        <v>6254</v>
      </c>
    </row>
    <row r="1755" spans="1:13" ht="11.1" customHeight="1">
      <c r="A1755" s="154" t="s">
        <v>14881</v>
      </c>
      <c r="C1755" s="617">
        <v>1</v>
      </c>
      <c r="D1755" s="618" t="s">
        <v>14867</v>
      </c>
      <c r="E1755" s="619">
        <v>0</v>
      </c>
      <c r="F1755" s="154">
        <v>39.83</v>
      </c>
      <c r="G1755" s="154" t="s">
        <v>14006</v>
      </c>
      <c r="H1755" s="620">
        <v>45</v>
      </c>
      <c r="I1755" s="154" t="s">
        <v>6253</v>
      </c>
      <c r="J1755" s="621" t="s">
        <v>12007</v>
      </c>
      <c r="K1755" s="621" t="s">
        <v>6036</v>
      </c>
      <c r="L1755" s="621">
        <v>0</v>
      </c>
      <c r="M1755" s="154">
        <v>0</v>
      </c>
    </row>
    <row r="1756" spans="1:13" ht="11.1" customHeight="1">
      <c r="A1756" s="154" t="s">
        <v>14882</v>
      </c>
      <c r="C1756" s="617">
        <v>1</v>
      </c>
      <c r="D1756" s="618" t="s">
        <v>9983</v>
      </c>
      <c r="E1756" s="619">
        <v>0</v>
      </c>
      <c r="F1756" s="154">
        <v>35.630000000000003</v>
      </c>
      <c r="G1756" s="154" t="s">
        <v>13917</v>
      </c>
      <c r="H1756" s="620">
        <v>34</v>
      </c>
      <c r="I1756" s="154" t="s">
        <v>6253</v>
      </c>
      <c r="J1756" s="621" t="s">
        <v>12007</v>
      </c>
      <c r="K1756" s="621" t="s">
        <v>6036</v>
      </c>
      <c r="L1756" s="621">
        <v>0</v>
      </c>
      <c r="M1756" s="154" t="s">
        <v>6154</v>
      </c>
    </row>
    <row r="1757" spans="1:13" ht="11.1" customHeight="1">
      <c r="A1757" s="154" t="s">
        <v>14883</v>
      </c>
      <c r="C1757" s="617">
        <v>1</v>
      </c>
      <c r="D1757" s="618" t="s">
        <v>9919</v>
      </c>
      <c r="E1757" s="619">
        <v>0</v>
      </c>
      <c r="F1757" s="154">
        <v>33.409999999999997</v>
      </c>
      <c r="G1757" s="154" t="s">
        <v>13987</v>
      </c>
      <c r="H1757" s="620">
        <v>51</v>
      </c>
      <c r="I1757" s="154" t="s">
        <v>6253</v>
      </c>
      <c r="J1757" s="621" t="s">
        <v>12007</v>
      </c>
      <c r="K1757" s="621" t="s">
        <v>6036</v>
      </c>
      <c r="L1757" s="621">
        <v>0</v>
      </c>
      <c r="M1757" s="154">
        <v>0</v>
      </c>
    </row>
    <row r="1758" spans="1:13" ht="11.1" customHeight="1">
      <c r="A1758" s="154" t="s">
        <v>14884</v>
      </c>
      <c r="C1758" s="617">
        <v>1</v>
      </c>
      <c r="D1758" s="618" t="s">
        <v>9913</v>
      </c>
      <c r="E1758" s="619">
        <v>0</v>
      </c>
      <c r="F1758" s="154">
        <v>33.1</v>
      </c>
      <c r="G1758" s="154" t="s">
        <v>13951</v>
      </c>
      <c r="H1758" s="620">
        <v>51</v>
      </c>
      <c r="I1758" s="154" t="s">
        <v>6253</v>
      </c>
      <c r="J1758" s="621" t="s">
        <v>12007</v>
      </c>
      <c r="K1758" s="621" t="s">
        <v>6036</v>
      </c>
      <c r="L1758" s="621">
        <v>0</v>
      </c>
      <c r="M1758" s="154">
        <v>0</v>
      </c>
    </row>
    <row r="1759" spans="1:13" ht="11.1" customHeight="1">
      <c r="A1759" s="154" t="s">
        <v>14885</v>
      </c>
      <c r="C1759" s="617">
        <v>24</v>
      </c>
      <c r="D1759" s="618" t="s">
        <v>8608</v>
      </c>
      <c r="E1759" s="619">
        <v>0</v>
      </c>
      <c r="F1759" s="154" t="s">
        <v>6262</v>
      </c>
      <c r="G1759" s="154" t="s">
        <v>14886</v>
      </c>
      <c r="H1759" s="620">
        <v>58</v>
      </c>
      <c r="I1759" s="154" t="s">
        <v>6253</v>
      </c>
      <c r="J1759" s="621" t="s">
        <v>12007</v>
      </c>
      <c r="K1759" s="621" t="s">
        <v>6036</v>
      </c>
      <c r="L1759" s="621">
        <v>0</v>
      </c>
      <c r="M1759" s="154">
        <v>0</v>
      </c>
    </row>
    <row r="1760" spans="1:13" ht="11.1" customHeight="1">
      <c r="A1760" s="154" t="s">
        <v>14887</v>
      </c>
      <c r="C1760" s="617">
        <v>25</v>
      </c>
      <c r="D1760" s="618" t="s">
        <v>8608</v>
      </c>
      <c r="E1760" s="619">
        <v>0</v>
      </c>
      <c r="F1760" s="154" t="s">
        <v>6262</v>
      </c>
      <c r="G1760" s="154" t="s">
        <v>14888</v>
      </c>
      <c r="H1760" s="620">
        <v>45</v>
      </c>
      <c r="I1760" s="154" t="s">
        <v>6253</v>
      </c>
      <c r="J1760" s="621" t="s">
        <v>12007</v>
      </c>
      <c r="K1760" s="621" t="s">
        <v>6036</v>
      </c>
      <c r="L1760" s="621">
        <v>0</v>
      </c>
      <c r="M1760" s="154">
        <v>0</v>
      </c>
    </row>
    <row r="1761" spans="1:16" ht="11.1" customHeight="1">
      <c r="A1761" s="154" t="s">
        <v>14889</v>
      </c>
      <c r="B1761" s="297" t="s">
        <v>14048</v>
      </c>
      <c r="C1761" s="617">
        <v>1</v>
      </c>
      <c r="D1761" s="618" t="s">
        <v>9895</v>
      </c>
      <c r="E1761" s="619">
        <v>0</v>
      </c>
      <c r="F1761" s="154" t="s">
        <v>6251</v>
      </c>
      <c r="G1761" s="154" t="s">
        <v>12510</v>
      </c>
      <c r="H1761" s="620">
        <v>52</v>
      </c>
      <c r="I1761" s="154" t="s">
        <v>6253</v>
      </c>
      <c r="J1761" s="621" t="s">
        <v>11989</v>
      </c>
      <c r="K1761" s="621" t="s">
        <v>6209</v>
      </c>
      <c r="L1761" s="621">
        <v>4</v>
      </c>
      <c r="M1761" s="154" t="s">
        <v>6254</v>
      </c>
    </row>
    <row r="1762" spans="1:16" ht="11.1" customHeight="1">
      <c r="A1762" s="154" t="s">
        <v>14890</v>
      </c>
      <c r="B1762" s="297" t="s">
        <v>14048</v>
      </c>
      <c r="C1762" s="617">
        <v>1</v>
      </c>
      <c r="D1762" s="618" t="s">
        <v>9901</v>
      </c>
      <c r="E1762" s="619">
        <v>0</v>
      </c>
      <c r="F1762" s="154" t="s">
        <v>6251</v>
      </c>
      <c r="G1762" s="154" t="s">
        <v>13866</v>
      </c>
      <c r="H1762" s="620">
        <v>45</v>
      </c>
      <c r="I1762" s="154" t="s">
        <v>6253</v>
      </c>
      <c r="J1762" s="621" t="s">
        <v>12020</v>
      </c>
      <c r="K1762" s="621" t="s">
        <v>6036</v>
      </c>
      <c r="L1762" s="621">
        <v>0</v>
      </c>
      <c r="M1762" s="154">
        <v>0</v>
      </c>
    </row>
    <row r="1763" spans="1:16" ht="11.1" customHeight="1">
      <c r="A1763" s="154" t="s">
        <v>14891</v>
      </c>
      <c r="B1763" s="297" t="s">
        <v>14048</v>
      </c>
      <c r="C1763" s="617">
        <v>1</v>
      </c>
      <c r="D1763" s="618" t="s">
        <v>9891</v>
      </c>
      <c r="E1763" s="619">
        <v>0</v>
      </c>
      <c r="F1763" s="154" t="s">
        <v>6251</v>
      </c>
      <c r="G1763" s="154" t="s">
        <v>8322</v>
      </c>
      <c r="H1763" s="620">
        <v>54</v>
      </c>
      <c r="I1763" s="154" t="s">
        <v>6253</v>
      </c>
      <c r="J1763" s="621" t="s">
        <v>11989</v>
      </c>
      <c r="K1763" s="621" t="s">
        <v>6036</v>
      </c>
      <c r="L1763" s="621">
        <v>0</v>
      </c>
      <c r="M1763" s="154">
        <v>0</v>
      </c>
    </row>
    <row r="1764" spans="1:16" ht="11.1" customHeight="1">
      <c r="A1764" s="154" t="s">
        <v>14892</v>
      </c>
      <c r="B1764" s="297" t="s">
        <v>14048</v>
      </c>
      <c r="C1764" s="617">
        <v>1</v>
      </c>
      <c r="D1764" s="618" t="s">
        <v>9909</v>
      </c>
      <c r="E1764" s="619">
        <v>0</v>
      </c>
      <c r="F1764" s="154" t="s">
        <v>6251</v>
      </c>
      <c r="G1764" s="154" t="s">
        <v>8344</v>
      </c>
      <c r="H1764" s="620">
        <v>56</v>
      </c>
      <c r="I1764" s="154" t="s">
        <v>6253</v>
      </c>
      <c r="J1764" s="621" t="s">
        <v>11994</v>
      </c>
      <c r="K1764" s="621" t="s">
        <v>6283</v>
      </c>
      <c r="L1764" s="621">
        <v>4</v>
      </c>
      <c r="M1764" s="154">
        <v>0</v>
      </c>
    </row>
    <row r="1765" spans="1:16" ht="11.1" customHeight="1">
      <c r="A1765" s="154" t="s">
        <v>14893</v>
      </c>
      <c r="B1765" s="297" t="s">
        <v>14048</v>
      </c>
      <c r="C1765" s="617">
        <v>1</v>
      </c>
      <c r="D1765" s="618" t="s">
        <v>9873</v>
      </c>
      <c r="E1765" s="619">
        <v>0</v>
      </c>
      <c r="F1765" s="154" t="s">
        <v>6251</v>
      </c>
      <c r="G1765" s="154" t="s">
        <v>12528</v>
      </c>
      <c r="H1765" s="620">
        <v>50</v>
      </c>
      <c r="I1765" s="154" t="s">
        <v>6253</v>
      </c>
      <c r="J1765" s="621" t="s">
        <v>12397</v>
      </c>
      <c r="K1765" s="621" t="s">
        <v>6209</v>
      </c>
      <c r="L1765" s="621">
        <v>4</v>
      </c>
      <c r="M1765" s="154">
        <v>0</v>
      </c>
    </row>
    <row r="1766" spans="1:16" ht="11.1" customHeight="1">
      <c r="A1766" s="154" t="s">
        <v>14894</v>
      </c>
      <c r="B1766" s="297" t="s">
        <v>14048</v>
      </c>
      <c r="C1766" s="617">
        <v>1</v>
      </c>
      <c r="D1766" s="618" t="s">
        <v>9889</v>
      </c>
      <c r="E1766" s="619">
        <v>0</v>
      </c>
      <c r="F1766" s="154" t="s">
        <v>6251</v>
      </c>
      <c r="G1766" s="154" t="s">
        <v>8382</v>
      </c>
      <c r="H1766" s="620">
        <v>44</v>
      </c>
      <c r="I1766" s="154" t="s">
        <v>6253</v>
      </c>
      <c r="J1766" s="621" t="s">
        <v>11994</v>
      </c>
      <c r="K1766" s="621" t="s">
        <v>6209</v>
      </c>
      <c r="L1766" s="621">
        <v>2</v>
      </c>
      <c r="M1766" s="154">
        <v>0</v>
      </c>
    </row>
    <row r="1767" spans="1:16" ht="11.1" customHeight="1">
      <c r="A1767" s="154" t="s">
        <v>14895</v>
      </c>
      <c r="B1767" s="297" t="s">
        <v>14048</v>
      </c>
      <c r="C1767" s="617">
        <v>1</v>
      </c>
      <c r="D1767" s="618" t="s">
        <v>9899</v>
      </c>
      <c r="E1767" s="619">
        <v>0</v>
      </c>
      <c r="F1767" s="154" t="s">
        <v>6251</v>
      </c>
      <c r="G1767" s="154" t="s">
        <v>13921</v>
      </c>
      <c r="H1767" s="620">
        <v>57</v>
      </c>
      <c r="I1767" s="154" t="s">
        <v>6253</v>
      </c>
      <c r="J1767" s="621" t="s">
        <v>12178</v>
      </c>
      <c r="K1767" s="621" t="s">
        <v>6209</v>
      </c>
      <c r="L1767" s="621">
        <v>4</v>
      </c>
      <c r="M1767" s="154" t="s">
        <v>6254</v>
      </c>
    </row>
    <row r="1768" spans="1:16" ht="11.1" customHeight="1">
      <c r="A1768" s="154" t="s">
        <v>14896</v>
      </c>
      <c r="B1768" s="297" t="s">
        <v>14048</v>
      </c>
      <c r="C1768" s="617">
        <v>1</v>
      </c>
      <c r="D1768" s="618" t="s">
        <v>9897</v>
      </c>
      <c r="E1768" s="619">
        <v>0</v>
      </c>
      <c r="F1768" s="154" t="s">
        <v>6251</v>
      </c>
      <c r="G1768" s="154" t="s">
        <v>8434</v>
      </c>
      <c r="H1768" s="620">
        <v>43</v>
      </c>
      <c r="I1768" s="154" t="s">
        <v>6253</v>
      </c>
      <c r="J1768" s="621" t="s">
        <v>11994</v>
      </c>
      <c r="K1768" s="621" t="s">
        <v>6209</v>
      </c>
      <c r="L1768" s="621">
        <v>1</v>
      </c>
      <c r="M1768" s="154">
        <v>0</v>
      </c>
    </row>
    <row r="1769" spans="1:16" ht="11.1" customHeight="1">
      <c r="A1769" s="154" t="s">
        <v>14897</v>
      </c>
      <c r="B1769" s="297" t="s">
        <v>12590</v>
      </c>
      <c r="C1769" s="617">
        <v>1</v>
      </c>
      <c r="D1769" s="618" t="s">
        <v>8608</v>
      </c>
      <c r="E1769" s="619">
        <v>0</v>
      </c>
      <c r="F1769" s="154" t="s">
        <v>6262</v>
      </c>
      <c r="G1769" s="154" t="s">
        <v>9964</v>
      </c>
      <c r="H1769" s="620">
        <v>60</v>
      </c>
      <c r="I1769" s="154" t="s">
        <v>6929</v>
      </c>
      <c r="J1769" s="621">
        <v>0</v>
      </c>
      <c r="K1769" s="621" t="s">
        <v>6209</v>
      </c>
      <c r="L1769" s="621">
        <v>6</v>
      </c>
      <c r="M1769" s="154">
        <v>0</v>
      </c>
      <c r="N1769" s="298">
        <v>3</v>
      </c>
      <c r="O1769" s="298">
        <v>1176391</v>
      </c>
      <c r="P1769" s="298">
        <v>16.945890424475905</v>
      </c>
    </row>
    <row r="1770" spans="1:16" ht="11.1" customHeight="1">
      <c r="A1770" s="154" t="s">
        <v>14898</v>
      </c>
      <c r="B1770" s="297" t="s">
        <v>12590</v>
      </c>
      <c r="C1770" s="617">
        <v>2</v>
      </c>
      <c r="D1770" s="618" t="s">
        <v>8608</v>
      </c>
      <c r="E1770" s="619">
        <v>0</v>
      </c>
      <c r="F1770" s="154" t="s">
        <v>6262</v>
      </c>
      <c r="G1770" s="154" t="s">
        <v>14899</v>
      </c>
      <c r="H1770" s="620">
        <v>57</v>
      </c>
      <c r="I1770" s="154" t="s">
        <v>6929</v>
      </c>
      <c r="J1770" s="621">
        <v>0</v>
      </c>
      <c r="K1770" s="621" t="s">
        <v>6209</v>
      </c>
      <c r="L1770" s="621">
        <v>4</v>
      </c>
      <c r="M1770" s="154">
        <v>0</v>
      </c>
    </row>
    <row r="1771" spans="1:16" ht="11.1" customHeight="1">
      <c r="A1771" s="154" t="s">
        <v>14900</v>
      </c>
      <c r="B1771" s="297" t="s">
        <v>12590</v>
      </c>
      <c r="C1771" s="617">
        <v>3</v>
      </c>
      <c r="D1771" s="618" t="s">
        <v>8608</v>
      </c>
      <c r="E1771" s="619">
        <v>0</v>
      </c>
      <c r="F1771" s="154" t="s">
        <v>6262</v>
      </c>
      <c r="G1771" s="154" t="s">
        <v>9968</v>
      </c>
      <c r="H1771" s="620">
        <v>47</v>
      </c>
      <c r="I1771" s="154" t="s">
        <v>6929</v>
      </c>
      <c r="J1771" s="621">
        <v>0</v>
      </c>
      <c r="K1771" s="621" t="s">
        <v>6209</v>
      </c>
      <c r="L1771" s="621">
        <v>1</v>
      </c>
      <c r="M1771" s="154">
        <v>0</v>
      </c>
    </row>
    <row r="1772" spans="1:16" ht="11.1" customHeight="1">
      <c r="A1772" s="154" t="s">
        <v>14901</v>
      </c>
      <c r="C1772" s="617">
        <v>4</v>
      </c>
      <c r="D1772" s="618" t="s">
        <v>8608</v>
      </c>
      <c r="E1772" s="619">
        <v>0</v>
      </c>
      <c r="F1772" s="154" t="s">
        <v>6262</v>
      </c>
      <c r="G1772" s="154" t="s">
        <v>14902</v>
      </c>
      <c r="H1772" s="620">
        <v>38</v>
      </c>
      <c r="I1772" s="154" t="s">
        <v>6929</v>
      </c>
      <c r="J1772" s="621">
        <v>0</v>
      </c>
      <c r="K1772" s="621" t="s">
        <v>6036</v>
      </c>
      <c r="L1772" s="621">
        <v>0</v>
      </c>
      <c r="M1772" s="154">
        <v>0</v>
      </c>
    </row>
    <row r="1773" spans="1:16" ht="11.1" customHeight="1">
      <c r="A1773" s="154" t="s">
        <v>14903</v>
      </c>
      <c r="C1773" s="617">
        <v>5</v>
      </c>
      <c r="D1773" s="618" t="s">
        <v>8608</v>
      </c>
      <c r="E1773" s="619">
        <v>0</v>
      </c>
      <c r="F1773" s="154" t="s">
        <v>6262</v>
      </c>
      <c r="G1773" s="154" t="s">
        <v>14904</v>
      </c>
      <c r="H1773" s="620">
        <v>40</v>
      </c>
      <c r="I1773" s="154" t="s">
        <v>6929</v>
      </c>
      <c r="J1773" s="621">
        <v>0</v>
      </c>
      <c r="K1773" s="621" t="s">
        <v>6036</v>
      </c>
      <c r="L1773" s="621">
        <v>0</v>
      </c>
      <c r="M1773" s="154">
        <v>0</v>
      </c>
    </row>
    <row r="1774" spans="1:16" ht="11.1" customHeight="1">
      <c r="A1774" s="154" t="s">
        <v>14905</v>
      </c>
      <c r="B1774" s="297" t="s">
        <v>12590</v>
      </c>
      <c r="C1774" s="617">
        <v>1</v>
      </c>
      <c r="D1774" s="618" t="s">
        <v>9883</v>
      </c>
      <c r="E1774" s="619">
        <v>0</v>
      </c>
      <c r="F1774" s="154">
        <v>33.479999999999997</v>
      </c>
      <c r="G1774" s="154" t="s">
        <v>9976</v>
      </c>
      <c r="H1774" s="620">
        <v>55</v>
      </c>
      <c r="I1774" s="154" t="s">
        <v>6264</v>
      </c>
      <c r="J1774" s="621">
        <v>0</v>
      </c>
      <c r="K1774" s="621" t="s">
        <v>6209</v>
      </c>
      <c r="L1774" s="621">
        <v>1</v>
      </c>
      <c r="M1774" s="154">
        <v>0</v>
      </c>
      <c r="N1774" s="298">
        <v>1</v>
      </c>
      <c r="O1774" s="298">
        <v>434099</v>
      </c>
      <c r="P1774" s="298">
        <v>6.2531880024367466</v>
      </c>
    </row>
    <row r="1775" spans="1:16" ht="11.1" customHeight="1">
      <c r="A1775" s="154" t="s">
        <v>14906</v>
      </c>
      <c r="C1775" s="617">
        <v>2</v>
      </c>
      <c r="D1775" s="618" t="s">
        <v>9879</v>
      </c>
      <c r="E1775" s="619">
        <v>0</v>
      </c>
      <c r="F1775" s="154">
        <v>34.549999999999997</v>
      </c>
      <c r="G1775" s="154" t="s">
        <v>13900</v>
      </c>
      <c r="H1775" s="620">
        <v>40</v>
      </c>
      <c r="I1775" s="154" t="s">
        <v>6264</v>
      </c>
      <c r="J1775" s="621">
        <v>0</v>
      </c>
      <c r="K1775" s="621" t="s">
        <v>6036</v>
      </c>
      <c r="L1775" s="621">
        <v>0</v>
      </c>
      <c r="M1775" s="154">
        <v>0</v>
      </c>
    </row>
    <row r="1776" spans="1:16" ht="11.1" customHeight="1">
      <c r="A1776" s="154" t="s">
        <v>14907</v>
      </c>
      <c r="C1776" s="617">
        <v>3</v>
      </c>
      <c r="D1776" s="618" t="s">
        <v>8608</v>
      </c>
      <c r="E1776" s="619">
        <v>0</v>
      </c>
      <c r="F1776" s="154" t="s">
        <v>6262</v>
      </c>
      <c r="G1776" s="154" t="s">
        <v>14908</v>
      </c>
      <c r="H1776" s="620">
        <v>56</v>
      </c>
      <c r="I1776" s="154" t="s">
        <v>6264</v>
      </c>
      <c r="J1776" s="621">
        <v>0</v>
      </c>
      <c r="K1776" s="621" t="s">
        <v>6036</v>
      </c>
      <c r="L1776" s="621">
        <v>0</v>
      </c>
      <c r="M1776" s="154">
        <v>0</v>
      </c>
    </row>
    <row r="1777" spans="1:16" ht="11.1" customHeight="1">
      <c r="A1777" s="154" t="s">
        <v>14909</v>
      </c>
      <c r="C1777" s="617">
        <v>4</v>
      </c>
      <c r="D1777" s="618" t="s">
        <v>8608</v>
      </c>
      <c r="E1777" s="619">
        <v>0</v>
      </c>
      <c r="F1777" s="154" t="s">
        <v>6262</v>
      </c>
      <c r="G1777" s="154" t="s">
        <v>14910</v>
      </c>
      <c r="H1777" s="620">
        <v>60</v>
      </c>
      <c r="I1777" s="154" t="s">
        <v>6264</v>
      </c>
      <c r="J1777" s="621">
        <v>0</v>
      </c>
      <c r="K1777" s="621" t="s">
        <v>6036</v>
      </c>
      <c r="L1777" s="621">
        <v>0</v>
      </c>
      <c r="M1777" s="154">
        <v>0</v>
      </c>
    </row>
    <row r="1778" spans="1:16" ht="11.1" customHeight="1">
      <c r="A1778" s="154" t="s">
        <v>14911</v>
      </c>
      <c r="B1778" s="297" t="s">
        <v>12590</v>
      </c>
      <c r="C1778" s="617">
        <v>1</v>
      </c>
      <c r="D1778" s="618" t="s">
        <v>9907</v>
      </c>
      <c r="E1778" s="619">
        <v>0</v>
      </c>
      <c r="F1778" s="154">
        <v>93.58</v>
      </c>
      <c r="G1778" s="154" t="s">
        <v>12581</v>
      </c>
      <c r="H1778" s="620">
        <v>60</v>
      </c>
      <c r="I1778" s="154" t="s">
        <v>6278</v>
      </c>
      <c r="J1778" s="621">
        <v>0</v>
      </c>
      <c r="K1778" s="621" t="s">
        <v>6209</v>
      </c>
      <c r="L1778" s="621">
        <v>1</v>
      </c>
      <c r="M1778" s="154" t="s">
        <v>6481</v>
      </c>
      <c r="N1778" s="298">
        <v>2</v>
      </c>
      <c r="O1778" s="298">
        <v>613875</v>
      </c>
      <c r="P1778" s="298">
        <v>8.8428579310154092</v>
      </c>
    </row>
    <row r="1779" spans="1:16" ht="11.1" customHeight="1">
      <c r="A1779" s="154" t="s">
        <v>14912</v>
      </c>
      <c r="B1779" s="297" t="s">
        <v>12590</v>
      </c>
      <c r="C1779" s="617">
        <v>1</v>
      </c>
      <c r="D1779" s="618" t="s">
        <v>9869</v>
      </c>
      <c r="E1779" s="619">
        <v>0</v>
      </c>
      <c r="F1779" s="154">
        <v>89.81</v>
      </c>
      <c r="G1779" s="154" t="s">
        <v>8485</v>
      </c>
      <c r="H1779" s="620">
        <v>60</v>
      </c>
      <c r="I1779" s="154" t="s">
        <v>6278</v>
      </c>
      <c r="J1779" s="621">
        <v>0</v>
      </c>
      <c r="K1779" s="621" t="s">
        <v>6209</v>
      </c>
      <c r="L1779" s="621">
        <v>3</v>
      </c>
      <c r="M1779" s="154" t="s">
        <v>6481</v>
      </c>
    </row>
    <row r="1780" spans="1:16" ht="11.1" customHeight="1">
      <c r="A1780" s="154" t="s">
        <v>14913</v>
      </c>
      <c r="C1780" s="617">
        <v>1</v>
      </c>
      <c r="D1780" s="618" t="s">
        <v>9865</v>
      </c>
      <c r="E1780" s="619">
        <v>0</v>
      </c>
      <c r="F1780" s="154">
        <v>69.400000000000006</v>
      </c>
      <c r="G1780" s="154" t="s">
        <v>8479</v>
      </c>
      <c r="H1780" s="620">
        <v>61</v>
      </c>
      <c r="I1780" s="154" t="s">
        <v>6278</v>
      </c>
      <c r="J1780" s="621">
        <v>0</v>
      </c>
      <c r="K1780" s="621" t="s">
        <v>6209</v>
      </c>
      <c r="L1780" s="621">
        <v>1</v>
      </c>
      <c r="M1780" s="154" t="s">
        <v>6481</v>
      </c>
    </row>
    <row r="1781" spans="1:16" ht="11.1" customHeight="1">
      <c r="A1781" s="154" t="s">
        <v>14914</v>
      </c>
      <c r="C1781" s="617">
        <v>1</v>
      </c>
      <c r="D1781" s="618" t="s">
        <v>14915</v>
      </c>
      <c r="E1781" s="619">
        <v>0</v>
      </c>
      <c r="F1781" s="154">
        <v>56.35</v>
      </c>
      <c r="G1781" s="154" t="s">
        <v>12570</v>
      </c>
      <c r="H1781" s="620">
        <v>53</v>
      </c>
      <c r="I1781" s="154" t="s">
        <v>6278</v>
      </c>
      <c r="J1781" s="621">
        <v>0</v>
      </c>
      <c r="K1781" s="621" t="s">
        <v>6283</v>
      </c>
      <c r="L1781" s="621">
        <v>2</v>
      </c>
      <c r="M1781" s="154" t="s">
        <v>6481</v>
      </c>
    </row>
    <row r="1782" spans="1:16" ht="11.1" customHeight="1">
      <c r="A1782" s="154" t="s">
        <v>14916</v>
      </c>
      <c r="C1782" s="617">
        <v>1</v>
      </c>
      <c r="D1782" s="618" t="s">
        <v>9867</v>
      </c>
      <c r="E1782" s="619">
        <v>0</v>
      </c>
      <c r="F1782" s="154">
        <v>53.15</v>
      </c>
      <c r="G1782" s="154" t="s">
        <v>12544</v>
      </c>
      <c r="H1782" s="620">
        <v>56</v>
      </c>
      <c r="I1782" s="154" t="s">
        <v>6278</v>
      </c>
      <c r="J1782" s="621">
        <v>0</v>
      </c>
      <c r="K1782" s="621" t="s">
        <v>6209</v>
      </c>
      <c r="L1782" s="621">
        <v>1</v>
      </c>
      <c r="M1782" s="154" t="s">
        <v>6481</v>
      </c>
    </row>
    <row r="1783" spans="1:16" ht="11.1" customHeight="1">
      <c r="A1783" s="154" t="s">
        <v>14917</v>
      </c>
      <c r="C1783" s="617">
        <v>1</v>
      </c>
      <c r="D1783" s="618" t="s">
        <v>9911</v>
      </c>
      <c r="E1783" s="619">
        <v>0</v>
      </c>
      <c r="F1783" s="154">
        <v>45.12</v>
      </c>
      <c r="G1783" s="154" t="s">
        <v>13904</v>
      </c>
      <c r="H1783" s="620">
        <v>61</v>
      </c>
      <c r="I1783" s="154" t="s">
        <v>6278</v>
      </c>
      <c r="J1783" s="621">
        <v>0</v>
      </c>
      <c r="K1783" s="621" t="s">
        <v>6036</v>
      </c>
      <c r="L1783" s="621">
        <v>0</v>
      </c>
      <c r="M1783" s="154" t="s">
        <v>6481</v>
      </c>
    </row>
    <row r="1784" spans="1:16" ht="11.1" customHeight="1">
      <c r="A1784" s="154" t="s">
        <v>14918</v>
      </c>
      <c r="C1784" s="617">
        <v>1</v>
      </c>
      <c r="D1784" s="618" t="s">
        <v>9932</v>
      </c>
      <c r="E1784" s="619">
        <v>0</v>
      </c>
      <c r="F1784" s="154">
        <v>41.11</v>
      </c>
      <c r="G1784" s="154" t="s">
        <v>13887</v>
      </c>
      <c r="H1784" s="620">
        <v>52</v>
      </c>
      <c r="I1784" s="154" t="s">
        <v>6278</v>
      </c>
      <c r="J1784" s="621">
        <v>0</v>
      </c>
      <c r="K1784" s="621" t="s">
        <v>6036</v>
      </c>
      <c r="L1784" s="621">
        <v>0</v>
      </c>
      <c r="M1784" s="154" t="s">
        <v>13888</v>
      </c>
    </row>
    <row r="1785" spans="1:16" ht="11.1" customHeight="1">
      <c r="A1785" s="154" t="s">
        <v>14919</v>
      </c>
      <c r="C1785" s="617">
        <v>1</v>
      </c>
      <c r="D1785" s="618" t="s">
        <v>9877</v>
      </c>
      <c r="E1785" s="619">
        <v>0</v>
      </c>
      <c r="F1785" s="154">
        <v>40.07</v>
      </c>
      <c r="G1785" s="154" t="s">
        <v>13927</v>
      </c>
      <c r="H1785" s="620">
        <v>65</v>
      </c>
      <c r="I1785" s="154" t="s">
        <v>6278</v>
      </c>
      <c r="J1785" s="621">
        <v>0</v>
      </c>
      <c r="K1785" s="621" t="s">
        <v>6036</v>
      </c>
      <c r="L1785" s="621">
        <v>0</v>
      </c>
      <c r="M1785" s="154" t="s">
        <v>6481</v>
      </c>
    </row>
    <row r="1786" spans="1:16" ht="11.1" customHeight="1">
      <c r="A1786" s="154" t="s">
        <v>14920</v>
      </c>
      <c r="C1786" s="617">
        <v>1</v>
      </c>
      <c r="D1786" s="618" t="s">
        <v>9915</v>
      </c>
      <c r="E1786" s="619">
        <v>0</v>
      </c>
      <c r="F1786" s="154">
        <v>26.91</v>
      </c>
      <c r="G1786" s="154" t="s">
        <v>13956</v>
      </c>
      <c r="H1786" s="620">
        <v>65</v>
      </c>
      <c r="I1786" s="154" t="s">
        <v>6278</v>
      </c>
      <c r="J1786" s="621">
        <v>0</v>
      </c>
      <c r="K1786" s="621" t="s">
        <v>6036</v>
      </c>
      <c r="L1786" s="621">
        <v>0</v>
      </c>
      <c r="M1786" s="154">
        <v>0</v>
      </c>
    </row>
    <row r="1787" spans="1:16" ht="11.1" customHeight="1">
      <c r="A1787" s="154" t="s">
        <v>14921</v>
      </c>
      <c r="B1787" s="297" t="s">
        <v>6231</v>
      </c>
      <c r="C1787" s="617">
        <v>1</v>
      </c>
      <c r="D1787" s="618" t="s">
        <v>9881</v>
      </c>
      <c r="E1787" s="619">
        <v>0</v>
      </c>
      <c r="F1787" s="154">
        <v>17.53</v>
      </c>
      <c r="G1787" s="154" t="s">
        <v>13879</v>
      </c>
      <c r="H1787" s="620">
        <v>48</v>
      </c>
      <c r="I1787" s="154" t="s">
        <v>6278</v>
      </c>
      <c r="J1787" s="621">
        <v>0</v>
      </c>
      <c r="K1787" s="621" t="s">
        <v>6036</v>
      </c>
      <c r="L1787" s="621">
        <v>0</v>
      </c>
      <c r="M1787" s="154">
        <v>0</v>
      </c>
    </row>
    <row r="1788" spans="1:16" ht="11.1" customHeight="1">
      <c r="A1788" s="154" t="s">
        <v>14922</v>
      </c>
      <c r="B1788" s="297" t="s">
        <v>6231</v>
      </c>
      <c r="C1788" s="617">
        <v>1</v>
      </c>
      <c r="D1788" s="618" t="s">
        <v>9889</v>
      </c>
      <c r="E1788" s="619">
        <v>0</v>
      </c>
      <c r="F1788" s="154">
        <v>11.83</v>
      </c>
      <c r="G1788" s="154" t="s">
        <v>13909</v>
      </c>
      <c r="H1788" s="620">
        <v>61</v>
      </c>
      <c r="I1788" s="154" t="s">
        <v>6278</v>
      </c>
      <c r="J1788" s="621">
        <v>0</v>
      </c>
      <c r="K1788" s="621" t="s">
        <v>6036</v>
      </c>
      <c r="L1788" s="621">
        <v>0</v>
      </c>
      <c r="M1788" s="154">
        <v>0</v>
      </c>
    </row>
    <row r="1789" spans="1:16" ht="11.1" customHeight="1">
      <c r="A1789" s="154" t="s">
        <v>14923</v>
      </c>
      <c r="B1789" s="297" t="s">
        <v>14048</v>
      </c>
      <c r="C1789" s="617">
        <v>1</v>
      </c>
      <c r="D1789" s="618" t="s">
        <v>9903</v>
      </c>
      <c r="E1789" s="619">
        <v>0</v>
      </c>
      <c r="F1789" s="154" t="s">
        <v>6251</v>
      </c>
      <c r="G1789" s="154" t="s">
        <v>8558</v>
      </c>
      <c r="H1789" s="620">
        <v>58</v>
      </c>
      <c r="I1789" s="154" t="s">
        <v>6278</v>
      </c>
      <c r="J1789" s="621">
        <v>0</v>
      </c>
      <c r="K1789" s="621" t="s">
        <v>6036</v>
      </c>
      <c r="L1789" s="621">
        <v>0</v>
      </c>
      <c r="M1789" s="154" t="s">
        <v>6481</v>
      </c>
    </row>
    <row r="1790" spans="1:16" ht="11.1" customHeight="1"/>
    <row r="1791" spans="1:16" ht="11.1" customHeight="1"/>
    <row r="1792" spans="1:16" ht="11.1" customHeight="1"/>
    <row r="1793" spans="6:11" ht="11.1" customHeight="1">
      <c r="F1793" s="154" t="s">
        <v>14049</v>
      </c>
    </row>
    <row r="1794" spans="6:11" ht="11.1" customHeight="1">
      <c r="F1794" s="154" t="s">
        <v>12605</v>
      </c>
      <c r="G1794" s="154">
        <v>69</v>
      </c>
      <c r="H1794" s="620">
        <v>20660185</v>
      </c>
      <c r="K1794" s="621">
        <v>34.956339736507019</v>
      </c>
    </row>
    <row r="1795" spans="6:11" ht="11.1" customHeight="1">
      <c r="F1795" s="154" t="s">
        <v>12607</v>
      </c>
      <c r="G1795" s="154">
        <v>72</v>
      </c>
      <c r="H1795" s="620">
        <v>22095636</v>
      </c>
      <c r="K1795" s="621">
        <v>37.385074659795883</v>
      </c>
    </row>
    <row r="1796" spans="6:11" ht="11.1" customHeight="1">
      <c r="F1796" s="154" t="s">
        <v>12608</v>
      </c>
      <c r="G1796" s="154">
        <v>25</v>
      </c>
      <c r="H1796" s="620">
        <v>8733444</v>
      </c>
      <c r="K1796" s="621">
        <v>14.776694184188516</v>
      </c>
    </row>
    <row r="1797" spans="6:11" ht="11.1" customHeight="1">
      <c r="F1797" s="154" t="s">
        <v>12609</v>
      </c>
      <c r="G1797" s="154">
        <v>9</v>
      </c>
      <c r="H1797" s="620">
        <v>4586172</v>
      </c>
      <c r="J1797" s="621" t="s">
        <v>14050</v>
      </c>
      <c r="K1797" s="621">
        <v>7.7596491281203859</v>
      </c>
    </row>
    <row r="1798" spans="6:11" ht="11.1" customHeight="1">
      <c r="F1798" s="154" t="s">
        <v>12610</v>
      </c>
      <c r="G1798" s="154">
        <v>5</v>
      </c>
      <c r="H1798" s="620">
        <v>3027390</v>
      </c>
      <c r="J1798" s="621">
        <v>0</v>
      </c>
      <c r="K1798" s="621">
        <v>5.1222422913881935</v>
      </c>
    </row>
  </sheetData>
  <mergeCells count="22">
    <mergeCell ref="E1034:G1034"/>
    <mergeCell ref="H1034:I1034"/>
    <mergeCell ref="C1031:G1031"/>
    <mergeCell ref="E1032:G1032"/>
    <mergeCell ref="H1032:I1032"/>
    <mergeCell ref="E1033:G1033"/>
    <mergeCell ref="H1033:I1033"/>
    <mergeCell ref="E1035:G1035"/>
    <mergeCell ref="H1035:I1035"/>
    <mergeCell ref="E1036:G1036"/>
    <mergeCell ref="H1036:I1036"/>
    <mergeCell ref="E1037:G1037"/>
    <mergeCell ref="H1037:I1037"/>
    <mergeCell ref="E1041:G1041"/>
    <mergeCell ref="H1041:I1041"/>
    <mergeCell ref="H1042:I1042"/>
    <mergeCell ref="E1038:G1038"/>
    <mergeCell ref="H1038:I1038"/>
    <mergeCell ref="E1039:G1039"/>
    <mergeCell ref="H1039:I1039"/>
    <mergeCell ref="E1040:G1040"/>
    <mergeCell ref="H1040:I1040"/>
  </mergeCells>
  <phoneticPr fontId="3"/>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O2498"/>
  <sheetViews>
    <sheetView workbookViewId="0">
      <pane xSplit="3" ySplit="1" topLeftCell="D2" activePane="bottomRight" state="frozen"/>
      <selection pane="topRight" activeCell="D1" sqref="D1"/>
      <selection pane="bottomLeft" activeCell="A2" sqref="A2"/>
      <selection pane="bottomRight" sqref="A1:C1"/>
    </sheetView>
  </sheetViews>
  <sheetFormatPr defaultRowHeight="12" customHeight="1"/>
  <cols>
    <col min="1" max="1" width="10.625" customWidth="1"/>
    <col min="2" max="2" width="3.625" customWidth="1"/>
    <col min="3" max="3" width="5.625" customWidth="1"/>
    <col min="4" max="4" width="8.125" customWidth="1"/>
    <col min="5" max="5" width="7.125" customWidth="1"/>
    <col min="6" max="6" width="9.625" customWidth="1"/>
    <col min="7" max="7" width="8.125" customWidth="1"/>
    <col min="8" max="10" width="7.125" customWidth="1"/>
    <col min="11" max="11" width="9.625" customWidth="1"/>
    <col min="12" max="13" width="7.125" customWidth="1"/>
    <col min="14" max="14" width="8.125" customWidth="1"/>
    <col min="15" max="15" width="7.125" customWidth="1"/>
  </cols>
  <sheetData>
    <row r="1" spans="1:15" ht="12" customHeight="1" thickBot="1">
      <c r="A1" s="1544" t="s">
        <v>14924</v>
      </c>
      <c r="B1" s="1545"/>
      <c r="C1" s="1546"/>
      <c r="D1" s="622" t="s">
        <v>14925</v>
      </c>
      <c r="E1" s="623" t="s">
        <v>14926</v>
      </c>
      <c r="F1" s="624" t="s">
        <v>14927</v>
      </c>
      <c r="G1" s="625" t="s">
        <v>14928</v>
      </c>
      <c r="H1" s="626" t="s">
        <v>14929</v>
      </c>
      <c r="I1" s="627" t="s">
        <v>14930</v>
      </c>
      <c r="J1" s="628" t="s">
        <v>14931</v>
      </c>
      <c r="K1" s="624" t="s">
        <v>14932</v>
      </c>
      <c r="L1" s="629" t="s">
        <v>14933</v>
      </c>
      <c r="M1" s="630" t="s">
        <v>6246</v>
      </c>
      <c r="N1" s="631" t="s">
        <v>14934</v>
      </c>
      <c r="O1" s="156" t="s">
        <v>14935</v>
      </c>
    </row>
    <row r="2" spans="1:15" ht="12" customHeight="1">
      <c r="A2" s="1538" t="s">
        <v>14936</v>
      </c>
      <c r="B2" s="1536" t="s">
        <v>14937</v>
      </c>
      <c r="C2" s="632" t="s">
        <v>6218</v>
      </c>
      <c r="D2" s="633">
        <v>72006</v>
      </c>
      <c r="E2" s="633">
        <v>30942</v>
      </c>
      <c r="F2" s="634">
        <f t="shared" ref="F2:F65" si="0">SUM(D2:E2)</f>
        <v>102948</v>
      </c>
      <c r="G2" s="633">
        <v>123980</v>
      </c>
      <c r="H2" s="633">
        <v>12389</v>
      </c>
      <c r="I2" s="633">
        <v>6176</v>
      </c>
      <c r="J2" s="633">
        <v>11823</v>
      </c>
      <c r="K2" s="634">
        <f t="shared" ref="K2:K65" si="1">SUM(G2:J2)</f>
        <v>154368</v>
      </c>
      <c r="L2" s="633">
        <v>23413</v>
      </c>
      <c r="M2" s="633">
        <v>8621</v>
      </c>
      <c r="N2" s="633">
        <v>182197</v>
      </c>
      <c r="O2" s="1537">
        <f>1-N3</f>
        <v>0.6136185788479197</v>
      </c>
    </row>
    <row r="3" spans="1:15" ht="12" customHeight="1">
      <c r="A3" s="1527"/>
      <c r="B3" s="1502"/>
      <c r="C3" s="635" t="s">
        <v>6219</v>
      </c>
      <c r="D3" s="636">
        <f>D2/(D2+E2+G2+H2+I2+J2+L2+M2+N2)</f>
        <v>0.15270163949722934</v>
      </c>
      <c r="E3" s="636">
        <f>E2/(D2+E2+G2+H2+I2+J2+L2+M2+N2)</f>
        <v>6.561806140215079E-2</v>
      </c>
      <c r="F3" s="637">
        <f t="shared" si="0"/>
        <v>0.21831970089938013</v>
      </c>
      <c r="G3" s="636">
        <f>G2/(D2+E2+G2+H2+I2+J2+L2+M2+N2)</f>
        <v>0.26292182963734262</v>
      </c>
      <c r="H3" s="636">
        <f>H2/(D2+E2+G2+H2+I2+J2+L2+M2+N2)</f>
        <v>2.6273096849306645E-2</v>
      </c>
      <c r="I3" s="636">
        <f>I2/(D2+E2+G2+H2+I2+J2+L2+M2+N2)</f>
        <v>1.3097315856107662E-2</v>
      </c>
      <c r="J3" s="636">
        <f>J2/(D2+E2+G2+H2+I2+J2+L2+M2+N2)</f>
        <v>2.5072792319747555E-2</v>
      </c>
      <c r="K3" s="637">
        <f t="shared" si="1"/>
        <v>0.32736503466250449</v>
      </c>
      <c r="L3" s="636">
        <f>L2/(D2+E2+G2+H2+I2+J2+L2+M2+N2)</f>
        <v>4.9651466343757888E-2</v>
      </c>
      <c r="M3" s="636">
        <f>M2/(D2+E2+G2+H2+I2+J2+L2+M2+N2)</f>
        <v>1.8282376942277228E-2</v>
      </c>
      <c r="N3" s="636">
        <f>N2/(D2+E2+G2+H2+I2+J2+L2+M2+N2)</f>
        <v>0.3863814211520803</v>
      </c>
      <c r="O3" s="1503"/>
    </row>
    <row r="4" spans="1:15" ht="12" customHeight="1">
      <c r="A4" s="1527"/>
      <c r="B4" s="1502" t="s">
        <v>14938</v>
      </c>
      <c r="C4" s="638" t="s">
        <v>6218</v>
      </c>
      <c r="D4" s="639">
        <v>105310</v>
      </c>
      <c r="E4" s="639">
        <v>31777</v>
      </c>
      <c r="F4" s="640">
        <f t="shared" si="0"/>
        <v>137087</v>
      </c>
      <c r="G4" s="639">
        <v>109410</v>
      </c>
      <c r="H4" s="639">
        <v>16898</v>
      </c>
      <c r="I4" s="639"/>
      <c r="J4" s="639"/>
      <c r="K4" s="640">
        <f t="shared" si="1"/>
        <v>126308</v>
      </c>
      <c r="L4" s="639">
        <v>23599</v>
      </c>
      <c r="M4" s="639">
        <v>28319</v>
      </c>
      <c r="N4" s="639">
        <v>145506</v>
      </c>
      <c r="O4" s="1503">
        <f>1-N5</f>
        <v>0.68424479025387408</v>
      </c>
    </row>
    <row r="5" spans="1:15" ht="12" customHeight="1">
      <c r="A5" s="1527"/>
      <c r="B5" s="1502"/>
      <c r="C5" s="635" t="s">
        <v>6219</v>
      </c>
      <c r="D5" s="636">
        <f>D4/(D4+E4+G4+H4+I4+J4+L4+M4+N4)</f>
        <v>0.22852790358036454</v>
      </c>
      <c r="E5" s="636">
        <f>E4/(D4+E4+G4+H4+I4+J4+L4+M4+N4)</f>
        <v>6.8957660165921975E-2</v>
      </c>
      <c r="F5" s="637">
        <f t="shared" si="0"/>
        <v>0.29748556374628654</v>
      </c>
      <c r="G5" s="636">
        <f>G4/(D4+E4+G4+H4+I4+J4+L4+M4+N4)</f>
        <v>0.23742510616966747</v>
      </c>
      <c r="H5" s="636">
        <f>H4/(D4+E4+G4+H4+I4+J4+L4+M4+N4)</f>
        <v>3.6669494964400341E-2</v>
      </c>
      <c r="I5" s="636">
        <f>I4/(D4+E4+G4+H4+I4+J4+L4+M4+N4)</f>
        <v>0</v>
      </c>
      <c r="J5" s="636">
        <f>J4/(D4+E4+G4+H4+I4+J4+L4+M4+N4)</f>
        <v>0</v>
      </c>
      <c r="K5" s="637">
        <f t="shared" si="1"/>
        <v>0.27409460113406781</v>
      </c>
      <c r="L5" s="636">
        <f>L4/(D4+E4+G4+H4+I4+J4+L4+M4+N4)</f>
        <v>5.1210996074380614E-2</v>
      </c>
      <c r="M5" s="636">
        <f>M4/(D4+E4+G4+H4+I4+J4+L4+M4+N4)</f>
        <v>6.145362929913914E-2</v>
      </c>
      <c r="N5" s="636">
        <f>N4/(D4+E4+G4+H4+I4+J4+L4+M4+N4)</f>
        <v>0.31575520974612592</v>
      </c>
      <c r="O5" s="1503"/>
    </row>
    <row r="6" spans="1:15" ht="12" customHeight="1">
      <c r="A6" s="1527"/>
      <c r="B6" s="1502" t="s">
        <v>14939</v>
      </c>
      <c r="C6" s="638" t="s">
        <v>6218</v>
      </c>
      <c r="D6" s="639">
        <v>65573</v>
      </c>
      <c r="E6" s="639">
        <v>35059</v>
      </c>
      <c r="F6" s="640">
        <f t="shared" si="0"/>
        <v>100632</v>
      </c>
      <c r="G6" s="639">
        <v>117548</v>
      </c>
      <c r="H6" s="639">
        <v>12475</v>
      </c>
      <c r="I6" s="639"/>
      <c r="J6" s="639"/>
      <c r="K6" s="640">
        <f t="shared" si="1"/>
        <v>130023</v>
      </c>
      <c r="L6" s="639">
        <v>21938</v>
      </c>
      <c r="M6" s="639">
        <v>10013</v>
      </c>
      <c r="N6" s="639">
        <v>191507</v>
      </c>
      <c r="O6" s="1503">
        <f>1-N7</f>
        <v>0.57828337880659664</v>
      </c>
    </row>
    <row r="7" spans="1:15" ht="12" customHeight="1">
      <c r="A7" s="1527"/>
      <c r="B7" s="1502"/>
      <c r="C7" s="635" t="s">
        <v>6219</v>
      </c>
      <c r="D7" s="636">
        <f>D6/(D6+E6+G6+H6+I6+J6+L6+M6+N6)</f>
        <v>0.14439798023839881</v>
      </c>
      <c r="E7" s="636">
        <f>E6/(D6+E6+G6+H6+I6+J6+L6+M6+N6)</f>
        <v>7.7203251173166149E-2</v>
      </c>
      <c r="F7" s="637">
        <f t="shared" si="0"/>
        <v>0.22160123141156496</v>
      </c>
      <c r="G7" s="636">
        <f>G6/(D6+E6+G6+H6+I6+J6+L6+M6+N6)</f>
        <v>0.2588518716707075</v>
      </c>
      <c r="H7" s="636">
        <f>H6/(D6+E6+G6+H6+I6+J6+L6+M6+N6)</f>
        <v>2.7471136038827341E-2</v>
      </c>
      <c r="I7" s="636">
        <f>I6/(D6+E6+G6+H6+I6+J6+L6+M6+N6)</f>
        <v>0</v>
      </c>
      <c r="J7" s="636">
        <f>J6/(D6+E6+G6+H6+I6+J6+L6+M6+N6)</f>
        <v>0</v>
      </c>
      <c r="K7" s="637">
        <f t="shared" si="1"/>
        <v>0.28632300770953484</v>
      </c>
      <c r="L7" s="636">
        <f>L6/(D6+E6+G6+H6+I6+J6+L6+M6+N6)</f>
        <v>4.8309561717017571E-2</v>
      </c>
      <c r="M7" s="636">
        <f>M6/(D6+E6+G6+H6+I6+J6+L6+M6+N6)</f>
        <v>2.2049577968479211E-2</v>
      </c>
      <c r="N7" s="636">
        <f>N6/(D6+E6+G6+H6+I6+J6+L6+M6+N6)</f>
        <v>0.42171662119340342</v>
      </c>
      <c r="O7" s="1503"/>
    </row>
    <row r="8" spans="1:15" ht="12" customHeight="1">
      <c r="A8" s="1527"/>
      <c r="B8" s="1502" t="s">
        <v>14940</v>
      </c>
      <c r="C8" s="638" t="s">
        <v>6218</v>
      </c>
      <c r="D8" s="639">
        <v>77790</v>
      </c>
      <c r="E8" s="639">
        <v>31591</v>
      </c>
      <c r="F8" s="640">
        <f t="shared" si="0"/>
        <v>109381</v>
      </c>
      <c r="G8" s="639">
        <v>116000</v>
      </c>
      <c r="H8" s="639">
        <v>12868</v>
      </c>
      <c r="I8" s="639"/>
      <c r="J8" s="639"/>
      <c r="K8" s="640">
        <f t="shared" si="1"/>
        <v>128868</v>
      </c>
      <c r="L8" s="639">
        <v>23340</v>
      </c>
      <c r="M8" s="639"/>
      <c r="N8" s="639">
        <v>189372</v>
      </c>
      <c r="O8" s="1503">
        <f>1-N9</f>
        <v>0.58007011692807131</v>
      </c>
    </row>
    <row r="9" spans="1:15" ht="12" customHeight="1" thickBot="1">
      <c r="A9" s="1528"/>
      <c r="B9" s="1514"/>
      <c r="C9" s="641" t="s">
        <v>6219</v>
      </c>
      <c r="D9" s="642">
        <f>D8/(D8+E8+G8+H8+I8+J8+L8+M8+N8)</f>
        <v>0.17249828699155803</v>
      </c>
      <c r="E9" s="642">
        <f>E8/(D8+E8+G8+H8+I8+J8+L8+M8+N8)</f>
        <v>7.0052620958353379E-2</v>
      </c>
      <c r="F9" s="643">
        <f t="shared" si="0"/>
        <v>0.24255090794991141</v>
      </c>
      <c r="G9" s="642">
        <f>G8/(D8+E8+G8+H8+I8+J8+L8+M8+N8)</f>
        <v>0.25722845212778933</v>
      </c>
      <c r="H9" s="642">
        <f>H8/(D8+E8+G8+H8+I8+J8+L8+M8+N8)</f>
        <v>2.8534618292934421E-2</v>
      </c>
      <c r="I9" s="642">
        <f>I8/(D8+E8+G8+H8+I8+J8+L8+M8+N8)</f>
        <v>0</v>
      </c>
      <c r="J9" s="642">
        <f>J8/(D8+E8+G8+H8+I8+J8+L8+M8+N8)</f>
        <v>0</v>
      </c>
      <c r="K9" s="643">
        <f t="shared" si="1"/>
        <v>0.28576307042072374</v>
      </c>
      <c r="L9" s="642">
        <f>L8/(D8+E8+G8+H8+I8+J8+L8+M8+N8)</f>
        <v>5.1756138557436229E-2</v>
      </c>
      <c r="M9" s="642">
        <f>M8/(D8+E8+G8+H8+I8+J8+L8+M8+N8)</f>
        <v>0</v>
      </c>
      <c r="N9" s="642">
        <f>N8/(D8+E8+G8+H8+I8+J8+L8+M8+N8)</f>
        <v>0.41992988307192863</v>
      </c>
      <c r="O9" s="1515"/>
    </row>
    <row r="10" spans="1:15" ht="12" customHeight="1">
      <c r="A10" s="1538" t="s">
        <v>14941</v>
      </c>
      <c r="B10" s="1536" t="s">
        <v>14937</v>
      </c>
      <c r="C10" s="632" t="s">
        <v>6218</v>
      </c>
      <c r="D10" s="633">
        <v>54299</v>
      </c>
      <c r="E10" s="633">
        <v>33749</v>
      </c>
      <c r="F10" s="634">
        <f t="shared" si="0"/>
        <v>88048</v>
      </c>
      <c r="G10" s="633">
        <v>113637</v>
      </c>
      <c r="H10" s="633">
        <v>9964</v>
      </c>
      <c r="I10" s="633">
        <v>4945</v>
      </c>
      <c r="J10" s="633">
        <v>9028</v>
      </c>
      <c r="K10" s="634">
        <f t="shared" si="1"/>
        <v>137574</v>
      </c>
      <c r="L10" s="633">
        <v>27131</v>
      </c>
      <c r="M10" s="633">
        <v>7776</v>
      </c>
      <c r="N10" s="633">
        <v>174809</v>
      </c>
      <c r="O10" s="1537">
        <f>1-N11</f>
        <v>0.59845223711231266</v>
      </c>
    </row>
    <row r="11" spans="1:15" ht="12" customHeight="1">
      <c r="A11" s="1527"/>
      <c r="B11" s="1502"/>
      <c r="C11" s="635" t="s">
        <v>6219</v>
      </c>
      <c r="D11" s="636">
        <f>D10/(D10+E10+G10+H10+I10+J10+L10+M10+N10)</f>
        <v>0.12472837197763577</v>
      </c>
      <c r="E11" s="636">
        <f>E10/(D10+E10+G10+H10+I10+J10+L10+M10+N10)</f>
        <v>7.7523671262329494E-2</v>
      </c>
      <c r="F11" s="637">
        <f t="shared" si="0"/>
        <v>0.20225204323996526</v>
      </c>
      <c r="G11" s="636">
        <f>G10/(D10+E10+G10+H10+I10+J10+L10+M10+N10)</f>
        <v>0.26103165815986656</v>
      </c>
      <c r="H11" s="636">
        <f>H10/(D10+E10+G10+H10+I10+J10+L10+M10+N10)</f>
        <v>2.2887962916170883E-2</v>
      </c>
      <c r="I11" s="636">
        <f>I10/(D10+E10+G10+H10+I10+J10+L10+M10+N10)</f>
        <v>1.1358990026140608E-2</v>
      </c>
      <c r="J11" s="636">
        <f>J10/(D10+E10+G10+H10+I10+J10+L10+M10+N10)</f>
        <v>2.0737909394539414E-2</v>
      </c>
      <c r="K11" s="637">
        <f t="shared" si="1"/>
        <v>0.31601652049671747</v>
      </c>
      <c r="L11" s="636">
        <f>L10/(D10+E10+G10+H10+I10+J10+L10+M10+N10)</f>
        <v>6.2321690272845467E-2</v>
      </c>
      <c r="M11" s="636">
        <f>M10/(D10+E10+G10+H10+I10+J10+L10+M10+N10)</f>
        <v>1.7861983102784505E-2</v>
      </c>
      <c r="N11" s="636">
        <f>N10/(D10+E10+G10+H10+I10+J10+L10+M10+N10)</f>
        <v>0.40154776288768729</v>
      </c>
      <c r="O11" s="1503"/>
    </row>
    <row r="12" spans="1:15" ht="12" customHeight="1">
      <c r="A12" s="1527"/>
      <c r="B12" s="1502" t="s">
        <v>14938</v>
      </c>
      <c r="C12" s="638" t="s">
        <v>6218</v>
      </c>
      <c r="D12" s="639">
        <v>83516</v>
      </c>
      <c r="E12" s="639">
        <v>35191</v>
      </c>
      <c r="F12" s="640">
        <f t="shared" si="0"/>
        <v>118707</v>
      </c>
      <c r="G12" s="639">
        <v>99742</v>
      </c>
      <c r="H12" s="639">
        <v>13636</v>
      </c>
      <c r="I12" s="639"/>
      <c r="J12" s="639"/>
      <c r="K12" s="640">
        <f t="shared" si="1"/>
        <v>113378</v>
      </c>
      <c r="L12" s="639">
        <v>27260</v>
      </c>
      <c r="M12" s="639">
        <v>28358</v>
      </c>
      <c r="N12" s="639">
        <v>141079</v>
      </c>
      <c r="O12" s="1503">
        <f>1-N13</f>
        <v>0.67097732647359265</v>
      </c>
    </row>
    <row r="13" spans="1:15" ht="12" customHeight="1">
      <c r="A13" s="1527"/>
      <c r="B13" s="1502"/>
      <c r="C13" s="635" t="s">
        <v>6219</v>
      </c>
      <c r="D13" s="636">
        <f>D12/(D12+E12+G12+H12+I12+J12+L12+M12+N12)</f>
        <v>0.1947749672327663</v>
      </c>
      <c r="E13" s="636">
        <f>E12/(D12+E12+G12+H12+I12+J12+L12+M12+N12)</f>
        <v>8.2072008619764825E-2</v>
      </c>
      <c r="F13" s="637">
        <f t="shared" si="0"/>
        <v>0.27684697585253115</v>
      </c>
      <c r="G13" s="636">
        <f>G12/(D12+E12+G12+H12+I12+J12+L12+M12+N12)</f>
        <v>0.23261704082727352</v>
      </c>
      <c r="H13" s="636">
        <f>H12/(D12+E12+G12+H12+I12+J12+L12+M12+N12)</f>
        <v>3.1801708094089769E-2</v>
      </c>
      <c r="I13" s="636">
        <f>I12/(D12+E12+G12+H12+I12+J12+L12+M12+N12)</f>
        <v>0</v>
      </c>
      <c r="J13" s="636">
        <f>J12/(D12+E12+G12+H12+I12+J12+L12+M12+N12)</f>
        <v>0</v>
      </c>
      <c r="K13" s="637">
        <f t="shared" si="1"/>
        <v>0.2644187489213633</v>
      </c>
      <c r="L13" s="636">
        <f>L12/(D12+E12+G12+H12+I12+J12+L12+M12+N12)</f>
        <v>6.3575429938756756E-2</v>
      </c>
      <c r="M13" s="636">
        <f>M12/(D12+E12+G12+H12+I12+J12+L12+M12+N12)</f>
        <v>6.6136171760941456E-2</v>
      </c>
      <c r="N13" s="636">
        <f>N12/(D12+E12+G12+H12+I12+J12+L12+M12+N12)</f>
        <v>0.32902267352640735</v>
      </c>
      <c r="O13" s="1503"/>
    </row>
    <row r="14" spans="1:15" ht="12" customHeight="1">
      <c r="A14" s="1527"/>
      <c r="B14" s="1502" t="s">
        <v>14939</v>
      </c>
      <c r="C14" s="638" t="s">
        <v>6218</v>
      </c>
      <c r="D14" s="639">
        <v>52184</v>
      </c>
      <c r="E14" s="639">
        <v>36749</v>
      </c>
      <c r="F14" s="640">
        <f t="shared" si="0"/>
        <v>88933</v>
      </c>
      <c r="G14" s="639">
        <v>106505</v>
      </c>
      <c r="H14" s="639">
        <v>11116</v>
      </c>
      <c r="I14" s="639"/>
      <c r="J14" s="639"/>
      <c r="K14" s="640">
        <f t="shared" si="1"/>
        <v>117621</v>
      </c>
      <c r="L14" s="639">
        <v>26879</v>
      </c>
      <c r="M14" s="639">
        <v>8876</v>
      </c>
      <c r="N14" s="639">
        <v>183157</v>
      </c>
      <c r="O14" s="1503">
        <f>1-N15</f>
        <v>0.56951436777556841</v>
      </c>
    </row>
    <row r="15" spans="1:15" ht="12" customHeight="1">
      <c r="A15" s="1527"/>
      <c r="B15" s="1502"/>
      <c r="C15" s="635" t="s">
        <v>6219</v>
      </c>
      <c r="D15" s="636">
        <f>D14/(D14+E14+G14+H14+I14+J14+L14+M14+N14)</f>
        <v>0.12265139870165889</v>
      </c>
      <c r="E15" s="636">
        <f>E14/(D14+E14+G14+H14+I14+J14+L14+M14+N14)</f>
        <v>8.6373529259682322E-2</v>
      </c>
      <c r="F15" s="637">
        <f t="shared" si="0"/>
        <v>0.2090249279613412</v>
      </c>
      <c r="G15" s="636">
        <f>G14/(D14+E14+G14+H14+I14+J14+L14+M14+N14)</f>
        <v>0.25032552542388814</v>
      </c>
      <c r="H15" s="636">
        <f>H14/(D14+E14+G14+H14+I14+J14+L14+M14+N14)</f>
        <v>2.6126647017623031E-2</v>
      </c>
      <c r="I15" s="636">
        <f>I14/(D14+E14+G14+H14+I14+J14+L14+M14+N14)</f>
        <v>0</v>
      </c>
      <c r="J15" s="636">
        <f>J14/(D14+E14+G14+H14+I14+J14+L14+M14+N14)</f>
        <v>0</v>
      </c>
      <c r="K15" s="637">
        <f t="shared" si="1"/>
        <v>0.27645217244151116</v>
      </c>
      <c r="L15" s="636">
        <f>L14/(D14+E14+G14+H14+I14+J14+L14+M14+N14)</f>
        <v>6.3175435875017047E-2</v>
      </c>
      <c r="M15" s="636">
        <f>M14/(D14+E14+G14+H14+I14+J14+L14+M14+N14)</f>
        <v>2.0861831497698994E-2</v>
      </c>
      <c r="N15" s="636">
        <f>N14/(D14+E14+G14+H14+I14+J14+L14+M14+N14)</f>
        <v>0.43048563222443159</v>
      </c>
      <c r="O15" s="1503"/>
    </row>
    <row r="16" spans="1:15" ht="12" customHeight="1">
      <c r="A16" s="1527"/>
      <c r="B16" s="1502" t="s">
        <v>14940</v>
      </c>
      <c r="C16" s="638" t="s">
        <v>6218</v>
      </c>
      <c r="D16" s="639">
        <v>60756</v>
      </c>
      <c r="E16" s="639">
        <v>34968</v>
      </c>
      <c r="F16" s="640">
        <f t="shared" si="0"/>
        <v>95724</v>
      </c>
      <c r="G16" s="639">
        <v>105259</v>
      </c>
      <c r="H16" s="639">
        <v>10614</v>
      </c>
      <c r="I16" s="639"/>
      <c r="J16" s="639"/>
      <c r="K16" s="640">
        <f t="shared" si="1"/>
        <v>115873</v>
      </c>
      <c r="L16" s="639">
        <v>26610</v>
      </c>
      <c r="M16" s="639"/>
      <c r="N16" s="639">
        <v>183999</v>
      </c>
      <c r="O16" s="1503">
        <f>1-N17</f>
        <v>0.56419615069421081</v>
      </c>
    </row>
    <row r="17" spans="1:15" ht="12" customHeight="1" thickBot="1">
      <c r="A17" s="1528"/>
      <c r="B17" s="1514"/>
      <c r="C17" s="641" t="s">
        <v>6219</v>
      </c>
      <c r="D17" s="642">
        <f>D16/(D16+E16+G16+H16+I16+J16+L16+M16+N16)</f>
        <v>0.1439013183138089</v>
      </c>
      <c r="E17" s="642">
        <f>E16/(D16+E16+G16+H16+I16+J16+L16+M16+N16)</f>
        <v>8.2822129481816928E-2</v>
      </c>
      <c r="F17" s="643">
        <f t="shared" si="0"/>
        <v>0.22672344779562581</v>
      </c>
      <c r="G17" s="642">
        <f>G16/(D16+E16+G16+H16+I16+J16+L16+M16+N16)</f>
        <v>0.24930721022439284</v>
      </c>
      <c r="H17" s="642">
        <f>H16/(D16+E16+G16+H16+I16+J16+L16+M16+N16)</f>
        <v>2.5139386934340108E-2</v>
      </c>
      <c r="I17" s="642">
        <f>I16/(D16+E16+G16+H16+I16+J16+L16+M16+N16)</f>
        <v>0</v>
      </c>
      <c r="J17" s="642">
        <f>J16/(D16+E16+G16+H16+I16+J16+L16+M16+N16)</f>
        <v>0</v>
      </c>
      <c r="K17" s="643">
        <f t="shared" si="1"/>
        <v>0.27444659715873293</v>
      </c>
      <c r="L17" s="642">
        <f>L16/(D16+E16+G16+H16+I16+J16+L16+M16+N16)</f>
        <v>6.3026105739852109E-2</v>
      </c>
      <c r="M17" s="642">
        <f>M16/(D16+E16+G16+H16+I16+J16+L16+M16+N16)</f>
        <v>0</v>
      </c>
      <c r="N17" s="642">
        <f>N16/(D16+E16+G16+H16+I16+J16+L16+M16+N16)</f>
        <v>0.43580384930578914</v>
      </c>
      <c r="O17" s="1515"/>
    </row>
    <row r="18" spans="1:15" ht="12" customHeight="1">
      <c r="A18" s="1535" t="s">
        <v>14942</v>
      </c>
      <c r="B18" s="1536" t="s">
        <v>14937</v>
      </c>
      <c r="C18" s="632" t="s">
        <v>6218</v>
      </c>
      <c r="D18" s="633">
        <v>56042</v>
      </c>
      <c r="E18" s="633">
        <v>34687</v>
      </c>
      <c r="F18" s="634">
        <f t="shared" si="0"/>
        <v>90729</v>
      </c>
      <c r="G18" s="633">
        <v>112038</v>
      </c>
      <c r="H18" s="633">
        <v>10775</v>
      </c>
      <c r="I18" s="633">
        <v>4837</v>
      </c>
      <c r="J18" s="633">
        <v>9183</v>
      </c>
      <c r="K18" s="634">
        <f t="shared" si="1"/>
        <v>136833</v>
      </c>
      <c r="L18" s="633">
        <v>22622</v>
      </c>
      <c r="M18" s="633">
        <v>7323</v>
      </c>
      <c r="N18" s="633">
        <v>178801</v>
      </c>
      <c r="O18" s="1537">
        <f>1-N19</f>
        <v>0.59019545825426079</v>
      </c>
    </row>
    <row r="19" spans="1:15" ht="12" customHeight="1">
      <c r="A19" s="1517"/>
      <c r="B19" s="1502"/>
      <c r="C19" s="635" t="s">
        <v>6219</v>
      </c>
      <c r="D19" s="636">
        <f>D18/(D18+E18+G18+H18+I18+J18+L18+M18+N18)</f>
        <v>0.12844596019325796</v>
      </c>
      <c r="E19" s="636">
        <f>E18/(D18+E18+G18+H18+I18+J18+L18+M18+N18)</f>
        <v>7.9501178066870196E-2</v>
      </c>
      <c r="F19" s="637">
        <f t="shared" si="0"/>
        <v>0.20794713826012817</v>
      </c>
      <c r="G19" s="636">
        <f>G18/(D18+E18+G18+H18+I18+J18+L18+M18+N18)</f>
        <v>0.25678649027751038</v>
      </c>
      <c r="H19" s="636">
        <f>H18/(D18+E18+G18+H18+I18+J18+L18+M18+N18)</f>
        <v>2.4695857055107861E-2</v>
      </c>
      <c r="I19" s="636">
        <f>I18/(D18+E18+G18+H18+I18+J18+L18+M18+N18)</f>
        <v>1.108620515782429E-2</v>
      </c>
      <c r="J19" s="636">
        <f>J18/(D18+E18+G18+H18+I18+J18+L18+M18+N18)</f>
        <v>2.1047058499958745E-2</v>
      </c>
      <c r="K19" s="637">
        <f t="shared" si="1"/>
        <v>0.31361561099040125</v>
      </c>
      <c r="L19" s="636">
        <f>L18/(D18+E18+G18+H18+I18+J18+L18+M18+N18)</f>
        <v>5.1848694041823663E-2</v>
      </c>
      <c r="M19" s="636">
        <f>M18/(D18+E18+G18+H18+I18+J18+L18+M18+N18)</f>
        <v>1.6784014961907644E-2</v>
      </c>
      <c r="N19" s="636">
        <f>N18/(D18+E18+G18+H18+I18+J18+L18+M18+N18)</f>
        <v>0.40980454174573927</v>
      </c>
      <c r="O19" s="1503"/>
    </row>
    <row r="20" spans="1:15" ht="12" customHeight="1">
      <c r="A20" s="1517"/>
      <c r="B20" s="1502" t="s">
        <v>14938</v>
      </c>
      <c r="C20" s="638" t="s">
        <v>6218</v>
      </c>
      <c r="D20" s="639">
        <v>86388</v>
      </c>
      <c r="E20" s="639">
        <v>37688</v>
      </c>
      <c r="F20" s="640">
        <f t="shared" si="0"/>
        <v>124076</v>
      </c>
      <c r="G20" s="639">
        <v>98760</v>
      </c>
      <c r="H20" s="639">
        <v>13376</v>
      </c>
      <c r="I20" s="639"/>
      <c r="J20" s="639"/>
      <c r="K20" s="640">
        <f t="shared" si="1"/>
        <v>112136</v>
      </c>
      <c r="L20" s="639">
        <v>23142</v>
      </c>
      <c r="M20" s="639">
        <v>27899</v>
      </c>
      <c r="N20" s="639">
        <v>142856</v>
      </c>
      <c r="O20" s="1503">
        <f>1-N21</f>
        <v>0.66786093757628873</v>
      </c>
    </row>
    <row r="21" spans="1:15" ht="12" customHeight="1">
      <c r="A21" s="1517"/>
      <c r="B21" s="1502"/>
      <c r="C21" s="635" t="s">
        <v>6219</v>
      </c>
      <c r="D21" s="636">
        <f>D20/(D20+E20+G20+H20+I20+J20+L20+M20+N20)</f>
        <v>0.20085141208391361</v>
      </c>
      <c r="E21" s="636">
        <f>E20/(D20+E20+G20+H20+I20+J20+L20+M20+N20)</f>
        <v>8.7624299886772894E-2</v>
      </c>
      <c r="F21" s="637">
        <f t="shared" si="0"/>
        <v>0.2884757119706865</v>
      </c>
      <c r="G21" s="636">
        <f>G20/(D20+E20+G20+H20+I20+J20+L20+M20+N20)</f>
        <v>0.22961621356446854</v>
      </c>
      <c r="H21" s="636">
        <f>H20/(D20+E20+G20+H20+I20+J20+L20+M20+N20)</f>
        <v>3.1099093485604811E-2</v>
      </c>
      <c r="I21" s="636">
        <f>I20/(D20+E20+G20+H20+I20+J20+L20+M20+N20)</f>
        <v>0</v>
      </c>
      <c r="J21" s="636">
        <f>J20/(D20+E20+G20+H20+I20+J20+L20+M20+N20)</f>
        <v>0</v>
      </c>
      <c r="K21" s="637">
        <f t="shared" si="1"/>
        <v>0.26071530705007334</v>
      </c>
      <c r="L21" s="636">
        <f>L20/(D20+E20+G20+H20+I20+J20+L20+M20+N20)</f>
        <v>5.3804965717992419E-2</v>
      </c>
      <c r="M21" s="636">
        <f>M20/(D20+E20+G20+H20+I20+J20+L20+M20+N20)</f>
        <v>6.486495283753653E-2</v>
      </c>
      <c r="N21" s="636">
        <f>N20/(D20+E20+G20+H20+I20+J20+L20+M20+N20)</f>
        <v>0.33213906242371122</v>
      </c>
      <c r="O21" s="1503"/>
    </row>
    <row r="22" spans="1:15" ht="12" customHeight="1">
      <c r="A22" s="1517"/>
      <c r="B22" s="1502" t="s">
        <v>14939</v>
      </c>
      <c r="C22" s="638" t="s">
        <v>6218</v>
      </c>
      <c r="D22" s="639">
        <v>52576</v>
      </c>
      <c r="E22" s="639">
        <v>38852</v>
      </c>
      <c r="F22" s="640">
        <f t="shared" si="0"/>
        <v>91428</v>
      </c>
      <c r="G22" s="639">
        <v>104799</v>
      </c>
      <c r="H22" s="639">
        <v>10334</v>
      </c>
      <c r="I22" s="639"/>
      <c r="J22" s="639"/>
      <c r="K22" s="640">
        <f t="shared" si="1"/>
        <v>115133</v>
      </c>
      <c r="L22" s="639">
        <v>22814</v>
      </c>
      <c r="M22" s="639">
        <v>8903</v>
      </c>
      <c r="N22" s="639">
        <v>187669</v>
      </c>
      <c r="O22" s="1503">
        <f>1-N23</f>
        <v>0.5594076258313827</v>
      </c>
    </row>
    <row r="23" spans="1:15" ht="12" customHeight="1">
      <c r="A23" s="1517"/>
      <c r="B23" s="1502"/>
      <c r="C23" s="635" t="s">
        <v>6219</v>
      </c>
      <c r="D23" s="636">
        <f>D22/(D22+E22+G22+H22+I22+J22+L22+M22+N22)</f>
        <v>0.12343319708790061</v>
      </c>
      <c r="E23" s="636">
        <f>E22/(D22+E22+G22+H22+I22+J22+L22+M22+N22)</f>
        <v>9.12132260586411E-2</v>
      </c>
      <c r="F23" s="637">
        <f t="shared" si="0"/>
        <v>0.2146464231465417</v>
      </c>
      <c r="G23" s="636">
        <f>G22/(D22+E22+G22+H22+I22+J22+L22+M22+N22)</f>
        <v>0.24603765257179883</v>
      </c>
      <c r="H23" s="636">
        <f>H22/(D22+E22+G22+H22+I22+J22+L22+M22+N22)</f>
        <v>2.4261234378925078E-2</v>
      </c>
      <c r="I23" s="636">
        <f>I22/(D22+E22+G22+H22+I22+J22+L22+M22+N22)</f>
        <v>0</v>
      </c>
      <c r="J23" s="636">
        <f>J22/(D22+E22+G22+H22+I22+J22+L22+M22+N22)</f>
        <v>0</v>
      </c>
      <c r="K23" s="637">
        <f t="shared" si="1"/>
        <v>0.2702988869507239</v>
      </c>
      <c r="L23" s="636">
        <f>L22/(D22+E22+G22+H22+I22+J22+L22+M22+N22)</f>
        <v>5.3560654259802276E-2</v>
      </c>
      <c r="M23" s="636">
        <f>M22/(D22+E22+G22+H22+I22+J22+L22+M22+N22)</f>
        <v>2.0901661474314881E-2</v>
      </c>
      <c r="N23" s="636">
        <f>N22/(D22+E22+G22+H22+I22+J22+L22+M22+N22)</f>
        <v>0.44059237416861724</v>
      </c>
      <c r="O23" s="1503"/>
    </row>
    <row r="24" spans="1:15" ht="12" customHeight="1">
      <c r="A24" s="1517"/>
      <c r="B24" s="1502" t="s">
        <v>14940</v>
      </c>
      <c r="C24" s="638" t="s">
        <v>6218</v>
      </c>
      <c r="D24" s="639">
        <v>67465</v>
      </c>
      <c r="E24" s="639">
        <v>37978</v>
      </c>
      <c r="F24" s="640">
        <f t="shared" si="0"/>
        <v>105443</v>
      </c>
      <c r="G24" s="639">
        <v>104390</v>
      </c>
      <c r="H24" s="639">
        <v>10294</v>
      </c>
      <c r="I24" s="639"/>
      <c r="J24" s="639"/>
      <c r="K24" s="640">
        <f t="shared" si="1"/>
        <v>114684</v>
      </c>
      <c r="L24" s="639">
        <v>23108</v>
      </c>
      <c r="M24" s="639"/>
      <c r="N24" s="639">
        <v>180654</v>
      </c>
      <c r="O24" s="1503">
        <f>1-N25</f>
        <v>0.57381767396653371</v>
      </c>
    </row>
    <row r="25" spans="1:15" ht="12" customHeight="1" thickBot="1">
      <c r="A25" s="1519"/>
      <c r="B25" s="1514"/>
      <c r="C25" s="641" t="s">
        <v>6219</v>
      </c>
      <c r="D25" s="642">
        <f>D24/(D24+E24+G24+H24+I24+J24+L24+M24+N24)</f>
        <v>0.15915723219993913</v>
      </c>
      <c r="E25" s="642">
        <f>E24/(D24+E24+G24+H24+I24+J24+L24+M24+N24)</f>
        <v>8.9594209804925343E-2</v>
      </c>
      <c r="F25" s="643">
        <f t="shared" si="0"/>
        <v>0.24875144200486449</v>
      </c>
      <c r="G25" s="642">
        <f>G24/(D24+E24+G24+H24+I24+J24+L24+M24+N24)</f>
        <v>0.24626730110948858</v>
      </c>
      <c r="H25" s="642">
        <f>H24/(D24+E24+G24+H24+I24+J24+L24+M24+N24)</f>
        <v>2.4284659427350086E-2</v>
      </c>
      <c r="I25" s="642">
        <f>I24/(D24+E24+G24+H24+I24+J24+L24+M24+N24)</f>
        <v>0</v>
      </c>
      <c r="J25" s="642">
        <f>J24/(D24+E24+G24+H24+I24+J24+L24+M24+N24)</f>
        <v>0</v>
      </c>
      <c r="K25" s="643">
        <f t="shared" si="1"/>
        <v>0.27055196053683866</v>
      </c>
      <c r="L25" s="642">
        <f>L24/(D24+E24+G24+H24+I24+J24+L24+M24+N24)</f>
        <v>5.4514271424830556E-2</v>
      </c>
      <c r="M25" s="642">
        <f>M24/(D24+E24+G24+H24+I24+J24+L24+M24+N24)</f>
        <v>0</v>
      </c>
      <c r="N25" s="642">
        <f>N24/(D24+E24+G24+H24+I24+J24+L24+M24+N24)</f>
        <v>0.42618232603346629</v>
      </c>
      <c r="O25" s="1515"/>
    </row>
    <row r="26" spans="1:15" ht="12" customHeight="1">
      <c r="A26" s="1538" t="s">
        <v>14943</v>
      </c>
      <c r="B26" s="1536" t="s">
        <v>14937</v>
      </c>
      <c r="C26" s="632" t="s">
        <v>6218</v>
      </c>
      <c r="D26" s="633">
        <v>47547</v>
      </c>
      <c r="E26" s="633">
        <v>26450</v>
      </c>
      <c r="F26" s="634">
        <f t="shared" si="0"/>
        <v>73997</v>
      </c>
      <c r="G26" s="633">
        <v>85409</v>
      </c>
      <c r="H26" s="633">
        <v>6856</v>
      </c>
      <c r="I26" s="633">
        <v>4045</v>
      </c>
      <c r="J26" s="633">
        <v>5262</v>
      </c>
      <c r="K26" s="634">
        <f t="shared" si="1"/>
        <v>101572</v>
      </c>
      <c r="L26" s="633">
        <v>19483</v>
      </c>
      <c r="M26" s="633">
        <v>4741</v>
      </c>
      <c r="N26" s="633">
        <v>122456</v>
      </c>
      <c r="O26" s="1537">
        <f>1-N27</f>
        <v>0.61999571759726169</v>
      </c>
    </row>
    <row r="27" spans="1:15" ht="12" customHeight="1">
      <c r="A27" s="1527"/>
      <c r="B27" s="1502"/>
      <c r="C27" s="635" t="s">
        <v>6219</v>
      </c>
      <c r="D27" s="636">
        <f>D26/(D26+E26+G26+H26+I26+J26+L26+M26+N26)</f>
        <v>0.14754739347523188</v>
      </c>
      <c r="E27" s="636">
        <f>E26/(D26+E26+G26+H26+I26+J26+L26+M26+N26)</f>
        <v>8.2079385816558006E-2</v>
      </c>
      <c r="F27" s="637">
        <f t="shared" si="0"/>
        <v>0.22962677929178987</v>
      </c>
      <c r="G27" s="636">
        <f>G26/(D26+E26+G26+H26+I26+J26+L26+M26+N26)</f>
        <v>0.26504038802292634</v>
      </c>
      <c r="H27" s="636">
        <f>H26/(D26+E26+G26+H26+I26+J26+L26+M26+N26)</f>
        <v>2.1275473314114241E-2</v>
      </c>
      <c r="I27" s="636">
        <f>I26/(D26+E26+G26+H26+I26+J26+L26+M26+N26)</f>
        <v>1.25524051277118E-2</v>
      </c>
      <c r="J27" s="636">
        <f>J26/(D26+E26+G26+H26+I26+J26+L26+M26+N26)</f>
        <v>1.6328987832390479E-2</v>
      </c>
      <c r="K27" s="637">
        <f t="shared" si="1"/>
        <v>0.31519725429714285</v>
      </c>
      <c r="L27" s="636">
        <f>L26/(D26+E26+G26+H26+I26+J26+L26+M26+N26)</f>
        <v>6.0459458369149323E-2</v>
      </c>
      <c r="M27" s="636">
        <f>M26/(D26+E26+G26+H26+I26+J26+L26+M26+N26)</f>
        <v>1.471222563917964E-2</v>
      </c>
      <c r="N27" s="636">
        <f>N26/(D26+E26+G26+H26+I26+J26+L26+M26+N26)</f>
        <v>0.38000428240273826</v>
      </c>
      <c r="O27" s="1503"/>
    </row>
    <row r="28" spans="1:15" ht="12" customHeight="1">
      <c r="A28" s="1527"/>
      <c r="B28" s="1502" t="s">
        <v>14938</v>
      </c>
      <c r="C28" s="638" t="s">
        <v>6218</v>
      </c>
      <c r="D28" s="639">
        <v>64705</v>
      </c>
      <c r="E28" s="639">
        <v>30190</v>
      </c>
      <c r="F28" s="640">
        <f t="shared" si="0"/>
        <v>94895</v>
      </c>
      <c r="G28" s="639">
        <v>82337</v>
      </c>
      <c r="H28" s="639">
        <v>9930</v>
      </c>
      <c r="I28" s="639"/>
      <c r="J28" s="639"/>
      <c r="K28" s="640">
        <f t="shared" si="1"/>
        <v>92267</v>
      </c>
      <c r="L28" s="639">
        <v>20232</v>
      </c>
      <c r="M28" s="639">
        <v>20906</v>
      </c>
      <c r="N28" s="639">
        <v>95290</v>
      </c>
      <c r="O28" s="1503">
        <f>1-N29</f>
        <v>0.70552242034673507</v>
      </c>
    </row>
    <row r="29" spans="1:15" ht="12" customHeight="1">
      <c r="A29" s="1527"/>
      <c r="B29" s="1502"/>
      <c r="C29" s="635" t="s">
        <v>6219</v>
      </c>
      <c r="D29" s="636">
        <f>D28/(D28+E28+G28+H28+I28+J28+L28+M28+N28)</f>
        <v>0.19995982570536791</v>
      </c>
      <c r="E29" s="636">
        <f>E28/(D28+E28+G28+H28+I28+J28+L28+M28+N28)</f>
        <v>9.3297073457152574E-2</v>
      </c>
      <c r="F29" s="637">
        <f t="shared" si="0"/>
        <v>0.29325689916252051</v>
      </c>
      <c r="G29" s="636">
        <f>G28/(D28+E28+G28+H28+I28+J28+L28+M28+N28)</f>
        <v>0.25444853054791555</v>
      </c>
      <c r="H29" s="636">
        <f>H28/(D28+E28+G28+H28+I28+J28+L28+M28+N28)</f>
        <v>3.0686980438208843E-2</v>
      </c>
      <c r="I29" s="636">
        <f>I28/(D28+E28+G28+H28+I28+J28+L28+M28+N28)</f>
        <v>0</v>
      </c>
      <c r="J29" s="636">
        <f>J28/(D28+E28+G28+H28+I28+J28+L28+M28+N28)</f>
        <v>0</v>
      </c>
      <c r="K29" s="637">
        <f t="shared" si="1"/>
        <v>0.28513551098612439</v>
      </c>
      <c r="L29" s="636">
        <f>L28/(D28+E28+G28+H28+I28+J28+L28+M28+N28)</f>
        <v>6.2523563768966908E-2</v>
      </c>
      <c r="M29" s="636">
        <f>M28/(D28+E28+G28+H28+I28+J28+L28+M28+N28)</f>
        <v>6.4606446429123277E-2</v>
      </c>
      <c r="N29" s="636">
        <f>N28/(D28+E28+G28+H28+I28+J28+L28+M28+N28)</f>
        <v>0.29447757965326493</v>
      </c>
      <c r="O29" s="1503"/>
    </row>
    <row r="30" spans="1:15" ht="12" customHeight="1">
      <c r="A30" s="1527"/>
      <c r="B30" s="1502" t="s">
        <v>14939</v>
      </c>
      <c r="C30" s="638" t="s">
        <v>6218</v>
      </c>
      <c r="D30" s="639">
        <v>48498</v>
      </c>
      <c r="E30" s="639">
        <v>32055</v>
      </c>
      <c r="F30" s="640">
        <f t="shared" si="0"/>
        <v>80553</v>
      </c>
      <c r="G30" s="639">
        <v>82049</v>
      </c>
      <c r="H30" s="639">
        <v>8149</v>
      </c>
      <c r="I30" s="639"/>
      <c r="J30" s="639"/>
      <c r="K30" s="640">
        <f t="shared" si="1"/>
        <v>90198</v>
      </c>
      <c r="L30" s="639">
        <v>20839</v>
      </c>
      <c r="M30" s="639">
        <v>5885</v>
      </c>
      <c r="N30" s="639">
        <v>127389</v>
      </c>
      <c r="O30" s="1503">
        <f>1-N31</f>
        <v>0.60786975472813243</v>
      </c>
    </row>
    <row r="31" spans="1:15" ht="12" customHeight="1">
      <c r="A31" s="1527"/>
      <c r="B31" s="1502"/>
      <c r="C31" s="635" t="s">
        <v>6219</v>
      </c>
      <c r="D31" s="636">
        <f>D30/(D30+E30+G30+H30+I30+J30+L30+M30+N30)</f>
        <v>0.14928708628841608</v>
      </c>
      <c r="E31" s="636">
        <f>E30/(D30+E30+G30+H30+I30+J30+L30+M30+N30)</f>
        <v>9.8672059692671399E-2</v>
      </c>
      <c r="F31" s="637">
        <f t="shared" si="0"/>
        <v>0.24795914598108748</v>
      </c>
      <c r="G31" s="636">
        <f>G30/(D30+E30+G30+H30+I30+J30+L30+M30+N30)</f>
        <v>0.2525641499211978</v>
      </c>
      <c r="H31" s="636">
        <f>H30/(D30+E30+G30+H30+I30+J30+L30+M30+N30)</f>
        <v>2.5084342986603624E-2</v>
      </c>
      <c r="I31" s="636">
        <f>I30/(D30+E30+G30+H30+I30+J30+L30+M30+N30)</f>
        <v>0</v>
      </c>
      <c r="J31" s="636">
        <f>J30/(D30+E30+G30+H30+I30+J30+L30+M30+N30)</f>
        <v>0</v>
      </c>
      <c r="K31" s="637">
        <f t="shared" si="1"/>
        <v>0.27764849290780141</v>
      </c>
      <c r="L31" s="636">
        <f>L30/(D30+E30+G30+H30+I30+J30+L30+M30+N30)</f>
        <v>6.4146842986603628E-2</v>
      </c>
      <c r="M31" s="636">
        <f>M30/(D30+E30+G30+H30+I30+J30+L30+M30+N30)</f>
        <v>1.8115272852639874E-2</v>
      </c>
      <c r="N31" s="636">
        <f>N30/(D30+E30+G30+H30+I30+J30+L30+M30+N30)</f>
        <v>0.39213024527186763</v>
      </c>
      <c r="O31" s="1503"/>
    </row>
    <row r="32" spans="1:15" ht="12" customHeight="1">
      <c r="A32" s="1527"/>
      <c r="B32" s="1502" t="s">
        <v>14940</v>
      </c>
      <c r="C32" s="638" t="s">
        <v>6218</v>
      </c>
      <c r="D32" s="639">
        <v>57530</v>
      </c>
      <c r="E32" s="639">
        <v>31928</v>
      </c>
      <c r="F32" s="640">
        <f t="shared" si="0"/>
        <v>89458</v>
      </c>
      <c r="G32" s="639">
        <v>83671</v>
      </c>
      <c r="H32" s="639">
        <v>9437</v>
      </c>
      <c r="I32" s="639"/>
      <c r="J32" s="639"/>
      <c r="K32" s="640">
        <f t="shared" si="1"/>
        <v>93108</v>
      </c>
      <c r="L32" s="639">
        <v>21714</v>
      </c>
      <c r="M32" s="639"/>
      <c r="N32" s="639">
        <v>120344</v>
      </c>
      <c r="O32" s="1503">
        <f>1-N33</f>
        <v>0.62928187687909709</v>
      </c>
    </row>
    <row r="33" spans="1:15" ht="12" customHeight="1" thickBot="1">
      <c r="A33" s="1528"/>
      <c r="B33" s="1514"/>
      <c r="C33" s="641" t="s">
        <v>6219</v>
      </c>
      <c r="D33" s="642">
        <f>D32/(D32+E32+G32+H32+I32+J32+L32+M32+N32)</f>
        <v>0.17722041500320371</v>
      </c>
      <c r="E33" s="642">
        <f>E32/(D32+E32+G32+H32+I32+J32+L32+M32+N32)</f>
        <v>9.8353787766770173E-2</v>
      </c>
      <c r="F33" s="643">
        <f t="shared" si="0"/>
        <v>0.27557420276997391</v>
      </c>
      <c r="G33" s="642">
        <f>G32/(D32+E32+G32+H32+I32+J32+L32+M32+N32)</f>
        <v>0.25774742471289863</v>
      </c>
      <c r="H33" s="642">
        <f>H32/(D32+E32+G32+H32+I32+J32+L32+M32+N32)</f>
        <v>2.9070555473409237E-2</v>
      </c>
      <c r="I33" s="642">
        <f>I32/(D32+E32+G32+H32+I32+J32+L32+M32+N32)</f>
        <v>0</v>
      </c>
      <c r="J33" s="642">
        <f>J32/(D32+E32+G32+H32+I32+J32+L32+M32+N32)</f>
        <v>0</v>
      </c>
      <c r="K33" s="643">
        <f t="shared" si="1"/>
        <v>0.28681798018630789</v>
      </c>
      <c r="L33" s="642">
        <f>L32/(D32+E32+G32+H32+I32+J32+L32+M32+N32)</f>
        <v>6.6889693922815324E-2</v>
      </c>
      <c r="M33" s="642">
        <f>M32/(D32+E32+G32+H32+I32+J32+L32+M32+N32)</f>
        <v>0</v>
      </c>
      <c r="N33" s="642">
        <f>N32/(D32+E32+G32+H32+I32+J32+L32+M32+N32)</f>
        <v>0.37071812312090296</v>
      </c>
      <c r="O33" s="1515"/>
    </row>
    <row r="34" spans="1:15" ht="12" customHeight="1">
      <c r="A34" s="1535" t="s">
        <v>14944</v>
      </c>
      <c r="B34" s="1536" t="s">
        <v>14937</v>
      </c>
      <c r="C34" s="632" t="s">
        <v>6218</v>
      </c>
      <c r="D34" s="633">
        <v>74998</v>
      </c>
      <c r="E34" s="633">
        <v>35790</v>
      </c>
      <c r="F34" s="634">
        <f t="shared" si="0"/>
        <v>110788</v>
      </c>
      <c r="G34" s="633">
        <v>120909</v>
      </c>
      <c r="H34" s="633">
        <v>10787</v>
      </c>
      <c r="I34" s="633">
        <v>5342</v>
      </c>
      <c r="J34" s="633">
        <v>9157</v>
      </c>
      <c r="K34" s="634">
        <f t="shared" si="1"/>
        <v>146195</v>
      </c>
      <c r="L34" s="633">
        <v>22845</v>
      </c>
      <c r="M34" s="633">
        <v>7939</v>
      </c>
      <c r="N34" s="633">
        <v>164159</v>
      </c>
      <c r="O34" s="1537">
        <f>1-N35</f>
        <v>0.63675690267875718</v>
      </c>
    </row>
    <row r="35" spans="1:15" ht="12" customHeight="1">
      <c r="A35" s="1517"/>
      <c r="B35" s="1502"/>
      <c r="C35" s="635" t="s">
        <v>6219</v>
      </c>
      <c r="D35" s="636">
        <f>D34/(D34+E34+G34+H34+I34+J34+L34+M34+N34)</f>
        <v>0.16595194788527326</v>
      </c>
      <c r="E35" s="636">
        <f>E34/(D34+E34+G34+H34+I34+J34+L34+M34+N34)</f>
        <v>7.9194381381022555E-2</v>
      </c>
      <c r="F35" s="637">
        <f t="shared" si="0"/>
        <v>0.24514632926629581</v>
      </c>
      <c r="G35" s="636">
        <f>G34/(D34+E34+G34+H34+I34+J34+L34+M34+N34)</f>
        <v>0.26754158866717115</v>
      </c>
      <c r="H35" s="636">
        <f>H34/(D34+E34+G34+H34+I34+J34+L34+M34+N34)</f>
        <v>2.3868951996565808E-2</v>
      </c>
      <c r="I35" s="636">
        <f>I34/(D34+E34+G34+H34+I34+J34+L34+M34+N34)</f>
        <v>1.182051928855609E-2</v>
      </c>
      <c r="J35" s="636">
        <f>J34/(D34+E34+G34+H34+I34+J34+L34+M34+N34)</f>
        <v>2.0262166814921028E-2</v>
      </c>
      <c r="K35" s="637">
        <f t="shared" si="1"/>
        <v>0.32349322676721409</v>
      </c>
      <c r="L35" s="636">
        <f>L34/(D34+E34+G34+H34+I34+J34+L34+M34+N34)</f>
        <v>5.0550311334156474E-2</v>
      </c>
      <c r="M35" s="636">
        <f>M34/(D34+E34+G34+H34+I34+J34+L34+M34+N34)</f>
        <v>1.7567035311090756E-2</v>
      </c>
      <c r="N35" s="636">
        <f>N34/(D34+E34+G34+H34+I34+J34+L34+M34+N34)</f>
        <v>0.36324309732124288</v>
      </c>
      <c r="O35" s="1503"/>
    </row>
    <row r="36" spans="1:15" ht="12" customHeight="1">
      <c r="A36" s="1517"/>
      <c r="B36" s="1502" t="s">
        <v>14938</v>
      </c>
      <c r="C36" s="638" t="s">
        <v>6218</v>
      </c>
      <c r="D36" s="639">
        <v>103356</v>
      </c>
      <c r="E36" s="639">
        <v>38403</v>
      </c>
      <c r="F36" s="640">
        <f t="shared" si="0"/>
        <v>141759</v>
      </c>
      <c r="G36" s="639">
        <v>107777</v>
      </c>
      <c r="H36" s="639">
        <v>15758</v>
      </c>
      <c r="I36" s="639"/>
      <c r="J36" s="639"/>
      <c r="K36" s="640">
        <f t="shared" si="1"/>
        <v>123535</v>
      </c>
      <c r="L36" s="639">
        <v>23431</v>
      </c>
      <c r="M36" s="639">
        <v>31476</v>
      </c>
      <c r="N36" s="639">
        <v>124945</v>
      </c>
      <c r="O36" s="1503">
        <f>1-N37</f>
        <v>0.71931680841791235</v>
      </c>
    </row>
    <row r="37" spans="1:15" ht="12" customHeight="1">
      <c r="A37" s="1517"/>
      <c r="B37" s="1502"/>
      <c r="C37" s="635" t="s">
        <v>6219</v>
      </c>
      <c r="D37" s="636">
        <f>D36/(D36+E36+G36+H36+I36+J36+L36+M36+N36)</f>
        <v>0.23218449677184563</v>
      </c>
      <c r="E37" s="636">
        <f>E36/(D36+E36+G36+H36+I36+J36+L36+M36+N36)</f>
        <v>8.6270571902252291E-2</v>
      </c>
      <c r="F37" s="637">
        <f t="shared" si="0"/>
        <v>0.3184550686740979</v>
      </c>
      <c r="G37" s="636">
        <f>G36/(D36+E36+G36+H36+I36+J36+L36+M36+N36)</f>
        <v>0.2421160697838462</v>
      </c>
      <c r="H37" s="636">
        <f>H36/(D36+E36+G36+H36+I36+J36+L36+M36+N36)</f>
        <v>3.5399621697151044E-2</v>
      </c>
      <c r="I37" s="636">
        <f>I36/(D36+E36+G36+H36+I36+J36+L36+M36+N36)</f>
        <v>0</v>
      </c>
      <c r="J37" s="636">
        <f>J36/(D36+E36+G36+H36+I36+J36+L36+M36+N36)</f>
        <v>0</v>
      </c>
      <c r="K37" s="637">
        <f t="shared" si="1"/>
        <v>0.27751569148099725</v>
      </c>
      <c r="L37" s="636">
        <f>L36/(D36+E36+G36+H36+I36+J36+L36+M36+N36)</f>
        <v>5.2636663027411233E-2</v>
      </c>
      <c r="M37" s="636">
        <f>M36/(D36+E36+G36+H36+I36+J36+L36+M36+N36)</f>
        <v>7.0709385235405917E-2</v>
      </c>
      <c r="N37" s="636">
        <f>N36/(D36+E36+G36+H36+I36+J36+L36+M36+N36)</f>
        <v>0.28068319158208765</v>
      </c>
      <c r="O37" s="1503"/>
    </row>
    <row r="38" spans="1:15" ht="12" customHeight="1">
      <c r="A38" s="1517"/>
      <c r="B38" s="1502" t="s">
        <v>14939</v>
      </c>
      <c r="C38" s="638" t="s">
        <v>6218</v>
      </c>
      <c r="D38" s="639">
        <v>71208</v>
      </c>
      <c r="E38" s="639">
        <v>42395</v>
      </c>
      <c r="F38" s="640">
        <f t="shared" si="0"/>
        <v>113603</v>
      </c>
      <c r="G38" s="639">
        <v>115739</v>
      </c>
      <c r="H38" s="639">
        <v>12749</v>
      </c>
      <c r="I38" s="639"/>
      <c r="J38" s="639"/>
      <c r="K38" s="640">
        <f t="shared" si="1"/>
        <v>128488</v>
      </c>
      <c r="L38" s="639">
        <v>22945</v>
      </c>
      <c r="M38" s="639">
        <v>10323</v>
      </c>
      <c r="N38" s="639">
        <v>166692</v>
      </c>
      <c r="O38" s="1503">
        <f>1-N39</f>
        <v>0.62291228840111201</v>
      </c>
    </row>
    <row r="39" spans="1:15" ht="12" customHeight="1">
      <c r="A39" s="1517"/>
      <c r="B39" s="1502"/>
      <c r="C39" s="635" t="s">
        <v>6219</v>
      </c>
      <c r="D39" s="636">
        <f>D38/(D38+E38+G38+H38+I38+J38+L38+M38+N38)</f>
        <v>0.16108548561138872</v>
      </c>
      <c r="E39" s="636">
        <f>E38/(D38+E38+G38+H38+I38+J38+L38+M38+N38)</f>
        <v>9.59052236054211E-2</v>
      </c>
      <c r="F39" s="637">
        <f t="shared" si="0"/>
        <v>0.25699070921680983</v>
      </c>
      <c r="G39" s="636">
        <f>G38/(D38+E38+G38+H38+I38+J38+L38+M38+N38)</f>
        <v>0.2618227308613712</v>
      </c>
      <c r="H39" s="636">
        <f>H38/(D38+E38+G38+H38+I38+J38+L38+M38+N38)</f>
        <v>2.8840563645371235E-2</v>
      </c>
      <c r="I39" s="636">
        <f>I38/(D38+E38+G38+H38+I38+J38+L38+M38+N38)</f>
        <v>0</v>
      </c>
      <c r="J39" s="636">
        <f>J38/(D38+E38+G38+H38+I38+J38+L38+M38+N38)</f>
        <v>0</v>
      </c>
      <c r="K39" s="637">
        <f t="shared" si="1"/>
        <v>0.29066329450674244</v>
      </c>
      <c r="L39" s="636">
        <f>L38/(D38+E38+G38+H38+I38+J38+L38+M38+N38)</f>
        <v>5.1905775577931051E-2</v>
      </c>
      <c r="M39" s="636">
        <f>M38/(D38+E38+G38+H38+I38+J38+L38+M38+N38)</f>
        <v>2.3352509099628774E-2</v>
      </c>
      <c r="N39" s="636">
        <f>N38/(D38+E38+G38+H38+I38+J38+L38+M38+N38)</f>
        <v>0.37708771159888793</v>
      </c>
      <c r="O39" s="1503"/>
    </row>
    <row r="40" spans="1:15" ht="12" customHeight="1">
      <c r="A40" s="1517"/>
      <c r="B40" s="1502" t="s">
        <v>14940</v>
      </c>
      <c r="C40" s="638" t="s">
        <v>6218</v>
      </c>
      <c r="D40" s="639">
        <v>84450</v>
      </c>
      <c r="E40" s="639">
        <v>37313</v>
      </c>
      <c r="F40" s="640">
        <f t="shared" si="0"/>
        <v>121763</v>
      </c>
      <c r="G40" s="639">
        <v>114689</v>
      </c>
      <c r="H40" s="639">
        <v>12992</v>
      </c>
      <c r="I40" s="639"/>
      <c r="J40" s="639"/>
      <c r="K40" s="640">
        <f t="shared" si="1"/>
        <v>127681</v>
      </c>
      <c r="L40" s="639">
        <v>24184</v>
      </c>
      <c r="M40" s="639"/>
      <c r="N40" s="639">
        <v>165164</v>
      </c>
      <c r="O40" s="1503">
        <f>1-N41</f>
        <v>0.62359386679793616</v>
      </c>
    </row>
    <row r="41" spans="1:15" ht="12" customHeight="1" thickBot="1">
      <c r="A41" s="1519"/>
      <c r="B41" s="1514"/>
      <c r="C41" s="641" t="s">
        <v>6219</v>
      </c>
      <c r="D41" s="642">
        <f>D40/(D40+E40+G40+H40+I40+J40+L40+M40+N40)</f>
        <v>0.19246020893726412</v>
      </c>
      <c r="E41" s="642">
        <f>E40/(D40+E40+G40+H40+I40+J40+L40+M40+N40)</f>
        <v>8.5035734471002211E-2</v>
      </c>
      <c r="F41" s="643">
        <f t="shared" si="0"/>
        <v>0.27749594340826633</v>
      </c>
      <c r="G41" s="642">
        <f>G40/(D40+E40+G40+H40+I40+J40+L40+M40+N40)</f>
        <v>0.26137440974311293</v>
      </c>
      <c r="H41" s="642">
        <f>H40/(D40+E40+G40+H40+I40+J40+L40+M40+N40)</f>
        <v>2.9608561687542161E-2</v>
      </c>
      <c r="I41" s="642">
        <f>I40/(D40+E40+G40+H40+I40+J40+L40+M40+N40)</f>
        <v>0</v>
      </c>
      <c r="J41" s="642">
        <f>J40/(D40+E40+G40+H40+I40+J40+L40+M40+N40)</f>
        <v>0</v>
      </c>
      <c r="K41" s="643">
        <f t="shared" si="1"/>
        <v>0.2909829714306551</v>
      </c>
      <c r="L41" s="642">
        <f>L40/(D40+E40+G40+H40+I40+J40+L40+M40+N40)</f>
        <v>5.5114951959014752E-2</v>
      </c>
      <c r="M41" s="642">
        <f>M40/(D40+E40+G40+H40+I40+J40+L40+M40+N40)</f>
        <v>0</v>
      </c>
      <c r="N41" s="642">
        <f>N40/(D40+E40+G40+H40+I40+J40+L40+M40+N40)</f>
        <v>0.37640613320206384</v>
      </c>
      <c r="O41" s="1515"/>
    </row>
    <row r="42" spans="1:15" ht="12" customHeight="1">
      <c r="A42" s="1538" t="s">
        <v>14945</v>
      </c>
      <c r="B42" s="1536" t="s">
        <v>14937</v>
      </c>
      <c r="C42" s="632" t="s">
        <v>6218</v>
      </c>
      <c r="D42" s="633">
        <v>69224</v>
      </c>
      <c r="E42" s="633">
        <v>29084</v>
      </c>
      <c r="F42" s="634">
        <f t="shared" si="0"/>
        <v>98308</v>
      </c>
      <c r="G42" s="633">
        <v>117382</v>
      </c>
      <c r="H42" s="633">
        <v>9305</v>
      </c>
      <c r="I42" s="633">
        <v>4660</v>
      </c>
      <c r="J42" s="633">
        <v>6047</v>
      </c>
      <c r="K42" s="634">
        <f t="shared" si="1"/>
        <v>137394</v>
      </c>
      <c r="L42" s="633">
        <v>19088</v>
      </c>
      <c r="M42" s="633">
        <v>7296</v>
      </c>
      <c r="N42" s="633">
        <v>185100</v>
      </c>
      <c r="O42" s="1537">
        <f>1-N43</f>
        <v>0.5860782761535468</v>
      </c>
    </row>
    <row r="43" spans="1:15" ht="12" customHeight="1">
      <c r="A43" s="1527"/>
      <c r="B43" s="1502"/>
      <c r="C43" s="635" t="s">
        <v>6219</v>
      </c>
      <c r="D43" s="636">
        <f>D42/(D42+E42+G42+H42+I42+J42+L42+M42+N42)</f>
        <v>0.15479912161829754</v>
      </c>
      <c r="E43" s="636">
        <f>E42/(D42+E42+G42+H42+I42+J42+L42+M42+N42)</f>
        <v>6.5037814242843023E-2</v>
      </c>
      <c r="F43" s="637">
        <f t="shared" si="0"/>
        <v>0.21983693586114056</v>
      </c>
      <c r="G43" s="636">
        <f>G42/(D42+E42+G42+H42+I42+J42+L42+M42+N42)</f>
        <v>0.26249032840920783</v>
      </c>
      <c r="H43" s="636">
        <f>H42/(D42+E42+G42+H42+I42+J42+L42+M42+N42)</f>
        <v>2.080789649049836E-2</v>
      </c>
      <c r="I43" s="636">
        <f>I42/(D42+E42+G42+H42+I42+J42+L42+M42+N42)</f>
        <v>1.0420719789975537E-2</v>
      </c>
      <c r="J43" s="636">
        <f>J42/(D42+E42+G42+H42+I42+J42+L42+M42+N42)</f>
        <v>1.3522337461369542E-2</v>
      </c>
      <c r="K43" s="637">
        <f t="shared" si="1"/>
        <v>0.30724128215105129</v>
      </c>
      <c r="L43" s="636">
        <f>L42/(D42+E42+G42+H42+I42+J42+L42+M42+N42)</f>
        <v>4.2684699431556443E-2</v>
      </c>
      <c r="M43" s="636">
        <f>M42/(D42+E42+G42+H42+I42+J42+L42+M42+N42)</f>
        <v>1.6315358709798607E-2</v>
      </c>
      <c r="N43" s="636">
        <f>N42/(D42+E42+G42+H42+I42+J42+L42+M42+N42)</f>
        <v>0.41392172384645315</v>
      </c>
      <c r="O43" s="1503"/>
    </row>
    <row r="44" spans="1:15" ht="12" customHeight="1">
      <c r="A44" s="1527"/>
      <c r="B44" s="1502" t="s">
        <v>14938</v>
      </c>
      <c r="C44" s="638" t="s">
        <v>6218</v>
      </c>
      <c r="D44" s="639">
        <v>96167</v>
      </c>
      <c r="E44" s="639">
        <v>31514</v>
      </c>
      <c r="F44" s="640">
        <f t="shared" si="0"/>
        <v>127681</v>
      </c>
      <c r="G44" s="639">
        <v>108166</v>
      </c>
      <c r="H44" s="639">
        <v>16729</v>
      </c>
      <c r="I44" s="639"/>
      <c r="J44" s="639"/>
      <c r="K44" s="640">
        <f t="shared" si="1"/>
        <v>124895</v>
      </c>
      <c r="L44" s="639">
        <v>20397</v>
      </c>
      <c r="M44" s="639">
        <v>33749</v>
      </c>
      <c r="N44" s="639">
        <v>140823</v>
      </c>
      <c r="O44" s="1503">
        <f>1-N45</f>
        <v>0.68534337329207118</v>
      </c>
    </row>
    <row r="45" spans="1:15" ht="12" customHeight="1">
      <c r="A45" s="1527"/>
      <c r="B45" s="1502"/>
      <c r="C45" s="635" t="s">
        <v>6219</v>
      </c>
      <c r="D45" s="636">
        <f>D44/(D44+E44+G44+H44+I44+J44+L44+M44+N44)</f>
        <v>0.21487671630785732</v>
      </c>
      <c r="E45" s="636">
        <f>E44/(D44+E44+G44+H44+I44+J44+L44+M44+N44)</f>
        <v>7.0415265504027533E-2</v>
      </c>
      <c r="F45" s="637">
        <f t="shared" si="0"/>
        <v>0.28529198181188486</v>
      </c>
      <c r="G45" s="636">
        <f>G44/(D44+E44+G44+H44+I44+J44+L44+M44+N44)</f>
        <v>0.24168742807985788</v>
      </c>
      <c r="H45" s="636">
        <f>H44/(D44+E44+G44+H44+I44+J44+L44+M44+N44)</f>
        <v>3.7379481392932554E-2</v>
      </c>
      <c r="I45" s="636">
        <f>I44/(D44+E44+G44+H44+I44+J44+L44+M44+N44)</f>
        <v>0</v>
      </c>
      <c r="J45" s="636">
        <f>J44/(D44+E44+G44+H44+I44+J44+L44+M44+N44)</f>
        <v>0</v>
      </c>
      <c r="K45" s="637">
        <f t="shared" si="1"/>
        <v>0.27906690947279045</v>
      </c>
      <c r="L45" s="636">
        <f>L44/(D44+E44+G44+H44+I44+J44+L44+M44+N44)</f>
        <v>4.5575305276564365E-2</v>
      </c>
      <c r="M45" s="636">
        <f>M44/(D44+E44+G44+H44+I44+J44+L44+M44+N44)</f>
        <v>7.5409176730831542E-2</v>
      </c>
      <c r="N45" s="636">
        <f>N44/(D44+E44+G44+H44+I44+J44+L44+M44+N44)</f>
        <v>0.31465662670792882</v>
      </c>
      <c r="O45" s="1503"/>
    </row>
    <row r="46" spans="1:15" ht="12" customHeight="1">
      <c r="A46" s="1527"/>
      <c r="B46" s="1502" t="s">
        <v>14939</v>
      </c>
      <c r="C46" s="638" t="s">
        <v>6218</v>
      </c>
      <c r="D46" s="639">
        <v>70992</v>
      </c>
      <c r="E46" s="639">
        <v>36177</v>
      </c>
      <c r="F46" s="640">
        <f t="shared" si="0"/>
        <v>107169</v>
      </c>
      <c r="G46" s="639">
        <v>113204</v>
      </c>
      <c r="H46" s="639">
        <v>12413</v>
      </c>
      <c r="I46" s="639"/>
      <c r="J46" s="639"/>
      <c r="K46" s="640">
        <f t="shared" si="1"/>
        <v>125617</v>
      </c>
      <c r="L46" s="639">
        <v>20131</v>
      </c>
      <c r="M46" s="639">
        <v>8297</v>
      </c>
      <c r="N46" s="639">
        <v>187347</v>
      </c>
      <c r="O46" s="1503">
        <f>1-N47</f>
        <v>0.58233774224687385</v>
      </c>
    </row>
    <row r="47" spans="1:15" ht="12" customHeight="1">
      <c r="A47" s="1527"/>
      <c r="B47" s="1502"/>
      <c r="C47" s="635" t="s">
        <v>6219</v>
      </c>
      <c r="D47" s="636">
        <f>D46/(D46+E46+G46+H46+I46+J46+L46+M46+N46)</f>
        <v>0.15826609981697026</v>
      </c>
      <c r="E47" s="636">
        <f>E46/(D46+E46+G46+H46+I46+J46+L46+M46+N46)</f>
        <v>8.0651238070184428E-2</v>
      </c>
      <c r="F47" s="637">
        <f t="shared" si="0"/>
        <v>0.23891733788715469</v>
      </c>
      <c r="G47" s="636">
        <f>G46/(D46+E46+G46+H46+I46+J46+L46+M46+N46)</f>
        <v>0.25237147233040769</v>
      </c>
      <c r="H47" s="636">
        <f>H46/(D46+E46+G46+H46+I46+J46+L46+M46+N46)</f>
        <v>2.7672936345335419E-2</v>
      </c>
      <c r="I47" s="636">
        <f>I46/(D46+E46+G46+H46+I46+J46+L46+M46+N46)</f>
        <v>0</v>
      </c>
      <c r="J47" s="636">
        <f>J46/(D46+E46+G46+H46+I46+J46+L46+M46+N46)</f>
        <v>0</v>
      </c>
      <c r="K47" s="637">
        <f t="shared" si="1"/>
        <v>0.2800444086757431</v>
      </c>
      <c r="L47" s="636">
        <f>L46/(D46+E46+G46+H46+I46+J46+L46+M46+N46)</f>
        <v>4.487906884459416E-2</v>
      </c>
      <c r="M47" s="636">
        <f>M46/(D46+E46+G46+H46+I46+J46+L46+M46+N46)</f>
        <v>1.8496926839381936E-2</v>
      </c>
      <c r="N47" s="636">
        <f>N46/(D46+E46+G46+H46+I46+J46+L46+M46+N46)</f>
        <v>0.4176622577531261</v>
      </c>
      <c r="O47" s="1503"/>
    </row>
    <row r="48" spans="1:15" ht="12" customHeight="1">
      <c r="A48" s="1527"/>
      <c r="B48" s="1502" t="s">
        <v>14940</v>
      </c>
      <c r="C48" s="638" t="s">
        <v>6218</v>
      </c>
      <c r="D48" s="639">
        <v>91265</v>
      </c>
      <c r="E48" s="639">
        <v>33943</v>
      </c>
      <c r="F48" s="640">
        <f t="shared" si="0"/>
        <v>125208</v>
      </c>
      <c r="G48" s="639">
        <v>109187</v>
      </c>
      <c r="H48" s="639">
        <v>16661</v>
      </c>
      <c r="I48" s="639"/>
      <c r="J48" s="639"/>
      <c r="K48" s="640">
        <f t="shared" si="1"/>
        <v>125848</v>
      </c>
      <c r="L48" s="639">
        <v>22366</v>
      </c>
      <c r="M48" s="639"/>
      <c r="N48" s="639">
        <v>174724</v>
      </c>
      <c r="O48" s="1503">
        <f>1-N49</f>
        <v>0.61011813114476088</v>
      </c>
    </row>
    <row r="49" spans="1:15" ht="12" customHeight="1" thickBot="1">
      <c r="A49" s="1528"/>
      <c r="B49" s="1514"/>
      <c r="C49" s="641" t="s">
        <v>6219</v>
      </c>
      <c r="D49" s="642">
        <f>D48/(D48+E48+G48+H48+I48+J48+L48+M48+N48)</f>
        <v>0.20365014972799042</v>
      </c>
      <c r="E49" s="642">
        <f>E48/(D48+E48+G48+H48+I48+J48+L48+M48+N48)</f>
        <v>7.5740941568149672E-2</v>
      </c>
      <c r="F49" s="643">
        <f t="shared" si="0"/>
        <v>0.27939109129614009</v>
      </c>
      <c r="G49" s="642">
        <f>G48/(D48+E48+G48+H48+I48+J48+L48+M48+N48)</f>
        <v>0.24364158109187631</v>
      </c>
      <c r="H49" s="642">
        <f>H48/(D48+E48+G48+H48+I48+J48+L48+M48+N48)</f>
        <v>3.7177616223284374E-2</v>
      </c>
      <c r="I49" s="642">
        <f>I48/(D48+E48+G48+H48+I48+J48+L48+M48+N48)</f>
        <v>0</v>
      </c>
      <c r="J49" s="642">
        <f>J48/(D48+E48+G48+H48+I48+J48+L48+M48+N48)</f>
        <v>0</v>
      </c>
      <c r="K49" s="643">
        <f t="shared" si="1"/>
        <v>0.2808191973151607</v>
      </c>
      <c r="L49" s="642">
        <f>L48/(D48+E48+G48+H48+I48+J48+L48+M48+N48)</f>
        <v>4.9907842533460076E-2</v>
      </c>
      <c r="M49" s="642">
        <f>M48/(D48+E48+G48+H48+I48+J48+L48+M48+N48)</f>
        <v>0</v>
      </c>
      <c r="N49" s="642">
        <f>N48/(D48+E48+G48+H48+I48+J48+L48+M48+N48)</f>
        <v>0.38988186885523912</v>
      </c>
      <c r="O49" s="1515"/>
    </row>
    <row r="50" spans="1:15" ht="12" customHeight="1">
      <c r="A50" s="1538" t="s">
        <v>14946</v>
      </c>
      <c r="B50" s="1536" t="s">
        <v>14937</v>
      </c>
      <c r="C50" s="632" t="s">
        <v>6218</v>
      </c>
      <c r="D50" s="633">
        <v>44893</v>
      </c>
      <c r="E50" s="633">
        <v>22752</v>
      </c>
      <c r="F50" s="634">
        <f t="shared" si="0"/>
        <v>67645</v>
      </c>
      <c r="G50" s="633">
        <v>68191</v>
      </c>
      <c r="H50" s="633">
        <v>5902</v>
      </c>
      <c r="I50" s="633">
        <v>3622</v>
      </c>
      <c r="J50" s="633">
        <v>3747</v>
      </c>
      <c r="K50" s="634">
        <f t="shared" si="1"/>
        <v>81462</v>
      </c>
      <c r="L50" s="633">
        <v>12863</v>
      </c>
      <c r="M50" s="633">
        <v>4527</v>
      </c>
      <c r="N50" s="633">
        <v>118658</v>
      </c>
      <c r="O50" s="1537">
        <f>1-N51</f>
        <v>0.58388244989567073</v>
      </c>
    </row>
    <row r="51" spans="1:15" ht="12" customHeight="1">
      <c r="A51" s="1527"/>
      <c r="B51" s="1502"/>
      <c r="C51" s="635" t="s">
        <v>6219</v>
      </c>
      <c r="D51" s="636">
        <f>D50/(D50+E50+G50+H50+I50+J50+L50+M50+N50)</f>
        <v>0.15743367642159528</v>
      </c>
      <c r="E51" s="636">
        <f>E50/(D50+E50+G50+H50+I50+J50+L50+M50+N50)</f>
        <v>7.9788185372867387E-2</v>
      </c>
      <c r="F51" s="637">
        <f t="shared" si="0"/>
        <v>0.23722186179446267</v>
      </c>
      <c r="G51" s="636">
        <f>G50/(D50+E50+G50+H50+I50+J50+L50+M50+N50)</f>
        <v>0.23913660991390648</v>
      </c>
      <c r="H51" s="636">
        <f>H50/(D50+E50+G50+H50+I50+J50+L50+M50+N50)</f>
        <v>2.0697515386368819E-2</v>
      </c>
      <c r="I51" s="636">
        <f>I50/(D50+E50+G50+H50+I50+J50+L50+M50+N50)</f>
        <v>1.2701863898581474E-2</v>
      </c>
      <c r="J51" s="636">
        <f>J50/(D50+E50+G50+H50+I50+J50+L50+M50+N50)</f>
        <v>1.3140221984534727E-2</v>
      </c>
      <c r="K51" s="637">
        <f t="shared" si="1"/>
        <v>0.28567621118339148</v>
      </c>
      <c r="L51" s="636">
        <f>L50/(D50+E50+G50+H50+I50+J50+L50+M50+N50)</f>
        <v>4.5108800476933594E-2</v>
      </c>
      <c r="M51" s="636">
        <f>M50/(D50+E50+G50+H50+I50+J50+L50+M50+N50)</f>
        <v>1.5875576440883027E-2</v>
      </c>
      <c r="N51" s="636">
        <f>N50/(D50+E50+G50+H50+I50+J50+L50+M50+N50)</f>
        <v>0.41611755010432921</v>
      </c>
      <c r="O51" s="1503"/>
    </row>
    <row r="52" spans="1:15" ht="12" customHeight="1">
      <c r="A52" s="1527"/>
      <c r="B52" s="1502" t="s">
        <v>14938</v>
      </c>
      <c r="C52" s="638" t="s">
        <v>6218</v>
      </c>
      <c r="D52" s="639">
        <v>40588</v>
      </c>
      <c r="E52" s="639">
        <v>22427</v>
      </c>
      <c r="F52" s="640">
        <f t="shared" si="0"/>
        <v>63015</v>
      </c>
      <c r="G52" s="639">
        <v>48631</v>
      </c>
      <c r="H52" s="639">
        <v>7829</v>
      </c>
      <c r="I52" s="639"/>
      <c r="J52" s="639"/>
      <c r="K52" s="640">
        <f t="shared" si="1"/>
        <v>56460</v>
      </c>
      <c r="L52" s="639">
        <v>12561</v>
      </c>
      <c r="M52" s="639">
        <v>67542</v>
      </c>
      <c r="N52" s="639">
        <v>86942</v>
      </c>
      <c r="O52" s="1503">
        <f>1-N53</f>
        <v>0.69655870445344137</v>
      </c>
    </row>
    <row r="53" spans="1:15" ht="12" customHeight="1">
      <c r="A53" s="1527"/>
      <c r="B53" s="1502"/>
      <c r="C53" s="635" t="s">
        <v>6219</v>
      </c>
      <c r="D53" s="636">
        <f>D52/(D52+E52+G52+H52+I52+J52+L52+M52+N52)</f>
        <v>0.14165852296523804</v>
      </c>
      <c r="E53" s="636">
        <f>E52/(D52+E52+G52+H52+I52+J52+L52+M52+N52)</f>
        <v>7.8273767974312444E-2</v>
      </c>
      <c r="F53" s="637">
        <f t="shared" si="0"/>
        <v>0.21993229093955047</v>
      </c>
      <c r="G53" s="636">
        <f>G52/(D52+E52+G52+H52+I52+J52+L52+M52+N52)</f>
        <v>0.16972986178975288</v>
      </c>
      <c r="H53" s="636">
        <f>H52/(D52+E52+G52+H52+I52+J52+L52+M52+N52)</f>
        <v>2.7324445064916936E-2</v>
      </c>
      <c r="I53" s="636">
        <f>I52/(D52+E52+G52+H52+I52+J52+L52+M52+N52)</f>
        <v>0</v>
      </c>
      <c r="J53" s="636">
        <f>J52/(D52+E52+G52+H52+I52+J52+L52+M52+N52)</f>
        <v>0</v>
      </c>
      <c r="K53" s="637">
        <f t="shared" si="1"/>
        <v>0.19705430685466982</v>
      </c>
      <c r="L53" s="636">
        <f>L52/(D52+E52+G52+H52+I52+J52+L52+M52+N52)</f>
        <v>4.3839871562194613E-2</v>
      </c>
      <c r="M53" s="636">
        <f>M52/(D52+E52+G52+H52+I52+J52+L52+M52+N52)</f>
        <v>0.2357322350970264</v>
      </c>
      <c r="N53" s="636">
        <f>N52/(D52+E52+G52+H52+I52+J52+L52+M52+N52)</f>
        <v>0.30344129554655869</v>
      </c>
      <c r="O53" s="1503"/>
    </row>
    <row r="54" spans="1:15" ht="12" customHeight="1">
      <c r="A54" s="1527"/>
      <c r="B54" s="1502" t="s">
        <v>14939</v>
      </c>
      <c r="C54" s="638" t="s">
        <v>6218</v>
      </c>
      <c r="D54" s="639">
        <v>48343</v>
      </c>
      <c r="E54" s="639">
        <v>28806</v>
      </c>
      <c r="F54" s="640">
        <f t="shared" si="0"/>
        <v>77149</v>
      </c>
      <c r="G54" s="639">
        <v>65614</v>
      </c>
      <c r="H54" s="639">
        <v>7713</v>
      </c>
      <c r="I54" s="639"/>
      <c r="J54" s="639"/>
      <c r="K54" s="640">
        <f t="shared" si="1"/>
        <v>73327</v>
      </c>
      <c r="L54" s="639">
        <v>14409</v>
      </c>
      <c r="M54" s="639">
        <v>5796</v>
      </c>
      <c r="N54" s="639">
        <v>117746</v>
      </c>
      <c r="O54" s="1503">
        <f>1-N55</f>
        <v>0.59176498732781613</v>
      </c>
    </row>
    <row r="55" spans="1:15" ht="12" customHeight="1">
      <c r="A55" s="1527"/>
      <c r="B55" s="1502"/>
      <c r="C55" s="635" t="s">
        <v>6219</v>
      </c>
      <c r="D55" s="636">
        <f>D54/(D54+E54+G54+H54+I54+J54+L54+M54+N54)</f>
        <v>0.16760913506710537</v>
      </c>
      <c r="E55" s="636">
        <f>E54/(D54+E54+G54+H54+I54+J54+L54+M54+N54)</f>
        <v>9.98727580982363E-2</v>
      </c>
      <c r="F55" s="637">
        <f t="shared" si="0"/>
        <v>0.26748189316534166</v>
      </c>
      <c r="G55" s="636">
        <f>G54/(D54+E54+G54+H54+I54+J54+L54+M54+N54)</f>
        <v>0.22748910469546887</v>
      </c>
      <c r="H55" s="636">
        <f>H54/(D54+E54+G54+H54+I54+J54+L54+M54+N54)</f>
        <v>2.6741601861129505E-2</v>
      </c>
      <c r="I55" s="636">
        <f>I54/(D54+E54+G54+H54+I54+J54+L54+M54+N54)</f>
        <v>0</v>
      </c>
      <c r="J55" s="636">
        <f>J54/(D54+E54+G54+H54+I54+J54+L54+M54+N54)</f>
        <v>0</v>
      </c>
      <c r="K55" s="637">
        <f t="shared" si="1"/>
        <v>0.25423070655659841</v>
      </c>
      <c r="L55" s="636">
        <f>L54/(D54+E54+G54+H54+I54+J54+L54+M54+N54)</f>
        <v>4.9957181539869708E-2</v>
      </c>
      <c r="M55" s="636">
        <f>M54/(D54+E54+G54+H54+I54+J54+L54+M54+N54)</f>
        <v>2.0095206066006302E-2</v>
      </c>
      <c r="N55" s="636">
        <f>N54/(D54+E54+G54+H54+I54+J54+L54+M54+N54)</f>
        <v>0.40823501267218393</v>
      </c>
      <c r="O55" s="1503"/>
    </row>
    <row r="56" spans="1:15" ht="12" customHeight="1">
      <c r="A56" s="1527"/>
      <c r="B56" s="1502" t="s">
        <v>14940</v>
      </c>
      <c r="C56" s="638" t="s">
        <v>6218</v>
      </c>
      <c r="D56" s="639">
        <v>54150</v>
      </c>
      <c r="E56" s="639">
        <v>28068</v>
      </c>
      <c r="F56" s="640">
        <f t="shared" si="0"/>
        <v>82218</v>
      </c>
      <c r="G56" s="639">
        <v>64003</v>
      </c>
      <c r="H56" s="639">
        <v>8668</v>
      </c>
      <c r="I56" s="639"/>
      <c r="J56" s="639"/>
      <c r="K56" s="640">
        <f t="shared" si="1"/>
        <v>72671</v>
      </c>
      <c r="L56" s="639">
        <v>15300</v>
      </c>
      <c r="M56" s="639"/>
      <c r="N56" s="639">
        <v>118297</v>
      </c>
      <c r="O56" s="1503">
        <f>1-N57</f>
        <v>0.58993850654797808</v>
      </c>
    </row>
    <row r="57" spans="1:15" ht="12" customHeight="1" thickBot="1">
      <c r="A57" s="1528"/>
      <c r="B57" s="1514"/>
      <c r="C57" s="641" t="s">
        <v>6219</v>
      </c>
      <c r="D57" s="642">
        <f>D56/(D56+E56+G56+H56+I56+J56+L56+M56+N56)</f>
        <v>0.18770408269378758</v>
      </c>
      <c r="E57" s="642">
        <f>E56/(D56+E56+G56+H56+I56+J56+L56+M56+N56)</f>
        <v>9.7294149456126119E-2</v>
      </c>
      <c r="F57" s="643">
        <f t="shared" si="0"/>
        <v>0.28499823214991371</v>
      </c>
      <c r="G57" s="642">
        <f>G56/(D56+E56+G56+H56+I56+J56+L56+M56+N56)</f>
        <v>0.2218582530868049</v>
      </c>
      <c r="H57" s="642">
        <f>H56/(D56+E56+G56+H56+I56+J56+L56+M56+N56)</f>
        <v>3.0046518721879051E-2</v>
      </c>
      <c r="I57" s="642">
        <f>I56/(D56+E56+G56+H56+I56+J56+L56+M56+N56)</f>
        <v>0</v>
      </c>
      <c r="J57" s="642">
        <f>J56/(D56+E56+G56+H56+I56+J56+L56+M56+N56)</f>
        <v>0</v>
      </c>
      <c r="K57" s="643">
        <f t="shared" si="1"/>
        <v>0.25190477180868398</v>
      </c>
      <c r="L57" s="642">
        <f>L56/(D56+E56+G56+H56+I56+J56+L56+M56+N56)</f>
        <v>5.3035502589380418E-2</v>
      </c>
      <c r="M57" s="642">
        <f>M56/(D56+E56+G56+H56+I56+J56+L56+M56+N56)</f>
        <v>0</v>
      </c>
      <c r="N57" s="642">
        <f>N56/(D56+E56+G56+H56+I56+J56+L56+M56+N56)</f>
        <v>0.41006149345202192</v>
      </c>
      <c r="O57" s="1515"/>
    </row>
    <row r="58" spans="1:15" ht="12" customHeight="1">
      <c r="A58" s="1538" t="s">
        <v>14947</v>
      </c>
      <c r="B58" s="1536" t="s">
        <v>14937</v>
      </c>
      <c r="C58" s="632" t="s">
        <v>6218</v>
      </c>
      <c r="D58" s="633">
        <v>63582</v>
      </c>
      <c r="E58" s="633">
        <v>28398</v>
      </c>
      <c r="F58" s="634">
        <f t="shared" si="0"/>
        <v>91980</v>
      </c>
      <c r="G58" s="633">
        <v>97307</v>
      </c>
      <c r="H58" s="633">
        <v>7459</v>
      </c>
      <c r="I58" s="633">
        <v>5389</v>
      </c>
      <c r="J58" s="633">
        <v>5600</v>
      </c>
      <c r="K58" s="634">
        <f t="shared" si="1"/>
        <v>115755</v>
      </c>
      <c r="L58" s="633">
        <v>18040</v>
      </c>
      <c r="M58" s="633">
        <v>5413</v>
      </c>
      <c r="N58" s="633">
        <v>182002</v>
      </c>
      <c r="O58" s="1537">
        <f>1-N59</f>
        <v>0.55951983349064593</v>
      </c>
    </row>
    <row r="59" spans="1:15" ht="12" customHeight="1">
      <c r="A59" s="1527"/>
      <c r="B59" s="1502"/>
      <c r="C59" s="635" t="s">
        <v>6219</v>
      </c>
      <c r="D59" s="636">
        <f>D58/(D58+E58+G58+H58+I58+J58+L58+M58+N58)</f>
        <v>0.15388078123865534</v>
      </c>
      <c r="E59" s="636">
        <f>E58/(D58+E58+G58+H58+I58+J58+L58+M58+N58)</f>
        <v>6.8728672039497563E-2</v>
      </c>
      <c r="F59" s="637">
        <f t="shared" si="0"/>
        <v>0.2226094532781529</v>
      </c>
      <c r="G59" s="636">
        <f>G58/(D58+E58+G58+H58+I58+J58+L58+M58+N58)</f>
        <v>0.23550182724654517</v>
      </c>
      <c r="H59" s="636">
        <f>H58/(D58+E58+G58+H58+I58+J58+L58+M58+N58)</f>
        <v>1.8052227788668652E-2</v>
      </c>
      <c r="I59" s="636">
        <f>I58/(D58+E58+G58+H58+I58+J58+L58+M58+N58)</f>
        <v>1.3042426002565406E-2</v>
      </c>
      <c r="J59" s="636">
        <f>J58/(D58+E58+G58+H58+I58+J58+L58+M58+N58)</f>
        <v>1.3553086957573998E-2</v>
      </c>
      <c r="K59" s="637">
        <f t="shared" si="1"/>
        <v>0.28014956799535323</v>
      </c>
      <c r="L59" s="636">
        <f>L58/(D58+E58+G58+H58+I58+J58+L58+M58+N58)</f>
        <v>4.3660301556184805E-2</v>
      </c>
      <c r="M59" s="636">
        <f>M58/(D58+E58+G58+H58+I58+J58+L58+M58+N58)</f>
        <v>1.3100510660955009E-2</v>
      </c>
      <c r="N59" s="636">
        <f>N58/(D58+E58+G58+H58+I58+J58+L58+M58+N58)</f>
        <v>0.44048016650935407</v>
      </c>
      <c r="O59" s="1503"/>
    </row>
    <row r="60" spans="1:15" ht="12" customHeight="1">
      <c r="A60" s="1527"/>
      <c r="B60" s="1502" t="s">
        <v>14938</v>
      </c>
      <c r="C60" s="638" t="s">
        <v>6218</v>
      </c>
      <c r="D60" s="639">
        <v>81402</v>
      </c>
      <c r="E60" s="639">
        <v>32021</v>
      </c>
      <c r="F60" s="640">
        <f t="shared" si="0"/>
        <v>113423</v>
      </c>
      <c r="G60" s="639">
        <v>97307</v>
      </c>
      <c r="H60" s="639">
        <v>13348</v>
      </c>
      <c r="I60" s="639"/>
      <c r="J60" s="639"/>
      <c r="K60" s="640">
        <f t="shared" si="1"/>
        <v>110655</v>
      </c>
      <c r="L60" s="639">
        <v>20467</v>
      </c>
      <c r="M60" s="639">
        <v>25493</v>
      </c>
      <c r="N60" s="639">
        <v>146952</v>
      </c>
      <c r="O60" s="1503">
        <f>1-N61</f>
        <v>0.6475886711911556</v>
      </c>
    </row>
    <row r="61" spans="1:15" ht="12" customHeight="1">
      <c r="A61" s="1527"/>
      <c r="B61" s="1502"/>
      <c r="C61" s="635" t="s">
        <v>6219</v>
      </c>
      <c r="D61" s="636">
        <f>D60/(D60+E60+G60+H60+I60+J60+L60+M60+N60)</f>
        <v>0.19521331446797285</v>
      </c>
      <c r="E61" s="636">
        <f>E60/(D60+E60+G60+H60+I60+J60+L60+M60+N60)</f>
        <v>7.6790810331182999E-2</v>
      </c>
      <c r="F61" s="637">
        <f t="shared" si="0"/>
        <v>0.27200412479915587</v>
      </c>
      <c r="G61" s="636">
        <f>G60/(D60+E60+G60+H60+I60+J60+L60+M60+N60)</f>
        <v>0.23335571596441163</v>
      </c>
      <c r="H61" s="636">
        <f>H60/(D60+E60+G60+H60+I60+J60+L60+M60+N60)</f>
        <v>3.2010359960670517E-2</v>
      </c>
      <c r="I61" s="636">
        <f>I60/(D60+E60+G60+H60+I60+J60+L60+M60+N60)</f>
        <v>0</v>
      </c>
      <c r="J61" s="636">
        <f>J60/(D60+E60+G60+H60+I60+J60+L60+M60+N60)</f>
        <v>0</v>
      </c>
      <c r="K61" s="637">
        <f t="shared" si="1"/>
        <v>0.26536607592508216</v>
      </c>
      <c r="L61" s="636">
        <f>L60/(D60+E60+G60+H60+I60+J60+L60+M60+N60)</f>
        <v>4.9082711815631071E-2</v>
      </c>
      <c r="M61" s="636">
        <f>M60/(D60+E60+G60+H60+I60+J60+L60+M60+N60)</f>
        <v>6.1135758651286599E-2</v>
      </c>
      <c r="N61" s="636">
        <f>N60/(D60+E60+G60+H60+I60+J60+L60+M60+N60)</f>
        <v>0.35241132880884435</v>
      </c>
      <c r="O61" s="1503"/>
    </row>
    <row r="62" spans="1:15" ht="12" customHeight="1">
      <c r="A62" s="1527"/>
      <c r="B62" s="1502" t="s">
        <v>14939</v>
      </c>
      <c r="C62" s="638" t="s">
        <v>6218</v>
      </c>
      <c r="D62" s="639">
        <v>63474</v>
      </c>
      <c r="E62" s="639">
        <v>35095</v>
      </c>
      <c r="F62" s="640">
        <f t="shared" si="0"/>
        <v>98569</v>
      </c>
      <c r="G62" s="639">
        <v>94785</v>
      </c>
      <c r="H62" s="639">
        <v>10301</v>
      </c>
      <c r="I62" s="639"/>
      <c r="J62" s="639"/>
      <c r="K62" s="640">
        <f t="shared" si="1"/>
        <v>105086</v>
      </c>
      <c r="L62" s="639">
        <v>18451</v>
      </c>
      <c r="M62" s="639">
        <v>6777</v>
      </c>
      <c r="N62" s="639">
        <v>190546</v>
      </c>
      <c r="O62" s="1503">
        <f>1-N63</f>
        <v>0.54570141788002258</v>
      </c>
    </row>
    <row r="63" spans="1:15" ht="12" customHeight="1">
      <c r="A63" s="1527"/>
      <c r="B63" s="1502"/>
      <c r="C63" s="635" t="s">
        <v>6219</v>
      </c>
      <c r="D63" s="636">
        <f>D62/(D62+E62+G62+H62+I62+J62+L62+M62+N62)</f>
        <v>0.15133431403169548</v>
      </c>
      <c r="E63" s="636">
        <f>E62/(D62+E62+G62+H62+I62+J62+L62+M62+N62)</f>
        <v>8.3673279625395475E-2</v>
      </c>
      <c r="F63" s="637">
        <f t="shared" si="0"/>
        <v>0.23500759365709095</v>
      </c>
      <c r="G63" s="636">
        <f>G62/(D62+E62+G62+H62+I62+J62+L62+M62+N62)</f>
        <v>0.22598580451041775</v>
      </c>
      <c r="H63" s="636">
        <f>H62/(D62+E62+G62+H62+I62+J62+L62+M62+N62)</f>
        <v>2.4559579809693654E-2</v>
      </c>
      <c r="I63" s="636">
        <f>I62/(D62+E62+G62+H62+I62+J62+L62+M62+N62)</f>
        <v>0</v>
      </c>
      <c r="J63" s="636">
        <f>J62/(D62+E62+G62+H62+I62+J62+L62+M62+N62)</f>
        <v>0</v>
      </c>
      <c r="K63" s="637">
        <f t="shared" si="1"/>
        <v>0.25054538432011142</v>
      </c>
      <c r="L63" s="636">
        <f>L62/(D62+E62+G62+H62+I62+J62+L62+M62+N62)</f>
        <v>4.3990758865028408E-2</v>
      </c>
      <c r="M63" s="636">
        <f>M62/(D62+E62+G62+H62+I62+J62+L62+M62+N62)</f>
        <v>1.6157681037791857E-2</v>
      </c>
      <c r="N63" s="636">
        <f>N62/(D62+E62+G62+H62+I62+J62+L62+M62+N62)</f>
        <v>0.45429858211997742</v>
      </c>
      <c r="O63" s="1503"/>
    </row>
    <row r="64" spans="1:15" ht="12" customHeight="1">
      <c r="A64" s="1527"/>
      <c r="B64" s="1502" t="s">
        <v>14940</v>
      </c>
      <c r="C64" s="638" t="s">
        <v>6218</v>
      </c>
      <c r="D64" s="639">
        <v>78814</v>
      </c>
      <c r="E64" s="639">
        <v>36603</v>
      </c>
      <c r="F64" s="640">
        <f t="shared" si="0"/>
        <v>115417</v>
      </c>
      <c r="G64" s="639">
        <v>100104</v>
      </c>
      <c r="H64" s="639">
        <v>11642</v>
      </c>
      <c r="I64" s="639"/>
      <c r="J64" s="639"/>
      <c r="K64" s="640">
        <f t="shared" si="1"/>
        <v>111746</v>
      </c>
      <c r="L64" s="639">
        <v>20194</v>
      </c>
      <c r="M64" s="639"/>
      <c r="N64" s="639">
        <v>172728</v>
      </c>
      <c r="O64" s="1503">
        <f>1-N65</f>
        <v>0.58882607091421968</v>
      </c>
    </row>
    <row r="65" spans="1:15" ht="12" customHeight="1" thickBot="1">
      <c r="A65" s="1528"/>
      <c r="B65" s="1514"/>
      <c r="C65" s="641" t="s">
        <v>6219</v>
      </c>
      <c r="D65" s="642">
        <f>D64/(D64+E64+G64+H64+I64+J64+L64+M64+N64)</f>
        <v>0.18761441136912768</v>
      </c>
      <c r="E65" s="642">
        <f>E64/(D64+E64+G64+H64+I64+J64+L64+M64+N64)</f>
        <v>8.7132366068771797E-2</v>
      </c>
      <c r="F65" s="643">
        <f t="shared" si="0"/>
        <v>0.27474677743789949</v>
      </c>
      <c r="G65" s="642">
        <f>G64/(D64+E64+G64+H64+I64+J64+L64+M64+N64)</f>
        <v>0.23829463084851876</v>
      </c>
      <c r="H65" s="642">
        <f>H64/(D64+E64+G64+H64+I64+J64+L64+M64+N64)</f>
        <v>2.7713438946879797E-2</v>
      </c>
      <c r="I65" s="642">
        <f>I64/(D64+E64+G64+H64+I64+J64+L64+M64+N64)</f>
        <v>0</v>
      </c>
      <c r="J65" s="642">
        <f>J64/(D64+E64+G64+H64+I64+J64+L64+M64+N64)</f>
        <v>0</v>
      </c>
      <c r="K65" s="643">
        <f t="shared" si="1"/>
        <v>0.26600806979539854</v>
      </c>
      <c r="L65" s="642">
        <f>L64/(D64+E64+G64+H64+I64+J64+L64+M64+N64)</f>
        <v>4.8071223680921718E-2</v>
      </c>
      <c r="M65" s="642">
        <f>M64/(D64+E64+G64+H64+I64+J64+L64+M64+N64)</f>
        <v>0</v>
      </c>
      <c r="N65" s="642">
        <f>N64/(D64+E64+G64+H64+I64+J64+L64+M64+N64)</f>
        <v>0.41117392908578027</v>
      </c>
      <c r="O65" s="1515"/>
    </row>
    <row r="66" spans="1:15" ht="12" customHeight="1">
      <c r="A66" s="1538" t="s">
        <v>14948</v>
      </c>
      <c r="B66" s="1536" t="s">
        <v>14937</v>
      </c>
      <c r="C66" s="632" t="s">
        <v>6218</v>
      </c>
      <c r="D66" s="633">
        <v>61787</v>
      </c>
      <c r="E66" s="633">
        <v>31969</v>
      </c>
      <c r="F66" s="634">
        <f t="shared" ref="F66:F129" si="2">SUM(D66:E66)</f>
        <v>93756</v>
      </c>
      <c r="G66" s="633">
        <v>117019</v>
      </c>
      <c r="H66" s="633">
        <v>8722</v>
      </c>
      <c r="I66" s="633">
        <v>4525</v>
      </c>
      <c r="J66" s="633">
        <v>5393</v>
      </c>
      <c r="K66" s="634">
        <f t="shared" ref="K66:K129" si="3">SUM(G66:J66)</f>
        <v>135659</v>
      </c>
      <c r="L66" s="633">
        <v>21579</v>
      </c>
      <c r="M66" s="633">
        <v>5708</v>
      </c>
      <c r="N66" s="633">
        <v>163959</v>
      </c>
      <c r="O66" s="1537">
        <f>1-N67</f>
        <v>0.61023484468491263</v>
      </c>
    </row>
    <row r="67" spans="1:15" ht="12" customHeight="1">
      <c r="A67" s="1527"/>
      <c r="B67" s="1502"/>
      <c r="C67" s="635" t="s">
        <v>6219</v>
      </c>
      <c r="D67" s="636">
        <f>D66/(D66+E66+G66+H66+I66+J66+L66+M66+N66)</f>
        <v>0.14688074245057184</v>
      </c>
      <c r="E67" s="636">
        <f>E66/(D66+E66+G66+H66+I66+J66+L66+M66+N66)</f>
        <v>7.5997061767076102E-2</v>
      </c>
      <c r="F67" s="637">
        <f t="shared" si="2"/>
        <v>0.22287780421764794</v>
      </c>
      <c r="G67" s="636">
        <f>G66/(D66+E66+G66+H66+I66+J66+L66+M66+N66)</f>
        <v>0.27817886611784787</v>
      </c>
      <c r="H67" s="636">
        <f>H66/(D66+E66+G66+H66+I66+J66+L66+M66+N66)</f>
        <v>2.073403524453182E-2</v>
      </c>
      <c r="I67" s="636">
        <f>I66/(D66+E66+G66+H66+I66+J66+L66+M66+N66)</f>
        <v>1.075688024323624E-2</v>
      </c>
      <c r="J67" s="636">
        <f>J66/(D66+E66+G66+H66+I66+J66+L66+M66+N66)</f>
        <v>1.2820299481054816E-2</v>
      </c>
      <c r="K67" s="637">
        <f t="shared" si="3"/>
        <v>0.32249008108667077</v>
      </c>
      <c r="L67" s="636">
        <f>L66/(D66+E66+G66+H66+I66+J66+L66+M66+N66)</f>
        <v>5.1297838401943609E-2</v>
      </c>
      <c r="M67" s="636">
        <f>M66/(D66+E66+G66+H66+I66+J66+L66+M66+N66)</f>
        <v>1.3569120978650267E-2</v>
      </c>
      <c r="N67" s="636">
        <f>N66/(D66+E66+G66+H66+I66+J66+L66+M66+N66)</f>
        <v>0.38976515531508743</v>
      </c>
      <c r="O67" s="1503"/>
    </row>
    <row r="68" spans="1:15" ht="12" customHeight="1">
      <c r="A68" s="1527"/>
      <c r="B68" s="1502" t="s">
        <v>14938</v>
      </c>
      <c r="C68" s="638" t="s">
        <v>6218</v>
      </c>
      <c r="D68" s="639">
        <v>82131</v>
      </c>
      <c r="E68" s="639">
        <v>38063</v>
      </c>
      <c r="F68" s="640">
        <f t="shared" si="2"/>
        <v>120194</v>
      </c>
      <c r="G68" s="639">
        <v>113316</v>
      </c>
      <c r="H68" s="639">
        <v>13604</v>
      </c>
      <c r="I68" s="639"/>
      <c r="J68" s="639"/>
      <c r="K68" s="640">
        <f t="shared" si="3"/>
        <v>126920</v>
      </c>
      <c r="L68" s="639">
        <v>23220</v>
      </c>
      <c r="M68" s="639">
        <v>30909</v>
      </c>
      <c r="N68" s="639">
        <v>120075</v>
      </c>
      <c r="O68" s="1503">
        <f>1-N69</f>
        <v>0.71500149530758239</v>
      </c>
    </row>
    <row r="69" spans="1:15" ht="12" customHeight="1">
      <c r="A69" s="1527"/>
      <c r="B69" s="1502"/>
      <c r="C69" s="635" t="s">
        <v>6219</v>
      </c>
      <c r="D69" s="636">
        <f>D68/(D68+E68+G68+H68+I68+J68+L68+M68+N68)</f>
        <v>0.19493826515838392</v>
      </c>
      <c r="E69" s="636">
        <f>E68/(D68+E68+G68+H68+I68+J68+L68+M68+N68)</f>
        <v>9.0342686521819621E-2</v>
      </c>
      <c r="F69" s="637">
        <f t="shared" si="2"/>
        <v>0.28528095168020351</v>
      </c>
      <c r="G69" s="636">
        <f>G68/(D68+E68+G68+H68+I68+J68+L68+M68+N68)</f>
        <v>0.26895599048699559</v>
      </c>
      <c r="H69" s="636">
        <f>H68/(D68+E68+G68+H68+I68+J68+L68+M68+N68)</f>
        <v>3.2289149763361641E-2</v>
      </c>
      <c r="I69" s="636">
        <f>I68/(D68+E68+G68+H68+I68+J68+L68+M68+N68)</f>
        <v>0</v>
      </c>
      <c r="J69" s="636">
        <f>J68/(D68+E68+G68+H68+I68+J68+L68+M68+N68)</f>
        <v>0</v>
      </c>
      <c r="K69" s="637">
        <f t="shared" si="3"/>
        <v>0.3012451402503572</v>
      </c>
      <c r="L69" s="636">
        <f>L68/(D68+E68+G68+H68+I68+J68+L68+M68+N68)</f>
        <v>5.5112765179745463E-2</v>
      </c>
      <c r="M69" s="636">
        <f>M68/(D68+E68+G68+H68+I68+J68+L68+M68+N68)</f>
        <v>7.3362638197276162E-2</v>
      </c>
      <c r="N69" s="636">
        <f>N68/(D68+E68+G68+H68+I68+J68+L68+M68+N68)</f>
        <v>0.28499850469241761</v>
      </c>
      <c r="O69" s="1503"/>
    </row>
    <row r="70" spans="1:15" ht="12" customHeight="1">
      <c r="A70" s="1527"/>
      <c r="B70" s="1502" t="s">
        <v>14939</v>
      </c>
      <c r="C70" s="638" t="s">
        <v>6218</v>
      </c>
      <c r="D70" s="639">
        <v>60456</v>
      </c>
      <c r="E70" s="639">
        <v>39425</v>
      </c>
      <c r="F70" s="640">
        <f t="shared" si="2"/>
        <v>99881</v>
      </c>
      <c r="G70" s="639">
        <v>112335</v>
      </c>
      <c r="H70" s="639">
        <v>10665</v>
      </c>
      <c r="I70" s="639"/>
      <c r="J70" s="639"/>
      <c r="K70" s="640">
        <f t="shared" si="3"/>
        <v>123000</v>
      </c>
      <c r="L70" s="639">
        <v>22989</v>
      </c>
      <c r="M70" s="639">
        <v>7527</v>
      </c>
      <c r="N70" s="639">
        <v>169185</v>
      </c>
      <c r="O70" s="1503">
        <f>1-N71</f>
        <v>0.59963983321580194</v>
      </c>
    </row>
    <row r="71" spans="1:15" ht="12" customHeight="1">
      <c r="A71" s="1527"/>
      <c r="B71" s="1502"/>
      <c r="C71" s="635" t="s">
        <v>6219</v>
      </c>
      <c r="D71" s="636">
        <f>D70/(D70+E70+G70+H70+I70+J70+L70+M70+N70)</f>
        <v>0.14306335811747778</v>
      </c>
      <c r="E71" s="636">
        <f>E70/(D70+E70+G70+H70+I70+J70+L70+M70+N70)</f>
        <v>9.3295502411366318E-2</v>
      </c>
      <c r="F71" s="637">
        <f t="shared" si="2"/>
        <v>0.23635886052884408</v>
      </c>
      <c r="G71" s="636">
        <f>G70/(D70+E70+G70+H70+I70+J70+L70+M70+N70)</f>
        <v>0.26583006375094065</v>
      </c>
      <c r="H71" s="636">
        <f>H70/(D70+E70+G70+H70+I70+J70+L70+M70+N70)</f>
        <v>2.5237705344761489E-2</v>
      </c>
      <c r="I71" s="636">
        <f>I70/(D70+E70+G70+H70+I70+J70+L70+M70+N70)</f>
        <v>0</v>
      </c>
      <c r="J71" s="636">
        <f>J70/(D70+E70+G70+H70+I70+J70+L70+M70+N70)</f>
        <v>0</v>
      </c>
      <c r="K71" s="637">
        <f t="shared" si="3"/>
        <v>0.29106776909570214</v>
      </c>
      <c r="L71" s="636">
        <f>L70/(D70+E70+G70+H70+I70+J70+L70+M70+N70)</f>
        <v>5.4401275965374765E-2</v>
      </c>
      <c r="M71" s="636">
        <f>M70/(D70+E70+G70+H70+I70+J70+L70+M70+N70)</f>
        <v>1.7811927625880894E-2</v>
      </c>
      <c r="N71" s="636">
        <f>N70/(D70+E70+G70+H70+I70+J70+L70+M70+N70)</f>
        <v>0.40036016678419811</v>
      </c>
      <c r="O71" s="1503"/>
    </row>
    <row r="72" spans="1:15" ht="12" customHeight="1">
      <c r="A72" s="1527"/>
      <c r="B72" s="1502" t="s">
        <v>14940</v>
      </c>
      <c r="C72" s="638" t="s">
        <v>6218</v>
      </c>
      <c r="D72" s="639">
        <v>80416</v>
      </c>
      <c r="E72" s="639">
        <v>40032</v>
      </c>
      <c r="F72" s="640">
        <f t="shared" si="2"/>
        <v>120448</v>
      </c>
      <c r="G72" s="639">
        <v>118535</v>
      </c>
      <c r="H72" s="639">
        <v>13416</v>
      </c>
      <c r="I72" s="639"/>
      <c r="J72" s="639"/>
      <c r="K72" s="640">
        <f t="shared" si="3"/>
        <v>131951</v>
      </c>
      <c r="L72" s="639">
        <v>25047</v>
      </c>
      <c r="M72" s="639"/>
      <c r="N72" s="639">
        <v>145280</v>
      </c>
      <c r="O72" s="1503">
        <f>1-N73</f>
        <v>0.65632584700255014</v>
      </c>
    </row>
    <row r="73" spans="1:15" ht="12" customHeight="1" thickBot="1">
      <c r="A73" s="1528"/>
      <c r="B73" s="1514"/>
      <c r="C73" s="641" t="s">
        <v>6219</v>
      </c>
      <c r="D73" s="642">
        <f>D72/(D72+E72+G72+H72+I72+J72+L72+M72+N72)</f>
        <v>0.19023197059087921</v>
      </c>
      <c r="E73" s="642">
        <f>E72/(D72+E72+G72+H72+I72+J72+L72+M72+N72)</f>
        <v>9.4699639955905246E-2</v>
      </c>
      <c r="F73" s="643">
        <f t="shared" si="2"/>
        <v>0.28493161054678445</v>
      </c>
      <c r="G73" s="642">
        <f>G72/(D72+E72+G72+H72+I72+J72+L72+M72+N72)</f>
        <v>0.2804062205778684</v>
      </c>
      <c r="H73" s="642">
        <f>H72/(D72+E72+G72+H72+I72+J72+L72+M72+N72)</f>
        <v>3.1736869745414287E-2</v>
      </c>
      <c r="I73" s="642">
        <f>I72/(D72+E72+G72+H72+I72+J72+L72+M72+N72)</f>
        <v>0</v>
      </c>
      <c r="J73" s="642">
        <f>J72/(D72+E72+G72+H72+I72+J72+L72+M72+N72)</f>
        <v>0</v>
      </c>
      <c r="K73" s="643">
        <f t="shared" si="3"/>
        <v>0.31214309032328269</v>
      </c>
      <c r="L73" s="642">
        <f>L72/(D72+E72+G72+H72+I72+J72+L72+M72+N72)</f>
        <v>5.9251146132482981E-2</v>
      </c>
      <c r="M73" s="642">
        <f>M72/(D72+E72+G72+H72+I72+J72+L72+M72+N72)</f>
        <v>0</v>
      </c>
      <c r="N73" s="642">
        <f>N72/(D72+E72+G72+H72+I72+J72+L72+M72+N72)</f>
        <v>0.34367415299744991</v>
      </c>
      <c r="O73" s="1515"/>
    </row>
    <row r="74" spans="1:15" ht="12" customHeight="1">
      <c r="A74" s="1538" t="s">
        <v>14949</v>
      </c>
      <c r="B74" s="1536" t="s">
        <v>14937</v>
      </c>
      <c r="C74" s="632" t="s">
        <v>6218</v>
      </c>
      <c r="D74" s="633">
        <v>61765</v>
      </c>
      <c r="E74" s="633">
        <v>26449</v>
      </c>
      <c r="F74" s="634">
        <f t="shared" si="2"/>
        <v>88214</v>
      </c>
      <c r="G74" s="633">
        <v>99950</v>
      </c>
      <c r="H74" s="633">
        <v>6878</v>
      </c>
      <c r="I74" s="633">
        <v>4536</v>
      </c>
      <c r="J74" s="633">
        <v>4305</v>
      </c>
      <c r="K74" s="634">
        <f t="shared" si="3"/>
        <v>115669</v>
      </c>
      <c r="L74" s="633">
        <v>17223</v>
      </c>
      <c r="M74" s="633">
        <v>5687</v>
      </c>
      <c r="N74" s="633">
        <v>128061</v>
      </c>
      <c r="O74" s="1537">
        <f>1-N75</f>
        <v>0.63911636898555457</v>
      </c>
    </row>
    <row r="75" spans="1:15" ht="12" customHeight="1">
      <c r="A75" s="1527"/>
      <c r="B75" s="1502"/>
      <c r="C75" s="635" t="s">
        <v>6219</v>
      </c>
      <c r="D75" s="636">
        <f>D74/(D74+E74+G74+H74+I74+J74+L74+M74+N74)</f>
        <v>0.17405749970410367</v>
      </c>
      <c r="E75" s="636">
        <f>E74/(D74+E74+G74+H74+I74+J74+L74+M74+N74)</f>
        <v>7.4534879133390075E-2</v>
      </c>
      <c r="F75" s="637">
        <f t="shared" si="2"/>
        <v>0.24859237883749374</v>
      </c>
      <c r="G75" s="636">
        <f>G74/(D74+E74+G74+H74+I74+J74+L74+M74+N74)</f>
        <v>0.28166513552052391</v>
      </c>
      <c r="H75" s="636">
        <f>H74/(D74+E74+G74+H74+I74+J74+L74+M74+N74)</f>
        <v>1.9382619330767018E-2</v>
      </c>
      <c r="I75" s="636">
        <f>I74/(D74+E74+G74+H74+I74+J74+L74+M74+N74)</f>
        <v>1.2782721908165049E-2</v>
      </c>
      <c r="J75" s="636">
        <f>J74/(D74+E74+G74+H74+I74+J74+L74+M74+N74)</f>
        <v>1.2131749959138124E-2</v>
      </c>
      <c r="K75" s="637">
        <f t="shared" si="3"/>
        <v>0.32596222671859409</v>
      </c>
      <c r="L75" s="636">
        <f>L74/(D74+E74+G74+H74+I74+J74+L74+M74+N74)</f>
        <v>4.8535454017708694E-2</v>
      </c>
      <c r="M75" s="636">
        <f>M74/(D74+E74+G74+H74+I74+J74+L74+M74+N74)</f>
        <v>1.6026309411758075E-2</v>
      </c>
      <c r="N75" s="636">
        <f>N74/(D74+E74+G74+H74+I74+J74+L74+M74+N74)</f>
        <v>0.36088363101444537</v>
      </c>
      <c r="O75" s="1503"/>
    </row>
    <row r="76" spans="1:15" ht="12" customHeight="1">
      <c r="A76" s="1527"/>
      <c r="B76" s="1502" t="s">
        <v>14938</v>
      </c>
      <c r="C76" s="638" t="s">
        <v>6218</v>
      </c>
      <c r="D76" s="639">
        <v>66572</v>
      </c>
      <c r="E76" s="639">
        <v>30609</v>
      </c>
      <c r="F76" s="640">
        <f t="shared" si="2"/>
        <v>97181</v>
      </c>
      <c r="G76" s="639">
        <v>94792</v>
      </c>
      <c r="H76" s="639">
        <v>12126</v>
      </c>
      <c r="I76" s="639"/>
      <c r="J76" s="639"/>
      <c r="K76" s="640">
        <f t="shared" si="3"/>
        <v>106918</v>
      </c>
      <c r="L76" s="639">
        <v>19783</v>
      </c>
      <c r="M76" s="639">
        <v>40344</v>
      </c>
      <c r="N76" s="639">
        <v>96853</v>
      </c>
      <c r="O76" s="1503">
        <f>1-N77</f>
        <v>0.73176784027872022</v>
      </c>
    </row>
    <row r="77" spans="1:15" ht="12" customHeight="1">
      <c r="A77" s="1527"/>
      <c r="B77" s="1502"/>
      <c r="C77" s="635" t="s">
        <v>6219</v>
      </c>
      <c r="D77" s="636">
        <f>D76/(D76+E76+G76+H76+I76+J76+L76+M76+N76)</f>
        <v>0.18436962548361993</v>
      </c>
      <c r="E77" s="636">
        <f>E76/(D76+E76+G76+H76+I76+J76+L76+M76+N76)</f>
        <v>8.4770922706665294E-2</v>
      </c>
      <c r="F77" s="637">
        <f t="shared" si="2"/>
        <v>0.26914054819028521</v>
      </c>
      <c r="G77" s="636">
        <f>G76/(D76+E76+G76+H76+I76+J76+L76+M76+N76)</f>
        <v>0.26252426754255992</v>
      </c>
      <c r="H77" s="636">
        <f>H76/(D76+E76+G76+H76+I76+J76+L76+M76+N76)</f>
        <v>3.3582678582803206E-2</v>
      </c>
      <c r="I77" s="636">
        <f>I76/(D76+E76+G76+H76+I76+J76+L76+M76+N76)</f>
        <v>0</v>
      </c>
      <c r="J77" s="636">
        <f>J76/(D76+E76+G76+H76+I76+J76+L76+M76+N76)</f>
        <v>0</v>
      </c>
      <c r="K77" s="637">
        <f t="shared" si="3"/>
        <v>0.29610694612536315</v>
      </c>
      <c r="L77" s="636">
        <f>L76/(D76+E76+G76+H76+I76+J76+L76+M76+N76)</f>
        <v>5.4788564275407875E-2</v>
      </c>
      <c r="M77" s="636">
        <f>M76/(D76+E76+G76+H76+I76+J76+L76+M76+N76)</f>
        <v>0.11173178168766391</v>
      </c>
      <c r="N77" s="636">
        <f>N76/(D76+E76+G76+H76+I76+J76+L76+M76+N76)</f>
        <v>0.26823215972127984</v>
      </c>
      <c r="O77" s="1503"/>
    </row>
    <row r="78" spans="1:15" ht="12" customHeight="1">
      <c r="A78" s="1527"/>
      <c r="B78" s="1502" t="s">
        <v>14939</v>
      </c>
      <c r="C78" s="638" t="s">
        <v>6218</v>
      </c>
      <c r="D78" s="639">
        <v>63166</v>
      </c>
      <c r="E78" s="639">
        <v>35188</v>
      </c>
      <c r="F78" s="640">
        <f t="shared" si="2"/>
        <v>98354</v>
      </c>
      <c r="G78" s="639">
        <v>99063</v>
      </c>
      <c r="H78" s="639">
        <v>9338</v>
      </c>
      <c r="I78" s="639"/>
      <c r="J78" s="639"/>
      <c r="K78" s="640">
        <f t="shared" si="3"/>
        <v>108401</v>
      </c>
      <c r="L78" s="639">
        <v>19670</v>
      </c>
      <c r="M78" s="639">
        <v>6784</v>
      </c>
      <c r="N78" s="639">
        <v>131117</v>
      </c>
      <c r="O78" s="1503">
        <f>1-N79</f>
        <v>0.64011077990590848</v>
      </c>
    </row>
    <row r="79" spans="1:15" ht="12" customHeight="1">
      <c r="A79" s="1527"/>
      <c r="B79" s="1502"/>
      <c r="C79" s="635" t="s">
        <v>6219</v>
      </c>
      <c r="D79" s="636">
        <f>D78/(D78+E78+G78+H78+I78+J78+L78+M78+N78)</f>
        <v>0.17337768921240868</v>
      </c>
      <c r="E79" s="636">
        <f>E78/(D78+E78+G78+H78+I78+J78+L78+M78+N78)</f>
        <v>9.6583828768740082E-2</v>
      </c>
      <c r="F79" s="637">
        <f t="shared" si="2"/>
        <v>0.26996151798114876</v>
      </c>
      <c r="G79" s="636">
        <f>G78/(D78+E78+G78+H78+I78+J78+L78+M78+N78)</f>
        <v>0.27190757727968906</v>
      </c>
      <c r="H79" s="636">
        <f>H78/(D78+E78+G78+H78+I78+J78+L78+M78+N78)</f>
        <v>2.5630891015189693E-2</v>
      </c>
      <c r="I79" s="636">
        <f>I78/(D78+E78+G78+H78+I78+J78+L78+M78+N78)</f>
        <v>0</v>
      </c>
      <c r="J79" s="636">
        <f>J78/(D78+E78+G78+H78+I78+J78+L78+M78+N78)</f>
        <v>0</v>
      </c>
      <c r="K79" s="637">
        <f t="shared" si="3"/>
        <v>0.29753846829487873</v>
      </c>
      <c r="L79" s="636">
        <f>L78/(D78+E78+G78+H78+I78+J78+L78+M78+N78)</f>
        <v>5.3990107760631963E-2</v>
      </c>
      <c r="M79" s="636">
        <f>M78/(D78+E78+G78+H78+I78+J78+L78+M78+N78)</f>
        <v>1.8620685869248969E-2</v>
      </c>
      <c r="N79" s="636">
        <f>N78/(D78+E78+G78+H78+I78+J78+L78+M78+N78)</f>
        <v>0.35988922009409158</v>
      </c>
      <c r="O79" s="1503"/>
    </row>
    <row r="80" spans="1:15" ht="12" customHeight="1">
      <c r="A80" s="1527"/>
      <c r="B80" s="1502" t="s">
        <v>14940</v>
      </c>
      <c r="C80" s="638" t="s">
        <v>6218</v>
      </c>
      <c r="D80" s="639">
        <v>73581</v>
      </c>
      <c r="E80" s="639">
        <v>36743</v>
      </c>
      <c r="F80" s="640">
        <f t="shared" si="2"/>
        <v>110324</v>
      </c>
      <c r="G80" s="639">
        <v>99045</v>
      </c>
      <c r="H80" s="639">
        <v>12038</v>
      </c>
      <c r="I80" s="639"/>
      <c r="J80" s="639"/>
      <c r="K80" s="640">
        <f t="shared" si="3"/>
        <v>111083</v>
      </c>
      <c r="L80" s="639">
        <v>20801</v>
      </c>
      <c r="M80" s="639"/>
      <c r="N80" s="639">
        <v>124235</v>
      </c>
      <c r="O80" s="1503">
        <f>1-N81</f>
        <v>0.66097046471074627</v>
      </c>
    </row>
    <row r="81" spans="1:15" ht="12" customHeight="1" thickBot="1">
      <c r="A81" s="1528"/>
      <c r="B81" s="1514"/>
      <c r="C81" s="641" t="s">
        <v>6219</v>
      </c>
      <c r="D81" s="642">
        <f>D80/(D80+E80+G80+H80+I80+J80+L80+M80+N80)</f>
        <v>0.20079794128964124</v>
      </c>
      <c r="E81" s="642">
        <f>E80/(D80+E80+G80+H80+I80+J80+L80+M80+N80)</f>
        <v>0.1002693461193146</v>
      </c>
      <c r="F81" s="643">
        <f t="shared" si="2"/>
        <v>0.30106728740895583</v>
      </c>
      <c r="G81" s="642">
        <f>G80/(D80+E80+G80+H80+I80+J80+L80+M80+N80)</f>
        <v>0.2702876027103806</v>
      </c>
      <c r="H81" s="642">
        <f>H80/(D80+E80+G80+H80+I80+J80+L80+M80+N80)</f>
        <v>3.2850948169292356E-2</v>
      </c>
      <c r="I81" s="642">
        <f>I80/(D80+E80+G80+H80+I80+J80+L80+M80+N80)</f>
        <v>0</v>
      </c>
      <c r="J81" s="642">
        <f>J80/(D80+E80+G80+H80+I80+J80+L80+M80+N80)</f>
        <v>0</v>
      </c>
      <c r="K81" s="643">
        <f t="shared" si="3"/>
        <v>0.30313855087967295</v>
      </c>
      <c r="L81" s="642">
        <f>L80/(D80+E80+G80+H80+I80+J80+L80+M80+N80)</f>
        <v>5.6764626422117492E-2</v>
      </c>
      <c r="M81" s="642">
        <f>M80/(D80+E80+G80+H80+I80+J80+L80+M80+N80)</f>
        <v>0</v>
      </c>
      <c r="N81" s="642">
        <f>N80/(D80+E80+G80+H80+I80+J80+L80+M80+N80)</f>
        <v>0.33902953528925373</v>
      </c>
      <c r="O81" s="1515"/>
    </row>
    <row r="82" spans="1:15" ht="12" customHeight="1">
      <c r="A82" s="1535" t="s">
        <v>14950</v>
      </c>
      <c r="B82" s="1536" t="s">
        <v>14937</v>
      </c>
      <c r="C82" s="632" t="s">
        <v>6218</v>
      </c>
      <c r="D82" s="633">
        <v>53443</v>
      </c>
      <c r="E82" s="633">
        <v>18082</v>
      </c>
      <c r="F82" s="634">
        <f t="shared" si="2"/>
        <v>71525</v>
      </c>
      <c r="G82" s="633">
        <v>75072</v>
      </c>
      <c r="H82" s="633">
        <v>6611</v>
      </c>
      <c r="I82" s="633">
        <v>3222</v>
      </c>
      <c r="J82" s="633">
        <v>3972</v>
      </c>
      <c r="K82" s="634">
        <f t="shared" si="3"/>
        <v>88877</v>
      </c>
      <c r="L82" s="633">
        <v>13391</v>
      </c>
      <c r="M82" s="633">
        <v>5037</v>
      </c>
      <c r="N82" s="633">
        <v>113598</v>
      </c>
      <c r="O82" s="1537">
        <f>1-N83</f>
        <v>0.61153514711313561</v>
      </c>
    </row>
    <row r="83" spans="1:15" ht="12" customHeight="1">
      <c r="A83" s="1517"/>
      <c r="B83" s="1502"/>
      <c r="C83" s="635" t="s">
        <v>6219</v>
      </c>
      <c r="D83" s="636">
        <f>D82/(D82+E82+G82+H82+I82+J82+L82+M82+N82)</f>
        <v>0.1827560972273517</v>
      </c>
      <c r="E83" s="636">
        <f>E82/(D82+E82+G82+H82+I82+J82+L82+M82+N82)</f>
        <v>6.183402410165921E-2</v>
      </c>
      <c r="F83" s="637">
        <f t="shared" si="2"/>
        <v>0.24459012132901092</v>
      </c>
      <c r="G83" s="636">
        <f>G82/(D82+E82+G82+H82+I82+J82+L82+M82+N82)</f>
        <v>0.25671960277401618</v>
      </c>
      <c r="H83" s="636">
        <f>H82/(D82+E82+G82+H82+I82+J82+L82+M82+N82)</f>
        <v>2.2607274269221826E-2</v>
      </c>
      <c r="I83" s="636">
        <f>I82/(D82+E82+G82+H82+I82+J82+L82+M82+N82)</f>
        <v>1.1018096762279946E-2</v>
      </c>
      <c r="J83" s="636">
        <f>J82/(D82+E82+G82+H82+I82+J82+L82+M82+N82)</f>
        <v>1.3582830645492225E-2</v>
      </c>
      <c r="K83" s="637">
        <f t="shared" si="3"/>
        <v>0.30392780445101014</v>
      </c>
      <c r="L83" s="636">
        <f>L82/(D82+E82+G82+H82+I82+J82+L82+M82+N82)</f>
        <v>4.5792468573460816E-2</v>
      </c>
      <c r="M83" s="636">
        <f>M82/(D82+E82+G82+H82+I82+J82+L82+M82+N82)</f>
        <v>1.7224752759653659E-2</v>
      </c>
      <c r="N83" s="636">
        <f>N82/(D82+E82+G82+H82+I82+J82+L82+M82+N82)</f>
        <v>0.38846485288686444</v>
      </c>
      <c r="O83" s="1503"/>
    </row>
    <row r="84" spans="1:15" ht="12" customHeight="1">
      <c r="A84" s="1517"/>
      <c r="B84" s="1502" t="s">
        <v>14938</v>
      </c>
      <c r="C84" s="638" t="s">
        <v>6218</v>
      </c>
      <c r="D84" s="639">
        <v>56466</v>
      </c>
      <c r="E84" s="639">
        <v>19032</v>
      </c>
      <c r="F84" s="640">
        <f t="shared" si="2"/>
        <v>75498</v>
      </c>
      <c r="G84" s="639">
        <v>58113</v>
      </c>
      <c r="H84" s="639">
        <v>9307</v>
      </c>
      <c r="I84" s="639"/>
      <c r="J84" s="639"/>
      <c r="K84" s="640">
        <f t="shared" si="3"/>
        <v>67420</v>
      </c>
      <c r="L84" s="639">
        <v>13918</v>
      </c>
      <c r="M84" s="639">
        <v>50455</v>
      </c>
      <c r="N84" s="639">
        <v>83358</v>
      </c>
      <c r="O84" s="1503">
        <f>1-N85</f>
        <v>0.71320045828473522</v>
      </c>
    </row>
    <row r="85" spans="1:15" ht="12" customHeight="1">
      <c r="A85" s="1517"/>
      <c r="B85" s="1502"/>
      <c r="C85" s="635" t="s">
        <v>6219</v>
      </c>
      <c r="D85" s="636">
        <f>D84/(D84+E84+G84+H84+I84+J84+L84+M84+N84)</f>
        <v>0.1942755695013573</v>
      </c>
      <c r="E85" s="636">
        <f>E84/(D84+E84+G84+H84+I84+J84+L84+M84+N84)</f>
        <v>6.5481044146031814E-2</v>
      </c>
      <c r="F85" s="637">
        <f t="shared" si="2"/>
        <v>0.25975661364738911</v>
      </c>
      <c r="G85" s="636">
        <f>G84/(D84+E84+G84+H84+I84+J84+L84+M84+N84)</f>
        <v>0.19994219832168697</v>
      </c>
      <c r="H85" s="636">
        <f>H84/(D84+E84+G84+H84+I84+J84+L84+M84+N84)</f>
        <v>3.202144167019326E-2</v>
      </c>
      <c r="I85" s="636">
        <f>I84/(D84+E84+G84+H84+I84+J84+L84+M84+N84)</f>
        <v>0</v>
      </c>
      <c r="J85" s="636">
        <f>J84/(D84+E84+G84+H84+I84+J84+L84+M84+N84)</f>
        <v>0</v>
      </c>
      <c r="K85" s="637">
        <f t="shared" si="3"/>
        <v>0.23196363999188024</v>
      </c>
      <c r="L85" s="636">
        <f>L84/(D84+E84+G84+H84+I84+J84+L84+M84+N84)</f>
        <v>4.7885938021462314E-2</v>
      </c>
      <c r="M85" s="636">
        <f>M84/(D84+E84+G84+H84+I84+J84+L84+M84+N84)</f>
        <v>0.17359426662400351</v>
      </c>
      <c r="N85" s="636">
        <f>N84/(D84+E84+G84+H84+I84+J84+L84+M84+N84)</f>
        <v>0.28679954171526478</v>
      </c>
      <c r="O85" s="1503"/>
    </row>
    <row r="86" spans="1:15" ht="12" customHeight="1">
      <c r="A86" s="1517"/>
      <c r="B86" s="1502" t="s">
        <v>14939</v>
      </c>
      <c r="C86" s="638" t="s">
        <v>6218</v>
      </c>
      <c r="D86" s="639">
        <v>55015</v>
      </c>
      <c r="E86" s="639">
        <v>23272</v>
      </c>
      <c r="F86" s="640">
        <f t="shared" si="2"/>
        <v>78287</v>
      </c>
      <c r="G86" s="639">
        <v>69418</v>
      </c>
      <c r="H86" s="639">
        <v>8605</v>
      </c>
      <c r="I86" s="639"/>
      <c r="J86" s="639"/>
      <c r="K86" s="640">
        <f t="shared" si="3"/>
        <v>78023</v>
      </c>
      <c r="L86" s="639">
        <v>14085</v>
      </c>
      <c r="M86" s="639">
        <v>6543</v>
      </c>
      <c r="N86" s="639">
        <v>113576</v>
      </c>
      <c r="O86" s="1503">
        <f>1-N87</f>
        <v>0.60905154312700938</v>
      </c>
    </row>
    <row r="87" spans="1:15" ht="12" customHeight="1">
      <c r="A87" s="1517"/>
      <c r="B87" s="1502"/>
      <c r="C87" s="635" t="s">
        <v>6219</v>
      </c>
      <c r="D87" s="636">
        <f>D86/(D86+E86+G86+H86+I86+J86+L86+M86+N86)</f>
        <v>0.1893712523320735</v>
      </c>
      <c r="E87" s="636">
        <f>E86/(D86+E86+G86+H86+I86+J86+L86+M86+N86)</f>
        <v>8.0106294361029076E-2</v>
      </c>
      <c r="F87" s="637">
        <f t="shared" si="2"/>
        <v>0.26947754669310259</v>
      </c>
      <c r="G87" s="636">
        <f>G86/(D86+E86+G86+H86+I86+J86+L86+M86+N86)</f>
        <v>0.23894889747137832</v>
      </c>
      <c r="H87" s="636">
        <f>H86/(D86+E86+G86+H86+I86+J86+L86+M86+N86)</f>
        <v>2.9619915047123375E-2</v>
      </c>
      <c r="I87" s="636">
        <f>I86/(D86+E86+G86+H86+I86+J86+L86+M86+N86)</f>
        <v>0</v>
      </c>
      <c r="J87" s="636">
        <f>J86/(D86+E86+G86+H86+I86+J86+L86+M86+N86)</f>
        <v>0</v>
      </c>
      <c r="K87" s="637">
        <f t="shared" si="3"/>
        <v>0.26856881251850168</v>
      </c>
      <c r="L87" s="636">
        <f>L86/(D86+E86+G86+H86+I86+J86+L86+M86+N86)</f>
        <v>4.8483033519899216E-2</v>
      </c>
      <c r="M87" s="636">
        <f>M86/(D86+E86+G86+H86+I86+J86+L86+M86+N86)</f>
        <v>2.2522150395505897E-2</v>
      </c>
      <c r="N87" s="636">
        <f>N86/(D86+E86+G86+H86+I86+J86+L86+M86+N86)</f>
        <v>0.39094845687299062</v>
      </c>
      <c r="O87" s="1503"/>
    </row>
    <row r="88" spans="1:15" ht="12" customHeight="1">
      <c r="A88" s="1517"/>
      <c r="B88" s="1502" t="s">
        <v>14940</v>
      </c>
      <c r="C88" s="638" t="s">
        <v>6218</v>
      </c>
      <c r="D88" s="639">
        <v>68602</v>
      </c>
      <c r="E88" s="639">
        <v>20461</v>
      </c>
      <c r="F88" s="640">
        <f t="shared" si="2"/>
        <v>89063</v>
      </c>
      <c r="G88" s="639">
        <v>58033</v>
      </c>
      <c r="H88" s="639">
        <v>17178</v>
      </c>
      <c r="I88" s="639"/>
      <c r="J88" s="639"/>
      <c r="K88" s="640">
        <f t="shared" si="3"/>
        <v>75211</v>
      </c>
      <c r="L88" s="639">
        <v>15501</v>
      </c>
      <c r="M88" s="639"/>
      <c r="N88" s="639">
        <v>110393</v>
      </c>
      <c r="O88" s="1503">
        <f>1-N89</f>
        <v>0.61955487855311409</v>
      </c>
    </row>
    <row r="89" spans="1:15" ht="12" customHeight="1" thickBot="1">
      <c r="A89" s="1519"/>
      <c r="B89" s="1514"/>
      <c r="C89" s="641" t="s">
        <v>6219</v>
      </c>
      <c r="D89" s="642">
        <f>D88/(D88+E88+G88+H88+I88+J88+L88+M88+N88)</f>
        <v>0.23642165917675279</v>
      </c>
      <c r="E89" s="642">
        <f>E88/(D88+E88+G88+H88+I88+J88+L88+M88+N88)</f>
        <v>7.0514322737172952E-2</v>
      </c>
      <c r="F89" s="643">
        <f t="shared" si="2"/>
        <v>0.30693598191392574</v>
      </c>
      <c r="G89" s="642">
        <f>G88/(D88+E88+G88+H88+I88+J88+L88+M88+N88)</f>
        <v>0.19999793223236195</v>
      </c>
      <c r="H89" s="642">
        <f>H88/(D88+E88+G88+H88+I88+J88+L88+M88+N88)</f>
        <v>5.9200187477599184E-2</v>
      </c>
      <c r="I89" s="642">
        <f>I88/(D88+E88+G88+H88+I88+J88+L88+M88+N88)</f>
        <v>0</v>
      </c>
      <c r="J89" s="642">
        <f>J88/(D88+E88+G88+H88+I88+J88+L88+M88+N88)</f>
        <v>0</v>
      </c>
      <c r="K89" s="643">
        <f t="shared" si="3"/>
        <v>0.25919811970996115</v>
      </c>
      <c r="L89" s="642">
        <f>L88/(D88+E88+G88+H88+I88+J88+L88+M88+N88)</f>
        <v>5.3420776929227205E-2</v>
      </c>
      <c r="M89" s="642">
        <f>M88/(D88+E88+G88+H88+I88+J88+L88+M88+N88)</f>
        <v>0</v>
      </c>
      <c r="N89" s="642">
        <f>N88/(D88+E88+G88+H88+I88+J88+L88+M88+N88)</f>
        <v>0.38044512144688591</v>
      </c>
      <c r="O89" s="1515"/>
    </row>
    <row r="90" spans="1:15" ht="12" customHeight="1">
      <c r="A90" s="1535" t="s">
        <v>14951</v>
      </c>
      <c r="B90" s="1536" t="s">
        <v>14937</v>
      </c>
      <c r="C90" s="632" t="s">
        <v>6218</v>
      </c>
      <c r="D90" s="633">
        <v>63774</v>
      </c>
      <c r="E90" s="633">
        <v>21354</v>
      </c>
      <c r="F90" s="634">
        <f t="shared" si="2"/>
        <v>85128</v>
      </c>
      <c r="G90" s="633">
        <v>86357</v>
      </c>
      <c r="H90" s="633">
        <v>7658</v>
      </c>
      <c r="I90" s="633">
        <v>4026</v>
      </c>
      <c r="J90" s="633">
        <v>4317</v>
      </c>
      <c r="K90" s="634">
        <f t="shared" si="3"/>
        <v>102358</v>
      </c>
      <c r="L90" s="633">
        <v>12399</v>
      </c>
      <c r="M90" s="633">
        <v>5578</v>
      </c>
      <c r="N90" s="633">
        <v>122344</v>
      </c>
      <c r="O90" s="1537">
        <f>1-N91</f>
        <v>0.62678039212097358</v>
      </c>
    </row>
    <row r="91" spans="1:15" ht="12" customHeight="1">
      <c r="A91" s="1517"/>
      <c r="B91" s="1502"/>
      <c r="C91" s="635" t="s">
        <v>6219</v>
      </c>
      <c r="D91" s="636">
        <f>D90/(D90+E90+G90+H90+I90+J90+L90+M90+N90)</f>
        <v>0.19454740136726795</v>
      </c>
      <c r="E91" s="636">
        <f>E90/(D90+E90+G90+H90+I90+J90+L90+M90+N90)</f>
        <v>6.5141989036231682E-2</v>
      </c>
      <c r="F91" s="637">
        <f t="shared" si="2"/>
        <v>0.25968939040349964</v>
      </c>
      <c r="G91" s="636">
        <f>G90/(D90+E90+G90+H90+I90+J90+L90+M90+N90)</f>
        <v>0.26343854768202019</v>
      </c>
      <c r="H91" s="636">
        <f>H90/(D90+E90+G90+H90+I90+J90+L90+M90+N90)</f>
        <v>2.3361307110586413E-2</v>
      </c>
      <c r="I91" s="636">
        <f>I90/(D90+E90+G90+H90+I90+J90+L90+M90+N90)</f>
        <v>1.2281616927033286E-2</v>
      </c>
      <c r="J91" s="636">
        <f>J90/(D90+E90+G90+H90+I90+J90+L90+M90+N90)</f>
        <v>1.3169334394933604E-2</v>
      </c>
      <c r="K91" s="637">
        <f t="shared" si="3"/>
        <v>0.31225080611457351</v>
      </c>
      <c r="L91" s="636">
        <f>L90/(D90+E90+G90+H90+I90+J90+L90+M90+N90)</f>
        <v>3.7824085513732168E-2</v>
      </c>
      <c r="M91" s="636">
        <f>M90/(D90+E90+G90+H90+I90+J90+L90+M90+N90)</f>
        <v>1.7016110089168323E-2</v>
      </c>
      <c r="N91" s="636">
        <f>N90/(D90+E90+G90+H90+I90+J90+L90+M90+N90)</f>
        <v>0.37321960787902636</v>
      </c>
      <c r="O91" s="1503"/>
    </row>
    <row r="92" spans="1:15" ht="12" customHeight="1">
      <c r="A92" s="1517"/>
      <c r="B92" s="1502" t="s">
        <v>14938</v>
      </c>
      <c r="C92" s="638" t="s">
        <v>6218</v>
      </c>
      <c r="D92" s="639">
        <v>74104</v>
      </c>
      <c r="E92" s="639">
        <v>21637</v>
      </c>
      <c r="F92" s="640">
        <f t="shared" si="2"/>
        <v>95741</v>
      </c>
      <c r="G92" s="639">
        <v>72356</v>
      </c>
      <c r="H92" s="639">
        <v>10105</v>
      </c>
      <c r="I92" s="639"/>
      <c r="J92" s="639"/>
      <c r="K92" s="640">
        <f t="shared" si="3"/>
        <v>82461</v>
      </c>
      <c r="L92" s="639">
        <v>13361</v>
      </c>
      <c r="M92" s="639">
        <v>48488</v>
      </c>
      <c r="N92" s="639">
        <v>89692</v>
      </c>
      <c r="O92" s="1503">
        <f>1-N93</f>
        <v>0.72799422580615814</v>
      </c>
    </row>
    <row r="93" spans="1:15" ht="12" customHeight="1">
      <c r="A93" s="1517"/>
      <c r="B93" s="1502"/>
      <c r="C93" s="635" t="s">
        <v>6219</v>
      </c>
      <c r="D93" s="636">
        <f>D92/(D92+E92+G92+H92+I92+J92+L92+M92+N92)</f>
        <v>0.22473259477835769</v>
      </c>
      <c r="E93" s="636">
        <f>E92/(D92+E92+G92+H92+I92+J92+L92+M92+N92)</f>
        <v>6.5617768989789022E-2</v>
      </c>
      <c r="F93" s="637">
        <f t="shared" si="2"/>
        <v>0.29035036376814671</v>
      </c>
      <c r="G93" s="636">
        <f>G92/(D92+E92+G92+H92+I92+J92+L92+M92+N92)</f>
        <v>0.21943149665042169</v>
      </c>
      <c r="H93" s="636">
        <f>H92/(D92+E92+G92+H92+I92+J92+L92+M92+N92)</f>
        <v>3.0645078136609421E-2</v>
      </c>
      <c r="I93" s="636">
        <f>I92/(D92+E92+G92+H92+I92+J92+L92+M92+N92)</f>
        <v>0</v>
      </c>
      <c r="J93" s="636">
        <f>J92/(D92+E92+G92+H92+I92+J92+L92+M92+N92)</f>
        <v>0</v>
      </c>
      <c r="K93" s="637">
        <f t="shared" si="3"/>
        <v>0.2500765747870311</v>
      </c>
      <c r="L93" s="636">
        <f>L92/(D92+E92+G92+H92+I92+J92+L92+M92+N92)</f>
        <v>4.051943483258174E-2</v>
      </c>
      <c r="M93" s="636">
        <f>M92/(D92+E92+G92+H92+I92+J92+L92+M92+N92)</f>
        <v>0.14704785241839857</v>
      </c>
      <c r="N93" s="636">
        <f>N92/(D92+E92+G92+H92+I92+J92+L92+M92+N92)</f>
        <v>0.27200577419384186</v>
      </c>
      <c r="O93" s="1503"/>
    </row>
    <row r="94" spans="1:15" ht="12" customHeight="1">
      <c r="A94" s="1517"/>
      <c r="B94" s="1502" t="s">
        <v>14939</v>
      </c>
      <c r="C94" s="638" t="s">
        <v>6218</v>
      </c>
      <c r="D94" s="639">
        <v>66349</v>
      </c>
      <c r="E94" s="639">
        <v>26460</v>
      </c>
      <c r="F94" s="640">
        <f t="shared" si="2"/>
        <v>92809</v>
      </c>
      <c r="G94" s="639">
        <v>86169</v>
      </c>
      <c r="H94" s="639">
        <v>8796</v>
      </c>
      <c r="I94" s="639"/>
      <c r="J94" s="639"/>
      <c r="K94" s="640">
        <f t="shared" si="3"/>
        <v>94965</v>
      </c>
      <c r="L94" s="639">
        <v>13628</v>
      </c>
      <c r="M94" s="639">
        <v>6477</v>
      </c>
      <c r="N94" s="639">
        <v>125214</v>
      </c>
      <c r="O94" s="1503">
        <f>1-N95</f>
        <v>0.62408696670299291</v>
      </c>
    </row>
    <row r="95" spans="1:15" ht="12" customHeight="1">
      <c r="A95" s="1517"/>
      <c r="B95" s="1502"/>
      <c r="C95" s="635" t="s">
        <v>6219</v>
      </c>
      <c r="D95" s="636">
        <f>D94/(D94+E94+G94+H94+I94+J94+L94+M94+N94)</f>
        <v>0.19919061643444924</v>
      </c>
      <c r="E95" s="636">
        <f>E94/(D94+E94+G94+H94+I94+J94+L94+M94+N94)</f>
        <v>7.9437274274752098E-2</v>
      </c>
      <c r="F95" s="637">
        <f t="shared" si="2"/>
        <v>0.27862789070920135</v>
      </c>
      <c r="G95" s="636">
        <f>G94/(D94+E94+G94+H94+I94+J94+L94+M94+N94)</f>
        <v>0.25869351802649709</v>
      </c>
      <c r="H95" s="636">
        <f>H94/(D94+E94+G94+H94+I94+J94+L94+M94+N94)</f>
        <v>2.6407039475461809E-2</v>
      </c>
      <c r="I95" s="636">
        <f>I94/(D94+E94+G94+H94+I94+J94+L94+M94+N94)</f>
        <v>0</v>
      </c>
      <c r="J95" s="636">
        <f>J94/(D94+E94+G94+H94+I94+J94+L94+M94+N94)</f>
        <v>0</v>
      </c>
      <c r="K95" s="637">
        <f t="shared" si="3"/>
        <v>0.2851005575019589</v>
      </c>
      <c r="L95" s="636">
        <f>L94/(D94+E94+G94+H94+I94+J94+L94+M94+N94)</f>
        <v>4.0913498632514041E-2</v>
      </c>
      <c r="M95" s="636">
        <f>M94/(D94+E94+G94+H94+I94+J94+L94+M94+N94)</f>
        <v>1.9445019859318569E-2</v>
      </c>
      <c r="N95" s="636">
        <f>N94/(D94+E94+G94+H94+I94+J94+L94+M94+N94)</f>
        <v>0.37591303329700715</v>
      </c>
      <c r="O95" s="1503"/>
    </row>
    <row r="96" spans="1:15" ht="12" customHeight="1">
      <c r="A96" s="1517"/>
      <c r="B96" s="1502" t="s">
        <v>14940</v>
      </c>
      <c r="C96" s="638" t="s">
        <v>6218</v>
      </c>
      <c r="D96" s="639">
        <v>81834</v>
      </c>
      <c r="E96" s="639">
        <v>25215</v>
      </c>
      <c r="F96" s="640">
        <f t="shared" si="2"/>
        <v>107049</v>
      </c>
      <c r="G96" s="639">
        <v>80555</v>
      </c>
      <c r="H96" s="639">
        <v>11338</v>
      </c>
      <c r="I96" s="639"/>
      <c r="J96" s="639"/>
      <c r="K96" s="640">
        <f t="shared" si="3"/>
        <v>91893</v>
      </c>
      <c r="L96" s="639">
        <v>15277</v>
      </c>
      <c r="M96" s="639"/>
      <c r="N96" s="639">
        <v>119409</v>
      </c>
      <c r="O96" s="1503">
        <f>1-N97</f>
        <v>0.64208939297660872</v>
      </c>
    </row>
    <row r="97" spans="1:15" ht="12" customHeight="1" thickBot="1">
      <c r="A97" s="1518"/>
      <c r="B97" s="1504"/>
      <c r="C97" s="644" t="s">
        <v>6219</v>
      </c>
      <c r="D97" s="645">
        <f>D96/(D96+E96+G96+H96+I96+J96+L96+M96+N96)</f>
        <v>0.24528516791156618</v>
      </c>
      <c r="E97" s="645">
        <f>E96/(D96+E96+G96+H96+I96+J96+L96+M96+N96)</f>
        <v>7.5578188881029171E-2</v>
      </c>
      <c r="F97" s="646">
        <f t="shared" si="2"/>
        <v>0.32086335679259537</v>
      </c>
      <c r="G97" s="645">
        <f>G96/(D96+E96+G96+H96+I96+J96+L96+M96+N96)</f>
        <v>0.24145155682376779</v>
      </c>
      <c r="H97" s="645">
        <f>H96/(D96+E96+G96+H96+I96+J96+L96+M96+N96)</f>
        <v>3.3983958180968027E-2</v>
      </c>
      <c r="I97" s="645">
        <f>I96/(D96+E96+G96+H96+I96+J96+L96+M96+N96)</f>
        <v>0</v>
      </c>
      <c r="J97" s="645">
        <f>J96/(D96+E96+G96+H96+I96+J96+L96+M96+N96)</f>
        <v>0</v>
      </c>
      <c r="K97" s="646">
        <f t="shared" si="3"/>
        <v>0.27543551500473584</v>
      </c>
      <c r="L97" s="645">
        <f>L96/(D96+E96+G96+H96+I96+J96+L96+M96+N96)</f>
        <v>4.5790521179277517E-2</v>
      </c>
      <c r="M97" s="645">
        <f>M96/(D96+E96+G96+H96+I96+J96+L96+M96+N96)</f>
        <v>0</v>
      </c>
      <c r="N97" s="645">
        <f>N96/(D96+E96+G96+H96+I96+J96+L96+M96+N96)</f>
        <v>0.35791060702339134</v>
      </c>
      <c r="O97" s="1505"/>
    </row>
    <row r="98" spans="1:15" ht="12" customHeight="1" thickTop="1">
      <c r="A98" s="1511" t="s">
        <v>14952</v>
      </c>
      <c r="B98" s="1509" t="s">
        <v>14937</v>
      </c>
      <c r="C98" s="647" t="s">
        <v>6218</v>
      </c>
      <c r="D98" s="648">
        <f>SUM(D2+D10+D18+D26+D34+D42+D50+D58+D66+D74+D82+D90)</f>
        <v>723360</v>
      </c>
      <c r="E98" s="648">
        <f>SUM(E2+E10+E18+E26+E34+E42+E50+E58+E66+E74+E82+E90)</f>
        <v>339706</v>
      </c>
      <c r="F98" s="649">
        <f t="shared" si="2"/>
        <v>1063066</v>
      </c>
      <c r="G98" s="648">
        <f>SUM(G2+G10+G18+G26+G34+G42+G50+G58+G66+G74+G82+G90)</f>
        <v>1217251</v>
      </c>
      <c r="H98" s="648">
        <f>SUM(H2+H10+H18+H26+H34+H42+H50+H58+H66+H74+H82+H90)</f>
        <v>103306</v>
      </c>
      <c r="I98" s="648">
        <f>SUM(I2+I10+I18+I26+I34+I42+I50+I58+I66+I74+I82+I90)</f>
        <v>55325</v>
      </c>
      <c r="J98" s="648">
        <f>SUM(J2+J10+J18+J26+J34+J42+J50+J58+J66+J74+J82+J90)</f>
        <v>77834</v>
      </c>
      <c r="K98" s="649">
        <f t="shared" si="3"/>
        <v>1453716</v>
      </c>
      <c r="L98" s="648">
        <f>SUM(L2+L10+L18+L26+L34+L42+L50+L58+L66+L74+L82+L90)</f>
        <v>230077</v>
      </c>
      <c r="M98" s="648">
        <f>SUM(M2+M10+M18+M26+M34+M42+M50+M58+M66+M74+M82+M90)</f>
        <v>75646</v>
      </c>
      <c r="N98" s="648">
        <f>SUM(N2+N10+N18+N26+N34+N42+N50+N58+N66+N74+N82+N90)</f>
        <v>1836144</v>
      </c>
      <c r="O98" s="1510">
        <f>1-N99</f>
        <v>0.6058634166257213</v>
      </c>
    </row>
    <row r="99" spans="1:15" ht="12" customHeight="1">
      <c r="A99" s="1512"/>
      <c r="B99" s="1502"/>
      <c r="C99" s="635" t="s">
        <v>6219</v>
      </c>
      <c r="D99" s="650">
        <f>D98/(D98+E98+G98+H98+I98+J98+L98+M98+N98)</f>
        <v>0.15527248350326459</v>
      </c>
      <c r="E99" s="650">
        <f>E98/(D98+E98+G98+H98+I98+J98+L98+M98+N98)</f>
        <v>7.2919423635478875E-2</v>
      </c>
      <c r="F99" s="651">
        <f t="shared" si="2"/>
        <v>0.22819190713874346</v>
      </c>
      <c r="G99" s="650">
        <f>G98/(D98+E98+G98+H98+I98+J98+L98+M98+N98)</f>
        <v>0.26128841215554122</v>
      </c>
      <c r="H99" s="650">
        <f>H98/(D98+E98+G98+H98+I98+J98+L98+M98+N98)</f>
        <v>2.2175098402991939E-2</v>
      </c>
      <c r="I99" s="650">
        <f>I98/(D98+E98+G98+H98+I98+J98+L98+M98+N98)</f>
        <v>1.1875760547746783E-2</v>
      </c>
      <c r="J99" s="650">
        <f>J98/(D98+E98+G98+H98+I98+J98+L98+M98+N98)</f>
        <v>1.6707418824642079E-2</v>
      </c>
      <c r="K99" s="651">
        <f t="shared" si="3"/>
        <v>0.31204668993092199</v>
      </c>
      <c r="L99" s="650">
        <f>L98/(D98+E98+G98+H98+I98+J98+L98+M98+N98)</f>
        <v>4.9387064790672147E-2</v>
      </c>
      <c r="M99" s="650">
        <f>M98/(D98+E98+G98+H98+I98+J98+L98+M98+N98)</f>
        <v>1.6237754765383697E-2</v>
      </c>
      <c r="N99" s="650">
        <f>N98/(D98+E98+G98+H98+I98+J98+L98+M98+N98)</f>
        <v>0.3941365833742787</v>
      </c>
      <c r="O99" s="1503"/>
    </row>
    <row r="100" spans="1:15" ht="12" customHeight="1">
      <c r="A100" s="1512"/>
      <c r="B100" s="1502" t="s">
        <v>14938</v>
      </c>
      <c r="C100" s="638" t="s">
        <v>6218</v>
      </c>
      <c r="D100" s="648">
        <f>SUM(D4+D12+D20+D28+D36+D44+D52+D60+D68+D76+D84+D92)</f>
        <v>940705</v>
      </c>
      <c r="E100" s="648">
        <f>SUM(E4+E12+E20+E28+E36+E44+E52+E60+E68+E76+E84+E92)</f>
        <v>368552</v>
      </c>
      <c r="F100" s="649">
        <f t="shared" si="2"/>
        <v>1309257</v>
      </c>
      <c r="G100" s="648">
        <f>SUM(G4+G12+G20+G28+G36+G44+G52+G60+G68+G76+G84+G92)</f>
        <v>1090707</v>
      </c>
      <c r="H100" s="648">
        <f>SUM(H4+H12+H20+H28+H36+H44+H52+H60+H68+H76+H84+H92)</f>
        <v>152646</v>
      </c>
      <c r="I100" s="648">
        <f>SUM(I4+I12+I20+I28+I36+I44+I52+I60+I68+I76+I84+I92)</f>
        <v>0</v>
      </c>
      <c r="J100" s="648">
        <f>SUM(J4+J12+J20+J28+J36+J44+J52+J60+J68+J76+J84+J92)</f>
        <v>0</v>
      </c>
      <c r="K100" s="649">
        <f t="shared" si="3"/>
        <v>1243353</v>
      </c>
      <c r="L100" s="648">
        <f>SUM(L4+L12+L20+L28+L36+L44+L52+L60+L68+L76+L84+L92)</f>
        <v>241371</v>
      </c>
      <c r="M100" s="648">
        <f>SUM(M4+M12+M20+M28+M36+M44+M52+M60+M68+M76+M84+M92)</f>
        <v>433938</v>
      </c>
      <c r="N100" s="648">
        <f>SUM(N4+N12+N20+N28+N36+N44+N52+N60+N68+N76+N84+N92)</f>
        <v>1414371</v>
      </c>
      <c r="O100" s="1503">
        <f>1-N101</f>
        <v>0.69532902942297881</v>
      </c>
    </row>
    <row r="101" spans="1:15" ht="12" customHeight="1">
      <c r="A101" s="1512"/>
      <c r="B101" s="1502"/>
      <c r="C101" s="635" t="s">
        <v>6219</v>
      </c>
      <c r="D101" s="650">
        <f>D100/(D100+E100+G100+H100+I100+J100+L100+M100+N100)</f>
        <v>0.20263813764327521</v>
      </c>
      <c r="E101" s="650">
        <f>E100/(D100+E100+G100+H100+I100+J100+L100+M100+N100)</f>
        <v>7.9390128578783317E-2</v>
      </c>
      <c r="F101" s="651">
        <f t="shared" si="2"/>
        <v>0.28202826622205851</v>
      </c>
      <c r="G101" s="650">
        <f>G100/(D100+E100+G100+H100+I100+J100+L100+M100+N100)</f>
        <v>0.23495020776384068</v>
      </c>
      <c r="H101" s="650">
        <f>H100/(D100+E100+G100+H100+I100+J100+L100+M100+N100)</f>
        <v>3.2881616615937394E-2</v>
      </c>
      <c r="I101" s="650">
        <f>I100/(D100+E100+G100+H100+I100+J100+L100+M100+N100)</f>
        <v>0</v>
      </c>
      <c r="J101" s="650">
        <f>J100/(D100+E100+G100+H100+I100+J100+L100+M100+N100)</f>
        <v>0</v>
      </c>
      <c r="K101" s="651">
        <f t="shared" si="3"/>
        <v>0.26783182437977809</v>
      </c>
      <c r="L101" s="650">
        <f>L100/(D100+E100+G100+H100+I100+J100+L100+M100+N100)</f>
        <v>5.1993951261123279E-2</v>
      </c>
      <c r="M101" s="650">
        <f>M100/(D100+E100+G100+H100+I100+J100+L100+M100+N100)</f>
        <v>9.3474987560018874E-2</v>
      </c>
      <c r="N101" s="650">
        <f>N100/(D100+E100+G100+H100+I100+J100+L100+M100+N100)</f>
        <v>0.30467097057702125</v>
      </c>
      <c r="O101" s="1503"/>
    </row>
    <row r="102" spans="1:15" ht="12" customHeight="1">
      <c r="A102" s="1512"/>
      <c r="B102" s="1502" t="s">
        <v>14939</v>
      </c>
      <c r="C102" s="638" t="s">
        <v>6218</v>
      </c>
      <c r="D102" s="648">
        <f>SUM(D6+D14+D22+D30+D38+D46+D54+D62+D70+D78+D86+D94)</f>
        <v>717834</v>
      </c>
      <c r="E102" s="648">
        <f>SUM(E6+E14+E22+E30+E38+E46+E54+E62+E70+E78+E86+E94)</f>
        <v>409533</v>
      </c>
      <c r="F102" s="649">
        <f t="shared" si="2"/>
        <v>1127367</v>
      </c>
      <c r="G102" s="648">
        <f>SUM(G6+G14+G22+G30+G38+G46+G54+G62+G70+G78+G86+G94)</f>
        <v>1167228</v>
      </c>
      <c r="H102" s="648">
        <f>SUM(H6+H14+H22+H30+H38+H46+H54+H62+H70+H78+H86+H94)</f>
        <v>122654</v>
      </c>
      <c r="I102" s="648">
        <f>SUM(I6+I14+I22+I30+I38+I46+I54+I62+I70+I78+I86+I94)</f>
        <v>0</v>
      </c>
      <c r="J102" s="648">
        <f>SUM(J6+J14+J22+J30+J38+J46+J54+J62+J70+J78+J86+J94)</f>
        <v>0</v>
      </c>
      <c r="K102" s="649">
        <f t="shared" si="3"/>
        <v>1289882</v>
      </c>
      <c r="L102" s="648">
        <f>SUM(L6+L14+L22+L30+L38+L46+L54+L62+L70+L78+L86+L94)</f>
        <v>238778</v>
      </c>
      <c r="M102" s="648">
        <f>SUM(M6+M14+M22+M30+M38+M46+M54+M62+M70+M78+M86+M94)</f>
        <v>92201</v>
      </c>
      <c r="N102" s="648">
        <f>SUM(N6+N14+N22+N30+N38+N46+N54+N62+N70+N78+N86+N94)</f>
        <v>1891145</v>
      </c>
      <c r="O102" s="1503">
        <f>1-N103</f>
        <v>0.59237056386714326</v>
      </c>
    </row>
    <row r="103" spans="1:15" ht="12" customHeight="1">
      <c r="A103" s="1512"/>
      <c r="B103" s="1502"/>
      <c r="C103" s="635" t="s">
        <v>6219</v>
      </c>
      <c r="D103" s="650">
        <f>D102/(D102+E102+G102+H102+I102+J102+L102+M102+N102)</f>
        <v>0.15472651153507166</v>
      </c>
      <c r="E103" s="650">
        <f>E102/(D102+E102+G102+H102+I102+J102+L102+M102+N102)</f>
        <v>8.8273350730799185E-2</v>
      </c>
      <c r="F103" s="651">
        <f t="shared" si="2"/>
        <v>0.24299986226587084</v>
      </c>
      <c r="G103" s="650">
        <f>G102/(D102+E102+G102+H102+I102+J102+L102+M102+N102)</f>
        <v>0.25159175604117195</v>
      </c>
      <c r="H103" s="650">
        <f>H102/(D102+E102+G102+H102+I102+J102+L102+M102+N102)</f>
        <v>2.6437624222066216E-2</v>
      </c>
      <c r="I103" s="650">
        <f>I102/(D102+E102+G102+H102+I102+J102+L102+M102+N102)</f>
        <v>0</v>
      </c>
      <c r="J103" s="650">
        <f>J102/(D102+E102+G102+H102+I102+J102+L102+M102+N102)</f>
        <v>0</v>
      </c>
      <c r="K103" s="651">
        <f t="shared" si="3"/>
        <v>0.27802938026323815</v>
      </c>
      <c r="L103" s="650">
        <f>L102/(D102+E102+G102+H102+I102+J102+L102+M102+N102)</f>
        <v>5.1467730661018202E-2</v>
      </c>
      <c r="M103" s="650">
        <f>M102/(D102+E102+G102+H102+I102+J102+L102+M102+N102)</f>
        <v>1.9873590677016054E-2</v>
      </c>
      <c r="N103" s="650">
        <f>N102/(D102+E102+G102+H102+I102+J102+L102+M102+N102)</f>
        <v>0.40762943613285674</v>
      </c>
      <c r="O103" s="1503"/>
    </row>
    <row r="104" spans="1:15" ht="12" customHeight="1">
      <c r="A104" s="1512"/>
      <c r="B104" s="1502" t="s">
        <v>14940</v>
      </c>
      <c r="C104" s="638" t="s">
        <v>6218</v>
      </c>
      <c r="D104" s="648">
        <f>SUM(D8+D16+D24+D32+D40+D48+D56+D64+D72+D80+D88+D96)</f>
        <v>876653</v>
      </c>
      <c r="E104" s="648">
        <f>SUM(E8+E16+E24+E32+E40+E48+E56+E64+E72+E80+E88+E96)</f>
        <v>394843</v>
      </c>
      <c r="F104" s="649">
        <f t="shared" si="2"/>
        <v>1271496</v>
      </c>
      <c r="G104" s="648">
        <f>SUM(G8+G16+G24+G32+G40+G48+G56+G64+G72+G80+G88+G96)</f>
        <v>1153471</v>
      </c>
      <c r="H104" s="648">
        <f>SUM(H8+H16+H24+H32+H40+H48+H56+H64+H72+H80+H88+H96)</f>
        <v>147146</v>
      </c>
      <c r="I104" s="648">
        <f>SUM(I8+I16+I24+I32+I40+I48+I56+I64+I72+I80+I88+I96)</f>
        <v>0</v>
      </c>
      <c r="J104" s="648">
        <f>SUM(J8+J16+J24+J32+J40+J48+J56+J64+J72+J80+J88+J96)</f>
        <v>0</v>
      </c>
      <c r="K104" s="649">
        <f t="shared" si="3"/>
        <v>1300617</v>
      </c>
      <c r="L104" s="648">
        <f>SUM(L8+L16+L24+L32+L40+L48+L56+L64+L72+L80+L88+L96)</f>
        <v>253442</v>
      </c>
      <c r="M104" s="648">
        <f>SUM(M8+M16+M24+M32+M40+M48+M56+M64+M72+M80+M88+M96)</f>
        <v>0</v>
      </c>
      <c r="N104" s="648">
        <f>SUM(N8+N16+N24+N32+N40+N48+N56+N64+N72+N80+N88+N96)</f>
        <v>1804599</v>
      </c>
      <c r="O104" s="1503">
        <f>1-N105</f>
        <v>0.61025076055785621</v>
      </c>
    </row>
    <row r="105" spans="1:15" ht="12" customHeight="1" thickBot="1">
      <c r="A105" s="1513"/>
      <c r="B105" s="1504"/>
      <c r="C105" s="644" t="s">
        <v>6219</v>
      </c>
      <c r="D105" s="645">
        <f>D104/(D104+E104+G104+H104+I104+J104+L104+M104+N104)</f>
        <v>0.18933560309225136</v>
      </c>
      <c r="E105" s="645">
        <f>E104/(D104+E104+G104+H104+I104+J104+L104+M104+N104)</f>
        <v>8.5276429250517372E-2</v>
      </c>
      <c r="F105" s="646">
        <f t="shared" si="2"/>
        <v>0.27461203234276876</v>
      </c>
      <c r="G105" s="645">
        <f>G104/(D104+E104+G104+H104+I104+J104+L104+M104+N104)</f>
        <v>0.24912151950021533</v>
      </c>
      <c r="H105" s="645">
        <f>H104/(D104+E104+G104+H104+I104+J104+L104+M104+N104)</f>
        <v>3.1779936477274839E-2</v>
      </c>
      <c r="I105" s="645">
        <f>I104/(D104+E104+G104+H104+I104+J104+L104+M104+N104)</f>
        <v>0</v>
      </c>
      <c r="J105" s="645">
        <f>J104/(D104+E104+G104+H104+I104+J104+L104+M104+N104)</f>
        <v>0</v>
      </c>
      <c r="K105" s="646">
        <f t="shared" si="3"/>
        <v>0.28090145597749017</v>
      </c>
      <c r="L105" s="645">
        <f>L104/(D104+E104+G104+H104+I104+J104+L104+M104+N104)</f>
        <v>5.4737272237597279E-2</v>
      </c>
      <c r="M105" s="645">
        <f>M104/(D104+E104+G104+H104+I104+J104+L104+M104+N104)</f>
        <v>0</v>
      </c>
      <c r="N105" s="645">
        <f>N104/(D104+E104+G104+H104+I104+J104+L104+M104+N104)</f>
        <v>0.38974923944214385</v>
      </c>
      <c r="O105" s="1505"/>
    </row>
    <row r="106" spans="1:15" ht="12" customHeight="1" thickTop="1">
      <c r="A106" s="1516" t="s">
        <v>14953</v>
      </c>
      <c r="B106" s="1509" t="s">
        <v>14937</v>
      </c>
      <c r="C106" s="647" t="s">
        <v>6218</v>
      </c>
      <c r="D106" s="648">
        <v>59613</v>
      </c>
      <c r="E106" s="648">
        <v>17995</v>
      </c>
      <c r="F106" s="649">
        <f t="shared" si="2"/>
        <v>77608</v>
      </c>
      <c r="G106" s="648">
        <v>70767</v>
      </c>
      <c r="H106" s="648">
        <v>11037</v>
      </c>
      <c r="I106" s="648">
        <v>9538</v>
      </c>
      <c r="J106" s="648">
        <v>4097</v>
      </c>
      <c r="K106" s="649">
        <f t="shared" si="3"/>
        <v>95439</v>
      </c>
      <c r="L106" s="648">
        <v>12544</v>
      </c>
      <c r="M106" s="648">
        <v>3037</v>
      </c>
      <c r="N106" s="648">
        <v>163054</v>
      </c>
      <c r="O106" s="1510">
        <f>1-N107</f>
        <v>0.53635955209535879</v>
      </c>
    </row>
    <row r="107" spans="1:15" ht="12" customHeight="1">
      <c r="A107" s="1517"/>
      <c r="B107" s="1502"/>
      <c r="C107" s="635" t="s">
        <v>6219</v>
      </c>
      <c r="D107" s="636">
        <f>D106/(D106+E106+G106+H106+I106+J106+L106+M106+N106)</f>
        <v>0.16950824892943056</v>
      </c>
      <c r="E107" s="636">
        <f>E106/(D106+E106+G106+H106+I106+J106+L106+M106+N106)</f>
        <v>5.1168385075153124E-2</v>
      </c>
      <c r="F107" s="637">
        <f t="shared" si="2"/>
        <v>0.22067663400458368</v>
      </c>
      <c r="G107" s="636">
        <f>G106/(D106+E106+G106+H106+I106+J106+L106+M106+N106)</f>
        <v>0.20122440159007285</v>
      </c>
      <c r="H107" s="636">
        <f>H106/(D106+E106+G106+H106+I106+J106+L106+M106+N106)</f>
        <v>3.1383465744621558E-2</v>
      </c>
      <c r="I107" s="636">
        <f>I106/(D106+E106+G106+H106+I106+J106+L106+M106+N106)</f>
        <v>2.7121092350475714E-2</v>
      </c>
      <c r="J107" s="636">
        <f>J106/(D106+E106+G106+H106+I106+J106+L106+M106+N106)</f>
        <v>1.1649729016554729E-2</v>
      </c>
      <c r="K107" s="637">
        <f t="shared" si="3"/>
        <v>0.27137868870172488</v>
      </c>
      <c r="L107" s="636">
        <f>L106/(D106+E106+G106+H106+I106+J106+L106+M106+N106)</f>
        <v>3.5668586962085067E-2</v>
      </c>
      <c r="M107" s="636">
        <f>M106/(D106+E106+G106+H106+I106+J106+L106+M106+N106)</f>
        <v>8.6356424269652694E-3</v>
      </c>
      <c r="N107" s="636">
        <f>N106/(D106+E106+G106+H106+I106+J106+L106+M106+N106)</f>
        <v>0.46364044790464115</v>
      </c>
      <c r="O107" s="1503"/>
    </row>
    <row r="108" spans="1:15" ht="12" customHeight="1">
      <c r="A108" s="1517"/>
      <c r="B108" s="1502" t="s">
        <v>14938</v>
      </c>
      <c r="C108" s="638" t="s">
        <v>6218</v>
      </c>
      <c r="D108" s="639">
        <v>71291</v>
      </c>
      <c r="E108" s="639">
        <v>32559</v>
      </c>
      <c r="F108" s="640">
        <f t="shared" si="2"/>
        <v>103850</v>
      </c>
      <c r="G108" s="639">
        <v>70819</v>
      </c>
      <c r="H108" s="639">
        <v>16349</v>
      </c>
      <c r="I108" s="639">
        <v>14151</v>
      </c>
      <c r="J108" s="639"/>
      <c r="K108" s="640">
        <f t="shared" si="3"/>
        <v>101319</v>
      </c>
      <c r="L108" s="639">
        <v>19282</v>
      </c>
      <c r="M108" s="639"/>
      <c r="N108" s="639">
        <v>120601</v>
      </c>
      <c r="O108" s="1503">
        <f>1-N109</f>
        <v>0.65048456464532878</v>
      </c>
    </row>
    <row r="109" spans="1:15" ht="12" customHeight="1">
      <c r="A109" s="1517"/>
      <c r="B109" s="1502"/>
      <c r="C109" s="635" t="s">
        <v>6219</v>
      </c>
      <c r="D109" s="636">
        <f>D108/(D108+E108+G108+H108+I108+J108+L108+M108+N108)</f>
        <v>0.20660943857737385</v>
      </c>
      <c r="E109" s="636">
        <f>E108/(D108+E108+G108+H108+I108+J108+L108+M108+N108)</f>
        <v>9.4359690713283789E-2</v>
      </c>
      <c r="F109" s="637">
        <f t="shared" si="2"/>
        <v>0.30096912929065767</v>
      </c>
      <c r="G109" s="636">
        <f>G108/(D108+E108+G108+H108+I108+J108+L108+M108+N108)</f>
        <v>0.20524152881304847</v>
      </c>
      <c r="H109" s="636">
        <f>H108/(D108+E108+G108+H108+I108+J108+L108+M108+N108)</f>
        <v>4.7381264273210995E-2</v>
      </c>
      <c r="I109" s="636">
        <f>I108/(D108+E108+G108+H108+I108+J108+L108+M108+N108)</f>
        <v>4.1011209904594087E-2</v>
      </c>
      <c r="J109" s="636">
        <f>J108/(D108+E108+G108+H108+I108+J108+L108+M108+N108)</f>
        <v>0</v>
      </c>
      <c r="K109" s="637">
        <f t="shared" si="3"/>
        <v>0.29363400299085352</v>
      </c>
      <c r="L109" s="636">
        <f>L108/(D108+E108+G108+H108+I108+J108+L108+M108+N108)</f>
        <v>5.5881432363817631E-2</v>
      </c>
      <c r="M109" s="636">
        <f>M108/(D108+E108+G108+H108+I108+J108+L108+M108+N108)</f>
        <v>0</v>
      </c>
      <c r="N109" s="636">
        <f>N108/(D108+E108+G108+H108+I108+J108+L108+M108+N108)</f>
        <v>0.34951543535467117</v>
      </c>
      <c r="O109" s="1503"/>
    </row>
    <row r="110" spans="1:15" ht="12" customHeight="1">
      <c r="A110" s="1517"/>
      <c r="B110" s="1502" t="s">
        <v>14939</v>
      </c>
      <c r="C110" s="638" t="s">
        <v>6218</v>
      </c>
      <c r="D110" s="639">
        <v>60373</v>
      </c>
      <c r="E110" s="639">
        <v>20766</v>
      </c>
      <c r="F110" s="640">
        <f t="shared" si="2"/>
        <v>81139</v>
      </c>
      <c r="G110" s="639">
        <v>71874</v>
      </c>
      <c r="H110" s="639">
        <v>13208</v>
      </c>
      <c r="I110" s="639"/>
      <c r="J110" s="639"/>
      <c r="K110" s="640">
        <f t="shared" si="3"/>
        <v>85082</v>
      </c>
      <c r="L110" s="639">
        <v>12725</v>
      </c>
      <c r="M110" s="639">
        <v>5289</v>
      </c>
      <c r="N110" s="639">
        <v>172352</v>
      </c>
      <c r="O110" s="1503">
        <f>1-N111</f>
        <v>0.51666213294371355</v>
      </c>
    </row>
    <row r="111" spans="1:15" ht="12" customHeight="1">
      <c r="A111" s="1517"/>
      <c r="B111" s="1502"/>
      <c r="C111" s="635" t="s">
        <v>6219</v>
      </c>
      <c r="D111" s="636">
        <f>D110/(D110+E110+G110+H110+I110+J110+L110+M110+N110)</f>
        <v>0.16930791083241958</v>
      </c>
      <c r="E111" s="636">
        <f>E110/(D110+E110+G110+H110+I110+J110+L110+M110+N110)</f>
        <v>5.8235437635135327E-2</v>
      </c>
      <c r="F111" s="637">
        <f t="shared" si="2"/>
        <v>0.22754334846755492</v>
      </c>
      <c r="G111" s="636">
        <f>G110/(D110+E110+G110+H110+I110+J110+L110+M110+N110)</f>
        <v>0.2015609093993892</v>
      </c>
      <c r="H111" s="636">
        <f>H110/(D110+E110+G110+H110+I110+J110+L110+M110+N110)</f>
        <v>3.7040049132469777E-2</v>
      </c>
      <c r="I111" s="636">
        <f>I110/(D110+E110+G110+H110+I110+J110+L110+M110+N110)</f>
        <v>0</v>
      </c>
      <c r="J111" s="636">
        <f>J110/(D110+E110+G110+H110+I110+J110+L110+M110+N110)</f>
        <v>0</v>
      </c>
      <c r="K111" s="637">
        <f t="shared" si="3"/>
        <v>0.23860095853185898</v>
      </c>
      <c r="L111" s="636">
        <f>L110/(D110+E110+G110+H110+I110+J110+L110+M110+N110)</f>
        <v>3.5685540975975011E-2</v>
      </c>
      <c r="M111" s="636">
        <f>M110/(D110+E110+G110+H110+I110+J110+L110+M110+N110)</f>
        <v>1.4832284968324701E-2</v>
      </c>
      <c r="N111" s="636">
        <f>N110/(D110+E110+G110+H110+I110+J110+L110+M110+N110)</f>
        <v>0.4833378670562864</v>
      </c>
      <c r="O111" s="1503"/>
    </row>
    <row r="112" spans="1:15" ht="12" customHeight="1">
      <c r="A112" s="1517"/>
      <c r="B112" s="1502" t="s">
        <v>14940</v>
      </c>
      <c r="C112" s="638" t="s">
        <v>6218</v>
      </c>
      <c r="D112" s="639">
        <v>75142</v>
      </c>
      <c r="E112" s="639">
        <v>23483</v>
      </c>
      <c r="F112" s="640">
        <f t="shared" si="2"/>
        <v>98625</v>
      </c>
      <c r="G112" s="639">
        <v>63993</v>
      </c>
      <c r="H112" s="639">
        <v>17670</v>
      </c>
      <c r="I112" s="639"/>
      <c r="J112" s="639"/>
      <c r="K112" s="640">
        <f t="shared" si="3"/>
        <v>81663</v>
      </c>
      <c r="L112" s="639">
        <v>16189</v>
      </c>
      <c r="M112" s="639"/>
      <c r="N112" s="639">
        <v>159897</v>
      </c>
      <c r="O112" s="1503">
        <f>1-N113</f>
        <v>0.55132248705012143</v>
      </c>
    </row>
    <row r="113" spans="1:15" ht="12" customHeight="1" thickBot="1">
      <c r="A113" s="1519"/>
      <c r="B113" s="1514"/>
      <c r="C113" s="641" t="s">
        <v>6219</v>
      </c>
      <c r="D113" s="642">
        <f>D112/(D112+E112+G112+H112+I112+J112+L112+M112+N112)</f>
        <v>0.21085152115474193</v>
      </c>
      <c r="E113" s="642">
        <f>E112/(D112+E112+G112+H112+I112+J112+L112+M112+N112)</f>
        <v>6.5894257156807176E-2</v>
      </c>
      <c r="F113" s="643">
        <f t="shared" si="2"/>
        <v>0.27674577831154912</v>
      </c>
      <c r="G113" s="642">
        <f>G112/(D112+E112+G112+H112+I112+J112+L112+M112+N112)</f>
        <v>0.17956697177684119</v>
      </c>
      <c r="H113" s="642">
        <f>H112/(D112+E112+G112+H112+I112+J112+L112+M112+N112)</f>
        <v>4.9582741726388567E-2</v>
      </c>
      <c r="I113" s="642">
        <f>I112/(D112+E112+G112+H112+I112+J112+L112+M112+N112)</f>
        <v>0</v>
      </c>
      <c r="J113" s="642">
        <f>J112/(D112+E112+G112+H112+I112+J112+L112+M112+N112)</f>
        <v>0</v>
      </c>
      <c r="K113" s="643">
        <f t="shared" si="3"/>
        <v>0.22914971350322977</v>
      </c>
      <c r="L113" s="642">
        <f>L112/(D112+E112+G112+H112+I112+J112+L112+M112+N112)</f>
        <v>4.5426995235342646E-2</v>
      </c>
      <c r="M113" s="642">
        <f>M112/(D112+E112+G112+H112+I112+J112+L112+M112+N112)</f>
        <v>0</v>
      </c>
      <c r="N113" s="642">
        <f>N112/(D112+E112+G112+H112+I112+J112+L112+M112+N112)</f>
        <v>0.44867751294987851</v>
      </c>
      <c r="O113" s="1515"/>
    </row>
    <row r="114" spans="1:15" ht="12" customHeight="1">
      <c r="A114" s="1535" t="s">
        <v>14954</v>
      </c>
      <c r="B114" s="1536" t="s">
        <v>14937</v>
      </c>
      <c r="C114" s="632" t="s">
        <v>6218</v>
      </c>
      <c r="D114" s="633">
        <v>47543</v>
      </c>
      <c r="E114" s="633">
        <v>13955</v>
      </c>
      <c r="F114" s="634">
        <f t="shared" si="2"/>
        <v>61498</v>
      </c>
      <c r="G114" s="633">
        <v>48115</v>
      </c>
      <c r="H114" s="633">
        <v>5825</v>
      </c>
      <c r="I114" s="633">
        <v>3066</v>
      </c>
      <c r="J114" s="633">
        <v>2047</v>
      </c>
      <c r="K114" s="634">
        <f t="shared" si="3"/>
        <v>59053</v>
      </c>
      <c r="L114" s="633">
        <v>3985</v>
      </c>
      <c r="M114" s="633">
        <v>1603</v>
      </c>
      <c r="N114" s="633">
        <v>119911</v>
      </c>
      <c r="O114" s="1537">
        <f>1-N115</f>
        <v>0.51265596423491155</v>
      </c>
    </row>
    <row r="115" spans="1:15" ht="12" customHeight="1">
      <c r="A115" s="1517"/>
      <c r="B115" s="1502"/>
      <c r="C115" s="635" t="s">
        <v>6219</v>
      </c>
      <c r="D115" s="636">
        <f>D114/(D114+E114+G114+H114+I114+J114+L114+M114+N114)</f>
        <v>0.19322495427758585</v>
      </c>
      <c r="E115" s="636">
        <f>E114/(D114+E114+G114+H114+I114+J114+L114+M114+N114)</f>
        <v>5.6716114610851451E-2</v>
      </c>
      <c r="F115" s="637">
        <f t="shared" si="2"/>
        <v>0.24994106888843731</v>
      </c>
      <c r="G115" s="636">
        <f>G114/(D114+E114+G114+H114+I114+J114+L114+M114+N114)</f>
        <v>0.19554968502336922</v>
      </c>
      <c r="H115" s="636">
        <f>H114/(D114+E114+G114+H114+I114+J114+L114+M114+N114)</f>
        <v>2.3674049989839463E-2</v>
      </c>
      <c r="I115" s="636">
        <f>I114/(D114+E114+G114+H114+I114+J114+L114+M114+N114)</f>
        <v>1.2460881934566145E-2</v>
      </c>
      <c r="J115" s="636">
        <f>J114/(D114+E114+G114+H114+I114+J114+L114+M114+N114)</f>
        <v>8.3194472668156882E-3</v>
      </c>
      <c r="K115" s="637">
        <f t="shared" si="3"/>
        <v>0.24000406421459053</v>
      </c>
      <c r="L115" s="636">
        <f>L114/(D114+E114+G114+H114+I114+J114+L114+M114+N114)</f>
        <v>1.6195895143263566E-2</v>
      </c>
      <c r="M115" s="636">
        <f>M114/(D114+E114+G114+H114+I114+J114+L114+M114+N114)</f>
        <v>6.5149359886201991E-3</v>
      </c>
      <c r="N115" s="636">
        <f>N114/(D114+E114+G114+H114+I114+J114+L114+M114+N114)</f>
        <v>0.48734403576508839</v>
      </c>
      <c r="O115" s="1503"/>
    </row>
    <row r="116" spans="1:15" ht="12" customHeight="1">
      <c r="A116" s="1517"/>
      <c r="B116" s="1502" t="s">
        <v>14938</v>
      </c>
      <c r="C116" s="638" t="s">
        <v>6218</v>
      </c>
      <c r="D116" s="639">
        <v>54104</v>
      </c>
      <c r="E116" s="639">
        <v>24687</v>
      </c>
      <c r="F116" s="640">
        <f t="shared" si="2"/>
        <v>78791</v>
      </c>
      <c r="G116" s="639">
        <v>46919</v>
      </c>
      <c r="H116" s="639">
        <v>10241</v>
      </c>
      <c r="I116" s="639">
        <v>7120</v>
      </c>
      <c r="J116" s="639"/>
      <c r="K116" s="640">
        <f t="shared" si="3"/>
        <v>64280</v>
      </c>
      <c r="L116" s="639">
        <v>6490</v>
      </c>
      <c r="M116" s="639"/>
      <c r="N116" s="639">
        <v>98818</v>
      </c>
      <c r="O116" s="1503">
        <f>1-N117</f>
        <v>0.60214832977023014</v>
      </c>
    </row>
    <row r="117" spans="1:15" ht="12" customHeight="1">
      <c r="A117" s="1517"/>
      <c r="B117" s="1502"/>
      <c r="C117" s="635" t="s">
        <v>6219</v>
      </c>
      <c r="D117" s="636">
        <f>D116/(D116+E116+G116+H116+I116+J116+L116+M116+N116)</f>
        <v>0.21782839934132917</v>
      </c>
      <c r="E117" s="636">
        <f>E116/(D116+E116+G116+H116+I116+J116+L116+M116+N116)</f>
        <v>9.9392460715277867E-2</v>
      </c>
      <c r="F117" s="637">
        <f t="shared" si="2"/>
        <v>0.31722086005660705</v>
      </c>
      <c r="G117" s="636">
        <f>G116/(D116+E116+G116+H116+I116+J116+L116+M116+N116)</f>
        <v>0.18890083300117966</v>
      </c>
      <c r="H117" s="636">
        <f>H116/(D116+E116+G116+H116+I116+J116+L116+M116+N116)</f>
        <v>4.1231344034721132E-2</v>
      </c>
      <c r="I117" s="636">
        <f>I116/(D116+E116+G116+H116+I116+J116+L116+M116+N116)</f>
        <v>2.866586949782389E-2</v>
      </c>
      <c r="J117" s="636">
        <f>J116/(D116+E116+G116+H116+I116+J116+L116+M116+N116)</f>
        <v>0</v>
      </c>
      <c r="K117" s="637">
        <f t="shared" si="3"/>
        <v>0.25879804653372468</v>
      </c>
      <c r="L117" s="636">
        <f>L116/(D116+E116+G116+H116+I116+J116+L116+M116+N116)</f>
        <v>2.6129423179898463E-2</v>
      </c>
      <c r="M117" s="636">
        <f>M116/(D116+E116+G116+H116+I116+J116+L116+M116+N116)</f>
        <v>0</v>
      </c>
      <c r="N117" s="636">
        <f>N116/(D116+E116+G116+H116+I116+J116+L116+M116+N116)</f>
        <v>0.3978516702297698</v>
      </c>
      <c r="O117" s="1503"/>
    </row>
    <row r="118" spans="1:15" ht="12" customHeight="1">
      <c r="A118" s="1517"/>
      <c r="B118" s="1502" t="s">
        <v>14939</v>
      </c>
      <c r="C118" s="638" t="s">
        <v>6218</v>
      </c>
      <c r="D118" s="639">
        <v>47693</v>
      </c>
      <c r="E118" s="639">
        <v>17153</v>
      </c>
      <c r="F118" s="640">
        <f t="shared" si="2"/>
        <v>64846</v>
      </c>
      <c r="G118" s="639">
        <v>45543</v>
      </c>
      <c r="H118" s="639">
        <v>8021</v>
      </c>
      <c r="I118" s="639"/>
      <c r="J118" s="639"/>
      <c r="K118" s="640">
        <f t="shared" si="3"/>
        <v>53564</v>
      </c>
      <c r="L118" s="639">
        <v>4440</v>
      </c>
      <c r="M118" s="639">
        <v>3283</v>
      </c>
      <c r="N118" s="639">
        <v>123233</v>
      </c>
      <c r="O118" s="1503">
        <f>1-N119</f>
        <v>0.50581474619635403</v>
      </c>
    </row>
    <row r="119" spans="1:15" ht="12" customHeight="1">
      <c r="A119" s="1517"/>
      <c r="B119" s="1502"/>
      <c r="C119" s="635" t="s">
        <v>6219</v>
      </c>
      <c r="D119" s="636">
        <f>D118/(D118+E118+G118+H118+I118+J118+L118+M118+N118)</f>
        <v>0.19125702782255802</v>
      </c>
      <c r="E119" s="636">
        <f>E118/(D118+E118+G118+H118+I118+J118+L118+M118+N118)</f>
        <v>6.878644241797198E-2</v>
      </c>
      <c r="F119" s="637">
        <f t="shared" si="2"/>
        <v>0.26004347024052998</v>
      </c>
      <c r="G119" s="636">
        <f>G118/(D118+E118+G118+H118+I118+J118+L118+M118+N118)</f>
        <v>0.18263516277279179</v>
      </c>
      <c r="H119" s="636">
        <f>H118/(D118+E118+G118+H118+I118+J118+L118+M118+N118)</f>
        <v>3.2165571890313834E-2</v>
      </c>
      <c r="I119" s="636">
        <f>I118/(D118+E118+G118+H118+I118+J118+L118+M118+N118)</f>
        <v>0</v>
      </c>
      <c r="J119" s="636">
        <f>J118/(D118+E118+G118+H118+I118+J118+L118+M118+N118)</f>
        <v>0</v>
      </c>
      <c r="K119" s="637">
        <f t="shared" si="3"/>
        <v>0.21480073466310562</v>
      </c>
      <c r="L119" s="636">
        <f>L118/(D118+E118+G118+H118+I118+J118+L118+M118+N118)</f>
        <v>1.7805153870214866E-2</v>
      </c>
      <c r="M119" s="636">
        <f>M118/(D118+E118+G118+H118+I118+J118+L118+M118+N118)</f>
        <v>1.3165387422503469E-2</v>
      </c>
      <c r="N119" s="636">
        <f>N118/(D118+E118+G118+H118+I118+J118+L118+M118+N118)</f>
        <v>0.49418525380364603</v>
      </c>
      <c r="O119" s="1503"/>
    </row>
    <row r="120" spans="1:15" ht="12" customHeight="1">
      <c r="A120" s="1517"/>
      <c r="B120" s="1502" t="s">
        <v>14940</v>
      </c>
      <c r="C120" s="638" t="s">
        <v>6218</v>
      </c>
      <c r="D120" s="639">
        <v>58039</v>
      </c>
      <c r="E120" s="639">
        <v>17717</v>
      </c>
      <c r="F120" s="640">
        <f t="shared" si="2"/>
        <v>75756</v>
      </c>
      <c r="G120" s="639">
        <v>35012</v>
      </c>
      <c r="H120" s="639">
        <v>10433</v>
      </c>
      <c r="I120" s="639"/>
      <c r="J120" s="639"/>
      <c r="K120" s="640">
        <f t="shared" si="3"/>
        <v>45445</v>
      </c>
      <c r="L120" s="639">
        <v>5940</v>
      </c>
      <c r="M120" s="639"/>
      <c r="N120" s="639">
        <v>122269</v>
      </c>
      <c r="O120" s="1503">
        <f>1-N121</f>
        <v>0.50976705023856295</v>
      </c>
    </row>
    <row r="121" spans="1:15" ht="12" customHeight="1" thickBot="1">
      <c r="A121" s="1519"/>
      <c r="B121" s="1514"/>
      <c r="C121" s="641" t="s">
        <v>6219</v>
      </c>
      <c r="D121" s="642">
        <f>D120/(D120+E120+G120+H120+I120+J120+L120+M120+N120)</f>
        <v>0.23270518423479411</v>
      </c>
      <c r="E121" s="642">
        <f>E120/(D120+E120+G120+H120+I120+J120+L120+M120+N120)</f>
        <v>7.1035644120123489E-2</v>
      </c>
      <c r="F121" s="643">
        <f t="shared" si="2"/>
        <v>0.30374082835491761</v>
      </c>
      <c r="G121" s="642">
        <f>G120/(D120+E120+G120+H120+I120+J120+L120+M120+N120)</f>
        <v>0.1403792951365222</v>
      </c>
      <c r="H121" s="642">
        <f>H120/(D120+E120+G120+H120+I120+J120+L120+M120+N120)</f>
        <v>4.1830720500380898E-2</v>
      </c>
      <c r="I121" s="642">
        <f>I120/(D120+E120+G120+H120+I120+J120+L120+M120+N120)</f>
        <v>0</v>
      </c>
      <c r="J121" s="642">
        <f>J120/(D120+E120+G120+H120+I120+J120+L120+M120+N120)</f>
        <v>0</v>
      </c>
      <c r="K121" s="643">
        <f t="shared" si="3"/>
        <v>0.18221001563690309</v>
      </c>
      <c r="L121" s="642">
        <f>L120/(D120+E120+G120+H120+I120+J120+L120+M120+N120)</f>
        <v>2.3816206246742314E-2</v>
      </c>
      <c r="M121" s="642">
        <f>M120/(D120+E120+G120+H120+I120+J120+L120+M120+N120)</f>
        <v>0</v>
      </c>
      <c r="N121" s="642">
        <f>N120/(D120+E120+G120+H120+I120+J120+L120+M120+N120)</f>
        <v>0.490232949761437</v>
      </c>
      <c r="O121" s="1515"/>
    </row>
    <row r="122" spans="1:15" ht="12" customHeight="1">
      <c r="A122" s="1535" t="s">
        <v>14955</v>
      </c>
      <c r="B122" s="1536" t="s">
        <v>14937</v>
      </c>
      <c r="C122" s="632" t="s">
        <v>6218</v>
      </c>
      <c r="D122" s="633">
        <v>42932</v>
      </c>
      <c r="E122" s="633">
        <v>12346</v>
      </c>
      <c r="F122" s="634">
        <f t="shared" si="2"/>
        <v>55278</v>
      </c>
      <c r="G122" s="633">
        <v>59448</v>
      </c>
      <c r="H122" s="633">
        <v>4691</v>
      </c>
      <c r="I122" s="633">
        <v>2214</v>
      </c>
      <c r="J122" s="633">
        <v>2458</v>
      </c>
      <c r="K122" s="634">
        <f t="shared" si="3"/>
        <v>68811</v>
      </c>
      <c r="L122" s="633">
        <v>5490</v>
      </c>
      <c r="M122" s="633">
        <v>1827</v>
      </c>
      <c r="N122" s="633">
        <v>134401</v>
      </c>
      <c r="O122" s="1537">
        <f>1-N123</f>
        <v>0.49436621307941475</v>
      </c>
    </row>
    <row r="123" spans="1:15" ht="12" customHeight="1">
      <c r="A123" s="1517"/>
      <c r="B123" s="1502"/>
      <c r="C123" s="635" t="s">
        <v>6219</v>
      </c>
      <c r="D123" s="636">
        <f>D122/(D122+E122+G122+H122+I122+J122+L122+M122+N122)</f>
        <v>0.16151568619336587</v>
      </c>
      <c r="E123" s="636">
        <f>E122/(D122+E122+G122+H122+I122+J122+L122+M122+N122)</f>
        <v>4.6447234271482694E-2</v>
      </c>
      <c r="F123" s="637">
        <f t="shared" si="2"/>
        <v>0.20796292046484857</v>
      </c>
      <c r="G123" s="636">
        <f>G122/(D122+E122+G122+H122+I122+J122+L122+M122+N122)</f>
        <v>0.22365099489479209</v>
      </c>
      <c r="H123" s="636">
        <f>H122/(D122+E122+G122+H122+I122+J122+L122+M122+N122)</f>
        <v>1.7648143201646309E-2</v>
      </c>
      <c r="I123" s="636">
        <f>I122/(D122+E122+G122+H122+I122+J122+L122+M122+N122)</f>
        <v>8.3293517476966377E-3</v>
      </c>
      <c r="J123" s="636">
        <f>J122/(D122+E122+G122+H122+I122+J122+L122+M122+N122)</f>
        <v>9.2473110188971697E-3</v>
      </c>
      <c r="K123" s="637">
        <f t="shared" si="3"/>
        <v>0.25887580086303219</v>
      </c>
      <c r="L123" s="636">
        <f>L122/(D122+E122+G122+H122+I122+J122+L122+M122+N122)</f>
        <v>2.0654083602011986E-2</v>
      </c>
      <c r="M123" s="636">
        <f>M122/(D122+E122+G122+H122+I122+J122+L122+M122+N122)</f>
        <v>6.8734081495220216E-3</v>
      </c>
      <c r="N123" s="636">
        <f>N122/(D122+E122+G122+H122+I122+J122+L122+M122+N122)</f>
        <v>0.50563378692058525</v>
      </c>
      <c r="O123" s="1503"/>
    </row>
    <row r="124" spans="1:15" ht="12" customHeight="1">
      <c r="A124" s="1517"/>
      <c r="B124" s="1502" t="s">
        <v>14938</v>
      </c>
      <c r="C124" s="638" t="s">
        <v>6218</v>
      </c>
      <c r="D124" s="639">
        <v>58563</v>
      </c>
      <c r="E124" s="639">
        <v>22424</v>
      </c>
      <c r="F124" s="640">
        <f t="shared" si="2"/>
        <v>80987</v>
      </c>
      <c r="G124" s="639">
        <v>63995</v>
      </c>
      <c r="H124" s="639">
        <v>7527</v>
      </c>
      <c r="I124" s="639">
        <v>6476</v>
      </c>
      <c r="J124" s="639"/>
      <c r="K124" s="640">
        <f t="shared" si="3"/>
        <v>77998</v>
      </c>
      <c r="L124" s="639">
        <v>7868</v>
      </c>
      <c r="M124" s="639"/>
      <c r="N124" s="639">
        <v>99301</v>
      </c>
      <c r="O124" s="1503">
        <f>1-N125</f>
        <v>0.62690397288787691</v>
      </c>
    </row>
    <row r="125" spans="1:15" ht="12" customHeight="1">
      <c r="A125" s="1517"/>
      <c r="B125" s="1502"/>
      <c r="C125" s="635" t="s">
        <v>6219</v>
      </c>
      <c r="D125" s="636">
        <f>D124/(D124+E124+G124+H124+I124+J124+L124+M124+N124)</f>
        <v>0.22003426587614688</v>
      </c>
      <c r="E125" s="636">
        <f>E124/(D124+E124+G124+H124+I124+J124+L124+M124+N124)</f>
        <v>8.4251974420824036E-2</v>
      </c>
      <c r="F125" s="637">
        <f t="shared" si="2"/>
        <v>0.30428624029697093</v>
      </c>
      <c r="G125" s="636">
        <f>G124/(D124+E124+G124+H124+I124+J124+L124+M124+N124)</f>
        <v>0.24044350263381351</v>
      </c>
      <c r="H125" s="636">
        <f>H124/(D124+E124+G124+H124+I124+J124+L124+M124+N124)</f>
        <v>2.8280619490971392E-2</v>
      </c>
      <c r="I125" s="636">
        <f>I124/(D124+E124+G124+H124+I124+J124+L124+M124+N124)</f>
        <v>2.4331777842902982E-2</v>
      </c>
      <c r="J125" s="636">
        <f>J124/(D124+E124+G124+H124+I124+J124+L124+M124+N124)</f>
        <v>0</v>
      </c>
      <c r="K125" s="637">
        <f t="shared" si="3"/>
        <v>0.29305589996768788</v>
      </c>
      <c r="L125" s="636">
        <f>L124/(D124+E124+G124+H124+I124+J124+L124+M124+N124)</f>
        <v>2.9561832623218137E-2</v>
      </c>
      <c r="M125" s="636">
        <f>M124/(D124+E124+G124+H124+I124+J124+L124+M124+N124)</f>
        <v>0</v>
      </c>
      <c r="N125" s="636">
        <f>N124/(D124+E124+G124+H124+I124+J124+L124+M124+N124)</f>
        <v>0.37309602711212303</v>
      </c>
      <c r="O125" s="1503"/>
    </row>
    <row r="126" spans="1:15" ht="12" customHeight="1">
      <c r="A126" s="1517"/>
      <c r="B126" s="1502" t="s">
        <v>14939</v>
      </c>
      <c r="C126" s="638" t="s">
        <v>6218</v>
      </c>
      <c r="D126" s="639">
        <v>44383</v>
      </c>
      <c r="E126" s="639">
        <v>16344</v>
      </c>
      <c r="F126" s="640">
        <f t="shared" si="2"/>
        <v>60727</v>
      </c>
      <c r="G126" s="639">
        <v>59195</v>
      </c>
      <c r="H126" s="639">
        <v>7138</v>
      </c>
      <c r="I126" s="639"/>
      <c r="J126" s="639"/>
      <c r="K126" s="640">
        <f t="shared" si="3"/>
        <v>66333</v>
      </c>
      <c r="L126" s="639">
        <v>5814</v>
      </c>
      <c r="M126" s="639">
        <v>3595</v>
      </c>
      <c r="N126" s="639">
        <v>130031</v>
      </c>
      <c r="O126" s="1503">
        <f>1-N127</f>
        <v>0.51207879924953104</v>
      </c>
    </row>
    <row r="127" spans="1:15" ht="12" customHeight="1">
      <c r="A127" s="1517"/>
      <c r="B127" s="1502"/>
      <c r="C127" s="635" t="s">
        <v>6219</v>
      </c>
      <c r="D127" s="636">
        <f>D126/(D126+E126+G126+H126+I126+J126+L126+M126+N126)</f>
        <v>0.16654033771106941</v>
      </c>
      <c r="E127" s="636">
        <f>E126/(D126+E126+G126+H126+I126+J126+L126+M126+N126)</f>
        <v>6.1328330206378984E-2</v>
      </c>
      <c r="F127" s="637">
        <f t="shared" si="2"/>
        <v>0.22786866791744839</v>
      </c>
      <c r="G127" s="636">
        <f>G126/(D126+E126+G126+H126+I126+J126+L126+M126+N126)</f>
        <v>0.22212007504690431</v>
      </c>
      <c r="H127" s="636">
        <f>H126/(D126+E126+G126+H126+I126+J126+L126+M126+N126)</f>
        <v>2.678424015009381E-2</v>
      </c>
      <c r="I127" s="636">
        <f>I126/(D126+E126+G126+H126+I126+J126+L126+M126+N126)</f>
        <v>0</v>
      </c>
      <c r="J127" s="636">
        <f>J126/(D126+E126+G126+H126+I126+J126+L126+M126+N126)</f>
        <v>0</v>
      </c>
      <c r="K127" s="637">
        <f t="shared" si="3"/>
        <v>0.24890431519699813</v>
      </c>
      <c r="L127" s="636">
        <f>L126/(D126+E126+G126+H126+I126+J126+L126+M126+N126)</f>
        <v>2.1816135084427767E-2</v>
      </c>
      <c r="M127" s="636">
        <f>M126/(D126+E126+G126+H126+I126+J126+L126+M126+N126)</f>
        <v>1.3489681050656661E-2</v>
      </c>
      <c r="N127" s="636">
        <f>N126/(D126+E126+G126+H126+I126+J126+L126+M126+N126)</f>
        <v>0.48792120075046902</v>
      </c>
      <c r="O127" s="1503"/>
    </row>
    <row r="128" spans="1:15" ht="12" customHeight="1">
      <c r="A128" s="1517"/>
      <c r="B128" s="1502" t="s">
        <v>14940</v>
      </c>
      <c r="C128" s="638" t="s">
        <v>6218</v>
      </c>
      <c r="D128" s="639">
        <v>60188</v>
      </c>
      <c r="E128" s="639">
        <v>19180</v>
      </c>
      <c r="F128" s="640">
        <f t="shared" si="2"/>
        <v>79368</v>
      </c>
      <c r="G128" s="639">
        <v>63563</v>
      </c>
      <c r="H128" s="639">
        <v>7798</v>
      </c>
      <c r="I128" s="639"/>
      <c r="J128" s="639"/>
      <c r="K128" s="640">
        <f t="shared" si="3"/>
        <v>71361</v>
      </c>
      <c r="L128" s="639">
        <v>7146</v>
      </c>
      <c r="M128" s="639"/>
      <c r="N128" s="639">
        <v>108550</v>
      </c>
      <c r="O128" s="1503">
        <f>1-N129</f>
        <v>0.59256826499014736</v>
      </c>
    </row>
    <row r="129" spans="1:15" ht="12" customHeight="1" thickBot="1">
      <c r="A129" s="1519"/>
      <c r="B129" s="1514"/>
      <c r="C129" s="641" t="s">
        <v>6219</v>
      </c>
      <c r="D129" s="642">
        <f>D128/(D128+E128+G128+H128+I128+J128+L128+M128+N128)</f>
        <v>0.22590973069344092</v>
      </c>
      <c r="E129" s="642">
        <f>E128/(D128+E128+G128+H128+I128+J128+L128+M128+N128)</f>
        <v>7.1990241156047671E-2</v>
      </c>
      <c r="F129" s="643">
        <f t="shared" si="2"/>
        <v>0.29789997184948858</v>
      </c>
      <c r="G129" s="642">
        <f>G128/(D128+E128+G128+H128+I128+J128+L128+M128+N128)</f>
        <v>0.23857746082387163</v>
      </c>
      <c r="H129" s="642">
        <f>H128/(D128+E128+G128+H128+I128+J128+L128+M128+N128)</f>
        <v>2.9269025053955147E-2</v>
      </c>
      <c r="I129" s="642">
        <f>I128/(D128+E128+G128+H128+I128+J128+L128+M128+N128)</f>
        <v>0</v>
      </c>
      <c r="J129" s="642">
        <f>J128/(D128+E128+G128+H128+I128+J128+L128+M128+N128)</f>
        <v>0</v>
      </c>
      <c r="K129" s="643">
        <f t="shared" si="3"/>
        <v>0.26784648587782678</v>
      </c>
      <c r="L129" s="642">
        <f>L128/(D128+E128+G128+H128+I128+J128+L128+M128+N128)</f>
        <v>2.682180726283194E-2</v>
      </c>
      <c r="M129" s="642">
        <f>M128/(D128+E128+G128+H128+I128+J128+L128+M128+N128)</f>
        <v>0</v>
      </c>
      <c r="N129" s="642">
        <f>N128/(D128+E128+G128+H128+I128+J128+L128+M128+N128)</f>
        <v>0.40743173500985269</v>
      </c>
      <c r="O129" s="1515"/>
    </row>
    <row r="130" spans="1:15" ht="12" customHeight="1">
      <c r="A130" s="1535" t="s">
        <v>14956</v>
      </c>
      <c r="B130" s="1536" t="s">
        <v>14937</v>
      </c>
      <c r="C130" s="632" t="s">
        <v>6218</v>
      </c>
      <c r="D130" s="633">
        <v>53078</v>
      </c>
      <c r="E130" s="633">
        <v>14813</v>
      </c>
      <c r="F130" s="634">
        <f t="shared" ref="F130:F193" si="4">SUM(D130:E130)</f>
        <v>67891</v>
      </c>
      <c r="G130" s="633">
        <v>58886</v>
      </c>
      <c r="H130" s="633">
        <v>6944</v>
      </c>
      <c r="I130" s="633">
        <v>14300</v>
      </c>
      <c r="J130" s="633">
        <v>3183</v>
      </c>
      <c r="K130" s="634">
        <f t="shared" ref="K130:K193" si="5">SUM(G130:J130)</f>
        <v>83313</v>
      </c>
      <c r="L130" s="633">
        <v>11043</v>
      </c>
      <c r="M130" s="633">
        <v>2660</v>
      </c>
      <c r="N130" s="633">
        <v>152054</v>
      </c>
      <c r="O130" s="1537">
        <f>1-N131</f>
        <v>0.52027536510801009</v>
      </c>
    </row>
    <row r="131" spans="1:15" ht="12" customHeight="1">
      <c r="A131" s="1517"/>
      <c r="B131" s="1502"/>
      <c r="C131" s="635" t="s">
        <v>6219</v>
      </c>
      <c r="D131" s="636">
        <f>D130/(D130+E130+G130+H130+I130+J130+L130+M130+N130)</f>
        <v>0.16745908802660264</v>
      </c>
      <c r="E131" s="636">
        <f>E130/(D130+E130+G130+H130+I130+J130+L130+M130+N130)</f>
        <v>4.6734456289575059E-2</v>
      </c>
      <c r="F131" s="637">
        <f t="shared" si="4"/>
        <v>0.21419354431617771</v>
      </c>
      <c r="G131" s="636">
        <f>G130/(D130+E130+G130+H130+I130+J130+L130+M130+N130)</f>
        <v>0.18578310896293235</v>
      </c>
      <c r="H131" s="636">
        <f>H130/(D130+E130+G130+H130+I130+J130+L130+M130+N130)</f>
        <v>2.1908058089165544E-2</v>
      </c>
      <c r="I131" s="636">
        <f>I130/(D130+E130+G130+H130+I130+J130+L130+M130+N130)</f>
        <v>4.5115960638690562E-2</v>
      </c>
      <c r="J131" s="636">
        <f>J130/(D130+E130+G130+H130+I130+J130+L130+M130+N130)</f>
        <v>1.0042244944961682E-2</v>
      </c>
      <c r="K131" s="637">
        <f t="shared" si="5"/>
        <v>0.26284937263575014</v>
      </c>
      <c r="L131" s="636">
        <f>L130/(D130+E130+G130+H130+I130+J130+L130+M130+N130)</f>
        <v>3.4840248484829361E-2</v>
      </c>
      <c r="M131" s="636">
        <f>M130/(D130+E130+G130+H130+I130+J130+L130+M130+N130)</f>
        <v>8.3921996712529295E-3</v>
      </c>
      <c r="N131" s="636">
        <f>N130/(D130+E130+G130+H130+I130+J130+L130+M130+N130)</f>
        <v>0.47972463489198985</v>
      </c>
      <c r="O131" s="1503"/>
    </row>
    <row r="132" spans="1:15" ht="12" customHeight="1">
      <c r="A132" s="1517"/>
      <c r="B132" s="1502" t="s">
        <v>14938</v>
      </c>
      <c r="C132" s="638" t="s">
        <v>6218</v>
      </c>
      <c r="D132" s="639">
        <v>63988</v>
      </c>
      <c r="E132" s="639">
        <v>29443</v>
      </c>
      <c r="F132" s="640">
        <f t="shared" si="4"/>
        <v>93431</v>
      </c>
      <c r="G132" s="639">
        <v>53153</v>
      </c>
      <c r="H132" s="639">
        <v>9378</v>
      </c>
      <c r="I132" s="639">
        <v>22963</v>
      </c>
      <c r="J132" s="639"/>
      <c r="K132" s="640">
        <f t="shared" si="5"/>
        <v>85494</v>
      </c>
      <c r="L132" s="639">
        <v>17390</v>
      </c>
      <c r="M132" s="639"/>
      <c r="N132" s="639">
        <v>123629</v>
      </c>
      <c r="O132" s="1503">
        <f>1-N133</f>
        <v>0.61359175355687245</v>
      </c>
    </row>
    <row r="133" spans="1:15" ht="12" customHeight="1">
      <c r="A133" s="1517"/>
      <c r="B133" s="1502"/>
      <c r="C133" s="635" t="s">
        <v>6219</v>
      </c>
      <c r="D133" s="636">
        <f>D132/(D132+E132+G132+H132+I132+J132+L132+M132+N132)</f>
        <v>0.19999749956242344</v>
      </c>
      <c r="E133" s="636">
        <f>E132/(D132+E132+G132+H132+I132+J132+L132+M132+N132)</f>
        <v>9.202547945890531E-2</v>
      </c>
      <c r="F133" s="637">
        <f t="shared" si="4"/>
        <v>0.29202297902132873</v>
      </c>
      <c r="G133" s="636">
        <f>G132/(D132+E132+G132+H132+I132+J132+L132+M132+N132)</f>
        <v>0.16613219813467356</v>
      </c>
      <c r="H133" s="636">
        <f>H132/(D132+E132+G132+H132+I132+J132+L132+M132+N132)</f>
        <v>2.9311379491410997E-2</v>
      </c>
      <c r="I133" s="636">
        <f>I132/(D132+E132+G132+H132+I132+J132+L132+M132+N132)</f>
        <v>7.1771935088640507E-2</v>
      </c>
      <c r="J133" s="636">
        <f>J132/(D132+E132+G132+H132+I132+J132+L132+M132+N132)</f>
        <v>0</v>
      </c>
      <c r="K133" s="637">
        <f t="shared" si="5"/>
        <v>0.26721551271472505</v>
      </c>
      <c r="L133" s="636">
        <f>L132/(D132+E132+G132+H132+I132+J132+L132+M132+N132)</f>
        <v>5.4353261820818642E-2</v>
      </c>
      <c r="M133" s="636">
        <f>M132/(D132+E132+G132+H132+I132+J132+L132+M132+N132)</f>
        <v>0</v>
      </c>
      <c r="N133" s="636">
        <f>N132/(D132+E132+G132+H132+I132+J132+L132+M132+N132)</f>
        <v>0.38640824644312755</v>
      </c>
      <c r="O133" s="1503"/>
    </row>
    <row r="134" spans="1:15" ht="12" customHeight="1">
      <c r="A134" s="1517"/>
      <c r="B134" s="1502" t="s">
        <v>14939</v>
      </c>
      <c r="C134" s="638" t="s">
        <v>6218</v>
      </c>
      <c r="D134" s="639">
        <v>53001</v>
      </c>
      <c r="E134" s="639">
        <v>17999</v>
      </c>
      <c r="F134" s="640">
        <f t="shared" si="4"/>
        <v>71000</v>
      </c>
      <c r="G134" s="639">
        <v>65682</v>
      </c>
      <c r="H134" s="639">
        <v>8757</v>
      </c>
      <c r="I134" s="639"/>
      <c r="J134" s="639"/>
      <c r="K134" s="640">
        <f t="shared" si="5"/>
        <v>74439</v>
      </c>
      <c r="L134" s="639">
        <v>10471</v>
      </c>
      <c r="M134" s="639">
        <v>4512</v>
      </c>
      <c r="N134" s="639">
        <v>160718</v>
      </c>
      <c r="O134" s="1503">
        <f>1-N135</f>
        <v>0.4995391418073114</v>
      </c>
    </row>
    <row r="135" spans="1:15" ht="12" customHeight="1">
      <c r="A135" s="1517"/>
      <c r="B135" s="1502"/>
      <c r="C135" s="635" t="s">
        <v>6219</v>
      </c>
      <c r="D135" s="636">
        <f>D134/(D134+E134+G134+H134+I134+J134+L134+M134+N134)</f>
        <v>0.16504016939652488</v>
      </c>
      <c r="E135" s="636">
        <f>E134/(D134+E134+G134+H134+I134+J134+L134+M134+N134)</f>
        <v>5.6047206825683503E-2</v>
      </c>
      <c r="F135" s="637">
        <f t="shared" si="4"/>
        <v>0.22108737622220839</v>
      </c>
      <c r="G135" s="636">
        <f>G134/(D134+E134+G134+H134+I134+J134+L134+M134+N134)</f>
        <v>0.20452762035249425</v>
      </c>
      <c r="H135" s="636">
        <f>H134/(D134+E134+G134+H134+I134+J134+L134+M134+N134)</f>
        <v>2.7268481036308152E-2</v>
      </c>
      <c r="I135" s="636">
        <f>I134/(D134+E134+G134+H134+I134+J134+L134+M134+N134)</f>
        <v>0</v>
      </c>
      <c r="J135" s="636">
        <f>J134/(D134+E134+G134+H134+I134+J134+L134+M134+N134)</f>
        <v>0</v>
      </c>
      <c r="K135" s="637">
        <f t="shared" si="5"/>
        <v>0.23179610138880241</v>
      </c>
      <c r="L135" s="636">
        <f>L134/(D134+E134+G134+H134+I134+J134+L134+M134+N134)</f>
        <v>3.2605717132714707E-2</v>
      </c>
      <c r="M135" s="636">
        <f>M134/(D134+E134+G134+H134+I134+J134+L134+M134+N134)</f>
        <v>1.4049947063585975E-2</v>
      </c>
      <c r="N135" s="636">
        <f>N134/(D134+E134+G134+H134+I134+J134+L134+M134+N134)</f>
        <v>0.5004608581926886</v>
      </c>
      <c r="O135" s="1503"/>
    </row>
    <row r="136" spans="1:15" ht="12" customHeight="1">
      <c r="A136" s="1517"/>
      <c r="B136" s="1502" t="s">
        <v>14940</v>
      </c>
      <c r="C136" s="638" t="s">
        <v>6218</v>
      </c>
      <c r="D136" s="639">
        <v>69656</v>
      </c>
      <c r="E136" s="639">
        <v>20672</v>
      </c>
      <c r="F136" s="640">
        <f t="shared" si="4"/>
        <v>90328</v>
      </c>
      <c r="G136" s="639">
        <v>51283</v>
      </c>
      <c r="H136" s="639">
        <v>10761</v>
      </c>
      <c r="I136" s="639"/>
      <c r="J136" s="639"/>
      <c r="K136" s="640">
        <f t="shared" si="5"/>
        <v>62044</v>
      </c>
      <c r="L136" s="639">
        <v>15456</v>
      </c>
      <c r="M136" s="639"/>
      <c r="N136" s="639">
        <v>153096</v>
      </c>
      <c r="O136" s="1503">
        <f>1-N137</f>
        <v>0.52295247472921935</v>
      </c>
    </row>
    <row r="137" spans="1:15" ht="12" customHeight="1" thickBot="1">
      <c r="A137" s="1519"/>
      <c r="B137" s="1514"/>
      <c r="C137" s="641" t="s">
        <v>6219</v>
      </c>
      <c r="D137" s="642">
        <f>D136/(D136+E136+G136+H136+I136+J136+L136+M136+N136)</f>
        <v>0.21704827311139085</v>
      </c>
      <c r="E137" s="642">
        <f>E136/(D136+E136+G136+H136+I136+J136+L136+M136+N136)</f>
        <v>6.441400456182772E-2</v>
      </c>
      <c r="F137" s="643">
        <f t="shared" si="4"/>
        <v>0.28146227767321857</v>
      </c>
      <c r="G137" s="642">
        <f>G136/(D136+E136+G136+H136+I136+J136+L136+M136+N136)</f>
        <v>0.15979795839513405</v>
      </c>
      <c r="H137" s="642">
        <f>H136/(D136+E136+G136+H136+I136+J136+L136+M136+N136)</f>
        <v>3.3531303361543544E-2</v>
      </c>
      <c r="I137" s="642">
        <f>I136/(D136+E136+G136+H136+I136+J136+L136+M136+N136)</f>
        <v>0</v>
      </c>
      <c r="J137" s="642">
        <f>J136/(D136+E136+G136+H136+I136+J136+L136+M136+N136)</f>
        <v>0</v>
      </c>
      <c r="K137" s="643">
        <f t="shared" si="5"/>
        <v>0.19332926175667758</v>
      </c>
      <c r="L137" s="642">
        <f>L136/(D136+E136+G136+H136+I136+J136+L136+M136+N136)</f>
        <v>4.8160935299323207E-2</v>
      </c>
      <c r="M137" s="642">
        <f>M136/(D136+E136+G136+H136+I136+J136+L136+M136+N136)</f>
        <v>0</v>
      </c>
      <c r="N137" s="642">
        <f>N136/(D136+E136+G136+H136+I136+J136+L136+M136+N136)</f>
        <v>0.47704752527078065</v>
      </c>
      <c r="O137" s="1515"/>
    </row>
    <row r="138" spans="1:15" ht="12" customHeight="1">
      <c r="A138" s="1538" t="s">
        <v>14957</v>
      </c>
      <c r="B138" s="1536" t="s">
        <v>14937</v>
      </c>
      <c r="C138" s="632" t="s">
        <v>6218</v>
      </c>
      <c r="D138" s="633">
        <v>34725</v>
      </c>
      <c r="E138" s="633">
        <v>11569</v>
      </c>
      <c r="F138" s="634">
        <f t="shared" si="4"/>
        <v>46294</v>
      </c>
      <c r="G138" s="633">
        <v>87983</v>
      </c>
      <c r="H138" s="633">
        <v>9258</v>
      </c>
      <c r="I138" s="633">
        <v>2180</v>
      </c>
      <c r="J138" s="633">
        <v>2868</v>
      </c>
      <c r="K138" s="634">
        <f t="shared" si="5"/>
        <v>102289</v>
      </c>
      <c r="L138" s="633">
        <v>10201</v>
      </c>
      <c r="M138" s="633">
        <v>2543</v>
      </c>
      <c r="N138" s="633">
        <v>115354</v>
      </c>
      <c r="O138" s="1537">
        <f>1-N139</f>
        <v>0.58307943082466807</v>
      </c>
    </row>
    <row r="139" spans="1:15" ht="12" customHeight="1">
      <c r="A139" s="1527"/>
      <c r="B139" s="1502"/>
      <c r="C139" s="635" t="s">
        <v>6219</v>
      </c>
      <c r="D139" s="636">
        <f>D138/(D138+E138+G138+H138+I138+J138+L138+M138+N138)</f>
        <v>0.12550554609821418</v>
      </c>
      <c r="E139" s="636">
        <f>E138/(D138+E138+G138+H138+I138+J138+L138+M138+N138)</f>
        <v>4.1813496409222176E-2</v>
      </c>
      <c r="F139" s="637">
        <f t="shared" si="4"/>
        <v>0.16731904250743634</v>
      </c>
      <c r="G139" s="636">
        <f>G138/(D138+E138+G138+H138+I138+J138+L138+M138+N138)</f>
        <v>0.31799436896642702</v>
      </c>
      <c r="H139" s="636">
        <f>H138/(D138+E138+G138+H138+I138+J138+L138+M138+N138)</f>
        <v>3.3460917085018485E-2</v>
      </c>
      <c r="I139" s="636">
        <f>I138/(D138+E138+G138+H138+I138+J138+L138+M138+N138)</f>
        <v>7.8791098774400846E-3</v>
      </c>
      <c r="J139" s="636">
        <f>J138/(D138+E138+G138+H138+I138+J138+L138+M138+N138)</f>
        <v>1.0365728040595486E-2</v>
      </c>
      <c r="K139" s="637">
        <f t="shared" si="5"/>
        <v>0.36970012396948104</v>
      </c>
      <c r="L139" s="636">
        <f>L138/(D138+E138+G138+H138+I138+J138+L138+M138+N138)</f>
        <v>3.6869174247599223E-2</v>
      </c>
      <c r="M139" s="636">
        <f>M138/(D138+E138+G138+H138+I138+J138+L138+M138+N138)</f>
        <v>9.1910901001514382E-3</v>
      </c>
      <c r="N139" s="636">
        <f>N138/(D138+E138+G138+H138+I138+J138+L138+M138+N138)</f>
        <v>0.41692056917533188</v>
      </c>
      <c r="O139" s="1503"/>
    </row>
    <row r="140" spans="1:15" ht="12" customHeight="1">
      <c r="A140" s="1527"/>
      <c r="B140" s="1502" t="s">
        <v>14938</v>
      </c>
      <c r="C140" s="638" t="s">
        <v>6218</v>
      </c>
      <c r="D140" s="639">
        <v>56586</v>
      </c>
      <c r="E140" s="639">
        <v>12554</v>
      </c>
      <c r="F140" s="640">
        <f t="shared" si="4"/>
        <v>69140</v>
      </c>
      <c r="G140" s="639">
        <v>78365</v>
      </c>
      <c r="H140" s="639">
        <v>16829</v>
      </c>
      <c r="I140" s="639">
        <v>4848</v>
      </c>
      <c r="J140" s="639"/>
      <c r="K140" s="640">
        <f t="shared" si="5"/>
        <v>100042</v>
      </c>
      <c r="L140" s="639">
        <v>12209</v>
      </c>
      <c r="M140" s="639"/>
      <c r="N140" s="639">
        <v>92263</v>
      </c>
      <c r="O140" s="1503">
        <f>1-N141</f>
        <v>0.66284797591118716</v>
      </c>
    </row>
    <row r="141" spans="1:15" ht="12" customHeight="1">
      <c r="A141" s="1527"/>
      <c r="B141" s="1502"/>
      <c r="C141" s="635" t="s">
        <v>6219</v>
      </c>
      <c r="D141" s="636">
        <f>D140/(D140+E140+G140+H140+I140+J140+L140+M140+N140)</f>
        <v>0.2067793637220724</v>
      </c>
      <c r="E141" s="636">
        <f>E140/(D140+E140+G140+H140+I140+J140+L140+M140+N140)</f>
        <v>4.5875448559129409E-2</v>
      </c>
      <c r="F141" s="637">
        <f t="shared" si="4"/>
        <v>0.25265481228120179</v>
      </c>
      <c r="G141" s="636">
        <f>G140/(D140+E140+G140+H140+I140+J140+L140+M140+N140)</f>
        <v>0.2863652641656983</v>
      </c>
      <c r="H141" s="636">
        <f>H140/(D140+E140+G140+H140+I140+J140+L140+M140+N140)</f>
        <v>6.1497365286091198E-2</v>
      </c>
      <c r="I141" s="636">
        <f>I140/(D140+E140+G140+H140+I140+J140+L140+M140+N140)</f>
        <v>1.7715801705803679E-2</v>
      </c>
      <c r="J141" s="636">
        <f>J140/(D140+E140+G140+H140+I140+J140+L140+M140+N140)</f>
        <v>0</v>
      </c>
      <c r="K141" s="637">
        <f t="shared" si="5"/>
        <v>0.36557843115759314</v>
      </c>
      <c r="L141" s="636">
        <f>L140/(D140+E140+G140+H140+I140+J140+L140+M140+N140)</f>
        <v>4.4614732472392143E-2</v>
      </c>
      <c r="M141" s="636">
        <f>M140/(D140+E140+G140+H140+I140+J140+L140+M140+N140)</f>
        <v>0</v>
      </c>
      <c r="N141" s="636">
        <f>N140/(D140+E140+G140+H140+I140+J140+L140+M140+N140)</f>
        <v>0.3371520240888129</v>
      </c>
      <c r="O141" s="1503"/>
    </row>
    <row r="142" spans="1:15" ht="12" customHeight="1">
      <c r="A142" s="1527"/>
      <c r="B142" s="1502" t="s">
        <v>14939</v>
      </c>
      <c r="C142" s="638" t="s">
        <v>6218</v>
      </c>
      <c r="D142" s="639">
        <v>38113</v>
      </c>
      <c r="E142" s="639">
        <v>12632</v>
      </c>
      <c r="F142" s="640">
        <f t="shared" si="4"/>
        <v>50745</v>
      </c>
      <c r="G142" s="639">
        <v>78425</v>
      </c>
      <c r="H142" s="639">
        <v>12268</v>
      </c>
      <c r="I142" s="639"/>
      <c r="J142" s="639"/>
      <c r="K142" s="640">
        <f t="shared" si="5"/>
        <v>90693</v>
      </c>
      <c r="L142" s="639">
        <v>10019</v>
      </c>
      <c r="M142" s="639">
        <v>5934</v>
      </c>
      <c r="N142" s="639">
        <v>115483</v>
      </c>
      <c r="O142" s="1503">
        <f>1-N143</f>
        <v>0.57679002030241056</v>
      </c>
    </row>
    <row r="143" spans="1:15" ht="12" customHeight="1">
      <c r="A143" s="1527"/>
      <c r="B143" s="1502"/>
      <c r="C143" s="635" t="s">
        <v>6219</v>
      </c>
      <c r="D143" s="636">
        <f>D142/(D142+E142+G142+H142+I142+J142+L142+M142+N142)</f>
        <v>0.1396725228493737</v>
      </c>
      <c r="E143" s="636">
        <f>E142/(D142+E142+G142+H142+I142+J142+L142+M142+N142)</f>
        <v>4.6292428007065532E-2</v>
      </c>
      <c r="F143" s="637">
        <f t="shared" si="4"/>
        <v>0.18596495085643924</v>
      </c>
      <c r="G143" s="636">
        <f>G142/(D142+E142+G142+H142+I142+J142+L142+M142+N142)</f>
        <v>0.2874037101372795</v>
      </c>
      <c r="H143" s="636">
        <f>H142/(D142+E142+G142+H142+I142+J142+L142+M142+N142)</f>
        <v>4.4958479004961999E-2</v>
      </c>
      <c r="I143" s="636">
        <f>I142/(D142+E142+G142+H142+I142+J142+L142+M142+N142)</f>
        <v>0</v>
      </c>
      <c r="J143" s="636">
        <f>J142/(D142+E142+G142+H142+I142+J142+L142+M142+N142)</f>
        <v>0</v>
      </c>
      <c r="K143" s="637">
        <f t="shared" si="5"/>
        <v>0.33236218914224147</v>
      </c>
      <c r="L143" s="636">
        <f>L142/(D142+E142+G142+H142+I142+J142+L142+M142+N142)</f>
        <v>3.6716579813393727E-2</v>
      </c>
      <c r="M143" s="636">
        <f>M142/(D142+E142+G142+H142+I142+J142+L142+M142+N142)</f>
        <v>2.1746300490336198E-2</v>
      </c>
      <c r="N143" s="636">
        <f>N142/(D142+E142+G142+H142+I142+J142+L142+M142+N142)</f>
        <v>0.42320997969758939</v>
      </c>
      <c r="O143" s="1503"/>
    </row>
    <row r="144" spans="1:15" ht="12" customHeight="1">
      <c r="A144" s="1527"/>
      <c r="B144" s="1502" t="s">
        <v>14940</v>
      </c>
      <c r="C144" s="638" t="s">
        <v>6218</v>
      </c>
      <c r="D144" s="639">
        <v>51375</v>
      </c>
      <c r="E144" s="639">
        <v>12379</v>
      </c>
      <c r="F144" s="640">
        <f t="shared" si="4"/>
        <v>63754</v>
      </c>
      <c r="G144" s="639">
        <v>79292</v>
      </c>
      <c r="H144" s="639">
        <v>12397</v>
      </c>
      <c r="I144" s="639"/>
      <c r="J144" s="639"/>
      <c r="K144" s="640">
        <f t="shared" si="5"/>
        <v>91689</v>
      </c>
      <c r="L144" s="639">
        <v>11363</v>
      </c>
      <c r="M144" s="639"/>
      <c r="N144" s="639">
        <v>104639</v>
      </c>
      <c r="O144" s="1503">
        <f>1-N145</f>
        <v>0.61451122695205296</v>
      </c>
    </row>
    <row r="145" spans="1:15" ht="12" customHeight="1" thickBot="1">
      <c r="A145" s="1528"/>
      <c r="B145" s="1514"/>
      <c r="C145" s="641" t="s">
        <v>6219</v>
      </c>
      <c r="D145" s="642">
        <f>D144/(D144+E144+G144+H144+I144+J144+L144+M144+N144)</f>
        <v>0.18926486028477224</v>
      </c>
      <c r="E145" s="642">
        <f>E144/(D144+E144+G144+H144+I144+J144+L144+M144+N144)</f>
        <v>4.5604081858203319E-2</v>
      </c>
      <c r="F145" s="643">
        <f t="shared" si="4"/>
        <v>0.23486894214297555</v>
      </c>
      <c r="G145" s="642">
        <f>G144/(D144+E144+G144+H144+I144+J144+L144+M144+N144)</f>
        <v>0.29211074066569653</v>
      </c>
      <c r="H145" s="642">
        <f>H144/(D144+E144+G144+H144+I144+J144+L144+M144+N144)</f>
        <v>4.5670393634069516E-2</v>
      </c>
      <c r="I145" s="642">
        <f>I144/(D144+E144+G144+H144+I144+J144+L144+M144+N144)</f>
        <v>0</v>
      </c>
      <c r="J145" s="642">
        <f>J144/(D144+E144+G144+H144+I144+J144+L144+M144+N144)</f>
        <v>0</v>
      </c>
      <c r="K145" s="643">
        <f t="shared" si="5"/>
        <v>0.33778113429976603</v>
      </c>
      <c r="L145" s="642">
        <f>L144/(D144+E144+G144+H144+I144+J144+L144+M144+N144)</f>
        <v>4.186115050931128E-2</v>
      </c>
      <c r="M145" s="642">
        <f>M144/(D144+E144+G144+H144+I144+J144+L144+M144+N144)</f>
        <v>0</v>
      </c>
      <c r="N145" s="642">
        <f>N144/(D144+E144+G144+H144+I144+J144+L144+M144+N144)</f>
        <v>0.3854887730479471</v>
      </c>
      <c r="O145" s="1515"/>
    </row>
    <row r="146" spans="1:15" ht="12" customHeight="1">
      <c r="A146" s="1535" t="s">
        <v>14958</v>
      </c>
      <c r="B146" s="1536" t="s">
        <v>14937</v>
      </c>
      <c r="C146" s="632" t="s">
        <v>6218</v>
      </c>
      <c r="D146" s="633">
        <v>49942</v>
      </c>
      <c r="E146" s="633">
        <v>13423</v>
      </c>
      <c r="F146" s="634">
        <f t="shared" si="4"/>
        <v>63365</v>
      </c>
      <c r="G146" s="633">
        <v>85410</v>
      </c>
      <c r="H146" s="633">
        <v>7812</v>
      </c>
      <c r="I146" s="633">
        <v>2813</v>
      </c>
      <c r="J146" s="633">
        <v>1744</v>
      </c>
      <c r="K146" s="634">
        <f t="shared" si="5"/>
        <v>97779</v>
      </c>
      <c r="L146" s="633">
        <v>8942</v>
      </c>
      <c r="M146" s="633">
        <v>2024</v>
      </c>
      <c r="N146" s="633">
        <v>135743</v>
      </c>
      <c r="O146" s="1537">
        <f>1-N147</f>
        <v>0.55906552802798737</v>
      </c>
    </row>
    <row r="147" spans="1:15" ht="12" customHeight="1">
      <c r="A147" s="1517"/>
      <c r="B147" s="1502"/>
      <c r="C147" s="635" t="s">
        <v>6219</v>
      </c>
      <c r="D147" s="636">
        <f>D146/(D146+E146+G146+H146+I146+J146+L146+M146+N146)</f>
        <v>0.16222677706567745</v>
      </c>
      <c r="E147" s="636">
        <f>E146/(D146+E146+G146+H146+I146+J146+L146+M146+N146)</f>
        <v>4.3601978866536953E-2</v>
      </c>
      <c r="F147" s="637">
        <f t="shared" si="4"/>
        <v>0.20582875593221439</v>
      </c>
      <c r="G147" s="636">
        <f>G146/(D146+E146+G146+H146+I146+J146+L146+M146+N146)</f>
        <v>0.27743760820911278</v>
      </c>
      <c r="H147" s="636">
        <f>H146/(D146+E146+G146+H146+I146+J146+L146+M146+N146)</f>
        <v>2.5375747515859842E-2</v>
      </c>
      <c r="I147" s="636">
        <f>I146/(D146+E146+G146+H146+I146+J146+L146+M146+N146)</f>
        <v>9.1374779521394955E-3</v>
      </c>
      <c r="J147" s="636">
        <f>J146/(D146+E146+G146+H146+I146+J146+L146+M146+N146)</f>
        <v>5.6650414321120796E-3</v>
      </c>
      <c r="K147" s="637">
        <f t="shared" si="5"/>
        <v>0.31761587510922423</v>
      </c>
      <c r="L147" s="636">
        <f>L146/(D146+E146+G146+H146+I146+J146+L146+M146+N146)</f>
        <v>2.9046330553868242E-2</v>
      </c>
      <c r="M147" s="636">
        <f>M146/(D146+E146+G146+H146+I146+J146+L146+M146+N146)</f>
        <v>6.5745664326805325E-3</v>
      </c>
      <c r="N147" s="636">
        <f>N146/(D146+E146+G146+H146+I146+J146+L146+M146+N146)</f>
        <v>0.44093447197201263</v>
      </c>
      <c r="O147" s="1503"/>
    </row>
    <row r="148" spans="1:15" ht="12" customHeight="1">
      <c r="A148" s="1517"/>
      <c r="B148" s="1502" t="s">
        <v>14938</v>
      </c>
      <c r="C148" s="638" t="s">
        <v>6218</v>
      </c>
      <c r="D148" s="639">
        <v>75403</v>
      </c>
      <c r="E148" s="639">
        <v>17013</v>
      </c>
      <c r="F148" s="640">
        <f t="shared" si="4"/>
        <v>92416</v>
      </c>
      <c r="G148" s="639">
        <v>82758</v>
      </c>
      <c r="H148" s="639">
        <v>11846</v>
      </c>
      <c r="I148" s="639">
        <v>5415</v>
      </c>
      <c r="J148" s="639"/>
      <c r="K148" s="640">
        <f t="shared" si="5"/>
        <v>100019</v>
      </c>
      <c r="L148" s="639">
        <v>10536</v>
      </c>
      <c r="M148" s="639"/>
      <c r="N148" s="639">
        <v>107941</v>
      </c>
      <c r="O148" s="1503">
        <f>1-N149</f>
        <v>0.65282459345409638</v>
      </c>
    </row>
    <row r="149" spans="1:15" ht="12" customHeight="1">
      <c r="A149" s="1517"/>
      <c r="B149" s="1502"/>
      <c r="C149" s="635" t="s">
        <v>6219</v>
      </c>
      <c r="D149" s="636">
        <f>D148/(D148+E148+G148+H148+I148+J148+L148+M148+N148)</f>
        <v>0.24252199979415398</v>
      </c>
      <c r="E149" s="636">
        <f>E148/(D148+E148+G148+H148+I148+J148+L148+M148+N148)</f>
        <v>5.4719663441745572E-2</v>
      </c>
      <c r="F149" s="637">
        <f t="shared" si="4"/>
        <v>0.29724166323589957</v>
      </c>
      <c r="G149" s="636">
        <f>G148/(D148+E148+G148+H148+I148+J148+L148+M148+N148)</f>
        <v>0.26617821119802387</v>
      </c>
      <c r="H149" s="636">
        <f>H148/(D148+E148+G148+H148+I148+J148+L148+M148+N148)</f>
        <v>3.810081309180733E-2</v>
      </c>
      <c r="I149" s="636">
        <f>I148/(D148+E148+G148+H148+I148+J148+L148+M148+N148)</f>
        <v>1.741650370522849E-2</v>
      </c>
      <c r="J149" s="636">
        <f>J148/(D148+E148+G148+H148+I148+J148+L148+M148+N148)</f>
        <v>0</v>
      </c>
      <c r="K149" s="637">
        <f t="shared" si="5"/>
        <v>0.32169552799505974</v>
      </c>
      <c r="L149" s="636">
        <f>L148/(D148+E148+G148+H148+I148+J148+L148+M148+N148)</f>
        <v>3.3887402223137096E-2</v>
      </c>
      <c r="M149" s="636">
        <f>M148/(D148+E148+G148+H148+I148+J148+L148+M148+N148)</f>
        <v>0</v>
      </c>
      <c r="N149" s="636">
        <f>N148/(D148+E148+G148+H148+I148+J148+L148+M148+N148)</f>
        <v>0.34717540654590368</v>
      </c>
      <c r="O149" s="1503"/>
    </row>
    <row r="150" spans="1:15" ht="12" customHeight="1">
      <c r="A150" s="1517"/>
      <c r="B150" s="1502" t="s">
        <v>14939</v>
      </c>
      <c r="C150" s="638" t="s">
        <v>6218</v>
      </c>
      <c r="D150" s="639">
        <v>54449</v>
      </c>
      <c r="E150" s="639">
        <v>14768</v>
      </c>
      <c r="F150" s="640">
        <f t="shared" si="4"/>
        <v>69217</v>
      </c>
      <c r="G150" s="639">
        <v>81837</v>
      </c>
      <c r="H150" s="639">
        <v>11013</v>
      </c>
      <c r="I150" s="639"/>
      <c r="J150" s="639"/>
      <c r="K150" s="640">
        <f t="shared" si="5"/>
        <v>92850</v>
      </c>
      <c r="L150" s="639">
        <v>9220</v>
      </c>
      <c r="M150" s="639">
        <v>4554</v>
      </c>
      <c r="N150" s="639">
        <v>137322</v>
      </c>
      <c r="O150" s="1503">
        <f>1-N151</f>
        <v>0.56149992176598129</v>
      </c>
    </row>
    <row r="151" spans="1:15" ht="12" customHeight="1">
      <c r="A151" s="1517"/>
      <c r="B151" s="1502"/>
      <c r="C151" s="635" t="s">
        <v>6219</v>
      </c>
      <c r="D151" s="636">
        <f>D150/(D150+E150+G150+H150+I150+J150+L150+M150+N150)</f>
        <v>0.17386792181707289</v>
      </c>
      <c r="E151" s="636">
        <f>E150/(D150+E150+G150+H150+I150+J150+L150+M150+N150)</f>
        <v>4.7157550540772697E-2</v>
      </c>
      <c r="F151" s="637">
        <f t="shared" si="4"/>
        <v>0.22102547235784559</v>
      </c>
      <c r="G151" s="636">
        <f>G150/(D150+E150+G150+H150+I150+J150+L150+M150+N150)</f>
        <v>0.26132397505452432</v>
      </c>
      <c r="H151" s="636">
        <f>H150/(D150+E150+G150+H150+I150+J150+L150+M150+N150)</f>
        <v>3.5166989714621462E-2</v>
      </c>
      <c r="I151" s="636">
        <f>I150/(D150+E150+G150+H150+I150+J150+L150+M150+N150)</f>
        <v>0</v>
      </c>
      <c r="J151" s="636">
        <f>J150/(D150+E150+G150+H150+I150+J150+L150+M150+N150)</f>
        <v>0</v>
      </c>
      <c r="K151" s="637">
        <f t="shared" si="5"/>
        <v>0.29649096476914577</v>
      </c>
      <c r="L151" s="636">
        <f>L150/(D150+E150+G150+H150+I150+J150+L150+M150+N150)</f>
        <v>2.9441536835449908E-2</v>
      </c>
      <c r="M151" s="636">
        <f>M150/(D150+E150+G150+H150+I150+J150+L150+M150+N150)</f>
        <v>1.454194780354001E-2</v>
      </c>
      <c r="N151" s="636">
        <f>N150/(D150+E150+G150+H150+I150+J150+L150+M150+N150)</f>
        <v>0.43850007823401871</v>
      </c>
      <c r="O151" s="1503"/>
    </row>
    <row r="152" spans="1:15" ht="12" customHeight="1">
      <c r="A152" s="1517"/>
      <c r="B152" s="1502" t="s">
        <v>14940</v>
      </c>
      <c r="C152" s="638" t="s">
        <v>6218</v>
      </c>
      <c r="D152" s="639">
        <v>81414</v>
      </c>
      <c r="E152" s="639">
        <v>15088</v>
      </c>
      <c r="F152" s="640">
        <f t="shared" si="4"/>
        <v>96502</v>
      </c>
      <c r="G152" s="639">
        <v>74610</v>
      </c>
      <c r="H152" s="639">
        <v>9059</v>
      </c>
      <c r="I152" s="639"/>
      <c r="J152" s="639"/>
      <c r="K152" s="640">
        <f t="shared" si="5"/>
        <v>83669</v>
      </c>
      <c r="L152" s="639">
        <v>10589</v>
      </c>
      <c r="M152" s="639"/>
      <c r="N152" s="639">
        <v>122652</v>
      </c>
      <c r="O152" s="1503">
        <f>1-N153</f>
        <v>0.60865569920743301</v>
      </c>
    </row>
    <row r="153" spans="1:15" ht="12" customHeight="1" thickBot="1">
      <c r="A153" s="1519"/>
      <c r="B153" s="1514"/>
      <c r="C153" s="641" t="s">
        <v>6219</v>
      </c>
      <c r="D153" s="642">
        <f>D152/(D152+E152+G152+H152+I152+J152+L152+M152+N152)</f>
        <v>0.25976669687184917</v>
      </c>
      <c r="E153" s="642">
        <f>E152/(D152+E152+G152+H152+I152+J152+L152+M152+N152)</f>
        <v>4.8141104999170424E-2</v>
      </c>
      <c r="F153" s="643">
        <f t="shared" si="4"/>
        <v>0.30790780187101957</v>
      </c>
      <c r="G153" s="642">
        <f>G152/(D152+E152+G152+H152+I152+J152+L152+M152+N152)</f>
        <v>0.23805725371077049</v>
      </c>
      <c r="H153" s="642">
        <f>H152/(D152+E152+G152+H152+I152+J152+L152+M152+N152)</f>
        <v>2.8904445266932983E-2</v>
      </c>
      <c r="I153" s="642">
        <f>I152/(D152+E152+G152+H152+I152+J152+L152+M152+N152)</f>
        <v>0</v>
      </c>
      <c r="J153" s="642">
        <f>J152/(D152+E152+G152+H152+I152+J152+L152+M152+N152)</f>
        <v>0</v>
      </c>
      <c r="K153" s="643">
        <f t="shared" si="5"/>
        <v>0.2669616989777035</v>
      </c>
      <c r="L153" s="642">
        <f>L152/(D152+E152+G152+H152+I152+J152+L152+M152+N152)</f>
        <v>3.378619835870994E-2</v>
      </c>
      <c r="M153" s="642">
        <f>M152/(D152+E152+G152+H152+I152+J152+L152+M152+N152)</f>
        <v>0</v>
      </c>
      <c r="N153" s="642">
        <f>N152/(D152+E152+G152+H152+I152+J152+L152+M152+N152)</f>
        <v>0.39134430079256699</v>
      </c>
      <c r="O153" s="1515"/>
    </row>
    <row r="154" spans="1:15" ht="12" customHeight="1">
      <c r="A154" s="1538" t="s">
        <v>14959</v>
      </c>
      <c r="B154" s="1536" t="s">
        <v>14937</v>
      </c>
      <c r="C154" s="632" t="s">
        <v>6218</v>
      </c>
      <c r="D154" s="633">
        <v>38085</v>
      </c>
      <c r="E154" s="633">
        <v>11806</v>
      </c>
      <c r="F154" s="634">
        <f t="shared" si="4"/>
        <v>49891</v>
      </c>
      <c r="G154" s="633">
        <v>91474</v>
      </c>
      <c r="H154" s="633">
        <v>6514</v>
      </c>
      <c r="I154" s="633">
        <v>2146</v>
      </c>
      <c r="J154" s="633">
        <v>1721</v>
      </c>
      <c r="K154" s="634">
        <f t="shared" si="5"/>
        <v>101855</v>
      </c>
      <c r="L154" s="633">
        <v>9560</v>
      </c>
      <c r="M154" s="633">
        <v>1903</v>
      </c>
      <c r="N154" s="633">
        <v>92438</v>
      </c>
      <c r="O154" s="1537">
        <f>1-N155</f>
        <v>0.6384154713335185</v>
      </c>
    </row>
    <row r="155" spans="1:15" ht="12" customHeight="1">
      <c r="A155" s="1527"/>
      <c r="B155" s="1502"/>
      <c r="C155" s="635" t="s">
        <v>6219</v>
      </c>
      <c r="D155" s="636">
        <f>D154/(D154+E154+G154+H154+I154+J154+L154+M154+N154)</f>
        <v>0.14897495374481218</v>
      </c>
      <c r="E155" s="636">
        <f>E154/(D154+E154+G154+H154+I154+J154+L154+M154+N154)</f>
        <v>4.618086658556525E-2</v>
      </c>
      <c r="F155" s="637">
        <f t="shared" si="4"/>
        <v>0.19515582033037743</v>
      </c>
      <c r="G155" s="636">
        <f>G154/(D154+E154+G154+H154+I154+J154+L154+M154+N154)</f>
        <v>0.35781370405285412</v>
      </c>
      <c r="H155" s="636">
        <f>H154/(D154+E154+G154+H154+I154+J154+L154+M154+N154)</f>
        <v>2.5480447648515335E-2</v>
      </c>
      <c r="I155" s="636">
        <f>I154/(D154+E154+G154+H154+I154+J154+L154+M154+N154)</f>
        <v>8.3943875734900069E-3</v>
      </c>
      <c r="J155" s="636">
        <f>J154/(D154+E154+G154+H154+I154+J154+L154+M154+N154)</f>
        <v>6.7319389627103002E-3</v>
      </c>
      <c r="K155" s="637">
        <f t="shared" si="5"/>
        <v>0.39842047823756971</v>
      </c>
      <c r="L155" s="636">
        <f>L154/(D154+E154+G154+H154+I154+J154+L154+M154+N154)</f>
        <v>3.7395314633068256E-2</v>
      </c>
      <c r="M155" s="636">
        <f>M154/(D154+E154+G154+H154+I154+J154+L154+M154+N154)</f>
        <v>7.4438581325030218E-3</v>
      </c>
      <c r="N155" s="636">
        <f>N154/(D154+E154+G154+H154+I154+J154+L154+M154+N154)</f>
        <v>0.3615845286664815</v>
      </c>
      <c r="O155" s="1503"/>
    </row>
    <row r="156" spans="1:15" ht="12" customHeight="1">
      <c r="A156" s="1527"/>
      <c r="B156" s="1502" t="s">
        <v>14938</v>
      </c>
      <c r="C156" s="638" t="s">
        <v>6218</v>
      </c>
      <c r="D156" s="639">
        <v>59087</v>
      </c>
      <c r="E156" s="639">
        <v>14218</v>
      </c>
      <c r="F156" s="640">
        <f t="shared" si="4"/>
        <v>73305</v>
      </c>
      <c r="G156" s="639">
        <v>79061</v>
      </c>
      <c r="H156" s="639">
        <v>10624</v>
      </c>
      <c r="I156" s="639">
        <v>5275</v>
      </c>
      <c r="J156" s="639"/>
      <c r="K156" s="640">
        <f t="shared" si="5"/>
        <v>94960</v>
      </c>
      <c r="L156" s="639">
        <v>12760</v>
      </c>
      <c r="M156" s="639"/>
      <c r="N156" s="639">
        <v>78172</v>
      </c>
      <c r="O156" s="1503">
        <f>1-N157</f>
        <v>0.69840700316747495</v>
      </c>
    </row>
    <row r="157" spans="1:15" ht="12" customHeight="1">
      <c r="A157" s="1527"/>
      <c r="B157" s="1502"/>
      <c r="C157" s="635" t="s">
        <v>6219</v>
      </c>
      <c r="D157" s="636">
        <f>D156/(D156+E156+G156+H156+I156+J156+L156+M156+N156)</f>
        <v>0.22796174338437558</v>
      </c>
      <c r="E157" s="636">
        <f>E156/(D156+E156+G156+H156+I156+J156+L156+M156+N156)</f>
        <v>5.4854029946334253E-2</v>
      </c>
      <c r="F157" s="637">
        <f t="shared" si="4"/>
        <v>0.28281577333070984</v>
      </c>
      <c r="G157" s="636">
        <f>G156/(D156+E156+G156+H156+I156+J156+L156+M156+N156)</f>
        <v>0.30502282048017532</v>
      </c>
      <c r="H157" s="636">
        <f>H156/(D156+E156+G156+H156+I156+J156+L156+M156+N156)</f>
        <v>4.0988128720625627E-2</v>
      </c>
      <c r="I157" s="636">
        <f>I156/(D156+E156+G156+H156+I156+J156+L156+M156+N156)</f>
        <v>2.0351315794550091E-2</v>
      </c>
      <c r="J157" s="636">
        <f>J156/(D156+E156+G156+H156+I156+J156+L156+M156+N156)</f>
        <v>0</v>
      </c>
      <c r="K157" s="637">
        <f t="shared" si="5"/>
        <v>0.36636226499535102</v>
      </c>
      <c r="L157" s="636">
        <f>L156/(D156+E156+G156+H156+I156+J156+L156+M156+N156)</f>
        <v>4.9228964841414057E-2</v>
      </c>
      <c r="M157" s="636">
        <f>M156/(D156+E156+G156+H156+I156+J156+L156+M156+N156)</f>
        <v>0</v>
      </c>
      <c r="N157" s="636">
        <f>N156/(D156+E156+G156+H156+I156+J156+L156+M156+N156)</f>
        <v>0.30159299683252505</v>
      </c>
      <c r="O157" s="1503"/>
    </row>
    <row r="158" spans="1:15" ht="12" customHeight="1">
      <c r="A158" s="1527"/>
      <c r="B158" s="1502" t="s">
        <v>14939</v>
      </c>
      <c r="C158" s="638" t="s">
        <v>6218</v>
      </c>
      <c r="D158" s="639">
        <v>44792</v>
      </c>
      <c r="E158" s="639">
        <v>13962</v>
      </c>
      <c r="F158" s="640">
        <f t="shared" si="4"/>
        <v>58754</v>
      </c>
      <c r="G158" s="639">
        <v>76335</v>
      </c>
      <c r="H158" s="639">
        <v>9024</v>
      </c>
      <c r="I158" s="639"/>
      <c r="J158" s="639"/>
      <c r="K158" s="640">
        <f t="shared" si="5"/>
        <v>85359</v>
      </c>
      <c r="L158" s="639">
        <v>10122</v>
      </c>
      <c r="M158" s="639">
        <v>4417</v>
      </c>
      <c r="N158" s="639">
        <v>102469</v>
      </c>
      <c r="O158" s="1503">
        <f>1-N159</f>
        <v>0.60758039376381068</v>
      </c>
    </row>
    <row r="159" spans="1:15" ht="12" customHeight="1">
      <c r="A159" s="1527"/>
      <c r="B159" s="1502"/>
      <c r="C159" s="635" t="s">
        <v>6219</v>
      </c>
      <c r="D159" s="636">
        <f>D158/(D158+E158+G158+H158+I158+J158+L158+M158+N158)</f>
        <v>0.17153733326695286</v>
      </c>
      <c r="E159" s="636">
        <f>E158/(D158+E158+G158+H158+I158+J158+L158+M158+N158)</f>
        <v>5.3469464347945972E-2</v>
      </c>
      <c r="F159" s="637">
        <f t="shared" si="4"/>
        <v>0.22500679761489883</v>
      </c>
      <c r="G159" s="636">
        <f>G158/(D158+E158+G158+H158+I158+J158+L158+M158+N158)</f>
        <v>0.29233573707208538</v>
      </c>
      <c r="H159" s="636">
        <f>H158/(D158+E158+G158+H158+I158+J158+L158+M158+N158)</f>
        <v>3.4558691181482915E-2</v>
      </c>
      <c r="I159" s="636">
        <f>I158/(D158+E158+G158+H158+I158+J158+L158+M158+N158)</f>
        <v>0</v>
      </c>
      <c r="J159" s="636">
        <f>J158/(D158+E158+G158+H158+I158+J158+L158+M158+N158)</f>
        <v>0</v>
      </c>
      <c r="K159" s="637">
        <f t="shared" si="5"/>
        <v>0.32689442825356829</v>
      </c>
      <c r="L159" s="636">
        <f>L158/(D158+E158+G158+H158+I158+J158+L158+M158+N158)</f>
        <v>3.876363831327239E-2</v>
      </c>
      <c r="M159" s="636">
        <f>M158/(D158+E158+G158+H158+I158+J158+L158+M158+N158)</f>
        <v>1.6915529582071147E-2</v>
      </c>
      <c r="N159" s="636">
        <f>N158/(D158+E158+G158+H158+I158+J158+L158+M158+N158)</f>
        <v>0.39241960623618938</v>
      </c>
      <c r="O159" s="1503"/>
    </row>
    <row r="160" spans="1:15" ht="12" customHeight="1">
      <c r="A160" s="1527"/>
      <c r="B160" s="1502" t="s">
        <v>14940</v>
      </c>
      <c r="C160" s="638" t="s">
        <v>6218</v>
      </c>
      <c r="D160" s="639">
        <v>61494</v>
      </c>
      <c r="E160" s="639">
        <v>13650</v>
      </c>
      <c r="F160" s="640">
        <f t="shared" si="4"/>
        <v>75144</v>
      </c>
      <c r="G160" s="639">
        <v>80587</v>
      </c>
      <c r="H160" s="639">
        <v>8497</v>
      </c>
      <c r="I160" s="639"/>
      <c r="J160" s="639"/>
      <c r="K160" s="640">
        <f t="shared" si="5"/>
        <v>89084</v>
      </c>
      <c r="L160" s="639">
        <v>11993</v>
      </c>
      <c r="M160" s="639"/>
      <c r="N160" s="639">
        <v>85691</v>
      </c>
      <c r="O160" s="1503">
        <f>1-N161</f>
        <v>0.67282522373927123</v>
      </c>
    </row>
    <row r="161" spans="1:15" ht="12" customHeight="1" thickBot="1">
      <c r="A161" s="1528"/>
      <c r="B161" s="1514"/>
      <c r="C161" s="641" t="s">
        <v>6219</v>
      </c>
      <c r="D161" s="642">
        <f>D160/(D160+E160+G160+H160+I160+J160+L160+M160+N160)</f>
        <v>0.23478878401905984</v>
      </c>
      <c r="E161" s="642">
        <f>E160/(D160+E160+G160+H160+I160+J160+L160+M160+N160)</f>
        <v>5.2116741500962155E-2</v>
      </c>
      <c r="F161" s="643">
        <f t="shared" si="4"/>
        <v>0.28690552552002202</v>
      </c>
      <c r="G161" s="642">
        <f>G160/(D160+E160+G160+H160+I160+J160+L160+M160+N160)</f>
        <v>0.30768731482329942</v>
      </c>
      <c r="H161" s="642">
        <f>H160/(D160+E160+G160+H160+I160+J160+L160+M160+N160)</f>
        <v>3.2442194324811387E-2</v>
      </c>
      <c r="I161" s="642">
        <f>I160/(D160+E160+G160+H160+I160+J160+L160+M160+N160)</f>
        <v>0</v>
      </c>
      <c r="J161" s="642">
        <f>J160/(D160+E160+G160+H160+I160+J160+L160+M160+N160)</f>
        <v>0</v>
      </c>
      <c r="K161" s="643">
        <f t="shared" si="5"/>
        <v>0.3401295091481108</v>
      </c>
      <c r="L161" s="642">
        <f>L160/(D160+E160+G160+H160+I160+J160+L160+M160+N160)</f>
        <v>4.5790189071138396E-2</v>
      </c>
      <c r="M161" s="642">
        <f>M160/(D160+E160+G160+H160+I160+J160+L160+M160+N160)</f>
        <v>0</v>
      </c>
      <c r="N161" s="642">
        <f>N160/(D160+E160+G160+H160+I160+J160+L160+M160+N160)</f>
        <v>0.32717477626072877</v>
      </c>
      <c r="O161" s="1515"/>
    </row>
    <row r="162" spans="1:15" ht="12" customHeight="1">
      <c r="A162" s="1538" t="s">
        <v>14960</v>
      </c>
      <c r="B162" s="1536" t="s">
        <v>14937</v>
      </c>
      <c r="C162" s="632" t="s">
        <v>6218</v>
      </c>
      <c r="D162" s="633">
        <v>32237</v>
      </c>
      <c r="E162" s="633">
        <v>12463</v>
      </c>
      <c r="F162" s="634">
        <f t="shared" si="4"/>
        <v>44700</v>
      </c>
      <c r="G162" s="633">
        <v>107441</v>
      </c>
      <c r="H162" s="633">
        <v>11972</v>
      </c>
      <c r="I162" s="633">
        <v>1893</v>
      </c>
      <c r="J162" s="633">
        <v>1867</v>
      </c>
      <c r="K162" s="634">
        <f t="shared" si="5"/>
        <v>123173</v>
      </c>
      <c r="L162" s="633">
        <v>9147</v>
      </c>
      <c r="M162" s="633">
        <v>2480</v>
      </c>
      <c r="N162" s="633">
        <v>107439</v>
      </c>
      <c r="O162" s="1537">
        <f>1-N163</f>
        <v>0.62556850062208347</v>
      </c>
    </row>
    <row r="163" spans="1:15" ht="12" customHeight="1">
      <c r="A163" s="1527"/>
      <c r="B163" s="1502"/>
      <c r="C163" s="635" t="s">
        <v>6219</v>
      </c>
      <c r="D163" s="636">
        <f>D162/(D162+E162+G162+H162+I162+J162+L162+M162+N162)</f>
        <v>0.11234792063818443</v>
      </c>
      <c r="E163" s="636">
        <f>E162/(D162+E162+G162+H162+I162+J162+L162+M162+N162)</f>
        <v>4.3434318792495964E-2</v>
      </c>
      <c r="F163" s="637">
        <f t="shared" si="4"/>
        <v>0.1557822394306804</v>
      </c>
      <c r="G163" s="636">
        <f>G162/(D162+E162+G162+H162+I162+J162+L162+M162+N162)</f>
        <v>0.37443846950048615</v>
      </c>
      <c r="H163" s="636">
        <f>H162/(D162+E162+G162+H162+I162+J162+L162+M162+N162)</f>
        <v>4.1723153701657842E-2</v>
      </c>
      <c r="I163" s="636">
        <f>I162/(D162+E162+G162+H162+I162+J162+L162+M162+N162)</f>
        <v>6.5972210121314984E-3</v>
      </c>
      <c r="J163" s="636">
        <f>J162/(D162+E162+G162+H162+I162+J162+L162+M162+N162)</f>
        <v>6.506609418726628E-3</v>
      </c>
      <c r="K163" s="637">
        <f t="shared" si="5"/>
        <v>0.42926545363300211</v>
      </c>
      <c r="L163" s="636">
        <f>L162/(D162+E162+G162+H162+I162+J162+L162+M162+N162)</f>
        <v>3.1877855572090233E-2</v>
      </c>
      <c r="M163" s="636">
        <f>M162/(D162+E162+G162+H162+I162+J162+L162+M162+N162)</f>
        <v>8.6429519863106801E-3</v>
      </c>
      <c r="N163" s="636">
        <f>N162/(D162+E162+G162+H162+I162+J162+L162+M162+N162)</f>
        <v>0.37443149937791659</v>
      </c>
      <c r="O163" s="1503"/>
    </row>
    <row r="164" spans="1:15" ht="12" customHeight="1">
      <c r="A164" s="1527"/>
      <c r="B164" s="1502" t="s">
        <v>14938</v>
      </c>
      <c r="C164" s="638" t="s">
        <v>6218</v>
      </c>
      <c r="D164" s="639">
        <v>51525</v>
      </c>
      <c r="E164" s="639">
        <v>13751</v>
      </c>
      <c r="F164" s="640">
        <f t="shared" si="4"/>
        <v>65276</v>
      </c>
      <c r="G164" s="639">
        <v>97889</v>
      </c>
      <c r="H164" s="639">
        <v>21119</v>
      </c>
      <c r="I164" s="639">
        <v>4842</v>
      </c>
      <c r="J164" s="639"/>
      <c r="K164" s="640">
        <f t="shared" si="5"/>
        <v>123850</v>
      </c>
      <c r="L164" s="639">
        <v>11887</v>
      </c>
      <c r="M164" s="639"/>
      <c r="N164" s="639">
        <v>85751</v>
      </c>
      <c r="O164" s="1503">
        <f>1-N165</f>
        <v>0.7009701357213598</v>
      </c>
    </row>
    <row r="165" spans="1:15" ht="12" customHeight="1">
      <c r="A165" s="1527"/>
      <c r="B165" s="1502"/>
      <c r="C165" s="635" t="s">
        <v>6219</v>
      </c>
      <c r="D165" s="636">
        <f>D164/(D164+E164+G164+H164+I164+J164+L164+M164+N164)</f>
        <v>0.17967736535966858</v>
      </c>
      <c r="E165" s="636">
        <f>E164/(D164+E164+G164+H164+I164+J164+L164+M164+N164)</f>
        <v>4.7952323164692917E-2</v>
      </c>
      <c r="F165" s="637">
        <f t="shared" si="4"/>
        <v>0.2276296885243615</v>
      </c>
      <c r="G165" s="636">
        <f>G164/(D164+E164+G164+H164+I164+J164+L164+M164+N164)</f>
        <v>0.34135735308476656</v>
      </c>
      <c r="H165" s="636">
        <f>H164/(D164+E164+G164+H164+I164+J164+L164+M164+N164)</f>
        <v>7.3645924872020194E-2</v>
      </c>
      <c r="I165" s="636">
        <f>I164/(D164+E164+G164+H164+I164+J164+L164+M164+N164)</f>
        <v>1.6884964639912958E-2</v>
      </c>
      <c r="J165" s="636">
        <f>J164/(D164+E164+G164+H164+I164+J164+L164+M164+N164)</f>
        <v>0</v>
      </c>
      <c r="K165" s="637">
        <f t="shared" si="5"/>
        <v>0.43188824259669972</v>
      </c>
      <c r="L165" s="636">
        <f>L164/(D164+E164+G164+H164+I164+J164+L164+M164+N164)</f>
        <v>4.1452204600298505E-2</v>
      </c>
      <c r="M165" s="636">
        <f>M164/(D164+E164+G164+H164+I164+J164+L164+M164+N164)</f>
        <v>0</v>
      </c>
      <c r="N165" s="636">
        <f>N164/(D164+E164+G164+H164+I164+J164+L164+M164+N164)</f>
        <v>0.29902986427864026</v>
      </c>
      <c r="O165" s="1503"/>
    </row>
    <row r="166" spans="1:15" ht="12" customHeight="1">
      <c r="A166" s="1527"/>
      <c r="B166" s="1502" t="s">
        <v>14939</v>
      </c>
      <c r="C166" s="638" t="s">
        <v>6218</v>
      </c>
      <c r="D166" s="639">
        <v>38798</v>
      </c>
      <c r="E166" s="639">
        <v>14457</v>
      </c>
      <c r="F166" s="640">
        <f t="shared" si="4"/>
        <v>53255</v>
      </c>
      <c r="G166" s="639">
        <v>97299</v>
      </c>
      <c r="H166" s="639">
        <v>14457</v>
      </c>
      <c r="I166" s="639"/>
      <c r="J166" s="639"/>
      <c r="K166" s="640">
        <f t="shared" si="5"/>
        <v>111756</v>
      </c>
      <c r="L166" s="639">
        <v>9581</v>
      </c>
      <c r="M166" s="639">
        <v>5217</v>
      </c>
      <c r="N166" s="639">
        <v>106799</v>
      </c>
      <c r="O166" s="1503">
        <f>1-N167</f>
        <v>0.62736908948808123</v>
      </c>
    </row>
    <row r="167" spans="1:15" ht="12" customHeight="1">
      <c r="A167" s="1527"/>
      <c r="B167" s="1502"/>
      <c r="C167" s="635" t="s">
        <v>6219</v>
      </c>
      <c r="D167" s="636">
        <f>D166/(D166+E166+G166+H166+I166+J166+L166+M166+N166)</f>
        <v>0.13536956400379613</v>
      </c>
      <c r="E167" s="636">
        <f>E166/(D166+E166+G166+H166+I166+J166+L166+M166+N166)</f>
        <v>5.044171830514152E-2</v>
      </c>
      <c r="F167" s="637">
        <f t="shared" si="4"/>
        <v>0.18581128230893765</v>
      </c>
      <c r="G167" s="636">
        <f>G166/(D166+E166+G166+H166+I166+J166+L166+M166+N166)</f>
        <v>0.33948459219561211</v>
      </c>
      <c r="H167" s="636">
        <f>H166/(D166+E166+G166+H166+I166+J166+L166+M166+N166)</f>
        <v>5.044171830514152E-2</v>
      </c>
      <c r="I167" s="636">
        <f>I166/(D166+E166+G166+H166+I166+J166+L166+M166+N166)</f>
        <v>0</v>
      </c>
      <c r="J167" s="636">
        <f>J166/(D166+E166+G166+H166+I166+J166+L166+M166+N166)</f>
        <v>0</v>
      </c>
      <c r="K167" s="637">
        <f t="shared" si="5"/>
        <v>0.38992631050075366</v>
      </c>
      <c r="L167" s="636">
        <f>L166/(D166+E166+G166+H166+I166+J166+L166+M166+N166)</f>
        <v>3.342893429352984E-2</v>
      </c>
      <c r="M167" s="636">
        <f>M166/(D166+E166+G166+H166+I166+J166+L166+M166+N166)</f>
        <v>1.8202562384860156E-2</v>
      </c>
      <c r="N167" s="636">
        <f>N166/(D166+E166+G166+H166+I166+J166+L166+M166+N166)</f>
        <v>0.37263091051191871</v>
      </c>
      <c r="O167" s="1503"/>
    </row>
    <row r="168" spans="1:15" ht="12" customHeight="1">
      <c r="A168" s="1527"/>
      <c r="B168" s="1502" t="s">
        <v>14940</v>
      </c>
      <c r="C168" s="638" t="s">
        <v>6218</v>
      </c>
      <c r="D168" s="639">
        <v>48035</v>
      </c>
      <c r="E168" s="639">
        <v>13599</v>
      </c>
      <c r="F168" s="640">
        <f t="shared" si="4"/>
        <v>61634</v>
      </c>
      <c r="G168" s="639">
        <v>99530</v>
      </c>
      <c r="H168" s="639">
        <v>18175</v>
      </c>
      <c r="I168" s="639"/>
      <c r="J168" s="639"/>
      <c r="K168" s="640">
        <f t="shared" si="5"/>
        <v>117705</v>
      </c>
      <c r="L168" s="639">
        <v>11014</v>
      </c>
      <c r="M168" s="639"/>
      <c r="N168" s="639">
        <v>96226</v>
      </c>
      <c r="O168" s="1503">
        <f>1-N169</f>
        <v>0.66422522236451376</v>
      </c>
    </row>
    <row r="169" spans="1:15" ht="12" customHeight="1" thickBot="1">
      <c r="A169" s="1528"/>
      <c r="B169" s="1514"/>
      <c r="C169" s="641" t="s">
        <v>6219</v>
      </c>
      <c r="D169" s="642">
        <f>D168/(D168+E168+G168+H168+I168+J168+L168+M168+N168)</f>
        <v>0.16761521255918962</v>
      </c>
      <c r="E169" s="642">
        <f>E168/(D168+E168+G168+H168+I168+J168+L168+M168+N168)</f>
        <v>4.7452883847036942E-2</v>
      </c>
      <c r="F169" s="643">
        <f t="shared" si="4"/>
        <v>0.21506809640622657</v>
      </c>
      <c r="G169" s="642">
        <f>G168/(D168+E168+G168+H168+I168+J168+L168+M168+N168)</f>
        <v>0.34730388479267499</v>
      </c>
      <c r="H169" s="642">
        <f>H168/(D168+E168+G168+H168+I168+J168+L168+M168+N168)</f>
        <v>6.3420557682174902E-2</v>
      </c>
      <c r="I169" s="642">
        <f>I168/(D168+E168+G168+H168+I168+J168+L168+M168+N168)</f>
        <v>0</v>
      </c>
      <c r="J169" s="642">
        <f>J168/(D168+E168+G168+H168+I168+J168+L168+M168+N168)</f>
        <v>0</v>
      </c>
      <c r="K169" s="643">
        <f t="shared" si="5"/>
        <v>0.4107244424748499</v>
      </c>
      <c r="L169" s="642">
        <f>L168/(D168+E168+G168+H168+I168+J168+L168+M168+N168)</f>
        <v>3.8432683483437376E-2</v>
      </c>
      <c r="M169" s="642">
        <f>M168/(D168+E168+G168+H168+I168+J168+L168+M168+N168)</f>
        <v>0</v>
      </c>
      <c r="N169" s="642">
        <f>N168/(D168+E168+G168+H168+I168+J168+L168+M168+N168)</f>
        <v>0.33577477763548619</v>
      </c>
      <c r="O169" s="1515"/>
    </row>
    <row r="170" spans="1:15" ht="12" customHeight="1">
      <c r="A170" s="1535" t="s">
        <v>14961</v>
      </c>
      <c r="B170" s="1536" t="s">
        <v>14937</v>
      </c>
      <c r="C170" s="632" t="s">
        <v>6218</v>
      </c>
      <c r="D170" s="633">
        <v>50398</v>
      </c>
      <c r="E170" s="633">
        <v>26096</v>
      </c>
      <c r="F170" s="634">
        <f t="shared" si="4"/>
        <v>76494</v>
      </c>
      <c r="G170" s="633">
        <v>96812</v>
      </c>
      <c r="H170" s="633">
        <v>12485</v>
      </c>
      <c r="I170" s="633">
        <v>3460</v>
      </c>
      <c r="J170" s="633">
        <v>7176</v>
      </c>
      <c r="K170" s="634">
        <f t="shared" si="5"/>
        <v>119933</v>
      </c>
      <c r="L170" s="633">
        <v>16976</v>
      </c>
      <c r="M170" s="633">
        <v>5271</v>
      </c>
      <c r="N170" s="633">
        <v>183909</v>
      </c>
      <c r="O170" s="1537">
        <f>1-N171</f>
        <v>0.543177431734574</v>
      </c>
    </row>
    <row r="171" spans="1:15" ht="12" customHeight="1">
      <c r="A171" s="1517"/>
      <c r="B171" s="1502"/>
      <c r="C171" s="635" t="s">
        <v>6219</v>
      </c>
      <c r="D171" s="636">
        <f>D170/(D170+E170+G170+H170+I170+J170+L170+M170+N170)</f>
        <v>0.1251866074821838</v>
      </c>
      <c r="E171" s="636">
        <f>E170/(D170+E170+G170+H170+I170+J170+L170+M170+N170)</f>
        <v>6.4821415708065169E-2</v>
      </c>
      <c r="F171" s="637">
        <f t="shared" si="4"/>
        <v>0.19000802319024895</v>
      </c>
      <c r="G171" s="636">
        <f>G170/(D170+E170+G170+H170+I170+J170+L170+M170+N170)</f>
        <v>0.24047711900403146</v>
      </c>
      <c r="H171" s="636">
        <f>H170/(D170+E170+G170+H170+I170+J170+L170+M170+N170)</f>
        <v>3.1012238470079462E-2</v>
      </c>
      <c r="I171" s="636">
        <f>I170/(D170+E170+G170+H170+I170+J170+L170+M170+N170)</f>
        <v>8.5945010097296711E-3</v>
      </c>
      <c r="J171" s="636">
        <f>J170/(D170+E170+G170+H170+I170+J170+L170+M170+N170)</f>
        <v>1.7824895735786161E-2</v>
      </c>
      <c r="K171" s="637">
        <f t="shared" si="5"/>
        <v>0.29790875421962676</v>
      </c>
      <c r="L171" s="636">
        <f>L170/(D170+E170+G170+H170+I170+J170+L170+M170+N170)</f>
        <v>4.2167702063922223E-2</v>
      </c>
      <c r="M171" s="636">
        <f>M170/(D170+E170+G170+H170+I170+J170+L170+M170+N170)</f>
        <v>1.3092952260776039E-2</v>
      </c>
      <c r="N171" s="636">
        <f>N170/(D170+E170+G170+H170+I170+J170+L170+M170+N170)</f>
        <v>0.456822568265426</v>
      </c>
      <c r="O171" s="1503"/>
    </row>
    <row r="172" spans="1:15" ht="12" customHeight="1">
      <c r="A172" s="1517"/>
      <c r="B172" s="1502" t="s">
        <v>14938</v>
      </c>
      <c r="C172" s="638" t="s">
        <v>6218</v>
      </c>
      <c r="D172" s="639">
        <v>89158</v>
      </c>
      <c r="E172" s="639">
        <v>29492</v>
      </c>
      <c r="F172" s="640">
        <f t="shared" si="4"/>
        <v>118650</v>
      </c>
      <c r="G172" s="639">
        <v>85553</v>
      </c>
      <c r="H172" s="639">
        <v>14952</v>
      </c>
      <c r="I172" s="639">
        <v>9718</v>
      </c>
      <c r="J172" s="639"/>
      <c r="K172" s="640">
        <f t="shared" si="5"/>
        <v>110223</v>
      </c>
      <c r="L172" s="639">
        <v>17864</v>
      </c>
      <c r="M172" s="639"/>
      <c r="N172" s="639">
        <v>151422</v>
      </c>
      <c r="O172" s="1503">
        <f>1-N173</f>
        <v>0.6196946446017797</v>
      </c>
    </row>
    <row r="173" spans="1:15" ht="12" customHeight="1">
      <c r="A173" s="1517"/>
      <c r="B173" s="1502"/>
      <c r="C173" s="635" t="s">
        <v>6219</v>
      </c>
      <c r="D173" s="636">
        <f>D172/(D172+E172+G172+H172+I172+J172+L172+M172+N172)</f>
        <v>0.22392561765525831</v>
      </c>
      <c r="E173" s="636">
        <f>E172/(D172+E172+G172+H172+I172+J172+L172+M172+N172)</f>
        <v>7.4070911369578482E-2</v>
      </c>
      <c r="F173" s="637">
        <f t="shared" si="4"/>
        <v>0.29799652902483681</v>
      </c>
      <c r="G173" s="636">
        <f>G172/(D172+E172+G172+H172+I172+J172+L172+M172+N172)</f>
        <v>0.21487144582942996</v>
      </c>
      <c r="H173" s="636">
        <f>H172/(D172+E172+G172+H172+I172+J172+L172+M172+N172)</f>
        <v>3.7552836931979437E-2</v>
      </c>
      <c r="I173" s="636">
        <f>I172/(D172+E172+G172+H172+I172+J172+L172+M172+N172)</f>
        <v>2.4407334758224729E-2</v>
      </c>
      <c r="J173" s="636">
        <f>J172/(D172+E172+G172+H172+I172+J172+L172+M172+N172)</f>
        <v>0</v>
      </c>
      <c r="K173" s="637">
        <f t="shared" si="5"/>
        <v>0.27683161751963409</v>
      </c>
      <c r="L173" s="636">
        <f>L172/(D172+E172+G172+H172+I172+J172+L172+M172+N172)</f>
        <v>4.4866498057308767E-2</v>
      </c>
      <c r="M173" s="636">
        <f>M172/(D172+E172+G172+H172+I172+J172+L172+M172+N172)</f>
        <v>0</v>
      </c>
      <c r="N173" s="636">
        <f>N172/(D172+E172+G172+H172+I172+J172+L172+M172+N172)</f>
        <v>0.3803053553982203</v>
      </c>
      <c r="O173" s="1503"/>
    </row>
    <row r="174" spans="1:15" ht="12" customHeight="1">
      <c r="A174" s="1517"/>
      <c r="B174" s="1502" t="s">
        <v>14939</v>
      </c>
      <c r="C174" s="638" t="s">
        <v>6218</v>
      </c>
      <c r="D174" s="639">
        <v>52324</v>
      </c>
      <c r="E174" s="639">
        <v>27408</v>
      </c>
      <c r="F174" s="640">
        <f t="shared" si="4"/>
        <v>79732</v>
      </c>
      <c r="G174" s="639">
        <v>84488</v>
      </c>
      <c r="H174" s="639">
        <v>13633</v>
      </c>
      <c r="I174" s="639"/>
      <c r="J174" s="639"/>
      <c r="K174" s="640">
        <f t="shared" si="5"/>
        <v>98121</v>
      </c>
      <c r="L174" s="639">
        <v>16381</v>
      </c>
      <c r="M174" s="639">
        <v>8116</v>
      </c>
      <c r="N174" s="639">
        <v>194724</v>
      </c>
      <c r="O174" s="1503">
        <f>1-N175</f>
        <v>0.50960274407289319</v>
      </c>
    </row>
    <row r="175" spans="1:15" ht="12" customHeight="1">
      <c r="A175" s="1517"/>
      <c r="B175" s="1502"/>
      <c r="C175" s="635" t="s">
        <v>6219</v>
      </c>
      <c r="D175" s="636">
        <f>D174/(D174+E174+G174+H174+I174+J174+L174+M174+N174)</f>
        <v>0.13177392627066994</v>
      </c>
      <c r="E175" s="636">
        <f>E174/(D174+E174+G174+H174+I174+J174+L174+M174+N174)</f>
        <v>6.9024917269828803E-2</v>
      </c>
      <c r="F175" s="637">
        <f t="shared" si="4"/>
        <v>0.20079884354049876</v>
      </c>
      <c r="G175" s="636">
        <f>G174/(D174+E174+G174+H174+I174+J174+L174+M174+N174)</f>
        <v>0.21277645980346233</v>
      </c>
      <c r="H175" s="636">
        <f>H174/(D174+E174+G174+H174+I174+J174+L174+M174+N174)</f>
        <v>3.4333650654537945E-2</v>
      </c>
      <c r="I175" s="636">
        <f>I174/(D174+E174+G174+H174+I174+J174+L174+M174+N174)</f>
        <v>0</v>
      </c>
      <c r="J175" s="636">
        <f>J174/(D174+E174+G174+H174+I174+J174+L174+M174+N174)</f>
        <v>0</v>
      </c>
      <c r="K175" s="637">
        <f t="shared" si="5"/>
        <v>0.24711011045800027</v>
      </c>
      <c r="L175" s="636">
        <f>L174/(D174+E174+G174+H174+I174+J174+L174+M174+N174)</f>
        <v>4.1254275021784352E-2</v>
      </c>
      <c r="M175" s="636">
        <f>M174/(D174+E174+G174+H174+I174+J174+L174+M174+N174)</f>
        <v>2.0439515052609842E-2</v>
      </c>
      <c r="N175" s="636">
        <f>N174/(D174+E174+G174+H174+I174+J174+L174+M174+N174)</f>
        <v>0.49039725592710681</v>
      </c>
      <c r="O175" s="1503"/>
    </row>
    <row r="176" spans="1:15" ht="12" customHeight="1">
      <c r="A176" s="1517"/>
      <c r="B176" s="1502" t="s">
        <v>14940</v>
      </c>
      <c r="C176" s="638" t="s">
        <v>6218</v>
      </c>
      <c r="D176" s="639">
        <v>64082</v>
      </c>
      <c r="E176" s="639">
        <v>27696</v>
      </c>
      <c r="F176" s="640">
        <f t="shared" si="4"/>
        <v>91778</v>
      </c>
      <c r="G176" s="639">
        <v>89778</v>
      </c>
      <c r="H176" s="639">
        <v>12145</v>
      </c>
      <c r="I176" s="639"/>
      <c r="J176" s="639"/>
      <c r="K176" s="640">
        <f t="shared" si="5"/>
        <v>101923</v>
      </c>
      <c r="L176" s="639">
        <v>16757</v>
      </c>
      <c r="M176" s="639"/>
      <c r="N176" s="639">
        <v>184131</v>
      </c>
      <c r="O176" s="1503">
        <f>1-N177</f>
        <v>0.53336002777573621</v>
      </c>
    </row>
    <row r="177" spans="1:15" ht="12" customHeight="1" thickBot="1">
      <c r="A177" s="1519"/>
      <c r="B177" s="1514"/>
      <c r="C177" s="641" t="s">
        <v>6219</v>
      </c>
      <c r="D177" s="642">
        <f>D176/(D176+E176+G176+H176+I176+J176+L176+M176+N176)</f>
        <v>0.16240189158846294</v>
      </c>
      <c r="E177" s="642">
        <f>E176/(D176+E176+G176+H176+I176+J176+L176+M176+N176)</f>
        <v>7.018948830301909E-2</v>
      </c>
      <c r="F177" s="643">
        <f t="shared" si="4"/>
        <v>0.23259137989148204</v>
      </c>
      <c r="G177" s="642">
        <f>G176/(D176+E176+G176+H176+I176+J176+L176+M176+N176)</f>
        <v>0.22752281487826573</v>
      </c>
      <c r="H177" s="642">
        <f>H176/(D176+E176+G176+H176+I176+J176+L176+M176+N176)</f>
        <v>3.077886104275588E-2</v>
      </c>
      <c r="I177" s="642">
        <f>I176/(D176+E176+G176+H176+I176+J176+L176+M176+N176)</f>
        <v>0</v>
      </c>
      <c r="J177" s="642">
        <f>J176/(D176+E176+G176+H176+I176+J176+L176+M176+N176)</f>
        <v>0</v>
      </c>
      <c r="K177" s="643">
        <f t="shared" si="5"/>
        <v>0.2583016759210216</v>
      </c>
      <c r="L177" s="642">
        <f>L176/(D176+E176+G176+H176+I176+J176+L176+M176+N176)</f>
        <v>4.2466971963232632E-2</v>
      </c>
      <c r="M177" s="642">
        <f>M176/(D176+E176+G176+H176+I176+J176+L176+M176+N176)</f>
        <v>0</v>
      </c>
      <c r="N177" s="642">
        <f>N176/(D176+E176+G176+H176+I176+J176+L176+M176+N176)</f>
        <v>0.46663997222426373</v>
      </c>
      <c r="O177" s="1515"/>
    </row>
    <row r="178" spans="1:15" ht="12" customHeight="1">
      <c r="A178" s="1535" t="s">
        <v>14962</v>
      </c>
      <c r="B178" s="1536" t="s">
        <v>14937</v>
      </c>
      <c r="C178" s="632" t="s">
        <v>6218</v>
      </c>
      <c r="D178" s="633">
        <v>52682</v>
      </c>
      <c r="E178" s="633">
        <v>27942</v>
      </c>
      <c r="F178" s="634">
        <f t="shared" si="4"/>
        <v>80624</v>
      </c>
      <c r="G178" s="633">
        <v>98350</v>
      </c>
      <c r="H178" s="633">
        <v>11316</v>
      </c>
      <c r="I178" s="633">
        <v>3375</v>
      </c>
      <c r="J178" s="633">
        <v>7447</v>
      </c>
      <c r="K178" s="634">
        <f t="shared" si="5"/>
        <v>120488</v>
      </c>
      <c r="L178" s="633">
        <v>14486</v>
      </c>
      <c r="M178" s="633">
        <v>5566</v>
      </c>
      <c r="N178" s="633">
        <v>197302</v>
      </c>
      <c r="O178" s="1537">
        <f>1-N179</f>
        <v>0.5285112769018272</v>
      </c>
    </row>
    <row r="179" spans="1:15" ht="12" customHeight="1">
      <c r="A179" s="1517"/>
      <c r="B179" s="1502"/>
      <c r="C179" s="635" t="s">
        <v>6219</v>
      </c>
      <c r="D179" s="636">
        <f>D178/(D178+E178+G178+H178+I178+J178+L178+M178+N178)</f>
        <v>0.12589314305104835</v>
      </c>
      <c r="E179" s="636">
        <f>E178/(D178+E178+G178+H178+I178+J178+L178+M178+N178)</f>
        <v>6.6772449852556717E-2</v>
      </c>
      <c r="F179" s="637">
        <f t="shared" si="4"/>
        <v>0.19266559290360508</v>
      </c>
      <c r="G179" s="636">
        <f>G178/(D178+E178+G178+H178+I178+J178+L178+M178+N178)</f>
        <v>0.23502506774743945</v>
      </c>
      <c r="H179" s="636">
        <f>H178/(D178+E178+G178+H178+I178+J178+L178+M178+N178)</f>
        <v>2.7041623453279359E-2</v>
      </c>
      <c r="I179" s="636">
        <f>I178/(D178+E178+G178+H178+I178+J178+L178+M178+N178)</f>
        <v>8.0651713639817817E-3</v>
      </c>
      <c r="J179" s="636">
        <f>J178/(D178+E178+G178+H178+I178+J178+L178+M178+N178)</f>
        <v>1.7795949969651059E-2</v>
      </c>
      <c r="K179" s="637">
        <f t="shared" si="5"/>
        <v>0.28792781253435162</v>
      </c>
      <c r="L179" s="636">
        <f>L178/(D178+E178+G178+H178+I178+J178+L178+M178+N178)</f>
        <v>3.4616910334411874E-2</v>
      </c>
      <c r="M179" s="636">
        <f>M178/(D178+E178+G178+H178+I178+J178+L178+M178+N178)</f>
        <v>1.3300961129458546E-2</v>
      </c>
      <c r="N179" s="636">
        <f>N178/(D178+E178+G178+H178+I178+J178+L178+M178+N178)</f>
        <v>0.47148872309817286</v>
      </c>
      <c r="O179" s="1503"/>
    </row>
    <row r="180" spans="1:15" ht="12" customHeight="1">
      <c r="A180" s="1517"/>
      <c r="B180" s="1502" t="s">
        <v>14938</v>
      </c>
      <c r="C180" s="638" t="s">
        <v>6218</v>
      </c>
      <c r="D180" s="639">
        <v>90972</v>
      </c>
      <c r="E180" s="639">
        <v>30712</v>
      </c>
      <c r="F180" s="640">
        <f t="shared" si="4"/>
        <v>121684</v>
      </c>
      <c r="G180" s="639">
        <v>85581</v>
      </c>
      <c r="H180" s="639">
        <v>14201</v>
      </c>
      <c r="I180" s="639">
        <v>9866</v>
      </c>
      <c r="J180" s="639"/>
      <c r="K180" s="640">
        <f t="shared" si="5"/>
        <v>109648</v>
      </c>
      <c r="L180" s="639">
        <v>15483</v>
      </c>
      <c r="M180" s="639"/>
      <c r="N180" s="639">
        <v>163275</v>
      </c>
      <c r="O180" s="1503">
        <f>1-N181</f>
        <v>0.60185569021434326</v>
      </c>
    </row>
    <row r="181" spans="1:15" ht="12" customHeight="1">
      <c r="A181" s="1517"/>
      <c r="B181" s="1502"/>
      <c r="C181" s="635" t="s">
        <v>6219</v>
      </c>
      <c r="D181" s="636">
        <f>D180/(D180+E180+G180+H180+I180+J180+L180+M180+N180)</f>
        <v>0.2218342315101563</v>
      </c>
      <c r="E181" s="636">
        <f>E180/(D180+E180+G180+H180+I180+J180+L180+M180+N180)</f>
        <v>7.4890877612231455E-2</v>
      </c>
      <c r="F181" s="637">
        <f t="shared" si="4"/>
        <v>0.29672510912238775</v>
      </c>
      <c r="G181" s="636">
        <f>G180/(D180+E180+G180+H180+I180+J180+L180+M180+N180)</f>
        <v>0.2086883367065766</v>
      </c>
      <c r="H181" s="636">
        <f>H180/(D180+E180+G180+H180+I180+J180+L180+M180+N180)</f>
        <v>3.4628983881586972E-2</v>
      </c>
      <c r="I181" s="636">
        <f>I180/(D180+E180+G180+H180+I180+J180+L180+M180+N180)</f>
        <v>2.4058133580433565E-2</v>
      </c>
      <c r="J181" s="636">
        <f>J180/(D180+E180+G180+H180+I180+J180+L180+M180+N180)</f>
        <v>0</v>
      </c>
      <c r="K181" s="637">
        <f t="shared" si="5"/>
        <v>0.26737545416859715</v>
      </c>
      <c r="L181" s="636">
        <f>L180/(D180+E180+G180+H180+I180+J180+L180+M180+N180)</f>
        <v>3.7755126923358286E-2</v>
      </c>
      <c r="M181" s="636">
        <f>M180/(D180+E180+G180+H180+I180+J180+L180+M180+N180)</f>
        <v>0</v>
      </c>
      <c r="N181" s="636">
        <f>N180/(D180+E180+G180+H180+I180+J180+L180+M180+N180)</f>
        <v>0.39814430978565679</v>
      </c>
      <c r="O181" s="1503"/>
    </row>
    <row r="182" spans="1:15" ht="12" customHeight="1">
      <c r="A182" s="1517"/>
      <c r="B182" s="1502" t="s">
        <v>14939</v>
      </c>
      <c r="C182" s="638" t="s">
        <v>6218</v>
      </c>
      <c r="D182" s="639">
        <v>53739</v>
      </c>
      <c r="E182" s="639">
        <v>28630</v>
      </c>
      <c r="F182" s="640">
        <f t="shared" si="4"/>
        <v>82369</v>
      </c>
      <c r="G182" s="639">
        <v>83946</v>
      </c>
      <c r="H182" s="639">
        <v>12735</v>
      </c>
      <c r="I182" s="639"/>
      <c r="J182" s="639"/>
      <c r="K182" s="640">
        <f t="shared" si="5"/>
        <v>96681</v>
      </c>
      <c r="L182" s="639">
        <v>14148</v>
      </c>
      <c r="M182" s="639">
        <v>8279</v>
      </c>
      <c r="N182" s="639">
        <v>203959</v>
      </c>
      <c r="O182" s="1503">
        <f>1-N183</f>
        <v>0.49693909766276301</v>
      </c>
    </row>
    <row r="183" spans="1:15" ht="12" customHeight="1">
      <c r="A183" s="1517"/>
      <c r="B183" s="1502"/>
      <c r="C183" s="635" t="s">
        <v>6219</v>
      </c>
      <c r="D183" s="636">
        <f>D182/(D182+E182+G182+H182+I182+J182+L182+M182+N182)</f>
        <v>0.13254619718031946</v>
      </c>
      <c r="E183" s="636">
        <f>E182/(D182+E182+G182+H182+I182+J182+L182+M182+N182)</f>
        <v>7.0615337562525277E-2</v>
      </c>
      <c r="F183" s="637">
        <f t="shared" si="4"/>
        <v>0.20316153474284473</v>
      </c>
      <c r="G183" s="636">
        <f>G182/(D182+E182+G182+H182+I182+J182+L182+M182+N182)</f>
        <v>0.20705117453802821</v>
      </c>
      <c r="H183" s="636">
        <f>H182/(D182+E182+G182+H182+I182+J182+L182+M182+N182)</f>
        <v>3.1410629544490379E-2</v>
      </c>
      <c r="I183" s="636">
        <f>I182/(D182+E182+G182+H182+I182+J182+L182+M182+N182)</f>
        <v>0</v>
      </c>
      <c r="J183" s="636">
        <f>J182/(D182+E182+G182+H182+I182+J182+L182+M182+N182)</f>
        <v>0</v>
      </c>
      <c r="K183" s="637">
        <f t="shared" si="5"/>
        <v>0.2384618040825186</v>
      </c>
      <c r="L183" s="636">
        <f>L182/(D182+E182+G182+H182+I182+J182+L182+M182+N182)</f>
        <v>3.4895766532818992E-2</v>
      </c>
      <c r="M183" s="636">
        <f>M182/(D182+E182+G182+H182+I182+J182+L182+M182+N182)</f>
        <v>2.0419992304580747E-2</v>
      </c>
      <c r="N183" s="636">
        <f>N182/(D182+E182+G182+H182+I182+J182+L182+M182+N182)</f>
        <v>0.50306090233723699</v>
      </c>
      <c r="O183" s="1503"/>
    </row>
    <row r="184" spans="1:15" ht="12" customHeight="1">
      <c r="A184" s="1517"/>
      <c r="B184" s="1502" t="s">
        <v>14940</v>
      </c>
      <c r="C184" s="638" t="s">
        <v>6218</v>
      </c>
      <c r="D184" s="639">
        <v>68987</v>
      </c>
      <c r="E184" s="639">
        <v>30313</v>
      </c>
      <c r="F184" s="640">
        <f t="shared" si="4"/>
        <v>99300</v>
      </c>
      <c r="G184" s="639">
        <v>89039</v>
      </c>
      <c r="H184" s="639">
        <v>12670</v>
      </c>
      <c r="I184" s="639"/>
      <c r="J184" s="639"/>
      <c r="K184" s="640">
        <f t="shared" si="5"/>
        <v>101709</v>
      </c>
      <c r="L184" s="639">
        <v>14084</v>
      </c>
      <c r="M184" s="639"/>
      <c r="N184" s="639">
        <v>188107</v>
      </c>
      <c r="O184" s="1503">
        <f>1-N185</f>
        <v>0.53346478174603174</v>
      </c>
    </row>
    <row r="185" spans="1:15" ht="12" customHeight="1" thickBot="1">
      <c r="A185" s="1519"/>
      <c r="B185" s="1514"/>
      <c r="C185" s="641" t="s">
        <v>6219</v>
      </c>
      <c r="D185" s="642">
        <f>D184/(D184+E184+G184+H184+I184+J184+L184+M184+N184)</f>
        <v>0.17109871031746032</v>
      </c>
      <c r="E185" s="642">
        <f>E184/(D184+E184+G184+H184+I184+J184+L184+M184+N184)</f>
        <v>7.5181051587301581E-2</v>
      </c>
      <c r="F185" s="643">
        <f t="shared" si="4"/>
        <v>0.24627976190476192</v>
      </c>
      <c r="G185" s="642">
        <f>G184/(D184+E184+G184+H184+I184+J184+L184+M184+N184)</f>
        <v>0.22083085317460319</v>
      </c>
      <c r="H185" s="642">
        <f>H184/(D184+E184+G184+H184+I184+J184+L184+M184+N184)</f>
        <v>3.142361111111111E-2</v>
      </c>
      <c r="I185" s="642">
        <f>I184/(D184+E184+G184+H184+I184+J184+L184+M184+N184)</f>
        <v>0</v>
      </c>
      <c r="J185" s="642">
        <f>J184/(D184+E184+G184+H184+I184+J184+L184+M184+N184)</f>
        <v>0</v>
      </c>
      <c r="K185" s="643">
        <f t="shared" si="5"/>
        <v>0.2522544642857143</v>
      </c>
      <c r="L185" s="642">
        <f>L184/(D184+E184+G184+H184+I184+J184+L184+M184+N184)</f>
        <v>3.4930555555555555E-2</v>
      </c>
      <c r="M185" s="642">
        <f>M184/(D184+E184+G184+H184+I184+J184+L184+M184+N184)</f>
        <v>0</v>
      </c>
      <c r="N185" s="642">
        <f>N184/(D184+E184+G184+H184+I184+J184+L184+M184+N184)</f>
        <v>0.46653521825396826</v>
      </c>
      <c r="O185" s="1515"/>
    </row>
    <row r="186" spans="1:15" ht="12" customHeight="1">
      <c r="A186" s="1535" t="s">
        <v>14963</v>
      </c>
      <c r="B186" s="1536" t="s">
        <v>14937</v>
      </c>
      <c r="C186" s="632" t="s">
        <v>6218</v>
      </c>
      <c r="D186" s="633">
        <v>47107</v>
      </c>
      <c r="E186" s="633">
        <v>19715</v>
      </c>
      <c r="F186" s="634">
        <f t="shared" si="4"/>
        <v>66822</v>
      </c>
      <c r="G186" s="633">
        <v>66359</v>
      </c>
      <c r="H186" s="633">
        <v>8634</v>
      </c>
      <c r="I186" s="633">
        <v>2355</v>
      </c>
      <c r="J186" s="633">
        <v>3097</v>
      </c>
      <c r="K186" s="634">
        <f t="shared" si="5"/>
        <v>80445</v>
      </c>
      <c r="L186" s="633">
        <v>9164</v>
      </c>
      <c r="M186" s="633">
        <v>3453</v>
      </c>
      <c r="N186" s="633">
        <v>129485</v>
      </c>
      <c r="O186" s="1537">
        <f>1-N187</f>
        <v>0.55252635907785563</v>
      </c>
    </row>
    <row r="187" spans="1:15" ht="12" customHeight="1">
      <c r="A187" s="1517"/>
      <c r="B187" s="1502"/>
      <c r="C187" s="635" t="s">
        <v>6219</v>
      </c>
      <c r="D187" s="636">
        <f>D186/(D186+E186+G186+H186+I186+J186+L186+M186+N186)</f>
        <v>0.16279214428636102</v>
      </c>
      <c r="E187" s="636">
        <f>E186/(D186+E186+G186+H186+I186+J186+L186+M186+N186)</f>
        <v>6.8131002284280623E-2</v>
      </c>
      <c r="F187" s="637">
        <f t="shared" si="4"/>
        <v>0.23092314657064164</v>
      </c>
      <c r="G187" s="636">
        <f>G186/(D186+E186+G186+H186+I186+J186+L186+M186+N186)</f>
        <v>0.22932311339500777</v>
      </c>
      <c r="H187" s="636">
        <f>H186/(D186+E186+G186+H186+I186+J186+L186+M186+N186)</f>
        <v>2.9837335720135881E-2</v>
      </c>
      <c r="I187" s="636">
        <f>I186/(D186+E186+G186+H186+I186+J186+L186+M186+N186)</f>
        <v>8.138397685999537E-3</v>
      </c>
      <c r="J187" s="636">
        <f>J186/(D186+E186+G186+H186+I186+J186+L186+M186+N186)</f>
        <v>1.0702597721248647E-2</v>
      </c>
      <c r="K187" s="637">
        <f t="shared" si="5"/>
        <v>0.27800144452239184</v>
      </c>
      <c r="L187" s="636">
        <f>L186/(D186+E186+G186+H186+I186+J186+L186+M186+N186)</f>
        <v>3.166890717388525E-2</v>
      </c>
      <c r="M187" s="636">
        <f>M186/(D186+E186+G186+H186+I186+J186+L186+M186+N186)</f>
        <v>1.1932860810936901E-2</v>
      </c>
      <c r="N187" s="636">
        <f>N186/(D186+E186+G186+H186+I186+J186+L186+M186+N186)</f>
        <v>0.44747364092214437</v>
      </c>
      <c r="O187" s="1503"/>
    </row>
    <row r="188" spans="1:15" ht="12" customHeight="1">
      <c r="A188" s="1517"/>
      <c r="B188" s="1502" t="s">
        <v>14938</v>
      </c>
      <c r="C188" s="638" t="s">
        <v>6218</v>
      </c>
      <c r="D188" s="639">
        <v>67727</v>
      </c>
      <c r="E188" s="639">
        <v>27198</v>
      </c>
      <c r="F188" s="640">
        <f t="shared" si="4"/>
        <v>94925</v>
      </c>
      <c r="G188" s="639">
        <v>62258</v>
      </c>
      <c r="H188" s="639">
        <v>10205</v>
      </c>
      <c r="I188" s="639">
        <v>7112</v>
      </c>
      <c r="J188" s="639"/>
      <c r="K188" s="640">
        <f t="shared" si="5"/>
        <v>79575</v>
      </c>
      <c r="L188" s="639">
        <v>11677</v>
      </c>
      <c r="M188" s="639"/>
      <c r="N188" s="639">
        <v>101659</v>
      </c>
      <c r="O188" s="1503">
        <f>1-N189</f>
        <v>0.64681624258258175</v>
      </c>
    </row>
    <row r="189" spans="1:15" ht="12" customHeight="1">
      <c r="A189" s="1517"/>
      <c r="B189" s="1502"/>
      <c r="C189" s="635" t="s">
        <v>6219</v>
      </c>
      <c r="D189" s="636">
        <f>D188/(D188+E188+G188+H188+I188+J188+L188+M188+N188)</f>
        <v>0.2352971831181645</v>
      </c>
      <c r="E189" s="636">
        <f>E188/(D188+E188+G188+H188+I188+J188+L188+M188+N188)</f>
        <v>9.4491307550132714E-2</v>
      </c>
      <c r="F189" s="637">
        <f t="shared" si="4"/>
        <v>0.32978849066829719</v>
      </c>
      <c r="G189" s="636">
        <f>G188/(D188+E188+G188+H188+I188+J188+L188+M188+N188)</f>
        <v>0.21629678011089648</v>
      </c>
      <c r="H189" s="636">
        <f>H188/(D188+E188+G188+H188+I188+J188+L188+M188+N188)</f>
        <v>3.5454216984671827E-2</v>
      </c>
      <c r="I189" s="636">
        <f>I188/(D188+E188+G188+H188+I188+J188+L188+M188+N188)</f>
        <v>2.4708514570797261E-2</v>
      </c>
      <c r="J189" s="636">
        <f>J188/(D188+E188+G188+H188+I188+J188+L188+M188+N188)</f>
        <v>0</v>
      </c>
      <c r="K189" s="637">
        <f t="shared" si="5"/>
        <v>0.27645951166636556</v>
      </c>
      <c r="L189" s="636">
        <f>L188/(D188+E188+G188+H188+I188+J188+L188+M188+N188)</f>
        <v>4.0568240247918955E-2</v>
      </c>
      <c r="M189" s="636">
        <f>M188/(D188+E188+G188+H188+I188+J188+L188+M188+N188)</f>
        <v>0</v>
      </c>
      <c r="N189" s="636">
        <f>N188/(D188+E188+G188+H188+I188+J188+L188+M188+N188)</f>
        <v>0.35318375741741825</v>
      </c>
      <c r="O189" s="1503"/>
    </row>
    <row r="190" spans="1:15" ht="12" customHeight="1">
      <c r="A190" s="1517"/>
      <c r="B190" s="1502" t="s">
        <v>14939</v>
      </c>
      <c r="C190" s="638" t="s">
        <v>6218</v>
      </c>
      <c r="D190" s="639">
        <v>51787</v>
      </c>
      <c r="E190" s="639">
        <v>21751</v>
      </c>
      <c r="F190" s="640">
        <f t="shared" si="4"/>
        <v>73538</v>
      </c>
      <c r="G190" s="639">
        <v>57871</v>
      </c>
      <c r="H190" s="639">
        <v>9759</v>
      </c>
      <c r="I190" s="639"/>
      <c r="J190" s="639"/>
      <c r="K190" s="640">
        <f t="shared" si="5"/>
        <v>67630</v>
      </c>
      <c r="L190" s="639">
        <v>10542</v>
      </c>
      <c r="M190" s="639">
        <v>5338</v>
      </c>
      <c r="N190" s="639">
        <v>129651</v>
      </c>
      <c r="O190" s="1503">
        <f>1-N191</f>
        <v>0.54778007596817568</v>
      </c>
    </row>
    <row r="191" spans="1:15" ht="12" customHeight="1">
      <c r="A191" s="1517"/>
      <c r="B191" s="1502"/>
      <c r="C191" s="635" t="s">
        <v>6219</v>
      </c>
      <c r="D191" s="636">
        <f>D190/(D190+E190+G190+H190+I190+J190+L190+M190+N190)</f>
        <v>0.1806319519775095</v>
      </c>
      <c r="E191" s="636">
        <f>E190/(D190+E190+G190+H190+I190+J190+L190+M190+N190)</f>
        <v>7.5867024300747474E-2</v>
      </c>
      <c r="F191" s="637">
        <f t="shared" si="4"/>
        <v>0.25649897627825696</v>
      </c>
      <c r="G191" s="636">
        <f>G190/(D190+E190+G190+H190+I190+J190+L190+M190+N190)</f>
        <v>0.20185281427559915</v>
      </c>
      <c r="H191" s="636">
        <f>H190/(D190+E190+G190+H190+I190+J190+L190+M190+N190)</f>
        <v>3.4039183952507684E-2</v>
      </c>
      <c r="I191" s="636">
        <f>I190/(D190+E190+G190+H190+I190+J190+L190+M190+N190)</f>
        <v>0</v>
      </c>
      <c r="J191" s="636">
        <f>J190/(D190+E190+G190+H190+I190+J190+L190+M190+N190)</f>
        <v>0</v>
      </c>
      <c r="K191" s="637">
        <f t="shared" si="5"/>
        <v>0.23589199822810683</v>
      </c>
      <c r="L191" s="636">
        <f>L190/(D190+E190+G190+H190+I190+J190+L190+M190+N190)</f>
        <v>3.6770271260102058E-2</v>
      </c>
      <c r="M191" s="636">
        <f>M190/(D190+E190+G190+H190+I190+J190+L190+M190+N190)</f>
        <v>1.8618830201709808E-2</v>
      </c>
      <c r="N191" s="636">
        <f>N190/(D190+E190+G190+H190+I190+J190+L190+M190+N190)</f>
        <v>0.45221992403182432</v>
      </c>
      <c r="O191" s="1503"/>
    </row>
    <row r="192" spans="1:15" ht="12" customHeight="1">
      <c r="A192" s="1517"/>
      <c r="B192" s="1502" t="s">
        <v>14940</v>
      </c>
      <c r="C192" s="638" t="s">
        <v>6218</v>
      </c>
      <c r="D192" s="639">
        <v>59321</v>
      </c>
      <c r="E192" s="639">
        <v>21347</v>
      </c>
      <c r="F192" s="640">
        <f t="shared" si="4"/>
        <v>80668</v>
      </c>
      <c r="G192" s="639">
        <v>59700</v>
      </c>
      <c r="H192" s="639">
        <v>8594</v>
      </c>
      <c r="I192" s="639"/>
      <c r="J192" s="639"/>
      <c r="K192" s="640">
        <f t="shared" si="5"/>
        <v>68294</v>
      </c>
      <c r="L192" s="639">
        <v>10390</v>
      </c>
      <c r="M192" s="639"/>
      <c r="N192" s="639">
        <v>126109</v>
      </c>
      <c r="O192" s="1503">
        <f>1-N193</f>
        <v>0.55822686811858713</v>
      </c>
    </row>
    <row r="193" spans="1:15" ht="12" customHeight="1" thickBot="1">
      <c r="A193" s="1519"/>
      <c r="B193" s="1514"/>
      <c r="C193" s="641" t="s">
        <v>6219</v>
      </c>
      <c r="D193" s="642">
        <f>D192/(D192+E192+G192+H192+I192+J192+L192+M192+N192)</f>
        <v>0.20780772154514979</v>
      </c>
      <c r="E193" s="642">
        <f>E192/(D192+E192+G192+H192+I192+J192+L192+M192+N192)</f>
        <v>7.4780793173147994E-2</v>
      </c>
      <c r="F193" s="643">
        <f t="shared" si="4"/>
        <v>0.28258851471829777</v>
      </c>
      <c r="G193" s="642">
        <f>G192/(D192+E192+G192+H192+I192+J192+L192+M192+N192)</f>
        <v>0.20913539853079754</v>
      </c>
      <c r="H193" s="642">
        <f>H192/(D192+E192+G192+H192+I192+J192+L192+M192+N192)</f>
        <v>3.0105688693026367E-2</v>
      </c>
      <c r="I193" s="642">
        <f>I192/(D192+E192+G192+H192+I192+J192+L192+M192+N192)</f>
        <v>0</v>
      </c>
      <c r="J193" s="642">
        <f>J192/(D192+E192+G192+H192+I192+J192+L192+M192+N192)</f>
        <v>0</v>
      </c>
      <c r="K193" s="643">
        <f t="shared" si="5"/>
        <v>0.23924108722382392</v>
      </c>
      <c r="L193" s="642">
        <f>L192/(D192+E192+G192+H192+I192+J192+L192+M192+N192)</f>
        <v>3.6397266176465437E-2</v>
      </c>
      <c r="M193" s="642">
        <f>M192/(D192+E192+G192+H192+I192+J192+L192+M192+N192)</f>
        <v>0</v>
      </c>
      <c r="N193" s="642">
        <f>N192/(D192+E192+G192+H192+I192+J192+L192+M192+N192)</f>
        <v>0.44177313188141287</v>
      </c>
      <c r="O193" s="1515"/>
    </row>
    <row r="194" spans="1:15" ht="12" customHeight="1">
      <c r="A194" s="1535" t="s">
        <v>14964</v>
      </c>
      <c r="B194" s="1536" t="s">
        <v>14937</v>
      </c>
      <c r="C194" s="632" t="s">
        <v>6218</v>
      </c>
      <c r="D194" s="633">
        <v>49928</v>
      </c>
      <c r="E194" s="633">
        <v>23375</v>
      </c>
      <c r="F194" s="634">
        <f t="shared" ref="F194:F257" si="6">SUM(D194:E194)</f>
        <v>73303</v>
      </c>
      <c r="G194" s="633">
        <v>71619</v>
      </c>
      <c r="H194" s="633">
        <v>8730</v>
      </c>
      <c r="I194" s="633">
        <v>2579</v>
      </c>
      <c r="J194" s="633">
        <v>3635</v>
      </c>
      <c r="K194" s="634">
        <f t="shared" ref="K194:K257" si="7">SUM(G194:J194)</f>
        <v>86563</v>
      </c>
      <c r="L194" s="633">
        <v>14492</v>
      </c>
      <c r="M194" s="633">
        <v>4452</v>
      </c>
      <c r="N194" s="633">
        <v>151129</v>
      </c>
      <c r="O194" s="1537">
        <f>1-N195</f>
        <v>0.54194866323774993</v>
      </c>
    </row>
    <row r="195" spans="1:15" ht="12" customHeight="1">
      <c r="A195" s="1517"/>
      <c r="B195" s="1502"/>
      <c r="C195" s="635" t="s">
        <v>6219</v>
      </c>
      <c r="D195" s="636">
        <f>D194/(D194+E194+G194+H194+I194+J194+L194+M194+N194)</f>
        <v>0.15132494188319659</v>
      </c>
      <c r="E195" s="636">
        <f>E194/(D194+E194+G194+H194+I194+J194+L194+M194+N194)</f>
        <v>7.0846429188425736E-2</v>
      </c>
      <c r="F195" s="637">
        <f t="shared" si="6"/>
        <v>0.22217137107162233</v>
      </c>
      <c r="G195" s="636">
        <f>G194/(D194+E194+G194+H194+I194+J194+L194+M194+N194)</f>
        <v>0.21706739730677488</v>
      </c>
      <c r="H195" s="636">
        <f>H194/(D194+E194+G194+H194+I194+J194+L194+M194+N194)</f>
        <v>2.645943644128157E-2</v>
      </c>
      <c r="I195" s="636">
        <f>I194/(D194+E194+G194+H194+I194+J194+L194+M194+N194)</f>
        <v>7.816596401152941E-3</v>
      </c>
      <c r="J195" s="636">
        <f>J194/(D194+E194+G194+H194+I194+J194+L194+M194+N194)</f>
        <v>1.1017188025665351E-2</v>
      </c>
      <c r="K195" s="637">
        <f t="shared" si="7"/>
        <v>0.26236061817487477</v>
      </c>
      <c r="L195" s="636">
        <f>L194/(D194+E194+G194+H194+I194+J194+L194+M194+N194)</f>
        <v>4.3923270665183561E-2</v>
      </c>
      <c r="M195" s="636">
        <f>M194/(D194+E194+G194+H194+I194+J194+L194+M194+N194)</f>
        <v>1.3493403326069364E-2</v>
      </c>
      <c r="N195" s="636">
        <f>N194/(D194+E194+G194+H194+I194+J194+L194+M194+N194)</f>
        <v>0.45805133676225002</v>
      </c>
      <c r="O195" s="1503"/>
    </row>
    <row r="196" spans="1:15" ht="12" customHeight="1">
      <c r="A196" s="1517"/>
      <c r="B196" s="1502" t="s">
        <v>14938</v>
      </c>
      <c r="C196" s="638" t="s">
        <v>6218</v>
      </c>
      <c r="D196" s="639">
        <v>72583</v>
      </c>
      <c r="E196" s="639">
        <v>32347</v>
      </c>
      <c r="F196" s="640">
        <f t="shared" si="6"/>
        <v>104930</v>
      </c>
      <c r="G196" s="639">
        <v>66191</v>
      </c>
      <c r="H196" s="639">
        <v>11203</v>
      </c>
      <c r="I196" s="639">
        <v>8904</v>
      </c>
      <c r="J196" s="639"/>
      <c r="K196" s="640">
        <f t="shared" si="7"/>
        <v>86298</v>
      </c>
      <c r="L196" s="639">
        <v>17038</v>
      </c>
      <c r="M196" s="639"/>
      <c r="N196" s="639">
        <v>119411</v>
      </c>
      <c r="O196" s="1503">
        <f>1-N197</f>
        <v>0.63558321151621877</v>
      </c>
    </row>
    <row r="197" spans="1:15" ht="12" customHeight="1">
      <c r="A197" s="1517"/>
      <c r="B197" s="1502"/>
      <c r="C197" s="635" t="s">
        <v>6219</v>
      </c>
      <c r="D197" s="636">
        <f>D196/(D196+E196+G196+H196+I196+J196+L196+M196+N196)</f>
        <v>0.22150776526884708</v>
      </c>
      <c r="E197" s="636">
        <f>E196/(D196+E196+G196+H196+I196+J196+L196+M196+N196)</f>
        <v>9.8716113733951422E-2</v>
      </c>
      <c r="F197" s="637">
        <f t="shared" si="6"/>
        <v>0.32022387900279847</v>
      </c>
      <c r="G197" s="636">
        <f>G196/(D196+E196+G196+H196+I196+J196+L196+M196+N196)</f>
        <v>0.2020007507392951</v>
      </c>
      <c r="H197" s="636">
        <f>H196/(D196+E196+G196+H196+I196+J196+L196+M196+N196)</f>
        <v>3.4189155784507305E-2</v>
      </c>
      <c r="I197" s="636">
        <f>I196/(D196+E196+G196+H196+I196+J196+L196+M196+N196)</f>
        <v>2.7173100339663754E-2</v>
      </c>
      <c r="J197" s="636">
        <f>J196/(D196+E196+G196+H196+I196+J196+L196+M196+N196)</f>
        <v>0</v>
      </c>
      <c r="K197" s="637">
        <f t="shared" si="7"/>
        <v>0.26336300686346614</v>
      </c>
      <c r="L197" s="636">
        <f>L196/(D196+E196+G196+H196+I196+J196+L196+M196+N196)</f>
        <v>5.1996325649954073E-2</v>
      </c>
      <c r="M197" s="636">
        <f>M196/(D196+E196+G196+H196+I196+J196+L196+M196+N196)</f>
        <v>0</v>
      </c>
      <c r="N197" s="636">
        <f>N196/(D196+E196+G196+H196+I196+J196+L196+M196+N196)</f>
        <v>0.36441678848378128</v>
      </c>
      <c r="O197" s="1503"/>
    </row>
    <row r="198" spans="1:15" ht="12" customHeight="1">
      <c r="A198" s="1517"/>
      <c r="B198" s="1502" t="s">
        <v>14939</v>
      </c>
      <c r="C198" s="638" t="s">
        <v>6218</v>
      </c>
      <c r="D198" s="639">
        <v>50889</v>
      </c>
      <c r="E198" s="639">
        <v>24778</v>
      </c>
      <c r="F198" s="640">
        <f t="shared" si="6"/>
        <v>75667</v>
      </c>
      <c r="G198" s="639">
        <v>60685</v>
      </c>
      <c r="H198" s="639">
        <v>9778</v>
      </c>
      <c r="I198" s="639"/>
      <c r="J198" s="639"/>
      <c r="K198" s="640">
        <f t="shared" si="7"/>
        <v>70463</v>
      </c>
      <c r="L198" s="639">
        <v>14271</v>
      </c>
      <c r="M198" s="639">
        <v>5866</v>
      </c>
      <c r="N198" s="639">
        <v>158521</v>
      </c>
      <c r="O198" s="1503">
        <f>1-N199</f>
        <v>0.51192470165153892</v>
      </c>
    </row>
    <row r="199" spans="1:15" ht="12" customHeight="1">
      <c r="A199" s="1517"/>
      <c r="B199" s="1502"/>
      <c r="C199" s="635" t="s">
        <v>6219</v>
      </c>
      <c r="D199" s="636">
        <f>D198/(D198+E198+G198+H198+I198+J198+L198+M198+N198)</f>
        <v>0.15668374447331798</v>
      </c>
      <c r="E199" s="636">
        <f>E198/(D198+E198+G198+H198+I198+J198+L198+M198+N198)</f>
        <v>7.6289764400162566E-2</v>
      </c>
      <c r="F199" s="637">
        <f t="shared" si="6"/>
        <v>0.23297350887348056</v>
      </c>
      <c r="G199" s="636">
        <f>G198/(D198+E198+G198+H198+I198+J198+L198+M198+N198)</f>
        <v>0.18684495732600959</v>
      </c>
      <c r="H199" s="636">
        <f>H198/(D198+E198+G198+H198+I198+J198+L198+M198+N198)</f>
        <v>3.0105792085914504E-2</v>
      </c>
      <c r="I199" s="636">
        <f>I198/(D198+E198+G198+H198+I198+J198+L198+M198+N198)</f>
        <v>0</v>
      </c>
      <c r="J199" s="636">
        <f>J198/(D198+E198+G198+H198+I198+J198+L198+M198+N198)</f>
        <v>0</v>
      </c>
      <c r="K199" s="637">
        <f t="shared" si="7"/>
        <v>0.2169507494119241</v>
      </c>
      <c r="L199" s="636">
        <f>L198/(D198+E198+G198+H198+I198+J198+L198+M198+N198)</f>
        <v>4.3939431259775605E-2</v>
      </c>
      <c r="M199" s="636">
        <f>M198/(D198+E198+G198+H198+I198+J198+L198+M198+N198)</f>
        <v>1.8061012106358611E-2</v>
      </c>
      <c r="N199" s="636">
        <f>N198/(D198+E198+G198+H198+I198+J198+L198+M198+N198)</f>
        <v>0.48807529834846114</v>
      </c>
      <c r="O199" s="1503"/>
    </row>
    <row r="200" spans="1:15" ht="12" customHeight="1">
      <c r="A200" s="1517"/>
      <c r="B200" s="1502" t="s">
        <v>14940</v>
      </c>
      <c r="C200" s="638" t="s">
        <v>6218</v>
      </c>
      <c r="D200" s="639">
        <v>70653</v>
      </c>
      <c r="E200" s="639">
        <v>27140</v>
      </c>
      <c r="F200" s="640">
        <f t="shared" si="6"/>
        <v>97793</v>
      </c>
      <c r="G200" s="639">
        <v>63623</v>
      </c>
      <c r="H200" s="639">
        <v>9902</v>
      </c>
      <c r="I200" s="639"/>
      <c r="J200" s="639"/>
      <c r="K200" s="640">
        <f t="shared" si="7"/>
        <v>73525</v>
      </c>
      <c r="L200" s="639">
        <v>15375</v>
      </c>
      <c r="M200" s="639"/>
      <c r="N200" s="639">
        <v>136120</v>
      </c>
      <c r="O200" s="1503">
        <f>1-N201</f>
        <v>0.57833172765656893</v>
      </c>
    </row>
    <row r="201" spans="1:15" ht="12" customHeight="1" thickBot="1">
      <c r="A201" s="1519"/>
      <c r="B201" s="1514"/>
      <c r="C201" s="641" t="s">
        <v>6219</v>
      </c>
      <c r="D201" s="642">
        <f>D200/(D200+E200+G200+H200+I200+J200+L200+M200+N200)</f>
        <v>0.21886665035175162</v>
      </c>
      <c r="E201" s="642">
        <f>E200/(D200+E200+G200+H200+I200+J200+L200+M200+N200)</f>
        <v>8.4073441899799581E-2</v>
      </c>
      <c r="F201" s="643">
        <f t="shared" si="6"/>
        <v>0.30294009225155122</v>
      </c>
      <c r="G201" s="642">
        <f>G200/(D200+E200+G200+H200+I200+J200+L200+M200+N200)</f>
        <v>0.1970893365508824</v>
      </c>
      <c r="H201" s="642">
        <f>H200/(D200+E200+G200+H200+I200+J200+L200+M200+N200)</f>
        <v>3.0674105441850234E-2</v>
      </c>
      <c r="I201" s="642">
        <f>I200/(D200+E200+G200+H200+I200+J200+L200+M200+N200)</f>
        <v>0</v>
      </c>
      <c r="J201" s="642">
        <f>J200/(D200+E200+G200+H200+I200+J200+L200+M200+N200)</f>
        <v>0</v>
      </c>
      <c r="K201" s="643">
        <f t="shared" si="7"/>
        <v>0.22776344199273263</v>
      </c>
      <c r="L201" s="642">
        <f>L200/(D200+E200+G200+H200+I200+J200+L200+M200+N200)</f>
        <v>4.7628193412285129E-2</v>
      </c>
      <c r="M201" s="642">
        <f>M200/(D200+E200+G200+H200+I200+J200+L200+M200+N200)</f>
        <v>0</v>
      </c>
      <c r="N201" s="642">
        <f>N200/(D200+E200+G200+H200+I200+J200+L200+M200+N200)</f>
        <v>0.42166827234343102</v>
      </c>
      <c r="O201" s="1515"/>
    </row>
    <row r="202" spans="1:15" ht="12" customHeight="1">
      <c r="A202" s="1538" t="s">
        <v>14965</v>
      </c>
      <c r="B202" s="1536" t="s">
        <v>14937</v>
      </c>
      <c r="C202" s="632" t="s">
        <v>6218</v>
      </c>
      <c r="D202" s="633">
        <v>36179</v>
      </c>
      <c r="E202" s="633">
        <v>14145</v>
      </c>
      <c r="F202" s="634">
        <f t="shared" si="6"/>
        <v>50324</v>
      </c>
      <c r="G202" s="633">
        <v>50355</v>
      </c>
      <c r="H202" s="633">
        <v>5662</v>
      </c>
      <c r="I202" s="633">
        <v>1839</v>
      </c>
      <c r="J202" s="633">
        <v>1862</v>
      </c>
      <c r="K202" s="634">
        <f t="shared" si="7"/>
        <v>59718</v>
      </c>
      <c r="L202" s="633">
        <v>6748</v>
      </c>
      <c r="M202" s="633">
        <v>2533</v>
      </c>
      <c r="N202" s="633">
        <v>109887</v>
      </c>
      <c r="O202" s="1537">
        <f>1-N203</f>
        <v>0.52058374416473974</v>
      </c>
    </row>
    <row r="203" spans="1:15" ht="12" customHeight="1">
      <c r="A203" s="1527"/>
      <c r="B203" s="1502"/>
      <c r="C203" s="635" t="s">
        <v>6219</v>
      </c>
      <c r="D203" s="636">
        <f>D202/(D202+E202+G202+H202+I202+J202+L202+M202+N202)</f>
        <v>0.15784215348370489</v>
      </c>
      <c r="E203" s="636">
        <f>E202/(D202+E202+G202+H202+I202+J202+L202+M202+N202)</f>
        <v>6.1711967191658307E-2</v>
      </c>
      <c r="F203" s="637">
        <f t="shared" si="6"/>
        <v>0.2195541206753632</v>
      </c>
      <c r="G203" s="636">
        <f>G202/(D202+E202+G202+H202+I202+J202+L202+M202+N202)</f>
        <v>0.21968936782862877</v>
      </c>
      <c r="H203" s="636">
        <f>H202/(D202+E202+G202+H202+I202+J202+L202+M202+N202)</f>
        <v>2.4702238122245975E-2</v>
      </c>
      <c r="I203" s="636">
        <f>I202/(D202+E202+G202+H202+I202+J202+L202+M202+N202)</f>
        <v>8.0232101566249294E-3</v>
      </c>
      <c r="J203" s="636">
        <f>J202/(D202+E202+G202+H202+I202+J202+L202+M202+N202)</f>
        <v>8.1235548187251864E-3</v>
      </c>
      <c r="K203" s="637">
        <f t="shared" si="7"/>
        <v>0.26053837092622484</v>
      </c>
      <c r="L203" s="636">
        <f>L202/(D202+E202+G202+H202+I202+J202+L202+M202+N202)</f>
        <v>2.9440251297936391E-2</v>
      </c>
      <c r="M203" s="636">
        <f>M202/(D202+E202+G202+H202+I202+J202+L202+M202+N202)</f>
        <v>1.1051001265215304E-2</v>
      </c>
      <c r="N203" s="636">
        <f>N202/(D202+E202+G202+H202+I202+J202+L202+M202+N202)</f>
        <v>0.47941625583526026</v>
      </c>
      <c r="O203" s="1503"/>
    </row>
    <row r="204" spans="1:15" ht="12" customHeight="1">
      <c r="A204" s="1527"/>
      <c r="B204" s="1502" t="s">
        <v>14938</v>
      </c>
      <c r="C204" s="638" t="s">
        <v>6218</v>
      </c>
      <c r="D204" s="639">
        <v>55145</v>
      </c>
      <c r="E204" s="639">
        <v>20488</v>
      </c>
      <c r="F204" s="640">
        <f t="shared" si="6"/>
        <v>75633</v>
      </c>
      <c r="G204" s="639">
        <v>53139</v>
      </c>
      <c r="H204" s="639">
        <v>7280</v>
      </c>
      <c r="I204" s="639">
        <v>5707</v>
      </c>
      <c r="J204" s="639"/>
      <c r="K204" s="640">
        <f t="shared" si="7"/>
        <v>66126</v>
      </c>
      <c r="L204" s="639">
        <v>9341</v>
      </c>
      <c r="M204" s="639"/>
      <c r="N204" s="639">
        <v>79826</v>
      </c>
      <c r="O204" s="1503">
        <f>1-N205</f>
        <v>0.6543221638100517</v>
      </c>
    </row>
    <row r="205" spans="1:15" ht="12" customHeight="1">
      <c r="A205" s="1527"/>
      <c r="B205" s="1502"/>
      <c r="C205" s="635" t="s">
        <v>6219</v>
      </c>
      <c r="D205" s="636">
        <f>D204/(D204+E204+G204+H204+I204+J204+L204+M204+N204)</f>
        <v>0.23879944224556784</v>
      </c>
      <c r="E205" s="636">
        <f>E204/(D204+E204+G204+H204+I204+J204+L204+M204+N204)</f>
        <v>8.8721062158440361E-2</v>
      </c>
      <c r="F205" s="637">
        <f t="shared" si="6"/>
        <v>0.32752050440400821</v>
      </c>
      <c r="G205" s="636">
        <f>G204/(D204+E204+G204+H204+I204+J204+L204+M204+N204)</f>
        <v>0.23011267678823519</v>
      </c>
      <c r="H205" s="636">
        <f>H204/(D204+E204+G204+H204+I204+J204+L204+M204+N204)</f>
        <v>3.1525250513151401E-2</v>
      </c>
      <c r="I205" s="636">
        <f>I204/(D204+E204+G204+H204+I204+J204+L204+M204+N204)</f>
        <v>2.4713544598702616E-2</v>
      </c>
      <c r="J205" s="636">
        <f>J204/(D204+E204+G204+H204+I204+J204+L204+M204+N204)</f>
        <v>0</v>
      </c>
      <c r="K205" s="637">
        <f t="shared" si="7"/>
        <v>0.28635147190008919</v>
      </c>
      <c r="L205" s="636">
        <f>L204/(D204+E204+G204+H204+I204+J204+L204+M204+N204)</f>
        <v>4.0450187505954291E-2</v>
      </c>
      <c r="M205" s="636">
        <f>M204/(D204+E204+G204+H204+I204+J204+L204+M204+N204)</f>
        <v>0</v>
      </c>
      <c r="N205" s="636">
        <f>N204/(D204+E204+G204+H204+I204+J204+L204+M204+N204)</f>
        <v>0.3456778361899483</v>
      </c>
      <c r="O205" s="1503"/>
    </row>
    <row r="206" spans="1:15" ht="12" customHeight="1">
      <c r="A206" s="1527"/>
      <c r="B206" s="1502" t="s">
        <v>14939</v>
      </c>
      <c r="C206" s="638" t="s">
        <v>6218</v>
      </c>
      <c r="D206" s="639">
        <v>37632</v>
      </c>
      <c r="E206" s="639">
        <v>14492</v>
      </c>
      <c r="F206" s="640">
        <f t="shared" si="6"/>
        <v>52124</v>
      </c>
      <c r="G206" s="639">
        <v>46403</v>
      </c>
      <c r="H206" s="639">
        <v>6444</v>
      </c>
      <c r="I206" s="639"/>
      <c r="J206" s="639"/>
      <c r="K206" s="640">
        <f t="shared" si="7"/>
        <v>52847</v>
      </c>
      <c r="L206" s="639">
        <v>6751</v>
      </c>
      <c r="M206" s="639">
        <v>3449</v>
      </c>
      <c r="N206" s="639">
        <v>116649</v>
      </c>
      <c r="O206" s="1503">
        <f>1-N207</f>
        <v>0.49681218186524023</v>
      </c>
    </row>
    <row r="207" spans="1:15" ht="12" customHeight="1">
      <c r="A207" s="1527"/>
      <c r="B207" s="1502"/>
      <c r="C207" s="635" t="s">
        <v>6219</v>
      </c>
      <c r="D207" s="636">
        <f>D206/(D206+E206+G206+H206+I206+J206+L206+M206+N206)</f>
        <v>0.16233284444827883</v>
      </c>
      <c r="E207" s="636">
        <f>E206/(D206+E206+G206+H206+I206+J206+L206+M206+N206)</f>
        <v>6.2514019497886292E-2</v>
      </c>
      <c r="F207" s="637">
        <f t="shared" si="6"/>
        <v>0.22484686394616513</v>
      </c>
      <c r="G207" s="636">
        <f>G206/(D206+E206+G206+H206+I206+J206+L206+M206+N206)</f>
        <v>0.20016823397463548</v>
      </c>
      <c r="H207" s="636">
        <f>H206/(D206+E206+G206+H206+I206+J206+L206+M206+N206)</f>
        <v>2.7797429039772236E-2</v>
      </c>
      <c r="I207" s="636">
        <f>I206/(D206+E206+G206+H206+I206+J206+L206+M206+N206)</f>
        <v>0</v>
      </c>
      <c r="J207" s="636">
        <f>J206/(D206+E206+G206+H206+I206+J206+L206+M206+N206)</f>
        <v>0</v>
      </c>
      <c r="K207" s="637">
        <f t="shared" si="7"/>
        <v>0.22796566301440771</v>
      </c>
      <c r="L207" s="636">
        <f>L206/(D206+E206+G206+H206+I206+J206+L206+M206+N206)</f>
        <v>2.9121732378569579E-2</v>
      </c>
      <c r="M207" s="636">
        <f>M206/(D206+E206+G206+H206+I206+J206+L206+M206+N206)</f>
        <v>1.4877922526097834E-2</v>
      </c>
      <c r="N207" s="636">
        <f>N206/(D206+E206+G206+H206+I206+J206+L206+M206+N206)</f>
        <v>0.50318781813475977</v>
      </c>
      <c r="O207" s="1503"/>
    </row>
    <row r="208" spans="1:15" ht="12" customHeight="1">
      <c r="A208" s="1527"/>
      <c r="B208" s="1502" t="s">
        <v>14940</v>
      </c>
      <c r="C208" s="638" t="s">
        <v>6218</v>
      </c>
      <c r="D208" s="639">
        <v>53911</v>
      </c>
      <c r="E208" s="639">
        <v>17504</v>
      </c>
      <c r="F208" s="640">
        <f t="shared" si="6"/>
        <v>71415</v>
      </c>
      <c r="G208" s="639">
        <v>52958</v>
      </c>
      <c r="H208" s="639">
        <v>6746</v>
      </c>
      <c r="I208" s="639"/>
      <c r="J208" s="639"/>
      <c r="K208" s="640">
        <f t="shared" si="7"/>
        <v>59704</v>
      </c>
      <c r="L208" s="639">
        <v>8030</v>
      </c>
      <c r="M208" s="639"/>
      <c r="N208" s="639">
        <v>93084</v>
      </c>
      <c r="O208" s="1503">
        <f>1-N209</f>
        <v>0.59917841133689009</v>
      </c>
    </row>
    <row r="209" spans="1:15" ht="12" customHeight="1" thickBot="1">
      <c r="A209" s="1528"/>
      <c r="B209" s="1514"/>
      <c r="C209" s="641" t="s">
        <v>6219</v>
      </c>
      <c r="D209" s="642">
        <f>D208/(D208+E208+G208+H208+I208+J208+L208+M208+N208)</f>
        <v>0.2321418575310141</v>
      </c>
      <c r="E209" s="642">
        <f>E208/(D208+E208+G208+H208+I208+J208+L208+M208+N208)</f>
        <v>7.5372578401863649E-2</v>
      </c>
      <c r="F209" s="643">
        <f t="shared" si="6"/>
        <v>0.30751443593287775</v>
      </c>
      <c r="G209" s="642">
        <f>G208/(D208+E208+G208+H208+I208+J208+L208+M208+N208)</f>
        <v>0.22803822023571155</v>
      </c>
      <c r="H209" s="642">
        <f>H208/(D208+E208+G208+H208+I208+J208+L208+M208+N208)</f>
        <v>2.9048412585635976E-2</v>
      </c>
      <c r="I209" s="642">
        <f>I208/(D208+E208+G208+H208+I208+J208+L208+M208+N208)</f>
        <v>0</v>
      </c>
      <c r="J209" s="642">
        <f>J208/(D208+E208+G208+H208+I208+J208+L208+M208+N208)</f>
        <v>0</v>
      </c>
      <c r="K209" s="643">
        <f t="shared" si="7"/>
        <v>0.25708663282134753</v>
      </c>
      <c r="L209" s="642">
        <f>L208/(D208+E208+G208+H208+I208+J208+L208+M208+N208)</f>
        <v>3.4577342582664823E-2</v>
      </c>
      <c r="M209" s="642">
        <f>M208/(D208+E208+G208+H208+I208+J208+L208+M208+N208)</f>
        <v>0</v>
      </c>
      <c r="N209" s="642">
        <f>N208/(D208+E208+G208+H208+I208+J208+L208+M208+N208)</f>
        <v>0.40082158866310991</v>
      </c>
      <c r="O209" s="1515"/>
    </row>
    <row r="210" spans="1:15" ht="12" customHeight="1">
      <c r="A210" s="1535" t="s">
        <v>14966</v>
      </c>
      <c r="B210" s="1536" t="s">
        <v>14937</v>
      </c>
      <c r="C210" s="632" t="s">
        <v>6218</v>
      </c>
      <c r="D210" s="633">
        <v>38375</v>
      </c>
      <c r="E210" s="633">
        <v>12563</v>
      </c>
      <c r="F210" s="634">
        <f t="shared" si="6"/>
        <v>50938</v>
      </c>
      <c r="G210" s="633">
        <v>52655</v>
      </c>
      <c r="H210" s="633">
        <v>11088</v>
      </c>
      <c r="I210" s="633">
        <v>2099</v>
      </c>
      <c r="J210" s="633">
        <v>1702</v>
      </c>
      <c r="K210" s="634">
        <f t="shared" si="7"/>
        <v>67544</v>
      </c>
      <c r="L210" s="633">
        <v>6391</v>
      </c>
      <c r="M210" s="633">
        <v>3150</v>
      </c>
      <c r="N210" s="633">
        <v>110696</v>
      </c>
      <c r="O210" s="1537">
        <f>1-N211</f>
        <v>0.53629162320552615</v>
      </c>
    </row>
    <row r="211" spans="1:15" ht="12" customHeight="1">
      <c r="A211" s="1517"/>
      <c r="B211" s="1502"/>
      <c r="C211" s="635" t="s">
        <v>6219</v>
      </c>
      <c r="D211" s="636">
        <f>D210/(D210+E210+G210+H210+I210+J210+L210+M210+N210)</f>
        <v>0.1607538570453127</v>
      </c>
      <c r="E211" s="636">
        <f>E210/(D210+E210+G210+H210+I210+J210+L210+M210+N210)</f>
        <v>5.2626728496684386E-2</v>
      </c>
      <c r="F211" s="637">
        <f t="shared" si="6"/>
        <v>0.21338058554199707</v>
      </c>
      <c r="G211" s="636">
        <f>G210/(D210+E210+G210+H210+I210+J210+L210+M210+N210)</f>
        <v>0.22057314248132742</v>
      </c>
      <c r="H211" s="636">
        <f>H210/(D210+E210+G210+H210+I210+J210+L210+M210+N210)</f>
        <v>4.6447915750317322E-2</v>
      </c>
      <c r="I211" s="636">
        <f>I210/(D210+E210+G210+H210+I210+J210+L210+M210+N210)</f>
        <v>8.7927647149996443E-3</v>
      </c>
      <c r="J211" s="636">
        <f>J210/(D210+E210+G210+H210+I210+J210+L210+M210+N210)</f>
        <v>7.1297215554689828E-3</v>
      </c>
      <c r="K211" s="637">
        <f t="shared" si="7"/>
        <v>0.28294354450211334</v>
      </c>
      <c r="L211" s="636">
        <f>L210/(D210+E210+G210+H210+I210+J210+L210+M210+N210)</f>
        <v>2.6772062550530121E-2</v>
      </c>
      <c r="M211" s="636">
        <f>M210/(D210+E210+G210+H210+I210+J210+L210+M210+N210)</f>
        <v>1.3195430610885602E-2</v>
      </c>
      <c r="N211" s="636">
        <f>N210/(D210+E210+G210+H210+I210+J210+L210+M210+N210)</f>
        <v>0.46370837679447385</v>
      </c>
      <c r="O211" s="1503"/>
    </row>
    <row r="212" spans="1:15" ht="12" customHeight="1">
      <c r="A212" s="1517"/>
      <c r="B212" s="1502" t="s">
        <v>14938</v>
      </c>
      <c r="C212" s="638" t="s">
        <v>6218</v>
      </c>
      <c r="D212" s="639">
        <v>55257</v>
      </c>
      <c r="E212" s="639">
        <v>19144</v>
      </c>
      <c r="F212" s="640">
        <f t="shared" si="6"/>
        <v>74401</v>
      </c>
      <c r="G212" s="639">
        <v>37751</v>
      </c>
      <c r="H212" s="639">
        <v>27962</v>
      </c>
      <c r="I212" s="639">
        <v>6827</v>
      </c>
      <c r="J212" s="639"/>
      <c r="K212" s="640">
        <f t="shared" si="7"/>
        <v>72540</v>
      </c>
      <c r="L212" s="639">
        <v>8897</v>
      </c>
      <c r="M212" s="639"/>
      <c r="N212" s="639">
        <v>86181</v>
      </c>
      <c r="O212" s="1503">
        <f>1-N213</f>
        <v>0.64390812291596933</v>
      </c>
    </row>
    <row r="213" spans="1:15" ht="12" customHeight="1">
      <c r="A213" s="1517"/>
      <c r="B213" s="1502"/>
      <c r="C213" s="635" t="s">
        <v>6219</v>
      </c>
      <c r="D213" s="636">
        <f>D212/(D212+E212+G212+H212+I212+J212+L212+M212+N212)</f>
        <v>0.22831678504580219</v>
      </c>
      <c r="E213" s="636">
        <f>E212/(D212+E212+G212+H212+I212+J212+L212+M212+N212)</f>
        <v>7.9101227589569417E-2</v>
      </c>
      <c r="F213" s="637">
        <f t="shared" si="6"/>
        <v>0.30741801263537161</v>
      </c>
      <c r="G213" s="636">
        <f>G212/(D212+E212+G212+H212+I212+J212+L212+M212+N212)</f>
        <v>0.15598362112065581</v>
      </c>
      <c r="H213" s="636">
        <f>H212/(D212+E212+G212+H212+I212+J212+L212+M212+N212)</f>
        <v>0.11553638350708002</v>
      </c>
      <c r="I213" s="636">
        <f>I212/(D212+E212+G212+H212+I212+J212+L212+M212+N212)</f>
        <v>2.8208529082427412E-2</v>
      </c>
      <c r="J213" s="636">
        <f>J212/(D212+E212+G212+H212+I212+J212+L212+M212+N212)</f>
        <v>0</v>
      </c>
      <c r="K213" s="637">
        <f t="shared" si="7"/>
        <v>0.29972853371016328</v>
      </c>
      <c r="L213" s="636">
        <f>L212/(D212+E212+G212+H212+I212+J212+L212+M212+N212)</f>
        <v>3.6761576570434551E-2</v>
      </c>
      <c r="M213" s="636">
        <f>M212/(D212+E212+G212+H212+I212+J212+L212+M212+N212)</f>
        <v>0</v>
      </c>
      <c r="N213" s="636">
        <f>N212/(D212+E212+G212+H212+I212+J212+L212+M212+N212)</f>
        <v>0.35609187708403062</v>
      </c>
      <c r="O213" s="1503"/>
    </row>
    <row r="214" spans="1:15" ht="12" customHeight="1">
      <c r="A214" s="1517"/>
      <c r="B214" s="1502" t="s">
        <v>14939</v>
      </c>
      <c r="C214" s="638" t="s">
        <v>6218</v>
      </c>
      <c r="D214" s="639">
        <v>37617</v>
      </c>
      <c r="E214" s="639">
        <v>12198</v>
      </c>
      <c r="F214" s="640">
        <f t="shared" si="6"/>
        <v>49815</v>
      </c>
      <c r="G214" s="639">
        <v>54864</v>
      </c>
      <c r="H214" s="639">
        <v>22742</v>
      </c>
      <c r="I214" s="639"/>
      <c r="J214" s="639"/>
      <c r="K214" s="640">
        <f t="shared" si="7"/>
        <v>77606</v>
      </c>
      <c r="L214" s="639">
        <v>5439</v>
      </c>
      <c r="M214" s="639">
        <v>3136</v>
      </c>
      <c r="N214" s="639">
        <v>107790</v>
      </c>
      <c r="O214" s="1503">
        <f>1-N215</f>
        <v>0.55784991755063862</v>
      </c>
    </row>
    <row r="215" spans="1:15" ht="12" customHeight="1">
      <c r="A215" s="1517"/>
      <c r="B215" s="1502"/>
      <c r="C215" s="635" t="s">
        <v>6219</v>
      </c>
      <c r="D215" s="636">
        <f>D214/(D214+E214+G214+H214+I214+J214+L214+M214+N214)</f>
        <v>0.15430336442617706</v>
      </c>
      <c r="E215" s="636">
        <f>E214/(D214+E214+G214+H214+I214+J214+L214+M214+N214)</f>
        <v>5.0035687036991461E-2</v>
      </c>
      <c r="F215" s="637">
        <f t="shared" si="6"/>
        <v>0.20433905146316853</v>
      </c>
      <c r="G215" s="636">
        <f>G214/(D214+E214+G214+H214+I214+J214+L214+M214+N214)</f>
        <v>0.2250498387930398</v>
      </c>
      <c r="H215" s="636">
        <f>H214/(D214+E214+G214+H214+I214+J214+L214+M214+N214)</f>
        <v>9.3286735087330694E-2</v>
      </c>
      <c r="I215" s="636">
        <f>I214/(D214+E214+G214+H214+I214+J214+L214+M214+N214)</f>
        <v>0</v>
      </c>
      <c r="J215" s="636">
        <f>J214/(D214+E214+G214+H214+I214+J214+L214+M214+N214)</f>
        <v>0</v>
      </c>
      <c r="K215" s="637">
        <f t="shared" si="7"/>
        <v>0.31833657388037051</v>
      </c>
      <c r="L215" s="636">
        <f>L214/(D214+E214+G214+H214+I214+J214+L214+M214+N214)</f>
        <v>2.2310551057074648E-2</v>
      </c>
      <c r="M215" s="636">
        <f>M214/(D214+E214+G214+H214+I214+J214+L214+M214+N214)</f>
        <v>1.2863741150025022E-2</v>
      </c>
      <c r="N215" s="636">
        <f>N214/(D214+E214+G214+H214+I214+J214+L214+M214+N214)</f>
        <v>0.44215008244936133</v>
      </c>
      <c r="O215" s="1503"/>
    </row>
    <row r="216" spans="1:15" ht="12" customHeight="1">
      <c r="A216" s="1517"/>
      <c r="B216" s="1502" t="s">
        <v>14940</v>
      </c>
      <c r="C216" s="638" t="s">
        <v>6218</v>
      </c>
      <c r="D216" s="639">
        <v>60800</v>
      </c>
      <c r="E216" s="639">
        <v>17126</v>
      </c>
      <c r="F216" s="640">
        <f t="shared" si="6"/>
        <v>77926</v>
      </c>
      <c r="G216" s="639">
        <v>49296</v>
      </c>
      <c r="H216" s="639">
        <v>21967</v>
      </c>
      <c r="I216" s="639"/>
      <c r="J216" s="639"/>
      <c r="K216" s="640">
        <f t="shared" si="7"/>
        <v>71263</v>
      </c>
      <c r="L216" s="639">
        <v>7173</v>
      </c>
      <c r="M216" s="639"/>
      <c r="N216" s="639">
        <v>88001</v>
      </c>
      <c r="O216" s="1503">
        <f>1-N217</f>
        <v>0.6398759222959286</v>
      </c>
    </row>
    <row r="217" spans="1:15" ht="12" customHeight="1" thickBot="1">
      <c r="A217" s="1519"/>
      <c r="B217" s="1514"/>
      <c r="C217" s="641" t="s">
        <v>6219</v>
      </c>
      <c r="D217" s="642">
        <f>D216/(D216+E216+G216+H216+I216+J216+L216+M216+N216)</f>
        <v>0.24881017175267942</v>
      </c>
      <c r="E217" s="642">
        <f>E216/(D216+E216+G216+H216+I216+J216+L216+M216+N216)</f>
        <v>7.008425989204585E-2</v>
      </c>
      <c r="F217" s="643">
        <f t="shared" si="6"/>
        <v>0.31889443164472525</v>
      </c>
      <c r="G217" s="642">
        <f>G216/(D216+E216+G216+H216+I216+J216+L216+M216+N216)</f>
        <v>0.20173266820263297</v>
      </c>
      <c r="H217" s="642">
        <f>H216/(D216+E216+G216+H216+I216+J216+L216+M216+N216)</f>
        <v>8.9894951363340608E-2</v>
      </c>
      <c r="I217" s="642">
        <f>I216/(D216+E216+G216+H216+I216+J216+L216+M216+N216)</f>
        <v>0</v>
      </c>
      <c r="J217" s="642">
        <f>J216/(D216+E216+G216+H216+I216+J216+L216+M216+N216)</f>
        <v>0</v>
      </c>
      <c r="K217" s="643">
        <f t="shared" si="7"/>
        <v>0.29162761956597361</v>
      </c>
      <c r="L217" s="642">
        <f>L216/(D216+E216+G216+H216+I216+J216+L216+M216+N216)</f>
        <v>2.9353871085229761E-2</v>
      </c>
      <c r="M217" s="642">
        <f>M216/(D216+E216+G216+H216+I216+J216+L216+M216+N216)</f>
        <v>0</v>
      </c>
      <c r="N217" s="642">
        <f>N216/(D216+E216+G216+H216+I216+J216+L216+M216+N216)</f>
        <v>0.3601240777040714</v>
      </c>
      <c r="O217" s="1515"/>
    </row>
    <row r="218" spans="1:15" ht="12" customHeight="1">
      <c r="A218" s="1538" t="s">
        <v>14967</v>
      </c>
      <c r="B218" s="1536" t="s">
        <v>14937</v>
      </c>
      <c r="C218" s="632" t="s">
        <v>6218</v>
      </c>
      <c r="D218" s="633">
        <v>54423</v>
      </c>
      <c r="E218" s="633">
        <v>15410</v>
      </c>
      <c r="F218" s="634">
        <f t="shared" si="6"/>
        <v>69833</v>
      </c>
      <c r="G218" s="633">
        <v>62720</v>
      </c>
      <c r="H218" s="633">
        <v>10556</v>
      </c>
      <c r="I218" s="633">
        <v>3201</v>
      </c>
      <c r="J218" s="633">
        <v>4095</v>
      </c>
      <c r="K218" s="634">
        <f t="shared" si="7"/>
        <v>80572</v>
      </c>
      <c r="L218" s="633">
        <v>12553</v>
      </c>
      <c r="M218" s="633">
        <v>2823</v>
      </c>
      <c r="N218" s="633">
        <v>104949</v>
      </c>
      <c r="O218" s="1537">
        <f>1-N219</f>
        <v>0.61234809588889294</v>
      </c>
    </row>
    <row r="219" spans="1:15" ht="12" customHeight="1">
      <c r="A219" s="1527"/>
      <c r="B219" s="1502"/>
      <c r="C219" s="635" t="s">
        <v>6219</v>
      </c>
      <c r="D219" s="636">
        <f>D218/(D218+E218+G218+H218+I218+J218+L218+M218+N218)</f>
        <v>0.20102315960551104</v>
      </c>
      <c r="E219" s="636">
        <f>E218/(D218+E218+G218+H218+I218+J218+L218+M218+N218)</f>
        <v>5.6920178775902192E-2</v>
      </c>
      <c r="F219" s="637">
        <f t="shared" si="6"/>
        <v>0.25794333838141326</v>
      </c>
      <c r="G219" s="636">
        <f>G218/(D218+E218+G218+H218+I218+J218+L218+M218+N218)</f>
        <v>0.23166992945000553</v>
      </c>
      <c r="H219" s="636">
        <f>H218/(D218+E218+G218+H218+I218+J218+L218+M218+N218)</f>
        <v>3.8990876519041109E-2</v>
      </c>
      <c r="I219" s="636">
        <f>I218/(D218+E218+G218+H218+I218+J218+L218+M218+N218)</f>
        <v>1.1823588076681565E-2</v>
      </c>
      <c r="J219" s="636">
        <f>J218/(D218+E218+G218+H218+I218+J218+L218+M218+N218)</f>
        <v>1.512577106342112E-2</v>
      </c>
      <c r="K219" s="637">
        <f t="shared" si="7"/>
        <v>0.29761016510914928</v>
      </c>
      <c r="L219" s="636">
        <f>L218/(D218+E218+G218+H218+I218+J218+L218+M218+N218)</f>
        <v>4.6367229342887749E-2</v>
      </c>
      <c r="M219" s="636">
        <f>M218/(D218+E218+G218+H218+I218+J218+L218+M218+N218)</f>
        <v>1.0427363055442692E-2</v>
      </c>
      <c r="N219" s="636">
        <f>N218/(D218+E218+G218+H218+I218+J218+L218+M218+N218)</f>
        <v>0.387651904111107</v>
      </c>
      <c r="O219" s="1503"/>
    </row>
    <row r="220" spans="1:15" ht="12" customHeight="1">
      <c r="A220" s="1527"/>
      <c r="B220" s="1502" t="s">
        <v>14938</v>
      </c>
      <c r="C220" s="638" t="s">
        <v>6218</v>
      </c>
      <c r="D220" s="639">
        <v>63176</v>
      </c>
      <c r="E220" s="639">
        <v>17777</v>
      </c>
      <c r="F220" s="640">
        <f t="shared" si="6"/>
        <v>80953</v>
      </c>
      <c r="G220" s="639">
        <v>56303</v>
      </c>
      <c r="H220" s="639">
        <v>11437</v>
      </c>
      <c r="I220" s="639">
        <v>11214</v>
      </c>
      <c r="J220" s="639"/>
      <c r="K220" s="640">
        <f t="shared" si="7"/>
        <v>78954</v>
      </c>
      <c r="L220" s="639">
        <v>12523</v>
      </c>
      <c r="M220" s="639"/>
      <c r="N220" s="639">
        <v>97718</v>
      </c>
      <c r="O220" s="1503">
        <f>1-N221</f>
        <v>0.63827975776241175</v>
      </c>
    </row>
    <row r="221" spans="1:15" ht="12" customHeight="1">
      <c r="A221" s="1527"/>
      <c r="B221" s="1502"/>
      <c r="C221" s="635" t="s">
        <v>6219</v>
      </c>
      <c r="D221" s="636">
        <f>D220/(D220+E220+G220+H220+I220+J220+L220+M220+N220)</f>
        <v>0.23385699690540002</v>
      </c>
      <c r="E221" s="636">
        <f>E220/(D220+E220+G220+H220+I220+J220+L220+M220+N220)</f>
        <v>6.5804670032722806E-2</v>
      </c>
      <c r="F221" s="637">
        <f t="shared" si="6"/>
        <v>0.29966166693812279</v>
      </c>
      <c r="G221" s="636">
        <f>G220/(D220+E220+G220+H220+I220+J220+L220+M220+N220)</f>
        <v>0.20841538712113361</v>
      </c>
      <c r="H221" s="636">
        <f>H220/(D220+E220+G220+H220+I220+J220+L220+M220+N220)</f>
        <v>4.2336052830300425E-2</v>
      </c>
      <c r="I221" s="636">
        <f>I220/(D220+E220+G220+H220+I220+J220+L220+M220+N220)</f>
        <v>4.1510579386114278E-2</v>
      </c>
      <c r="J221" s="636">
        <f>J220/(D220+E220+G220+H220+I220+J220+L220+M220+N220)</f>
        <v>0</v>
      </c>
      <c r="K221" s="637">
        <f t="shared" si="7"/>
        <v>0.29226201933754831</v>
      </c>
      <c r="L221" s="636">
        <f>L220/(D220+E220+G220+H220+I220+J220+L220+M220+N220)</f>
        <v>4.6356071486740605E-2</v>
      </c>
      <c r="M221" s="636">
        <f>M220/(D220+E220+G220+H220+I220+J220+L220+M220+N220)</f>
        <v>0</v>
      </c>
      <c r="N221" s="636">
        <f>N220/(D220+E220+G220+H220+I220+J220+L220+M220+N220)</f>
        <v>0.36172024223758831</v>
      </c>
      <c r="O221" s="1503"/>
    </row>
    <row r="222" spans="1:15" ht="12" customHeight="1">
      <c r="A222" s="1527"/>
      <c r="B222" s="1502" t="s">
        <v>14939</v>
      </c>
      <c r="C222" s="638" t="s">
        <v>6218</v>
      </c>
      <c r="D222" s="639">
        <v>49802</v>
      </c>
      <c r="E222" s="639">
        <v>16747</v>
      </c>
      <c r="F222" s="640">
        <f t="shared" si="6"/>
        <v>66549</v>
      </c>
      <c r="G222" s="639">
        <v>59733</v>
      </c>
      <c r="H222" s="639">
        <v>10906</v>
      </c>
      <c r="I222" s="639"/>
      <c r="J222" s="639"/>
      <c r="K222" s="640">
        <f t="shared" si="7"/>
        <v>70639</v>
      </c>
      <c r="L222" s="639">
        <v>12336</v>
      </c>
      <c r="M222" s="639">
        <v>5843</v>
      </c>
      <c r="N222" s="639">
        <v>114016</v>
      </c>
      <c r="O222" s="1503">
        <f>1-N223</f>
        <v>0.57675131689824521</v>
      </c>
    </row>
    <row r="223" spans="1:15" ht="12" customHeight="1">
      <c r="A223" s="1527"/>
      <c r="B223" s="1502"/>
      <c r="C223" s="635" t="s">
        <v>6219</v>
      </c>
      <c r="D223" s="636">
        <f>D222/(D222+E222+G222+H222+I222+J222+L222+M222+N222)</f>
        <v>0.18487432391799036</v>
      </c>
      <c r="E223" s="636">
        <f>E222/(D222+E222+G222+H222+I222+J222+L222+M222+N222)</f>
        <v>6.216799129863429E-2</v>
      </c>
      <c r="F223" s="637">
        <f t="shared" si="6"/>
        <v>0.24704231521662465</v>
      </c>
      <c r="G223" s="636">
        <f>G222/(D222+E222+G222+H222+I222+J222+L222+M222+N222)</f>
        <v>0.22174005041149589</v>
      </c>
      <c r="H223" s="636">
        <f>H222/(D222+E222+G222+H222+I222+J222+L222+M222+N222)</f>
        <v>4.0485108562901148E-2</v>
      </c>
      <c r="I223" s="636">
        <f>I222/(D222+E222+G222+H222+I222+J222+L222+M222+N222)</f>
        <v>0</v>
      </c>
      <c r="J223" s="636">
        <f>J222/(D222+E222+G222+H222+I222+J222+L222+M222+N222)</f>
        <v>0</v>
      </c>
      <c r="K223" s="637">
        <f t="shared" si="7"/>
        <v>0.26222515897439702</v>
      </c>
      <c r="L223" s="636">
        <f>L222/(D222+E222+G222+H222+I222+J222+L222+M222+N222)</f>
        <v>4.5793535598014724E-2</v>
      </c>
      <c r="M223" s="636">
        <f>M222/(D222+E222+G222+H222+I222+J222+L222+M222+N222)</f>
        <v>2.1690307109208821E-2</v>
      </c>
      <c r="N223" s="636">
        <f>N222/(D222+E222+G222+H222+I222+J222+L222+M222+N222)</f>
        <v>0.42324868310175473</v>
      </c>
      <c r="O223" s="1503"/>
    </row>
    <row r="224" spans="1:15" ht="12" customHeight="1">
      <c r="A224" s="1527"/>
      <c r="B224" s="1502" t="s">
        <v>14940</v>
      </c>
      <c r="C224" s="638" t="s">
        <v>6218</v>
      </c>
      <c r="D224" s="639">
        <v>54040</v>
      </c>
      <c r="E224" s="639">
        <v>17018</v>
      </c>
      <c r="F224" s="640">
        <f t="shared" si="6"/>
        <v>71058</v>
      </c>
      <c r="G224" s="639">
        <v>59792</v>
      </c>
      <c r="H224" s="639">
        <v>8810</v>
      </c>
      <c r="I224" s="639"/>
      <c r="J224" s="639"/>
      <c r="K224" s="640">
        <f t="shared" si="7"/>
        <v>68602</v>
      </c>
      <c r="L224" s="639">
        <v>13893</v>
      </c>
      <c r="M224" s="639"/>
      <c r="N224" s="639">
        <v>115213</v>
      </c>
      <c r="O224" s="1503">
        <f>1-N225</f>
        <v>0.57132598617384645</v>
      </c>
    </row>
    <row r="225" spans="1:15" ht="12" customHeight="1" thickBot="1">
      <c r="A225" s="1528"/>
      <c r="B225" s="1514"/>
      <c r="C225" s="641" t="s">
        <v>6219</v>
      </c>
      <c r="D225" s="642">
        <f>D224/(D224+E224+G224+H224+I224+J224+L224+M224+N224)</f>
        <v>0.20106709926106725</v>
      </c>
      <c r="E225" s="642">
        <f>E224/(D224+E224+G224+H224+I224+J224+L224+M224+N224)</f>
        <v>6.3319021007121432E-2</v>
      </c>
      <c r="F225" s="643">
        <f t="shared" si="6"/>
        <v>0.2643861202681887</v>
      </c>
      <c r="G225" s="642">
        <f>G224/(D224+E224+G224+H224+I224+J224+L224+M224+N224)</f>
        <v>0.22246861582194177</v>
      </c>
      <c r="H225" s="642">
        <f>H224/(D224+E224+G224+H224+I224+J224+L224+M224+N224)</f>
        <v>3.2779443828460444E-2</v>
      </c>
      <c r="I225" s="642">
        <f>I224/(D224+E224+G224+H224+I224+J224+L224+M224+N224)</f>
        <v>0</v>
      </c>
      <c r="J225" s="642">
        <f>J224/(D224+E224+G224+H224+I224+J224+L224+M224+N224)</f>
        <v>0</v>
      </c>
      <c r="K225" s="643">
        <f t="shared" si="7"/>
        <v>0.2552480596504022</v>
      </c>
      <c r="L225" s="642">
        <f>L224/(D224+E224+G224+H224+I224+J224+L224+M224+N224)</f>
        <v>5.1691806255255504E-2</v>
      </c>
      <c r="M225" s="642">
        <f>M224/(D224+E224+G224+H224+I224+J224+L224+M224+N224)</f>
        <v>0</v>
      </c>
      <c r="N225" s="642">
        <f>N224/(D224+E224+G224+H224+I224+J224+L224+M224+N224)</f>
        <v>0.42867401382615361</v>
      </c>
      <c r="O225" s="1515"/>
    </row>
    <row r="226" spans="1:15" ht="12" customHeight="1">
      <c r="A226" s="1543" t="s">
        <v>14968</v>
      </c>
      <c r="B226" s="1536" t="s">
        <v>14937</v>
      </c>
      <c r="C226" s="632" t="s">
        <v>6218</v>
      </c>
      <c r="D226" s="633">
        <v>71980</v>
      </c>
      <c r="E226" s="633">
        <v>20634</v>
      </c>
      <c r="F226" s="634">
        <f t="shared" si="6"/>
        <v>92614</v>
      </c>
      <c r="G226" s="633">
        <v>63707</v>
      </c>
      <c r="H226" s="633">
        <v>17093</v>
      </c>
      <c r="I226" s="633">
        <v>4956</v>
      </c>
      <c r="J226" s="633">
        <v>2994</v>
      </c>
      <c r="K226" s="634">
        <f t="shared" si="7"/>
        <v>88750</v>
      </c>
      <c r="L226" s="633">
        <v>12430</v>
      </c>
      <c r="M226" s="633">
        <v>2706</v>
      </c>
      <c r="N226" s="633">
        <v>110014</v>
      </c>
      <c r="O226" s="1537">
        <f>1-N227</f>
        <v>0.6410800159209693</v>
      </c>
    </row>
    <row r="227" spans="1:15" ht="12" customHeight="1">
      <c r="A227" s="1530"/>
      <c r="B227" s="1502"/>
      <c r="C227" s="635" t="s">
        <v>6219</v>
      </c>
      <c r="D227" s="636">
        <f>D226/(D226+E226+G226+H226+I226+J226+L226+M226+N226)</f>
        <v>0.23483429794397645</v>
      </c>
      <c r="E227" s="636">
        <f>E226/(D226+E226+G226+H226+I226+J226+L226+M226+N226)</f>
        <v>6.7318295412281334E-2</v>
      </c>
      <c r="F227" s="637">
        <f t="shared" si="6"/>
        <v>0.30215259335625777</v>
      </c>
      <c r="G227" s="636">
        <f>G226/(D226+E226+G226+H226+I226+J226+L226+M226+N226)</f>
        <v>0.20784368740090176</v>
      </c>
      <c r="H227" s="636">
        <f>H226/(D226+E226+G226+H226+I226+J226+L226+M226+N226)</f>
        <v>5.5765805150825083E-2</v>
      </c>
      <c r="I227" s="636">
        <f>I226/(D226+E226+G226+H226+I226+J226+L226+M226+N226)</f>
        <v>1.6168918874831167E-2</v>
      </c>
      <c r="J227" s="636">
        <f>J226/(D226+E226+G226+H226+I226+J226+L226+M226+N226)</f>
        <v>9.7679061967805708E-3</v>
      </c>
      <c r="K227" s="637">
        <f t="shared" si="7"/>
        <v>0.2895463176233386</v>
      </c>
      <c r="L227" s="636">
        <f>L226/(D226+E226+G226+H226+I226+J226+L226+M226+N226)</f>
        <v>4.0552796935865901E-2</v>
      </c>
      <c r="M227" s="636">
        <f>M226/(D226+E226+G226+H226+I226+J226+L226+M226+N226)</f>
        <v>8.8283080055070896E-3</v>
      </c>
      <c r="N227" s="636">
        <f>N226/(D226+E226+G226+H226+I226+J226+L226+M226+N226)</f>
        <v>0.35891998407903064</v>
      </c>
      <c r="O227" s="1503"/>
    </row>
    <row r="228" spans="1:15" ht="12" customHeight="1">
      <c r="A228" s="1530"/>
      <c r="B228" s="1502" t="s">
        <v>14938</v>
      </c>
      <c r="C228" s="638" t="s">
        <v>6218</v>
      </c>
      <c r="D228" s="639">
        <v>70438</v>
      </c>
      <c r="E228" s="639">
        <v>24764</v>
      </c>
      <c r="F228" s="640">
        <f t="shared" si="6"/>
        <v>95202</v>
      </c>
      <c r="G228" s="639">
        <v>59967</v>
      </c>
      <c r="H228" s="639">
        <v>26603</v>
      </c>
      <c r="I228" s="639">
        <v>12346</v>
      </c>
      <c r="J228" s="639"/>
      <c r="K228" s="640">
        <f t="shared" si="7"/>
        <v>98916</v>
      </c>
      <c r="L228" s="639">
        <v>12063</v>
      </c>
      <c r="M228" s="639"/>
      <c r="N228" s="639">
        <v>106208</v>
      </c>
      <c r="O228" s="1503">
        <f>1-N229</f>
        <v>0.66001363684380698</v>
      </c>
    </row>
    <row r="229" spans="1:15" ht="12" customHeight="1">
      <c r="A229" s="1530"/>
      <c r="B229" s="1502"/>
      <c r="C229" s="635" t="s">
        <v>6219</v>
      </c>
      <c r="D229" s="636">
        <f>D228/(D228+E228+G228+H228+I228+J228+L228+M228+N228)</f>
        <v>0.22548169109667754</v>
      </c>
      <c r="E229" s="636">
        <f>E228/(D228+E228+G228+H228+I228+J228+L228+M228+N228)</f>
        <v>7.9272957754594434E-2</v>
      </c>
      <c r="F229" s="637">
        <f t="shared" si="6"/>
        <v>0.30475464885127196</v>
      </c>
      <c r="G229" s="636">
        <f>G228/(D228+E228+G228+H228+I228+J228+L228+M228+N228)</f>
        <v>0.19196258511023115</v>
      </c>
      <c r="H229" s="636">
        <f>H228/(D228+E228+G228+H228+I228+J228+L228+M228+N228)</f>
        <v>8.5159848778286043E-2</v>
      </c>
      <c r="I229" s="636">
        <f>I228/(D228+E228+G228+H228+I228+J228+L228+M228+N228)</f>
        <v>3.9521237943717612E-2</v>
      </c>
      <c r="J229" s="636">
        <f>J228/(D228+E228+G228+H228+I228+J228+L228+M228+N228)</f>
        <v>0</v>
      </c>
      <c r="K229" s="637">
        <f t="shared" si="7"/>
        <v>0.3166436718322348</v>
      </c>
      <c r="L229" s="636">
        <f>L228/(D228+E228+G228+H228+I228+J228+L228+M228+N228)</f>
        <v>3.8615316160300138E-2</v>
      </c>
      <c r="M229" s="636">
        <f>M228/(D228+E228+G228+H228+I228+J228+L228+M228+N228)</f>
        <v>0</v>
      </c>
      <c r="N229" s="636">
        <f>N228/(D228+E228+G228+H228+I228+J228+L228+M228+N228)</f>
        <v>0.33998636315619307</v>
      </c>
      <c r="O229" s="1503"/>
    </row>
    <row r="230" spans="1:15" ht="12" customHeight="1">
      <c r="A230" s="1530"/>
      <c r="B230" s="1502" t="s">
        <v>14939</v>
      </c>
      <c r="C230" s="638" t="s">
        <v>6218</v>
      </c>
      <c r="D230" s="639">
        <v>75013</v>
      </c>
      <c r="E230" s="639">
        <v>24447</v>
      </c>
      <c r="F230" s="640">
        <f t="shared" si="6"/>
        <v>99460</v>
      </c>
      <c r="G230" s="639">
        <v>60687</v>
      </c>
      <c r="H230" s="639">
        <v>17906</v>
      </c>
      <c r="I230" s="639"/>
      <c r="J230" s="639"/>
      <c r="K230" s="640">
        <f t="shared" si="7"/>
        <v>78593</v>
      </c>
      <c r="L230" s="639">
        <v>12363</v>
      </c>
      <c r="M230" s="639">
        <v>5608</v>
      </c>
      <c r="N230" s="639">
        <v>118922</v>
      </c>
      <c r="O230" s="1503">
        <f>1-N231</f>
        <v>0.6224051107173928</v>
      </c>
    </row>
    <row r="231" spans="1:15" ht="12" customHeight="1">
      <c r="A231" s="1530"/>
      <c r="B231" s="1502"/>
      <c r="C231" s="635" t="s">
        <v>6219</v>
      </c>
      <c r="D231" s="636">
        <f>D230/(D230+E230+G230+H230+I230+J230+L230+M230+N230)</f>
        <v>0.23817733833736576</v>
      </c>
      <c r="E231" s="636">
        <f>E230/(D230+E230+G230+H230+I230+J230+L230+M230+N230)</f>
        <v>7.7622830580480459E-2</v>
      </c>
      <c r="F231" s="637">
        <f t="shared" si="6"/>
        <v>0.31580016891784624</v>
      </c>
      <c r="G231" s="636">
        <f>G230/(D230+E230+G230+H230+I230+J230+L230+M230+N230)</f>
        <v>0.19269017545865005</v>
      </c>
      <c r="H231" s="636">
        <f>H230/(D230+E230+G230+H230+I230+J230+L230+M230+N230)</f>
        <v>5.6854190877166241E-2</v>
      </c>
      <c r="I231" s="636">
        <f>I230/(D230+E230+G230+H230+I230+J230+L230+M230+N230)</f>
        <v>0</v>
      </c>
      <c r="J231" s="636">
        <f>J230/(D230+E230+G230+H230+I230+J230+L230+M230+N230)</f>
        <v>0</v>
      </c>
      <c r="K231" s="637">
        <f t="shared" si="7"/>
        <v>0.24954436633581628</v>
      </c>
      <c r="L231" s="636">
        <f>L230/(D230+E230+G230+H230+I230+J230+L230+M230+N230)</f>
        <v>3.925434836448153E-2</v>
      </c>
      <c r="M231" s="636">
        <f>M230/(D230+E230+G230+H230+I230+J230+L230+M230+N230)</f>
        <v>1.7806227099248759E-2</v>
      </c>
      <c r="N231" s="636">
        <f>N230/(D230+E230+G230+H230+I230+J230+L230+M230+N230)</f>
        <v>0.3775948892826072</v>
      </c>
      <c r="O231" s="1503"/>
    </row>
    <row r="232" spans="1:15" ht="12" customHeight="1">
      <c r="A232" s="1530"/>
      <c r="B232" s="1502" t="s">
        <v>14940</v>
      </c>
      <c r="C232" s="638" t="s">
        <v>6218</v>
      </c>
      <c r="D232" s="639">
        <v>78726</v>
      </c>
      <c r="E232" s="639">
        <v>23559</v>
      </c>
      <c r="F232" s="640">
        <f t="shared" si="6"/>
        <v>102285</v>
      </c>
      <c r="G232" s="639">
        <v>60630</v>
      </c>
      <c r="H232" s="639">
        <v>20135</v>
      </c>
      <c r="I232" s="639"/>
      <c r="J232" s="639"/>
      <c r="K232" s="640">
        <f t="shared" si="7"/>
        <v>80765</v>
      </c>
      <c r="L232" s="639">
        <v>12732</v>
      </c>
      <c r="M232" s="639"/>
      <c r="N232" s="639">
        <v>120124</v>
      </c>
      <c r="O232" s="1503">
        <f>1-N233</f>
        <v>0.61974764645179259</v>
      </c>
    </row>
    <row r="233" spans="1:15" ht="12" customHeight="1" thickBot="1">
      <c r="A233" s="1531"/>
      <c r="B233" s="1514"/>
      <c r="C233" s="641" t="s">
        <v>6219</v>
      </c>
      <c r="D233" s="642">
        <f>D232/(D232+E232+G232+H232+I232+J232+L232+M232+N232)</f>
        <v>0.24920704260128013</v>
      </c>
      <c r="E233" s="642">
        <f>E232/(D232+E232+G232+H232+I232+J232+L232+M232+N232)</f>
        <v>7.457598146284021E-2</v>
      </c>
      <c r="F233" s="643">
        <f t="shared" si="6"/>
        <v>0.32378302406412035</v>
      </c>
      <c r="G233" s="642">
        <f>G232/(D232+E232+G232+H232+I232+J232+L232+M232+N232)</f>
        <v>0.19192417997758826</v>
      </c>
      <c r="H233" s="642">
        <f>H232/(D232+E232+G232+H232+I232+J232+L232+M232+N232)</f>
        <v>6.3737314264369779E-2</v>
      </c>
      <c r="I233" s="642">
        <f>I232/(D232+E232+G232+H232+I232+J232+L232+M232+N232)</f>
        <v>0</v>
      </c>
      <c r="J233" s="642">
        <f>J232/(D232+E232+G232+H232+I232+J232+L232+M232+N232)</f>
        <v>0</v>
      </c>
      <c r="K233" s="643">
        <f t="shared" si="7"/>
        <v>0.25566149424195805</v>
      </c>
      <c r="L233" s="642">
        <f>L232/(D232+E232+G232+H232+I232+J232+L232+M232+N232)</f>
        <v>4.0303128145714233E-2</v>
      </c>
      <c r="M233" s="642">
        <f>M232/(D232+E232+G232+H232+I232+J232+L232+M232+N232)</f>
        <v>0</v>
      </c>
      <c r="N233" s="642">
        <f>N232/(D232+E232+G232+H232+I232+J232+L232+M232+N232)</f>
        <v>0.38025235354820736</v>
      </c>
      <c r="O233" s="1515"/>
    </row>
    <row r="234" spans="1:15" ht="12" customHeight="1">
      <c r="A234" s="1535" t="s">
        <v>14969</v>
      </c>
      <c r="B234" s="1536" t="s">
        <v>14937</v>
      </c>
      <c r="C234" s="632" t="s">
        <v>6218</v>
      </c>
      <c r="D234" s="633">
        <v>95164</v>
      </c>
      <c r="E234" s="633">
        <v>24191</v>
      </c>
      <c r="F234" s="634">
        <f t="shared" si="6"/>
        <v>119355</v>
      </c>
      <c r="G234" s="633">
        <v>83602</v>
      </c>
      <c r="H234" s="633">
        <v>16329</v>
      </c>
      <c r="I234" s="633">
        <v>4581</v>
      </c>
      <c r="J234" s="633">
        <v>3359</v>
      </c>
      <c r="K234" s="634">
        <f t="shared" si="7"/>
        <v>107871</v>
      </c>
      <c r="L234" s="633">
        <v>13717</v>
      </c>
      <c r="M234" s="633">
        <v>3634</v>
      </c>
      <c r="N234" s="633">
        <v>127781</v>
      </c>
      <c r="O234" s="1537">
        <f>1-N235</f>
        <v>0.65683294034235873</v>
      </c>
    </row>
    <row r="235" spans="1:15" ht="12" customHeight="1">
      <c r="A235" s="1517"/>
      <c r="B235" s="1502"/>
      <c r="C235" s="635" t="s">
        <v>6219</v>
      </c>
      <c r="D235" s="636">
        <f>D234/(D234+E234+G234+H234+I234+J234+L234+M234+N234)</f>
        <v>0.25557125132265185</v>
      </c>
      <c r="E235" s="636">
        <f>E234/(D234+E234+G234+H234+I234+J234+L234+M234+N234)</f>
        <v>6.4967047841056183E-2</v>
      </c>
      <c r="F235" s="637">
        <f t="shared" si="6"/>
        <v>0.32053829916370802</v>
      </c>
      <c r="G235" s="636">
        <f>G234/(D234+E234+G234+H234+I234+J234+L234+M234+N234)</f>
        <v>0.22452048834723573</v>
      </c>
      <c r="H235" s="636">
        <f>H234/(D234+E234+G234+H234+I234+J234+L234+M234+N234)</f>
        <v>4.3852958711777378E-2</v>
      </c>
      <c r="I235" s="636">
        <f>I234/(D234+E234+G234+H234+I234+J234+L234+M234+N234)</f>
        <v>1.2302676456528395E-2</v>
      </c>
      <c r="J235" s="636">
        <f>J234/(D234+E234+G234+H234+I234+J234+L234+M234+N234)</f>
        <v>9.0208884997770959E-3</v>
      </c>
      <c r="K235" s="637">
        <f t="shared" si="7"/>
        <v>0.28969701201531861</v>
      </c>
      <c r="L235" s="636">
        <f>L234/(D234+E234+G234+H234+I234+J234+L234+M234+N234)</f>
        <v>3.6838204093909623E-2</v>
      </c>
      <c r="M235" s="636">
        <f>M234/(D234+E234+G234+H234+I234+J234+L234+M234+N234)</f>
        <v>9.7594250694224369E-3</v>
      </c>
      <c r="N235" s="636">
        <f>N234/(D234+E234+G234+H234+I234+J234+L234+M234+N234)</f>
        <v>0.34316705965764133</v>
      </c>
      <c r="O235" s="1503"/>
    </row>
    <row r="236" spans="1:15" ht="12" customHeight="1">
      <c r="A236" s="1517"/>
      <c r="B236" s="1502" t="s">
        <v>14938</v>
      </c>
      <c r="C236" s="638" t="s">
        <v>6218</v>
      </c>
      <c r="D236" s="639">
        <v>110027</v>
      </c>
      <c r="E236" s="639">
        <v>27598</v>
      </c>
      <c r="F236" s="640">
        <f t="shared" si="6"/>
        <v>137625</v>
      </c>
      <c r="G236" s="639">
        <v>82714</v>
      </c>
      <c r="H236" s="639">
        <v>17185</v>
      </c>
      <c r="I236" s="639">
        <v>14333</v>
      </c>
      <c r="J236" s="639"/>
      <c r="K236" s="640">
        <f t="shared" si="7"/>
        <v>114232</v>
      </c>
      <c r="L236" s="639">
        <v>13856</v>
      </c>
      <c r="M236" s="639"/>
      <c r="N236" s="639">
        <v>112088</v>
      </c>
      <c r="O236" s="1503">
        <f>1-N237</f>
        <v>0.70331470800765483</v>
      </c>
    </row>
    <row r="237" spans="1:15" ht="12" customHeight="1">
      <c r="A237" s="1517"/>
      <c r="B237" s="1502"/>
      <c r="C237" s="635" t="s">
        <v>6219</v>
      </c>
      <c r="D237" s="636">
        <f>D236/(D236+E236+G236+H236+I236+J236+L236+M236+N236)</f>
        <v>0.29123003909465567</v>
      </c>
      <c r="E237" s="636">
        <f>E236/(D236+E236+G236+H236+I236+J236+L236+M236+N236)</f>
        <v>7.3049039044364619E-2</v>
      </c>
      <c r="F237" s="637">
        <f t="shared" si="6"/>
        <v>0.36427907813902027</v>
      </c>
      <c r="G237" s="636">
        <f>G236/(D236+E236+G236+H236+I236+J236+L236+M236+N236)</f>
        <v>0.21893536544371242</v>
      </c>
      <c r="H237" s="636">
        <f>H236/(D236+E236+G236+H236+I236+J236+L236+M236+N236)</f>
        <v>4.5486909775252049E-2</v>
      </c>
      <c r="I237" s="636">
        <f>I236/(D236+E236+G236+H236+I236+J236+L236+M236+N236)</f>
        <v>3.7937962048803474E-2</v>
      </c>
      <c r="J237" s="636">
        <f>J236/(D236+E236+G236+H236+I236+J236+L236+M236+N236)</f>
        <v>0</v>
      </c>
      <c r="K237" s="637">
        <f t="shared" si="7"/>
        <v>0.3023602372677679</v>
      </c>
      <c r="L237" s="636">
        <f>L236/(D236+E236+G236+H236+I236+J236+L236+M236+N236)</f>
        <v>3.6675392600866594E-2</v>
      </c>
      <c r="M237" s="636">
        <f>M236/(D236+E236+G236+H236+I236+J236+L236+M236+N236)</f>
        <v>0</v>
      </c>
      <c r="N237" s="636">
        <f>N236/(D236+E236+G236+H236+I236+J236+L236+M236+N236)</f>
        <v>0.29668529199234517</v>
      </c>
      <c r="O237" s="1503"/>
    </row>
    <row r="238" spans="1:15" ht="12" customHeight="1">
      <c r="A238" s="1517"/>
      <c r="B238" s="1502" t="s">
        <v>14939</v>
      </c>
      <c r="C238" s="638" t="s">
        <v>6218</v>
      </c>
      <c r="D238" s="639">
        <v>95963</v>
      </c>
      <c r="E238" s="639">
        <v>28237</v>
      </c>
      <c r="F238" s="640">
        <f t="shared" si="6"/>
        <v>124200</v>
      </c>
      <c r="G238" s="639">
        <v>76145</v>
      </c>
      <c r="H238" s="639">
        <v>16887</v>
      </c>
      <c r="I238" s="639"/>
      <c r="J238" s="639"/>
      <c r="K238" s="640">
        <f t="shared" si="7"/>
        <v>93032</v>
      </c>
      <c r="L238" s="639">
        <v>14160</v>
      </c>
      <c r="M238" s="639">
        <v>8002</v>
      </c>
      <c r="N238" s="639">
        <v>140392</v>
      </c>
      <c r="O238" s="1503">
        <f>1-N239</f>
        <v>0.63033919101809965</v>
      </c>
    </row>
    <row r="239" spans="1:15" ht="12" customHeight="1">
      <c r="A239" s="1517"/>
      <c r="B239" s="1502"/>
      <c r="C239" s="635" t="s">
        <v>6219</v>
      </c>
      <c r="D239" s="636">
        <f>D238/(D238+E238+G238+H238+I238+J238+L238+M238+N238)</f>
        <v>0.25267650729621416</v>
      </c>
      <c r="E239" s="636">
        <f>E238/(D238+E238+G238+H238+I238+J238+L238+M238+N238)</f>
        <v>7.4349765394195674E-2</v>
      </c>
      <c r="F239" s="637">
        <f t="shared" si="6"/>
        <v>0.32702627269040985</v>
      </c>
      <c r="G239" s="636">
        <f>G238/(D238+E238+G238+H238+I238+J238+L238+M238+N238)</f>
        <v>0.20049448900170097</v>
      </c>
      <c r="H239" s="636">
        <f>H238/(D238+E238+G238+H238+I238+J238+L238+M238+N238)</f>
        <v>4.4464514226432779E-2</v>
      </c>
      <c r="I239" s="636">
        <f>I238/(D238+E238+G238+H238+I238+J238+L238+M238+N238)</f>
        <v>0</v>
      </c>
      <c r="J239" s="636">
        <f>J238/(D238+E238+G238+H238+I238+J238+L238+M238+N238)</f>
        <v>0</v>
      </c>
      <c r="K239" s="637">
        <f t="shared" si="7"/>
        <v>0.24495900322813374</v>
      </c>
      <c r="L239" s="636">
        <f>L238/(D238+E238+G238+H238+I238+J238+L238+M238+N238)</f>
        <v>3.7284154760838996E-2</v>
      </c>
      <c r="M239" s="636">
        <f>M238/(D238+E238+G238+H238+I238+J238+L238+M238+N238)</f>
        <v>2.1069760338717068E-2</v>
      </c>
      <c r="N239" s="636">
        <f>N238/(D238+E238+G238+H238+I238+J238+L238+M238+N238)</f>
        <v>0.36966080898190035</v>
      </c>
      <c r="O239" s="1503"/>
    </row>
    <row r="240" spans="1:15" ht="12" customHeight="1">
      <c r="A240" s="1517"/>
      <c r="B240" s="1502" t="s">
        <v>14940</v>
      </c>
      <c r="C240" s="638" t="s">
        <v>6218</v>
      </c>
      <c r="D240" s="639">
        <v>116476</v>
      </c>
      <c r="E240" s="639">
        <v>30978</v>
      </c>
      <c r="F240" s="640">
        <f t="shared" si="6"/>
        <v>147454</v>
      </c>
      <c r="G240" s="639">
        <v>76567</v>
      </c>
      <c r="H240" s="639">
        <v>15210</v>
      </c>
      <c r="I240" s="639"/>
      <c r="J240" s="639"/>
      <c r="K240" s="640">
        <f t="shared" si="7"/>
        <v>91777</v>
      </c>
      <c r="L240" s="639">
        <v>16757</v>
      </c>
      <c r="M240" s="639"/>
      <c r="N240" s="639">
        <v>124858</v>
      </c>
      <c r="O240" s="1503">
        <f>1-N241</f>
        <v>0.67215619961874351</v>
      </c>
    </row>
    <row r="241" spans="1:15" ht="12" customHeight="1" thickBot="1">
      <c r="A241" s="1519"/>
      <c r="B241" s="1514"/>
      <c r="C241" s="641" t="s">
        <v>6219</v>
      </c>
      <c r="D241" s="642">
        <f>D240/(D240+E240+G240+H240+I240+J240+L240+M240+N240)</f>
        <v>0.30583490439705285</v>
      </c>
      <c r="E241" s="642">
        <f>E240/(D240+E240+G240+H240+I240+J240+L240+M240+N240)</f>
        <v>8.1339964184998656E-2</v>
      </c>
      <c r="F241" s="643">
        <f t="shared" si="6"/>
        <v>0.38717486858205152</v>
      </c>
      <c r="G241" s="642">
        <f>G240/(D240+E240+G240+H240+I240+J240+L240+M240+N240)</f>
        <v>0.20104451668128326</v>
      </c>
      <c r="H241" s="642">
        <f>H240/(D240+E240+G240+H240+I240+J240+L240+M240+N240)</f>
        <v>3.9937402519653616E-2</v>
      </c>
      <c r="I241" s="642">
        <f>I240/(D240+E240+G240+H240+I240+J240+L240+M240+N240)</f>
        <v>0</v>
      </c>
      <c r="J241" s="642">
        <f>J240/(D240+E240+G240+H240+I240+J240+L240+M240+N240)</f>
        <v>0</v>
      </c>
      <c r="K241" s="643">
        <f t="shared" si="7"/>
        <v>0.24098191920093687</v>
      </c>
      <c r="L241" s="642">
        <f>L240/(D240+E240+G240+H240+I240+J240+L240+M240+N240)</f>
        <v>4.3999411835755134E-2</v>
      </c>
      <c r="M241" s="642">
        <f>M240/(D240+E240+G240+H240+I240+J240+L240+M240+N240)</f>
        <v>0</v>
      </c>
      <c r="N241" s="642">
        <f>N240/(D240+E240+G240+H240+I240+J240+L240+M240+N240)</f>
        <v>0.32784380038125649</v>
      </c>
      <c r="O241" s="1515"/>
    </row>
    <row r="242" spans="1:15" ht="12" customHeight="1">
      <c r="A242" s="1535" t="s">
        <v>14970</v>
      </c>
      <c r="B242" s="1536" t="s">
        <v>14937</v>
      </c>
      <c r="C242" s="632" t="s">
        <v>6218</v>
      </c>
      <c r="D242" s="633">
        <v>60579</v>
      </c>
      <c r="E242" s="633">
        <v>20194</v>
      </c>
      <c r="F242" s="634">
        <f t="shared" si="6"/>
        <v>80773</v>
      </c>
      <c r="G242" s="633">
        <v>80619</v>
      </c>
      <c r="H242" s="633">
        <v>10783</v>
      </c>
      <c r="I242" s="633">
        <v>3037</v>
      </c>
      <c r="J242" s="633">
        <v>4456</v>
      </c>
      <c r="K242" s="634">
        <f t="shared" si="7"/>
        <v>98895</v>
      </c>
      <c r="L242" s="633">
        <v>9914</v>
      </c>
      <c r="M242" s="633">
        <v>4103</v>
      </c>
      <c r="N242" s="633">
        <v>112730</v>
      </c>
      <c r="O242" s="1537">
        <f>1-N243</f>
        <v>0.63210025618850252</v>
      </c>
    </row>
    <row r="243" spans="1:15" ht="12" customHeight="1">
      <c r="A243" s="1517"/>
      <c r="B243" s="1502"/>
      <c r="C243" s="635" t="s">
        <v>6219</v>
      </c>
      <c r="D243" s="636">
        <f>D242/(D242+E242+G242+H242+I242+J242+L242+M242+N242)</f>
        <v>0.19770246234681724</v>
      </c>
      <c r="E243" s="636">
        <f>E242/(D242+E242+G242+H242+I242+J242+L242+M242+N242)</f>
        <v>6.5904084330075219E-2</v>
      </c>
      <c r="F243" s="637">
        <f t="shared" si="6"/>
        <v>0.26360654667689243</v>
      </c>
      <c r="G243" s="636">
        <f>G242/(D242+E242+G242+H242+I242+J242+L242+M242+N242)</f>
        <v>0.26310396031525873</v>
      </c>
      <c r="H243" s="636">
        <f>H242/(D242+E242+G242+H242+I242+J242+L242+M242+N242)</f>
        <v>3.5190835957769694E-2</v>
      </c>
      <c r="I243" s="636">
        <f>I242/(D242+E242+G242+H242+I242+J242+L242+M242+N242)</f>
        <v>9.9113946771535334E-3</v>
      </c>
      <c r="J243" s="636">
        <f>J242/(D242+E242+G242+H242+I242+J242+L242+M242+N242)</f>
        <v>1.4542369009350065E-2</v>
      </c>
      <c r="K243" s="637">
        <f t="shared" si="7"/>
        <v>0.322748559959532</v>
      </c>
      <c r="L243" s="636">
        <f>L242/(D242+E242+G242+H242+I242+J242+L242+M242+N242)</f>
        <v>3.2354812917122201E-2</v>
      </c>
      <c r="M243" s="636">
        <f>M242/(D242+E242+G242+H242+I242+J242+L242+M242+N242)</f>
        <v>1.339033663495586E-2</v>
      </c>
      <c r="N243" s="636">
        <f>N242/(D242+E242+G242+H242+I242+J242+L242+M242+N242)</f>
        <v>0.36789974381149748</v>
      </c>
      <c r="O243" s="1503"/>
    </row>
    <row r="244" spans="1:15" ht="12" customHeight="1">
      <c r="A244" s="1517"/>
      <c r="B244" s="1502" t="s">
        <v>14938</v>
      </c>
      <c r="C244" s="638" t="s">
        <v>6218</v>
      </c>
      <c r="D244" s="639">
        <v>86947</v>
      </c>
      <c r="E244" s="639">
        <v>29719</v>
      </c>
      <c r="F244" s="640">
        <f t="shared" si="6"/>
        <v>116666</v>
      </c>
      <c r="G244" s="639">
        <v>67385</v>
      </c>
      <c r="H244" s="639">
        <v>16674</v>
      </c>
      <c r="I244" s="639">
        <v>7999</v>
      </c>
      <c r="J244" s="639"/>
      <c r="K244" s="640">
        <f t="shared" si="7"/>
        <v>92058</v>
      </c>
      <c r="L244" s="639">
        <v>10385</v>
      </c>
      <c r="M244" s="639"/>
      <c r="N244" s="639">
        <v>86917</v>
      </c>
      <c r="O244" s="1503">
        <f>1-N245</f>
        <v>0.71598164861809122</v>
      </c>
    </row>
    <row r="245" spans="1:15" ht="12" customHeight="1">
      <c r="A245" s="1517"/>
      <c r="B245" s="1502"/>
      <c r="C245" s="635" t="s">
        <v>6219</v>
      </c>
      <c r="D245" s="636">
        <f>D244/(D244+E244+G244+H244+I244+J244+L244+M244+N244)</f>
        <v>0.28411638226817332</v>
      </c>
      <c r="E245" s="636">
        <f>E244/(D244+E244+G244+H244+I244+J244+L244+M244+N244)</f>
        <v>9.7112663629887658E-2</v>
      </c>
      <c r="F245" s="637">
        <f t="shared" si="6"/>
        <v>0.38122904589806095</v>
      </c>
      <c r="G245" s="636">
        <f>G244/(D244+E244+G244+H244+I244+J244+L244+M244+N244)</f>
        <v>0.22019370903125879</v>
      </c>
      <c r="H245" s="636">
        <f>H244/(D244+E244+G244+H244+I244+J244+L244+M244+N244)</f>
        <v>5.4485566585845649E-2</v>
      </c>
      <c r="I245" s="636">
        <f>I244/(D244+E244+G244+H244+I244+J244+L244+M244+N244)</f>
        <v>2.6138301974342051E-2</v>
      </c>
      <c r="J245" s="636">
        <f>J244/(D244+E244+G244+H244+I244+J244+L244+M244+N244)</f>
        <v>0</v>
      </c>
      <c r="K245" s="637">
        <f t="shared" si="7"/>
        <v>0.30081757759144645</v>
      </c>
      <c r="L245" s="636">
        <f>L244/(D244+E244+G244+H244+I244+J244+L244+M244+N244)</f>
        <v>3.3935025128583846E-2</v>
      </c>
      <c r="M245" s="636">
        <f>M244/(D244+E244+G244+H244+I244+J244+L244+M244+N244)</f>
        <v>0</v>
      </c>
      <c r="N245" s="636">
        <f>N244/(D244+E244+G244+H244+I244+J244+L244+M244+N244)</f>
        <v>0.28401835138190873</v>
      </c>
      <c r="O245" s="1503"/>
    </row>
    <row r="246" spans="1:15" ht="12" customHeight="1">
      <c r="A246" s="1517"/>
      <c r="B246" s="1502" t="s">
        <v>14939</v>
      </c>
      <c r="C246" s="638" t="s">
        <v>6218</v>
      </c>
      <c r="D246" s="639">
        <v>58469</v>
      </c>
      <c r="E246" s="639">
        <v>17886</v>
      </c>
      <c r="F246" s="640">
        <f t="shared" si="6"/>
        <v>76355</v>
      </c>
      <c r="G246" s="639">
        <v>67518</v>
      </c>
      <c r="H246" s="639">
        <v>13711</v>
      </c>
      <c r="I246" s="639"/>
      <c r="J246" s="639"/>
      <c r="K246" s="640">
        <f t="shared" si="7"/>
        <v>81229</v>
      </c>
      <c r="L246" s="639">
        <v>8522</v>
      </c>
      <c r="M246" s="639">
        <v>5574</v>
      </c>
      <c r="N246" s="639">
        <v>133373</v>
      </c>
      <c r="O246" s="1503">
        <f>1-N247</f>
        <v>0.56278745004966346</v>
      </c>
    </row>
    <row r="247" spans="1:15" ht="12" customHeight="1">
      <c r="A247" s="1517"/>
      <c r="B247" s="1502"/>
      <c r="C247" s="635" t="s">
        <v>6219</v>
      </c>
      <c r="D247" s="636">
        <f>D246/(D246+E246+G246+H246+I246+J246+L246+M246+N246)</f>
        <v>0.19166833304376615</v>
      </c>
      <c r="E247" s="636">
        <f>E246/(D246+E246+G246+H246+I246+J246+L246+M246+N246)</f>
        <v>5.8632434363864637E-2</v>
      </c>
      <c r="F247" s="637">
        <f t="shared" si="6"/>
        <v>0.2503007674076308</v>
      </c>
      <c r="G247" s="636">
        <f>G246/(D246+E246+G246+H246+I246+J246+L246+M246+N246)</f>
        <v>0.22133203082743</v>
      </c>
      <c r="H247" s="636">
        <f>H246/(D246+E246+G246+H246+I246+J246+L246+M246+N246)</f>
        <v>4.4946288022081407E-2</v>
      </c>
      <c r="I247" s="636">
        <f>I246/(D246+E246+G246+H246+I246+J246+L246+M246+N246)</f>
        <v>0</v>
      </c>
      <c r="J247" s="636">
        <f>J246/(D246+E246+G246+H246+I246+J246+L246+M246+N246)</f>
        <v>0</v>
      </c>
      <c r="K247" s="637">
        <f t="shared" si="7"/>
        <v>0.26627831884951142</v>
      </c>
      <c r="L247" s="636">
        <f>L246/(D246+E246+G246+H246+I246+J246+L246+M246+N246)</f>
        <v>2.793612913165909E-2</v>
      </c>
      <c r="M247" s="636">
        <f>M246/(D246+E246+G246+H246+I246+J246+L246+M246+N246)</f>
        <v>1.827223466086221E-2</v>
      </c>
      <c r="N247" s="636">
        <f>N246/(D246+E246+G246+H246+I246+J246+L246+M246+N246)</f>
        <v>0.43721254995033648</v>
      </c>
      <c r="O247" s="1503"/>
    </row>
    <row r="248" spans="1:15" ht="12" customHeight="1">
      <c r="A248" s="1517"/>
      <c r="B248" s="1502" t="s">
        <v>14940</v>
      </c>
      <c r="C248" s="638" t="s">
        <v>6218</v>
      </c>
      <c r="D248" s="639">
        <v>74667</v>
      </c>
      <c r="E248" s="639">
        <v>28202</v>
      </c>
      <c r="F248" s="640">
        <f t="shared" si="6"/>
        <v>102869</v>
      </c>
      <c r="G248" s="639">
        <v>67643</v>
      </c>
      <c r="H248" s="639">
        <v>16241</v>
      </c>
      <c r="I248" s="639"/>
      <c r="J248" s="639"/>
      <c r="K248" s="640">
        <f t="shared" si="7"/>
        <v>83884</v>
      </c>
      <c r="L248" s="639">
        <v>9909</v>
      </c>
      <c r="M248" s="639"/>
      <c r="N248" s="639">
        <v>107910</v>
      </c>
      <c r="O248" s="1503">
        <f>1-N249</f>
        <v>0.64569953902525512</v>
      </c>
    </row>
    <row r="249" spans="1:15" ht="12" customHeight="1" thickBot="1">
      <c r="A249" s="1519"/>
      <c r="B249" s="1514"/>
      <c r="C249" s="641" t="s">
        <v>6219</v>
      </c>
      <c r="D249" s="642">
        <f>D248/(D248+E248+G248+H248+I248+J248+L248+M248+N248)</f>
        <v>0.24515385524605018</v>
      </c>
      <c r="E249" s="642">
        <f>E248/(D248+E248+G248+H248+I248+J248+L248+M248+N248)</f>
        <v>9.2595511077840378E-2</v>
      </c>
      <c r="F249" s="643">
        <f t="shared" si="6"/>
        <v>0.33774936632389058</v>
      </c>
      <c r="G249" s="642">
        <f>G248/(D248+E248+G248+H248+I248+J248+L248+M248+N248)</f>
        <v>0.22209198481803974</v>
      </c>
      <c r="H249" s="642">
        <f>H248/(D248+E248+G248+H248+I248+J248+L248+M248+N248)</f>
        <v>5.3324008772966655E-2</v>
      </c>
      <c r="I249" s="642">
        <f>I248/(D248+E248+G248+H248+I248+J248+L248+M248+N248)</f>
        <v>0</v>
      </c>
      <c r="J249" s="642">
        <f>J248/(D248+E248+G248+H248+I248+J248+L248+M248+N248)</f>
        <v>0</v>
      </c>
      <c r="K249" s="643">
        <f t="shared" si="7"/>
        <v>0.27541599359100638</v>
      </c>
      <c r="L249" s="642">
        <f>L248/(D248+E248+G248+H248+I248+J248+L248+M248+N248)</f>
        <v>3.2534179110358143E-2</v>
      </c>
      <c r="M249" s="642">
        <f>M248/(D248+E248+G248+H248+I248+J248+L248+M248+N248)</f>
        <v>0</v>
      </c>
      <c r="N249" s="642">
        <f>N248/(D248+E248+G248+H248+I248+J248+L248+M248+N248)</f>
        <v>0.35430046097474488</v>
      </c>
      <c r="O249" s="1515"/>
    </row>
    <row r="250" spans="1:15" ht="12" customHeight="1">
      <c r="A250" s="1535" t="s">
        <v>14971</v>
      </c>
      <c r="B250" s="1536" t="s">
        <v>14937</v>
      </c>
      <c r="C250" s="632" t="s">
        <v>6218</v>
      </c>
      <c r="D250" s="633">
        <v>81972</v>
      </c>
      <c r="E250" s="633">
        <v>26223</v>
      </c>
      <c r="F250" s="634">
        <f t="shared" si="6"/>
        <v>108195</v>
      </c>
      <c r="G250" s="633">
        <v>88601</v>
      </c>
      <c r="H250" s="633">
        <v>9955</v>
      </c>
      <c r="I250" s="633">
        <v>3814</v>
      </c>
      <c r="J250" s="633">
        <v>3628</v>
      </c>
      <c r="K250" s="634">
        <f t="shared" si="7"/>
        <v>105998</v>
      </c>
      <c r="L250" s="633">
        <v>10010</v>
      </c>
      <c r="M250" s="633">
        <v>6003</v>
      </c>
      <c r="N250" s="633">
        <v>118452</v>
      </c>
      <c r="O250" s="1537">
        <f>1-N251</f>
        <v>0.6602630658123434</v>
      </c>
    </row>
    <row r="251" spans="1:15" ht="12" customHeight="1">
      <c r="A251" s="1517"/>
      <c r="B251" s="1502"/>
      <c r="C251" s="635" t="s">
        <v>6219</v>
      </c>
      <c r="D251" s="636">
        <f>D250/(D250+E250+G250+H250+I250+J250+L250+M250+N250)</f>
        <v>0.23510718239650316</v>
      </c>
      <c r="E251" s="636">
        <f>E250/(D250+E250+G250+H250+I250+J250+L250+M250+N250)</f>
        <v>7.5211238520269147E-2</v>
      </c>
      <c r="F251" s="637">
        <f t="shared" si="6"/>
        <v>0.31031842091677231</v>
      </c>
      <c r="G251" s="636">
        <f>G250/(D250+E250+G250+H250+I250+J250+L250+M250+N250)</f>
        <v>0.25412008329078928</v>
      </c>
      <c r="H251" s="636">
        <f>H250/(D250+E250+G250+H250+I250+J250+L250+M250+N250)</f>
        <v>2.8552334952876457E-2</v>
      </c>
      <c r="I251" s="636">
        <f>I250/(D250+E250+G250+H250+I250+J250+L250+M250+N250)</f>
        <v>1.0939086440007113E-2</v>
      </c>
      <c r="J251" s="636">
        <f>J250/(D250+E250+G250+H250+I250+J250+L250+M250+N250)</f>
        <v>1.0405612376598272E-2</v>
      </c>
      <c r="K251" s="637">
        <f t="shared" si="7"/>
        <v>0.30401711706027112</v>
      </c>
      <c r="L251" s="636">
        <f>L250/(D250+E250+G250+H250+I250+J250+L250+M250+N250)</f>
        <v>2.8710082659798426E-2</v>
      </c>
      <c r="M251" s="636">
        <f>M250/(D250+E250+G250+H250+I250+J250+L250+M250+N250)</f>
        <v>1.7217445175501493E-2</v>
      </c>
      <c r="N251" s="636">
        <f>N250/(D250+E250+G250+H250+I250+J250+L250+M250+N250)</f>
        <v>0.33973693418765666</v>
      </c>
      <c r="O251" s="1503"/>
    </row>
    <row r="252" spans="1:15" ht="12" customHeight="1">
      <c r="A252" s="1517"/>
      <c r="B252" s="1502" t="s">
        <v>14938</v>
      </c>
      <c r="C252" s="638" t="s">
        <v>6218</v>
      </c>
      <c r="D252" s="639">
        <v>107788</v>
      </c>
      <c r="E252" s="639">
        <v>36914</v>
      </c>
      <c r="F252" s="640">
        <f t="shared" si="6"/>
        <v>144702</v>
      </c>
      <c r="G252" s="639">
        <v>70851</v>
      </c>
      <c r="H252" s="639">
        <v>18188</v>
      </c>
      <c r="I252" s="639">
        <v>9497</v>
      </c>
      <c r="J252" s="639"/>
      <c r="K252" s="640">
        <f t="shared" si="7"/>
        <v>98536</v>
      </c>
      <c r="L252" s="639">
        <v>11005</v>
      </c>
      <c r="M252" s="639"/>
      <c r="N252" s="639">
        <v>97415</v>
      </c>
      <c r="O252" s="1503">
        <f>1-N253</f>
        <v>0.7229836943848853</v>
      </c>
    </row>
    <row r="253" spans="1:15" ht="12" customHeight="1">
      <c r="A253" s="1517"/>
      <c r="B253" s="1502"/>
      <c r="C253" s="635" t="s">
        <v>6219</v>
      </c>
      <c r="D253" s="636">
        <f>D252/(D252+E252+G252+H252+I252+J252+L252+M252+N252)</f>
        <v>0.30651371502994385</v>
      </c>
      <c r="E253" s="636">
        <f>E252/(D252+E252+G252+H252+I252+J252+L252+M252+N252)</f>
        <v>0.10497130734975459</v>
      </c>
      <c r="F253" s="637">
        <f t="shared" si="6"/>
        <v>0.41148502237969842</v>
      </c>
      <c r="G253" s="636">
        <f>G252/(D252+E252+G252+H252+I252+J252+L252+M252+N252)</f>
        <v>0.20147700322472403</v>
      </c>
      <c r="H253" s="636">
        <f>H252/(D252+E252+G252+H252+I252+J252+L252+M252+N252)</f>
        <v>5.1720705913131507E-2</v>
      </c>
      <c r="I253" s="636">
        <f>I252/(D252+E252+G252+H252+I252+J252+L252+M252+N252)</f>
        <v>2.7006352763196059E-2</v>
      </c>
      <c r="J253" s="636">
        <f>J252/(D252+E252+G252+H252+I252+J252+L252+M252+N252)</f>
        <v>0</v>
      </c>
      <c r="K253" s="637">
        <f t="shared" si="7"/>
        <v>0.28020406190105163</v>
      </c>
      <c r="L253" s="636">
        <f>L252/(D252+E252+G252+H252+I252+J252+L252+M252+N252)</f>
        <v>3.129461010413527E-2</v>
      </c>
      <c r="M253" s="636">
        <f>M252/(D252+E252+G252+H252+I252+J252+L252+M252+N252)</f>
        <v>0</v>
      </c>
      <c r="N253" s="636">
        <f>N252/(D252+E252+G252+H252+I252+J252+L252+M252+N252)</f>
        <v>0.2770163056151147</v>
      </c>
      <c r="O253" s="1503"/>
    </row>
    <row r="254" spans="1:15" ht="12" customHeight="1">
      <c r="A254" s="1517"/>
      <c r="B254" s="1502" t="s">
        <v>14939</v>
      </c>
      <c r="C254" s="638" t="s">
        <v>6218</v>
      </c>
      <c r="D254" s="639">
        <v>80840</v>
      </c>
      <c r="E254" s="639">
        <v>23454</v>
      </c>
      <c r="F254" s="640">
        <f t="shared" si="6"/>
        <v>104294</v>
      </c>
      <c r="G254" s="639">
        <v>70580</v>
      </c>
      <c r="H254" s="639">
        <v>14830</v>
      </c>
      <c r="I254" s="639"/>
      <c r="J254" s="639"/>
      <c r="K254" s="640">
        <f t="shared" si="7"/>
        <v>85410</v>
      </c>
      <c r="L254" s="639">
        <v>9673</v>
      </c>
      <c r="M254" s="639">
        <v>6621</v>
      </c>
      <c r="N254" s="639">
        <v>146961</v>
      </c>
      <c r="O254" s="1503">
        <f>1-N255</f>
        <v>0.58363152660790629</v>
      </c>
    </row>
    <row r="255" spans="1:15" ht="12" customHeight="1">
      <c r="A255" s="1517"/>
      <c r="B255" s="1502"/>
      <c r="C255" s="635" t="s">
        <v>6219</v>
      </c>
      <c r="D255" s="636">
        <f>D254/(D254+E254+G254+H254+I254+J254+L254+M254+N254)</f>
        <v>0.22903510039409677</v>
      </c>
      <c r="E255" s="636">
        <f>E254/(D254+E254+G254+H254+I254+J254+L254+M254+N254)</f>
        <v>6.6449644292963211E-2</v>
      </c>
      <c r="F255" s="637">
        <f t="shared" si="6"/>
        <v>0.29548474468705999</v>
      </c>
      <c r="G255" s="636">
        <f>G254/(D254+E254+G254+H254+I254+J254+L254+M254+N254)</f>
        <v>0.19996656835496474</v>
      </c>
      <c r="H255" s="636">
        <f>H254/(D254+E254+G254+H254+I254+J254+L254+M254+N254)</f>
        <v>4.2016211514651847E-2</v>
      </c>
      <c r="I255" s="636">
        <f>I254/(D254+E254+G254+H254+I254+J254+L254+M254+N254)</f>
        <v>0</v>
      </c>
      <c r="J255" s="636">
        <f>J254/(D254+E254+G254+H254+I254+J254+L254+M254+N254)</f>
        <v>0</v>
      </c>
      <c r="K255" s="637">
        <f t="shared" si="7"/>
        <v>0.24198277986961658</v>
      </c>
      <c r="L255" s="636">
        <f>L254/(D254+E254+G254+H254+I254+J254+L254+M254+N254)</f>
        <v>2.7405449358140748E-2</v>
      </c>
      <c r="M255" s="636">
        <f>M254/(D254+E254+G254+H254+I254+J254+L254+M254+N254)</f>
        <v>1.8758552693089001E-2</v>
      </c>
      <c r="N255" s="636">
        <f>N254/(D254+E254+G254+H254+I254+J254+L254+M254+N254)</f>
        <v>0.41636847339209371</v>
      </c>
      <c r="O255" s="1503"/>
    </row>
    <row r="256" spans="1:15" ht="12" customHeight="1">
      <c r="A256" s="1517"/>
      <c r="B256" s="1502" t="s">
        <v>14940</v>
      </c>
      <c r="C256" s="638" t="s">
        <v>6218</v>
      </c>
      <c r="D256" s="639">
        <v>100867</v>
      </c>
      <c r="E256" s="639">
        <v>32745</v>
      </c>
      <c r="F256" s="640">
        <f t="shared" si="6"/>
        <v>133612</v>
      </c>
      <c r="G256" s="639">
        <v>71515</v>
      </c>
      <c r="H256" s="639">
        <v>15119</v>
      </c>
      <c r="I256" s="639"/>
      <c r="J256" s="639"/>
      <c r="K256" s="640">
        <f t="shared" si="7"/>
        <v>86634</v>
      </c>
      <c r="L256" s="639">
        <v>11686</v>
      </c>
      <c r="M256" s="639"/>
      <c r="N256" s="639">
        <v>121472</v>
      </c>
      <c r="O256" s="1503">
        <f>1-N257</f>
        <v>0.65628006474176859</v>
      </c>
    </row>
    <row r="257" spans="1:15" ht="12" customHeight="1" thickBot="1">
      <c r="A257" s="1519"/>
      <c r="B257" s="1514"/>
      <c r="C257" s="641" t="s">
        <v>6219</v>
      </c>
      <c r="D257" s="642">
        <f>D256/(D256+E256+G256+H256+I256+J256+L256+M256+N256)</f>
        <v>0.2854155583977544</v>
      </c>
      <c r="E257" s="642">
        <f>E256/(D256+E256+G256+H256+I256+J256+L256+M256+N256)</f>
        <v>9.2655997102466303E-2</v>
      </c>
      <c r="F257" s="643">
        <f t="shared" si="6"/>
        <v>0.3780715555002207</v>
      </c>
      <c r="G257" s="642">
        <f>G256/(D256+E256+G256+H256+I256+J256+L256+M256+N256)</f>
        <v>0.20236047130196602</v>
      </c>
      <c r="H257" s="642">
        <f>H256/(D256+E256+G256+H256+I256+J256+L256+M256+N256)</f>
        <v>4.2781066428223789E-2</v>
      </c>
      <c r="I257" s="642">
        <f>I256/(D256+E256+G256+H256+I256+J256+L256+M256+N256)</f>
        <v>0</v>
      </c>
      <c r="J257" s="642">
        <f>J256/(D256+E256+G256+H256+I256+J256+L256+M256+N256)</f>
        <v>0</v>
      </c>
      <c r="K257" s="643">
        <f t="shared" si="7"/>
        <v>0.24514153773018982</v>
      </c>
      <c r="L257" s="642">
        <f>L256/(D256+E256+G256+H256+I256+J256+L256+M256+N256)</f>
        <v>3.3066971511358109E-2</v>
      </c>
      <c r="M257" s="642">
        <f>M256/(D256+E256+G256+H256+I256+J256+L256+M256+N256)</f>
        <v>0</v>
      </c>
      <c r="N257" s="642">
        <f>N256/(D256+E256+G256+H256+I256+J256+L256+M256+N256)</f>
        <v>0.34371993525823136</v>
      </c>
      <c r="O257" s="1515"/>
    </row>
    <row r="258" spans="1:15" ht="12" customHeight="1">
      <c r="A258" s="1535" t="s">
        <v>14972</v>
      </c>
      <c r="B258" s="1536" t="s">
        <v>14937</v>
      </c>
      <c r="C258" s="632" t="s">
        <v>6218</v>
      </c>
      <c r="D258" s="633">
        <v>68511</v>
      </c>
      <c r="E258" s="633">
        <v>22611</v>
      </c>
      <c r="F258" s="634">
        <f t="shared" ref="F258:F321" si="8">SUM(D258:E258)</f>
        <v>91122</v>
      </c>
      <c r="G258" s="633">
        <v>80141</v>
      </c>
      <c r="H258" s="633">
        <v>10227</v>
      </c>
      <c r="I258" s="633">
        <v>3332</v>
      </c>
      <c r="J258" s="633">
        <v>4077</v>
      </c>
      <c r="K258" s="634">
        <f t="shared" ref="K258:K321" si="9">SUM(G258:J258)</f>
        <v>97777</v>
      </c>
      <c r="L258" s="633">
        <v>12583</v>
      </c>
      <c r="M258" s="633">
        <v>4521</v>
      </c>
      <c r="N258" s="633">
        <v>118313</v>
      </c>
      <c r="O258" s="1537">
        <f>1-N259</f>
        <v>0.63519221993364494</v>
      </c>
    </row>
    <row r="259" spans="1:15" ht="12" customHeight="1">
      <c r="A259" s="1517"/>
      <c r="B259" s="1502"/>
      <c r="C259" s="635" t="s">
        <v>6219</v>
      </c>
      <c r="D259" s="636">
        <f>D258/(D258+E258+G258+H258+I258+J258+L258+M258+N258)</f>
        <v>0.21124767202358194</v>
      </c>
      <c r="E259" s="636">
        <f>E258/(D258+E258+G258+H258+I258+J258+L258+M258+N258)</f>
        <v>6.9719039455346021E-2</v>
      </c>
      <c r="F259" s="637">
        <f t="shared" si="8"/>
        <v>0.28096671147892793</v>
      </c>
      <c r="G259" s="636">
        <f>G258/(D258+E258+G258+H258+I258+J258+L258+M258+N258)</f>
        <v>0.2471077590991502</v>
      </c>
      <c r="H259" s="636">
        <f>H258/(D258+E258+G258+H258+I258+J258+L258+M258+N258)</f>
        <v>3.1534059374190605E-2</v>
      </c>
      <c r="I259" s="636">
        <f>I258/(D258+E258+G258+H258+I258+J258+L258+M258+N258)</f>
        <v>1.0273930364212681E-2</v>
      </c>
      <c r="J259" s="636">
        <f>J258/(D258+E258+G258+H258+I258+J258+L258+M258+N258)</f>
        <v>1.2571072657531544E-2</v>
      </c>
      <c r="K259" s="637">
        <f t="shared" si="9"/>
        <v>0.30148682149508504</v>
      </c>
      <c r="L259" s="636">
        <f>L258/(D258+E258+G258+H258+I258+J258+L258+M258+N258)</f>
        <v>3.8798579163531861E-2</v>
      </c>
      <c r="M259" s="636">
        <f>M258/(D258+E258+G258+H258+I258+J258+L258+M258+N258)</f>
        <v>1.3940107796100099E-2</v>
      </c>
      <c r="N259" s="636">
        <f>N258/(D258+E258+G258+H258+I258+J258+L258+M258+N258)</f>
        <v>0.36480778006635506</v>
      </c>
      <c r="O259" s="1503"/>
    </row>
    <row r="260" spans="1:15" ht="12" customHeight="1">
      <c r="A260" s="1517"/>
      <c r="B260" s="1502" t="s">
        <v>14938</v>
      </c>
      <c r="C260" s="638" t="s">
        <v>6218</v>
      </c>
      <c r="D260" s="639">
        <v>95742</v>
      </c>
      <c r="E260" s="639">
        <v>29402</v>
      </c>
      <c r="F260" s="640">
        <f t="shared" si="8"/>
        <v>125144</v>
      </c>
      <c r="G260" s="639">
        <v>51692</v>
      </c>
      <c r="H260" s="639">
        <v>24119</v>
      </c>
      <c r="I260" s="639">
        <v>10219</v>
      </c>
      <c r="J260" s="639"/>
      <c r="K260" s="640">
        <f t="shared" si="9"/>
        <v>86030</v>
      </c>
      <c r="L260" s="639">
        <v>14522</v>
      </c>
      <c r="M260" s="639"/>
      <c r="N260" s="639">
        <v>101988</v>
      </c>
      <c r="O260" s="1503">
        <f>1-N261</f>
        <v>0.68876112352144137</v>
      </c>
    </row>
    <row r="261" spans="1:15" ht="12" customHeight="1">
      <c r="A261" s="1517"/>
      <c r="B261" s="1502"/>
      <c r="C261" s="635" t="s">
        <v>6219</v>
      </c>
      <c r="D261" s="636">
        <f>D260/(D260+E260+G260+H260+I260+J260+L260+M260+N260)</f>
        <v>0.29217782986047536</v>
      </c>
      <c r="E261" s="636">
        <f>E260/(D260+E260+G260+H260+I260+J260+L260+M260+N260)</f>
        <v>8.9726687906641761E-2</v>
      </c>
      <c r="F261" s="637">
        <f t="shared" si="8"/>
        <v>0.38190451776711709</v>
      </c>
      <c r="G261" s="636">
        <f>G260/(D260+E260+G260+H260+I260+J260+L260+M260+N260)</f>
        <v>0.15774953919019544</v>
      </c>
      <c r="H261" s="636">
        <f>H260/(D260+E260+G260+H260+I260+J260+L260+M260+N260)</f>
        <v>7.3604448187888333E-2</v>
      </c>
      <c r="I261" s="636">
        <f>I260/(D260+E260+G260+H260+I260+J260+L260+M260+N260)</f>
        <v>3.1185532403168906E-2</v>
      </c>
      <c r="J261" s="636">
        <f>J260/(D260+E260+G260+H260+I260+J260+L260+M260+N260)</f>
        <v>0</v>
      </c>
      <c r="K261" s="637">
        <f t="shared" si="9"/>
        <v>0.26253951978125267</v>
      </c>
      <c r="L261" s="636">
        <f>L260/(D260+E260+G260+H260+I260+J260+L260+M260+N260)</f>
        <v>4.4317085973071615E-2</v>
      </c>
      <c r="M261" s="636">
        <f>M260/(D260+E260+G260+H260+I260+J260+L260+M260+N260)</f>
        <v>0</v>
      </c>
      <c r="N261" s="636">
        <f>N260/(D260+E260+G260+H260+I260+J260+L260+M260+N260)</f>
        <v>0.31123887647855863</v>
      </c>
      <c r="O261" s="1503"/>
    </row>
    <row r="262" spans="1:15" ht="12" customHeight="1">
      <c r="A262" s="1517"/>
      <c r="B262" s="1502" t="s">
        <v>14939</v>
      </c>
      <c r="C262" s="638" t="s">
        <v>6218</v>
      </c>
      <c r="D262" s="639">
        <v>75668</v>
      </c>
      <c r="E262" s="639">
        <v>22706</v>
      </c>
      <c r="F262" s="640">
        <f t="shared" si="8"/>
        <v>98374</v>
      </c>
      <c r="G262" s="639">
        <v>66646</v>
      </c>
      <c r="H262" s="639">
        <v>14354</v>
      </c>
      <c r="I262" s="639"/>
      <c r="J262" s="639"/>
      <c r="K262" s="640">
        <f t="shared" si="9"/>
        <v>81000</v>
      </c>
      <c r="L262" s="639">
        <v>12404</v>
      </c>
      <c r="M262" s="639">
        <v>6667</v>
      </c>
      <c r="N262" s="639">
        <v>130779</v>
      </c>
      <c r="O262" s="1503">
        <f>1-N263</f>
        <v>0.60276589799042601</v>
      </c>
    </row>
    <row r="263" spans="1:15" ht="12" customHeight="1">
      <c r="A263" s="1517"/>
      <c r="B263" s="1502"/>
      <c r="C263" s="635" t="s">
        <v>6219</v>
      </c>
      <c r="D263" s="636">
        <f>D262/(D262+E262+G262+H262+I262+J262+L262+M262+N262)</f>
        <v>0.22983743590989722</v>
      </c>
      <c r="E263" s="636">
        <f>E262/(D262+E262+G262+H262+I262+J262+L262+M262+N262)</f>
        <v>6.8968240468495617E-2</v>
      </c>
      <c r="F263" s="637">
        <f t="shared" si="8"/>
        <v>0.29880567637839284</v>
      </c>
      <c r="G263" s="636">
        <f>G262/(D262+E262+G262+H262+I262+J262+L262+M262+N262)</f>
        <v>0.20243360143853426</v>
      </c>
      <c r="H263" s="636">
        <f>H262/(D262+E262+G262+H262+I262+J262+L262+M262+N262)</f>
        <v>4.3599494569047215E-2</v>
      </c>
      <c r="I263" s="636">
        <f>I262/(D262+E262+G262+H262+I262+J262+L262+M262+N262)</f>
        <v>0</v>
      </c>
      <c r="J263" s="636">
        <f>J262/(D262+E262+G262+H262+I262+J262+L262+M262+N262)</f>
        <v>0</v>
      </c>
      <c r="K263" s="637">
        <f t="shared" si="9"/>
        <v>0.24603309600758147</v>
      </c>
      <c r="L263" s="636">
        <f>L262/(D262+E262+G262+H262+I262+J262+L262+M262+N262)</f>
        <v>3.7676475591086916E-2</v>
      </c>
      <c r="M263" s="636">
        <f>M262/(D262+E262+G262+H262+I262+J262+L262+M262+N262)</f>
        <v>2.0250650013364759E-2</v>
      </c>
      <c r="N263" s="636">
        <f>N262/(D262+E262+G262+H262+I262+J262+L262+M262+N262)</f>
        <v>0.39723410200957404</v>
      </c>
      <c r="O263" s="1503"/>
    </row>
    <row r="264" spans="1:15" ht="12" customHeight="1">
      <c r="A264" s="1517"/>
      <c r="B264" s="1502" t="s">
        <v>14940</v>
      </c>
      <c r="C264" s="638" t="s">
        <v>6218</v>
      </c>
      <c r="D264" s="639">
        <v>94282</v>
      </c>
      <c r="E264" s="639">
        <v>25714</v>
      </c>
      <c r="F264" s="640">
        <f t="shared" si="8"/>
        <v>119996</v>
      </c>
      <c r="G264" s="639">
        <v>74282</v>
      </c>
      <c r="H264" s="639">
        <v>14424</v>
      </c>
      <c r="I264" s="639"/>
      <c r="J264" s="639"/>
      <c r="K264" s="640">
        <f t="shared" si="9"/>
        <v>88706</v>
      </c>
      <c r="L264" s="639">
        <v>14305</v>
      </c>
      <c r="M264" s="639"/>
      <c r="N264" s="639">
        <v>107190</v>
      </c>
      <c r="O264" s="1503">
        <f>1-N265</f>
        <v>0.67537560910607908</v>
      </c>
    </row>
    <row r="265" spans="1:15" ht="12" customHeight="1" thickBot="1">
      <c r="A265" s="1519"/>
      <c r="B265" s="1514"/>
      <c r="C265" s="641" t="s">
        <v>6219</v>
      </c>
      <c r="D265" s="642">
        <f>D264/(D264+E264+G264+H264+I264+J264+L264+M264+N264)</f>
        <v>0.28553257600765602</v>
      </c>
      <c r="E265" s="642">
        <f>E264/(D264+E264+G264+H264+I264+J264+L264+M264+N264)</f>
        <v>7.7874723271259272E-2</v>
      </c>
      <c r="F265" s="643">
        <f t="shared" si="8"/>
        <v>0.3634072992789153</v>
      </c>
      <c r="G265" s="642">
        <f>G264/(D264+E264+G264+H264+I264+J264+L264+M264+N264)</f>
        <v>0.22496267379776316</v>
      </c>
      <c r="H265" s="642">
        <f>H264/(D264+E264+G264+H264+I264+J264+L264+M264+N264)</f>
        <v>4.3683013473774748E-2</v>
      </c>
      <c r="I265" s="642">
        <f>I264/(D264+E264+G264+H264+I264+J264+L264+M264+N264)</f>
        <v>0</v>
      </c>
      <c r="J265" s="642">
        <f>J264/(D264+E264+G264+H264+I264+J264+L264+M264+N264)</f>
        <v>0</v>
      </c>
      <c r="K265" s="643">
        <f t="shared" si="9"/>
        <v>0.26864568727153793</v>
      </c>
      <c r="L265" s="642">
        <f>L264/(D264+E264+G264+H264+I264+J264+L264+M264+N264)</f>
        <v>4.3322622555625884E-2</v>
      </c>
      <c r="M265" s="642">
        <f>M264/(D264+E264+G264+H264+I264+J264+L264+M264+N264)</f>
        <v>0</v>
      </c>
      <c r="N265" s="642">
        <f>N264/(D264+E264+G264+H264+I264+J264+L264+M264+N264)</f>
        <v>0.32462439089392092</v>
      </c>
      <c r="O265" s="1515"/>
    </row>
    <row r="266" spans="1:15" ht="12" customHeight="1">
      <c r="A266" s="1535" t="s">
        <v>14973</v>
      </c>
      <c r="B266" s="1536" t="s">
        <v>14937</v>
      </c>
      <c r="C266" s="632" t="s">
        <v>6218</v>
      </c>
      <c r="D266" s="633">
        <v>76776</v>
      </c>
      <c r="E266" s="633">
        <v>26782</v>
      </c>
      <c r="F266" s="634">
        <f t="shared" si="8"/>
        <v>103558</v>
      </c>
      <c r="G266" s="633">
        <v>109391</v>
      </c>
      <c r="H266" s="633">
        <v>13092</v>
      </c>
      <c r="I266" s="633">
        <v>3150</v>
      </c>
      <c r="J266" s="633">
        <v>4588</v>
      </c>
      <c r="K266" s="634">
        <f t="shared" si="9"/>
        <v>130221</v>
      </c>
      <c r="L266" s="633">
        <v>18215</v>
      </c>
      <c r="M266" s="633">
        <v>4595</v>
      </c>
      <c r="N266" s="633">
        <v>173595</v>
      </c>
      <c r="O266" s="1537">
        <f>1-N267</f>
        <v>0.59646337381213621</v>
      </c>
    </row>
    <row r="267" spans="1:15" ht="12" customHeight="1">
      <c r="A267" s="1517"/>
      <c r="B267" s="1502"/>
      <c r="C267" s="635" t="s">
        <v>6219</v>
      </c>
      <c r="D267" s="636">
        <f>D266/(D266+E266+G266+H266+I266+J266+L266+M266+N266)</f>
        <v>0.17847246759526156</v>
      </c>
      <c r="E267" s="636">
        <f>E266/(D266+E266+G266+H266+I266+J266+L266+M266+N266)</f>
        <v>6.2257080691053131E-2</v>
      </c>
      <c r="F267" s="637">
        <f t="shared" si="8"/>
        <v>0.24072954828631468</v>
      </c>
      <c r="G267" s="636">
        <f>G266/(D266+E266+G266+H266+I266+J266+L266+M266+N266)</f>
        <v>0.25428886244025811</v>
      </c>
      <c r="H267" s="636">
        <f>H266/(D266+E266+G266+H266+I266+J266+L266+M266+N266)</f>
        <v>3.0433488925669015E-2</v>
      </c>
      <c r="I267" s="636">
        <f>I266/(D266+E266+G266+H266+I266+J266+L266+M266+N266)</f>
        <v>7.3224480687333789E-3</v>
      </c>
      <c r="J267" s="636">
        <f>J266/(D266+E266+G266+H266+I266+J266+L266+M266+N266)</f>
        <v>1.0665203726777379E-2</v>
      </c>
      <c r="K267" s="637">
        <f t="shared" si="9"/>
        <v>0.30271000316143787</v>
      </c>
      <c r="L267" s="636">
        <f>L266/(D266+E266+G266+H266+I266+J266+L266+M266+N266)</f>
        <v>4.2342346530786827E-2</v>
      </c>
      <c r="M267" s="636">
        <f>M266/(D266+E266+G266+H266+I266+J266+L266+M266+N266)</f>
        <v>1.0681475833596786E-2</v>
      </c>
      <c r="N267" s="636">
        <f>N266/(D266+E266+G266+H266+I266+J266+L266+M266+N266)</f>
        <v>0.40353662618786379</v>
      </c>
      <c r="O267" s="1503"/>
    </row>
    <row r="268" spans="1:15" ht="12" customHeight="1">
      <c r="A268" s="1517"/>
      <c r="B268" s="1502" t="s">
        <v>14938</v>
      </c>
      <c r="C268" s="638" t="s">
        <v>6218</v>
      </c>
      <c r="D268" s="639">
        <v>118480</v>
      </c>
      <c r="E268" s="639">
        <v>33014</v>
      </c>
      <c r="F268" s="640">
        <f t="shared" si="8"/>
        <v>151494</v>
      </c>
      <c r="G268" s="639">
        <v>97349</v>
      </c>
      <c r="H268" s="639">
        <v>16593</v>
      </c>
      <c r="I268" s="639">
        <v>13422</v>
      </c>
      <c r="J268" s="639"/>
      <c r="K268" s="640">
        <f t="shared" si="9"/>
        <v>127364</v>
      </c>
      <c r="L268" s="639">
        <v>20925</v>
      </c>
      <c r="M268" s="639"/>
      <c r="N268" s="639">
        <v>131725</v>
      </c>
      <c r="O268" s="1503">
        <f>1-N269</f>
        <v>0.69473335372692979</v>
      </c>
    </row>
    <row r="269" spans="1:15" ht="12" customHeight="1">
      <c r="A269" s="1517"/>
      <c r="B269" s="1502"/>
      <c r="C269" s="635" t="s">
        <v>6219</v>
      </c>
      <c r="D269" s="636">
        <f>D268/(D268+E268+G268+H268+I268+J268+L268+M268+N268)</f>
        <v>0.2745719662207885</v>
      </c>
      <c r="E269" s="636">
        <f>E268/(D268+E268+G268+H268+I268+J268+L268+M268+N268)</f>
        <v>7.6508430898152527E-2</v>
      </c>
      <c r="F269" s="637">
        <f t="shared" si="8"/>
        <v>0.35108039711894101</v>
      </c>
      <c r="G269" s="636">
        <f>G268/(D268+E268+G268+H268+I268+J268+L268+M268+N268)</f>
        <v>0.22560184283953019</v>
      </c>
      <c r="H269" s="636">
        <f>H268/(D268+E268+G268+H268+I268+J268+L268+M268+N268)</f>
        <v>3.8453516504908365E-2</v>
      </c>
      <c r="I269" s="636">
        <f>I268/(D268+E268+G268+H268+I268+J268+L268+M268+N268)</f>
        <v>3.1104869434633888E-2</v>
      </c>
      <c r="J269" s="636">
        <f>J268/(D268+E268+G268+H268+I268+J268+L268+M268+N268)</f>
        <v>0</v>
      </c>
      <c r="K269" s="637">
        <f t="shared" si="9"/>
        <v>0.29516022877907244</v>
      </c>
      <c r="L269" s="636">
        <f>L268/(D268+E268+G268+H268+I268+J268+L268+M268+N268)</f>
        <v>4.8492727828916268E-2</v>
      </c>
      <c r="M269" s="636">
        <f>M268/(D268+E268+G268+H268+I268+J268+L268+M268+N268)</f>
        <v>0</v>
      </c>
      <c r="N269" s="636">
        <f>N268/(D268+E268+G268+H268+I268+J268+L268+M268+N268)</f>
        <v>0.30526664627307026</v>
      </c>
      <c r="O269" s="1503"/>
    </row>
    <row r="270" spans="1:15" ht="12" customHeight="1">
      <c r="A270" s="1517"/>
      <c r="B270" s="1502" t="s">
        <v>14939</v>
      </c>
      <c r="C270" s="638" t="s">
        <v>6218</v>
      </c>
      <c r="D270" s="639">
        <v>82559</v>
      </c>
      <c r="E270" s="639">
        <v>30074</v>
      </c>
      <c r="F270" s="640">
        <f t="shared" si="8"/>
        <v>112633</v>
      </c>
      <c r="G270" s="639">
        <v>86433</v>
      </c>
      <c r="H270" s="639">
        <v>16143</v>
      </c>
      <c r="I270" s="639"/>
      <c r="J270" s="639"/>
      <c r="K270" s="640">
        <f t="shared" si="9"/>
        <v>102576</v>
      </c>
      <c r="L270" s="639">
        <v>20835</v>
      </c>
      <c r="M270" s="639">
        <v>9323</v>
      </c>
      <c r="N270" s="639">
        <v>185470</v>
      </c>
      <c r="O270" s="1503">
        <f>1-N271</f>
        <v>0.56951236778642511</v>
      </c>
    </row>
    <row r="271" spans="1:15" ht="12" customHeight="1">
      <c r="A271" s="1517"/>
      <c r="B271" s="1502"/>
      <c r="C271" s="635" t="s">
        <v>6219</v>
      </c>
      <c r="D271" s="636">
        <f>D270/(D270+E270+G270+H270+I270+J270+L270+M270+N270)</f>
        <v>0.19162467476098849</v>
      </c>
      <c r="E271" s="636">
        <f>E270/(D270+E270+G270+H270+I270+J270+L270+M270+N270)</f>
        <v>6.9803661245436216E-2</v>
      </c>
      <c r="F271" s="637">
        <f t="shared" si="8"/>
        <v>0.26142833600642468</v>
      </c>
      <c r="G271" s="636">
        <f>G270/(D270+E270+G270+H270+I270+J270+L270+M270+N270)</f>
        <v>0.20061647444393124</v>
      </c>
      <c r="H271" s="636">
        <f>H270/(D270+E270+G270+H270+I270+J270+L270+M270+N270)</f>
        <v>3.7468926763485962E-2</v>
      </c>
      <c r="I271" s="636">
        <f>I270/(D270+E270+G270+H270+I270+J270+L270+M270+N270)</f>
        <v>0</v>
      </c>
      <c r="J271" s="636">
        <f>J270/(D270+E270+G270+H270+I270+J270+L270+M270+N270)</f>
        <v>0</v>
      </c>
      <c r="K271" s="637">
        <f t="shared" si="9"/>
        <v>0.2380854012074172</v>
      </c>
      <c r="L271" s="636">
        <f>L270/(D270+E270+G270+H270+I270+J270+L270+M270+N270)</f>
        <v>4.8359356322692802E-2</v>
      </c>
      <c r="M271" s="636">
        <f>M270/(D270+E270+G270+H270+I270+J270+L270+M270+N270)</f>
        <v>2.1639274249890331E-2</v>
      </c>
      <c r="N271" s="636">
        <f>N270/(D270+E270+G270+H270+I270+J270+L270+M270+N270)</f>
        <v>0.43048763221357494</v>
      </c>
      <c r="O271" s="1503"/>
    </row>
    <row r="272" spans="1:15" ht="12" customHeight="1">
      <c r="A272" s="1517"/>
      <c r="B272" s="1502" t="s">
        <v>14940</v>
      </c>
      <c r="C272" s="638" t="s">
        <v>6218</v>
      </c>
      <c r="D272" s="639">
        <v>94116</v>
      </c>
      <c r="E272" s="639">
        <v>36537</v>
      </c>
      <c r="F272" s="640">
        <f t="shared" si="8"/>
        <v>130653</v>
      </c>
      <c r="G272" s="639">
        <v>106006</v>
      </c>
      <c r="H272" s="639">
        <v>15997</v>
      </c>
      <c r="I272" s="639"/>
      <c r="J272" s="639"/>
      <c r="K272" s="640">
        <f t="shared" si="9"/>
        <v>122003</v>
      </c>
      <c r="L272" s="639">
        <v>22026</v>
      </c>
      <c r="M272" s="639"/>
      <c r="N272" s="639">
        <v>156090</v>
      </c>
      <c r="O272" s="1503">
        <f>1-N273</f>
        <v>0.63765054367507634</v>
      </c>
    </row>
    <row r="273" spans="1:15" ht="12" customHeight="1" thickBot="1">
      <c r="A273" s="1519"/>
      <c r="B273" s="1514"/>
      <c r="C273" s="641" t="s">
        <v>6219</v>
      </c>
      <c r="D273" s="642">
        <f>D272/(D272+E272+G272+H272+I272+J272+L272+M272+N272)</f>
        <v>0.21848216690035563</v>
      </c>
      <c r="E273" s="642">
        <f>E272/(D272+E272+G272+H272+I272+J272+L272+M272+N272)</f>
        <v>8.4817490458989911E-2</v>
      </c>
      <c r="F273" s="643">
        <f t="shared" si="8"/>
        <v>0.30329965735934555</v>
      </c>
      <c r="G273" s="642">
        <f>G272/(D272+E272+G272+H272+I272+J272+L272+M272+N272)</f>
        <v>0.24608377517573102</v>
      </c>
      <c r="H273" s="642">
        <f>H272/(D272+E272+G272+H272+I272+J272+L272+M272+N272)</f>
        <v>3.7135654127937748E-2</v>
      </c>
      <c r="I273" s="642">
        <f>I272/(D272+E272+G272+H272+I272+J272+L272+M272+N272)</f>
        <v>0</v>
      </c>
      <c r="J273" s="642">
        <f>J272/(D272+E272+G272+H272+I272+J272+L272+M272+N272)</f>
        <v>0</v>
      </c>
      <c r="K273" s="643">
        <f t="shared" si="9"/>
        <v>0.28321942930366878</v>
      </c>
      <c r="L273" s="642">
        <f>L272/(D272+E272+G272+H272+I272+J272+L272+M272+N272)</f>
        <v>5.1131457012062065E-2</v>
      </c>
      <c r="M273" s="642">
        <f>M272/(D272+E272+G272+H272+I272+J272+L272+M272+N272)</f>
        <v>0</v>
      </c>
      <c r="N273" s="642">
        <f>N272/(D272+E272+G272+H272+I272+J272+L272+M272+N272)</f>
        <v>0.3623494563249236</v>
      </c>
      <c r="O273" s="1515"/>
    </row>
    <row r="274" spans="1:15" ht="12" customHeight="1">
      <c r="A274" s="1535" t="s">
        <v>14974</v>
      </c>
      <c r="B274" s="1536" t="s">
        <v>14937</v>
      </c>
      <c r="C274" s="632" t="s">
        <v>6218</v>
      </c>
      <c r="D274" s="633">
        <v>55224</v>
      </c>
      <c r="E274" s="633">
        <v>20437</v>
      </c>
      <c r="F274" s="634">
        <f t="shared" si="8"/>
        <v>75661</v>
      </c>
      <c r="G274" s="633">
        <v>88770</v>
      </c>
      <c r="H274" s="633">
        <v>9019</v>
      </c>
      <c r="I274" s="633">
        <v>2617</v>
      </c>
      <c r="J274" s="633">
        <v>3684</v>
      </c>
      <c r="K274" s="634">
        <f t="shared" si="9"/>
        <v>104090</v>
      </c>
      <c r="L274" s="633">
        <v>11238</v>
      </c>
      <c r="M274" s="633">
        <v>3594</v>
      </c>
      <c r="N274" s="633">
        <v>154094</v>
      </c>
      <c r="O274" s="1537">
        <f>1-N275</f>
        <v>0.55806089876877452</v>
      </c>
    </row>
    <row r="275" spans="1:15" ht="12" customHeight="1">
      <c r="A275" s="1517"/>
      <c r="B275" s="1502"/>
      <c r="C275" s="635" t="s">
        <v>6219</v>
      </c>
      <c r="D275" s="636">
        <f>D274/(D274+E274+G274+H274+I274+J274+L274+M274+N274)</f>
        <v>0.15838153936164415</v>
      </c>
      <c r="E275" s="636">
        <f>E274/(D274+E274+G274+H274+I274+J274+L274+M274+N274)</f>
        <v>5.8612985657212839E-2</v>
      </c>
      <c r="F275" s="637">
        <f t="shared" si="8"/>
        <v>0.21699452501885699</v>
      </c>
      <c r="G275" s="636">
        <f>G274/(D274+E274+G274+H274+I274+J274+L274+M274+N274)</f>
        <v>0.25459092512554599</v>
      </c>
      <c r="H275" s="636">
        <f>H274/(D274+E274+G274+H274+I274+J274+L274+M274+N274)</f>
        <v>2.5866346217272719E-2</v>
      </c>
      <c r="I275" s="636">
        <f>I274/(D274+E274+G274+H274+I274+J274+L274+M274+N274)</f>
        <v>7.5055136989247932E-3</v>
      </c>
      <c r="J275" s="636">
        <f>J274/(D274+E274+G274+H274+I274+J274+L274+M274+N274)</f>
        <v>1.0565652451982781E-2</v>
      </c>
      <c r="K275" s="637">
        <f t="shared" si="9"/>
        <v>0.29852843749372626</v>
      </c>
      <c r="L275" s="636">
        <f>L274/(D274+E274+G274+H274+I274+J274+L274+M274+N274)</f>
        <v>3.2230402349452361E-2</v>
      </c>
      <c r="M275" s="636">
        <f>M274/(D274+E274+G274+H274+I274+J274+L274+M274+N274)</f>
        <v>1.0307533906738902E-2</v>
      </c>
      <c r="N275" s="636">
        <f>N274/(D274+E274+G274+H274+I274+J274+L274+M274+N274)</f>
        <v>0.44193910123122548</v>
      </c>
      <c r="O275" s="1503"/>
    </row>
    <row r="276" spans="1:15" ht="12" customHeight="1">
      <c r="A276" s="1517"/>
      <c r="B276" s="1502" t="s">
        <v>14938</v>
      </c>
      <c r="C276" s="638" t="s">
        <v>6218</v>
      </c>
      <c r="D276" s="639">
        <v>90619</v>
      </c>
      <c r="E276" s="639">
        <v>26799</v>
      </c>
      <c r="F276" s="640">
        <f t="shared" si="8"/>
        <v>117418</v>
      </c>
      <c r="G276" s="639">
        <v>83555</v>
      </c>
      <c r="H276" s="639">
        <v>10267</v>
      </c>
      <c r="I276" s="639">
        <v>10399</v>
      </c>
      <c r="J276" s="639"/>
      <c r="K276" s="640">
        <f t="shared" si="9"/>
        <v>104221</v>
      </c>
      <c r="L276" s="639">
        <v>12811</v>
      </c>
      <c r="M276" s="639"/>
      <c r="N276" s="639">
        <v>111371</v>
      </c>
      <c r="O276" s="1503">
        <f>1-N277</f>
        <v>0.67795188840469489</v>
      </c>
    </row>
    <row r="277" spans="1:15" ht="12" customHeight="1">
      <c r="A277" s="1517"/>
      <c r="B277" s="1502"/>
      <c r="C277" s="635" t="s">
        <v>6219</v>
      </c>
      <c r="D277" s="636">
        <f>D276/(D276+E276+G276+H276+I276+J276+L276+M276+N276)</f>
        <v>0.26204018842117743</v>
      </c>
      <c r="E277" s="636">
        <f>E276/(D276+E276+G276+H276+I276+J276+L276+M276+N276)</f>
        <v>7.7493847973373511E-2</v>
      </c>
      <c r="F277" s="637">
        <f t="shared" si="8"/>
        <v>0.33953403639455093</v>
      </c>
      <c r="G277" s="636">
        <f>G276/(D276+E276+G276+H276+I276+J276+L276+M276+N276)</f>
        <v>0.2416134358526521</v>
      </c>
      <c r="H277" s="636">
        <f>H276/(D276+E276+G276+H276+I276+J276+L276+M276+N276)</f>
        <v>2.9688769623591394E-2</v>
      </c>
      <c r="I277" s="636">
        <f>I276/(D276+E276+G276+H276+I276+J276+L276+M276+N276)</f>
        <v>3.0070469983025899E-2</v>
      </c>
      <c r="J277" s="636">
        <f>J276/(D276+E276+G276+H276+I276+J276+L276+M276+N276)</f>
        <v>0</v>
      </c>
      <c r="K277" s="637">
        <f t="shared" si="9"/>
        <v>0.30137267545926938</v>
      </c>
      <c r="L277" s="636">
        <f>L276/(D276+E276+G276+H276+I276+J276+L276+M276+N276)</f>
        <v>3.7045176550874588E-2</v>
      </c>
      <c r="M277" s="636">
        <f>M276/(D276+E276+G276+H276+I276+J276+L276+M276+N276)</f>
        <v>0</v>
      </c>
      <c r="N277" s="636">
        <f>N276/(D276+E276+G276+H276+I276+J276+L276+M276+N276)</f>
        <v>0.32204811159530511</v>
      </c>
      <c r="O277" s="1503"/>
    </row>
    <row r="278" spans="1:15" ht="12" customHeight="1">
      <c r="A278" s="1517"/>
      <c r="B278" s="1502" t="s">
        <v>14939</v>
      </c>
      <c r="C278" s="638" t="s">
        <v>6218</v>
      </c>
      <c r="D278" s="639">
        <v>66188</v>
      </c>
      <c r="E278" s="639">
        <v>21753</v>
      </c>
      <c r="F278" s="640">
        <f t="shared" si="8"/>
        <v>87941</v>
      </c>
      <c r="G278" s="639">
        <v>65334</v>
      </c>
      <c r="H278" s="639">
        <v>10335</v>
      </c>
      <c r="I278" s="639"/>
      <c r="J278" s="639"/>
      <c r="K278" s="640">
        <f t="shared" si="9"/>
        <v>75669</v>
      </c>
      <c r="L278" s="639">
        <v>12362</v>
      </c>
      <c r="M278" s="639">
        <v>7168</v>
      </c>
      <c r="N278" s="639">
        <v>160524</v>
      </c>
      <c r="O278" s="1503">
        <f>1-N279</f>
        <v>0.53290423204059778</v>
      </c>
    </row>
    <row r="279" spans="1:15" ht="12" customHeight="1">
      <c r="A279" s="1517"/>
      <c r="B279" s="1502"/>
      <c r="C279" s="635" t="s">
        <v>6219</v>
      </c>
      <c r="D279" s="636">
        <f>D278/(D278+E278+G278+H278+I278+J278+L278+M278+N278)</f>
        <v>0.19259509288141907</v>
      </c>
      <c r="E279" s="636">
        <f>E278/(D278+E278+G278+H278+I278+J278+L278+M278+N278)</f>
        <v>6.3297290376646956E-2</v>
      </c>
      <c r="F279" s="637">
        <f t="shared" si="8"/>
        <v>0.25589238325806601</v>
      </c>
      <c r="G279" s="636">
        <f>G278/(D278+E278+G278+H278+I278+J278+L278+M278+N278)</f>
        <v>0.19011010754690627</v>
      </c>
      <c r="H279" s="636">
        <f>H278/(D278+E278+G278+H278+I278+J278+L278+M278+N278)</f>
        <v>3.0072978257833234E-2</v>
      </c>
      <c r="I279" s="636">
        <f>I278/(D278+E278+G278+H278+I278+J278+L278+M278+N278)</f>
        <v>0</v>
      </c>
      <c r="J279" s="636">
        <f>J278/(D278+E278+G278+H278+I278+J278+L278+M278+N278)</f>
        <v>0</v>
      </c>
      <c r="K279" s="637">
        <f t="shared" si="9"/>
        <v>0.2201830858047395</v>
      </c>
      <c r="L279" s="636">
        <f>L278/(D278+E278+G278+H278+I278+J278+L278+M278+N278)</f>
        <v>3.5971181153684993E-2</v>
      </c>
      <c r="M279" s="636">
        <f>M278/(D278+E278+G278+H278+I278+J278+L278+M278+N278)</f>
        <v>2.0857581824107269E-2</v>
      </c>
      <c r="N279" s="636">
        <f>N278/(D278+E278+G278+H278+I278+J278+L278+M278+N278)</f>
        <v>0.46709576795940222</v>
      </c>
      <c r="O279" s="1503"/>
    </row>
    <row r="280" spans="1:15" ht="12" customHeight="1">
      <c r="A280" s="1517"/>
      <c r="B280" s="1502" t="s">
        <v>14940</v>
      </c>
      <c r="C280" s="638" t="s">
        <v>6218</v>
      </c>
      <c r="D280" s="639">
        <v>75503</v>
      </c>
      <c r="E280" s="639">
        <v>22310</v>
      </c>
      <c r="F280" s="640">
        <f t="shared" si="8"/>
        <v>97813</v>
      </c>
      <c r="G280" s="639">
        <v>88028</v>
      </c>
      <c r="H280" s="639">
        <v>9169</v>
      </c>
      <c r="I280" s="639"/>
      <c r="J280" s="639"/>
      <c r="K280" s="640">
        <f t="shared" si="9"/>
        <v>97197</v>
      </c>
      <c r="L280" s="639">
        <v>12563</v>
      </c>
      <c r="M280" s="639"/>
      <c r="N280" s="639">
        <v>134815</v>
      </c>
      <c r="O280" s="1503">
        <f>1-N281</f>
        <v>0.60625080318235458</v>
      </c>
    </row>
    <row r="281" spans="1:15" ht="12" customHeight="1" thickBot="1">
      <c r="A281" s="1519"/>
      <c r="B281" s="1514"/>
      <c r="C281" s="641" t="s">
        <v>6219</v>
      </c>
      <c r="D281" s="642">
        <f>D280/(D280+E280+G280+H280+I280+J280+L280+M280+N280)</f>
        <v>0.22051882659438998</v>
      </c>
      <c r="E281" s="642">
        <f>E280/(D280+E280+G280+H280+I280+J280+L280+M280+N280)</f>
        <v>6.515999392502074E-2</v>
      </c>
      <c r="F281" s="643">
        <f t="shared" si="8"/>
        <v>0.28567882051941074</v>
      </c>
      <c r="G281" s="642">
        <f>G280/(D280+E280+G280+H280+I280+J280+L280+M280+N280)</f>
        <v>0.25710013201397247</v>
      </c>
      <c r="H281" s="642">
        <f>H280/(D280+E280+G280+H280+I280+J280+L280+M280+N280)</f>
        <v>2.6779560031309508E-2</v>
      </c>
      <c r="I281" s="642">
        <f>I280/(D280+E280+G280+H280+I280+J280+L280+M280+N280)</f>
        <v>0</v>
      </c>
      <c r="J281" s="642">
        <f>J280/(D280+E280+G280+H280+I280+J280+L280+M280+N280)</f>
        <v>0</v>
      </c>
      <c r="K281" s="643">
        <f t="shared" si="9"/>
        <v>0.28387969204528196</v>
      </c>
      <c r="L281" s="642">
        <f>L280/(D280+E280+G280+H280+I280+J280+L280+M280+N280)</f>
        <v>3.6692290617661834E-2</v>
      </c>
      <c r="M281" s="642">
        <f>M280/(D280+E280+G280+H280+I280+J280+L280+M280+N280)</f>
        <v>0</v>
      </c>
      <c r="N281" s="642">
        <f>N280/(D280+E280+G280+H280+I280+J280+L280+M280+N280)</f>
        <v>0.39374919681764547</v>
      </c>
      <c r="O281" s="1515"/>
    </row>
    <row r="282" spans="1:15" ht="12" customHeight="1">
      <c r="A282" s="1538" t="s">
        <v>14975</v>
      </c>
      <c r="B282" s="1536" t="s">
        <v>14937</v>
      </c>
      <c r="C282" s="632" t="s">
        <v>6218</v>
      </c>
      <c r="D282" s="633">
        <v>55354</v>
      </c>
      <c r="E282" s="633">
        <v>15304</v>
      </c>
      <c r="F282" s="634">
        <f t="shared" si="8"/>
        <v>70658</v>
      </c>
      <c r="G282" s="633">
        <v>86089</v>
      </c>
      <c r="H282" s="633">
        <v>8040</v>
      </c>
      <c r="I282" s="633">
        <v>2922</v>
      </c>
      <c r="J282" s="633">
        <v>2672</v>
      </c>
      <c r="K282" s="634">
        <f t="shared" si="9"/>
        <v>99723</v>
      </c>
      <c r="L282" s="633">
        <v>8313</v>
      </c>
      <c r="M282" s="633">
        <v>3093</v>
      </c>
      <c r="N282" s="633">
        <v>118015</v>
      </c>
      <c r="O282" s="1537">
        <f>1-N283</f>
        <v>0.60635686219571583</v>
      </c>
    </row>
    <row r="283" spans="1:15" ht="12" customHeight="1">
      <c r="A283" s="1527"/>
      <c r="B283" s="1502"/>
      <c r="C283" s="635" t="s">
        <v>6219</v>
      </c>
      <c r="D283" s="636">
        <f>D282/(D282+E282+G282+H282+I282+J282+L282+M282+N282)</f>
        <v>0.18463519256042321</v>
      </c>
      <c r="E283" s="636">
        <f>E282/(D282+E282+G282+H282+I282+J282+L282+M282+N282)</f>
        <v>5.1047024369417146E-2</v>
      </c>
      <c r="F283" s="637">
        <f t="shared" si="8"/>
        <v>0.23568221692984037</v>
      </c>
      <c r="G283" s="636">
        <f>G282/(D282+E282+G282+H282+I282+J282+L282+M282+N282)</f>
        <v>0.28715285421711662</v>
      </c>
      <c r="H283" s="636">
        <f>H282/(D282+E282+G282+H282+I282+J282+L282+M282+N282)</f>
        <v>2.6817699681789983E-2</v>
      </c>
      <c r="I283" s="636">
        <f>I282/(D282+E282+G282+H282+I282+J282+L282+M282+N282)</f>
        <v>9.7464326455460604E-3</v>
      </c>
      <c r="J283" s="636">
        <f>J282/(D282+E282+G282+H282+I282+J282+L282+M282+N282)</f>
        <v>8.912548948972988E-3</v>
      </c>
      <c r="K283" s="637">
        <f t="shared" si="9"/>
        <v>0.33262953549342567</v>
      </c>
      <c r="L283" s="636">
        <f>L282/(D282+E282+G282+H282+I282+J282+L282+M282+N282)</f>
        <v>2.7728300678447775E-2</v>
      </c>
      <c r="M283" s="636">
        <f>M282/(D282+E282+G282+H282+I282+J282+L282+M282+N282)</f>
        <v>1.0316809094002042E-2</v>
      </c>
      <c r="N283" s="636">
        <f>N282/(D282+E282+G282+H282+I282+J282+L282+M282+N282)</f>
        <v>0.39364313780428417</v>
      </c>
      <c r="O283" s="1503"/>
    </row>
    <row r="284" spans="1:15" ht="12" customHeight="1">
      <c r="A284" s="1527"/>
      <c r="B284" s="1502" t="s">
        <v>14938</v>
      </c>
      <c r="C284" s="638" t="s">
        <v>6218</v>
      </c>
      <c r="D284" s="639">
        <v>78204</v>
      </c>
      <c r="E284" s="639">
        <v>17622</v>
      </c>
      <c r="F284" s="640">
        <f t="shared" si="8"/>
        <v>95826</v>
      </c>
      <c r="G284" s="639">
        <v>77887</v>
      </c>
      <c r="H284" s="639">
        <v>9570</v>
      </c>
      <c r="I284" s="639">
        <v>13386</v>
      </c>
      <c r="J284" s="639"/>
      <c r="K284" s="640">
        <f t="shared" si="9"/>
        <v>100843</v>
      </c>
      <c r="L284" s="639">
        <v>10060</v>
      </c>
      <c r="M284" s="639"/>
      <c r="N284" s="639">
        <v>92614</v>
      </c>
      <c r="O284" s="1503">
        <f>1-N285</f>
        <v>0.69060910059697411</v>
      </c>
    </row>
    <row r="285" spans="1:15" ht="12" customHeight="1">
      <c r="A285" s="1527"/>
      <c r="B285" s="1502"/>
      <c r="C285" s="635" t="s">
        <v>6219</v>
      </c>
      <c r="D285" s="636">
        <f>D284/(D284+E284+G284+H284+I284+J284+L284+M284+N284)</f>
        <v>0.26125214219139914</v>
      </c>
      <c r="E285" s="636">
        <f>E284/(D284+E284+G284+H284+I284+J284+L284+M284+N284)</f>
        <v>5.8868922941241318E-2</v>
      </c>
      <c r="F285" s="637">
        <f t="shared" si="8"/>
        <v>0.32012106513264044</v>
      </c>
      <c r="G285" s="636">
        <f>G284/(D284+E284+G284+H284+I284+J284+L284+M284+N284)</f>
        <v>0.26019315634573048</v>
      </c>
      <c r="H285" s="636">
        <f>H284/(D284+E284+G284+H284+I284+J284+L284+M284+N284)</f>
        <v>3.1970014331385736E-2</v>
      </c>
      <c r="I285" s="636">
        <f>I284/(D284+E284+G284+H284+I284+J284+L284+M284+N284)</f>
        <v>4.4717932271674969E-2</v>
      </c>
      <c r="J285" s="636">
        <f>J284/(D284+E284+G284+H284+I284+J284+L284+M284+N284)</f>
        <v>0</v>
      </c>
      <c r="K285" s="637">
        <f t="shared" si="9"/>
        <v>0.3368811029487912</v>
      </c>
      <c r="L285" s="636">
        <f>L284/(D284+E284+G284+H284+I284+J284+L284+M284+N284)</f>
        <v>3.3606932515542372E-2</v>
      </c>
      <c r="M285" s="636">
        <f>M284/(D284+E284+G284+H284+I284+J284+L284+M284+N284)</f>
        <v>0</v>
      </c>
      <c r="N285" s="636">
        <f>N284/(D284+E284+G284+H284+I284+J284+L284+M284+N284)</f>
        <v>0.30939089940302594</v>
      </c>
      <c r="O285" s="1503"/>
    </row>
    <row r="286" spans="1:15" ht="12" customHeight="1">
      <c r="A286" s="1527"/>
      <c r="B286" s="1502" t="s">
        <v>14939</v>
      </c>
      <c r="C286" s="638" t="s">
        <v>6218</v>
      </c>
      <c r="D286" s="639">
        <v>85782</v>
      </c>
      <c r="E286" s="639">
        <v>15323</v>
      </c>
      <c r="F286" s="640">
        <f t="shared" si="8"/>
        <v>101105</v>
      </c>
      <c r="G286" s="639">
        <v>60029</v>
      </c>
      <c r="H286" s="639">
        <v>7925</v>
      </c>
      <c r="I286" s="639"/>
      <c r="J286" s="639"/>
      <c r="K286" s="640">
        <f t="shared" si="9"/>
        <v>67954</v>
      </c>
      <c r="L286" s="639">
        <v>8849</v>
      </c>
      <c r="M286" s="639">
        <v>5106</v>
      </c>
      <c r="N286" s="639">
        <v>115823</v>
      </c>
      <c r="O286" s="1503">
        <f>1-N287</f>
        <v>0.61242081803792703</v>
      </c>
    </row>
    <row r="287" spans="1:15" ht="12" customHeight="1">
      <c r="A287" s="1527"/>
      <c r="B287" s="1502"/>
      <c r="C287" s="635" t="s">
        <v>6219</v>
      </c>
      <c r="D287" s="636">
        <f>D286/(D286+E286+G286+H286+I286+J286+L286+M286+N286)</f>
        <v>0.2870528080525504</v>
      </c>
      <c r="E287" s="636">
        <f>E286/(D286+E286+G286+H286+I286+J286+L286+M286+N286)</f>
        <v>5.1275444473073951E-2</v>
      </c>
      <c r="F287" s="637">
        <f t="shared" si="8"/>
        <v>0.33832825252562437</v>
      </c>
      <c r="G287" s="636">
        <f>G286/(D286+E286+G286+H286+I286+J286+L286+M286+N286)</f>
        <v>0.2008753936092251</v>
      </c>
      <c r="H287" s="636">
        <f>H286/(D286+E286+G286+H286+I286+J286+L286+M286+N286)</f>
        <v>2.6519473826868829E-2</v>
      </c>
      <c r="I287" s="636">
        <f>I286/(D286+E286+G286+H286+I286+J286+L286+M286+N286)</f>
        <v>0</v>
      </c>
      <c r="J287" s="636">
        <f>J286/(D286+E286+G286+H286+I286+J286+L286+M286+N286)</f>
        <v>0</v>
      </c>
      <c r="K287" s="637">
        <f t="shared" si="9"/>
        <v>0.22739486743609394</v>
      </c>
      <c r="L287" s="636">
        <f>L286/(D286+E286+G286+H286+I286+J286+L286+M286+N286)</f>
        <v>2.9611460428260222E-2</v>
      </c>
      <c r="M287" s="636">
        <f>M286/(D286+E286+G286+H286+I286+J286+L286+M286+N286)</f>
        <v>1.7086237647948546E-2</v>
      </c>
      <c r="N287" s="636">
        <f>N286/(D286+E286+G286+H286+I286+J286+L286+M286+N286)</f>
        <v>0.38757918196207297</v>
      </c>
      <c r="O287" s="1503"/>
    </row>
    <row r="288" spans="1:15" ht="12" customHeight="1">
      <c r="A288" s="1527"/>
      <c r="B288" s="1502" t="s">
        <v>14940</v>
      </c>
      <c r="C288" s="638" t="s">
        <v>6218</v>
      </c>
      <c r="D288" s="639">
        <v>75423</v>
      </c>
      <c r="E288" s="639">
        <v>22367</v>
      </c>
      <c r="F288" s="640">
        <f t="shared" si="8"/>
        <v>97790</v>
      </c>
      <c r="G288" s="639">
        <v>88225</v>
      </c>
      <c r="H288" s="639">
        <v>8033</v>
      </c>
      <c r="I288" s="639"/>
      <c r="J288" s="639"/>
      <c r="K288" s="640">
        <f t="shared" si="9"/>
        <v>96258</v>
      </c>
      <c r="L288" s="639">
        <v>9855</v>
      </c>
      <c r="M288" s="639"/>
      <c r="N288" s="639">
        <v>94003</v>
      </c>
      <c r="O288" s="1503">
        <f>1-N289</f>
        <v>0.68445415668029508</v>
      </c>
    </row>
    <row r="289" spans="1:15" ht="12" customHeight="1" thickBot="1">
      <c r="A289" s="1528"/>
      <c r="B289" s="1514"/>
      <c r="C289" s="641" t="s">
        <v>6219</v>
      </c>
      <c r="D289" s="642">
        <f>D288/(D288+E288+G288+H288+I288+J288+L288+M288+N288)</f>
        <v>0.25317717669331935</v>
      </c>
      <c r="E289" s="642">
        <f>E288/(D288+E288+G288+H288+I288+J288+L288+M288+N288)</f>
        <v>7.508073016320585E-2</v>
      </c>
      <c r="F289" s="643">
        <f t="shared" si="8"/>
        <v>0.32825790685652523</v>
      </c>
      <c r="G289" s="642">
        <f>G288/(D288+E288+G288+H288+I288+J288+L288+M288+N288)</f>
        <v>0.29615046356904529</v>
      </c>
      <c r="H289" s="642">
        <f>H288/(D288+E288+G288+H288+I288+J288+L288+M288+N288)</f>
        <v>2.6964881539814571E-2</v>
      </c>
      <c r="I289" s="642">
        <f>I288/(D288+E288+G288+H288+I288+J288+L288+M288+N288)</f>
        <v>0</v>
      </c>
      <c r="J289" s="642">
        <f>J288/(D288+E288+G288+H288+I288+J288+L288+M288+N288)</f>
        <v>0</v>
      </c>
      <c r="K289" s="643">
        <f t="shared" si="9"/>
        <v>0.32311534510885986</v>
      </c>
      <c r="L289" s="642">
        <f>L288/(D288+E288+G288+H288+I288+J288+L288+M288+N288)</f>
        <v>3.308090471491007E-2</v>
      </c>
      <c r="M289" s="642">
        <f>M288/(D288+E288+G288+H288+I288+J288+L288+M288+N288)</f>
        <v>0</v>
      </c>
      <c r="N289" s="642">
        <f>N288/(D288+E288+G288+H288+I288+J288+L288+M288+N288)</f>
        <v>0.31554584331970487</v>
      </c>
      <c r="O289" s="1515"/>
    </row>
    <row r="290" spans="1:15" ht="12" customHeight="1">
      <c r="A290" s="1538" t="s">
        <v>14976</v>
      </c>
      <c r="B290" s="1536" t="s">
        <v>14937</v>
      </c>
      <c r="C290" s="632" t="s">
        <v>6218</v>
      </c>
      <c r="D290" s="633">
        <v>44813</v>
      </c>
      <c r="E290" s="633">
        <v>16167</v>
      </c>
      <c r="F290" s="634">
        <f t="shared" si="8"/>
        <v>60980</v>
      </c>
      <c r="G290" s="633">
        <v>73364</v>
      </c>
      <c r="H290" s="633">
        <v>9979</v>
      </c>
      <c r="I290" s="633">
        <v>2512</v>
      </c>
      <c r="J290" s="633">
        <v>2424</v>
      </c>
      <c r="K290" s="634">
        <f t="shared" si="9"/>
        <v>88279</v>
      </c>
      <c r="L290" s="633">
        <v>8046</v>
      </c>
      <c r="M290" s="633">
        <v>2509</v>
      </c>
      <c r="N290" s="633">
        <v>88866</v>
      </c>
      <c r="O290" s="1537">
        <f>1-N291</f>
        <v>0.64264918771111468</v>
      </c>
    </row>
    <row r="291" spans="1:15" ht="12" customHeight="1">
      <c r="A291" s="1527"/>
      <c r="B291" s="1502"/>
      <c r="C291" s="635" t="s">
        <v>6219</v>
      </c>
      <c r="D291" s="636">
        <f>D290/(D290+E290+G290+H290+I290+J290+L290+M290+N290)</f>
        <v>0.18020347434453918</v>
      </c>
      <c r="E291" s="636">
        <f>E290/(D290+E290+G290+H290+I290+J290+L290+M290+N290)</f>
        <v>6.5011259449895442E-2</v>
      </c>
      <c r="F291" s="637">
        <f t="shared" si="8"/>
        <v>0.24521473379443462</v>
      </c>
      <c r="G291" s="636">
        <f>G290/(D290+E290+G290+H290+I290+J290+L290+M290+N290)</f>
        <v>0.29501367218915875</v>
      </c>
      <c r="H291" s="636">
        <f>H290/(D290+E290+G290+H290+I290+J290+L290+M290+N290)</f>
        <v>4.0127875180955445E-2</v>
      </c>
      <c r="I291" s="636">
        <f>I290/(D290+E290+G290+H290+I290+J290+L290+M290+N290)</f>
        <v>1.0101335049059032E-2</v>
      </c>
      <c r="J291" s="636">
        <f>J290/(D290+E290+G290+H290+I290+J290+L290+M290+N290)</f>
        <v>9.7474666237735239E-3</v>
      </c>
      <c r="K291" s="637">
        <f t="shared" si="9"/>
        <v>0.35499034904294674</v>
      </c>
      <c r="L291" s="636">
        <f>L290/(D290+E290+G290+H290+I290+J290+L290+M290+N290)</f>
        <v>3.2354833520990833E-2</v>
      </c>
      <c r="M291" s="636">
        <f>M290/(D290+E290+G290+H290+I290+J290+L290+M290+N290)</f>
        <v>1.008927135274248E-2</v>
      </c>
      <c r="N291" s="636">
        <f>N290/(D290+E290+G290+H290+I290+J290+L290+M290+N290)</f>
        <v>0.35735081228888532</v>
      </c>
      <c r="O291" s="1503"/>
    </row>
    <row r="292" spans="1:15" ht="12" customHeight="1">
      <c r="A292" s="1527"/>
      <c r="B292" s="1502" t="s">
        <v>14938</v>
      </c>
      <c r="C292" s="638" t="s">
        <v>6218</v>
      </c>
      <c r="D292" s="639">
        <v>66425</v>
      </c>
      <c r="E292" s="639">
        <v>21536</v>
      </c>
      <c r="F292" s="640">
        <f t="shared" si="8"/>
        <v>87961</v>
      </c>
      <c r="G292" s="639">
        <v>64341</v>
      </c>
      <c r="H292" s="639">
        <v>11390</v>
      </c>
      <c r="I292" s="639">
        <v>9566</v>
      </c>
      <c r="J292" s="639"/>
      <c r="K292" s="640">
        <f t="shared" si="9"/>
        <v>85297</v>
      </c>
      <c r="L292" s="639">
        <v>11259</v>
      </c>
      <c r="M292" s="639"/>
      <c r="N292" s="639">
        <v>67829</v>
      </c>
      <c r="O292" s="1503">
        <f>1-N293</f>
        <v>0.73120635952224333</v>
      </c>
    </row>
    <row r="293" spans="1:15" ht="12" customHeight="1">
      <c r="A293" s="1527"/>
      <c r="B293" s="1502"/>
      <c r="C293" s="635" t="s">
        <v>6219</v>
      </c>
      <c r="D293" s="636">
        <f>D292/(D292+E292+G292+H292+I292+J292+L292+M292+N292)</f>
        <v>0.26322985107748886</v>
      </c>
      <c r="E293" s="636">
        <f>E292/(D292+E292+G292+H292+I292+J292+L292+M292+N292)</f>
        <v>8.5343139974479482E-2</v>
      </c>
      <c r="F293" s="637">
        <f t="shared" si="8"/>
        <v>0.34857299105196837</v>
      </c>
      <c r="G293" s="636">
        <f>G292/(D292+E292+G292+H292+I292+J292+L292+M292+N292)</f>
        <v>0.2549713488622764</v>
      </c>
      <c r="H293" s="636">
        <f>H292/(D292+E292+G292+H292+I292+J292+L292+M292+N292)</f>
        <v>4.5136439650321387E-2</v>
      </c>
      <c r="I293" s="636">
        <f>I292/(D292+E292+G292+H292+I292+J292+L292+M292+N292)</f>
        <v>3.7908268805528916E-2</v>
      </c>
      <c r="J293" s="636">
        <f>J292/(D292+E292+G292+H292+I292+J292+L292+M292+N292)</f>
        <v>0</v>
      </c>
      <c r="K293" s="637">
        <f t="shared" si="9"/>
        <v>0.33801605731812667</v>
      </c>
      <c r="L293" s="636">
        <f>L292/(D292+E292+G292+H292+I292+J292+L292+M292+N292)</f>
        <v>4.4617311152148238E-2</v>
      </c>
      <c r="M293" s="636">
        <f>M292/(D292+E292+G292+H292+I292+J292+L292+M292+N292)</f>
        <v>0</v>
      </c>
      <c r="N293" s="636">
        <f>N292/(D292+E292+G292+H292+I292+J292+L292+M292+N292)</f>
        <v>0.26879364047775672</v>
      </c>
      <c r="O293" s="1503"/>
    </row>
    <row r="294" spans="1:15" ht="12" customHeight="1">
      <c r="A294" s="1527"/>
      <c r="B294" s="1502" t="s">
        <v>14939</v>
      </c>
      <c r="C294" s="638" t="s">
        <v>6218</v>
      </c>
      <c r="D294" s="639">
        <v>54855</v>
      </c>
      <c r="E294" s="639">
        <v>18724</v>
      </c>
      <c r="F294" s="640">
        <f t="shared" si="8"/>
        <v>73579</v>
      </c>
      <c r="G294" s="639">
        <v>59148</v>
      </c>
      <c r="H294" s="639">
        <v>10663</v>
      </c>
      <c r="I294" s="639"/>
      <c r="J294" s="639"/>
      <c r="K294" s="640">
        <f t="shared" si="9"/>
        <v>69811</v>
      </c>
      <c r="L294" s="639">
        <v>10868</v>
      </c>
      <c r="M294" s="639">
        <v>5398</v>
      </c>
      <c r="N294" s="639">
        <v>94430</v>
      </c>
      <c r="O294" s="1503">
        <f>1-N295</f>
        <v>0.62835417929362491</v>
      </c>
    </row>
    <row r="295" spans="1:15" ht="12" customHeight="1">
      <c r="A295" s="1527"/>
      <c r="B295" s="1502"/>
      <c r="C295" s="635" t="s">
        <v>6219</v>
      </c>
      <c r="D295" s="636">
        <f>D294/(D294+E294+G294+H294+I294+J294+L294+M294+N294)</f>
        <v>0.21589146981730595</v>
      </c>
      <c r="E295" s="636">
        <f>E294/(D294+E294+G294+H294+I294+J294+L294+M294+N294)</f>
        <v>7.3691584739025373E-2</v>
      </c>
      <c r="F295" s="637">
        <f t="shared" si="8"/>
        <v>0.28958305455633132</v>
      </c>
      <c r="G295" s="636">
        <f>G294/(D294+E294+G294+H294+I294+J294+L294+M294+N294)</f>
        <v>0.2327873239769212</v>
      </c>
      <c r="H295" s="636">
        <f>H294/(D294+E294+G294+H294+I294+J294+L294+M294+N294)</f>
        <v>4.1966105964122383E-2</v>
      </c>
      <c r="I295" s="636">
        <f>I294/(D294+E294+G294+H294+I294+J294+L294+M294+N294)</f>
        <v>0</v>
      </c>
      <c r="J295" s="636">
        <f>J294/(D294+E294+G294+H294+I294+J294+L294+M294+N294)</f>
        <v>0</v>
      </c>
      <c r="K295" s="637">
        <f t="shared" si="9"/>
        <v>0.27475342994104357</v>
      </c>
      <c r="L295" s="636">
        <f>L294/(D294+E294+G294+H294+I294+J294+L294+M294+N294)</f>
        <v>4.2772919405240743E-2</v>
      </c>
      <c r="M295" s="636">
        <f>M294/(D294+E294+G294+H294+I294+J294+L294+M294+N294)</f>
        <v>2.1244775391009343E-2</v>
      </c>
      <c r="N295" s="636">
        <f>N294/(D294+E294+G294+H294+I294+J294+L294+M294+N294)</f>
        <v>0.37164582070637503</v>
      </c>
      <c r="O295" s="1503"/>
    </row>
    <row r="296" spans="1:15" ht="12" customHeight="1">
      <c r="A296" s="1527"/>
      <c r="B296" s="1502" t="s">
        <v>14940</v>
      </c>
      <c r="C296" s="638" t="s">
        <v>6218</v>
      </c>
      <c r="D296" s="639">
        <v>70869</v>
      </c>
      <c r="E296" s="639">
        <v>21299</v>
      </c>
      <c r="F296" s="640">
        <f t="shared" si="8"/>
        <v>92168</v>
      </c>
      <c r="G296" s="639">
        <v>62356</v>
      </c>
      <c r="H296" s="639">
        <v>11369</v>
      </c>
      <c r="I296" s="639"/>
      <c r="J296" s="639"/>
      <c r="K296" s="640">
        <f t="shared" si="9"/>
        <v>73725</v>
      </c>
      <c r="L296" s="639">
        <v>11579</v>
      </c>
      <c r="M296" s="639"/>
      <c r="N296" s="639">
        <v>77252</v>
      </c>
      <c r="O296" s="1503">
        <f>1-N297</f>
        <v>0.69672272734410579</v>
      </c>
    </row>
    <row r="297" spans="1:15" ht="12" customHeight="1" thickBot="1">
      <c r="A297" s="1528"/>
      <c r="B297" s="1514"/>
      <c r="C297" s="641" t="s">
        <v>6219</v>
      </c>
      <c r="D297" s="642">
        <f>D296/(D296+E296+G296+H296+I296+J296+L296+M296+N296)</f>
        <v>0.27821877797145145</v>
      </c>
      <c r="E297" s="642">
        <f>E296/(D296+E296+G296+H296+I296+J296+L296+M296+N296)</f>
        <v>8.3615992211177589E-2</v>
      </c>
      <c r="F297" s="643">
        <f t="shared" si="8"/>
        <v>0.36183477018262905</v>
      </c>
      <c r="G297" s="642">
        <f>G296/(D296+E296+G296+H296+I296+J296+L296+M296+N296)</f>
        <v>0.24479829148411614</v>
      </c>
      <c r="H297" s="642">
        <f>H296/(D296+E296+G296+H296+I296+J296+L296+M296+N296)</f>
        <v>4.4632621975157424E-2</v>
      </c>
      <c r="I297" s="642">
        <f>I296/(D296+E296+G296+H296+I296+J296+L296+M296+N296)</f>
        <v>0</v>
      </c>
      <c r="J297" s="642">
        <f>J296/(D296+E296+G296+H296+I296+J296+L296+M296+N296)</f>
        <v>0</v>
      </c>
      <c r="K297" s="643">
        <f t="shared" si="9"/>
        <v>0.28943091345927358</v>
      </c>
      <c r="L297" s="642">
        <f>L296/(D296+E296+G296+H296+I296+J296+L296+M296+N296)</f>
        <v>4.5457043702203166E-2</v>
      </c>
      <c r="M297" s="642">
        <f>M296/(D296+E296+G296+H296+I296+J296+L296+M296+N296)</f>
        <v>0</v>
      </c>
      <c r="N297" s="642">
        <f>N296/(D296+E296+G296+H296+I296+J296+L296+M296+N296)</f>
        <v>0.30327727265589421</v>
      </c>
      <c r="O297" s="1515"/>
    </row>
    <row r="298" spans="1:15" ht="12" customHeight="1">
      <c r="A298" s="1535" t="s">
        <v>14977</v>
      </c>
      <c r="B298" s="1536" t="s">
        <v>14937</v>
      </c>
      <c r="C298" s="632" t="s">
        <v>6218</v>
      </c>
      <c r="D298" s="633">
        <v>52572</v>
      </c>
      <c r="E298" s="633">
        <v>25258</v>
      </c>
      <c r="F298" s="634">
        <f t="shared" si="8"/>
        <v>77830</v>
      </c>
      <c r="G298" s="633">
        <v>78751</v>
      </c>
      <c r="H298" s="633">
        <v>8682</v>
      </c>
      <c r="I298" s="633">
        <v>2711</v>
      </c>
      <c r="J298" s="633">
        <v>3645</v>
      </c>
      <c r="K298" s="634">
        <f t="shared" si="9"/>
        <v>93789</v>
      </c>
      <c r="L298" s="633">
        <v>12478</v>
      </c>
      <c r="M298" s="633">
        <v>3511</v>
      </c>
      <c r="N298" s="633">
        <v>158496</v>
      </c>
      <c r="O298" s="1537">
        <f>1-N299</f>
        <v>0.54205672283475481</v>
      </c>
    </row>
    <row r="299" spans="1:15" ht="12" customHeight="1">
      <c r="A299" s="1517"/>
      <c r="B299" s="1502"/>
      <c r="C299" s="635" t="s">
        <v>6219</v>
      </c>
      <c r="D299" s="636">
        <f>D298/(D298+E298+G298+H298+I298+J298+L298+M298+N298)</f>
        <v>0.15189653976839332</v>
      </c>
      <c r="E299" s="636">
        <f>E298/(D298+E298+G298+H298+I298+J298+L298+M298+N298)</f>
        <v>7.2978064396828704E-2</v>
      </c>
      <c r="F299" s="637">
        <f t="shared" si="8"/>
        <v>0.22487460416522204</v>
      </c>
      <c r="G299" s="636">
        <f>G298/(D298+E298+G298+H298+I298+J298+L298+M298+N298)</f>
        <v>0.22753565402306822</v>
      </c>
      <c r="H299" s="636">
        <f>H298/(D298+E298+G298+H298+I298+J298+L298+M298+N298)</f>
        <v>2.5084945565494763E-2</v>
      </c>
      <c r="I299" s="636">
        <f>I298/(D298+E298+G298+H298+I298+J298+L298+M298+N298)</f>
        <v>7.8329057162009105E-3</v>
      </c>
      <c r="J299" s="636">
        <f>J298/(D298+E298+G298+H298+I298+J298+L298+M298+N298)</f>
        <v>1.0531516538381526E-2</v>
      </c>
      <c r="K299" s="637">
        <f t="shared" si="9"/>
        <v>0.27098502184314543</v>
      </c>
      <c r="L299" s="636">
        <f>L298/(D298+E298+G298+H298+I298+J298+L298+M298+N298)</f>
        <v>3.6052747151145322E-2</v>
      </c>
      <c r="M299" s="636">
        <f>M298/(D298+E298+G298+H298+I298+J298+L298+M298+N298)</f>
        <v>1.0144349675242123E-2</v>
      </c>
      <c r="N299" s="636">
        <f>N298/(D298+E298+G298+H298+I298+J298+L298+M298+N298)</f>
        <v>0.45794327716524513</v>
      </c>
      <c r="O299" s="1503"/>
    </row>
    <row r="300" spans="1:15" ht="12" customHeight="1">
      <c r="A300" s="1517"/>
      <c r="B300" s="1502" t="s">
        <v>14938</v>
      </c>
      <c r="C300" s="638" t="s">
        <v>6218</v>
      </c>
      <c r="D300" s="639">
        <v>92360</v>
      </c>
      <c r="E300" s="639">
        <v>29463</v>
      </c>
      <c r="F300" s="640">
        <f t="shared" si="8"/>
        <v>121823</v>
      </c>
      <c r="G300" s="639">
        <v>72689</v>
      </c>
      <c r="H300" s="639">
        <v>10781</v>
      </c>
      <c r="I300" s="639">
        <v>13328</v>
      </c>
      <c r="J300" s="639"/>
      <c r="K300" s="640">
        <f t="shared" si="9"/>
        <v>96798</v>
      </c>
      <c r="L300" s="639">
        <v>17045</v>
      </c>
      <c r="M300" s="639"/>
      <c r="N300" s="639">
        <v>111840</v>
      </c>
      <c r="O300" s="1503">
        <f>1-N301</f>
        <v>0.6781638302648012</v>
      </c>
    </row>
    <row r="301" spans="1:15" ht="12" customHeight="1">
      <c r="A301" s="1517"/>
      <c r="B301" s="1502"/>
      <c r="C301" s="635" t="s">
        <v>6219</v>
      </c>
      <c r="D301" s="636">
        <f>D300/(D300+E300+G300+H300+I300+J300+L300+M300+N300)</f>
        <v>0.26577958366186483</v>
      </c>
      <c r="E301" s="636">
        <f>E300/(D300+E300+G300+H300+I300+J300+L300+M300+N300)</f>
        <v>8.4784147611839791E-2</v>
      </c>
      <c r="F301" s="637">
        <f t="shared" si="8"/>
        <v>0.3505637312737046</v>
      </c>
      <c r="G301" s="636">
        <f>G300/(D300+E300+G300+H300+I300+J300+L300+M300+N300)</f>
        <v>0.20917336679078921</v>
      </c>
      <c r="H301" s="636">
        <f>H300/(D300+E300+G300+H300+I300+J300+L300+M300+N300)</f>
        <v>3.1023924766766617E-2</v>
      </c>
      <c r="I301" s="636">
        <f>I300/(D300+E300+G300+H300+I300+J300+L300+M300+N300)</f>
        <v>3.8353294619373479E-2</v>
      </c>
      <c r="J301" s="636">
        <f>J300/(D300+E300+G300+H300+I300+J300+L300+M300+N300)</f>
        <v>0</v>
      </c>
      <c r="K301" s="637">
        <f t="shared" si="9"/>
        <v>0.27855058617692929</v>
      </c>
      <c r="L301" s="636">
        <f>L300/(D300+E300+G300+H300+I300+J300+L300+M300+N300)</f>
        <v>4.9049512814167237E-2</v>
      </c>
      <c r="M301" s="636">
        <f>M300/(D300+E300+G300+H300+I300+J300+L300+M300+N300)</f>
        <v>0</v>
      </c>
      <c r="N301" s="636">
        <f>N300/(D300+E300+G300+H300+I300+J300+L300+M300+N300)</f>
        <v>0.3218361697351988</v>
      </c>
      <c r="O301" s="1503"/>
    </row>
    <row r="302" spans="1:15" ht="12" customHeight="1">
      <c r="A302" s="1517"/>
      <c r="B302" s="1502" t="s">
        <v>14939</v>
      </c>
      <c r="C302" s="638" t="s">
        <v>6218</v>
      </c>
      <c r="D302" s="639">
        <v>65323</v>
      </c>
      <c r="E302" s="639">
        <v>29019</v>
      </c>
      <c r="F302" s="640">
        <f t="shared" si="8"/>
        <v>94342</v>
      </c>
      <c r="G302" s="639">
        <v>66288</v>
      </c>
      <c r="H302" s="639">
        <v>10272</v>
      </c>
      <c r="I302" s="639"/>
      <c r="J302" s="639"/>
      <c r="K302" s="640">
        <f t="shared" si="9"/>
        <v>76560</v>
      </c>
      <c r="L302" s="639">
        <v>14715</v>
      </c>
      <c r="M302" s="639">
        <v>8085</v>
      </c>
      <c r="N302" s="639">
        <v>153645</v>
      </c>
      <c r="O302" s="1503">
        <f>1-N303</f>
        <v>0.55766135881409662</v>
      </c>
    </row>
    <row r="303" spans="1:15" ht="12" customHeight="1">
      <c r="A303" s="1517"/>
      <c r="B303" s="1502"/>
      <c r="C303" s="635" t="s">
        <v>6219</v>
      </c>
      <c r="D303" s="636">
        <f>D302/(D302+E302+G302+H302+I302+J302+L302+M302+N302)</f>
        <v>0.18806265780329182</v>
      </c>
      <c r="E303" s="636">
        <f>E302/(D302+E302+G302+H302+I302+J302+L302+M302+N302)</f>
        <v>8.3544697377550409E-2</v>
      </c>
      <c r="F303" s="637">
        <f t="shared" si="8"/>
        <v>0.27160735518084222</v>
      </c>
      <c r="G303" s="636">
        <f>G302/(D302+E302+G302+H302+I302+J302+L302+M302+N302)</f>
        <v>0.19084085942875567</v>
      </c>
      <c r="H303" s="636">
        <f>H302/(D302+E302+G302+H302+I302+J302+L302+M302+N302)</f>
        <v>2.9572732742761561E-2</v>
      </c>
      <c r="I303" s="636">
        <f>I302/(D302+E302+G302+H302+I302+J302+L302+M302+N302)</f>
        <v>0</v>
      </c>
      <c r="J303" s="636">
        <f>J302/(D302+E302+G302+H302+I302+J302+L302+M302+N302)</f>
        <v>0</v>
      </c>
      <c r="K303" s="637">
        <f t="shared" si="9"/>
        <v>0.22041359217151724</v>
      </c>
      <c r="L303" s="636">
        <f>L302/(D302+E302+G302+H302+I302+J302+L302+M302+N302)</f>
        <v>4.236397608155533E-2</v>
      </c>
      <c r="M303" s="636">
        <f>M302/(D302+E302+G302+H302+I302+J302+L302+M302+N302)</f>
        <v>2.3276435380181777E-2</v>
      </c>
      <c r="N303" s="636">
        <f>N302/(D302+E302+G302+H302+I302+J302+L302+M302+N302)</f>
        <v>0.44233864118590344</v>
      </c>
      <c r="O303" s="1503"/>
    </row>
    <row r="304" spans="1:15" ht="12" customHeight="1">
      <c r="A304" s="1517"/>
      <c r="B304" s="1502" t="s">
        <v>14940</v>
      </c>
      <c r="C304" s="638" t="s">
        <v>6218</v>
      </c>
      <c r="D304" s="639">
        <v>76218</v>
      </c>
      <c r="E304" s="639">
        <v>27556</v>
      </c>
      <c r="F304" s="640">
        <f t="shared" si="8"/>
        <v>103774</v>
      </c>
      <c r="G304" s="639">
        <v>77460</v>
      </c>
      <c r="H304" s="639">
        <v>8876</v>
      </c>
      <c r="I304" s="639"/>
      <c r="J304" s="639"/>
      <c r="K304" s="640">
        <f t="shared" si="9"/>
        <v>86336</v>
      </c>
      <c r="L304" s="639">
        <v>15856</v>
      </c>
      <c r="M304" s="639"/>
      <c r="N304" s="639">
        <v>141443</v>
      </c>
      <c r="O304" s="1503">
        <f>1-N305</f>
        <v>0.59286316704518305</v>
      </c>
    </row>
    <row r="305" spans="1:15" ht="12" customHeight="1" thickBot="1">
      <c r="A305" s="1518"/>
      <c r="B305" s="1504"/>
      <c r="C305" s="644" t="s">
        <v>6219</v>
      </c>
      <c r="D305" s="645">
        <f>D304/(D304+E304+G304+H304+I304+J304+L304+M304+N304)</f>
        <v>0.21938982582489228</v>
      </c>
      <c r="E305" s="645">
        <f>E304/(D304+E304+G304+H304+I304+J304+L304+M304+N304)</f>
        <v>7.9318612931731758E-2</v>
      </c>
      <c r="F305" s="646">
        <f t="shared" si="8"/>
        <v>0.29870843875662401</v>
      </c>
      <c r="G305" s="645">
        <f>G304/(D304+E304+G304+H304+I304+J304+L304+M304+N304)</f>
        <v>0.22296486274103433</v>
      </c>
      <c r="H305" s="645">
        <f>H304/(D304+E304+G304+H304+I304+J304+L304+M304+N304)</f>
        <v>2.554913660843559E-2</v>
      </c>
      <c r="I305" s="645">
        <f>I304/(D304+E304+G304+H304+I304+J304+L304+M304+N304)</f>
        <v>0</v>
      </c>
      <c r="J305" s="645">
        <f>J304/(D304+E304+G304+H304+I304+J304+L304+M304+N304)</f>
        <v>0</v>
      </c>
      <c r="K305" s="646">
        <f t="shared" si="9"/>
        <v>0.24851399934946991</v>
      </c>
      <c r="L305" s="645">
        <f>L304/(D304+E304+G304+H304+I304+J304+L304+M304+N304)</f>
        <v>4.5640728939089083E-2</v>
      </c>
      <c r="M305" s="645">
        <f>M304/(D304+E304+G304+H304+I304+J304+L304+M304+N304)</f>
        <v>0</v>
      </c>
      <c r="N305" s="645">
        <f>N304/(D304+E304+G304+H304+I304+J304+L304+M304+N304)</f>
        <v>0.40713683295481695</v>
      </c>
      <c r="O305" s="1505"/>
    </row>
    <row r="306" spans="1:15" ht="12" customHeight="1" thickTop="1">
      <c r="A306" s="1511" t="s">
        <v>14978</v>
      </c>
      <c r="B306" s="1509" t="s">
        <v>14937</v>
      </c>
      <c r="C306" s="647" t="s">
        <v>6218</v>
      </c>
      <c r="D306" s="648">
        <f>D106+D114+D122+D130+D138+D146+D154+D162+D170+D178+D186+D194+D202+D210+D218+D226+D234+D242+D250+D258+D266+D274+D282+D290+D298</f>
        <v>1350192</v>
      </c>
      <c r="E306" s="648">
        <f>E106+E114+E122+E130+E138+E146+E154+E162+E170+E178+E186+E194+E202+E210+E218+E226+E234+E242+E250+E258+E266+E274+E282+E290+E298</f>
        <v>465417</v>
      </c>
      <c r="F306" s="649">
        <f t="shared" si="8"/>
        <v>1815609</v>
      </c>
      <c r="G306" s="648">
        <f>G106+G114+G122+G130+G138+G146+G154+G162+G170+G178+G186+G194+G202+G210+G218+G226+G234+G242+G250+G258+G266+G274+G282+G290+G298</f>
        <v>1941429</v>
      </c>
      <c r="H306" s="648">
        <f>H106+H114+H122+H130+H138+H146+H154+H162+H170+H178+H186+H194+H202+H210+H218+H226+H234+H242+H250+H258+H266+H274+H282+H290+H298</f>
        <v>245723</v>
      </c>
      <c r="I306" s="648">
        <f>I106+I114+I122+I130+I138+I146+I154+I162+I170+I178+I186+I194+I202+I210+I218+I226+I234+I242+I250+I258+I266+I274+I282+I290+I298</f>
        <v>90690</v>
      </c>
      <c r="J306" s="648">
        <f>J106+J114+J122+J130+J138+J146+J154+J162+J170+J178+J186+J194+J202+J210+J218+J226+J234+J242+J250+J258+J266+J274+J282+J290+J298</f>
        <v>84526</v>
      </c>
      <c r="K306" s="649">
        <f t="shared" si="9"/>
        <v>2362368</v>
      </c>
      <c r="L306" s="648">
        <f>L106+L114+L122+L130+L138+L146+L154+L162+L170+L178+L186+L194+L202+L210+L218+L226+L234+L242+L250+L258+L266+L274+L282+L290+L298</f>
        <v>268666</v>
      </c>
      <c r="M306" s="648">
        <f>M106+M114+M122+M130+M138+M146+M154+M162+M170+M178+M186+M194+M202+M210+M218+M226+M234+M242+M250+M258+M266+M274+M282+M290+M298</f>
        <v>83594</v>
      </c>
      <c r="N306" s="648">
        <f>N106+N114+N122+N130+N138+N146+N154+N162+N170+N178+N186+N194+N202+N210+N218+N226+N234+N242+N250+N258+N266+N274+N282+N290+N298</f>
        <v>3288107</v>
      </c>
      <c r="O306" s="1510">
        <f>1-N307</f>
        <v>0.57943689865782322</v>
      </c>
    </row>
    <row r="307" spans="1:15" ht="12" customHeight="1">
      <c r="A307" s="1512"/>
      <c r="B307" s="1502"/>
      <c r="C307" s="635" t="s">
        <v>6219</v>
      </c>
      <c r="D307" s="650">
        <f>D306/(D306+E306+G306+H306+I306+J306+L306+M306+N306)</f>
        <v>0.17269539431879694</v>
      </c>
      <c r="E307" s="650">
        <f>E306/(D306+E306+G306+H306+I306+J306+L306+M306+N306)</f>
        <v>5.9528846517881533E-2</v>
      </c>
      <c r="F307" s="651">
        <f t="shared" si="8"/>
        <v>0.23222424083667847</v>
      </c>
      <c r="G307" s="650">
        <f>G306/(D306+E306+G306+H306+I306+J306+L306+M306+N306)</f>
        <v>0.24831716281606436</v>
      </c>
      <c r="H307" s="650">
        <f>H306/(D306+E306+G306+H306+I306+J306+L306+M306+N306)</f>
        <v>3.1429034076781479E-2</v>
      </c>
      <c r="I307" s="650">
        <f>I306/(D306+E306+G306+H306+I306+J306+L306+M306+N306)</f>
        <v>1.1599643095775781E-2</v>
      </c>
      <c r="J307" s="650">
        <f>J306/(D306+E306+G306+H306+I306+J306+L306+M306+N306)</f>
        <v>1.081124084588757E-2</v>
      </c>
      <c r="K307" s="651">
        <f t="shared" si="9"/>
        <v>0.30215708083450921</v>
      </c>
      <c r="L307" s="650">
        <f>L306/(D306+E306+G306+H306+I306+J306+L306+M306+N306)</f>
        <v>3.4363542970224897E-2</v>
      </c>
      <c r="M307" s="650">
        <f>M306/(D306+E306+G306+H306+I306+J306+L306+M306+N306)</f>
        <v>1.0692034016410636E-2</v>
      </c>
      <c r="N307" s="650">
        <f>N306/(D306+E306+G306+H306+I306+J306+L306+M306+N306)</f>
        <v>0.42056310134217678</v>
      </c>
      <c r="O307" s="1503"/>
    </row>
    <row r="308" spans="1:15" ht="12" customHeight="1">
      <c r="A308" s="1512"/>
      <c r="B308" s="1502" t="s">
        <v>14938</v>
      </c>
      <c r="C308" s="638" t="s">
        <v>6218</v>
      </c>
      <c r="D308" s="648">
        <f>D108+D116+D124+D132+D140+D148+D156+D164+D172+D180+D188+D196+D204+D212+D220+D228+D236+D244+D252+D260+D268+D276+D284+D292+D300</f>
        <v>1901595</v>
      </c>
      <c r="E308" s="648">
        <f>E108+E116+E124+E132+E140+E148+E156+E164+E172+E180+E188+E196+E204+E212+E220+E228+E236+E244+E252+E260+E268+E276+E284+E292+E300</f>
        <v>620638</v>
      </c>
      <c r="F308" s="652">
        <f t="shared" si="8"/>
        <v>2522233</v>
      </c>
      <c r="G308" s="648">
        <f>G108+G116+G124+G132+G140+G148+G156+G164+G172+G180+G188+G196+G204+G212+G220+G228+G236+G244+G252+G260+G268+G276+G284+G292+G300</f>
        <v>1748165</v>
      </c>
      <c r="H308" s="648">
        <f>H108+H116+H124+H132+H140+H148+H156+H164+H172+H180+H188+H196+H204+H212+H220+H228+H236+H244+H252+H260+H268+H276+H284+H292+H300</f>
        <v>362523</v>
      </c>
      <c r="I308" s="648">
        <f>I108+I116+I124+I132+I140+I148+I156+I164+I172+I180+I188+I196+I204+I212+I220+I228+I236+I244+I252+I260+I268+I276+I284+I292+I300</f>
        <v>244933</v>
      </c>
      <c r="J308" s="648">
        <f>J108+J116+J124+J132+J140+J148+J156+J164+J172+J180+J188+J196+J204+J212+J220+J228+J236+J244+J252+J260+J268+J276+J284+J292+J300</f>
        <v>0</v>
      </c>
      <c r="K308" s="652">
        <f t="shared" si="9"/>
        <v>2355621</v>
      </c>
      <c r="L308" s="648">
        <f>L108+L116+L124+L132+L140+L148+L156+L164+L172+L180+L188+L196+L204+L212+L220+L228+L236+L244+L252+L260+L268+L276+L284+L292+L300</f>
        <v>325176</v>
      </c>
      <c r="M308" s="648">
        <f>M108+M116+M124+M132+M140+M148+M156+M164+M172+M180+M188+M196+M204+M212+M220+M228+M236+M244+M252+M260+M268+M276+M284+M292+M300</f>
        <v>0</v>
      </c>
      <c r="N308" s="648">
        <f>N108+N116+N124+N132+N140+N148+N156+N164+N172+N180+N188+N196+N204+N212+N220+N228+N236+N244+N252+N260+N268+N276+N284+N292+N300</f>
        <v>2625963</v>
      </c>
      <c r="O308" s="1503">
        <f>1-N309</f>
        <v>0.66458483230218746</v>
      </c>
    </row>
    <row r="309" spans="1:15" ht="12" customHeight="1">
      <c r="A309" s="1512"/>
      <c r="B309" s="1502"/>
      <c r="C309" s="635" t="s">
        <v>6219</v>
      </c>
      <c r="D309" s="650">
        <f>D308/(D308+E308+G308+H308+I308+J308+L308+M308+N308)</f>
        <v>0.24289139101286716</v>
      </c>
      <c r="E309" s="650">
        <f>E308/(D308+E308+G308+H308+I308+J308+L308+M308+N308)</f>
        <v>7.9274307691934331E-2</v>
      </c>
      <c r="F309" s="651">
        <f t="shared" si="8"/>
        <v>0.3221656987048015</v>
      </c>
      <c r="G309" s="650">
        <f>G308/(D308+E308+G308+H308+I308+J308+L308+M308+N308)</f>
        <v>0.22329372372666575</v>
      </c>
      <c r="H309" s="650">
        <f>H308/(D308+E308+G308+H308+I308+J308+L308+M308+N308)</f>
        <v>4.6305188930428218E-2</v>
      </c>
      <c r="I309" s="650">
        <f>I308/(D308+E308+G308+H308+I308+J308+L308+M308+N308)</f>
        <v>3.1285377314809196E-2</v>
      </c>
      <c r="J309" s="650">
        <f>J308/(D308+E308+G308+H308+I308+J308+L308+M308+N308)</f>
        <v>0</v>
      </c>
      <c r="K309" s="651">
        <f t="shared" si="9"/>
        <v>0.30088428997190314</v>
      </c>
      <c r="L309" s="650">
        <f>L308/(D308+E308+G308+H308+I308+J308+L308+M308+N308)</f>
        <v>4.1534843625482869E-2</v>
      </c>
      <c r="M309" s="650">
        <f>M308/(D308+E308+G308+H308+I308+J308+L308+M308+N308)</f>
        <v>0</v>
      </c>
      <c r="N309" s="650">
        <f>N308/(D308+E308+G308+H308+I308+J308+L308+M308+N308)</f>
        <v>0.33541516769781249</v>
      </c>
      <c r="O309" s="1503"/>
    </row>
    <row r="310" spans="1:15" ht="12" customHeight="1">
      <c r="A310" s="1512"/>
      <c r="B310" s="1502" t="s">
        <v>14939</v>
      </c>
      <c r="C310" s="638" t="s">
        <v>6218</v>
      </c>
      <c r="D310" s="648">
        <f>D110+D118+D126+D134+D142+D150+D158+D166+D174+D182+D190+D198+D206+D214+D222+D230+D238+D246+D254+D262+D270+D278+D286+D294+D302</f>
        <v>1456052</v>
      </c>
      <c r="E310" s="648">
        <f>E110+E118+E126+E134+E142+E150+E158+E166+E174+E182+E190+E198+E206+E214+E222+E230+E238+E246+E254+E262+E270+E278+E286+E294+E302</f>
        <v>505708</v>
      </c>
      <c r="F310" s="652">
        <f t="shared" si="8"/>
        <v>1961760</v>
      </c>
      <c r="G310" s="648">
        <f>G110+G118+G126+G134+G142+G150+G158+G166+G174+G182+G190+G198+G206+G214+G222+G230+G238+G246+G254+G262+G270+G278+G286+G294+G302</f>
        <v>1702988</v>
      </c>
      <c r="H310" s="648">
        <f>H110+H118+H126+H134+H142+H150+H158+H166+H174+H182+H190+H198+H206+H214+H222+H230+H238+H246+H254+H262+H270+H278+H286+H294+H302</f>
        <v>302909</v>
      </c>
      <c r="I310" s="648">
        <f>I110+I118+I126+I134+I142+I150+I158+I166+I174+I182+I190+I198+I206+I214+I222+I230+I238+I246+I254+I262+I270+I278+I286+I294+I302</f>
        <v>0</v>
      </c>
      <c r="J310" s="648">
        <f>J110+J118+J126+J134+J142+J150+J158+J166+J174+J182+J190+J198+J206+J214+J222+J230+J238+J246+J254+J262+J270+J278+J286+J294+J302</f>
        <v>0</v>
      </c>
      <c r="K310" s="652">
        <f t="shared" si="9"/>
        <v>2005897</v>
      </c>
      <c r="L310" s="648">
        <f>L110+L118+L126+L134+L142+L150+L158+L166+L174+L182+L190+L198+L206+L214+L222+L230+L238+L246+L254+L262+L270+L278+L286+L294+L302</f>
        <v>277011</v>
      </c>
      <c r="M310" s="648">
        <f>M110+M118+M126+M134+M142+M150+M158+M166+M174+M182+M190+M198+M206+M214+M222+M230+M238+M246+M254+M262+M270+M278+M286+M294+M302</f>
        <v>144380</v>
      </c>
      <c r="N310" s="648">
        <f>N110+N118+N126+N134+N142+N150+N158+N166+N174+N182+N190+N198+N206+N214+N222+N230+N238+N246+N254+N262+N270+N278+N286+N294+N302</f>
        <v>3454036</v>
      </c>
      <c r="O310" s="1503">
        <f>1-N311</f>
        <v>0.55960741973438</v>
      </c>
    </row>
    <row r="311" spans="1:15" ht="12" customHeight="1">
      <c r="A311" s="1512"/>
      <c r="B311" s="1502"/>
      <c r="C311" s="635" t="s">
        <v>6219</v>
      </c>
      <c r="D311" s="650">
        <f>D310/(D310+E310+G310+H310+I310+J310+L310+M310+N310)</f>
        <v>0.18564789054917682</v>
      </c>
      <c r="E311" s="650">
        <f>E310/(D310+E310+G310+H310+I310+J310+L310+M310+N310)</f>
        <v>6.4478207807031007E-2</v>
      </c>
      <c r="F311" s="651">
        <f t="shared" si="8"/>
        <v>0.2501260983562078</v>
      </c>
      <c r="G311" s="650">
        <f>G310/(D310+E310+G310+H310+I310+J310+L310+M310+N310)</f>
        <v>0.21713244432929699</v>
      </c>
      <c r="H311" s="650">
        <f>H310/(D310+E310+G310+H310+I310+J310+L310+M310+N310)</f>
        <v>3.8621159737674618E-2</v>
      </c>
      <c r="I311" s="650">
        <f>I310/(D310+E310+G310+H310+I310+J310+L310+M310+N310)</f>
        <v>0</v>
      </c>
      <c r="J311" s="650">
        <f>J310/(D310+E310+G310+H310+I310+J310+L310+M310+N310)</f>
        <v>0</v>
      </c>
      <c r="K311" s="651">
        <f t="shared" si="9"/>
        <v>0.25575360406697162</v>
      </c>
      <c r="L311" s="650">
        <f>L310/(D310+E310+G310+H310+I310+J310+L310+M310+N310)</f>
        <v>3.5319142316976332E-2</v>
      </c>
      <c r="M311" s="650">
        <f>M310/(D310+E310+G310+H310+I310+J310+L310+M310+N310)</f>
        <v>1.840857499422421E-2</v>
      </c>
      <c r="N311" s="650">
        <f>N310/(D310+E310+G310+H310+I310+J310+L310+M310+N310)</f>
        <v>0.44039258026562</v>
      </c>
      <c r="O311" s="1503"/>
    </row>
    <row r="312" spans="1:15" ht="12" customHeight="1">
      <c r="A312" s="1512"/>
      <c r="B312" s="1502" t="s">
        <v>14940</v>
      </c>
      <c r="C312" s="638" t="s">
        <v>6218</v>
      </c>
      <c r="D312" s="648">
        <f>D112+D120+D128+D136+D144+D152+D160+D168+D176+D184+D192+D200+D208+D216+D224+D232+D240+D248+D256+D264+D272+D280+D288+D296+D304</f>
        <v>1794284</v>
      </c>
      <c r="E312" s="648">
        <f>E112+E120+E128+E136+E144+E152+E160+E168+E176+E184+E192+E200+E208+E216+E224+E232+E240+E248+E256+E264+E272+E280+E288+E296+E304</f>
        <v>565179</v>
      </c>
      <c r="F312" s="652">
        <f t="shared" si="8"/>
        <v>2359463</v>
      </c>
      <c r="G312" s="648">
        <f>G112+G120+G128+G136+G144+G152+G160+G168+G176+G184+G192+G200+G208+G216+G224+G232+G240+G248+G256+G264+G272+G280+G288+G296+G304</f>
        <v>1784768</v>
      </c>
      <c r="H312" s="648">
        <f>H112+H120+H128+H136+H144+H152+H160+H168+H176+H184+H192+H200+H208+H216+H224+H232+H240+H248+H256+H264+H272+H280+H288+H296+H304</f>
        <v>310197</v>
      </c>
      <c r="I312" s="648">
        <f>I112+I120+I128+I136+I144+I152+I160+I168+I176+I184+I192+I200+I208+I216+I224+I232+I240+I248+I256+I264+I272+I280+I288+I296+I304</f>
        <v>0</v>
      </c>
      <c r="J312" s="648">
        <f>J112+J120+J128+J136+J144+J152+J160+J168+J176+J184+J192+J200+J208+J216+J224+J232+J240+J248+J256+J264+J272+J280+J288+J296+J304</f>
        <v>0</v>
      </c>
      <c r="K312" s="652">
        <f t="shared" si="9"/>
        <v>2094965</v>
      </c>
      <c r="L312" s="648">
        <f>L112+L120+L128+L136+L144+L152+L160+L168+L176+L184+L192+L200+L208+L216+L224+L232+L240+L248+L256+L264+L272+L280+L288+L296+L304</f>
        <v>312660</v>
      </c>
      <c r="M312" s="648">
        <f>M112+M120+M128+M136+M144+M152+M160+M168+M176+M184+M192+M200+M208+M216+M224+M232+M240+M248+M256+M264+M272+M280+M288+M296+M304</f>
        <v>0</v>
      </c>
      <c r="N312" s="648">
        <f>N112+N120+N128+N136+N144+N152+N160+N168+N176+N184+N192+N200+N208+N216+N224+N232+N240+N248+N256+N264+N272+N280+N288+N296+N304</f>
        <v>3068942</v>
      </c>
      <c r="O312" s="1503">
        <f>1-N313</f>
        <v>0.60835499608858057</v>
      </c>
    </row>
    <row r="313" spans="1:15" ht="12" customHeight="1" thickBot="1">
      <c r="A313" s="1513"/>
      <c r="B313" s="1504"/>
      <c r="C313" s="644" t="s">
        <v>6219</v>
      </c>
      <c r="D313" s="645">
        <f>D312/(D312+E312+G312+H312+I312+J312+L312+M312+N312)</f>
        <v>0.22897870477780202</v>
      </c>
      <c r="E313" s="645">
        <f>E312/(D312+E312+G312+H312+I312+J312+L312+M312+N312)</f>
        <v>7.2125680988970181E-2</v>
      </c>
      <c r="F313" s="646">
        <f t="shared" si="8"/>
        <v>0.30110438576677223</v>
      </c>
      <c r="G313" s="645">
        <f>G312/(D312+E312+G312+H312+I312+J312+L312+M312+N312)</f>
        <v>0.22776431432753574</v>
      </c>
      <c r="H313" s="645">
        <f>H312/(D312+E312+G312+H312+I312+J312+L312+M312+N312)</f>
        <v>3.958598933388463E-2</v>
      </c>
      <c r="I313" s="645">
        <f>I312/(D312+E312+G312+H312+I312+J312+L312+M312+N312)</f>
        <v>0</v>
      </c>
      <c r="J313" s="645">
        <f>J312/(D312+E312+G312+H312+I312+J312+L312+M312+N312)</f>
        <v>0</v>
      </c>
      <c r="K313" s="646">
        <f t="shared" si="9"/>
        <v>0.26735030366142037</v>
      </c>
      <c r="L313" s="645">
        <f>L312/(D312+E312+G312+H312+I312+J312+L312+M312+N312)</f>
        <v>3.9900306660387977E-2</v>
      </c>
      <c r="M313" s="645">
        <f>M312/(D312+E312+G312+H312+I312+J312+L312+M312+N312)</f>
        <v>0</v>
      </c>
      <c r="N313" s="645">
        <f>N312/(D312+E312+G312+H312+I312+J312+L312+M312+N312)</f>
        <v>0.39164500391141943</v>
      </c>
      <c r="O313" s="1505"/>
    </row>
    <row r="314" spans="1:15" ht="12" customHeight="1" thickTop="1">
      <c r="A314" s="1516" t="s">
        <v>14979</v>
      </c>
      <c r="B314" s="1509" t="s">
        <v>14937</v>
      </c>
      <c r="C314" s="647" t="s">
        <v>6218</v>
      </c>
      <c r="D314" s="648">
        <v>69017</v>
      </c>
      <c r="E314" s="648">
        <v>30330</v>
      </c>
      <c r="F314" s="649">
        <f t="shared" si="8"/>
        <v>99347</v>
      </c>
      <c r="G314" s="648">
        <v>76985</v>
      </c>
      <c r="H314" s="648">
        <v>9657</v>
      </c>
      <c r="I314" s="648">
        <v>6132</v>
      </c>
      <c r="J314" s="648">
        <v>4715</v>
      </c>
      <c r="K314" s="649">
        <f t="shared" si="9"/>
        <v>97489</v>
      </c>
      <c r="L314" s="648">
        <v>13053</v>
      </c>
      <c r="M314" s="648">
        <v>5080</v>
      </c>
      <c r="N314" s="648">
        <v>193021</v>
      </c>
      <c r="O314" s="1510">
        <f>1-N315</f>
        <v>0.52689771808132546</v>
      </c>
    </row>
    <row r="315" spans="1:15" ht="12" customHeight="1">
      <c r="A315" s="1517"/>
      <c r="B315" s="1502"/>
      <c r="C315" s="635" t="s">
        <v>6219</v>
      </c>
      <c r="D315" s="636">
        <f>D314/(D314+E314+G314+H314+I314+J314+L314+M314+N314)</f>
        <v>0.16916345988872275</v>
      </c>
      <c r="E315" s="636">
        <f>E314/(D314+E314+G314+H314+I314+J314+L314+M314+N314)</f>
        <v>7.4340057354346914E-2</v>
      </c>
      <c r="F315" s="637">
        <f t="shared" si="8"/>
        <v>0.24350351724306968</v>
      </c>
      <c r="G315" s="636">
        <f>G314/(D314+E314+G314+H314+I314+J314+L314+M314+N314)</f>
        <v>0.1886933503272139</v>
      </c>
      <c r="H315" s="636">
        <f>H314/(D314+E314+G314+H314+I314+J314+L314+M314+N314)</f>
        <v>2.3669697786710457E-2</v>
      </c>
      <c r="I315" s="636">
        <f>I314/(D314+E314+G314+H314+I314+J314+L314+M314+N314)</f>
        <v>1.5029780141670139E-2</v>
      </c>
      <c r="J315" s="636">
        <f>J314/(D314+E314+G314+H314+I314+J314+L314+M314+N314)</f>
        <v>1.1556655800387264E-2</v>
      </c>
      <c r="K315" s="637">
        <f t="shared" si="9"/>
        <v>0.23894948405598176</v>
      </c>
      <c r="L315" s="636">
        <f>L314/(D314+E314+G314+H314+I314+J314+L314+M314+N314)</f>
        <v>3.1993431211549302E-2</v>
      </c>
      <c r="M315" s="636">
        <f>M314/(D314+E314+G314+H314+I314+J314+L314+M314+N314)</f>
        <v>1.2451285570724772E-2</v>
      </c>
      <c r="N315" s="636">
        <f>N314/(D314+E314+G314+H314+I314+J314+L314+M314+N314)</f>
        <v>0.47310228191867448</v>
      </c>
      <c r="O315" s="1503"/>
    </row>
    <row r="316" spans="1:15" ht="12" customHeight="1">
      <c r="A316" s="1517"/>
      <c r="B316" s="1502" t="s">
        <v>14938</v>
      </c>
      <c r="C316" s="638" t="s">
        <v>6218</v>
      </c>
      <c r="D316" s="639">
        <v>101310</v>
      </c>
      <c r="E316" s="639">
        <v>33322</v>
      </c>
      <c r="F316" s="640">
        <f t="shared" si="8"/>
        <v>134632</v>
      </c>
      <c r="G316" s="639">
        <v>79498</v>
      </c>
      <c r="H316" s="639">
        <v>11300</v>
      </c>
      <c r="I316" s="639"/>
      <c r="J316" s="639">
        <v>8967</v>
      </c>
      <c r="K316" s="640">
        <f t="shared" si="9"/>
        <v>99765</v>
      </c>
      <c r="L316" s="639">
        <v>13812</v>
      </c>
      <c r="M316" s="639"/>
      <c r="N316" s="639">
        <v>158721</v>
      </c>
      <c r="O316" s="1503">
        <f>1-N317</f>
        <v>0.6099550291204876</v>
      </c>
    </row>
    <row r="317" spans="1:15" ht="12" customHeight="1">
      <c r="A317" s="1517"/>
      <c r="B317" s="1502"/>
      <c r="C317" s="635" t="s">
        <v>6219</v>
      </c>
      <c r="D317" s="636">
        <f>D316/(D316+E316+G316+H316+I316+J316+L316+M316+N316)</f>
        <v>0.24896173789103776</v>
      </c>
      <c r="E317" s="636">
        <f>E316/(D316+E316+G316+H316+I316+J316+L316+M316+N316)</f>
        <v>8.1886319514412803E-2</v>
      </c>
      <c r="F317" s="637">
        <f t="shared" si="8"/>
        <v>0.33084805740545054</v>
      </c>
      <c r="G317" s="636">
        <f>G316/(D316+E316+G316+H316+I316+J316+L316+M316+N316)</f>
        <v>0.19536038139237707</v>
      </c>
      <c r="H317" s="636">
        <f>H316/(D316+E316+G316+H316+I316+J316+L316+M316+N316)</f>
        <v>2.7768903742658443E-2</v>
      </c>
      <c r="I317" s="636">
        <f>I316/(D316+E316+G316+H316+I316+J316+L316+M316+N316)</f>
        <v>0</v>
      </c>
      <c r="J317" s="636">
        <f>J316/(D316+E316+G316+H316+I316+J316+L316+M316+N316)</f>
        <v>2.2035730961098961E-2</v>
      </c>
      <c r="K317" s="637">
        <f t="shared" si="9"/>
        <v>0.24516501609613447</v>
      </c>
      <c r="L317" s="636">
        <f>L316/(D316+E316+G316+H316+I316+J316+L316+M316+N316)</f>
        <v>3.3941955618902515E-2</v>
      </c>
      <c r="M317" s="636">
        <f>M316/(D316+E316+G316+H316+I316+J316+L316+M316+N316)</f>
        <v>0</v>
      </c>
      <c r="N317" s="636">
        <f>N316/(D316+E316+G316+H316+I316+J316+L316+M316+N316)</f>
        <v>0.39004497087951245</v>
      </c>
      <c r="O317" s="1503"/>
    </row>
    <row r="318" spans="1:15" ht="12" customHeight="1">
      <c r="A318" s="1517"/>
      <c r="B318" s="1502" t="s">
        <v>14939</v>
      </c>
      <c r="C318" s="638" t="s">
        <v>6218</v>
      </c>
      <c r="D318" s="639">
        <v>70040</v>
      </c>
      <c r="E318" s="639">
        <v>34279</v>
      </c>
      <c r="F318" s="640">
        <f t="shared" si="8"/>
        <v>104319</v>
      </c>
      <c r="G318" s="639">
        <v>66662</v>
      </c>
      <c r="H318" s="639">
        <v>9699</v>
      </c>
      <c r="I318" s="639"/>
      <c r="J318" s="639"/>
      <c r="K318" s="640">
        <f t="shared" si="9"/>
        <v>76361</v>
      </c>
      <c r="L318" s="639">
        <v>11440</v>
      </c>
      <c r="M318" s="639">
        <v>6400</v>
      </c>
      <c r="N318" s="639">
        <v>207568</v>
      </c>
      <c r="O318" s="1503">
        <f>1-N319</f>
        <v>0.48885955753432753</v>
      </c>
    </row>
    <row r="319" spans="1:15" ht="12" customHeight="1">
      <c r="A319" s="1517"/>
      <c r="B319" s="1502"/>
      <c r="C319" s="635" t="s">
        <v>6219</v>
      </c>
      <c r="D319" s="636">
        <f>D318/(D318+E318+G318+H318+I318+J318+L318+M318+N318)</f>
        <v>0.1724749315419318</v>
      </c>
      <c r="E319" s="636">
        <f>E318/(D318+E318+G318+H318+I318+J318+L318+M318+N318)</f>
        <v>8.4412738125726444E-2</v>
      </c>
      <c r="F319" s="637">
        <f t="shared" si="8"/>
        <v>0.25688766966765825</v>
      </c>
      <c r="G319" s="636">
        <f>G318/(D318+E318+G318+H318+I318+J318+L318+M318+N318)</f>
        <v>0.16415653749926123</v>
      </c>
      <c r="H319" s="636">
        <f>H318/(D318+E318+G318+H318+I318+J318+L318+M318+N318)</f>
        <v>2.3883985737081618E-2</v>
      </c>
      <c r="I319" s="636">
        <f>I318/(D318+E318+G318+H318+I318+J318+L318+M318+N318)</f>
        <v>0</v>
      </c>
      <c r="J319" s="636">
        <f>J318/(D318+E318+G318+H318+I318+J318+L318+M318+N318)</f>
        <v>0</v>
      </c>
      <c r="K319" s="637">
        <f t="shared" si="9"/>
        <v>0.18804052323634285</v>
      </c>
      <c r="L319" s="636">
        <f>L318/(D318+E318+G318+H318+I318+J318+L318+M318+N318)</f>
        <v>2.8171233821240715E-2</v>
      </c>
      <c r="M319" s="636">
        <f>M318/(D318+E318+G318+H318+I318+J318+L318+M318+N318)</f>
        <v>1.5760130809085716E-2</v>
      </c>
      <c r="N319" s="636">
        <f>N318/(D318+E318+G318+H318+I318+J318+L318+M318+N318)</f>
        <v>0.51114044246567247</v>
      </c>
      <c r="O319" s="1503"/>
    </row>
    <row r="320" spans="1:15" ht="12" customHeight="1">
      <c r="A320" s="1517"/>
      <c r="B320" s="1502" t="s">
        <v>14940</v>
      </c>
      <c r="C320" s="638" t="s">
        <v>6218</v>
      </c>
      <c r="D320" s="639">
        <v>90277</v>
      </c>
      <c r="E320" s="639">
        <v>31305</v>
      </c>
      <c r="F320" s="640">
        <f t="shared" si="8"/>
        <v>121582</v>
      </c>
      <c r="G320" s="639">
        <v>73282</v>
      </c>
      <c r="H320" s="639">
        <v>9079</v>
      </c>
      <c r="I320" s="639"/>
      <c r="J320" s="639"/>
      <c r="K320" s="640">
        <f t="shared" si="9"/>
        <v>82361</v>
      </c>
      <c r="L320" s="639">
        <v>12212</v>
      </c>
      <c r="M320" s="639"/>
      <c r="N320" s="639">
        <v>189356</v>
      </c>
      <c r="O320" s="1503">
        <f>1-N321</f>
        <v>0.53304349327145251</v>
      </c>
    </row>
    <row r="321" spans="1:15" ht="12" customHeight="1" thickBot="1">
      <c r="A321" s="1519"/>
      <c r="B321" s="1514"/>
      <c r="C321" s="641" t="s">
        <v>6219</v>
      </c>
      <c r="D321" s="642">
        <f>D320/(D320+E320+G320+H320+I320+J320+L320+M320+N320)</f>
        <v>0.22262528020201672</v>
      </c>
      <c r="E321" s="642">
        <f>E320/(D320+E320+G320+H320+I320+J320+L320+M320+N320)</f>
        <v>7.719889226186219E-2</v>
      </c>
      <c r="F321" s="643">
        <f t="shared" si="8"/>
        <v>0.29982417246387894</v>
      </c>
      <c r="G321" s="642">
        <f>G320/(D320+E320+G320+H320+I320+J320+L320+M320+N320)</f>
        <v>0.18071519638184907</v>
      </c>
      <c r="H321" s="642">
        <f>H320/(D320+E320+G320+H320+I320+J320+L320+M320+N320)</f>
        <v>2.2389035069332274E-2</v>
      </c>
      <c r="I321" s="642">
        <f>I320/(D320+E320+G320+H320+I320+J320+L320+M320+N320)</f>
        <v>0</v>
      </c>
      <c r="J321" s="642">
        <f>J320/(D320+E320+G320+H320+I320+J320+L320+M320+N320)</f>
        <v>0</v>
      </c>
      <c r="K321" s="643">
        <f t="shared" si="9"/>
        <v>0.20310423145118134</v>
      </c>
      <c r="L321" s="642">
        <f>L320/(D320+E320+G320+H320+I320+J320+L320+M320+N320)</f>
        <v>3.0115089356392306E-2</v>
      </c>
      <c r="M321" s="642">
        <f>M320/(D320+E320+G320+H320+I320+J320+L320+M320+N320)</f>
        <v>0</v>
      </c>
      <c r="N321" s="642">
        <f>N320/(D320+E320+G320+H320+I320+J320+L320+M320+N320)</f>
        <v>0.46695650672854744</v>
      </c>
      <c r="O321" s="1515"/>
    </row>
    <row r="322" spans="1:15" ht="12" customHeight="1">
      <c r="A322" s="1535" t="s">
        <v>14980</v>
      </c>
      <c r="B322" s="1536" t="s">
        <v>14937</v>
      </c>
      <c r="C322" s="632" t="s">
        <v>6218</v>
      </c>
      <c r="D322" s="633">
        <v>59958</v>
      </c>
      <c r="E322" s="633">
        <v>26802</v>
      </c>
      <c r="F322" s="634">
        <f t="shared" ref="F322:F385" si="10">SUM(D322:E322)</f>
        <v>86760</v>
      </c>
      <c r="G322" s="633">
        <v>67750</v>
      </c>
      <c r="H322" s="633">
        <v>7425</v>
      </c>
      <c r="I322" s="633">
        <v>5042</v>
      </c>
      <c r="J322" s="633">
        <v>3557</v>
      </c>
      <c r="K322" s="634">
        <f t="shared" ref="K322:K385" si="11">SUM(G322:J322)</f>
        <v>83774</v>
      </c>
      <c r="L322" s="633">
        <v>7623</v>
      </c>
      <c r="M322" s="633">
        <v>4326</v>
      </c>
      <c r="N322" s="633">
        <v>176475</v>
      </c>
      <c r="O322" s="1537">
        <f>1-N323</f>
        <v>0.50836866708640005</v>
      </c>
    </row>
    <row r="323" spans="1:15" ht="12" customHeight="1">
      <c r="A323" s="1517"/>
      <c r="B323" s="1502"/>
      <c r="C323" s="635" t="s">
        <v>6219</v>
      </c>
      <c r="D323" s="636">
        <f>D322/(D322+E322+G322+H322+I322+J322+L322+M322+N322)</f>
        <v>0.16703346909666311</v>
      </c>
      <c r="E323" s="636">
        <f>E322/(D322+E322+G322+H322+I322+J322+L322+M322+N322)</f>
        <v>7.4666116927328552E-2</v>
      </c>
      <c r="F323" s="637">
        <f t="shared" si="10"/>
        <v>0.24169958602399166</v>
      </c>
      <c r="G323" s="636">
        <f>G322/(D322+E322+G322+H322+I322+J322+L322+M322+N322)</f>
        <v>0.18874074404247851</v>
      </c>
      <c r="H323" s="636">
        <f>H322/(D322+E322+G322+H322+I322+J322+L322+M322+N322)</f>
        <v>2.0684871210559452E-2</v>
      </c>
      <c r="I323" s="636">
        <f>I322/(D322+E322+G322+H322+I322+J322+L322+M322+N322)</f>
        <v>1.4046211534497073E-2</v>
      </c>
      <c r="J323" s="636">
        <f>J322/(D322+E322+G322+H322+I322+J322+L322+M322+N322)</f>
        <v>9.9092372923851816E-3</v>
      </c>
      <c r="K323" s="637">
        <f t="shared" si="11"/>
        <v>0.23338106407992021</v>
      </c>
      <c r="L323" s="636">
        <f>L322/(D322+E322+G322+H322+I322+J322+L322+M322+N322)</f>
        <v>2.123646777617437E-2</v>
      </c>
      <c r="M323" s="636">
        <f>M322/(D322+E322+G322+H322+I322+J322+L322+M322+N322)</f>
        <v>1.2051549206313831E-2</v>
      </c>
      <c r="N323" s="636">
        <f>N322/(D322+E322+G322+H322+I322+J322+L322+M322+N322)</f>
        <v>0.49163133291359989</v>
      </c>
      <c r="O323" s="1503"/>
    </row>
    <row r="324" spans="1:15" ht="12" customHeight="1">
      <c r="A324" s="1517"/>
      <c r="B324" s="1502" t="s">
        <v>14938</v>
      </c>
      <c r="C324" s="638" t="s">
        <v>6218</v>
      </c>
      <c r="D324" s="639">
        <v>89996</v>
      </c>
      <c r="E324" s="639">
        <v>29812</v>
      </c>
      <c r="F324" s="640">
        <f t="shared" si="10"/>
        <v>119808</v>
      </c>
      <c r="G324" s="639">
        <v>65676</v>
      </c>
      <c r="H324" s="639">
        <v>8594</v>
      </c>
      <c r="I324" s="639"/>
      <c r="J324" s="639">
        <v>7876</v>
      </c>
      <c r="K324" s="640">
        <f t="shared" si="11"/>
        <v>82146</v>
      </c>
      <c r="L324" s="639">
        <v>9283</v>
      </c>
      <c r="M324" s="639"/>
      <c r="N324" s="639">
        <v>145689</v>
      </c>
      <c r="O324" s="1503">
        <f>1-N325</f>
        <v>0.59182295489821413</v>
      </c>
    </row>
    <row r="325" spans="1:15" ht="12" customHeight="1">
      <c r="A325" s="1517"/>
      <c r="B325" s="1502"/>
      <c r="C325" s="635" t="s">
        <v>6219</v>
      </c>
      <c r="D325" s="636">
        <f>D324/(D324+E324+G324+H324+I324+J324+L324+M324+N324)</f>
        <v>0.25214190056202124</v>
      </c>
      <c r="E325" s="636">
        <f>E324/(D324+E324+G324+H324+I324+J324+L324+M324+N324)</f>
        <v>8.3524315964653734E-2</v>
      </c>
      <c r="F325" s="637">
        <f t="shared" si="10"/>
        <v>0.33566621652667494</v>
      </c>
      <c r="G325" s="636">
        <f>G324/(D324+E324+G324+H324+I324+J324+L324+M324+N324)</f>
        <v>0.18400452754912783</v>
      </c>
      <c r="H325" s="636">
        <f>H324/(D324+E324+G324+H324+I324+J324+L324+M324+N324)</f>
        <v>2.4077820052335778E-2</v>
      </c>
      <c r="I325" s="636">
        <f>I324/(D324+E324+G324+H324+I324+J324+L324+M324+N324)</f>
        <v>0</v>
      </c>
      <c r="J325" s="636">
        <f>J324/(D324+E324+G324+H324+I324+J324+L324+M324+N324)</f>
        <v>2.2066198595787363E-2</v>
      </c>
      <c r="K325" s="637">
        <f t="shared" si="11"/>
        <v>0.23014854619725097</v>
      </c>
      <c r="L325" s="636">
        <f>L324/(D324+E324+G324+H324+I324+J324+L324+M324+N324)</f>
        <v>2.6008192174288229E-2</v>
      </c>
      <c r="M325" s="636">
        <f>M324/(D324+E324+G324+H324+I324+J324+L324+M324+N324)</f>
        <v>0</v>
      </c>
      <c r="N325" s="636">
        <f>N324/(D324+E324+G324+H324+I324+J324+L324+M324+N324)</f>
        <v>0.40817704510178582</v>
      </c>
      <c r="O325" s="1503"/>
    </row>
    <row r="326" spans="1:15" ht="12" customHeight="1">
      <c r="A326" s="1517"/>
      <c r="B326" s="1502" t="s">
        <v>14939</v>
      </c>
      <c r="C326" s="638" t="s">
        <v>6218</v>
      </c>
      <c r="D326" s="639">
        <v>60560</v>
      </c>
      <c r="E326" s="639">
        <v>29826</v>
      </c>
      <c r="F326" s="640">
        <f t="shared" si="10"/>
        <v>90386</v>
      </c>
      <c r="G326" s="639">
        <v>55075</v>
      </c>
      <c r="H326" s="639">
        <v>6550</v>
      </c>
      <c r="I326" s="639"/>
      <c r="J326" s="639"/>
      <c r="K326" s="640">
        <f t="shared" si="11"/>
        <v>61625</v>
      </c>
      <c r="L326" s="639">
        <v>6813</v>
      </c>
      <c r="M326" s="639">
        <v>5614</v>
      </c>
      <c r="N326" s="639">
        <v>190265</v>
      </c>
      <c r="O326" s="1503">
        <f>1-N327</f>
        <v>0.46359348525386024</v>
      </c>
    </row>
    <row r="327" spans="1:15" ht="12" customHeight="1">
      <c r="A327" s="1517"/>
      <c r="B327" s="1502"/>
      <c r="C327" s="635" t="s">
        <v>6219</v>
      </c>
      <c r="D327" s="636">
        <f>D326/(D326+E326+G326+H326+I326+J326+L326+M326+N326)</f>
        <v>0.17073438905224936</v>
      </c>
      <c r="E327" s="636">
        <f>E326/(D326+E326+G326+H326+I326+J326+L326+M326+N326)</f>
        <v>8.4087250460244206E-2</v>
      </c>
      <c r="F327" s="637">
        <f t="shared" si="10"/>
        <v>0.25482163951249359</v>
      </c>
      <c r="G327" s="636">
        <f>G326/(D326+E326+G326+H326+I326+J326+L326+M326+N326)</f>
        <v>0.15527074763957452</v>
      </c>
      <c r="H327" s="636">
        <f>H326/(D326+E326+G326+H326+I326+J326+L326+M326+N326)</f>
        <v>1.846615337338562E-2</v>
      </c>
      <c r="I327" s="636">
        <f>I326/(D326+E326+G326+H326+I326+J326+L326+M326+N326)</f>
        <v>0</v>
      </c>
      <c r="J327" s="636">
        <f>J326/(D326+E326+G326+H326+I326+J326+L326+M326+N326)</f>
        <v>0</v>
      </c>
      <c r="K327" s="637">
        <f t="shared" si="11"/>
        <v>0.17373690101296013</v>
      </c>
      <c r="L327" s="636">
        <f>L326/(D326+E326+G326+H326+I326+J326+L326+M326+N326)</f>
        <v>1.9207618768378051E-2</v>
      </c>
      <c r="M327" s="636">
        <f>M326/(D326+E326+G326+H326+I326+J326+L326+M326+N326)</f>
        <v>1.5827325960028532E-2</v>
      </c>
      <c r="N327" s="636">
        <f>N326/(D326+E326+G326+H326+I326+J326+L326+M326+N326)</f>
        <v>0.53640651474613976</v>
      </c>
      <c r="O327" s="1503"/>
    </row>
    <row r="328" spans="1:15" ht="12" customHeight="1">
      <c r="A328" s="1517"/>
      <c r="B328" s="1502" t="s">
        <v>14940</v>
      </c>
      <c r="C328" s="638" t="s">
        <v>6218</v>
      </c>
      <c r="D328" s="639">
        <v>85706</v>
      </c>
      <c r="E328" s="639">
        <v>27934</v>
      </c>
      <c r="F328" s="640">
        <f t="shared" si="10"/>
        <v>113640</v>
      </c>
      <c r="G328" s="639">
        <v>58481</v>
      </c>
      <c r="H328" s="639">
        <v>6947</v>
      </c>
      <c r="I328" s="639"/>
      <c r="J328" s="639"/>
      <c r="K328" s="640">
        <f t="shared" si="11"/>
        <v>65428</v>
      </c>
      <c r="L328" s="639">
        <v>7682</v>
      </c>
      <c r="M328" s="639"/>
      <c r="N328" s="639">
        <v>166363</v>
      </c>
      <c r="O328" s="1503">
        <f>1-N329</f>
        <v>0.52886752965764505</v>
      </c>
    </row>
    <row r="329" spans="1:15" ht="12" customHeight="1" thickBot="1">
      <c r="A329" s="1519"/>
      <c r="B329" s="1514"/>
      <c r="C329" s="641" t="s">
        <v>6219</v>
      </c>
      <c r="D329" s="642">
        <f>D328/(D328+E328+G328+H328+I328+J328+L328+M328+N328)</f>
        <v>0.24271550466847722</v>
      </c>
      <c r="E329" s="642">
        <f>E328/(D328+E328+G328+H328+I328+J328+L328+M328+N328)</f>
        <v>7.9107821009138712E-2</v>
      </c>
      <c r="F329" s="643">
        <f t="shared" si="10"/>
        <v>0.32182332567761596</v>
      </c>
      <c r="G329" s="642">
        <f>G328/(D328+E328+G328+H328+I328+J328+L328+M328+N328)</f>
        <v>0.16561553950151933</v>
      </c>
      <c r="H329" s="642">
        <f>H328/(D328+E328+G328+H328+I328+J328+L328+M328+N328)</f>
        <v>1.9673588907800053E-2</v>
      </c>
      <c r="I329" s="642">
        <f>I328/(D328+E328+G328+H328+I328+J328+L328+M328+N328)</f>
        <v>0</v>
      </c>
      <c r="J329" s="642">
        <f>J328/(D328+E328+G328+H328+I328+J328+L328+M328+N328)</f>
        <v>0</v>
      </c>
      <c r="K329" s="643">
        <f t="shared" si="11"/>
        <v>0.18528912840931938</v>
      </c>
      <c r="L329" s="642">
        <f>L328/(D328+E328+G328+H328+I328+J328+L328+M328+N328)</f>
        <v>2.1755075570709659E-2</v>
      </c>
      <c r="M329" s="642">
        <f>M328/(D328+E328+G328+H328+I328+J328+L328+M328+N328)</f>
        <v>0</v>
      </c>
      <c r="N329" s="642">
        <f>N328/(D328+E328+G328+H328+I328+J328+L328+M328+N328)</f>
        <v>0.471132470342355</v>
      </c>
      <c r="O329" s="1515"/>
    </row>
    <row r="330" spans="1:15" ht="12" customHeight="1">
      <c r="A330" s="1535" t="s">
        <v>14981</v>
      </c>
      <c r="B330" s="1536" t="s">
        <v>14937</v>
      </c>
      <c r="C330" s="632" t="s">
        <v>6218</v>
      </c>
      <c r="D330" s="633">
        <v>56740</v>
      </c>
      <c r="E330" s="633">
        <v>30170</v>
      </c>
      <c r="F330" s="634">
        <f t="shared" si="10"/>
        <v>86910</v>
      </c>
      <c r="G330" s="633">
        <v>83147</v>
      </c>
      <c r="H330" s="633">
        <v>8984</v>
      </c>
      <c r="I330" s="633">
        <v>5550</v>
      </c>
      <c r="J330" s="633">
        <v>6300</v>
      </c>
      <c r="K330" s="634">
        <f t="shared" si="11"/>
        <v>103981</v>
      </c>
      <c r="L330" s="633">
        <v>13126</v>
      </c>
      <c r="M330" s="633">
        <v>4653</v>
      </c>
      <c r="N330" s="633">
        <v>172564</v>
      </c>
      <c r="O330" s="1537">
        <f>1-N331</f>
        <v>0.54735411846792259</v>
      </c>
    </row>
    <row r="331" spans="1:15" ht="12" customHeight="1">
      <c r="A331" s="1517"/>
      <c r="B331" s="1502"/>
      <c r="C331" s="635" t="s">
        <v>6219</v>
      </c>
      <c r="D331" s="636">
        <f>D330/(D330+E330+G330+H330+I330+J330+L330+M330+N330)</f>
        <v>0.1488324755924183</v>
      </c>
      <c r="E331" s="636">
        <f>E330/(D330+E330+G330+H330+I330+J330+L330+M330+N330)</f>
        <v>7.9137747420219604E-2</v>
      </c>
      <c r="F331" s="637">
        <f t="shared" si="10"/>
        <v>0.22797022301263792</v>
      </c>
      <c r="G331" s="636">
        <f>G330/(D330+E330+G330+H330+I330+J330+L330+M330+N330)</f>
        <v>0.21809964483755384</v>
      </c>
      <c r="H331" s="636">
        <f>H330/(D330+E330+G330+H330+I330+J330+L330+M330+N330)</f>
        <v>2.3565579145616602E-2</v>
      </c>
      <c r="I331" s="636">
        <f>I330/(D330+E330+G330+H330+I330+J330+L330+M330+N330)</f>
        <v>1.4557988007365555E-2</v>
      </c>
      <c r="J331" s="636">
        <f>J330/(D330+E330+G330+H330+I330+J330+L330+M330+N330)</f>
        <v>1.6525283684036576E-2</v>
      </c>
      <c r="K331" s="637">
        <f t="shared" si="11"/>
        <v>0.27274849567457254</v>
      </c>
      <c r="L331" s="636">
        <f>L330/(D330+E330+G330+H330+I330+J330+L330+M330+N330)</f>
        <v>3.4430297402645096E-2</v>
      </c>
      <c r="M331" s="636">
        <f>M330/(D330+E330+G330+H330+I330+J330+L330+M330+N330)</f>
        <v>1.2205102378067014E-2</v>
      </c>
      <c r="N331" s="636">
        <f>N330/(D330+E330+G330+H330+I330+J330+L330+M330+N330)</f>
        <v>0.45264588153207741</v>
      </c>
      <c r="O331" s="1503"/>
    </row>
    <row r="332" spans="1:15" ht="12" customHeight="1">
      <c r="A332" s="1517"/>
      <c r="B332" s="1502" t="s">
        <v>14938</v>
      </c>
      <c r="C332" s="638" t="s">
        <v>6218</v>
      </c>
      <c r="D332" s="639">
        <v>97291</v>
      </c>
      <c r="E332" s="639">
        <v>31834</v>
      </c>
      <c r="F332" s="640">
        <f t="shared" si="10"/>
        <v>129125</v>
      </c>
      <c r="G332" s="639">
        <v>79852</v>
      </c>
      <c r="H332" s="639">
        <v>10374</v>
      </c>
      <c r="I332" s="639"/>
      <c r="J332" s="639">
        <v>8680</v>
      </c>
      <c r="K332" s="640">
        <f t="shared" si="11"/>
        <v>98906</v>
      </c>
      <c r="L332" s="639">
        <v>13971</v>
      </c>
      <c r="M332" s="639"/>
      <c r="N332" s="639">
        <v>135522</v>
      </c>
      <c r="O332" s="1503">
        <f>1-N333</f>
        <v>0.64102414680920949</v>
      </c>
    </row>
    <row r="333" spans="1:15" ht="12" customHeight="1">
      <c r="A333" s="1517"/>
      <c r="B333" s="1502"/>
      <c r="C333" s="635" t="s">
        <v>6219</v>
      </c>
      <c r="D333" s="636">
        <f>D332/(D332+E332+G332+H332+I332+J332+L332+M332+N332)</f>
        <v>0.25770811921891057</v>
      </c>
      <c r="E333" s="636">
        <f>E332/(D332+E332+G332+H332+I332+J332+L332+M332+N332)</f>
        <v>8.4323115881374436E-2</v>
      </c>
      <c r="F333" s="637">
        <f t="shared" si="10"/>
        <v>0.34203123510028499</v>
      </c>
      <c r="G333" s="636">
        <f>G332/(D332+E332+G332+H332+I332+J332+L332+M332+N332)</f>
        <v>0.21151502950805776</v>
      </c>
      <c r="H333" s="636">
        <f>H332/(D332+E332+G332+H332+I332+J332+L332+M332+N332)</f>
        <v>2.7479047689683306E-2</v>
      </c>
      <c r="I333" s="636">
        <f>I332/(D332+E332+G332+H332+I332+J332+L332+M332+N332)</f>
        <v>0</v>
      </c>
      <c r="J333" s="636">
        <f>J332/(D332+E332+G332+H332+I332+J332+L332+M332+N332)</f>
        <v>2.2991915745753912E-2</v>
      </c>
      <c r="K333" s="637">
        <f t="shared" si="11"/>
        <v>0.26198599294349501</v>
      </c>
      <c r="L333" s="636">
        <f>L332/(D332+E332+G332+H332+I332+J332+L332+M332+N332)</f>
        <v>3.7006918765429483E-2</v>
      </c>
      <c r="M333" s="636">
        <f>M332/(D332+E332+G332+H332+I332+J332+L332+M332+N332)</f>
        <v>0</v>
      </c>
      <c r="N333" s="636">
        <f>N332/(D332+E332+G332+H332+I332+J332+L332+M332+N332)</f>
        <v>0.35897585319079051</v>
      </c>
      <c r="O333" s="1503"/>
    </row>
    <row r="334" spans="1:15" ht="12" customHeight="1">
      <c r="A334" s="1517"/>
      <c r="B334" s="1502" t="s">
        <v>14939</v>
      </c>
      <c r="C334" s="638" t="s">
        <v>6218</v>
      </c>
      <c r="D334" s="639">
        <v>56812</v>
      </c>
      <c r="E334" s="639">
        <v>32390</v>
      </c>
      <c r="F334" s="640">
        <f t="shared" si="10"/>
        <v>89202</v>
      </c>
      <c r="G334" s="639">
        <v>74196</v>
      </c>
      <c r="H334" s="639">
        <v>8640</v>
      </c>
      <c r="I334" s="639"/>
      <c r="J334" s="639"/>
      <c r="K334" s="640">
        <f t="shared" si="11"/>
        <v>82836</v>
      </c>
      <c r="L334" s="639">
        <v>12280</v>
      </c>
      <c r="M334" s="639">
        <v>6797</v>
      </c>
      <c r="N334" s="639">
        <v>183836</v>
      </c>
      <c r="O334" s="1503">
        <f>1-N335</f>
        <v>0.50970660166261728</v>
      </c>
    </row>
    <row r="335" spans="1:15" ht="12" customHeight="1">
      <c r="A335" s="1517"/>
      <c r="B335" s="1502"/>
      <c r="C335" s="635" t="s">
        <v>6219</v>
      </c>
      <c r="D335" s="636">
        <f>D334/(D334+E334+G334+H334+I334+J334+L334+M334+N334)</f>
        <v>0.15151846507943706</v>
      </c>
      <c r="E335" s="636">
        <f>E334/(D334+E334+G334+H334+I334+J334+L334+M334+N334)</f>
        <v>8.6384620923800712E-2</v>
      </c>
      <c r="F335" s="637">
        <f t="shared" si="10"/>
        <v>0.23790308600323778</v>
      </c>
      <c r="G335" s="636">
        <f>G334/(D334+E334+G334+H334+I334+J334+L334+M334+N334)</f>
        <v>0.19788185656259086</v>
      </c>
      <c r="H335" s="636">
        <f>H334/(D334+E334+G334+H334+I334+J334+L334+M334+N334)</f>
        <v>2.304301095343125E-2</v>
      </c>
      <c r="I335" s="636">
        <f>I334/(D334+E334+G334+H334+I334+J334+L334+M334+N334)</f>
        <v>0</v>
      </c>
      <c r="J335" s="636">
        <f>J334/(D334+E334+G334+H334+I334+J334+L334+M334+N334)</f>
        <v>0</v>
      </c>
      <c r="K335" s="637">
        <f t="shared" si="11"/>
        <v>0.22092486751602211</v>
      </c>
      <c r="L335" s="636">
        <f>L334/(D334+E334+G334+H334+I334+J334+L334+M334+N334)</f>
        <v>3.275094612362682E-2</v>
      </c>
      <c r="M335" s="636">
        <f>M334/(D334+E334+G334+H334+I334+J334+L334+M334+N334)</f>
        <v>1.8127702019730577E-2</v>
      </c>
      <c r="N335" s="636">
        <f>N334/(D334+E334+G334+H334+I334+J334+L334+M334+N334)</f>
        <v>0.49029339833738272</v>
      </c>
      <c r="O335" s="1503"/>
    </row>
    <row r="336" spans="1:15" ht="12" customHeight="1">
      <c r="A336" s="1517"/>
      <c r="B336" s="1502" t="s">
        <v>14940</v>
      </c>
      <c r="C336" s="638" t="s">
        <v>6218</v>
      </c>
      <c r="D336" s="639">
        <v>78992</v>
      </c>
      <c r="E336" s="639">
        <v>28940</v>
      </c>
      <c r="F336" s="640">
        <f t="shared" si="10"/>
        <v>107932</v>
      </c>
      <c r="G336" s="639">
        <v>80635</v>
      </c>
      <c r="H336" s="639">
        <v>7312</v>
      </c>
      <c r="I336" s="639"/>
      <c r="J336" s="639"/>
      <c r="K336" s="640">
        <f t="shared" si="11"/>
        <v>87947</v>
      </c>
      <c r="L336" s="639">
        <v>12611</v>
      </c>
      <c r="M336" s="639"/>
      <c r="N336" s="639">
        <v>165082</v>
      </c>
      <c r="O336" s="1503">
        <f>1-N337</f>
        <v>0.55809857269816798</v>
      </c>
    </row>
    <row r="337" spans="1:15" ht="12" customHeight="1" thickBot="1">
      <c r="A337" s="1519"/>
      <c r="B337" s="1514"/>
      <c r="C337" s="641" t="s">
        <v>6219</v>
      </c>
      <c r="D337" s="642">
        <f>D336/(D336+E336+G336+H336+I336+J336+L336+M336+N336)</f>
        <v>0.21145053697814611</v>
      </c>
      <c r="E337" s="642">
        <f>E336/(D336+E336+G336+H336+I336+J336+L336+M336+N336)</f>
        <v>7.7468332744424107E-2</v>
      </c>
      <c r="F337" s="643">
        <f t="shared" si="10"/>
        <v>0.28891886972257019</v>
      </c>
      <c r="G337" s="642">
        <f>G336/(D336+E336+G336+H336+I336+J336+L336+M336+N336)</f>
        <v>0.21584861820479051</v>
      </c>
      <c r="H337" s="642">
        <f>H336/(D336+E336+G336+H336+I336+J336+L336+M336+N336)</f>
        <v>1.9573201417665137E-2</v>
      </c>
      <c r="I337" s="642">
        <f>I336/(D336+E336+G336+H336+I336+J336+L336+M336+N336)</f>
        <v>0</v>
      </c>
      <c r="J337" s="642">
        <f>J336/(D336+E336+G336+H336+I336+J336+L336+M336+N336)</f>
        <v>0</v>
      </c>
      <c r="K337" s="643">
        <f t="shared" si="11"/>
        <v>0.23542181962245565</v>
      </c>
      <c r="L337" s="642">
        <f>L336/(D336+E336+G336+H336+I336+J336+L336+M336+N336)</f>
        <v>3.3757883353142101E-2</v>
      </c>
      <c r="M337" s="642">
        <f>M336/(D336+E336+G336+H336+I336+J336+L336+M336+N336)</f>
        <v>0</v>
      </c>
      <c r="N337" s="642">
        <f>N336/(D336+E336+G336+H336+I336+J336+L336+M336+N336)</f>
        <v>0.44190142730183202</v>
      </c>
      <c r="O337" s="1515"/>
    </row>
    <row r="338" spans="1:15" ht="12" customHeight="1">
      <c r="A338" s="1535" t="s">
        <v>14982</v>
      </c>
      <c r="B338" s="1536" t="s">
        <v>14937</v>
      </c>
      <c r="C338" s="632" t="s">
        <v>6218</v>
      </c>
      <c r="D338" s="633">
        <v>50851</v>
      </c>
      <c r="E338" s="633">
        <v>20860</v>
      </c>
      <c r="F338" s="634">
        <f t="shared" si="10"/>
        <v>71711</v>
      </c>
      <c r="G338" s="633">
        <v>64443</v>
      </c>
      <c r="H338" s="633">
        <v>7447</v>
      </c>
      <c r="I338" s="633">
        <v>4868</v>
      </c>
      <c r="J338" s="633">
        <v>3261</v>
      </c>
      <c r="K338" s="634">
        <f t="shared" si="11"/>
        <v>80019</v>
      </c>
      <c r="L338" s="633">
        <v>7051</v>
      </c>
      <c r="M338" s="633">
        <v>3529</v>
      </c>
      <c r="N338" s="633">
        <v>141124</v>
      </c>
      <c r="O338" s="1537">
        <f>1-N339</f>
        <v>0.5349103923752776</v>
      </c>
    </row>
    <row r="339" spans="1:15" ht="12" customHeight="1">
      <c r="A339" s="1517"/>
      <c r="B339" s="1502"/>
      <c r="C339" s="635" t="s">
        <v>6219</v>
      </c>
      <c r="D339" s="636">
        <f>D338/(D338+E338+G338+H338+I338+J338+L338+M338+N338)</f>
        <v>0.16758504320544171</v>
      </c>
      <c r="E339" s="636">
        <f>E338/(D338+E338+G338+H338+I338+J338+L338+M338+N338)</f>
        <v>6.8746416024572071E-2</v>
      </c>
      <c r="F339" s="637">
        <f t="shared" si="10"/>
        <v>0.23633145923001378</v>
      </c>
      <c r="G339" s="636">
        <f>G338/(D338+E338+G338+H338+I338+J338+L338+M338+N338)</f>
        <v>0.21237896873784745</v>
      </c>
      <c r="H339" s="636">
        <f>H338/(D338+E338+G338+H338+I338+J338+L338+M338+N338)</f>
        <v>2.454240460858045E-2</v>
      </c>
      <c r="I339" s="636">
        <f>I338/(D338+E338+G338+H338+I338+J338+L338+M338+N338)</f>
        <v>1.6043027478792753E-2</v>
      </c>
      <c r="J339" s="636">
        <f>J338/(D338+E338+G338+H338+I338+J338+L338+M338+N338)</f>
        <v>1.0746982869421356E-2</v>
      </c>
      <c r="K339" s="637">
        <f t="shared" si="11"/>
        <v>0.26371138369464198</v>
      </c>
      <c r="L339" s="636">
        <f>L338/(D338+E338+G338+H338+I338+J338+L338+M338+N338)</f>
        <v>2.3237343211373808E-2</v>
      </c>
      <c r="M339" s="636">
        <f>M338/(D338+E338+G338+H338+I338+J338+L338+M338+N338)</f>
        <v>1.1630206239248073E-2</v>
      </c>
      <c r="N339" s="636">
        <f>N338/(D338+E338+G338+H338+I338+J338+L338+M338+N338)</f>
        <v>0.46508960762472235</v>
      </c>
      <c r="O339" s="1503"/>
    </row>
    <row r="340" spans="1:15" ht="12" customHeight="1">
      <c r="A340" s="1517"/>
      <c r="B340" s="1502" t="s">
        <v>14938</v>
      </c>
      <c r="C340" s="638" t="s">
        <v>6218</v>
      </c>
      <c r="D340" s="639">
        <v>78302</v>
      </c>
      <c r="E340" s="639">
        <v>23091</v>
      </c>
      <c r="F340" s="640">
        <f t="shared" si="10"/>
        <v>101393</v>
      </c>
      <c r="G340" s="639">
        <v>65721</v>
      </c>
      <c r="H340" s="639">
        <v>8787</v>
      </c>
      <c r="I340" s="639"/>
      <c r="J340" s="639">
        <v>6793</v>
      </c>
      <c r="K340" s="640">
        <f t="shared" si="11"/>
        <v>81301</v>
      </c>
      <c r="L340" s="639">
        <v>8852</v>
      </c>
      <c r="M340" s="639"/>
      <c r="N340" s="639">
        <v>110344</v>
      </c>
      <c r="O340" s="1503">
        <f>1-N341</f>
        <v>0.63448938355029982</v>
      </c>
    </row>
    <row r="341" spans="1:15" ht="12" customHeight="1">
      <c r="A341" s="1517"/>
      <c r="B341" s="1502"/>
      <c r="C341" s="635" t="s">
        <v>6219</v>
      </c>
      <c r="D341" s="636">
        <f>D340/(D340+E340+G340+H340+I340+J340+L340+M340+N340)</f>
        <v>0.25937261916592136</v>
      </c>
      <c r="E341" s="636">
        <f>E340/(D340+E340+G340+H340+I340+J340+L340+M340+N340)</f>
        <v>7.6488124813673855E-2</v>
      </c>
      <c r="F341" s="637">
        <f t="shared" si="10"/>
        <v>0.3358607439795952</v>
      </c>
      <c r="G341" s="636">
        <f>G340/(D340+E340+G340+H340+I340+J340+L340+M340+N340)</f>
        <v>0.2176984994534433</v>
      </c>
      <c r="H341" s="636">
        <f>H340/(D340+E340+G340+H340+I340+J340+L340+M340+N340)</f>
        <v>2.9106628242074929E-2</v>
      </c>
      <c r="I341" s="636">
        <f>I340/(D340+E340+G340+H340+I340+J340+L340+M340+N340)</f>
        <v>0</v>
      </c>
      <c r="J341" s="636">
        <f>J340/(D340+E340+G340+H340+I340+J340+L340+M340+N340)</f>
        <v>2.2501573420782406E-2</v>
      </c>
      <c r="K341" s="637">
        <f t="shared" si="11"/>
        <v>0.26930670111630062</v>
      </c>
      <c r="L341" s="636">
        <f>L340/(D340+E340+G340+H340+I340+J340+L340+M340+N340)</f>
        <v>2.9321938454403923E-2</v>
      </c>
      <c r="M341" s="636">
        <f>M340/(D340+E340+G340+H340+I340+J340+L340+M340+N340)</f>
        <v>0</v>
      </c>
      <c r="N341" s="636">
        <f>N340/(D340+E340+G340+H340+I340+J340+L340+M340+N340)</f>
        <v>0.36551061644970023</v>
      </c>
      <c r="O341" s="1503"/>
    </row>
    <row r="342" spans="1:15" ht="12" customHeight="1">
      <c r="A342" s="1517"/>
      <c r="B342" s="1502" t="s">
        <v>14939</v>
      </c>
      <c r="C342" s="638" t="s">
        <v>6218</v>
      </c>
      <c r="D342" s="639">
        <v>52837</v>
      </c>
      <c r="E342" s="639">
        <v>22592</v>
      </c>
      <c r="F342" s="640">
        <f t="shared" si="10"/>
        <v>75429</v>
      </c>
      <c r="G342" s="639">
        <v>53860</v>
      </c>
      <c r="H342" s="639">
        <v>7419</v>
      </c>
      <c r="I342" s="639"/>
      <c r="J342" s="639"/>
      <c r="K342" s="640">
        <f t="shared" si="11"/>
        <v>61279</v>
      </c>
      <c r="L342" s="639">
        <v>6909</v>
      </c>
      <c r="M342" s="639">
        <v>4481</v>
      </c>
      <c r="N342" s="639">
        <v>152185</v>
      </c>
      <c r="O342" s="1503">
        <f>1-N343</f>
        <v>0.49319475294971749</v>
      </c>
    </row>
    <row r="343" spans="1:15" ht="12" customHeight="1">
      <c r="A343" s="1517"/>
      <c r="B343" s="1502"/>
      <c r="C343" s="635" t="s">
        <v>6219</v>
      </c>
      <c r="D343" s="636">
        <f>D342/(D342+E342+G342+H342+I342+J342+L342+M342+N342)</f>
        <v>0.17595734690275508</v>
      </c>
      <c r="E343" s="636">
        <f>E342/(D342+E342+G342+H342+I342+J342+L342+M342+N342)</f>
        <v>7.5235694328350255E-2</v>
      </c>
      <c r="F343" s="637">
        <f t="shared" si="10"/>
        <v>0.25119304123110531</v>
      </c>
      <c r="G343" s="636">
        <f>G342/(D342+E342+G342+H342+I342+J342+L342+M342+N342)</f>
        <v>0.1793641331677118</v>
      </c>
      <c r="H343" s="636">
        <f>H342/(D342+E342+G342+H342+I342+J342+L342+M342+N342)</f>
        <v>2.4706693352604045E-2</v>
      </c>
      <c r="I343" s="636">
        <f>I342/(D342+E342+G342+H342+I342+J342+L342+M342+N342)</f>
        <v>0</v>
      </c>
      <c r="J343" s="636">
        <f>J342/(D342+E342+G342+H342+I342+J342+L342+M342+N342)</f>
        <v>0</v>
      </c>
      <c r="K343" s="637">
        <f t="shared" si="11"/>
        <v>0.20407082652031583</v>
      </c>
      <c r="L343" s="636">
        <f>L342/(D342+E342+G342+H342+I342+J342+L342+M342+N342)</f>
        <v>2.300829550790421E-2</v>
      </c>
      <c r="M343" s="636">
        <f>M342/(D342+E342+G342+H342+I342+J342+L342+M342+N342)</f>
        <v>1.4922589690392063E-2</v>
      </c>
      <c r="N343" s="636">
        <f>N342/(D342+E342+G342+H342+I342+J342+L342+M342+N342)</f>
        <v>0.50680524705028251</v>
      </c>
      <c r="O343" s="1503"/>
    </row>
    <row r="344" spans="1:15" ht="12" customHeight="1">
      <c r="A344" s="1517"/>
      <c r="B344" s="1502" t="s">
        <v>14940</v>
      </c>
      <c r="C344" s="638" t="s">
        <v>6218</v>
      </c>
      <c r="D344" s="639">
        <v>69910</v>
      </c>
      <c r="E344" s="639">
        <v>20294</v>
      </c>
      <c r="F344" s="640">
        <f t="shared" si="10"/>
        <v>90204</v>
      </c>
      <c r="G344" s="639">
        <v>49868</v>
      </c>
      <c r="H344" s="639">
        <v>10274</v>
      </c>
      <c r="I344" s="639"/>
      <c r="J344" s="639"/>
      <c r="K344" s="640">
        <f t="shared" si="11"/>
        <v>60142</v>
      </c>
      <c r="L344" s="639">
        <v>7728</v>
      </c>
      <c r="M344" s="639"/>
      <c r="N344" s="639">
        <v>141666</v>
      </c>
      <c r="O344" s="1503">
        <f>1-N345</f>
        <v>0.52737038766931343</v>
      </c>
    </row>
    <row r="345" spans="1:15" ht="12" customHeight="1" thickBot="1">
      <c r="A345" s="1519"/>
      <c r="B345" s="1514"/>
      <c r="C345" s="641" t="s">
        <v>6219</v>
      </c>
      <c r="D345" s="642">
        <f>D344/(D344+E344+G344+H344+I344+J344+L344+M344+N344)</f>
        <v>0.23323547074130913</v>
      </c>
      <c r="E345" s="642">
        <f>E344/(D344+E344+G344+H344+I344+J344+L344+M344+N344)</f>
        <v>6.7705344632014414E-2</v>
      </c>
      <c r="F345" s="643">
        <f t="shared" si="10"/>
        <v>0.30094081537332351</v>
      </c>
      <c r="G345" s="642">
        <f>G344/(D344+E344+G344+H344+I344+J344+L344+M344+N344)</f>
        <v>0.16637085474077534</v>
      </c>
      <c r="H345" s="642">
        <f>H344/(D344+E344+G344+H344+I344+J344+L344+M344+N344)</f>
        <v>3.4276372856475612E-2</v>
      </c>
      <c r="I345" s="642">
        <f>I344/(D344+E344+G344+H344+I344+J344+L344+M344+N344)</f>
        <v>0</v>
      </c>
      <c r="J345" s="642">
        <f>J344/(D344+E344+G344+H344+I344+J344+L344+M344+N344)</f>
        <v>0</v>
      </c>
      <c r="K345" s="643">
        <f t="shared" si="11"/>
        <v>0.20064722759725095</v>
      </c>
      <c r="L345" s="642">
        <f>L344/(D344+E344+G344+H344+I344+J344+L344+M344+N344)</f>
        <v>2.5782344698738906E-2</v>
      </c>
      <c r="M345" s="642">
        <f>M344/(D344+E344+G344+H344+I344+J344+L344+M344+N344)</f>
        <v>0</v>
      </c>
      <c r="N345" s="642">
        <f>N344/(D344+E344+G344+H344+I344+J344+L344+M344+N344)</f>
        <v>0.47262961233068662</v>
      </c>
      <c r="O345" s="1515"/>
    </row>
    <row r="346" spans="1:15" ht="12" customHeight="1">
      <c r="A346" s="1538" t="s">
        <v>14983</v>
      </c>
      <c r="B346" s="1536" t="s">
        <v>14937</v>
      </c>
      <c r="C346" s="632" t="s">
        <v>6218</v>
      </c>
      <c r="D346" s="633">
        <v>31730</v>
      </c>
      <c r="E346" s="633">
        <v>18873</v>
      </c>
      <c r="F346" s="634">
        <f t="shared" si="10"/>
        <v>50603</v>
      </c>
      <c r="G346" s="633">
        <v>51945</v>
      </c>
      <c r="H346" s="633">
        <v>5180</v>
      </c>
      <c r="I346" s="633">
        <v>2946</v>
      </c>
      <c r="J346" s="633">
        <v>2403</v>
      </c>
      <c r="K346" s="634">
        <f t="shared" si="11"/>
        <v>62474</v>
      </c>
      <c r="L346" s="633">
        <v>5049</v>
      </c>
      <c r="M346" s="633">
        <v>2270</v>
      </c>
      <c r="N346" s="633">
        <v>109675</v>
      </c>
      <c r="O346" s="1537">
        <f>1-N347</f>
        <v>0.52329932933746537</v>
      </c>
    </row>
    <row r="347" spans="1:15" ht="12" customHeight="1">
      <c r="A347" s="1527"/>
      <c r="B347" s="1502"/>
      <c r="C347" s="635" t="s">
        <v>6219</v>
      </c>
      <c r="D347" s="636">
        <f>D346/(D346+E346+G346+H346+I346+J346+L346+M346+N346)</f>
        <v>0.13791394830291517</v>
      </c>
      <c r="E347" s="636">
        <f>E346/(D346+E346+G346+H346+I346+J346+L346+M346+N346)</f>
        <v>8.2031199064636573E-2</v>
      </c>
      <c r="F347" s="637">
        <f t="shared" si="10"/>
        <v>0.21994514736755175</v>
      </c>
      <c r="G347" s="636">
        <f>G346/(D346+E346+G346+H346+I346+J346+L346+M346+N346)</f>
        <v>0.22577812936006711</v>
      </c>
      <c r="H347" s="636">
        <f>H346/(D346+E346+G346+H346+I346+J346+L346+M346+N346)</f>
        <v>2.2514788912987731E-2</v>
      </c>
      <c r="I347" s="636">
        <f>I346/(D346+E346+G346+H346+I346+J346+L346+M346+N346)</f>
        <v>1.2804742883718504E-2</v>
      </c>
      <c r="J347" s="636">
        <f>J346/(D346+E346+G346+H346+I346+J346+L346+M346+N346)</f>
        <v>1.0444601883766315E-2</v>
      </c>
      <c r="K347" s="637">
        <f t="shared" si="11"/>
        <v>0.27154226304053969</v>
      </c>
      <c r="L347" s="636">
        <f>L346/(D346+E346+G346+H346+I346+J346+L346+M346+N346)</f>
        <v>2.1945399463643833E-2</v>
      </c>
      <c r="M347" s="636">
        <f>M346/(D346+E346+G346+H346+I346+J346+L346+M346+N346)</f>
        <v>9.8665194657301444E-3</v>
      </c>
      <c r="N347" s="636">
        <f>N346/(D346+E346+G346+H346+I346+J346+L346+M346+N346)</f>
        <v>0.47670067066253463</v>
      </c>
      <c r="O347" s="1503"/>
    </row>
    <row r="348" spans="1:15" ht="12" customHeight="1">
      <c r="A348" s="1527"/>
      <c r="B348" s="1502" t="s">
        <v>14938</v>
      </c>
      <c r="C348" s="638" t="s">
        <v>6218</v>
      </c>
      <c r="D348" s="639">
        <v>54555</v>
      </c>
      <c r="E348" s="639">
        <v>21973</v>
      </c>
      <c r="F348" s="640">
        <f t="shared" si="10"/>
        <v>76528</v>
      </c>
      <c r="G348" s="639">
        <v>55636</v>
      </c>
      <c r="H348" s="639">
        <v>6879</v>
      </c>
      <c r="I348" s="639"/>
      <c r="J348" s="639">
        <v>4994</v>
      </c>
      <c r="K348" s="640">
        <f t="shared" si="11"/>
        <v>67509</v>
      </c>
      <c r="L348" s="639">
        <v>6789</v>
      </c>
      <c r="M348" s="639"/>
      <c r="N348" s="639">
        <v>81259</v>
      </c>
      <c r="O348" s="1503">
        <f>1-N349</f>
        <v>0.64987396858909452</v>
      </c>
    </row>
    <row r="349" spans="1:15" ht="12" customHeight="1">
      <c r="A349" s="1527"/>
      <c r="B349" s="1502"/>
      <c r="C349" s="635" t="s">
        <v>6219</v>
      </c>
      <c r="D349" s="636">
        <f>D348/(D348+E348+G348+H348+I348+J348+L348+M348+N348)</f>
        <v>0.23506473921192667</v>
      </c>
      <c r="E349" s="636">
        <f>E348/(D348+E348+G348+H348+I348+J348+L348+M348+N348)</f>
        <v>9.4676519378675911E-2</v>
      </c>
      <c r="F349" s="637">
        <f t="shared" si="10"/>
        <v>0.32974125859060255</v>
      </c>
      <c r="G349" s="636">
        <f>G348/(D348+E348+G348+H348+I348+J348+L348+M348+N348)</f>
        <v>0.23972251545769868</v>
      </c>
      <c r="H349" s="636">
        <f>H348/(D348+E348+G348+H348+I348+J348+L348+M348+N348)</f>
        <v>2.9640002585259711E-2</v>
      </c>
      <c r="I349" s="636">
        <f>I348/(D348+E348+G348+H348+I348+J348+L348+M348+N348)</f>
        <v>0</v>
      </c>
      <c r="J349" s="636">
        <f>J348/(D348+E348+G348+H348+I348+J348+L348+M348+N348)</f>
        <v>2.1517978326906089E-2</v>
      </c>
      <c r="K349" s="637">
        <f t="shared" si="11"/>
        <v>0.29088049636986452</v>
      </c>
      <c r="L349" s="636">
        <f>L348/(D348+E348+G348+H348+I348+J348+L348+M348+N348)</f>
        <v>2.9252213628627441E-2</v>
      </c>
      <c r="M349" s="636">
        <f>M348/(D348+E348+G348+H348+I348+J348+L348+M348+N348)</f>
        <v>0</v>
      </c>
      <c r="N349" s="636">
        <f>N348/(D348+E348+G348+H348+I348+J348+L348+M348+N348)</f>
        <v>0.35012603141090548</v>
      </c>
      <c r="O349" s="1503"/>
    </row>
    <row r="350" spans="1:15" ht="12" customHeight="1">
      <c r="A350" s="1527"/>
      <c r="B350" s="1502" t="s">
        <v>14939</v>
      </c>
      <c r="C350" s="638" t="s">
        <v>6218</v>
      </c>
      <c r="D350" s="639">
        <v>32577</v>
      </c>
      <c r="E350" s="639">
        <v>22509</v>
      </c>
      <c r="F350" s="640">
        <f t="shared" si="10"/>
        <v>55086</v>
      </c>
      <c r="G350" s="639">
        <v>47275</v>
      </c>
      <c r="H350" s="639">
        <v>5528</v>
      </c>
      <c r="I350" s="639"/>
      <c r="J350" s="639"/>
      <c r="K350" s="640">
        <f t="shared" si="11"/>
        <v>52803</v>
      </c>
      <c r="L350" s="639">
        <v>5238</v>
      </c>
      <c r="M350" s="639">
        <v>3308</v>
      </c>
      <c r="N350" s="639">
        <v>117237</v>
      </c>
      <c r="O350" s="1503">
        <f>1-N351</f>
        <v>0.49828391933992944</v>
      </c>
    </row>
    <row r="351" spans="1:15" ht="12" customHeight="1">
      <c r="A351" s="1527"/>
      <c r="B351" s="1502"/>
      <c r="C351" s="635" t="s">
        <v>6219</v>
      </c>
      <c r="D351" s="636">
        <f>D350/(D350+E350+G350+H350+I350+J350+L350+M350+N350)</f>
        <v>0.13941336574343524</v>
      </c>
      <c r="E351" s="636">
        <f>E350/(D350+E350+G350+H350+I350+J350+L350+M350+N350)</f>
        <v>9.6327330617275497E-2</v>
      </c>
      <c r="F351" s="637">
        <f t="shared" si="10"/>
        <v>0.23574069636071074</v>
      </c>
      <c r="G351" s="636">
        <f>G350/(D350+E350+G350+H350+I350+J350+L350+M350+N350)</f>
        <v>0.2023134992639255</v>
      </c>
      <c r="H351" s="636">
        <f>H350/(D350+E350+G350+H350+I350+J350+L350+M350+N350)</f>
        <v>2.3657091992194186E-2</v>
      </c>
      <c r="I351" s="636">
        <f>I350/(D350+E350+G350+H350+I350+J350+L350+M350+N350)</f>
        <v>0</v>
      </c>
      <c r="J351" s="636">
        <f>J350/(D350+E350+G350+H350+I350+J350+L350+M350+N350)</f>
        <v>0</v>
      </c>
      <c r="K351" s="637">
        <f t="shared" si="11"/>
        <v>0.22597059125611968</v>
      </c>
      <c r="L351" s="636">
        <f>L350/(D350+E350+G350+H350+I350+J350+L350+M350+N350)</f>
        <v>2.2416036153240438E-2</v>
      </c>
      <c r="M351" s="636">
        <f>M350/(D350+E350+G350+H350+I350+J350+L350+M350+N350)</f>
        <v>1.4156595569858606E-2</v>
      </c>
      <c r="N351" s="636">
        <f>N350/(D350+E350+G350+H350+I350+J350+L350+M350+N350)</f>
        <v>0.50171608066007056</v>
      </c>
      <c r="O351" s="1503"/>
    </row>
    <row r="352" spans="1:15" ht="12" customHeight="1">
      <c r="A352" s="1527"/>
      <c r="B352" s="1502" t="s">
        <v>14940</v>
      </c>
      <c r="C352" s="638" t="s">
        <v>6218</v>
      </c>
      <c r="D352" s="639">
        <v>50396</v>
      </c>
      <c r="E352" s="639">
        <v>21231</v>
      </c>
      <c r="F352" s="640">
        <f t="shared" si="10"/>
        <v>71627</v>
      </c>
      <c r="G352" s="639">
        <v>55165</v>
      </c>
      <c r="H352" s="639">
        <v>6397</v>
      </c>
      <c r="I352" s="639"/>
      <c r="J352" s="639"/>
      <c r="K352" s="640">
        <f t="shared" si="11"/>
        <v>61562</v>
      </c>
      <c r="L352" s="639">
        <v>6235</v>
      </c>
      <c r="M352" s="639"/>
      <c r="N352" s="639">
        <v>94781</v>
      </c>
      <c r="O352" s="1503">
        <f>1-N353</f>
        <v>0.59530752972822953</v>
      </c>
    </row>
    <row r="353" spans="1:15" ht="12" customHeight="1" thickBot="1">
      <c r="A353" s="1528"/>
      <c r="B353" s="1514"/>
      <c r="C353" s="641" t="s">
        <v>6219</v>
      </c>
      <c r="D353" s="642">
        <f>D352/(D352+E352+G352+H352+I352+J352+L352+M352+N352)</f>
        <v>0.21517900984180527</v>
      </c>
      <c r="E353" s="642">
        <f>E352/(D352+E352+G352+H352+I352+J352+L352+M352+N352)</f>
        <v>9.0651352447642025E-2</v>
      </c>
      <c r="F353" s="643">
        <f t="shared" si="10"/>
        <v>0.30583036228944727</v>
      </c>
      <c r="G353" s="642">
        <f>G352/(D352+E352+G352+H352+I352+J352+L352+M352+N352)</f>
        <v>0.23554151277726779</v>
      </c>
      <c r="H353" s="642">
        <f>H352/(D352+E352+G352+H352+I352+J352+L352+M352+N352)</f>
        <v>2.7313678187912298E-2</v>
      </c>
      <c r="I353" s="642">
        <f>I352/(D352+E352+G352+H352+I352+J352+L352+M352+N352)</f>
        <v>0</v>
      </c>
      <c r="J353" s="642">
        <f>J352/(D352+E352+G352+H352+I352+J352+L352+M352+N352)</f>
        <v>0</v>
      </c>
      <c r="K353" s="643">
        <f t="shared" si="11"/>
        <v>0.26285519096518006</v>
      </c>
      <c r="L353" s="642">
        <f>L352/(D352+E352+G352+H352+I352+J352+L352+M352+N352)</f>
        <v>2.6621976473602187E-2</v>
      </c>
      <c r="M353" s="642">
        <f>M352/(D352+E352+G352+H352+I352+J352+L352+M352+N352)</f>
        <v>0</v>
      </c>
      <c r="N353" s="642">
        <f>N352/(D352+E352+G352+H352+I352+J352+L352+M352+N352)</f>
        <v>0.40469247027177047</v>
      </c>
      <c r="O353" s="1515"/>
    </row>
    <row r="354" spans="1:15" ht="12" customHeight="1">
      <c r="A354" s="1535" t="s">
        <v>14984</v>
      </c>
      <c r="B354" s="1536" t="s">
        <v>14937</v>
      </c>
      <c r="C354" s="632" t="s">
        <v>6218</v>
      </c>
      <c r="D354" s="633">
        <v>62339</v>
      </c>
      <c r="E354" s="633">
        <v>29867</v>
      </c>
      <c r="F354" s="634">
        <f t="shared" si="10"/>
        <v>92206</v>
      </c>
      <c r="G354" s="633">
        <v>80392</v>
      </c>
      <c r="H354" s="633">
        <v>10022</v>
      </c>
      <c r="I354" s="633">
        <v>5914</v>
      </c>
      <c r="J354" s="633">
        <v>6024</v>
      </c>
      <c r="K354" s="634">
        <f t="shared" si="11"/>
        <v>102352</v>
      </c>
      <c r="L354" s="633">
        <v>14386</v>
      </c>
      <c r="M354" s="633">
        <v>5808</v>
      </c>
      <c r="N354" s="633">
        <v>201806</v>
      </c>
      <c r="O354" s="1537">
        <f>1-N355</f>
        <v>0.51553925263708777</v>
      </c>
    </row>
    <row r="355" spans="1:15" ht="12" customHeight="1">
      <c r="A355" s="1517"/>
      <c r="B355" s="1502"/>
      <c r="C355" s="635" t="s">
        <v>6219</v>
      </c>
      <c r="D355" s="636">
        <f>D354/(D354+E354+G354+H354+I354+J354+L354+M354+N354)</f>
        <v>0.14965262940574903</v>
      </c>
      <c r="E355" s="636">
        <f>E354/(D354+E354+G354+H354+I354+J354+L354+M354+N354)</f>
        <v>7.1699499229399027E-2</v>
      </c>
      <c r="F355" s="637">
        <f t="shared" si="10"/>
        <v>0.22135212863514805</v>
      </c>
      <c r="G355" s="636">
        <f>G354/(D354+E354+G354+H354+I354+J354+L354+M354+N354)</f>
        <v>0.19299113208724836</v>
      </c>
      <c r="H355" s="636">
        <f>H354/(D354+E354+G354+H354+I354+J354+L354+M354+N354)</f>
        <v>2.4059074606657415E-2</v>
      </c>
      <c r="I355" s="636">
        <f>I354/(D354+E354+G354+H354+I354+J354+L354+M354+N354)</f>
        <v>1.4197302656532823E-2</v>
      </c>
      <c r="J355" s="636">
        <f>J354/(D354+E354+G354+H354+I354+J354+L354+M354+N354)</f>
        <v>1.4461371525693901E-2</v>
      </c>
      <c r="K355" s="637">
        <f t="shared" si="11"/>
        <v>0.24570888087613249</v>
      </c>
      <c r="L355" s="636">
        <f>L354/(D354+E354+G354+H354+I354+J354+L354+M354+N354)</f>
        <v>3.4535406834102333E-2</v>
      </c>
      <c r="M355" s="636">
        <f>M354/(D354+E354+G354+H354+I354+J354+L354+M354+N354)</f>
        <v>1.3942836291704877E-2</v>
      </c>
      <c r="N355" s="636">
        <f>N354/(D354+E354+G354+H354+I354+J354+L354+M354+N354)</f>
        <v>0.48446074736291223</v>
      </c>
      <c r="O355" s="1503"/>
    </row>
    <row r="356" spans="1:15" ht="12" customHeight="1">
      <c r="A356" s="1517"/>
      <c r="B356" s="1502" t="s">
        <v>14938</v>
      </c>
      <c r="C356" s="638" t="s">
        <v>6218</v>
      </c>
      <c r="D356" s="639">
        <v>102305</v>
      </c>
      <c r="E356" s="639">
        <v>31671</v>
      </c>
      <c r="F356" s="640">
        <f t="shared" si="10"/>
        <v>133976</v>
      </c>
      <c r="G356" s="639">
        <v>78064</v>
      </c>
      <c r="H356" s="639">
        <v>11645</v>
      </c>
      <c r="I356" s="639"/>
      <c r="J356" s="639">
        <v>9123</v>
      </c>
      <c r="K356" s="640">
        <f t="shared" si="11"/>
        <v>98832</v>
      </c>
      <c r="L356" s="639">
        <v>15038</v>
      </c>
      <c r="M356" s="639"/>
      <c r="N356" s="639">
        <v>162351</v>
      </c>
      <c r="O356" s="1503">
        <f>1-N357</f>
        <v>0.60421212246798484</v>
      </c>
    </row>
    <row r="357" spans="1:15" ht="12" customHeight="1">
      <c r="A357" s="1517"/>
      <c r="B357" s="1502"/>
      <c r="C357" s="635" t="s">
        <v>6219</v>
      </c>
      <c r="D357" s="636">
        <f>D356/(D356+E356+G356+H356+I356+J356+L356+M356+N356)</f>
        <v>0.24940455439703363</v>
      </c>
      <c r="E357" s="636">
        <f>E356/(D356+E356+G356+H356+I356+J356+L356+M356+N356)</f>
        <v>7.7209243363554586E-2</v>
      </c>
      <c r="F357" s="637">
        <f t="shared" si="10"/>
        <v>0.32661379776058819</v>
      </c>
      <c r="G357" s="636">
        <f>G356/(D356+E356+G356+H356+I356+J356+L356+M356+N356)</f>
        <v>0.19030855905820862</v>
      </c>
      <c r="H357" s="636">
        <f>H356/(D356+E356+G356+H356+I356+J356+L356+M356+N356)</f>
        <v>2.8388798552890442E-2</v>
      </c>
      <c r="I357" s="636">
        <f>I356/(D356+E356+G356+H356+I356+J356+L356+M356+N356)</f>
        <v>0</v>
      </c>
      <c r="J357" s="636">
        <f>J356/(D356+E356+G356+H356+I356+J356+L356+M356+N356)</f>
        <v>2.2240533207215071E-2</v>
      </c>
      <c r="K357" s="637">
        <f t="shared" si="11"/>
        <v>0.24093789081831413</v>
      </c>
      <c r="L357" s="636">
        <f>L356/(D356+E356+G356+H356+I356+J356+L356+M356+N356)</f>
        <v>3.6660433889082564E-2</v>
      </c>
      <c r="M357" s="636">
        <f>M356/(D356+E356+G356+H356+I356+J356+L356+M356+N356)</f>
        <v>0</v>
      </c>
      <c r="N357" s="636">
        <f>N356/(D356+E356+G356+H356+I356+J356+L356+M356+N356)</f>
        <v>0.39578787753201511</v>
      </c>
      <c r="O357" s="1503"/>
    </row>
    <row r="358" spans="1:15" ht="12" customHeight="1">
      <c r="A358" s="1517"/>
      <c r="B358" s="1502" t="s">
        <v>14939</v>
      </c>
      <c r="C358" s="638" t="s">
        <v>6218</v>
      </c>
      <c r="D358" s="639">
        <v>59470</v>
      </c>
      <c r="E358" s="639">
        <v>32862</v>
      </c>
      <c r="F358" s="640">
        <f t="shared" si="10"/>
        <v>92332</v>
      </c>
      <c r="G358" s="639">
        <v>69767</v>
      </c>
      <c r="H358" s="639">
        <v>9823</v>
      </c>
      <c r="I358" s="639"/>
      <c r="J358" s="639"/>
      <c r="K358" s="640">
        <f t="shared" si="11"/>
        <v>79590</v>
      </c>
      <c r="L358" s="639">
        <v>12630</v>
      </c>
      <c r="M358" s="639">
        <v>7300</v>
      </c>
      <c r="N358" s="639">
        <v>215800</v>
      </c>
      <c r="O358" s="1503">
        <f>1-N359</f>
        <v>0.47062690726403889</v>
      </c>
    </row>
    <row r="359" spans="1:15" ht="12" customHeight="1">
      <c r="A359" s="1517"/>
      <c r="B359" s="1502"/>
      <c r="C359" s="635" t="s">
        <v>6219</v>
      </c>
      <c r="D359" s="636">
        <f>D358/(D358+E358+G358+H358+I358+J358+L358+M358+N358)</f>
        <v>0.14588423459225025</v>
      </c>
      <c r="E359" s="636">
        <f>E358/(D358+E358+G358+H358+I358+J358+L358+M358+N358)</f>
        <v>8.0612875688086894E-2</v>
      </c>
      <c r="F359" s="637">
        <f t="shared" si="10"/>
        <v>0.22649711028033714</v>
      </c>
      <c r="G359" s="636">
        <f>G358/(D358+E358+G358+H358+I358+J358+L358+M358+N358)</f>
        <v>0.17114352437863667</v>
      </c>
      <c r="H359" s="636">
        <f>H358/(D358+E358+G358+H358+I358+J358+L358+M358+N358)</f>
        <v>2.4096533317633669E-2</v>
      </c>
      <c r="I359" s="636">
        <f>I358/(D358+E358+G358+H358+I358+J358+L358+M358+N358)</f>
        <v>0</v>
      </c>
      <c r="J359" s="636">
        <f>J358/(D358+E358+G358+H358+I358+J358+L358+M358+N358)</f>
        <v>0</v>
      </c>
      <c r="K359" s="637">
        <f t="shared" si="11"/>
        <v>0.19524005769627034</v>
      </c>
      <c r="L359" s="636">
        <f>L358/(D358+E358+G358+H358+I358+J358+L358+M358+N358)</f>
        <v>3.0982308439551381E-2</v>
      </c>
      <c r="M359" s="636">
        <f>M358/(D358+E358+G358+H358+I358+J358+L358+M358+N358)</f>
        <v>1.7907430847880053E-2</v>
      </c>
      <c r="N359" s="636">
        <f>N358/(D358+E358+G358+H358+I358+J358+L358+M358+N358)</f>
        <v>0.52937309273596111</v>
      </c>
      <c r="O359" s="1503"/>
    </row>
    <row r="360" spans="1:15" ht="12" customHeight="1">
      <c r="A360" s="1517"/>
      <c r="B360" s="1502" t="s">
        <v>14940</v>
      </c>
      <c r="C360" s="638" t="s">
        <v>6218</v>
      </c>
      <c r="D360" s="639">
        <v>87779</v>
      </c>
      <c r="E360" s="639">
        <v>31814</v>
      </c>
      <c r="F360" s="640">
        <f t="shared" si="10"/>
        <v>119593</v>
      </c>
      <c r="G360" s="639">
        <v>77784</v>
      </c>
      <c r="H360" s="639">
        <v>9510</v>
      </c>
      <c r="I360" s="639"/>
      <c r="J360" s="639"/>
      <c r="K360" s="640">
        <f t="shared" si="11"/>
        <v>87294</v>
      </c>
      <c r="L360" s="639">
        <v>14078</v>
      </c>
      <c r="M360" s="639"/>
      <c r="N360" s="639">
        <v>184688</v>
      </c>
      <c r="O360" s="1503">
        <f>1-N361</f>
        <v>0.54471432480469761</v>
      </c>
    </row>
    <row r="361" spans="1:15" ht="12" customHeight="1" thickBot="1">
      <c r="A361" s="1519"/>
      <c r="B361" s="1514"/>
      <c r="C361" s="641" t="s">
        <v>6219</v>
      </c>
      <c r="D361" s="642">
        <f>D360/(D360+E360+G360+H360+I360+J360+L360+M360+N360)</f>
        <v>0.21638937712774217</v>
      </c>
      <c r="E361" s="642">
        <f>E360/(D360+E360+G360+H360+I360+J360+L360+M360+N360)</f>
        <v>7.8426635572767855E-2</v>
      </c>
      <c r="F361" s="643">
        <f t="shared" si="10"/>
        <v>0.29481601270051006</v>
      </c>
      <c r="G361" s="642">
        <f>G360/(D360+E360+G360+H360+I360+J360+L360+M360+N360)</f>
        <v>0.19175009182725136</v>
      </c>
      <c r="H361" s="642">
        <f>H360/(D360+E360+G360+H360+I360+J360+L360+M360+N360)</f>
        <v>2.3443682161847688E-2</v>
      </c>
      <c r="I361" s="642">
        <f>I360/(D360+E360+G360+H360+I360+J360+L360+M360+N360)</f>
        <v>0</v>
      </c>
      <c r="J361" s="642">
        <f>J360/(D360+E360+G360+H360+I360+J360+L360+M360+N360)</f>
        <v>0</v>
      </c>
      <c r="K361" s="643">
        <f t="shared" si="11"/>
        <v>0.21519377398909906</v>
      </c>
      <c r="L361" s="642">
        <f>L360/(D360+E360+G360+H360+I360+J360+L360+M360+N360)</f>
        <v>3.4704538115088508E-2</v>
      </c>
      <c r="M361" s="642">
        <f>M360/(D360+E360+G360+H360+I360+J360+L360+M360+N360)</f>
        <v>0</v>
      </c>
      <c r="N361" s="642">
        <f>N360/(D360+E360+G360+H360+I360+J360+L360+M360+N360)</f>
        <v>0.45528567519530239</v>
      </c>
      <c r="O361" s="1515"/>
    </row>
    <row r="362" spans="1:15" ht="12" customHeight="1">
      <c r="A362" s="1543" t="s">
        <v>14985</v>
      </c>
      <c r="B362" s="1536" t="s">
        <v>14937</v>
      </c>
      <c r="C362" s="632" t="s">
        <v>6218</v>
      </c>
      <c r="D362" s="633">
        <v>53444</v>
      </c>
      <c r="E362" s="633">
        <v>25740</v>
      </c>
      <c r="F362" s="634">
        <f t="shared" si="10"/>
        <v>79184</v>
      </c>
      <c r="G362" s="633">
        <v>57395</v>
      </c>
      <c r="H362" s="633">
        <v>5549</v>
      </c>
      <c r="I362" s="633">
        <v>4010</v>
      </c>
      <c r="J362" s="633">
        <v>3283</v>
      </c>
      <c r="K362" s="634">
        <f t="shared" si="11"/>
        <v>70237</v>
      </c>
      <c r="L362" s="633">
        <v>8551</v>
      </c>
      <c r="M362" s="633">
        <v>3699</v>
      </c>
      <c r="N362" s="633">
        <v>153873</v>
      </c>
      <c r="O362" s="1537">
        <f>1-N363</f>
        <v>0.51235643840478673</v>
      </c>
    </row>
    <row r="363" spans="1:15" ht="12" customHeight="1">
      <c r="A363" s="1530"/>
      <c r="B363" s="1502"/>
      <c r="C363" s="635" t="s">
        <v>6219</v>
      </c>
      <c r="D363" s="636">
        <f>D362/(D362+E362+G362+H362+I362+J362+L362+M362+N362)</f>
        <v>0.16937099105037648</v>
      </c>
      <c r="E363" s="636">
        <f>E362/(D362+E362+G362+H362+I362+J362+L362+M362+N362)</f>
        <v>8.1573409730497176E-2</v>
      </c>
      <c r="F363" s="637">
        <f t="shared" si="10"/>
        <v>0.25094440078087366</v>
      </c>
      <c r="G363" s="636">
        <f>G362/(D362+E362+G362+H362+I362+J362+L362+M362+N362)</f>
        <v>0.18189222422229545</v>
      </c>
      <c r="H363" s="636">
        <f>H362/(D362+E362+G362+H362+I362+J362+L362+M362+N362)</f>
        <v>1.7585503131100577E-2</v>
      </c>
      <c r="I363" s="636">
        <f>I362/(D362+E362+G362+H362+I362+J362+L362+M362+N362)</f>
        <v>1.2708211850011409E-2</v>
      </c>
      <c r="J363" s="636">
        <f>J362/(D362+E362+G362+H362+I362+J362+L362+M362+N362)</f>
        <v>1.0404254240296123E-2</v>
      </c>
      <c r="K363" s="637">
        <f t="shared" si="11"/>
        <v>0.22259019344370357</v>
      </c>
      <c r="L363" s="636">
        <f>L362/(D362+E362+G362+H362+I362+J362+L362+M362+N362)</f>
        <v>2.7099231802854753E-2</v>
      </c>
      <c r="M363" s="636">
        <f>M362/(D362+E362+G362+H362+I362+J362+L362+M362+N362)</f>
        <v>1.1722612377354663E-2</v>
      </c>
      <c r="N363" s="636">
        <f>N362/(D362+E362+G362+H362+I362+J362+L362+M362+N362)</f>
        <v>0.48764356159521333</v>
      </c>
      <c r="O363" s="1503"/>
    </row>
    <row r="364" spans="1:15" ht="12" customHeight="1">
      <c r="A364" s="1530"/>
      <c r="B364" s="1502" t="s">
        <v>14938</v>
      </c>
      <c r="C364" s="638" t="s">
        <v>6218</v>
      </c>
      <c r="D364" s="639">
        <v>92960</v>
      </c>
      <c r="E364" s="639">
        <v>29552</v>
      </c>
      <c r="F364" s="640">
        <f t="shared" si="10"/>
        <v>122512</v>
      </c>
      <c r="G364" s="639">
        <v>56534</v>
      </c>
      <c r="H364" s="639">
        <v>7636</v>
      </c>
      <c r="I364" s="639"/>
      <c r="J364" s="639">
        <v>7909</v>
      </c>
      <c r="K364" s="640">
        <f t="shared" si="11"/>
        <v>72079</v>
      </c>
      <c r="L364" s="639">
        <v>10826</v>
      </c>
      <c r="M364" s="639"/>
      <c r="N364" s="639">
        <v>110227</v>
      </c>
      <c r="O364" s="1503">
        <f>1-N365</f>
        <v>0.65078696252740431</v>
      </c>
    </row>
    <row r="365" spans="1:15" ht="12" customHeight="1">
      <c r="A365" s="1530"/>
      <c r="B365" s="1502"/>
      <c r="C365" s="635" t="s">
        <v>6219</v>
      </c>
      <c r="D365" s="636">
        <f>D364/(D364+E364+G364+H364+I364+J364+L364+M364+N364)</f>
        <v>0.29450900381442385</v>
      </c>
      <c r="E365" s="636">
        <f>E364/(D364+E364+G364+H364+I364+J364+L364+M364+N364)</f>
        <v>9.3624463002623212E-2</v>
      </c>
      <c r="F365" s="637">
        <f t="shared" si="10"/>
        <v>0.38813346681704708</v>
      </c>
      <c r="G365" s="636">
        <f>G364/(D364+E364+G364+H364+I364+J364+L364+M364+N364)</f>
        <v>0.17910684188516177</v>
      </c>
      <c r="H365" s="636">
        <f>H364/(D364+E364+G364+H364+I364+J364+L364+M364+N364)</f>
        <v>2.4191811027613388E-2</v>
      </c>
      <c r="I365" s="636">
        <f>I364/(D364+E364+G364+H364+I364+J364+L364+M364+N364)</f>
        <v>0</v>
      </c>
      <c r="J365" s="636">
        <f>J364/(D364+E364+G364+H364+I364+J364+L364+M364+N364)</f>
        <v>2.5056709457490084E-2</v>
      </c>
      <c r="K365" s="637">
        <f t="shared" si="11"/>
        <v>0.22835536237026524</v>
      </c>
      <c r="L365" s="636">
        <f>L364/(D364+E364+G364+H364+I364+J364+L364+M364+N364)</f>
        <v>3.4298133340092005E-2</v>
      </c>
      <c r="M365" s="636">
        <f>M364/(D364+E364+G364+H364+I364+J364+L364+M364+N364)</f>
        <v>0</v>
      </c>
      <c r="N365" s="636">
        <f>N364/(D364+E364+G364+H364+I364+J364+L364+M364+N364)</f>
        <v>0.34921303747259569</v>
      </c>
      <c r="O365" s="1503"/>
    </row>
    <row r="366" spans="1:15" ht="12" customHeight="1">
      <c r="A366" s="1530"/>
      <c r="B366" s="1502" t="s">
        <v>14939</v>
      </c>
      <c r="C366" s="638" t="s">
        <v>6218</v>
      </c>
      <c r="D366" s="639">
        <v>50877</v>
      </c>
      <c r="E366" s="639">
        <v>28552</v>
      </c>
      <c r="F366" s="640">
        <f t="shared" si="10"/>
        <v>79429</v>
      </c>
      <c r="G366" s="639">
        <v>46571</v>
      </c>
      <c r="H366" s="639">
        <v>5499</v>
      </c>
      <c r="I366" s="639"/>
      <c r="J366" s="639"/>
      <c r="K366" s="640">
        <f t="shared" si="11"/>
        <v>52070</v>
      </c>
      <c r="L366" s="639">
        <v>7895</v>
      </c>
      <c r="M366" s="639">
        <v>5252</v>
      </c>
      <c r="N366" s="639">
        <v>170023</v>
      </c>
      <c r="O366" s="1503">
        <f>1-N367</f>
        <v>0.45967667612634233</v>
      </c>
    </row>
    <row r="367" spans="1:15" ht="12" customHeight="1">
      <c r="A367" s="1530"/>
      <c r="B367" s="1502"/>
      <c r="C367" s="635" t="s">
        <v>6219</v>
      </c>
      <c r="D367" s="636">
        <f>D366/(D366+E366+G366+H366+I366+J366+L366+M366+N366)</f>
        <v>0.16168418242661337</v>
      </c>
      <c r="E367" s="636">
        <f>E366/(D366+E366+G366+H366+I366+J366+L366+M366+N366)</f>
        <v>9.0736615300522142E-2</v>
      </c>
      <c r="F367" s="637">
        <f t="shared" si="10"/>
        <v>0.25242079772713549</v>
      </c>
      <c r="G367" s="636">
        <f>G366/(D366+E366+G366+H366+I366+J366+L366+M366+N366)</f>
        <v>0.14799996186468956</v>
      </c>
      <c r="H367" s="636">
        <f>H366/(D366+E366+G366+H366+I366+J366+L366+M366+N366)</f>
        <v>1.7475506007900366E-2</v>
      </c>
      <c r="I367" s="636">
        <f>I366/(D366+E366+G366+H366+I366+J366+L366+M366+N366)</f>
        <v>0</v>
      </c>
      <c r="J367" s="636">
        <f>J366/(D366+E366+G366+H366+I366+J366+L366+M366+N366)</f>
        <v>0</v>
      </c>
      <c r="K367" s="637">
        <f t="shared" si="11"/>
        <v>0.16547546787258993</v>
      </c>
      <c r="L367" s="636">
        <f>L366/(D366+E366+G366+H366+I366+J366+L366+M366+N366)</f>
        <v>2.5089856325217926E-2</v>
      </c>
      <c r="M367" s="636">
        <f>M366/(D366+E366+G366+H366+I366+J366+L366+M366+N366)</f>
        <v>1.6690554201398929E-2</v>
      </c>
      <c r="N367" s="636">
        <f>N366/(D366+E366+G366+H366+I366+J366+L366+M366+N366)</f>
        <v>0.54032332387365767</v>
      </c>
      <c r="O367" s="1503"/>
    </row>
    <row r="368" spans="1:15" ht="12" customHeight="1">
      <c r="A368" s="1530"/>
      <c r="B368" s="1502" t="s">
        <v>14940</v>
      </c>
      <c r="C368" s="638" t="s">
        <v>6218</v>
      </c>
      <c r="D368" s="639">
        <v>66211</v>
      </c>
      <c r="E368" s="639">
        <v>25285</v>
      </c>
      <c r="F368" s="640">
        <f t="shared" si="10"/>
        <v>91496</v>
      </c>
      <c r="G368" s="639">
        <v>46762</v>
      </c>
      <c r="H368" s="639">
        <v>4953</v>
      </c>
      <c r="I368" s="639"/>
      <c r="J368" s="639"/>
      <c r="K368" s="640">
        <f t="shared" si="11"/>
        <v>51715</v>
      </c>
      <c r="L368" s="639">
        <v>8439</v>
      </c>
      <c r="M368" s="639"/>
      <c r="N368" s="639">
        <v>162356</v>
      </c>
      <c r="O368" s="1503">
        <f>1-N369</f>
        <v>0.48295255504671886</v>
      </c>
    </row>
    <row r="369" spans="1:15" ht="12" customHeight="1" thickBot="1">
      <c r="A369" s="1531"/>
      <c r="B369" s="1514"/>
      <c r="C369" s="641" t="s">
        <v>6219</v>
      </c>
      <c r="D369" s="642">
        <f>D368/(D368+E368+G368+H368+I368+J368+L368+M368+N368)</f>
        <v>0.2108590281714362</v>
      </c>
      <c r="E369" s="642">
        <f>E368/(D368+E368+G368+H368+I368+J368+L368+M368+N368)</f>
        <v>8.052393903301211E-2</v>
      </c>
      <c r="F369" s="643">
        <f t="shared" si="10"/>
        <v>0.29138296720444834</v>
      </c>
      <c r="G369" s="642">
        <f>G368/(D368+E368+G368+H368+I368+J368+L368+M368+N368)</f>
        <v>0.14892072126010331</v>
      </c>
      <c r="H369" s="642">
        <f>H368/(D368+E368+G368+H368+I368+J368+L368+M368+N368)</f>
        <v>1.5773583944255841E-2</v>
      </c>
      <c r="I369" s="642">
        <f>I368/(D368+E368+G368+H368+I368+J368+L368+M368+N368)</f>
        <v>0</v>
      </c>
      <c r="J369" s="642">
        <f>J368/(D368+E368+G368+H368+I368+J368+L368+M368+N368)</f>
        <v>0</v>
      </c>
      <c r="K369" s="643">
        <f t="shared" si="11"/>
        <v>0.16469430520435915</v>
      </c>
      <c r="L369" s="642">
        <f>L368/(D368+E368+G368+H368+I368+J368+L368+M368+N368)</f>
        <v>2.6875282637911377E-2</v>
      </c>
      <c r="M369" s="642">
        <f>M368/(D368+E368+G368+H368+I368+J368+L368+M368+N368)</f>
        <v>0</v>
      </c>
      <c r="N369" s="642">
        <f>N368/(D368+E368+G368+H368+I368+J368+L368+M368+N368)</f>
        <v>0.51704744495328114</v>
      </c>
      <c r="O369" s="1515"/>
    </row>
    <row r="370" spans="1:15" ht="12" customHeight="1">
      <c r="A370" s="1535" t="s">
        <v>14986</v>
      </c>
      <c r="B370" s="1536" t="s">
        <v>14937</v>
      </c>
      <c r="C370" s="632" t="s">
        <v>6218</v>
      </c>
      <c r="D370" s="633">
        <v>68051</v>
      </c>
      <c r="E370" s="633">
        <v>24630</v>
      </c>
      <c r="F370" s="634">
        <f t="shared" si="10"/>
        <v>92681</v>
      </c>
      <c r="G370" s="633">
        <v>99387</v>
      </c>
      <c r="H370" s="633">
        <v>5638</v>
      </c>
      <c r="I370" s="633">
        <v>3080</v>
      </c>
      <c r="J370" s="633">
        <v>6085</v>
      </c>
      <c r="K370" s="634">
        <f t="shared" si="11"/>
        <v>114190</v>
      </c>
      <c r="L370" s="633">
        <v>9169</v>
      </c>
      <c r="M370" s="633">
        <v>4327</v>
      </c>
      <c r="N370" s="633">
        <v>188414</v>
      </c>
      <c r="O370" s="1537">
        <f>1-N371</f>
        <v>0.53908327441833159</v>
      </c>
    </row>
    <row r="371" spans="1:15" ht="12" customHeight="1">
      <c r="A371" s="1517"/>
      <c r="B371" s="1502"/>
      <c r="C371" s="635" t="s">
        <v>6219</v>
      </c>
      <c r="D371" s="636">
        <f>D370/(D370+E370+G370+H370+I370+J370+L370+M370+N370)</f>
        <v>0.16647300143597671</v>
      </c>
      <c r="E371" s="636">
        <f>E370/(D370+E370+G370+H370+I370+J370+L370+M370+N370)</f>
        <v>6.0252311139705611E-2</v>
      </c>
      <c r="F371" s="637">
        <f t="shared" si="10"/>
        <v>0.22672531257568232</v>
      </c>
      <c r="G371" s="636">
        <f>G370/(D370+E370+G370+H370+I370+J370+L370+M370+N370)</f>
        <v>0.24313018462208372</v>
      </c>
      <c r="H371" s="636">
        <f>H370/(D370+E370+G370+H370+I370+J370+L370+M370+N370)</f>
        <v>1.3792226155325223E-2</v>
      </c>
      <c r="I371" s="636">
        <f>I370/(D370+E370+G370+H370+I370+J370+L370+M370+N370)</f>
        <v>7.5345967645267268E-3</v>
      </c>
      <c r="J371" s="636">
        <f>J370/(D370+E370+G370+H370+I370+J370+L370+M370+N370)</f>
        <v>1.4885721205241927E-2</v>
      </c>
      <c r="K371" s="637">
        <f t="shared" si="11"/>
        <v>0.27934272874717764</v>
      </c>
      <c r="L371" s="636">
        <f>L370/(D370+E370+G370+H370+I370+J370+L370+M370+N370)</f>
        <v>2.2430103160371934E-2</v>
      </c>
      <c r="M371" s="636">
        <f>M370/(D370+E370+G370+H370+I370+J370+L370+M370+N370)</f>
        <v>1.0585129935099724E-2</v>
      </c>
      <c r="N371" s="636">
        <f>N370/(D370+E370+G370+H370+I370+J370+L370+M370+N370)</f>
        <v>0.46091672558166841</v>
      </c>
      <c r="O371" s="1503"/>
    </row>
    <row r="372" spans="1:15" ht="12" customHeight="1">
      <c r="A372" s="1517"/>
      <c r="B372" s="1502" t="s">
        <v>14938</v>
      </c>
      <c r="C372" s="638" t="s">
        <v>6218</v>
      </c>
      <c r="D372" s="639">
        <v>108643</v>
      </c>
      <c r="E372" s="639">
        <v>29997</v>
      </c>
      <c r="F372" s="640">
        <f t="shared" si="10"/>
        <v>138640</v>
      </c>
      <c r="G372" s="639">
        <v>84205</v>
      </c>
      <c r="H372" s="639">
        <v>9925</v>
      </c>
      <c r="I372" s="639"/>
      <c r="J372" s="639">
        <v>11515</v>
      </c>
      <c r="K372" s="640">
        <f t="shared" si="11"/>
        <v>105645</v>
      </c>
      <c r="L372" s="639">
        <v>10528</v>
      </c>
      <c r="M372" s="639"/>
      <c r="N372" s="639">
        <v>148734</v>
      </c>
      <c r="O372" s="1503">
        <f>1-N373</f>
        <v>0.63143326551801904</v>
      </c>
    </row>
    <row r="373" spans="1:15" ht="12" customHeight="1">
      <c r="A373" s="1517"/>
      <c r="B373" s="1502"/>
      <c r="C373" s="635" t="s">
        <v>6219</v>
      </c>
      <c r="D373" s="636">
        <f>D372/(D372+E372+G372+H372+I372+J372+L372+M372+N372)</f>
        <v>0.26922018996548108</v>
      </c>
      <c r="E373" s="636">
        <f>E372/(D372+E372+G372+H372+I372+J372+L372+M372+N372)</f>
        <v>7.4333349027498649E-2</v>
      </c>
      <c r="F373" s="637">
        <f t="shared" si="10"/>
        <v>0.34355353899297975</v>
      </c>
      <c r="G373" s="636">
        <f>G372/(D372+E372+G372+H372+I372+J372+L372+M372+N372)</f>
        <v>0.2086621880474889</v>
      </c>
      <c r="H373" s="636">
        <f>H372/(D372+E372+G372+H372+I372+J372+L372+M372+N372)</f>
        <v>2.4594409077505222E-2</v>
      </c>
      <c r="I373" s="636">
        <f>I372/(D372+E372+G372+H372+I372+J372+L372+M372+N372)</f>
        <v>0</v>
      </c>
      <c r="J373" s="636">
        <f>J372/(D372+E372+G372+H372+I372+J372+L372+M372+N372)</f>
        <v>2.853447058211311E-2</v>
      </c>
      <c r="K373" s="637">
        <f t="shared" si="11"/>
        <v>0.26179106770710725</v>
      </c>
      <c r="L373" s="636">
        <f>L372/(D372+E372+G372+H372+I372+J372+L372+M372+N372)</f>
        <v>2.6088658817931987E-2</v>
      </c>
      <c r="M373" s="636">
        <f>M372/(D372+E372+G372+H372+I372+J372+L372+M372+N372)</f>
        <v>0</v>
      </c>
      <c r="N373" s="636">
        <f>N372/(D372+E372+G372+H372+I372+J372+L372+M372+N372)</f>
        <v>0.36856673448198102</v>
      </c>
      <c r="O373" s="1503"/>
    </row>
    <row r="374" spans="1:15" ht="12" customHeight="1">
      <c r="A374" s="1517"/>
      <c r="B374" s="1502" t="s">
        <v>14939</v>
      </c>
      <c r="C374" s="638" t="s">
        <v>6218</v>
      </c>
      <c r="D374" s="639">
        <v>61375</v>
      </c>
      <c r="E374" s="639">
        <v>26190</v>
      </c>
      <c r="F374" s="640">
        <f t="shared" si="10"/>
        <v>87565</v>
      </c>
      <c r="G374" s="639">
        <v>79790</v>
      </c>
      <c r="H374" s="639">
        <v>10137</v>
      </c>
      <c r="I374" s="639"/>
      <c r="J374" s="639"/>
      <c r="K374" s="640">
        <f t="shared" si="11"/>
        <v>89927</v>
      </c>
      <c r="L374" s="639">
        <v>9277</v>
      </c>
      <c r="M374" s="639">
        <v>7261</v>
      </c>
      <c r="N374" s="639">
        <v>204959</v>
      </c>
      <c r="O374" s="1503">
        <f>1-N375</f>
        <v>0.48630413369792147</v>
      </c>
    </row>
    <row r="375" spans="1:15" ht="12" customHeight="1">
      <c r="A375" s="1517"/>
      <c r="B375" s="1502"/>
      <c r="C375" s="635" t="s">
        <v>6219</v>
      </c>
      <c r="D375" s="636">
        <f>D374/(D374+E374+G374+H374+I374+J374+L374+M374+N374)</f>
        <v>0.15382629596304659</v>
      </c>
      <c r="E375" s="636">
        <f>E374/(D374+E374+G374+H374+I374+J374+L374+M374+N374)</f>
        <v>6.5640907393436906E-2</v>
      </c>
      <c r="F375" s="637">
        <f t="shared" si="10"/>
        <v>0.21946720335648351</v>
      </c>
      <c r="G375" s="636">
        <f>G374/(D374+E374+G374+H374+I374+J374+L374+M374+N374)</f>
        <v>0.19998045058886335</v>
      </c>
      <c r="H375" s="636">
        <f>H374/(D374+E374+G374+H374+I374+J374+L374+M374+N374)</f>
        <v>2.5406715473358914E-2</v>
      </c>
      <c r="I375" s="636">
        <f>I374/(D374+E374+G374+H374+I374+J374+L374+M374+N374)</f>
        <v>0</v>
      </c>
      <c r="J375" s="636">
        <f>J374/(D374+E374+G374+H374+I374+J374+L374+M374+N374)</f>
        <v>0</v>
      </c>
      <c r="K375" s="637">
        <f t="shared" si="11"/>
        <v>0.22538716606222226</v>
      </c>
      <c r="L375" s="636">
        <f>L374/(D374+E374+G374+H374+I374+J374+L374+M374+N374)</f>
        <v>2.325126757880543E-2</v>
      </c>
      <c r="M375" s="636">
        <f>M374/(D374+E374+G374+H374+I374+J374+L374+M374+N374)</f>
        <v>1.8198496700410287E-2</v>
      </c>
      <c r="N375" s="636">
        <f>N374/(D374+E374+G374+H374+I374+J374+L374+M374+N374)</f>
        <v>0.51369586630207853</v>
      </c>
      <c r="O375" s="1503"/>
    </row>
    <row r="376" spans="1:15" ht="12" customHeight="1">
      <c r="A376" s="1517"/>
      <c r="B376" s="1502" t="s">
        <v>14940</v>
      </c>
      <c r="C376" s="638" t="s">
        <v>6218</v>
      </c>
      <c r="D376" s="639">
        <v>94473</v>
      </c>
      <c r="E376" s="639">
        <v>29015</v>
      </c>
      <c r="F376" s="640">
        <f t="shared" si="10"/>
        <v>123488</v>
      </c>
      <c r="G376" s="639">
        <v>88646</v>
      </c>
      <c r="H376" s="639">
        <v>8520</v>
      </c>
      <c r="I376" s="639"/>
      <c r="J376" s="639"/>
      <c r="K376" s="640">
        <f t="shared" si="11"/>
        <v>97166</v>
      </c>
      <c r="L376" s="639">
        <v>10154</v>
      </c>
      <c r="M376" s="639"/>
      <c r="N376" s="639">
        <v>166331</v>
      </c>
      <c r="O376" s="1503">
        <f>1-N377</f>
        <v>0.58117686754511644</v>
      </c>
    </row>
    <row r="377" spans="1:15" ht="12" customHeight="1" thickBot="1">
      <c r="A377" s="1519"/>
      <c r="B377" s="1514"/>
      <c r="C377" s="641" t="s">
        <v>6219</v>
      </c>
      <c r="D377" s="642">
        <f>D376/(D376+E376+G376+H376+I376+J376+L376+M376+N376)</f>
        <v>0.23788396506009232</v>
      </c>
      <c r="E377" s="642">
        <f>E376/(D376+E376+G376+H376+I376+J376+L376+M376+N376)</f>
        <v>7.3060062094128256E-2</v>
      </c>
      <c r="F377" s="643">
        <f t="shared" si="10"/>
        <v>0.31094402715422059</v>
      </c>
      <c r="G377" s="642">
        <f>G376/(D376+E376+G376+H376+I376+J376+L376+M376+N376)</f>
        <v>0.22321152039965855</v>
      </c>
      <c r="H377" s="642">
        <f>H376/(D376+E376+G376+H376+I376+J376+L376+M376+N376)</f>
        <v>2.1453445770876191E-2</v>
      </c>
      <c r="I377" s="642">
        <f>I376/(D376+E376+G376+H376+I376+J376+L376+M376+N376)</f>
        <v>0</v>
      </c>
      <c r="J377" s="642">
        <f>J376/(D376+E376+G376+H376+I376+J376+L376+M376+N376)</f>
        <v>0</v>
      </c>
      <c r="K377" s="643">
        <f t="shared" si="11"/>
        <v>0.24466496617053474</v>
      </c>
      <c r="L377" s="642">
        <f>L376/(D376+E376+G376+H376+I376+J376+L376+M376+N376)</f>
        <v>2.5567874220361133E-2</v>
      </c>
      <c r="M377" s="642">
        <f>M376/(D376+E376+G376+H376+I376+J376+L376+M376+N376)</f>
        <v>0</v>
      </c>
      <c r="N377" s="642">
        <f>N376/(D376+E376+G376+H376+I376+J376+L376+M376+N376)</f>
        <v>0.41882313245488356</v>
      </c>
      <c r="O377" s="1515"/>
    </row>
    <row r="378" spans="1:15" ht="12" customHeight="1">
      <c r="A378" s="1535" t="s">
        <v>14987</v>
      </c>
      <c r="B378" s="1536" t="s">
        <v>14937</v>
      </c>
      <c r="C378" s="632" t="s">
        <v>6218</v>
      </c>
      <c r="D378" s="633">
        <v>52663</v>
      </c>
      <c r="E378" s="633">
        <v>16567</v>
      </c>
      <c r="F378" s="634">
        <f t="shared" si="10"/>
        <v>69230</v>
      </c>
      <c r="G378" s="633">
        <v>66957</v>
      </c>
      <c r="H378" s="633">
        <v>3633</v>
      </c>
      <c r="I378" s="633">
        <v>1954</v>
      </c>
      <c r="J378" s="633">
        <v>2963</v>
      </c>
      <c r="K378" s="634">
        <f t="shared" si="11"/>
        <v>75507</v>
      </c>
      <c r="L378" s="633">
        <v>5902</v>
      </c>
      <c r="M378" s="633">
        <v>2612</v>
      </c>
      <c r="N378" s="633">
        <v>120472</v>
      </c>
      <c r="O378" s="1537">
        <f>1-N379</f>
        <v>0.55987622523500036</v>
      </c>
    </row>
    <row r="379" spans="1:15" ht="12" customHeight="1">
      <c r="A379" s="1517"/>
      <c r="B379" s="1502"/>
      <c r="C379" s="635" t="s">
        <v>6219</v>
      </c>
      <c r="D379" s="636">
        <f>D378/(D378+E378+G378+H378+I378+J378+L378+M378+N378)</f>
        <v>0.19239523167581826</v>
      </c>
      <c r="E379" s="636">
        <f>E378/(D378+E378+G378+H378+I378+J378+L378+M378+N378)</f>
        <v>6.0524691019753545E-2</v>
      </c>
      <c r="F379" s="637">
        <f t="shared" si="10"/>
        <v>0.25291992269557179</v>
      </c>
      <c r="G379" s="636">
        <f>G378/(D378+E378+G378+H378+I378+J378+L378+M378+N378)</f>
        <v>0.24461590732236604</v>
      </c>
      <c r="H379" s="636">
        <f>H378/(D378+E378+G378+H378+I378+J378+L378+M378+N378)</f>
        <v>1.3272541949342949E-2</v>
      </c>
      <c r="I379" s="636">
        <f>I378/(D378+E378+G378+H378+I378+J378+L378+M378+N378)</f>
        <v>7.1386036248324031E-3</v>
      </c>
      <c r="J379" s="636">
        <f>J378/(D378+E378+G378+H378+I378+J378+L378+M378+N378)</f>
        <v>1.0824811944922422E-2</v>
      </c>
      <c r="K379" s="637">
        <f t="shared" si="11"/>
        <v>0.27585186484146385</v>
      </c>
      <c r="L379" s="636">
        <f>L378/(D378+E378+G378+H378+I378+J378+L378+M378+N378)</f>
        <v>2.1561944009089482E-2</v>
      </c>
      <c r="M379" s="636">
        <f>M378/(D378+E378+G378+H378+I378+J378+L378+M378+N378)</f>
        <v>9.5424936888752494E-3</v>
      </c>
      <c r="N379" s="636">
        <f>N378/(D378+E378+G378+H378+I378+J378+L378+M378+N378)</f>
        <v>0.44012377476499964</v>
      </c>
      <c r="O379" s="1503"/>
    </row>
    <row r="380" spans="1:15" ht="12" customHeight="1">
      <c r="A380" s="1517"/>
      <c r="B380" s="1502" t="s">
        <v>14938</v>
      </c>
      <c r="C380" s="638" t="s">
        <v>6218</v>
      </c>
      <c r="D380" s="639">
        <v>77241</v>
      </c>
      <c r="E380" s="639">
        <v>21182</v>
      </c>
      <c r="F380" s="640">
        <f t="shared" si="10"/>
        <v>98423</v>
      </c>
      <c r="G380" s="639">
        <v>63632</v>
      </c>
      <c r="H380" s="639">
        <v>6697</v>
      </c>
      <c r="I380" s="639"/>
      <c r="J380" s="639">
        <v>6602</v>
      </c>
      <c r="K380" s="640">
        <f t="shared" si="11"/>
        <v>76931</v>
      </c>
      <c r="L380" s="639">
        <v>6930</v>
      </c>
      <c r="M380" s="639"/>
      <c r="N380" s="639">
        <v>90888</v>
      </c>
      <c r="O380" s="1503">
        <f>1-N381</f>
        <v>0.66728654474104232</v>
      </c>
    </row>
    <row r="381" spans="1:15" ht="12" customHeight="1">
      <c r="A381" s="1517"/>
      <c r="B381" s="1502"/>
      <c r="C381" s="635" t="s">
        <v>6219</v>
      </c>
      <c r="D381" s="636">
        <f>D380/(D380+E380+G380+H380+I380+J380+L380+M380+N380)</f>
        <v>0.28275591934751731</v>
      </c>
      <c r="E381" s="636">
        <f>E380/(D380+E380+G380+H380+I380+J380+L380+M380+N380)</f>
        <v>7.7540889988725048E-2</v>
      </c>
      <c r="F381" s="637">
        <f t="shared" si="10"/>
        <v>0.36029680933624236</v>
      </c>
      <c r="G381" s="636">
        <f>G380/(D380+E380+G380+H380+I380+J380+L380+M380+N380)</f>
        <v>0.23293748993308244</v>
      </c>
      <c r="H381" s="636">
        <f>H380/(D380+E380+G380+H380+I380+J380+L380+M380+N380)</f>
        <v>2.451568974858331E-2</v>
      </c>
      <c r="I381" s="636">
        <f>I380/(D380+E380+G380+H380+I380+J380+L380+M380+N380)</f>
        <v>0</v>
      </c>
      <c r="J381" s="636">
        <f>J380/(D380+E380+G380+H380+I380+J380+L380+M380+N380)</f>
        <v>2.4167923506069437E-2</v>
      </c>
      <c r="K381" s="637">
        <f t="shared" si="11"/>
        <v>0.2816211031877352</v>
      </c>
      <c r="L381" s="636">
        <f>L380/(D380+E380+G380+H380+I380+J380+L380+M380+N380)</f>
        <v>2.5368632217064705E-2</v>
      </c>
      <c r="M381" s="636">
        <f>M380/(D380+E380+G380+H380+I380+J380+L380+M380+N380)</f>
        <v>0</v>
      </c>
      <c r="N381" s="636">
        <f>N380/(D380+E380+G380+H380+I380+J380+L380+M380+N380)</f>
        <v>0.33271345525895774</v>
      </c>
      <c r="O381" s="1503"/>
    </row>
    <row r="382" spans="1:15" ht="12" customHeight="1">
      <c r="A382" s="1517"/>
      <c r="B382" s="1502" t="s">
        <v>14939</v>
      </c>
      <c r="C382" s="638" t="s">
        <v>6218</v>
      </c>
      <c r="D382" s="639">
        <v>48217</v>
      </c>
      <c r="E382" s="639">
        <v>18483</v>
      </c>
      <c r="F382" s="640">
        <f t="shared" si="10"/>
        <v>66700</v>
      </c>
      <c r="G382" s="639">
        <v>51526</v>
      </c>
      <c r="H382" s="639">
        <v>5770</v>
      </c>
      <c r="I382" s="639"/>
      <c r="J382" s="639"/>
      <c r="K382" s="640">
        <f t="shared" si="11"/>
        <v>57296</v>
      </c>
      <c r="L382" s="639">
        <v>6311</v>
      </c>
      <c r="M382" s="639">
        <v>4407</v>
      </c>
      <c r="N382" s="639">
        <v>137274</v>
      </c>
      <c r="O382" s="1503">
        <f>1-N383</f>
        <v>0.49529391002544232</v>
      </c>
    </row>
    <row r="383" spans="1:15" ht="12" customHeight="1">
      <c r="A383" s="1517"/>
      <c r="B383" s="1502"/>
      <c r="C383" s="635" t="s">
        <v>6219</v>
      </c>
      <c r="D383" s="636">
        <f>D382/(D382+E382+G382+H382+I382+J382+L382+M382+N382)</f>
        <v>0.17727620336191302</v>
      </c>
      <c r="E383" s="636">
        <f>E382/(D382+E382+G382+H382+I382+J382+L382+M382+N382)</f>
        <v>6.7955203906054681E-2</v>
      </c>
      <c r="F383" s="637">
        <f t="shared" si="10"/>
        <v>0.24523140726796772</v>
      </c>
      <c r="G383" s="636">
        <f>G382/(D382+E382+G382+H382+I382+J382+L382+M382+N382)</f>
        <v>0.18944218127270321</v>
      </c>
      <c r="H383" s="636">
        <f>H382/(D382+E382+G382+H382+I382+J382+L382+M382+N382)</f>
        <v>2.1214171213435887E-2</v>
      </c>
      <c r="I383" s="636">
        <f>I382/(D382+E382+G382+H382+I382+J382+L382+M382+N382)</f>
        <v>0</v>
      </c>
      <c r="J383" s="636">
        <f>J382/(D382+E382+G382+H382+I382+J382+L382+M382+N382)</f>
        <v>0</v>
      </c>
      <c r="K383" s="637">
        <f t="shared" si="11"/>
        <v>0.21065635248613909</v>
      </c>
      <c r="L383" s="636">
        <f>L382/(D382+E382+G382+H382+I382+J382+L382+M382+N382)</f>
        <v>2.3203229554245041E-2</v>
      </c>
      <c r="M383" s="636">
        <f>M382/(D382+E382+G382+H382+I382+J382+L382+M382+N382)</f>
        <v>1.6202920717090459E-2</v>
      </c>
      <c r="N383" s="636">
        <f>N382/(D382+E382+G382+H382+I382+J382+L382+M382+N382)</f>
        <v>0.50470608997455768</v>
      </c>
      <c r="O383" s="1503"/>
    </row>
    <row r="384" spans="1:15" ht="12" customHeight="1">
      <c r="A384" s="1517"/>
      <c r="B384" s="1502" t="s">
        <v>14940</v>
      </c>
      <c r="C384" s="638" t="s">
        <v>6218</v>
      </c>
      <c r="D384" s="639">
        <v>69768</v>
      </c>
      <c r="E384" s="639">
        <v>19221</v>
      </c>
      <c r="F384" s="640">
        <f t="shared" si="10"/>
        <v>88989</v>
      </c>
      <c r="G384" s="639">
        <v>56850</v>
      </c>
      <c r="H384" s="639">
        <v>5758</v>
      </c>
      <c r="I384" s="639"/>
      <c r="J384" s="639"/>
      <c r="K384" s="640">
        <f t="shared" si="11"/>
        <v>62608</v>
      </c>
      <c r="L384" s="639">
        <v>6907</v>
      </c>
      <c r="M384" s="639"/>
      <c r="N384" s="639">
        <v>113013</v>
      </c>
      <c r="O384" s="1503">
        <f>1-N385</f>
        <v>0.58377191851707266</v>
      </c>
    </row>
    <row r="385" spans="1:15" ht="12" customHeight="1" thickBot="1">
      <c r="A385" s="1519"/>
      <c r="B385" s="1514"/>
      <c r="C385" s="641" t="s">
        <v>6219</v>
      </c>
      <c r="D385" s="642">
        <f>D384/(D384+E384+G384+H384+I384+J384+L384+M384+N384)</f>
        <v>0.25695628634671125</v>
      </c>
      <c r="E385" s="642">
        <f>E384/(D384+E384+G384+H384+I384+J384+L384+M384+N384)</f>
        <v>7.0791147515625166E-2</v>
      </c>
      <c r="F385" s="643">
        <f t="shared" si="10"/>
        <v>0.3277474338623364</v>
      </c>
      <c r="G385" s="642">
        <f>G384/(D384+E384+G384+H384+I384+J384+L384+M384+N384)</f>
        <v>0.20937915489637848</v>
      </c>
      <c r="H385" s="642">
        <f>H384/(D384+E384+G384+H384+I384+J384+L384+M384+N384)</f>
        <v>2.1206775266373743E-2</v>
      </c>
      <c r="I385" s="642">
        <f>I384/(D384+E384+G384+H384+I384+J384+L384+M384+N384)</f>
        <v>0</v>
      </c>
      <c r="J385" s="642">
        <f>J384/(D384+E384+G384+H384+I384+J384+L384+M384+N384)</f>
        <v>0</v>
      </c>
      <c r="K385" s="643">
        <f t="shared" si="11"/>
        <v>0.23058593016275222</v>
      </c>
      <c r="L385" s="642">
        <f>L384/(D384+E384+G384+H384+I384+J384+L384+M384+N384)</f>
        <v>2.5438554491983928E-2</v>
      </c>
      <c r="M385" s="642">
        <f>M384/(D384+E384+G384+H384+I384+J384+L384+M384+N384)</f>
        <v>0</v>
      </c>
      <c r="N385" s="642">
        <f>N384/(D384+E384+G384+H384+I384+J384+L384+M384+N384)</f>
        <v>0.41622808148292739</v>
      </c>
      <c r="O385" s="1515"/>
    </row>
    <row r="386" spans="1:15" ht="12" customHeight="1">
      <c r="A386" s="1539" t="s">
        <v>14988</v>
      </c>
      <c r="B386" s="1536" t="s">
        <v>14937</v>
      </c>
      <c r="C386" s="632" t="s">
        <v>6218</v>
      </c>
      <c r="D386" s="633">
        <v>47818</v>
      </c>
      <c r="E386" s="633">
        <v>17094</v>
      </c>
      <c r="F386" s="634">
        <f t="shared" ref="F386:F449" si="12">SUM(D386:E386)</f>
        <v>64912</v>
      </c>
      <c r="G386" s="633">
        <v>52756</v>
      </c>
      <c r="H386" s="633">
        <v>3115</v>
      </c>
      <c r="I386" s="633">
        <v>1899</v>
      </c>
      <c r="J386" s="633">
        <v>2556</v>
      </c>
      <c r="K386" s="634">
        <f t="shared" ref="K386:K449" si="13">SUM(G386:J386)</f>
        <v>60326</v>
      </c>
      <c r="L386" s="633">
        <v>5247</v>
      </c>
      <c r="M386" s="633">
        <v>2403</v>
      </c>
      <c r="N386" s="633">
        <v>113239</v>
      </c>
      <c r="O386" s="1537">
        <f>1-N387</f>
        <v>0.5399163846306988</v>
      </c>
    </row>
    <row r="387" spans="1:15" ht="12" customHeight="1">
      <c r="A387" s="1540"/>
      <c r="B387" s="1502"/>
      <c r="C387" s="635" t="s">
        <v>6219</v>
      </c>
      <c r="D387" s="636">
        <f>D386/(D386+E386+G386+H386+I386+J386+L386+M386+N386)</f>
        <v>0.19428181386032414</v>
      </c>
      <c r="E387" s="636">
        <f>E386/(D386+E386+G386+H386+I386+J386+L386+M386+N386)</f>
        <v>6.9451949603253599E-2</v>
      </c>
      <c r="F387" s="637">
        <f t="shared" si="12"/>
        <v>0.26373376346357774</v>
      </c>
      <c r="G387" s="636">
        <f>G386/(D386+E386+G386+H386+I386+J386+L386+M386+N386)</f>
        <v>0.21434462696087792</v>
      </c>
      <c r="H387" s="636">
        <f>H386/(D386+E386+G386+H386+I386+J386+L386+M386+N386)</f>
        <v>1.2656067802394699E-2</v>
      </c>
      <c r="I387" s="636">
        <f>I386/(D386+E386+G386+H386+I386+J386+L386+M386+N386)</f>
        <v>7.7155289748788228E-3</v>
      </c>
      <c r="J387" s="636">
        <f>J386/(D386+E386+G386+H386+I386+J386+L386+M386+N386)</f>
        <v>1.0384882601258701E-2</v>
      </c>
      <c r="K387" s="637">
        <f t="shared" si="13"/>
        <v>0.24510110633941012</v>
      </c>
      <c r="L387" s="636">
        <f>L386/(D386+E386+G386+H386+I386+J386+L386+M386+N386)</f>
        <v>2.1318262523006417E-2</v>
      </c>
      <c r="M387" s="636">
        <f>M386/(D386+E386+G386+H386+I386+J386+L386+M386+N386)</f>
        <v>9.7632523047044822E-3</v>
      </c>
      <c r="N387" s="636">
        <f>N386/(D386+E386+G386+H386+I386+J386+L386+M386+N386)</f>
        <v>0.4600836153693012</v>
      </c>
      <c r="O387" s="1503"/>
    </row>
    <row r="388" spans="1:15" ht="12" customHeight="1">
      <c r="A388" s="1540"/>
      <c r="B388" s="1502" t="s">
        <v>14938</v>
      </c>
      <c r="C388" s="638" t="s">
        <v>6218</v>
      </c>
      <c r="D388" s="639">
        <v>67062</v>
      </c>
      <c r="E388" s="639">
        <v>22058</v>
      </c>
      <c r="F388" s="640">
        <f t="shared" si="12"/>
        <v>89120</v>
      </c>
      <c r="G388" s="639">
        <v>44742</v>
      </c>
      <c r="H388" s="639">
        <v>7376</v>
      </c>
      <c r="I388" s="639"/>
      <c r="J388" s="639">
        <v>5959</v>
      </c>
      <c r="K388" s="640">
        <f t="shared" si="13"/>
        <v>58077</v>
      </c>
      <c r="L388" s="639">
        <v>6645</v>
      </c>
      <c r="M388" s="639"/>
      <c r="N388" s="639">
        <v>91252</v>
      </c>
      <c r="O388" s="1503">
        <f>1-N389</f>
        <v>0.62768570426040626</v>
      </c>
    </row>
    <row r="389" spans="1:15" ht="12" customHeight="1">
      <c r="A389" s="1540"/>
      <c r="B389" s="1502"/>
      <c r="C389" s="635" t="s">
        <v>6219</v>
      </c>
      <c r="D389" s="636">
        <f>D388/(D388+E388+G388+H388+I388+J388+L388+M388+N388)</f>
        <v>0.27361746921589269</v>
      </c>
      <c r="E389" s="636">
        <f>E388/(D388+E388+G388+H388+I388+J388+L388+M388+N388)</f>
        <v>8.9998123169069827E-2</v>
      </c>
      <c r="F389" s="637">
        <f t="shared" si="12"/>
        <v>0.36361559238496255</v>
      </c>
      <c r="G389" s="636">
        <f>G388/(D388+E388+G388+H388+I388+J388+L388+M388+N388)</f>
        <v>0.18255036843007172</v>
      </c>
      <c r="H389" s="636">
        <f>H388/(D388+E388+G388+H388+I388+J388+L388+M388+N388)</f>
        <v>3.0094575958611799E-2</v>
      </c>
      <c r="I389" s="636">
        <f>I388/(D388+E388+G388+H388+I388+J388+L388+M388+N388)</f>
        <v>0</v>
      </c>
      <c r="J389" s="636">
        <f>J388/(D388+E388+G388+H388+I388+J388+L388+M388+N388)</f>
        <v>2.4313120680228811E-2</v>
      </c>
      <c r="K389" s="637">
        <f t="shared" si="13"/>
        <v>0.23695806506891234</v>
      </c>
      <c r="L389" s="636">
        <f>L388/(D388+E388+G388+H388+I388+J388+L388+M388+N388)</f>
        <v>2.711204680653137E-2</v>
      </c>
      <c r="M389" s="636">
        <f>M388/(D388+E388+G388+H388+I388+J388+L388+M388+N388)</f>
        <v>0</v>
      </c>
      <c r="N389" s="636">
        <f>N388/(D388+E388+G388+H388+I388+J388+L388+M388+N388)</f>
        <v>0.37231429573959379</v>
      </c>
      <c r="O389" s="1503"/>
    </row>
    <row r="390" spans="1:15" ht="12" customHeight="1">
      <c r="A390" s="1540"/>
      <c r="B390" s="1502" t="s">
        <v>14939</v>
      </c>
      <c r="C390" s="638" t="s">
        <v>6218</v>
      </c>
      <c r="D390" s="639">
        <v>46868</v>
      </c>
      <c r="E390" s="639">
        <v>17453</v>
      </c>
      <c r="F390" s="640">
        <f t="shared" si="12"/>
        <v>64321</v>
      </c>
      <c r="G390" s="639">
        <v>41650</v>
      </c>
      <c r="H390" s="639">
        <v>5057</v>
      </c>
      <c r="I390" s="639"/>
      <c r="J390" s="639"/>
      <c r="K390" s="640">
        <f t="shared" si="13"/>
        <v>46707</v>
      </c>
      <c r="L390" s="639">
        <v>5775</v>
      </c>
      <c r="M390" s="639">
        <v>3967</v>
      </c>
      <c r="N390" s="639">
        <v>122601</v>
      </c>
      <c r="O390" s="1503">
        <f>1-N391</f>
        <v>0.4962382535306179</v>
      </c>
    </row>
    <row r="391" spans="1:15" ht="12" customHeight="1">
      <c r="A391" s="1540"/>
      <c r="B391" s="1502"/>
      <c r="C391" s="635" t="s">
        <v>6219</v>
      </c>
      <c r="D391" s="636">
        <f>D390/(D390+E390+G390+H390+I390+J390+L390+M390+N390)</f>
        <v>0.19257840909557836</v>
      </c>
      <c r="E391" s="636">
        <f>E390/(D390+E390+G390+H390+I390+J390+L390+M390+N390)</f>
        <v>7.1713556668625264E-2</v>
      </c>
      <c r="F391" s="637">
        <f t="shared" si="12"/>
        <v>0.26429196576420361</v>
      </c>
      <c r="G391" s="636">
        <f>G390/(D390+E390+G390+H390+I390+J390+L390+M390+N390)</f>
        <v>0.17113789235364937</v>
      </c>
      <c r="H391" s="636">
        <f>H390/(D390+E390+G390+H390+I390+J390+L390+M390+N390)</f>
        <v>2.0778975309301437E-2</v>
      </c>
      <c r="I391" s="636">
        <f>I390/(D390+E390+G390+H390+I390+J390+L390+M390+N390)</f>
        <v>0</v>
      </c>
      <c r="J391" s="636">
        <f>J390/(D390+E390+G390+H390+I390+J390+L390+M390+N390)</f>
        <v>0</v>
      </c>
      <c r="K391" s="637">
        <f t="shared" si="13"/>
        <v>0.1919168676629508</v>
      </c>
      <c r="L391" s="636">
        <f>L390/(D390+E390+G390+H390+I390+J390+L390+M390+N390)</f>
        <v>2.3729203561640457E-2</v>
      </c>
      <c r="M391" s="636">
        <f>M390/(D390+E390+G390+H390+I390+J390+L390+M390+N390)</f>
        <v>1.6300216541822978E-2</v>
      </c>
      <c r="N391" s="636">
        <f>N390/(D390+E390+G390+H390+I390+J390+L390+M390+N390)</f>
        <v>0.5037617464693821</v>
      </c>
      <c r="O391" s="1503"/>
    </row>
    <row r="392" spans="1:15" ht="12" customHeight="1">
      <c r="A392" s="1540"/>
      <c r="B392" s="1502" t="s">
        <v>14940</v>
      </c>
      <c r="C392" s="638" t="s">
        <v>6218</v>
      </c>
      <c r="D392" s="639">
        <v>64344</v>
      </c>
      <c r="E392" s="639">
        <v>18550</v>
      </c>
      <c r="F392" s="640">
        <f t="shared" si="12"/>
        <v>82894</v>
      </c>
      <c r="G392" s="639">
        <v>38732</v>
      </c>
      <c r="H392" s="639">
        <v>7684</v>
      </c>
      <c r="I392" s="639"/>
      <c r="J392" s="639"/>
      <c r="K392" s="640">
        <f t="shared" si="13"/>
        <v>46416</v>
      </c>
      <c r="L392" s="639">
        <v>5838</v>
      </c>
      <c r="M392" s="639"/>
      <c r="N392" s="639">
        <v>107452</v>
      </c>
      <c r="O392" s="1503">
        <f>1-N393</f>
        <v>0.55708161582852433</v>
      </c>
    </row>
    <row r="393" spans="1:15" ht="12" customHeight="1" thickBot="1">
      <c r="A393" s="1541"/>
      <c r="B393" s="1514"/>
      <c r="C393" s="641" t="s">
        <v>6219</v>
      </c>
      <c r="D393" s="642">
        <f>D392/(D392+E392+G392+H392+I392+J392+L392+M392+N392)</f>
        <v>0.26522671063478975</v>
      </c>
      <c r="E393" s="642">
        <f>E392/(D392+E392+G392+H392+I392+J392+L392+M392+N392)</f>
        <v>7.6463314097279467E-2</v>
      </c>
      <c r="F393" s="643">
        <f t="shared" si="12"/>
        <v>0.34169002473206922</v>
      </c>
      <c r="G393" s="642">
        <f>G392/(D392+E392+G392+H392+I392+J392+L392+M392+N392)</f>
        <v>0.15965375103050289</v>
      </c>
      <c r="H393" s="642">
        <f>H392/(D392+E392+G392+H392+I392+J392+L392+M392+N392)</f>
        <v>3.1673536685902719E-2</v>
      </c>
      <c r="I393" s="642">
        <f>I392/(D392+E392+G392+H392+I392+J392+L392+M392+N392)</f>
        <v>0</v>
      </c>
      <c r="J393" s="642">
        <f>J392/(D392+E392+G392+H392+I392+J392+L392+M392+N392)</f>
        <v>0</v>
      </c>
      <c r="K393" s="643">
        <f t="shared" si="13"/>
        <v>0.19132728771640561</v>
      </c>
      <c r="L393" s="642">
        <f>L392/(D392+E392+G392+H392+I392+J392+L392+M392+N392)</f>
        <v>2.4064303380049463E-2</v>
      </c>
      <c r="M393" s="642">
        <f>M392/(D392+E392+G392+H392+I392+J392+L392+M392+N392)</f>
        <v>0</v>
      </c>
      <c r="N393" s="642">
        <f>N392/(D392+E392+G392+H392+I392+J392+L392+M392+N392)</f>
        <v>0.44291838417147567</v>
      </c>
      <c r="O393" s="1515"/>
    </row>
    <row r="394" spans="1:15" ht="12" customHeight="1">
      <c r="A394" s="1535" t="s">
        <v>14989</v>
      </c>
      <c r="B394" s="1536" t="s">
        <v>14937</v>
      </c>
      <c r="C394" s="632" t="s">
        <v>6218</v>
      </c>
      <c r="D394" s="633">
        <v>73692</v>
      </c>
      <c r="E394" s="633">
        <v>23461</v>
      </c>
      <c r="F394" s="634">
        <f t="shared" si="12"/>
        <v>97153</v>
      </c>
      <c r="G394" s="633">
        <v>97769</v>
      </c>
      <c r="H394" s="633">
        <v>5773</v>
      </c>
      <c r="I394" s="633">
        <v>3012</v>
      </c>
      <c r="J394" s="633">
        <v>4806</v>
      </c>
      <c r="K394" s="634">
        <f t="shared" si="13"/>
        <v>111360</v>
      </c>
      <c r="L394" s="633">
        <v>9121</v>
      </c>
      <c r="M394" s="633">
        <v>4404</v>
      </c>
      <c r="N394" s="633">
        <v>175395</v>
      </c>
      <c r="O394" s="1537">
        <f>1-N395</f>
        <v>0.55868033102434878</v>
      </c>
    </row>
    <row r="395" spans="1:15" ht="12" customHeight="1">
      <c r="A395" s="1517"/>
      <c r="B395" s="1502"/>
      <c r="C395" s="635" t="s">
        <v>6219</v>
      </c>
      <c r="D395" s="636">
        <f>D394/(D394+E394+G394+H394+I394+J394+L394+M394+N394)</f>
        <v>0.18541993241628149</v>
      </c>
      <c r="E395" s="636">
        <f>E394/(D394+E394+G394+H394+I394+J394+L394+M394+N394)</f>
        <v>5.9031333583270638E-2</v>
      </c>
      <c r="F395" s="637">
        <f t="shared" si="12"/>
        <v>0.24445126599955214</v>
      </c>
      <c r="G395" s="636">
        <f>G394/(D394+E394+G394+H394+I394+J394+L394+M394+N394)</f>
        <v>0.24600121278303513</v>
      </c>
      <c r="H395" s="636">
        <f>H394/(D394+E394+G394+H394+I394+J394+L394+M394+N394)</f>
        <v>1.4525718800401577E-2</v>
      </c>
      <c r="I395" s="636">
        <f>I394/(D394+E394+G394+H394+I394+J394+L394+M394+N394)</f>
        <v>7.5786358958616924E-3</v>
      </c>
      <c r="J395" s="636">
        <f>J394/(D394+E394+G394+H394+I394+J394+L394+M394+N394)</f>
        <v>1.2092604288018357E-2</v>
      </c>
      <c r="K395" s="637">
        <f t="shared" si="13"/>
        <v>0.28019817176731676</v>
      </c>
      <c r="L395" s="636">
        <f>L394/(D394+E394+G394+H394+I394+J394+L394+M394+N394)</f>
        <v>2.2949780214526726E-2</v>
      </c>
      <c r="M395" s="636">
        <f>M394/(D394+E394+G394+H394+I394+J394+L394+M394+N394)</f>
        <v>1.1081113042953152E-2</v>
      </c>
      <c r="N395" s="636">
        <f>N394/(D394+E394+G394+H394+I394+J394+L394+M394+N394)</f>
        <v>0.44131966897565122</v>
      </c>
      <c r="O395" s="1503"/>
    </row>
    <row r="396" spans="1:15" ht="12" customHeight="1">
      <c r="A396" s="1517"/>
      <c r="B396" s="1502" t="s">
        <v>14938</v>
      </c>
      <c r="C396" s="638" t="s">
        <v>6218</v>
      </c>
      <c r="D396" s="639">
        <v>109015</v>
      </c>
      <c r="E396" s="639">
        <v>29325</v>
      </c>
      <c r="F396" s="640">
        <f t="shared" si="12"/>
        <v>138340</v>
      </c>
      <c r="G396" s="639">
        <v>85573</v>
      </c>
      <c r="H396" s="639">
        <v>10395</v>
      </c>
      <c r="I396" s="639"/>
      <c r="J396" s="639">
        <v>10255</v>
      </c>
      <c r="K396" s="640">
        <f t="shared" si="13"/>
        <v>106223</v>
      </c>
      <c r="L396" s="639">
        <v>11208</v>
      </c>
      <c r="M396" s="639"/>
      <c r="N396" s="639">
        <v>138711</v>
      </c>
      <c r="O396" s="1503">
        <f>1-N397</f>
        <v>0.64837178882686664</v>
      </c>
    </row>
    <row r="397" spans="1:15" ht="12" customHeight="1">
      <c r="A397" s="1517"/>
      <c r="B397" s="1502"/>
      <c r="C397" s="635" t="s">
        <v>6219</v>
      </c>
      <c r="D397" s="636">
        <f>D396/(D396+E396+G396+H396+I396+J396+L396+M396+N396)</f>
        <v>0.27634974472853008</v>
      </c>
      <c r="E397" s="636">
        <f>E396/(D396+E396+G396+H396+I396+J396+L396+M396+N396)</f>
        <v>7.4337992608027745E-2</v>
      </c>
      <c r="F397" s="637">
        <f t="shared" si="12"/>
        <v>0.35068773733655784</v>
      </c>
      <c r="G397" s="636">
        <f>G396/(D396+E396+G396+H396+I396+J396+L396+M396+N396)</f>
        <v>0.21692498010048622</v>
      </c>
      <c r="H397" s="636">
        <f>H396/(D396+E396+G396+H396+I396+J396+L396+M396+N396)</f>
        <v>2.6351012213485025E-2</v>
      </c>
      <c r="I397" s="636">
        <f>I396/(D396+E396+G396+H396+I396+J396+L396+M396+N396)</f>
        <v>0</v>
      </c>
      <c r="J397" s="636">
        <f>J396/(D396+E396+G396+H396+I396+J396+L396+M396+N396)</f>
        <v>2.5996116426098021E-2</v>
      </c>
      <c r="K397" s="637">
        <f t="shared" si="13"/>
        <v>0.26927210874006924</v>
      </c>
      <c r="L397" s="636">
        <f>L396/(D396+E396+G396+H396+I396+J396+L396+M396+N396)</f>
        <v>2.8411942750239554E-2</v>
      </c>
      <c r="M397" s="636">
        <f>M396/(D396+E396+G396+H396+I396+J396+L396+M396+N396)</f>
        <v>0</v>
      </c>
      <c r="N397" s="636">
        <f>N396/(D396+E396+G396+H396+I396+J396+L396+M396+N396)</f>
        <v>0.35162821117313336</v>
      </c>
      <c r="O397" s="1503"/>
    </row>
    <row r="398" spans="1:15" ht="12" customHeight="1">
      <c r="A398" s="1517"/>
      <c r="B398" s="1502" t="s">
        <v>14939</v>
      </c>
      <c r="C398" s="638" t="s">
        <v>6218</v>
      </c>
      <c r="D398" s="639">
        <v>67835</v>
      </c>
      <c r="E398" s="639">
        <v>24359</v>
      </c>
      <c r="F398" s="640">
        <f t="shared" si="12"/>
        <v>92194</v>
      </c>
      <c r="G398" s="639">
        <v>76303</v>
      </c>
      <c r="H398" s="639">
        <v>8702</v>
      </c>
      <c r="I398" s="639"/>
      <c r="J398" s="639"/>
      <c r="K398" s="640">
        <f t="shared" si="13"/>
        <v>85005</v>
      </c>
      <c r="L398" s="639">
        <v>9287</v>
      </c>
      <c r="M398" s="639">
        <v>6423</v>
      </c>
      <c r="N398" s="639">
        <v>198537</v>
      </c>
      <c r="O398" s="1503">
        <f>1-N399</f>
        <v>0.49281126898729322</v>
      </c>
    </row>
    <row r="399" spans="1:15" ht="12" customHeight="1">
      <c r="A399" s="1517"/>
      <c r="B399" s="1502"/>
      <c r="C399" s="635" t="s">
        <v>6219</v>
      </c>
      <c r="D399" s="636">
        <f>D398/(D398+E398+G398+H398+I398+J398+L398+M398+N398)</f>
        <v>0.17329337890794644</v>
      </c>
      <c r="E399" s="636">
        <f>E398/(D398+E398+G398+H398+I398+J398+L398+M398+N398)</f>
        <v>6.2228251150861169E-2</v>
      </c>
      <c r="F399" s="637">
        <f t="shared" si="12"/>
        <v>0.23552163005880761</v>
      </c>
      <c r="G399" s="636">
        <f>G398/(D398+E398+G398+H398+I398+J398+L398+M398+N398)</f>
        <v>0.19492599234632618</v>
      </c>
      <c r="H399" s="636">
        <f>H398/(D398+E398+G398+H398+I398+J398+L398+M398+N398)</f>
        <v>2.2230397040715704E-2</v>
      </c>
      <c r="I399" s="636">
        <f>I398/(D398+E398+G398+H398+I398+J398+L398+M398+N398)</f>
        <v>0</v>
      </c>
      <c r="J399" s="636">
        <f>J398/(D398+E398+G398+H398+I398+J398+L398+M398+N398)</f>
        <v>0</v>
      </c>
      <c r="K399" s="637">
        <f t="shared" si="13"/>
        <v>0.21715638938704188</v>
      </c>
      <c r="L399" s="636">
        <f>L398/(D398+E398+G398+H398+I398+J398+L398+M398+N398)</f>
        <v>2.3724856046555592E-2</v>
      </c>
      <c r="M399" s="636">
        <f>M398/(D398+E398+G398+H398+I398+J398+L398+M398+N398)</f>
        <v>1.6408393494888183E-2</v>
      </c>
      <c r="N399" s="636">
        <f>N398/(D398+E398+G398+H398+I398+J398+L398+M398+N398)</f>
        <v>0.50718873101270678</v>
      </c>
      <c r="O399" s="1503"/>
    </row>
    <row r="400" spans="1:15" ht="12" customHeight="1">
      <c r="A400" s="1517"/>
      <c r="B400" s="1502" t="s">
        <v>14940</v>
      </c>
      <c r="C400" s="638" t="s">
        <v>6218</v>
      </c>
      <c r="D400" s="639">
        <v>100441</v>
      </c>
      <c r="E400" s="639">
        <v>26906</v>
      </c>
      <c r="F400" s="640">
        <f t="shared" si="12"/>
        <v>127347</v>
      </c>
      <c r="G400" s="639">
        <v>87948</v>
      </c>
      <c r="H400" s="639">
        <v>7748</v>
      </c>
      <c r="I400" s="639"/>
      <c r="J400" s="639"/>
      <c r="K400" s="640">
        <f t="shared" si="13"/>
        <v>95696</v>
      </c>
      <c r="L400" s="639">
        <v>10030</v>
      </c>
      <c r="M400" s="639"/>
      <c r="N400" s="639">
        <v>156811</v>
      </c>
      <c r="O400" s="1503">
        <f>1-N401</f>
        <v>0.59780088436560619</v>
      </c>
    </row>
    <row r="401" spans="1:15" ht="12" customHeight="1" thickBot="1">
      <c r="A401" s="1519"/>
      <c r="B401" s="1514"/>
      <c r="C401" s="641" t="s">
        <v>6219</v>
      </c>
      <c r="D401" s="642">
        <f>D400/(D400+E400+G400+H400+I400+J400+L400+M400+N400)</f>
        <v>0.25761765037806117</v>
      </c>
      <c r="E401" s="642">
        <f>E400/(D400+E400+G400+H400+I400+J400+L400+M400+N400)</f>
        <v>6.901026972125042E-2</v>
      </c>
      <c r="F401" s="643">
        <f t="shared" si="12"/>
        <v>0.32662792009931157</v>
      </c>
      <c r="G401" s="642">
        <f>G400/(D400+E400+G400+H400+I400+J400+L400+M400+N400)</f>
        <v>0.22557478634670824</v>
      </c>
      <c r="H401" s="642">
        <f>H400/(D400+E400+G400+H400+I400+J400+L400+M400+N400)</f>
        <v>1.9872577484585159E-2</v>
      </c>
      <c r="I401" s="642">
        <f>I400/(D400+E400+G400+H400+I400+J400+L400+M400+N400)</f>
        <v>0</v>
      </c>
      <c r="J401" s="642">
        <f>J400/(D400+E400+G400+H400+I400+J400+L400+M400+N400)</f>
        <v>0</v>
      </c>
      <c r="K401" s="643">
        <f t="shared" si="13"/>
        <v>0.2454473638312934</v>
      </c>
      <c r="L401" s="642">
        <f>L400/(D400+E400+G400+H400+I400+J400+L400+M400+N400)</f>
        <v>2.5725600435001179E-2</v>
      </c>
      <c r="M401" s="642">
        <f>M400/(D400+E400+G400+H400+I400+J400+L400+M400+N400)</f>
        <v>0</v>
      </c>
      <c r="N401" s="642">
        <f>N400/(D400+E400+G400+H400+I400+J400+L400+M400+N400)</f>
        <v>0.40219911563439381</v>
      </c>
      <c r="O401" s="1515"/>
    </row>
    <row r="402" spans="1:15" ht="12" customHeight="1">
      <c r="A402" s="1535" t="s">
        <v>14990</v>
      </c>
      <c r="B402" s="1536" t="s">
        <v>14937</v>
      </c>
      <c r="C402" s="632" t="s">
        <v>6218</v>
      </c>
      <c r="D402" s="633">
        <v>52561</v>
      </c>
      <c r="E402" s="633">
        <v>20116</v>
      </c>
      <c r="F402" s="634">
        <f t="shared" si="12"/>
        <v>72677</v>
      </c>
      <c r="G402" s="633">
        <v>62495</v>
      </c>
      <c r="H402" s="633">
        <v>4260</v>
      </c>
      <c r="I402" s="633">
        <v>2227</v>
      </c>
      <c r="J402" s="633">
        <v>3807</v>
      </c>
      <c r="K402" s="634">
        <f t="shared" si="13"/>
        <v>72789</v>
      </c>
      <c r="L402" s="633">
        <v>7904</v>
      </c>
      <c r="M402" s="633">
        <v>3076</v>
      </c>
      <c r="N402" s="633">
        <v>141815</v>
      </c>
      <c r="O402" s="1537">
        <f>1-N403</f>
        <v>0.5245271758627511</v>
      </c>
    </row>
    <row r="403" spans="1:15" ht="12" customHeight="1">
      <c r="A403" s="1517"/>
      <c r="B403" s="1502"/>
      <c r="C403" s="635" t="s">
        <v>6219</v>
      </c>
      <c r="D403" s="636">
        <f>D402/(D402+E402+G402+H402+I402+J402+L402+M402+N402)</f>
        <v>0.17622485004744168</v>
      </c>
      <c r="E403" s="636">
        <f>E402/(D402+E402+G402+H402+I402+J402+L402+M402+N402)</f>
        <v>6.7444285374219218E-2</v>
      </c>
      <c r="F403" s="637">
        <f t="shared" si="12"/>
        <v>0.24366913542166091</v>
      </c>
      <c r="G403" s="636">
        <f>G402/(D402+E402+G402+H402+I402+J402+L402+M402+N402)</f>
        <v>0.20953124947612997</v>
      </c>
      <c r="H403" s="636">
        <f>H402/(D402+E402+G402+H402+I402+J402+L402+M402+N402)</f>
        <v>1.4282792587700035E-2</v>
      </c>
      <c r="I403" s="636">
        <f>I402/(D402+E402+G402+H402+I402+J402+L402+M402+N402)</f>
        <v>7.4666148105183043E-3</v>
      </c>
      <c r="J403" s="636">
        <f>J402/(D402+E402+G402+H402+I402+J402+L402+M402+N402)</f>
        <v>1.2763988587177002E-2</v>
      </c>
      <c r="K403" s="637">
        <f t="shared" si="13"/>
        <v>0.24404464546152532</v>
      </c>
      <c r="L403" s="636">
        <f>L402/(D402+E402+G402+H402+I402+J402+L402+M402+N402)</f>
        <v>2.6500279956145793E-2</v>
      </c>
      <c r="M403" s="636">
        <f>M402/(D402+E402+G402+H402+I402+J402+L402+M402+N402)</f>
        <v>1.0313115023419086E-2</v>
      </c>
      <c r="N403" s="636">
        <f>N402/(D402+E402+G402+H402+I402+J402+L402+M402+N402)</f>
        <v>0.4754728241372489</v>
      </c>
      <c r="O403" s="1503"/>
    </row>
    <row r="404" spans="1:15" ht="12" customHeight="1">
      <c r="A404" s="1517"/>
      <c r="B404" s="1502" t="s">
        <v>14938</v>
      </c>
      <c r="C404" s="638" t="s">
        <v>6218</v>
      </c>
      <c r="D404" s="639">
        <v>78710</v>
      </c>
      <c r="E404" s="639">
        <v>25314</v>
      </c>
      <c r="F404" s="640">
        <f t="shared" si="12"/>
        <v>104024</v>
      </c>
      <c r="G404" s="639">
        <v>54327</v>
      </c>
      <c r="H404" s="639">
        <v>7560</v>
      </c>
      <c r="I404" s="639"/>
      <c r="J404" s="639">
        <v>7446</v>
      </c>
      <c r="K404" s="640">
        <f t="shared" si="13"/>
        <v>69333</v>
      </c>
      <c r="L404" s="639">
        <v>8698</v>
      </c>
      <c r="M404" s="639"/>
      <c r="N404" s="639">
        <v>117400</v>
      </c>
      <c r="O404" s="1503">
        <f>1-N405</f>
        <v>0.6079544505852299</v>
      </c>
    </row>
    <row r="405" spans="1:15" ht="12" customHeight="1">
      <c r="A405" s="1517"/>
      <c r="B405" s="1502"/>
      <c r="C405" s="635" t="s">
        <v>6219</v>
      </c>
      <c r="D405" s="636">
        <f>D404/(D404+E404+G404+H404+I404+J404+L404+M404+N404)</f>
        <v>0.2628441669032075</v>
      </c>
      <c r="E405" s="636">
        <f>E404/(D404+E404+G404+H404+I404+J404+L404+M404+N404)</f>
        <v>8.4533569317593635E-2</v>
      </c>
      <c r="F405" s="637">
        <f t="shared" si="12"/>
        <v>0.34737773622080115</v>
      </c>
      <c r="G405" s="636">
        <f>G404/(D404+E404+G404+H404+I404+J404+L404+M404+N404)</f>
        <v>0.18141957890167137</v>
      </c>
      <c r="H405" s="636">
        <f>H404/(D404+E404+G404+H404+I404+J404+L404+M404+N404)</f>
        <v>2.5245863318361692E-2</v>
      </c>
      <c r="I405" s="636">
        <f>I404/(D404+E404+G404+H404+I404+J404+L404+M404+N404)</f>
        <v>0</v>
      </c>
      <c r="J405" s="636">
        <f>J404/(D404+E404+G404+H404+I404+J404+L404+M404+N404)</f>
        <v>2.4865171728640362E-2</v>
      </c>
      <c r="K405" s="637">
        <f t="shared" si="13"/>
        <v>0.23153061394867344</v>
      </c>
      <c r="L405" s="636">
        <f>L404/(D404+E404+G404+H404+I404+J404+L404+M404+N404)</f>
        <v>2.904610041575529E-2</v>
      </c>
      <c r="M405" s="636">
        <f>M404/(D404+E404+G404+H404+I404+J404+L404+M404+N404)</f>
        <v>0</v>
      </c>
      <c r="N405" s="636">
        <f>N404/(D404+E404+G404+H404+I404+J404+L404+M404+N404)</f>
        <v>0.39204554941477016</v>
      </c>
      <c r="O405" s="1503"/>
    </row>
    <row r="406" spans="1:15" ht="12" customHeight="1">
      <c r="A406" s="1517"/>
      <c r="B406" s="1502" t="s">
        <v>14939</v>
      </c>
      <c r="C406" s="638" t="s">
        <v>6218</v>
      </c>
      <c r="D406" s="639">
        <v>49384</v>
      </c>
      <c r="E406" s="639">
        <v>22277</v>
      </c>
      <c r="F406" s="640">
        <f t="shared" si="12"/>
        <v>71661</v>
      </c>
      <c r="G406" s="639">
        <v>51582</v>
      </c>
      <c r="H406" s="639">
        <v>6297</v>
      </c>
      <c r="I406" s="639"/>
      <c r="J406" s="639"/>
      <c r="K406" s="640">
        <f t="shared" si="13"/>
        <v>57879</v>
      </c>
      <c r="L406" s="639">
        <v>7690</v>
      </c>
      <c r="M406" s="639">
        <v>4738</v>
      </c>
      <c r="N406" s="639">
        <v>157517</v>
      </c>
      <c r="O406" s="1503">
        <f>1-N407</f>
        <v>0.47404043608194069</v>
      </c>
    </row>
    <row r="407" spans="1:15" ht="12" customHeight="1">
      <c r="A407" s="1517"/>
      <c r="B407" s="1502"/>
      <c r="C407" s="635" t="s">
        <v>6219</v>
      </c>
      <c r="D407" s="636">
        <f>D406/(D406+E406+G406+H406+I406+J406+L406+M406+N406)</f>
        <v>0.16489640549610163</v>
      </c>
      <c r="E407" s="636">
        <f>E406/(D406+E406+G406+H406+I406+J406+L406+M406+N406)</f>
        <v>7.4384359817687026E-2</v>
      </c>
      <c r="F407" s="637">
        <f t="shared" si="12"/>
        <v>0.23928076531378867</v>
      </c>
      <c r="G407" s="636">
        <f>G406/(D406+E406+G406+H406+I406+J406+L406+M406+N406)</f>
        <v>0.17223567123562114</v>
      </c>
      <c r="H407" s="636">
        <f>H406/(D406+E406+G406+H406+I406+J406+L406+M406+N406)</f>
        <v>2.1026094796066579E-2</v>
      </c>
      <c r="I407" s="636">
        <f>I406/(D406+E406+G406+H406+I406+J406+L406+M406+N406)</f>
        <v>0</v>
      </c>
      <c r="J407" s="636">
        <f>J406/(D406+E406+G406+H406+I406+J406+L406+M406+N406)</f>
        <v>0</v>
      </c>
      <c r="K407" s="637">
        <f t="shared" si="13"/>
        <v>0.19326176603168771</v>
      </c>
      <c r="L407" s="636">
        <f>L406/(D406+E406+G406+H406+I406+J406+L406+M406+N406)</f>
        <v>2.5677412892131494E-2</v>
      </c>
      <c r="M407" s="636">
        <f>M406/(D406+E406+G406+H406+I406+J406+L406+M406+N406)</f>
        <v>1.5820491844332773E-2</v>
      </c>
      <c r="N407" s="636">
        <f>N406/(D406+E406+G406+H406+I406+J406+L406+M406+N406)</f>
        <v>0.52595956391805931</v>
      </c>
      <c r="O407" s="1503"/>
    </row>
    <row r="408" spans="1:15" ht="12" customHeight="1">
      <c r="A408" s="1517"/>
      <c r="B408" s="1502" t="s">
        <v>14940</v>
      </c>
      <c r="C408" s="638" t="s">
        <v>6218</v>
      </c>
      <c r="D408" s="639">
        <v>74327</v>
      </c>
      <c r="E408" s="639">
        <v>24453</v>
      </c>
      <c r="F408" s="640">
        <f t="shared" si="12"/>
        <v>98780</v>
      </c>
      <c r="G408" s="639">
        <v>53706</v>
      </c>
      <c r="H408" s="639">
        <v>5805</v>
      </c>
      <c r="I408" s="639"/>
      <c r="J408" s="639"/>
      <c r="K408" s="640">
        <f t="shared" si="13"/>
        <v>59511</v>
      </c>
      <c r="L408" s="639">
        <v>8541</v>
      </c>
      <c r="M408" s="639"/>
      <c r="N408" s="639">
        <v>132512</v>
      </c>
      <c r="O408" s="1503">
        <f>1-N409</f>
        <v>0.55732535143513817</v>
      </c>
    </row>
    <row r="409" spans="1:15" ht="12" customHeight="1" thickBot="1">
      <c r="A409" s="1519"/>
      <c r="B409" s="1514"/>
      <c r="C409" s="641" t="s">
        <v>6219</v>
      </c>
      <c r="D409" s="642">
        <f>D408/(D408+E408+G408+H408+I408+J408+L408+M408+N408)</f>
        <v>0.24829961515847987</v>
      </c>
      <c r="E409" s="642">
        <f>E408/(D408+E408+G408+H408+I408+J408+L408+M408+N408)</f>
        <v>8.1688625795071884E-2</v>
      </c>
      <c r="F409" s="643">
        <f t="shared" si="12"/>
        <v>0.32998824095355173</v>
      </c>
      <c r="G409" s="642">
        <f>G408/(D408+E408+G408+H408+I408+J408+L408+M408+N408)</f>
        <v>0.17941231492864396</v>
      </c>
      <c r="H409" s="642">
        <f>H408/(D408+E408+G408+H408+I408+J408+L408+M408+N408)</f>
        <v>1.9392404724998664E-2</v>
      </c>
      <c r="I409" s="642">
        <f>I408/(D408+E408+G408+H408+I408+J408+L408+M408+N408)</f>
        <v>0</v>
      </c>
      <c r="J409" s="642">
        <f>J408/(D408+E408+G408+H408+I408+J408+L408+M408+N408)</f>
        <v>0</v>
      </c>
      <c r="K409" s="643">
        <f t="shared" si="13"/>
        <v>0.19880471965364263</v>
      </c>
      <c r="L409" s="642">
        <f>L408/(D408+E408+G408+H408+I408+J408+L408+M408+N408)</f>
        <v>2.853239082794377E-2</v>
      </c>
      <c r="M409" s="642">
        <f>M408/(D408+E408+G408+H408+I408+J408+L408+M408+N408)</f>
        <v>0</v>
      </c>
      <c r="N409" s="642">
        <f>N408/(D408+E408+G408+H408+I408+J408+L408+M408+N408)</f>
        <v>0.44267464856486183</v>
      </c>
      <c r="O409" s="1515"/>
    </row>
    <row r="410" spans="1:15" ht="12" customHeight="1">
      <c r="A410" s="1535" t="s">
        <v>14991</v>
      </c>
      <c r="B410" s="1536" t="s">
        <v>14937</v>
      </c>
      <c r="C410" s="632" t="s">
        <v>6218</v>
      </c>
      <c r="D410" s="633">
        <v>83330</v>
      </c>
      <c r="E410" s="633">
        <v>19256</v>
      </c>
      <c r="F410" s="634">
        <f t="shared" si="12"/>
        <v>102586</v>
      </c>
      <c r="G410" s="633">
        <v>65367</v>
      </c>
      <c r="H410" s="633">
        <v>8322</v>
      </c>
      <c r="I410" s="633">
        <v>5139</v>
      </c>
      <c r="J410" s="633">
        <v>5095</v>
      </c>
      <c r="K410" s="634">
        <f t="shared" si="13"/>
        <v>83923</v>
      </c>
      <c r="L410" s="633">
        <v>14582</v>
      </c>
      <c r="M410" s="633">
        <v>2805</v>
      </c>
      <c r="N410" s="633">
        <v>185853</v>
      </c>
      <c r="O410" s="1537">
        <f>1-N411</f>
        <v>0.52314694842065024</v>
      </c>
    </row>
    <row r="411" spans="1:15" ht="12" customHeight="1">
      <c r="A411" s="1517"/>
      <c r="B411" s="1502"/>
      <c r="C411" s="635" t="s">
        <v>6219</v>
      </c>
      <c r="D411" s="636">
        <f>D410/(D410+E410+G410+H410+I410+J410+L410+M410+N410)</f>
        <v>0.21380426890126722</v>
      </c>
      <c r="E411" s="636">
        <f>E410/(D410+E410+G410+H410+I410+J410+L410+M410+N410)</f>
        <v>4.9406156269804415E-2</v>
      </c>
      <c r="F411" s="637">
        <f t="shared" si="12"/>
        <v>0.26321042517107163</v>
      </c>
      <c r="G411" s="636">
        <f>G410/(D410+E410+G410+H410+I410+J410+L410+M410+N410)</f>
        <v>0.16771563236852435</v>
      </c>
      <c r="H411" s="636">
        <f>H410/(D410+E410+G410+H410+I410+J410+L410+M410+N410)</f>
        <v>2.135220359770006E-2</v>
      </c>
      <c r="I411" s="636">
        <f>I410/(D410+E410+G410+H410+I410+J410+L410+M410+N410)</f>
        <v>1.3185409070966186E-2</v>
      </c>
      <c r="J411" s="636">
        <f>J410/(D410+E410+G410+H410+I410+J410+L410+M410+N410)</f>
        <v>1.3072515901259529E-2</v>
      </c>
      <c r="K411" s="637">
        <f t="shared" si="13"/>
        <v>0.21532576093845013</v>
      </c>
      <c r="L411" s="636">
        <f>L410/(D410+E410+G410+H410+I410+J410+L410+M410+N410)</f>
        <v>3.7413822742329038E-2</v>
      </c>
      <c r="M411" s="636">
        <f>M410/(D410+E410+G410+H410+I410+J410+L410+M410+N410)</f>
        <v>7.1969395687994072E-3</v>
      </c>
      <c r="N411" s="636">
        <f>N410/(D410+E410+G410+H410+I410+J410+L410+M410+N410)</f>
        <v>0.47685305157934976</v>
      </c>
      <c r="O411" s="1503"/>
    </row>
    <row r="412" spans="1:15" ht="12" customHeight="1">
      <c r="A412" s="1517"/>
      <c r="B412" s="1502" t="s">
        <v>14938</v>
      </c>
      <c r="C412" s="638" t="s">
        <v>6218</v>
      </c>
      <c r="D412" s="639">
        <v>107582</v>
      </c>
      <c r="E412" s="639">
        <v>25869</v>
      </c>
      <c r="F412" s="640">
        <f t="shared" si="12"/>
        <v>133451</v>
      </c>
      <c r="G412" s="639">
        <v>68910</v>
      </c>
      <c r="H412" s="639">
        <v>14017</v>
      </c>
      <c r="I412" s="639"/>
      <c r="J412" s="639">
        <v>10136</v>
      </c>
      <c r="K412" s="640">
        <f t="shared" si="13"/>
        <v>93063</v>
      </c>
      <c r="L412" s="639">
        <v>18889</v>
      </c>
      <c r="M412" s="639"/>
      <c r="N412" s="639">
        <v>145217</v>
      </c>
      <c r="O412" s="1503">
        <f>1-N413</f>
        <v>0.62823972146843476</v>
      </c>
    </row>
    <row r="413" spans="1:15" ht="12" customHeight="1">
      <c r="A413" s="1517"/>
      <c r="B413" s="1502"/>
      <c r="C413" s="635" t="s">
        <v>6219</v>
      </c>
      <c r="D413" s="636">
        <f>D412/(D412+E412+G412+H412+I412+J412+L412+M412+N412)</f>
        <v>0.27541344529209971</v>
      </c>
      <c r="E413" s="636">
        <f>E412/(D412+E412+G412+H412+I412+J412+L412+M412+N412)</f>
        <v>6.6225487686242382E-2</v>
      </c>
      <c r="F413" s="637">
        <f t="shared" si="12"/>
        <v>0.34163893297834208</v>
      </c>
      <c r="G413" s="636">
        <f>G412/(D412+E412+G412+H412+I412+J412+L412+M412+N412)</f>
        <v>0.17641185807178331</v>
      </c>
      <c r="H413" s="636">
        <f>H412/(D412+E412+G412+H412+I412+J412+L412+M412+N412)</f>
        <v>3.5883979314935234E-2</v>
      </c>
      <c r="I413" s="636">
        <f>I412/(D412+E412+G412+H412+I412+J412+L412+M412+N412)</f>
        <v>0</v>
      </c>
      <c r="J413" s="636">
        <f>J412/(D412+E412+G412+H412+I412+J412+L412+M412+N412)</f>
        <v>2.59484921406994E-2</v>
      </c>
      <c r="K413" s="637">
        <f t="shared" si="13"/>
        <v>0.23824432952741792</v>
      </c>
      <c r="L413" s="636">
        <f>L412/(D412+E412+G412+H412+I412+J412+L412+M412+N412)</f>
        <v>4.8356458962674723E-2</v>
      </c>
      <c r="M413" s="636">
        <f>M412/(D412+E412+G412+H412+I412+J412+L412+M412+N412)</f>
        <v>0</v>
      </c>
      <c r="N413" s="636">
        <f>N412/(D412+E412+G412+H412+I412+J412+L412+M412+N412)</f>
        <v>0.37176027853156518</v>
      </c>
      <c r="O413" s="1503"/>
    </row>
    <row r="414" spans="1:15" ht="12" customHeight="1">
      <c r="A414" s="1517"/>
      <c r="B414" s="1502" t="s">
        <v>14939</v>
      </c>
      <c r="C414" s="638" t="s">
        <v>6218</v>
      </c>
      <c r="D414" s="639">
        <v>87702</v>
      </c>
      <c r="E414" s="639">
        <v>25377</v>
      </c>
      <c r="F414" s="640">
        <f t="shared" si="12"/>
        <v>113079</v>
      </c>
      <c r="G414" s="639">
        <v>70422</v>
      </c>
      <c r="H414" s="639">
        <v>10329</v>
      </c>
      <c r="I414" s="639"/>
      <c r="J414" s="639"/>
      <c r="K414" s="640">
        <f t="shared" si="13"/>
        <v>80751</v>
      </c>
      <c r="L414" s="639">
        <v>15383</v>
      </c>
      <c r="M414" s="639">
        <v>6034</v>
      </c>
      <c r="N414" s="639">
        <v>175387</v>
      </c>
      <c r="O414" s="1503">
        <f>1-N415</f>
        <v>0.55101962450785136</v>
      </c>
    </row>
    <row r="415" spans="1:15" ht="12" customHeight="1">
      <c r="A415" s="1517"/>
      <c r="B415" s="1502"/>
      <c r="C415" s="635" t="s">
        <v>6219</v>
      </c>
      <c r="D415" s="636">
        <f>D414/(D414+E414+G414+H414+I414+J414+L414+M414+N414)</f>
        <v>0.22451194724473547</v>
      </c>
      <c r="E415" s="636">
        <f>E414/(D414+E414+G414+H414+I414+J414+L414+M414+N414)</f>
        <v>6.4963623238120591E-2</v>
      </c>
      <c r="F415" s="637">
        <f t="shared" si="12"/>
        <v>0.28947557048285605</v>
      </c>
      <c r="G415" s="636">
        <f>G414/(D414+E414+G414+H414+I414+J414+L414+M414+N414)</f>
        <v>0.1802761664371253</v>
      </c>
      <c r="H415" s="636">
        <f>H414/(D414+E414+G414+H414+I414+J414+L414+M414+N414)</f>
        <v>2.6441630784826718E-2</v>
      </c>
      <c r="I415" s="636">
        <f>I414/(D414+E414+G414+H414+I414+J414+L414+M414+N414)</f>
        <v>0</v>
      </c>
      <c r="J415" s="636">
        <f>J414/(D414+E414+G414+H414+I414+J414+L414+M414+N414)</f>
        <v>0</v>
      </c>
      <c r="K415" s="637">
        <f t="shared" si="13"/>
        <v>0.20671779722195202</v>
      </c>
      <c r="L415" s="636">
        <f>L414/(D414+E414+G414+H414+I414+J414+L414+M414+N414)</f>
        <v>3.9379572694645114E-2</v>
      </c>
      <c r="M415" s="636">
        <f>M414/(D414+E414+G414+H414+I414+J414+L414+M414+N414)</f>
        <v>1.5446684108398143E-2</v>
      </c>
      <c r="N415" s="636">
        <f>N414/(D414+E414+G414+H414+I414+J414+L414+M414+N414)</f>
        <v>0.44898037549214864</v>
      </c>
      <c r="O415" s="1503"/>
    </row>
    <row r="416" spans="1:15" ht="12" customHeight="1">
      <c r="A416" s="1517"/>
      <c r="B416" s="1502" t="s">
        <v>14940</v>
      </c>
      <c r="C416" s="638" t="s">
        <v>6218</v>
      </c>
      <c r="D416" s="639">
        <v>96055</v>
      </c>
      <c r="E416" s="639">
        <v>26568</v>
      </c>
      <c r="F416" s="640">
        <f t="shared" si="12"/>
        <v>122623</v>
      </c>
      <c r="G416" s="639">
        <v>66915</v>
      </c>
      <c r="H416" s="639">
        <v>9103</v>
      </c>
      <c r="I416" s="639"/>
      <c r="J416" s="639"/>
      <c r="K416" s="640">
        <f t="shared" si="13"/>
        <v>76018</v>
      </c>
      <c r="L416" s="639">
        <v>17025</v>
      </c>
      <c r="M416" s="639"/>
      <c r="N416" s="639">
        <v>174837</v>
      </c>
      <c r="O416" s="1503">
        <f>1-N417</f>
        <v>0.55227744729233841</v>
      </c>
    </row>
    <row r="417" spans="1:15" ht="12" customHeight="1" thickBot="1">
      <c r="A417" s="1519"/>
      <c r="B417" s="1514"/>
      <c r="C417" s="641" t="s">
        <v>6219</v>
      </c>
      <c r="D417" s="642">
        <f>D416/(D416+E416+G416+H416+I416+J416+L416+M416+N416)</f>
        <v>0.2459776237314438</v>
      </c>
      <c r="E417" s="642">
        <f>E416/(D416+E416+G416+H416+I416+J416+L416+M416+N416)</f>
        <v>6.8035328793888905E-2</v>
      </c>
      <c r="F417" s="643">
        <f t="shared" si="12"/>
        <v>0.31401295252533268</v>
      </c>
      <c r="G417" s="642">
        <f>G416/(D416+E416+G416+H416+I416+J416+L416+M416+N416)</f>
        <v>0.17135591788027238</v>
      </c>
      <c r="H417" s="642">
        <f>H416/(D416+E416+G416+H416+I416+J416+L416+M416+N416)</f>
        <v>2.3310960479176857E-2</v>
      </c>
      <c r="I417" s="642">
        <f>I416/(D416+E416+G416+H416+I416+J416+L416+M416+N416)</f>
        <v>0</v>
      </c>
      <c r="J417" s="642">
        <f>J416/(D416+E416+G416+H416+I416+J416+L416+M416+N416)</f>
        <v>0</v>
      </c>
      <c r="K417" s="643">
        <f t="shared" si="13"/>
        <v>0.19466687835944924</v>
      </c>
      <c r="L417" s="642">
        <f>L416/(D416+E416+G416+H416+I416+J416+L416+M416+N416)</f>
        <v>4.3597616407556411E-2</v>
      </c>
      <c r="M417" s="642">
        <f>M416/(D416+E416+G416+H416+I416+J416+L416+M416+N416)</f>
        <v>0</v>
      </c>
      <c r="N417" s="642">
        <f>N416/(D416+E416+G416+H416+I416+J416+L416+M416+N416)</f>
        <v>0.44772255270766165</v>
      </c>
      <c r="O417" s="1515"/>
    </row>
    <row r="418" spans="1:15" ht="12" customHeight="1">
      <c r="A418" s="1535" t="s">
        <v>14992</v>
      </c>
      <c r="B418" s="1536" t="s">
        <v>14937</v>
      </c>
      <c r="C418" s="632" t="s">
        <v>6218</v>
      </c>
      <c r="D418" s="633">
        <v>61602</v>
      </c>
      <c r="E418" s="633">
        <v>19299</v>
      </c>
      <c r="F418" s="634">
        <f t="shared" si="12"/>
        <v>80901</v>
      </c>
      <c r="G418" s="633">
        <v>58868</v>
      </c>
      <c r="H418" s="633">
        <v>6397</v>
      </c>
      <c r="I418" s="633">
        <v>4265</v>
      </c>
      <c r="J418" s="633">
        <v>4260</v>
      </c>
      <c r="K418" s="634">
        <f t="shared" si="13"/>
        <v>73790</v>
      </c>
      <c r="L418" s="633">
        <v>9858</v>
      </c>
      <c r="M418" s="633">
        <v>2436</v>
      </c>
      <c r="N418" s="633">
        <v>164097</v>
      </c>
      <c r="O418" s="1537">
        <f>1-N419</f>
        <v>0.50436145728248594</v>
      </c>
    </row>
    <row r="419" spans="1:15" ht="12" customHeight="1">
      <c r="A419" s="1517"/>
      <c r="B419" s="1502"/>
      <c r="C419" s="635" t="s">
        <v>6219</v>
      </c>
      <c r="D419" s="636">
        <f>D418/(D418+E418+G418+H418+I418+J418+L418+M418+N418)</f>
        <v>0.18606266725463783</v>
      </c>
      <c r="E419" s="636">
        <f>E418/(D418+E418+G418+H418+I418+J418+L418+M418+N418)</f>
        <v>5.8290695356437376E-2</v>
      </c>
      <c r="F419" s="637">
        <f t="shared" si="12"/>
        <v>0.24435336261107521</v>
      </c>
      <c r="G419" s="636">
        <f>G418/(D418+E418+G418+H418+I418+J418+L418+M418+N418)</f>
        <v>0.1778048942558037</v>
      </c>
      <c r="H419" s="636">
        <f>H418/(D418+E418+G418+H418+I418+J418+L418+M418+N418)</f>
        <v>1.932149739339499E-2</v>
      </c>
      <c r="I419" s="636">
        <f>I418/(D418+E418+G418+H418+I418+J418+L418+M418+N418)</f>
        <v>1.2882005062190031E-2</v>
      </c>
      <c r="J419" s="636">
        <f>J418/(D418+E418+G418+H418+I418+J418+L418+M418+N418)</f>
        <v>1.2866903063289458E-2</v>
      </c>
      <c r="K419" s="637">
        <f t="shared" si="13"/>
        <v>0.22287529977467821</v>
      </c>
      <c r="L419" s="636">
        <f>L418/(D418+E418+G418+H418+I418+J418+L418+M418+N418)</f>
        <v>2.9775101032372644E-2</v>
      </c>
      <c r="M419" s="636">
        <f>M418/(D418+E418+G418+H418+I418+J418+L418+M418+N418)</f>
        <v>7.3576938643598868E-3</v>
      </c>
      <c r="N419" s="636">
        <f>N418/(D418+E418+G418+H418+I418+J418+L418+M418+N418)</f>
        <v>0.49563854271751406</v>
      </c>
      <c r="O419" s="1503"/>
    </row>
    <row r="420" spans="1:15" ht="12" customHeight="1">
      <c r="A420" s="1517"/>
      <c r="B420" s="1502" t="s">
        <v>14938</v>
      </c>
      <c r="C420" s="638" t="s">
        <v>6218</v>
      </c>
      <c r="D420" s="639">
        <v>84556</v>
      </c>
      <c r="E420" s="639">
        <v>27616</v>
      </c>
      <c r="F420" s="640">
        <f t="shared" si="12"/>
        <v>112172</v>
      </c>
      <c r="G420" s="639">
        <v>65798</v>
      </c>
      <c r="H420" s="639">
        <v>9786</v>
      </c>
      <c r="I420" s="639"/>
      <c r="J420" s="639">
        <v>8747</v>
      </c>
      <c r="K420" s="640">
        <f t="shared" si="13"/>
        <v>84331</v>
      </c>
      <c r="L420" s="639">
        <v>13803</v>
      </c>
      <c r="M420" s="639"/>
      <c r="N420" s="639">
        <v>120020</v>
      </c>
      <c r="O420" s="1503">
        <f>1-N421</f>
        <v>0.63666196424138577</v>
      </c>
    </row>
    <row r="421" spans="1:15" ht="12" customHeight="1">
      <c r="A421" s="1517"/>
      <c r="B421" s="1502"/>
      <c r="C421" s="635" t="s">
        <v>6219</v>
      </c>
      <c r="D421" s="636">
        <f>D420/(D420+E420+G420+H420+I420+J420+L420+M420+N420)</f>
        <v>0.25597742835865178</v>
      </c>
      <c r="E421" s="636">
        <f>E420/(D420+E420+G420+H420+I420+J420+L420+M420+N420)</f>
        <v>8.3602259585984759E-2</v>
      </c>
      <c r="F421" s="637">
        <f t="shared" si="12"/>
        <v>0.33957968794463655</v>
      </c>
      <c r="G421" s="636">
        <f>G420/(D420+E420+G420+H420+I420+J420+L420+M420+N420)</f>
        <v>0.19919110212335692</v>
      </c>
      <c r="H421" s="636">
        <f>H420/(D420+E420+G420+H420+I420+J420+L420+M420+N420)</f>
        <v>2.9625279269570062E-2</v>
      </c>
      <c r="I421" s="636">
        <f>I420/(D420+E420+G420+H420+I420+J420+L420+M420+N420)</f>
        <v>0</v>
      </c>
      <c r="J421" s="636">
        <f>J420/(D420+E420+G420+H420+I420+J420+L420+M420+N420)</f>
        <v>2.6479901672892839E-2</v>
      </c>
      <c r="K421" s="637">
        <f t="shared" si="13"/>
        <v>0.25529628306581981</v>
      </c>
      <c r="L421" s="636">
        <f>L420/(D420+E420+G420+H420+I420+J420+L420+M420+N420)</f>
        <v>4.1785993230929443E-2</v>
      </c>
      <c r="M421" s="636">
        <f>M420/(D420+E420+G420+H420+I420+J420+L420+M420+N420)</f>
        <v>0</v>
      </c>
      <c r="N421" s="636">
        <f>N420/(D420+E420+G420+H420+I420+J420+L420+M420+N420)</f>
        <v>0.36333803575861423</v>
      </c>
      <c r="O421" s="1503"/>
    </row>
    <row r="422" spans="1:15" ht="12" customHeight="1">
      <c r="A422" s="1517"/>
      <c r="B422" s="1502" t="s">
        <v>14939</v>
      </c>
      <c r="C422" s="638" t="s">
        <v>6218</v>
      </c>
      <c r="D422" s="639">
        <v>63988</v>
      </c>
      <c r="E422" s="639">
        <v>25561</v>
      </c>
      <c r="F422" s="640">
        <f t="shared" si="12"/>
        <v>89549</v>
      </c>
      <c r="G422" s="639">
        <v>63055</v>
      </c>
      <c r="H422" s="639">
        <v>8139</v>
      </c>
      <c r="I422" s="639"/>
      <c r="J422" s="639"/>
      <c r="K422" s="640">
        <f t="shared" si="13"/>
        <v>71194</v>
      </c>
      <c r="L422" s="639">
        <v>10826</v>
      </c>
      <c r="M422" s="639">
        <v>5240</v>
      </c>
      <c r="N422" s="639">
        <v>151796</v>
      </c>
      <c r="O422" s="1503">
        <f>1-N423</f>
        <v>0.53805937219458011</v>
      </c>
    </row>
    <row r="423" spans="1:15" ht="12" customHeight="1">
      <c r="A423" s="1517"/>
      <c r="B423" s="1502"/>
      <c r="C423" s="635" t="s">
        <v>6219</v>
      </c>
      <c r="D423" s="636">
        <f>D422/(D422+E422+G422+H422+I422+J422+L422+M422+N422)</f>
        <v>0.19472619101961322</v>
      </c>
      <c r="E423" s="636">
        <f>E422/(D422+E422+G422+H422+I422+J422+L422+M422+N422)</f>
        <v>7.7786400085208679E-2</v>
      </c>
      <c r="F423" s="637">
        <f t="shared" si="12"/>
        <v>0.2725125911048219</v>
      </c>
      <c r="G423" s="636">
        <f>G422/(D422+E422+G422+H422+I422+J422+L422+M422+N422)</f>
        <v>0.19188691590207088</v>
      </c>
      <c r="H423" s="636">
        <f>H422/(D422+E422+G422+H422+I422+J422+L422+M422+N422)</f>
        <v>2.4768338887113706E-2</v>
      </c>
      <c r="I423" s="636">
        <f>I422/(D422+E422+G422+H422+I422+J422+L422+M422+N422)</f>
        <v>0</v>
      </c>
      <c r="J423" s="636">
        <f>J422/(D422+E422+G422+H422+I422+J422+L422+M422+N422)</f>
        <v>0</v>
      </c>
      <c r="K423" s="637">
        <f t="shared" si="13"/>
        <v>0.2166552547891846</v>
      </c>
      <c r="L423" s="636">
        <f>L422/(D422+E422+G422+H422+I422+J422+L422+M422+N422)</f>
        <v>3.2945329498942501E-2</v>
      </c>
      <c r="M423" s="636">
        <f>M422/(D422+E422+G422+H422+I422+J422+L422+M422+N422)</f>
        <v>1.5946196801631139E-2</v>
      </c>
      <c r="N423" s="636">
        <f>N422/(D422+E422+G422+H422+I422+J422+L422+M422+N422)</f>
        <v>0.46194062780541989</v>
      </c>
      <c r="O423" s="1503"/>
    </row>
    <row r="424" spans="1:15" ht="12" customHeight="1">
      <c r="A424" s="1517"/>
      <c r="B424" s="1502" t="s">
        <v>14940</v>
      </c>
      <c r="C424" s="638" t="s">
        <v>6218</v>
      </c>
      <c r="D424" s="639">
        <v>67788</v>
      </c>
      <c r="E424" s="639">
        <v>26886</v>
      </c>
      <c r="F424" s="640">
        <f t="shared" si="12"/>
        <v>94674</v>
      </c>
      <c r="G424" s="639">
        <v>61454</v>
      </c>
      <c r="H424" s="639">
        <v>7212</v>
      </c>
      <c r="I424" s="639"/>
      <c r="J424" s="639"/>
      <c r="K424" s="640">
        <f t="shared" si="13"/>
        <v>68666</v>
      </c>
      <c r="L424" s="639">
        <v>12382</v>
      </c>
      <c r="M424" s="639"/>
      <c r="N424" s="639">
        <v>152186</v>
      </c>
      <c r="O424" s="1503">
        <f>1-N425</f>
        <v>0.53588811495907396</v>
      </c>
    </row>
    <row r="425" spans="1:15" ht="12" customHeight="1" thickBot="1">
      <c r="A425" s="1519"/>
      <c r="B425" s="1514"/>
      <c r="C425" s="641" t="s">
        <v>6219</v>
      </c>
      <c r="D425" s="642">
        <f>D424/(D424+E424+G424+H424+I424+J424+L424+M424+N424)</f>
        <v>0.20672871659123901</v>
      </c>
      <c r="E425" s="642">
        <f>E424/(D424+E424+G424+H424+I424+J424+L424+M424+N424)</f>
        <v>8.1992510094294743E-2</v>
      </c>
      <c r="F425" s="643">
        <f t="shared" si="12"/>
        <v>0.28872122668553374</v>
      </c>
      <c r="G425" s="642">
        <f>G424/(D424+E424+G424+H424+I424+J424+L424+M424+N424)</f>
        <v>0.18741232296863755</v>
      </c>
      <c r="H425" s="642">
        <f>H424/(D424+E424+G424+H424+I424+J424+L424+M424+N424)</f>
        <v>2.199397391951401E-2</v>
      </c>
      <c r="I425" s="642">
        <f>I424/(D424+E424+G424+H424+I424+J424+L424+M424+N424)</f>
        <v>0</v>
      </c>
      <c r="J425" s="642">
        <f>J424/(D424+E424+G424+H424+I424+J424+L424+M424+N424)</f>
        <v>0</v>
      </c>
      <c r="K425" s="643">
        <f t="shared" si="13"/>
        <v>0.20940629688815157</v>
      </c>
      <c r="L425" s="642">
        <f>L424/(D424+E424+G424+H424+I424+J424+L424+M424+N424)</f>
        <v>3.7760591385388585E-2</v>
      </c>
      <c r="M425" s="642">
        <f>M424/(D424+E424+G424+H424+I424+J424+L424+M424+N424)</f>
        <v>0</v>
      </c>
      <c r="N425" s="642">
        <f>N424/(D424+E424+G424+H424+I424+J424+L424+M424+N424)</f>
        <v>0.4641118850409261</v>
      </c>
      <c r="O425" s="1515"/>
    </row>
    <row r="426" spans="1:15" ht="12" customHeight="1">
      <c r="A426" s="1535" t="s">
        <v>14993</v>
      </c>
      <c r="B426" s="1536" t="s">
        <v>14937</v>
      </c>
      <c r="C426" s="632" t="s">
        <v>6218</v>
      </c>
      <c r="D426" s="633">
        <v>57799</v>
      </c>
      <c r="E426" s="633">
        <v>19893</v>
      </c>
      <c r="F426" s="634">
        <f t="shared" si="12"/>
        <v>77692</v>
      </c>
      <c r="G426" s="633">
        <v>56939</v>
      </c>
      <c r="H426" s="633">
        <v>6513</v>
      </c>
      <c r="I426" s="633">
        <v>3878</v>
      </c>
      <c r="J426" s="633">
        <v>3818</v>
      </c>
      <c r="K426" s="634">
        <f t="shared" si="13"/>
        <v>71148</v>
      </c>
      <c r="L426" s="633">
        <v>6660</v>
      </c>
      <c r="M426" s="633">
        <v>2747</v>
      </c>
      <c r="N426" s="633">
        <v>140466</v>
      </c>
      <c r="O426" s="1537">
        <f>1-N427</f>
        <v>0.52976268190537401</v>
      </c>
    </row>
    <row r="427" spans="1:15" ht="12" customHeight="1">
      <c r="A427" s="1517"/>
      <c r="B427" s="1502"/>
      <c r="C427" s="635" t="s">
        <v>6219</v>
      </c>
      <c r="D427" s="636">
        <f>D426/(D426+E426+G426+H426+I426+J426+L426+M426+N426)</f>
        <v>0.19349342010558629</v>
      </c>
      <c r="E427" s="636">
        <f>E426/(D426+E426+G426+H426+I426+J426+L426+M426+N426)</f>
        <v>6.6595695533840177E-2</v>
      </c>
      <c r="F427" s="637">
        <f t="shared" si="12"/>
        <v>0.26008911563942649</v>
      </c>
      <c r="G427" s="636">
        <f>G426/(D426+E426+G426+H426+I426+J426+L426+M426+N426)</f>
        <v>0.19061440245319086</v>
      </c>
      <c r="H427" s="636">
        <f>H426/(D426+E426+G426+H426+I426+J426+L426+M426+N426)</f>
        <v>2.1803537174478513E-2</v>
      </c>
      <c r="I427" s="636">
        <f>I426/(D426+E426+G426+H426+I426+J426+L426+M426+N426)</f>
        <v>1.298236099533666E-2</v>
      </c>
      <c r="J427" s="636">
        <f>J426/(D426+E426+G426+H426+I426+J426+L426+M426+N426)</f>
        <v>1.2781499298657909E-2</v>
      </c>
      <c r="K427" s="637">
        <f t="shared" si="13"/>
        <v>0.23818179992166394</v>
      </c>
      <c r="L427" s="636">
        <f>L426/(D426+E426+G426+H426+I426+J426+L426+M426+N426)</f>
        <v>2.2295648331341456E-2</v>
      </c>
      <c r="M427" s="636">
        <f>M426/(D426+E426+G426+H426+I426+J426+L426+M426+N426)</f>
        <v>9.1961180129421886E-3</v>
      </c>
      <c r="N427" s="636">
        <f>N426/(D426+E426+G426+H426+I426+J426+L426+M426+N426)</f>
        <v>0.47023731809462593</v>
      </c>
      <c r="O427" s="1503"/>
    </row>
    <row r="428" spans="1:15" ht="12" customHeight="1">
      <c r="A428" s="1517"/>
      <c r="B428" s="1502" t="s">
        <v>14938</v>
      </c>
      <c r="C428" s="638" t="s">
        <v>6218</v>
      </c>
      <c r="D428" s="639">
        <v>77210</v>
      </c>
      <c r="E428" s="639">
        <v>27044</v>
      </c>
      <c r="F428" s="640">
        <f t="shared" si="12"/>
        <v>104254</v>
      </c>
      <c r="G428" s="639">
        <v>59734</v>
      </c>
      <c r="H428" s="639">
        <v>9114</v>
      </c>
      <c r="I428" s="639"/>
      <c r="J428" s="639">
        <v>7929</v>
      </c>
      <c r="K428" s="640">
        <f t="shared" si="13"/>
        <v>76777</v>
      </c>
      <c r="L428" s="639">
        <v>9224</v>
      </c>
      <c r="M428" s="639"/>
      <c r="N428" s="639">
        <v>107420</v>
      </c>
      <c r="O428" s="1503">
        <f>1-N429</f>
        <v>0.63913664231124545</v>
      </c>
    </row>
    <row r="429" spans="1:15" ht="12" customHeight="1">
      <c r="A429" s="1517"/>
      <c r="B429" s="1502"/>
      <c r="C429" s="635" t="s">
        <v>6219</v>
      </c>
      <c r="D429" s="636">
        <f>D428/(D428+E428+G428+H428+I428+J428+L428+M428+N428)</f>
        <v>0.25937683715461496</v>
      </c>
      <c r="E429" s="636">
        <f>E428/(D428+E428+G428+H428+I428+J428+L428+M428+N428)</f>
        <v>9.0850760057109264E-2</v>
      </c>
      <c r="F429" s="637">
        <f t="shared" si="12"/>
        <v>0.35022759721172425</v>
      </c>
      <c r="G429" s="636">
        <f>G428/(D428+E428+G428+H428+I428+J428+L428+M428+N428)</f>
        <v>0.20066851431930796</v>
      </c>
      <c r="H429" s="636">
        <f>H428/(D428+E428+G428+H428+I428+J428+L428+M428+N428)</f>
        <v>3.0617283950617285E-2</v>
      </c>
      <c r="I429" s="636">
        <f>I428/(D428+E428+G428+H428+I428+J428+L428+M428+N428)</f>
        <v>0</v>
      </c>
      <c r="J429" s="636">
        <f>J428/(D428+E428+G428+H428+I428+J428+L428+M428+N428)</f>
        <v>2.6636432350718064E-2</v>
      </c>
      <c r="K429" s="637">
        <f t="shared" si="13"/>
        <v>0.25792223062064329</v>
      </c>
      <c r="L429" s="636">
        <f>L428/(D428+E428+G428+H428+I428+J428+L428+M428+N428)</f>
        <v>3.098681447887797E-2</v>
      </c>
      <c r="M429" s="636">
        <f>M428/(D428+E428+G428+H428+I428+J428+L428+M428+N428)</f>
        <v>0</v>
      </c>
      <c r="N429" s="636">
        <f>N428/(D428+E428+G428+H428+I428+J428+L428+M428+N428)</f>
        <v>0.36086335768875449</v>
      </c>
      <c r="O429" s="1503"/>
    </row>
    <row r="430" spans="1:15" ht="12" customHeight="1">
      <c r="A430" s="1517"/>
      <c r="B430" s="1502" t="s">
        <v>14939</v>
      </c>
      <c r="C430" s="638" t="s">
        <v>6218</v>
      </c>
      <c r="D430" s="639">
        <v>62562</v>
      </c>
      <c r="E430" s="639">
        <v>23485</v>
      </c>
      <c r="F430" s="640">
        <f t="shared" si="12"/>
        <v>86047</v>
      </c>
      <c r="G430" s="639">
        <v>56593</v>
      </c>
      <c r="H430" s="639">
        <v>7581</v>
      </c>
      <c r="I430" s="639"/>
      <c r="J430" s="639"/>
      <c r="K430" s="640">
        <f t="shared" si="13"/>
        <v>64174</v>
      </c>
      <c r="L430" s="639">
        <v>6865</v>
      </c>
      <c r="M430" s="639">
        <v>4695</v>
      </c>
      <c r="N430" s="639">
        <v>134477</v>
      </c>
      <c r="O430" s="1503">
        <f>1-N431</f>
        <v>0.54608145602819169</v>
      </c>
    </row>
    <row r="431" spans="1:15" ht="12" customHeight="1">
      <c r="A431" s="1517"/>
      <c r="B431" s="1502"/>
      <c r="C431" s="635" t="s">
        <v>6219</v>
      </c>
      <c r="D431" s="636">
        <f>D430/(D430+E430+G430+H430+I430+J430+L430+M430+N430)</f>
        <v>0.21117404424521868</v>
      </c>
      <c r="E431" s="636">
        <f>E430/(D430+E430+G430+H430+I430+J430+L430+M430+N430)</f>
        <v>7.9272120921629122E-2</v>
      </c>
      <c r="F431" s="637">
        <f t="shared" si="12"/>
        <v>0.29044616516684779</v>
      </c>
      <c r="G431" s="636">
        <f>G430/(D430+E430+G430+H430+I430+J430+L430+M430+N430)</f>
        <v>0.19102606511891662</v>
      </c>
      <c r="H431" s="636">
        <f>H430/(D430+E430+G430+H430+I430+J430+L430+M430+N430)</f>
        <v>2.5589182401825436E-2</v>
      </c>
      <c r="I431" s="636">
        <f>I430/(D430+E430+G430+H430+I430+J430+L430+M430+N430)</f>
        <v>0</v>
      </c>
      <c r="J431" s="636">
        <f>J430/(D430+E430+G430+H430+I430+J430+L430+M430+N430)</f>
        <v>0</v>
      </c>
      <c r="K431" s="637">
        <f t="shared" si="13"/>
        <v>0.21661524752074207</v>
      </c>
      <c r="L431" s="636">
        <f>L430/(D430+E430+G430+H430+I430+J430+L430+M430+N430)</f>
        <v>2.3172370028826227E-2</v>
      </c>
      <c r="M431" s="636">
        <f>M430/(D430+E430+G430+H430+I430+J430+L430+M430+N430)</f>
        <v>1.5847673311775546E-2</v>
      </c>
      <c r="N431" s="636">
        <f>N430/(D430+E430+G430+H430+I430+J430+L430+M430+N430)</f>
        <v>0.45391854397180836</v>
      </c>
      <c r="O431" s="1503"/>
    </row>
    <row r="432" spans="1:15" ht="12" customHeight="1">
      <c r="A432" s="1517"/>
      <c r="B432" s="1502" t="s">
        <v>14940</v>
      </c>
      <c r="C432" s="638" t="s">
        <v>6218</v>
      </c>
      <c r="D432" s="639">
        <v>65175</v>
      </c>
      <c r="E432" s="639">
        <v>25986</v>
      </c>
      <c r="F432" s="640">
        <f t="shared" si="12"/>
        <v>91161</v>
      </c>
      <c r="G432" s="639">
        <v>59245</v>
      </c>
      <c r="H432" s="639">
        <v>6859</v>
      </c>
      <c r="I432" s="639"/>
      <c r="J432" s="639"/>
      <c r="K432" s="640">
        <f t="shared" si="13"/>
        <v>66104</v>
      </c>
      <c r="L432" s="639">
        <v>8042</v>
      </c>
      <c r="M432" s="639"/>
      <c r="N432" s="639">
        <v>130252</v>
      </c>
      <c r="O432" s="1503">
        <f>1-N433</f>
        <v>0.55930288030477837</v>
      </c>
    </row>
    <row r="433" spans="1:15" ht="12" customHeight="1" thickBot="1">
      <c r="A433" s="1519"/>
      <c r="B433" s="1514"/>
      <c r="C433" s="641" t="s">
        <v>6219</v>
      </c>
      <c r="D433" s="642">
        <f>D432/(D432+E432+G432+H432+I432+J432+L432+M432+N432)</f>
        <v>0.22051434738918457</v>
      </c>
      <c r="E433" s="642">
        <f>E432/(D432+E432+G432+H432+I432+J432+L432+M432+N432)</f>
        <v>8.7921531741547376E-2</v>
      </c>
      <c r="F433" s="643">
        <f t="shared" si="12"/>
        <v>0.30843587913073195</v>
      </c>
      <c r="G433" s="642">
        <f>G432/(D432+E432+G432+H432+I432+J432+L432+M432+N432)</f>
        <v>0.20045067143954337</v>
      </c>
      <c r="H433" s="642">
        <f>H432/(D432+E432+G432+H432+I432+J432+L432+M432+N432)</f>
        <v>2.3206872401111116E-2</v>
      </c>
      <c r="I433" s="642">
        <f>I432/(D432+E432+G432+H432+I432+J432+L432+M432+N432)</f>
        <v>0</v>
      </c>
      <c r="J433" s="642">
        <f>J432/(D432+E432+G432+H432+I432+J432+L432+M432+N432)</f>
        <v>0</v>
      </c>
      <c r="K433" s="643">
        <f t="shared" si="13"/>
        <v>0.22365754384065448</v>
      </c>
      <c r="L433" s="642">
        <f>L432/(D432+E432+G432+H432+I432+J432+L432+M432+N432)</f>
        <v>2.720945733339198E-2</v>
      </c>
      <c r="M433" s="642">
        <f>M432/(D432+E432+G432+H432+I432+J432+L432+M432+N432)</f>
        <v>0</v>
      </c>
      <c r="N433" s="642">
        <f>N432/(D432+E432+G432+H432+I432+J432+L432+M432+N432)</f>
        <v>0.44069711969522157</v>
      </c>
      <c r="O433" s="1515"/>
    </row>
    <row r="434" spans="1:15" ht="12" customHeight="1">
      <c r="A434" s="1535" t="s">
        <v>14994</v>
      </c>
      <c r="B434" s="1536" t="s">
        <v>14937</v>
      </c>
      <c r="C434" s="632" t="s">
        <v>6218</v>
      </c>
      <c r="D434" s="633">
        <v>60944</v>
      </c>
      <c r="E434" s="633">
        <v>16386</v>
      </c>
      <c r="F434" s="634">
        <f t="shared" si="12"/>
        <v>77330</v>
      </c>
      <c r="G434" s="633">
        <v>51313</v>
      </c>
      <c r="H434" s="633">
        <v>6212</v>
      </c>
      <c r="I434" s="633">
        <v>4277</v>
      </c>
      <c r="J434" s="633">
        <v>4511</v>
      </c>
      <c r="K434" s="634">
        <f t="shared" si="13"/>
        <v>66313</v>
      </c>
      <c r="L434" s="633">
        <v>9635</v>
      </c>
      <c r="M434" s="633">
        <v>2396</v>
      </c>
      <c r="N434" s="633">
        <v>133734</v>
      </c>
      <c r="O434" s="1537">
        <f>1-N435</f>
        <v>0.53790496461742587</v>
      </c>
    </row>
    <row r="435" spans="1:15" ht="12" customHeight="1">
      <c r="A435" s="1517"/>
      <c r="B435" s="1502"/>
      <c r="C435" s="635" t="s">
        <v>6219</v>
      </c>
      <c r="D435" s="636">
        <f>D434/(D434+E434+G434+H434+I434+J434+L434+M434+N434)</f>
        <v>0.21058160106147722</v>
      </c>
      <c r="E435" s="636">
        <f>E434/(D434+E434+G434+H434+I434+J434+L434+M434+N434)</f>
        <v>5.6619029190623615E-2</v>
      </c>
      <c r="F435" s="637">
        <f t="shared" si="12"/>
        <v>0.26720063025210083</v>
      </c>
      <c r="G435" s="636">
        <f>G434/(D434+E434+G434+H434+I434+J434+L434+M434+N434)</f>
        <v>0.17730332264484741</v>
      </c>
      <c r="H435" s="636">
        <f>H434/(D434+E434+G434+H434+I434+J434+L434+M434+N434)</f>
        <v>2.1464506855373728E-2</v>
      </c>
      <c r="I435" s="636">
        <f>I434/(D434+E434+G434+H434+I434+J434+L434+M434+N434)</f>
        <v>1.4778444272445821E-2</v>
      </c>
      <c r="J435" s="636">
        <f>J434/(D434+E434+G434+H434+I434+J434+L434+M434+N434)</f>
        <v>1.5586991375497567E-2</v>
      </c>
      <c r="K435" s="637">
        <f t="shared" si="13"/>
        <v>0.22913326514816454</v>
      </c>
      <c r="L435" s="636">
        <f>L434/(D434+E434+G434+H434+I434+J434+L434+M434+N434)</f>
        <v>3.3292099734630695E-2</v>
      </c>
      <c r="M435" s="636">
        <f>M434/(D434+E434+G434+H434+I434+J434+L434+M434+N434)</f>
        <v>8.2789694825298535E-3</v>
      </c>
      <c r="N435" s="636">
        <f>N434/(D434+E434+G434+H434+I434+J434+L434+M434+N434)</f>
        <v>0.46209503538257407</v>
      </c>
      <c r="O435" s="1503"/>
    </row>
    <row r="436" spans="1:15" ht="12" customHeight="1">
      <c r="A436" s="1517"/>
      <c r="B436" s="1502" t="s">
        <v>14938</v>
      </c>
      <c r="C436" s="638" t="s">
        <v>6218</v>
      </c>
      <c r="D436" s="639">
        <v>77404</v>
      </c>
      <c r="E436" s="639">
        <v>23764</v>
      </c>
      <c r="F436" s="640">
        <f t="shared" si="12"/>
        <v>101168</v>
      </c>
      <c r="G436" s="639">
        <v>53722</v>
      </c>
      <c r="H436" s="639">
        <v>9919</v>
      </c>
      <c r="I436" s="639"/>
      <c r="J436" s="639">
        <v>9242</v>
      </c>
      <c r="K436" s="640">
        <f t="shared" si="13"/>
        <v>72883</v>
      </c>
      <c r="L436" s="639">
        <v>13588</v>
      </c>
      <c r="M436" s="639"/>
      <c r="N436" s="639">
        <v>100361</v>
      </c>
      <c r="O436" s="1503">
        <f>1-N437</f>
        <v>0.65152430555555552</v>
      </c>
    </row>
    <row r="437" spans="1:15" ht="12" customHeight="1">
      <c r="A437" s="1517"/>
      <c r="B437" s="1502"/>
      <c r="C437" s="635" t="s">
        <v>6219</v>
      </c>
      <c r="D437" s="636">
        <f>D436/(D436+E436+G436+H436+I436+J436+L436+M436+N436)</f>
        <v>0.26876388888888891</v>
      </c>
      <c r="E437" s="636">
        <f>E436/(D436+E436+G436+H436+I436+J436+L436+M436+N436)</f>
        <v>8.2513888888888887E-2</v>
      </c>
      <c r="F437" s="637">
        <f t="shared" si="12"/>
        <v>0.3512777777777778</v>
      </c>
      <c r="G437" s="636">
        <f>G436/(D436+E436+G436+H436+I436+J436+L436+M436+N436)</f>
        <v>0.18653472222222223</v>
      </c>
      <c r="H437" s="636">
        <f>H436/(D436+E436+G436+H436+I436+J436+L436+M436+N436)</f>
        <v>3.444097222222222E-2</v>
      </c>
      <c r="I437" s="636">
        <f>I436/(D436+E436+G436+H436+I436+J436+L436+M436+N436)</f>
        <v>0</v>
      </c>
      <c r="J437" s="636">
        <f>J436/(D436+E436+G436+H436+I436+J436+L436+M436+N436)</f>
        <v>3.209027777777778E-2</v>
      </c>
      <c r="K437" s="637">
        <f t="shared" si="13"/>
        <v>0.25306597222222221</v>
      </c>
      <c r="L437" s="636">
        <f>L436/(D436+E436+G436+H436+I436+J436+L436+M436+N436)</f>
        <v>4.7180555555555559E-2</v>
      </c>
      <c r="M437" s="636">
        <f>M436/(D436+E436+G436+H436+I436+J436+L436+M436+N436)</f>
        <v>0</v>
      </c>
      <c r="N437" s="636">
        <f>N436/(D436+E436+G436+H436+I436+J436+L436+M436+N436)</f>
        <v>0.34847569444444443</v>
      </c>
      <c r="O437" s="1503"/>
    </row>
    <row r="438" spans="1:15" ht="12" customHeight="1">
      <c r="A438" s="1517"/>
      <c r="B438" s="1502" t="s">
        <v>14939</v>
      </c>
      <c r="C438" s="638" t="s">
        <v>6218</v>
      </c>
      <c r="D438" s="639">
        <v>58354</v>
      </c>
      <c r="E438" s="639">
        <v>22975</v>
      </c>
      <c r="F438" s="640">
        <f t="shared" si="12"/>
        <v>81329</v>
      </c>
      <c r="G438" s="639">
        <v>56627</v>
      </c>
      <c r="H438" s="639">
        <v>8124</v>
      </c>
      <c r="I438" s="639"/>
      <c r="J438" s="639"/>
      <c r="K438" s="640">
        <f t="shared" si="13"/>
        <v>64751</v>
      </c>
      <c r="L438" s="639">
        <v>10629</v>
      </c>
      <c r="M438" s="639">
        <v>5115</v>
      </c>
      <c r="N438" s="639">
        <v>124936</v>
      </c>
      <c r="O438" s="1503">
        <f>1-N439</f>
        <v>0.56431859394615702</v>
      </c>
    </row>
    <row r="439" spans="1:15" ht="12" customHeight="1">
      <c r="A439" s="1517"/>
      <c r="B439" s="1502"/>
      <c r="C439" s="635" t="s">
        <v>6219</v>
      </c>
      <c r="D439" s="636">
        <f>D438/(D438+E438+G438+H438+I438+J438+L438+M438+N438)</f>
        <v>0.20349421118705538</v>
      </c>
      <c r="E439" s="636">
        <f>E438/(D438+E438+G438+H438+I438+J438+L438+M438+N438)</f>
        <v>8.011926349560608E-2</v>
      </c>
      <c r="F439" s="637">
        <f t="shared" si="12"/>
        <v>0.28361347468266146</v>
      </c>
      <c r="G439" s="636">
        <f>G438/(D438+E438+G438+H438+I438+J438+L438+M438+N438)</f>
        <v>0.1974717533826196</v>
      </c>
      <c r="H439" s="636">
        <f>H438/(D438+E438+G438+H438+I438+J438+L438+M438+N438)</f>
        <v>2.8330311061514856E-2</v>
      </c>
      <c r="I439" s="636">
        <f>I438/(D438+E438+G438+H438+I438+J438+L438+M438+N438)</f>
        <v>0</v>
      </c>
      <c r="J439" s="636">
        <f>J438/(D438+E438+G438+H438+I438+J438+L438+M438+N438)</f>
        <v>0</v>
      </c>
      <c r="K439" s="637">
        <f t="shared" si="13"/>
        <v>0.22580206444413445</v>
      </c>
      <c r="L439" s="636">
        <f>L438/(D438+E438+G438+H438+I438+J438+L438+M438+N438)</f>
        <v>3.7065839029153301E-2</v>
      </c>
      <c r="M439" s="636">
        <f>M438/(D438+E438+G438+H438+I438+J438+L438+M438+N438)</f>
        <v>1.783721579020784E-2</v>
      </c>
      <c r="N439" s="636">
        <f>N438/(D438+E438+G438+H438+I438+J438+L438+M438+N438)</f>
        <v>0.43568140605384292</v>
      </c>
      <c r="O439" s="1503"/>
    </row>
    <row r="440" spans="1:15" ht="12" customHeight="1">
      <c r="A440" s="1517"/>
      <c r="B440" s="1502" t="s">
        <v>14940</v>
      </c>
      <c r="C440" s="638" t="s">
        <v>6218</v>
      </c>
      <c r="D440" s="639">
        <v>64141</v>
      </c>
      <c r="E440" s="639">
        <v>22408</v>
      </c>
      <c r="F440" s="640">
        <f t="shared" si="12"/>
        <v>86549</v>
      </c>
      <c r="G440" s="639">
        <v>52508</v>
      </c>
      <c r="H440" s="639">
        <v>7361</v>
      </c>
      <c r="I440" s="639"/>
      <c r="J440" s="639"/>
      <c r="K440" s="640">
        <f t="shared" si="13"/>
        <v>59869</v>
      </c>
      <c r="L440" s="639">
        <v>12130</v>
      </c>
      <c r="M440" s="639"/>
      <c r="N440" s="639">
        <v>127521</v>
      </c>
      <c r="O440" s="1503">
        <f>1-N441</f>
        <v>0.55422992354991285</v>
      </c>
    </row>
    <row r="441" spans="1:15" ht="12" customHeight="1" thickBot="1">
      <c r="A441" s="1519"/>
      <c r="B441" s="1514"/>
      <c r="C441" s="641" t="s">
        <v>6219</v>
      </c>
      <c r="D441" s="642">
        <f>D440/(D440+E440+G440+H440+I440+J440+L440+M440+N440)</f>
        <v>0.22421513690752931</v>
      </c>
      <c r="E441" s="642">
        <f>E440/(D440+E440+G440+H440+I440+J440+L440+M440+N440)</f>
        <v>7.8330752370931483E-2</v>
      </c>
      <c r="F441" s="643">
        <f t="shared" si="12"/>
        <v>0.30254588927846082</v>
      </c>
      <c r="G441" s="642">
        <f>G440/(D440+E440+G440+H440+I440+J440+L440+M440+N440)</f>
        <v>0.18355012252288783</v>
      </c>
      <c r="H441" s="642">
        <f>H440/(D440+E440+G440+H440+I440+J440+L440+M440+N440)</f>
        <v>2.5731554275367132E-2</v>
      </c>
      <c r="I441" s="642">
        <f>I440/(D440+E440+G440+H440+I440+J440+L440+M440+N440)</f>
        <v>0</v>
      </c>
      <c r="J441" s="642">
        <f>J440/(D440+E440+G440+H440+I440+J440+L440+M440+N440)</f>
        <v>0</v>
      </c>
      <c r="K441" s="643">
        <f t="shared" si="13"/>
        <v>0.20928167679825496</v>
      </c>
      <c r="L441" s="642">
        <f>L440/(D440+E440+G440+H440+I440+J440+L440+M440+N440)</f>
        <v>4.2402357473197025E-2</v>
      </c>
      <c r="M441" s="642">
        <f>M440/(D440+E440+G440+H440+I440+J440+L440+M440+N440)</f>
        <v>0</v>
      </c>
      <c r="N441" s="642">
        <f>N440/(D440+E440+G440+H440+I440+J440+L440+M440+N440)</f>
        <v>0.4457700764500872</v>
      </c>
      <c r="O441" s="1515"/>
    </row>
    <row r="442" spans="1:15" ht="12" customHeight="1">
      <c r="A442" s="1535" t="s">
        <v>14995</v>
      </c>
      <c r="B442" s="1536" t="s">
        <v>14937</v>
      </c>
      <c r="C442" s="632" t="s">
        <v>6218</v>
      </c>
      <c r="D442" s="633">
        <v>75137</v>
      </c>
      <c r="E442" s="633">
        <v>17032</v>
      </c>
      <c r="F442" s="634">
        <f t="shared" si="12"/>
        <v>92169</v>
      </c>
      <c r="G442" s="633">
        <v>54232</v>
      </c>
      <c r="H442" s="633">
        <v>8241</v>
      </c>
      <c r="I442" s="633">
        <v>4999</v>
      </c>
      <c r="J442" s="633">
        <v>4222</v>
      </c>
      <c r="K442" s="634">
        <f t="shared" si="13"/>
        <v>71694</v>
      </c>
      <c r="L442" s="633">
        <v>9903</v>
      </c>
      <c r="M442" s="633">
        <v>2567</v>
      </c>
      <c r="N442" s="633">
        <v>142518</v>
      </c>
      <c r="O442" s="1537">
        <f>1-N443</f>
        <v>0.55302633518477284</v>
      </c>
    </row>
    <row r="443" spans="1:15" ht="12" customHeight="1">
      <c r="A443" s="1517"/>
      <c r="B443" s="1502"/>
      <c r="C443" s="635" t="s">
        <v>6219</v>
      </c>
      <c r="D443" s="636">
        <f>D442/(D442+E442+G442+H442+I442+J442+L442+M442+N442)</f>
        <v>0.23564925309941007</v>
      </c>
      <c r="E443" s="636">
        <f>E442/(D442+E442+G442+H442+I442+J442+L442+M442+N442)</f>
        <v>5.3416799696409924E-2</v>
      </c>
      <c r="F443" s="637">
        <f t="shared" si="12"/>
        <v>0.28906605279581998</v>
      </c>
      <c r="G443" s="636">
        <f>G442/(D442+E442+G442+H442+I442+J442+L442+M442+N442)</f>
        <v>0.1700857140168919</v>
      </c>
      <c r="H443" s="636">
        <f>H442/(D442+E442+G442+H442+I442+J442+L442+M442+N442)</f>
        <v>2.5845928035351934E-2</v>
      </c>
      <c r="I443" s="636">
        <f>I442/(D442+E442+G442+H442+I442+J442+L442+M442+N442)</f>
        <v>1.5678169427099178E-2</v>
      </c>
      <c r="J443" s="636">
        <f>J442/(D442+E442+G442+H442+I442+J442+L442+M442+N442)</f>
        <v>1.3241294523147176E-2</v>
      </c>
      <c r="K443" s="637">
        <f t="shared" si="13"/>
        <v>0.2248511060024902</v>
      </c>
      <c r="L443" s="636">
        <f>L442/(D442+E442+G442+H442+I442+J442+L442+M442+N442)</f>
        <v>3.1058394046121856E-2</v>
      </c>
      <c r="M443" s="636">
        <f>M442/(D442+E442+G442+H442+I442+J442+L442+M442+N442)</f>
        <v>8.0507823403407862E-3</v>
      </c>
      <c r="N443" s="636">
        <f>N442/(D442+E442+G442+H442+I442+J442+L442+M442+N442)</f>
        <v>0.44697366481522716</v>
      </c>
      <c r="O443" s="1503"/>
    </row>
    <row r="444" spans="1:15" ht="12" customHeight="1">
      <c r="A444" s="1517"/>
      <c r="B444" s="1502" t="s">
        <v>14938</v>
      </c>
      <c r="C444" s="638" t="s">
        <v>6218</v>
      </c>
      <c r="D444" s="639">
        <v>95135</v>
      </c>
      <c r="E444" s="639">
        <v>24112</v>
      </c>
      <c r="F444" s="640">
        <f t="shared" si="12"/>
        <v>119247</v>
      </c>
      <c r="G444" s="639">
        <v>56546</v>
      </c>
      <c r="H444" s="639">
        <v>12064</v>
      </c>
      <c r="I444" s="639"/>
      <c r="J444" s="639">
        <v>9862</v>
      </c>
      <c r="K444" s="640">
        <f t="shared" si="13"/>
        <v>78472</v>
      </c>
      <c r="L444" s="639">
        <v>13736</v>
      </c>
      <c r="M444" s="639"/>
      <c r="N444" s="639">
        <v>107741</v>
      </c>
      <c r="O444" s="1503">
        <f>1-N445</f>
        <v>0.66246130903896039</v>
      </c>
    </row>
    <row r="445" spans="1:15" ht="12" customHeight="1">
      <c r="A445" s="1517"/>
      <c r="B445" s="1502"/>
      <c r="C445" s="635" t="s">
        <v>6219</v>
      </c>
      <c r="D445" s="636">
        <f>D444/(D444+E444+G444+H444+I444+J444+L444+M444+N444)</f>
        <v>0.29804571485858217</v>
      </c>
      <c r="E445" s="636">
        <f>E444/(D444+E444+G444+H444+I444+J444+L444+M444+N444)</f>
        <v>7.5539793731751029E-2</v>
      </c>
      <c r="F445" s="637">
        <f t="shared" si="12"/>
        <v>0.37358550859033318</v>
      </c>
      <c r="G445" s="636">
        <f>G444/(D444+E444+G444+H444+I444+J444+L444+M444+N444)</f>
        <v>0.17715134274865599</v>
      </c>
      <c r="H445" s="636">
        <f>H444/(D444+E444+G444+H444+I444+J444+L444+M444+N444)</f>
        <v>3.7794959836589433E-2</v>
      </c>
      <c r="I445" s="636">
        <f>I444/(D444+E444+G444+H444+I444+J444+L444+M444+N444)</f>
        <v>0</v>
      </c>
      <c r="J445" s="636">
        <f>J444/(D444+E444+G444+H444+I444+J444+L444+M444+N444)</f>
        <v>3.0896377147583302E-2</v>
      </c>
      <c r="K445" s="637">
        <f t="shared" si="13"/>
        <v>0.24584267973282872</v>
      </c>
      <c r="L445" s="636">
        <f>L444/(D444+E444+G444+H444+I444+J444+L444+M444+N444)</f>
        <v>4.3033120715798442E-2</v>
      </c>
      <c r="M445" s="636">
        <f>M444/(D444+E444+G444+H444+I444+J444+L444+M444+N444)</f>
        <v>0</v>
      </c>
      <c r="N445" s="636">
        <f>N444/(D444+E444+G444+H444+I444+J444+L444+M444+N444)</f>
        <v>0.33753869096103961</v>
      </c>
      <c r="O445" s="1503"/>
    </row>
    <row r="446" spans="1:15" ht="12" customHeight="1">
      <c r="A446" s="1517"/>
      <c r="B446" s="1502" t="s">
        <v>14939</v>
      </c>
      <c r="C446" s="638" t="s">
        <v>6218</v>
      </c>
      <c r="D446" s="639">
        <v>83762</v>
      </c>
      <c r="E446" s="639">
        <v>21708</v>
      </c>
      <c r="F446" s="640">
        <f t="shared" si="12"/>
        <v>105470</v>
      </c>
      <c r="G446" s="639">
        <v>58126</v>
      </c>
      <c r="H446" s="639">
        <v>9692</v>
      </c>
      <c r="I446" s="639"/>
      <c r="J446" s="639"/>
      <c r="K446" s="640">
        <f t="shared" si="13"/>
        <v>67818</v>
      </c>
      <c r="L446" s="639">
        <v>9910</v>
      </c>
      <c r="M446" s="639">
        <v>4962</v>
      </c>
      <c r="N446" s="639">
        <v>130576</v>
      </c>
      <c r="O446" s="1503">
        <f>1-N447</f>
        <v>0.59033181065207563</v>
      </c>
    </row>
    <row r="447" spans="1:15" ht="12" customHeight="1">
      <c r="A447" s="1517"/>
      <c r="B447" s="1502"/>
      <c r="C447" s="635" t="s">
        <v>6219</v>
      </c>
      <c r="D447" s="636">
        <f>D446/(D446+E446+G446+H446+I446+J446+L446+M446+N446)</f>
        <v>0.2627942874353697</v>
      </c>
      <c r="E447" s="636">
        <f>E446/(D446+E446+G446+H446+I446+J446+L446+M446+N446)</f>
        <v>6.8106520756990113E-2</v>
      </c>
      <c r="F447" s="637">
        <f t="shared" si="12"/>
        <v>0.33090080819235979</v>
      </c>
      <c r="G447" s="636">
        <f>G446/(D446+E446+G446+H446+I446+J446+L446+M446+N446)</f>
        <v>0.18236408814818533</v>
      </c>
      <c r="H447" s="636">
        <f>H446/(D446+E446+G446+H446+I446+J446+L446+M446+N446)</f>
        <v>3.0407610059735957E-2</v>
      </c>
      <c r="I447" s="636">
        <f>I446/(D446+E446+G446+H446+I446+J446+L446+M446+N446)</f>
        <v>0</v>
      </c>
      <c r="J447" s="636">
        <f>J446/(D446+E446+G446+H446+I446+J446+L446+M446+N446)</f>
        <v>0</v>
      </c>
      <c r="K447" s="637">
        <f t="shared" si="13"/>
        <v>0.2127716982079213</v>
      </c>
      <c r="L447" s="636">
        <f>L446/(D446+E446+G446+H446+I446+J446+L446+M446+N446)</f>
        <v>3.1091561668590933E-2</v>
      </c>
      <c r="M447" s="636">
        <f>M446/(D446+E446+G446+H446+I446+J446+L446+M446+N446)</f>
        <v>1.5567742583203655E-2</v>
      </c>
      <c r="N447" s="636">
        <f>N446/(D446+E446+G446+H446+I446+J446+L446+M446+N446)</f>
        <v>0.40966818934792432</v>
      </c>
      <c r="O447" s="1503"/>
    </row>
    <row r="448" spans="1:15" ht="12" customHeight="1">
      <c r="A448" s="1517"/>
      <c r="B448" s="1502" t="s">
        <v>14940</v>
      </c>
      <c r="C448" s="638" t="s">
        <v>6218</v>
      </c>
      <c r="D448" s="639">
        <v>92537</v>
      </c>
      <c r="E448" s="639">
        <v>22369</v>
      </c>
      <c r="F448" s="640">
        <f t="shared" si="12"/>
        <v>114906</v>
      </c>
      <c r="G448" s="639">
        <v>46897</v>
      </c>
      <c r="H448" s="639">
        <v>12580</v>
      </c>
      <c r="I448" s="639"/>
      <c r="J448" s="639"/>
      <c r="K448" s="640">
        <f t="shared" si="13"/>
        <v>59477</v>
      </c>
      <c r="L448" s="639">
        <v>12017</v>
      </c>
      <c r="M448" s="639"/>
      <c r="N448" s="639">
        <v>132127</v>
      </c>
      <c r="O448" s="1503">
        <f>1-N449</f>
        <v>0.58519371984164614</v>
      </c>
    </row>
    <row r="449" spans="1:15" ht="12" customHeight="1" thickBot="1">
      <c r="A449" s="1519"/>
      <c r="B449" s="1514"/>
      <c r="C449" s="641" t="s">
        <v>6219</v>
      </c>
      <c r="D449" s="642">
        <f>D448/(D448+E448+G448+H448+I448+J448+L448+M448+N448)</f>
        <v>0.29051540371773821</v>
      </c>
      <c r="E449" s="642">
        <f>E448/(D448+E448+G448+H448+I448+J448+L448+M448+N448)</f>
        <v>7.022638583228423E-2</v>
      </c>
      <c r="F449" s="643">
        <f t="shared" si="12"/>
        <v>0.36074178955002245</v>
      </c>
      <c r="G449" s="642">
        <f>G448/(D448+E448+G448+H448+I448+J448+L448+M448+N448)</f>
        <v>0.14723084699256264</v>
      </c>
      <c r="H449" s="642">
        <f>H448/(D448+E448+G448+H448+I448+J448+L448+M448+N448)</f>
        <v>3.9494297186737699E-2</v>
      </c>
      <c r="I449" s="642">
        <f>I448/(D448+E448+G448+H448+I448+J448+L448+M448+N448)</f>
        <v>0</v>
      </c>
      <c r="J449" s="642">
        <f>J448/(D448+E448+G448+H448+I448+J448+L448+M448+N448)</f>
        <v>0</v>
      </c>
      <c r="K449" s="643">
        <f t="shared" si="13"/>
        <v>0.18672514417930033</v>
      </c>
      <c r="L449" s="642">
        <f>L448/(D448+E448+G448+H448+I448+J448+L448+M448+N448)</f>
        <v>3.7726786112323288E-2</v>
      </c>
      <c r="M449" s="642">
        <f>M448/(D448+E448+G448+H448+I448+J448+L448+M448+N448)</f>
        <v>0</v>
      </c>
      <c r="N449" s="642">
        <f>N448/(D448+E448+G448+H448+I448+J448+L448+M448+N448)</f>
        <v>0.41480628015835391</v>
      </c>
      <c r="O449" s="1515"/>
    </row>
    <row r="450" spans="1:15" ht="12" customHeight="1">
      <c r="A450" s="1538" t="s">
        <v>14996</v>
      </c>
      <c r="B450" s="1536" t="s">
        <v>14937</v>
      </c>
      <c r="C450" s="632" t="s">
        <v>6218</v>
      </c>
      <c r="D450" s="633">
        <v>59879</v>
      </c>
      <c r="E450" s="633">
        <v>26082</v>
      </c>
      <c r="F450" s="634">
        <f t="shared" ref="F450:F513" si="14">SUM(D450:E450)</f>
        <v>85961</v>
      </c>
      <c r="G450" s="633">
        <v>98452</v>
      </c>
      <c r="H450" s="633">
        <v>13748</v>
      </c>
      <c r="I450" s="633">
        <v>4236</v>
      </c>
      <c r="J450" s="633">
        <v>8341</v>
      </c>
      <c r="K450" s="634">
        <f t="shared" ref="K450:K513" si="15">SUM(G450:J450)</f>
        <v>124777</v>
      </c>
      <c r="L450" s="633">
        <v>19871</v>
      </c>
      <c r="M450" s="633">
        <v>4396</v>
      </c>
      <c r="N450" s="633">
        <v>177898</v>
      </c>
      <c r="O450" s="1537">
        <f>1-N451</f>
        <v>0.56915304563057179</v>
      </c>
    </row>
    <row r="451" spans="1:15" ht="12" customHeight="1">
      <c r="A451" s="1527"/>
      <c r="B451" s="1502"/>
      <c r="C451" s="635" t="s">
        <v>6219</v>
      </c>
      <c r="D451" s="636">
        <f>D450/(D450+E450+G450+H450+I450+J450+L450+M450+N450)</f>
        <v>0.1450195324325568</v>
      </c>
      <c r="E451" s="636">
        <f>E450/(D450+E450+G450+H450+I450+J450+L450+M450+N450)</f>
        <v>6.3167378294660001E-2</v>
      </c>
      <c r="F451" s="637">
        <f t="shared" si="14"/>
        <v>0.20818691072721679</v>
      </c>
      <c r="G451" s="636">
        <f>G450/(D450+E450+G450+H450+I450+J450+L450+M450+N450)</f>
        <v>0.23843856789609183</v>
      </c>
      <c r="H451" s="636">
        <f>H450/(D450+E450+G450+H450+I450+J450+L450+M450+N450)</f>
        <v>3.3295955708725782E-2</v>
      </c>
      <c r="I451" s="636">
        <f>I450/(D450+E450+G450+H450+I450+J450+L450+M450+N450)</f>
        <v>1.0259068110427873E-2</v>
      </c>
      <c r="J451" s="636">
        <f>J450/(D450+E450+G450+H450+I450+J450+L450+M450+N450)</f>
        <v>2.0200870422351011E-2</v>
      </c>
      <c r="K451" s="637">
        <f t="shared" si="15"/>
        <v>0.30219446213759649</v>
      </c>
      <c r="L451" s="636">
        <f>L450/(D450+E450+G450+H450+I450+J450+L450+M450+N450)</f>
        <v>4.8125104443416493E-2</v>
      </c>
      <c r="M451" s="636">
        <f>M450/(D450+E450+G450+H450+I450+J450+L450+M450+N450)</f>
        <v>1.0646568322342051E-2</v>
      </c>
      <c r="N451" s="636">
        <f>N450/(D450+E450+G450+H450+I450+J450+L450+M450+N450)</f>
        <v>0.43084695436942816</v>
      </c>
      <c r="O451" s="1503"/>
    </row>
    <row r="452" spans="1:15" ht="12" customHeight="1">
      <c r="A452" s="1527"/>
      <c r="B452" s="1502" t="s">
        <v>14938</v>
      </c>
      <c r="C452" s="638" t="s">
        <v>6218</v>
      </c>
      <c r="D452" s="639">
        <v>100285</v>
      </c>
      <c r="E452" s="639">
        <v>28521</v>
      </c>
      <c r="F452" s="640">
        <f t="shared" si="14"/>
        <v>128806</v>
      </c>
      <c r="G452" s="639">
        <v>86311</v>
      </c>
      <c r="H452" s="639">
        <v>15460</v>
      </c>
      <c r="I452" s="639"/>
      <c r="J452" s="639">
        <v>10907</v>
      </c>
      <c r="K452" s="640">
        <f t="shared" si="15"/>
        <v>112678</v>
      </c>
      <c r="L452" s="639">
        <v>20606</v>
      </c>
      <c r="M452" s="639"/>
      <c r="N452" s="639">
        <v>144241</v>
      </c>
      <c r="O452" s="1503">
        <f>1-N453</f>
        <v>0.64501600911572088</v>
      </c>
    </row>
    <row r="453" spans="1:15" ht="12" customHeight="1">
      <c r="A453" s="1527"/>
      <c r="B453" s="1502"/>
      <c r="C453" s="635" t="s">
        <v>6219</v>
      </c>
      <c r="D453" s="636">
        <f>D452/(D452+E452+G452+H452+I452+J452+L452+M452+N452)</f>
        <v>0.24680617526105564</v>
      </c>
      <c r="E453" s="636">
        <f>E452/(D452+E452+G452+H452+I452+J452+L452+M452+N452)</f>
        <v>7.0191543347664836E-2</v>
      </c>
      <c r="F453" s="637">
        <f t="shared" si="14"/>
        <v>0.3169977186087205</v>
      </c>
      <c r="G453" s="636">
        <f>G452/(D452+E452+G452+H452+I452+J452+L452+M452+N452)</f>
        <v>0.21241549377231864</v>
      </c>
      <c r="H453" s="636">
        <f>H452/(D452+E452+G452+H452+I452+J452+L452+M452+N452)</f>
        <v>3.8047798469720499E-2</v>
      </c>
      <c r="I453" s="636">
        <f>I452/(D452+E452+G452+H452+I452+J452+L452+M452+N452)</f>
        <v>0</v>
      </c>
      <c r="J453" s="636">
        <f>J452/(D452+E452+G452+H452+I452+J452+L452+M452+N452)</f>
        <v>2.6842647988954818E-2</v>
      </c>
      <c r="K453" s="637">
        <f t="shared" si="15"/>
        <v>0.27730594023099392</v>
      </c>
      <c r="L453" s="636">
        <f>L452/(D452+E452+G452+H452+I452+J452+L452+M452+N452)</f>
        <v>5.0712350276006506E-2</v>
      </c>
      <c r="M453" s="636">
        <f>M452/(D452+E452+G452+H452+I452+J452+L452+M452+N452)</f>
        <v>0</v>
      </c>
      <c r="N453" s="636">
        <f>N452/(D452+E452+G452+H452+I452+J452+L452+M452+N452)</f>
        <v>0.35498399088427907</v>
      </c>
      <c r="O453" s="1503"/>
    </row>
    <row r="454" spans="1:15" ht="12" customHeight="1">
      <c r="A454" s="1527"/>
      <c r="B454" s="1502" t="s">
        <v>14939</v>
      </c>
      <c r="C454" s="638" t="s">
        <v>6218</v>
      </c>
      <c r="D454" s="639">
        <v>54344</v>
      </c>
      <c r="E454" s="639">
        <v>27228</v>
      </c>
      <c r="F454" s="640">
        <f t="shared" si="14"/>
        <v>81572</v>
      </c>
      <c r="G454" s="639">
        <v>89235</v>
      </c>
      <c r="H454" s="639">
        <v>13192</v>
      </c>
      <c r="I454" s="639"/>
      <c r="J454" s="639"/>
      <c r="K454" s="640">
        <f t="shared" si="15"/>
        <v>102427</v>
      </c>
      <c r="L454" s="639">
        <v>18618</v>
      </c>
      <c r="M454" s="639">
        <v>7835</v>
      </c>
      <c r="N454" s="639">
        <v>191041</v>
      </c>
      <c r="O454" s="1503">
        <f>1-N455</f>
        <v>0.52417352232791115</v>
      </c>
    </row>
    <row r="455" spans="1:15" ht="12" customHeight="1">
      <c r="A455" s="1527"/>
      <c r="B455" s="1502"/>
      <c r="C455" s="635" t="s">
        <v>6219</v>
      </c>
      <c r="D455" s="636">
        <f>D454/(D454+E454+G454+H454+I454+J454+L454+M454+N454)</f>
        <v>0.13535478825284625</v>
      </c>
      <c r="E455" s="636">
        <f>E454/(D454+E454+G454+H454+I454+J454+L454+M454+N454)</f>
        <v>6.7816873519588136E-2</v>
      </c>
      <c r="F455" s="637">
        <f t="shared" si="14"/>
        <v>0.2031716617724344</v>
      </c>
      <c r="G455" s="636">
        <f>G454/(D454+E454+G454+H454+I454+J454+L454+M454+N454)</f>
        <v>0.22225792230499661</v>
      </c>
      <c r="H455" s="636">
        <f>H454/(D454+E454+G454+H454+I454+J454+L454+M454+N454)</f>
        <v>3.2857359904157731E-2</v>
      </c>
      <c r="I455" s="636">
        <f>I454/(D454+E454+G454+H454+I454+J454+L454+M454+N454)</f>
        <v>0</v>
      </c>
      <c r="J455" s="636">
        <f>J454/(D454+E454+G454+H454+I454+J454+L454+M454+N454)</f>
        <v>0</v>
      </c>
      <c r="K455" s="637">
        <f t="shared" si="15"/>
        <v>0.25511528220915436</v>
      </c>
      <c r="L455" s="636">
        <f>L454/(D454+E454+G454+H454+I454+J454+L454+M454+N454)</f>
        <v>4.6371916820467603E-2</v>
      </c>
      <c r="M455" s="636">
        <f>M454/(D454+E454+G454+H454+I454+J454+L454+M454+N454)</f>
        <v>1.9514661525854748E-2</v>
      </c>
      <c r="N455" s="636">
        <f>N454/(D454+E454+G454+H454+I454+J454+L454+M454+N454)</f>
        <v>0.47582647767208891</v>
      </c>
      <c r="O455" s="1503"/>
    </row>
    <row r="456" spans="1:15" ht="12" customHeight="1">
      <c r="A456" s="1527"/>
      <c r="B456" s="1502" t="s">
        <v>14940</v>
      </c>
      <c r="C456" s="638" t="s">
        <v>6218</v>
      </c>
      <c r="D456" s="639">
        <v>61927</v>
      </c>
      <c r="E456" s="639">
        <v>25406</v>
      </c>
      <c r="F456" s="640">
        <f t="shared" si="14"/>
        <v>87333</v>
      </c>
      <c r="G456" s="639">
        <v>96329</v>
      </c>
      <c r="H456" s="639">
        <v>9591</v>
      </c>
      <c r="I456" s="639"/>
      <c r="J456" s="639"/>
      <c r="K456" s="640">
        <f t="shared" si="15"/>
        <v>105920</v>
      </c>
      <c r="L456" s="639">
        <v>16920</v>
      </c>
      <c r="M456" s="639"/>
      <c r="N456" s="639">
        <v>189586</v>
      </c>
      <c r="O456" s="1503">
        <f>1-N457</f>
        <v>0.52574926393151866</v>
      </c>
    </row>
    <row r="457" spans="1:15" ht="12" customHeight="1" thickBot="1">
      <c r="A457" s="1528"/>
      <c r="B457" s="1514"/>
      <c r="C457" s="641" t="s">
        <v>6219</v>
      </c>
      <c r="D457" s="642">
        <f>D456/(D456+E456+G456+H456+I456+J456+L456+M456+N456)</f>
        <v>0.15491083377735085</v>
      </c>
      <c r="E457" s="642">
        <f>E456/(D456+E456+G456+H456+I456+J456+L456+M456+N456)</f>
        <v>6.3553290857741793E-2</v>
      </c>
      <c r="F457" s="643">
        <f t="shared" si="14"/>
        <v>0.21846412463509263</v>
      </c>
      <c r="G457" s="642">
        <f>G456/(D456+E456+G456+H456+I456+J456+L456+M456+N456)</f>
        <v>0.24096768302902499</v>
      </c>
      <c r="H457" s="642">
        <f>H456/(D456+E456+G456+H456+I456+J456+L456+M456+N456)</f>
        <v>2.3991955152979669E-2</v>
      </c>
      <c r="I457" s="642">
        <f>I456/(D456+E456+G456+H456+I456+J456+L456+M456+N456)</f>
        <v>0</v>
      </c>
      <c r="J457" s="642">
        <f>J456/(D456+E456+G456+H456+I456+J456+L456+M456+N456)</f>
        <v>0</v>
      </c>
      <c r="K457" s="643">
        <f t="shared" si="15"/>
        <v>0.26495963818200469</v>
      </c>
      <c r="L457" s="642">
        <f>L456/(D456+E456+G456+H456+I456+J456+L456+M456+N456)</f>
        <v>4.2325501114421439E-2</v>
      </c>
      <c r="M457" s="642">
        <f>M456/(D456+E456+G456+H456+I456+J456+L456+M456+N456)</f>
        <v>0</v>
      </c>
      <c r="N457" s="642">
        <f>N456/(D456+E456+G456+H456+I456+J456+L456+M456+N456)</f>
        <v>0.47425073606848128</v>
      </c>
      <c r="O457" s="1515"/>
    </row>
    <row r="458" spans="1:15" ht="12" customHeight="1">
      <c r="A458" s="1535" t="s">
        <v>14997</v>
      </c>
      <c r="B458" s="1536" t="s">
        <v>14937</v>
      </c>
      <c r="C458" s="632" t="s">
        <v>6218</v>
      </c>
      <c r="D458" s="633">
        <v>58523</v>
      </c>
      <c r="E458" s="633">
        <v>35582</v>
      </c>
      <c r="F458" s="634">
        <f t="shared" si="14"/>
        <v>94105</v>
      </c>
      <c r="G458" s="633">
        <v>87864</v>
      </c>
      <c r="H458" s="633">
        <v>9336</v>
      </c>
      <c r="I458" s="633">
        <v>4458</v>
      </c>
      <c r="J458" s="633">
        <v>7684</v>
      </c>
      <c r="K458" s="634">
        <f t="shared" si="15"/>
        <v>109342</v>
      </c>
      <c r="L458" s="633">
        <v>22076</v>
      </c>
      <c r="M458" s="633">
        <v>4367</v>
      </c>
      <c r="N458" s="633">
        <v>213792</v>
      </c>
      <c r="O458" s="1537">
        <f>1-N459</f>
        <v>0.51814137152284745</v>
      </c>
    </row>
    <row r="459" spans="1:15" ht="12" customHeight="1">
      <c r="A459" s="1517"/>
      <c r="B459" s="1502"/>
      <c r="C459" s="635" t="s">
        <v>6219</v>
      </c>
      <c r="D459" s="636">
        <f>D458/(D458+E458+G458+H458+I458+J458+L458+M458+N458)</f>
        <v>0.13190302964736006</v>
      </c>
      <c r="E459" s="636">
        <f>E458/(D458+E458+G458+H458+I458+J458+L458+M458+N458)</f>
        <v>8.0197078087459031E-2</v>
      </c>
      <c r="F459" s="637">
        <f t="shared" si="14"/>
        <v>0.21210010773481908</v>
      </c>
      <c r="G459" s="636">
        <f>G458/(D458+E458+G458+H458+I458+J458+L458+M458+N458)</f>
        <v>0.19803372685842563</v>
      </c>
      <c r="H459" s="636">
        <f>H458/(D458+E458+G458+H458+I458+J458+L458+M458+N458)</f>
        <v>2.104209771863632E-2</v>
      </c>
      <c r="I459" s="636">
        <f>I458/(D458+E458+G458+H458+I458+J458+L458+M458+N458)</f>
        <v>1.0047736892639323E-2</v>
      </c>
      <c r="J459" s="636">
        <f>J458/(D458+E458+G458+H458+I458+J458+L458+M458+N458)</f>
        <v>1.7318710247429467E-2</v>
      </c>
      <c r="K459" s="637">
        <f t="shared" si="15"/>
        <v>0.24644227171713073</v>
      </c>
      <c r="L459" s="636">
        <f>L458/(D458+E458+G458+H458+I458+J458+L458+M458+N458)</f>
        <v>4.9756357030485796E-2</v>
      </c>
      <c r="M459" s="636">
        <f>M458/(D458+E458+G458+H458+I458+J458+L458+M458+N458)</f>
        <v>9.8426350404118273E-3</v>
      </c>
      <c r="N459" s="636">
        <f>N458/(D458+E458+G458+H458+I458+J458+L458+M458+N458)</f>
        <v>0.48185862847715255</v>
      </c>
      <c r="O459" s="1503"/>
    </row>
    <row r="460" spans="1:15" ht="12" customHeight="1">
      <c r="A460" s="1517"/>
      <c r="B460" s="1502" t="s">
        <v>14938</v>
      </c>
      <c r="C460" s="638" t="s">
        <v>6218</v>
      </c>
      <c r="D460" s="639">
        <v>107140</v>
      </c>
      <c r="E460" s="639">
        <v>37375</v>
      </c>
      <c r="F460" s="640">
        <f t="shared" si="14"/>
        <v>144515</v>
      </c>
      <c r="G460" s="639">
        <v>81106</v>
      </c>
      <c r="H460" s="639">
        <v>9571</v>
      </c>
      <c r="I460" s="639"/>
      <c r="J460" s="639">
        <v>10957</v>
      </c>
      <c r="K460" s="640">
        <f t="shared" si="15"/>
        <v>101634</v>
      </c>
      <c r="L460" s="639">
        <v>22700</v>
      </c>
      <c r="M460" s="639"/>
      <c r="N460" s="639">
        <v>165805</v>
      </c>
      <c r="O460" s="1503">
        <f>1-N461</f>
        <v>0.6185356628490708</v>
      </c>
    </row>
    <row r="461" spans="1:15" ht="12" customHeight="1">
      <c r="A461" s="1517"/>
      <c r="B461" s="1502"/>
      <c r="C461" s="635" t="s">
        <v>6219</v>
      </c>
      <c r="D461" s="636">
        <f>D460/(D460+E460+G460+H460+I460+J460+L460+M460+N460)</f>
        <v>0.24649491319532318</v>
      </c>
      <c r="E461" s="636">
        <f>E460/(D460+E460+G460+H460+I460+J460+L460+M460+N460)</f>
        <v>8.5987935231241402E-2</v>
      </c>
      <c r="F461" s="637">
        <f t="shared" si="14"/>
        <v>0.33248284842656461</v>
      </c>
      <c r="G461" s="636">
        <f>G460/(D460+E460+G460+H460+I460+J460+L460+M460+N460)</f>
        <v>0.18659899598301177</v>
      </c>
      <c r="H461" s="636">
        <f>H460/(D460+E460+G460+H460+I460+J460+L460+M460+N460)</f>
        <v>2.201981346082171E-2</v>
      </c>
      <c r="I461" s="636">
        <f>I460/(D460+E460+G460+H460+I460+J460+L460+M460+N460)</f>
        <v>0</v>
      </c>
      <c r="J461" s="636">
        <f>J460/(D460+E460+G460+H460+I460+J460+L460+M460+N460)</f>
        <v>2.5208556691069219E-2</v>
      </c>
      <c r="K461" s="637">
        <f t="shared" si="15"/>
        <v>0.23382736613490271</v>
      </c>
      <c r="L461" s="636">
        <f>L460/(D460+E460+G460+H460+I460+J460+L460+M460+N460)</f>
        <v>5.2225448287603476E-2</v>
      </c>
      <c r="M461" s="636">
        <f>M460/(D460+E460+G460+H460+I460+J460+L460+M460+N460)</f>
        <v>0</v>
      </c>
      <c r="N461" s="636">
        <f>N460/(D460+E460+G460+H460+I460+J460+L460+M460+N460)</f>
        <v>0.38146433715092926</v>
      </c>
      <c r="O461" s="1503"/>
    </row>
    <row r="462" spans="1:15" ht="12" customHeight="1">
      <c r="A462" s="1517"/>
      <c r="B462" s="1502" t="s">
        <v>14939</v>
      </c>
      <c r="C462" s="638" t="s">
        <v>6218</v>
      </c>
      <c r="D462" s="639">
        <v>54869</v>
      </c>
      <c r="E462" s="639">
        <v>37003</v>
      </c>
      <c r="F462" s="640">
        <f t="shared" si="14"/>
        <v>91872</v>
      </c>
      <c r="G462" s="639">
        <v>79583</v>
      </c>
      <c r="H462" s="639">
        <v>8593</v>
      </c>
      <c r="I462" s="639"/>
      <c r="J462" s="639"/>
      <c r="K462" s="640">
        <f t="shared" si="15"/>
        <v>88176</v>
      </c>
      <c r="L462" s="639">
        <v>20519</v>
      </c>
      <c r="M462" s="639">
        <v>8258</v>
      </c>
      <c r="N462" s="639">
        <v>220058</v>
      </c>
      <c r="O462" s="1503">
        <f>1-N463</f>
        <v>0.48690435386807129</v>
      </c>
    </row>
    <row r="463" spans="1:15" ht="12" customHeight="1">
      <c r="A463" s="1517"/>
      <c r="B463" s="1502"/>
      <c r="C463" s="635" t="s">
        <v>6219</v>
      </c>
      <c r="D463" s="636">
        <f>D462/(D462+E462+G462+H462+I462+J462+L462+M462+N462)</f>
        <v>0.12793465817017693</v>
      </c>
      <c r="E463" s="636">
        <f>E462/(D462+E462+G462+H462+I462+J462+L462+M462+N462)</f>
        <v>8.6277609511218684E-2</v>
      </c>
      <c r="F463" s="637">
        <f t="shared" si="14"/>
        <v>0.21421226768139562</v>
      </c>
      <c r="G463" s="636">
        <f>G462/(D462+E462+G462+H462+I462+J462+L462+M462+N462)</f>
        <v>0.18555876544418873</v>
      </c>
      <c r="H463" s="636">
        <f>H462/(D462+E462+G462+H462+I462+J462+L462+M462+N462)</f>
        <v>2.003576733048407E-2</v>
      </c>
      <c r="I463" s="636">
        <f>I462/(D462+E462+G462+H462+I462+J462+L462+M462+N462)</f>
        <v>0</v>
      </c>
      <c r="J463" s="636">
        <f>J462/(D462+E462+G462+H462+I462+J462+L462+M462+N462)</f>
        <v>0</v>
      </c>
      <c r="K463" s="637">
        <f t="shared" si="15"/>
        <v>0.20559453277467279</v>
      </c>
      <c r="L463" s="636">
        <f>L462/(D462+E462+G462+H462+I462+J462+L462+M462+N462)</f>
        <v>4.7842884889352108E-2</v>
      </c>
      <c r="M463" s="636">
        <f>M462/(D462+E462+G462+H462+I462+J462+L462+M462+N462)</f>
        <v>1.92546685226507E-2</v>
      </c>
      <c r="N463" s="636">
        <f>N462/(D462+E462+G462+H462+I462+J462+L462+M462+N462)</f>
        <v>0.51309564613192871</v>
      </c>
      <c r="O463" s="1503"/>
    </row>
    <row r="464" spans="1:15" ht="12" customHeight="1">
      <c r="A464" s="1517"/>
      <c r="B464" s="1502" t="s">
        <v>14940</v>
      </c>
      <c r="C464" s="638" t="s">
        <v>6218</v>
      </c>
      <c r="D464" s="639">
        <v>74401</v>
      </c>
      <c r="E464" s="639">
        <v>33732</v>
      </c>
      <c r="F464" s="640">
        <f t="shared" si="14"/>
        <v>108133</v>
      </c>
      <c r="G464" s="639">
        <v>90335</v>
      </c>
      <c r="H464" s="639">
        <v>5215</v>
      </c>
      <c r="I464" s="639"/>
      <c r="J464" s="639"/>
      <c r="K464" s="640">
        <f t="shared" si="15"/>
        <v>95550</v>
      </c>
      <c r="L464" s="639">
        <v>19062</v>
      </c>
      <c r="M464" s="639"/>
      <c r="N464" s="639">
        <v>203790</v>
      </c>
      <c r="O464" s="1503">
        <f>1-N465</f>
        <v>0.52221974750020517</v>
      </c>
    </row>
    <row r="465" spans="1:15" ht="12" customHeight="1" thickBot="1">
      <c r="A465" s="1519"/>
      <c r="B465" s="1514"/>
      <c r="C465" s="641" t="s">
        <v>6219</v>
      </c>
      <c r="D465" s="642">
        <f>D464/(D464+E464+G464+H464+I464+J464+L464+M464+N464)</f>
        <v>0.17443117211952125</v>
      </c>
      <c r="E465" s="642">
        <f>E464/(D464+E464+G464+H464+I464+J464+L464+M464+N464)</f>
        <v>7.9083779760160358E-2</v>
      </c>
      <c r="F465" s="643">
        <f t="shared" si="14"/>
        <v>0.25351495187968159</v>
      </c>
      <c r="G465" s="642">
        <f>G464/(D464+E464+G464+H464+I464+J464+L464+M464+N464)</f>
        <v>0.21178801270704631</v>
      </c>
      <c r="H465" s="642">
        <f>H464/(D464+E464+G464+H464+I464+J464+L464+M464+N464)</f>
        <v>1.222642924965126E-2</v>
      </c>
      <c r="I465" s="642">
        <f>I464/(D464+E464+G464+H464+I464+J464+L464+M464+N464)</f>
        <v>0</v>
      </c>
      <c r="J465" s="642">
        <f>J464/(D464+E464+G464+H464+I464+J464+L464+M464+N464)</f>
        <v>0</v>
      </c>
      <c r="K465" s="643">
        <f t="shared" si="15"/>
        <v>0.22401444195669756</v>
      </c>
      <c r="L465" s="642">
        <f>L464/(D464+E464+G464+H464+I464+J464+L464+M464+N464)</f>
        <v>4.4690353663825948E-2</v>
      </c>
      <c r="M465" s="642">
        <f>M464/(D464+E464+G464+H464+I464+J464+L464+M464+N464)</f>
        <v>0</v>
      </c>
      <c r="N465" s="642">
        <f>N464/(D464+E464+G464+H464+I464+J464+L464+M464+N464)</f>
        <v>0.47778025249979483</v>
      </c>
      <c r="O465" s="1515"/>
    </row>
    <row r="466" spans="1:15" ht="12" customHeight="1">
      <c r="A466" s="1535" t="s">
        <v>14998</v>
      </c>
      <c r="B466" s="1536" t="s">
        <v>14937</v>
      </c>
      <c r="C466" s="632" t="s">
        <v>6218</v>
      </c>
      <c r="D466" s="633">
        <v>59562</v>
      </c>
      <c r="E466" s="633">
        <v>36074</v>
      </c>
      <c r="F466" s="634">
        <f t="shared" si="14"/>
        <v>95636</v>
      </c>
      <c r="G466" s="633">
        <v>95254</v>
      </c>
      <c r="H466" s="633">
        <v>10564</v>
      </c>
      <c r="I466" s="633">
        <v>4777</v>
      </c>
      <c r="J466" s="633">
        <v>7608</v>
      </c>
      <c r="K466" s="634">
        <f t="shared" si="15"/>
        <v>118203</v>
      </c>
      <c r="L466" s="633">
        <v>19119</v>
      </c>
      <c r="M466" s="633">
        <v>4214</v>
      </c>
      <c r="N466" s="633">
        <v>208063</v>
      </c>
      <c r="O466" s="1537">
        <f>1-N467</f>
        <v>0.53268947858995808</v>
      </c>
    </row>
    <row r="467" spans="1:15" ht="12" customHeight="1">
      <c r="A467" s="1517"/>
      <c r="B467" s="1502"/>
      <c r="C467" s="635" t="s">
        <v>6219</v>
      </c>
      <c r="D467" s="636">
        <f>D466/(D466+E466+G466+H466+I466+J466+L466+M466+N466)</f>
        <v>0.13377654497063349</v>
      </c>
      <c r="E467" s="636">
        <f>E466/(D466+E466+G466+H466+I466+J466+L466+M466+N466)</f>
        <v>8.1022381439015356E-2</v>
      </c>
      <c r="F467" s="637">
        <f t="shared" si="14"/>
        <v>0.21479892640964884</v>
      </c>
      <c r="G467" s="636">
        <f>G466/(D466+E466+G466+H466+I466+J466+L466+M466+N466)</f>
        <v>0.21394095253068604</v>
      </c>
      <c r="H467" s="636">
        <f>H466/(D466+E466+G466+H466+I466+J466+L466+M466+N466)</f>
        <v>2.3726795961683155E-2</v>
      </c>
      <c r="I467" s="636">
        <f>I466/(D466+E466+G466+H466+I466+J466+L466+M466+N466)</f>
        <v>1.0729165496872438E-2</v>
      </c>
      <c r="J467" s="636">
        <f>J466/(D466+E466+G466+H466+I466+J466+L466+M466+N466)</f>
        <v>1.7087605421855875E-2</v>
      </c>
      <c r="K467" s="637">
        <f t="shared" si="15"/>
        <v>0.26548451941109752</v>
      </c>
      <c r="L467" s="636">
        <f>L466/(D466+E466+G466+H466+I466+J466+L466+M466+N466)</f>
        <v>4.2941368041596012E-2</v>
      </c>
      <c r="M467" s="636">
        <f>M466/(D466+E466+G466+H466+I466+J466+L466+M466+N466)</f>
        <v>9.4646647276157535E-3</v>
      </c>
      <c r="N467" s="636">
        <f>N466/(D466+E466+G466+H466+I466+J466+L466+M466+N466)</f>
        <v>0.46731052141004187</v>
      </c>
      <c r="O467" s="1503"/>
    </row>
    <row r="468" spans="1:15" ht="12" customHeight="1">
      <c r="A468" s="1517"/>
      <c r="B468" s="1502" t="s">
        <v>14938</v>
      </c>
      <c r="C468" s="638" t="s">
        <v>6218</v>
      </c>
      <c r="D468" s="639">
        <v>103989</v>
      </c>
      <c r="E468" s="639">
        <v>39490</v>
      </c>
      <c r="F468" s="640">
        <f t="shared" si="14"/>
        <v>143479</v>
      </c>
      <c r="G468" s="639">
        <v>88269</v>
      </c>
      <c r="H468" s="639">
        <v>10884</v>
      </c>
      <c r="I468" s="639"/>
      <c r="J468" s="639">
        <v>11466</v>
      </c>
      <c r="K468" s="640">
        <f t="shared" si="15"/>
        <v>110619</v>
      </c>
      <c r="L468" s="639">
        <v>20580</v>
      </c>
      <c r="M468" s="639"/>
      <c r="N468" s="639">
        <v>166745</v>
      </c>
      <c r="O468" s="1503">
        <f>1-N469</f>
        <v>0.62225575015348089</v>
      </c>
    </row>
    <row r="469" spans="1:15" ht="12" customHeight="1">
      <c r="A469" s="1517"/>
      <c r="B469" s="1502"/>
      <c r="C469" s="635" t="s">
        <v>6219</v>
      </c>
      <c r="D469" s="636">
        <f>D468/(D468+E468+G468+H468+I468+J468+L468+M468+N468)</f>
        <v>0.23557675970667591</v>
      </c>
      <c r="E469" s="636">
        <f>E468/(D468+E468+G468+H468+I468+J468+L468+M468+N468)</f>
        <v>8.9460676040895012E-2</v>
      </c>
      <c r="F469" s="637">
        <f t="shared" si="14"/>
        <v>0.32503743574757094</v>
      </c>
      <c r="G469" s="636">
        <f>G468/(D468+E468+G468+H468+I468+J468+L468+M468+N468)</f>
        <v>0.19996465974813274</v>
      </c>
      <c r="H469" s="636">
        <f>H468/(D468+E468+G468+H468+I468+J468+L468+M468+N468)</f>
        <v>2.4656621879693627E-2</v>
      </c>
      <c r="I469" s="636">
        <f>I468/(D468+E468+G468+H468+I468+J468+L468+M468+N468)</f>
        <v>0</v>
      </c>
      <c r="J469" s="636">
        <f>J468/(D468+E468+G468+H468+I468+J468+L468+M468+N468)</f>
        <v>2.5975085122433583E-2</v>
      </c>
      <c r="K469" s="637">
        <f t="shared" si="15"/>
        <v>0.25059636675025992</v>
      </c>
      <c r="L469" s="636">
        <f>L468/(D468+E468+G468+H468+I468+J468+L468+M468+N468)</f>
        <v>4.6621947655650024E-2</v>
      </c>
      <c r="M469" s="636">
        <f>M468/(D468+E468+G468+H468+I468+J468+L468+M468+N468)</f>
        <v>0</v>
      </c>
      <c r="N469" s="636">
        <f>N468/(D468+E468+G468+H468+I468+J468+L468+M468+N468)</f>
        <v>0.37774424984651911</v>
      </c>
      <c r="O469" s="1503"/>
    </row>
    <row r="470" spans="1:15" ht="12" customHeight="1">
      <c r="A470" s="1517"/>
      <c r="B470" s="1502" t="s">
        <v>14939</v>
      </c>
      <c r="C470" s="638" t="s">
        <v>6218</v>
      </c>
      <c r="D470" s="639">
        <v>56972</v>
      </c>
      <c r="E470" s="639">
        <v>37904</v>
      </c>
      <c r="F470" s="640">
        <f t="shared" si="14"/>
        <v>94876</v>
      </c>
      <c r="G470" s="639">
        <v>89322</v>
      </c>
      <c r="H470" s="639">
        <v>9596</v>
      </c>
      <c r="I470" s="639"/>
      <c r="J470" s="639"/>
      <c r="K470" s="640">
        <f t="shared" si="15"/>
        <v>98918</v>
      </c>
      <c r="L470" s="639">
        <v>18518</v>
      </c>
      <c r="M470" s="639">
        <v>7875</v>
      </c>
      <c r="N470" s="639">
        <v>218014</v>
      </c>
      <c r="O470" s="1503">
        <f>1-N471</f>
        <v>0.50247945577486131</v>
      </c>
    </row>
    <row r="471" spans="1:15" ht="12" customHeight="1">
      <c r="A471" s="1517"/>
      <c r="B471" s="1502"/>
      <c r="C471" s="635" t="s">
        <v>6219</v>
      </c>
      <c r="D471" s="636">
        <f>D470/(D470+E470+G470+H470+I470+J470+L470+M470+N470)</f>
        <v>0.13001339567915179</v>
      </c>
      <c r="E471" s="636">
        <f>E470/(D470+E470+G470+H470+I470+J470+L470+M470+N470)</f>
        <v>8.6499117984669138E-2</v>
      </c>
      <c r="F471" s="637">
        <f t="shared" si="14"/>
        <v>0.21651251366382093</v>
      </c>
      <c r="G471" s="636">
        <f>G470/(D470+E470+G470+H470+I470+J470+L470+M470+N470)</f>
        <v>0.20383796476959204</v>
      </c>
      <c r="H471" s="636">
        <f>H470/(D470+E470+G470+H470+I470+J470+L470+M470+N470)</f>
        <v>2.1898626429423942E-2</v>
      </c>
      <c r="I471" s="636">
        <f>I470/(D470+E470+G470+H470+I470+J470+L470+M470+N470)</f>
        <v>0</v>
      </c>
      <c r="J471" s="636">
        <f>J470/(D470+E470+G470+H470+I470+J470+L470+M470+N470)</f>
        <v>0</v>
      </c>
      <c r="K471" s="637">
        <f t="shared" si="15"/>
        <v>0.22573659119901598</v>
      </c>
      <c r="L471" s="636">
        <f>L470/(D470+E470+G470+H470+I470+J470+L470+M470+N470)</f>
        <v>4.2259145917056325E-2</v>
      </c>
      <c r="M471" s="636">
        <f>M470/(D470+E470+G470+H470+I470+J470+L470+M470+N470)</f>
        <v>1.7971204994968064E-2</v>
      </c>
      <c r="N471" s="636">
        <f>N470/(D470+E470+G470+H470+I470+J470+L470+M470+N470)</f>
        <v>0.49752054422513869</v>
      </c>
      <c r="O471" s="1503"/>
    </row>
    <row r="472" spans="1:15" ht="12" customHeight="1">
      <c r="A472" s="1517"/>
      <c r="B472" s="1502" t="s">
        <v>14940</v>
      </c>
      <c r="C472" s="638" t="s">
        <v>6218</v>
      </c>
      <c r="D472" s="639">
        <v>69287</v>
      </c>
      <c r="E472" s="639">
        <v>36374</v>
      </c>
      <c r="F472" s="640">
        <f t="shared" si="14"/>
        <v>105661</v>
      </c>
      <c r="G472" s="639">
        <v>95545</v>
      </c>
      <c r="H472" s="639">
        <v>6235</v>
      </c>
      <c r="I472" s="639"/>
      <c r="J472" s="639"/>
      <c r="K472" s="640">
        <f t="shared" si="15"/>
        <v>101780</v>
      </c>
      <c r="L472" s="639">
        <v>16595</v>
      </c>
      <c r="M472" s="639"/>
      <c r="N472" s="639">
        <v>212436</v>
      </c>
      <c r="O472" s="1503">
        <f>1-N473</f>
        <v>0.51328836672226397</v>
      </c>
    </row>
    <row r="473" spans="1:15" ht="12" customHeight="1" thickBot="1">
      <c r="A473" s="1519"/>
      <c r="B473" s="1514"/>
      <c r="C473" s="641" t="s">
        <v>6219</v>
      </c>
      <c r="D473" s="642">
        <f>D472/(D472+E472+G472+H472+I472+J472+L472+M472+N472)</f>
        <v>0.15874328708370755</v>
      </c>
      <c r="E473" s="642">
        <f>E472/(D472+E472+G472+H472+I472+J472+L472+M472+N472)</f>
        <v>8.3336388130280978E-2</v>
      </c>
      <c r="F473" s="643">
        <f t="shared" si="14"/>
        <v>0.24207967521398854</v>
      </c>
      <c r="G473" s="642">
        <f>G472/(D472+E472+G472+H472+I472+J472+L472+M472+N472)</f>
        <v>0.21890293077219158</v>
      </c>
      <c r="H473" s="642">
        <f>H472/(D472+E472+G472+H472+I472+J472+L472+M472+N472)</f>
        <v>1.428499422643377E-2</v>
      </c>
      <c r="I473" s="642">
        <f>I472/(D472+E472+G472+H472+I472+J472+L472+M472+N472)</f>
        <v>0</v>
      </c>
      <c r="J473" s="642">
        <f>J472/(D472+E472+G472+H472+I472+J472+L472+M472+N472)</f>
        <v>0</v>
      </c>
      <c r="K473" s="643">
        <f t="shared" si="15"/>
        <v>0.23318792499862534</v>
      </c>
      <c r="L473" s="642">
        <f>L472/(D472+E472+G472+H472+I472+J472+L472+M472+N472)</f>
        <v>3.8020766509650104E-2</v>
      </c>
      <c r="M473" s="642">
        <f>M472/(D472+E472+G472+H472+I472+J472+L472+M472+N472)</f>
        <v>0</v>
      </c>
      <c r="N473" s="642">
        <f>N472/(D472+E472+G472+H472+I472+J472+L472+M472+N472)</f>
        <v>0.48671163327773603</v>
      </c>
      <c r="O473" s="1515"/>
    </row>
    <row r="474" spans="1:15" ht="12" customHeight="1">
      <c r="A474" s="1535" t="s">
        <v>14999</v>
      </c>
      <c r="B474" s="1536" t="s">
        <v>14937</v>
      </c>
      <c r="C474" s="632" t="s">
        <v>6218</v>
      </c>
      <c r="D474" s="633">
        <v>46352</v>
      </c>
      <c r="E474" s="633">
        <v>26503</v>
      </c>
      <c r="F474" s="634">
        <f t="shared" si="14"/>
        <v>72855</v>
      </c>
      <c r="G474" s="633">
        <v>76650</v>
      </c>
      <c r="H474" s="633">
        <v>8753</v>
      </c>
      <c r="I474" s="633">
        <v>3682</v>
      </c>
      <c r="J474" s="633">
        <v>6759</v>
      </c>
      <c r="K474" s="634">
        <f t="shared" si="15"/>
        <v>95844</v>
      </c>
      <c r="L474" s="633">
        <v>16947</v>
      </c>
      <c r="M474" s="633">
        <v>3596</v>
      </c>
      <c r="N474" s="633">
        <v>150249</v>
      </c>
      <c r="O474" s="1537">
        <f>1-N475</f>
        <v>0.55742862108273861</v>
      </c>
    </row>
    <row r="475" spans="1:15" ht="12" customHeight="1">
      <c r="A475" s="1517"/>
      <c r="B475" s="1502"/>
      <c r="C475" s="635" t="s">
        <v>6219</v>
      </c>
      <c r="D475" s="636">
        <f>D474/(D474+E474+G474+H474+I474+J474+L474+M474+N474)</f>
        <v>0.13653381091104036</v>
      </c>
      <c r="E475" s="636">
        <f>E474/(D474+E474+G474+H474+I474+J474+L474+M474+N474)</f>
        <v>7.806687069760318E-2</v>
      </c>
      <c r="F475" s="637">
        <f t="shared" si="14"/>
        <v>0.21460068160864354</v>
      </c>
      <c r="G475" s="636">
        <f>G474/(D474+E474+G474+H474+I474+J474+L474+M474+N474)</f>
        <v>0.22577918118595192</v>
      </c>
      <c r="H475" s="636">
        <f>H474/(D474+E474+G474+H474+I474+J474+L474+M474+N474)</f>
        <v>2.5782715889375564E-2</v>
      </c>
      <c r="I475" s="636">
        <f>I474/(D474+E474+G474+H474+I474+J474+L474+M474+N474)</f>
        <v>1.0845648338247553E-2</v>
      </c>
      <c r="J475" s="636">
        <f>J474/(D474+E474+G474+H474+I474+J474+L474+M474+N474)</f>
        <v>1.9909217033735799E-2</v>
      </c>
      <c r="K475" s="637">
        <f t="shared" si="15"/>
        <v>0.28231676244731085</v>
      </c>
      <c r="L475" s="636">
        <f>L474/(D474+E474+G474+H474+I474+J474+L474+M474+N474)</f>
        <v>4.9918849100565259E-2</v>
      </c>
      <c r="M475" s="636">
        <f>M474/(D474+E474+G474+H474+I474+J474+L474+M474+N474)</f>
        <v>1.0592327926218958E-2</v>
      </c>
      <c r="N475" s="636">
        <f>N474/(D474+E474+G474+H474+I474+J474+L474+M474+N474)</f>
        <v>0.44257137891726145</v>
      </c>
      <c r="O475" s="1503"/>
    </row>
    <row r="476" spans="1:15" ht="12" customHeight="1">
      <c r="A476" s="1517"/>
      <c r="B476" s="1502" t="s">
        <v>14938</v>
      </c>
      <c r="C476" s="638" t="s">
        <v>6218</v>
      </c>
      <c r="D476" s="639">
        <v>81201</v>
      </c>
      <c r="E476" s="639">
        <v>28079</v>
      </c>
      <c r="F476" s="640">
        <f t="shared" si="14"/>
        <v>109280</v>
      </c>
      <c r="G476" s="639">
        <v>68768</v>
      </c>
      <c r="H476" s="639">
        <v>9100</v>
      </c>
      <c r="I476" s="639"/>
      <c r="J476" s="639">
        <v>8860</v>
      </c>
      <c r="K476" s="640">
        <f t="shared" si="15"/>
        <v>86728</v>
      </c>
      <c r="L476" s="639">
        <v>17666</v>
      </c>
      <c r="M476" s="639"/>
      <c r="N476" s="639">
        <v>120483</v>
      </c>
      <c r="O476" s="1503">
        <f>1-N477</f>
        <v>0.63944193896880808</v>
      </c>
    </row>
    <row r="477" spans="1:15" ht="12" customHeight="1">
      <c r="A477" s="1517"/>
      <c r="B477" s="1502"/>
      <c r="C477" s="635" t="s">
        <v>6219</v>
      </c>
      <c r="D477" s="636">
        <f>D476/(D476+E476+G476+H476+I476+J476+L476+M476+N476)</f>
        <v>0.24300254072187624</v>
      </c>
      <c r="E477" s="636">
        <f>E476/(D476+E476+G476+H476+I476+J476+L476+M476+N476)</f>
        <v>8.402936344293252E-2</v>
      </c>
      <c r="F477" s="637">
        <f t="shared" si="14"/>
        <v>0.32703190416480876</v>
      </c>
      <c r="G477" s="636">
        <f>G476/(D476+E476+G476+H476+I476+J476+L476+M476+N476)</f>
        <v>0.20579547937047554</v>
      </c>
      <c r="H477" s="636">
        <f>H476/(D476+E476+G476+H476+I476+J476+L476+M476+N476)</f>
        <v>2.7232707978584916E-2</v>
      </c>
      <c r="I477" s="636">
        <f>I476/(D476+E476+G476+H476+I476+J476+L476+M476+N476)</f>
        <v>0</v>
      </c>
      <c r="J477" s="636">
        <f>J476/(D476+E476+G476+H476+I476+J476+L476+M476+N476)</f>
        <v>2.6514482713215645E-2</v>
      </c>
      <c r="K477" s="637">
        <f t="shared" si="15"/>
        <v>0.2595426700622761</v>
      </c>
      <c r="L477" s="636">
        <f>L476/(D476+E476+G476+H476+I476+J476+L476+M476+N476)</f>
        <v>5.2867364741723204E-2</v>
      </c>
      <c r="M477" s="636">
        <f>M476/(D476+E476+G476+H476+I476+J476+L476+M476+N476)</f>
        <v>0</v>
      </c>
      <c r="N477" s="636">
        <f>N476/(D476+E476+G476+H476+I476+J476+L476+M476+N476)</f>
        <v>0.36055806103119192</v>
      </c>
      <c r="O477" s="1503"/>
    </row>
    <row r="478" spans="1:15" ht="12" customHeight="1">
      <c r="A478" s="1517"/>
      <c r="B478" s="1502" t="s">
        <v>14939</v>
      </c>
      <c r="C478" s="638" t="s">
        <v>6218</v>
      </c>
      <c r="D478" s="639">
        <v>43104</v>
      </c>
      <c r="E478" s="639">
        <v>27242</v>
      </c>
      <c r="F478" s="640">
        <f t="shared" si="14"/>
        <v>70346</v>
      </c>
      <c r="G478" s="639">
        <v>70721</v>
      </c>
      <c r="H478" s="639">
        <v>8081</v>
      </c>
      <c r="I478" s="639"/>
      <c r="J478" s="639"/>
      <c r="K478" s="640">
        <f t="shared" si="15"/>
        <v>78802</v>
      </c>
      <c r="L478" s="639">
        <v>15979</v>
      </c>
      <c r="M478" s="639">
        <v>6653</v>
      </c>
      <c r="N478" s="639">
        <v>158336</v>
      </c>
      <c r="O478" s="1503">
        <f>1-N479</f>
        <v>0.52036253922863485</v>
      </c>
    </row>
    <row r="479" spans="1:15" ht="12" customHeight="1">
      <c r="A479" s="1517"/>
      <c r="B479" s="1502"/>
      <c r="C479" s="635" t="s">
        <v>6219</v>
      </c>
      <c r="D479" s="636">
        <f>D478/(D478+E478+G478+H478+I478+J478+L478+M478+N478)</f>
        <v>0.13057228368209964</v>
      </c>
      <c r="E479" s="636">
        <f>E478/(D478+E478+G478+H478+I478+J478+L478+M478+N478)</f>
        <v>8.252250723987932E-2</v>
      </c>
      <c r="F479" s="637">
        <f t="shared" si="14"/>
        <v>0.21309479092197897</v>
      </c>
      <c r="G479" s="636">
        <f>G478/(D478+E478+G478+H478+I478+J478+L478+M478+N478)</f>
        <v>0.21423075524966981</v>
      </c>
      <c r="H479" s="636">
        <f>H478/(D478+E478+G478+H478+I478+J478+L478+M478+N478)</f>
        <v>2.4479273952186503E-2</v>
      </c>
      <c r="I479" s="636">
        <f>I478/(D478+E478+G478+H478+I478+J478+L478+M478+N478)</f>
        <v>0</v>
      </c>
      <c r="J479" s="636">
        <f>J478/(D478+E478+G478+H478+I478+J478+L478+M478+N478)</f>
        <v>0</v>
      </c>
      <c r="K479" s="637">
        <f t="shared" si="15"/>
        <v>0.2387100292018563</v>
      </c>
      <c r="L479" s="636">
        <f>L478/(D478+E478+G478+H478+I478+J478+L478+M478+N478)</f>
        <v>4.840419731245986E-2</v>
      </c>
      <c r="M479" s="636">
        <f>M478/(D478+E478+G478+H478+I478+J478+L478+M478+N478)</f>
        <v>2.0153521792339663E-2</v>
      </c>
      <c r="N479" s="636">
        <f>N478/(D478+E478+G478+H478+I478+J478+L478+M478+N478)</f>
        <v>0.47963746077136521</v>
      </c>
      <c r="O479" s="1503"/>
    </row>
    <row r="480" spans="1:15" ht="12" customHeight="1">
      <c r="A480" s="1517"/>
      <c r="B480" s="1502" t="s">
        <v>14940</v>
      </c>
      <c r="C480" s="638" t="s">
        <v>6218</v>
      </c>
      <c r="D480" s="639">
        <v>51703</v>
      </c>
      <c r="E480" s="639">
        <v>24619</v>
      </c>
      <c r="F480" s="640">
        <f t="shared" si="14"/>
        <v>76322</v>
      </c>
      <c r="G480" s="639">
        <v>75941</v>
      </c>
      <c r="H480" s="639">
        <v>5135</v>
      </c>
      <c r="I480" s="639"/>
      <c r="J480" s="639"/>
      <c r="K480" s="640">
        <f t="shared" si="15"/>
        <v>81076</v>
      </c>
      <c r="L480" s="639">
        <v>14343</v>
      </c>
      <c r="M480" s="639"/>
      <c r="N480" s="639">
        <v>156442</v>
      </c>
      <c r="O480" s="1503">
        <f>1-N481</f>
        <v>0.52330864182483561</v>
      </c>
    </row>
    <row r="481" spans="1:15" ht="12" customHeight="1" thickBot="1">
      <c r="A481" s="1519"/>
      <c r="B481" s="1514"/>
      <c r="C481" s="641" t="s">
        <v>6219</v>
      </c>
      <c r="D481" s="642">
        <f>D480/(D480+E480+G480+H480+I480+J480+L480+M480+N480)</f>
        <v>0.15754319998293634</v>
      </c>
      <c r="E481" s="642">
        <f>E480/(D480+E480+G480+H480+I480+J480+L480+M480+N480)</f>
        <v>7.5016073349320353E-2</v>
      </c>
      <c r="F481" s="643">
        <f t="shared" si="14"/>
        <v>0.23255927333225668</v>
      </c>
      <c r="G481" s="642">
        <f>G480/(D480+E480+G480+H480+I480+J480+L480+M480+N480)</f>
        <v>0.23139833568466375</v>
      </c>
      <c r="H481" s="642">
        <f>H480/(D480+E480+G480+H480+I480+J480+L480+M480+N480)</f>
        <v>1.5646758058765992E-2</v>
      </c>
      <c r="I481" s="642">
        <f>I480/(D480+E480+G480+H480+I480+J480+L480+M480+N480)</f>
        <v>0</v>
      </c>
      <c r="J481" s="642">
        <f>J480/(D480+E480+G480+H480+I480+J480+L480+M480+N480)</f>
        <v>0</v>
      </c>
      <c r="K481" s="643">
        <f t="shared" si="15"/>
        <v>0.24704509374342976</v>
      </c>
      <c r="L481" s="642">
        <f>L480/(D480+E480+G480+H480+I480+J480+L480+M480+N480)</f>
        <v>4.3704274749149105E-2</v>
      </c>
      <c r="M481" s="642">
        <f>M480/(D480+E480+G480+H480+I480+J480+L480+M480+N480)</f>
        <v>0</v>
      </c>
      <c r="N481" s="642">
        <f>N480/(D480+E480+G480+H480+I480+J480+L480+M480+N480)</f>
        <v>0.47669135817516445</v>
      </c>
      <c r="O481" s="1515"/>
    </row>
    <row r="482" spans="1:15" ht="12" customHeight="1">
      <c r="A482" s="1538" t="s">
        <v>15000</v>
      </c>
      <c r="B482" s="1536" t="s">
        <v>14937</v>
      </c>
      <c r="C482" s="632" t="s">
        <v>6218</v>
      </c>
      <c r="D482" s="633">
        <v>47935</v>
      </c>
      <c r="E482" s="633">
        <v>20232</v>
      </c>
      <c r="F482" s="634">
        <f t="shared" si="14"/>
        <v>68167</v>
      </c>
      <c r="G482" s="633">
        <v>82149</v>
      </c>
      <c r="H482" s="633">
        <v>10384</v>
      </c>
      <c r="I482" s="633">
        <v>3795</v>
      </c>
      <c r="J482" s="633">
        <v>6603</v>
      </c>
      <c r="K482" s="634">
        <f t="shared" si="15"/>
        <v>102931</v>
      </c>
      <c r="L482" s="633">
        <v>15784</v>
      </c>
      <c r="M482" s="633">
        <v>3799</v>
      </c>
      <c r="N482" s="633">
        <v>144844</v>
      </c>
      <c r="O482" s="1537">
        <f>1-N483</f>
        <v>0.56830638551523727</v>
      </c>
    </row>
    <row r="483" spans="1:15" ht="12" customHeight="1">
      <c r="A483" s="1527"/>
      <c r="B483" s="1502"/>
      <c r="C483" s="635" t="s">
        <v>6219</v>
      </c>
      <c r="D483" s="636">
        <f>D482/(D482+E482+G482+H482+I482+J482+L482+M482+N482)</f>
        <v>0.1428656582966992</v>
      </c>
      <c r="E483" s="636">
        <f>E482/(D482+E482+G482+H482+I482+J482+L482+M482+N482)</f>
        <v>6.0299530586394458E-2</v>
      </c>
      <c r="F483" s="637">
        <f t="shared" si="14"/>
        <v>0.20316518888309365</v>
      </c>
      <c r="G483" s="636">
        <f>G482/(D482+E482+G482+H482+I482+J482+L482+M482+N482)</f>
        <v>0.24483719543998211</v>
      </c>
      <c r="H483" s="636">
        <f>H482/(D482+E482+G482+H482+I482+J482+L482+M482+N482)</f>
        <v>3.0948513523582445E-2</v>
      </c>
      <c r="I483" s="636">
        <f>I482/(D482+E482+G482+H482+I482+J482+L482+M482+N482)</f>
        <v>1.1310632590716041E-2</v>
      </c>
      <c r="J483" s="636">
        <f>J482/(D482+E482+G482+H482+I482+J482+L482+M482+N482)</f>
        <v>1.9679606586692495E-2</v>
      </c>
      <c r="K483" s="637">
        <f t="shared" si="15"/>
        <v>0.30677594814097309</v>
      </c>
      <c r="L483" s="636">
        <f>L482/(D482+E482+G482+H482+I482+J482+L482+M482+N482)</f>
        <v>4.7042694285075626E-2</v>
      </c>
      <c r="M483" s="636">
        <f>M482/(D482+E482+G482+H482+I482+J482+L482+M482+N482)</f>
        <v>1.1322554206094926E-2</v>
      </c>
      <c r="N483" s="636">
        <f>N482/(D482+E482+G482+H482+I482+J482+L482+M482+N482)</f>
        <v>0.43169361448476268</v>
      </c>
      <c r="O483" s="1503"/>
    </row>
    <row r="484" spans="1:15" ht="12" customHeight="1">
      <c r="A484" s="1527"/>
      <c r="B484" s="1502" t="s">
        <v>14938</v>
      </c>
      <c r="C484" s="638" t="s">
        <v>6218</v>
      </c>
      <c r="D484" s="639">
        <v>82524</v>
      </c>
      <c r="E484" s="639">
        <v>21709</v>
      </c>
      <c r="F484" s="640">
        <f t="shared" si="14"/>
        <v>104233</v>
      </c>
      <c r="G484" s="639">
        <v>72387</v>
      </c>
      <c r="H484" s="639">
        <v>11038</v>
      </c>
      <c r="I484" s="639"/>
      <c r="J484" s="639">
        <v>9231</v>
      </c>
      <c r="K484" s="640">
        <f t="shared" si="15"/>
        <v>92656</v>
      </c>
      <c r="L484" s="639">
        <v>16170</v>
      </c>
      <c r="M484" s="639"/>
      <c r="N484" s="639">
        <v>118598</v>
      </c>
      <c r="O484" s="1503">
        <f>1-N485</f>
        <v>0.64240766816319272</v>
      </c>
    </row>
    <row r="485" spans="1:15" ht="12" customHeight="1">
      <c r="A485" s="1527"/>
      <c r="B485" s="1502"/>
      <c r="C485" s="635" t="s">
        <v>6219</v>
      </c>
      <c r="D485" s="636">
        <f>D484/(D484+E484+G484+H484+I484+J484+L484+M484+N484)</f>
        <v>0.24882333253934033</v>
      </c>
      <c r="E485" s="636">
        <f>E484/(D484+E484+G484+H484+I484+J484+L484+M484+N484)</f>
        <v>6.5456179124818714E-2</v>
      </c>
      <c r="F485" s="637">
        <f t="shared" si="14"/>
        <v>0.31427951166415902</v>
      </c>
      <c r="G485" s="636">
        <f>G484/(D484+E484+G484+H484+I484+J484+L484+M484+N484)</f>
        <v>0.2182586226131214</v>
      </c>
      <c r="H485" s="636">
        <f>H484/(D484+E484+G484+H484+I484+J484+L484+M484+N484)</f>
        <v>3.3281372019888018E-2</v>
      </c>
      <c r="I485" s="636">
        <f>I484/(D484+E484+G484+H484+I484+J484+L484+M484+N484)</f>
        <v>0</v>
      </c>
      <c r="J485" s="636">
        <f>J484/(D484+E484+G484+H484+I484+J484+L484+M484+N484)</f>
        <v>2.783297201626982E-2</v>
      </c>
      <c r="K485" s="637">
        <f t="shared" si="15"/>
        <v>0.27937296664927924</v>
      </c>
      <c r="L485" s="636">
        <f>L484/(D484+E484+G484+H484+I484+J484+L484+M484+N484)</f>
        <v>4.8755189849754417E-2</v>
      </c>
      <c r="M485" s="636">
        <f>M484/(D484+E484+G484+H484+I484+J484+L484+M484+N484)</f>
        <v>0</v>
      </c>
      <c r="N485" s="636">
        <f>N484/(D484+E484+G484+H484+I484+J484+L484+M484+N484)</f>
        <v>0.35759233183680733</v>
      </c>
      <c r="O485" s="1503"/>
    </row>
    <row r="486" spans="1:15" ht="12" customHeight="1">
      <c r="A486" s="1527"/>
      <c r="B486" s="1502" t="s">
        <v>14939</v>
      </c>
      <c r="C486" s="638" t="s">
        <v>6218</v>
      </c>
      <c r="D486" s="639">
        <v>43707</v>
      </c>
      <c r="E486" s="639">
        <v>20837</v>
      </c>
      <c r="F486" s="640">
        <f t="shared" si="14"/>
        <v>64544</v>
      </c>
      <c r="G486" s="639">
        <v>75642</v>
      </c>
      <c r="H486" s="639">
        <v>10384</v>
      </c>
      <c r="I486" s="639"/>
      <c r="J486" s="639"/>
      <c r="K486" s="640">
        <f t="shared" si="15"/>
        <v>86026</v>
      </c>
      <c r="L486" s="639">
        <v>14680</v>
      </c>
      <c r="M486" s="639">
        <v>6236</v>
      </c>
      <c r="N486" s="639">
        <v>154920</v>
      </c>
      <c r="O486" s="1503">
        <f>1-N487</f>
        <v>0.52537637175787211</v>
      </c>
    </row>
    <row r="487" spans="1:15" ht="12" customHeight="1">
      <c r="A487" s="1527"/>
      <c r="B487" s="1502"/>
      <c r="C487" s="635" t="s">
        <v>6219</v>
      </c>
      <c r="D487" s="636">
        <f>D486/(D486+E486+G486+H486+I486+J486+L486+M486+N486)</f>
        <v>0.13390378853329901</v>
      </c>
      <c r="E487" s="636">
        <f>E486/(D486+E486+G486+H486+I486+J486+L486+M486+N486)</f>
        <v>6.3837674552551113E-2</v>
      </c>
      <c r="F487" s="637">
        <f t="shared" si="14"/>
        <v>0.19774146308585011</v>
      </c>
      <c r="G487" s="636">
        <f>G486/(D486+E486+G486+H486+I486+J486+L486+M486+N486)</f>
        <v>0.23174206356500798</v>
      </c>
      <c r="H487" s="636">
        <f>H486/(D486+E486+G486+H486+I486+J486+L486+M486+N486)</f>
        <v>3.181314068981575E-2</v>
      </c>
      <c r="I487" s="636">
        <f>I486/(D486+E486+G486+H486+I486+J486+L486+M486+N486)</f>
        <v>0</v>
      </c>
      <c r="J487" s="636">
        <f>J486/(D486+E486+G486+H486+I486+J486+L486+M486+N486)</f>
        <v>0</v>
      </c>
      <c r="K487" s="637">
        <f t="shared" si="15"/>
        <v>0.26355520425482371</v>
      </c>
      <c r="L487" s="636">
        <f>L486/(D486+E486+G486+H486+I486+J486+L486+M486+N486)</f>
        <v>4.4974663455941373E-2</v>
      </c>
      <c r="M487" s="636">
        <f>M486/(D486+E486+G486+H486+I486+J486+L486+M486+N486)</f>
        <v>1.9105040961256838E-2</v>
      </c>
      <c r="N487" s="636">
        <f>N486/(D486+E486+G486+H486+I486+J486+L486+M486+N486)</f>
        <v>0.47462362824212789</v>
      </c>
      <c r="O487" s="1503"/>
    </row>
    <row r="488" spans="1:15" ht="12" customHeight="1">
      <c r="A488" s="1527"/>
      <c r="B488" s="1502" t="s">
        <v>14940</v>
      </c>
      <c r="C488" s="638" t="s">
        <v>6218</v>
      </c>
      <c r="D488" s="639">
        <v>51046</v>
      </c>
      <c r="E488" s="639">
        <v>18768</v>
      </c>
      <c r="F488" s="640">
        <f t="shared" si="14"/>
        <v>69814</v>
      </c>
      <c r="G488" s="639">
        <v>79424</v>
      </c>
      <c r="H488" s="639">
        <v>6707</v>
      </c>
      <c r="I488" s="639"/>
      <c r="J488" s="639"/>
      <c r="K488" s="640">
        <f t="shared" si="15"/>
        <v>86131</v>
      </c>
      <c r="L488" s="639">
        <v>13396</v>
      </c>
      <c r="M488" s="639"/>
      <c r="N488" s="639">
        <v>155318</v>
      </c>
      <c r="O488" s="1503">
        <f>1-N489</f>
        <v>0.52159650587231532</v>
      </c>
    </row>
    <row r="489" spans="1:15" ht="12" customHeight="1" thickBot="1">
      <c r="A489" s="1528"/>
      <c r="B489" s="1514"/>
      <c r="C489" s="641" t="s">
        <v>6219</v>
      </c>
      <c r="D489" s="642">
        <f>D488/(D488+E488+G488+H488+I488+J488+L488+M488+N488)</f>
        <v>0.15722958550355912</v>
      </c>
      <c r="E489" s="642">
        <f>E488/(D488+E488+G488+H488+I488+J488+L488+M488+N488)</f>
        <v>5.7808346603667231E-2</v>
      </c>
      <c r="F489" s="643">
        <f t="shared" si="14"/>
        <v>0.21503793210722635</v>
      </c>
      <c r="G489" s="642">
        <f>G488/(D488+E488+G488+H488+I488+J488+L488+M488+N488)</f>
        <v>0.24463822040972219</v>
      </c>
      <c r="H489" s="642">
        <f>H488/(D488+E488+G488+H488+I488+J488+L488+M488+N488)</f>
        <v>2.0658598714343356E-2</v>
      </c>
      <c r="I489" s="642">
        <f>I488/(D488+E488+G488+H488+I488+J488+L488+M488+N488)</f>
        <v>0</v>
      </c>
      <c r="J489" s="642">
        <f>J488/(D488+E488+G488+H488+I488+J488+L488+M488+N488)</f>
        <v>0</v>
      </c>
      <c r="K489" s="643">
        <f t="shared" si="15"/>
        <v>0.26529681912406555</v>
      </c>
      <c r="L489" s="642">
        <f>L488/(D488+E488+G488+H488+I488+J488+L488+M488+N488)</f>
        <v>4.126175464102335E-2</v>
      </c>
      <c r="M489" s="642">
        <f>M488/(D488+E488+G488+H488+I488+J488+L488+M488+N488)</f>
        <v>0</v>
      </c>
      <c r="N489" s="642">
        <f>N488/(D488+E488+G488+H488+I488+J488+L488+M488+N488)</f>
        <v>0.47840349412768474</v>
      </c>
      <c r="O489" s="1515"/>
    </row>
    <row r="490" spans="1:15" ht="12" customHeight="1">
      <c r="A490" s="1538" t="s">
        <v>15001</v>
      </c>
      <c r="B490" s="1536" t="s">
        <v>14937</v>
      </c>
      <c r="C490" s="632" t="s">
        <v>6218</v>
      </c>
      <c r="D490" s="633">
        <v>60387</v>
      </c>
      <c r="E490" s="633">
        <v>30769</v>
      </c>
      <c r="F490" s="634">
        <f t="shared" si="14"/>
        <v>91156</v>
      </c>
      <c r="G490" s="633">
        <v>98566</v>
      </c>
      <c r="H490" s="633">
        <v>12504</v>
      </c>
      <c r="I490" s="633">
        <v>4268</v>
      </c>
      <c r="J490" s="633">
        <v>7298</v>
      </c>
      <c r="K490" s="634">
        <f t="shared" si="15"/>
        <v>122636</v>
      </c>
      <c r="L490" s="633">
        <v>19697</v>
      </c>
      <c r="M490" s="633">
        <v>3956</v>
      </c>
      <c r="N490" s="633">
        <v>181954</v>
      </c>
      <c r="O490" s="1537">
        <f>1-N491</f>
        <v>0.56615537948349903</v>
      </c>
    </row>
    <row r="491" spans="1:15" ht="12" customHeight="1">
      <c r="A491" s="1527"/>
      <c r="B491" s="1502"/>
      <c r="C491" s="635" t="s">
        <v>6219</v>
      </c>
      <c r="D491" s="636">
        <f>D490/(D490+E490+G490+H490+I490+J490+L490+M490+N490)</f>
        <v>0.14398460654412623</v>
      </c>
      <c r="E491" s="636">
        <f>E490/(D490+E490+G490+H490+I490+J490+L490+M490+N490)</f>
        <v>7.3364504922520085E-2</v>
      </c>
      <c r="F491" s="637">
        <f t="shared" si="14"/>
        <v>0.21734911146664632</v>
      </c>
      <c r="G491" s="636">
        <f>G490/(D490+E490+G490+H490+I490+J490+L490+M490+N490)</f>
        <v>0.23501725087565778</v>
      </c>
      <c r="H491" s="636">
        <f>H490/(D490+E490+G490+H490+I490+J490+L490+M490+N490)</f>
        <v>2.9814091116097081E-2</v>
      </c>
      <c r="I491" s="636">
        <f>I490/(D490+E490+G490+H490+I490+J490+L490+M490+N490)</f>
        <v>1.017646680130377E-2</v>
      </c>
      <c r="J491" s="636">
        <f>J490/(D490+E490+G490+H490+I490+J490+L490+M490+N490)</f>
        <v>1.7401090608227487E-2</v>
      </c>
      <c r="K491" s="637">
        <f t="shared" si="15"/>
        <v>0.29240889940128612</v>
      </c>
      <c r="L491" s="636">
        <f>L490/(D490+E490+G490+H490+I490+J490+L490+M490+N490)</f>
        <v>4.6964823473589587E-2</v>
      </c>
      <c r="M491" s="636">
        <f>M490/(D490+E490+G490+H490+I490+J490+L490+M490+N490)</f>
        <v>9.4325451419769724E-3</v>
      </c>
      <c r="N491" s="636">
        <f>N490/(D490+E490+G490+H490+I490+J490+L490+M490+N490)</f>
        <v>0.43384462051650097</v>
      </c>
      <c r="O491" s="1503"/>
    </row>
    <row r="492" spans="1:15" ht="12" customHeight="1">
      <c r="A492" s="1527"/>
      <c r="B492" s="1502" t="s">
        <v>14938</v>
      </c>
      <c r="C492" s="638" t="s">
        <v>6218</v>
      </c>
      <c r="D492" s="639">
        <v>101227</v>
      </c>
      <c r="E492" s="639">
        <v>34562</v>
      </c>
      <c r="F492" s="640">
        <f t="shared" si="14"/>
        <v>135789</v>
      </c>
      <c r="G492" s="639">
        <v>90039</v>
      </c>
      <c r="H492" s="639">
        <v>12671</v>
      </c>
      <c r="I492" s="639"/>
      <c r="J492" s="639">
        <v>11248</v>
      </c>
      <c r="K492" s="640">
        <f t="shared" si="15"/>
        <v>113958</v>
      </c>
      <c r="L492" s="639">
        <v>21702</v>
      </c>
      <c r="M492" s="639"/>
      <c r="N492" s="639">
        <v>141177</v>
      </c>
      <c r="O492" s="1503">
        <f>1-N493</f>
        <v>0.65785723633508308</v>
      </c>
    </row>
    <row r="493" spans="1:15" ht="12" customHeight="1">
      <c r="A493" s="1527"/>
      <c r="B493" s="1502"/>
      <c r="C493" s="635" t="s">
        <v>6219</v>
      </c>
      <c r="D493" s="636">
        <f>D492/(D492+E492+G492+H492+I492+J492+L492+M492+N492)</f>
        <v>0.24532385259290496</v>
      </c>
      <c r="E493" s="636">
        <f>E492/(D492+E492+G492+H492+I492+J492+L492+M492+N492)</f>
        <v>8.3761081463601422E-2</v>
      </c>
      <c r="F493" s="637">
        <f t="shared" si="14"/>
        <v>0.32908493405650641</v>
      </c>
      <c r="G493" s="636">
        <f>G492/(D492+E492+G492+H492+I492+J492+L492+M492+N492)</f>
        <v>0.21820971048843263</v>
      </c>
      <c r="H493" s="636">
        <f>H492/(D492+E492+G492+H492+I492+J492+L492+M492+N492)</f>
        <v>3.0708195799586065E-2</v>
      </c>
      <c r="I493" s="636">
        <f>I492/(D492+E492+G492+H492+I492+J492+L492+M492+N492)</f>
        <v>0</v>
      </c>
      <c r="J493" s="636">
        <f>J492/(D492+E492+G492+H492+I492+J492+L492+M492+N492)</f>
        <v>2.7259552233741935E-2</v>
      </c>
      <c r="K493" s="637">
        <f t="shared" si="15"/>
        <v>0.27617745852176062</v>
      </c>
      <c r="L493" s="636">
        <f>L492/(D492+E492+G492+H492+I492+J492+L492+M492+N492)</f>
        <v>5.2594843756816098E-2</v>
      </c>
      <c r="M493" s="636">
        <f>M492/(D492+E492+G492+H492+I492+J492+L492+M492+N492)</f>
        <v>0</v>
      </c>
      <c r="N493" s="636">
        <f>N492/(D492+E492+G492+H492+I492+J492+L492+M492+N492)</f>
        <v>0.34214276366491692</v>
      </c>
      <c r="O493" s="1503"/>
    </row>
    <row r="494" spans="1:15" ht="12" customHeight="1">
      <c r="A494" s="1527"/>
      <c r="B494" s="1502" t="s">
        <v>14939</v>
      </c>
      <c r="C494" s="638" t="s">
        <v>6218</v>
      </c>
      <c r="D494" s="639">
        <v>55686</v>
      </c>
      <c r="E494" s="639">
        <v>33229</v>
      </c>
      <c r="F494" s="640">
        <f t="shared" si="14"/>
        <v>88915</v>
      </c>
      <c r="G494" s="639">
        <v>91222</v>
      </c>
      <c r="H494" s="639">
        <v>12117</v>
      </c>
      <c r="I494" s="639"/>
      <c r="J494" s="639"/>
      <c r="K494" s="640">
        <f t="shared" si="15"/>
        <v>103339</v>
      </c>
      <c r="L494" s="639">
        <v>19180</v>
      </c>
      <c r="M494" s="639">
        <v>7562</v>
      </c>
      <c r="N494" s="639">
        <v>190057</v>
      </c>
      <c r="O494" s="1503">
        <f>1-N495</f>
        <v>0.53537316680234592</v>
      </c>
    </row>
    <row r="495" spans="1:15" ht="12" customHeight="1">
      <c r="A495" s="1527"/>
      <c r="B495" s="1502"/>
      <c r="C495" s="635" t="s">
        <v>6219</v>
      </c>
      <c r="D495" s="636">
        <f>D494/(D494+E494+G494+H494+I494+J494+L494+M494+N494)</f>
        <v>0.13613394841255289</v>
      </c>
      <c r="E495" s="636">
        <f>E494/(D494+E494+G494+H494+I494+J494+L494+M494+N494)</f>
        <v>8.1233972125861448E-2</v>
      </c>
      <c r="F495" s="637">
        <f t="shared" si="14"/>
        <v>0.21736792053841433</v>
      </c>
      <c r="G495" s="636">
        <f>G494/(D494+E494+G494+H494+I494+J494+L494+M494+N494)</f>
        <v>0.22300777649839995</v>
      </c>
      <c r="H495" s="636">
        <f>H494/(D494+E494+G494+H494+I494+J494+L494+M494+N494)</f>
        <v>2.96220783125903E-2</v>
      </c>
      <c r="I495" s="636">
        <f>I494/(D494+E494+G494+H494+I494+J494+L494+M494+N494)</f>
        <v>0</v>
      </c>
      <c r="J495" s="636">
        <f>J494/(D494+E494+G494+H494+I494+J494+L494+M494+N494)</f>
        <v>0</v>
      </c>
      <c r="K495" s="637">
        <f t="shared" si="15"/>
        <v>0.25262985481099026</v>
      </c>
      <c r="L495" s="636">
        <f>L494/(D494+E494+G494+H494+I494+J494+L494+M494+N494)</f>
        <v>4.6888789472268877E-2</v>
      </c>
      <c r="M495" s="636">
        <f>M494/(D494+E494+G494+H494+I494+J494+L494+M494+N494)</f>
        <v>1.848660198067243E-2</v>
      </c>
      <c r="N495" s="636">
        <f>N494/(D494+E494+G494+H494+I494+J494+L494+M494+N494)</f>
        <v>0.46462683319765408</v>
      </c>
      <c r="O495" s="1503"/>
    </row>
    <row r="496" spans="1:15" ht="12" customHeight="1">
      <c r="A496" s="1527"/>
      <c r="B496" s="1502" t="s">
        <v>14940</v>
      </c>
      <c r="C496" s="638" t="s">
        <v>6218</v>
      </c>
      <c r="D496" s="639">
        <v>73139</v>
      </c>
      <c r="E496" s="639">
        <v>35874</v>
      </c>
      <c r="F496" s="640">
        <f t="shared" si="14"/>
        <v>109013</v>
      </c>
      <c r="G496" s="639">
        <v>99459</v>
      </c>
      <c r="H496" s="639">
        <v>7946</v>
      </c>
      <c r="I496" s="639"/>
      <c r="J496" s="639"/>
      <c r="K496" s="640">
        <f t="shared" si="15"/>
        <v>107405</v>
      </c>
      <c r="L496" s="639">
        <v>18191</v>
      </c>
      <c r="M496" s="639"/>
      <c r="N496" s="639">
        <v>172031</v>
      </c>
      <c r="O496" s="1503">
        <f>1-N497</f>
        <v>0.57694520952193584</v>
      </c>
    </row>
    <row r="497" spans="1:15" ht="12" customHeight="1" thickBot="1">
      <c r="A497" s="1528"/>
      <c r="B497" s="1514"/>
      <c r="C497" s="641" t="s">
        <v>6219</v>
      </c>
      <c r="D497" s="642">
        <f>D496/(D496+E496+G496+H496+I496+J496+L496+M496+N496)</f>
        <v>0.17986179421601417</v>
      </c>
      <c r="E497" s="642">
        <f>E496/(D496+E496+G496+H496+I496+J496+L496+M496+N496)</f>
        <v>8.8220539051741098E-2</v>
      </c>
      <c r="F497" s="643">
        <f t="shared" si="14"/>
        <v>0.26808233326775527</v>
      </c>
      <c r="G497" s="642">
        <f>G496/(D496+E496+G496+H496+I496+J496+L496+M496+N496)</f>
        <v>0.24458734999016329</v>
      </c>
      <c r="H497" s="642">
        <f>H496/(D496+E496+G496+H496+I496+J496+L496+M496+N496)</f>
        <v>1.9540625614794412E-2</v>
      </c>
      <c r="I497" s="642">
        <f>I496/(D496+E496+G496+H496+I496+J496+L496+M496+N496)</f>
        <v>0</v>
      </c>
      <c r="J497" s="642">
        <f>J496/(D496+E496+G496+H496+I496+J496+L496+M496+N496)</f>
        <v>0</v>
      </c>
      <c r="K497" s="643">
        <f t="shared" si="15"/>
        <v>0.26412797560495771</v>
      </c>
      <c r="L497" s="642">
        <f>L496/(D496+E496+G496+H496+I496+J496+L496+M496+N496)</f>
        <v>4.4734900649222899E-2</v>
      </c>
      <c r="M497" s="642">
        <f>M496/(D496+E496+G496+H496+I496+J496+L496+M496+N496)</f>
        <v>0</v>
      </c>
      <c r="N497" s="642">
        <f>N496/(D496+E496+G496+H496+I496+J496+L496+M496+N496)</f>
        <v>0.42305479047806416</v>
      </c>
      <c r="O497" s="1515"/>
    </row>
    <row r="498" spans="1:15" ht="12" customHeight="1">
      <c r="A498" s="1535" t="s">
        <v>15002</v>
      </c>
      <c r="B498" s="1536" t="s">
        <v>14937</v>
      </c>
      <c r="C498" s="632" t="s">
        <v>6218</v>
      </c>
      <c r="D498" s="633">
        <v>54525</v>
      </c>
      <c r="E498" s="633">
        <v>30999</v>
      </c>
      <c r="F498" s="634">
        <f t="shared" si="14"/>
        <v>85524</v>
      </c>
      <c r="G498" s="633">
        <v>86753</v>
      </c>
      <c r="H498" s="633">
        <v>10597</v>
      </c>
      <c r="I498" s="633">
        <v>3881</v>
      </c>
      <c r="J498" s="633">
        <v>7419</v>
      </c>
      <c r="K498" s="634">
        <f t="shared" si="15"/>
        <v>108650</v>
      </c>
      <c r="L498" s="633">
        <v>20152</v>
      </c>
      <c r="M498" s="633">
        <v>3956</v>
      </c>
      <c r="N498" s="633">
        <v>181895</v>
      </c>
      <c r="O498" s="1537">
        <f>1-N499</f>
        <v>0.54546363234268835</v>
      </c>
    </row>
    <row r="499" spans="1:15" ht="12" customHeight="1">
      <c r="A499" s="1517"/>
      <c r="B499" s="1502"/>
      <c r="C499" s="635" t="s">
        <v>6219</v>
      </c>
      <c r="D499" s="636">
        <f>D498/(D498+E498+G498+H498+I498+J498+L498+M498+N498)</f>
        <v>0.13625220839778399</v>
      </c>
      <c r="E499" s="636">
        <f>E498/(D498+E498+G498+H498+I498+J498+L498+M498+N498)</f>
        <v>7.7463222524033121E-2</v>
      </c>
      <c r="F499" s="637">
        <f t="shared" si="14"/>
        <v>0.21371543092181711</v>
      </c>
      <c r="G499" s="636">
        <f>G498/(D498+E498+G498+H498+I498+J498+L498+M498+N498)</f>
        <v>0.2167865719419157</v>
      </c>
      <c r="H499" s="636">
        <f>H498/(D498+E498+G498+H498+I498+J498+L498+M498+N498)</f>
        <v>2.6480782253852669E-2</v>
      </c>
      <c r="I499" s="636">
        <f>I498/(D498+E498+G498+H498+I498+J498+L498+M498+N498)</f>
        <v>9.6982085427198463E-3</v>
      </c>
      <c r="J499" s="636">
        <f>J498/(D498+E498+G498+H498+I498+J498+L498+M498+N498)</f>
        <v>1.8539296361360098E-2</v>
      </c>
      <c r="K499" s="637">
        <f t="shared" si="15"/>
        <v>0.27150485909984828</v>
      </c>
      <c r="L499" s="636">
        <f>L498/(D498+E498+G498+H498+I498+J498+L498+M498+N498)</f>
        <v>5.0357716710355667E-2</v>
      </c>
      <c r="M499" s="636">
        <f>M498/(D498+E498+G498+H498+I498+J498+L498+M498+N498)</f>
        <v>9.8856256106672792E-3</v>
      </c>
      <c r="N499" s="636">
        <f>N498/(D498+E498+G498+H498+I498+J498+L498+M498+N498)</f>
        <v>0.45453636765731165</v>
      </c>
      <c r="O499" s="1503"/>
    </row>
    <row r="500" spans="1:15" ht="12" customHeight="1">
      <c r="A500" s="1517"/>
      <c r="B500" s="1502" t="s">
        <v>14938</v>
      </c>
      <c r="C500" s="638" t="s">
        <v>6218</v>
      </c>
      <c r="D500" s="639">
        <v>92938</v>
      </c>
      <c r="E500" s="639">
        <v>36650</v>
      </c>
      <c r="F500" s="640">
        <f t="shared" si="14"/>
        <v>129588</v>
      </c>
      <c r="G500" s="639">
        <v>78962</v>
      </c>
      <c r="H500" s="639">
        <v>11009</v>
      </c>
      <c r="I500" s="639"/>
      <c r="J500" s="639">
        <v>10366</v>
      </c>
      <c r="K500" s="640">
        <f t="shared" si="15"/>
        <v>100337</v>
      </c>
      <c r="L500" s="639">
        <v>20489</v>
      </c>
      <c r="M500" s="639"/>
      <c r="N500" s="639">
        <v>146379</v>
      </c>
      <c r="O500" s="1503">
        <f>1-N501</f>
        <v>0.63109480257968253</v>
      </c>
    </row>
    <row r="501" spans="1:15" ht="12" customHeight="1">
      <c r="A501" s="1517"/>
      <c r="B501" s="1502"/>
      <c r="C501" s="635" t="s">
        <v>6219</v>
      </c>
      <c r="D501" s="636">
        <f>D500/(D500+E500+G500+H500+I500+J500+L500+M500+N500)</f>
        <v>0.2342228819560829</v>
      </c>
      <c r="E501" s="636">
        <f>E500/(D500+E500+G500+H500+I500+J500+L500+M500+N500)</f>
        <v>9.236554072274461E-2</v>
      </c>
      <c r="F501" s="637">
        <f t="shared" si="14"/>
        <v>0.32658842267882748</v>
      </c>
      <c r="G501" s="636">
        <f>G500/(D500+E500+G500+H500+I500+J500+L500+M500+N500)</f>
        <v>0.19900048639970966</v>
      </c>
      <c r="H501" s="636">
        <f>H500/(D500+E500+G500+H500+I500+J500+L500+M500+N500)</f>
        <v>2.7744945097317744E-2</v>
      </c>
      <c r="I501" s="636">
        <f>I500/(D500+E500+G500+H500+I500+J500+L500+M500+N500)</f>
        <v>0</v>
      </c>
      <c r="J501" s="636">
        <f>J500/(D500+E500+G500+H500+I500+J500+L500+M500+N500)</f>
        <v>2.612445280032662E-2</v>
      </c>
      <c r="K501" s="637">
        <f t="shared" si="15"/>
        <v>0.25286988429735402</v>
      </c>
      <c r="L501" s="636">
        <f>L500/(D500+E500+G500+H500+I500+J500+L500+M500+N500)</f>
        <v>5.1636495603501073E-2</v>
      </c>
      <c r="M501" s="636">
        <f>M500/(D500+E500+G500+H500+I500+J500+L500+M500+N500)</f>
        <v>0</v>
      </c>
      <c r="N501" s="636">
        <f>N500/(D500+E500+G500+H500+I500+J500+L500+M500+N500)</f>
        <v>0.36890519742031741</v>
      </c>
      <c r="O501" s="1503"/>
    </row>
    <row r="502" spans="1:15" ht="12" customHeight="1">
      <c r="A502" s="1517"/>
      <c r="B502" s="1502" t="s">
        <v>14939</v>
      </c>
      <c r="C502" s="638" t="s">
        <v>6218</v>
      </c>
      <c r="D502" s="639">
        <v>51720</v>
      </c>
      <c r="E502" s="639">
        <v>32855</v>
      </c>
      <c r="F502" s="640">
        <f t="shared" si="14"/>
        <v>84575</v>
      </c>
      <c r="G502" s="639">
        <v>80807</v>
      </c>
      <c r="H502" s="639">
        <v>10500</v>
      </c>
      <c r="I502" s="639"/>
      <c r="J502" s="639"/>
      <c r="K502" s="640">
        <f t="shared" si="15"/>
        <v>91307</v>
      </c>
      <c r="L502" s="639">
        <v>18730</v>
      </c>
      <c r="M502" s="639">
        <v>7445</v>
      </c>
      <c r="N502" s="639">
        <v>189526</v>
      </c>
      <c r="O502" s="1503">
        <f>1-N503</f>
        <v>0.51600043924276595</v>
      </c>
    </row>
    <row r="503" spans="1:15" ht="12" customHeight="1">
      <c r="A503" s="1517"/>
      <c r="B503" s="1502"/>
      <c r="C503" s="635" t="s">
        <v>6219</v>
      </c>
      <c r="D503" s="636">
        <f>D502/(D502+E502+G502+H502+I502+J502+L502+M502+N502)</f>
        <v>0.13207927821177121</v>
      </c>
      <c r="E503" s="636">
        <f>E502/(D502+E502+G502+H502+I502+J502+L502+M502+N502)</f>
        <v>8.3903029498216208E-2</v>
      </c>
      <c r="F503" s="637">
        <f t="shared" si="14"/>
        <v>0.21598230770998741</v>
      </c>
      <c r="G503" s="636">
        <f>G502/(D502+E502+G502+H502+I502+J502+L502+M502+N502)</f>
        <v>0.20635982665233168</v>
      </c>
      <c r="H503" s="636">
        <f>H502/(D502+E502+G502+H502+I502+J502+L502+M502+N502)</f>
        <v>2.6814238616078838E-2</v>
      </c>
      <c r="I503" s="636">
        <f>I502/(D502+E502+G502+H502+I502+J502+L502+M502+N502)</f>
        <v>0</v>
      </c>
      <c r="J503" s="636">
        <f>J502/(D502+E502+G502+H502+I502+J502+L502+M502+N502)</f>
        <v>0</v>
      </c>
      <c r="K503" s="637">
        <f t="shared" si="15"/>
        <v>0.23317406526841053</v>
      </c>
      <c r="L503" s="636">
        <f>L502/(D502+E502+G502+H502+I502+J502+L502+M502+N502)</f>
        <v>4.7831494217062537E-2</v>
      </c>
      <c r="M503" s="636">
        <f>M502/(D502+E502+G502+H502+I502+J502+L502+M502+N502)</f>
        <v>1.9012572047305425E-2</v>
      </c>
      <c r="N503" s="636">
        <f>N502/(D502+E502+G502+H502+I502+J502+L502+M502+N502)</f>
        <v>0.4839995607572341</v>
      </c>
      <c r="O503" s="1503"/>
    </row>
    <row r="504" spans="1:15" ht="12" customHeight="1">
      <c r="A504" s="1517"/>
      <c r="B504" s="1502" t="s">
        <v>14940</v>
      </c>
      <c r="C504" s="638" t="s">
        <v>6218</v>
      </c>
      <c r="D504" s="639">
        <v>61836</v>
      </c>
      <c r="E504" s="639">
        <v>32664</v>
      </c>
      <c r="F504" s="640">
        <f t="shared" si="14"/>
        <v>94500</v>
      </c>
      <c r="G504" s="639">
        <v>87189</v>
      </c>
      <c r="H504" s="639">
        <v>7325</v>
      </c>
      <c r="I504" s="639"/>
      <c r="J504" s="639"/>
      <c r="K504" s="640">
        <f t="shared" si="15"/>
        <v>94514</v>
      </c>
      <c r="L504" s="639">
        <v>17027</v>
      </c>
      <c r="M504" s="639"/>
      <c r="N504" s="639">
        <v>188434</v>
      </c>
      <c r="O504" s="1503">
        <f>1-N505</f>
        <v>0.5223170036123963</v>
      </c>
    </row>
    <row r="505" spans="1:15" ht="12" customHeight="1" thickBot="1">
      <c r="A505" s="1519"/>
      <c r="B505" s="1514"/>
      <c r="C505" s="641" t="s">
        <v>6219</v>
      </c>
      <c r="D505" s="642">
        <f>D504/(D504+E504+G504+H504+I504+J504+L504+M504+N504)</f>
        <v>0.156755180936688</v>
      </c>
      <c r="E505" s="642">
        <f>E504/(D504+E504+G504+H504+I504+J504+L504+M504+N504)</f>
        <v>8.2803726471893019E-2</v>
      </c>
      <c r="F505" s="643">
        <f t="shared" si="14"/>
        <v>0.23955890740858102</v>
      </c>
      <c r="G505" s="642">
        <f>G504/(D504+E504+G504+H504+I504+J504+L504+M504+N504)</f>
        <v>0.22102541352430446</v>
      </c>
      <c r="H505" s="642">
        <f>H504/(D504+E504+G504+H504+I504+J504+L504+M504+N504)</f>
        <v>1.8568984092781547E-2</v>
      </c>
      <c r="I505" s="642">
        <f>I504/(D504+E504+G504+H504+I504+J504+L504+M504+N504)</f>
        <v>0</v>
      </c>
      <c r="J505" s="642">
        <f>J504/(D504+E504+G504+H504+I504+J504+L504+M504+N504)</f>
        <v>0</v>
      </c>
      <c r="K505" s="643">
        <f t="shared" si="15"/>
        <v>0.23959439761708601</v>
      </c>
      <c r="L505" s="642">
        <f>L504/(D504+E504+G504+H504+I504+J504+L504+M504+N504)</f>
        <v>4.31636985867292E-2</v>
      </c>
      <c r="M505" s="642">
        <f>M504/(D504+E504+G504+H504+I504+J504+L504+M504+N504)</f>
        <v>0</v>
      </c>
      <c r="N505" s="642">
        <f>N504/(D504+E504+G504+H504+I504+J504+L504+M504+N504)</f>
        <v>0.47768299638760375</v>
      </c>
      <c r="O505" s="1515"/>
    </row>
    <row r="506" spans="1:15" ht="12" customHeight="1">
      <c r="A506" s="1535" t="s">
        <v>15003</v>
      </c>
      <c r="B506" s="1536" t="s">
        <v>14937</v>
      </c>
      <c r="C506" s="632" t="s">
        <v>6218</v>
      </c>
      <c r="D506" s="633">
        <v>46861</v>
      </c>
      <c r="E506" s="633">
        <v>25250</v>
      </c>
      <c r="F506" s="634">
        <f t="shared" si="14"/>
        <v>72111</v>
      </c>
      <c r="G506" s="633">
        <v>79688</v>
      </c>
      <c r="H506" s="633">
        <v>9257</v>
      </c>
      <c r="I506" s="633">
        <v>3520</v>
      </c>
      <c r="J506" s="633">
        <v>7270</v>
      </c>
      <c r="K506" s="634">
        <f t="shared" si="15"/>
        <v>99735</v>
      </c>
      <c r="L506" s="633">
        <v>19446</v>
      </c>
      <c r="M506" s="633">
        <v>3597</v>
      </c>
      <c r="N506" s="633">
        <v>148230</v>
      </c>
      <c r="O506" s="1537">
        <f>1-N507</f>
        <v>0.56799244576954355</v>
      </c>
    </row>
    <row r="507" spans="1:15" ht="12" customHeight="1">
      <c r="A507" s="1517"/>
      <c r="B507" s="1502"/>
      <c r="C507" s="635" t="s">
        <v>6219</v>
      </c>
      <c r="D507" s="636">
        <f>D506/(D506+E506+G506+H506+I506+J506+L506+M506+N506)</f>
        <v>0.13657360857311895</v>
      </c>
      <c r="E507" s="636">
        <f>E506/(D506+E506+G506+H506+I506+J506+L506+M506+N506)</f>
        <v>7.3589629253990596E-2</v>
      </c>
      <c r="F507" s="637">
        <f t="shared" si="14"/>
        <v>0.21016323782710955</v>
      </c>
      <c r="G507" s="636">
        <f>G506/(D506+E506+G506+H506+I506+J506+L506+M506+N506)</f>
        <v>0.23224595548483179</v>
      </c>
      <c r="H507" s="636">
        <f>H506/(D506+E506+G506+H506+I506+J506+L506+M506+N506)</f>
        <v>2.6978978138779839E-2</v>
      </c>
      <c r="I507" s="636">
        <f>I506/(D506+E506+G506+H506+I506+J506+L506+M506+N506)</f>
        <v>1.025883148412067E-2</v>
      </c>
      <c r="J507" s="636">
        <f>J506/(D506+E506+G506+H506+I506+J506+L506+M506+N506)</f>
        <v>2.1187984343624223E-2</v>
      </c>
      <c r="K507" s="637">
        <f t="shared" si="15"/>
        <v>0.29067174945135654</v>
      </c>
      <c r="L507" s="636">
        <f>L506/(D506+E506+G506+H506+I506+J506+L506+M506+N506)</f>
        <v>5.6674215068241628E-2</v>
      </c>
      <c r="M507" s="636">
        <f>M506/(D506+E506+G506+H506+I506+J506+L506+M506+N506)</f>
        <v>1.0483243422835809E-2</v>
      </c>
      <c r="N507" s="636">
        <f>N506/(D506+E506+G506+H506+I506+J506+L506+M506+N506)</f>
        <v>0.4320075542304565</v>
      </c>
      <c r="O507" s="1503"/>
    </row>
    <row r="508" spans="1:15" ht="12" customHeight="1">
      <c r="A508" s="1517"/>
      <c r="B508" s="1502" t="s">
        <v>14938</v>
      </c>
      <c r="C508" s="638" t="s">
        <v>6218</v>
      </c>
      <c r="D508" s="639">
        <v>83270</v>
      </c>
      <c r="E508" s="639">
        <v>28371</v>
      </c>
      <c r="F508" s="640">
        <f t="shared" si="14"/>
        <v>111641</v>
      </c>
      <c r="G508" s="639">
        <v>67901</v>
      </c>
      <c r="H508" s="639">
        <v>10129</v>
      </c>
      <c r="I508" s="639"/>
      <c r="J508" s="639">
        <v>9400</v>
      </c>
      <c r="K508" s="640">
        <f t="shared" si="15"/>
        <v>87430</v>
      </c>
      <c r="L508" s="639">
        <v>21570</v>
      </c>
      <c r="M508" s="639"/>
      <c r="N508" s="639">
        <v>119038</v>
      </c>
      <c r="O508" s="1503">
        <f>1-N509</f>
        <v>0.64955737622873366</v>
      </c>
    </row>
    <row r="509" spans="1:15" ht="12" customHeight="1">
      <c r="A509" s="1517"/>
      <c r="B509" s="1502"/>
      <c r="C509" s="635" t="s">
        <v>6219</v>
      </c>
      <c r="D509" s="636">
        <f>D508/(D508+E508+G508+H508+I508+J508+L508+M508+N508)</f>
        <v>0.24514320873530598</v>
      </c>
      <c r="E509" s="636">
        <f>E508/(D508+E508+G508+H508+I508+J508+L508+M508+N508)</f>
        <v>8.3522973159953953E-2</v>
      </c>
      <c r="F509" s="637">
        <f t="shared" si="14"/>
        <v>0.32866618189525992</v>
      </c>
      <c r="G509" s="636">
        <f>G508/(D508+E508+G508+H508+I508+J508+L508+M508+N508)</f>
        <v>0.19989755033428619</v>
      </c>
      <c r="H509" s="636">
        <f>H508/(D508+E508+G508+H508+I508+J508+L508+M508+N508)</f>
        <v>2.9819329425722522E-2</v>
      </c>
      <c r="I509" s="636">
        <f>I508/(D508+E508+G508+H508+I508+J508+L508+M508+N508)</f>
        <v>0</v>
      </c>
      <c r="J509" s="636">
        <f>J508/(D508+E508+G508+H508+I508+J508+L508+M508+N508)</f>
        <v>2.7673185566372958E-2</v>
      </c>
      <c r="K509" s="637">
        <f t="shared" si="15"/>
        <v>0.25739006532638165</v>
      </c>
      <c r="L509" s="636">
        <f>L508/(D508+E508+G508+H508+I508+J508+L508+M508+N508)</f>
        <v>6.3501129007091983E-2</v>
      </c>
      <c r="M509" s="636">
        <f>M508/(D508+E508+G508+H508+I508+J508+L508+M508+N508)</f>
        <v>0</v>
      </c>
      <c r="N509" s="636">
        <f>N508/(D508+E508+G508+H508+I508+J508+L508+M508+N508)</f>
        <v>0.35044262377126639</v>
      </c>
      <c r="O509" s="1503"/>
    </row>
    <row r="510" spans="1:15" ht="12" customHeight="1">
      <c r="A510" s="1517"/>
      <c r="B510" s="1502" t="s">
        <v>14939</v>
      </c>
      <c r="C510" s="638" t="s">
        <v>6218</v>
      </c>
      <c r="D510" s="639">
        <v>42632</v>
      </c>
      <c r="E510" s="639">
        <v>25392</v>
      </c>
      <c r="F510" s="640">
        <f t="shared" si="14"/>
        <v>68024</v>
      </c>
      <c r="G510" s="639">
        <v>71788</v>
      </c>
      <c r="H510" s="639">
        <v>8610</v>
      </c>
      <c r="I510" s="639"/>
      <c r="J510" s="639"/>
      <c r="K510" s="640">
        <f t="shared" si="15"/>
        <v>80398</v>
      </c>
      <c r="L510" s="639">
        <v>17466</v>
      </c>
      <c r="M510" s="639">
        <v>6280</v>
      </c>
      <c r="N510" s="639">
        <v>164576</v>
      </c>
      <c r="O510" s="1503">
        <f>1-N511</f>
        <v>0.51127265816168954</v>
      </c>
    </row>
    <row r="511" spans="1:15" ht="12" customHeight="1">
      <c r="A511" s="1517"/>
      <c r="B511" s="1502"/>
      <c r="C511" s="635" t="s">
        <v>6219</v>
      </c>
      <c r="D511" s="636">
        <f>D510/(D510+E510+G510+H510+I510+J510+L510+M510+N510)</f>
        <v>0.12660062243128312</v>
      </c>
      <c r="E511" s="636">
        <f>E510/(D510+E510+G510+H510+I510+J510+L510+M510+N510)</f>
        <v>7.5404461549426274E-2</v>
      </c>
      <c r="F511" s="637">
        <f t="shared" si="14"/>
        <v>0.20200508398070938</v>
      </c>
      <c r="G511" s="636">
        <f>G510/(D510+E510+G510+H510+I510+J510+L510+M510+N510)</f>
        <v>0.21318271446558809</v>
      </c>
      <c r="H511" s="636">
        <f>H510/(D510+E510+G510+H510+I510+J510+L510+M510+N510)</f>
        <v>2.5568384291925022E-2</v>
      </c>
      <c r="I511" s="636">
        <f>I510/(D510+E510+G510+H510+I510+J510+L510+M510+N510)</f>
        <v>0</v>
      </c>
      <c r="J511" s="636">
        <f>J510/(D510+E510+G510+H510+I510+J510+L510+M510+N510)</f>
        <v>0</v>
      </c>
      <c r="K511" s="637">
        <f t="shared" si="15"/>
        <v>0.2387510987575131</v>
      </c>
      <c r="L511" s="636">
        <f>L510/(D510+E510+G510+H510+I510+J510+L510+M510+N510)</f>
        <v>5.1867293849333619E-2</v>
      </c>
      <c r="M511" s="636">
        <f>M510/(D510+E510+G510+H510+I510+J510+L510+M510+N510)</f>
        <v>1.8649181574133467E-2</v>
      </c>
      <c r="N511" s="636">
        <f>N510/(D510+E510+G510+H510+I510+J510+L510+M510+N510)</f>
        <v>0.4887273418383104</v>
      </c>
      <c r="O511" s="1503"/>
    </row>
    <row r="512" spans="1:15" ht="12" customHeight="1">
      <c r="A512" s="1517"/>
      <c r="B512" s="1502" t="s">
        <v>14940</v>
      </c>
      <c r="C512" s="638" t="s">
        <v>6218</v>
      </c>
      <c r="D512" s="639">
        <v>54727</v>
      </c>
      <c r="E512" s="639">
        <v>26014</v>
      </c>
      <c r="F512" s="640">
        <f t="shared" si="14"/>
        <v>80741</v>
      </c>
      <c r="G512" s="639">
        <v>77248</v>
      </c>
      <c r="H512" s="639">
        <v>5913</v>
      </c>
      <c r="I512" s="639"/>
      <c r="J512" s="639"/>
      <c r="K512" s="640">
        <f t="shared" si="15"/>
        <v>83161</v>
      </c>
      <c r="L512" s="639">
        <v>17410</v>
      </c>
      <c r="M512" s="639"/>
      <c r="N512" s="639">
        <v>154488</v>
      </c>
      <c r="O512" s="1503">
        <f>1-N513</f>
        <v>0.53994044073853487</v>
      </c>
    </row>
    <row r="513" spans="1:15" ht="12" customHeight="1" thickBot="1">
      <c r="A513" s="1519"/>
      <c r="B513" s="1514"/>
      <c r="C513" s="641" t="s">
        <v>6219</v>
      </c>
      <c r="D513" s="642">
        <f>D512/(D512+E512+G512+H512+I512+J512+L512+M512+N512)</f>
        <v>0.16297498511018463</v>
      </c>
      <c r="E513" s="642">
        <f>E512/(D512+E512+G512+H512+I512+J512+L512+M512+N512)</f>
        <v>7.7468731387730791E-2</v>
      </c>
      <c r="F513" s="643">
        <f t="shared" si="14"/>
        <v>0.24044371649791541</v>
      </c>
      <c r="G513" s="642">
        <f>G512/(D512+E512+G512+H512+I512+J512+L512+M512+N512)</f>
        <v>0.23004169148302561</v>
      </c>
      <c r="H513" s="642">
        <f>H512/(D512+E512+G512+H512+I512+J512+L512+M512+N512)</f>
        <v>1.7608695652173913E-2</v>
      </c>
      <c r="I513" s="642">
        <f>I512/(D512+E512+G512+H512+I512+J512+L512+M512+N512)</f>
        <v>0</v>
      </c>
      <c r="J513" s="642">
        <f>J512/(D512+E512+G512+H512+I512+J512+L512+M512+N512)</f>
        <v>0</v>
      </c>
      <c r="K513" s="643">
        <f t="shared" si="15"/>
        <v>0.24765038713519952</v>
      </c>
      <c r="L513" s="642">
        <f>L512/(D512+E512+G512+H512+I512+J512+L512+M512+N512)</f>
        <v>5.1846337105419894E-2</v>
      </c>
      <c r="M513" s="642">
        <f>M512/(D512+E512+G512+H512+I512+J512+L512+M512+N512)</f>
        <v>0</v>
      </c>
      <c r="N513" s="642">
        <f>N512/(D512+E512+G512+H512+I512+J512+L512+M512+N512)</f>
        <v>0.46005955926146513</v>
      </c>
      <c r="O513" s="1515"/>
    </row>
    <row r="514" spans="1:15" ht="12" customHeight="1">
      <c r="A514" s="1535" t="s">
        <v>15004</v>
      </c>
      <c r="B514" s="1536" t="s">
        <v>14937</v>
      </c>
      <c r="C514" s="632" t="s">
        <v>6218</v>
      </c>
      <c r="D514" s="633">
        <v>65100</v>
      </c>
      <c r="E514" s="633">
        <v>29866</v>
      </c>
      <c r="F514" s="634">
        <f t="shared" ref="F514:F577" si="16">SUM(D514:E514)</f>
        <v>94966</v>
      </c>
      <c r="G514" s="633">
        <v>90883</v>
      </c>
      <c r="H514" s="633">
        <v>11315</v>
      </c>
      <c r="I514" s="633">
        <v>4303</v>
      </c>
      <c r="J514" s="633">
        <v>6913</v>
      </c>
      <c r="K514" s="634">
        <f t="shared" ref="K514:K577" si="17">SUM(G514:J514)</f>
        <v>113414</v>
      </c>
      <c r="L514" s="633">
        <v>18472</v>
      </c>
      <c r="M514" s="633">
        <v>3648</v>
      </c>
      <c r="N514" s="633">
        <v>173233</v>
      </c>
      <c r="O514" s="1537">
        <f>1-N515</f>
        <v>0.57092187163298513</v>
      </c>
    </row>
    <row r="515" spans="1:15" ht="12" customHeight="1">
      <c r="A515" s="1517"/>
      <c r="B515" s="1502"/>
      <c r="C515" s="635" t="s">
        <v>6219</v>
      </c>
      <c r="D515" s="636">
        <f>D514/(D514+E514+G514+H514+I514+J514+L514+M514+N514)</f>
        <v>0.16124517936358931</v>
      </c>
      <c r="E515" s="636">
        <f>E514/(D514+E514+G514+H514+I514+J514+L514+M514+N514)</f>
        <v>7.3974631749200589E-2</v>
      </c>
      <c r="F515" s="637">
        <f t="shared" si="16"/>
        <v>0.23521981111278989</v>
      </c>
      <c r="G515" s="636">
        <f>G514/(D514+E514+G514+H514+I514+J514+L514+M514+N514)</f>
        <v>0.22510669179878781</v>
      </c>
      <c r="H515" s="636">
        <f>H514/(D514+E514+G514+H514+I514+J514+L514+M514+N514)</f>
        <v>2.8025947841766711E-2</v>
      </c>
      <c r="I515" s="636">
        <f>I514/(D514+E514+G514+H514+I514+J514+L514+M514+N514)</f>
        <v>1.0658033898640933E-2</v>
      </c>
      <c r="J515" s="636">
        <f>J514/(D514+E514+G514+H514+I514+J514+L514+M514+N514)</f>
        <v>1.7122702380038293E-2</v>
      </c>
      <c r="K515" s="637">
        <f t="shared" si="17"/>
        <v>0.28091337591923377</v>
      </c>
      <c r="L515" s="636">
        <f>L514/(D514+E514+G514+H514+I514+J514+L514+M514+N514)</f>
        <v>4.575301003385901E-2</v>
      </c>
      <c r="M515" s="636">
        <f>M514/(D514+E514+G514+H514+I514+J514+L514+M514+N514)</f>
        <v>9.0356745671025165E-3</v>
      </c>
      <c r="N515" s="636">
        <f>N514/(D514+E514+G514+H514+I514+J514+L514+M514+N514)</f>
        <v>0.42907812836701481</v>
      </c>
      <c r="O515" s="1503"/>
    </row>
    <row r="516" spans="1:15" ht="12" customHeight="1">
      <c r="A516" s="1517"/>
      <c r="B516" s="1502" t="s">
        <v>14938</v>
      </c>
      <c r="C516" s="638" t="s">
        <v>6218</v>
      </c>
      <c r="D516" s="639">
        <v>102745</v>
      </c>
      <c r="E516" s="639">
        <v>33206</v>
      </c>
      <c r="F516" s="640">
        <f t="shared" si="16"/>
        <v>135951</v>
      </c>
      <c r="G516" s="639">
        <v>81275</v>
      </c>
      <c r="H516" s="639">
        <v>11214</v>
      </c>
      <c r="I516" s="639"/>
      <c r="J516" s="639">
        <v>11157</v>
      </c>
      <c r="K516" s="640">
        <f t="shared" si="17"/>
        <v>103646</v>
      </c>
      <c r="L516" s="639">
        <v>20362</v>
      </c>
      <c r="M516" s="639"/>
      <c r="N516" s="639">
        <v>142340</v>
      </c>
      <c r="O516" s="1503">
        <f>1-N517</f>
        <v>0.64618355998896337</v>
      </c>
    </row>
    <row r="517" spans="1:15" ht="12" customHeight="1">
      <c r="A517" s="1517"/>
      <c r="B517" s="1502"/>
      <c r="C517" s="635" t="s">
        <v>6219</v>
      </c>
      <c r="D517" s="636">
        <f>D516/(D516+E516+G516+H516+I516+J516+L516+M516+N516)</f>
        <v>0.25539461942485564</v>
      </c>
      <c r="E517" s="636">
        <f>E516/(D516+E516+G516+H516+I516+J516+L516+M516+N516)</f>
        <v>8.2540597913492206E-2</v>
      </c>
      <c r="F517" s="637">
        <f t="shared" si="16"/>
        <v>0.33793521733834786</v>
      </c>
      <c r="G517" s="636">
        <f>G516/(D516+E516+G516+H516+I516+J516+L516+M516+N516)</f>
        <v>0.20202635353306869</v>
      </c>
      <c r="H517" s="636">
        <f>H516/(D516+E516+G516+H516+I516+J516+L516+M516+N516)</f>
        <v>2.7874789646506703E-2</v>
      </c>
      <c r="I517" s="636">
        <f>I516/(D516+E516+G516+H516+I516+J516+L516+M516+N516)</f>
        <v>0</v>
      </c>
      <c r="J517" s="636">
        <f>J516/(D516+E516+G516+H516+I516+J516+L516+M516+N516)</f>
        <v>2.7733103984847091E-2</v>
      </c>
      <c r="K517" s="637">
        <f t="shared" si="17"/>
        <v>0.25763424716442246</v>
      </c>
      <c r="L517" s="636">
        <f>L516/(D516+E516+G516+H516+I516+J516+L516+M516+N516)</f>
        <v>5.0614095486193104E-2</v>
      </c>
      <c r="M517" s="636">
        <f>M516/(D516+E516+G516+H516+I516+J516+L516+M516+N516)</f>
        <v>0</v>
      </c>
      <c r="N517" s="636">
        <f>N516/(D516+E516+G516+H516+I516+J516+L516+M516+N516)</f>
        <v>0.35381644001103657</v>
      </c>
      <c r="O517" s="1503"/>
    </row>
    <row r="518" spans="1:15" ht="12" customHeight="1">
      <c r="A518" s="1517"/>
      <c r="B518" s="1502" t="s">
        <v>14939</v>
      </c>
      <c r="C518" s="638" t="s">
        <v>6218</v>
      </c>
      <c r="D518" s="639">
        <v>62149</v>
      </c>
      <c r="E518" s="639">
        <v>31176</v>
      </c>
      <c r="F518" s="640">
        <f t="shared" si="16"/>
        <v>93325</v>
      </c>
      <c r="G518" s="639">
        <v>85689</v>
      </c>
      <c r="H518" s="639">
        <v>10030</v>
      </c>
      <c r="I518" s="639"/>
      <c r="J518" s="639"/>
      <c r="K518" s="640">
        <f t="shared" si="17"/>
        <v>95719</v>
      </c>
      <c r="L518" s="639">
        <v>18236</v>
      </c>
      <c r="M518" s="639">
        <v>7122</v>
      </c>
      <c r="N518" s="639">
        <v>187015</v>
      </c>
      <c r="O518" s="1503">
        <f>1-N519</f>
        <v>0.53411290503391728</v>
      </c>
    </row>
    <row r="519" spans="1:15" ht="12" customHeight="1">
      <c r="A519" s="1517"/>
      <c r="B519" s="1502"/>
      <c r="C519" s="635" t="s">
        <v>6219</v>
      </c>
      <c r="D519" s="636">
        <f>D518/(D518+E518+G518+H518+I518+J518+L518+M518+N518)</f>
        <v>0.15482403585299079</v>
      </c>
      <c r="E519" s="636">
        <f>E518/(D518+E518+G518+H518+I518+J518+L518+M518+N518)</f>
        <v>7.7664872190265979E-2</v>
      </c>
      <c r="F519" s="637">
        <f t="shared" si="16"/>
        <v>0.23248890804325678</v>
      </c>
      <c r="G519" s="636">
        <f>G518/(D518+E518+G518+H518+I518+J518+L518+M518+N518)</f>
        <v>0.21346629564766814</v>
      </c>
      <c r="H519" s="636">
        <f>H518/(D518+E518+G518+H518+I518+J518+L518+M518+N518)</f>
        <v>2.4986485375557088E-2</v>
      </c>
      <c r="I519" s="636">
        <f>I518/(D518+E518+G518+H518+I518+J518+L518+M518+N518)</f>
        <v>0</v>
      </c>
      <c r="J519" s="636">
        <f>J518/(D518+E518+G518+H518+I518+J518+L518+M518+N518)</f>
        <v>0</v>
      </c>
      <c r="K519" s="637">
        <f t="shared" si="17"/>
        <v>0.23845278102322523</v>
      </c>
      <c r="L519" s="636">
        <f>L518/(D518+E518+G518+H518+I518+J518+L518+M518+N518)</f>
        <v>4.5429067528281061E-2</v>
      </c>
      <c r="M519" s="636">
        <f>M518/(D518+E518+G518+H518+I518+J518+L518+M518+N518)</f>
        <v>1.7742148439154296E-2</v>
      </c>
      <c r="N519" s="636">
        <f>N518/(D518+E518+G518+H518+I518+J518+L518+M518+N518)</f>
        <v>0.46588709496608266</v>
      </c>
      <c r="O519" s="1503"/>
    </row>
    <row r="520" spans="1:15" ht="12" customHeight="1">
      <c r="A520" s="1517"/>
      <c r="B520" s="1502" t="s">
        <v>14940</v>
      </c>
      <c r="C520" s="638" t="s">
        <v>6218</v>
      </c>
      <c r="D520" s="639">
        <v>71826</v>
      </c>
      <c r="E520" s="639">
        <v>30463</v>
      </c>
      <c r="F520" s="640">
        <f t="shared" si="16"/>
        <v>102289</v>
      </c>
      <c r="G520" s="639">
        <v>89843</v>
      </c>
      <c r="H520" s="639">
        <v>6358</v>
      </c>
      <c r="I520" s="639"/>
      <c r="J520" s="639"/>
      <c r="K520" s="640">
        <f t="shared" si="17"/>
        <v>96201</v>
      </c>
      <c r="L520" s="639">
        <v>16314</v>
      </c>
      <c r="M520" s="639"/>
      <c r="N520" s="639">
        <v>185531</v>
      </c>
      <c r="O520" s="1503">
        <f>1-N521</f>
        <v>0.53656063047197966</v>
      </c>
    </row>
    <row r="521" spans="1:15" ht="12" customHeight="1" thickBot="1">
      <c r="A521" s="1519"/>
      <c r="B521" s="1514"/>
      <c r="C521" s="641" t="s">
        <v>6219</v>
      </c>
      <c r="D521" s="642">
        <f>D520/(D520+E520+G520+H520+I520+J520+L520+M520+N520)</f>
        <v>0.1794147401551201</v>
      </c>
      <c r="E521" s="642">
        <f>E520/(D520+E520+G520+H520+I520+J520+L520+M520+N520)</f>
        <v>7.6093771466396898E-2</v>
      </c>
      <c r="F521" s="643">
        <f t="shared" si="16"/>
        <v>0.255508511621517</v>
      </c>
      <c r="G521" s="642">
        <f>G520/(D520+E520+G520+H520+I520+J520+L520+M520+N520)</f>
        <v>0.22441954862802402</v>
      </c>
      <c r="H521" s="642">
        <f>H520/(D520+E520+G520+H520+I520+J520+L520+M520+N520)</f>
        <v>1.5881699077022995E-2</v>
      </c>
      <c r="I521" s="642">
        <f>I520/(D520+E520+G520+H520+I520+J520+L520+M520+N520)</f>
        <v>0</v>
      </c>
      <c r="J521" s="642">
        <f>J520/(D520+E520+G520+H520+I520+J520+L520+M520+N520)</f>
        <v>0</v>
      </c>
      <c r="K521" s="643">
        <f t="shared" si="17"/>
        <v>0.24030124770504702</v>
      </c>
      <c r="L521" s="642">
        <f>L520/(D520+E520+G520+H520+I520+J520+L520+M520+N520)</f>
        <v>4.0750871145415715E-2</v>
      </c>
      <c r="M521" s="642">
        <f>M520/(D520+E520+G520+H520+I520+J520+L520+M520+N520)</f>
        <v>0</v>
      </c>
      <c r="N521" s="642">
        <f>N520/(D520+E520+G520+H520+I520+J520+L520+M520+N520)</f>
        <v>0.46343936952802028</v>
      </c>
      <c r="O521" s="1515"/>
    </row>
    <row r="522" spans="1:15" ht="12" customHeight="1">
      <c r="A522" s="1535" t="s">
        <v>715</v>
      </c>
      <c r="B522" s="1536" t="s">
        <v>14937</v>
      </c>
      <c r="C522" s="632" t="s">
        <v>6218</v>
      </c>
      <c r="D522" s="633">
        <v>50907</v>
      </c>
      <c r="E522" s="633">
        <v>24288</v>
      </c>
      <c r="F522" s="634">
        <f t="shared" si="16"/>
        <v>75195</v>
      </c>
      <c r="G522" s="633">
        <v>74684</v>
      </c>
      <c r="H522" s="633">
        <v>9816</v>
      </c>
      <c r="I522" s="633">
        <v>3522</v>
      </c>
      <c r="J522" s="633">
        <v>5432</v>
      </c>
      <c r="K522" s="634">
        <f t="shared" si="17"/>
        <v>93454</v>
      </c>
      <c r="L522" s="633">
        <v>15105</v>
      </c>
      <c r="M522" s="633">
        <v>3244</v>
      </c>
      <c r="N522" s="633">
        <v>139695</v>
      </c>
      <c r="O522" s="1537">
        <f>1-N523</f>
        <v>0.57239671495869215</v>
      </c>
    </row>
    <row r="523" spans="1:15" ht="12" customHeight="1">
      <c r="A523" s="1517"/>
      <c r="B523" s="1502"/>
      <c r="C523" s="635" t="s">
        <v>6219</v>
      </c>
      <c r="D523" s="636">
        <f>D522/(D522+E522+G522+H522+I522+J522+L522+M522+N522)</f>
        <v>0.15582519368336634</v>
      </c>
      <c r="E523" s="636">
        <f>E522/(D522+E522+G522+H522+I522+J522+L522+M522+N522)</f>
        <v>7.4345027288616528E-2</v>
      </c>
      <c r="F523" s="637">
        <f t="shared" si="16"/>
        <v>0.23017022097198286</v>
      </c>
      <c r="G523" s="636">
        <f>G522/(D522+E522+G522+H522+I522+J522+L522+M522+N522)</f>
        <v>0.22860606134811581</v>
      </c>
      <c r="H523" s="636">
        <f>H522/(D522+E522+G522+H522+I522+J522+L522+M522+N522)</f>
        <v>3.004655747138751E-2</v>
      </c>
      <c r="I523" s="636">
        <f>I522/(D522+E522+G522+H522+I522+J522+L522+M522+N522)</f>
        <v>1.0780763591506398E-2</v>
      </c>
      <c r="J523" s="636">
        <f>J522/(D522+E522+G522+H522+I522+J522+L522+M522+N522)</f>
        <v>1.6627231070148428E-2</v>
      </c>
      <c r="K523" s="637">
        <f t="shared" si="17"/>
        <v>0.28606061348115808</v>
      </c>
      <c r="L523" s="636">
        <f>L522/(D522+E522+G522+H522+I522+J522+L522+M522+N522)</f>
        <v>4.623606872507216E-2</v>
      </c>
      <c r="M523" s="636">
        <f>M522/(D522+E522+G522+H522+I522+J522+L522+M522+N522)</f>
        <v>9.9298117804789213E-3</v>
      </c>
      <c r="N523" s="636">
        <f>N522/(D522+E522+G522+H522+I522+J522+L522+M522+N522)</f>
        <v>0.4276032850413079</v>
      </c>
      <c r="O523" s="1503"/>
    </row>
    <row r="524" spans="1:15" ht="12" customHeight="1">
      <c r="A524" s="1517"/>
      <c r="B524" s="1502" t="s">
        <v>14938</v>
      </c>
      <c r="C524" s="638" t="s">
        <v>6218</v>
      </c>
      <c r="D524" s="639">
        <v>78488</v>
      </c>
      <c r="E524" s="639">
        <v>30714</v>
      </c>
      <c r="F524" s="640">
        <f t="shared" si="16"/>
        <v>109202</v>
      </c>
      <c r="G524" s="639">
        <v>68568</v>
      </c>
      <c r="H524" s="639">
        <v>10219</v>
      </c>
      <c r="I524" s="639"/>
      <c r="J524" s="639">
        <v>9466</v>
      </c>
      <c r="K524" s="640">
        <f t="shared" si="17"/>
        <v>88253</v>
      </c>
      <c r="L524" s="639">
        <v>16537</v>
      </c>
      <c r="M524" s="639"/>
      <c r="N524" s="639">
        <v>110169</v>
      </c>
      <c r="O524" s="1503">
        <f>1-N525</f>
        <v>0.66014110272364657</v>
      </c>
    </row>
    <row r="525" spans="1:15" ht="12" customHeight="1">
      <c r="A525" s="1517"/>
      <c r="B525" s="1502"/>
      <c r="C525" s="635" t="s">
        <v>6219</v>
      </c>
      <c r="D525" s="636">
        <f>D524/(D524+E524+G524+H524+I524+J524+L524+M524+N524)</f>
        <v>0.24212659758576757</v>
      </c>
      <c r="E525" s="636">
        <f>E524/(D524+E524+G524+H524+I524+J524+L524+M524+N524)</f>
        <v>9.474921412507982E-2</v>
      </c>
      <c r="F525" s="637">
        <f t="shared" si="16"/>
        <v>0.33687581171084741</v>
      </c>
      <c r="G525" s="636">
        <f>G524/(D524+E524+G524+H524+I524+J524+L524+M524+N524)</f>
        <v>0.21152452022297563</v>
      </c>
      <c r="H525" s="636">
        <f>H524/(D524+E524+G524+H524+I524+J524+L524+M524+N524)</f>
        <v>3.1524458525239003E-2</v>
      </c>
      <c r="I525" s="636">
        <f>I524/(D524+E524+G524+H524+I524+J524+L524+M524+N524)</f>
        <v>0</v>
      </c>
      <c r="J525" s="636">
        <f>J524/(D524+E524+G524+H524+I524+J524+L524+M524+N524)</f>
        <v>2.9201538741551267E-2</v>
      </c>
      <c r="K525" s="637">
        <f t="shared" si="17"/>
        <v>0.27225051748976592</v>
      </c>
      <c r="L525" s="636">
        <f>L524/(D524+E524+G524+H524+I524+J524+L524+M524+N524)</f>
        <v>5.101477352303331E-2</v>
      </c>
      <c r="M525" s="636">
        <f>M524/(D524+E524+G524+H524+I524+J524+L524+M524+N524)</f>
        <v>0</v>
      </c>
      <c r="N525" s="636">
        <f>N524/(D524+E524+G524+H524+I524+J524+L524+M524+N524)</f>
        <v>0.33985889727635343</v>
      </c>
      <c r="O525" s="1503"/>
    </row>
    <row r="526" spans="1:15" ht="12" customHeight="1">
      <c r="A526" s="1517"/>
      <c r="B526" s="1502" t="s">
        <v>14939</v>
      </c>
      <c r="C526" s="638" t="s">
        <v>6218</v>
      </c>
      <c r="D526" s="639">
        <v>47928</v>
      </c>
      <c r="E526" s="639">
        <v>25399</v>
      </c>
      <c r="F526" s="640">
        <f t="shared" si="16"/>
        <v>73327</v>
      </c>
      <c r="G526" s="639">
        <v>69482</v>
      </c>
      <c r="H526" s="639">
        <v>8656</v>
      </c>
      <c r="I526" s="639"/>
      <c r="J526" s="639"/>
      <c r="K526" s="640">
        <f t="shared" si="17"/>
        <v>78138</v>
      </c>
      <c r="L526" s="639">
        <v>14663</v>
      </c>
      <c r="M526" s="639">
        <v>6045</v>
      </c>
      <c r="N526" s="639">
        <v>150115</v>
      </c>
      <c r="O526" s="1503">
        <f>1-N527</f>
        <v>0.53422094524152319</v>
      </c>
    </row>
    <row r="527" spans="1:15" ht="12" customHeight="1">
      <c r="A527" s="1517"/>
      <c r="B527" s="1502"/>
      <c r="C527" s="635" t="s">
        <v>6219</v>
      </c>
      <c r="D527" s="636">
        <f>D526/(D526+E526+G526+H526+I526+J526+L526+M526+N526)</f>
        <v>0.14871171126445912</v>
      </c>
      <c r="E527" s="636">
        <f>E526/(D526+E526+G526+H526+I526+J526+L526+M526+N526)</f>
        <v>7.8808394975922152E-2</v>
      </c>
      <c r="F527" s="637">
        <f t="shared" si="16"/>
        <v>0.22752010624038127</v>
      </c>
      <c r="G527" s="636">
        <f>G526/(D526+E526+G526+H526+I526+J526+L526+M526+N526)</f>
        <v>0.21558978305118404</v>
      </c>
      <c r="H527" s="636">
        <f>H526/(D526+E526+G526+H526+I526+J526+L526+M526+N526)</f>
        <v>2.6857965546343641E-2</v>
      </c>
      <c r="I527" s="636">
        <f>I526/(D526+E526+G526+H526+I526+J526+L526+M526+N526)</f>
        <v>0</v>
      </c>
      <c r="J527" s="636">
        <f>J526/(D526+E526+G526+H526+I526+J526+L526+M526+N526)</f>
        <v>0</v>
      </c>
      <c r="K527" s="637">
        <f t="shared" si="17"/>
        <v>0.24244774859752768</v>
      </c>
      <c r="L527" s="636">
        <f>L526/(D526+E526+G526+H526+I526+J526+L526+M526+N526)</f>
        <v>4.5496574492379489E-2</v>
      </c>
      <c r="M527" s="636">
        <f>M526/(D526+E526+G526+H526+I526+J526+L526+M526+N526)</f>
        <v>1.8756515911234672E-2</v>
      </c>
      <c r="N527" s="636">
        <f>N526/(D526+E526+G526+H526+I526+J526+L526+M526+N526)</f>
        <v>0.46577905475847686</v>
      </c>
      <c r="O527" s="1503"/>
    </row>
    <row r="528" spans="1:15" ht="12" customHeight="1">
      <c r="A528" s="1517"/>
      <c r="B528" s="1502" t="s">
        <v>14940</v>
      </c>
      <c r="C528" s="638" t="s">
        <v>6218</v>
      </c>
      <c r="D528" s="639">
        <v>56450</v>
      </c>
      <c r="E528" s="639">
        <v>25579</v>
      </c>
      <c r="F528" s="640">
        <f t="shared" si="16"/>
        <v>82029</v>
      </c>
      <c r="G528" s="639">
        <v>74052</v>
      </c>
      <c r="H528" s="639">
        <v>5992</v>
      </c>
      <c r="I528" s="639"/>
      <c r="J528" s="639"/>
      <c r="K528" s="640">
        <f t="shared" si="17"/>
        <v>80044</v>
      </c>
      <c r="L528" s="639">
        <v>12838</v>
      </c>
      <c r="M528" s="639"/>
      <c r="N528" s="639">
        <v>146259</v>
      </c>
      <c r="O528" s="1503">
        <f>1-N529</f>
        <v>0.54460566055360093</v>
      </c>
    </row>
    <row r="529" spans="1:15" ht="12" customHeight="1" thickBot="1">
      <c r="A529" s="1519"/>
      <c r="B529" s="1514"/>
      <c r="C529" s="641" t="s">
        <v>6219</v>
      </c>
      <c r="D529" s="642">
        <f>D528/(D528+E528+G528+H528+I528+J528+L528+M528+N528)</f>
        <v>0.17576361428526949</v>
      </c>
      <c r="E529" s="642">
        <f>E528/(D528+E528+G528+H528+I528+J528+L528+M528+N528)</f>
        <v>7.9643179624497934E-2</v>
      </c>
      <c r="F529" s="643">
        <f t="shared" si="16"/>
        <v>0.25540679390976739</v>
      </c>
      <c r="G529" s="642">
        <f>G528/(D528+E528+G528+H528+I528+J528+L528+M528+N528)</f>
        <v>0.23056948033751595</v>
      </c>
      <c r="H529" s="642">
        <f>H528/(D528+E528+G528+H528+I528+J528+L528+M528+N528)</f>
        <v>1.8656786125727808E-2</v>
      </c>
      <c r="I529" s="642">
        <f>I528/(D528+E528+G528+H528+I528+J528+L528+M528+N528)</f>
        <v>0</v>
      </c>
      <c r="J529" s="642">
        <f>J528/(D528+E528+G528+H528+I528+J528+L528+M528+N528)</f>
        <v>0</v>
      </c>
      <c r="K529" s="643">
        <f t="shared" si="17"/>
        <v>0.24922626646324375</v>
      </c>
      <c r="L529" s="642">
        <f>L528/(D528+E528+G528+H528+I528+J528+L528+M528+N528)</f>
        <v>3.9972600180589721E-2</v>
      </c>
      <c r="M529" s="642">
        <f>M528/(D528+E528+G528+H528+I528+J528+L528+M528+N528)</f>
        <v>0</v>
      </c>
      <c r="N529" s="642">
        <f>N528/(D528+E528+G528+H528+I528+J528+L528+M528+N528)</f>
        <v>0.45539433944639912</v>
      </c>
      <c r="O529" s="1515"/>
    </row>
    <row r="530" spans="1:15" ht="12" customHeight="1">
      <c r="A530" s="1535" t="s">
        <v>731</v>
      </c>
      <c r="B530" s="1536" t="s">
        <v>14937</v>
      </c>
      <c r="C530" s="632" t="s">
        <v>6218</v>
      </c>
      <c r="D530" s="633">
        <v>63511</v>
      </c>
      <c r="E530" s="633">
        <v>23824</v>
      </c>
      <c r="F530" s="634">
        <f t="shared" si="16"/>
        <v>87335</v>
      </c>
      <c r="G530" s="633">
        <v>71661</v>
      </c>
      <c r="H530" s="633">
        <v>9318</v>
      </c>
      <c r="I530" s="633">
        <v>4069</v>
      </c>
      <c r="J530" s="633">
        <v>4609</v>
      </c>
      <c r="K530" s="634">
        <f t="shared" si="17"/>
        <v>89657</v>
      </c>
      <c r="L530" s="633">
        <v>14693</v>
      </c>
      <c r="M530" s="633">
        <v>3723</v>
      </c>
      <c r="N530" s="633">
        <v>170133</v>
      </c>
      <c r="O530" s="1537">
        <f>1-N531</f>
        <v>0.53457204526988766</v>
      </c>
    </row>
    <row r="531" spans="1:15" ht="12" customHeight="1">
      <c r="A531" s="1517"/>
      <c r="B531" s="1502"/>
      <c r="C531" s="635" t="s">
        <v>6219</v>
      </c>
      <c r="D531" s="636">
        <f>D530/(D530+E530+G530+H530+I530+J530+L530+M530+N530)</f>
        <v>0.1737452159949226</v>
      </c>
      <c r="E531" s="636">
        <f>E530/(D530+E530+G530+H530+I530+J530+L530+M530+N530)</f>
        <v>6.5174631573476027E-2</v>
      </c>
      <c r="F531" s="637">
        <f t="shared" si="16"/>
        <v>0.23891984756839862</v>
      </c>
      <c r="G531" s="636">
        <f>G530/(D530+E530+G530+H530+I530+J530+L530+M530+N530)</f>
        <v>0.19604093658440502</v>
      </c>
      <c r="H531" s="636">
        <f>H530/(D530+E530+G530+H530+I530+J530+L530+M530+N530)</f>
        <v>2.5490984595435258E-2</v>
      </c>
      <c r="I531" s="636">
        <f>I530/(D530+E530+G530+H530+I530+J530+L530+M530+N530)</f>
        <v>1.1131446267313379E-2</v>
      </c>
      <c r="J531" s="636">
        <f>J530/(D530+E530+G530+H530+I530+J530+L530+M530+N530)</f>
        <v>1.2608708735818965E-2</v>
      </c>
      <c r="K531" s="637">
        <f t="shared" si="17"/>
        <v>0.24527207618297261</v>
      </c>
      <c r="L531" s="636">
        <f>L530/(D530+E530+G530+H530+I530+J530+L530+M530+N530)</f>
        <v>4.0195217499541774E-2</v>
      </c>
      <c r="M531" s="636">
        <f>M530/(D530+E530+G530+H530+I530+J530+L530+M530+N530)</f>
        <v>1.0184904018974615E-2</v>
      </c>
      <c r="N531" s="636">
        <f>N530/(D530+E530+G530+H530+I530+J530+L530+M530+N530)</f>
        <v>0.46542795473011234</v>
      </c>
      <c r="O531" s="1503"/>
    </row>
    <row r="532" spans="1:15" ht="12" customHeight="1">
      <c r="A532" s="1517"/>
      <c r="B532" s="1502" t="s">
        <v>14938</v>
      </c>
      <c r="C532" s="638" t="s">
        <v>6218</v>
      </c>
      <c r="D532" s="639">
        <v>100785</v>
      </c>
      <c r="E532" s="639">
        <v>30255</v>
      </c>
      <c r="F532" s="640">
        <f t="shared" si="16"/>
        <v>131040</v>
      </c>
      <c r="G532" s="639">
        <v>67590</v>
      </c>
      <c r="H532" s="639">
        <v>10794</v>
      </c>
      <c r="I532" s="639"/>
      <c r="J532" s="639">
        <v>11735</v>
      </c>
      <c r="K532" s="640">
        <f t="shared" si="17"/>
        <v>90119</v>
      </c>
      <c r="L532" s="639">
        <v>18778</v>
      </c>
      <c r="M532" s="639"/>
      <c r="N532" s="639">
        <v>123720</v>
      </c>
      <c r="O532" s="1503">
        <f>1-N533</f>
        <v>0.65978930695683013</v>
      </c>
    </row>
    <row r="533" spans="1:15" ht="12" customHeight="1">
      <c r="A533" s="1517"/>
      <c r="B533" s="1502"/>
      <c r="C533" s="635" t="s">
        <v>6219</v>
      </c>
      <c r="D533" s="636">
        <f>D532/(D532+E532+G532+H532+I532+J532+L532+M532+N532)</f>
        <v>0.2771430221334939</v>
      </c>
      <c r="E533" s="636">
        <f>E532/(D532+E532+G532+H532+I532+J532+L532+M532+N532)</f>
        <v>8.319652859700212E-2</v>
      </c>
      <c r="F533" s="637">
        <f t="shared" si="16"/>
        <v>0.36033955073049601</v>
      </c>
      <c r="G533" s="636">
        <f>G532/(D532+E532+G532+H532+I532+J532+L532+M532+N532)</f>
        <v>0.18586195233420502</v>
      </c>
      <c r="H533" s="636">
        <f>H532/(D532+E532+G532+H532+I532+J532+L532+M532+N532)</f>
        <v>2.9681815556967143E-2</v>
      </c>
      <c r="I533" s="636">
        <f>I532/(D532+E532+G532+H532+I532+J532+L532+M532+N532)</f>
        <v>0</v>
      </c>
      <c r="J533" s="636">
        <f>J532/(D532+E532+G532+H532+I532+J532+L532+M532+N532)</f>
        <v>3.2269418710488176E-2</v>
      </c>
      <c r="K533" s="637">
        <f t="shared" si="17"/>
        <v>0.24781318660166035</v>
      </c>
      <c r="L533" s="636">
        <f>L532/(D532+E532+G532+H532+I532+J532+L532+M532+N532)</f>
        <v>5.1636569624673799E-2</v>
      </c>
      <c r="M533" s="636">
        <f>M532/(D532+E532+G532+H532+I532+J532+L532+M532+N532)</f>
        <v>0</v>
      </c>
      <c r="N533" s="636">
        <f>N532/(D532+E532+G532+H532+I532+J532+L532+M532+N532)</f>
        <v>0.34021069304316981</v>
      </c>
      <c r="O533" s="1503"/>
    </row>
    <row r="534" spans="1:15" ht="12" customHeight="1">
      <c r="A534" s="1517"/>
      <c r="B534" s="1502" t="s">
        <v>14939</v>
      </c>
      <c r="C534" s="638" t="s">
        <v>6218</v>
      </c>
      <c r="D534" s="639">
        <v>64074</v>
      </c>
      <c r="E534" s="639">
        <v>25765</v>
      </c>
      <c r="F534" s="640">
        <f t="shared" si="16"/>
        <v>89839</v>
      </c>
      <c r="G534" s="639">
        <v>66073</v>
      </c>
      <c r="H534" s="639">
        <v>8411</v>
      </c>
      <c r="I534" s="639"/>
      <c r="J534" s="639"/>
      <c r="K534" s="640">
        <f t="shared" si="17"/>
        <v>74484</v>
      </c>
      <c r="L534" s="639">
        <v>15360</v>
      </c>
      <c r="M534" s="639">
        <v>6316</v>
      </c>
      <c r="N534" s="639">
        <v>177403</v>
      </c>
      <c r="O534" s="1503">
        <f>1-N535</f>
        <v>0.51182712258050311</v>
      </c>
    </row>
    <row r="535" spans="1:15" ht="12" customHeight="1">
      <c r="A535" s="1517"/>
      <c r="B535" s="1502"/>
      <c r="C535" s="635" t="s">
        <v>6219</v>
      </c>
      <c r="D535" s="636">
        <f>D534/(D534+E534+G534+H534+I534+J534+L534+M534+N534)</f>
        <v>0.17631713639440619</v>
      </c>
      <c r="E535" s="636">
        <f>E534/(D534+E534+G534+H534+I534+J534+L534+M534+N534)</f>
        <v>7.0899444692104061E-2</v>
      </c>
      <c r="F535" s="637">
        <f t="shared" si="16"/>
        <v>0.24721658108651023</v>
      </c>
      <c r="G535" s="636">
        <f>G534/(D534+E534+G534+H534+I534+J534+L534+M534+N534)</f>
        <v>0.1818179316569529</v>
      </c>
      <c r="H535" s="636">
        <f>H534/(D534+E534+G534+H534+I534+J534+L534+M534+N534)</f>
        <v>2.314516706017028E-2</v>
      </c>
      <c r="I535" s="636">
        <f>I534/(D534+E534+G534+H534+I534+J534+L534+M534+N534)</f>
        <v>0</v>
      </c>
      <c r="J535" s="636">
        <f>J534/(D534+E534+G534+H534+I534+J534+L534+M534+N534)</f>
        <v>0</v>
      </c>
      <c r="K535" s="637">
        <f t="shared" si="17"/>
        <v>0.20496309871712318</v>
      </c>
      <c r="L535" s="636">
        <f>L534/(D534+E534+G534+H534+I534+J534+L534+M534+N534)</f>
        <v>4.2267241236977234E-2</v>
      </c>
      <c r="M535" s="636">
        <f>M534/(D534+E534+G534+H534+I534+J534+L534+M534+N534)</f>
        <v>1.7380201539892462E-2</v>
      </c>
      <c r="N535" s="636">
        <f>N534/(D534+E534+G534+H534+I534+J534+L534+M534+N534)</f>
        <v>0.48817287741949689</v>
      </c>
      <c r="O535" s="1503"/>
    </row>
    <row r="536" spans="1:15" ht="12" customHeight="1">
      <c r="A536" s="1517"/>
      <c r="B536" s="1502" t="s">
        <v>14940</v>
      </c>
      <c r="C536" s="638" t="s">
        <v>6218</v>
      </c>
      <c r="D536" s="639">
        <v>79504</v>
      </c>
      <c r="E536" s="639">
        <v>24578</v>
      </c>
      <c r="F536" s="640">
        <f t="shared" si="16"/>
        <v>104082</v>
      </c>
      <c r="G536" s="639">
        <v>67057</v>
      </c>
      <c r="H536" s="639">
        <v>5842</v>
      </c>
      <c r="I536" s="639"/>
      <c r="J536" s="639"/>
      <c r="K536" s="640">
        <f t="shared" si="17"/>
        <v>72899</v>
      </c>
      <c r="L536" s="639">
        <v>14022</v>
      </c>
      <c r="M536" s="639"/>
      <c r="N536" s="639">
        <v>171922</v>
      </c>
      <c r="O536" s="1503">
        <f>1-N537</f>
        <v>0.52628780050974722</v>
      </c>
    </row>
    <row r="537" spans="1:15" ht="12" customHeight="1" thickBot="1">
      <c r="A537" s="1519"/>
      <c r="B537" s="1514"/>
      <c r="C537" s="641" t="s">
        <v>6219</v>
      </c>
      <c r="D537" s="642">
        <f>D536/(D536+E536+G536+H536+I536+J536+L536+M536+N536)</f>
        <v>0.21906454501618791</v>
      </c>
      <c r="E537" s="642">
        <f>E536/(D536+E536+G536+H536+I536+J536+L536+M536+N536)</f>
        <v>6.7721981125576911E-2</v>
      </c>
      <c r="F537" s="643">
        <f t="shared" si="16"/>
        <v>0.28678652614176481</v>
      </c>
      <c r="G537" s="642">
        <f>G536/(D536+E536+G536+H536+I536+J536+L536+M536+N536)</f>
        <v>0.1847682027967211</v>
      </c>
      <c r="H537" s="642">
        <f>H536/(D536+E536+G536+H536+I536+J536+L536+M536+N536)</f>
        <v>1.6096989736171387E-2</v>
      </c>
      <c r="I537" s="642">
        <f>I536/(D536+E536+G536+H536+I536+J536+L536+M536+N536)</f>
        <v>0</v>
      </c>
      <c r="J537" s="642">
        <f>J536/(D536+E536+G536+H536+I536+J536+L536+M536+N536)</f>
        <v>0</v>
      </c>
      <c r="K537" s="643">
        <f t="shared" si="17"/>
        <v>0.20086519253289248</v>
      </c>
      <c r="L537" s="642">
        <f>L536/(D536+E536+G536+H536+I536+J536+L536+M536+N536)</f>
        <v>3.8636081835089896E-2</v>
      </c>
      <c r="M537" s="642">
        <f>M536/(D536+E536+G536+H536+I536+J536+L536+M536+N536)</f>
        <v>0</v>
      </c>
      <c r="N537" s="642">
        <f>N536/(D536+E536+G536+H536+I536+J536+L536+M536+N536)</f>
        <v>0.47371219949025278</v>
      </c>
      <c r="O537" s="1515"/>
    </row>
    <row r="538" spans="1:15" ht="12" customHeight="1">
      <c r="A538" s="1535" t="s">
        <v>15005</v>
      </c>
      <c r="B538" s="1536" t="s">
        <v>14937</v>
      </c>
      <c r="C538" s="632" t="s">
        <v>6218</v>
      </c>
      <c r="D538" s="633">
        <v>59881</v>
      </c>
      <c r="E538" s="633">
        <v>26672</v>
      </c>
      <c r="F538" s="634">
        <f t="shared" si="16"/>
        <v>86553</v>
      </c>
      <c r="G538" s="633">
        <v>75417</v>
      </c>
      <c r="H538" s="633">
        <v>9245</v>
      </c>
      <c r="I538" s="633">
        <v>3690</v>
      </c>
      <c r="J538" s="633">
        <v>4824</v>
      </c>
      <c r="K538" s="634">
        <f t="shared" si="17"/>
        <v>93176</v>
      </c>
      <c r="L538" s="633">
        <v>12618</v>
      </c>
      <c r="M538" s="633">
        <v>3081</v>
      </c>
      <c r="N538" s="633">
        <v>175331</v>
      </c>
      <c r="O538" s="1537">
        <f>1-N539</f>
        <v>0.52710251133485642</v>
      </c>
    </row>
    <row r="539" spans="1:15" ht="12" customHeight="1">
      <c r="A539" s="1517"/>
      <c r="B539" s="1502"/>
      <c r="C539" s="635" t="s">
        <v>6219</v>
      </c>
      <c r="D539" s="636">
        <f>D538/(D538+E538+G538+H538+I538+J538+L538+M538+N538)</f>
        <v>0.16150922836667486</v>
      </c>
      <c r="E539" s="636">
        <f>E538/(D538+E538+G538+H538+I538+J538+L538+M538+N538)</f>
        <v>7.193891449701828E-2</v>
      </c>
      <c r="F539" s="637">
        <f t="shared" si="16"/>
        <v>0.23344814286369314</v>
      </c>
      <c r="G539" s="636">
        <f>G538/(D538+E538+G538+H538+I538+J538+L538+M538+N538)</f>
        <v>0.20341245930644974</v>
      </c>
      <c r="H539" s="636">
        <f>H538/(D538+E538+G538+H538+I538+J538+L538+M538+N538)</f>
        <v>2.4935335352614503E-2</v>
      </c>
      <c r="I539" s="636">
        <f>I538/(D538+E538+G538+H538+I538+J538+L538+M538+N538)</f>
        <v>9.9525567821684702E-3</v>
      </c>
      <c r="J539" s="636">
        <f>J538/(D538+E538+G538+H538+I538+J538+L538+M538+N538)</f>
        <v>1.3011147403030001E-2</v>
      </c>
      <c r="K539" s="637">
        <f t="shared" si="17"/>
        <v>0.25131149884426274</v>
      </c>
      <c r="L539" s="636">
        <f>L538/(D538+E538+G538+H538+I538+J538+L538+M538+N538)</f>
        <v>3.4032889289268772E-2</v>
      </c>
      <c r="M539" s="636">
        <f>M538/(D538+E538+G538+H538+I538+J538+L538+M538+N538)</f>
        <v>8.3099803376317227E-3</v>
      </c>
      <c r="N539" s="636">
        <f>N538/(D538+E538+G538+H538+I538+J538+L538+M538+N538)</f>
        <v>0.47289748866514364</v>
      </c>
      <c r="O539" s="1503"/>
    </row>
    <row r="540" spans="1:15" ht="12" customHeight="1">
      <c r="A540" s="1517"/>
      <c r="B540" s="1502" t="s">
        <v>14938</v>
      </c>
      <c r="C540" s="638" t="s">
        <v>6218</v>
      </c>
      <c r="D540" s="639">
        <v>93478</v>
      </c>
      <c r="E540" s="639">
        <v>32440</v>
      </c>
      <c r="F540" s="640">
        <f t="shared" si="16"/>
        <v>125918</v>
      </c>
      <c r="G540" s="639">
        <v>73689</v>
      </c>
      <c r="H540" s="639">
        <v>9231</v>
      </c>
      <c r="I540" s="639"/>
      <c r="J540" s="639">
        <v>9274</v>
      </c>
      <c r="K540" s="640">
        <f t="shared" si="17"/>
        <v>92194</v>
      </c>
      <c r="L540" s="639">
        <v>14391</v>
      </c>
      <c r="M540" s="639"/>
      <c r="N540" s="639">
        <v>138745</v>
      </c>
      <c r="O540" s="1503">
        <f>1-N541</f>
        <v>0.62627408093780979</v>
      </c>
    </row>
    <row r="541" spans="1:15" ht="12" customHeight="1">
      <c r="A541" s="1517"/>
      <c r="B541" s="1502"/>
      <c r="C541" s="635" t="s">
        <v>6219</v>
      </c>
      <c r="D541" s="636">
        <f>D540/(D540+E540+G540+H540+I540+J540+L540+M540+N540)</f>
        <v>0.25179394905831143</v>
      </c>
      <c r="E541" s="636">
        <f>E540/(D540+E540+G540+H540+I540+J540+L540+M540+N540)</f>
        <v>8.7380942119553509E-2</v>
      </c>
      <c r="F541" s="637">
        <f t="shared" si="16"/>
        <v>0.33917489117786492</v>
      </c>
      <c r="G541" s="636">
        <f>G540/(D540+E540+G540+H540+I540+J540+L540+M540+N540)</f>
        <v>0.19848995819506099</v>
      </c>
      <c r="H541" s="636">
        <f>H540/(D540+E540+G540+H540+I540+J540+L540+M540+N540)</f>
        <v>2.4864780416325474E-2</v>
      </c>
      <c r="I541" s="636">
        <f>I540/(D540+E540+G540+H540+I540+J540+L540+M540+N540)</f>
        <v>0</v>
      </c>
      <c r="J541" s="636">
        <f>J540/(D540+E540+G540+H540+I540+J540+L540+M540+N540)</f>
        <v>2.4980605956126362E-2</v>
      </c>
      <c r="K541" s="637">
        <f t="shared" si="17"/>
        <v>0.24833534456751283</v>
      </c>
      <c r="L541" s="636">
        <f>L540/(D540+E540+G540+H540+I540+J540+L540+M540+N540)</f>
        <v>3.8763845192432013E-2</v>
      </c>
      <c r="M541" s="636">
        <f>M540/(D540+E540+G540+H540+I540+J540+L540+M540+N540)</f>
        <v>0</v>
      </c>
      <c r="N541" s="636">
        <f>N540/(D540+E540+G540+H540+I540+J540+L540+M540+N540)</f>
        <v>0.37372591906219021</v>
      </c>
      <c r="O541" s="1503"/>
    </row>
    <row r="542" spans="1:15" ht="12" customHeight="1">
      <c r="A542" s="1517"/>
      <c r="B542" s="1502" t="s">
        <v>14939</v>
      </c>
      <c r="C542" s="638" t="s">
        <v>6218</v>
      </c>
      <c r="D542" s="639">
        <v>56408</v>
      </c>
      <c r="E542" s="639">
        <v>28387</v>
      </c>
      <c r="F542" s="640">
        <f t="shared" si="16"/>
        <v>84795</v>
      </c>
      <c r="G542" s="639">
        <v>69790</v>
      </c>
      <c r="H542" s="639">
        <v>8661</v>
      </c>
      <c r="I542" s="639"/>
      <c r="J542" s="639"/>
      <c r="K542" s="640">
        <f t="shared" si="17"/>
        <v>78451</v>
      </c>
      <c r="L542" s="639">
        <v>12410</v>
      </c>
      <c r="M542" s="639">
        <v>5858</v>
      </c>
      <c r="N542" s="639">
        <v>188662</v>
      </c>
      <c r="O542" s="1503">
        <f>1-N543</f>
        <v>0.49034513312586447</v>
      </c>
    </row>
    <row r="543" spans="1:15" ht="12" customHeight="1">
      <c r="A543" s="1517"/>
      <c r="B543" s="1502"/>
      <c r="C543" s="635" t="s">
        <v>6219</v>
      </c>
      <c r="D543" s="636">
        <f>D542/(D542+E542+G542+H542+I542+J542+L542+M542+N542)</f>
        <v>0.15238156984785617</v>
      </c>
      <c r="E543" s="636">
        <f>E542/(D542+E542+G542+H542+I542+J542+L542+M542+N542)</f>
        <v>7.6685144363762101E-2</v>
      </c>
      <c r="F543" s="637">
        <f t="shared" si="16"/>
        <v>0.22906671421161828</v>
      </c>
      <c r="G543" s="636">
        <f>G542/(D542+E542+G542+H542+I542+J542+L542+M542+N542)</f>
        <v>0.18853194156293224</v>
      </c>
      <c r="H543" s="636">
        <f>H542/(D542+E542+G542+H542+I542+J542+L542+M542+N542)</f>
        <v>2.3396978734439834E-2</v>
      </c>
      <c r="I543" s="636">
        <f>I542/(D542+E542+G542+H542+I542+J542+L542+M542+N542)</f>
        <v>0</v>
      </c>
      <c r="J543" s="636">
        <f>J542/(D542+E542+G542+H542+I542+J542+L542+M542+N542)</f>
        <v>0</v>
      </c>
      <c r="K543" s="637">
        <f t="shared" si="17"/>
        <v>0.21192892029737206</v>
      </c>
      <c r="L543" s="636">
        <f>L542/(D542+E542+G542+H542+I542+J542+L542+M542+N542)</f>
        <v>3.3524593706777316E-2</v>
      </c>
      <c r="M543" s="636">
        <f>M542/(D542+E542+G542+H542+I542+J542+L542+M542+N542)</f>
        <v>1.5824904910096818E-2</v>
      </c>
      <c r="N543" s="636">
        <f>N542/(D542+E542+G542+H542+I542+J542+L542+M542+N542)</f>
        <v>0.50965486687413553</v>
      </c>
      <c r="O543" s="1503"/>
    </row>
    <row r="544" spans="1:15" ht="12" customHeight="1">
      <c r="A544" s="1517"/>
      <c r="B544" s="1502" t="s">
        <v>14940</v>
      </c>
      <c r="C544" s="638" t="s">
        <v>6218</v>
      </c>
      <c r="D544" s="639">
        <v>70614</v>
      </c>
      <c r="E544" s="639">
        <v>25629</v>
      </c>
      <c r="F544" s="640">
        <f t="shared" si="16"/>
        <v>96243</v>
      </c>
      <c r="G544" s="639">
        <v>73336</v>
      </c>
      <c r="H544" s="639">
        <v>5394</v>
      </c>
      <c r="I544" s="639"/>
      <c r="J544" s="639"/>
      <c r="K544" s="640">
        <f t="shared" si="17"/>
        <v>78730</v>
      </c>
      <c r="L544" s="639">
        <v>10832</v>
      </c>
      <c r="M544" s="639"/>
      <c r="N544" s="639">
        <v>183892</v>
      </c>
      <c r="O544" s="1503">
        <f>1-N545</f>
        <v>0.50258725388629066</v>
      </c>
    </row>
    <row r="545" spans="1:15" ht="12" customHeight="1" thickBot="1">
      <c r="A545" s="1519"/>
      <c r="B545" s="1514"/>
      <c r="C545" s="641" t="s">
        <v>6219</v>
      </c>
      <c r="D545" s="642">
        <f>D544/(D544+E544+G544+H544+I544+J544+L544+M544+N544)</f>
        <v>0.19100506631106015</v>
      </c>
      <c r="E545" s="642">
        <f>E544/(D544+E544+G544+H544+I544+J544+L544+M544+N544)</f>
        <v>6.932433857997225E-2</v>
      </c>
      <c r="F545" s="643">
        <f t="shared" si="16"/>
        <v>0.2603294048910324</v>
      </c>
      <c r="G545" s="642">
        <f>G544/(D544+E544+G544+H544+I544+J544+L544+M544+N544)</f>
        <v>0.19836785259279896</v>
      </c>
      <c r="H545" s="642">
        <f>H544/(D544+E544+G544+H544+I544+J544+L544+M544+N544)</f>
        <v>1.4590326672924044E-2</v>
      </c>
      <c r="I545" s="642">
        <f>I544/(D544+E544+G544+H544+I544+J544+L544+M544+N544)</f>
        <v>0</v>
      </c>
      <c r="J545" s="642">
        <f>J544/(D544+E544+G544+H544+I544+J544+L544+M544+N544)</f>
        <v>0</v>
      </c>
      <c r="K545" s="643">
        <f t="shared" si="17"/>
        <v>0.212958179265723</v>
      </c>
      <c r="L545" s="642">
        <f>L544/(D544+E544+G544+H544+I544+J544+L544+M544+N544)</f>
        <v>2.9299669729535269E-2</v>
      </c>
      <c r="M545" s="642">
        <f>M544/(D544+E544+G544+H544+I544+J544+L544+M544+N544)</f>
        <v>0</v>
      </c>
      <c r="N545" s="642">
        <f>N544/(D544+E544+G544+H544+I544+J544+L544+M544+N544)</f>
        <v>0.49741274611370934</v>
      </c>
      <c r="O545" s="1515"/>
    </row>
    <row r="546" spans="1:15" ht="12" customHeight="1">
      <c r="A546" s="1535" t="s">
        <v>15006</v>
      </c>
      <c r="B546" s="1536" t="s">
        <v>14937</v>
      </c>
      <c r="C546" s="632" t="s">
        <v>6218</v>
      </c>
      <c r="D546" s="633">
        <v>54352</v>
      </c>
      <c r="E546" s="633">
        <v>28520</v>
      </c>
      <c r="F546" s="634">
        <f t="shared" si="16"/>
        <v>82872</v>
      </c>
      <c r="G546" s="633">
        <v>80390</v>
      </c>
      <c r="H546" s="633">
        <v>11380</v>
      </c>
      <c r="I546" s="633">
        <v>3852</v>
      </c>
      <c r="J546" s="633">
        <v>6090</v>
      </c>
      <c r="K546" s="634">
        <f t="shared" si="17"/>
        <v>101712</v>
      </c>
      <c r="L546" s="633">
        <v>15782</v>
      </c>
      <c r="M546" s="633">
        <v>3318</v>
      </c>
      <c r="N546" s="633">
        <v>158654</v>
      </c>
      <c r="O546" s="1537">
        <f>1-N547</f>
        <v>0.56213811413652448</v>
      </c>
    </row>
    <row r="547" spans="1:15" ht="12" customHeight="1">
      <c r="A547" s="1517"/>
      <c r="B547" s="1502"/>
      <c r="C547" s="635" t="s">
        <v>6219</v>
      </c>
      <c r="D547" s="636">
        <f>D546/(D546+E546+G546+H546+I546+J546+L546+M546+N546)</f>
        <v>0.15000358781027659</v>
      </c>
      <c r="E547" s="636">
        <f>E546/(D546+E546+G546+H546+I546+J546+L546+M546+N546)</f>
        <v>7.8711037760323233E-2</v>
      </c>
      <c r="F547" s="637">
        <f t="shared" si="16"/>
        <v>0.22871462557059982</v>
      </c>
      <c r="G547" s="636">
        <f>G546/(D546+E546+G546+H546+I546+J546+L546+M546+N546)</f>
        <v>0.22186466779636693</v>
      </c>
      <c r="H547" s="636">
        <f>H546/(D546+E546+G546+H546+I546+J546+L546+M546+N546)</f>
        <v>3.1407139190479605E-2</v>
      </c>
      <c r="I547" s="636">
        <f>I546/(D546+E546+G546+H546+I546+J546+L546+M546+N546)</f>
        <v>1.0630957834949687E-2</v>
      </c>
      <c r="J547" s="636">
        <f>J546/(D546+E546+G546+H546+I546+J546+L546+M546+N546)</f>
        <v>1.6807511218806751E-2</v>
      </c>
      <c r="K547" s="637">
        <f t="shared" si="17"/>
        <v>0.28071027604060295</v>
      </c>
      <c r="L547" s="636">
        <f>L546/(D546+E546+G546+H546+I546+J546+L546+M546+N546)</f>
        <v>4.3556016757833847E-2</v>
      </c>
      <c r="M547" s="636">
        <f>M546/(D546+E546+G546+H546+I546+J546+L546+M546+N546)</f>
        <v>9.1571957674878145E-3</v>
      </c>
      <c r="N547" s="636">
        <f>N546/(D546+E546+G546+H546+I546+J546+L546+M546+N546)</f>
        <v>0.43786188586347552</v>
      </c>
      <c r="O547" s="1503"/>
    </row>
    <row r="548" spans="1:15" ht="12" customHeight="1">
      <c r="A548" s="1517"/>
      <c r="B548" s="1502" t="s">
        <v>14938</v>
      </c>
      <c r="C548" s="638" t="s">
        <v>6218</v>
      </c>
      <c r="D548" s="639">
        <v>88518</v>
      </c>
      <c r="E548" s="639">
        <v>32274</v>
      </c>
      <c r="F548" s="640">
        <f t="shared" si="16"/>
        <v>120792</v>
      </c>
      <c r="G548" s="639">
        <v>73072</v>
      </c>
      <c r="H548" s="639">
        <v>11363</v>
      </c>
      <c r="I548" s="639"/>
      <c r="J548" s="639">
        <v>9768</v>
      </c>
      <c r="K548" s="640">
        <f t="shared" si="17"/>
        <v>94203</v>
      </c>
      <c r="L548" s="639">
        <v>17204</v>
      </c>
      <c r="M548" s="639"/>
      <c r="N548" s="639">
        <v>129839</v>
      </c>
      <c r="O548" s="1503">
        <f>1-N549</f>
        <v>0.64136637590529166</v>
      </c>
    </row>
    <row r="549" spans="1:15" ht="12" customHeight="1">
      <c r="A549" s="1517"/>
      <c r="B549" s="1502"/>
      <c r="C549" s="635" t="s">
        <v>6219</v>
      </c>
      <c r="D549" s="636">
        <f>D548/(D548+E548+G548+H548+I548+J548+L548+M548+N548)</f>
        <v>0.24449919621697169</v>
      </c>
      <c r="E549" s="636">
        <f>E548/(D548+E548+G548+H548+I548+J548+L548+M548+N548)</f>
        <v>8.9145338334649951E-2</v>
      </c>
      <c r="F549" s="637">
        <f t="shared" si="16"/>
        <v>0.33364453455162163</v>
      </c>
      <c r="G549" s="636">
        <f>G548/(D548+E548+G548+H548+I548+J548+L548+M548+N548)</f>
        <v>0.20183516647423752</v>
      </c>
      <c r="H549" s="636">
        <f>H548/(D548+E548+G548+H548+I548+J548+L548+M548+N548)</f>
        <v>3.1386208077605116E-2</v>
      </c>
      <c r="I549" s="636">
        <f>I548/(D548+E548+G548+H548+I548+J548+L548+M548+N548)</f>
        <v>0</v>
      </c>
      <c r="J549" s="636">
        <f>J548/(D548+E548+G548+H548+I548+J548+L548+M548+N548)</f>
        <v>2.6980593197399167E-2</v>
      </c>
      <c r="K549" s="637">
        <f t="shared" si="17"/>
        <v>0.26020196774924181</v>
      </c>
      <c r="L549" s="636">
        <f>L548/(D548+E548+G548+H548+I548+J548+L548+M548+N548)</f>
        <v>4.7519873604428262E-2</v>
      </c>
      <c r="M549" s="636">
        <f>M548/(D548+E548+G548+H548+I548+J548+L548+M548+N548)</f>
        <v>0</v>
      </c>
      <c r="N549" s="636">
        <f>N548/(D548+E548+G548+H548+I548+J548+L548+M548+N548)</f>
        <v>0.35863362409470828</v>
      </c>
      <c r="O549" s="1503"/>
    </row>
    <row r="550" spans="1:15" ht="12" customHeight="1">
      <c r="A550" s="1517"/>
      <c r="B550" s="1502" t="s">
        <v>14939</v>
      </c>
      <c r="C550" s="638" t="s">
        <v>6218</v>
      </c>
      <c r="D550" s="639">
        <v>53592</v>
      </c>
      <c r="E550" s="639">
        <v>29042</v>
      </c>
      <c r="F550" s="640">
        <f t="shared" si="16"/>
        <v>82634</v>
      </c>
      <c r="G550" s="639">
        <v>78869</v>
      </c>
      <c r="H550" s="639">
        <v>10915</v>
      </c>
      <c r="I550" s="639"/>
      <c r="J550" s="639"/>
      <c r="K550" s="640">
        <f t="shared" si="17"/>
        <v>89784</v>
      </c>
      <c r="L550" s="639">
        <v>15998</v>
      </c>
      <c r="M550" s="639">
        <v>7339</v>
      </c>
      <c r="N550" s="639">
        <v>165637</v>
      </c>
      <c r="O550" s="1503">
        <f>1-N551</f>
        <v>0.54166943374507459</v>
      </c>
    </row>
    <row r="551" spans="1:15" ht="12" customHeight="1">
      <c r="A551" s="1517"/>
      <c r="B551" s="1502"/>
      <c r="C551" s="635" t="s">
        <v>6219</v>
      </c>
      <c r="D551" s="636">
        <f>D550/(D550+E550+G550+H550+I550+J550+L550+M550+N550)</f>
        <v>0.14829326603798645</v>
      </c>
      <c r="E551" s="636">
        <f>E550/(D550+E550+G550+H550+I550+J550+L550+M550+N550)</f>
        <v>8.0361491123212461E-2</v>
      </c>
      <c r="F551" s="637">
        <f t="shared" si="16"/>
        <v>0.22865475716119893</v>
      </c>
      <c r="G551" s="636">
        <f>G550/(D550+E550+G550+H550+I550+J550+L550+M550+N550)</f>
        <v>0.21823670695532829</v>
      </c>
      <c r="H551" s="636">
        <f>H550/(D550+E550+G550+H550+I550+J550+L550+M550+N550)</f>
        <v>3.020266082259707E-2</v>
      </c>
      <c r="I551" s="636">
        <f>I550/(D550+E550+G550+H550+I550+J550+L550+M550+N550)</f>
        <v>0</v>
      </c>
      <c r="J551" s="636">
        <f>J550/(D550+E550+G550+H550+I550+J550+L550+M550+N550)</f>
        <v>0</v>
      </c>
      <c r="K551" s="637">
        <f t="shared" si="17"/>
        <v>0.24843936777792536</v>
      </c>
      <c r="L551" s="636">
        <f>L550/(D550+E550+G550+H550+I550+J550+L550+M550+N550)</f>
        <v>4.4267720370124407E-2</v>
      </c>
      <c r="M551" s="636">
        <f>M550/(D550+E550+G550+H550+I550+J550+L550+M550+N550)</f>
        <v>2.0307588435825918E-2</v>
      </c>
      <c r="N551" s="636">
        <f>N550/(D550+E550+G550+H550+I550+J550+L550+M550+N550)</f>
        <v>0.45833056625492541</v>
      </c>
      <c r="O551" s="1503"/>
    </row>
    <row r="552" spans="1:15" ht="12" customHeight="1">
      <c r="A552" s="1517"/>
      <c r="B552" s="1502" t="s">
        <v>14940</v>
      </c>
      <c r="C552" s="638" t="s">
        <v>6218</v>
      </c>
      <c r="D552" s="639">
        <v>60881</v>
      </c>
      <c r="E552" s="639">
        <v>27878</v>
      </c>
      <c r="F552" s="640">
        <f t="shared" si="16"/>
        <v>88759</v>
      </c>
      <c r="G552" s="639">
        <v>79417</v>
      </c>
      <c r="H552" s="639">
        <v>8745</v>
      </c>
      <c r="I552" s="639"/>
      <c r="J552" s="639"/>
      <c r="K552" s="640">
        <f t="shared" si="17"/>
        <v>88162</v>
      </c>
      <c r="L552" s="639">
        <v>13702</v>
      </c>
      <c r="M552" s="639"/>
      <c r="N552" s="639">
        <v>170141</v>
      </c>
      <c r="O552" s="1503">
        <f>1-N553</f>
        <v>0.52838697874510765</v>
      </c>
    </row>
    <row r="553" spans="1:15" ht="12" customHeight="1" thickBot="1">
      <c r="A553" s="1519"/>
      <c r="B553" s="1514"/>
      <c r="C553" s="641" t="s">
        <v>6219</v>
      </c>
      <c r="D553" s="642">
        <f>D552/(D552+E552+G552+H552+I552+J552+L552+M552+N552)</f>
        <v>0.16875575168254039</v>
      </c>
      <c r="E553" s="642">
        <f>E552/(D552+E552+G552+H552+I552+J552+L552+M552+N552)</f>
        <v>7.7274894390792867E-2</v>
      </c>
      <c r="F553" s="643">
        <f t="shared" si="16"/>
        <v>0.24603064607333325</v>
      </c>
      <c r="G553" s="642">
        <f>G552/(D552+E552+G552+H552+I552+J552+L552+M552+N552)</f>
        <v>0.22013560111319311</v>
      </c>
      <c r="H553" s="642">
        <f>H552/(D552+E552+G552+H552+I552+J552+L552+M552+N552)</f>
        <v>2.4240223525628941E-2</v>
      </c>
      <c r="I553" s="642">
        <f>I552/(D552+E552+G552+H552+I552+J552+L552+M552+N552)</f>
        <v>0</v>
      </c>
      <c r="J553" s="642">
        <f>J552/(D552+E552+G552+H552+I552+J552+L552+M552+N552)</f>
        <v>0</v>
      </c>
      <c r="K553" s="643">
        <f t="shared" si="17"/>
        <v>0.24437582463882204</v>
      </c>
      <c r="L553" s="642">
        <f>L552/(D552+E552+G552+H552+I552+J552+L552+M552+N552)</f>
        <v>3.798050803295229E-2</v>
      </c>
      <c r="M553" s="642">
        <f>M552/(D552+E552+G552+H552+I552+J552+L552+M552+N552)</f>
        <v>0</v>
      </c>
      <c r="N553" s="642">
        <f>N552/(D552+E552+G552+H552+I552+J552+L552+M552+N552)</f>
        <v>0.47161302125489241</v>
      </c>
      <c r="O553" s="1515"/>
    </row>
    <row r="554" spans="1:15" ht="12" customHeight="1">
      <c r="A554" s="1535" t="s">
        <v>15007</v>
      </c>
      <c r="B554" s="1536" t="s">
        <v>14937</v>
      </c>
      <c r="C554" s="632" t="s">
        <v>6218</v>
      </c>
      <c r="D554" s="633">
        <v>58692</v>
      </c>
      <c r="E554" s="633">
        <v>35082</v>
      </c>
      <c r="F554" s="634">
        <f t="shared" si="16"/>
        <v>93774</v>
      </c>
      <c r="G554" s="633">
        <v>81846</v>
      </c>
      <c r="H554" s="633">
        <v>10079</v>
      </c>
      <c r="I554" s="633">
        <v>4042</v>
      </c>
      <c r="J554" s="633">
        <v>5997</v>
      </c>
      <c r="K554" s="634">
        <f t="shared" si="17"/>
        <v>101964</v>
      </c>
      <c r="L554" s="633">
        <v>17901</v>
      </c>
      <c r="M554" s="633">
        <v>3520</v>
      </c>
      <c r="N554" s="633">
        <v>186893</v>
      </c>
      <c r="O554" s="1537">
        <f>1-N555</f>
        <v>0.5374531000960272</v>
      </c>
    </row>
    <row r="555" spans="1:15" ht="12" customHeight="1">
      <c r="A555" s="1517"/>
      <c r="B555" s="1502"/>
      <c r="C555" s="635" t="s">
        <v>6219</v>
      </c>
      <c r="D555" s="636">
        <f>D554/(D554+E554+G554+H554+I554+J554+L554+M554+N554)</f>
        <v>0.14525853108015799</v>
      </c>
      <c r="E555" s="636">
        <f>E554/(D554+E554+G554+H554+I554+J554+L554+M554+N554)</f>
        <v>8.6825458109352258E-2</v>
      </c>
      <c r="F555" s="637">
        <f t="shared" si="16"/>
        <v>0.23208398918951023</v>
      </c>
      <c r="G555" s="636">
        <f>G554/(D554+E554+G554+H554+I554+J554+L554+M554+N554)</f>
        <v>0.20256303644085416</v>
      </c>
      <c r="H555" s="636">
        <f>H554/(D554+E554+G554+H554+I554+J554+L554+M554+N554)</f>
        <v>2.4944809083979291E-2</v>
      </c>
      <c r="I555" s="636">
        <f>I554/(D554+E554+G554+H554+I554+J554+L554+M554+N554)</f>
        <v>1.0003662894874917E-2</v>
      </c>
      <c r="J555" s="636">
        <f>J554/(D554+E554+G554+H554+I554+J554+L554+M554+N554)</f>
        <v>1.484214903032283E-2</v>
      </c>
      <c r="K555" s="637">
        <f t="shared" si="17"/>
        <v>0.25235365745003119</v>
      </c>
      <c r="L555" s="636">
        <f>L554/(D554+E554+G554+H554+I554+J554+L554+M554+N554)</f>
        <v>4.4303703483710016E-2</v>
      </c>
      <c r="M555" s="636">
        <f>M554/(D554+E554+G554+H554+I554+J554+L554+M554+N554)</f>
        <v>8.7117499727757813E-3</v>
      </c>
      <c r="N555" s="636">
        <f>N554/(D554+E554+G554+H554+I554+J554+L554+M554+N554)</f>
        <v>0.46254689990397274</v>
      </c>
      <c r="O555" s="1503"/>
    </row>
    <row r="556" spans="1:15" ht="12" customHeight="1">
      <c r="A556" s="1517"/>
      <c r="B556" s="1502" t="s">
        <v>14938</v>
      </c>
      <c r="C556" s="638" t="s">
        <v>6218</v>
      </c>
      <c r="D556" s="639">
        <v>92537</v>
      </c>
      <c r="E556" s="639">
        <v>39039</v>
      </c>
      <c r="F556" s="640">
        <f t="shared" si="16"/>
        <v>131576</v>
      </c>
      <c r="G556" s="639">
        <v>73531</v>
      </c>
      <c r="H556" s="639">
        <v>9729</v>
      </c>
      <c r="I556" s="639"/>
      <c r="J556" s="639">
        <v>9727</v>
      </c>
      <c r="K556" s="640">
        <f t="shared" si="17"/>
        <v>92987</v>
      </c>
      <c r="L556" s="639">
        <v>19004</v>
      </c>
      <c r="M556" s="639"/>
      <c r="N556" s="639">
        <v>152904</v>
      </c>
      <c r="O556" s="1503">
        <f>1-N557</f>
        <v>0.61433749252782677</v>
      </c>
    </row>
    <row r="557" spans="1:15" ht="12" customHeight="1">
      <c r="A557" s="1517"/>
      <c r="B557" s="1502"/>
      <c r="C557" s="635" t="s">
        <v>6219</v>
      </c>
      <c r="D557" s="636">
        <f>D556/(D556+E556+G556+H556+I556+J556+L556+M556+N556)</f>
        <v>0.23340168637807052</v>
      </c>
      <c r="E557" s="636">
        <f>E556/(D556+E556+G556+H556+I556+J556+L556+M556+N556)</f>
        <v>9.8466218210159134E-2</v>
      </c>
      <c r="F557" s="637">
        <f t="shared" si="16"/>
        <v>0.33186790458822968</v>
      </c>
      <c r="G557" s="636">
        <f>G556/(D556+E556+G556+H556+I556+J556+L556+M556+N556)</f>
        <v>0.18546375396939499</v>
      </c>
      <c r="H557" s="636">
        <f>H556/(D556+E556+G556+H556+I556+J556+L556+M556+N556)</f>
        <v>2.4538995285909939E-2</v>
      </c>
      <c r="I557" s="636">
        <f>I556/(D556+E556+G556+H556+I556+J556+L556+M556+N556)</f>
        <v>0</v>
      </c>
      <c r="J557" s="636">
        <f>J556/(D556+E556+G556+H556+I556+J556+L556+M556+N556)</f>
        <v>2.4533950780763283E-2</v>
      </c>
      <c r="K557" s="637">
        <f t="shared" si="17"/>
        <v>0.23453670003606822</v>
      </c>
      <c r="L557" s="636">
        <f>L556/(D556+E556+G556+H556+I556+J556+L556+M556+N556)</f>
        <v>4.7932887903528884E-2</v>
      </c>
      <c r="M557" s="636">
        <f>M556/(D556+E556+G556+H556+I556+J556+L556+M556+N556)</f>
        <v>0</v>
      </c>
      <c r="N557" s="636">
        <f>N556/(D556+E556+G556+H556+I556+J556+L556+M556+N556)</f>
        <v>0.38566250747217323</v>
      </c>
      <c r="O557" s="1503"/>
    </row>
    <row r="558" spans="1:15" ht="12" customHeight="1">
      <c r="A558" s="1517"/>
      <c r="B558" s="1502" t="s">
        <v>14939</v>
      </c>
      <c r="C558" s="638" t="s">
        <v>6218</v>
      </c>
      <c r="D558" s="639">
        <v>58643</v>
      </c>
      <c r="E558" s="639">
        <v>36978</v>
      </c>
      <c r="F558" s="640">
        <f t="shared" si="16"/>
        <v>95621</v>
      </c>
      <c r="G558" s="639">
        <v>77188</v>
      </c>
      <c r="H558" s="639">
        <v>9201</v>
      </c>
      <c r="I558" s="639"/>
      <c r="J558" s="639"/>
      <c r="K558" s="640">
        <f t="shared" si="17"/>
        <v>86389</v>
      </c>
      <c r="L558" s="639">
        <v>18251</v>
      </c>
      <c r="M558" s="639">
        <v>6971</v>
      </c>
      <c r="N558" s="639">
        <v>186283</v>
      </c>
      <c r="O558" s="1503">
        <f>1-N559</f>
        <v>0.52661779093554251</v>
      </c>
    </row>
    <row r="559" spans="1:15" ht="12" customHeight="1">
      <c r="A559" s="1517"/>
      <c r="B559" s="1502"/>
      <c r="C559" s="635" t="s">
        <v>6219</v>
      </c>
      <c r="D559" s="636">
        <f>D558/(D558+E558+G558+H558+I558+J558+L558+M558+N558)</f>
        <v>0.14902354421051295</v>
      </c>
      <c r="E559" s="636">
        <f>E558/(D558+E558+G558+H558+I558+J558+L558+M558+N558)</f>
        <v>9.3968463718028541E-2</v>
      </c>
      <c r="F559" s="637">
        <f t="shared" si="16"/>
        <v>0.24299200792854148</v>
      </c>
      <c r="G559" s="636">
        <f>G558/(D558+E558+G558+H558+I558+J558+L558+M558+N558)</f>
        <v>0.19615008322427355</v>
      </c>
      <c r="H559" s="636">
        <f>H558/(D558+E558+G558+H558+I558+J558+L558+M558+N558)</f>
        <v>2.3381573764659543E-2</v>
      </c>
      <c r="I559" s="636">
        <f>I558/(D558+E558+G558+H558+I558+J558+L558+M558+N558)</f>
        <v>0</v>
      </c>
      <c r="J559" s="636">
        <f>J558/(D558+E558+G558+H558+I558+J558+L558+M558+N558)</f>
        <v>0</v>
      </c>
      <c r="K559" s="637">
        <f t="shared" si="17"/>
        <v>0.21953165698893309</v>
      </c>
      <c r="L559" s="636">
        <f>L558/(D558+E558+G558+H558+I558+J558+L558+M558+N558)</f>
        <v>4.6379426451342388E-2</v>
      </c>
      <c r="M559" s="636">
        <f>M558/(D558+E558+G558+H558+I558+J558+L558+M558+N558)</f>
        <v>1.7714699566725538E-2</v>
      </c>
      <c r="N559" s="636">
        <f>N558/(D558+E558+G558+H558+I558+J558+L558+M558+N558)</f>
        <v>0.47338220906445749</v>
      </c>
      <c r="O559" s="1503"/>
    </row>
    <row r="560" spans="1:15" ht="12" customHeight="1">
      <c r="A560" s="1517"/>
      <c r="B560" s="1502" t="s">
        <v>14940</v>
      </c>
      <c r="C560" s="638" t="s">
        <v>6218</v>
      </c>
      <c r="D560" s="639">
        <v>67865</v>
      </c>
      <c r="E560" s="639">
        <v>36895</v>
      </c>
      <c r="F560" s="640">
        <f t="shared" si="16"/>
        <v>104760</v>
      </c>
      <c r="G560" s="639">
        <v>80531</v>
      </c>
      <c r="H560" s="639">
        <v>5944</v>
      </c>
      <c r="I560" s="639"/>
      <c r="J560" s="639"/>
      <c r="K560" s="640">
        <f t="shared" si="17"/>
        <v>86475</v>
      </c>
      <c r="L560" s="639">
        <v>15334</v>
      </c>
      <c r="M560" s="639"/>
      <c r="N560" s="639">
        <v>185762</v>
      </c>
      <c r="O560" s="1503">
        <f>1-N561</f>
        <v>0.52651715005951605</v>
      </c>
    </row>
    <row r="561" spans="1:15" ht="12" customHeight="1" thickBot="1">
      <c r="A561" s="1519"/>
      <c r="B561" s="1514"/>
      <c r="C561" s="641" t="s">
        <v>6219</v>
      </c>
      <c r="D561" s="642">
        <f>D560/(D560+E560+G560+H560+I560+J560+L560+M560+N560)</f>
        <v>0.17297893870226927</v>
      </c>
      <c r="E561" s="642">
        <f>E560/(D560+E560+G560+H560+I560+J560+L560+M560+N560)</f>
        <v>9.4040491319829431E-2</v>
      </c>
      <c r="F561" s="643">
        <f t="shared" si="16"/>
        <v>0.26701943002209871</v>
      </c>
      <c r="G561" s="642">
        <f>G560/(D560+E560+G560+H560+I560+J560+L560+M560+N560)</f>
        <v>0.20526290300791933</v>
      </c>
      <c r="H561" s="642">
        <f>H560/(D560+E560+G560+H560+I560+J560+L560+M560+N560)</f>
        <v>1.5150472432716252E-2</v>
      </c>
      <c r="I561" s="642">
        <f>I560/(D560+E560+G560+H560+I560+J560+L560+M560+N560)</f>
        <v>0</v>
      </c>
      <c r="J561" s="642">
        <f>J560/(D560+E560+G560+H560+I560+J560+L560+M560+N560)</f>
        <v>0</v>
      </c>
      <c r="K561" s="643">
        <f t="shared" si="17"/>
        <v>0.22041337544063558</v>
      </c>
      <c r="L561" s="642">
        <f>L560/(D560+E560+G560+H560+I560+J560+L560+M560+N560)</f>
        <v>3.9084344596781798E-2</v>
      </c>
      <c r="M561" s="642">
        <f>M560/(D560+E560+G560+H560+I560+J560+L560+M560+N560)</f>
        <v>0</v>
      </c>
      <c r="N561" s="642">
        <f>N560/(D560+E560+G560+H560+I560+J560+L560+M560+N560)</f>
        <v>0.47348284994048395</v>
      </c>
      <c r="O561" s="1515"/>
    </row>
    <row r="562" spans="1:15" ht="12" customHeight="1">
      <c r="A562" s="1535" t="s">
        <v>15008</v>
      </c>
      <c r="B562" s="1536" t="s">
        <v>14937</v>
      </c>
      <c r="C562" s="632" t="s">
        <v>6218</v>
      </c>
      <c r="D562" s="633">
        <v>47034</v>
      </c>
      <c r="E562" s="633">
        <v>24113</v>
      </c>
      <c r="F562" s="634">
        <f t="shared" si="16"/>
        <v>71147</v>
      </c>
      <c r="G562" s="633">
        <v>80146</v>
      </c>
      <c r="H562" s="633">
        <v>9305</v>
      </c>
      <c r="I562" s="633">
        <v>3808</v>
      </c>
      <c r="J562" s="633">
        <v>7026</v>
      </c>
      <c r="K562" s="634">
        <f t="shared" si="17"/>
        <v>100285</v>
      </c>
      <c r="L562" s="633">
        <v>17823</v>
      </c>
      <c r="M562" s="633">
        <v>4031</v>
      </c>
      <c r="N562" s="633">
        <v>162149</v>
      </c>
      <c r="O562" s="1537">
        <f>1-N563</f>
        <v>0.54380125761390974</v>
      </c>
    </row>
    <row r="563" spans="1:15" ht="12" customHeight="1">
      <c r="A563" s="1517"/>
      <c r="B563" s="1502"/>
      <c r="C563" s="635" t="s">
        <v>6219</v>
      </c>
      <c r="D563" s="636">
        <f>D562/(D562+E562+G562+H562+I562+J562+L562+M562+N562)</f>
        <v>0.13232799245994345</v>
      </c>
      <c r="E563" s="636">
        <f>E562/(D562+E562+G562+H562+I562+J562+L562+M562+N562)</f>
        <v>6.7840814776260069E-2</v>
      </c>
      <c r="F563" s="637">
        <f t="shared" si="16"/>
        <v>0.20016880723620351</v>
      </c>
      <c r="G563" s="636">
        <f>G562/(D562+E562+G562+H562+I562+J562+L562+M562+N562)</f>
        <v>0.22548707921279559</v>
      </c>
      <c r="H563" s="636">
        <f>H562/(D562+E562+G562+H562+I562+J562+L562+M562+N562)</f>
        <v>2.6179188881230043E-2</v>
      </c>
      <c r="I563" s="636">
        <f>I562/(D562+E562+G562+H562+I562+J562+L562+M562+N562)</f>
        <v>1.0713632591050404E-2</v>
      </c>
      <c r="J563" s="636">
        <f>J562/(D562+E562+G562+H562+I562+J562+L562+M562+N562)</f>
        <v>1.9767327359432808E-2</v>
      </c>
      <c r="K563" s="637">
        <f t="shared" si="17"/>
        <v>0.28214722804450887</v>
      </c>
      <c r="L563" s="636">
        <f>L562/(D562+E562+G562+H562+I562+J562+L562+M562+N562)</f>
        <v>5.0144189514257177E-2</v>
      </c>
      <c r="M563" s="636">
        <f>M562/(D562+E562+G562+H562+I562+J562+L562+M562+N562)</f>
        <v>1.1341032818940172E-2</v>
      </c>
      <c r="N563" s="636">
        <f>N562/(D562+E562+G562+H562+I562+J562+L562+M562+N562)</f>
        <v>0.45619874238609026</v>
      </c>
      <c r="O563" s="1503"/>
    </row>
    <row r="564" spans="1:15" ht="12" customHeight="1">
      <c r="A564" s="1517"/>
      <c r="B564" s="1502" t="s">
        <v>14938</v>
      </c>
      <c r="C564" s="638" t="s">
        <v>6218</v>
      </c>
      <c r="D564" s="639">
        <v>84376</v>
      </c>
      <c r="E564" s="639">
        <v>27122</v>
      </c>
      <c r="F564" s="640">
        <f t="shared" si="16"/>
        <v>111498</v>
      </c>
      <c r="G564" s="639">
        <v>71077</v>
      </c>
      <c r="H564" s="639">
        <v>9497</v>
      </c>
      <c r="I564" s="639"/>
      <c r="J564" s="639">
        <v>9353</v>
      </c>
      <c r="K564" s="640">
        <f t="shared" si="17"/>
        <v>89927</v>
      </c>
      <c r="L564" s="639">
        <v>18377</v>
      </c>
      <c r="M564" s="639"/>
      <c r="N564" s="639">
        <v>130490</v>
      </c>
      <c r="O564" s="1503">
        <f>1-N565</f>
        <v>0.62748221483790667</v>
      </c>
    </row>
    <row r="565" spans="1:15" ht="12" customHeight="1">
      <c r="A565" s="1517"/>
      <c r="B565" s="1502"/>
      <c r="C565" s="635" t="s">
        <v>6219</v>
      </c>
      <c r="D565" s="636">
        <f>D564/(D564+E564+G564+H564+I564+J564+L564+M564+N564)</f>
        <v>0.24087332853733456</v>
      </c>
      <c r="E565" s="636">
        <f>E564/(D564+E564+G564+H564+I564+J564+L564+M564+N564)</f>
        <v>7.7426832471195459E-2</v>
      </c>
      <c r="F565" s="637">
        <f t="shared" si="16"/>
        <v>0.31830016100853004</v>
      </c>
      <c r="G565" s="636">
        <f>G564/(D564+E564+G564+H564+I564+J564+L564+M564+N564)</f>
        <v>0.20290785972845513</v>
      </c>
      <c r="H565" s="636">
        <f>H564/(D564+E564+G564+H564+I564+J564+L564+M564+N564)</f>
        <v>2.7111666837952336E-2</v>
      </c>
      <c r="I565" s="636">
        <f>I564/(D564+E564+G564+H564+I564+J564+L564+M564+N564)</f>
        <v>0</v>
      </c>
      <c r="J565" s="636">
        <f>J564/(D564+E564+G564+H564+I564+J564+L564+M564+N564)</f>
        <v>2.670058122937435E-2</v>
      </c>
      <c r="K565" s="637">
        <f t="shared" si="17"/>
        <v>0.2567201077957818</v>
      </c>
      <c r="L565" s="636">
        <f>L564/(D564+E564+G564+H564+I564+J564+L564+M564+N564)</f>
        <v>5.2461946033594831E-2</v>
      </c>
      <c r="M565" s="636">
        <f>M564/(D564+E564+G564+H564+I564+J564+L564+M564+N564)</f>
        <v>0</v>
      </c>
      <c r="N565" s="636">
        <f>N564/(D564+E564+G564+H564+I564+J564+L564+M564+N564)</f>
        <v>0.37251778516209333</v>
      </c>
      <c r="O565" s="1503"/>
    </row>
    <row r="566" spans="1:15" ht="12" customHeight="1">
      <c r="A566" s="1517"/>
      <c r="B566" s="1502" t="s">
        <v>14939</v>
      </c>
      <c r="C566" s="638" t="s">
        <v>6218</v>
      </c>
      <c r="D566" s="639">
        <v>44477</v>
      </c>
      <c r="E566" s="639">
        <v>25658</v>
      </c>
      <c r="F566" s="640">
        <f t="shared" si="16"/>
        <v>70135</v>
      </c>
      <c r="G566" s="639">
        <v>73344</v>
      </c>
      <c r="H566" s="639">
        <v>9144</v>
      </c>
      <c r="I566" s="639"/>
      <c r="J566" s="639"/>
      <c r="K566" s="640">
        <f t="shared" si="17"/>
        <v>82488</v>
      </c>
      <c r="L566" s="639">
        <v>16546</v>
      </c>
      <c r="M566" s="639">
        <v>7079</v>
      </c>
      <c r="N566" s="639">
        <v>170539</v>
      </c>
      <c r="O566" s="1503">
        <f>1-N567</f>
        <v>0.50823127741235974</v>
      </c>
    </row>
    <row r="567" spans="1:15" ht="12" customHeight="1">
      <c r="A567" s="1517"/>
      <c r="B567" s="1502"/>
      <c r="C567" s="635" t="s">
        <v>6219</v>
      </c>
      <c r="D567" s="636">
        <f>D566/(D566+E566+G566+H566+I566+J566+L566+M566+N566)</f>
        <v>0.12825451934472745</v>
      </c>
      <c r="E567" s="636">
        <f>E566/(D566+E566+G566+H566+I566+J566+L566+M566+N566)</f>
        <v>7.3987779242013108E-2</v>
      </c>
      <c r="F567" s="637">
        <f t="shared" si="16"/>
        <v>0.20224229858674056</v>
      </c>
      <c r="G567" s="636">
        <f>G566/(D566+E566+G566+H566+I566+J566+L566+M566+N566)</f>
        <v>0.21149581731725814</v>
      </c>
      <c r="H567" s="636">
        <f>H566/(D566+E566+G566+H566+I566+J566+L566+M566+N566)</f>
        <v>2.6367770418152931E-2</v>
      </c>
      <c r="I567" s="636">
        <f>I566/(D566+E566+G566+H566+I566+J566+L566+M566+N566)</f>
        <v>0</v>
      </c>
      <c r="J567" s="636">
        <f>J566/(D566+E566+G566+H566+I566+J566+L566+M566+N566)</f>
        <v>0</v>
      </c>
      <c r="K567" s="637">
        <f t="shared" si="17"/>
        <v>0.23786358773541108</v>
      </c>
      <c r="L567" s="636">
        <f>L566/(D566+E566+G566+H566+I566+J566+L566+M566+N566)</f>
        <v>4.7712284485865966E-2</v>
      </c>
      <c r="M567" s="636">
        <f>M566/(D566+E566+G566+H566+I566+J566+L566+M566+N566)</f>
        <v>2.0413106604342146E-2</v>
      </c>
      <c r="N567" s="636">
        <f>N566/(D566+E566+G566+H566+I566+J566+L566+M566+N566)</f>
        <v>0.49176872258764026</v>
      </c>
      <c r="O567" s="1503"/>
    </row>
    <row r="568" spans="1:15" ht="12" customHeight="1">
      <c r="A568" s="1517"/>
      <c r="B568" s="1502" t="s">
        <v>14940</v>
      </c>
      <c r="C568" s="638" t="s">
        <v>6218</v>
      </c>
      <c r="D568" s="639">
        <v>51697</v>
      </c>
      <c r="E568" s="639">
        <v>23852</v>
      </c>
      <c r="F568" s="640">
        <f t="shared" si="16"/>
        <v>75549</v>
      </c>
      <c r="G568" s="639">
        <v>79036</v>
      </c>
      <c r="H568" s="639">
        <v>5696</v>
      </c>
      <c r="I568" s="639"/>
      <c r="J568" s="639"/>
      <c r="K568" s="640">
        <f t="shared" si="17"/>
        <v>84732</v>
      </c>
      <c r="L568" s="639">
        <v>14812</v>
      </c>
      <c r="M568" s="639"/>
      <c r="N568" s="639">
        <v>170585</v>
      </c>
      <c r="O568" s="1503">
        <f>1-N569</f>
        <v>0.50652051909580598</v>
      </c>
    </row>
    <row r="569" spans="1:15" ht="12" customHeight="1" thickBot="1">
      <c r="A569" s="1518"/>
      <c r="B569" s="1504"/>
      <c r="C569" s="644" t="s">
        <v>6219</v>
      </c>
      <c r="D569" s="645">
        <f>D568/(D568+E568+G568+H568+I568+J568+L568+M568+N568)</f>
        <v>0.14955247368938723</v>
      </c>
      <c r="E569" s="645">
        <f>E568/(D568+E568+G568+H568+I568+J568+L568+M568+N568)</f>
        <v>6.9000630644704034E-2</v>
      </c>
      <c r="F569" s="646">
        <f t="shared" si="16"/>
        <v>0.21855310433409125</v>
      </c>
      <c r="G569" s="645">
        <f>G568/(D568+E568+G568+H568+I568+J568+L568+M568+N568)</f>
        <v>0.22864052673297114</v>
      </c>
      <c r="H569" s="645">
        <f>H568/(D568+E568+G568+H568+I568+J568+L568+M568+N568)</f>
        <v>1.6477762542018874E-2</v>
      </c>
      <c r="I569" s="645">
        <f>I568/(D568+E568+G568+H568+I568+J568+L568+M568+N568)</f>
        <v>0</v>
      </c>
      <c r="J569" s="645">
        <f>J568/(D568+E568+G568+H568+I568+J568+L568+M568+N568)</f>
        <v>0</v>
      </c>
      <c r="K569" s="646">
        <f t="shared" si="17"/>
        <v>0.24511828927499002</v>
      </c>
      <c r="L569" s="645">
        <f>L568/(D568+E568+G568+H568+I568+J568+L568+M568+N568)</f>
        <v>4.2849125486724642E-2</v>
      </c>
      <c r="M569" s="645">
        <f>M568/(D568+E568+G568+H568+I568+J568+L568+M568+N568)</f>
        <v>0</v>
      </c>
      <c r="N569" s="645">
        <f>N568/(D568+E568+G568+H568+I568+J568+L568+M568+N568)</f>
        <v>0.49347948090419408</v>
      </c>
      <c r="O569" s="1505"/>
    </row>
    <row r="570" spans="1:15" ht="12" customHeight="1" thickTop="1">
      <c r="A570" s="1511" t="s">
        <v>15009</v>
      </c>
      <c r="B570" s="1509" t="s">
        <v>14937</v>
      </c>
      <c r="C570" s="647" t="s">
        <v>6218</v>
      </c>
      <c r="D570" s="648">
        <f>D314+D322+D330+D338+D346+D354+D362+D370+D378+D386+D394+D402+D410+D418+D426+D434+D442+D450+D458+D466+D474+D482+D490+D498+D506+D514+D522+D530+D538+D546+D554+D562</f>
        <v>1851177</v>
      </c>
      <c r="E570" s="648">
        <f>E314+E322+E330+E338+E346+E354+E362+E370+E378+E386+E394+E402+E410+E418+E426+E434+E442+E450+E458+E466+E474+E482+E490+E498+E506+E514+E522+E530+E538+E546+E554+E562</f>
        <v>800232</v>
      </c>
      <c r="F570" s="649">
        <f t="shared" si="16"/>
        <v>2651409</v>
      </c>
      <c r="G570" s="648">
        <f>G314+G322+G330+G338+G346+G354+G362+G370+G378+G386+G394+G402+G410+G418+G426+G434+G442+G450+G458+G466+G474+G482+G490+G498+G506+G514+G522+G530+G538+G546+G554+G562</f>
        <v>2408543</v>
      </c>
      <c r="H570" s="648">
        <f>H314+H322+H330+H338+H346+H354+H362+H370+H378+H386+H394+H402+H410+H418+H426+H434+H442+H450+H458+H466+H474+H482+H490+H498+H506+H514+H522+H530+H538+H546+H554+H562</f>
        <v>267969</v>
      </c>
      <c r="I570" s="648">
        <f>I314+I322+I330+I338+I346+I354+I362+I370+I378+I386+I394+I402+I410+I418+I426+I434+I442+I450+I458+I466+I474+I482+I490+I498+I506+I514+I522+I530+I538+I546+I554+I562</f>
        <v>129095</v>
      </c>
      <c r="J570" s="648">
        <f>J314+J322+J330+J338+J346+J354+J362+J370+J378+J386+J394+J402+J410+J418+J426+J434+J442+J450+J458+J466+J474+J482+J490+J498+J506+J514+J522+J530+J538+J546+J554+J562</f>
        <v>171539</v>
      </c>
      <c r="K570" s="649">
        <f t="shared" si="17"/>
        <v>2977146</v>
      </c>
      <c r="L570" s="648">
        <f>L314+L322+L330+L338+L346+L354+L362+L370+L378+L386+L394+L402+L410+L418+L426+L434+L442+L450+L458+L466+L474+L482+L490+L498+L506+L514+L522+L530+L538+L546+L554+L562</f>
        <v>422306</v>
      </c>
      <c r="M570" s="648">
        <f>M314+M322+M330+M338+M346+M354+M362+M370+M378+M386+M394+M402+M410+M418+M426+M434+M442+M450+M458+M466+M474+M482+M490+M498+M506+M514+M522+M530+M538+M546+M554+M562</f>
        <v>115584</v>
      </c>
      <c r="N570" s="648">
        <f>N314+N322+N330+N338+N346+N354+N362+N370+N378+N386+N394+N402+N410+N418+N426+N434+N442+N450+N458+N466+N474+N482+N490+N498+N506+N514+N522+N530+N538+N546+N554+N562</f>
        <v>5227554</v>
      </c>
      <c r="O570" s="1510">
        <f>1-N571</f>
        <v>0.54120111823776706</v>
      </c>
    </row>
    <row r="571" spans="1:15" ht="12" customHeight="1">
      <c r="A571" s="1512"/>
      <c r="B571" s="1502"/>
      <c r="C571" s="635" t="s">
        <v>6219</v>
      </c>
      <c r="D571" s="650">
        <f>D570/(D570+E570+G570+H570+I570+J570+L570+M570+N570)</f>
        <v>0.16246947186848093</v>
      </c>
      <c r="E571" s="650">
        <f>E570/(D570+E570+G570+H570+I570+J570+L570+M570+N570)</f>
        <v>7.0232760245107967E-2</v>
      </c>
      <c r="F571" s="651">
        <f t="shared" si="16"/>
        <v>0.2327022321135889</v>
      </c>
      <c r="G571" s="650">
        <f>G570/(D570+E570+G570+H570+I570+J570+L570+M570+N570)</f>
        <v>0.2113869766005772</v>
      </c>
      <c r="H571" s="650">
        <f>H570/(D570+E570+G570+H570+I570+J570+L570+M570+N570)</f>
        <v>2.3518432817134702E-2</v>
      </c>
      <c r="I571" s="650">
        <f>I570/(D570+E570+G570+H570+I570+J570+L570+M570+N570)</f>
        <v>1.1330087004571441E-2</v>
      </c>
      <c r="J571" s="650">
        <f>J570/(D570+E570+G570+H570+I570+J570+L570+M570+N570)</f>
        <v>1.5055205814920643E-2</v>
      </c>
      <c r="K571" s="651">
        <f t="shared" si="17"/>
        <v>0.26129070223720396</v>
      </c>
      <c r="L571" s="650">
        <f>L570/(D570+E570+G570+H570+I570+J570+L570+M570+N570)</f>
        <v>3.7063896530094481E-2</v>
      </c>
      <c r="M571" s="650">
        <f>M570/(D570+E570+G570+H570+I570+J570+L570+M570+N570)</f>
        <v>1.0144287356879705E-2</v>
      </c>
      <c r="N571" s="650">
        <f>N570/(D570+E570+G570+H570+I570+J570+L570+M570+N570)</f>
        <v>0.45879888176223294</v>
      </c>
      <c r="O571" s="1503"/>
    </row>
    <row r="572" spans="1:15" ht="12" customHeight="1">
      <c r="A572" s="1512"/>
      <c r="B572" s="1502" t="s">
        <v>14938</v>
      </c>
      <c r="C572" s="638" t="s">
        <v>6218</v>
      </c>
      <c r="D572" s="648">
        <f>D316+D324+D332+D340+D348+D356+D364+D372+D380+D388+D396+D404+D412+D420+D428+D436+D444+D452+D460+D468+D476+D484+D492+D500+D508+D516+D524+D532+D540+D548+D556+D564</f>
        <v>2892778</v>
      </c>
      <c r="E572" s="648">
        <f>E316+E324+E332+E340+E348+E356+E364+E372+E380+E388+E396+E404+E412+E420+E428+E436+E444+E452+E460+E468+E476+E484+E492+E500+E508+E516+E524+E532+E540+E548+E556+E564</f>
        <v>937343</v>
      </c>
      <c r="F572" s="652">
        <f t="shared" si="16"/>
        <v>3830121</v>
      </c>
      <c r="G572" s="648">
        <f>G316+G324+G332+G340+G348+G356+G364+G372+G380+G388+G396+G404+G412+G420+G428+G436+G444+G452+G460+G468+G476+G484+G492+G500+G508+G516+G524+G532+G540+G548+G556+G564</f>
        <v>2260715</v>
      </c>
      <c r="H572" s="648">
        <f>H316+H324+H332+H340+H348+H356+H364+H372+H380+H388+H396+H404+H412+H420+H428+H436+H444+H452+H460+H468+H476+H484+H492+H500+H508+H516+H524+H532+H540+H548+H556+H564</f>
        <v>323977</v>
      </c>
      <c r="I572" s="648">
        <f>I316+I324+I332+I340+I348+I356+I364+I372+I380+I388+I396+I404+I412+I420+I428+I436+I444+I452+I460+I468+I476+I484+I492+I500+I508+I516+I524+I532+I540+I548+I556+I564</f>
        <v>0</v>
      </c>
      <c r="J572" s="648">
        <f>J316+J324+J332+J340+J348+J356+J364+J372+J380+J388+J396+J404+J412+J420+J428+J436+J444+J452+J460+J468+J476+J484+J492+J500+J508+J516+J524+J532+J540+J548+J556+J564</f>
        <v>294950</v>
      </c>
      <c r="K572" s="652">
        <f t="shared" si="17"/>
        <v>2879642</v>
      </c>
      <c r="L572" s="648">
        <f>L316+L324+L332+L340+L348+L356+L364+L372+L380+L388+L396+L404+L412+L420+L428+L436+L444+L452+L460+L468+L476+L484+L492+L500+L508+L516+L524+L532+L540+L548+L556+L564</f>
        <v>477956</v>
      </c>
      <c r="M572" s="648">
        <f>M316+M324+M332+M340+M348+M356+M364+M372+M380+M388+M396+M404+M412+M420+M428+M436+M444+M452+M460+M468+M476+M484+M492+M500+M508+M516+M524+M532+M540+M548+M556+M564</f>
        <v>0</v>
      </c>
      <c r="N572" s="648">
        <f>N316+N324+N332+N340+N348+N356+N364+N372+N380+N388+N396+N404+N412+N420+N428+N436+N444+N452+N460+N468+N476+N484+N492+N500+N508+N516+N524+N532+N540+N548+N556+N564</f>
        <v>4122530</v>
      </c>
      <c r="O572" s="1503">
        <f>1-N573</f>
        <v>0.63550493008597775</v>
      </c>
    </row>
    <row r="573" spans="1:15" ht="12" customHeight="1">
      <c r="A573" s="1512"/>
      <c r="B573" s="1502"/>
      <c r="C573" s="635" t="s">
        <v>6219</v>
      </c>
      <c r="D573" s="650">
        <f>D572/(D572+E572+G572+H572+I572+J572+L572+M572+N572)</f>
        <v>0.25576607553025577</v>
      </c>
      <c r="E573" s="650">
        <f>E572/(D572+E572+G572+H572+I572+J572+L572+M572+N572)</f>
        <v>8.2875540582705118E-2</v>
      </c>
      <c r="F573" s="651">
        <f t="shared" si="16"/>
        <v>0.3386416161129609</v>
      </c>
      <c r="G573" s="650">
        <f>G572/(D572+E572+G572+H572+I572+J572+L572+M572+N572)</f>
        <v>0.19988198314643649</v>
      </c>
      <c r="H573" s="650">
        <f>H572/(D572+E572+G572+H572+I572+J572+L572+M572+N572)</f>
        <v>2.8644550619531011E-2</v>
      </c>
      <c r="I573" s="650">
        <f>I572/(D572+E572+G572+H572+I572+J572+L572+M572+N572)</f>
        <v>0</v>
      </c>
      <c r="J573" s="650">
        <f>J572/(D572+E572+G572+H572+I572+J572+L572+M572+N572)</f>
        <v>2.6078117289902284E-2</v>
      </c>
      <c r="K573" s="651">
        <f t="shared" si="17"/>
        <v>0.25460465105586977</v>
      </c>
      <c r="L573" s="650">
        <f>L572/(D572+E572+G572+H572+I572+J572+L572+M572+N572)</f>
        <v>4.2258662917147097E-2</v>
      </c>
      <c r="M573" s="650">
        <f>M572/(D572+E572+G572+H572+I572+J572+L572+M572+N572)</f>
        <v>0</v>
      </c>
      <c r="N573" s="650">
        <f>N572/(D572+E572+G572+H572+I572+J572+L572+M572+N572)</f>
        <v>0.36449506991402225</v>
      </c>
      <c r="O573" s="1503"/>
    </row>
    <row r="574" spans="1:15" ht="12" customHeight="1">
      <c r="A574" s="1512"/>
      <c r="B574" s="1502" t="s">
        <v>14939</v>
      </c>
      <c r="C574" s="638" t="s">
        <v>6218</v>
      </c>
      <c r="D574" s="648">
        <f>D318+D326+D334+D342+D350+D358+D366+D374+D382+D390+D398+D406+D414+D422+D430+D438+D446+D454+D462+D470+D478+D486+D494+D502+D510+D518+D526+D534+D542+D550+D558+D566</f>
        <v>1803525</v>
      </c>
      <c r="E574" s="648">
        <f>E318+E326+E334+E342+E350+E358+E366+E374+E382+E390+E398+E406+E414+E422+E430+E438+E446+E454+E462+E470+E478+E486+E494+E502+E510+E518+E526+E534+E542+E550+E558+E566</f>
        <v>874973</v>
      </c>
      <c r="F574" s="652">
        <f t="shared" si="16"/>
        <v>2678498</v>
      </c>
      <c r="G574" s="648">
        <f>G318+G326+G334+G342+G350+G358+G366+G374+G382+G390+G398+G406+G414+G422+G430+G438+G446+G454+G462+G470+G478+G486+G494+G502+G510+G518+G526+G534+G542+G550+G558+G566</f>
        <v>2187835</v>
      </c>
      <c r="H574" s="648">
        <f>H318+H326+H334+H342+H350+H358+H366+H374+H382+H390+H398+H406+H414+H422+H430+H438+H446+H454+H462+H470+H478+H486+H494+H502+H510+H518+H526+H534+H542+H550+H558+H566</f>
        <v>279077</v>
      </c>
      <c r="I574" s="648">
        <f>I318+I326+I334+I342+I350+I358+I366+I374+I382+I390+I398+I406+I414+I422+I430+I438+I446+I454+I462+I470+I478+I486+I494+I502+I510+I518+I526+I534+I542+I550+I558+I566</f>
        <v>0</v>
      </c>
      <c r="J574" s="648">
        <f>J318+J326+J334+J342+J350+J358+J366+J374+J382+J390+J398+J406+J414+J422+J430+J438+J446+J454+J462+J470+J478+J486+J494+J502+J510+J518+J526+J534+J542+J550+J558+J566</f>
        <v>0</v>
      </c>
      <c r="K574" s="652">
        <f t="shared" si="17"/>
        <v>2466912</v>
      </c>
      <c r="L574" s="648">
        <f>L318+L326+L334+L342+L350+L358+L366+L374+L382+L390+L398+L406+L414+L422+L430+L438+L446+L454+L462+L470+L478+L486+L494+L502+L510+L518+L526+L534+L542+L550+L558+L566</f>
        <v>410312</v>
      </c>
      <c r="M574" s="648">
        <f>M318+M326+M334+M342+M350+M358+M366+M374+M382+M390+M398+M406+M414+M422+M430+M438+M446+M454+M462+M470+M478+M486+M494+M502+M510+M518+M526+M534+M542+M550+M558+M566</f>
        <v>196868</v>
      </c>
      <c r="N574" s="648">
        <f>N318+N326+N334+N342+N350+N358+N366+N374+N382+N390+N398+N406+N414+N422+N430+N438+N446+N454+N462+N470+N478+N486+N494+N502+N510+N518+N526+N534+N542+N550+N558+N566</f>
        <v>5487156</v>
      </c>
      <c r="O574" s="1503">
        <f>1-N575</f>
        <v>0.51180782910930556</v>
      </c>
    </row>
    <row r="575" spans="1:15" ht="12" customHeight="1">
      <c r="A575" s="1512"/>
      <c r="B575" s="1502"/>
      <c r="C575" s="635" t="s">
        <v>6219</v>
      </c>
      <c r="D575" s="650">
        <f>D574/(D574+E574+G574+H574+I574+J574+L574+M574+N574)</f>
        <v>0.16045958689813808</v>
      </c>
      <c r="E575" s="650">
        <f>E574/(D574+E574+G574+H574+I574+J574+L574+M574+N574)</f>
        <v>7.7846332114622524E-2</v>
      </c>
      <c r="F575" s="651">
        <f t="shared" si="16"/>
        <v>0.2383059190127606</v>
      </c>
      <c r="G575" s="650">
        <f>G574/(D574+E574+G574+H574+I574+J574+L574+M574+N574)</f>
        <v>0.19465164070433619</v>
      </c>
      <c r="H575" s="650">
        <f>H574/(D574+E574+G574+H574+I574+J574+L574+M574+N574)</f>
        <v>2.4829475683881112E-2</v>
      </c>
      <c r="I575" s="650">
        <f>I574/(D574+E574+G574+H574+I574+J574+L574+M574+N574)</f>
        <v>0</v>
      </c>
      <c r="J575" s="650">
        <f>J574/(D574+E574+G574+H574+I574+J574+L574+M574+N574)</f>
        <v>0</v>
      </c>
      <c r="K575" s="651">
        <f t="shared" si="17"/>
        <v>0.2194811163882173</v>
      </c>
      <c r="L575" s="650">
        <f>L574/(D574+E574+G574+H574+I574+J574+L574+M574+N574)</f>
        <v>3.6505451279770916E-2</v>
      </c>
      <c r="M575" s="650">
        <f>M574/(D574+E574+G574+H574+I574+J574+L574+M574+N574)</f>
        <v>1.7515342428556659E-2</v>
      </c>
      <c r="N575" s="650">
        <f>N574/(D574+E574+G574+H574+I574+J574+L574+M574+N574)</f>
        <v>0.4881921708906945</v>
      </c>
      <c r="O575" s="1503"/>
    </row>
    <row r="576" spans="1:15" ht="12" customHeight="1">
      <c r="A576" s="1512"/>
      <c r="B576" s="1502" t="s">
        <v>14940</v>
      </c>
      <c r="C576" s="638" t="s">
        <v>6218</v>
      </c>
      <c r="D576" s="648">
        <f>D320+D328+D336+D344+D352+D360+D368+D376+D384+D392+D400+D408+D416+D424+D432+D440+D448+D456+D464+D472+D480+D488+D496+D504+D512+D520+D528+D536+D544+D552+D560+D568</f>
        <v>2275223</v>
      </c>
      <c r="E576" s="648">
        <f>E320+E328+E336+E344+E352+E360+E368+E376+E384+E392+E400+E408+E416+E424+E432+E440+E448+E456+E464+E472+E480+E488+E496+E504+E512+E520+E528+E536+E544+E552+E560+E568</f>
        <v>857490</v>
      </c>
      <c r="F576" s="652">
        <f t="shared" si="16"/>
        <v>3132713</v>
      </c>
      <c r="G576" s="648">
        <f>G320+G328+G336+G344+G352+G360+G368+G376+G384+G392+G400+G408+G416+G424+G432+G440+G448+G456+G464+G472+G480+G488+G496+G504+G512+G520+G528+G536+G544+G552+G560+G568</f>
        <v>2299620</v>
      </c>
      <c r="H576" s="648">
        <f>H320+H328+H336+H344+H352+H360+H368+H376+H384+H392+H400+H408+H416+H424+H432+H440+H448+H456+H464+H472+H480+H488+H496+H504+H512+H520+H528+H536+H544+H552+H560+H568</f>
        <v>231140</v>
      </c>
      <c r="I576" s="648">
        <f>I320+I328+I336+I344+I352+I360+I368+I376+I384+I392+I400+I408+I416+I424+I432+I440+I448+I456+I464+I472+I480+I488+I496+I504+I512+I520+I528+I536+I544+I552+I560+I568</f>
        <v>0</v>
      </c>
      <c r="J576" s="648">
        <f>J320+J328+J336+J344+J352+J360+J368+J376+J384+J392+J400+J408+J416+J424+J432+J440+J448+J456+J464+J472+J480+J488+J496+J504+J512+J520+J528+J536+J544+J552+J560+J568</f>
        <v>0</v>
      </c>
      <c r="K576" s="652">
        <f t="shared" si="17"/>
        <v>2530760</v>
      </c>
      <c r="L576" s="648">
        <f>L320+L328+L336+L344+L352+L360+L368+L376+L384+L392+L400+L408+L416+L424+L432+L440+L448+L456+L464+L472+L480+L488+L496+L504+L512+L520+L528+L536+L544+L552+L560+L568</f>
        <v>402849</v>
      </c>
      <c r="M576" s="648">
        <f>M320+M328+M336+M344+M352+M360+M368+M376+M384+M392+M400+M408+M416+M424+M432+M440+M448+M456+M464+M472+M480+M488+M496+M504+M512+M520+M528+M536+M544+M552+M560+M568</f>
        <v>0</v>
      </c>
      <c r="N576" s="648">
        <f>N320+N328+N336+N344+N352+N360+N368+N376+N384+N392+N400+N408+N416+N424+N432+N440+N448+N456+N464+N472+N480+N488+N496+N504+N512+N520+N528+N536+N544+N552+N560+N568</f>
        <v>5143951</v>
      </c>
      <c r="O576" s="1503">
        <f>1-N577</f>
        <v>0.54113954227519701</v>
      </c>
    </row>
    <row r="577" spans="1:15" ht="12" customHeight="1" thickBot="1">
      <c r="A577" s="1513"/>
      <c r="B577" s="1504"/>
      <c r="C577" s="644" t="s">
        <v>6219</v>
      </c>
      <c r="D577" s="645">
        <f>D576/(D576+E576+G576+H576+I576+J576+L576+M576+N576)</f>
        <v>0.20295875042472203</v>
      </c>
      <c r="E577" s="645">
        <f>E576/(D576+E576+G576+H576+I576+J576+L576+M576+N576)</f>
        <v>7.6491446729263418E-2</v>
      </c>
      <c r="F577" s="646">
        <f t="shared" si="16"/>
        <v>0.27945019715398545</v>
      </c>
      <c r="G577" s="645">
        <f>G576/(D576+E576+G576+H576+I576+J576+L576+M576+N576)</f>
        <v>0.20513505781705763</v>
      </c>
      <c r="H577" s="645">
        <f>H576/(D576+E576+G576+H576+I576+J576+L576+M576+N576)</f>
        <v>2.0618587968375079E-2</v>
      </c>
      <c r="I577" s="645">
        <f>I576/(D576+E576+G576+H576+I576+J576+L576+M576+N576)</f>
        <v>0</v>
      </c>
      <c r="J577" s="645">
        <f>J576/(D576+E576+G576+H576+I576+J576+L576+M576+N576)</f>
        <v>0</v>
      </c>
      <c r="K577" s="646">
        <f t="shared" si="17"/>
        <v>0.22575364578543269</v>
      </c>
      <c r="L577" s="645">
        <f>L576/(D576+E576+G576+H576+I576+J576+L576+M576+N576)</f>
        <v>3.5935699335778885E-2</v>
      </c>
      <c r="M577" s="645">
        <f>M576/(D576+E576+G576+H576+I576+J576+L576+M576+N576)</f>
        <v>0</v>
      </c>
      <c r="N577" s="645">
        <f>N576/(D576+E576+G576+H576+I576+J576+L576+M576+N576)</f>
        <v>0.45886045772480294</v>
      </c>
      <c r="O577" s="1505"/>
    </row>
    <row r="578" spans="1:15" ht="12" customHeight="1" thickTop="1">
      <c r="A578" s="1516" t="s">
        <v>15010</v>
      </c>
      <c r="B578" s="1509" t="s">
        <v>14937</v>
      </c>
      <c r="C578" s="647" t="s">
        <v>6218</v>
      </c>
      <c r="D578" s="648">
        <v>54721</v>
      </c>
      <c r="E578" s="648">
        <v>25399</v>
      </c>
      <c r="F578" s="649">
        <f t="shared" ref="F578:F641" si="18">SUM(D578:E578)</f>
        <v>80120</v>
      </c>
      <c r="G578" s="648">
        <v>93081</v>
      </c>
      <c r="H578" s="648">
        <v>8459</v>
      </c>
      <c r="I578" s="648">
        <v>3637</v>
      </c>
      <c r="J578" s="648">
        <v>7554</v>
      </c>
      <c r="K578" s="649">
        <f t="shared" ref="K578:K641" si="19">SUM(G578:J578)</f>
        <v>112731</v>
      </c>
      <c r="L578" s="648">
        <v>14884</v>
      </c>
      <c r="M578" s="648">
        <v>6510</v>
      </c>
      <c r="N578" s="648">
        <v>174103</v>
      </c>
      <c r="O578" s="1510">
        <f>1-N579</f>
        <v>0.55168302656380352</v>
      </c>
    </row>
    <row r="579" spans="1:15" ht="12" customHeight="1">
      <c r="A579" s="1517"/>
      <c r="B579" s="1502"/>
      <c r="C579" s="635" t="s">
        <v>6219</v>
      </c>
      <c r="D579" s="636">
        <f>D578/(D578+E578+G578+H578+I578+J578+L578+M578+N578)</f>
        <v>0.1409071245377857</v>
      </c>
      <c r="E579" s="636">
        <f>E578/(D578+E578+G578+H578+I578+J578+L578+M578+N578)</f>
        <v>6.5402680070452274E-2</v>
      </c>
      <c r="F579" s="637">
        <f t="shared" si="18"/>
        <v>0.20630980460823797</v>
      </c>
      <c r="G579" s="636">
        <f>G578/(D578+E578+G578+H578+I578+J578+L578+M578+N578)</f>
        <v>0.23968450976958811</v>
      </c>
      <c r="H579" s="636">
        <f>H578/(D578+E578+G578+H578+I578+J578+L578+M578+N578)</f>
        <v>2.1782009949838803E-2</v>
      </c>
      <c r="I579" s="636">
        <f>I578/(D578+E578+G578+H578+I578+J578+L578+M578+N578)</f>
        <v>9.3653115247149463E-3</v>
      </c>
      <c r="J579" s="636">
        <f>J578/(D578+E578+G578+H578+I578+J578+L578+M578+N578)</f>
        <v>1.945162586134086E-2</v>
      </c>
      <c r="K579" s="637">
        <f t="shared" si="19"/>
        <v>0.2902834571054827</v>
      </c>
      <c r="L579" s="636">
        <f>L578/(D578+E578+G578+H578+I578+J578+L578+M578+N578)</f>
        <v>3.8326449473152946E-2</v>
      </c>
      <c r="M579" s="636">
        <f>M578/(D578+E578+G578+H578+I578+J578+L578+M578+N578)</f>
        <v>1.6763315376929971E-2</v>
      </c>
      <c r="N579" s="636">
        <f>N578/(D578+E578+G578+H578+I578+J578+L578+M578+N578)</f>
        <v>0.44831697343619642</v>
      </c>
      <c r="O579" s="1503"/>
    </row>
    <row r="580" spans="1:15" ht="12" customHeight="1">
      <c r="A580" s="1517"/>
      <c r="B580" s="1502" t="s">
        <v>14938</v>
      </c>
      <c r="C580" s="638" t="s">
        <v>6218</v>
      </c>
      <c r="D580" s="639">
        <v>97707</v>
      </c>
      <c r="E580" s="639">
        <v>29181</v>
      </c>
      <c r="F580" s="640">
        <f t="shared" si="18"/>
        <v>126888</v>
      </c>
      <c r="G580" s="639">
        <v>79620</v>
      </c>
      <c r="H580" s="639">
        <v>10907</v>
      </c>
      <c r="I580" s="639"/>
      <c r="J580" s="639">
        <v>8589</v>
      </c>
      <c r="K580" s="640">
        <f t="shared" si="19"/>
        <v>99116</v>
      </c>
      <c r="L580" s="639">
        <v>16448</v>
      </c>
      <c r="M580" s="639"/>
      <c r="N580" s="639">
        <v>138695</v>
      </c>
      <c r="O580" s="1503">
        <f>1-N581</f>
        <v>0.63611152652388703</v>
      </c>
    </row>
    <row r="581" spans="1:15" ht="12" customHeight="1">
      <c r="A581" s="1517"/>
      <c r="B581" s="1502"/>
      <c r="C581" s="635" t="s">
        <v>6219</v>
      </c>
      <c r="D581" s="636">
        <f>D580/(D580+E580+G580+H580+I580+J580+L580+M580+N580)</f>
        <v>0.25634991223858511</v>
      </c>
      <c r="E581" s="636">
        <f>E580/(D580+E580+G580+H580+I580+J580+L580+M580+N580)</f>
        <v>7.6561011893049133E-2</v>
      </c>
      <c r="F581" s="637">
        <f t="shared" si="18"/>
        <v>0.33291092413163426</v>
      </c>
      <c r="G581" s="636">
        <f>G580/(D580+E580+G580+H580+I580+J580+L580+M580+N580)</f>
        <v>0.20889578036820439</v>
      </c>
      <c r="H581" s="636">
        <f>H580/(D580+E580+G580+H580+I580+J580+L580+M580+N580)</f>
        <v>2.8616255670384394E-2</v>
      </c>
      <c r="I581" s="636">
        <f>I580/(D580+E580+G580+H580+I580+J580+L580+M580+N580)</f>
        <v>0</v>
      </c>
      <c r="J581" s="636">
        <f>J580/(D580+E580+G580+H580+I580+J580+L580+M580+N580)</f>
        <v>2.2534612629772764E-2</v>
      </c>
      <c r="K581" s="637">
        <f t="shared" si="19"/>
        <v>0.26004664866836152</v>
      </c>
      <c r="L581" s="636">
        <f>L580/(D580+E580+G580+H580+I580+J580+L580+M580+N580)</f>
        <v>4.315395372389131E-2</v>
      </c>
      <c r="M581" s="636">
        <f>M580/(D580+E580+G580+H580+I580+J580+L580+M580+N580)</f>
        <v>0</v>
      </c>
      <c r="N581" s="636">
        <f>N580/(D580+E580+G580+H580+I580+J580+L580+M580+N580)</f>
        <v>0.36388847347611292</v>
      </c>
      <c r="O581" s="1503"/>
    </row>
    <row r="582" spans="1:15" ht="12" customHeight="1">
      <c r="A582" s="1517"/>
      <c r="B582" s="1502" t="s">
        <v>14939</v>
      </c>
      <c r="C582" s="638" t="s">
        <v>6218</v>
      </c>
      <c r="D582" s="639">
        <v>51177</v>
      </c>
      <c r="E582" s="639">
        <v>27614</v>
      </c>
      <c r="F582" s="640">
        <f t="shared" si="18"/>
        <v>78791</v>
      </c>
      <c r="G582" s="639">
        <v>78699</v>
      </c>
      <c r="H582" s="639">
        <v>10535</v>
      </c>
      <c r="I582" s="639"/>
      <c r="J582" s="639"/>
      <c r="K582" s="640">
        <f t="shared" si="19"/>
        <v>89234</v>
      </c>
      <c r="L582" s="639">
        <v>14972</v>
      </c>
      <c r="M582" s="639">
        <v>9118</v>
      </c>
      <c r="N582" s="639">
        <v>184335</v>
      </c>
      <c r="O582" s="1503">
        <f>1-N583</f>
        <v>0.51033337760658792</v>
      </c>
    </row>
    <row r="583" spans="1:15" ht="12" customHeight="1">
      <c r="A583" s="1517"/>
      <c r="B583" s="1502"/>
      <c r="C583" s="635" t="s">
        <v>6219</v>
      </c>
      <c r="D583" s="636">
        <f>D582/(D582+E582+G582+H582+I582+J582+L582+M582+N582)</f>
        <v>0.13594634081551335</v>
      </c>
      <c r="E583" s="636">
        <f>E582/(D582+E582+G582+H582+I582+J582+L582+M582+N582)</f>
        <v>7.335369903041572E-2</v>
      </c>
      <c r="F583" s="637">
        <f t="shared" si="18"/>
        <v>0.20930003984592907</v>
      </c>
      <c r="G583" s="636">
        <f>G582/(D582+E582+G582+H582+I582+J582+L582+M582+N582)</f>
        <v>0.20905565148094035</v>
      </c>
      <c r="H583" s="636">
        <f>H582/(D582+E582+G582+H582+I582+J582+L582+M582+N582)</f>
        <v>2.7985124186478947E-2</v>
      </c>
      <c r="I583" s="636">
        <f>I582/(D582+E582+G582+H582+I582+J582+L582+M582+N582)</f>
        <v>0</v>
      </c>
      <c r="J583" s="636">
        <f>J582/(D582+E582+G582+H582+I582+J582+L582+M582+N582)</f>
        <v>0</v>
      </c>
      <c r="K583" s="637">
        <f t="shared" si="19"/>
        <v>0.2370407756674193</v>
      </c>
      <c r="L583" s="636">
        <f>L582/(D582+E582+G582+H582+I582+J582+L582+M582+N582)</f>
        <v>3.9771550006640989E-2</v>
      </c>
      <c r="M583" s="636">
        <f>M582/(D582+E582+G582+H582+I582+J582+L582+M582+N582)</f>
        <v>2.4221012086598485E-2</v>
      </c>
      <c r="N583" s="636">
        <f>N582/(D582+E582+G582+H582+I582+J582+L582+M582+N582)</f>
        <v>0.48966662239341213</v>
      </c>
      <c r="O583" s="1503"/>
    </row>
    <row r="584" spans="1:15" ht="12" customHeight="1">
      <c r="A584" s="1517"/>
      <c r="B584" s="1502" t="s">
        <v>14940</v>
      </c>
      <c r="C584" s="638" t="s">
        <v>6218</v>
      </c>
      <c r="D584" s="639">
        <v>64670</v>
      </c>
      <c r="E584" s="639">
        <v>26546</v>
      </c>
      <c r="F584" s="640">
        <f t="shared" si="18"/>
        <v>91216</v>
      </c>
      <c r="G584" s="639">
        <v>92225</v>
      </c>
      <c r="H584" s="639">
        <v>7061</v>
      </c>
      <c r="I584" s="639"/>
      <c r="J584" s="639"/>
      <c r="K584" s="640">
        <f t="shared" si="19"/>
        <v>99286</v>
      </c>
      <c r="L584" s="639">
        <v>15759</v>
      </c>
      <c r="M584" s="639"/>
      <c r="N584" s="639">
        <v>167597</v>
      </c>
      <c r="O584" s="1503">
        <f>1-N585</f>
        <v>0.55170947258049852</v>
      </c>
    </row>
    <row r="585" spans="1:15" ht="12" customHeight="1" thickBot="1">
      <c r="A585" s="1519"/>
      <c r="B585" s="1514"/>
      <c r="C585" s="641" t="s">
        <v>6219</v>
      </c>
      <c r="D585" s="642">
        <f>D584/(D584+E584+G584+H584+I584+J584+L584+M584+N584)</f>
        <v>0.17298011544490155</v>
      </c>
      <c r="E585" s="642">
        <f>E584/(D584+E584+G584+H584+I584+J584+L584+M584+N584)</f>
        <v>7.1005568959337503E-2</v>
      </c>
      <c r="F585" s="643">
        <f t="shared" si="18"/>
        <v>0.24398568440423907</v>
      </c>
      <c r="G585" s="642">
        <f>G584/(D584+E584+G584+H584+I584+J584+L584+M584+N584)</f>
        <v>0.24668457007740907</v>
      </c>
      <c r="H585" s="642">
        <f>H584/(D584+E584+G584+H584+I584+J584+L584+M584+N584)</f>
        <v>1.8886850087466364E-2</v>
      </c>
      <c r="I585" s="642">
        <f>I584/(D584+E584+G584+H584+I584+J584+L584+M584+N584)</f>
        <v>0</v>
      </c>
      <c r="J585" s="642">
        <f>J584/(D584+E584+G584+H584+I584+J584+L584+M584+N584)</f>
        <v>0</v>
      </c>
      <c r="K585" s="643">
        <f t="shared" si="19"/>
        <v>0.26557142016487545</v>
      </c>
      <c r="L585" s="642">
        <f>L584/(D584+E584+G584+H584+I584+J584+L584+M584+N584)</f>
        <v>4.2152368011384E-2</v>
      </c>
      <c r="M585" s="642">
        <f>M584/(D584+E584+G584+H584+I584+J584+L584+M584+N584)</f>
        <v>0</v>
      </c>
      <c r="N585" s="642">
        <f>N584/(D584+E584+G584+H584+I584+J584+L584+M584+N584)</f>
        <v>0.44829052741950154</v>
      </c>
      <c r="O585" s="1515"/>
    </row>
    <row r="586" spans="1:15" ht="12" customHeight="1">
      <c r="A586" s="1535" t="s">
        <v>15011</v>
      </c>
      <c r="B586" s="1536" t="s">
        <v>14937</v>
      </c>
      <c r="C586" s="632" t="s">
        <v>6218</v>
      </c>
      <c r="D586" s="633">
        <v>56652</v>
      </c>
      <c r="E586" s="633">
        <v>28040</v>
      </c>
      <c r="F586" s="634">
        <f t="shared" si="18"/>
        <v>84692</v>
      </c>
      <c r="G586" s="633">
        <v>97549</v>
      </c>
      <c r="H586" s="633">
        <v>9281</v>
      </c>
      <c r="I586" s="633">
        <v>4183</v>
      </c>
      <c r="J586" s="633">
        <v>8299</v>
      </c>
      <c r="K586" s="634">
        <f t="shared" si="19"/>
        <v>119312</v>
      </c>
      <c r="L586" s="633">
        <v>19464</v>
      </c>
      <c r="M586" s="633">
        <v>7004</v>
      </c>
      <c r="N586" s="633">
        <v>190361</v>
      </c>
      <c r="O586" s="1537">
        <f>1-N587</f>
        <v>0.54765667141122487</v>
      </c>
    </row>
    <row r="587" spans="1:15" ht="12" customHeight="1">
      <c r="A587" s="1517"/>
      <c r="B587" s="1502"/>
      <c r="C587" s="635" t="s">
        <v>6219</v>
      </c>
      <c r="D587" s="636">
        <f>D586/(D586+E586+G586+H586+I586+J586+L586+M586+N586)</f>
        <v>0.13461872049007564</v>
      </c>
      <c r="E587" s="636">
        <f>E586/(D586+E586+G586+H586+I586+J586+L586+M586+N586)</f>
        <v>6.6629755746341182E-2</v>
      </c>
      <c r="F587" s="637">
        <f t="shared" si="18"/>
        <v>0.20124847623641684</v>
      </c>
      <c r="G587" s="636">
        <f>G586/(D586+E586+G586+H586+I586+J586+L586+M586+N586)</f>
        <v>0.23179978756418818</v>
      </c>
      <c r="H587" s="636">
        <f>H586/(D586+E586+G586+H586+I586+J586+L586+M586+N586)</f>
        <v>2.2053878854557507E-2</v>
      </c>
      <c r="I587" s="636">
        <f>I586/(D586+E586+G586+H586+I586+J586+L586+M586+N586)</f>
        <v>9.9398098533147357E-3</v>
      </c>
      <c r="J587" s="636">
        <f>J586/(D586+E586+G586+H586+I586+J586+L586+M586+N586)</f>
        <v>1.9720411659732009E-2</v>
      </c>
      <c r="K587" s="637">
        <f t="shared" si="19"/>
        <v>0.28351388793179239</v>
      </c>
      <c r="L587" s="636">
        <f>L586/(D586+E586+G586+H586+I586+J586+L586+M586+N586)</f>
        <v>4.6251125743465939E-2</v>
      </c>
      <c r="M587" s="636">
        <f>M586/(D586+E586+G586+H586+I586+J586+L586+M586+N586)</f>
        <v>1.6643181499549704E-2</v>
      </c>
      <c r="N587" s="636">
        <f>N586/(D586+E586+G586+H586+I586+J586+L586+M586+N586)</f>
        <v>0.45234332858877513</v>
      </c>
      <c r="O587" s="1503"/>
    </row>
    <row r="588" spans="1:15" ht="12" customHeight="1">
      <c r="A588" s="1517"/>
      <c r="B588" s="1502" t="s">
        <v>14938</v>
      </c>
      <c r="C588" s="638" t="s">
        <v>6218</v>
      </c>
      <c r="D588" s="639">
        <v>106671</v>
      </c>
      <c r="E588" s="639">
        <v>31034</v>
      </c>
      <c r="F588" s="640">
        <f t="shared" si="18"/>
        <v>137705</v>
      </c>
      <c r="G588" s="639">
        <v>83335</v>
      </c>
      <c r="H588" s="639">
        <v>13956</v>
      </c>
      <c r="I588" s="639"/>
      <c r="J588" s="639">
        <v>9303</v>
      </c>
      <c r="K588" s="640">
        <f t="shared" si="19"/>
        <v>106594</v>
      </c>
      <c r="L588" s="639">
        <v>20639</v>
      </c>
      <c r="M588" s="639"/>
      <c r="N588" s="639">
        <v>153363</v>
      </c>
      <c r="O588" s="1503">
        <f>1-N589</f>
        <v>0.63336688174305111</v>
      </c>
    </row>
    <row r="589" spans="1:15" ht="12" customHeight="1">
      <c r="A589" s="1517"/>
      <c r="B589" s="1502"/>
      <c r="C589" s="635" t="s">
        <v>6219</v>
      </c>
      <c r="D589" s="636">
        <f>D588/(D588+E588+G588+H588+I588+J588+L588+M588+N588)</f>
        <v>0.25501014819472101</v>
      </c>
      <c r="E589" s="636">
        <f>E588/(D588+E588+G588+H588+I588+J588+L588+M588+N588)</f>
        <v>7.4190594810913668E-2</v>
      </c>
      <c r="F589" s="637">
        <f t="shared" si="18"/>
        <v>0.32920074300563468</v>
      </c>
      <c r="G589" s="636">
        <f>G588/(D588+E588+G588+H588+I588+J588+L588+M588+N588)</f>
        <v>0.19922256939380972</v>
      </c>
      <c r="H589" s="636">
        <f>H588/(D588+E588+G588+H588+I588+J588+L588+M588+N588)</f>
        <v>3.3363534870822685E-2</v>
      </c>
      <c r="I589" s="636">
        <f>I588/(D588+E588+G588+H588+I588+J588+L588+M588+N588)</f>
        <v>0</v>
      </c>
      <c r="J589" s="636">
        <f>J588/(D588+E588+G588+H588+I588+J588+L588+M588+N588)</f>
        <v>2.2239965957528193E-2</v>
      </c>
      <c r="K589" s="637">
        <f t="shared" si="19"/>
        <v>0.25482607022216058</v>
      </c>
      <c r="L589" s="636">
        <f>L588/(D588+E588+G588+H588+I588+J588+L588+M588+N588)</f>
        <v>4.9340068515255762E-2</v>
      </c>
      <c r="M589" s="636">
        <f>M588/(D588+E588+G588+H588+I588+J588+L588+M588+N588)</f>
        <v>0</v>
      </c>
      <c r="N589" s="636">
        <f>N588/(D588+E588+G588+H588+I588+J588+L588+M588+N588)</f>
        <v>0.36663311825694894</v>
      </c>
      <c r="O589" s="1503"/>
    </row>
    <row r="590" spans="1:15" ht="12" customHeight="1">
      <c r="A590" s="1517"/>
      <c r="B590" s="1502" t="s">
        <v>14939</v>
      </c>
      <c r="C590" s="638" t="s">
        <v>6218</v>
      </c>
      <c r="D590" s="639">
        <v>54810</v>
      </c>
      <c r="E590" s="639">
        <v>31832</v>
      </c>
      <c r="F590" s="640">
        <f t="shared" si="18"/>
        <v>86642</v>
      </c>
      <c r="G590" s="639">
        <v>86752</v>
      </c>
      <c r="H590" s="639">
        <v>11672</v>
      </c>
      <c r="I590" s="639"/>
      <c r="J590" s="639"/>
      <c r="K590" s="640">
        <f t="shared" si="19"/>
        <v>98424</v>
      </c>
      <c r="L590" s="639">
        <v>18813</v>
      </c>
      <c r="M590" s="639">
        <v>9546</v>
      </c>
      <c r="N590" s="639">
        <v>201874</v>
      </c>
      <c r="O590" s="1503">
        <f>1-N591</f>
        <v>0.51390684783734131</v>
      </c>
    </row>
    <row r="591" spans="1:15" ht="12" customHeight="1">
      <c r="A591" s="1517"/>
      <c r="B591" s="1502"/>
      <c r="C591" s="635" t="s">
        <v>6219</v>
      </c>
      <c r="D591" s="636">
        <f>D590/(D590+E590+G590+H590+I590+J590+L590+M590+N590)</f>
        <v>0.13197720196773891</v>
      </c>
      <c r="E591" s="636">
        <f>E590/(D590+E590+G590+H590+I590+J590+L590+M590+N590)</f>
        <v>7.6648390677560019E-2</v>
      </c>
      <c r="F591" s="637">
        <f t="shared" si="18"/>
        <v>0.20862559264529892</v>
      </c>
      <c r="G591" s="636">
        <f>G590/(D590+E590+G590+H590+I590+J590+L590+M590+N590)</f>
        <v>0.20889046205264158</v>
      </c>
      <c r="H591" s="636">
        <f>H590/(D590+E590+G590+H590+I590+J590+L590+M590+N590)</f>
        <v>2.8105052022759505E-2</v>
      </c>
      <c r="I591" s="636">
        <f>I590/(D590+E590+G590+H590+I590+J590+L590+M590+N590)</f>
        <v>0</v>
      </c>
      <c r="J591" s="636">
        <f>J590/(D590+E590+G590+H590+I590+J590+L590+M590+N590)</f>
        <v>0</v>
      </c>
      <c r="K591" s="637">
        <f t="shared" si="19"/>
        <v>0.23699551407540109</v>
      </c>
      <c r="L591" s="636">
        <f>L590/(D590+E590+G590+H590+I590+J590+L590+M590+N590)</f>
        <v>4.5299892366704474E-2</v>
      </c>
      <c r="M591" s="636">
        <f>M590/(D590+E590+G590+H590+I590+J590+L590+M590+N590)</f>
        <v>2.2985848749936793E-2</v>
      </c>
      <c r="N591" s="636">
        <f>N590/(D590+E590+G590+H590+I590+J590+L590+M590+N590)</f>
        <v>0.48609315216265869</v>
      </c>
      <c r="O591" s="1503"/>
    </row>
    <row r="592" spans="1:15" ht="12" customHeight="1">
      <c r="A592" s="1517"/>
      <c r="B592" s="1502" t="s">
        <v>14940</v>
      </c>
      <c r="C592" s="638" t="s">
        <v>6218</v>
      </c>
      <c r="D592" s="639">
        <v>70883</v>
      </c>
      <c r="E592" s="639">
        <v>32331</v>
      </c>
      <c r="F592" s="640">
        <f t="shared" si="18"/>
        <v>103214</v>
      </c>
      <c r="G592" s="639">
        <v>98808</v>
      </c>
      <c r="H592" s="639">
        <v>8960</v>
      </c>
      <c r="I592" s="639"/>
      <c r="J592" s="639"/>
      <c r="K592" s="640">
        <f t="shared" si="19"/>
        <v>107768</v>
      </c>
      <c r="L592" s="639">
        <v>20174</v>
      </c>
      <c r="M592" s="639"/>
      <c r="N592" s="639">
        <v>182591</v>
      </c>
      <c r="O592" s="1503">
        <f>1-N593</f>
        <v>0.558689247293636</v>
      </c>
    </row>
    <row r="593" spans="1:15" ht="12" customHeight="1" thickBot="1">
      <c r="A593" s="1519"/>
      <c r="B593" s="1514"/>
      <c r="C593" s="641" t="s">
        <v>6219</v>
      </c>
      <c r="D593" s="642">
        <f>D592/(D592+E592+G592+H592+I592+J592+L592+M592+N592)</f>
        <v>0.17131967120003286</v>
      </c>
      <c r="E593" s="642">
        <f>E592/(D592+E592+G592+H592+I592+J592+L592+M592+N592)</f>
        <v>7.8141956316299568E-2</v>
      </c>
      <c r="F593" s="643">
        <f t="shared" si="18"/>
        <v>0.24946162751633244</v>
      </c>
      <c r="G593" s="642">
        <f>G592/(D592+E592+G592+H592+I592+J592+L592+M592+N592)</f>
        <v>0.23881260770470844</v>
      </c>
      <c r="H593" s="642">
        <f>H592/(D592+E592+G592+H592+I592+J592+L592+M592+N592)</f>
        <v>2.1655746144382919E-2</v>
      </c>
      <c r="I593" s="642">
        <f>I592/(D592+E592+G592+H592+I592+J592+L592+M592+N592)</f>
        <v>0</v>
      </c>
      <c r="J593" s="642">
        <f>J592/(D592+E592+G592+H592+I592+J592+L592+M592+N592)</f>
        <v>0</v>
      </c>
      <c r="K593" s="643">
        <f t="shared" si="19"/>
        <v>0.26046835384909134</v>
      </c>
      <c r="L593" s="642">
        <f>L592/(D592+E592+G592+H592+I592+J592+L592+M592+N592)</f>
        <v>4.875926592821217E-2</v>
      </c>
      <c r="M593" s="642">
        <f>M592/(D592+E592+G592+H592+I592+J592+L592+M592+N592)</f>
        <v>0</v>
      </c>
      <c r="N593" s="642">
        <f>N592/(D592+E592+G592+H592+I592+J592+L592+M592+N592)</f>
        <v>0.44131075270636405</v>
      </c>
      <c r="O593" s="1515"/>
    </row>
    <row r="594" spans="1:15" ht="12" customHeight="1">
      <c r="A594" s="1535" t="s">
        <v>15012</v>
      </c>
      <c r="B594" s="1536" t="s">
        <v>14937</v>
      </c>
      <c r="C594" s="632" t="s">
        <v>6218</v>
      </c>
      <c r="D594" s="633">
        <v>45024</v>
      </c>
      <c r="E594" s="633">
        <v>24609</v>
      </c>
      <c r="F594" s="634">
        <f t="shared" si="18"/>
        <v>69633</v>
      </c>
      <c r="G594" s="633">
        <v>71212</v>
      </c>
      <c r="H594" s="633">
        <v>5241</v>
      </c>
      <c r="I594" s="633">
        <v>2603</v>
      </c>
      <c r="J594" s="633">
        <v>4523</v>
      </c>
      <c r="K594" s="634">
        <f t="shared" si="19"/>
        <v>83579</v>
      </c>
      <c r="L594" s="633">
        <v>10144</v>
      </c>
      <c r="M594" s="633">
        <v>4548</v>
      </c>
      <c r="N594" s="633">
        <v>146699</v>
      </c>
      <c r="O594" s="1537">
        <f>1-N595</f>
        <v>0.53370120437503776</v>
      </c>
    </row>
    <row r="595" spans="1:15" ht="12" customHeight="1">
      <c r="A595" s="1517"/>
      <c r="B595" s="1502"/>
      <c r="C595" s="635" t="s">
        <v>6219</v>
      </c>
      <c r="D595" s="636">
        <f>D594/(D594+E594+G594+H594+I594+J594+L594+M594+N594)</f>
        <v>0.14311370203081344</v>
      </c>
      <c r="E595" s="636">
        <f>E594/(D594+E594+G594+H594+I594+J594+L594+M594+N594)</f>
        <v>7.8222394573478321E-2</v>
      </c>
      <c r="F595" s="637">
        <f t="shared" si="18"/>
        <v>0.22133609660429177</v>
      </c>
      <c r="G595" s="636">
        <f>G594/(D594+E594+G594+H594+I594+J594+L594+M594+N594)</f>
        <v>0.22635512058054119</v>
      </c>
      <c r="H595" s="636">
        <f>H594/(D594+E594+G594+H594+I594+J594+L594+M594+N594)</f>
        <v>1.6659090981332027E-2</v>
      </c>
      <c r="I595" s="636">
        <f>I594/(D594+E594+G594+H594+I594+J594+L594+M594+N594)</f>
        <v>8.2739198291179681E-3</v>
      </c>
      <c r="J595" s="636">
        <f>J594/(D594+E594+G594+H594+I594+J594+L594+M594+N594)</f>
        <v>1.4376849553246472E-2</v>
      </c>
      <c r="K595" s="637">
        <f t="shared" si="19"/>
        <v>0.26566498094423768</v>
      </c>
      <c r="L595" s="636">
        <f>L594/(D594+E594+G594+H594+I594+J594+L594+M594+N594)</f>
        <v>3.2243812042478934E-2</v>
      </c>
      <c r="M595" s="636">
        <f>M594/(D594+E594+G594+H594+I594+J594+L594+M594+N594)</f>
        <v>1.4456314784029397E-2</v>
      </c>
      <c r="N595" s="636">
        <f>N594/(D594+E594+G594+H594+I594+J594+L594+M594+N594)</f>
        <v>0.46629879562496224</v>
      </c>
      <c r="O595" s="1503"/>
    </row>
    <row r="596" spans="1:15" ht="12" customHeight="1">
      <c r="A596" s="1517"/>
      <c r="B596" s="1502" t="s">
        <v>14938</v>
      </c>
      <c r="C596" s="638" t="s">
        <v>6218</v>
      </c>
      <c r="D596" s="639">
        <v>83197</v>
      </c>
      <c r="E596" s="639">
        <v>28864</v>
      </c>
      <c r="F596" s="640">
        <f t="shared" si="18"/>
        <v>112061</v>
      </c>
      <c r="G596" s="639">
        <v>65039</v>
      </c>
      <c r="H596" s="639">
        <v>8061</v>
      </c>
      <c r="I596" s="639"/>
      <c r="J596" s="639">
        <v>6575</v>
      </c>
      <c r="K596" s="640">
        <f t="shared" si="19"/>
        <v>79675</v>
      </c>
      <c r="L596" s="639">
        <v>11849</v>
      </c>
      <c r="M596" s="639"/>
      <c r="N596" s="639">
        <v>107541</v>
      </c>
      <c r="O596" s="1503">
        <f>1-N597</f>
        <v>0.65434904186728204</v>
      </c>
    </row>
    <row r="597" spans="1:15" ht="12" customHeight="1">
      <c r="A597" s="1517"/>
      <c r="B597" s="1502"/>
      <c r="C597" s="635" t="s">
        <v>6219</v>
      </c>
      <c r="D597" s="636">
        <f>D596/(D596+E596+G596+H596+I596+J596+L596+M596+N596)</f>
        <v>0.26740613127800311</v>
      </c>
      <c r="E597" s="636">
        <f>E596/(D596+E596+G596+H596+I596+J596+L596+M596+N596)</f>
        <v>9.2772703020641153E-2</v>
      </c>
      <c r="F597" s="637">
        <f t="shared" si="18"/>
        <v>0.36017883429864428</v>
      </c>
      <c r="G597" s="636">
        <f>G596/(D596+E596+G596+H596+I596+J596+L596+M596+N596)</f>
        <v>0.20904392432647867</v>
      </c>
      <c r="H597" s="636">
        <f>H596/(D596+E596+G596+H596+I596+J596+L596+M596+N596)</f>
        <v>2.5909117206533688E-2</v>
      </c>
      <c r="I597" s="636">
        <f>I596/(D596+E596+G596+H596+I596+J596+L596+M596+N596)</f>
        <v>0</v>
      </c>
      <c r="J597" s="636">
        <f>J596/(D596+E596+G596+H596+I596+J596+L596+M596+N596)</f>
        <v>2.1132917210390647E-2</v>
      </c>
      <c r="K597" s="637">
        <f t="shared" si="19"/>
        <v>0.25608595874340301</v>
      </c>
      <c r="L597" s="636">
        <f>L596/(D596+E596+G596+H596+I596+J596+L596+M596+N596)</f>
        <v>3.8084248825234791E-2</v>
      </c>
      <c r="M597" s="636">
        <f>M596/(D596+E596+G596+H596+I596+J596+L596+M596+N596)</f>
        <v>0</v>
      </c>
      <c r="N597" s="636">
        <f>N596/(D596+E596+G596+H596+I596+J596+L596+M596+N596)</f>
        <v>0.34565095813271796</v>
      </c>
      <c r="O597" s="1503"/>
    </row>
    <row r="598" spans="1:15" ht="12" customHeight="1">
      <c r="A598" s="1517"/>
      <c r="B598" s="1502" t="s">
        <v>14939</v>
      </c>
      <c r="C598" s="638" t="s">
        <v>6218</v>
      </c>
      <c r="D598" s="639">
        <v>44556</v>
      </c>
      <c r="E598" s="639">
        <v>28870</v>
      </c>
      <c r="F598" s="640">
        <f t="shared" si="18"/>
        <v>73426</v>
      </c>
      <c r="G598" s="639">
        <v>60967</v>
      </c>
      <c r="H598" s="639">
        <v>6232</v>
      </c>
      <c r="I598" s="639"/>
      <c r="J598" s="639"/>
      <c r="K598" s="640">
        <f t="shared" si="19"/>
        <v>67199</v>
      </c>
      <c r="L598" s="639">
        <v>10234</v>
      </c>
      <c r="M598" s="639">
        <v>6500</v>
      </c>
      <c r="N598" s="639">
        <v>150227</v>
      </c>
      <c r="O598" s="1503">
        <f>1-N599</f>
        <v>0.51159350555616967</v>
      </c>
    </row>
    <row r="599" spans="1:15" ht="12" customHeight="1">
      <c r="A599" s="1517"/>
      <c r="B599" s="1502"/>
      <c r="C599" s="635" t="s">
        <v>6219</v>
      </c>
      <c r="D599" s="636">
        <f>D598/(D598+E598+G598+H598+I598+J598+L598+M598+N598)</f>
        <v>0.14485704811012204</v>
      </c>
      <c r="E599" s="636">
        <f>E598/(D598+E598+G598+H598+I598+J598+L598+M598+N598)</f>
        <v>9.385992860533314E-2</v>
      </c>
      <c r="F599" s="637">
        <f t="shared" si="18"/>
        <v>0.23871697671545516</v>
      </c>
      <c r="G599" s="636">
        <f>G598/(D598+E598+G598+H598+I598+J598+L598+M598+N598)</f>
        <v>0.19821123198064933</v>
      </c>
      <c r="H599" s="636">
        <f>H598/(D598+E598+G598+H598+I598+J598+L598+M598+N598)</f>
        <v>2.0261000175560658E-2</v>
      </c>
      <c r="I599" s="636">
        <f>I598/(D598+E598+G598+H598+I598+J598+L598+M598+N598)</f>
        <v>0</v>
      </c>
      <c r="J599" s="636">
        <f>J598/(D598+E598+G598+H598+I598+J598+L598+M598+N598)</f>
        <v>0</v>
      </c>
      <c r="K599" s="637">
        <f t="shared" si="19"/>
        <v>0.21847223215620998</v>
      </c>
      <c r="L599" s="636">
        <f>L598/(D598+E598+G598+H598+I598+J598+L598+M598+N598)</f>
        <v>3.3271995474436419E-2</v>
      </c>
      <c r="M599" s="636">
        <f>M598/(D598+E598+G598+H598+I598+J598+L598+M598+N598)</f>
        <v>2.113230121006808E-2</v>
      </c>
      <c r="N599" s="636">
        <f>N598/(D598+E598+G598+H598+I598+J598+L598+M598+N598)</f>
        <v>0.48840649444383033</v>
      </c>
      <c r="O599" s="1503"/>
    </row>
    <row r="600" spans="1:15" ht="12" customHeight="1">
      <c r="A600" s="1517"/>
      <c r="B600" s="1502" t="s">
        <v>14940</v>
      </c>
      <c r="C600" s="638" t="s">
        <v>6218</v>
      </c>
      <c r="D600" s="639">
        <v>61687</v>
      </c>
      <c r="E600" s="639">
        <v>28570</v>
      </c>
      <c r="F600" s="640">
        <f t="shared" si="18"/>
        <v>90257</v>
      </c>
      <c r="G600" s="639">
        <v>74368</v>
      </c>
      <c r="H600" s="639">
        <v>4673</v>
      </c>
      <c r="I600" s="639"/>
      <c r="J600" s="639"/>
      <c r="K600" s="640">
        <f t="shared" si="19"/>
        <v>79041</v>
      </c>
      <c r="L600" s="639">
        <v>10716</v>
      </c>
      <c r="M600" s="639"/>
      <c r="N600" s="639">
        <v>125866</v>
      </c>
      <c r="O600" s="1503">
        <f>1-N601</f>
        <v>0.58851183470642088</v>
      </c>
    </row>
    <row r="601" spans="1:15" ht="12" customHeight="1" thickBot="1">
      <c r="A601" s="1519"/>
      <c r="B601" s="1514"/>
      <c r="C601" s="641" t="s">
        <v>6219</v>
      </c>
      <c r="D601" s="642">
        <f>D600/(D600+E600+G600+H600+I600+J600+L600+M600+N600)</f>
        <v>0.20167058977376748</v>
      </c>
      <c r="E601" s="642">
        <f>E600/(D600+E600+G600+H600+I600+J600+L600+M600+N600)</f>
        <v>9.3402641558781224E-2</v>
      </c>
      <c r="F601" s="643">
        <f t="shared" si="18"/>
        <v>0.2950732313325487</v>
      </c>
      <c r="G601" s="642">
        <f>G600/(D600+E600+G600+H600+I600+J600+L600+M600+N600)</f>
        <v>0.24312802406172354</v>
      </c>
      <c r="H601" s="642">
        <f>H600/(D600+E600+G600+H600+I600+J600+L600+M600+N600)</f>
        <v>1.5277232901791553E-2</v>
      </c>
      <c r="I601" s="642">
        <f>I600/(D600+E600+G600+H600+I600+J600+L600+M600+N600)</f>
        <v>0</v>
      </c>
      <c r="J601" s="642">
        <f>J600/(D600+E600+G600+H600+I600+J600+L600+M600+N600)</f>
        <v>0</v>
      </c>
      <c r="K601" s="643">
        <f t="shared" si="19"/>
        <v>0.25840525696351507</v>
      </c>
      <c r="L601" s="642">
        <f>L600/(D600+E600+G600+H600+I600+J600+L600+M600+N600)</f>
        <v>3.5033346410357005E-2</v>
      </c>
      <c r="M601" s="642">
        <f>M600/(D600+E600+G600+H600+I600+J600+L600+M600+N600)</f>
        <v>0</v>
      </c>
      <c r="N601" s="642">
        <f>N600/(D600+E600+G600+H600+I600+J600+L600+M600+N600)</f>
        <v>0.41148816529357918</v>
      </c>
      <c r="O601" s="1515"/>
    </row>
    <row r="602" spans="1:15" ht="12" customHeight="1">
      <c r="A602" s="1538" t="s">
        <v>15013</v>
      </c>
      <c r="B602" s="1536" t="s">
        <v>14937</v>
      </c>
      <c r="C602" s="632" t="s">
        <v>6218</v>
      </c>
      <c r="D602" s="633">
        <v>62098</v>
      </c>
      <c r="E602" s="633">
        <v>30523</v>
      </c>
      <c r="F602" s="634">
        <f t="shared" si="18"/>
        <v>92621</v>
      </c>
      <c r="G602" s="633">
        <v>108449</v>
      </c>
      <c r="H602" s="633">
        <v>9562</v>
      </c>
      <c r="I602" s="633">
        <v>4614</v>
      </c>
      <c r="J602" s="633">
        <v>8987</v>
      </c>
      <c r="K602" s="634">
        <f t="shared" si="19"/>
        <v>131612</v>
      </c>
      <c r="L602" s="633">
        <v>23503</v>
      </c>
      <c r="M602" s="633">
        <v>7231</v>
      </c>
      <c r="N602" s="633">
        <v>222303</v>
      </c>
      <c r="O602" s="1537">
        <f>1-N603</f>
        <v>0.53421962411213775</v>
      </c>
    </row>
    <row r="603" spans="1:15" ht="12" customHeight="1">
      <c r="A603" s="1527"/>
      <c r="B603" s="1502"/>
      <c r="C603" s="635" t="s">
        <v>6219</v>
      </c>
      <c r="D603" s="636">
        <f>D602/(D602+E602+G602+H602+I602+J602+L602+M602+N602)</f>
        <v>0.13011083872860227</v>
      </c>
      <c r="E603" s="636">
        <f>E602/(D602+E602+G602+H602+I602+J602+L602+M602+N602)</f>
        <v>6.3953317828482834E-2</v>
      </c>
      <c r="F603" s="637">
        <f t="shared" si="18"/>
        <v>0.19406415655708509</v>
      </c>
      <c r="G603" s="636">
        <f>G602/(D602+E602+G602+H602+I602+J602+L602+M602+N602)</f>
        <v>0.22722777463490268</v>
      </c>
      <c r="H603" s="636">
        <f>H602/(D602+E602+G602+H602+I602+J602+L602+M602+N602)</f>
        <v>2.0034781151130387E-2</v>
      </c>
      <c r="I603" s="636">
        <f>I602/(D602+E602+G602+H602+I602+J602+L602+M602+N602)</f>
        <v>9.6674838141932243E-3</v>
      </c>
      <c r="J603" s="636">
        <f>J602/(D602+E602+G602+H602+I602+J602+L602+M602+N602)</f>
        <v>1.8830012361975401E-2</v>
      </c>
      <c r="K603" s="637">
        <f t="shared" si="19"/>
        <v>0.27576005196220171</v>
      </c>
      <c r="L603" s="636">
        <f>L602/(D602+E602+G602+H602+I602+J602+L602+M602+N602)</f>
        <v>4.9244662350451524E-2</v>
      </c>
      <c r="M603" s="636">
        <f>M602/(D602+E602+G602+H602+I602+J602+L602+M602+N602)</f>
        <v>1.515075324239948E-2</v>
      </c>
      <c r="N603" s="636">
        <f>N602/(D602+E602+G602+H602+I602+J602+L602+M602+N602)</f>
        <v>0.4657803758878622</v>
      </c>
      <c r="O603" s="1503"/>
    </row>
    <row r="604" spans="1:15" ht="12" customHeight="1">
      <c r="A604" s="1527"/>
      <c r="B604" s="1502" t="s">
        <v>14938</v>
      </c>
      <c r="C604" s="638" t="s">
        <v>6218</v>
      </c>
      <c r="D604" s="639">
        <v>117748</v>
      </c>
      <c r="E604" s="639">
        <v>31399</v>
      </c>
      <c r="F604" s="640">
        <f t="shared" si="18"/>
        <v>149147</v>
      </c>
      <c r="G604" s="639">
        <v>91105</v>
      </c>
      <c r="H604" s="639">
        <v>13417</v>
      </c>
      <c r="I604" s="639"/>
      <c r="J604" s="639">
        <v>11202</v>
      </c>
      <c r="K604" s="640">
        <f t="shared" si="19"/>
        <v>115724</v>
      </c>
      <c r="L604" s="639">
        <v>24963</v>
      </c>
      <c r="M604" s="639"/>
      <c r="N604" s="639">
        <v>175934</v>
      </c>
      <c r="O604" s="1503">
        <f>1-N605</f>
        <v>0.62227117363150752</v>
      </c>
    </row>
    <row r="605" spans="1:15" ht="12" customHeight="1">
      <c r="A605" s="1527"/>
      <c r="B605" s="1502"/>
      <c r="C605" s="635" t="s">
        <v>6219</v>
      </c>
      <c r="D605" s="636">
        <f>D604/(D604+E604+G604+H604+I604+J604+L604+M604+N604)</f>
        <v>0.25280397107572866</v>
      </c>
      <c r="E605" s="636">
        <f>E604/(D604+E604+G604+H604+I604+J604+L604+M604+N604)</f>
        <v>6.7413390357431172E-2</v>
      </c>
      <c r="F605" s="637">
        <f t="shared" si="18"/>
        <v>0.32021736143315982</v>
      </c>
      <c r="G605" s="636">
        <f>G604/(D604+E604+G604+H604+I604+J604+L604+M604+N604)</f>
        <v>0.19560167293588224</v>
      </c>
      <c r="H605" s="636">
        <f>H604/(D604+E604+G604+H604+I604+J604+L604+M604+N604)</f>
        <v>2.8806186771096341E-2</v>
      </c>
      <c r="I605" s="636">
        <f>I604/(D604+E604+G604+H604+I604+J604+L604+M604+N604)</f>
        <v>0</v>
      </c>
      <c r="J605" s="636">
        <f>J604/(D604+E604+G604+H604+I604+J604+L604+M604+N604)</f>
        <v>2.4050600298861236E-2</v>
      </c>
      <c r="K605" s="637">
        <f t="shared" si="19"/>
        <v>0.24845846000583982</v>
      </c>
      <c r="L605" s="636">
        <f>L604/(D604+E604+G604+H604+I604+J604+L604+M604+N604)</f>
        <v>5.3595352192507856E-2</v>
      </c>
      <c r="M605" s="636">
        <f>M604/(D604+E604+G604+H604+I604+J604+L604+M604+N604)</f>
        <v>0</v>
      </c>
      <c r="N605" s="636">
        <f>N604/(D604+E604+G604+H604+I604+J604+L604+M604+N604)</f>
        <v>0.37772882636849248</v>
      </c>
      <c r="O605" s="1503"/>
    </row>
    <row r="606" spans="1:15" ht="12" customHeight="1">
      <c r="A606" s="1527"/>
      <c r="B606" s="1502" t="s">
        <v>14939</v>
      </c>
      <c r="C606" s="638" t="s">
        <v>6218</v>
      </c>
      <c r="D606" s="639">
        <v>60406</v>
      </c>
      <c r="E606" s="639">
        <v>33607</v>
      </c>
      <c r="F606" s="640">
        <f t="shared" si="18"/>
        <v>94013</v>
      </c>
      <c r="G606" s="639">
        <v>98991</v>
      </c>
      <c r="H606" s="639">
        <v>11812</v>
      </c>
      <c r="I606" s="639"/>
      <c r="J606" s="639"/>
      <c r="K606" s="640">
        <f t="shared" si="19"/>
        <v>110803</v>
      </c>
      <c r="L606" s="639">
        <v>22714</v>
      </c>
      <c r="M606" s="639">
        <v>10815</v>
      </c>
      <c r="N606" s="639">
        <v>222903</v>
      </c>
      <c r="O606" s="1503">
        <f>1-N607</f>
        <v>0.51673936797557929</v>
      </c>
    </row>
    <row r="607" spans="1:15" ht="12" customHeight="1">
      <c r="A607" s="1527"/>
      <c r="B607" s="1502"/>
      <c r="C607" s="635" t="s">
        <v>6219</v>
      </c>
      <c r="D607" s="636">
        <f>D606/(D606+E606+G606+H606+I606+J606+L606+M606+N606)</f>
        <v>0.13096208547245733</v>
      </c>
      <c r="E607" s="636">
        <f>E606/(D606+E606+G606+H606+I606+J606+L606+M606+N606)</f>
        <v>7.2861020535590404E-2</v>
      </c>
      <c r="F607" s="637">
        <f t="shared" si="18"/>
        <v>0.20382310600804773</v>
      </c>
      <c r="G607" s="636">
        <f>G606/(D606+E606+G606+H606+I606+J606+L606+M606+N606)</f>
        <v>0.21461556472873594</v>
      </c>
      <c r="H607" s="636">
        <f>H606/(D606+E606+G606+H606+I606+J606+L606+M606+N606)</f>
        <v>2.5608783127514915E-2</v>
      </c>
      <c r="I607" s="636">
        <f>I606/(D606+E606+G606+H606+I606+J606+L606+M606+N606)</f>
        <v>0</v>
      </c>
      <c r="J607" s="636">
        <f>J606/(D606+E606+G606+H606+I606+J606+L606+M606+N606)</f>
        <v>0</v>
      </c>
      <c r="K607" s="637">
        <f t="shared" si="19"/>
        <v>0.24022434785625085</v>
      </c>
      <c r="L607" s="636">
        <f>L606/(D606+E606+G606+H606+I606+J606+L606+M606+N606)</f>
        <v>4.924465797141668E-2</v>
      </c>
      <c r="M607" s="636">
        <f>M606/(D606+E606+G606+H606+I606+J606+L606+M606+N606)</f>
        <v>2.3447256139864023E-2</v>
      </c>
      <c r="N607" s="636">
        <f>N606/(D606+E606+G606+H606+I606+J606+L606+M606+N606)</f>
        <v>0.48326063202442071</v>
      </c>
      <c r="O607" s="1503"/>
    </row>
    <row r="608" spans="1:15" ht="12" customHeight="1">
      <c r="A608" s="1527"/>
      <c r="B608" s="1502" t="s">
        <v>14940</v>
      </c>
      <c r="C608" s="638" t="s">
        <v>6218</v>
      </c>
      <c r="D608" s="639">
        <v>71868</v>
      </c>
      <c r="E608" s="639">
        <v>32084</v>
      </c>
      <c r="F608" s="640">
        <f t="shared" si="18"/>
        <v>103952</v>
      </c>
      <c r="G608" s="639">
        <v>107750</v>
      </c>
      <c r="H608" s="639">
        <v>8214</v>
      </c>
      <c r="I608" s="639"/>
      <c r="J608" s="639"/>
      <c r="K608" s="640">
        <f t="shared" si="19"/>
        <v>115964</v>
      </c>
      <c r="L608" s="639">
        <v>24565</v>
      </c>
      <c r="M608" s="639"/>
      <c r="N608" s="639">
        <v>215589</v>
      </c>
      <c r="O608" s="1503">
        <f>1-N609</f>
        <v>0.53139956963070833</v>
      </c>
    </row>
    <row r="609" spans="1:15" ht="12" customHeight="1" thickBot="1">
      <c r="A609" s="1528"/>
      <c r="B609" s="1514"/>
      <c r="C609" s="641" t="s">
        <v>6219</v>
      </c>
      <c r="D609" s="642">
        <f>D608/(D608+E608+G608+H608+I608+J608+L608+M608+N608)</f>
        <v>0.15621101136783533</v>
      </c>
      <c r="E609" s="642">
        <f>E608/(D608+E608+G608+H608+I608+J608+L608+M608+N608)</f>
        <v>6.9737213902232267E-2</v>
      </c>
      <c r="F609" s="643">
        <f t="shared" si="18"/>
        <v>0.22594822527006758</v>
      </c>
      <c r="G609" s="642">
        <f>G608/(D608+E608+G608+H608+I608+J608+L608+M608+N608)</f>
        <v>0.23420349077314323</v>
      </c>
      <c r="H609" s="642">
        <f>H608/(D608+E608+G608+H608+I608+J608+L608+M608+N608)</f>
        <v>1.7853804855782817E-2</v>
      </c>
      <c r="I609" s="642">
        <f>I608/(D608+E608+G608+H608+I608+J608+L608+M608+N608)</f>
        <v>0</v>
      </c>
      <c r="J609" s="642">
        <f>J608/(D608+E608+G608+H608+I608+J608+L608+M608+N608)</f>
        <v>0</v>
      </c>
      <c r="K609" s="643">
        <f t="shared" si="19"/>
        <v>0.25205729562892604</v>
      </c>
      <c r="L609" s="642">
        <f>L608/(D608+E608+G608+H608+I608+J608+L608+M608+N608)</f>
        <v>5.3394048731714737E-2</v>
      </c>
      <c r="M609" s="642">
        <f>M608/(D608+E608+G608+H608+I608+J608+L608+M608+N608)</f>
        <v>0</v>
      </c>
      <c r="N609" s="642">
        <f>N608/(D608+E608+G608+H608+I608+J608+L608+M608+N608)</f>
        <v>0.46860043036929161</v>
      </c>
      <c r="O609" s="1515"/>
    </row>
    <row r="610" spans="1:15" ht="12" customHeight="1">
      <c r="A610" s="1535" t="s">
        <v>15014</v>
      </c>
      <c r="B610" s="1536" t="s">
        <v>14937</v>
      </c>
      <c r="C610" s="632" t="s">
        <v>6218</v>
      </c>
      <c r="D610" s="633">
        <v>54592</v>
      </c>
      <c r="E610" s="633">
        <v>24492</v>
      </c>
      <c r="F610" s="634">
        <f t="shared" si="18"/>
        <v>79084</v>
      </c>
      <c r="G610" s="633">
        <v>90359</v>
      </c>
      <c r="H610" s="633">
        <v>8442</v>
      </c>
      <c r="I610" s="633">
        <v>4139</v>
      </c>
      <c r="J610" s="633">
        <v>8912</v>
      </c>
      <c r="K610" s="634">
        <f t="shared" si="19"/>
        <v>111852</v>
      </c>
      <c r="L610" s="633">
        <v>15656</v>
      </c>
      <c r="M610" s="633">
        <v>6432</v>
      </c>
      <c r="N610" s="633">
        <v>192845</v>
      </c>
      <c r="O610" s="1537">
        <f>1-N611</f>
        <v>0.52485900623107451</v>
      </c>
    </row>
    <row r="611" spans="1:15" ht="12" customHeight="1">
      <c r="A611" s="1517"/>
      <c r="B611" s="1502"/>
      <c r="C611" s="635" t="s">
        <v>6219</v>
      </c>
      <c r="D611" s="636">
        <f>D610/(D610+E610+G610+H610+I610+J610+L610+M610+N610)</f>
        <v>0.1345064540529087</v>
      </c>
      <c r="E611" s="636">
        <f>E610/(D610+E610+G610+H610+I610+J610+L610+M610+N610)</f>
        <v>6.034459394533704E-2</v>
      </c>
      <c r="F611" s="637">
        <f t="shared" si="18"/>
        <v>0.19485104799824574</v>
      </c>
      <c r="G611" s="636">
        <f>G610/(D610+E610+G610+H610+I610+J610+L610+M610+N610)</f>
        <v>0.2226309474239225</v>
      </c>
      <c r="H611" s="636">
        <f>H610/(D610+E610+G610+H610+I610+J610+L610+M610+N610)</f>
        <v>2.0799814718542191E-2</v>
      </c>
      <c r="I611" s="636">
        <f>I610/(D610+E610+G610+H610+I610+J610+L610+M610+N610)</f>
        <v>1.0197871727084355E-2</v>
      </c>
      <c r="J611" s="636">
        <f>J610/(D610+E610+G610+H610+I610+J610+L610+M610+N610)</f>
        <v>2.1957823829856431E-2</v>
      </c>
      <c r="K611" s="637">
        <f t="shared" si="19"/>
        <v>0.27558645769940548</v>
      </c>
      <c r="L611" s="636">
        <f>L610/(D610+E610+G610+H610+I610+J610+L610+M610+N610)</f>
        <v>3.8574022652629297E-2</v>
      </c>
      <c r="M611" s="636">
        <f>M610/(D610+E610+G610+H610+I610+J610+L610+M610+N610)</f>
        <v>1.5847477880794051E-2</v>
      </c>
      <c r="N611" s="636">
        <f>N610/(D610+E610+G610+H610+I610+J610+L610+M610+N610)</f>
        <v>0.47514099376892543</v>
      </c>
      <c r="O611" s="1503"/>
    </row>
    <row r="612" spans="1:15" ht="12" customHeight="1">
      <c r="A612" s="1517"/>
      <c r="B612" s="1502" t="s">
        <v>14938</v>
      </c>
      <c r="C612" s="638" t="s">
        <v>6218</v>
      </c>
      <c r="D612" s="639">
        <v>108476</v>
      </c>
      <c r="E612" s="639">
        <v>24458</v>
      </c>
      <c r="F612" s="640">
        <f t="shared" si="18"/>
        <v>132934</v>
      </c>
      <c r="G612" s="639">
        <v>77507</v>
      </c>
      <c r="H612" s="639">
        <v>10886</v>
      </c>
      <c r="I612" s="639"/>
      <c r="J612" s="639">
        <v>9567</v>
      </c>
      <c r="K612" s="640">
        <f t="shared" si="19"/>
        <v>97960</v>
      </c>
      <c r="L612" s="639">
        <v>16199</v>
      </c>
      <c r="M612" s="639"/>
      <c r="N612" s="639">
        <v>154362</v>
      </c>
      <c r="O612" s="1503">
        <f>1-N613</f>
        <v>0.61549364187766997</v>
      </c>
    </row>
    <row r="613" spans="1:15" ht="12" customHeight="1">
      <c r="A613" s="1517"/>
      <c r="B613" s="1502"/>
      <c r="C613" s="635" t="s">
        <v>6219</v>
      </c>
      <c r="D613" s="636">
        <f>D612/(D612+E612+G612+H612+I612+J612+L612+M612+N612)</f>
        <v>0.27020712159519744</v>
      </c>
      <c r="E613" s="636">
        <f>E612/(D612+E612+G612+H612+I612+J612+L612+M612+N612)</f>
        <v>6.0923391164638629E-2</v>
      </c>
      <c r="F613" s="637">
        <f t="shared" si="18"/>
        <v>0.33113051275983607</v>
      </c>
      <c r="G613" s="636">
        <f>G612/(D612+E612+G612+H612+I612+J612+L612+M612+N612)</f>
        <v>0.19306522524317793</v>
      </c>
      <c r="H613" s="636">
        <f>H612/(D612+E612+G612+H612+I612+J612+L612+M612+N612)</f>
        <v>2.7116364225131084E-2</v>
      </c>
      <c r="I613" s="636">
        <f>I612/(D612+E612+G612+H612+I612+J612+L612+M612+N612)</f>
        <v>0</v>
      </c>
      <c r="J613" s="636">
        <f>J612/(D612+E612+G612+H612+I612+J612+L612+M612+N612)</f>
        <v>2.3830815408949945E-2</v>
      </c>
      <c r="K613" s="637">
        <f t="shared" si="19"/>
        <v>0.24401240487725895</v>
      </c>
      <c r="L613" s="636">
        <f>L612/(D612+E612+G612+H612+I612+J612+L612+M612+N612)</f>
        <v>4.0350724240574912E-2</v>
      </c>
      <c r="M613" s="636">
        <f>M612/(D612+E612+G612+H612+I612+J612+L612+M612+N612)</f>
        <v>0</v>
      </c>
      <c r="N613" s="636">
        <f>N612/(D612+E612+G612+H612+I612+J612+L612+M612+N612)</f>
        <v>0.38450635812233003</v>
      </c>
      <c r="O613" s="1503"/>
    </row>
    <row r="614" spans="1:15" ht="12" customHeight="1">
      <c r="A614" s="1517"/>
      <c r="B614" s="1502" t="s">
        <v>14939</v>
      </c>
      <c r="C614" s="638" t="s">
        <v>6218</v>
      </c>
      <c r="D614" s="639">
        <v>51165</v>
      </c>
      <c r="E614" s="639">
        <v>27257</v>
      </c>
      <c r="F614" s="640">
        <f t="shared" si="18"/>
        <v>78422</v>
      </c>
      <c r="G614" s="639">
        <v>81346</v>
      </c>
      <c r="H614" s="639">
        <v>9400</v>
      </c>
      <c r="I614" s="639"/>
      <c r="J614" s="639"/>
      <c r="K614" s="640">
        <f t="shared" si="19"/>
        <v>90746</v>
      </c>
      <c r="L614" s="639">
        <v>13991</v>
      </c>
      <c r="M614" s="639">
        <v>9573</v>
      </c>
      <c r="N614" s="639">
        <v>200203</v>
      </c>
      <c r="O614" s="1503">
        <f>1-N615</f>
        <v>0.49049333859289701</v>
      </c>
    </row>
    <row r="615" spans="1:15" ht="12" customHeight="1">
      <c r="A615" s="1517"/>
      <c r="B615" s="1502"/>
      <c r="C615" s="635" t="s">
        <v>6219</v>
      </c>
      <c r="D615" s="636">
        <f>D614/(D614+E614+G614+H614+I614+J614+L614+M614+N614)</f>
        <v>0.13021237609273797</v>
      </c>
      <c r="E615" s="636">
        <f>E614/(D614+E614+G614+H614+I614+J614+L614+M614+N614)</f>
        <v>6.9367707127132985E-2</v>
      </c>
      <c r="F615" s="637">
        <f t="shared" si="18"/>
        <v>0.19958008321987097</v>
      </c>
      <c r="G615" s="636">
        <f>G614/(D614+E614+G614+H614+I614+J614+L614+M614+N614)</f>
        <v>0.20702151755379389</v>
      </c>
      <c r="H615" s="636">
        <f>H614/(D614+E614+G614+H614+I614+J614+L614+M614+N614)</f>
        <v>2.3922531716441649E-2</v>
      </c>
      <c r="I615" s="636">
        <f>I614/(D614+E614+G614+H614+I614+J614+L614+M614+N614)</f>
        <v>0</v>
      </c>
      <c r="J615" s="636">
        <f>J614/(D614+E614+G614+H614+I614+J614+L614+M614+N614)</f>
        <v>0</v>
      </c>
      <c r="K615" s="637">
        <f t="shared" si="19"/>
        <v>0.23094404927023554</v>
      </c>
      <c r="L615" s="636">
        <f>L614/(D614+E614+G614+H614+I614+J614+L614+M614+N614)</f>
        <v>3.5606398004759059E-2</v>
      </c>
      <c r="M615" s="636">
        <f>M614/(D614+E614+G614+H614+I614+J614+L614+M614+N614)</f>
        <v>2.4362808098031482E-2</v>
      </c>
      <c r="N615" s="636">
        <f>N614/(D614+E614+G614+H614+I614+J614+L614+M614+N614)</f>
        <v>0.50950666140710299</v>
      </c>
      <c r="O615" s="1503"/>
    </row>
    <row r="616" spans="1:15" ht="12" customHeight="1">
      <c r="A616" s="1517"/>
      <c r="B616" s="1502" t="s">
        <v>14940</v>
      </c>
      <c r="C616" s="638" t="s">
        <v>6218</v>
      </c>
      <c r="D616" s="639">
        <v>61661</v>
      </c>
      <c r="E616" s="639">
        <v>24468</v>
      </c>
      <c r="F616" s="640">
        <f t="shared" si="18"/>
        <v>86129</v>
      </c>
      <c r="G616" s="639">
        <v>90188</v>
      </c>
      <c r="H616" s="639">
        <v>6667</v>
      </c>
      <c r="I616" s="639"/>
      <c r="J616" s="639"/>
      <c r="K616" s="640">
        <f t="shared" si="19"/>
        <v>96855</v>
      </c>
      <c r="L616" s="639">
        <v>14439</v>
      </c>
      <c r="M616" s="639"/>
      <c r="N616" s="639">
        <v>194567</v>
      </c>
      <c r="O616" s="1503">
        <f>1-N617</f>
        <v>0.50364295007525706</v>
      </c>
    </row>
    <row r="617" spans="1:15" ht="12" customHeight="1" thickBot="1">
      <c r="A617" s="1519"/>
      <c r="B617" s="1514"/>
      <c r="C617" s="641" t="s">
        <v>6219</v>
      </c>
      <c r="D617" s="642">
        <f>D616/(D616+E616+G616+H616+I616+J616+L616+M616+N616)</f>
        <v>0.15730248220617873</v>
      </c>
      <c r="E617" s="642">
        <f>E616/(D616+E616+G616+H616+I616+J616+L616+M616+N616)</f>
        <v>6.241995969284931E-2</v>
      </c>
      <c r="F617" s="643">
        <f t="shared" si="18"/>
        <v>0.21972244189902804</v>
      </c>
      <c r="G617" s="642">
        <f>G616/(D616+E616+G616+H616+I616+J616+L616+M616+N616)</f>
        <v>0.2300772978902523</v>
      </c>
      <c r="H617" s="642">
        <f>H616/(D616+E616+G616+H616+I616+J616+L616+M616+N616)</f>
        <v>1.7008086940993393E-2</v>
      </c>
      <c r="I617" s="642">
        <f>I616/(D616+E616+G616+H616+I616+J616+L616+M616+N616)</f>
        <v>0</v>
      </c>
      <c r="J617" s="642">
        <f>J616/(D616+E616+G616+H616+I616+J616+L616+M616+N616)</f>
        <v>0</v>
      </c>
      <c r="K617" s="643">
        <f t="shared" si="19"/>
        <v>0.2470853848312457</v>
      </c>
      <c r="L617" s="642">
        <f>L616/(D616+E616+G616+H616+I616+J616+L616+M616+N616)</f>
        <v>3.6835123344983289E-2</v>
      </c>
      <c r="M617" s="642">
        <f>M616/(D616+E616+G616+H616+I616+J616+L616+M616+N616)</f>
        <v>0</v>
      </c>
      <c r="N617" s="642">
        <f>N616/(D616+E616+G616+H616+I616+J616+L616+M616+N616)</f>
        <v>0.496357049924743</v>
      </c>
      <c r="O617" s="1515"/>
    </row>
    <row r="618" spans="1:15" ht="12" customHeight="1">
      <c r="A618" s="1535" t="s">
        <v>15015</v>
      </c>
      <c r="B618" s="1536" t="s">
        <v>14937</v>
      </c>
      <c r="C618" s="632" t="s">
        <v>6218</v>
      </c>
      <c r="D618" s="633">
        <v>45547</v>
      </c>
      <c r="E618" s="633">
        <v>23892</v>
      </c>
      <c r="F618" s="634">
        <f t="shared" si="18"/>
        <v>69439</v>
      </c>
      <c r="G618" s="633">
        <v>76613</v>
      </c>
      <c r="H618" s="633">
        <v>7633</v>
      </c>
      <c r="I618" s="633">
        <v>3460</v>
      </c>
      <c r="J618" s="633">
        <v>6986</v>
      </c>
      <c r="K618" s="634">
        <f t="shared" si="19"/>
        <v>94692</v>
      </c>
      <c r="L618" s="633">
        <v>13890</v>
      </c>
      <c r="M618" s="633">
        <v>5024</v>
      </c>
      <c r="N618" s="633">
        <v>158330</v>
      </c>
      <c r="O618" s="1537">
        <f>1-N619</f>
        <v>0.53619919443427322</v>
      </c>
    </row>
    <row r="619" spans="1:15" ht="12" customHeight="1">
      <c r="A619" s="1517"/>
      <c r="B619" s="1502"/>
      <c r="C619" s="635" t="s">
        <v>6219</v>
      </c>
      <c r="D619" s="636">
        <f>D618/(D618+E618+G618+H618+I618+J618+L618+M618+N618)</f>
        <v>0.13342218967411204</v>
      </c>
      <c r="E619" s="636">
        <f>E618/(D618+E618+G618+H618+I618+J618+L618+M618+N618)</f>
        <v>6.9987550347857932E-2</v>
      </c>
      <c r="F619" s="637">
        <f t="shared" si="18"/>
        <v>0.20340974002196999</v>
      </c>
      <c r="G619" s="636">
        <f>G618/(D618+E618+G618+H618+I618+J618+L618+M618+N618)</f>
        <v>0.22442475283778834</v>
      </c>
      <c r="H619" s="636">
        <f>H618/(D618+E618+G618+H618+I618+J618+L618+M618+N618)</f>
        <v>2.235957524716221E-2</v>
      </c>
      <c r="I619" s="636">
        <f>I618/(D618+E618+G618+H618+I618+J618+L618+M618+N618)</f>
        <v>1.0135481508604906E-2</v>
      </c>
      <c r="J619" s="636">
        <f>J618/(D618+E618+G618+H618+I618+J618+L618+M618+N618)</f>
        <v>2.046429879165141E-2</v>
      </c>
      <c r="K619" s="637">
        <f t="shared" si="19"/>
        <v>0.27738410838520683</v>
      </c>
      <c r="L619" s="636">
        <f>L618/(D618+E618+G618+H618+I618+J618+L618+M618+N618)</f>
        <v>4.0688392530208714E-2</v>
      </c>
      <c r="M619" s="636">
        <f>M618/(D618+E618+G618+H618+I618+J618+L618+M618+N618)</f>
        <v>1.4716953496887586E-2</v>
      </c>
      <c r="N619" s="636">
        <f>N618/(D618+E618+G618+H618+I618+J618+L618+M618+N618)</f>
        <v>0.46380080556572684</v>
      </c>
      <c r="O619" s="1503"/>
    </row>
    <row r="620" spans="1:15" ht="12" customHeight="1">
      <c r="A620" s="1517"/>
      <c r="B620" s="1502" t="s">
        <v>14938</v>
      </c>
      <c r="C620" s="638" t="s">
        <v>6218</v>
      </c>
      <c r="D620" s="639">
        <v>85131</v>
      </c>
      <c r="E620" s="639">
        <v>28344</v>
      </c>
      <c r="F620" s="640">
        <f t="shared" si="18"/>
        <v>113475</v>
      </c>
      <c r="G620" s="639">
        <v>65009</v>
      </c>
      <c r="H620" s="639">
        <v>10503</v>
      </c>
      <c r="I620" s="639"/>
      <c r="J620" s="639">
        <v>8919</v>
      </c>
      <c r="K620" s="640">
        <f t="shared" si="19"/>
        <v>84431</v>
      </c>
      <c r="L620" s="639">
        <v>15526</v>
      </c>
      <c r="M620" s="639"/>
      <c r="N620" s="639">
        <v>125337</v>
      </c>
      <c r="O620" s="1503">
        <f>1-N621</f>
        <v>0.63002222753557735</v>
      </c>
    </row>
    <row r="621" spans="1:15" ht="12" customHeight="1">
      <c r="A621" s="1517"/>
      <c r="B621" s="1502"/>
      <c r="C621" s="635" t="s">
        <v>6219</v>
      </c>
      <c r="D621" s="636">
        <f>D620/(D620+E620+G620+H620+I620+J620+L620+M620+N620)</f>
        <v>0.25129513031003425</v>
      </c>
      <c r="E621" s="636">
        <f>E620/(D620+E620+G620+H620+I620+J620+L620+M620+N620)</f>
        <v>8.3667631926179792E-2</v>
      </c>
      <c r="F621" s="637">
        <f t="shared" si="18"/>
        <v>0.33496276223621402</v>
      </c>
      <c r="G621" s="636">
        <f>G620/(D620+E620+G620+H620+I620+J620+L620+M620+N620)</f>
        <v>0.1918977238177047</v>
      </c>
      <c r="H621" s="636">
        <f>H620/(D620+E620+G620+H620+I620+J620+L620+M620+N620)</f>
        <v>3.1003427114051168E-2</v>
      </c>
      <c r="I621" s="636">
        <f>I620/(D620+E620+G620+H620+I620+J620+L620+M620+N620)</f>
        <v>0</v>
      </c>
      <c r="J621" s="636">
        <f>J620/(D620+E620+G620+H620+I620+J620+L620+M620+N620)</f>
        <v>2.6327674610132568E-2</v>
      </c>
      <c r="K621" s="637">
        <f t="shared" si="19"/>
        <v>0.24922882554188844</v>
      </c>
      <c r="L621" s="636">
        <f>L620/(D620+E620+G620+H620+I620+J620+L620+M620+N620)</f>
        <v>4.583063975747486E-2</v>
      </c>
      <c r="M621" s="636">
        <f>M620/(D620+E620+G620+H620+I620+J620+L620+M620+N620)</f>
        <v>0</v>
      </c>
      <c r="N621" s="636">
        <f>N620/(D620+E620+G620+H620+I620+J620+L620+M620+N620)</f>
        <v>0.36997777246442265</v>
      </c>
      <c r="O621" s="1503"/>
    </row>
    <row r="622" spans="1:15" ht="12" customHeight="1">
      <c r="A622" s="1517"/>
      <c r="B622" s="1502" t="s">
        <v>14939</v>
      </c>
      <c r="C622" s="638" t="s">
        <v>6218</v>
      </c>
      <c r="D622" s="639">
        <v>43880</v>
      </c>
      <c r="E622" s="639">
        <v>26375</v>
      </c>
      <c r="F622" s="640">
        <f t="shared" si="18"/>
        <v>70255</v>
      </c>
      <c r="G622" s="639">
        <v>68680</v>
      </c>
      <c r="H622" s="639">
        <v>8668</v>
      </c>
      <c r="I622" s="639"/>
      <c r="J622" s="639"/>
      <c r="K622" s="640">
        <f t="shared" si="19"/>
        <v>77348</v>
      </c>
      <c r="L622" s="639">
        <v>13314</v>
      </c>
      <c r="M622" s="639">
        <v>7983</v>
      </c>
      <c r="N622" s="639">
        <v>166724</v>
      </c>
      <c r="O622" s="1503">
        <f>1-N623</f>
        <v>0.50324172288036606</v>
      </c>
    </row>
    <row r="623" spans="1:15" ht="12" customHeight="1">
      <c r="A623" s="1517"/>
      <c r="B623" s="1502"/>
      <c r="C623" s="635" t="s">
        <v>6219</v>
      </c>
      <c r="D623" s="636">
        <f>D622/(D622+E622+G622+H622+I622+J622+L622+M622+N622)</f>
        <v>0.13074154410888375</v>
      </c>
      <c r="E623" s="636">
        <f>E622/(D622+E622+G622+H622+I622+J622+L622+M622+N622)</f>
        <v>7.8584964126522536E-2</v>
      </c>
      <c r="F623" s="637">
        <f t="shared" si="18"/>
        <v>0.20932650823540627</v>
      </c>
      <c r="G623" s="636">
        <f>G622/(D622+E622+G622+H622+I622+J622+L622+M622+N622)</f>
        <v>0.20463375682311158</v>
      </c>
      <c r="H623" s="636">
        <f>H622/(D622+E622+G622+H622+I622+J622+L622+M622+N622)</f>
        <v>2.5826520153505114E-2</v>
      </c>
      <c r="I623" s="636">
        <f>I622/(D622+E622+G622+H622+I622+J622+L622+M622+N622)</f>
        <v>0</v>
      </c>
      <c r="J623" s="636">
        <f>J622/(D622+E622+G622+H622+I622+J622+L622+M622+N622)</f>
        <v>0</v>
      </c>
      <c r="K623" s="637">
        <f t="shared" si="19"/>
        <v>0.2304602769766167</v>
      </c>
      <c r="L623" s="636">
        <f>L622/(D622+E622+G622+H622+I622+J622+L622+M622+N622)</f>
        <v>3.9669391938597955E-2</v>
      </c>
      <c r="M623" s="636">
        <f>M622/(D622+E622+G622+H622+I622+J622+L622+M622+N622)</f>
        <v>2.378554572974519E-2</v>
      </c>
      <c r="N623" s="636">
        <f>N622/(D622+E622+G622+H622+I622+J622+L622+M622+N622)</f>
        <v>0.49675827711963388</v>
      </c>
      <c r="O623" s="1503"/>
    </row>
    <row r="624" spans="1:15" ht="12" customHeight="1">
      <c r="A624" s="1517"/>
      <c r="B624" s="1502" t="s">
        <v>14940</v>
      </c>
      <c r="C624" s="638" t="s">
        <v>6218</v>
      </c>
      <c r="D624" s="639">
        <v>56614</v>
      </c>
      <c r="E624" s="639">
        <v>28404</v>
      </c>
      <c r="F624" s="640">
        <f t="shared" si="18"/>
        <v>85018</v>
      </c>
      <c r="G624" s="639">
        <v>76205</v>
      </c>
      <c r="H624" s="639">
        <v>6183</v>
      </c>
      <c r="I624" s="639"/>
      <c r="J624" s="639"/>
      <c r="K624" s="640">
        <f t="shared" si="19"/>
        <v>82388</v>
      </c>
      <c r="L624" s="639">
        <v>14139</v>
      </c>
      <c r="M624" s="639"/>
      <c r="N624" s="639">
        <v>154271</v>
      </c>
      <c r="O624" s="1503">
        <f>1-N625</f>
        <v>0.54060854753793741</v>
      </c>
    </row>
    <row r="625" spans="1:15" ht="12" customHeight="1" thickBot="1">
      <c r="A625" s="1519"/>
      <c r="B625" s="1514"/>
      <c r="C625" s="641" t="s">
        <v>6219</v>
      </c>
      <c r="D625" s="642">
        <f>D624/(D624+E624+G624+H624+I624+J624+L624+M624+N624)</f>
        <v>0.16858636872573077</v>
      </c>
      <c r="E625" s="642">
        <f>E624/(D624+E624+G624+H624+I624+J624+L624+M624+N624)</f>
        <v>8.4582033018081329E-2</v>
      </c>
      <c r="F625" s="643">
        <f t="shared" si="18"/>
        <v>0.25316840174381211</v>
      </c>
      <c r="G625" s="642">
        <f>G624/(D624+E624+G624+H624+I624+J624+L624+M624+N624)</f>
        <v>0.22692486361578959</v>
      </c>
      <c r="H625" s="642">
        <f>H624/(D624+E624+G624+H624+I624+J624+L624+M624+N624)</f>
        <v>1.8411868404126067E-2</v>
      </c>
      <c r="I625" s="642">
        <f>I624/(D624+E624+G624+H624+I624+J624+L624+M624+N624)</f>
        <v>0</v>
      </c>
      <c r="J625" s="642">
        <f>J624/(D624+E624+G624+H624+I624+J624+L624+M624+N624)</f>
        <v>0</v>
      </c>
      <c r="K625" s="643">
        <f t="shared" si="19"/>
        <v>0.24533673201991565</v>
      </c>
      <c r="L625" s="642">
        <f>L624/(D624+E624+G624+H624+I624+J624+L624+M624+N624)</f>
        <v>4.2103413774209689E-2</v>
      </c>
      <c r="M625" s="642">
        <f>M624/(D624+E624+G624+H624+I624+J624+L624+M624+N624)</f>
        <v>0</v>
      </c>
      <c r="N625" s="642">
        <f>N624/(D624+E624+G624+H624+I624+J624+L624+M624+N624)</f>
        <v>0.45939145246206253</v>
      </c>
      <c r="O625" s="1515"/>
    </row>
    <row r="626" spans="1:15" ht="12" customHeight="1">
      <c r="A626" s="1535" t="s">
        <v>15016</v>
      </c>
      <c r="B626" s="1536" t="s">
        <v>14937</v>
      </c>
      <c r="C626" s="632" t="s">
        <v>6218</v>
      </c>
      <c r="D626" s="633">
        <v>53877</v>
      </c>
      <c r="E626" s="633">
        <v>27507</v>
      </c>
      <c r="F626" s="634">
        <f t="shared" si="18"/>
        <v>81384</v>
      </c>
      <c r="G626" s="633">
        <v>89751</v>
      </c>
      <c r="H626" s="633">
        <v>9559</v>
      </c>
      <c r="I626" s="633">
        <v>3606</v>
      </c>
      <c r="J626" s="633">
        <v>6994</v>
      </c>
      <c r="K626" s="634">
        <f t="shared" si="19"/>
        <v>109910</v>
      </c>
      <c r="L626" s="633">
        <v>16080</v>
      </c>
      <c r="M626" s="633">
        <v>5416</v>
      </c>
      <c r="N626" s="633">
        <v>177593</v>
      </c>
      <c r="O626" s="1537">
        <f>1-N627</f>
        <v>0.54508008801612773</v>
      </c>
    </row>
    <row r="627" spans="1:15" ht="12" customHeight="1">
      <c r="A627" s="1517"/>
      <c r="B627" s="1502"/>
      <c r="C627" s="635" t="s">
        <v>6219</v>
      </c>
      <c r="D627" s="636">
        <f>D626/(D626+E626+G626+H626+I626+J626+L626+M626+N626)</f>
        <v>0.13801062033951272</v>
      </c>
      <c r="E627" s="636">
        <f>E626/(D626+E626+G626+H626+I626+J626+L626+M626+N626)</f>
        <v>7.0461572353304316E-2</v>
      </c>
      <c r="F627" s="637">
        <f t="shared" si="18"/>
        <v>0.20847219269281703</v>
      </c>
      <c r="G627" s="636">
        <f>G626/(D626+E626+G626+H626+I626+J626+L626+M626+N626)</f>
        <v>0.22990499073986315</v>
      </c>
      <c r="H627" s="636">
        <f>H626/(D626+E626+G626+H626+I626+J626+L626+M626+N626)</f>
        <v>2.4486209696631258E-2</v>
      </c>
      <c r="I627" s="636">
        <f>I626/(D626+E626+G626+H626+I626+J626+L626+M626+N626)</f>
        <v>9.2370825573859523E-3</v>
      </c>
      <c r="J627" s="636">
        <f>J626/(D626+E626+G626+H626+I626+J626+L626+M626+N626)</f>
        <v>1.7915739158723614E-2</v>
      </c>
      <c r="K627" s="637">
        <f t="shared" si="19"/>
        <v>0.28154402215260399</v>
      </c>
      <c r="L627" s="636">
        <f>L626/(D626+E626+G626+H626+I626+J626+L626+M626+N626)</f>
        <v>4.1190318225947341E-2</v>
      </c>
      <c r="M627" s="636">
        <f>M626/(D626+E626+G626+H626+I626+J626+L626+M626+N626)</f>
        <v>1.3873554944759378E-2</v>
      </c>
      <c r="N627" s="636">
        <f>N626/(D626+E626+G626+H626+I626+J626+L626+M626+N626)</f>
        <v>0.45491991198387227</v>
      </c>
      <c r="O627" s="1503"/>
    </row>
    <row r="628" spans="1:15" ht="12" customHeight="1">
      <c r="A628" s="1517"/>
      <c r="B628" s="1502" t="s">
        <v>14938</v>
      </c>
      <c r="C628" s="638" t="s">
        <v>6218</v>
      </c>
      <c r="D628" s="639">
        <v>95471</v>
      </c>
      <c r="E628" s="639">
        <v>31562</v>
      </c>
      <c r="F628" s="640">
        <f t="shared" si="18"/>
        <v>127033</v>
      </c>
      <c r="G628" s="639">
        <v>76982</v>
      </c>
      <c r="H628" s="639">
        <v>13180</v>
      </c>
      <c r="I628" s="639"/>
      <c r="J628" s="639">
        <v>9366</v>
      </c>
      <c r="K628" s="640">
        <f t="shared" si="19"/>
        <v>99528</v>
      </c>
      <c r="L628" s="639">
        <v>17855</v>
      </c>
      <c r="M628" s="639"/>
      <c r="N628" s="639">
        <v>140541</v>
      </c>
      <c r="O628" s="1503">
        <f>1-N629</f>
        <v>0.63491766612894429</v>
      </c>
    </row>
    <row r="629" spans="1:15" ht="12" customHeight="1">
      <c r="A629" s="1517"/>
      <c r="B629" s="1502"/>
      <c r="C629" s="635" t="s">
        <v>6219</v>
      </c>
      <c r="D629" s="636">
        <f>D628/(D628+E628+G628+H628+I628+J628+L628+M628+N628)</f>
        <v>0.2480043225607016</v>
      </c>
      <c r="E629" s="636">
        <f>E628/(D628+E628+G628+H628+I628+J628+L628+M628+N628)</f>
        <v>8.1988377922729033E-2</v>
      </c>
      <c r="F629" s="637">
        <f t="shared" si="18"/>
        <v>0.32999270048343066</v>
      </c>
      <c r="G629" s="636">
        <f>G628/(D628+E628+G628+H628+I628+J628+L628+M628+N628)</f>
        <v>0.19997558168834442</v>
      </c>
      <c r="H629" s="636">
        <f>H628/(D628+E628+G628+H628+I628+J628+L628+M628+N628)</f>
        <v>3.4237590172408863E-2</v>
      </c>
      <c r="I629" s="636">
        <f>I628/(D628+E628+G628+H628+I628+J628+L628+M628+N628)</f>
        <v>0</v>
      </c>
      <c r="J629" s="636">
        <f>J628/(D628+E628+G628+H628+I628+J628+L628+M628+N628)</f>
        <v>2.4329990102790702E-2</v>
      </c>
      <c r="K629" s="637">
        <f t="shared" si="19"/>
        <v>0.25854316196354399</v>
      </c>
      <c r="L629" s="636">
        <f>L628/(D628+E628+G628+H628+I628+J628+L628+M628+N628)</f>
        <v>4.6381803681969674E-2</v>
      </c>
      <c r="M629" s="636">
        <f>M628/(D628+E628+G628+H628+I628+J628+L628+M628+N628)</f>
        <v>0</v>
      </c>
      <c r="N629" s="636">
        <f>N628/(D628+E628+G628+H628+I628+J628+L628+M628+N628)</f>
        <v>0.36508233387105571</v>
      </c>
      <c r="O629" s="1503"/>
    </row>
    <row r="630" spans="1:15" ht="12" customHeight="1">
      <c r="A630" s="1517"/>
      <c r="B630" s="1502" t="s">
        <v>14939</v>
      </c>
      <c r="C630" s="638" t="s">
        <v>6218</v>
      </c>
      <c r="D630" s="639">
        <v>51666</v>
      </c>
      <c r="E630" s="639">
        <v>29730</v>
      </c>
      <c r="F630" s="640">
        <f t="shared" si="18"/>
        <v>81396</v>
      </c>
      <c r="G630" s="639">
        <v>76454</v>
      </c>
      <c r="H630" s="639">
        <v>11071</v>
      </c>
      <c r="I630" s="639"/>
      <c r="J630" s="639"/>
      <c r="K630" s="640">
        <f t="shared" si="19"/>
        <v>87525</v>
      </c>
      <c r="L630" s="639">
        <v>15624</v>
      </c>
      <c r="M630" s="639">
        <v>7996</v>
      </c>
      <c r="N630" s="639">
        <v>190638</v>
      </c>
      <c r="O630" s="1503">
        <f>1-N631</f>
        <v>0.50248317366035189</v>
      </c>
    </row>
    <row r="631" spans="1:15" ht="12" customHeight="1">
      <c r="A631" s="1517"/>
      <c r="B631" s="1502"/>
      <c r="C631" s="635" t="s">
        <v>6219</v>
      </c>
      <c r="D631" s="636">
        <f>D630/(D630+E630+G630+H630+I630+J630+L630+M630+N630)</f>
        <v>0.13483515537124946</v>
      </c>
      <c r="E631" s="636">
        <f>E630/(D630+E630+G630+H630+I630+J630+L630+M630+N630)</f>
        <v>7.7587759245678914E-2</v>
      </c>
      <c r="F631" s="637">
        <f t="shared" si="18"/>
        <v>0.21242291461692836</v>
      </c>
      <c r="G631" s="636">
        <f>G630/(D630+E630+G630+H630+I630+J630+L630+M630+N630)</f>
        <v>0.19952554811197901</v>
      </c>
      <c r="H631" s="636">
        <f>H630/(D630+E630+G630+H630+I630+J630+L630+M630+N630)</f>
        <v>2.8892501937736671E-2</v>
      </c>
      <c r="I631" s="636">
        <f>I630/(D630+E630+G630+H630+I630+J630+L630+M630+N630)</f>
        <v>0</v>
      </c>
      <c r="J631" s="636">
        <f>J630/(D630+E630+G630+H630+I630+J630+L630+M630+N630)</f>
        <v>0</v>
      </c>
      <c r="K631" s="637">
        <f t="shared" si="19"/>
        <v>0.22841805004971569</v>
      </c>
      <c r="L631" s="636">
        <f>L630/(D630+E630+G630+H630+I630+J630+L630+M630+N630)</f>
        <v>4.0774677109131761E-2</v>
      </c>
      <c r="M631" s="636">
        <f>M630/(D630+E630+G630+H630+I630+J630+L630+M630+N630)</f>
        <v>2.086753188457614E-2</v>
      </c>
      <c r="N631" s="636">
        <f>N630/(D630+E630+G630+H630+I630+J630+L630+M630+N630)</f>
        <v>0.49751682633964806</v>
      </c>
      <c r="O631" s="1503"/>
    </row>
    <row r="632" spans="1:15" ht="12" customHeight="1">
      <c r="A632" s="1517"/>
      <c r="B632" s="1502" t="s">
        <v>14940</v>
      </c>
      <c r="C632" s="638" t="s">
        <v>6218</v>
      </c>
      <c r="D632" s="639">
        <v>64003</v>
      </c>
      <c r="E632" s="639">
        <v>27139</v>
      </c>
      <c r="F632" s="640">
        <f t="shared" si="18"/>
        <v>91142</v>
      </c>
      <c r="G632" s="639">
        <v>88967</v>
      </c>
      <c r="H632" s="639">
        <v>8269</v>
      </c>
      <c r="I632" s="639"/>
      <c r="J632" s="639"/>
      <c r="K632" s="640">
        <f t="shared" si="19"/>
        <v>97236</v>
      </c>
      <c r="L632" s="639">
        <v>15959</v>
      </c>
      <c r="M632" s="639"/>
      <c r="N632" s="639">
        <v>178284</v>
      </c>
      <c r="O632" s="1503">
        <f>1-N633</f>
        <v>0.53404543922053416</v>
      </c>
    </row>
    <row r="633" spans="1:15" ht="12" customHeight="1" thickBot="1">
      <c r="A633" s="1519"/>
      <c r="B633" s="1514"/>
      <c r="C633" s="641" t="s">
        <v>6219</v>
      </c>
      <c r="D633" s="642">
        <f>D632/(D632+E632+G632+H632+I632+J632+L632+M632+N632)</f>
        <v>0.16727518876381589</v>
      </c>
      <c r="E633" s="642">
        <f>E632/(D632+E632+G632+H632+I632+J632+L632+M632+N632)</f>
        <v>7.0929196254256824E-2</v>
      </c>
      <c r="F633" s="643">
        <f t="shared" si="18"/>
        <v>0.23820438501807273</v>
      </c>
      <c r="G633" s="642">
        <f>G632/(D632+E632+G632+H632+I632+J632+L632+M632+N632)</f>
        <v>0.2325199087347532</v>
      </c>
      <c r="H633" s="642">
        <f>H632/(D632+E632+G632+H632+I632+J632+L632+M632+N632)</f>
        <v>2.1611464085870873E-2</v>
      </c>
      <c r="I633" s="642">
        <f>I632/(D632+E632+G632+H632+I632+J632+L632+M632+N632)</f>
        <v>0</v>
      </c>
      <c r="J633" s="642">
        <f>J632/(D632+E632+G632+H632+I632+J632+L632+M632+N632)</f>
        <v>0</v>
      </c>
      <c r="K633" s="643">
        <f t="shared" si="19"/>
        <v>0.25413137282062409</v>
      </c>
      <c r="L633" s="642">
        <f>L632/(D632+E632+G632+H632+I632+J632+L632+M632+N632)</f>
        <v>4.170968138183738E-2</v>
      </c>
      <c r="M633" s="642">
        <f>M632/(D632+E632+G632+H632+I632+J632+L632+M632+N632)</f>
        <v>0</v>
      </c>
      <c r="N633" s="642">
        <f>N632/(D632+E632+G632+H632+I632+J632+L632+M632+N632)</f>
        <v>0.46595456077946584</v>
      </c>
      <c r="O633" s="1515"/>
    </row>
    <row r="634" spans="1:15" ht="12" customHeight="1">
      <c r="A634" s="1535" t="s">
        <v>15017</v>
      </c>
      <c r="B634" s="1536" t="s">
        <v>14937</v>
      </c>
      <c r="C634" s="632" t="s">
        <v>6218</v>
      </c>
      <c r="D634" s="633">
        <v>57386</v>
      </c>
      <c r="E634" s="633">
        <v>23127</v>
      </c>
      <c r="F634" s="634">
        <f t="shared" si="18"/>
        <v>80513</v>
      </c>
      <c r="G634" s="633">
        <v>94640</v>
      </c>
      <c r="H634" s="633">
        <v>10091</v>
      </c>
      <c r="I634" s="633">
        <v>3906</v>
      </c>
      <c r="J634" s="633">
        <v>7935</v>
      </c>
      <c r="K634" s="634">
        <f t="shared" si="19"/>
        <v>116572</v>
      </c>
      <c r="L634" s="633">
        <v>15179</v>
      </c>
      <c r="M634" s="633">
        <v>5955</v>
      </c>
      <c r="N634" s="633">
        <v>166747</v>
      </c>
      <c r="O634" s="1537">
        <f>1-N635</f>
        <v>0.56685265711777144</v>
      </c>
    </row>
    <row r="635" spans="1:15" ht="12" customHeight="1">
      <c r="A635" s="1517"/>
      <c r="B635" s="1502"/>
      <c r="C635" s="635" t="s">
        <v>6219</v>
      </c>
      <c r="D635" s="636">
        <f>D634/(D634+E634+G634+H634+I634+J634+L634+M634+N634)</f>
        <v>0.14906770987567733</v>
      </c>
      <c r="E635" s="636">
        <f>E634/(D634+E634+G634+H634+I634+J634+L634+M634+N634)</f>
        <v>6.0075435233241374E-2</v>
      </c>
      <c r="F635" s="637">
        <f t="shared" si="18"/>
        <v>0.20914314510891871</v>
      </c>
      <c r="G635" s="636">
        <f>G634/(D634+E634+G634+H634+I634+J634+L634+M634+N634)</f>
        <v>0.24583989235412998</v>
      </c>
      <c r="H635" s="636">
        <f>H634/(D634+E634+G634+H634+I634+J634+L634+M634+N634)</f>
        <v>2.6212704498579095E-2</v>
      </c>
      <c r="I635" s="636">
        <f>I634/(D634+E634+G634+H634+I634+J634+L634+M634+N634)</f>
        <v>1.0146350586805068E-2</v>
      </c>
      <c r="J635" s="636">
        <f>J634/(D634+E634+G634+H634+I634+J634+L634+M634+N634)</f>
        <v>2.0612209909446549E-2</v>
      </c>
      <c r="K635" s="637">
        <f t="shared" si="19"/>
        <v>0.30281115734896069</v>
      </c>
      <c r="L635" s="636">
        <f>L634/(D634+E634+G634+H634+I634+J634+L634+M634+N634)</f>
        <v>3.9429456107812115E-2</v>
      </c>
      <c r="M635" s="636">
        <f>M634/(D634+E634+G634+H634+I634+J634+L634+M634+N634)</f>
        <v>1.5468898552079923E-2</v>
      </c>
      <c r="N635" s="636">
        <f>N634/(D634+E634+G634+H634+I634+J634+L634+M634+N634)</f>
        <v>0.43314734288222856</v>
      </c>
      <c r="O635" s="1503"/>
    </row>
    <row r="636" spans="1:15" ht="12" customHeight="1">
      <c r="A636" s="1517"/>
      <c r="B636" s="1502" t="s">
        <v>14938</v>
      </c>
      <c r="C636" s="638" t="s">
        <v>6218</v>
      </c>
      <c r="D636" s="639">
        <v>101898</v>
      </c>
      <c r="E636" s="639">
        <v>26863</v>
      </c>
      <c r="F636" s="640">
        <f t="shared" si="18"/>
        <v>128761</v>
      </c>
      <c r="G636" s="639">
        <v>81603</v>
      </c>
      <c r="H636" s="639">
        <v>13542</v>
      </c>
      <c r="I636" s="639"/>
      <c r="J636" s="639">
        <v>9396</v>
      </c>
      <c r="K636" s="640">
        <f t="shared" si="19"/>
        <v>104541</v>
      </c>
      <c r="L636" s="639">
        <v>16959</v>
      </c>
      <c r="M636" s="639"/>
      <c r="N636" s="639">
        <v>127618</v>
      </c>
      <c r="O636" s="1503">
        <f>1-N637</f>
        <v>0.6622781366522088</v>
      </c>
    </row>
    <row r="637" spans="1:15" ht="12" customHeight="1">
      <c r="A637" s="1517"/>
      <c r="B637" s="1502"/>
      <c r="C637" s="635" t="s">
        <v>6219</v>
      </c>
      <c r="D637" s="636">
        <f>D636/(D636+E636+G636+H636+I636+J636+L636+M636+N636)</f>
        <v>0.26965774758586741</v>
      </c>
      <c r="E637" s="636">
        <f>E636/(D636+E636+G636+H636+I636+J636+L636+M636+N636)</f>
        <v>7.1088893534702907E-2</v>
      </c>
      <c r="F637" s="637">
        <f t="shared" si="18"/>
        <v>0.34074664112057029</v>
      </c>
      <c r="G637" s="636">
        <f>G636/(D636+E636+G636+H636+I636+J636+L636+M636+N636)</f>
        <v>0.21595007925817525</v>
      </c>
      <c r="H637" s="636">
        <f>H636/(D636+E636+G636+H636+I636+J636+L636+M636+N636)</f>
        <v>3.5836868415551011E-2</v>
      </c>
      <c r="I637" s="636">
        <f>I636/(D636+E636+G636+H636+I636+J636+L636+M636+N636)</f>
        <v>0</v>
      </c>
      <c r="J637" s="636">
        <f>J636/(D636+E636+G636+H636+I636+J636+L636+M636+N636)</f>
        <v>2.4865102321113372E-2</v>
      </c>
      <c r="K637" s="637">
        <f t="shared" si="19"/>
        <v>0.27665204999483967</v>
      </c>
      <c r="L637" s="636">
        <f>L636/(D636+E636+G636+H636+I636+J636+L636+M636+N636)</f>
        <v>4.4879445536798818E-2</v>
      </c>
      <c r="M637" s="636">
        <f>M636/(D636+E636+G636+H636+I636+J636+L636+M636+N636)</f>
        <v>0</v>
      </c>
      <c r="N637" s="636">
        <f>N636/(D636+E636+G636+H636+I636+J636+L636+M636+N636)</f>
        <v>0.33772186334779125</v>
      </c>
      <c r="O637" s="1503"/>
    </row>
    <row r="638" spans="1:15" ht="12" customHeight="1">
      <c r="A638" s="1517"/>
      <c r="B638" s="1502" t="s">
        <v>14939</v>
      </c>
      <c r="C638" s="638" t="s">
        <v>6218</v>
      </c>
      <c r="D638" s="639">
        <v>53118</v>
      </c>
      <c r="E638" s="639">
        <v>26567</v>
      </c>
      <c r="F638" s="640">
        <f t="shared" si="18"/>
        <v>79685</v>
      </c>
      <c r="G638" s="639">
        <v>84067</v>
      </c>
      <c r="H638" s="639">
        <v>11287</v>
      </c>
      <c r="I638" s="639"/>
      <c r="J638" s="639"/>
      <c r="K638" s="640">
        <f t="shared" si="19"/>
        <v>95354</v>
      </c>
      <c r="L638" s="639">
        <v>14584</v>
      </c>
      <c r="M638" s="639">
        <v>10118</v>
      </c>
      <c r="N638" s="639">
        <v>175215</v>
      </c>
      <c r="O638" s="1503">
        <f>1-N639</f>
        <v>0.53270517074003343</v>
      </c>
    </row>
    <row r="639" spans="1:15" ht="12" customHeight="1">
      <c r="A639" s="1517"/>
      <c r="B639" s="1502"/>
      <c r="C639" s="635" t="s">
        <v>6219</v>
      </c>
      <c r="D639" s="636">
        <f>D638/(D638+E638+G638+H638+I638+J638+L638+M638+N638)</f>
        <v>0.14166462198231258</v>
      </c>
      <c r="E639" s="636">
        <f>E638/(D638+E638+G638+H638+I638+J638+L638+M638+N638)</f>
        <v>7.0853646827894468E-2</v>
      </c>
      <c r="F639" s="637">
        <f t="shared" si="18"/>
        <v>0.21251826881020705</v>
      </c>
      <c r="G639" s="636">
        <f>G638/(D638+E638+G638+H638+I638+J638+L638+M638+N638)</f>
        <v>0.22420497338354367</v>
      </c>
      <c r="H639" s="636">
        <f>H638/(D638+E638+G638+H638+I638+J638+L638+M638+N638)</f>
        <v>3.0102198657975868E-2</v>
      </c>
      <c r="I639" s="636">
        <f>I638/(D638+E638+G638+H638+I638+J638+L638+M638+N638)</f>
        <v>0</v>
      </c>
      <c r="J639" s="636">
        <f>J638/(D638+E638+G638+H638+I638+J638+L638+M638+N638)</f>
        <v>0</v>
      </c>
      <c r="K639" s="637">
        <f t="shared" si="19"/>
        <v>0.25430717204151954</v>
      </c>
      <c r="L639" s="636">
        <f>L638/(D638+E638+G638+H638+I638+J638+L638+M638+N638)</f>
        <v>3.889523037369718E-2</v>
      </c>
      <c r="M639" s="636">
        <f>M638/(D638+E638+G638+H638+I638+J638+L638+M638+N638)</f>
        <v>2.6984499514609715E-2</v>
      </c>
      <c r="N639" s="636">
        <f>N638/(D638+E638+G638+H638+I638+J638+L638+M638+N638)</f>
        <v>0.46729482925996652</v>
      </c>
      <c r="O639" s="1503"/>
    </row>
    <row r="640" spans="1:15" ht="12" customHeight="1">
      <c r="A640" s="1517"/>
      <c r="B640" s="1502" t="s">
        <v>14940</v>
      </c>
      <c r="C640" s="638" t="s">
        <v>6218</v>
      </c>
      <c r="D640" s="639">
        <v>72375</v>
      </c>
      <c r="E640" s="639">
        <v>25016</v>
      </c>
      <c r="F640" s="640">
        <f t="shared" si="18"/>
        <v>97391</v>
      </c>
      <c r="G640" s="639">
        <v>97500</v>
      </c>
      <c r="H640" s="639">
        <v>8238</v>
      </c>
      <c r="I640" s="639"/>
      <c r="J640" s="639"/>
      <c r="K640" s="640">
        <f t="shared" si="19"/>
        <v>105738</v>
      </c>
      <c r="L640" s="639">
        <v>16641</v>
      </c>
      <c r="M640" s="639"/>
      <c r="N640" s="639">
        <v>153656</v>
      </c>
      <c r="O640" s="1503">
        <f>1-N641</f>
        <v>0.58852356290135122</v>
      </c>
    </row>
    <row r="641" spans="1:15" ht="12" customHeight="1" thickBot="1">
      <c r="A641" s="1519"/>
      <c r="B641" s="1514"/>
      <c r="C641" s="641" t="s">
        <v>6219</v>
      </c>
      <c r="D641" s="642">
        <f>D640/(D640+E640+G640+H640+I640+J640+L640+M640+N640)</f>
        <v>0.19381349986342675</v>
      </c>
      <c r="E641" s="642">
        <f>E640/(D640+E640+G640+H640+I640+J640+L640+M640+N640)</f>
        <v>6.6990514854348648E-2</v>
      </c>
      <c r="F641" s="643">
        <f t="shared" si="18"/>
        <v>0.26080401471777537</v>
      </c>
      <c r="G641" s="642">
        <f>G640/(D640+E640+G640+H640+I640+J640+L640+M640+N640)</f>
        <v>0.26109590655176662</v>
      </c>
      <c r="H641" s="642">
        <f>H640/(D640+E640+G640+H640+I640+J640+L640+M640+N640)</f>
        <v>2.206059567357388E-2</v>
      </c>
      <c r="I641" s="642">
        <f>I640/(D640+E640+G640+H640+I640+J640+L640+M640+N640)</f>
        <v>0</v>
      </c>
      <c r="J641" s="642">
        <f>J640/(D640+E640+G640+H640+I640+J640+L640+M640+N640)</f>
        <v>0</v>
      </c>
      <c r="K641" s="643">
        <f t="shared" si="19"/>
        <v>0.2831565022253405</v>
      </c>
      <c r="L641" s="642">
        <f>L640/(D640+E640+G640+H640+I640+J640+L640+M640+N640)</f>
        <v>4.4563045958235369E-2</v>
      </c>
      <c r="M641" s="642">
        <f>M640/(D640+E640+G640+H640+I640+J640+L640+M640+N640)</f>
        <v>0</v>
      </c>
      <c r="N641" s="642">
        <f>N640/(D640+E640+G640+H640+I640+J640+L640+M640+N640)</f>
        <v>0.41147643709864873</v>
      </c>
      <c r="O641" s="1515"/>
    </row>
    <row r="642" spans="1:15" ht="12" customHeight="1">
      <c r="A642" s="1535" t="s">
        <v>15018</v>
      </c>
      <c r="B642" s="1536" t="s">
        <v>14937</v>
      </c>
      <c r="C642" s="632" t="s">
        <v>6218</v>
      </c>
      <c r="D642" s="633">
        <v>58175</v>
      </c>
      <c r="E642" s="633">
        <v>27882</v>
      </c>
      <c r="F642" s="634">
        <f t="shared" ref="F642:F705" si="20">SUM(D642:E642)</f>
        <v>86057</v>
      </c>
      <c r="G642" s="633">
        <v>89245</v>
      </c>
      <c r="H642" s="633">
        <v>8798</v>
      </c>
      <c r="I642" s="633">
        <v>3782</v>
      </c>
      <c r="J642" s="633">
        <v>6660</v>
      </c>
      <c r="K642" s="634">
        <f t="shared" ref="K642:K705" si="21">SUM(G642:J642)</f>
        <v>108485</v>
      </c>
      <c r="L642" s="633">
        <v>14118</v>
      </c>
      <c r="M642" s="633">
        <v>6376</v>
      </c>
      <c r="N642" s="633">
        <v>180563</v>
      </c>
      <c r="O642" s="1537">
        <f>1-N643</f>
        <v>0.54357063592172883</v>
      </c>
    </row>
    <row r="643" spans="1:15" ht="12" customHeight="1">
      <c r="A643" s="1517"/>
      <c r="B643" s="1502"/>
      <c r="C643" s="635" t="s">
        <v>6219</v>
      </c>
      <c r="D643" s="636">
        <f>D642/(D642+E642+G642+H642+I642+J642+L642+M642+N642)</f>
        <v>0.14705547789554574</v>
      </c>
      <c r="E643" s="636">
        <f>E642/(D642+E642+G642+H642+I642+J642+L642+M642+N642)</f>
        <v>7.0480461275180165E-2</v>
      </c>
      <c r="F643" s="637">
        <f t="shared" si="20"/>
        <v>0.21753593917072589</v>
      </c>
      <c r="G643" s="636">
        <f>G642/(D642+E642+G642+H642+I642+J642+L642+M642+N642)</f>
        <v>0.22559460463752437</v>
      </c>
      <c r="H643" s="636">
        <f>H642/(D642+E642+G642+H642+I642+J642+L642+M642+N642)</f>
        <v>2.2239692213579913E-2</v>
      </c>
      <c r="I643" s="636">
        <f>I642/(D642+E642+G642+H642+I642+J642+L642+M642+N642)</f>
        <v>9.5601859458694285E-3</v>
      </c>
      <c r="J643" s="636">
        <f>J642/(D642+E642+G642+H642+I642+J642+L642+M642+N642)</f>
        <v>1.6835229613826122E-2</v>
      </c>
      <c r="K643" s="637">
        <f t="shared" si="21"/>
        <v>0.2742297124107998</v>
      </c>
      <c r="L643" s="636">
        <f>L642/(D642+E642+G642+H642+I642+J642+L642+M642+N642)</f>
        <v>3.5687653406606186E-2</v>
      </c>
      <c r="M643" s="636">
        <f>M642/(D642+E642+G642+H642+I642+J642+L642+M642+N642)</f>
        <v>1.61173309335969E-2</v>
      </c>
      <c r="N643" s="636">
        <f>N642/(D642+E642+G642+H642+I642+J642+L642+M642+N642)</f>
        <v>0.45642936407827117</v>
      </c>
      <c r="O643" s="1503"/>
    </row>
    <row r="644" spans="1:15" ht="12" customHeight="1">
      <c r="A644" s="1517"/>
      <c r="B644" s="1502" t="s">
        <v>14938</v>
      </c>
      <c r="C644" s="638" t="s">
        <v>6218</v>
      </c>
      <c r="D644" s="639">
        <v>103745</v>
      </c>
      <c r="E644" s="639">
        <v>30976</v>
      </c>
      <c r="F644" s="640">
        <f t="shared" si="20"/>
        <v>134721</v>
      </c>
      <c r="G644" s="639">
        <v>74483</v>
      </c>
      <c r="H644" s="639">
        <v>11564</v>
      </c>
      <c r="I644" s="639"/>
      <c r="J644" s="639">
        <v>9988</v>
      </c>
      <c r="K644" s="640">
        <f t="shared" si="21"/>
        <v>96035</v>
      </c>
      <c r="L644" s="639">
        <v>16225</v>
      </c>
      <c r="M644" s="639"/>
      <c r="N644" s="639">
        <v>146062</v>
      </c>
      <c r="O644" s="1503">
        <f>1-N645</f>
        <v>0.62838162745552006</v>
      </c>
    </row>
    <row r="645" spans="1:15" ht="12" customHeight="1">
      <c r="A645" s="1517"/>
      <c r="B645" s="1502"/>
      <c r="C645" s="635" t="s">
        <v>6219</v>
      </c>
      <c r="D645" s="636">
        <f>D644/(D644+E644+G644+H644+I644+J644+L644+M644+N644)</f>
        <v>0.26395330790778615</v>
      </c>
      <c r="E645" s="636">
        <f>E644/(D644+E644+G644+H644+I644+J644+L644+M644+N644)</f>
        <v>7.8810715367020917E-2</v>
      </c>
      <c r="F645" s="637">
        <f t="shared" si="20"/>
        <v>0.34276402327480704</v>
      </c>
      <c r="G645" s="636">
        <f>G644/(D644+E644+G644+H644+I644+J644+L644+M644+N644)</f>
        <v>0.18950343855506904</v>
      </c>
      <c r="H645" s="636">
        <f>H644/(D644+E644+G644+H644+I644+J644+L644+M644+N644)</f>
        <v>2.9421717216691304E-2</v>
      </c>
      <c r="I645" s="636">
        <f>I644/(D644+E644+G644+H644+I644+J644+L644+M644+N644)</f>
        <v>0</v>
      </c>
      <c r="J645" s="636">
        <f>J644/(D644+E644+G644+H644+I644+J644+L644+M644+N644)</f>
        <v>2.54119778243093E-2</v>
      </c>
      <c r="K645" s="637">
        <f t="shared" si="21"/>
        <v>0.24433713359606965</v>
      </c>
      <c r="L645" s="636">
        <f>L644/(D644+E644+G644+H644+I644+J644+L644+M644+N644)</f>
        <v>4.128047058464341E-2</v>
      </c>
      <c r="M645" s="636">
        <f>M644/(D644+E644+G644+H644+I644+J644+L644+M644+N644)</f>
        <v>0</v>
      </c>
      <c r="N645" s="636">
        <f>N644/(D644+E644+G644+H644+I644+J644+L644+M644+N644)</f>
        <v>0.37161837254447988</v>
      </c>
      <c r="O645" s="1503"/>
    </row>
    <row r="646" spans="1:15" ht="12" customHeight="1">
      <c r="A646" s="1517"/>
      <c r="B646" s="1502" t="s">
        <v>14939</v>
      </c>
      <c r="C646" s="638" t="s">
        <v>6218</v>
      </c>
      <c r="D646" s="639">
        <v>56244</v>
      </c>
      <c r="E646" s="639">
        <v>31201</v>
      </c>
      <c r="F646" s="640">
        <f t="shared" si="20"/>
        <v>87445</v>
      </c>
      <c r="G646" s="639">
        <v>78568</v>
      </c>
      <c r="H646" s="639">
        <v>10022</v>
      </c>
      <c r="I646" s="639"/>
      <c r="J646" s="639"/>
      <c r="K646" s="640">
        <f t="shared" si="21"/>
        <v>88590</v>
      </c>
      <c r="L646" s="639">
        <v>13973</v>
      </c>
      <c r="M646" s="639">
        <v>8487</v>
      </c>
      <c r="N646" s="639">
        <v>193081</v>
      </c>
      <c r="O646" s="1503">
        <f>1-N647</f>
        <v>0.50691308966841686</v>
      </c>
    </row>
    <row r="647" spans="1:15" ht="12" customHeight="1">
      <c r="A647" s="1517"/>
      <c r="B647" s="1502"/>
      <c r="C647" s="635" t="s">
        <v>6219</v>
      </c>
      <c r="D647" s="636">
        <f>D646/(D646+E646+G646+H646+I646+J646+L646+M646+N646)</f>
        <v>0.14363495209103724</v>
      </c>
      <c r="E647" s="636">
        <f>E646/(D646+E646+G646+H646+I646+J646+L646+M646+N646)</f>
        <v>7.9680572864526941E-2</v>
      </c>
      <c r="F647" s="637">
        <f t="shared" si="20"/>
        <v>0.22331552495556417</v>
      </c>
      <c r="G647" s="636">
        <f>G646/(D646+E646+G646+H646+I646+J646+L646+M646+N646)</f>
        <v>0.20064559625717612</v>
      </c>
      <c r="H647" s="636">
        <f>H646/(D646+E646+G646+H646+I646+J646+L646+M646+N646)</f>
        <v>2.5594009847385947E-2</v>
      </c>
      <c r="I647" s="636">
        <f>I646/(D646+E646+G646+H646+I646+J646+L646+M646+N646)</f>
        <v>0</v>
      </c>
      <c r="J647" s="636">
        <f>J646/(D646+E646+G646+H646+I646+J646+L646+M646+N646)</f>
        <v>0</v>
      </c>
      <c r="K647" s="637">
        <f t="shared" si="21"/>
        <v>0.22623960610456206</v>
      </c>
      <c r="L647" s="636">
        <f>L646/(D646+E646+G646+H646+I646+J646+L646+M646+N646)</f>
        <v>3.5684005148425846E-2</v>
      </c>
      <c r="M647" s="636">
        <f>M646/(D646+E646+G646+H646+I646+J646+L646+M646+N646)</f>
        <v>2.1673953459864753E-2</v>
      </c>
      <c r="N647" s="636">
        <f>N646/(D646+E646+G646+H646+I646+J646+L646+M646+N646)</f>
        <v>0.49308691033158314</v>
      </c>
      <c r="O647" s="1503"/>
    </row>
    <row r="648" spans="1:15" ht="12" customHeight="1">
      <c r="A648" s="1517"/>
      <c r="B648" s="1502" t="s">
        <v>14940</v>
      </c>
      <c r="C648" s="638" t="s">
        <v>6218</v>
      </c>
      <c r="D648" s="639">
        <v>71170</v>
      </c>
      <c r="E648" s="639">
        <v>29779</v>
      </c>
      <c r="F648" s="640">
        <f t="shared" si="20"/>
        <v>100949</v>
      </c>
      <c r="G648" s="639">
        <v>87867</v>
      </c>
      <c r="H648" s="639">
        <v>7312</v>
      </c>
      <c r="I648" s="639"/>
      <c r="J648" s="639"/>
      <c r="K648" s="640">
        <f t="shared" si="21"/>
        <v>95179</v>
      </c>
      <c r="L648" s="639">
        <v>14682</v>
      </c>
      <c r="M648" s="639"/>
      <c r="N648" s="639">
        <v>179593</v>
      </c>
      <c r="O648" s="1503">
        <f>1-N649</f>
        <v>0.5399804817073639</v>
      </c>
    </row>
    <row r="649" spans="1:15" ht="12" customHeight="1" thickBot="1">
      <c r="A649" s="1519"/>
      <c r="B649" s="1514"/>
      <c r="C649" s="641" t="s">
        <v>6219</v>
      </c>
      <c r="D649" s="642">
        <f>D648/(D648+E648+G648+H648+I648+J648+L648+M648+N648)</f>
        <v>0.18229880405632129</v>
      </c>
      <c r="E649" s="642">
        <f>E648/(D648+E648+G648+H648+I648+J648+L648+M648+N648)</f>
        <v>7.6277590079994267E-2</v>
      </c>
      <c r="F649" s="643">
        <f t="shared" si="20"/>
        <v>0.25857639413631556</v>
      </c>
      <c r="G649" s="642">
        <f>G648/(D648+E648+G648+H648+I648+J648+L648+M648+N648)</f>
        <v>0.22506743032200061</v>
      </c>
      <c r="H649" s="642">
        <f>H648/(D648+E648+G648+H648+I648+J648+L648+M648+N648)</f>
        <v>1.8729364272303234E-2</v>
      </c>
      <c r="I649" s="642">
        <f>I648/(D648+E648+G648+H648+I648+J648+L648+M648+N648)</f>
        <v>0</v>
      </c>
      <c r="J649" s="642">
        <f>J648/(D648+E648+G648+H648+I648+J648+L648+M648+N648)</f>
        <v>0</v>
      </c>
      <c r="K649" s="643">
        <f t="shared" si="21"/>
        <v>0.24379679459430384</v>
      </c>
      <c r="L649" s="642">
        <f>L648/(D648+E648+G648+H648+I648+J648+L648+M648+N648)</f>
        <v>3.7607292976744547E-2</v>
      </c>
      <c r="M649" s="642">
        <f>M648/(D648+E648+G648+H648+I648+J648+L648+M648+N648)</f>
        <v>0</v>
      </c>
      <c r="N649" s="642">
        <f>N648/(D648+E648+G648+H648+I648+J648+L648+M648+N648)</f>
        <v>0.4600195182926361</v>
      </c>
      <c r="O649" s="1515"/>
    </row>
    <row r="650" spans="1:15" ht="12" customHeight="1">
      <c r="A650" s="1535" t="s">
        <v>15019</v>
      </c>
      <c r="B650" s="1536" t="s">
        <v>14937</v>
      </c>
      <c r="C650" s="632" t="s">
        <v>6218</v>
      </c>
      <c r="D650" s="633">
        <v>65313</v>
      </c>
      <c r="E650" s="633">
        <v>24140</v>
      </c>
      <c r="F650" s="634">
        <f t="shared" si="20"/>
        <v>89453</v>
      </c>
      <c r="G650" s="633">
        <v>64327</v>
      </c>
      <c r="H650" s="633">
        <v>5620</v>
      </c>
      <c r="I650" s="633">
        <v>3479</v>
      </c>
      <c r="J650" s="633">
        <v>3487</v>
      </c>
      <c r="K650" s="634">
        <f t="shared" si="21"/>
        <v>76913</v>
      </c>
      <c r="L650" s="633">
        <v>8912</v>
      </c>
      <c r="M650" s="633">
        <v>4606</v>
      </c>
      <c r="N650" s="633">
        <v>187631</v>
      </c>
      <c r="O650" s="1537">
        <f>1-N651</f>
        <v>0.48946029413765424</v>
      </c>
    </row>
    <row r="651" spans="1:15" ht="12" customHeight="1">
      <c r="A651" s="1517"/>
      <c r="B651" s="1502"/>
      <c r="C651" s="635" t="s">
        <v>6219</v>
      </c>
      <c r="D651" s="636">
        <f>D650/(D650+E650+G650+H650+I650+J650+L650+M650+N650)</f>
        <v>0.17771519529815111</v>
      </c>
      <c r="E651" s="636">
        <f>E650/(D650+E650+G650+H650+I650+J650+L650+M650+N650)</f>
        <v>6.5684393834265262E-2</v>
      </c>
      <c r="F651" s="637">
        <f t="shared" si="20"/>
        <v>0.24339958913241638</v>
      </c>
      <c r="G651" s="636">
        <f>G650/(D650+E650+G650+H650+I650+J650+L650+M650+N650)</f>
        <v>0.17503231160632898</v>
      </c>
      <c r="H651" s="636">
        <f>H650/(D650+E650+G650+H650+I650+J650+L650+M650+N650)</f>
        <v>1.529189284791097E-2</v>
      </c>
      <c r="I651" s="636">
        <f>I650/(D650+E650+G650+H650+I650+J650+L650+M650+N650)</f>
        <v>9.4662802878794066E-3</v>
      </c>
      <c r="J651" s="636">
        <f>J650/(D650+E650+G650+H650+I650+J650+L650+M650+N650)</f>
        <v>9.4880481068799916E-3</v>
      </c>
      <c r="K651" s="637">
        <f t="shared" si="21"/>
        <v>0.20927853284899936</v>
      </c>
      <c r="L651" s="636">
        <f>L650/(D650+E650+G650+H650+I650+J650+L650+M650+N650)</f>
        <v>2.4249350366651701E-2</v>
      </c>
      <c r="M651" s="636">
        <f>M650/(D650+E650+G650+H650+I650+J650+L650+M650+N650)</f>
        <v>1.2532821789586819E-2</v>
      </c>
      <c r="N651" s="636">
        <f>N650/(D650+E650+G650+H650+I650+J650+L650+M650+N650)</f>
        <v>0.51053970586234576</v>
      </c>
      <c r="O651" s="1503"/>
    </row>
    <row r="652" spans="1:15" ht="12" customHeight="1">
      <c r="A652" s="1517"/>
      <c r="B652" s="1502" t="s">
        <v>14938</v>
      </c>
      <c r="C652" s="638" t="s">
        <v>6218</v>
      </c>
      <c r="D652" s="639">
        <v>100299</v>
      </c>
      <c r="E652" s="639">
        <v>31949</v>
      </c>
      <c r="F652" s="640">
        <f t="shared" si="20"/>
        <v>132248</v>
      </c>
      <c r="G652" s="639">
        <v>65573</v>
      </c>
      <c r="H652" s="639">
        <v>9499</v>
      </c>
      <c r="I652" s="639"/>
      <c r="J652" s="639">
        <v>7203</v>
      </c>
      <c r="K652" s="640">
        <f t="shared" si="21"/>
        <v>82275</v>
      </c>
      <c r="L652" s="639">
        <v>11504</v>
      </c>
      <c r="M652" s="639"/>
      <c r="N652" s="639">
        <v>141555</v>
      </c>
      <c r="O652" s="1503">
        <f>1-N653</f>
        <v>0.61490225310270907</v>
      </c>
    </row>
    <row r="653" spans="1:15" ht="12" customHeight="1">
      <c r="A653" s="1517"/>
      <c r="B653" s="1502"/>
      <c r="C653" s="635" t="s">
        <v>6219</v>
      </c>
      <c r="D653" s="636">
        <f>D652/(D652+E652+G652+H652+I652+J652+L652+M652+N652)</f>
        <v>0.27286156558264552</v>
      </c>
      <c r="E653" s="636">
        <f>E652/(D652+E652+G652+H652+I652+J652+L652+M652+N652)</f>
        <v>8.6916660772290266E-2</v>
      </c>
      <c r="F653" s="637">
        <f t="shared" si="20"/>
        <v>0.35977822635493578</v>
      </c>
      <c r="G653" s="636">
        <f>G652/(D652+E652+G652+H652+I652+J652+L652+M652+N652)</f>
        <v>0.17839012791703621</v>
      </c>
      <c r="H653" s="636">
        <f>H652/(D652+E652+G652+H652+I652+J652+L652+M652+N652)</f>
        <v>2.5841852974302332E-2</v>
      </c>
      <c r="I653" s="636">
        <f>I652/(D652+E652+G652+H652+I652+J652+L652+M652+N652)</f>
        <v>0</v>
      </c>
      <c r="J653" s="636">
        <f>J652/(D652+E652+G652+H652+I652+J652+L652+M652+N652)</f>
        <v>1.9595627642267577E-2</v>
      </c>
      <c r="K653" s="637">
        <f t="shared" si="21"/>
        <v>0.22382760853360611</v>
      </c>
      <c r="L653" s="636">
        <f>L652/(D652+E652+G652+H652+I652+J652+L652+M652+N652)</f>
        <v>3.1296418214167177E-2</v>
      </c>
      <c r="M653" s="636">
        <f>M652/(D652+E652+G652+H652+I652+J652+L652+M652+N652)</f>
        <v>0</v>
      </c>
      <c r="N653" s="636">
        <f>N652/(D652+E652+G652+H652+I652+J652+L652+M652+N652)</f>
        <v>0.38509774689729093</v>
      </c>
      <c r="O653" s="1503"/>
    </row>
    <row r="654" spans="1:15" ht="12" customHeight="1">
      <c r="A654" s="1517"/>
      <c r="B654" s="1502" t="s">
        <v>14939</v>
      </c>
      <c r="C654" s="638" t="s">
        <v>6218</v>
      </c>
      <c r="D654" s="639">
        <v>66353</v>
      </c>
      <c r="E654" s="639">
        <v>29808</v>
      </c>
      <c r="F654" s="640">
        <f t="shared" si="20"/>
        <v>96161</v>
      </c>
      <c r="G654" s="639">
        <v>52815</v>
      </c>
      <c r="H654" s="639">
        <v>6494</v>
      </c>
      <c r="I654" s="639"/>
      <c r="J654" s="639"/>
      <c r="K654" s="640">
        <f t="shared" si="21"/>
        <v>59309</v>
      </c>
      <c r="L654" s="639">
        <v>9454</v>
      </c>
      <c r="M654" s="639">
        <v>5546</v>
      </c>
      <c r="N654" s="639">
        <v>196586</v>
      </c>
      <c r="O654" s="1503">
        <f>1-N655</f>
        <v>0.46442504685933483</v>
      </c>
    </row>
    <row r="655" spans="1:15" ht="12" customHeight="1">
      <c r="A655" s="1517"/>
      <c r="B655" s="1502"/>
      <c r="C655" s="635" t="s">
        <v>6219</v>
      </c>
      <c r="D655" s="636">
        <f>D654/(D654+E654+G654+H654+I654+J654+L654+M654+N654)</f>
        <v>0.18077078157011464</v>
      </c>
      <c r="E655" s="636">
        <f>E654/(D654+E654+G654+H654+I654+J654+L654+M654+N654)</f>
        <v>8.1208316987053747E-2</v>
      </c>
      <c r="F655" s="637">
        <f t="shared" si="20"/>
        <v>0.26197909855716839</v>
      </c>
      <c r="G655" s="636">
        <f>G654/(D654+E654+G654+H654+I654+J654+L654+M654+N654)</f>
        <v>0.14388812606250817</v>
      </c>
      <c r="H655" s="636">
        <f>H654/(D654+E654+G654+H654+I654+J654+L654+M654+N654)</f>
        <v>1.7692123272743124E-2</v>
      </c>
      <c r="I655" s="636">
        <f>I654/(D654+E654+G654+H654+I654+J654+L654+M654+N654)</f>
        <v>0</v>
      </c>
      <c r="J655" s="636">
        <f>J654/(D654+E654+G654+H654+I654+J654+L654+M654+N654)</f>
        <v>0</v>
      </c>
      <c r="K655" s="637">
        <f t="shared" si="21"/>
        <v>0.16158024933525128</v>
      </c>
      <c r="L655" s="636">
        <f>L654/(D654+E654+G654+H654+I654+J654+L654+M654+N654)</f>
        <v>2.5756287868881043E-2</v>
      </c>
      <c r="M655" s="636">
        <f>M654/(D654+E654+G654+H654+I654+J654+L654+M654+N654)</f>
        <v>1.5109411098034087E-2</v>
      </c>
      <c r="N655" s="636">
        <f>N654/(D654+E654+G654+H654+I654+J654+L654+M654+N654)</f>
        <v>0.53557495314066517</v>
      </c>
      <c r="O655" s="1503"/>
    </row>
    <row r="656" spans="1:15" ht="12" customHeight="1">
      <c r="A656" s="1517"/>
      <c r="B656" s="1502" t="s">
        <v>14940</v>
      </c>
      <c r="C656" s="638" t="s">
        <v>6218</v>
      </c>
      <c r="D656" s="639">
        <v>97918</v>
      </c>
      <c r="E656" s="639">
        <v>34349</v>
      </c>
      <c r="F656" s="640">
        <f t="shared" si="20"/>
        <v>132267</v>
      </c>
      <c r="G656" s="639">
        <v>64338</v>
      </c>
      <c r="H656" s="639">
        <v>6228</v>
      </c>
      <c r="I656" s="639"/>
      <c r="J656" s="639"/>
      <c r="K656" s="640">
        <f t="shared" si="21"/>
        <v>70566</v>
      </c>
      <c r="L656" s="639">
        <v>11480</v>
      </c>
      <c r="M656" s="639"/>
      <c r="N656" s="639">
        <v>152919</v>
      </c>
      <c r="O656" s="1503">
        <f>1-N657</f>
        <v>0.58359021000348554</v>
      </c>
    </row>
    <row r="657" spans="1:15" ht="12" customHeight="1" thickBot="1">
      <c r="A657" s="1519"/>
      <c r="B657" s="1514"/>
      <c r="C657" s="641" t="s">
        <v>6219</v>
      </c>
      <c r="D657" s="642">
        <f>D656/(D656+E656+G656+H656+I656+J656+L656+M656+N656)</f>
        <v>0.26663798361798535</v>
      </c>
      <c r="E657" s="642">
        <f>E656/(D656+E656+G656+H656+I656+J656+L656+M656+N656)</f>
        <v>9.3534877134890212E-2</v>
      </c>
      <c r="F657" s="643">
        <f t="shared" si="20"/>
        <v>0.36017286075287558</v>
      </c>
      <c r="G657" s="642">
        <f>G656/(D656+E656+G656+H656+I656+J656+L656+M656+N656)</f>
        <v>0.17519715057511329</v>
      </c>
      <c r="H657" s="642">
        <f>H656/(D656+E656+G656+H656+I656+J656+L656+M656+N656)</f>
        <v>1.6959306378529104E-2</v>
      </c>
      <c r="I657" s="642">
        <f>I656/(D656+E656+G656+H656+I656+J656+L656+M656+N656)</f>
        <v>0</v>
      </c>
      <c r="J657" s="642">
        <f>J656/(D656+E656+G656+H656+I656+J656+L656+M656+N656)</f>
        <v>0</v>
      </c>
      <c r="K657" s="643">
        <f t="shared" si="21"/>
        <v>0.19215645695364239</v>
      </c>
      <c r="L657" s="642">
        <f>L656/(D656+E656+G656+H656+I656+J656+L656+M656+N656)</f>
        <v>3.1260892296967588E-2</v>
      </c>
      <c r="M657" s="642">
        <f>M656/(D656+E656+G656+H656+I656+J656+L656+M656+N656)</f>
        <v>0</v>
      </c>
      <c r="N657" s="642">
        <f>N656/(D656+E656+G656+H656+I656+J656+L656+M656+N656)</f>
        <v>0.41640978999651446</v>
      </c>
      <c r="O657" s="1515"/>
    </row>
    <row r="658" spans="1:15" ht="12" customHeight="1">
      <c r="A658" s="1535" t="s">
        <v>15020</v>
      </c>
      <c r="B658" s="1536" t="s">
        <v>14937</v>
      </c>
      <c r="C658" s="632" t="s">
        <v>6218</v>
      </c>
      <c r="D658" s="633">
        <v>76361</v>
      </c>
      <c r="E658" s="633">
        <v>30935</v>
      </c>
      <c r="F658" s="634">
        <f t="shared" si="20"/>
        <v>107296</v>
      </c>
      <c r="G658" s="633">
        <v>69547</v>
      </c>
      <c r="H658" s="633">
        <v>5914</v>
      </c>
      <c r="I658" s="633">
        <v>4627</v>
      </c>
      <c r="J658" s="633">
        <v>4058</v>
      </c>
      <c r="K658" s="634">
        <f t="shared" si="21"/>
        <v>84146</v>
      </c>
      <c r="L658" s="633">
        <v>11259</v>
      </c>
      <c r="M658" s="633">
        <v>4495</v>
      </c>
      <c r="N658" s="633">
        <v>169460</v>
      </c>
      <c r="O658" s="1537">
        <f>1-N659</f>
        <v>0.55009345397391785</v>
      </c>
    </row>
    <row r="659" spans="1:15" ht="12" customHeight="1">
      <c r="A659" s="1517"/>
      <c r="B659" s="1502"/>
      <c r="C659" s="635" t="s">
        <v>6219</v>
      </c>
      <c r="D659" s="636">
        <f>D658/(D658+E658+G658+H658+I658+J658+L658+M658+N658)</f>
        <v>0.20273405972558514</v>
      </c>
      <c r="E659" s="636">
        <f>E658/(D658+E658+G658+H658+I658+J658+L658+M658+N658)</f>
        <v>8.2130644407629239E-2</v>
      </c>
      <c r="F659" s="637">
        <f t="shared" si="20"/>
        <v>0.28486470413321441</v>
      </c>
      <c r="G659" s="636">
        <f>G658/(D658+E658+G658+H658+I658+J658+L658+M658+N658)</f>
        <v>0.18464328193364768</v>
      </c>
      <c r="H659" s="636">
        <f>H658/(D658+E658+G658+H658+I658+J658+L658+M658+N658)</f>
        <v>1.5701329595174375E-2</v>
      </c>
      <c r="I659" s="636">
        <f>I658/(D658+E658+G658+H658+I658+J658+L658+M658+N658)</f>
        <v>1.2284418673803152E-2</v>
      </c>
      <c r="J659" s="636">
        <f>J658/(D658+E658+G658+H658+I658+J658+L658+M658+N658)</f>
        <v>1.0773756424960706E-2</v>
      </c>
      <c r="K659" s="637">
        <f t="shared" si="21"/>
        <v>0.22340278662758589</v>
      </c>
      <c r="L659" s="636">
        <f>L658/(D658+E658+G658+H658+I658+J658+L658+M658+N658)</f>
        <v>2.9891996941506307E-2</v>
      </c>
      <c r="M659" s="636">
        <f>M658/(D658+E658+G658+H658+I658+J658+L658+M658+N658)</f>
        <v>1.1933966271611231E-2</v>
      </c>
      <c r="N659" s="636">
        <f>N658/(D658+E658+G658+H658+I658+J658+L658+M658+N658)</f>
        <v>0.44990654602608215</v>
      </c>
      <c r="O659" s="1503"/>
    </row>
    <row r="660" spans="1:15" ht="12" customHeight="1">
      <c r="A660" s="1517"/>
      <c r="B660" s="1502" t="s">
        <v>14938</v>
      </c>
      <c r="C660" s="638" t="s">
        <v>6218</v>
      </c>
      <c r="D660" s="639">
        <v>99645</v>
      </c>
      <c r="E660" s="639">
        <v>37408</v>
      </c>
      <c r="F660" s="640">
        <f t="shared" si="20"/>
        <v>137053</v>
      </c>
      <c r="G660" s="639">
        <v>62523</v>
      </c>
      <c r="H660" s="639">
        <v>9394</v>
      </c>
      <c r="I660" s="639"/>
      <c r="J660" s="639">
        <v>8309</v>
      </c>
      <c r="K660" s="640">
        <f t="shared" si="21"/>
        <v>80226</v>
      </c>
      <c r="L660" s="639">
        <v>14666</v>
      </c>
      <c r="M660" s="639"/>
      <c r="N660" s="639">
        <v>144630</v>
      </c>
      <c r="O660" s="1503">
        <f>1-N661</f>
        <v>0.61593308105954991</v>
      </c>
    </row>
    <row r="661" spans="1:15" ht="12" customHeight="1">
      <c r="A661" s="1517"/>
      <c r="B661" s="1502"/>
      <c r="C661" s="635" t="s">
        <v>6219</v>
      </c>
      <c r="D661" s="636">
        <f>D660/(D660+E660+G660+H660+I660+J660+L660+M660+N660)</f>
        <v>0.2646086436964748</v>
      </c>
      <c r="E661" s="636">
        <f>E660/(D660+E660+G660+H660+I660+J660+L660+M660+N660)</f>
        <v>9.9337449379273718E-2</v>
      </c>
      <c r="F661" s="637">
        <f t="shared" si="20"/>
        <v>0.36394609307574854</v>
      </c>
      <c r="G661" s="636">
        <f>G660/(D660+E660+G660+H660+I660+J660+L660+M660+N660)</f>
        <v>0.16603067118103965</v>
      </c>
      <c r="H661" s="636">
        <f>H660/(D660+E660+G660+H660+I660+J660+L660+M660+N660)</f>
        <v>2.4945893912235277E-2</v>
      </c>
      <c r="I661" s="636">
        <f>I660/(D660+E660+G660+H660+I660+J660+L660+M660+N660)</f>
        <v>0</v>
      </c>
      <c r="J661" s="636">
        <f>J660/(D660+E660+G660+H660+I660+J660+L660+M660+N660)</f>
        <v>2.2064661753966673E-2</v>
      </c>
      <c r="K661" s="637">
        <f t="shared" si="21"/>
        <v>0.21304122684724161</v>
      </c>
      <c r="L661" s="636">
        <f>L660/(D660+E660+G660+H660+I660+J660+L660+M660+N660)</f>
        <v>3.894576113655978E-2</v>
      </c>
      <c r="M661" s="636">
        <f>M660/(D660+E660+G660+H660+I660+J660+L660+M660+N660)</f>
        <v>0</v>
      </c>
      <c r="N661" s="636">
        <f>N660/(D660+E660+G660+H660+I660+J660+L660+M660+N660)</f>
        <v>0.38406691894045009</v>
      </c>
      <c r="O661" s="1503"/>
    </row>
    <row r="662" spans="1:15" ht="12" customHeight="1">
      <c r="A662" s="1517"/>
      <c r="B662" s="1502" t="s">
        <v>14939</v>
      </c>
      <c r="C662" s="638" t="s">
        <v>6218</v>
      </c>
      <c r="D662" s="639">
        <v>70456</v>
      </c>
      <c r="E662" s="639">
        <v>34289</v>
      </c>
      <c r="F662" s="640">
        <f t="shared" si="20"/>
        <v>104745</v>
      </c>
      <c r="G662" s="639">
        <v>58478</v>
      </c>
      <c r="H662" s="639">
        <v>6608</v>
      </c>
      <c r="I662" s="639"/>
      <c r="J662" s="639"/>
      <c r="K662" s="640">
        <f t="shared" si="21"/>
        <v>65086</v>
      </c>
      <c r="L662" s="639">
        <v>11239</v>
      </c>
      <c r="M662" s="639">
        <v>5945</v>
      </c>
      <c r="N662" s="639">
        <v>188212</v>
      </c>
      <c r="O662" s="1503">
        <f>1-N663</f>
        <v>0.49840496552753399</v>
      </c>
    </row>
    <row r="663" spans="1:15" ht="12" customHeight="1">
      <c r="A663" s="1517"/>
      <c r="B663" s="1502"/>
      <c r="C663" s="635" t="s">
        <v>6219</v>
      </c>
      <c r="D663" s="636">
        <f>D662/(D662+E662+G662+H662+I662+J662+L662+M662+N662)</f>
        <v>0.18776900382968176</v>
      </c>
      <c r="E663" s="636">
        <f>E662/(D662+E662+G662+H662+I662+J662+L662+M662+N662)</f>
        <v>9.1382016752525802E-2</v>
      </c>
      <c r="F663" s="637">
        <f t="shared" si="20"/>
        <v>0.27915102058220753</v>
      </c>
      <c r="G663" s="636">
        <f>G662/(D662+E662+G662+H662+I662+J662+L662+M662+N662)</f>
        <v>0.15584699395299378</v>
      </c>
      <c r="H663" s="636">
        <f>H662/(D662+E662+G662+H662+I662+J662+L662+M662+N662)</f>
        <v>1.7610673005940405E-2</v>
      </c>
      <c r="I663" s="636">
        <f>I662/(D662+E662+G662+H662+I662+J662+L662+M662+N662)</f>
        <v>0</v>
      </c>
      <c r="J663" s="636">
        <f>J662/(D662+E662+G662+H662+I662+J662+L662+M662+N662)</f>
        <v>0</v>
      </c>
      <c r="K663" s="637">
        <f t="shared" si="21"/>
        <v>0.17345766695893419</v>
      </c>
      <c r="L663" s="636">
        <f>L662/(D662+E662+G662+H662+I662+J662+L662+M662+N662)</f>
        <v>2.9952535398572063E-2</v>
      </c>
      <c r="M663" s="636">
        <f>M662/(D662+E662+G662+H662+I662+J662+L662+M662+N662)</f>
        <v>1.5843742587820172E-2</v>
      </c>
      <c r="N663" s="636">
        <f>N662/(D662+E662+G662+H662+I662+J662+L662+M662+N662)</f>
        <v>0.50159503447246601</v>
      </c>
      <c r="O663" s="1503"/>
    </row>
    <row r="664" spans="1:15" ht="12" customHeight="1">
      <c r="A664" s="1517"/>
      <c r="B664" s="1502" t="s">
        <v>14940</v>
      </c>
      <c r="C664" s="638" t="s">
        <v>6218</v>
      </c>
      <c r="D664" s="639">
        <v>86890</v>
      </c>
      <c r="E664" s="639">
        <v>34219</v>
      </c>
      <c r="F664" s="640">
        <f t="shared" si="20"/>
        <v>121109</v>
      </c>
      <c r="G664" s="639">
        <v>68522</v>
      </c>
      <c r="H664" s="639">
        <v>5532</v>
      </c>
      <c r="I664" s="639"/>
      <c r="J664" s="639"/>
      <c r="K664" s="640">
        <f t="shared" si="21"/>
        <v>74054</v>
      </c>
      <c r="L664" s="639">
        <v>13132</v>
      </c>
      <c r="M664" s="639"/>
      <c r="N664" s="639">
        <v>166550</v>
      </c>
      <c r="O664" s="1503">
        <f>1-N665</f>
        <v>0.55568301564646716</v>
      </c>
    </row>
    <row r="665" spans="1:15" ht="12" customHeight="1" thickBot="1">
      <c r="A665" s="1519"/>
      <c r="B665" s="1514"/>
      <c r="C665" s="641" t="s">
        <v>6219</v>
      </c>
      <c r="D665" s="642">
        <f>D664/(D664+E664+G664+H664+I664+J664+L664+M664+N664)</f>
        <v>0.23180247835772119</v>
      </c>
      <c r="E665" s="642">
        <f>E664/(D664+E664+G664+H664+I664+J664+L664+M664+N664)</f>
        <v>9.1288399205004742E-2</v>
      </c>
      <c r="F665" s="643">
        <f t="shared" si="20"/>
        <v>0.32309087756272592</v>
      </c>
      <c r="G665" s="642">
        <f>G664/(D664+E664+G664+H664+I664+J664+L664+M664+N664)</f>
        <v>0.18280089103496111</v>
      </c>
      <c r="H665" s="642">
        <f>H664/(D664+E664+G664+H664+I664+J664+L664+M664+N664)</f>
        <v>1.4758100014672731E-2</v>
      </c>
      <c r="I665" s="642">
        <f>I664/(D664+E664+G664+H664+I664+J664+L664+M664+N664)</f>
        <v>0</v>
      </c>
      <c r="J665" s="642">
        <f>J664/(D664+E664+G664+H664+I664+J664+L664+M664+N664)</f>
        <v>0</v>
      </c>
      <c r="K665" s="643">
        <f t="shared" si="21"/>
        <v>0.19755899104963384</v>
      </c>
      <c r="L665" s="642">
        <f>L664/(D664+E664+G664+H664+I664+J664+L664+M664+N664)</f>
        <v>3.5033147034107433E-2</v>
      </c>
      <c r="M665" s="642">
        <f>M664/(D664+E664+G664+H664+I664+J664+L664+M664+N664)</f>
        <v>0</v>
      </c>
      <c r="N665" s="642">
        <f>N664/(D664+E664+G664+H664+I664+J664+L664+M664+N664)</f>
        <v>0.44431698435353278</v>
      </c>
      <c r="O665" s="1515"/>
    </row>
    <row r="666" spans="1:15" ht="12" customHeight="1">
      <c r="A666" s="1535" t="s">
        <v>15021</v>
      </c>
      <c r="B666" s="1536" t="s">
        <v>14937</v>
      </c>
      <c r="C666" s="632" t="s">
        <v>6218</v>
      </c>
      <c r="D666" s="633">
        <v>68869</v>
      </c>
      <c r="E666" s="633">
        <v>30445</v>
      </c>
      <c r="F666" s="634">
        <f t="shared" si="20"/>
        <v>99314</v>
      </c>
      <c r="G666" s="633">
        <v>88101</v>
      </c>
      <c r="H666" s="633">
        <v>5168</v>
      </c>
      <c r="I666" s="633">
        <v>3005</v>
      </c>
      <c r="J666" s="633">
        <v>3584</v>
      </c>
      <c r="K666" s="634">
        <f t="shared" si="21"/>
        <v>99858</v>
      </c>
      <c r="L666" s="633">
        <v>8227</v>
      </c>
      <c r="M666" s="633">
        <v>4247</v>
      </c>
      <c r="N666" s="633">
        <v>174186</v>
      </c>
      <c r="O666" s="1537">
        <f>1-N667</f>
        <v>0.54854444421406212</v>
      </c>
    </row>
    <row r="667" spans="1:15" ht="12" customHeight="1">
      <c r="A667" s="1517"/>
      <c r="B667" s="1502"/>
      <c r="C667" s="635" t="s">
        <v>6219</v>
      </c>
      <c r="D667" s="636">
        <f>D666/(D666+E666+G666+H666+I666+J666+L666+M666+N666)</f>
        <v>0.17849478529515436</v>
      </c>
      <c r="E667" s="636">
        <f>E666/(D666+E666+G666+H666+I666+J666+L666+M666+N666)</f>
        <v>7.8907400111965828E-2</v>
      </c>
      <c r="F667" s="637">
        <f t="shared" si="20"/>
        <v>0.25740218540712018</v>
      </c>
      <c r="G667" s="636">
        <f>G666/(D666+E666+G666+H666+I666+J666+L666+M666+N666)</f>
        <v>0.22834031391901138</v>
      </c>
      <c r="H667" s="636">
        <f>H666/(D666+E666+G666+H666+I666+J666+L666+M666+N666)</f>
        <v>1.3394430736693691E-2</v>
      </c>
      <c r="I667" s="636">
        <f>I666/(D666+E666+G666+H666+I666+J666+L666+M666+N666)</f>
        <v>7.7883638474776588E-3</v>
      </c>
      <c r="J667" s="636">
        <f>J666/(D666+E666+G666+H666+I666+J666+L666+M666+N666)</f>
        <v>9.2890169814841689E-3</v>
      </c>
      <c r="K667" s="637">
        <f t="shared" si="21"/>
        <v>0.25881212548466692</v>
      </c>
      <c r="L667" s="636">
        <f>L666/(D666+E666+G666+H666+I666+J666+L666+M666+N666)</f>
        <v>2.1322751871280764E-2</v>
      </c>
      <c r="M667" s="636">
        <f>M666/(D666+E666+G666+H666+I666+J666+L666+M666+N666)</f>
        <v>1.1007381450994214E-2</v>
      </c>
      <c r="N667" s="636">
        <f>N666/(D666+E666+G666+H666+I666+J666+L666+M666+N666)</f>
        <v>0.45145555578593793</v>
      </c>
      <c r="O667" s="1503"/>
    </row>
    <row r="668" spans="1:15" ht="12" customHeight="1">
      <c r="A668" s="1517"/>
      <c r="B668" s="1502" t="s">
        <v>14938</v>
      </c>
      <c r="C668" s="638" t="s">
        <v>6218</v>
      </c>
      <c r="D668" s="639">
        <v>108702</v>
      </c>
      <c r="E668" s="639">
        <v>38573</v>
      </c>
      <c r="F668" s="640">
        <f t="shared" si="20"/>
        <v>147275</v>
      </c>
      <c r="G668" s="639">
        <v>71952</v>
      </c>
      <c r="H668" s="639">
        <v>10104</v>
      </c>
      <c r="I668" s="639"/>
      <c r="J668" s="639">
        <v>8693</v>
      </c>
      <c r="K668" s="640">
        <f t="shared" si="21"/>
        <v>90749</v>
      </c>
      <c r="L668" s="639">
        <v>12146</v>
      </c>
      <c r="M668" s="639"/>
      <c r="N668" s="639">
        <v>136089</v>
      </c>
      <c r="O668" s="1503">
        <f>1-N669</f>
        <v>0.64767422895000504</v>
      </c>
    </row>
    <row r="669" spans="1:15" ht="12" customHeight="1">
      <c r="A669" s="1517"/>
      <c r="B669" s="1502"/>
      <c r="C669" s="635" t="s">
        <v>6219</v>
      </c>
      <c r="D669" s="636">
        <f>D668/(D668+E668+G668+H668+I668+J668+L668+M668+N668)</f>
        <v>0.28142256879451355</v>
      </c>
      <c r="E669" s="636">
        <f>E668/(D668+E668+G668+H668+I668+J668+L668+M668+N668)</f>
        <v>9.9863045262375758E-2</v>
      </c>
      <c r="F669" s="637">
        <f t="shared" si="20"/>
        <v>0.38128561405688932</v>
      </c>
      <c r="G669" s="636">
        <f>G668/(D668+E668+G668+H668+I668+J668+L668+M668+N668)</f>
        <v>0.18627915466047393</v>
      </c>
      <c r="H669" s="636">
        <f>H668/(D668+E668+G668+H668+I668+J668+L668+M668+N668)</f>
        <v>2.615861377987309E-2</v>
      </c>
      <c r="I669" s="636">
        <f>I668/(D668+E668+G668+H668+I668+J668+L668+M668+N668)</f>
        <v>0</v>
      </c>
      <c r="J669" s="636">
        <f>J668/(D668+E668+G668+H668+I668+J668+L668+M668+N668)</f>
        <v>2.2505624464413773E-2</v>
      </c>
      <c r="K669" s="637">
        <f t="shared" si="21"/>
        <v>0.23494339290476079</v>
      </c>
      <c r="L669" s="636">
        <f>L668/(D668+E668+G668+H668+I668+J668+L668+M668+N668)</f>
        <v>3.1445221988354963E-2</v>
      </c>
      <c r="M669" s="636">
        <f>M668/(D668+E668+G668+H668+I668+J668+L668+M668+N668)</f>
        <v>0</v>
      </c>
      <c r="N669" s="636">
        <f>N668/(D668+E668+G668+H668+I668+J668+L668+M668+N668)</f>
        <v>0.35232577104999496</v>
      </c>
      <c r="O669" s="1503"/>
    </row>
    <row r="670" spans="1:15" ht="12" customHeight="1">
      <c r="A670" s="1517"/>
      <c r="B670" s="1502" t="s">
        <v>14939</v>
      </c>
      <c r="C670" s="638" t="s">
        <v>6218</v>
      </c>
      <c r="D670" s="639">
        <v>72454</v>
      </c>
      <c r="E670" s="639">
        <v>34435</v>
      </c>
      <c r="F670" s="640">
        <f t="shared" si="20"/>
        <v>106889</v>
      </c>
      <c r="G670" s="639">
        <v>65728</v>
      </c>
      <c r="H670" s="639">
        <v>7438</v>
      </c>
      <c r="I670" s="639"/>
      <c r="J670" s="639"/>
      <c r="K670" s="640">
        <f t="shared" si="21"/>
        <v>73166</v>
      </c>
      <c r="L670" s="639">
        <v>9232</v>
      </c>
      <c r="M670" s="639">
        <v>6326</v>
      </c>
      <c r="N670" s="639">
        <v>190675</v>
      </c>
      <c r="O670" s="1503">
        <f>1-N671</f>
        <v>0.50639160419169116</v>
      </c>
    </row>
    <row r="671" spans="1:15" ht="12" customHeight="1">
      <c r="A671" s="1517"/>
      <c r="B671" s="1502"/>
      <c r="C671" s="635" t="s">
        <v>6219</v>
      </c>
      <c r="D671" s="636">
        <f>D670/(D670+E670+G670+H670+I670+J670+L670+M670+N670)</f>
        <v>0.18756471855196122</v>
      </c>
      <c r="E671" s="636">
        <f>E670/(D670+E670+G670+H670+I670+J670+L670+M670+N670)</f>
        <v>8.9143333471399577E-2</v>
      </c>
      <c r="F671" s="637">
        <f t="shared" si="20"/>
        <v>0.2767080520233608</v>
      </c>
      <c r="G671" s="636">
        <f>G670/(D670+E670+G670+H670+I670+J670+L670+M670+N670)</f>
        <v>0.17015283933231165</v>
      </c>
      <c r="H671" s="636">
        <f>H670/(D670+E670+G670+H670+I670+J670+L670+M670+N670)</f>
        <v>1.9255063579505446E-2</v>
      </c>
      <c r="I671" s="636">
        <f>I670/(D670+E670+G670+H670+I670+J670+L670+M670+N670)</f>
        <v>0</v>
      </c>
      <c r="J671" s="636">
        <f>J670/(D670+E670+G670+H670+I670+J670+L670+M670+N670)</f>
        <v>0</v>
      </c>
      <c r="K671" s="637">
        <f t="shared" si="21"/>
        <v>0.18940790291181708</v>
      </c>
      <c r="L671" s="636">
        <f>L670/(D670+E670+G670+H670+I670+J670+L670+M670+N670)</f>
        <v>2.3899266868243382E-2</v>
      </c>
      <c r="M671" s="636">
        <f>M670/(D670+E670+G670+H670+I670+J670+L670+M670+N670)</f>
        <v>1.637638238826989E-2</v>
      </c>
      <c r="N671" s="636">
        <f>N670/(D670+E670+G670+H670+I670+J670+L670+M670+N670)</f>
        <v>0.49360839580830884</v>
      </c>
      <c r="O671" s="1503"/>
    </row>
    <row r="672" spans="1:15" ht="12" customHeight="1">
      <c r="A672" s="1517"/>
      <c r="B672" s="1502" t="s">
        <v>14940</v>
      </c>
      <c r="C672" s="638" t="s">
        <v>6218</v>
      </c>
      <c r="D672" s="639">
        <v>89079</v>
      </c>
      <c r="E672" s="639">
        <v>35478</v>
      </c>
      <c r="F672" s="640">
        <f t="shared" si="20"/>
        <v>124557</v>
      </c>
      <c r="G672" s="639">
        <v>76914</v>
      </c>
      <c r="H672" s="639">
        <v>6074</v>
      </c>
      <c r="I672" s="639"/>
      <c r="J672" s="639"/>
      <c r="K672" s="640">
        <f t="shared" si="21"/>
        <v>82988</v>
      </c>
      <c r="L672" s="639">
        <v>10220</v>
      </c>
      <c r="M672" s="639"/>
      <c r="N672" s="639">
        <v>168714</v>
      </c>
      <c r="O672" s="1503">
        <f>1-N673</f>
        <v>0.56345881664980502</v>
      </c>
    </row>
    <row r="673" spans="1:15" ht="12" customHeight="1" thickBot="1">
      <c r="A673" s="1519"/>
      <c r="B673" s="1514"/>
      <c r="C673" s="641" t="s">
        <v>6219</v>
      </c>
      <c r="D673" s="642">
        <f>D672/(D672+E672+G672+H672+I672+J672+L672+M672+N672)</f>
        <v>0.23048859058318821</v>
      </c>
      <c r="E673" s="642">
        <f>E672/(D672+E672+G672+H672+I672+J672+L672+M672+N672)</f>
        <v>9.1798001961296727E-2</v>
      </c>
      <c r="F673" s="643">
        <f t="shared" si="20"/>
        <v>0.32228659254448494</v>
      </c>
      <c r="G673" s="642">
        <f>G672/(D672+E672+G672+H672+I672+J672+L672+M672+N672)</f>
        <v>0.19901210673801165</v>
      </c>
      <c r="H673" s="642">
        <f>H672/(D672+E672+G672+H672+I672+J672+L672+M672+N672)</f>
        <v>1.5716248489568645E-2</v>
      </c>
      <c r="I673" s="642">
        <f>I672/(D672+E672+G672+H672+I672+J672+L672+M672+N672)</f>
        <v>0</v>
      </c>
      <c r="J673" s="642">
        <f>J672/(D672+E672+G672+H672+I672+J672+L672+M672+N672)</f>
        <v>0</v>
      </c>
      <c r="K673" s="643">
        <f t="shared" si="21"/>
        <v>0.2147283552275803</v>
      </c>
      <c r="L673" s="642">
        <f>L672/(D672+E672+G672+H672+I672+J672+L672+M672+N672)</f>
        <v>2.64438688777398E-2</v>
      </c>
      <c r="M673" s="642">
        <f>M672/(D672+E672+G672+H672+I672+J672+L672+M672+N672)</f>
        <v>0</v>
      </c>
      <c r="N673" s="642">
        <f>N672/(D672+E672+G672+H672+I672+J672+L672+M672+N672)</f>
        <v>0.43654118335019498</v>
      </c>
      <c r="O673" s="1515"/>
    </row>
    <row r="674" spans="1:15" ht="12" customHeight="1">
      <c r="A674" s="1535" t="s">
        <v>15022</v>
      </c>
      <c r="B674" s="1536" t="s">
        <v>14937</v>
      </c>
      <c r="C674" s="632" t="s">
        <v>6218</v>
      </c>
      <c r="D674" s="633">
        <v>46070</v>
      </c>
      <c r="E674" s="633">
        <v>23383</v>
      </c>
      <c r="F674" s="634">
        <f t="shared" si="20"/>
        <v>69453</v>
      </c>
      <c r="G674" s="633">
        <v>71628</v>
      </c>
      <c r="H674" s="633">
        <v>6672</v>
      </c>
      <c r="I674" s="633">
        <v>3162</v>
      </c>
      <c r="J674" s="633">
        <v>5523</v>
      </c>
      <c r="K674" s="634">
        <f t="shared" si="21"/>
        <v>86985</v>
      </c>
      <c r="L674" s="633">
        <v>10979</v>
      </c>
      <c r="M674" s="633">
        <v>4636</v>
      </c>
      <c r="N674" s="633">
        <v>139773</v>
      </c>
      <c r="O674" s="1537">
        <f>1-N675</f>
        <v>0.55175963518115867</v>
      </c>
    </row>
    <row r="675" spans="1:15" ht="12" customHeight="1">
      <c r="A675" s="1517"/>
      <c r="B675" s="1502"/>
      <c r="C675" s="635" t="s">
        <v>6219</v>
      </c>
      <c r="D675" s="636">
        <f>D674/(D674+E674+G674+H674+I674+J674+L674+M674+N674)</f>
        <v>0.1477426513504326</v>
      </c>
      <c r="E675" s="636">
        <f>E674/(D674+E674+G674+H674+I674+J674+L674+M674+N674)</f>
        <v>7.4987332679122332E-2</v>
      </c>
      <c r="F675" s="637">
        <f t="shared" si="20"/>
        <v>0.22272998402955493</v>
      </c>
      <c r="G675" s="636">
        <f>G674/(D674+E674+G674+H674+I674+J674+L674+M674+N674)</f>
        <v>0.22970502780396759</v>
      </c>
      <c r="H675" s="636">
        <f>H674/(D674+E674+G674+H674+I674+J674+L674+M674+N674)</f>
        <v>2.1396548074887917E-2</v>
      </c>
      <c r="I675" s="636">
        <f>I674/(D674+E674+G674+H674+I674+J674+L674+M674+N674)</f>
        <v>1.0140270535490947E-2</v>
      </c>
      <c r="J675" s="636">
        <f>J674/(D674+E674+G674+H674+I674+J674+L674+M674+N674)</f>
        <v>1.7711800811991304E-2</v>
      </c>
      <c r="K675" s="637">
        <f t="shared" si="21"/>
        <v>0.27895364722633775</v>
      </c>
      <c r="L675" s="636">
        <f>L674/(D674+E674+G674+H674+I674+J674+L674+M674+N674)</f>
        <v>3.5208738206563915E-2</v>
      </c>
      <c r="M675" s="636">
        <f>M674/(D674+E674+G674+H674+I674+J674+L674+M674+N674)</f>
        <v>1.4867265718702097E-2</v>
      </c>
      <c r="N675" s="636">
        <f>N674/(D674+E674+G674+H674+I674+J674+L674+M674+N674)</f>
        <v>0.44824036481884127</v>
      </c>
      <c r="O675" s="1503"/>
    </row>
    <row r="676" spans="1:15" ht="12" customHeight="1">
      <c r="A676" s="1517"/>
      <c r="B676" s="1502" t="s">
        <v>14938</v>
      </c>
      <c r="C676" s="638" t="s">
        <v>6218</v>
      </c>
      <c r="D676" s="639">
        <v>78617</v>
      </c>
      <c r="E676" s="639">
        <v>27326</v>
      </c>
      <c r="F676" s="640">
        <f t="shared" si="20"/>
        <v>105943</v>
      </c>
      <c r="G676" s="639">
        <v>61553</v>
      </c>
      <c r="H676" s="639">
        <v>9559</v>
      </c>
      <c r="I676" s="639"/>
      <c r="J676" s="639">
        <v>7769</v>
      </c>
      <c r="K676" s="640">
        <f t="shared" si="21"/>
        <v>78881</v>
      </c>
      <c r="L676" s="639">
        <v>12769</v>
      </c>
      <c r="M676" s="639"/>
      <c r="N676" s="639">
        <v>107929</v>
      </c>
      <c r="O676" s="1503">
        <f>1-N677</f>
        <v>0.64673902370369407</v>
      </c>
    </row>
    <row r="677" spans="1:15" ht="12" customHeight="1">
      <c r="A677" s="1517"/>
      <c r="B677" s="1502"/>
      <c r="C677" s="635" t="s">
        <v>6219</v>
      </c>
      <c r="D677" s="636">
        <f>D676/(D676+E676+G676+H676+I676+J676+L676+M676+N676)</f>
        <v>0.25732025844292716</v>
      </c>
      <c r="E677" s="636">
        <f>E676/(D676+E676+G676+H676+I676+J676+L676+M676+N676)</f>
        <v>8.9440367633100065E-2</v>
      </c>
      <c r="F677" s="637">
        <f t="shared" si="20"/>
        <v>0.3467606260760272</v>
      </c>
      <c r="G677" s="636">
        <f>G676/(D676+E676+G676+H676+I676+J676+L676+M676+N676)</f>
        <v>0.20146830670131774</v>
      </c>
      <c r="H677" s="636">
        <f>H676/(D676+E676+G676+H676+I676+J676+L676+M676+N676)</f>
        <v>3.1287435929327513E-2</v>
      </c>
      <c r="I677" s="636">
        <f>I676/(D676+E676+G676+H676+I676+J676+L676+M676+N676)</f>
        <v>0</v>
      </c>
      <c r="J677" s="636">
        <f>J676/(D676+E676+G676+H676+I676+J676+L676+M676+N676)</f>
        <v>2.5428610705612035E-2</v>
      </c>
      <c r="K677" s="637">
        <f t="shared" si="21"/>
        <v>0.25818435333625728</v>
      </c>
      <c r="L677" s="636">
        <f>L676/(D676+E676+G676+H676+I676+J676+L676+M676+N676)</f>
        <v>4.1794044291409455E-2</v>
      </c>
      <c r="M677" s="636">
        <f>M676/(D676+E676+G676+H676+I676+J676+L676+M676+N676)</f>
        <v>0</v>
      </c>
      <c r="N677" s="636">
        <f>N676/(D676+E676+G676+H676+I676+J676+L676+M676+N676)</f>
        <v>0.35326097629630598</v>
      </c>
      <c r="O677" s="1503"/>
    </row>
    <row r="678" spans="1:15" ht="12" customHeight="1">
      <c r="A678" s="1517"/>
      <c r="B678" s="1502" t="s">
        <v>14939</v>
      </c>
      <c r="C678" s="638" t="s">
        <v>6218</v>
      </c>
      <c r="D678" s="639">
        <v>47659</v>
      </c>
      <c r="E678" s="639">
        <v>26278</v>
      </c>
      <c r="F678" s="640">
        <f t="shared" si="20"/>
        <v>73937</v>
      </c>
      <c r="G678" s="639">
        <v>64144</v>
      </c>
      <c r="H678" s="639">
        <v>7820</v>
      </c>
      <c r="I678" s="639"/>
      <c r="J678" s="639"/>
      <c r="K678" s="640">
        <f t="shared" si="21"/>
        <v>71964</v>
      </c>
      <c r="L678" s="639">
        <v>10848</v>
      </c>
      <c r="M678" s="639">
        <v>6985</v>
      </c>
      <c r="N678" s="639">
        <v>138260</v>
      </c>
      <c r="O678" s="1503">
        <f>1-N679</f>
        <v>0.54217633462916481</v>
      </c>
    </row>
    <row r="679" spans="1:15" ht="12" customHeight="1">
      <c r="A679" s="1517"/>
      <c r="B679" s="1502"/>
      <c r="C679" s="635" t="s">
        <v>6219</v>
      </c>
      <c r="D679" s="636">
        <f>D678/(D678+E678+G678+H678+I678+J678+L678+M678+N678)</f>
        <v>0.15781439366345026</v>
      </c>
      <c r="E679" s="636">
        <f>E678/(D678+E678+G678+H678+I678+J678+L678+M678+N678)</f>
        <v>8.7014973807426635E-2</v>
      </c>
      <c r="F679" s="637">
        <f t="shared" si="20"/>
        <v>0.24482936747087691</v>
      </c>
      <c r="G679" s="636">
        <f>G678/(D678+E678+G678+H678+I678+J678+L678+M678+N678)</f>
        <v>0.21240157089213693</v>
      </c>
      <c r="H679" s="636">
        <f>H678/(D678+E678+G678+H678+I678+J678+L678+M678+N678)</f>
        <v>2.5894554196440989E-2</v>
      </c>
      <c r="I679" s="636">
        <f>I678/(D678+E678+G678+H678+I678+J678+L678+M678+N678)</f>
        <v>0</v>
      </c>
      <c r="J679" s="636">
        <f>J678/(D678+E678+G678+H678+I678+J678+L678+M678+N678)</f>
        <v>0</v>
      </c>
      <c r="K679" s="637">
        <f t="shared" si="21"/>
        <v>0.23829612508857792</v>
      </c>
      <c r="L679" s="636">
        <f>L678/(D678+E678+G678+H678+I678+J678+L678+M678+N678)</f>
        <v>3.5921243468413279E-2</v>
      </c>
      <c r="M679" s="636">
        <f>M678/(D678+E678+G678+H678+I678+J678+L678+M678+N678)</f>
        <v>2.3129598601296715E-2</v>
      </c>
      <c r="N679" s="636">
        <f>N678/(D678+E678+G678+H678+I678+J678+L678+M678+N678)</f>
        <v>0.45782366537083519</v>
      </c>
      <c r="O679" s="1503"/>
    </row>
    <row r="680" spans="1:15" ht="12" customHeight="1">
      <c r="A680" s="1517"/>
      <c r="B680" s="1502" t="s">
        <v>14940</v>
      </c>
      <c r="C680" s="638" t="s">
        <v>6218</v>
      </c>
      <c r="D680" s="639">
        <v>56173</v>
      </c>
      <c r="E680" s="639">
        <v>26007</v>
      </c>
      <c r="F680" s="640">
        <f t="shared" si="20"/>
        <v>82180</v>
      </c>
      <c r="G680" s="639">
        <v>71422</v>
      </c>
      <c r="H680" s="639">
        <v>5448</v>
      </c>
      <c r="I680" s="639"/>
      <c r="J680" s="639"/>
      <c r="K680" s="640">
        <f t="shared" si="21"/>
        <v>76870</v>
      </c>
      <c r="L680" s="639">
        <v>11193</v>
      </c>
      <c r="M680" s="639"/>
      <c r="N680" s="639">
        <v>129049</v>
      </c>
      <c r="O680" s="1503">
        <f>1-N681</f>
        <v>0.56881907969474632</v>
      </c>
    </row>
    <row r="681" spans="1:15" ht="12" customHeight="1" thickBot="1">
      <c r="A681" s="1519"/>
      <c r="B681" s="1514"/>
      <c r="C681" s="641" t="s">
        <v>6219</v>
      </c>
      <c r="D681" s="642">
        <f>D680/(D680+E680+G680+H680+I680+J680+L680+M680+N680)</f>
        <v>0.18768627293746576</v>
      </c>
      <c r="E681" s="642">
        <f>E680/(D680+E680+G680+H680+I680+J680+L680+M680+N680)</f>
        <v>8.6895072370795079E-2</v>
      </c>
      <c r="F681" s="643">
        <f t="shared" si="20"/>
        <v>0.27458134530826084</v>
      </c>
      <c r="G681" s="642">
        <f>G680/(D680+E680+G680+H680+I680+J680+L680+M680+N680)</f>
        <v>0.23863651550993678</v>
      </c>
      <c r="H681" s="642">
        <f>H680/(D680+E680+G680+H680+I680+J680+L680+M680+N680)</f>
        <v>1.8202958983200353E-2</v>
      </c>
      <c r="I681" s="642">
        <f>I680/(D680+E680+G680+H680+I680+J680+L680+M680+N680)</f>
        <v>0</v>
      </c>
      <c r="J681" s="642">
        <f>J680/(D680+E680+G680+H680+I680+J680+L680+M680+N680)</f>
        <v>0</v>
      </c>
      <c r="K681" s="643">
        <f t="shared" si="21"/>
        <v>0.25683947449313715</v>
      </c>
      <c r="L681" s="642">
        <f>L680/(D680+E680+G680+H680+I680+J680+L680+M680+N680)</f>
        <v>3.7398259893348301E-2</v>
      </c>
      <c r="M681" s="642">
        <f>M680/(D680+E680+G680+H680+I680+J680+L680+M680+N680)</f>
        <v>0</v>
      </c>
      <c r="N681" s="642">
        <f>N680/(D680+E680+G680+H680+I680+J680+L680+M680+N680)</f>
        <v>0.43118092030525373</v>
      </c>
      <c r="O681" s="1515"/>
    </row>
    <row r="682" spans="1:15" ht="12" customHeight="1">
      <c r="A682" s="1535" t="s">
        <v>15023</v>
      </c>
      <c r="B682" s="1536" t="s">
        <v>14937</v>
      </c>
      <c r="C682" s="632" t="s">
        <v>6218</v>
      </c>
      <c r="D682" s="633">
        <v>67623</v>
      </c>
      <c r="E682" s="633">
        <v>26422</v>
      </c>
      <c r="F682" s="634">
        <f t="shared" si="20"/>
        <v>94045</v>
      </c>
      <c r="G682" s="633">
        <v>96589</v>
      </c>
      <c r="H682" s="633">
        <v>11799</v>
      </c>
      <c r="I682" s="633">
        <v>3660</v>
      </c>
      <c r="J682" s="633">
        <v>8345</v>
      </c>
      <c r="K682" s="634">
        <f t="shared" si="21"/>
        <v>120393</v>
      </c>
      <c r="L682" s="633">
        <v>18002</v>
      </c>
      <c r="M682" s="633">
        <v>5456</v>
      </c>
      <c r="N682" s="633">
        <v>181462</v>
      </c>
      <c r="O682" s="1537">
        <f>1-N683</f>
        <v>0.56728618507337414</v>
      </c>
    </row>
    <row r="683" spans="1:15" ht="12" customHeight="1">
      <c r="A683" s="1517"/>
      <c r="B683" s="1502"/>
      <c r="C683" s="635" t="s">
        <v>6219</v>
      </c>
      <c r="D683" s="636">
        <f>D682/(D682+E682+G682+H682+I682+J682+L682+M682+N682)</f>
        <v>0.16125363054955433</v>
      </c>
      <c r="E683" s="636">
        <f>E682/(D682+E682+G682+H682+I682+J682+L682+M682+N682)</f>
        <v>6.3005832725260988E-2</v>
      </c>
      <c r="F683" s="637">
        <f t="shared" si="20"/>
        <v>0.22425946327481533</v>
      </c>
      <c r="G683" s="636">
        <f>G682/(D682+E682+G682+H682+I682+J682+L682+M682+N682)</f>
        <v>0.23032587908183461</v>
      </c>
      <c r="H683" s="636">
        <f>H682/(D682+E682+G682+H682+I682+J682+L682+M682+N682)</f>
        <v>2.8135864821942112E-2</v>
      </c>
      <c r="I683" s="636">
        <f>I682/(D682+E682+G682+H682+I682+J682+L682+M682+N682)</f>
        <v>8.7276265148155032E-3</v>
      </c>
      <c r="J683" s="636">
        <f>J682/(D682+E682+G682+H682+I682+J682+L682+M682+N682)</f>
        <v>1.9899465373261031E-2</v>
      </c>
      <c r="K683" s="637">
        <f t="shared" si="21"/>
        <v>0.28708883579185329</v>
      </c>
      <c r="L683" s="636">
        <f>L682/(D682+E682+G682+H682+I682+J682+L682+M682+N682)</f>
        <v>4.2927522546368495E-2</v>
      </c>
      <c r="M683" s="636">
        <f>M682/(D682+E682+G682+H682+I682+J682+L682+M682+N682)</f>
        <v>1.3010363460336991E-2</v>
      </c>
      <c r="N683" s="636">
        <f>N682/(D682+E682+G682+H682+I682+J682+L682+M682+N682)</f>
        <v>0.43271381492662592</v>
      </c>
      <c r="O683" s="1503"/>
    </row>
    <row r="684" spans="1:15" ht="12" customHeight="1">
      <c r="A684" s="1517"/>
      <c r="B684" s="1502" t="s">
        <v>14938</v>
      </c>
      <c r="C684" s="638" t="s">
        <v>6218</v>
      </c>
      <c r="D684" s="639">
        <v>125367</v>
      </c>
      <c r="E684" s="639">
        <v>29683</v>
      </c>
      <c r="F684" s="640">
        <f t="shared" si="20"/>
        <v>155050</v>
      </c>
      <c r="G684" s="639">
        <v>78699</v>
      </c>
      <c r="H684" s="639">
        <v>17185</v>
      </c>
      <c r="I684" s="639"/>
      <c r="J684" s="639">
        <v>9720</v>
      </c>
      <c r="K684" s="640">
        <f t="shared" si="21"/>
        <v>105604</v>
      </c>
      <c r="L684" s="639">
        <v>18189</v>
      </c>
      <c r="M684" s="639"/>
      <c r="N684" s="639">
        <v>135717</v>
      </c>
      <c r="O684" s="1503">
        <f>1-N685</f>
        <v>0.67262398687765335</v>
      </c>
    </row>
    <row r="685" spans="1:15" ht="12" customHeight="1">
      <c r="A685" s="1517"/>
      <c r="B685" s="1502"/>
      <c r="C685" s="635" t="s">
        <v>6219</v>
      </c>
      <c r="D685" s="636">
        <f>D684/(D684+E684+G684+H684+I684+J684+L684+M684+N684)</f>
        <v>0.30240978386723272</v>
      </c>
      <c r="E685" s="636">
        <f>E684/(D684+E684+G684+H684+I684+J684+L684+M684+N684)</f>
        <v>7.1601215746815897E-2</v>
      </c>
      <c r="F685" s="637">
        <f t="shared" si="20"/>
        <v>0.3740109996140486</v>
      </c>
      <c r="G685" s="636">
        <f>G684/(D684+E684+G684+H684+I684+J684+L684+M684+N684)</f>
        <v>0.18983741798533385</v>
      </c>
      <c r="H685" s="636">
        <f>H684/(D684+E684+G684+H684+I684+J684+L684+M684+N684)</f>
        <v>4.1453589347742181E-2</v>
      </c>
      <c r="I685" s="636">
        <f>I684/(D684+E684+G684+H684+I684+J684+L684+M684+N684)</f>
        <v>0</v>
      </c>
      <c r="J685" s="636">
        <f>J684/(D684+E684+G684+H684+I684+J684+L684+M684+N684)</f>
        <v>2.344654573523736E-2</v>
      </c>
      <c r="K685" s="637">
        <f t="shared" si="21"/>
        <v>0.25473755306831342</v>
      </c>
      <c r="L685" s="636">
        <f>L684/(D684+E684+G684+H684+I684+J684+L684+M684+N684)</f>
        <v>4.3875434195291392E-2</v>
      </c>
      <c r="M685" s="636">
        <f>M684/(D684+E684+G684+H684+I684+J684+L684+M684+N684)</f>
        <v>0</v>
      </c>
      <c r="N685" s="636">
        <f>N684/(D684+E684+G684+H684+I684+J684+L684+M684+N684)</f>
        <v>0.3273760131223466</v>
      </c>
      <c r="O685" s="1503"/>
    </row>
    <row r="686" spans="1:15" ht="12" customHeight="1">
      <c r="A686" s="1517"/>
      <c r="B686" s="1502" t="s">
        <v>14939</v>
      </c>
      <c r="C686" s="638" t="s">
        <v>6218</v>
      </c>
      <c r="D686" s="639">
        <v>66206</v>
      </c>
      <c r="E686" s="639">
        <v>29614</v>
      </c>
      <c r="F686" s="640">
        <f t="shared" si="20"/>
        <v>95820</v>
      </c>
      <c r="G686" s="639">
        <v>89264</v>
      </c>
      <c r="H686" s="639">
        <v>14820</v>
      </c>
      <c r="I686" s="639"/>
      <c r="J686" s="639"/>
      <c r="K686" s="640">
        <f t="shared" si="21"/>
        <v>104084</v>
      </c>
      <c r="L686" s="639">
        <v>16431</v>
      </c>
      <c r="M686" s="639">
        <v>9175</v>
      </c>
      <c r="N686" s="639">
        <v>182315</v>
      </c>
      <c r="O686" s="1503">
        <f>1-N687</f>
        <v>0.55295776374670513</v>
      </c>
    </row>
    <row r="687" spans="1:15" ht="12" customHeight="1">
      <c r="A687" s="1517"/>
      <c r="B687" s="1502"/>
      <c r="C687" s="635" t="s">
        <v>6219</v>
      </c>
      <c r="D687" s="636">
        <f>D686/(D686+E686+G686+H686+I686+J686+L686+M686+N686)</f>
        <v>0.16233923864402625</v>
      </c>
      <c r="E687" s="636">
        <f>E686/(D686+E686+G686+H686+I686+J686+L686+M686+N686)</f>
        <v>7.2614479249678177E-2</v>
      </c>
      <c r="F687" s="637">
        <f t="shared" si="20"/>
        <v>0.23495371789370442</v>
      </c>
      <c r="G687" s="636">
        <f>G686/(D686+E686+G686+H686+I686+J686+L686+M686+N686)</f>
        <v>0.21887819530435848</v>
      </c>
      <c r="H687" s="636">
        <f>H686/(D686+E686+G686+H686+I686+J686+L686+M686+N686)</f>
        <v>3.6339116042420155E-2</v>
      </c>
      <c r="I687" s="636">
        <f>I686/(D686+E686+G686+H686+I686+J686+L686+M686+N686)</f>
        <v>0</v>
      </c>
      <c r="J687" s="636">
        <f>J686/(D686+E686+G686+H686+I686+J686+L686+M686+N686)</f>
        <v>0</v>
      </c>
      <c r="K687" s="637">
        <f t="shared" si="21"/>
        <v>0.25521731134677861</v>
      </c>
      <c r="L687" s="636">
        <f>L686/(D686+E686+G686+H686+I686+J686+L686+M686+N686)</f>
        <v>4.0289339790351257E-2</v>
      </c>
      <c r="M687" s="636">
        <f>M686/(D686+E686+G686+H686+I686+J686+L686+M686+N686)</f>
        <v>2.2497394715870776E-2</v>
      </c>
      <c r="N687" s="636">
        <f>N686/(D686+E686+G686+H686+I686+J686+L686+M686+N686)</f>
        <v>0.44704223625329492</v>
      </c>
      <c r="O687" s="1503"/>
    </row>
    <row r="688" spans="1:15" ht="12" customHeight="1">
      <c r="A688" s="1517"/>
      <c r="B688" s="1502" t="s">
        <v>14940</v>
      </c>
      <c r="C688" s="638" t="s">
        <v>6218</v>
      </c>
      <c r="D688" s="639">
        <v>84175</v>
      </c>
      <c r="E688" s="639">
        <v>28275</v>
      </c>
      <c r="F688" s="640">
        <f t="shared" si="20"/>
        <v>112450</v>
      </c>
      <c r="G688" s="639">
        <v>94248</v>
      </c>
      <c r="H688" s="639">
        <v>12859</v>
      </c>
      <c r="I688" s="639"/>
      <c r="J688" s="639"/>
      <c r="K688" s="640">
        <f t="shared" si="21"/>
        <v>107107</v>
      </c>
      <c r="L688" s="639">
        <v>15901</v>
      </c>
      <c r="M688" s="639"/>
      <c r="N688" s="639">
        <v>170175</v>
      </c>
      <c r="O688" s="1503">
        <f>1-N689</f>
        <v>0.58047052384791176</v>
      </c>
    </row>
    <row r="689" spans="1:15" ht="12" customHeight="1" thickBot="1">
      <c r="A689" s="1519"/>
      <c r="B689" s="1514"/>
      <c r="C689" s="641" t="s">
        <v>6219</v>
      </c>
      <c r="D689" s="642">
        <f>D688/(D688+E688+G688+H688+I688+J688+L688+M688+N688)</f>
        <v>0.20751516765154709</v>
      </c>
      <c r="E689" s="642">
        <f>E688/(D688+E688+G688+H688+I688+J688+L688+M688+N688)</f>
        <v>6.9705867126195351E-2</v>
      </c>
      <c r="F689" s="643">
        <f t="shared" si="20"/>
        <v>0.27722103477774246</v>
      </c>
      <c r="G689" s="642">
        <f>G688/(D688+E688+G688+H688+I688+J688+L688+M688+N688)</f>
        <v>0.23234795985533721</v>
      </c>
      <c r="H689" s="642">
        <f>H688/(D688+E688+G688+H688+I688+J688+L688+M688+N688)</f>
        <v>3.1701069686144862E-2</v>
      </c>
      <c r="I689" s="642">
        <f>I688/(D688+E688+G688+H688+I688+J688+L688+M688+N688)</f>
        <v>0</v>
      </c>
      <c r="J689" s="642">
        <f>J688/(D688+E688+G688+H688+I688+J688+L688+M688+N688)</f>
        <v>0</v>
      </c>
      <c r="K689" s="643">
        <f t="shared" si="21"/>
        <v>0.26404902954148207</v>
      </c>
      <c r="L689" s="642">
        <f>L688/(D688+E688+G688+H688+I688+J688+L688+M688+N688)</f>
        <v>3.9200459528687261E-2</v>
      </c>
      <c r="M689" s="642">
        <f>M688/(D688+E688+G688+H688+I688+J688+L688+M688+N688)</f>
        <v>0</v>
      </c>
      <c r="N689" s="642">
        <f>N688/(D688+E688+G688+H688+I688+J688+L688+M688+N688)</f>
        <v>0.41952947615208824</v>
      </c>
      <c r="O689" s="1515"/>
    </row>
    <row r="690" spans="1:15" ht="12" customHeight="1">
      <c r="A690" s="1535" t="s">
        <v>15024</v>
      </c>
      <c r="B690" s="1536" t="s">
        <v>14937</v>
      </c>
      <c r="C690" s="632" t="s">
        <v>6218</v>
      </c>
      <c r="D690" s="633">
        <v>64024</v>
      </c>
      <c r="E690" s="633">
        <v>29582</v>
      </c>
      <c r="F690" s="634">
        <f t="shared" si="20"/>
        <v>93606</v>
      </c>
      <c r="G690" s="633">
        <v>93805</v>
      </c>
      <c r="H690" s="633">
        <v>10780</v>
      </c>
      <c r="I690" s="633">
        <v>3553</v>
      </c>
      <c r="J690" s="633">
        <v>7931</v>
      </c>
      <c r="K690" s="634">
        <f t="shared" si="21"/>
        <v>116069</v>
      </c>
      <c r="L690" s="633">
        <v>19888</v>
      </c>
      <c r="M690" s="633">
        <v>5258</v>
      </c>
      <c r="N690" s="633">
        <v>183515</v>
      </c>
      <c r="O690" s="1537">
        <f>1-N691</f>
        <v>0.56132152145643688</v>
      </c>
    </row>
    <row r="691" spans="1:15" ht="12" customHeight="1">
      <c r="A691" s="1517"/>
      <c r="B691" s="1502"/>
      <c r="C691" s="635" t="s">
        <v>6219</v>
      </c>
      <c r="D691" s="636">
        <f>D690/(D690+E690+G690+H690+I690+J690+L690+M690+N690)</f>
        <v>0.15304444274458809</v>
      </c>
      <c r="E691" s="636">
        <f>E690/(D690+E690+G690+H690+I690+J690+L690+M690+N690)</f>
        <v>7.0713493459802643E-2</v>
      </c>
      <c r="F691" s="637">
        <f t="shared" si="20"/>
        <v>0.22375793620439072</v>
      </c>
      <c r="G691" s="636">
        <f>G690/(D690+E690+G690+H690+I690+J690+L690+M690+N690)</f>
        <v>0.22423363038323263</v>
      </c>
      <c r="H691" s="636">
        <f>H690/(D690+E690+G690+H690+I690+J690+L690+M690+N690)</f>
        <v>2.5768760039776639E-2</v>
      </c>
      <c r="I691" s="636">
        <f>I690/(D690+E690+G690+H690+I690+J690+L690+M690+N690)</f>
        <v>8.4931729518855654E-3</v>
      </c>
      <c r="J691" s="636">
        <f>J690/(D690+E690+G690+H690+I690+J690+L690+M690+N690)</f>
        <v>1.8958444886407098E-2</v>
      </c>
      <c r="K691" s="637">
        <f t="shared" si="21"/>
        <v>0.2774540082613019</v>
      </c>
      <c r="L691" s="636">
        <f>L690/(D690+E690+G690+H690+I690+J690+L690+M690+N690)</f>
        <v>4.7540732808077718E-2</v>
      </c>
      <c r="M691" s="636">
        <f>M690/(D690+E690+G690+H690+I690+J690+L690+M690+N690)</f>
        <v>1.2568844182666565E-2</v>
      </c>
      <c r="N691" s="636">
        <f>N690/(D690+E690+G690+H690+I690+J690+L690+M690+N690)</f>
        <v>0.43867847854356307</v>
      </c>
      <c r="O691" s="1503"/>
    </row>
    <row r="692" spans="1:15" ht="12" customHeight="1">
      <c r="A692" s="1517"/>
      <c r="B692" s="1502" t="s">
        <v>14938</v>
      </c>
      <c r="C692" s="638" t="s">
        <v>6218</v>
      </c>
      <c r="D692" s="639">
        <v>120112</v>
      </c>
      <c r="E692" s="639">
        <v>34121</v>
      </c>
      <c r="F692" s="640">
        <f t="shared" si="20"/>
        <v>154233</v>
      </c>
      <c r="G692" s="639">
        <v>76812</v>
      </c>
      <c r="H692" s="639">
        <v>15936</v>
      </c>
      <c r="I692" s="639"/>
      <c r="J692" s="639">
        <v>9980</v>
      </c>
      <c r="K692" s="640">
        <f t="shared" si="21"/>
        <v>102728</v>
      </c>
      <c r="L692" s="639">
        <v>19900</v>
      </c>
      <c r="M692" s="639"/>
      <c r="N692" s="639">
        <v>140553</v>
      </c>
      <c r="O692" s="1503">
        <f>1-N693</f>
        <v>0.66327674682689131</v>
      </c>
    </row>
    <row r="693" spans="1:15" ht="12" customHeight="1">
      <c r="A693" s="1517"/>
      <c r="B693" s="1502"/>
      <c r="C693" s="635" t="s">
        <v>6219</v>
      </c>
      <c r="D693" s="636">
        <f>D692/(D692+E692+G692+H692+I692+J692+L692+M692+N692)</f>
        <v>0.28775268678098964</v>
      </c>
      <c r="E693" s="636">
        <f>E692/(D692+E692+G692+H692+I692+J692+L692+M692+N692)</f>
        <v>8.1743784348392717E-2</v>
      </c>
      <c r="F693" s="637">
        <f t="shared" si="20"/>
        <v>0.36949647112938233</v>
      </c>
      <c r="G693" s="636">
        <f>G692/(D692+E692+G692+H692+I692+J692+L692+M692+N692)</f>
        <v>0.18401874398079604</v>
      </c>
      <c r="H693" s="636">
        <f>H692/(D692+E692+G692+H692+I692+J692+L692+M692+N692)</f>
        <v>3.81779240753784E-2</v>
      </c>
      <c r="I693" s="636">
        <f>I692/(D692+E692+G692+H692+I692+J692+L692+M692+N692)</f>
        <v>0</v>
      </c>
      <c r="J693" s="636">
        <f>J692/(D692+E692+G692+H692+I692+J692+L692+M692+N692)</f>
        <v>2.3909116608451082E-2</v>
      </c>
      <c r="K693" s="637">
        <f t="shared" si="21"/>
        <v>0.24610578466462552</v>
      </c>
      <c r="L693" s="636">
        <f>L692/(D692+E692+G692+H692+I692+J692+L692+M692+N692)</f>
        <v>4.7674491032883418E-2</v>
      </c>
      <c r="M693" s="636">
        <f>M692/(D692+E692+G692+H692+I692+J692+L692+M692+N692)</f>
        <v>0</v>
      </c>
      <c r="N693" s="636">
        <f>N692/(D692+E692+G692+H692+I692+J692+L692+M692+N692)</f>
        <v>0.33672325317310869</v>
      </c>
      <c r="O693" s="1503"/>
    </row>
    <row r="694" spans="1:15" ht="12" customHeight="1">
      <c r="A694" s="1517"/>
      <c r="B694" s="1502" t="s">
        <v>14939</v>
      </c>
      <c r="C694" s="638" t="s">
        <v>6218</v>
      </c>
      <c r="D694" s="639">
        <v>63998</v>
      </c>
      <c r="E694" s="639">
        <v>33614</v>
      </c>
      <c r="F694" s="640">
        <f t="shared" si="20"/>
        <v>97612</v>
      </c>
      <c r="G694" s="639">
        <v>86324</v>
      </c>
      <c r="H694" s="639">
        <v>14052</v>
      </c>
      <c r="I694" s="639"/>
      <c r="J694" s="639"/>
      <c r="K694" s="640">
        <f t="shared" si="21"/>
        <v>100376</v>
      </c>
      <c r="L694" s="639">
        <v>18404</v>
      </c>
      <c r="M694" s="639">
        <v>9128</v>
      </c>
      <c r="N694" s="639">
        <v>187976</v>
      </c>
      <c r="O694" s="1503">
        <f>1-N695</f>
        <v>0.5453982626192273</v>
      </c>
    </row>
    <row r="695" spans="1:15" ht="12" customHeight="1">
      <c r="A695" s="1517"/>
      <c r="B695" s="1502"/>
      <c r="C695" s="635" t="s">
        <v>6219</v>
      </c>
      <c r="D695" s="636">
        <f>D694/(D694+E694+G694+H694+I694+J694+L694+M694+N694)</f>
        <v>0.15477296031884227</v>
      </c>
      <c r="E695" s="636">
        <f>E694/(D694+E694+G694+H694+I694+J694+L694+M694+N694)</f>
        <v>8.1292201133747369E-2</v>
      </c>
      <c r="F695" s="637">
        <f t="shared" si="20"/>
        <v>0.23606516145258966</v>
      </c>
      <c r="G695" s="636">
        <f>G694/(D694+E694+G694+H694+I694+J694+L694+M694+N694)</f>
        <v>0.20876622748466733</v>
      </c>
      <c r="H695" s="636">
        <f>H694/(D694+E694+G694+H694+I694+J694+L694+M694+N694)</f>
        <v>3.3983400081258344E-2</v>
      </c>
      <c r="I695" s="636">
        <f>I694/(D694+E694+G694+H694+I694+J694+L694+M694+N694)</f>
        <v>0</v>
      </c>
      <c r="J695" s="636">
        <f>J694/(D694+E694+G694+H694+I694+J694+L694+M694+N694)</f>
        <v>0</v>
      </c>
      <c r="K695" s="637">
        <f t="shared" si="21"/>
        <v>0.24274962756592566</v>
      </c>
      <c r="L695" s="636">
        <f>L694/(D694+E694+G694+H694+I694+J694+L694+M694+N694)</f>
        <v>4.4508290285758506E-2</v>
      </c>
      <c r="M695" s="636">
        <f>M694/(D694+E694+G694+H694+I694+J694+L694+M694+N694)</f>
        <v>2.2075183314953471E-2</v>
      </c>
      <c r="N695" s="636">
        <f>N694/(D694+E694+G694+H694+I694+J694+L694+M694+N694)</f>
        <v>0.45460173738077275</v>
      </c>
      <c r="O695" s="1503"/>
    </row>
    <row r="696" spans="1:15" ht="12" customHeight="1">
      <c r="A696" s="1517"/>
      <c r="B696" s="1502" t="s">
        <v>14940</v>
      </c>
      <c r="C696" s="638" t="s">
        <v>6218</v>
      </c>
      <c r="D696" s="639">
        <v>81580</v>
      </c>
      <c r="E696" s="639">
        <v>32001</v>
      </c>
      <c r="F696" s="640">
        <f t="shared" si="20"/>
        <v>113581</v>
      </c>
      <c r="G696" s="639">
        <v>91615</v>
      </c>
      <c r="H696" s="639">
        <v>10958</v>
      </c>
      <c r="I696" s="639"/>
      <c r="J696" s="639"/>
      <c r="K696" s="640">
        <f t="shared" si="21"/>
        <v>102573</v>
      </c>
      <c r="L696" s="639">
        <v>18193</v>
      </c>
      <c r="M696" s="639"/>
      <c r="N696" s="639">
        <v>177426</v>
      </c>
      <c r="O696" s="1503">
        <f>1-N697</f>
        <v>0.56911696492970643</v>
      </c>
    </row>
    <row r="697" spans="1:15" ht="12" customHeight="1" thickBot="1">
      <c r="A697" s="1519"/>
      <c r="B697" s="1514"/>
      <c r="C697" s="641" t="s">
        <v>6219</v>
      </c>
      <c r="D697" s="642">
        <f>D696/(D696+E696+G696+H696+I696+J696+L696+M696+N696)</f>
        <v>0.19811886646283267</v>
      </c>
      <c r="E697" s="642">
        <f>E696/(D696+E696+G696+H696+I696+J696+L696+M696+N696)</f>
        <v>7.7715148880572543E-2</v>
      </c>
      <c r="F697" s="643">
        <f t="shared" si="20"/>
        <v>0.27583401534340524</v>
      </c>
      <c r="G697" s="642">
        <f>G696/(D696+E696+G696+H696+I696+J696+L696+M696+N696)</f>
        <v>0.22248908986261848</v>
      </c>
      <c r="H697" s="642">
        <f>H696/(D696+E696+G696+H696+I696+J696+L696+M696+N696)</f>
        <v>2.6611749677613636E-2</v>
      </c>
      <c r="I697" s="642">
        <f>I696/(D696+E696+G696+H696+I696+J696+L696+M696+N696)</f>
        <v>0</v>
      </c>
      <c r="J697" s="642">
        <f>J696/(D696+E696+G696+H696+I696+J696+L696+M696+N696)</f>
        <v>0</v>
      </c>
      <c r="K697" s="643">
        <f t="shared" si="21"/>
        <v>0.2491008395402321</v>
      </c>
      <c r="L697" s="642">
        <f>L696/(D696+E696+G696+H696+I696+J696+L696+M696+N696)</f>
        <v>4.4182110046069069E-2</v>
      </c>
      <c r="M697" s="642">
        <f>M696/(D696+E696+G696+H696+I696+J696+L696+M696+N696)</f>
        <v>0</v>
      </c>
      <c r="N697" s="642">
        <f>N696/(D696+E696+G696+H696+I696+J696+L696+M696+N696)</f>
        <v>0.43088303507029357</v>
      </c>
      <c r="O697" s="1515"/>
    </row>
    <row r="698" spans="1:15" ht="12" customHeight="1">
      <c r="A698" s="1535" t="s">
        <v>15025</v>
      </c>
      <c r="B698" s="1536" t="s">
        <v>14937</v>
      </c>
      <c r="C698" s="632" t="s">
        <v>6218</v>
      </c>
      <c r="D698" s="633">
        <v>55359</v>
      </c>
      <c r="E698" s="633">
        <v>28126</v>
      </c>
      <c r="F698" s="634">
        <f t="shared" si="20"/>
        <v>83485</v>
      </c>
      <c r="G698" s="633">
        <v>84910</v>
      </c>
      <c r="H698" s="633">
        <v>9469</v>
      </c>
      <c r="I698" s="633">
        <v>3401</v>
      </c>
      <c r="J698" s="633">
        <v>7563</v>
      </c>
      <c r="K698" s="634">
        <f t="shared" si="21"/>
        <v>105343</v>
      </c>
      <c r="L698" s="633">
        <v>20483</v>
      </c>
      <c r="M698" s="633">
        <v>5226</v>
      </c>
      <c r="N698" s="633">
        <v>186870</v>
      </c>
      <c r="O698" s="1537">
        <f>1-N699</f>
        <v>0.53446252805755756</v>
      </c>
    </row>
    <row r="699" spans="1:15" ht="12" customHeight="1">
      <c r="A699" s="1517"/>
      <c r="B699" s="1502"/>
      <c r="C699" s="635" t="s">
        <v>6219</v>
      </c>
      <c r="D699" s="636">
        <f>D698/(D698+E698+G698+H698+I698+J698+L698+M698+N698)</f>
        <v>0.13791239315707002</v>
      </c>
      <c r="E699" s="636">
        <f>E698/(D698+E698+G698+H698+I698+J698+L698+M698+N698)</f>
        <v>7.0068533931894564E-2</v>
      </c>
      <c r="F699" s="637">
        <f t="shared" si="20"/>
        <v>0.2079809270889646</v>
      </c>
      <c r="G699" s="636">
        <f>G698/(D698+E698+G698+H698+I698+J698+L698+M698+N698)</f>
        <v>0.21153093991883551</v>
      </c>
      <c r="H699" s="636">
        <f>H698/(D698+E698+G698+H698+I698+J698+L698+M698+N698)</f>
        <v>2.3589523849858123E-2</v>
      </c>
      <c r="I699" s="636">
        <f>I698/(D698+E698+G698+H698+I698+J698+L698+M698+N698)</f>
        <v>8.4726972872919502E-3</v>
      </c>
      <c r="J699" s="636">
        <f>J698/(D698+E698+G698+H698+I698+J698+L698+M698+N698)</f>
        <v>1.8841225987588656E-2</v>
      </c>
      <c r="K699" s="637">
        <f t="shared" si="21"/>
        <v>0.26243438704357425</v>
      </c>
      <c r="L699" s="636">
        <f>L698/(D698+E698+G698+H698+I698+J698+L698+M698+N698)</f>
        <v>5.1028008978418415E-2</v>
      </c>
      <c r="M699" s="636">
        <f>M698/(D698+E698+G698+H698+I698+J698+L698+M698+N698)</f>
        <v>1.3019204946600334E-2</v>
      </c>
      <c r="N699" s="636">
        <f>N698/(D698+E698+G698+H698+I698+J698+L698+M698+N698)</f>
        <v>0.46553747194244244</v>
      </c>
      <c r="O699" s="1503"/>
    </row>
    <row r="700" spans="1:15" ht="12" customHeight="1">
      <c r="A700" s="1517"/>
      <c r="B700" s="1502" t="s">
        <v>14938</v>
      </c>
      <c r="C700" s="638" t="s">
        <v>6218</v>
      </c>
      <c r="D700" s="639">
        <v>104529</v>
      </c>
      <c r="E700" s="639">
        <v>31359</v>
      </c>
      <c r="F700" s="640">
        <f t="shared" si="20"/>
        <v>135888</v>
      </c>
      <c r="G700" s="639">
        <v>69056</v>
      </c>
      <c r="H700" s="639">
        <v>12914</v>
      </c>
      <c r="I700" s="639"/>
      <c r="J700" s="639">
        <v>12032</v>
      </c>
      <c r="K700" s="640">
        <f t="shared" si="21"/>
        <v>94002</v>
      </c>
      <c r="L700" s="639">
        <v>20277</v>
      </c>
      <c r="M700" s="639"/>
      <c r="N700" s="639">
        <v>147095</v>
      </c>
      <c r="O700" s="1503">
        <f>1-N701</f>
        <v>0.62972798807839658</v>
      </c>
    </row>
    <row r="701" spans="1:15" ht="12" customHeight="1">
      <c r="A701" s="1517"/>
      <c r="B701" s="1502"/>
      <c r="C701" s="635" t="s">
        <v>6219</v>
      </c>
      <c r="D701" s="636">
        <f>D700/(D700+E700+G700+H700+I700+J700+L700+M700+N700)</f>
        <v>0.26312358091133808</v>
      </c>
      <c r="E701" s="636">
        <f>E700/(D700+E700+G700+H700+I700+J700+L700+M700+N700)</f>
        <v>7.8937829442534149E-2</v>
      </c>
      <c r="F701" s="637">
        <f t="shared" si="20"/>
        <v>0.34206141035387222</v>
      </c>
      <c r="G701" s="636">
        <f>G700/(D700+E700+G700+H700+I700+J700+L700+M700+N700)</f>
        <v>0.17382986542886056</v>
      </c>
      <c r="H701" s="636">
        <f>H700/(D700+E700+G700+H700+I700+J700+L700+M700+N700)</f>
        <v>3.2507513932870498E-2</v>
      </c>
      <c r="I701" s="636">
        <f>I700/(D700+E700+G700+H700+I700+J700+L700+M700+N700)</f>
        <v>0</v>
      </c>
      <c r="J701" s="636">
        <f>J700/(D700+E700+G700+H700+I700+J700+L700+M700+N700)</f>
        <v>3.0287316682693032E-2</v>
      </c>
      <c r="K701" s="637">
        <f t="shared" si="21"/>
        <v>0.23662469604442407</v>
      </c>
      <c r="L701" s="636">
        <f>L700/(D700+E700+G700+H700+I700+J700+L700+M700+N700)</f>
        <v>5.1041881680100286E-2</v>
      </c>
      <c r="M701" s="636">
        <f>M700/(D700+E700+G700+H700+I700+J700+L700+M700+N700)</f>
        <v>0</v>
      </c>
      <c r="N701" s="636">
        <f>N700/(D700+E700+G700+H700+I700+J700+L700+M700+N700)</f>
        <v>0.37027201192160336</v>
      </c>
      <c r="O701" s="1503"/>
    </row>
    <row r="702" spans="1:15" ht="12" customHeight="1">
      <c r="A702" s="1517"/>
      <c r="B702" s="1502" t="s">
        <v>14939</v>
      </c>
      <c r="C702" s="638" t="s">
        <v>6218</v>
      </c>
      <c r="D702" s="639">
        <v>53940</v>
      </c>
      <c r="E702" s="639">
        <v>31128</v>
      </c>
      <c r="F702" s="640">
        <f t="shared" si="20"/>
        <v>85068</v>
      </c>
      <c r="G702" s="639">
        <v>77774</v>
      </c>
      <c r="H702" s="639">
        <v>12297</v>
      </c>
      <c r="I702" s="639"/>
      <c r="J702" s="639"/>
      <c r="K702" s="640">
        <f t="shared" si="21"/>
        <v>90071</v>
      </c>
      <c r="L702" s="639">
        <v>19198</v>
      </c>
      <c r="M702" s="639">
        <v>8434</v>
      </c>
      <c r="N702" s="639">
        <v>189602</v>
      </c>
      <c r="O702" s="1503">
        <f>1-N703</f>
        <v>0.51678122602727505</v>
      </c>
    </row>
    <row r="703" spans="1:15" ht="12" customHeight="1">
      <c r="A703" s="1517"/>
      <c r="B703" s="1502"/>
      <c r="C703" s="635" t="s">
        <v>6219</v>
      </c>
      <c r="D703" s="636">
        <f>D702/(D702+E702+G702+H702+I702+J702+L702+M702+N702)</f>
        <v>0.13747123273008083</v>
      </c>
      <c r="E703" s="636">
        <f>E702/(D702+E702+G702+H702+I702+J702+L702+M702+N702)</f>
        <v>7.9332675795735177E-2</v>
      </c>
      <c r="F703" s="637">
        <f t="shared" si="20"/>
        <v>0.21680390852581599</v>
      </c>
      <c r="G703" s="636">
        <f>G702/(D702+E702+G702+H702+I702+J702+L702+M702+N702)</f>
        <v>0.19821445410362079</v>
      </c>
      <c r="H703" s="636">
        <f>H702/(D702+E702+G702+H702+I702+J702+L702+M702+N702)</f>
        <v>3.1340076916607409E-2</v>
      </c>
      <c r="I703" s="636">
        <f>I702/(D702+E702+G702+H702+I702+J702+L702+M702+N702)</f>
        <v>0</v>
      </c>
      <c r="J703" s="636">
        <f>J702/(D702+E702+G702+H702+I702+J702+L702+M702+N702)</f>
        <v>0</v>
      </c>
      <c r="K703" s="637">
        <f t="shared" si="21"/>
        <v>0.22955453102022821</v>
      </c>
      <c r="L703" s="636">
        <f>L702/(D702+E702+G702+H702+I702+J702+L702+M702+N702)</f>
        <v>4.8927933369523384E-2</v>
      </c>
      <c r="M703" s="636">
        <f>M702/(D702+E702+G702+H702+I702+J702+L702+M702+N702)</f>
        <v>2.1494853111707481E-2</v>
      </c>
      <c r="N703" s="636">
        <f>N702/(D702+E702+G702+H702+I702+J702+L702+M702+N702)</f>
        <v>0.48321877397272495</v>
      </c>
      <c r="O703" s="1503"/>
    </row>
    <row r="704" spans="1:15" ht="12" customHeight="1">
      <c r="A704" s="1517"/>
      <c r="B704" s="1502" t="s">
        <v>14940</v>
      </c>
      <c r="C704" s="638" t="s">
        <v>6218</v>
      </c>
      <c r="D704" s="639">
        <v>67546</v>
      </c>
      <c r="E704" s="639">
        <v>30935</v>
      </c>
      <c r="F704" s="640">
        <f t="shared" si="20"/>
        <v>98481</v>
      </c>
      <c r="G704" s="639">
        <v>82132</v>
      </c>
      <c r="H704" s="639">
        <v>10050</v>
      </c>
      <c r="I704" s="639"/>
      <c r="J704" s="639"/>
      <c r="K704" s="640">
        <f t="shared" si="21"/>
        <v>92182</v>
      </c>
      <c r="L704" s="639">
        <v>18290</v>
      </c>
      <c r="M704" s="639"/>
      <c r="N704" s="639">
        <v>181300</v>
      </c>
      <c r="O704" s="1503">
        <f>1-N705</f>
        <v>0.53542958029790932</v>
      </c>
    </row>
    <row r="705" spans="1:15" ht="12" customHeight="1" thickBot="1">
      <c r="A705" s="1519"/>
      <c r="B705" s="1514"/>
      <c r="C705" s="641" t="s">
        <v>6219</v>
      </c>
      <c r="D705" s="642">
        <f>D704/(D704+E704+G704+H704+I704+J704+L704+M704+N704)</f>
        <v>0.17308259001212034</v>
      </c>
      <c r="E705" s="642">
        <f>E704/(D704+E704+G704+H704+I704+J704+L704+M704+N704)</f>
        <v>7.9269089539350107E-2</v>
      </c>
      <c r="F705" s="643">
        <f t="shared" si="20"/>
        <v>0.25235167955147042</v>
      </c>
      <c r="G705" s="642">
        <f>G704/(D704+E704+G704+H704+I704+J704+L704+M704+N704)</f>
        <v>0.21045834368986274</v>
      </c>
      <c r="H705" s="642">
        <f>H704/(D704+E704+G704+H704+I704+J704+L704+M704+N704)</f>
        <v>2.5752524644269231E-2</v>
      </c>
      <c r="I705" s="642">
        <f>I704/(D704+E704+G704+H704+I704+J704+L704+M704+N704)</f>
        <v>0</v>
      </c>
      <c r="J705" s="642">
        <f>J704/(D704+E704+G704+H704+I704+J704+L704+M704+N704)</f>
        <v>0</v>
      </c>
      <c r="K705" s="643">
        <f t="shared" si="21"/>
        <v>0.23621086833413196</v>
      </c>
      <c r="L705" s="642">
        <f>L704/(D704+E704+G704+H704+I704+J704+L704+M704+N704)</f>
        <v>4.6867032412306886E-2</v>
      </c>
      <c r="M705" s="642">
        <f>M704/(D704+E704+G704+H704+I704+J704+L704+M704+N704)</f>
        <v>0</v>
      </c>
      <c r="N705" s="642">
        <f>N704/(D704+E704+G704+H704+I704+J704+L704+M704+N704)</f>
        <v>0.46457041970209068</v>
      </c>
      <c r="O705" s="1515"/>
    </row>
    <row r="706" spans="1:15" ht="12" customHeight="1">
      <c r="A706" s="1535" t="s">
        <v>15026</v>
      </c>
      <c r="B706" s="1536" t="s">
        <v>14937</v>
      </c>
      <c r="C706" s="632" t="s">
        <v>6218</v>
      </c>
      <c r="D706" s="633">
        <v>57327</v>
      </c>
      <c r="E706" s="633">
        <v>15826</v>
      </c>
      <c r="F706" s="634">
        <f t="shared" ref="F706:F769" si="22">SUM(D706:E706)</f>
        <v>73153</v>
      </c>
      <c r="G706" s="633">
        <v>85475</v>
      </c>
      <c r="H706" s="633">
        <v>11289</v>
      </c>
      <c r="I706" s="633">
        <v>2919</v>
      </c>
      <c r="J706" s="633">
        <v>7183</v>
      </c>
      <c r="K706" s="634">
        <f t="shared" ref="K706:K769" si="23">SUM(G706:J706)</f>
        <v>106866</v>
      </c>
      <c r="L706" s="633">
        <v>15307</v>
      </c>
      <c r="M706" s="633">
        <v>4046</v>
      </c>
      <c r="N706" s="633">
        <v>131024</v>
      </c>
      <c r="O706" s="1537">
        <f>1-N707</f>
        <v>0.60343345561084272</v>
      </c>
    </row>
    <row r="707" spans="1:15" ht="12" customHeight="1">
      <c r="A707" s="1517"/>
      <c r="B707" s="1502"/>
      <c r="C707" s="635" t="s">
        <v>6219</v>
      </c>
      <c r="D707" s="636">
        <f>D706/(D706+E706+G706+H706+I706+J706+L706+M706+N706)</f>
        <v>0.1735099698543566</v>
      </c>
      <c r="E707" s="636">
        <f>E706/(D706+E706+G706+H706+I706+J706+L706+M706+N706)</f>
        <v>4.790009564280439E-2</v>
      </c>
      <c r="F707" s="637">
        <f t="shared" si="22"/>
        <v>0.221410065497161</v>
      </c>
      <c r="G707" s="636">
        <f>G706/(D706+E706+G706+H706+I706+J706+L706+M706+N706)</f>
        <v>0.25870470586810979</v>
      </c>
      <c r="H707" s="636">
        <f>H706/(D706+E706+G706+H706+I706+J706+L706+M706+N706)</f>
        <v>3.4168089202048453E-2</v>
      </c>
      <c r="I707" s="636">
        <f>I706/(D706+E706+G706+H706+I706+J706+L706+M706+N706)</f>
        <v>8.8348527221879195E-3</v>
      </c>
      <c r="J707" s="636">
        <f>J706/(D706+E706+G706+H706+I706+J706+L706+M706+N706)</f>
        <v>2.1740577973098949E-2</v>
      </c>
      <c r="K707" s="637">
        <f t="shared" si="23"/>
        <v>0.32344822576544513</v>
      </c>
      <c r="L707" s="636">
        <f>L706/(D706+E706+G706+H706+I706+J706+L706+M706+N706)</f>
        <v>4.6329253380791538E-2</v>
      </c>
      <c r="M707" s="636">
        <f>M706/(D706+E706+G706+H706+I706+J706+L706+M706+N706)</f>
        <v>1.2245910967445126E-2</v>
      </c>
      <c r="N707" s="636">
        <f>N706/(D706+E706+G706+H706+I706+J706+L706+M706+N706)</f>
        <v>0.39656654438915723</v>
      </c>
      <c r="O707" s="1503"/>
    </row>
    <row r="708" spans="1:15" ht="12" customHeight="1">
      <c r="A708" s="1517"/>
      <c r="B708" s="1502" t="s">
        <v>14938</v>
      </c>
      <c r="C708" s="638" t="s">
        <v>6218</v>
      </c>
      <c r="D708" s="639">
        <v>106862</v>
      </c>
      <c r="E708" s="639">
        <v>17949</v>
      </c>
      <c r="F708" s="640">
        <f t="shared" si="22"/>
        <v>124811</v>
      </c>
      <c r="G708" s="639">
        <v>63426</v>
      </c>
      <c r="H708" s="639">
        <v>14078</v>
      </c>
      <c r="I708" s="639"/>
      <c r="J708" s="639">
        <v>12021</v>
      </c>
      <c r="K708" s="640">
        <f t="shared" si="23"/>
        <v>89525</v>
      </c>
      <c r="L708" s="639">
        <v>15032</v>
      </c>
      <c r="M708" s="639"/>
      <c r="N708" s="639">
        <v>98243</v>
      </c>
      <c r="O708" s="1503">
        <f>1-N709</f>
        <v>0.70012301174258496</v>
      </c>
    </row>
    <row r="709" spans="1:15" ht="12" customHeight="1">
      <c r="A709" s="1517"/>
      <c r="B709" s="1502"/>
      <c r="C709" s="635" t="s">
        <v>6219</v>
      </c>
      <c r="D709" s="636">
        <f>D708/(D708+E708+G708+H708+I708+J708+L708+M708+N708)</f>
        <v>0.32618562868768142</v>
      </c>
      <c r="E709" s="636">
        <f>E708/(D708+E708+G708+H708+I708+J708+L708+M708+N708)</f>
        <v>5.4787537658991914E-2</v>
      </c>
      <c r="F709" s="637">
        <f t="shared" si="22"/>
        <v>0.38097316634667333</v>
      </c>
      <c r="G709" s="636">
        <f>G708/(D708+E708+G708+H708+I708+J708+L708+M708+N708)</f>
        <v>0.19360155794524603</v>
      </c>
      <c r="H709" s="636">
        <f>H708/(D708+E708+G708+H708+I708+J708+L708+M708+N708)</f>
        <v>4.2971695089603218E-2</v>
      </c>
      <c r="I709" s="636">
        <f>I708/(D708+E708+G708+H708+I708+J708+L708+M708+N708)</f>
        <v>0</v>
      </c>
      <c r="J709" s="636">
        <f>J708/(D708+E708+G708+H708+I708+J708+L708+M708+N708)</f>
        <v>3.6692907136817748E-2</v>
      </c>
      <c r="K709" s="637">
        <f t="shared" si="23"/>
        <v>0.27326616017166699</v>
      </c>
      <c r="L709" s="636">
        <f>L708/(D708+E708+G708+H708+I708+J708+L708+M708+N708)</f>
        <v>4.5883685224244609E-2</v>
      </c>
      <c r="M709" s="636">
        <f>M708/(D708+E708+G708+H708+I708+J708+L708+M708+N708)</f>
        <v>0</v>
      </c>
      <c r="N709" s="636">
        <f>N708/(D708+E708+G708+H708+I708+J708+L708+M708+N708)</f>
        <v>0.29987698825741504</v>
      </c>
      <c r="O709" s="1503"/>
    </row>
    <row r="710" spans="1:15" ht="12" customHeight="1">
      <c r="A710" s="1517"/>
      <c r="B710" s="1502" t="s">
        <v>14939</v>
      </c>
      <c r="C710" s="638" t="s">
        <v>6218</v>
      </c>
      <c r="D710" s="639">
        <v>58148</v>
      </c>
      <c r="E710" s="639">
        <v>17357</v>
      </c>
      <c r="F710" s="640">
        <f t="shared" si="22"/>
        <v>75505</v>
      </c>
      <c r="G710" s="639">
        <v>78011</v>
      </c>
      <c r="H710" s="639">
        <v>12920</v>
      </c>
      <c r="I710" s="639"/>
      <c r="J710" s="639"/>
      <c r="K710" s="640">
        <f t="shared" si="23"/>
        <v>90931</v>
      </c>
      <c r="L710" s="639">
        <v>14483</v>
      </c>
      <c r="M710" s="639">
        <v>7654</v>
      </c>
      <c r="N710" s="639">
        <v>134636</v>
      </c>
      <c r="O710" s="1503">
        <f>1-N711</f>
        <v>0.58343981757933716</v>
      </c>
    </row>
    <row r="711" spans="1:15" ht="12" customHeight="1">
      <c r="A711" s="1517"/>
      <c r="B711" s="1502"/>
      <c r="C711" s="635" t="s">
        <v>6219</v>
      </c>
      <c r="D711" s="636">
        <f>D710/(D710+E710+G710+H710+I710+J710+L710+M710+N710)</f>
        <v>0.1799083565123496</v>
      </c>
      <c r="E711" s="636">
        <f>E710/(D710+E710+G710+H710+I710+J710+L710+M710+N710)</f>
        <v>5.3702093691697941E-2</v>
      </c>
      <c r="F711" s="637">
        <f t="shared" si="22"/>
        <v>0.23361045020404753</v>
      </c>
      <c r="G711" s="636">
        <f>G710/(D710+E710+G710+H710+I710+J710+L710+M710+N710)</f>
        <v>0.2413639471673128</v>
      </c>
      <c r="H711" s="636">
        <f>H710/(D710+E710+G710+H710+I710+J710+L710+M710+N710)</f>
        <v>3.9974134383634119E-2</v>
      </c>
      <c r="I711" s="636">
        <f>I710/(D710+E710+G710+H710+I710+J710+L710+M710+N710)</f>
        <v>0</v>
      </c>
      <c r="J711" s="636">
        <f>J710/(D710+E710+G710+H710+I710+J710+L710+M710+N710)</f>
        <v>0</v>
      </c>
      <c r="K711" s="637">
        <f t="shared" si="23"/>
        <v>0.28133808155094692</v>
      </c>
      <c r="L711" s="636">
        <f>L710/(D710+E710+G710+H710+I710+J710+L710+M710+N710)</f>
        <v>4.4810014572614007E-2</v>
      </c>
      <c r="M711" s="636">
        <f>M710/(D710+E710+G710+H710+I710+J710+L710+M710+N710)</f>
        <v>2.3681271251728756E-2</v>
      </c>
      <c r="N711" s="636">
        <f>N710/(D710+E710+G710+H710+I710+J710+L710+M710+N710)</f>
        <v>0.41656018242066278</v>
      </c>
      <c r="O711" s="1503"/>
    </row>
    <row r="712" spans="1:15" ht="12" customHeight="1">
      <c r="A712" s="1517"/>
      <c r="B712" s="1502" t="s">
        <v>14940</v>
      </c>
      <c r="C712" s="638" t="s">
        <v>6218</v>
      </c>
      <c r="D712" s="639">
        <v>72304</v>
      </c>
      <c r="E712" s="639">
        <v>16378</v>
      </c>
      <c r="F712" s="640">
        <f t="shared" si="22"/>
        <v>88682</v>
      </c>
      <c r="G712" s="639">
        <v>79594</v>
      </c>
      <c r="H712" s="639">
        <v>10477</v>
      </c>
      <c r="I712" s="639"/>
      <c r="J712" s="639"/>
      <c r="K712" s="640">
        <f t="shared" si="23"/>
        <v>90071</v>
      </c>
      <c r="L712" s="639">
        <v>13982</v>
      </c>
      <c r="M712" s="639"/>
      <c r="N712" s="639">
        <v>129089</v>
      </c>
      <c r="O712" s="1503">
        <f>1-N713</f>
        <v>0.59888324052898478</v>
      </c>
    </row>
    <row r="713" spans="1:15" ht="12" customHeight="1" thickBot="1">
      <c r="A713" s="1519"/>
      <c r="B713" s="1514"/>
      <c r="C713" s="641" t="s">
        <v>6219</v>
      </c>
      <c r="D713" s="642">
        <f>D712/(D712+E712+G712+H712+I712+J712+L712+M712+N712)</f>
        <v>0.22466938450830268</v>
      </c>
      <c r="E713" s="642">
        <f>E712/(D712+E712+G712+H712+I712+J712+L712+M712+N712)</f>
        <v>5.0891170329123991E-2</v>
      </c>
      <c r="F713" s="643">
        <f t="shared" si="22"/>
        <v>0.2755605548374267</v>
      </c>
      <c r="G713" s="642">
        <f>G712/(D712+E712+G712+H712+I712+J712+L712+M712+N712)</f>
        <v>0.24732151735109872</v>
      </c>
      <c r="H713" s="642">
        <f>H712/(D712+E712+G712+H712+I712+J712+L712+M712+N712)</f>
        <v>3.2555061151436811E-2</v>
      </c>
      <c r="I713" s="642">
        <f>I712/(D712+E712+G712+H712+I712+J712+L712+M712+N712)</f>
        <v>0</v>
      </c>
      <c r="J713" s="642">
        <f>J712/(D712+E712+G712+H712+I712+J712+L712+M712+N712)</f>
        <v>0</v>
      </c>
      <c r="K713" s="643">
        <f t="shared" si="23"/>
        <v>0.27987657850253556</v>
      </c>
      <c r="L713" s="642">
        <f>L712/(D712+E712+G712+H712+I712+J712+L712+M712+N712)</f>
        <v>4.3446107189022573E-2</v>
      </c>
      <c r="M713" s="642">
        <f>M712/(D712+E712+G712+H712+I712+J712+L712+M712+N712)</f>
        <v>0</v>
      </c>
      <c r="N713" s="642">
        <f>N712/(D712+E712+G712+H712+I712+J712+L712+M712+N712)</f>
        <v>0.40111675947101522</v>
      </c>
      <c r="O713" s="1515"/>
    </row>
    <row r="714" spans="1:15" ht="12" customHeight="1">
      <c r="A714" s="1535" t="s">
        <v>15027</v>
      </c>
      <c r="B714" s="1536" t="s">
        <v>14937</v>
      </c>
      <c r="C714" s="632" t="s">
        <v>6218</v>
      </c>
      <c r="D714" s="633">
        <v>64549</v>
      </c>
      <c r="E714" s="633">
        <v>29320</v>
      </c>
      <c r="F714" s="634">
        <f t="shared" si="22"/>
        <v>93869</v>
      </c>
      <c r="G714" s="633">
        <v>111247</v>
      </c>
      <c r="H714" s="633">
        <v>12405</v>
      </c>
      <c r="I714" s="633">
        <v>3541</v>
      </c>
      <c r="J714" s="633">
        <v>8163</v>
      </c>
      <c r="K714" s="634">
        <f t="shared" si="23"/>
        <v>135356</v>
      </c>
      <c r="L714" s="633">
        <v>21521</v>
      </c>
      <c r="M714" s="633">
        <v>5447</v>
      </c>
      <c r="N714" s="633">
        <v>187166</v>
      </c>
      <c r="O714" s="1537">
        <f>1-N715</f>
        <v>0.57784549315565936</v>
      </c>
    </row>
    <row r="715" spans="1:15" ht="12" customHeight="1">
      <c r="A715" s="1517"/>
      <c r="B715" s="1502"/>
      <c r="C715" s="635" t="s">
        <v>6219</v>
      </c>
      <c r="D715" s="636">
        <f>D714/(D714+E714+G714+H714+I714+J714+L714+M714+N714)</f>
        <v>0.14559081917813782</v>
      </c>
      <c r="E715" s="636">
        <f>E714/(D714+E714+G714+H714+I714+J714+L714+M714+N714)</f>
        <v>6.6131509679514797E-2</v>
      </c>
      <c r="F715" s="637">
        <f t="shared" si="22"/>
        <v>0.21172232885765263</v>
      </c>
      <c r="G715" s="636">
        <f>G714/(D714+E714+G714+H714+I714+J714+L714+M714+N714)</f>
        <v>0.2509185558430076</v>
      </c>
      <c r="H715" s="636">
        <f>H714/(D714+E714+G714+H714+I714+J714+L714+M714+N714)</f>
        <v>2.7979583136916134E-2</v>
      </c>
      <c r="I715" s="636">
        <f>I714/(D714+E714+G714+H714+I714+J714+L714+M714+N714)</f>
        <v>7.9867556539959719E-3</v>
      </c>
      <c r="J715" s="636">
        <f>J714/(D714+E714+G714+H714+I714+J714+L714+M714+N714)</f>
        <v>1.8411716013433808E-2</v>
      </c>
      <c r="K715" s="637">
        <f t="shared" si="23"/>
        <v>0.30529661064735353</v>
      </c>
      <c r="L715" s="636">
        <f>L714/(D714+E714+G714+H714+I714+J714+L714+M714+N714)</f>
        <v>4.8540798765785743E-2</v>
      </c>
      <c r="M715" s="636">
        <f>M714/(D714+E714+G714+H714+I714+J714+L714+M714+N714)</f>
        <v>1.2285754884867568E-2</v>
      </c>
      <c r="N715" s="636">
        <f>N714/(D714+E714+G714+H714+I714+J714+L714+M714+N714)</f>
        <v>0.42215450684434058</v>
      </c>
      <c r="O715" s="1503"/>
    </row>
    <row r="716" spans="1:15" ht="12" customHeight="1">
      <c r="A716" s="1517"/>
      <c r="B716" s="1502" t="s">
        <v>14938</v>
      </c>
      <c r="C716" s="638" t="s">
        <v>6218</v>
      </c>
      <c r="D716" s="639">
        <v>125087</v>
      </c>
      <c r="E716" s="639">
        <v>32745</v>
      </c>
      <c r="F716" s="640">
        <f t="shared" si="22"/>
        <v>157832</v>
      </c>
      <c r="G716" s="639">
        <v>89732</v>
      </c>
      <c r="H716" s="639">
        <v>18208</v>
      </c>
      <c r="I716" s="639"/>
      <c r="J716" s="639">
        <v>10516</v>
      </c>
      <c r="K716" s="640">
        <f t="shared" si="23"/>
        <v>118456</v>
      </c>
      <c r="L716" s="639">
        <v>22830</v>
      </c>
      <c r="M716" s="639"/>
      <c r="N716" s="639">
        <v>136412</v>
      </c>
      <c r="O716" s="1503">
        <f>1-N717</f>
        <v>0.68679080660344871</v>
      </c>
    </row>
    <row r="717" spans="1:15" ht="12" customHeight="1">
      <c r="A717" s="1517"/>
      <c r="B717" s="1502"/>
      <c r="C717" s="635" t="s">
        <v>6219</v>
      </c>
      <c r="D717" s="636">
        <f>D716/(D716+E716+G716+H716+I716+J716+L716+M716+N716)</f>
        <v>0.28720639221178795</v>
      </c>
      <c r="E717" s="636">
        <f>E716/(D716+E716+G716+H716+I716+J716+L716+M716+N716)</f>
        <v>7.5184258260050971E-2</v>
      </c>
      <c r="F717" s="637">
        <f t="shared" si="22"/>
        <v>0.36239065047183894</v>
      </c>
      <c r="G717" s="636">
        <f>G716/(D716+E716+G716+H716+I716+J716+L716+M716+N716)</f>
        <v>0.20602943540054647</v>
      </c>
      <c r="H717" s="636">
        <f>H716/(D716+E716+G716+H716+I716+J716+L716+M716+N716)</f>
        <v>4.1806534567079189E-2</v>
      </c>
      <c r="I717" s="636">
        <f>I716/(D716+E716+G716+H716+I716+J716+L716+M716+N716)</f>
        <v>0</v>
      </c>
      <c r="J717" s="636">
        <f>J716/(D716+E716+G716+H716+I716+J716+L716+M716+N716)</f>
        <v>2.4145294239202812E-2</v>
      </c>
      <c r="K717" s="637">
        <f t="shared" si="23"/>
        <v>0.2719812642068285</v>
      </c>
      <c r="L717" s="636">
        <f>L716/(D716+E716+G716+H716+I716+J716+L716+M716+N716)</f>
        <v>5.2418891924781302E-2</v>
      </c>
      <c r="M717" s="636">
        <f>M716/(D716+E716+G716+H716+I716+J716+L716+M716+N716)</f>
        <v>0</v>
      </c>
      <c r="N717" s="636">
        <f>N716/(D716+E716+G716+H716+I716+J716+L716+M716+N716)</f>
        <v>0.31320919339655134</v>
      </c>
      <c r="O717" s="1503"/>
    </row>
    <row r="718" spans="1:15" ht="12" customHeight="1">
      <c r="A718" s="1517"/>
      <c r="B718" s="1502" t="s">
        <v>14939</v>
      </c>
      <c r="C718" s="638" t="s">
        <v>6218</v>
      </c>
      <c r="D718" s="639">
        <v>61696</v>
      </c>
      <c r="E718" s="639">
        <v>33223</v>
      </c>
      <c r="F718" s="640">
        <f t="shared" si="22"/>
        <v>94919</v>
      </c>
      <c r="G718" s="639">
        <v>101571</v>
      </c>
      <c r="H718" s="639">
        <v>15682</v>
      </c>
      <c r="I718" s="639"/>
      <c r="J718" s="639"/>
      <c r="K718" s="640">
        <f t="shared" si="23"/>
        <v>117253</v>
      </c>
      <c r="L718" s="639">
        <v>20336</v>
      </c>
      <c r="M718" s="639">
        <v>9395</v>
      </c>
      <c r="N718" s="639">
        <v>187627</v>
      </c>
      <c r="O718" s="1503">
        <f>1-N719</f>
        <v>0.5631806858659465</v>
      </c>
    </row>
    <row r="719" spans="1:15" ht="12" customHeight="1">
      <c r="A719" s="1517"/>
      <c r="B719" s="1502"/>
      <c r="C719" s="635" t="s">
        <v>6219</v>
      </c>
      <c r="D719" s="636">
        <f>D718/(D718+E718+G718+H718+I718+J718+L718+M718+N718)</f>
        <v>0.14363606732940656</v>
      </c>
      <c r="E719" s="636">
        <f>E718/(D718+E718+G718+H718+I718+J718+L718+M718+N718)</f>
        <v>7.7347333131562404E-2</v>
      </c>
      <c r="F719" s="637">
        <f t="shared" si="22"/>
        <v>0.22098340046096898</v>
      </c>
      <c r="G719" s="636">
        <f>G718/(D718+E718+G718+H718+I718+J718+L718+M718+N718)</f>
        <v>0.23647009522035714</v>
      </c>
      <c r="H719" s="636">
        <f>H718/(D718+E718+G718+H718+I718+J718+L718+M718+N718)</f>
        <v>3.6509673363909388E-2</v>
      </c>
      <c r="I719" s="636">
        <f>I718/(D718+E718+G718+H718+I718+J718+L718+M718+N718)</f>
        <v>0</v>
      </c>
      <c r="J719" s="636">
        <f>J718/(D718+E718+G718+H718+I718+J718+L718+M718+N718)</f>
        <v>0</v>
      </c>
      <c r="K719" s="637">
        <f t="shared" si="23"/>
        <v>0.27297976858426654</v>
      </c>
      <c r="L719" s="636">
        <f>L718/(D718+E718+G718+H718+I718+J718+L718+M718+N718)</f>
        <v>4.7344772192861963E-2</v>
      </c>
      <c r="M719" s="636">
        <f>M718/(D718+E718+G718+H718+I718+J718+L718+M718+N718)</f>
        <v>2.1872744627849043E-2</v>
      </c>
      <c r="N719" s="636">
        <f>N718/(D718+E718+G718+H718+I718+J718+L718+M718+N718)</f>
        <v>0.4368193141340535</v>
      </c>
      <c r="O719" s="1503"/>
    </row>
    <row r="720" spans="1:15" ht="12" customHeight="1">
      <c r="A720" s="1517"/>
      <c r="B720" s="1502" t="s">
        <v>14940</v>
      </c>
      <c r="C720" s="638" t="s">
        <v>6218</v>
      </c>
      <c r="D720" s="639">
        <v>79307</v>
      </c>
      <c r="E720" s="639">
        <v>31356</v>
      </c>
      <c r="F720" s="640">
        <f t="shared" si="22"/>
        <v>110663</v>
      </c>
      <c r="G720" s="639">
        <v>104943</v>
      </c>
      <c r="H720" s="639">
        <v>12772</v>
      </c>
      <c r="I720" s="639"/>
      <c r="J720" s="639"/>
      <c r="K720" s="640">
        <f t="shared" si="23"/>
        <v>117715</v>
      </c>
      <c r="L720" s="639">
        <v>21325</v>
      </c>
      <c r="M720" s="639"/>
      <c r="N720" s="639">
        <v>178179</v>
      </c>
      <c r="O720" s="1503">
        <f>1-N721</f>
        <v>0.58357911760719072</v>
      </c>
    </row>
    <row r="721" spans="1:15" ht="12" customHeight="1" thickBot="1">
      <c r="A721" s="1519"/>
      <c r="B721" s="1514"/>
      <c r="C721" s="641" t="s">
        <v>6219</v>
      </c>
      <c r="D721" s="642">
        <f>D720/(D720+E720+G720+H720+I720+J720+L720+M720+N720)</f>
        <v>0.18534782954178955</v>
      </c>
      <c r="E721" s="642">
        <f>E720/(D720+E720+G720+H720+I720+J720+L720+M720+N720)</f>
        <v>7.328188612748375E-2</v>
      </c>
      <c r="F721" s="643">
        <f t="shared" si="22"/>
        <v>0.25862971566927329</v>
      </c>
      <c r="G721" s="642">
        <f>G720/(D720+E720+G720+H720+I720+J720+L720+M720+N720)</f>
        <v>0.2452615440705615</v>
      </c>
      <c r="H721" s="642">
        <f>H720/(D720+E720+G720+H720+I720+J720+L720+M720+N720)</f>
        <v>2.9849350989291441E-2</v>
      </c>
      <c r="I721" s="642">
        <f>I720/(D720+E720+G720+H720+I720+J720+L720+M720+N720)</f>
        <v>0</v>
      </c>
      <c r="J721" s="642">
        <f>J720/(D720+E720+G720+H720+I720+J720+L720+M720+N720)</f>
        <v>0</v>
      </c>
      <c r="K721" s="643">
        <f t="shared" si="23"/>
        <v>0.27511089505985292</v>
      </c>
      <c r="L721" s="642">
        <f>L720/(D720+E720+G720+H720+I720+J720+L720+M720+N720)</f>
        <v>4.9838506878064515E-2</v>
      </c>
      <c r="M721" s="642">
        <f>M720/(D720+E720+G720+H720+I720+J720+L720+M720+N720)</f>
        <v>0</v>
      </c>
      <c r="N721" s="642">
        <f>N720/(D720+E720+G720+H720+I720+J720+L720+M720+N720)</f>
        <v>0.41642088239280922</v>
      </c>
      <c r="O721" s="1515"/>
    </row>
    <row r="722" spans="1:15" ht="12" customHeight="1">
      <c r="A722" s="1542" t="s">
        <v>15028</v>
      </c>
      <c r="B722" s="1536" t="s">
        <v>14937</v>
      </c>
      <c r="C722" s="632" t="s">
        <v>6218</v>
      </c>
      <c r="D722" s="633">
        <v>53385</v>
      </c>
      <c r="E722" s="633">
        <v>29262</v>
      </c>
      <c r="F722" s="634">
        <f t="shared" si="22"/>
        <v>82647</v>
      </c>
      <c r="G722" s="633">
        <v>87524</v>
      </c>
      <c r="H722" s="633">
        <v>11045</v>
      </c>
      <c r="I722" s="633">
        <v>3068</v>
      </c>
      <c r="J722" s="633">
        <v>6879</v>
      </c>
      <c r="K722" s="634">
        <f t="shared" si="23"/>
        <v>108516</v>
      </c>
      <c r="L722" s="633">
        <v>17553</v>
      </c>
      <c r="M722" s="633">
        <v>4733</v>
      </c>
      <c r="N722" s="633">
        <v>159105</v>
      </c>
      <c r="O722" s="1537">
        <f>1-N723</f>
        <v>0.57293439340337238</v>
      </c>
    </row>
    <row r="723" spans="1:15" ht="12" customHeight="1">
      <c r="A723" s="1533"/>
      <c r="B723" s="1502"/>
      <c r="C723" s="635" t="s">
        <v>6219</v>
      </c>
      <c r="D723" s="636">
        <f>D722/(D722+E722+G722+H722+I722+J722+L722+M722+N722)</f>
        <v>0.1432946633239745</v>
      </c>
      <c r="E723" s="636">
        <f>E722/(D722+E722+G722+H722+I722+J722+L722+M722+N722)</f>
        <v>7.854431840753287E-2</v>
      </c>
      <c r="F723" s="637">
        <f t="shared" si="22"/>
        <v>0.22183898173150737</v>
      </c>
      <c r="G723" s="636">
        <f>G722/(D722+E722+G722+H722+I722+J722+L722+M722+N722)</f>
        <v>0.23492970146609618</v>
      </c>
      <c r="H723" s="636">
        <f>H722/(D722+E722+G722+H722+I722+J722+L722+M722+N722)</f>
        <v>2.9646708933470049E-2</v>
      </c>
      <c r="I723" s="636">
        <f>I722/(D722+E722+G722+H722+I722+J722+L722+M722+N722)</f>
        <v>8.2350478051503948E-3</v>
      </c>
      <c r="J723" s="636">
        <f>J722/(D722+E722+G722+H722+I722+J722+L722+M722+N722)</f>
        <v>1.8464437370153051E-2</v>
      </c>
      <c r="K723" s="637">
        <f t="shared" si="23"/>
        <v>0.29127589557486971</v>
      </c>
      <c r="L723" s="636">
        <f>L722/(D722+E722+G722+H722+I722+J722+L722+M722+N722)</f>
        <v>4.7115317511018537E-2</v>
      </c>
      <c r="M723" s="636">
        <f>M722/(D722+E722+G722+H722+I722+J722+L722+M722+N722)</f>
        <v>1.2704198585976798E-2</v>
      </c>
      <c r="N723" s="636">
        <f>N722/(D722+E722+G722+H722+I722+J722+L722+M722+N722)</f>
        <v>0.42706560659662762</v>
      </c>
      <c r="O723" s="1503"/>
    </row>
    <row r="724" spans="1:15" ht="12" customHeight="1">
      <c r="A724" s="1533"/>
      <c r="B724" s="1502" t="s">
        <v>14938</v>
      </c>
      <c r="C724" s="638" t="s">
        <v>6218</v>
      </c>
      <c r="D724" s="639">
        <v>104343</v>
      </c>
      <c r="E724" s="639">
        <v>33537</v>
      </c>
      <c r="F724" s="640">
        <f t="shared" si="22"/>
        <v>137880</v>
      </c>
      <c r="G724" s="639">
        <v>71968</v>
      </c>
      <c r="H724" s="639">
        <v>15664</v>
      </c>
      <c r="I724" s="639"/>
      <c r="J724" s="639">
        <v>8956</v>
      </c>
      <c r="K724" s="640">
        <f t="shared" si="23"/>
        <v>96588</v>
      </c>
      <c r="L724" s="639">
        <v>17785</v>
      </c>
      <c r="M724" s="639"/>
      <c r="N724" s="639">
        <v>120180</v>
      </c>
      <c r="O724" s="1503">
        <f>1-N725</f>
        <v>0.67731108682635532</v>
      </c>
    </row>
    <row r="725" spans="1:15" ht="12" customHeight="1">
      <c r="A725" s="1533"/>
      <c r="B725" s="1502"/>
      <c r="C725" s="635" t="s">
        <v>6219</v>
      </c>
      <c r="D725" s="636">
        <f>D724/(D724+E724+G724+H724+I724+J724+L724+M724+N724)</f>
        <v>0.28016582848458649</v>
      </c>
      <c r="E725" s="636">
        <f>E724/(D724+E724+G724+H724+I724+J724+L724+M724+N724)</f>
        <v>9.0048411392116168E-2</v>
      </c>
      <c r="F725" s="637">
        <f t="shared" si="22"/>
        <v>0.37021423987670266</v>
      </c>
      <c r="G725" s="636">
        <f>G724/(D724+E724+G724+H724+I724+J724+L724+M724+N724)</f>
        <v>0.19323744136529256</v>
      </c>
      <c r="H725" s="636">
        <f>H724/(D724+E724+G724+H724+I724+J724+L724+M724+N724)</f>
        <v>4.2058571608853138E-2</v>
      </c>
      <c r="I725" s="636">
        <f>I724/(D724+E724+G724+H724+I724+J724+L724+M724+N724)</f>
        <v>0</v>
      </c>
      <c r="J725" s="636">
        <f>J724/(D724+E724+G724+H724+I724+J724+L724+M724+N724)</f>
        <v>2.4047278302406071E-2</v>
      </c>
      <c r="K725" s="637">
        <f t="shared" si="23"/>
        <v>0.25934329127655176</v>
      </c>
      <c r="L725" s="636">
        <f>L724/(D724+E724+G724+H724+I724+J724+L724+M724+N724)</f>
        <v>4.7753555673100932E-2</v>
      </c>
      <c r="M725" s="636">
        <f>M724/(D724+E724+G724+H724+I724+J724+L724+M724+N724)</f>
        <v>0</v>
      </c>
      <c r="N725" s="636">
        <f>N724/(D724+E724+G724+H724+I724+J724+L724+M724+N724)</f>
        <v>0.32268891317364468</v>
      </c>
      <c r="O725" s="1503"/>
    </row>
    <row r="726" spans="1:15" ht="12" customHeight="1">
      <c r="A726" s="1533"/>
      <c r="B726" s="1502" t="s">
        <v>14939</v>
      </c>
      <c r="C726" s="638" t="s">
        <v>6218</v>
      </c>
      <c r="D726" s="639">
        <v>51832</v>
      </c>
      <c r="E726" s="639">
        <v>35084</v>
      </c>
      <c r="F726" s="640">
        <f t="shared" si="22"/>
        <v>86916</v>
      </c>
      <c r="G726" s="639">
        <v>82950</v>
      </c>
      <c r="H726" s="639">
        <v>15301</v>
      </c>
      <c r="I726" s="639"/>
      <c r="J726" s="639"/>
      <c r="K726" s="640">
        <f t="shared" si="23"/>
        <v>98251</v>
      </c>
      <c r="L726" s="639">
        <v>16098</v>
      </c>
      <c r="M726" s="639">
        <v>7713</v>
      </c>
      <c r="N726" s="639">
        <v>164087</v>
      </c>
      <c r="O726" s="1503">
        <f>1-N727</f>
        <v>0.56016511867905061</v>
      </c>
    </row>
    <row r="727" spans="1:15" ht="12" customHeight="1">
      <c r="A727" s="1533"/>
      <c r="B727" s="1502"/>
      <c r="C727" s="635" t="s">
        <v>6219</v>
      </c>
      <c r="D727" s="636">
        <f>D726/(D726+E726+G726+H726+I726+J726+L726+M726+N726)</f>
        <v>0.13893557422969188</v>
      </c>
      <c r="E727" s="636">
        <f>E726/(D726+E726+G726+H726+I726+J726+L726+M726+N726)</f>
        <v>9.4042593113800546E-2</v>
      </c>
      <c r="F727" s="637">
        <f t="shared" si="22"/>
        <v>0.23297816734349241</v>
      </c>
      <c r="G727" s="636">
        <f>G726/(D726+E726+G726+H726+I726+J726+L726+M726+N726)</f>
        <v>0.22234731213059386</v>
      </c>
      <c r="H727" s="636">
        <f>H726/(D726+E726+G726+H726+I726+J726+L726+M726+N726)</f>
        <v>4.1014300457024915E-2</v>
      </c>
      <c r="I727" s="636">
        <f>I726/(D726+E726+G726+H726+I726+J726+L726+M726+N726)</f>
        <v>0</v>
      </c>
      <c r="J727" s="636">
        <f>J726/(D726+E726+G726+H726+I726+J726+L726+M726+N726)</f>
        <v>0</v>
      </c>
      <c r="K727" s="637">
        <f t="shared" si="23"/>
        <v>0.26336161258761875</v>
      </c>
      <c r="L727" s="636">
        <f>L726/(D726+E726+G726+H726+I726+J726+L726+M726+N726)</f>
        <v>4.3150657392143459E-2</v>
      </c>
      <c r="M727" s="636">
        <f>M726/(D726+E726+G726+H726+I726+J726+L726+M726+N726)</f>
        <v>2.0674681355795907E-2</v>
      </c>
      <c r="N727" s="636">
        <f>N726/(D726+E726+G726+H726+I726+J726+L726+M726+N726)</f>
        <v>0.43983488132094944</v>
      </c>
      <c r="O727" s="1503"/>
    </row>
    <row r="728" spans="1:15" ht="12" customHeight="1">
      <c r="A728" s="1533"/>
      <c r="B728" s="1502" t="s">
        <v>14940</v>
      </c>
      <c r="C728" s="638" t="s">
        <v>6218</v>
      </c>
      <c r="D728" s="639">
        <v>69751</v>
      </c>
      <c r="E728" s="639">
        <v>34975</v>
      </c>
      <c r="F728" s="640">
        <f t="shared" si="22"/>
        <v>104726</v>
      </c>
      <c r="G728" s="639">
        <v>88205</v>
      </c>
      <c r="H728" s="639">
        <v>14170</v>
      </c>
      <c r="I728" s="639"/>
      <c r="J728" s="639"/>
      <c r="K728" s="640">
        <f t="shared" si="23"/>
        <v>102375</v>
      </c>
      <c r="L728" s="639">
        <v>16298</v>
      </c>
      <c r="M728" s="639"/>
      <c r="N728" s="639">
        <v>150821</v>
      </c>
      <c r="O728" s="1503">
        <f>1-N729</f>
        <v>0.5969723691945914</v>
      </c>
    </row>
    <row r="729" spans="1:15" ht="12" customHeight="1" thickBot="1">
      <c r="A729" s="1534"/>
      <c r="B729" s="1514"/>
      <c r="C729" s="641" t="s">
        <v>6219</v>
      </c>
      <c r="D729" s="642">
        <f>D728/(D728+E728+G728+H728+I728+J728+L728+M728+N728)</f>
        <v>0.18639035861258083</v>
      </c>
      <c r="E729" s="642">
        <f>E728/(D728+E728+G728+H728+I728+J728+L728+M728+N728)</f>
        <v>9.3461065683287908E-2</v>
      </c>
      <c r="F729" s="643">
        <f t="shared" si="22"/>
        <v>0.27985142429586873</v>
      </c>
      <c r="G729" s="642">
        <f>G728/(D728+E728+G728+H728+I728+J728+L728+M728+N728)</f>
        <v>0.23570359681470793</v>
      </c>
      <c r="H729" s="642">
        <f>H728/(D728+E728+G728+H728+I728+J728+L728+M728+N728)</f>
        <v>3.7865426754315645E-2</v>
      </c>
      <c r="I729" s="642">
        <f>I728/(D728+E728+G728+H728+I728+J728+L728+M728+N728)</f>
        <v>0</v>
      </c>
      <c r="J729" s="642">
        <f>J728/(D728+E728+G728+H728+I728+J728+L728+M728+N728)</f>
        <v>0</v>
      </c>
      <c r="K729" s="643">
        <f t="shared" si="23"/>
        <v>0.27356902356902357</v>
      </c>
      <c r="L729" s="642">
        <f>L728/(D728+E728+G728+H728+I728+J728+L728+M728+N728)</f>
        <v>4.3551921329699109E-2</v>
      </c>
      <c r="M729" s="642">
        <f>M728/(D728+E728+G728+H728+I728+J728+L728+M728+N728)</f>
        <v>0</v>
      </c>
      <c r="N729" s="642">
        <f>N728/(D728+E728+G728+H728+I728+J728+L728+M728+N728)</f>
        <v>0.4030276308054086</v>
      </c>
      <c r="O729" s="1515"/>
    </row>
    <row r="730" spans="1:15" ht="12" customHeight="1">
      <c r="A730" s="1535" t="s">
        <v>15029</v>
      </c>
      <c r="B730" s="1536" t="s">
        <v>14937</v>
      </c>
      <c r="C730" s="632" t="s">
        <v>6218</v>
      </c>
      <c r="D730" s="633">
        <v>56374</v>
      </c>
      <c r="E730" s="633">
        <v>21557</v>
      </c>
      <c r="F730" s="634">
        <f t="shared" si="22"/>
        <v>77931</v>
      </c>
      <c r="G730" s="633">
        <v>96729</v>
      </c>
      <c r="H730" s="633">
        <v>10365</v>
      </c>
      <c r="I730" s="633">
        <v>3508</v>
      </c>
      <c r="J730" s="633">
        <v>9118</v>
      </c>
      <c r="K730" s="634">
        <f t="shared" si="23"/>
        <v>119720</v>
      </c>
      <c r="L730" s="633">
        <v>15082</v>
      </c>
      <c r="M730" s="633">
        <v>5479</v>
      </c>
      <c r="N730" s="633">
        <v>178810</v>
      </c>
      <c r="O730" s="1537">
        <f>1-N731</f>
        <v>0.54962193530837089</v>
      </c>
    </row>
    <row r="731" spans="1:15" ht="12" customHeight="1">
      <c r="A731" s="1517"/>
      <c r="B731" s="1502"/>
      <c r="C731" s="635" t="s">
        <v>6219</v>
      </c>
      <c r="D731" s="636">
        <f>D730/(D730+E730+G730+H730+I730+J730+L730+M730+N730)</f>
        <v>0.14199213141841005</v>
      </c>
      <c r="E731" s="636">
        <f>E730/(D730+E730+G730+H730+I730+J730+L730+M730+N730)</f>
        <v>5.4296739223519103E-2</v>
      </c>
      <c r="F731" s="637">
        <f t="shared" si="22"/>
        <v>0.19628887064192915</v>
      </c>
      <c r="G731" s="636">
        <f>G730/(D730+E730+G730+H730+I730+J730+L730+M730+N730)</f>
        <v>0.24363637279546221</v>
      </c>
      <c r="H731" s="636">
        <f>H730/(D730+E730+G730+H730+I730+J730+L730+M730+N730)</f>
        <v>2.6106865614499951E-2</v>
      </c>
      <c r="I731" s="636">
        <f>I730/(D730+E730+G730+H730+I730+J730+L730+M730+N730)</f>
        <v>8.8357823999677607E-3</v>
      </c>
      <c r="J731" s="636">
        <f>J730/(D730+E730+G730+H730+I730+J730+L730+M730+N730)</f>
        <v>2.2965981734009704E-2</v>
      </c>
      <c r="K731" s="637">
        <f t="shared" si="23"/>
        <v>0.30154500254393962</v>
      </c>
      <c r="L731" s="636">
        <f>L730/(D730+E730+G730+H730+I730+J730+L730+M730+N730)</f>
        <v>3.7987819314798679E-2</v>
      </c>
      <c r="M731" s="636">
        <f>M730/(D730+E730+G730+H730+I730+J730+L730+M730+N730)</f>
        <v>1.3800242807703351E-2</v>
      </c>
      <c r="N731" s="636">
        <f>N730/(D730+E730+G730+H730+I730+J730+L730+M730+N730)</f>
        <v>0.45037806469162917</v>
      </c>
      <c r="O731" s="1503"/>
    </row>
    <row r="732" spans="1:15" ht="12" customHeight="1">
      <c r="A732" s="1517"/>
      <c r="B732" s="1502" t="s">
        <v>14938</v>
      </c>
      <c r="C732" s="638" t="s">
        <v>6218</v>
      </c>
      <c r="D732" s="639">
        <v>114558</v>
      </c>
      <c r="E732" s="639">
        <v>23799</v>
      </c>
      <c r="F732" s="640">
        <f t="shared" si="22"/>
        <v>138357</v>
      </c>
      <c r="G732" s="639">
        <v>79168</v>
      </c>
      <c r="H732" s="639">
        <v>14186</v>
      </c>
      <c r="I732" s="639"/>
      <c r="J732" s="639">
        <v>9999</v>
      </c>
      <c r="K732" s="640">
        <f t="shared" si="23"/>
        <v>103353</v>
      </c>
      <c r="L732" s="639">
        <v>15363</v>
      </c>
      <c r="M732" s="639"/>
      <c r="N732" s="639">
        <v>128793</v>
      </c>
      <c r="O732" s="1503">
        <f>1-N733</f>
        <v>0.66622350764254956</v>
      </c>
    </row>
    <row r="733" spans="1:15" ht="12" customHeight="1">
      <c r="A733" s="1517"/>
      <c r="B733" s="1502"/>
      <c r="C733" s="635" t="s">
        <v>6219</v>
      </c>
      <c r="D733" s="636">
        <f>D732/(D732+E732+G732+H732+I732+J732+L732+M732+N732)</f>
        <v>0.29688544727962557</v>
      </c>
      <c r="E733" s="636">
        <f>E732/(D732+E732+G732+H732+I732+J732+L732+M732+N732)</f>
        <v>6.1676851549501643E-2</v>
      </c>
      <c r="F733" s="637">
        <f t="shared" si="22"/>
        <v>0.35856229882912721</v>
      </c>
      <c r="G733" s="636">
        <f>G732/(D732+E732+G732+H732+I732+J732+L732+M732+N732)</f>
        <v>0.20516967030005234</v>
      </c>
      <c r="H733" s="636">
        <f>H732/(D732+E732+G732+H732+I732+J732+L732+M732+N732)</f>
        <v>3.676405798904283E-2</v>
      </c>
      <c r="I733" s="636">
        <f>I732/(D732+E732+G732+H732+I732+J732+L732+M732+N732)</f>
        <v>0</v>
      </c>
      <c r="J733" s="636">
        <f>J732/(D732+E732+G732+H732+I732+J732+L732+M732+N732)</f>
        <v>2.5913140831273034E-2</v>
      </c>
      <c r="K733" s="637">
        <f t="shared" si="23"/>
        <v>0.2678468691203682</v>
      </c>
      <c r="L733" s="636">
        <f>L732/(D732+E732+G732+H732+I732+J732+L732+M732+N732)</f>
        <v>3.9814339693054063E-2</v>
      </c>
      <c r="M733" s="636">
        <f>M732/(D732+E732+G732+H732+I732+J732+L732+M732+N732)</f>
        <v>0</v>
      </c>
      <c r="N733" s="636">
        <f>N732/(D732+E732+G732+H732+I732+J732+L732+M732+N732)</f>
        <v>0.33377649235745049</v>
      </c>
      <c r="O733" s="1503"/>
    </row>
    <row r="734" spans="1:15" ht="12" customHeight="1">
      <c r="A734" s="1517"/>
      <c r="B734" s="1502" t="s">
        <v>14939</v>
      </c>
      <c r="C734" s="638" t="s">
        <v>6218</v>
      </c>
      <c r="D734" s="639">
        <v>53518</v>
      </c>
      <c r="E734" s="639">
        <v>23272</v>
      </c>
      <c r="F734" s="640">
        <f t="shared" si="22"/>
        <v>76790</v>
      </c>
      <c r="G734" s="639">
        <v>88538</v>
      </c>
      <c r="H734" s="639">
        <v>12657</v>
      </c>
      <c r="I734" s="639"/>
      <c r="J734" s="639"/>
      <c r="K734" s="640">
        <f t="shared" si="23"/>
        <v>101195</v>
      </c>
      <c r="L734" s="639">
        <v>13739</v>
      </c>
      <c r="M734" s="639">
        <v>9403</v>
      </c>
      <c r="N734" s="639">
        <v>174045</v>
      </c>
      <c r="O734" s="1503">
        <f>1-N735</f>
        <v>0.53609277877880013</v>
      </c>
    </row>
    <row r="735" spans="1:15" ht="12" customHeight="1">
      <c r="A735" s="1517"/>
      <c r="B735" s="1502"/>
      <c r="C735" s="635" t="s">
        <v>6219</v>
      </c>
      <c r="D735" s="636">
        <f>D734/(D734+E734+G734+H734+I734+J734+L734+M734+N734)</f>
        <v>0.14264923821607156</v>
      </c>
      <c r="E735" s="636">
        <f>E734/(D734+E734+G734+H734+I734+J734+L734+M734+N734)</f>
        <v>6.2030215474502361E-2</v>
      </c>
      <c r="F735" s="637">
        <f t="shared" si="22"/>
        <v>0.20467945369057391</v>
      </c>
      <c r="G735" s="636">
        <f>G734/(D734+E734+G734+H734+I734+J734+L734+M734+N734)</f>
        <v>0.23599309116885056</v>
      </c>
      <c r="H735" s="636">
        <f>H734/(D734+E734+G734+H734+I734+J734+L734+M734+N734)</f>
        <v>3.3736526179992107E-2</v>
      </c>
      <c r="I735" s="636">
        <f>I734/(D734+E734+G734+H734+I734+J734+L734+M734+N734)</f>
        <v>0</v>
      </c>
      <c r="J735" s="636">
        <f>J734/(D734+E734+G734+H734+I734+J734+L734+M734+N734)</f>
        <v>0</v>
      </c>
      <c r="K735" s="637">
        <f t="shared" si="23"/>
        <v>0.26972961734884265</v>
      </c>
      <c r="L735" s="636">
        <f>L734/(D734+E734+G734+H734+I734+J734+L734+M734+N734)</f>
        <v>3.6620536713827256E-2</v>
      </c>
      <c r="M735" s="636">
        <f>M734/(D734+E734+G734+H734+I734+J734+L734+M734+N734)</f>
        <v>2.5063171025556278E-2</v>
      </c>
      <c r="N735" s="636">
        <f>N734/(D734+E734+G734+H734+I734+J734+L734+M734+N734)</f>
        <v>0.46390722122119987</v>
      </c>
      <c r="O735" s="1503"/>
    </row>
    <row r="736" spans="1:15" ht="12" customHeight="1">
      <c r="A736" s="1517"/>
      <c r="B736" s="1502" t="s">
        <v>14940</v>
      </c>
      <c r="C736" s="638" t="s">
        <v>6218</v>
      </c>
      <c r="D736" s="639">
        <v>68745</v>
      </c>
      <c r="E736" s="639">
        <v>22735</v>
      </c>
      <c r="F736" s="640">
        <f t="shared" si="22"/>
        <v>91480</v>
      </c>
      <c r="G736" s="639">
        <v>94067</v>
      </c>
      <c r="H736" s="639">
        <v>9362</v>
      </c>
      <c r="I736" s="639"/>
      <c r="J736" s="639"/>
      <c r="K736" s="640">
        <f t="shared" si="23"/>
        <v>103429</v>
      </c>
      <c r="L736" s="639">
        <v>13909</v>
      </c>
      <c r="M736" s="639"/>
      <c r="N736" s="639">
        <v>165241</v>
      </c>
      <c r="O736" s="1503">
        <f>1-N737</f>
        <v>0.55824883240344436</v>
      </c>
    </row>
    <row r="737" spans="1:15" ht="12" customHeight="1" thickBot="1">
      <c r="A737" s="1519"/>
      <c r="B737" s="1514"/>
      <c r="C737" s="641" t="s">
        <v>6219</v>
      </c>
      <c r="D737" s="642">
        <f>D736/(D736+E736+G736+H736+I736+J736+L736+M736+N736)</f>
        <v>0.18378116821143189</v>
      </c>
      <c r="E737" s="642">
        <f>E736/(D736+E736+G736+H736+I736+J736+L736+M736+N736)</f>
        <v>6.0779181893765424E-2</v>
      </c>
      <c r="F737" s="643">
        <f t="shared" si="22"/>
        <v>0.24456035010519733</v>
      </c>
      <c r="G737" s="642">
        <f>G736/(D736+E736+G736+H736+I736+J736+L736+M736+N736)</f>
        <v>0.25147637137456924</v>
      </c>
      <c r="H737" s="642">
        <f>H736/(D736+E736+G736+H736+I736+J736+L736+M736+N736)</f>
        <v>2.5028137272462364E-2</v>
      </c>
      <c r="I737" s="642">
        <f>I736/(D736+E736+G736+H736+I736+J736+L736+M736+N736)</f>
        <v>0</v>
      </c>
      <c r="J737" s="642">
        <f>J736/(D736+E736+G736+H736+I736+J736+L736+M736+N736)</f>
        <v>0</v>
      </c>
      <c r="K737" s="643">
        <f t="shared" si="23"/>
        <v>0.27650450864703158</v>
      </c>
      <c r="L737" s="642">
        <f>L736/(D736+E736+G736+H736+I736+J736+L736+M736+N736)</f>
        <v>3.7183973651215452E-2</v>
      </c>
      <c r="M737" s="642">
        <f>M736/(D736+E736+G736+H736+I736+J736+L736+M736+N736)</f>
        <v>0</v>
      </c>
      <c r="N737" s="642">
        <f>N736/(D736+E736+G736+H736+I736+J736+L736+M736+N736)</f>
        <v>0.44175116759655564</v>
      </c>
      <c r="O737" s="1515"/>
    </row>
    <row r="738" spans="1:15" ht="12" customHeight="1">
      <c r="A738" s="1539" t="s">
        <v>15030</v>
      </c>
      <c r="B738" s="1536" t="s">
        <v>14937</v>
      </c>
      <c r="C738" s="632" t="s">
        <v>6218</v>
      </c>
      <c r="D738" s="633">
        <v>53170</v>
      </c>
      <c r="E738" s="633">
        <v>17959</v>
      </c>
      <c r="F738" s="634">
        <f t="shared" si="22"/>
        <v>71129</v>
      </c>
      <c r="G738" s="633">
        <v>95537</v>
      </c>
      <c r="H738" s="633">
        <v>10564</v>
      </c>
      <c r="I738" s="633">
        <v>3540</v>
      </c>
      <c r="J738" s="633">
        <v>8798</v>
      </c>
      <c r="K738" s="634">
        <f t="shared" si="23"/>
        <v>118439</v>
      </c>
      <c r="L738" s="633">
        <v>13929</v>
      </c>
      <c r="M738" s="633">
        <v>4940</v>
      </c>
      <c r="N738" s="633">
        <v>163041</v>
      </c>
      <c r="O738" s="1537">
        <f>1-N739</f>
        <v>0.56110186875131229</v>
      </c>
    </row>
    <row r="739" spans="1:15" ht="12" customHeight="1">
      <c r="A739" s="1540"/>
      <c r="B739" s="1502"/>
      <c r="C739" s="635" t="s">
        <v>6219</v>
      </c>
      <c r="D739" s="636">
        <f>D738/(D738+E738+G738+H738+I738+J738+L738+M738+N738)</f>
        <v>0.14313095257323449</v>
      </c>
      <c r="E739" s="636">
        <f>E738/(D738+E738+G738+H738+I738+J738+L738+M738+N738)</f>
        <v>4.834472027953203E-2</v>
      </c>
      <c r="F739" s="637">
        <f t="shared" si="22"/>
        <v>0.19147567285276651</v>
      </c>
      <c r="G739" s="636">
        <f>G738/(D738+E738+G738+H738+I738+J738+L738+M738+N738)</f>
        <v>0.25718077517376536</v>
      </c>
      <c r="H739" s="636">
        <f>H738/(D738+E738+G738+H738+I738+J738+L738+M738+N738)</f>
        <v>2.8437754052729906E-2</v>
      </c>
      <c r="I739" s="636">
        <f>I738/(D738+E738+G738+H738+I738+J738+L738+M738+N738)</f>
        <v>9.5295010740878323E-3</v>
      </c>
      <c r="J739" s="636">
        <f>J738/(D738+E738+G738+H738+I738+J738+L738+M738+N738)</f>
        <v>2.3683771313509818E-2</v>
      </c>
      <c r="K739" s="637">
        <f t="shared" si="23"/>
        <v>0.31883180161409291</v>
      </c>
      <c r="L739" s="636">
        <f>L738/(D738+E738+G738+H738+I738+J738+L738+M738+N738)</f>
        <v>3.7496163972025258E-2</v>
      </c>
      <c r="M739" s="636">
        <f>M738/(D738+E738+G738+H738+I738+J738+L738+M738+N738)</f>
        <v>1.3298230312427654E-2</v>
      </c>
      <c r="N739" s="636">
        <f>N738/(D738+E738+G738+H738+I738+J738+L738+M738+N738)</f>
        <v>0.43889813124868765</v>
      </c>
      <c r="O739" s="1503"/>
    </row>
    <row r="740" spans="1:15" ht="12" customHeight="1">
      <c r="A740" s="1540"/>
      <c r="B740" s="1502" t="s">
        <v>14938</v>
      </c>
      <c r="C740" s="638" t="s">
        <v>6218</v>
      </c>
      <c r="D740" s="639">
        <v>110339</v>
      </c>
      <c r="E740" s="639">
        <v>20292</v>
      </c>
      <c r="F740" s="640">
        <f t="shared" si="22"/>
        <v>130631</v>
      </c>
      <c r="G740" s="639">
        <v>83172</v>
      </c>
      <c r="H740" s="639">
        <v>14839</v>
      </c>
      <c r="I740" s="639"/>
      <c r="J740" s="639">
        <v>9086</v>
      </c>
      <c r="K740" s="640">
        <f t="shared" si="23"/>
        <v>107097</v>
      </c>
      <c r="L740" s="639">
        <v>14531</v>
      </c>
      <c r="M740" s="639"/>
      <c r="N740" s="639">
        <v>111535</v>
      </c>
      <c r="O740" s="1503">
        <f>1-N741</f>
        <v>0.69341165604710353</v>
      </c>
    </row>
    <row r="741" spans="1:15" ht="12" customHeight="1">
      <c r="A741" s="1540"/>
      <c r="B741" s="1502"/>
      <c r="C741" s="635" t="s">
        <v>6219</v>
      </c>
      <c r="D741" s="636">
        <f>D740/(D740+E740+G740+H740+I740+J740+L740+M740+N740)</f>
        <v>0.30330076911658793</v>
      </c>
      <c r="E741" s="636">
        <f>E740/(D740+E740+G740+H740+I740+J740+L740+M740+N740)</f>
        <v>5.5778819881581336E-2</v>
      </c>
      <c r="F741" s="637">
        <f t="shared" si="22"/>
        <v>0.35907958899816927</v>
      </c>
      <c r="G741" s="636">
        <f>G740/(D740+E740+G740+H740+I740+J740+L740+M740+N740)</f>
        <v>0.2286238915430161</v>
      </c>
      <c r="H741" s="636">
        <f>H740/(D740+E740+G740+H740+I740+J740+L740+M740+N740)</f>
        <v>4.0789567722392346E-2</v>
      </c>
      <c r="I741" s="636">
        <f>I740/(D740+E740+G740+H740+I740+J740+L740+M740+N740)</f>
        <v>0</v>
      </c>
      <c r="J741" s="636">
        <f>J740/(D740+E740+G740+H740+I740+J740+L740+M740+N740)</f>
        <v>2.4975673045734673E-2</v>
      </c>
      <c r="K741" s="637">
        <f t="shared" si="23"/>
        <v>0.29438913231114311</v>
      </c>
      <c r="L741" s="636">
        <f>L740/(D740+E740+G740+H740+I740+J740+L740+M740+N740)</f>
        <v>3.9942934737791168E-2</v>
      </c>
      <c r="M741" s="636">
        <f>M740/(D740+E740+G740+H740+I740+J740+L740+M740+N740)</f>
        <v>0</v>
      </c>
      <c r="N741" s="636">
        <f>N740/(D740+E740+G740+H740+I740+J740+L740+M740+N740)</f>
        <v>0.30658834395289641</v>
      </c>
      <c r="O741" s="1503"/>
    </row>
    <row r="742" spans="1:15" ht="12" customHeight="1">
      <c r="A742" s="1540"/>
      <c r="B742" s="1502" t="s">
        <v>14939</v>
      </c>
      <c r="C742" s="638" t="s">
        <v>6218</v>
      </c>
      <c r="D742" s="639">
        <v>50640</v>
      </c>
      <c r="E742" s="639">
        <v>20644</v>
      </c>
      <c r="F742" s="640">
        <f t="shared" si="22"/>
        <v>71284</v>
      </c>
      <c r="G742" s="639">
        <v>91271</v>
      </c>
      <c r="H742" s="639">
        <v>13455</v>
      </c>
      <c r="I742" s="639"/>
      <c r="J742" s="639"/>
      <c r="K742" s="640">
        <f t="shared" si="23"/>
        <v>104726</v>
      </c>
      <c r="L742" s="639">
        <v>13028</v>
      </c>
      <c r="M742" s="639">
        <v>9853</v>
      </c>
      <c r="N742" s="639">
        <v>158093</v>
      </c>
      <c r="O742" s="1503">
        <f>1-N743</f>
        <v>0.55714261703605761</v>
      </c>
    </row>
    <row r="743" spans="1:15" ht="12" customHeight="1">
      <c r="A743" s="1540"/>
      <c r="B743" s="1502"/>
      <c r="C743" s="635" t="s">
        <v>6219</v>
      </c>
      <c r="D743" s="636">
        <f>D742/(D742+E742+G742+H742+I742+J742+L742+M742+N742)</f>
        <v>0.14185509714721109</v>
      </c>
      <c r="E743" s="636">
        <f>E742/(D742+E742+G742+H742+I742+J742+L742+M742+N742)</f>
        <v>5.7828922304641102E-2</v>
      </c>
      <c r="F743" s="637">
        <f t="shared" si="22"/>
        <v>0.19968401945185218</v>
      </c>
      <c r="G743" s="636">
        <f>G742/(D742+E742+G742+H742+I742+J742+L742+M742+N742)</f>
        <v>0.25567252313829192</v>
      </c>
      <c r="H743" s="636">
        <f>H742/(D742+E742+G742+H742+I742+J742+L742+M742+N742)</f>
        <v>3.7690764852206259E-2</v>
      </c>
      <c r="I743" s="636">
        <f>I742/(D742+E742+G742+H742+I742+J742+L742+M742+N742)</f>
        <v>0</v>
      </c>
      <c r="J743" s="636">
        <f>J742/(D742+E742+G742+H742+I742+J742+L742+M742+N742)</f>
        <v>0</v>
      </c>
      <c r="K743" s="637">
        <f t="shared" si="23"/>
        <v>0.29336328799049816</v>
      </c>
      <c r="L743" s="636">
        <f>L742/(D742+E742+G742+H742+I742+J742+L742+M742+N742)</f>
        <v>3.6494632812675079E-2</v>
      </c>
      <c r="M743" s="636">
        <f>M742/(D742+E742+G742+H742+I742+J742+L742+M742+N742)</f>
        <v>2.7600676781032202E-2</v>
      </c>
      <c r="N743" s="636">
        <f>N742/(D742+E742+G742+H742+I742+J742+L742+M742+N742)</f>
        <v>0.44285738296394234</v>
      </c>
      <c r="O743" s="1503"/>
    </row>
    <row r="744" spans="1:15" ht="12" customHeight="1">
      <c r="A744" s="1540"/>
      <c r="B744" s="1502" t="s">
        <v>14940</v>
      </c>
      <c r="C744" s="638" t="s">
        <v>6218</v>
      </c>
      <c r="D744" s="639">
        <v>64761</v>
      </c>
      <c r="E744" s="639">
        <v>19720</v>
      </c>
      <c r="F744" s="640">
        <f t="shared" si="22"/>
        <v>84481</v>
      </c>
      <c r="G744" s="639">
        <v>100802</v>
      </c>
      <c r="H744" s="639">
        <v>10018</v>
      </c>
      <c r="I744" s="639"/>
      <c r="J744" s="639"/>
      <c r="K744" s="640">
        <f t="shared" si="23"/>
        <v>110820</v>
      </c>
      <c r="L744" s="639">
        <v>12776</v>
      </c>
      <c r="M744" s="639"/>
      <c r="N744" s="639">
        <v>147012</v>
      </c>
      <c r="O744" s="1503">
        <f>1-N745</f>
        <v>0.58598548532903016</v>
      </c>
    </row>
    <row r="745" spans="1:15" ht="12" customHeight="1" thickBot="1">
      <c r="A745" s="1541"/>
      <c r="B745" s="1514"/>
      <c r="C745" s="641" t="s">
        <v>6219</v>
      </c>
      <c r="D745" s="642">
        <f>D744/(D744+E744+G744+H744+I744+J744+L744+M744+N744)</f>
        <v>0.18237962876912547</v>
      </c>
      <c r="E745" s="642">
        <f>E744/(D744+E744+G744+H744+I744+J744+L744+M744+N744)</f>
        <v>5.5535372822024899E-2</v>
      </c>
      <c r="F745" s="643">
        <f t="shared" si="22"/>
        <v>0.23791500159115037</v>
      </c>
      <c r="G745" s="642">
        <f>G744/(D744+E744+G744+H744+I744+J744+L744+M744+N744)</f>
        <v>0.2838781263288922</v>
      </c>
      <c r="H745" s="642">
        <f>H744/(D744+E744+G744+H744+I744+J744+L744+M744+N744)</f>
        <v>2.8212645280478978E-2</v>
      </c>
      <c r="I745" s="642">
        <f>I744/(D744+E744+G744+H744+I744+J744+L744+M744+N744)</f>
        <v>0</v>
      </c>
      <c r="J745" s="642">
        <f>J744/(D744+E744+G744+H744+I744+J744+L744+M744+N744)</f>
        <v>0</v>
      </c>
      <c r="K745" s="643">
        <f t="shared" si="23"/>
        <v>0.31209077160937115</v>
      </c>
      <c r="L745" s="642">
        <f>L744/(D744+E744+G744+H744+I744+J744+L744+M744+N744)</f>
        <v>3.5979712128508624E-2</v>
      </c>
      <c r="M745" s="642">
        <f>M744/(D744+E744+G744+H744+I744+J744+L744+M744+N744)</f>
        <v>0</v>
      </c>
      <c r="N745" s="642">
        <f>N744/(D744+E744+G744+H744+I744+J744+L744+M744+N744)</f>
        <v>0.41401451467096984</v>
      </c>
      <c r="O745" s="1515"/>
    </row>
    <row r="746" spans="1:15" ht="12" customHeight="1">
      <c r="A746" s="1539" t="s">
        <v>15031</v>
      </c>
      <c r="B746" s="1536" t="s">
        <v>14937</v>
      </c>
      <c r="C746" s="632" t="s">
        <v>6218</v>
      </c>
      <c r="D746" s="633">
        <v>40236</v>
      </c>
      <c r="E746" s="633">
        <v>15221</v>
      </c>
      <c r="F746" s="634">
        <f t="shared" si="22"/>
        <v>55457</v>
      </c>
      <c r="G746" s="633">
        <v>72385</v>
      </c>
      <c r="H746" s="633">
        <v>8826</v>
      </c>
      <c r="I746" s="633">
        <v>2522</v>
      </c>
      <c r="J746" s="633">
        <v>6642</v>
      </c>
      <c r="K746" s="634">
        <f t="shared" si="23"/>
        <v>90375</v>
      </c>
      <c r="L746" s="633">
        <v>14935</v>
      </c>
      <c r="M746" s="633">
        <v>3839</v>
      </c>
      <c r="N746" s="633">
        <v>126613</v>
      </c>
      <c r="O746" s="1537">
        <f>1-N747</f>
        <v>0.56523097737441574</v>
      </c>
    </row>
    <row r="747" spans="1:15" ht="12" customHeight="1">
      <c r="A747" s="1540"/>
      <c r="B747" s="1502"/>
      <c r="C747" s="635" t="s">
        <v>6219</v>
      </c>
      <c r="D747" s="636">
        <f>D746/(D746+E746+G746+H746+I746+J746+L746+M746+N746)</f>
        <v>0.13816406209759666</v>
      </c>
      <c r="E747" s="636">
        <f>E746/(D746+E746+G746+H746+I746+J746+L746+M746+N746)</f>
        <v>5.2266507336403187E-2</v>
      </c>
      <c r="F747" s="637">
        <f t="shared" si="22"/>
        <v>0.19043056943399983</v>
      </c>
      <c r="G747" s="636">
        <f>G746/(D746+E746+G746+H746+I746+J746+L746+M746+N746)</f>
        <v>0.24855864486863838</v>
      </c>
      <c r="H747" s="636">
        <f>H746/(D746+E746+G746+H746+I746+J746+L746+M746+N746)</f>
        <v>3.0307088479803859E-2</v>
      </c>
      <c r="I747" s="636">
        <f>I746/(D746+E746+G746+H746+I746+J746+L746+M746+N746)</f>
        <v>8.6601492347683356E-3</v>
      </c>
      <c r="J747" s="636">
        <f>J746/(D746+E746+G746+H746+I746+J746+L746+M746+N746)</f>
        <v>2.2807577802272518E-2</v>
      </c>
      <c r="K747" s="637">
        <f t="shared" si="23"/>
        <v>0.31033346038548304</v>
      </c>
      <c r="L747" s="636">
        <f>L746/(D746+E746+G746+H746+I746+J746+L746+M746+N746)</f>
        <v>5.1284428557202652E-2</v>
      </c>
      <c r="M747" s="636">
        <f>M746/(D746+E746+G746+H746+I746+J746+L746+M746+N746)</f>
        <v>1.3182518997730231E-2</v>
      </c>
      <c r="N747" s="636">
        <f>N746/(D746+E746+G746+H746+I746+J746+L746+M746+N746)</f>
        <v>0.4347690226255842</v>
      </c>
      <c r="O747" s="1503"/>
    </row>
    <row r="748" spans="1:15" ht="12" customHeight="1">
      <c r="A748" s="1540"/>
      <c r="B748" s="1502" t="s">
        <v>14938</v>
      </c>
      <c r="C748" s="638" t="s">
        <v>6218</v>
      </c>
      <c r="D748" s="639">
        <v>78655</v>
      </c>
      <c r="E748" s="639">
        <v>16571</v>
      </c>
      <c r="F748" s="640">
        <f t="shared" si="22"/>
        <v>95226</v>
      </c>
      <c r="G748" s="639">
        <v>59097</v>
      </c>
      <c r="H748" s="639">
        <v>11727</v>
      </c>
      <c r="I748" s="639"/>
      <c r="J748" s="639">
        <v>6883</v>
      </c>
      <c r="K748" s="640">
        <f t="shared" si="23"/>
        <v>77707</v>
      </c>
      <c r="L748" s="639">
        <v>14836</v>
      </c>
      <c r="M748" s="639"/>
      <c r="N748" s="639">
        <v>93937</v>
      </c>
      <c r="O748" s="1503">
        <f>1-N749</f>
        <v>0.66654242366154781</v>
      </c>
    </row>
    <row r="749" spans="1:15" ht="12" customHeight="1">
      <c r="A749" s="1540"/>
      <c r="B749" s="1502"/>
      <c r="C749" s="635" t="s">
        <v>6219</v>
      </c>
      <c r="D749" s="636">
        <f>D748/(D748+E748+G748+H748+I748+J748+L748+M748+N748)</f>
        <v>0.27920953050343267</v>
      </c>
      <c r="E749" s="636">
        <f>E748/(D748+E748+G748+H748+I748+J748+L748+M748+N748)</f>
        <v>5.8823738223538015E-2</v>
      </c>
      <c r="F749" s="637">
        <f t="shared" si="22"/>
        <v>0.3380332687269707</v>
      </c>
      <c r="G749" s="636">
        <f>G748/(D748+E748+G748+H748+I748+J748+L748+M748+N748)</f>
        <v>0.20978253924304061</v>
      </c>
      <c r="H749" s="636">
        <f>H748/(D748+E748+G748+H748+I748+J748+L748+M748+N748)</f>
        <v>4.162850631509446E-2</v>
      </c>
      <c r="I749" s="636">
        <f>I748/(D748+E748+G748+H748+I748+J748+L748+M748+N748)</f>
        <v>0</v>
      </c>
      <c r="J749" s="636">
        <f>J748/(D748+E748+G748+H748+I748+J748+L748+M748+N748)</f>
        <v>2.4433274406650905E-2</v>
      </c>
      <c r="K749" s="637">
        <f t="shared" si="23"/>
        <v>0.27584431996478598</v>
      </c>
      <c r="L749" s="636">
        <f>L748/(D748+E748+G748+H748+I748+J748+L748+M748+N748)</f>
        <v>5.2664834969791199E-2</v>
      </c>
      <c r="M749" s="636">
        <f>M748/(D748+E748+G748+H748+I748+J748+L748+M748+N748)</f>
        <v>0</v>
      </c>
      <c r="N749" s="636">
        <f>N748/(D748+E748+G748+H748+I748+J748+L748+M748+N748)</f>
        <v>0.33345757633845213</v>
      </c>
      <c r="O749" s="1503"/>
    </row>
    <row r="750" spans="1:15" ht="12" customHeight="1">
      <c r="A750" s="1540"/>
      <c r="B750" s="1502" t="s">
        <v>14939</v>
      </c>
      <c r="C750" s="638" t="s">
        <v>6218</v>
      </c>
      <c r="D750" s="639">
        <v>38802</v>
      </c>
      <c r="E750" s="639">
        <v>17231</v>
      </c>
      <c r="F750" s="640">
        <f t="shared" si="22"/>
        <v>56033</v>
      </c>
      <c r="G750" s="639">
        <v>66036</v>
      </c>
      <c r="H750" s="639">
        <v>11408</v>
      </c>
      <c r="I750" s="639"/>
      <c r="J750" s="639"/>
      <c r="K750" s="640">
        <f t="shared" si="23"/>
        <v>77444</v>
      </c>
      <c r="L750" s="639">
        <v>13599</v>
      </c>
      <c r="M750" s="639">
        <v>6720</v>
      </c>
      <c r="N750" s="639">
        <v>124669</v>
      </c>
      <c r="O750" s="1503">
        <f>1-N751</f>
        <v>0.55229921175013019</v>
      </c>
    </row>
    <row r="751" spans="1:15" ht="12" customHeight="1">
      <c r="A751" s="1540"/>
      <c r="B751" s="1502"/>
      <c r="C751" s="635" t="s">
        <v>6219</v>
      </c>
      <c r="D751" s="636">
        <f>D750/(D750+E750+G750+H750+I750+J750+L750+M750+N750)</f>
        <v>0.13934246673729195</v>
      </c>
      <c r="E751" s="636">
        <f>E750/(D750+E750+G750+H750+I750+J750+L750+M750+N750)</f>
        <v>6.187851255992674E-2</v>
      </c>
      <c r="F751" s="637">
        <f t="shared" si="22"/>
        <v>0.20122097929721869</v>
      </c>
      <c r="G751" s="636">
        <f>G750/(D750+E750+G750+H750+I750+J750+L750+M750+N750)</f>
        <v>0.23714290844450828</v>
      </c>
      <c r="H751" s="636">
        <f>H750/(D750+E750+G750+H750+I750+J750+L750+M750+N750)</f>
        <v>4.0967446537266805E-2</v>
      </c>
      <c r="I751" s="636">
        <f>I750/(D750+E750+G750+H750+I750+J750+L750+M750+N750)</f>
        <v>0</v>
      </c>
      <c r="J751" s="636">
        <f>J750/(D750+E750+G750+H750+I750+J750+L750+M750+N750)</f>
        <v>0</v>
      </c>
      <c r="K751" s="637">
        <f t="shared" si="23"/>
        <v>0.27811035498177505</v>
      </c>
      <c r="L751" s="636">
        <f>L750/(D750+E750+G750+H750+I750+J750+L750+M750+N750)</f>
        <v>4.8835580773167186E-2</v>
      </c>
      <c r="M751" s="636">
        <f>M750/(D750+E750+G750+H750+I750+J750+L750+M750+N750)</f>
        <v>2.4132296697969225E-2</v>
      </c>
      <c r="N751" s="636">
        <f>N750/(D750+E750+G750+H750+I750+J750+L750+M750+N750)</f>
        <v>0.44770078824986981</v>
      </c>
      <c r="O751" s="1503"/>
    </row>
    <row r="752" spans="1:15" ht="12" customHeight="1">
      <c r="A752" s="1540"/>
      <c r="B752" s="1502" t="s">
        <v>14940</v>
      </c>
      <c r="C752" s="638" t="s">
        <v>6218</v>
      </c>
      <c r="D752" s="639">
        <v>48526</v>
      </c>
      <c r="E752" s="639">
        <v>16498</v>
      </c>
      <c r="F752" s="640">
        <f t="shared" si="22"/>
        <v>65024</v>
      </c>
      <c r="G752" s="639">
        <v>71593</v>
      </c>
      <c r="H752" s="639">
        <v>7948</v>
      </c>
      <c r="I752" s="639"/>
      <c r="J752" s="639"/>
      <c r="K752" s="640">
        <f t="shared" si="23"/>
        <v>79541</v>
      </c>
      <c r="L752" s="639">
        <v>13654</v>
      </c>
      <c r="M752" s="639"/>
      <c r="N752" s="639">
        <v>119499</v>
      </c>
      <c r="O752" s="1503">
        <f>1-N753</f>
        <v>0.56971100180758905</v>
      </c>
    </row>
    <row r="753" spans="1:15" ht="12" customHeight="1" thickBot="1">
      <c r="A753" s="1541"/>
      <c r="B753" s="1514"/>
      <c r="C753" s="641" t="s">
        <v>6219</v>
      </c>
      <c r="D753" s="642">
        <f>D752/(D752+E752+G752+H752+I752+J752+L752+M752+N752)</f>
        <v>0.1747312021547037</v>
      </c>
      <c r="E753" s="642">
        <f>E752/(D752+E752+G752+H752+I752+J752+L752+M752+N752)</f>
        <v>5.9405584081694378E-2</v>
      </c>
      <c r="F753" s="643">
        <f t="shared" si="22"/>
        <v>0.23413678623639808</v>
      </c>
      <c r="G753" s="642">
        <f>G752/(D752+E752+G752+H752+I752+J752+L752+M752+N752)</f>
        <v>0.2577902764674958</v>
      </c>
      <c r="H753" s="642">
        <f>H752/(D752+E752+G752+H752+I752+J752+L752+M752+N752)</f>
        <v>2.8618958799933744E-2</v>
      </c>
      <c r="I753" s="642">
        <f>I752/(D752+E752+G752+H752+I752+J752+L752+M752+N752)</f>
        <v>0</v>
      </c>
      <c r="J753" s="642">
        <f>J752/(D752+E752+G752+H752+I752+J752+L752+M752+N752)</f>
        <v>0</v>
      </c>
      <c r="K753" s="643">
        <f t="shared" si="23"/>
        <v>0.28640923526742956</v>
      </c>
      <c r="L753" s="642">
        <f>L752/(D752+E752+G752+H752+I752+J752+L752+M752+N752)</f>
        <v>4.9164980303761367E-2</v>
      </c>
      <c r="M753" s="642">
        <f>M752/(D752+E752+G752+H752+I752+J752+L752+M752+N752)</f>
        <v>0</v>
      </c>
      <c r="N753" s="642">
        <f>N752/(D752+E752+G752+H752+I752+J752+L752+M752+N752)</f>
        <v>0.43028899819241101</v>
      </c>
      <c r="O753" s="1515"/>
    </row>
    <row r="754" spans="1:15" ht="12" customHeight="1">
      <c r="A754" s="1535" t="s">
        <v>15032</v>
      </c>
      <c r="B754" s="1536" t="s">
        <v>14937</v>
      </c>
      <c r="C754" s="632" t="s">
        <v>6218</v>
      </c>
      <c r="D754" s="633">
        <v>64167</v>
      </c>
      <c r="E754" s="633">
        <v>36608</v>
      </c>
      <c r="F754" s="634">
        <f t="shared" si="22"/>
        <v>100775</v>
      </c>
      <c r="G754" s="633">
        <v>95002</v>
      </c>
      <c r="H754" s="633">
        <v>10737</v>
      </c>
      <c r="I754" s="633">
        <v>3708</v>
      </c>
      <c r="J754" s="633">
        <v>8668</v>
      </c>
      <c r="K754" s="634">
        <f t="shared" si="23"/>
        <v>118115</v>
      </c>
      <c r="L754" s="633">
        <v>29213</v>
      </c>
      <c r="M754" s="633">
        <v>5946</v>
      </c>
      <c r="N754" s="633">
        <v>213056</v>
      </c>
      <c r="O754" s="1537">
        <f>1-N755</f>
        <v>0.54387985570696096</v>
      </c>
    </row>
    <row r="755" spans="1:15" ht="12" customHeight="1">
      <c r="A755" s="1517"/>
      <c r="B755" s="1502"/>
      <c r="C755" s="635" t="s">
        <v>6219</v>
      </c>
      <c r="D755" s="636">
        <f>D754/(D754+E754+G754+H754+I754+J754+L754+M754+N754)</f>
        <v>0.13737168302630029</v>
      </c>
      <c r="E755" s="636">
        <f>E754/(D754+E754+G754+H754+I754+J754+L754+M754+N754)</f>
        <v>7.8372100491324218E-2</v>
      </c>
      <c r="F755" s="637">
        <f t="shared" si="22"/>
        <v>0.21574378351762452</v>
      </c>
      <c r="G755" s="636">
        <f>G754/(D754+E754+G754+H754+I754+J754+L754+M754+N754)</f>
        <v>0.20338467796319884</v>
      </c>
      <c r="H755" s="636">
        <f>H754/(D754+E754+G754+H754+I754+J754+L754+M754+N754)</f>
        <v>2.2986266471136042E-2</v>
      </c>
      <c r="I755" s="636">
        <f>I754/(D754+E754+G754+H754+I754+J754+L754+M754+N754)</f>
        <v>7.9382579933847848E-3</v>
      </c>
      <c r="J755" s="636">
        <f>J754/(D754+E754+G754+H754+I754+J754+L754+M754+N754)</f>
        <v>1.8556855524989029E-2</v>
      </c>
      <c r="K755" s="637">
        <f t="shared" si="23"/>
        <v>0.25286605795270872</v>
      </c>
      <c r="L755" s="636">
        <f>L754/(D754+E754+G754+H754+I754+J754+L754+M754+N754)</f>
        <v>6.2540542276361841E-2</v>
      </c>
      <c r="M755" s="636">
        <f>M754/(D754+E754+G754+H754+I754+J754+L754+M754+N754)</f>
        <v>1.2729471960265894E-2</v>
      </c>
      <c r="N755" s="636">
        <f>N754/(D754+E754+G754+H754+I754+J754+L754+M754+N754)</f>
        <v>0.45612014429303904</v>
      </c>
      <c r="O755" s="1503"/>
    </row>
    <row r="756" spans="1:15" ht="12" customHeight="1">
      <c r="A756" s="1517"/>
      <c r="B756" s="1502" t="s">
        <v>14938</v>
      </c>
      <c r="C756" s="638" t="s">
        <v>6218</v>
      </c>
      <c r="D756" s="639">
        <v>118179</v>
      </c>
      <c r="E756" s="639">
        <v>40821</v>
      </c>
      <c r="F756" s="640">
        <f t="shared" si="22"/>
        <v>159000</v>
      </c>
      <c r="G756" s="639">
        <v>75453</v>
      </c>
      <c r="H756" s="639">
        <v>15113</v>
      </c>
      <c r="I756" s="639"/>
      <c r="J756" s="639">
        <v>9990</v>
      </c>
      <c r="K756" s="640">
        <f t="shared" si="23"/>
        <v>100556</v>
      </c>
      <c r="L756" s="639">
        <v>28264</v>
      </c>
      <c r="M756" s="639"/>
      <c r="N756" s="639">
        <v>165775</v>
      </c>
      <c r="O756" s="1503">
        <f>1-N757</f>
        <v>0.63453080391097783</v>
      </c>
    </row>
    <row r="757" spans="1:15" ht="12" customHeight="1">
      <c r="A757" s="1517"/>
      <c r="B757" s="1502"/>
      <c r="C757" s="635" t="s">
        <v>6219</v>
      </c>
      <c r="D757" s="636">
        <f>D756/(D756+E756+G756+H756+I756+J756+L756+M756+N756)</f>
        <v>0.26053858618371012</v>
      </c>
      <c r="E757" s="636">
        <f>E756/(D756+E756+G756+H756+I756+J756+L756+M756+N756)</f>
        <v>8.9994378244910106E-2</v>
      </c>
      <c r="F757" s="637">
        <f t="shared" si="22"/>
        <v>0.35053296442862025</v>
      </c>
      <c r="G757" s="636">
        <f>G756/(D756+E756+G756+H756+I756+J756+L756+M756+N756)</f>
        <v>0.16634442619517412</v>
      </c>
      <c r="H757" s="636">
        <f>H756/(D756+E756+G756+H756+I756+J756+L756+M756+N756)</f>
        <v>3.3318268499432313E-2</v>
      </c>
      <c r="I757" s="636">
        <f>I756/(D756+E756+G756+H756+I756+J756+L756+M756+N756)</f>
        <v>0</v>
      </c>
      <c r="J757" s="636">
        <f>J756/(D756+E756+G756+H756+I756+J756+L756+M756+N756)</f>
        <v>2.2024052293345385E-2</v>
      </c>
      <c r="K757" s="637">
        <f t="shared" si="23"/>
        <v>0.22168674698795182</v>
      </c>
      <c r="L757" s="636">
        <f>L756/(D756+E756+G756+H756+I756+J756+L756+M756+N756)</f>
        <v>6.23110924944058E-2</v>
      </c>
      <c r="M757" s="636">
        <f>M756/(D756+E756+G756+H756+I756+J756+L756+M756+N756)</f>
        <v>0</v>
      </c>
      <c r="N757" s="636">
        <f>N756/(D756+E756+G756+H756+I756+J756+L756+M756+N756)</f>
        <v>0.36546919608902212</v>
      </c>
      <c r="O757" s="1503"/>
    </row>
    <row r="758" spans="1:15" ht="12" customHeight="1">
      <c r="A758" s="1517"/>
      <c r="B758" s="1502" t="s">
        <v>14939</v>
      </c>
      <c r="C758" s="638" t="s">
        <v>6218</v>
      </c>
      <c r="D758" s="639">
        <v>62741</v>
      </c>
      <c r="E758" s="639">
        <v>40173</v>
      </c>
      <c r="F758" s="640">
        <f t="shared" si="22"/>
        <v>102914</v>
      </c>
      <c r="G758" s="639">
        <v>83251</v>
      </c>
      <c r="H758" s="639">
        <v>13688</v>
      </c>
      <c r="I758" s="639"/>
      <c r="J758" s="639"/>
      <c r="K758" s="640">
        <f t="shared" si="23"/>
        <v>96939</v>
      </c>
      <c r="L758" s="639">
        <v>27205</v>
      </c>
      <c r="M758" s="639">
        <v>9421</v>
      </c>
      <c r="N758" s="639">
        <v>209242</v>
      </c>
      <c r="O758" s="1503">
        <f>1-N759</f>
        <v>0.53055386665649595</v>
      </c>
    </row>
    <row r="759" spans="1:15" ht="12" customHeight="1">
      <c r="A759" s="1517"/>
      <c r="B759" s="1502"/>
      <c r="C759" s="635" t="s">
        <v>6219</v>
      </c>
      <c r="D759" s="636">
        <f>D758/(D758+E758+G758+H758+I758+J758+L758+M758+N758)</f>
        <v>0.14076294363514397</v>
      </c>
      <c r="E759" s="636">
        <f>E758/(D758+E758+G758+H758+I758+J758+L758+M758+N758)</f>
        <v>9.0130373036047207E-2</v>
      </c>
      <c r="F759" s="637">
        <f t="shared" si="22"/>
        <v>0.23089331667119117</v>
      </c>
      <c r="G759" s="636">
        <f>G758/(D758+E758+G758+H758+I758+J758+L758+M758+N758)</f>
        <v>0.18677827609648187</v>
      </c>
      <c r="H759" s="636">
        <f>H758/(D758+E758+G758+H758+I758+J758+L758+M758+N758)</f>
        <v>3.0709793794772962E-2</v>
      </c>
      <c r="I759" s="636">
        <f>I758/(D758+E758+G758+H758+I758+J758+L758+M758+N758)</f>
        <v>0</v>
      </c>
      <c r="J759" s="636">
        <f>J758/(D758+E758+G758+H758+I758+J758+L758+M758+N758)</f>
        <v>0</v>
      </c>
      <c r="K759" s="637">
        <f t="shared" si="23"/>
        <v>0.21748806989125483</v>
      </c>
      <c r="L759" s="636">
        <f>L758/(D758+E758+G758+H758+I758+J758+L758+M758+N758)</f>
        <v>6.1035939522705911E-2</v>
      </c>
      <c r="M759" s="636">
        <f>M758/(D758+E758+G758+H758+I758+J758+L758+M758+N758)</f>
        <v>2.1136540571343957E-2</v>
      </c>
      <c r="N759" s="636">
        <f>N758/(D758+E758+G758+H758+I758+J758+L758+M758+N758)</f>
        <v>0.4694461333435041</v>
      </c>
      <c r="O759" s="1503"/>
    </row>
    <row r="760" spans="1:15" ht="12" customHeight="1">
      <c r="A760" s="1517"/>
      <c r="B760" s="1502" t="s">
        <v>14940</v>
      </c>
      <c r="C760" s="638" t="s">
        <v>6218</v>
      </c>
      <c r="D760" s="639">
        <v>78145</v>
      </c>
      <c r="E760" s="639">
        <v>39855</v>
      </c>
      <c r="F760" s="640">
        <f t="shared" si="22"/>
        <v>118000</v>
      </c>
      <c r="G760" s="639">
        <v>86664</v>
      </c>
      <c r="H760" s="639">
        <v>10063</v>
      </c>
      <c r="I760" s="639"/>
      <c r="J760" s="639"/>
      <c r="K760" s="640">
        <f t="shared" si="23"/>
        <v>96727</v>
      </c>
      <c r="L760" s="639">
        <v>27126</v>
      </c>
      <c r="M760" s="639"/>
      <c r="N760" s="639">
        <v>202234</v>
      </c>
      <c r="O760" s="1503">
        <f>1-N761</f>
        <v>0.54460725038111901</v>
      </c>
    </row>
    <row r="761" spans="1:15" ht="12" customHeight="1" thickBot="1">
      <c r="A761" s="1519"/>
      <c r="B761" s="1514"/>
      <c r="C761" s="641" t="s">
        <v>6219</v>
      </c>
      <c r="D761" s="642">
        <f>D760/(D760+E760+G760+H760+I760+J760+L760+M760+N760)</f>
        <v>0.17596777208069589</v>
      </c>
      <c r="E761" s="642">
        <f>E760/(D760+E760+G760+H760+I760+J760+L760+M760+N760)</f>
        <v>8.9745928162724878E-2</v>
      </c>
      <c r="F761" s="643">
        <f t="shared" si="22"/>
        <v>0.26571370024342078</v>
      </c>
      <c r="G761" s="642">
        <f>G760/(D760+E760+G760+H760+I760+J760+L760+M760+N760)</f>
        <v>0.19515095015165948</v>
      </c>
      <c r="H761" s="642">
        <f>H760/(D760+E760+G760+H760+I760+J760+L760+M760+N760)</f>
        <v>2.2659974284318162E-2</v>
      </c>
      <c r="I761" s="642">
        <f>I760/(D760+E760+G760+H760+I760+J760+L760+M760+N760)</f>
        <v>0</v>
      </c>
      <c r="J761" s="642">
        <f>J760/(D760+E760+G760+H760+I760+J760+L760+M760+N760)</f>
        <v>0</v>
      </c>
      <c r="K761" s="643">
        <f t="shared" si="23"/>
        <v>0.21781092443597763</v>
      </c>
      <c r="L761" s="642">
        <f>L760/(D760+E760+G760+H760+I760+J760+L760+M760+N760)</f>
        <v>6.1082625701720607E-2</v>
      </c>
      <c r="M761" s="642">
        <f>M760/(D760+E760+G760+H760+I760+J760+L760+M760+N760)</f>
        <v>0</v>
      </c>
      <c r="N761" s="642">
        <f>N760/(D760+E760+G760+H760+I760+J760+L760+M760+N760)</f>
        <v>0.45539274961888099</v>
      </c>
      <c r="O761" s="1515"/>
    </row>
    <row r="762" spans="1:15" ht="12" customHeight="1">
      <c r="A762" s="1535" t="s">
        <v>15033</v>
      </c>
      <c r="B762" s="1536" t="s">
        <v>14937</v>
      </c>
      <c r="C762" s="632" t="s">
        <v>6218</v>
      </c>
      <c r="D762" s="633">
        <v>76764</v>
      </c>
      <c r="E762" s="633">
        <v>30984</v>
      </c>
      <c r="F762" s="634">
        <f t="shared" si="22"/>
        <v>107748</v>
      </c>
      <c r="G762" s="633">
        <v>68595</v>
      </c>
      <c r="H762" s="633">
        <v>8522</v>
      </c>
      <c r="I762" s="633">
        <v>2840</v>
      </c>
      <c r="J762" s="633">
        <v>5026</v>
      </c>
      <c r="K762" s="634">
        <f t="shared" si="23"/>
        <v>84983</v>
      </c>
      <c r="L762" s="633">
        <v>16245</v>
      </c>
      <c r="M762" s="633">
        <v>4137</v>
      </c>
      <c r="N762" s="633">
        <v>183962</v>
      </c>
      <c r="O762" s="1537">
        <f>1-N763</f>
        <v>0.53670717118932187</v>
      </c>
    </row>
    <row r="763" spans="1:15" ht="12" customHeight="1">
      <c r="A763" s="1517"/>
      <c r="B763" s="1502"/>
      <c r="C763" s="635" t="s">
        <v>6219</v>
      </c>
      <c r="D763" s="636">
        <f>D762/(D762+E762+G762+H762+I762+J762+L762+M762+N762)</f>
        <v>0.19332367940565384</v>
      </c>
      <c r="E763" s="636">
        <f>E762/(D762+E762+G762+H762+I762+J762+L762+M762+N762)</f>
        <v>7.8030598753384126E-2</v>
      </c>
      <c r="F763" s="637">
        <f t="shared" si="22"/>
        <v>0.27135427815903795</v>
      </c>
      <c r="G763" s="636">
        <f>G762/(D762+E762+G762+H762+I762+J762+L762+M762+N762)</f>
        <v>0.17275073978467545</v>
      </c>
      <c r="H763" s="636">
        <f>H762/(D762+E762+G762+H762+I762+J762+L762+M762+N762)</f>
        <v>2.1461940439463579E-2</v>
      </c>
      <c r="I763" s="636">
        <f>I762/(D762+E762+G762+H762+I762+J762+L762+M762+N762)</f>
        <v>7.1523012025435997E-3</v>
      </c>
      <c r="J763" s="636">
        <f>J762/(D762+E762+G762+H762+I762+J762+L762+M762+N762)</f>
        <v>1.2657558395769061E-2</v>
      </c>
      <c r="K763" s="637">
        <f t="shared" si="23"/>
        <v>0.2140225398224517</v>
      </c>
      <c r="L763" s="636">
        <f>L762/(D762+E762+G762+H762+I762+J762+L762+M762+N762)</f>
        <v>4.0911666561732674E-2</v>
      </c>
      <c r="M763" s="636">
        <f>M762/(D762+E762+G762+H762+I762+J762+L762+M762+N762)</f>
        <v>1.0418686646099603E-2</v>
      </c>
      <c r="N763" s="636">
        <f>N762/(D762+E762+G762+H762+I762+J762+L762+M762+N762)</f>
        <v>0.46329282881067807</v>
      </c>
      <c r="O763" s="1503"/>
    </row>
    <row r="764" spans="1:15" ht="12" customHeight="1">
      <c r="A764" s="1517"/>
      <c r="B764" s="1502" t="s">
        <v>14938</v>
      </c>
      <c r="C764" s="638" t="s">
        <v>6218</v>
      </c>
      <c r="D764" s="639">
        <v>144917</v>
      </c>
      <c r="E764" s="639">
        <v>36733</v>
      </c>
      <c r="F764" s="640">
        <f t="shared" si="22"/>
        <v>181650</v>
      </c>
      <c r="G764" s="639">
        <v>53097</v>
      </c>
      <c r="H764" s="639">
        <v>12225</v>
      </c>
      <c r="I764" s="639"/>
      <c r="J764" s="639">
        <v>6317</v>
      </c>
      <c r="K764" s="640">
        <f t="shared" si="23"/>
        <v>71639</v>
      </c>
      <c r="L764" s="639">
        <v>15166</v>
      </c>
      <c r="M764" s="639"/>
      <c r="N764" s="639">
        <v>129775</v>
      </c>
      <c r="O764" s="1503">
        <f>1-N765</f>
        <v>0.67412048313788508</v>
      </c>
    </row>
    <row r="765" spans="1:15" ht="12" customHeight="1">
      <c r="A765" s="1517"/>
      <c r="B765" s="1502"/>
      <c r="C765" s="635" t="s">
        <v>6219</v>
      </c>
      <c r="D765" s="636">
        <f>D764/(D764+E764+G764+H764+I764+J764+L764+M764+N764)</f>
        <v>0.36390276975617103</v>
      </c>
      <c r="E765" s="636">
        <f>E764/(D764+E764+G764+H764+I764+J764+L764+M764+N764)</f>
        <v>9.2240664942369988E-2</v>
      </c>
      <c r="F765" s="637">
        <f t="shared" si="22"/>
        <v>0.45614343469854102</v>
      </c>
      <c r="G765" s="636">
        <f>G764/(D764+E764+G764+H764+I764+J764+L764+M764+N764)</f>
        <v>0.1333324962961103</v>
      </c>
      <c r="H765" s="636">
        <f>H764/(D764+E764+G764+H764+I764+J764+L764+M764+N764)</f>
        <v>3.0698340155186701E-2</v>
      </c>
      <c r="I765" s="636">
        <f>I764/(D764+E764+G764+H764+I764+J764+L764+M764+N764)</f>
        <v>0</v>
      </c>
      <c r="J765" s="636">
        <f>J764/(D764+E764+G764+H764+I764+J764+L764+M764+N764)</f>
        <v>1.5862692413931647E-2</v>
      </c>
      <c r="K765" s="637">
        <f t="shared" si="23"/>
        <v>0.17989352886522866</v>
      </c>
      <c r="L765" s="636">
        <f>L764/(D764+E764+G764+H764+I764+J764+L764+M764+N764)</f>
        <v>3.808351957411546E-2</v>
      </c>
      <c r="M765" s="636">
        <f>M764/(D764+E764+G764+H764+I764+J764+L764+M764+N764)</f>
        <v>0</v>
      </c>
      <c r="N765" s="636">
        <f>N764/(D764+E764+G764+H764+I764+J764+L764+M764+N764)</f>
        <v>0.32587951686211486</v>
      </c>
      <c r="O765" s="1503"/>
    </row>
    <row r="766" spans="1:15" ht="12" customHeight="1">
      <c r="A766" s="1517"/>
      <c r="B766" s="1502" t="s">
        <v>14939</v>
      </c>
      <c r="C766" s="638" t="s">
        <v>6218</v>
      </c>
      <c r="D766" s="639">
        <v>86046</v>
      </c>
      <c r="E766" s="639">
        <v>35169</v>
      </c>
      <c r="F766" s="640">
        <f t="shared" si="22"/>
        <v>121215</v>
      </c>
      <c r="G766" s="639">
        <v>60457</v>
      </c>
      <c r="H766" s="639">
        <v>10403</v>
      </c>
      <c r="I766" s="639"/>
      <c r="J766" s="639"/>
      <c r="K766" s="640">
        <f t="shared" si="23"/>
        <v>70860</v>
      </c>
      <c r="L766" s="639">
        <v>14717</v>
      </c>
      <c r="M766" s="639">
        <v>6674</v>
      </c>
      <c r="N766" s="639">
        <v>185224</v>
      </c>
      <c r="O766" s="1503">
        <f>1-N767</f>
        <v>0.53541849557300158</v>
      </c>
    </row>
    <row r="767" spans="1:15" ht="12" customHeight="1">
      <c r="A767" s="1517"/>
      <c r="B767" s="1502"/>
      <c r="C767" s="635" t="s">
        <v>6219</v>
      </c>
      <c r="D767" s="636">
        <f>D766/(D766+E766+G766+H766+I766+J766+L766+M766+N766)</f>
        <v>0.21582181644887005</v>
      </c>
      <c r="E767" s="636">
        <f>E766/(D766+E766+G766+H766+I766+J766+L766+M766+N766)</f>
        <v>8.8211392309814646E-2</v>
      </c>
      <c r="F767" s="637">
        <f t="shared" si="22"/>
        <v>0.30403320875868467</v>
      </c>
      <c r="G767" s="636">
        <f>G766/(D766+E766+G766+H766+I766+J766+L766+M766+N766)</f>
        <v>0.15163911811181618</v>
      </c>
      <c r="H767" s="636">
        <f>H766/(D766+E766+G766+H766+I766+J766+L766+M766+N766)</f>
        <v>2.6092954425744313E-2</v>
      </c>
      <c r="I767" s="636">
        <f>I766/(D766+E766+G766+H766+I766+J766+L766+M766+N766)</f>
        <v>0</v>
      </c>
      <c r="J767" s="636">
        <f>J766/(D766+E766+G766+H766+I766+J766+L766+M766+N766)</f>
        <v>0</v>
      </c>
      <c r="K767" s="637">
        <f t="shared" si="23"/>
        <v>0.17773207253756049</v>
      </c>
      <c r="L767" s="636">
        <f>L766/(D766+E766+G766+H766+I766+J766+L766+M766+N766)</f>
        <v>3.6913391356693172E-2</v>
      </c>
      <c r="M767" s="636">
        <f>M766/(D766+E766+G766+H766+I766+J766+L766+M766+N766)</f>
        <v>1.6739822920063208E-2</v>
      </c>
      <c r="N767" s="636">
        <f>N766/(D766+E766+G766+H766+I766+J766+L766+M766+N766)</f>
        <v>0.46458150442699842</v>
      </c>
      <c r="O767" s="1503"/>
    </row>
    <row r="768" spans="1:15" ht="12" customHeight="1">
      <c r="A768" s="1517"/>
      <c r="B768" s="1502" t="s">
        <v>14940</v>
      </c>
      <c r="C768" s="638" t="s">
        <v>6218</v>
      </c>
      <c r="D768" s="639">
        <v>114782</v>
      </c>
      <c r="E768" s="639">
        <v>34262</v>
      </c>
      <c r="F768" s="640">
        <f t="shared" si="22"/>
        <v>149044</v>
      </c>
      <c r="G768" s="639">
        <v>60689</v>
      </c>
      <c r="H768" s="639">
        <v>8848</v>
      </c>
      <c r="I768" s="639"/>
      <c r="J768" s="639"/>
      <c r="K768" s="640">
        <f t="shared" si="23"/>
        <v>69537</v>
      </c>
      <c r="L768" s="639">
        <v>14763</v>
      </c>
      <c r="M768" s="639"/>
      <c r="N768" s="639">
        <v>165799</v>
      </c>
      <c r="O768" s="1503">
        <f>1-N769</f>
        <v>0.5846125323505611</v>
      </c>
    </row>
    <row r="769" spans="1:15" ht="12" customHeight="1" thickBot="1">
      <c r="A769" s="1519"/>
      <c r="B769" s="1514"/>
      <c r="C769" s="641" t="s">
        <v>6219</v>
      </c>
      <c r="D769" s="642">
        <f>D768/(D768+E768+G768+H768+I768+J768+L768+M768+N768)</f>
        <v>0.28757112112701461</v>
      </c>
      <c r="E769" s="642">
        <f>E768/(D768+E768+G768+H768+I768+J768+L768+M768+N768)</f>
        <v>8.5838909864384444E-2</v>
      </c>
      <c r="F769" s="643">
        <f t="shared" si="22"/>
        <v>0.37341003099139902</v>
      </c>
      <c r="G769" s="642">
        <f>G768/(D768+E768+G768+H768+I768+J768+L768+M768+N768)</f>
        <v>0.1520482634043438</v>
      </c>
      <c r="H769" s="642">
        <f>H768/(D768+E768+G768+H768+I768+J768+L768+M768+N768)</f>
        <v>2.2167493855585592E-2</v>
      </c>
      <c r="I769" s="642">
        <f>I768/(D768+E768+G768+H768+I768+J768+L768+M768+N768)</f>
        <v>0</v>
      </c>
      <c r="J769" s="642">
        <f>J768/(D768+E768+G768+H768+I768+J768+L768+M768+N768)</f>
        <v>0</v>
      </c>
      <c r="K769" s="643">
        <f t="shared" si="23"/>
        <v>0.17421575725992938</v>
      </c>
      <c r="L769" s="642">
        <f>L768/(D768+E768+G768+H768+I768+J768+L768+M768+N768)</f>
        <v>3.6986744099232603E-2</v>
      </c>
      <c r="M769" s="642">
        <f>M768/(D768+E768+G768+H768+I768+J768+L768+M768+N768)</f>
        <v>0</v>
      </c>
      <c r="N769" s="642">
        <f>N768/(D768+E768+G768+H768+I768+J768+L768+M768+N768)</f>
        <v>0.4153874676494389</v>
      </c>
      <c r="O769" s="1515"/>
    </row>
    <row r="770" spans="1:15" ht="12" customHeight="1">
      <c r="A770" s="1535" t="s">
        <v>15034</v>
      </c>
      <c r="B770" s="1536" t="s">
        <v>14937</v>
      </c>
      <c r="C770" s="632" t="s">
        <v>6218</v>
      </c>
      <c r="D770" s="633">
        <v>48048</v>
      </c>
      <c r="E770" s="633">
        <v>21759</v>
      </c>
      <c r="F770" s="634">
        <f t="shared" ref="F770:F833" si="24">SUM(D770:E770)</f>
        <v>69807</v>
      </c>
      <c r="G770" s="633">
        <v>82437</v>
      </c>
      <c r="H770" s="633">
        <v>12555</v>
      </c>
      <c r="I770" s="633">
        <v>2611</v>
      </c>
      <c r="J770" s="633">
        <v>6607</v>
      </c>
      <c r="K770" s="634">
        <f t="shared" ref="K770:K833" si="25">SUM(G770:J770)</f>
        <v>104210</v>
      </c>
      <c r="L770" s="633">
        <v>15566</v>
      </c>
      <c r="M770" s="633">
        <v>4051</v>
      </c>
      <c r="N770" s="633">
        <v>168460</v>
      </c>
      <c r="O770" s="1537">
        <f>1-N771</f>
        <v>0.53476169171541099</v>
      </c>
    </row>
    <row r="771" spans="1:15" ht="12" customHeight="1">
      <c r="A771" s="1517"/>
      <c r="B771" s="1502"/>
      <c r="C771" s="635" t="s">
        <v>6219</v>
      </c>
      <c r="D771" s="636">
        <f>D770/(D770+E770+G770+H770+I770+J770+L770+M770+N770)</f>
        <v>0.13269482510066447</v>
      </c>
      <c r="E771" s="636">
        <f>E770/(D770+E770+G770+H770+I770+J770+L770+M770+N770)</f>
        <v>6.0092130772672288E-2</v>
      </c>
      <c r="F771" s="637">
        <f t="shared" si="24"/>
        <v>0.19278695587333675</v>
      </c>
      <c r="G771" s="636">
        <f>G770/(D770+E770+G770+H770+I770+J770+L770+M770+N770)</f>
        <v>0.2276674012825399</v>
      </c>
      <c r="H771" s="636">
        <f>H770/(D770+E770+G770+H770+I770+J770+L770+M770+N770)</f>
        <v>3.4673316873519031E-2</v>
      </c>
      <c r="I771" s="636">
        <f>I770/(D770+E770+G770+H770+I770+J770+L770+M770+N770)</f>
        <v>7.210834755615945E-3</v>
      </c>
      <c r="J771" s="636">
        <f>J770/(D770+E770+G770+H770+I770+J770+L770+M770+N770)</f>
        <v>1.8246643136865012E-2</v>
      </c>
      <c r="K771" s="637">
        <f t="shared" si="25"/>
        <v>0.2877981960485399</v>
      </c>
      <c r="L771" s="636">
        <f>L770/(D770+E770+G770+H770+I770+J770+L770+M770+N770)</f>
        <v>4.2988837152783531E-2</v>
      </c>
      <c r="M771" s="636">
        <f>M770/(D770+E770+G770+H770+I770+J770+L770+M770+N770)</f>
        <v>1.1187702640750745E-2</v>
      </c>
      <c r="N771" s="636">
        <f>N770/(D770+E770+G770+H770+I770+J770+L770+M770+N770)</f>
        <v>0.46523830828458906</v>
      </c>
      <c r="O771" s="1503"/>
    </row>
    <row r="772" spans="1:15" ht="12" customHeight="1">
      <c r="A772" s="1517"/>
      <c r="B772" s="1502" t="s">
        <v>14938</v>
      </c>
      <c r="C772" s="638" t="s">
        <v>6218</v>
      </c>
      <c r="D772" s="639">
        <v>97757</v>
      </c>
      <c r="E772" s="639">
        <v>24598</v>
      </c>
      <c r="F772" s="640">
        <f t="shared" si="24"/>
        <v>122355</v>
      </c>
      <c r="G772" s="639">
        <v>66808</v>
      </c>
      <c r="H772" s="639">
        <v>21503</v>
      </c>
      <c r="I772" s="639"/>
      <c r="J772" s="639">
        <v>7984</v>
      </c>
      <c r="K772" s="640">
        <f t="shared" si="25"/>
        <v>96295</v>
      </c>
      <c r="L772" s="639">
        <v>15009</v>
      </c>
      <c r="M772" s="639"/>
      <c r="N772" s="639">
        <v>122988</v>
      </c>
      <c r="O772" s="1503">
        <f>1-N773</f>
        <v>0.65515481694785038</v>
      </c>
    </row>
    <row r="773" spans="1:15" ht="12" customHeight="1">
      <c r="A773" s="1517"/>
      <c r="B773" s="1502"/>
      <c r="C773" s="635" t="s">
        <v>6219</v>
      </c>
      <c r="D773" s="636">
        <f>D772/(D772+E772+G772+H772+I772+J772+L772+M772+N772)</f>
        <v>0.27410016066306458</v>
      </c>
      <c r="E773" s="636">
        <f>E772/(D772+E772+G772+H772+I772+J772+L772+M772+N772)</f>
        <v>6.8970158167599896E-2</v>
      </c>
      <c r="F773" s="637">
        <f t="shared" si="24"/>
        <v>0.34307031883066447</v>
      </c>
      <c r="G773" s="636">
        <f>G772/(D772+E772+G772+H772+I772+J772+L772+M772+N772)</f>
        <v>0.18732247852918993</v>
      </c>
      <c r="H773" s="636">
        <f>H772/(D772+E772+G772+H772+I772+J772+L772+M772+N772)</f>
        <v>6.0292109564919934E-2</v>
      </c>
      <c r="I773" s="636">
        <f>I772/(D772+E772+G772+H772+I772+J772+L772+M772+N772)</f>
        <v>0</v>
      </c>
      <c r="J773" s="636">
        <f>J772/(D772+E772+G772+H772+I772+J772+L772+M772+N772)</f>
        <v>2.2386281112696867E-2</v>
      </c>
      <c r="K773" s="637">
        <f t="shared" si="25"/>
        <v>0.27000086920680672</v>
      </c>
      <c r="L773" s="636">
        <f>L772/(D772+E772+G772+H772+I772+J772+L772+M772+N772)</f>
        <v>4.2083628910379173E-2</v>
      </c>
      <c r="M773" s="636">
        <f>M772/(D772+E772+G772+H772+I772+J772+L772+M772+N772)</f>
        <v>0</v>
      </c>
      <c r="N773" s="636">
        <f>N772/(D772+E772+G772+H772+I772+J772+L772+M772+N772)</f>
        <v>0.34484518305214962</v>
      </c>
      <c r="O773" s="1503"/>
    </row>
    <row r="774" spans="1:15" ht="12" customHeight="1">
      <c r="A774" s="1517"/>
      <c r="B774" s="1502" t="s">
        <v>14939</v>
      </c>
      <c r="C774" s="638" t="s">
        <v>6218</v>
      </c>
      <c r="D774" s="639">
        <v>46429</v>
      </c>
      <c r="E774" s="639">
        <v>23545</v>
      </c>
      <c r="F774" s="640">
        <f t="shared" si="24"/>
        <v>69974</v>
      </c>
      <c r="G774" s="639">
        <v>75379</v>
      </c>
      <c r="H774" s="639">
        <v>13504</v>
      </c>
      <c r="I774" s="639"/>
      <c r="J774" s="639"/>
      <c r="K774" s="640">
        <f t="shared" si="25"/>
        <v>88883</v>
      </c>
      <c r="L774" s="639">
        <v>13726</v>
      </c>
      <c r="M774" s="639">
        <v>6961</v>
      </c>
      <c r="N774" s="639">
        <v>173893</v>
      </c>
      <c r="O774" s="1503">
        <f>1-N775</f>
        <v>0.507994352600322</v>
      </c>
    </row>
    <row r="775" spans="1:15" ht="12" customHeight="1">
      <c r="A775" s="1517"/>
      <c r="B775" s="1502"/>
      <c r="C775" s="635" t="s">
        <v>6219</v>
      </c>
      <c r="D775" s="636">
        <f>D774/(D774+E774+G774+H774+I774+J774+L774+M774+N774)</f>
        <v>0.13136428840217634</v>
      </c>
      <c r="E775" s="636">
        <f>E774/(D774+E774+G774+H774+I774+J774+L774+M774+N774)</f>
        <v>6.6617247203886412E-2</v>
      </c>
      <c r="F775" s="637">
        <f t="shared" si="24"/>
        <v>0.19798153560606274</v>
      </c>
      <c r="G775" s="636">
        <f>G774/(D774+E774+G774+H774+I774+J774+L774+M774+N774)</f>
        <v>0.21327421860190077</v>
      </c>
      <c r="H775" s="636">
        <f>H774/(D774+E774+G774+H774+I774+J774+L774+M774+N774)</f>
        <v>3.8207657941867999E-2</v>
      </c>
      <c r="I775" s="636">
        <f>I774/(D774+E774+G774+H774+I774+J774+L774+M774+N774)</f>
        <v>0</v>
      </c>
      <c r="J775" s="636">
        <f>J774/(D774+E774+G774+H774+I774+J774+L774+M774+N774)</f>
        <v>0</v>
      </c>
      <c r="K775" s="637">
        <f t="shared" si="25"/>
        <v>0.25148187654376875</v>
      </c>
      <c r="L775" s="636">
        <f>L774/(D774+E774+G774+H774+I774+J774+L774+M774+N774)</f>
        <v>3.8835775541327028E-2</v>
      </c>
      <c r="M775" s="636">
        <f>M774/(D774+E774+G774+H774+I774+J774+L774+M774+N774)</f>
        <v>1.9695164909163444E-2</v>
      </c>
      <c r="N775" s="636">
        <f>N774/(D774+E774+G774+H774+I774+J774+L774+M774+N774)</f>
        <v>0.492005647399678</v>
      </c>
      <c r="O775" s="1503"/>
    </row>
    <row r="776" spans="1:15" ht="12" customHeight="1">
      <c r="A776" s="1517"/>
      <c r="B776" s="1502" t="s">
        <v>14940</v>
      </c>
      <c r="C776" s="638" t="s">
        <v>6218</v>
      </c>
      <c r="D776" s="639">
        <v>64124</v>
      </c>
      <c r="E776" s="639">
        <v>23496</v>
      </c>
      <c r="F776" s="640">
        <f t="shared" si="24"/>
        <v>87620</v>
      </c>
      <c r="G776" s="639">
        <v>79889</v>
      </c>
      <c r="H776" s="639">
        <v>14342</v>
      </c>
      <c r="I776" s="639"/>
      <c r="J776" s="639"/>
      <c r="K776" s="640">
        <f t="shared" si="25"/>
        <v>94231</v>
      </c>
      <c r="L776" s="639">
        <v>13266</v>
      </c>
      <c r="M776" s="639"/>
      <c r="N776" s="639">
        <v>156851</v>
      </c>
      <c r="O776" s="1503">
        <f>1-N777</f>
        <v>0.55436005545958722</v>
      </c>
    </row>
    <row r="777" spans="1:15" ht="12" customHeight="1" thickBot="1">
      <c r="A777" s="1519"/>
      <c r="B777" s="1514"/>
      <c r="C777" s="641" t="s">
        <v>6219</v>
      </c>
      <c r="D777" s="642">
        <f>D776/(D776+E776+G776+H776+I776+J776+L776+M776+N776)</f>
        <v>0.1821870170015456</v>
      </c>
      <c r="E777" s="642">
        <f>E776/(D776+E776+G776+H776+I776+J776+L776+M776+N776)</f>
        <v>6.6756068733521232E-2</v>
      </c>
      <c r="F777" s="643">
        <f t="shared" si="24"/>
        <v>0.24894308573506685</v>
      </c>
      <c r="G777" s="642">
        <f>G776/(D776+E776+G776+H776+I776+J776+L776+M776+N776)</f>
        <v>0.22697802072915721</v>
      </c>
      <c r="H777" s="642">
        <f>H776/(D776+E776+G776+H776+I776+J776+L776+M776+N776)</f>
        <v>4.0748022547504321E-2</v>
      </c>
      <c r="I777" s="642">
        <f>I776/(D776+E776+G776+H776+I776+J776+L776+M776+N776)</f>
        <v>0</v>
      </c>
      <c r="J777" s="642">
        <f>J776/(D776+E776+G776+H776+I776+J776+L776+M776+N776)</f>
        <v>0</v>
      </c>
      <c r="K777" s="643">
        <f t="shared" si="25"/>
        <v>0.26772604327666155</v>
      </c>
      <c r="L777" s="642">
        <f>L776/(D776+E776+G776+H776+I776+J776+L776+M776+N776)</f>
        <v>3.7690926447858895E-2</v>
      </c>
      <c r="M777" s="642">
        <f>M776/(D776+E776+G776+H776+I776+J776+L776+M776+N776)</f>
        <v>0</v>
      </c>
      <c r="N777" s="642">
        <f>N776/(D776+E776+G776+H776+I776+J776+L776+M776+N776)</f>
        <v>0.44563994454041278</v>
      </c>
      <c r="O777" s="1515"/>
    </row>
    <row r="778" spans="1:15" ht="12" customHeight="1">
      <c r="A778" s="1535" t="s">
        <v>15035</v>
      </c>
      <c r="B778" s="1536" t="s">
        <v>14937</v>
      </c>
      <c r="C778" s="632" t="s">
        <v>6218</v>
      </c>
      <c r="D778" s="633">
        <v>63661</v>
      </c>
      <c r="E778" s="633">
        <v>32067</v>
      </c>
      <c r="F778" s="634">
        <f t="shared" si="24"/>
        <v>95728</v>
      </c>
      <c r="G778" s="633">
        <v>99481</v>
      </c>
      <c r="H778" s="633">
        <v>11956</v>
      </c>
      <c r="I778" s="633">
        <v>3478</v>
      </c>
      <c r="J778" s="633">
        <v>8041</v>
      </c>
      <c r="K778" s="634">
        <f t="shared" si="25"/>
        <v>122956</v>
      </c>
      <c r="L778" s="633">
        <v>18234</v>
      </c>
      <c r="M778" s="633">
        <v>5752</v>
      </c>
      <c r="N778" s="633">
        <v>205939</v>
      </c>
      <c r="O778" s="1537">
        <f>1-N779</f>
        <v>0.54093876850442146</v>
      </c>
    </row>
    <row r="779" spans="1:15" ht="12" customHeight="1">
      <c r="A779" s="1517"/>
      <c r="B779" s="1502"/>
      <c r="C779" s="635" t="s">
        <v>6219</v>
      </c>
      <c r="D779" s="636">
        <f>D778/(D778+E778+G778+H778+I778+J778+L778+M778+N778)</f>
        <v>0.14190754086520779</v>
      </c>
      <c r="E779" s="636">
        <f>E778/(D778+E778+G778+H778+I778+J778+L778+M778+N778)</f>
        <v>7.148095557601386E-2</v>
      </c>
      <c r="F779" s="637">
        <f t="shared" si="24"/>
        <v>0.21338849644122165</v>
      </c>
      <c r="G779" s="636">
        <f>G778/(D778+E778+G778+H778+I778+J778+L778+M778+N778)</f>
        <v>0.22175435624341019</v>
      </c>
      <c r="H779" s="636">
        <f>H778/(D778+E778+G778+H778+I778+J778+L778+M778+N778)</f>
        <v>2.6651270928581459E-2</v>
      </c>
      <c r="I779" s="636">
        <f>I778/(D778+E778+G778+H778+I778+J778+L778+M778+N778)</f>
        <v>7.7528538214792836E-3</v>
      </c>
      <c r="J779" s="636">
        <f>J778/(D778+E778+G778+H778+I778+J778+L778+M778+N778)</f>
        <v>1.7924294875938735E-2</v>
      </c>
      <c r="K779" s="637">
        <f t="shared" si="25"/>
        <v>0.27408277586940966</v>
      </c>
      <c r="L779" s="636">
        <f>L778/(D778+E778+G778+H778+I778+J778+L778+M778+N778)</f>
        <v>4.064564019000956E-2</v>
      </c>
      <c r="M779" s="636">
        <f>M778/(D778+E778+G778+H778+I778+J778+L778+M778+N778)</f>
        <v>1.2821856003780574E-2</v>
      </c>
      <c r="N779" s="636">
        <f>N778/(D778+E778+G778+H778+I778+J778+L778+M778+N778)</f>
        <v>0.45906123149557854</v>
      </c>
      <c r="O779" s="1503"/>
    </row>
    <row r="780" spans="1:15" ht="12" customHeight="1">
      <c r="A780" s="1517"/>
      <c r="B780" s="1502" t="s">
        <v>14938</v>
      </c>
      <c r="C780" s="638" t="s">
        <v>6218</v>
      </c>
      <c r="D780" s="639">
        <v>120942</v>
      </c>
      <c r="E780" s="639">
        <v>38497</v>
      </c>
      <c r="F780" s="640">
        <f t="shared" si="24"/>
        <v>159439</v>
      </c>
      <c r="G780" s="639">
        <v>82312</v>
      </c>
      <c r="H780" s="639">
        <v>16514</v>
      </c>
      <c r="I780" s="639"/>
      <c r="J780" s="639">
        <v>10684</v>
      </c>
      <c r="K780" s="640">
        <f t="shared" si="25"/>
        <v>109510</v>
      </c>
      <c r="L780" s="639">
        <v>19140</v>
      </c>
      <c r="M780" s="639"/>
      <c r="N780" s="639">
        <v>156291</v>
      </c>
      <c r="O780" s="1503">
        <f>1-N781</f>
        <v>0.64829425266663665</v>
      </c>
    </row>
    <row r="781" spans="1:15" ht="12" customHeight="1">
      <c r="A781" s="1517"/>
      <c r="B781" s="1502"/>
      <c r="C781" s="635" t="s">
        <v>6219</v>
      </c>
      <c r="D781" s="636">
        <f>D780/(D780+E780+G780+H780+I780+J780+L780+M780+N780)</f>
        <v>0.27215896304964221</v>
      </c>
      <c r="E781" s="636">
        <f>E780/(D780+E780+G780+H780+I780+J780+L780+M780+N780)</f>
        <v>8.6630811467662813E-2</v>
      </c>
      <c r="F781" s="637">
        <f t="shared" si="24"/>
        <v>0.35878977451730504</v>
      </c>
      <c r="G781" s="636">
        <f>G780/(D780+E780+G780+H780+I780+J780+L780+M780+N780)</f>
        <v>0.18522885818443674</v>
      </c>
      <c r="H781" s="636">
        <f>H780/(D780+E780+G780+H780+I780+J780+L780+M780+N780)</f>
        <v>3.7161888473828703E-2</v>
      </c>
      <c r="I781" s="636">
        <f>I780/(D780+E780+G780+H780+I780+J780+L780+M780+N780)</f>
        <v>0</v>
      </c>
      <c r="J781" s="636">
        <f>J780/(D780+E780+G780+H780+I780+J780+L780+M780+N780)</f>
        <v>2.4042486160493273E-2</v>
      </c>
      <c r="K781" s="637">
        <f t="shared" si="25"/>
        <v>0.24643323281875873</v>
      </c>
      <c r="L781" s="636">
        <f>L780/(D780+E780+G780+H780+I780+J780+L780+M780+N780)</f>
        <v>4.3071245330572931E-2</v>
      </c>
      <c r="M781" s="636">
        <f>M780/(D780+E780+G780+H780+I780+J780+L780+M780+N780)</f>
        <v>0</v>
      </c>
      <c r="N781" s="636">
        <f>N780/(D780+E780+G780+H780+I780+J780+L780+M780+N780)</f>
        <v>0.35170574733336335</v>
      </c>
      <c r="O781" s="1503"/>
    </row>
    <row r="782" spans="1:15" ht="12" customHeight="1">
      <c r="A782" s="1517"/>
      <c r="B782" s="1502" t="s">
        <v>14939</v>
      </c>
      <c r="C782" s="638" t="s">
        <v>6218</v>
      </c>
      <c r="D782" s="639">
        <v>63056</v>
      </c>
      <c r="E782" s="639">
        <v>36744</v>
      </c>
      <c r="F782" s="640">
        <f t="shared" si="24"/>
        <v>99800</v>
      </c>
      <c r="G782" s="639">
        <v>91052</v>
      </c>
      <c r="H782" s="639">
        <v>15280</v>
      </c>
      <c r="I782" s="639"/>
      <c r="J782" s="639"/>
      <c r="K782" s="640">
        <f t="shared" si="25"/>
        <v>106332</v>
      </c>
      <c r="L782" s="639">
        <v>17150</v>
      </c>
      <c r="M782" s="639">
        <v>9798</v>
      </c>
      <c r="N782" s="639">
        <v>207433</v>
      </c>
      <c r="O782" s="1503">
        <f>1-N783</f>
        <v>0.52911037812731976</v>
      </c>
    </row>
    <row r="783" spans="1:15" ht="12" customHeight="1">
      <c r="A783" s="1517"/>
      <c r="B783" s="1502"/>
      <c r="C783" s="635" t="s">
        <v>6219</v>
      </c>
      <c r="D783" s="636">
        <f>D782/(D782+E782+G782+H782+I782+J782+L782+M782+N782)</f>
        <v>0.14314220011668213</v>
      </c>
      <c r="E783" s="636">
        <f>E782/(D782+E782+G782+H782+I782+J782+L782+M782+N782)</f>
        <v>8.3411840286211764E-2</v>
      </c>
      <c r="F783" s="637">
        <f t="shared" si="24"/>
        <v>0.2265540404028939</v>
      </c>
      <c r="G783" s="636">
        <f>G782/(D782+E782+G782+H782+I782+J782+L782+M782+N782)</f>
        <v>0.20669537561888071</v>
      </c>
      <c r="H783" s="636">
        <f>H782/(D782+E782+G782+H782+I782+J782+L782+M782+N782)</f>
        <v>3.4686831035633456E-2</v>
      </c>
      <c r="I783" s="636">
        <f>I782/(D782+E782+G782+H782+I782+J782+L782+M782+N782)</f>
        <v>0</v>
      </c>
      <c r="J783" s="636">
        <f>J782/(D782+E782+G782+H782+I782+J782+L782+M782+N782)</f>
        <v>0</v>
      </c>
      <c r="K783" s="637">
        <f t="shared" si="25"/>
        <v>0.24138220665451415</v>
      </c>
      <c r="L783" s="636">
        <f>L782/(D782+E782+G782+H782+I782+J782+L782+M782+N782)</f>
        <v>3.8931881692481268E-2</v>
      </c>
      <c r="M783" s="636">
        <f>M782/(D782+E782+G782+H782+I782+J782+L782+M782+N782)</f>
        <v>2.2242249377430405E-2</v>
      </c>
      <c r="N783" s="636">
        <f>N782/(D782+E782+G782+H782+I782+J782+L782+M782+N782)</f>
        <v>0.47088962187268024</v>
      </c>
      <c r="O783" s="1503"/>
    </row>
    <row r="784" spans="1:15" ht="12" customHeight="1">
      <c r="A784" s="1517"/>
      <c r="B784" s="1502" t="s">
        <v>14940</v>
      </c>
      <c r="C784" s="638" t="s">
        <v>6218</v>
      </c>
      <c r="D784" s="639">
        <v>86254</v>
      </c>
      <c r="E784" s="639">
        <v>35638</v>
      </c>
      <c r="F784" s="640">
        <f t="shared" si="24"/>
        <v>121892</v>
      </c>
      <c r="G784" s="639">
        <v>96289</v>
      </c>
      <c r="H784" s="639">
        <v>11353</v>
      </c>
      <c r="I784" s="639"/>
      <c r="J784" s="639"/>
      <c r="K784" s="640">
        <f t="shared" si="25"/>
        <v>107642</v>
      </c>
      <c r="L784" s="639">
        <v>17354</v>
      </c>
      <c r="M784" s="639"/>
      <c r="N784" s="639">
        <v>191196</v>
      </c>
      <c r="O784" s="1503">
        <f>1-N785</f>
        <v>0.56356315227216691</v>
      </c>
    </row>
    <row r="785" spans="1:15" ht="12" customHeight="1" thickBot="1">
      <c r="A785" s="1519"/>
      <c r="B785" s="1514"/>
      <c r="C785" s="641" t="s">
        <v>6219</v>
      </c>
      <c r="D785" s="642">
        <f>D784/(D784+E784+G784+H784+I784+J784+L784+M784+N784)</f>
        <v>0.19688918107029701</v>
      </c>
      <c r="E785" s="642">
        <f>E784/(D784+E784+G784+H784+I784+J784+L784+M784+N784)</f>
        <v>8.1349695492188706E-2</v>
      </c>
      <c r="F785" s="643">
        <f t="shared" si="24"/>
        <v>0.27823887656248569</v>
      </c>
      <c r="G785" s="642">
        <f>G784/(D784+E784+G784+H784+I784+J784+L784+M784+N784)</f>
        <v>0.21979574693437789</v>
      </c>
      <c r="H785" s="642">
        <f>H784/(D784+E784+G784+H784+I784+J784+L784+M784+N784)</f>
        <v>2.5915121300937718E-2</v>
      </c>
      <c r="I785" s="642">
        <f>I784/(D784+E784+G784+H784+I784+J784+L784+M784+N784)</f>
        <v>0</v>
      </c>
      <c r="J785" s="642">
        <f>J784/(D784+E784+G784+H784+I784+J784+L784+M784+N784)</f>
        <v>0</v>
      </c>
      <c r="K785" s="643">
        <f t="shared" si="25"/>
        <v>0.24571086823531563</v>
      </c>
      <c r="L785" s="642">
        <f>L784/(D784+E784+G784+H784+I784+J784+L784+M784+N784)</f>
        <v>3.9613407474365647E-2</v>
      </c>
      <c r="M785" s="642">
        <f>M784/(D784+E784+G784+H784+I784+J784+L784+M784+N784)</f>
        <v>0</v>
      </c>
      <c r="N785" s="642">
        <f>N784/(D784+E784+G784+H784+I784+J784+L784+M784+N784)</f>
        <v>0.43643684772783303</v>
      </c>
      <c r="O785" s="1515"/>
    </row>
    <row r="786" spans="1:15" ht="12" customHeight="1">
      <c r="A786" s="1535" t="s">
        <v>15036</v>
      </c>
      <c r="B786" s="1536" t="s">
        <v>14937</v>
      </c>
      <c r="C786" s="632" t="s">
        <v>6218</v>
      </c>
      <c r="D786" s="633">
        <v>54916</v>
      </c>
      <c r="E786" s="633">
        <v>29944</v>
      </c>
      <c r="F786" s="634">
        <f t="shared" si="24"/>
        <v>84860</v>
      </c>
      <c r="G786" s="633">
        <v>94731</v>
      </c>
      <c r="H786" s="633">
        <v>10612</v>
      </c>
      <c r="I786" s="633">
        <v>3251</v>
      </c>
      <c r="J786" s="633">
        <v>6965</v>
      </c>
      <c r="K786" s="634">
        <f t="shared" si="25"/>
        <v>115559</v>
      </c>
      <c r="L786" s="633">
        <v>17779</v>
      </c>
      <c r="M786" s="633">
        <v>4758</v>
      </c>
      <c r="N786" s="633">
        <v>199630</v>
      </c>
      <c r="O786" s="1537">
        <f>1-N787</f>
        <v>0.52759911591959985</v>
      </c>
    </row>
    <row r="787" spans="1:15" ht="12" customHeight="1">
      <c r="A787" s="1517"/>
      <c r="B787" s="1502"/>
      <c r="C787" s="635" t="s">
        <v>6219</v>
      </c>
      <c r="D787" s="636">
        <f>D786/(D786+E786+G786+H786+I786+J786+L786+M786+N786)</f>
        <v>0.1299522464066486</v>
      </c>
      <c r="E787" s="636">
        <f>E786/(D786+E786+G786+H786+I786+J786+L786+M786+N786)</f>
        <v>7.0858949420946268E-2</v>
      </c>
      <c r="F787" s="637">
        <f t="shared" si="24"/>
        <v>0.20081119582759488</v>
      </c>
      <c r="G787" s="636">
        <f>G786/(D786+E786+G786+H786+I786+J786+L786+M786+N786)</f>
        <v>0.22416975479547357</v>
      </c>
      <c r="H787" s="636">
        <f>H786/(D786+E786+G786+H786+I786+J786+L786+M786+N786)</f>
        <v>2.5112048198473211E-2</v>
      </c>
      <c r="I787" s="636">
        <f>I786/(D786+E786+G786+H786+I786+J786+L786+M786+N786)</f>
        <v>7.6931086216770073E-3</v>
      </c>
      <c r="J787" s="636">
        <f>J786/(D786+E786+G786+H786+I786+J786+L786+M786+N786)</f>
        <v>1.6481852214697126E-2</v>
      </c>
      <c r="K787" s="637">
        <f t="shared" si="25"/>
        <v>0.27345676383032091</v>
      </c>
      <c r="L787" s="636">
        <f>L786/(D786+E786+G786+H786+I786+J786+L786+M786+N786)</f>
        <v>4.2071909623129969E-2</v>
      </c>
      <c r="M787" s="636">
        <f>M786/(D786+E786+G786+H786+I786+J786+L786+M786+N786)</f>
        <v>1.1259246638554045E-2</v>
      </c>
      <c r="N787" s="636">
        <f>N786/(D786+E786+G786+H786+I786+J786+L786+M786+N786)</f>
        <v>0.47240088408040021</v>
      </c>
      <c r="O787" s="1503"/>
    </row>
    <row r="788" spans="1:15" ht="12" customHeight="1">
      <c r="A788" s="1517"/>
      <c r="B788" s="1502" t="s">
        <v>14938</v>
      </c>
      <c r="C788" s="638" t="s">
        <v>6218</v>
      </c>
      <c r="D788" s="639">
        <v>108821</v>
      </c>
      <c r="E788" s="639">
        <v>33279</v>
      </c>
      <c r="F788" s="640">
        <f t="shared" si="24"/>
        <v>142100</v>
      </c>
      <c r="G788" s="639">
        <v>83223</v>
      </c>
      <c r="H788" s="639">
        <v>15120</v>
      </c>
      <c r="I788" s="639"/>
      <c r="J788" s="639">
        <v>9661</v>
      </c>
      <c r="K788" s="640">
        <f t="shared" si="25"/>
        <v>108004</v>
      </c>
      <c r="L788" s="639">
        <v>18245</v>
      </c>
      <c r="M788" s="639"/>
      <c r="N788" s="639">
        <v>150667</v>
      </c>
      <c r="O788" s="1503">
        <f>1-N789</f>
        <v>0.64042661855394545</v>
      </c>
    </row>
    <row r="789" spans="1:15" ht="12" customHeight="1">
      <c r="A789" s="1517"/>
      <c r="B789" s="1502"/>
      <c r="C789" s="635" t="s">
        <v>6219</v>
      </c>
      <c r="D789" s="636">
        <f>D788/(D788+E788+G788+H788+I788+J788+L788+M788+N788)</f>
        <v>0.25970607327643813</v>
      </c>
      <c r="E789" s="636">
        <f>E788/(D788+E788+G788+H788+I788+J788+L788+M788+N788)</f>
        <v>7.9421788189472473E-2</v>
      </c>
      <c r="F789" s="637">
        <f t="shared" si="24"/>
        <v>0.33912786146591062</v>
      </c>
      <c r="G789" s="636">
        <f>G788/(D788+E788+G788+H788+I788+J788+L788+M788+N788)</f>
        <v>0.19861532733833553</v>
      </c>
      <c r="H789" s="636">
        <f>H788/(D788+E788+G788+H788+I788+J788+L788+M788+N788)</f>
        <v>3.6084540924451569E-2</v>
      </c>
      <c r="I789" s="636">
        <f>I788/(D788+E788+G788+H788+I788+J788+L788+M788+N788)</f>
        <v>0</v>
      </c>
      <c r="J789" s="636">
        <f>J788/(D788+E788+G788+H788+I788+J788+L788+M788+N788)</f>
        <v>2.3056398801000438E-2</v>
      </c>
      <c r="K789" s="637">
        <f t="shared" si="25"/>
        <v>0.25775626706378751</v>
      </c>
      <c r="L789" s="636">
        <f>L788/(D788+E788+G788+H788+I788+J788+L788+M788+N788)</f>
        <v>4.3542490024247281E-2</v>
      </c>
      <c r="M789" s="636">
        <f>M788/(D788+E788+G788+H788+I788+J788+L788+M788+N788)</f>
        <v>0</v>
      </c>
      <c r="N789" s="636">
        <f>N788/(D788+E788+G788+H788+I788+J788+L788+M788+N788)</f>
        <v>0.35957338144605455</v>
      </c>
      <c r="O789" s="1503"/>
    </row>
    <row r="790" spans="1:15" ht="12" customHeight="1">
      <c r="A790" s="1517"/>
      <c r="B790" s="1502" t="s">
        <v>14939</v>
      </c>
      <c r="C790" s="638" t="s">
        <v>6218</v>
      </c>
      <c r="D790" s="639">
        <v>52231</v>
      </c>
      <c r="E790" s="639">
        <v>33863</v>
      </c>
      <c r="F790" s="640">
        <f t="shared" si="24"/>
        <v>86094</v>
      </c>
      <c r="G790" s="639">
        <v>88584</v>
      </c>
      <c r="H790" s="639">
        <v>14078</v>
      </c>
      <c r="I790" s="639"/>
      <c r="J790" s="639"/>
      <c r="K790" s="640">
        <f t="shared" si="25"/>
        <v>102662</v>
      </c>
      <c r="L790" s="639">
        <v>16442</v>
      </c>
      <c r="M790" s="639">
        <v>8834</v>
      </c>
      <c r="N790" s="639">
        <v>199628</v>
      </c>
      <c r="O790" s="1503">
        <f>1-N791</f>
        <v>0.51741043368950346</v>
      </c>
    </row>
    <row r="791" spans="1:15" ht="12" customHeight="1">
      <c r="A791" s="1517"/>
      <c r="B791" s="1502"/>
      <c r="C791" s="635" t="s">
        <v>6219</v>
      </c>
      <c r="D791" s="636">
        <f>D790/(D790+E790+G790+H790+I790+J790+L790+M790+N790)</f>
        <v>0.12626553207948557</v>
      </c>
      <c r="E791" s="636">
        <f>E790/(D790+E790+G790+H790+I790+J790+L790+M790+N790)</f>
        <v>8.1861915582845821E-2</v>
      </c>
      <c r="F791" s="637">
        <f t="shared" si="24"/>
        <v>0.20812744766233138</v>
      </c>
      <c r="G791" s="636">
        <f>G790/(D790+E790+G790+H790+I790+J790+L790+M790+N790)</f>
        <v>0.21414688391432576</v>
      </c>
      <c r="H791" s="636">
        <f>H790/(D790+E790+G790+H790+I790+J790+L790+M790+N790)</f>
        <v>3.4032780544408454E-2</v>
      </c>
      <c r="I791" s="636">
        <f>I790/(D790+E790+G790+H790+I790+J790+L790+M790+N790)</f>
        <v>0</v>
      </c>
      <c r="J791" s="636">
        <f>J790/(D790+E790+G790+H790+I790+J790+L790+M790+N790)</f>
        <v>0</v>
      </c>
      <c r="K791" s="637">
        <f t="shared" si="25"/>
        <v>0.24817966445873421</v>
      </c>
      <c r="L791" s="636">
        <f>L790/(D790+E790+G790+H790+I790+J790+L790+M790+N790)</f>
        <v>3.9747618817386261E-2</v>
      </c>
      <c r="M791" s="636">
        <f>M790/(D790+E790+G790+H790+I790+J790+L790+M790+N790)</f>
        <v>2.135570275105159E-2</v>
      </c>
      <c r="N791" s="636">
        <f>N790/(D790+E790+G790+H790+I790+J790+L790+M790+N790)</f>
        <v>0.48258956631049654</v>
      </c>
      <c r="O791" s="1503"/>
    </row>
    <row r="792" spans="1:15" ht="12" customHeight="1">
      <c r="A792" s="1517"/>
      <c r="B792" s="1502" t="s">
        <v>14940</v>
      </c>
      <c r="C792" s="638" t="s">
        <v>6218</v>
      </c>
      <c r="D792" s="639">
        <v>69312</v>
      </c>
      <c r="E792" s="639">
        <v>32583</v>
      </c>
      <c r="F792" s="640">
        <f t="shared" si="24"/>
        <v>101895</v>
      </c>
      <c r="G792" s="639">
        <v>92328</v>
      </c>
      <c r="H792" s="639">
        <v>13518</v>
      </c>
      <c r="I792" s="639"/>
      <c r="J792" s="639"/>
      <c r="K792" s="640">
        <f t="shared" si="25"/>
        <v>105846</v>
      </c>
      <c r="L792" s="639">
        <v>15748</v>
      </c>
      <c r="M792" s="639"/>
      <c r="N792" s="639">
        <v>188780</v>
      </c>
      <c r="O792" s="1503">
        <f>1-N793</f>
        <v>0.54209508840101972</v>
      </c>
    </row>
    <row r="793" spans="1:15" ht="12" customHeight="1" thickBot="1">
      <c r="A793" s="1519"/>
      <c r="B793" s="1514"/>
      <c r="C793" s="641" t="s">
        <v>6219</v>
      </c>
      <c r="D793" s="642">
        <f>D792/(D792+E792+G792+H792+I792+J792+L792+M792+N792)</f>
        <v>0.16812323992344805</v>
      </c>
      <c r="E793" s="642">
        <f>E792/(D792+E792+G792+H792+I792+J792+L792+M792+N792)</f>
        <v>7.9033349584858428E-2</v>
      </c>
      <c r="F793" s="643">
        <f t="shared" si="24"/>
        <v>0.24715658950830649</v>
      </c>
      <c r="G793" s="642">
        <f>G792/(D792+E792+G792+H792+I792+J792+L792+M792+N792)</f>
        <v>0.2239508670309919</v>
      </c>
      <c r="H793" s="642">
        <f>H792/(D792+E792+G792+H792+I792+J792+L792+M792+N792)</f>
        <v>3.2789271082715413E-2</v>
      </c>
      <c r="I793" s="642">
        <f>I792/(D792+E792+G792+H792+I792+J792+L792+M792+N792)</f>
        <v>0</v>
      </c>
      <c r="J793" s="642">
        <f>J792/(D792+E792+G792+H792+I792+J792+L792+M792+N792)</f>
        <v>0</v>
      </c>
      <c r="K793" s="643">
        <f t="shared" si="25"/>
        <v>0.25674013811370733</v>
      </c>
      <c r="L793" s="642">
        <f>L792/(D792+E792+G792+H792+I792+J792+L792+M792+N792)</f>
        <v>3.8198360779005944E-2</v>
      </c>
      <c r="M793" s="642">
        <f>M792/(D792+E792+G792+H792+I792+J792+L792+M792+N792)</f>
        <v>0</v>
      </c>
      <c r="N793" s="642">
        <f>N792/(D792+E792+G792+H792+I792+J792+L792+M792+N792)</f>
        <v>0.45790491159898028</v>
      </c>
      <c r="O793" s="1515"/>
    </row>
    <row r="794" spans="1:15" ht="12" customHeight="1">
      <c r="A794" s="1535" t="s">
        <v>15037</v>
      </c>
      <c r="B794" s="1536" t="s">
        <v>14937</v>
      </c>
      <c r="C794" s="632" t="s">
        <v>6218</v>
      </c>
      <c r="D794" s="633">
        <v>65321</v>
      </c>
      <c r="E794" s="633">
        <v>30350</v>
      </c>
      <c r="F794" s="634">
        <f t="shared" si="24"/>
        <v>95671</v>
      </c>
      <c r="G794" s="633">
        <v>100657</v>
      </c>
      <c r="H794" s="633">
        <v>12708</v>
      </c>
      <c r="I794" s="633">
        <v>3577</v>
      </c>
      <c r="J794" s="633">
        <v>7777</v>
      </c>
      <c r="K794" s="634">
        <f t="shared" si="25"/>
        <v>124719</v>
      </c>
      <c r="L794" s="633">
        <v>19095</v>
      </c>
      <c r="M794" s="633">
        <v>5086</v>
      </c>
      <c r="N794" s="633">
        <v>206483</v>
      </c>
      <c r="O794" s="1537">
        <f>1-N795</f>
        <v>0.5422211087807669</v>
      </c>
    </row>
    <row r="795" spans="1:15" ht="12" customHeight="1">
      <c r="A795" s="1517"/>
      <c r="B795" s="1502"/>
      <c r="C795" s="635" t="s">
        <v>6219</v>
      </c>
      <c r="D795" s="636">
        <f>D794/(D794+E794+G794+H794+I794+J794+L794+M794+N794)</f>
        <v>0.14481858048038593</v>
      </c>
      <c r="E795" s="636">
        <f>E794/(D794+E794+G794+H794+I794+J794+L794+M794+N794)</f>
        <v>6.7286843703858068E-2</v>
      </c>
      <c r="F795" s="637">
        <f t="shared" si="24"/>
        <v>0.212105424184244</v>
      </c>
      <c r="G795" s="636">
        <f>G794/(D794+E794+G794+H794+I794+J794+L794+M794+N794)</f>
        <v>0.22315953300491737</v>
      </c>
      <c r="H795" s="636">
        <f>H794/(D794+E794+G794+H794+I794+J794+L794+M794+N794)</f>
        <v>2.8174010207203573E-2</v>
      </c>
      <c r="I795" s="636">
        <f>I794/(D794+E794+G794+H794+I794+J794+L794+M794+N794)</f>
        <v>7.9303143304349372E-3</v>
      </c>
      <c r="J795" s="636">
        <f>J794/(D794+E794+G794+H794+I794+J794+L794+M794+N794)</f>
        <v>1.7241838006092396E-2</v>
      </c>
      <c r="K795" s="637">
        <f t="shared" si="25"/>
        <v>0.27650569554864829</v>
      </c>
      <c r="L795" s="636">
        <f>L794/(D794+E794+G794+H794+I794+J794+L794+M794+N794)</f>
        <v>4.2334177282542663E-2</v>
      </c>
      <c r="M795" s="636">
        <f>M794/(D794+E794+G794+H794+I794+J794+L794+M794+N794)</f>
        <v>1.1275811765331867E-2</v>
      </c>
      <c r="N795" s="636">
        <f>N794/(D794+E794+G794+H794+I794+J794+L794+M794+N794)</f>
        <v>0.45777889121923315</v>
      </c>
      <c r="O795" s="1503"/>
    </row>
    <row r="796" spans="1:15" ht="12" customHeight="1">
      <c r="A796" s="1517"/>
      <c r="B796" s="1502" t="s">
        <v>14938</v>
      </c>
      <c r="C796" s="638" t="s">
        <v>6218</v>
      </c>
      <c r="D796" s="639">
        <v>123022</v>
      </c>
      <c r="E796" s="639">
        <v>37431</v>
      </c>
      <c r="F796" s="640">
        <f t="shared" si="24"/>
        <v>160453</v>
      </c>
      <c r="G796" s="639">
        <v>83428</v>
      </c>
      <c r="H796" s="639">
        <v>18680</v>
      </c>
      <c r="I796" s="639"/>
      <c r="J796" s="639">
        <v>10642</v>
      </c>
      <c r="K796" s="640">
        <f t="shared" si="25"/>
        <v>112750</v>
      </c>
      <c r="L796" s="639">
        <v>20185</v>
      </c>
      <c r="M796" s="639"/>
      <c r="N796" s="639">
        <v>153490</v>
      </c>
      <c r="O796" s="1503">
        <f>1-N797</f>
        <v>0.65652817995068002</v>
      </c>
    </row>
    <row r="797" spans="1:15" ht="12" customHeight="1">
      <c r="A797" s="1517"/>
      <c r="B797" s="1502"/>
      <c r="C797" s="635" t="s">
        <v>6219</v>
      </c>
      <c r="D797" s="636">
        <f>D796/(D796+E796+G796+H796+I796+J796+L796+M796+N796)</f>
        <v>0.27529213789893436</v>
      </c>
      <c r="E797" s="636">
        <f>E796/(D796+E796+G796+H796+I796+J796+L796+M796+N796)</f>
        <v>8.376111600929112E-2</v>
      </c>
      <c r="F797" s="637">
        <f t="shared" si="24"/>
        <v>0.35905325390822551</v>
      </c>
      <c r="G797" s="636">
        <f>G796/(D796+E796+G796+H796+I796+J796+L796+M796+N796)</f>
        <v>0.18669077466333092</v>
      </c>
      <c r="H797" s="636">
        <f>H796/(D796+E796+G796+H796+I796+J796+L796+M796+N796)</f>
        <v>4.1801117978508676E-2</v>
      </c>
      <c r="I797" s="636">
        <f>I796/(D796+E796+G796+H796+I796+J796+L796+M796+N796)</f>
        <v>0</v>
      </c>
      <c r="J797" s="636">
        <f>J796/(D796+E796+G796+H796+I796+J796+L796+M796+N796)</f>
        <v>2.3814105863345252E-2</v>
      </c>
      <c r="K797" s="637">
        <f t="shared" si="25"/>
        <v>0.25230599850518487</v>
      </c>
      <c r="L797" s="636">
        <f>L796/(D796+E796+G796+H796+I796+J796+L796+M796+N796)</f>
        <v>4.5168927537269678E-2</v>
      </c>
      <c r="M797" s="636">
        <f>M796/(D796+E796+G796+H796+I796+J796+L796+M796+N796)</f>
        <v>0</v>
      </c>
      <c r="N797" s="636">
        <f>N796/(D796+E796+G796+H796+I796+J796+L796+M796+N796)</f>
        <v>0.34347182004931998</v>
      </c>
      <c r="O797" s="1503"/>
    </row>
    <row r="798" spans="1:15" ht="12" customHeight="1">
      <c r="A798" s="1517"/>
      <c r="B798" s="1502" t="s">
        <v>14939</v>
      </c>
      <c r="C798" s="638" t="s">
        <v>6218</v>
      </c>
      <c r="D798" s="639">
        <v>64086</v>
      </c>
      <c r="E798" s="639">
        <v>35476</v>
      </c>
      <c r="F798" s="640">
        <f t="shared" si="24"/>
        <v>99562</v>
      </c>
      <c r="G798" s="639">
        <v>92345</v>
      </c>
      <c r="H798" s="639">
        <v>15730</v>
      </c>
      <c r="I798" s="639"/>
      <c r="J798" s="639"/>
      <c r="K798" s="640">
        <f t="shared" si="25"/>
        <v>108075</v>
      </c>
      <c r="L798" s="639">
        <v>17842</v>
      </c>
      <c r="M798" s="639">
        <v>9068</v>
      </c>
      <c r="N798" s="639">
        <v>208148</v>
      </c>
      <c r="O798" s="1503">
        <f>1-N799</f>
        <v>0.5298162391714385</v>
      </c>
    </row>
    <row r="799" spans="1:15" ht="12" customHeight="1">
      <c r="A799" s="1517"/>
      <c r="B799" s="1502"/>
      <c r="C799" s="635" t="s">
        <v>6219</v>
      </c>
      <c r="D799" s="636">
        <f>D798/(D798+E798+G798+H798+I798+J798+L798+M798+N798)</f>
        <v>0.14476332463660083</v>
      </c>
      <c r="E799" s="636">
        <f>E798/(D798+E798+G798+H798+I798+J798+L798+M798+N798)</f>
        <v>8.0136437050339404E-2</v>
      </c>
      <c r="F799" s="637">
        <f t="shared" si="24"/>
        <v>0.22489976168694023</v>
      </c>
      <c r="G799" s="636">
        <f>G798/(D798+E798+G798+H798+I798+J798+L798+M798+N798)</f>
        <v>0.20859734128463164</v>
      </c>
      <c r="H799" s="636">
        <f>H798/(D798+E798+G798+H798+I798+J798+L798+M798+N798)</f>
        <v>3.5532364268853277E-2</v>
      </c>
      <c r="I799" s="636">
        <f>I798/(D798+E798+G798+H798+I798+J798+L798+M798+N798)</f>
        <v>0</v>
      </c>
      <c r="J799" s="636">
        <f>J798/(D798+E798+G798+H798+I798+J798+L798+M798+N798)</f>
        <v>0</v>
      </c>
      <c r="K799" s="637">
        <f t="shared" si="25"/>
        <v>0.24412970555348493</v>
      </c>
      <c r="L799" s="636">
        <f>L798/(D798+E798+G798+H798+I798+J798+L798+M798+N798)</f>
        <v>4.0303143247608399E-2</v>
      </c>
      <c r="M799" s="636">
        <f>M798/(D798+E798+G798+H798+I798+J798+L798+M798+N798)</f>
        <v>2.0483628683405052E-2</v>
      </c>
      <c r="N799" s="636">
        <f>N798/(D798+E798+G798+H798+I798+J798+L798+M798+N798)</f>
        <v>0.47018376082856145</v>
      </c>
      <c r="O799" s="1503"/>
    </row>
    <row r="800" spans="1:15" ht="12" customHeight="1">
      <c r="A800" s="1517"/>
      <c r="B800" s="1502" t="s">
        <v>14940</v>
      </c>
      <c r="C800" s="638" t="s">
        <v>6218</v>
      </c>
      <c r="D800" s="639">
        <v>87008</v>
      </c>
      <c r="E800" s="639">
        <v>35596</v>
      </c>
      <c r="F800" s="640">
        <f t="shared" si="24"/>
        <v>122604</v>
      </c>
      <c r="G800" s="639">
        <v>96192</v>
      </c>
      <c r="H800" s="639">
        <v>12800</v>
      </c>
      <c r="I800" s="639"/>
      <c r="J800" s="639"/>
      <c r="K800" s="640">
        <f t="shared" si="25"/>
        <v>108992</v>
      </c>
      <c r="L800" s="639">
        <v>17666</v>
      </c>
      <c r="M800" s="639"/>
      <c r="N800" s="639">
        <v>192510</v>
      </c>
      <c r="O800" s="1503">
        <f>1-N801</f>
        <v>0.56423222838930487</v>
      </c>
    </row>
    <row r="801" spans="1:15" ht="12" customHeight="1" thickBot="1">
      <c r="A801" s="1519"/>
      <c r="B801" s="1514"/>
      <c r="C801" s="641" t="s">
        <v>6219</v>
      </c>
      <c r="D801" s="642">
        <f>D800/(D800+E800+G800+H800+I800+J800+L800+M800+N800)</f>
        <v>0.19695227402370455</v>
      </c>
      <c r="E801" s="642">
        <f>E800/(D800+E800+G800+H800+I800+J800+L800+M800+N800)</f>
        <v>8.0575500484412768E-2</v>
      </c>
      <c r="F801" s="643">
        <f t="shared" si="24"/>
        <v>0.27752777450811733</v>
      </c>
      <c r="G801" s="642">
        <f>G800/(D800+E800+G800+H800+I800+J800+L800+M800+N800)</f>
        <v>0.21774127830645673</v>
      </c>
      <c r="H801" s="642">
        <f>H800/(D800+E800+G800+H800+I800+J800+L800+M800+N800)</f>
        <v>2.8974221996867163E-2</v>
      </c>
      <c r="I801" s="642">
        <f>I800/(D800+E800+G800+H800+I800+J800+L800+M800+N800)</f>
        <v>0</v>
      </c>
      <c r="J801" s="642">
        <f>J800/(D800+E800+G800+H800+I800+J800+L800+M800+N800)</f>
        <v>0</v>
      </c>
      <c r="K801" s="643">
        <f t="shared" si="25"/>
        <v>0.2467155003033239</v>
      </c>
      <c r="L801" s="642">
        <f>L800/(D800+E800+G800+H800+I800+J800+L800+M800+N800)</f>
        <v>3.9988953577863695E-2</v>
      </c>
      <c r="M801" s="642">
        <f>M800/(D800+E800+G800+H800+I800+J800+L800+M800+N800)</f>
        <v>0</v>
      </c>
      <c r="N801" s="642">
        <f>N800/(D800+E800+G800+H800+I800+J800+L800+M800+N800)</f>
        <v>0.43576777161069513</v>
      </c>
      <c r="O801" s="1515"/>
    </row>
    <row r="802" spans="1:15" ht="12" customHeight="1">
      <c r="A802" s="1535" t="s">
        <v>15038</v>
      </c>
      <c r="B802" s="1536" t="s">
        <v>14937</v>
      </c>
      <c r="C802" s="632" t="s">
        <v>6218</v>
      </c>
      <c r="D802" s="633">
        <v>59282</v>
      </c>
      <c r="E802" s="633">
        <v>29114</v>
      </c>
      <c r="F802" s="634">
        <f t="shared" si="24"/>
        <v>88396</v>
      </c>
      <c r="G802" s="633">
        <v>92544</v>
      </c>
      <c r="H802" s="633">
        <v>9598</v>
      </c>
      <c r="I802" s="633">
        <v>3219</v>
      </c>
      <c r="J802" s="633">
        <v>6320</v>
      </c>
      <c r="K802" s="634">
        <f t="shared" si="25"/>
        <v>111681</v>
      </c>
      <c r="L802" s="633">
        <v>16460</v>
      </c>
      <c r="M802" s="633">
        <v>4231</v>
      </c>
      <c r="N802" s="633">
        <v>208330</v>
      </c>
      <c r="O802" s="1537">
        <f>1-N803</f>
        <v>0.51449319269723937</v>
      </c>
    </row>
    <row r="803" spans="1:15" ht="12" customHeight="1">
      <c r="A803" s="1517"/>
      <c r="B803" s="1502"/>
      <c r="C803" s="635" t="s">
        <v>6219</v>
      </c>
      <c r="D803" s="636">
        <f>D802/(D802+E802+G802+H802+I802+J802+L802+M802+N802)</f>
        <v>0.13815492032123197</v>
      </c>
      <c r="E803" s="636">
        <f>E802/(D802+E802+G802+H802+I802+J802+L802+M802+N802)</f>
        <v>6.7849302490340199E-2</v>
      </c>
      <c r="F803" s="637">
        <f t="shared" si="24"/>
        <v>0.20600422281157216</v>
      </c>
      <c r="G803" s="636">
        <f>G802/(D802+E802+G802+H802+I802+J802+L802+M802+N802)</f>
        <v>0.21567101221632354</v>
      </c>
      <c r="H803" s="636">
        <f>H802/(D802+E802+G802+H802+I802+J802+L802+M802+N802)</f>
        <v>2.2367850700772317E-2</v>
      </c>
      <c r="I803" s="636">
        <f>I802/(D802+E802+G802+H802+I802+J802+L802+M802+N802)</f>
        <v>7.5017828095213677E-3</v>
      </c>
      <c r="J803" s="636">
        <f>J802/(D802+E802+G802+H802+I802+J802+L802+M802+N802)</f>
        <v>1.4728570163459163E-2</v>
      </c>
      <c r="K803" s="637">
        <f t="shared" si="25"/>
        <v>0.2602692158900764</v>
      </c>
      <c r="L803" s="636">
        <f>L802/(D802+E802+G802+H802+I802+J802+L802+M802+N802)</f>
        <v>3.8359535583945857E-2</v>
      </c>
      <c r="M803" s="636">
        <f>M802/(D802+E802+G802+H802+I802+J802+L802+M802+N802)</f>
        <v>9.8602184116448922E-3</v>
      </c>
      <c r="N803" s="636">
        <f>N802/(D802+E802+G802+H802+I802+J802+L802+M802+N802)</f>
        <v>0.48550680730276069</v>
      </c>
      <c r="O803" s="1503"/>
    </row>
    <row r="804" spans="1:15" ht="12" customHeight="1">
      <c r="A804" s="1517"/>
      <c r="B804" s="1502" t="s">
        <v>14938</v>
      </c>
      <c r="C804" s="638" t="s">
        <v>6218</v>
      </c>
      <c r="D804" s="639">
        <v>116130</v>
      </c>
      <c r="E804" s="639">
        <v>36748</v>
      </c>
      <c r="F804" s="640">
        <f t="shared" si="24"/>
        <v>152878</v>
      </c>
      <c r="G804" s="639">
        <v>74844</v>
      </c>
      <c r="H804" s="639">
        <v>14236</v>
      </c>
      <c r="I804" s="639"/>
      <c r="J804" s="639">
        <v>9868</v>
      </c>
      <c r="K804" s="640">
        <f t="shared" si="25"/>
        <v>98948</v>
      </c>
      <c r="L804" s="639">
        <v>18347</v>
      </c>
      <c r="M804" s="639"/>
      <c r="N804" s="639">
        <v>154527</v>
      </c>
      <c r="O804" s="1503">
        <f>1-N805</f>
        <v>0.63615022368730867</v>
      </c>
    </row>
    <row r="805" spans="1:15" ht="12" customHeight="1">
      <c r="A805" s="1517"/>
      <c r="B805" s="1502"/>
      <c r="C805" s="635" t="s">
        <v>6219</v>
      </c>
      <c r="D805" s="636">
        <f>D804/(D804+E804+G804+H804+I804+J804+L804+M804+N804)</f>
        <v>0.27344007534730397</v>
      </c>
      <c r="E805" s="636">
        <f>E804/(D804+E804+G804+H804+I804+J804+L804+M804+N804)</f>
        <v>8.6526960207205086E-2</v>
      </c>
      <c r="F805" s="637">
        <f t="shared" si="24"/>
        <v>0.35996703555450904</v>
      </c>
      <c r="G805" s="636">
        <f>G804/(D804+E804+G804+H804+I804+J804+L804+M804+N804)</f>
        <v>0.17622792559453732</v>
      </c>
      <c r="H805" s="636">
        <f>H804/(D804+E804+G804+H804+I804+J804+L804+M804+N804)</f>
        <v>3.3520131857781965E-2</v>
      </c>
      <c r="I805" s="636">
        <f>I804/(D804+E804+G804+H804+I804+J804+L804+M804+N804)</f>
        <v>0</v>
      </c>
      <c r="J805" s="636">
        <f>J804/(D804+E804+G804+H804+I804+J804+L804+M804+N804)</f>
        <v>2.3235224864610313E-2</v>
      </c>
      <c r="K805" s="637">
        <f t="shared" si="25"/>
        <v>0.23298328231692961</v>
      </c>
      <c r="L805" s="636">
        <f>L804/(D804+E804+G804+H804+I804+J804+L804+M804+N804)</f>
        <v>4.3199905815870028E-2</v>
      </c>
      <c r="M805" s="636">
        <f>M804/(D804+E804+G804+H804+I804+J804+L804+M804+N804)</f>
        <v>0</v>
      </c>
      <c r="N805" s="636">
        <f>N804/(D804+E804+G804+H804+I804+J804+L804+M804+N804)</f>
        <v>0.36384977631269133</v>
      </c>
      <c r="O805" s="1503"/>
    </row>
    <row r="806" spans="1:15" ht="12" customHeight="1">
      <c r="A806" s="1517"/>
      <c r="B806" s="1502" t="s">
        <v>14939</v>
      </c>
      <c r="C806" s="638" t="s">
        <v>6218</v>
      </c>
      <c r="D806" s="639">
        <v>61913</v>
      </c>
      <c r="E806" s="639">
        <v>34136</v>
      </c>
      <c r="F806" s="640">
        <f t="shared" si="24"/>
        <v>96049</v>
      </c>
      <c r="G806" s="639">
        <v>82731</v>
      </c>
      <c r="H806" s="639">
        <v>12545</v>
      </c>
      <c r="I806" s="639"/>
      <c r="J806" s="639"/>
      <c r="K806" s="640">
        <f t="shared" si="25"/>
        <v>95276</v>
      </c>
      <c r="L806" s="639">
        <v>15736</v>
      </c>
      <c r="M806" s="639">
        <v>7980</v>
      </c>
      <c r="N806" s="639">
        <v>206882</v>
      </c>
      <c r="O806" s="1503">
        <f>1-N807</f>
        <v>0.50966882582840944</v>
      </c>
    </row>
    <row r="807" spans="1:15" ht="12" customHeight="1">
      <c r="A807" s="1517"/>
      <c r="B807" s="1502"/>
      <c r="C807" s="635" t="s">
        <v>6219</v>
      </c>
      <c r="D807" s="636">
        <f>D806/(D806+E806+G806+H806+I806+J806+L806+M806+N806)</f>
        <v>0.1467400449845114</v>
      </c>
      <c r="E807" s="636">
        <f>E806/(D806+E806+G806+H806+I806+J806+L806+M806+N806)</f>
        <v>8.0905757685644064E-2</v>
      </c>
      <c r="F807" s="637">
        <f t="shared" si="24"/>
        <v>0.22764580267015547</v>
      </c>
      <c r="G807" s="636">
        <f>G806/(D806+E806+G806+H806+I806+J806+L806+M806+N806)</f>
        <v>0.1960808014732546</v>
      </c>
      <c r="H807" s="636">
        <f>H806/(D806+E806+G806+H806+I806+J806+L806+M806+N806)</f>
        <v>2.9732913351488303E-2</v>
      </c>
      <c r="I807" s="636">
        <f>I806/(D806+E806+G806+H806+I806+J806+L806+M806+N806)</f>
        <v>0</v>
      </c>
      <c r="J807" s="636">
        <f>J806/(D806+E806+G806+H806+I806+J806+L806+M806+N806)</f>
        <v>0</v>
      </c>
      <c r="K807" s="637">
        <f t="shared" si="25"/>
        <v>0.22581371482474291</v>
      </c>
      <c r="L807" s="636">
        <f>L806/(D806+E806+G806+H806+I806+J806+L806+M806+N806)</f>
        <v>3.729590470299083E-2</v>
      </c>
      <c r="M807" s="636">
        <f>M806/(D806+E806+G806+H806+I806+J806+L806+M806+N806)</f>
        <v>1.891340363052026E-2</v>
      </c>
      <c r="N807" s="636">
        <f>N806/(D806+E806+G806+H806+I806+J806+L806+M806+N806)</f>
        <v>0.49033117417159056</v>
      </c>
      <c r="O807" s="1503"/>
    </row>
    <row r="808" spans="1:15" ht="12" customHeight="1">
      <c r="A808" s="1517"/>
      <c r="B808" s="1502" t="s">
        <v>14940</v>
      </c>
      <c r="C808" s="638" t="s">
        <v>6218</v>
      </c>
      <c r="D808" s="639">
        <v>83664</v>
      </c>
      <c r="E808" s="639">
        <v>33077</v>
      </c>
      <c r="F808" s="640">
        <f t="shared" si="24"/>
        <v>116741</v>
      </c>
      <c r="G808" s="639">
        <v>84993</v>
      </c>
      <c r="H808" s="639">
        <v>9562</v>
      </c>
      <c r="I808" s="639"/>
      <c r="J808" s="639"/>
      <c r="K808" s="640">
        <f t="shared" si="25"/>
        <v>94555</v>
      </c>
      <c r="L808" s="639">
        <v>15770</v>
      </c>
      <c r="M808" s="639"/>
      <c r="N808" s="639">
        <v>193557</v>
      </c>
      <c r="O808" s="1503">
        <f>1-N809</f>
        <v>0.53983258167052206</v>
      </c>
    </row>
    <row r="809" spans="1:15" ht="12" customHeight="1" thickBot="1">
      <c r="A809" s="1519"/>
      <c r="B809" s="1514"/>
      <c r="C809" s="641" t="s">
        <v>6219</v>
      </c>
      <c r="D809" s="642">
        <f>D808/(D808+E808+G808+H808+I808+J808+L808+M808+N808)</f>
        <v>0.1989049576461582</v>
      </c>
      <c r="E809" s="642">
        <f>E808/(D808+E808+G808+H808+I808+J808+L808+M808+N808)</f>
        <v>7.8638115366967576E-2</v>
      </c>
      <c r="F809" s="643">
        <f t="shared" si="24"/>
        <v>0.27754307301312575</v>
      </c>
      <c r="G809" s="642">
        <f>G808/(D808+E808+G808+H808+I808+J808+L808+M808+N808)</f>
        <v>0.20206455662196313</v>
      </c>
      <c r="H809" s="642">
        <f>H808/(D808+E808+G808+H808+I808+J808+L808+M808+N808)</f>
        <v>2.2732946129907304E-2</v>
      </c>
      <c r="I809" s="642">
        <f>I808/(D808+E808+G808+H808+I808+J808+L808+M808+N808)</f>
        <v>0</v>
      </c>
      <c r="J809" s="642">
        <f>J808/(D808+E808+G808+H808+I808+J808+L808+M808+N808)</f>
        <v>0</v>
      </c>
      <c r="K809" s="643">
        <f t="shared" si="25"/>
        <v>0.22479750275187044</v>
      </c>
      <c r="L809" s="642">
        <f>L808/(D808+E808+G808+H808+I808+J808+L808+M808+N808)</f>
        <v>3.7492005905525851E-2</v>
      </c>
      <c r="M809" s="642">
        <f>M808/(D808+E808+G808+H808+I808+J808+L808+M808+N808)</f>
        <v>0</v>
      </c>
      <c r="N809" s="642">
        <f>N808/(D808+E808+G808+H808+I808+J808+L808+M808+N808)</f>
        <v>0.46016741832947794</v>
      </c>
      <c r="O809" s="1515"/>
    </row>
    <row r="810" spans="1:15" ht="12" customHeight="1">
      <c r="A810" s="1535" t="s">
        <v>15039</v>
      </c>
      <c r="B810" s="1536" t="s">
        <v>14937</v>
      </c>
      <c r="C810" s="632" t="s">
        <v>6218</v>
      </c>
      <c r="D810" s="633">
        <v>71122</v>
      </c>
      <c r="E810" s="633">
        <v>28403</v>
      </c>
      <c r="F810" s="634">
        <f t="shared" si="24"/>
        <v>99525</v>
      </c>
      <c r="G810" s="633">
        <v>91291</v>
      </c>
      <c r="H810" s="633">
        <v>11349</v>
      </c>
      <c r="I810" s="633">
        <v>3584</v>
      </c>
      <c r="J810" s="633">
        <v>5939</v>
      </c>
      <c r="K810" s="634">
        <f t="shared" si="25"/>
        <v>112163</v>
      </c>
      <c r="L810" s="633">
        <v>16654</v>
      </c>
      <c r="M810" s="633">
        <v>4491</v>
      </c>
      <c r="N810" s="633">
        <v>193583</v>
      </c>
      <c r="O810" s="1537">
        <f>1-N811</f>
        <v>0.54602313234024991</v>
      </c>
    </row>
    <row r="811" spans="1:15" ht="12" customHeight="1">
      <c r="A811" s="1517"/>
      <c r="B811" s="1502"/>
      <c r="C811" s="635" t="s">
        <v>6219</v>
      </c>
      <c r="D811" s="636">
        <f>D810/(D810+E810+G810+H810+I810+J810+L810+M810+N810)</f>
        <v>0.16679017672882818</v>
      </c>
      <c r="E811" s="636">
        <f>E810/(D810+E810+G810+H810+I810+J810+L810+M810+N810)</f>
        <v>6.6608663840006008E-2</v>
      </c>
      <c r="F811" s="637">
        <f t="shared" si="24"/>
        <v>0.2333988405688342</v>
      </c>
      <c r="G811" s="636">
        <f>G810/(D810+E810+G810+H810+I810+J810+L810+M810+N810)</f>
        <v>0.21408905857191099</v>
      </c>
      <c r="H811" s="636">
        <f>H810/(D810+E810+G810+H810+I810+J810+L810+M810+N810)</f>
        <v>2.6614854977299162E-2</v>
      </c>
      <c r="I811" s="636">
        <f>I810/(D810+E810+G810+H810+I810+J810+L810+M810+N810)</f>
        <v>8.4049379010168474E-3</v>
      </c>
      <c r="J811" s="636">
        <f>J810/(D810+E810+G810+H810+I810+J810+L810+M810+N810)</f>
        <v>1.3927713781846835E-2</v>
      </c>
      <c r="K811" s="637">
        <f t="shared" si="25"/>
        <v>0.2630365652320738</v>
      </c>
      <c r="L811" s="636">
        <f>L810/(D810+E810+G810+H810+I810+J810+L810+M810+N810)</f>
        <v>3.9055757757682635E-2</v>
      </c>
      <c r="M811" s="636">
        <f>M810/(D810+E810+G810+H810+I810+J810+L810+M810+N810)</f>
        <v>1.0531968781659224E-2</v>
      </c>
      <c r="N811" s="636">
        <f>N810/(D810+E810+G810+H810+I810+J810+L810+M810+N810)</f>
        <v>0.45397686765975009</v>
      </c>
      <c r="O811" s="1503"/>
    </row>
    <row r="812" spans="1:15" ht="12" customHeight="1">
      <c r="A812" s="1517"/>
      <c r="B812" s="1502" t="s">
        <v>14938</v>
      </c>
      <c r="C812" s="638" t="s">
        <v>6218</v>
      </c>
      <c r="D812" s="639">
        <v>122110</v>
      </c>
      <c r="E812" s="639">
        <v>35624</v>
      </c>
      <c r="F812" s="640">
        <f t="shared" si="24"/>
        <v>157734</v>
      </c>
      <c r="G812" s="639">
        <v>77221</v>
      </c>
      <c r="H812" s="639">
        <v>16924</v>
      </c>
      <c r="I812" s="639"/>
      <c r="J812" s="639">
        <v>10161</v>
      </c>
      <c r="K812" s="640">
        <f t="shared" si="25"/>
        <v>104306</v>
      </c>
      <c r="L812" s="639">
        <v>18385</v>
      </c>
      <c r="M812" s="639"/>
      <c r="N812" s="639">
        <v>143969</v>
      </c>
      <c r="O812" s="1503">
        <f>1-N813</f>
        <v>0.66076570356791098</v>
      </c>
    </row>
    <row r="813" spans="1:15" ht="12" customHeight="1">
      <c r="A813" s="1517"/>
      <c r="B813" s="1502"/>
      <c r="C813" s="635" t="s">
        <v>6219</v>
      </c>
      <c r="D813" s="636">
        <f>D812/(D812+E812+G812+H812+I812+J812+L812+M812+N812)</f>
        <v>0.28772791321272212</v>
      </c>
      <c r="E813" s="636">
        <f>E812/(D812+E812+G812+H812+I812+J812+L812+M812+N812)</f>
        <v>8.3940866270493922E-2</v>
      </c>
      <c r="F813" s="637">
        <f t="shared" si="24"/>
        <v>0.37166877948321603</v>
      </c>
      <c r="G813" s="636">
        <f>G812/(D812+E812+G812+H812+I812+J812+L812+M812+N812)</f>
        <v>0.18195591832118269</v>
      </c>
      <c r="H813" s="636">
        <f>H812/(D812+E812+G812+H812+I812+J812+L812+M812+N812)</f>
        <v>3.987803786104422E-2</v>
      </c>
      <c r="I813" s="636">
        <f>I812/(D812+E812+G812+H812+I812+J812+L812+M812+N812)</f>
        <v>0</v>
      </c>
      <c r="J813" s="636">
        <f>J812/(D812+E812+G812+H812+I812+J812+L812+M812+N812)</f>
        <v>2.3942374303123983E-2</v>
      </c>
      <c r="K813" s="637">
        <f t="shared" si="25"/>
        <v>0.24577633048535089</v>
      </c>
      <c r="L813" s="636">
        <f>L812/(D812+E812+G812+H812+I812+J812+L812+M812+N812)</f>
        <v>4.3320593599344003E-2</v>
      </c>
      <c r="M813" s="636">
        <f>M812/(D812+E812+G812+H812+I812+J812+L812+M812+N812)</f>
        <v>0</v>
      </c>
      <c r="N813" s="636">
        <f>N812/(D812+E812+G812+H812+I812+J812+L812+M812+N812)</f>
        <v>0.33923429643208902</v>
      </c>
      <c r="O813" s="1503"/>
    </row>
    <row r="814" spans="1:15" ht="12" customHeight="1">
      <c r="A814" s="1517"/>
      <c r="B814" s="1502" t="s">
        <v>14939</v>
      </c>
      <c r="C814" s="638" t="s">
        <v>6218</v>
      </c>
      <c r="D814" s="639">
        <v>66572</v>
      </c>
      <c r="E814" s="639">
        <v>33595</v>
      </c>
      <c r="F814" s="640">
        <f t="shared" si="24"/>
        <v>100167</v>
      </c>
      <c r="G814" s="639">
        <v>81254</v>
      </c>
      <c r="H814" s="639">
        <v>14462</v>
      </c>
      <c r="I814" s="639"/>
      <c r="J814" s="639"/>
      <c r="K814" s="640">
        <f t="shared" si="25"/>
        <v>95716</v>
      </c>
      <c r="L814" s="639">
        <v>16087</v>
      </c>
      <c r="M814" s="639">
        <v>7962</v>
      </c>
      <c r="N814" s="639">
        <v>203087</v>
      </c>
      <c r="O814" s="1503">
        <f>1-N815</f>
        <v>0.5199104531947738</v>
      </c>
    </row>
    <row r="815" spans="1:15" ht="12" customHeight="1">
      <c r="A815" s="1517"/>
      <c r="B815" s="1502"/>
      <c r="C815" s="635" t="s">
        <v>6219</v>
      </c>
      <c r="D815" s="636">
        <f>D814/(D814+E814+G814+H814+I814+J814+L814+M814+N814)</f>
        <v>0.15737354586909807</v>
      </c>
      <c r="E815" s="636">
        <f>E814/(D814+E814+G814+H814+I814+J814+L814+M814+N814)</f>
        <v>7.9417236578026046E-2</v>
      </c>
      <c r="F815" s="637">
        <f t="shared" si="24"/>
        <v>0.23679078244712412</v>
      </c>
      <c r="G815" s="636">
        <f>G814/(D814+E814+G814+H814+I814+J814+L814+M814+N814)</f>
        <v>0.19208120675430654</v>
      </c>
      <c r="H815" s="636">
        <f>H814/(D814+E814+G814+H814+I814+J814+L814+M814+N814)</f>
        <v>3.418758968273293E-2</v>
      </c>
      <c r="I815" s="636">
        <f>I814/(D814+E814+G814+H814+I814+J814+L814+M814+N814)</f>
        <v>0</v>
      </c>
      <c r="J815" s="636">
        <f>J814/(D814+E814+G814+H814+I814+J814+L814+M814+N814)</f>
        <v>0</v>
      </c>
      <c r="K815" s="637">
        <f t="shared" si="25"/>
        <v>0.22626879643703945</v>
      </c>
      <c r="L815" s="636">
        <f>L814/(D814+E814+G814+H814+I814+J814+L814+M814+N814)</f>
        <v>3.8029024701018155E-2</v>
      </c>
      <c r="M815" s="636">
        <f>M814/(D814+E814+G814+H814+I814+J814+L814+M814+N814)</f>
        <v>1.8821849609592003E-2</v>
      </c>
      <c r="N815" s="636">
        <f>N814/(D814+E814+G814+H814+I814+J814+L814+M814+N814)</f>
        <v>0.48008954680522625</v>
      </c>
      <c r="O815" s="1503"/>
    </row>
    <row r="816" spans="1:15" ht="12" customHeight="1">
      <c r="A816" s="1517"/>
      <c r="B816" s="1502" t="s">
        <v>14940</v>
      </c>
      <c r="C816" s="638" t="s">
        <v>6218</v>
      </c>
      <c r="D816" s="639">
        <v>90501</v>
      </c>
      <c r="E816" s="639">
        <v>32580</v>
      </c>
      <c r="F816" s="640">
        <f t="shared" si="24"/>
        <v>123081</v>
      </c>
      <c r="G816" s="639">
        <v>85149</v>
      </c>
      <c r="H816" s="639">
        <v>11575</v>
      </c>
      <c r="I816" s="639"/>
      <c r="J816" s="639"/>
      <c r="K816" s="640">
        <f t="shared" si="25"/>
        <v>96724</v>
      </c>
      <c r="L816" s="639">
        <v>16541</v>
      </c>
      <c r="M816" s="639"/>
      <c r="N816" s="639">
        <v>186159</v>
      </c>
      <c r="O816" s="1503">
        <f>1-N817</f>
        <v>0.55939219654205274</v>
      </c>
    </row>
    <row r="817" spans="1:15" ht="12" customHeight="1" thickBot="1">
      <c r="A817" s="1519"/>
      <c r="B817" s="1514"/>
      <c r="C817" s="641" t="s">
        <v>6219</v>
      </c>
      <c r="D817" s="642">
        <f>D816/(D816+E816+G816+H816+I816+J816+L816+M816+N816)</f>
        <v>0.21420101537259914</v>
      </c>
      <c r="E817" s="642">
        <f>E816/(D816+E816+G816+H816+I816+J816+L816+M816+N816)</f>
        <v>7.7111513473213336E-2</v>
      </c>
      <c r="F817" s="643">
        <f t="shared" si="24"/>
        <v>0.29131252884581249</v>
      </c>
      <c r="G817" s="642">
        <f>G816/(D816+E816+G816+H816+I816+J816+L816+M816+N816)</f>
        <v>0.2015337096602407</v>
      </c>
      <c r="H817" s="642">
        <f>H816/(D816+E816+G816+H816+I816+J816+L816+M816+N816)</f>
        <v>2.7396125489639177E-2</v>
      </c>
      <c r="I817" s="642">
        <f>I816/(D816+E816+G816+H816+I816+J816+L816+M816+N816)</f>
        <v>0</v>
      </c>
      <c r="J817" s="642">
        <f>J816/(D816+E816+G816+H816+I816+J816+L816+M816+N816)</f>
        <v>0</v>
      </c>
      <c r="K817" s="643">
        <f t="shared" si="25"/>
        <v>0.22892983514987988</v>
      </c>
      <c r="L817" s="642">
        <f>L816/(D816+E816+G816+H816+I816+J816+L816+M816+N816)</f>
        <v>3.9149832546360397E-2</v>
      </c>
      <c r="M817" s="642">
        <f>M816/(D816+E816+G816+H816+I816+J816+L816+M816+N816)</f>
        <v>0</v>
      </c>
      <c r="N817" s="642">
        <f>N816/(D816+E816+G816+H816+I816+J816+L816+M816+N816)</f>
        <v>0.44060780345794726</v>
      </c>
      <c r="O817" s="1515"/>
    </row>
    <row r="818" spans="1:15" ht="12" customHeight="1">
      <c r="A818" s="1535" t="s">
        <v>15040</v>
      </c>
      <c r="B818" s="1536" t="s">
        <v>14937</v>
      </c>
      <c r="C818" s="632" t="s">
        <v>6218</v>
      </c>
      <c r="D818" s="633">
        <v>44604</v>
      </c>
      <c r="E818" s="633">
        <v>22485</v>
      </c>
      <c r="F818" s="634">
        <f t="shared" si="24"/>
        <v>67089</v>
      </c>
      <c r="G818" s="633">
        <v>75846</v>
      </c>
      <c r="H818" s="633">
        <v>7742</v>
      </c>
      <c r="I818" s="633">
        <v>2712</v>
      </c>
      <c r="J818" s="633">
        <v>7104</v>
      </c>
      <c r="K818" s="634">
        <f t="shared" si="25"/>
        <v>93404</v>
      </c>
      <c r="L818" s="633">
        <v>15492</v>
      </c>
      <c r="M818" s="633">
        <v>4363</v>
      </c>
      <c r="N818" s="633">
        <v>154133</v>
      </c>
      <c r="O818" s="1537">
        <f>1-N819</f>
        <v>0.53918757717179755</v>
      </c>
    </row>
    <row r="819" spans="1:15" ht="12" customHeight="1">
      <c r="A819" s="1517"/>
      <c r="B819" s="1502"/>
      <c r="C819" s="635" t="s">
        <v>6219</v>
      </c>
      <c r="D819" s="636">
        <f>D818/(D818+E818+G818+H818+I818+J818+L818+M818+N818)</f>
        <v>0.13335286608207941</v>
      </c>
      <c r="E819" s="636">
        <f>E818/(D818+E818+G818+H818+I818+J818+L818+M818+N818)</f>
        <v>6.7223549319692294E-2</v>
      </c>
      <c r="F819" s="637">
        <f t="shared" si="24"/>
        <v>0.20057641540177171</v>
      </c>
      <c r="G819" s="636">
        <f>G818/(D818+E818+G818+H818+I818+J818+L818+M818+N818)</f>
        <v>0.2267572747031969</v>
      </c>
      <c r="H819" s="636">
        <f>H818/(D818+E818+G818+H818+I818+J818+L818+M818+N818)</f>
        <v>2.3146307264089738E-2</v>
      </c>
      <c r="I819" s="636">
        <f>I818/(D818+E818+G818+H818+I818+J818+L818+M818+N818)</f>
        <v>8.1080838672450747E-3</v>
      </c>
      <c r="J819" s="636">
        <f>J818/(D818+E818+G818+H818+I818+J818+L818+M818+N818)</f>
        <v>2.1238874554907455E-2</v>
      </c>
      <c r="K819" s="637">
        <f t="shared" si="25"/>
        <v>0.27925054038943919</v>
      </c>
      <c r="L819" s="636">
        <f>L818/(D818+E818+G818+H818+I818+J818+L818+M818+N818)</f>
        <v>4.6316532179705272E-2</v>
      </c>
      <c r="M819" s="636">
        <f>M818/(D818+E818+G818+H818+I818+J818+L818+M818+N818)</f>
        <v>1.3044089200881365E-2</v>
      </c>
      <c r="N819" s="636">
        <f>N818/(D818+E818+G818+H818+I818+J818+L818+M818+N818)</f>
        <v>0.46081242282820251</v>
      </c>
      <c r="O819" s="1503"/>
    </row>
    <row r="820" spans="1:15" ht="12" customHeight="1">
      <c r="A820" s="1517"/>
      <c r="B820" s="1502" t="s">
        <v>14938</v>
      </c>
      <c r="C820" s="638" t="s">
        <v>6218</v>
      </c>
      <c r="D820" s="639">
        <v>88794</v>
      </c>
      <c r="E820" s="639">
        <v>24970</v>
      </c>
      <c r="F820" s="640">
        <f t="shared" si="24"/>
        <v>113764</v>
      </c>
      <c r="G820" s="639">
        <v>62706</v>
      </c>
      <c r="H820" s="639">
        <v>10640</v>
      </c>
      <c r="I820" s="639"/>
      <c r="J820" s="639">
        <v>7462</v>
      </c>
      <c r="K820" s="640">
        <f t="shared" si="25"/>
        <v>80808</v>
      </c>
      <c r="L820" s="639">
        <v>15557</v>
      </c>
      <c r="M820" s="639"/>
      <c r="N820" s="639">
        <v>114491</v>
      </c>
      <c r="O820" s="1503">
        <f>1-N821</f>
        <v>0.6473076212186557</v>
      </c>
    </row>
    <row r="821" spans="1:15" ht="12" customHeight="1">
      <c r="A821" s="1517"/>
      <c r="B821" s="1502"/>
      <c r="C821" s="635" t="s">
        <v>6219</v>
      </c>
      <c r="D821" s="636">
        <f>D820/(D820+E820+G820+H820+I820+J820+L820+M820+N820)</f>
        <v>0.2735321298749307</v>
      </c>
      <c r="E821" s="636">
        <f>E820/(D820+E820+G820+H820+I820+J820+L820+M820+N820)</f>
        <v>7.6920707288521961E-2</v>
      </c>
      <c r="F821" s="637">
        <f t="shared" si="24"/>
        <v>0.35045283716345266</v>
      </c>
      <c r="G821" s="636">
        <f>G820/(D820+E820+G820+H820+I820+J820+L820+M820+N820)</f>
        <v>0.19316739572423142</v>
      </c>
      <c r="H821" s="636">
        <f>H820/(D820+E820+G820+H820+I820+J820+L820+M820+N820)</f>
        <v>3.2776785164191975E-2</v>
      </c>
      <c r="I821" s="636">
        <f>I820/(D820+E820+G820+H820+I820+J820+L820+M820+N820)</f>
        <v>0</v>
      </c>
      <c r="J821" s="636">
        <f>J820/(D820+E820+G820+H820+I820+J820+L820+M820+N820)</f>
        <v>2.2986876963834637E-2</v>
      </c>
      <c r="K821" s="637">
        <f t="shared" si="25"/>
        <v>0.24893105785225803</v>
      </c>
      <c r="L821" s="636">
        <f>L820/(D820+E820+G820+H820+I820+J820+L820+M820+N820)</f>
        <v>4.792372620294498E-2</v>
      </c>
      <c r="M821" s="636">
        <f>M820/(D820+E820+G820+H820+I820+J820+L820+M820+N820)</f>
        <v>0</v>
      </c>
      <c r="N821" s="636">
        <f>N820/(D820+E820+G820+H820+I820+J820+L820+M820+N820)</f>
        <v>0.35269237878134435</v>
      </c>
      <c r="O821" s="1503"/>
    </row>
    <row r="822" spans="1:15" ht="12" customHeight="1">
      <c r="A822" s="1517"/>
      <c r="B822" s="1502" t="s">
        <v>14939</v>
      </c>
      <c r="C822" s="638" t="s">
        <v>6218</v>
      </c>
      <c r="D822" s="639">
        <v>42126</v>
      </c>
      <c r="E822" s="639">
        <v>25106</v>
      </c>
      <c r="F822" s="640">
        <f t="shared" si="24"/>
        <v>67232</v>
      </c>
      <c r="G822" s="639">
        <v>67755</v>
      </c>
      <c r="H822" s="639">
        <v>9753</v>
      </c>
      <c r="I822" s="639"/>
      <c r="J822" s="639"/>
      <c r="K822" s="640">
        <f t="shared" si="25"/>
        <v>77508</v>
      </c>
      <c r="L822" s="639">
        <v>14529</v>
      </c>
      <c r="M822" s="639">
        <v>7339</v>
      </c>
      <c r="N822" s="639">
        <v>151757</v>
      </c>
      <c r="O822" s="1503">
        <f>1-N823</f>
        <v>0.52332385783613145</v>
      </c>
    </row>
    <row r="823" spans="1:15" ht="12" customHeight="1">
      <c r="A823" s="1517"/>
      <c r="B823" s="1502"/>
      <c r="C823" s="635" t="s">
        <v>6219</v>
      </c>
      <c r="D823" s="636">
        <f>D822/(D822+E822+G822+H822+I822+J822+L822+M822+N822)</f>
        <v>0.13231982158842837</v>
      </c>
      <c r="E823" s="636">
        <f>E822/(D822+E822+G822+H822+I822+J822+L822+M822+N822)</f>
        <v>7.8859171077222678E-2</v>
      </c>
      <c r="F823" s="637">
        <f t="shared" si="24"/>
        <v>0.21117899266565104</v>
      </c>
      <c r="G823" s="636">
        <f>G822/(D822+E822+G822+H822+I822+J822+L822+M822+N822)</f>
        <v>0.21282176118606003</v>
      </c>
      <c r="H823" s="636">
        <f>H822/(D822+E822+G822+H822+I822+J822+L822+M822+N822)</f>
        <v>3.0634648909270805E-2</v>
      </c>
      <c r="I823" s="636">
        <f>I822/(D822+E822+G822+H822+I822+J822+L822+M822+N822)</f>
        <v>0</v>
      </c>
      <c r="J823" s="636">
        <f>J822/(D822+E822+G822+H822+I822+J822+L822+M822+N822)</f>
        <v>0</v>
      </c>
      <c r="K823" s="637">
        <f t="shared" si="25"/>
        <v>0.24345641009533084</v>
      </c>
      <c r="L823" s="636">
        <f>L822/(D822+E822+G822+H822+I822+J822+L822+M822+N822)</f>
        <v>4.5636297959888807E-2</v>
      </c>
      <c r="M823" s="636">
        <f>M822/(D822+E822+G822+H822+I822+J822+L822+M822+N822)</f>
        <v>2.3052157115260787E-2</v>
      </c>
      <c r="N823" s="636">
        <f>N822/(D822+E822+G822+H822+I822+J822+L822+M822+N822)</f>
        <v>0.4766761421638685</v>
      </c>
      <c r="O823" s="1503"/>
    </row>
    <row r="824" spans="1:15" ht="12" customHeight="1">
      <c r="A824" s="1517"/>
      <c r="B824" s="1502" t="s">
        <v>14940</v>
      </c>
      <c r="C824" s="638" t="s">
        <v>6218</v>
      </c>
      <c r="D824" s="639">
        <v>53700</v>
      </c>
      <c r="E824" s="639">
        <v>24308</v>
      </c>
      <c r="F824" s="640">
        <f t="shared" si="24"/>
        <v>78008</v>
      </c>
      <c r="G824" s="639">
        <v>73026</v>
      </c>
      <c r="H824" s="639">
        <v>7838</v>
      </c>
      <c r="I824" s="639"/>
      <c r="J824" s="639"/>
      <c r="K824" s="640">
        <f t="shared" si="25"/>
        <v>80864</v>
      </c>
      <c r="L824" s="639">
        <v>13986</v>
      </c>
      <c r="M824" s="639"/>
      <c r="N824" s="639">
        <v>144333</v>
      </c>
      <c r="O824" s="1503">
        <f>1-N825</f>
        <v>0.5449650210756295</v>
      </c>
    </row>
    <row r="825" spans="1:15" ht="12" customHeight="1" thickBot="1">
      <c r="A825" s="1519"/>
      <c r="B825" s="1514"/>
      <c r="C825" s="641" t="s">
        <v>6219</v>
      </c>
      <c r="D825" s="642">
        <f>D824/(D824+E824+G824+H824+I824+J824+L824+M824+N824)</f>
        <v>0.16929862448808447</v>
      </c>
      <c r="E825" s="642">
        <f>E824/(D824+E824+G824+H824+I824+J824+L824+M824+N824)</f>
        <v>7.6635213483358611E-2</v>
      </c>
      <c r="F825" s="643">
        <f t="shared" si="24"/>
        <v>0.24593383797144308</v>
      </c>
      <c r="G825" s="642">
        <f>G824/(D824+E824+G824+H824+I824+J824+L824+M824+N824)</f>
        <v>0.23022721325636603</v>
      </c>
      <c r="H825" s="642">
        <f>H824/(D824+E824+G824+H824+I824+J824+L824+M824+N824)</f>
        <v>2.4710663291203094E-2</v>
      </c>
      <c r="I825" s="642">
        <f>I824/(D824+E824+G824+H824+I824+J824+L824+M824+N824)</f>
        <v>0</v>
      </c>
      <c r="J825" s="642">
        <f>J824/(D824+E824+G824+H824+I824+J824+L824+M824+N824)</f>
        <v>0</v>
      </c>
      <c r="K825" s="643">
        <f t="shared" si="25"/>
        <v>0.25493787654756911</v>
      </c>
      <c r="L825" s="642">
        <f>L824/(D824+E824+G824+H824+I824+J824+L824+M824+N824)</f>
        <v>4.4093306556617307E-2</v>
      </c>
      <c r="M825" s="642">
        <f>M824/(D824+E824+G824+H824+I824+J824+L824+M824+N824)</f>
        <v>0</v>
      </c>
      <c r="N825" s="642">
        <f>N824/(D824+E824+G824+H824+I824+J824+L824+M824+N824)</f>
        <v>0.4550349789243705</v>
      </c>
      <c r="O825" s="1515"/>
    </row>
    <row r="826" spans="1:15" ht="12" customHeight="1">
      <c r="A826" s="1538" t="s">
        <v>15041</v>
      </c>
      <c r="B826" s="1536" t="s">
        <v>14937</v>
      </c>
      <c r="C826" s="632" t="s">
        <v>6218</v>
      </c>
      <c r="D826" s="633">
        <v>34940</v>
      </c>
      <c r="E826" s="633">
        <v>15404</v>
      </c>
      <c r="F826" s="634">
        <f t="shared" si="24"/>
        <v>50344</v>
      </c>
      <c r="G826" s="633">
        <v>61385</v>
      </c>
      <c r="H826" s="633">
        <v>3861</v>
      </c>
      <c r="I826" s="633">
        <v>1829</v>
      </c>
      <c r="J826" s="633">
        <v>3183</v>
      </c>
      <c r="K826" s="634">
        <f t="shared" si="25"/>
        <v>70258</v>
      </c>
      <c r="L826" s="633">
        <v>9516</v>
      </c>
      <c r="M826" s="633">
        <v>2397</v>
      </c>
      <c r="N826" s="633">
        <v>88054</v>
      </c>
      <c r="O826" s="1537">
        <f>1-N827</f>
        <v>0.60078705529788867</v>
      </c>
    </row>
    <row r="827" spans="1:15" ht="12" customHeight="1">
      <c r="A827" s="1527"/>
      <c r="B827" s="1502"/>
      <c r="C827" s="635" t="s">
        <v>6219</v>
      </c>
      <c r="D827" s="636">
        <f>D826/(D826+E826+G826+H826+I826+J826+L826+M826+N826)</f>
        <v>0.15840847988611273</v>
      </c>
      <c r="E827" s="636">
        <f>E826/(D826+E826+G826+H826+I826+J826+L826+M826+N826)</f>
        <v>6.9837556501593609E-2</v>
      </c>
      <c r="F827" s="637">
        <f t="shared" si="24"/>
        <v>0.22824603638770635</v>
      </c>
      <c r="G827" s="636">
        <f>G826/(D826+E826+G826+H826+I826+J826+L826+M826+N826)</f>
        <v>0.278302934682571</v>
      </c>
      <c r="H827" s="636">
        <f>H826/(D826+E826+G826+H826+I826+J826+L826+M826+N826)</f>
        <v>1.7504726412143137E-2</v>
      </c>
      <c r="I827" s="636">
        <f>I826/(D826+E826+G826+H826+I826+J826+L826+M826+N826)</f>
        <v>8.2921897456124834E-3</v>
      </c>
      <c r="J827" s="636">
        <f>J826/(D826+E826+G826+H826+I826+J826+L826+M826+N826)</f>
        <v>1.4430858370849939E-2</v>
      </c>
      <c r="K827" s="637">
        <f t="shared" si="25"/>
        <v>0.31853070921117654</v>
      </c>
      <c r="L827" s="636">
        <f>L826/(D826+E826+G826+H826+I826+J826+L826+M826+N826)</f>
        <v>4.314296206629218E-2</v>
      </c>
      <c r="M827" s="636">
        <f>M826/(D826+E826+G826+H826+I826+J826+L826+M826+N826)</f>
        <v>1.0867347632713572E-2</v>
      </c>
      <c r="N827" s="636">
        <f>N826/(D826+E826+G826+H826+I826+J826+L826+M826+N826)</f>
        <v>0.39921294470211138</v>
      </c>
      <c r="O827" s="1503"/>
    </row>
    <row r="828" spans="1:15" ht="12" customHeight="1">
      <c r="A828" s="1527"/>
      <c r="B828" s="1502" t="s">
        <v>14938</v>
      </c>
      <c r="C828" s="638" t="s">
        <v>6218</v>
      </c>
      <c r="D828" s="639">
        <v>56266</v>
      </c>
      <c r="E828" s="639">
        <v>17268</v>
      </c>
      <c r="F828" s="640">
        <f t="shared" si="24"/>
        <v>73534</v>
      </c>
      <c r="G828" s="639">
        <v>46954</v>
      </c>
      <c r="H828" s="639">
        <v>8967</v>
      </c>
      <c r="I828" s="639"/>
      <c r="J828" s="639">
        <v>7096</v>
      </c>
      <c r="K828" s="640">
        <f t="shared" si="25"/>
        <v>63017</v>
      </c>
      <c r="L828" s="639">
        <v>11124</v>
      </c>
      <c r="M828" s="639"/>
      <c r="N828" s="639">
        <v>73630</v>
      </c>
      <c r="O828" s="1503">
        <f>1-N829</f>
        <v>0.66729174668444002</v>
      </c>
    </row>
    <row r="829" spans="1:15" ht="12" customHeight="1">
      <c r="A829" s="1527"/>
      <c r="B829" s="1502"/>
      <c r="C829" s="635" t="s">
        <v>6219</v>
      </c>
      <c r="D829" s="636">
        <f>D828/(D828+E828+G828+H828+I828+J828+L828+M828+N828)</f>
        <v>0.2542464020243555</v>
      </c>
      <c r="E829" s="636">
        <f>E828/(D828+E828+G828+H828+I828+J828+L828+M828+N828)</f>
        <v>7.8028060821038844E-2</v>
      </c>
      <c r="F829" s="637">
        <f t="shared" si="24"/>
        <v>0.33227446284539436</v>
      </c>
      <c r="G829" s="636">
        <f>G828/(D828+E828+G828+H828+I828+J828+L828+M828+N828)</f>
        <v>0.21216872641829149</v>
      </c>
      <c r="H829" s="636">
        <f>H828/(D828+E828+G828+H828+I828+J828+L828+M828+N828)</f>
        <v>4.0518741103906374E-2</v>
      </c>
      <c r="I829" s="636">
        <f>I828/(D828+E828+G828+H828+I828+J828+L828+M828+N828)</f>
        <v>0</v>
      </c>
      <c r="J829" s="636">
        <f>J828/(D828+E828+G828+H828+I828+J828+L828+M828+N828)</f>
        <v>3.2064345586407896E-2</v>
      </c>
      <c r="K829" s="637">
        <f t="shared" si="25"/>
        <v>0.28475181310860576</v>
      </c>
      <c r="L829" s="636">
        <f>L828/(D828+E828+G828+H828+I828+J828+L828+M828+N828)</f>
        <v>5.0265470730439889E-2</v>
      </c>
      <c r="M829" s="636">
        <f>M828/(D828+E828+G828+H828+I828+J828+L828+M828+N828)</f>
        <v>0</v>
      </c>
      <c r="N829" s="636">
        <f>N828/(D828+E828+G828+H828+I828+J828+L828+M828+N828)</f>
        <v>0.33270825331555998</v>
      </c>
      <c r="O829" s="1503"/>
    </row>
    <row r="830" spans="1:15" ht="12" customHeight="1">
      <c r="A830" s="1527"/>
      <c r="B830" s="1502" t="s">
        <v>14939</v>
      </c>
      <c r="C830" s="638" t="s">
        <v>6218</v>
      </c>
      <c r="D830" s="639">
        <v>42626</v>
      </c>
      <c r="E830" s="639">
        <v>17945</v>
      </c>
      <c r="F830" s="640">
        <f t="shared" si="24"/>
        <v>60571</v>
      </c>
      <c r="G830" s="639">
        <v>46979</v>
      </c>
      <c r="H830" s="639">
        <v>5757</v>
      </c>
      <c r="I830" s="639"/>
      <c r="J830" s="639"/>
      <c r="K830" s="640">
        <f t="shared" si="25"/>
        <v>52736</v>
      </c>
      <c r="L830" s="639">
        <v>9174</v>
      </c>
      <c r="M830" s="639">
        <v>3888</v>
      </c>
      <c r="N830" s="639">
        <v>94652</v>
      </c>
      <c r="O830" s="1503">
        <f>1-N831</f>
        <v>0.57175110057415357</v>
      </c>
    </row>
    <row r="831" spans="1:15" ht="12" customHeight="1">
      <c r="A831" s="1527"/>
      <c r="B831" s="1502"/>
      <c r="C831" s="635" t="s">
        <v>6219</v>
      </c>
      <c r="D831" s="636">
        <f>D830/(D830+E830+G830+H830+I830+J830+L830+M830+N830)</f>
        <v>0.19285950203826785</v>
      </c>
      <c r="E831" s="636">
        <f>E830/(D830+E830+G830+H830+I830+J830+L830+M830+N830)</f>
        <v>8.1191380004614941E-2</v>
      </c>
      <c r="F831" s="637">
        <f t="shared" si="24"/>
        <v>0.2740508820428828</v>
      </c>
      <c r="G831" s="636">
        <f>G830/(D830+E830+G830+H830+I830+J830+L830+M830+N830)</f>
        <v>0.21255446315056034</v>
      </c>
      <c r="H831" s="636">
        <f>H830/(D830+E830+G830+H830+I830+J830+L830+M830+N830)</f>
        <v>2.6047298672976775E-2</v>
      </c>
      <c r="I831" s="636">
        <f>I830/(D830+E830+G830+H830+I830+J830+L830+M830+N830)</f>
        <v>0</v>
      </c>
      <c r="J831" s="636">
        <f>J830/(D830+E830+G830+H830+I830+J830+L830+M830+N830)</f>
        <v>0</v>
      </c>
      <c r="K831" s="637">
        <f t="shared" si="25"/>
        <v>0.23860176182353712</v>
      </c>
      <c r="L831" s="636">
        <f>L830/(D830+E830+G830+H830+I830+J830+L830+M830+N830)</f>
        <v>4.1507368078146423E-2</v>
      </c>
      <c r="M831" s="636">
        <f>M830/(D830+E830+G830+H830+I830+J830+L830+M830+N830)</f>
        <v>1.7591088629587234E-2</v>
      </c>
      <c r="N831" s="636">
        <f>N830/(D830+E830+G830+H830+I830+J830+L830+M830+N830)</f>
        <v>0.42824889942584643</v>
      </c>
      <c r="O831" s="1503"/>
    </row>
    <row r="832" spans="1:15" ht="12" customHeight="1">
      <c r="A832" s="1527"/>
      <c r="B832" s="1502" t="s">
        <v>14940</v>
      </c>
      <c r="C832" s="638" t="s">
        <v>6218</v>
      </c>
      <c r="D832" s="639">
        <v>41950</v>
      </c>
      <c r="E832" s="639">
        <v>17680</v>
      </c>
      <c r="F832" s="640">
        <f t="shared" si="24"/>
        <v>59630</v>
      </c>
      <c r="G832" s="639">
        <v>54342</v>
      </c>
      <c r="H832" s="639">
        <v>4785</v>
      </c>
      <c r="I832" s="639"/>
      <c r="J832" s="639"/>
      <c r="K832" s="640">
        <f t="shared" si="25"/>
        <v>59127</v>
      </c>
      <c r="L832" s="639">
        <v>11190</v>
      </c>
      <c r="M832" s="639"/>
      <c r="N832" s="639">
        <v>91429</v>
      </c>
      <c r="O832" s="1503">
        <f>1-N833</f>
        <v>0.58699678375252962</v>
      </c>
    </row>
    <row r="833" spans="1:15" ht="12" customHeight="1" thickBot="1">
      <c r="A833" s="1528"/>
      <c r="B833" s="1514"/>
      <c r="C833" s="641" t="s">
        <v>6219</v>
      </c>
      <c r="D833" s="642">
        <f>D832/(D832+E832+G832+H832+I832+J832+L832+M832+N832)</f>
        <v>0.1894966030644695</v>
      </c>
      <c r="E833" s="642">
        <f>E832/(D832+E832+G832+H832+I832+J832+L832+M832+N832)</f>
        <v>7.9864122578779992E-2</v>
      </c>
      <c r="F833" s="643">
        <f t="shared" si="24"/>
        <v>0.26936072564324948</v>
      </c>
      <c r="G833" s="642">
        <f>G832/(D832+E832+G832+H832+I832+J832+L832+M832+N832)</f>
        <v>0.24547376409366869</v>
      </c>
      <c r="H833" s="642">
        <f>H832/(D832+E832+G832+H832+I832+J832+L832+M832+N832)</f>
        <v>2.16148091934085E-2</v>
      </c>
      <c r="I833" s="642">
        <f>I832/(D832+E832+G832+H832+I832+J832+L832+M832+N832)</f>
        <v>0</v>
      </c>
      <c r="J833" s="642">
        <f>J832/(D832+E832+G832+H832+I832+J832+L832+M832+N832)</f>
        <v>0</v>
      </c>
      <c r="K833" s="643">
        <f t="shared" si="25"/>
        <v>0.26708857328707719</v>
      </c>
      <c r="L833" s="642">
        <f>L832/(D832+E832+G832+H832+I832+J832+L832+M832+N832)</f>
        <v>5.0547484822202948E-2</v>
      </c>
      <c r="M833" s="642">
        <f>M832/(D832+E832+G832+H832+I832+J832+L832+M832+N832)</f>
        <v>0</v>
      </c>
      <c r="N833" s="642">
        <f>N832/(D832+E832+G832+H832+I832+J832+L832+M832+N832)</f>
        <v>0.41300321624747038</v>
      </c>
      <c r="O833" s="1515"/>
    </row>
    <row r="834" spans="1:15" ht="12" customHeight="1">
      <c r="A834" s="1535" t="s">
        <v>15042</v>
      </c>
      <c r="B834" s="1536" t="s">
        <v>14937</v>
      </c>
      <c r="C834" s="632" t="s">
        <v>6218</v>
      </c>
      <c r="D834" s="633">
        <v>48245</v>
      </c>
      <c r="E834" s="633">
        <v>15275</v>
      </c>
      <c r="F834" s="634">
        <f t="shared" ref="F834:F897" si="26">SUM(D834:E834)</f>
        <v>63520</v>
      </c>
      <c r="G834" s="633">
        <v>61737</v>
      </c>
      <c r="H834" s="633">
        <v>2696</v>
      </c>
      <c r="I834" s="633">
        <v>2595</v>
      </c>
      <c r="J834" s="633">
        <v>2548</v>
      </c>
      <c r="K834" s="634">
        <f t="shared" ref="K834:K897" si="27">SUM(G834:J834)</f>
        <v>69576</v>
      </c>
      <c r="L834" s="633">
        <v>6918</v>
      </c>
      <c r="M834" s="633">
        <v>2406</v>
      </c>
      <c r="N834" s="633">
        <v>94094</v>
      </c>
      <c r="O834" s="1537">
        <f>1-N835</f>
        <v>0.60216308548331177</v>
      </c>
    </row>
    <row r="835" spans="1:15" ht="12" customHeight="1">
      <c r="A835" s="1517"/>
      <c r="B835" s="1502"/>
      <c r="C835" s="635" t="s">
        <v>6219</v>
      </c>
      <c r="D835" s="636">
        <f>D834/(D834+E834+G834+H834+I834+J834+L834+M834+N834)</f>
        <v>0.20398369652536424</v>
      </c>
      <c r="E835" s="636">
        <f>E834/(D834+E834+G834+H834+I834+J834+L834+M834+N834)</f>
        <v>6.4583914694267566E-2</v>
      </c>
      <c r="F835" s="637">
        <f t="shared" si="26"/>
        <v>0.2685676112196318</v>
      </c>
      <c r="G835" s="636">
        <f>G834/(D834+E834+G834+H834+I834+J834+L834+M834+N834)</f>
        <v>0.26102894543240568</v>
      </c>
      <c r="H835" s="636">
        <f>H834/(D834+E834+G834+H834+I834+J834+L834+M834+N834)</f>
        <v>1.1398902390556161E-2</v>
      </c>
      <c r="I835" s="636">
        <f>I834/(D834+E834+G834+H834+I834+J834+L834+M834+N834)</f>
        <v>1.0971866358862478E-2</v>
      </c>
      <c r="J835" s="636">
        <f>J834/(D834+E834+G834+H834+I834+J834+L834+M834+N834)</f>
        <v>1.0773146621341654E-2</v>
      </c>
      <c r="K835" s="637">
        <f t="shared" si="27"/>
        <v>0.29417286080316601</v>
      </c>
      <c r="L835" s="636">
        <f>L834/(D834+E834+G834+H834+I834+J834+L834+M834+N834)</f>
        <v>2.9249854131256501E-2</v>
      </c>
      <c r="M835" s="636">
        <f>M834/(D834+E834+G834+H834+I834+J834+L834+M834+N834)</f>
        <v>1.0172759329257465E-2</v>
      </c>
      <c r="N835" s="636">
        <f>N834/(D834+E834+G834+H834+I834+J834+L834+M834+N834)</f>
        <v>0.39783691451668823</v>
      </c>
      <c r="O835" s="1503"/>
    </row>
    <row r="836" spans="1:15" ht="12" customHeight="1">
      <c r="A836" s="1517"/>
      <c r="B836" s="1502" t="s">
        <v>14938</v>
      </c>
      <c r="C836" s="638" t="s">
        <v>6218</v>
      </c>
      <c r="D836" s="639">
        <v>72193</v>
      </c>
      <c r="E836" s="639">
        <v>19723</v>
      </c>
      <c r="F836" s="640">
        <f t="shared" si="26"/>
        <v>91916</v>
      </c>
      <c r="G836" s="639">
        <v>48600</v>
      </c>
      <c r="H836" s="639">
        <v>6919</v>
      </c>
      <c r="I836" s="639"/>
      <c r="J836" s="639">
        <v>7520</v>
      </c>
      <c r="K836" s="640">
        <f t="shared" si="27"/>
        <v>63039</v>
      </c>
      <c r="L836" s="639">
        <v>8995</v>
      </c>
      <c r="M836" s="639"/>
      <c r="N836" s="639">
        <v>73466</v>
      </c>
      <c r="O836" s="1503">
        <f>1-N837</f>
        <v>0.69056002965259289</v>
      </c>
    </row>
    <row r="837" spans="1:15" ht="12" customHeight="1">
      <c r="A837" s="1517"/>
      <c r="B837" s="1502"/>
      <c r="C837" s="635" t="s">
        <v>6219</v>
      </c>
      <c r="D837" s="636">
        <f>D836/(D836+E836+G836+H836+I836+J836+L836+M836+N836)</f>
        <v>0.30407807392930553</v>
      </c>
      <c r="E837" s="636">
        <f>E836/(D836+E836+G836+H836+I836+J836+L836+M836+N836)</f>
        <v>8.3073592344239652E-2</v>
      </c>
      <c r="F837" s="637">
        <f t="shared" si="26"/>
        <v>0.38715166627354519</v>
      </c>
      <c r="G837" s="636">
        <f>G836/(D836+E836+G836+H836+I836+J836+L836+M836+N836)</f>
        <v>0.20470397951275399</v>
      </c>
      <c r="H837" s="636">
        <f>H836/(D836+E836+G836+H836+I836+J836+L836+M836+N836)</f>
        <v>2.9142938976311622E-2</v>
      </c>
      <c r="I837" s="636">
        <f>I836/(D836+E836+G836+H836+I836+J836+L836+M836+N836)</f>
        <v>0</v>
      </c>
      <c r="J837" s="636">
        <f>J836/(D836+E836+G836+H836+I836+J836+L836+M836+N836)</f>
        <v>3.1674360615965229E-2</v>
      </c>
      <c r="K837" s="637">
        <f t="shared" si="27"/>
        <v>0.26552127910503082</v>
      </c>
      <c r="L837" s="636">
        <f>L836/(D836+E836+G836+H836+I836+J836+L836+M836+N836)</f>
        <v>3.7887084274016915E-2</v>
      </c>
      <c r="M837" s="636">
        <f>M836/(D836+E836+G836+H836+I836+J836+L836+M836+N836)</f>
        <v>0</v>
      </c>
      <c r="N837" s="636">
        <f>N836/(D836+E836+G836+H836+I836+J836+L836+M836+N836)</f>
        <v>0.30943997034740706</v>
      </c>
      <c r="O837" s="1503"/>
    </row>
    <row r="838" spans="1:15" ht="12" customHeight="1">
      <c r="A838" s="1517"/>
      <c r="B838" s="1502" t="s">
        <v>14939</v>
      </c>
      <c r="C838" s="638" t="s">
        <v>6218</v>
      </c>
      <c r="D838" s="639">
        <v>56549</v>
      </c>
      <c r="E838" s="639">
        <v>18795</v>
      </c>
      <c r="F838" s="640">
        <f t="shared" si="26"/>
        <v>75344</v>
      </c>
      <c r="G838" s="639">
        <v>45572</v>
      </c>
      <c r="H838" s="639">
        <v>4507</v>
      </c>
      <c r="I838" s="639"/>
      <c r="J838" s="639"/>
      <c r="K838" s="640">
        <f t="shared" si="27"/>
        <v>50079</v>
      </c>
      <c r="L838" s="639">
        <v>6647</v>
      </c>
      <c r="M838" s="639">
        <v>4212</v>
      </c>
      <c r="N838" s="639">
        <v>100857</v>
      </c>
      <c r="O838" s="1503">
        <f>1-N839</f>
        <v>0.57469247993792671</v>
      </c>
    </row>
    <row r="839" spans="1:15" ht="12" customHeight="1">
      <c r="A839" s="1517"/>
      <c r="B839" s="1502"/>
      <c r="C839" s="635" t="s">
        <v>6219</v>
      </c>
      <c r="D839" s="636">
        <f>D838/(D838+E838+G838+H838+I838+J838+L838+M838+N838)</f>
        <v>0.23846351717768904</v>
      </c>
      <c r="E839" s="636">
        <f>E838/(D838+E838+G838+H838+I838+J838+L838+M838+N838)</f>
        <v>7.9257313221359621E-2</v>
      </c>
      <c r="F839" s="637">
        <f t="shared" si="26"/>
        <v>0.31772083039904864</v>
      </c>
      <c r="G839" s="636">
        <f>G838/(D838+E838+G838+H838+I838+J838+L838+M838+N838)</f>
        <v>0.19217421006245283</v>
      </c>
      <c r="H839" s="636">
        <f>H838/(D838+E838+G838+H838+I838+J838+L838+M838+N838)</f>
        <v>1.9005730816103635E-2</v>
      </c>
      <c r="I839" s="636">
        <f>I838/(D838+E838+G838+H838+I838+J838+L838+M838+N838)</f>
        <v>0</v>
      </c>
      <c r="J839" s="636">
        <f>J838/(D838+E838+G838+H838+I838+J838+L838+M838+N838)</f>
        <v>0</v>
      </c>
      <c r="K839" s="637">
        <f t="shared" si="27"/>
        <v>0.21117994087855646</v>
      </c>
      <c r="L839" s="636">
        <f>L838/(D838+E838+G838+H838+I838+J838+L838+M838+N838)</f>
        <v>2.802997398150452E-2</v>
      </c>
      <c r="M839" s="636">
        <f>M838/(D838+E838+G838+H838+I838+J838+L838+M838+N838)</f>
        <v>1.7761734678817066E-2</v>
      </c>
      <c r="N839" s="636">
        <f>N838/(D838+E838+G838+H838+I838+J838+L838+M838+N838)</f>
        <v>0.42530752006207329</v>
      </c>
      <c r="O839" s="1503"/>
    </row>
    <row r="840" spans="1:15" ht="12" customHeight="1">
      <c r="A840" s="1517"/>
      <c r="B840" s="1502" t="s">
        <v>14940</v>
      </c>
      <c r="C840" s="638" t="s">
        <v>6218</v>
      </c>
      <c r="D840" s="639">
        <v>56130</v>
      </c>
      <c r="E840" s="639">
        <v>19498</v>
      </c>
      <c r="F840" s="640">
        <f t="shared" si="26"/>
        <v>75628</v>
      </c>
      <c r="G840" s="639">
        <v>46031</v>
      </c>
      <c r="H840" s="639">
        <v>3824</v>
      </c>
      <c r="I840" s="639"/>
      <c r="J840" s="639"/>
      <c r="K840" s="640">
        <f t="shared" si="27"/>
        <v>49855</v>
      </c>
      <c r="L840" s="639">
        <v>8885</v>
      </c>
      <c r="M840" s="639"/>
      <c r="N840" s="639">
        <v>103151</v>
      </c>
      <c r="O840" s="1503">
        <f>1-N841</f>
        <v>0.56571474282057443</v>
      </c>
    </row>
    <row r="841" spans="1:15" ht="12" customHeight="1" thickBot="1">
      <c r="A841" s="1519"/>
      <c r="B841" s="1514"/>
      <c r="C841" s="641" t="s">
        <v>6219</v>
      </c>
      <c r="D841" s="642">
        <f>D840/(D840+E840+G840+H840+I840+J840+L840+M840+N840)</f>
        <v>0.23631793667032952</v>
      </c>
      <c r="E841" s="642">
        <f>E840/(D840+E840+G840+H840+I840+J840+L840+M840+N840)</f>
        <v>8.2090274883272502E-2</v>
      </c>
      <c r="F841" s="643">
        <f t="shared" si="26"/>
        <v>0.31840821155360199</v>
      </c>
      <c r="G841" s="642">
        <f>G840/(D840+E840+G840+H840+I840+J840+L840+M840+N840)</f>
        <v>0.19379923290347298</v>
      </c>
      <c r="H841" s="642">
        <f>H840/(D840+E840+G840+H840+I840+J840+L840+M840+N840)</f>
        <v>1.6099764650406915E-2</v>
      </c>
      <c r="I841" s="642">
        <f>I840/(D840+E840+G840+H840+I840+J840+L840+M840+N840)</f>
        <v>0</v>
      </c>
      <c r="J841" s="642">
        <f>J840/(D840+E840+G840+H840+I840+J840+L840+M840+N840)</f>
        <v>0</v>
      </c>
      <c r="K841" s="643">
        <f t="shared" si="27"/>
        <v>0.20989899755387989</v>
      </c>
      <c r="L841" s="642">
        <f>L840/(D840+E840+G840+H840+I840+J840+L840+M840+N840)</f>
        <v>3.7407533713092425E-2</v>
      </c>
      <c r="M841" s="642">
        <f>M840/(D840+E840+G840+H840+I840+J840+L840+M840+N840)</f>
        <v>0</v>
      </c>
      <c r="N841" s="642">
        <f>N840/(D840+E840+G840+H840+I840+J840+L840+M840+N840)</f>
        <v>0.43428525717942562</v>
      </c>
      <c r="O841" s="1515"/>
    </row>
    <row r="842" spans="1:15" ht="12" customHeight="1">
      <c r="A842" s="1535" t="s">
        <v>15043</v>
      </c>
      <c r="B842" s="1536" t="s">
        <v>14937</v>
      </c>
      <c r="C842" s="632" t="s">
        <v>6218</v>
      </c>
      <c r="D842" s="633">
        <v>42744</v>
      </c>
      <c r="E842" s="633">
        <v>18841</v>
      </c>
      <c r="F842" s="634">
        <f t="shared" si="26"/>
        <v>61585</v>
      </c>
      <c r="G842" s="633">
        <v>72161</v>
      </c>
      <c r="H842" s="633">
        <v>3666</v>
      </c>
      <c r="I842" s="633">
        <v>2622</v>
      </c>
      <c r="J842" s="633">
        <v>3165</v>
      </c>
      <c r="K842" s="634">
        <f t="shared" si="27"/>
        <v>81614</v>
      </c>
      <c r="L842" s="633">
        <v>10149</v>
      </c>
      <c r="M842" s="633">
        <v>3267</v>
      </c>
      <c r="N842" s="633">
        <v>91486</v>
      </c>
      <c r="O842" s="1537">
        <f>1-N843</f>
        <v>0.63125501307935072</v>
      </c>
    </row>
    <row r="843" spans="1:15" ht="12" customHeight="1">
      <c r="A843" s="1517"/>
      <c r="B843" s="1502"/>
      <c r="C843" s="635" t="s">
        <v>6219</v>
      </c>
      <c r="D843" s="636">
        <f>D842/(D842+E842+G842+H842+I842+J842+L842+M842+N842)</f>
        <v>0.17228467438664091</v>
      </c>
      <c r="E843" s="636">
        <f>E842/(D842+E842+G842+H842+I842+J842+L842+M842+N842)</f>
        <v>7.5940846671315315E-2</v>
      </c>
      <c r="F843" s="637">
        <f t="shared" si="26"/>
        <v>0.24822552105795623</v>
      </c>
      <c r="G843" s="636">
        <f>G842/(D842+E842+G842+H842+I842+J842+L842+M842+N842)</f>
        <v>0.29085332183264073</v>
      </c>
      <c r="H843" s="636">
        <f>H842/(D842+E842+G842+H842+I842+J842+L842+M842+N842)</f>
        <v>1.4776240321481978E-2</v>
      </c>
      <c r="I843" s="636">
        <f>I842/(D842+E842+G842+H842+I842+J842+L842+M842+N842)</f>
        <v>1.056827662927598E-2</v>
      </c>
      <c r="J843" s="636">
        <f>J842/(D842+E842+G842+H842+I842+J842+L842+M842+N842)</f>
        <v>1.2756901423210709E-2</v>
      </c>
      <c r="K843" s="637">
        <f t="shared" si="27"/>
        <v>0.32895474020660942</v>
      </c>
      <c r="L843" s="636">
        <f>L842/(D842+E842+G842+H842+I842+J842+L842+M842+N842)</f>
        <v>4.0906727502106E-2</v>
      </c>
      <c r="M843" s="636">
        <f>M842/(D842+E842+G842+H842+I842+J842+L842+M842+N842)</f>
        <v>1.316802431267911E-2</v>
      </c>
      <c r="N843" s="636">
        <f>N842/(D842+E842+G842+H842+I842+J842+L842+M842+N842)</f>
        <v>0.36874498692064928</v>
      </c>
      <c r="O843" s="1503"/>
    </row>
    <row r="844" spans="1:15" ht="12" customHeight="1">
      <c r="A844" s="1517"/>
      <c r="B844" s="1502" t="s">
        <v>14938</v>
      </c>
      <c r="C844" s="638" t="s">
        <v>6218</v>
      </c>
      <c r="D844" s="639">
        <v>64327</v>
      </c>
      <c r="E844" s="639">
        <v>23819</v>
      </c>
      <c r="F844" s="640">
        <f t="shared" si="26"/>
        <v>88146</v>
      </c>
      <c r="G844" s="639">
        <v>57489</v>
      </c>
      <c r="H844" s="639">
        <v>8603</v>
      </c>
      <c r="I844" s="639"/>
      <c r="J844" s="639">
        <v>8394</v>
      </c>
      <c r="K844" s="640">
        <f t="shared" si="27"/>
        <v>74486</v>
      </c>
      <c r="L844" s="639">
        <v>12037</v>
      </c>
      <c r="M844" s="639"/>
      <c r="N844" s="639">
        <v>72543</v>
      </c>
      <c r="O844" s="1503">
        <f>1-N845</f>
        <v>0.70655550701422265</v>
      </c>
    </row>
    <row r="845" spans="1:15" ht="12" customHeight="1">
      <c r="A845" s="1517"/>
      <c r="B845" s="1502"/>
      <c r="C845" s="635" t="s">
        <v>6219</v>
      </c>
      <c r="D845" s="636">
        <f>D844/(D844+E844+G844+H844+I844+J844+L844+M844+N844)</f>
        <v>0.26020986036276555</v>
      </c>
      <c r="E845" s="636">
        <f>E844/(D844+E844+G844+H844+I844+J844+L844+M844+N844)</f>
        <v>9.6350500784751547E-2</v>
      </c>
      <c r="F845" s="637">
        <f t="shared" si="26"/>
        <v>0.3565603611475171</v>
      </c>
      <c r="G845" s="636">
        <f>G844/(D844+E844+G844+H844+I844+J844+L844+M844+N844)</f>
        <v>0.23254939080627154</v>
      </c>
      <c r="H845" s="636">
        <f>H844/(D844+E844+G844+H844+I844+J844+L844+M844+N844)</f>
        <v>3.4800090610488166E-2</v>
      </c>
      <c r="I845" s="636">
        <f>I844/(D844+E844+G844+H844+I844+J844+L844+M844+N844)</f>
        <v>0</v>
      </c>
      <c r="J845" s="636">
        <f>J844/(D844+E844+G844+H844+I844+J844+L844+M844+N844)</f>
        <v>3.3954662395029367E-2</v>
      </c>
      <c r="K845" s="637">
        <f t="shared" si="27"/>
        <v>0.3013041438117891</v>
      </c>
      <c r="L845" s="636">
        <f>L844/(D844+E844+G844+H844+I844+J844+L844+M844+N844)</f>
        <v>4.869100205491643E-2</v>
      </c>
      <c r="M845" s="636">
        <f>M844/(D844+E844+G844+H844+I844+J844+L844+M844+N844)</f>
        <v>0</v>
      </c>
      <c r="N845" s="636">
        <f>N844/(D844+E844+G844+H844+I844+J844+L844+M844+N844)</f>
        <v>0.29344449298577741</v>
      </c>
      <c r="O845" s="1503"/>
    </row>
    <row r="846" spans="1:15" ht="12" customHeight="1">
      <c r="A846" s="1517"/>
      <c r="B846" s="1502" t="s">
        <v>14939</v>
      </c>
      <c r="C846" s="638" t="s">
        <v>6218</v>
      </c>
      <c r="D846" s="639">
        <v>62575</v>
      </c>
      <c r="E846" s="639">
        <v>20855</v>
      </c>
      <c r="F846" s="640">
        <f t="shared" si="26"/>
        <v>83430</v>
      </c>
      <c r="G846" s="639">
        <v>48339</v>
      </c>
      <c r="H846" s="639">
        <v>5363</v>
      </c>
      <c r="I846" s="639"/>
      <c r="J846" s="639"/>
      <c r="K846" s="640">
        <f t="shared" si="27"/>
        <v>53702</v>
      </c>
      <c r="L846" s="639">
        <v>9216</v>
      </c>
      <c r="M846" s="639">
        <v>4941</v>
      </c>
      <c r="N846" s="639">
        <v>94352</v>
      </c>
      <c r="O846" s="1503">
        <f>1-N847</f>
        <v>0.61589474069882466</v>
      </c>
    </row>
    <row r="847" spans="1:15" ht="12" customHeight="1">
      <c r="A847" s="1517"/>
      <c r="B847" s="1502"/>
      <c r="C847" s="635" t="s">
        <v>6219</v>
      </c>
      <c r="D847" s="636">
        <f>D846/(D846+E846+G846+H846+I846+J846+L846+M846+N846)</f>
        <v>0.25474167586030022</v>
      </c>
      <c r="E847" s="636">
        <f>E846/(D846+E846+G846+H846+I846+J846+L846+M846+N846)</f>
        <v>8.4900322014647395E-2</v>
      </c>
      <c r="F847" s="637">
        <f t="shared" si="26"/>
        <v>0.33964199787494764</v>
      </c>
      <c r="G847" s="636">
        <f>G846/(D846+E846+G846+H846+I846+J846+L846+M846+N846)</f>
        <v>0.19678718129302519</v>
      </c>
      <c r="H847" s="636">
        <f>H846/(D846+E846+G846+H846+I846+J846+L846+M846+N846)</f>
        <v>2.1832674512805274E-2</v>
      </c>
      <c r="I847" s="636">
        <f>I846/(D846+E846+G846+H846+I846+J846+L846+M846+N846)</f>
        <v>0</v>
      </c>
      <c r="J847" s="636">
        <f>J846/(D846+E846+G846+H846+I846+J846+L846+M846+N846)</f>
        <v>0</v>
      </c>
      <c r="K847" s="637">
        <f t="shared" si="27"/>
        <v>0.21861985580583046</v>
      </c>
      <c r="L847" s="636">
        <f>L846/(D846+E846+G846+H846+I846+J846+L846+M846+N846)</f>
        <v>3.7518166755549767E-2</v>
      </c>
      <c r="M847" s="636">
        <f>M846/(D846+E846+G846+H846+I846+J846+L846+M846+N846)</f>
        <v>2.0114720262496895E-2</v>
      </c>
      <c r="N847" s="636">
        <f>N846/(D846+E846+G846+H846+I846+J846+L846+M846+N846)</f>
        <v>0.38410525930117528</v>
      </c>
      <c r="O847" s="1503"/>
    </row>
    <row r="848" spans="1:15" ht="12" customHeight="1">
      <c r="A848" s="1517"/>
      <c r="B848" s="1502" t="s">
        <v>14940</v>
      </c>
      <c r="C848" s="638" t="s">
        <v>6218</v>
      </c>
      <c r="D848" s="639">
        <v>54334</v>
      </c>
      <c r="E848" s="639">
        <v>23628</v>
      </c>
      <c r="F848" s="640">
        <f t="shared" si="26"/>
        <v>77962</v>
      </c>
      <c r="G848" s="639">
        <v>61290</v>
      </c>
      <c r="H848" s="639">
        <v>4618</v>
      </c>
      <c r="I848" s="639"/>
      <c r="J848" s="639"/>
      <c r="K848" s="640">
        <f t="shared" si="27"/>
        <v>65908</v>
      </c>
      <c r="L848" s="639">
        <v>11587</v>
      </c>
      <c r="M848" s="639"/>
      <c r="N848" s="639">
        <v>89191</v>
      </c>
      <c r="O848" s="1503">
        <f>1-N849</f>
        <v>0.6354313135607077</v>
      </c>
    </row>
    <row r="849" spans="1:15" ht="12" customHeight="1" thickBot="1">
      <c r="A849" s="1518"/>
      <c r="B849" s="1504"/>
      <c r="C849" s="644" t="s">
        <v>6219</v>
      </c>
      <c r="D849" s="645">
        <f>D848/(D848+E848+G848+H848+I848+J848+L848+M848+N848)</f>
        <v>0.22209051371766783</v>
      </c>
      <c r="E849" s="645">
        <f>E848/(D848+E848+G848+H848+I848+J848+L848+M848+N848)</f>
        <v>9.6579575553448219E-2</v>
      </c>
      <c r="F849" s="646">
        <f t="shared" si="26"/>
        <v>0.31867008927111606</v>
      </c>
      <c r="G849" s="645">
        <f>G848/(D848+E848+G848+H848+I848+J848+L848+M848+N848)</f>
        <v>0.25052320068016087</v>
      </c>
      <c r="H849" s="645">
        <f>H848/(D848+E848+G848+H848+I848+J848+L848+M848+N848)</f>
        <v>1.8876099538929401E-2</v>
      </c>
      <c r="I849" s="645">
        <f>I848/(D848+E848+G848+H848+I848+J848+L848+M848+N848)</f>
        <v>0</v>
      </c>
      <c r="J849" s="645">
        <f>J848/(D848+E848+G848+H848+I848+J848+L848+M848+N848)</f>
        <v>0</v>
      </c>
      <c r="K849" s="646">
        <f t="shared" si="27"/>
        <v>0.26939930021909025</v>
      </c>
      <c r="L849" s="645">
        <f>L848/(D848+E848+G848+H848+I848+J848+L848+M848+N848)</f>
        <v>4.7361924070501292E-2</v>
      </c>
      <c r="M849" s="645">
        <f>M848/(D848+E848+G848+H848+I848+J848+L848+M848+N848)</f>
        <v>0</v>
      </c>
      <c r="N849" s="645">
        <f>N848/(D848+E848+G848+H848+I848+J848+L848+M848+N848)</f>
        <v>0.36456868643929236</v>
      </c>
      <c r="O849" s="1505"/>
    </row>
    <row r="850" spans="1:15" ht="12" customHeight="1" thickTop="1">
      <c r="A850" s="1511" t="s">
        <v>15044</v>
      </c>
      <c r="B850" s="1509" t="s">
        <v>14937</v>
      </c>
      <c r="C850" s="647" t="s">
        <v>6218</v>
      </c>
      <c r="D850" s="648">
        <f>D578+D586+D594+D602+D610+D618+D626+D634+D642+D650+D658+D666+D674+D682+D690+D698+D706+D714+D722+D730+D738+D746+D754+D762+D770+D778+D786+D794+D802+D810+D818+D826+D834+D842</f>
        <v>1930546</v>
      </c>
      <c r="E850" s="648">
        <f>E578+E586+E594+E602+E610+E618+E626+E634+E642+E650+E658+E666+E674+E682+E690+E698+E706+E714+E722+E730+E738+E746+E754+E762+E770+E778+E786+E794+E802+E810+E818+E826+E834+E842</f>
        <v>868883</v>
      </c>
      <c r="F850" s="649">
        <f t="shared" si="26"/>
        <v>2799429</v>
      </c>
      <c r="G850" s="648">
        <f>G578+G586+G594+G602+G610+G618+G626+G634+G642+G650+G658+G666+G674+G682+G690+G698+G706+G714+G722+G730+G738+G746+G754+G762+G770+G778+G786+G794+G802+G810+G818+G826+G834+G842</f>
        <v>2924570</v>
      </c>
      <c r="H850" s="648">
        <f>H578+H586+H594+H602+H610+H618+H626+H634+H642+H650+H658+H666+H674+H682+H690+H698+H706+H714+H722+H730+H738+H746+H754+H762+H770+H778+H786+H794+H802+H810+H818+H826+H834+H842</f>
        <v>302984</v>
      </c>
      <c r="I850" s="648">
        <f>I578+I586+I594+I602+I610+I618+I626+I634+I642+I650+I658+I666+I674+I682+I690+I698+I706+I714+I722+I730+I738+I746+I754+I762+I770+I778+I786+I794+I802+I810+I818+I826+I834+I842</f>
        <v>113941</v>
      </c>
      <c r="J850" s="648">
        <f>J578+J586+J594+J602+J610+J618+J626+J634+J642+J650+J658+J666+J674+J682+J690+J698+J706+J714+J722+J730+J738+J746+J754+J762+J770+J778+J786+J794+J802+J810+J818+J826+J834+J842</f>
        <v>225467</v>
      </c>
      <c r="K850" s="649">
        <f t="shared" si="27"/>
        <v>3566962</v>
      </c>
      <c r="L850" s="648">
        <f>L578+L586+L594+L602+L610+L618+L626+L634+L642+L650+L658+L666+L674+L682+L690+L698+L706+L714+L722+L730+L738+L746+L754+L762+L770+L778+L786+L794+L802+L810+L818+L826+L834+L842</f>
        <v>530316</v>
      </c>
      <c r="M850" s="648">
        <f>M578+M586+M594+M602+M610+M618+M626+M634+M642+M650+M658+M666+M674+M682+M690+M698+M706+M714+M722+M730+M738+M746+M754+M762+M770+M778+M786+M794+M802+M810+M818+M826+M834+M842</f>
        <v>167789</v>
      </c>
      <c r="N850" s="648">
        <f>N578+N586+N594+N602+N610+N618+N626+N634+N642+N650+N658+N666+N674+N682+N690+N698+N706+N714+N722+N730+N738+N746+N754+N762+N770+N778+N786+N794+N802+N810+N818+N826+N834+N842</f>
        <v>5785410</v>
      </c>
      <c r="O850" s="1510">
        <f>1-N851</f>
        <v>0.54977024734655644</v>
      </c>
    </row>
    <row r="851" spans="1:15" ht="12" customHeight="1">
      <c r="A851" s="1512"/>
      <c r="B851" s="1502"/>
      <c r="C851" s="635" t="s">
        <v>6219</v>
      </c>
      <c r="D851" s="650">
        <f>D850/(D850+E850+G850+H850+I850+J850+L850+M850+N850)</f>
        <v>0.15023814181987014</v>
      </c>
      <c r="E851" s="650">
        <f>E850/(D850+E850+G850+H850+I850+J850+L850+M850+N850)</f>
        <v>6.7617848722006213E-2</v>
      </c>
      <c r="F851" s="651">
        <f t="shared" si="26"/>
        <v>0.21785599054187635</v>
      </c>
      <c r="G851" s="650">
        <f>G850/(D850+E850+G850+H850+I850+J850+L850+M850+N850)</f>
        <v>0.22759466100374587</v>
      </c>
      <c r="H851" s="650">
        <f>H850/(D850+E850+G850+H850+I850+J850+L850+M850+N850)</f>
        <v>2.3578693883052528E-2</v>
      </c>
      <c r="I851" s="650">
        <f>I850/(D850+E850+G850+H850+I850+J850+L850+M850+N850)</f>
        <v>8.8670687552111268E-3</v>
      </c>
      <c r="J851" s="650">
        <f>J850/(D850+E850+G850+H850+I850+J850+L850+M850+N850)</f>
        <v>1.7546198392424037E-2</v>
      </c>
      <c r="K851" s="651">
        <f t="shared" si="27"/>
        <v>0.27758662203443357</v>
      </c>
      <c r="L851" s="650">
        <f>L850/(D850+E850+G850+H850+I850+J850+L850+M850+N850)</f>
        <v>4.1270029523951382E-2</v>
      </c>
      <c r="M851" s="650">
        <f>M850/(D850+E850+G850+H850+I850+J850+L850+M850+N850)</f>
        <v>1.3057605246295187E-2</v>
      </c>
      <c r="N851" s="650">
        <f>N850/(D850+E850+G850+H850+I850+J850+L850+M850+N850)</f>
        <v>0.45022975265344356</v>
      </c>
      <c r="O851" s="1503"/>
    </row>
    <row r="852" spans="1:15" ht="12" customHeight="1">
      <c r="A852" s="1512"/>
      <c r="B852" s="1502" t="s">
        <v>14938</v>
      </c>
      <c r="C852" s="638" t="s">
        <v>6218</v>
      </c>
      <c r="D852" s="648">
        <f>D580+D588+D596+D604+D612+D620+D628+D636+D644+D652+D660+D668+D676+D684+D692+D700+D708+D716+D724+D732+D740+D748+D756+D764+D772+D780+D788+D796+D804+D812+D820+D828+D836+D844</f>
        <v>3510617</v>
      </c>
      <c r="E852" s="648">
        <f>E580+E588+E596+E604+E612+E620+E628+E636+E644+E652+E660+E668+E676+E684+E692+E700+E708+E716+E724+E732+E740+E748+E756+E764+E772+E780+E788+E796+E804+E812+E820+E828+E836+E844</f>
        <v>1007504</v>
      </c>
      <c r="F852" s="652">
        <f t="shared" si="26"/>
        <v>4518121</v>
      </c>
      <c r="G852" s="648">
        <f>G580+G588+G596+G604+G612+G620+G628+G636+G644+G652+G660+G668+G676+G684+G692+G700+G708+G716+G724+G732+G740+G748+G756+G764+G772+G780+G788+G796+G804+G812+G820+G828+G836+G844</f>
        <v>2439549</v>
      </c>
      <c r="H852" s="648">
        <f>H580+H588+H596+H604+H612+H620+H628+H636+H644+H652+H660+H668+H676+H684+H692+H700+H708+H716+H724+H732+H740+H748+H756+H764+H772+H780+H788+H796+H804+H812+H820+H828+H836+H844</f>
        <v>444753</v>
      </c>
      <c r="I852" s="648">
        <f>I580+I588+I596+I604+I612+I620+I628+I636+I644+I652+I660+I668+I676+I684+I692+I700+I708+I716+I724+I732+I740+I748+I756+I764+I772+I780+I788+I796+I804+I812+I820+I828+I836+I844</f>
        <v>0</v>
      </c>
      <c r="J852" s="648">
        <f>J580+J588+J596+J604+J612+J620+J628+J636+J644+J652+J660+J668+J676+J684+J692+J700+J708+J716+J724+J732+J740+J748+J756+J764+J772+J780+J788+J796+J804+J812+J820+J828+J836+J844</f>
        <v>309851</v>
      </c>
      <c r="K852" s="652">
        <f t="shared" si="27"/>
        <v>3194153</v>
      </c>
      <c r="L852" s="648">
        <f>L580+L588+L596+L604+L612+L620+L628+L636+L644+L652+L660+L668+L676+L684+L692+L700+L708+L716+L724+L732+L740+L748+L756+L764+L772+L780+L788+L796+L804+L812+L820+L828+L836+L844</f>
        <v>566945</v>
      </c>
      <c r="M852" s="648">
        <f>M580+M588+M596+M604+M612+M620+M628+M636+M644+M652+M660+M668+M676+M684+M692+M700+M708+M716+M724+M732+M740+M748+M756+M764+M772+M780+M788+M796+M804+M812+M820+M828+M836+M844</f>
        <v>0</v>
      </c>
      <c r="N852" s="648">
        <f>N580+N588+N596+N604+N612+N620+N628+N636+N644+N652+N660+N668+N676+N684+N692+N700+N708+N716+N724+N732+N740+N748+N756+N764+N772+N780+N788+N796+N804+N812+N820+N828+N836+N844</f>
        <v>4423733</v>
      </c>
      <c r="O852" s="1503">
        <f>1-N853</f>
        <v>0.651755513206694</v>
      </c>
    </row>
    <row r="853" spans="1:15" ht="12" customHeight="1">
      <c r="A853" s="1512"/>
      <c r="B853" s="1502"/>
      <c r="C853" s="635" t="s">
        <v>6219</v>
      </c>
      <c r="D853" s="650">
        <f>D852/(D852+E852+G852+H852+I852+J852+L852+M852+N852)</f>
        <v>0.2763622975195057</v>
      </c>
      <c r="E853" s="650">
        <f>E852/(D852+E852+G852+H852+I852+J852+L852+M852+N852)</f>
        <v>7.9312588129121481E-2</v>
      </c>
      <c r="F853" s="651">
        <f t="shared" si="26"/>
        <v>0.35567488564862715</v>
      </c>
      <c r="G853" s="650">
        <f>G852/(D852+E852+G852+H852+I852+J852+L852+M852+N852)</f>
        <v>0.19204583312603243</v>
      </c>
      <c r="H853" s="650">
        <f>H852/(D852+E852+G852+H852+I852+J852+L852+M852+N852)</f>
        <v>3.5011783087899567E-2</v>
      </c>
      <c r="I853" s="650">
        <f>I852/(D852+E852+G852+H852+I852+J852+L852+M852+N852)</f>
        <v>0</v>
      </c>
      <c r="J853" s="650">
        <f>J852/(D852+E852+G852+H852+I852+J852+L852+M852+N852)</f>
        <v>2.4392046825021458E-2</v>
      </c>
      <c r="K853" s="651">
        <f t="shared" si="27"/>
        <v>0.25144966303895344</v>
      </c>
      <c r="L853" s="650">
        <f>L852/(D852+E852+G852+H852+I852+J852+L852+M852+N852)</f>
        <v>4.4630964519113352E-2</v>
      </c>
      <c r="M853" s="650">
        <f>M852/(D852+E852+G852+H852+I852+J852+L852+M852+N852)</f>
        <v>0</v>
      </c>
      <c r="N853" s="650">
        <f>N852/(D852+E852+G852+H852+I852+J852+L852+M852+N852)</f>
        <v>0.348244486793306</v>
      </c>
      <c r="O853" s="1503"/>
    </row>
    <row r="854" spans="1:15" ht="12" customHeight="1">
      <c r="A854" s="1512"/>
      <c r="B854" s="1502" t="s">
        <v>14939</v>
      </c>
      <c r="C854" s="638" t="s">
        <v>6218</v>
      </c>
      <c r="D854" s="648">
        <f>D582+D590+D598+D606+D614+D622+D630+D638+D646+D654+D662+D670+D678+D686+D694+D702+D710+D718+D726+D734+D742+D750+D758+D766+D774+D782+D790+D798+D806+D814+D822+D830+D838+D846</f>
        <v>1929674</v>
      </c>
      <c r="E854" s="648">
        <f>E582+E590+E598+E606+E614+E622+E630+E638+E646+E654+E662+E670+E678+E686+E694+E702+E710+E718+E726+E734+E742+E750+E758+E766+E774+E782+E790+E798+E806+E814+E822+E830+E838+E846</f>
        <v>984432</v>
      </c>
      <c r="F854" s="652">
        <f t="shared" si="26"/>
        <v>2914106</v>
      </c>
      <c r="G854" s="648">
        <f>G582+G590+G598+G606+G614+G622+G630+G638+G646+G654+G662+G670+G678+G686+G694+G702+G710+G718+G726+G734+G742+G750+G758+G766+G774+G782+G790+G798+G806+G814+G822+G830+G838+G846</f>
        <v>2581126</v>
      </c>
      <c r="H854" s="648">
        <f>H582+H590+H598+H606+H614+H622+H630+H638+H646+H654+H662+H670+H678+H686+H694+H702+H710+H718+H726+H734+H742+H750+H758+H766+H774+H782+H790+H798+H806+H814+H822+H830+H838+H846</f>
        <v>376721</v>
      </c>
      <c r="I854" s="648">
        <f>I582+I590+I598+I606+I614+I622+I630+I638+I646+I654+I662+I670+I678+I686+I694+I702+I710+I718+I726+I734+I742+I750+I758+I766+I774+I782+I790+I798+I806+I814+I822+I830+I838+I846</f>
        <v>0</v>
      </c>
      <c r="J854" s="648">
        <f>J582+J590+J598+J606+J614+J622+J630+J638+J646+J654+J662+J670+J678+J686+J694+J702+J710+J718+J726+J734+J742+J750+J758+J766+J774+J782+J790+J798+J806+J814+J822+J830+J838+J846</f>
        <v>0</v>
      </c>
      <c r="K854" s="652">
        <f t="shared" si="27"/>
        <v>2957847</v>
      </c>
      <c r="L854" s="648">
        <f>L582+L590+L598+L606+L614+L622+L630+L638+L646+L654+L662+L670+L678+L686+L694+L702+L710+L718+L726+L734+L742+L750+L758+L766+L774+L782+L790+L798+L806+L814+L822+L830+L838+L846</f>
        <v>502779</v>
      </c>
      <c r="M854" s="648">
        <f>M582+M590+M598+M606+M614+M622+M630+M638+M646+M654+M662+M670+M678+M686+M694+M702+M710+M718+M726+M734+M742+M750+M758+M766+M774+M782+M790+M798+M806+M814+M822+M830+M838+M846</f>
        <v>269491</v>
      </c>
      <c r="N854" s="648">
        <f>N582+N590+N598+N606+N614+N622+N630+N638+N646+N654+N662+N670+N678+N686+N694+N702+N710+N718+N726+N734+N742+N750+N758+N766+N774+N782+N790+N798+N806+N814+N822+N830+N838+N846</f>
        <v>5937138</v>
      </c>
      <c r="O854" s="1503">
        <f>1-N855</f>
        <v>0.52810049723555341</v>
      </c>
    </row>
    <row r="855" spans="1:15" ht="12" customHeight="1">
      <c r="A855" s="1512"/>
      <c r="B855" s="1502"/>
      <c r="C855" s="635" t="s">
        <v>6219</v>
      </c>
      <c r="D855" s="650">
        <f>D854/(D854+E854+G854+H854+I854+J854+L854+M854+N854)</f>
        <v>0.15337561651716378</v>
      </c>
      <c r="E855" s="650">
        <f>E854/(D854+E854+G854+H854+I854+J854+L854+M854+N854)</f>
        <v>7.8245270921007665E-2</v>
      </c>
      <c r="F855" s="651">
        <f t="shared" si="26"/>
        <v>0.23162088743817144</v>
      </c>
      <c r="G855" s="650">
        <f>G854/(D854+E854+G854+H854+I854+J854+L854+M854+N854)</f>
        <v>0.20515475233561775</v>
      </c>
      <c r="H855" s="650">
        <f>H854/(D854+E854+G854+H854+I854+J854+L854+M854+N854)</f>
        <v>2.9942785999066395E-2</v>
      </c>
      <c r="I855" s="650">
        <f>I854/(D854+E854+G854+H854+I854+J854+L854+M854+N854)</f>
        <v>0</v>
      </c>
      <c r="J855" s="650">
        <f>J854/(D854+E854+G854+H854+I854+J854+L854+M854+N854)</f>
        <v>0</v>
      </c>
      <c r="K855" s="651">
        <f t="shared" si="27"/>
        <v>0.23509753833468414</v>
      </c>
      <c r="L855" s="650">
        <f>L854/(D854+E854+G854+H854+I854+J854+L854+M854+N854)</f>
        <v>3.9962210765592053E-2</v>
      </c>
      <c r="M855" s="650">
        <f>M854/(D854+E854+G854+H854+I854+J854+L854+M854+N854)</f>
        <v>2.1419860697105823E-2</v>
      </c>
      <c r="N855" s="650">
        <f>N854/(D854+E854+G854+H854+I854+J854+L854+M854+N854)</f>
        <v>0.47189950276444653</v>
      </c>
      <c r="O855" s="1503"/>
    </row>
    <row r="856" spans="1:15" ht="12" customHeight="1">
      <c r="A856" s="1512"/>
      <c r="B856" s="1502" t="s">
        <v>14940</v>
      </c>
      <c r="C856" s="638" t="s">
        <v>6218</v>
      </c>
      <c r="D856" s="648">
        <f>D584+D592+D600+D608+D616+D624+D632+D640+D648+D656+D664+D672+D680+D688+D696+D704+D712+D720+D728+D736+D744+D752+D760+D768+D776+D784+D792+D800+D808+D816+D824+D832+D840+D848</f>
        <v>2441590</v>
      </c>
      <c r="E856" s="648">
        <f>E584+E592+E600+E608+E616+E624+E632+E640+E648+E656+E664+E672+E680+E688+E696+E704+E712+E720+E728+E736+E744+E752+E760+E768+E776+E784+E792+E800+E808+E816+E824+E832+E840+E848</f>
        <v>969464</v>
      </c>
      <c r="F856" s="652">
        <f t="shared" si="26"/>
        <v>3411054</v>
      </c>
      <c r="G856" s="648">
        <f>G584+G592+G600+G608+G616+G624+G632+G640+G648+G656+G664+G672+G680+G688+G696+G704+G712+G720+G728+G736+G744+G752+G760+G768+G776+G784+G792+G800+G808+G816+G824+G832+G840+G848</f>
        <v>2819155</v>
      </c>
      <c r="H856" s="648">
        <f>H584+H592+H600+H608+H616+H624+H632+H640+H648+H656+H664+H672+H680+H688+H696+H704+H712+H720+H728+H736+H744+H752+H760+H768+H776+H784+H792+H800+H808+H816+H824+H832+H840+H848</f>
        <v>300599</v>
      </c>
      <c r="I856" s="648">
        <f>I584+I592+I600+I608+I616+I624+I632+I640+I648+I656+I664+I672+I680+I688+I696+I704+I712+I720+I728+I736+I744+I752+I760+I768+I776+I784+I792+I800+I808+I816+I824+I832+I840+I848</f>
        <v>0</v>
      </c>
      <c r="J856" s="648">
        <f>J584+J592+J600+J608+J616+J624+J632+J640+J648+J656+J664+J672+J680+J688+J696+J704+J712+J720+J728+J736+J744+J752+J760+J768+J776+J784+J792+J800+J808+J816+J824+J832+J840+J848</f>
        <v>0</v>
      </c>
      <c r="K856" s="652">
        <f t="shared" si="27"/>
        <v>3119754</v>
      </c>
      <c r="L856" s="648">
        <f>L584+L592+L600+L608+L616+L624+L632+L640+L648+L656+L664+L672+L680+L688+L696+L704+L712+L720+L728+L736+L744+L752+L760+L768+L776+L784+L792+L800+L808+L816+L824+L832+L840+L848</f>
        <v>521309</v>
      </c>
      <c r="M856" s="648">
        <f>M584+M592+M600+M608+M616+M624+M632+M640+M648+M656+M664+M672+M680+M688+M696+M704+M712+M720+M728+M736+M744+M752+M760+M768+M776+M784+M792+M800+M808+M816+M824+M832+M840+M848</f>
        <v>0</v>
      </c>
      <c r="N856" s="648">
        <f>N584+N592+N600+N608+N616+N624+N632+N640+N648+N656+N664+N672+N680+N688+N696+N704+N712+N720+N728+N736+N744+N752+N760+N768+N776+N784+N792+N800+N808+N816+N824+N832+N840+N848</f>
        <v>5493178</v>
      </c>
      <c r="O856" s="1503">
        <f>1-N857</f>
        <v>0.56213241697385352</v>
      </c>
    </row>
    <row r="857" spans="1:15" ht="12" customHeight="1" thickBot="1">
      <c r="A857" s="1513"/>
      <c r="B857" s="1504"/>
      <c r="C857" s="644" t="s">
        <v>6219</v>
      </c>
      <c r="D857" s="645">
        <f>D856/(D856+E856+G856+H856+I856+J856+L856+M856+N856)</f>
        <v>0.19462196783734459</v>
      </c>
      <c r="E857" s="645">
        <f>E856/(D856+E856+G856+H856+I856+J856+L856+M856+N856)</f>
        <v>7.727709870513208E-2</v>
      </c>
      <c r="F857" s="646">
        <f t="shared" si="26"/>
        <v>0.27189906654247664</v>
      </c>
      <c r="G857" s="645">
        <f>G856/(D856+E856+G856+H856+I856+J856+L856+M856+N856)</f>
        <v>0.2247181114513449</v>
      </c>
      <c r="H857" s="645">
        <f>H856/(D856+E856+G856+H856+I856+J856+L856+M856+N856)</f>
        <v>2.3961094577688288E-2</v>
      </c>
      <c r="I857" s="645">
        <f>I856/(D856+E856+G856+H856+I856+J856+L856+M856+N856)</f>
        <v>0</v>
      </c>
      <c r="J857" s="645">
        <f>J856/(D856+E856+G856+H856+I856+J856+L856+M856+N856)</f>
        <v>0</v>
      </c>
      <c r="K857" s="646">
        <f t="shared" si="27"/>
        <v>0.24867920602903321</v>
      </c>
      <c r="L857" s="645">
        <f>L856/(D856+E856+G856+H856+I856+J856+L856+M856+N856)</f>
        <v>4.1554144402343667E-2</v>
      </c>
      <c r="M857" s="645">
        <f>M856/(D856+E856+G856+H856+I856+J856+L856+M856+N856)</f>
        <v>0</v>
      </c>
      <c r="N857" s="645">
        <f>N856/(D856+E856+G856+H856+I856+J856+L856+M856+N856)</f>
        <v>0.43786758302614648</v>
      </c>
      <c r="O857" s="1505"/>
    </row>
    <row r="858" spans="1:15" ht="12" customHeight="1" thickTop="1">
      <c r="A858" s="1516" t="s">
        <v>15045</v>
      </c>
      <c r="B858" s="1509" t="s">
        <v>14937</v>
      </c>
      <c r="C858" s="647" t="s">
        <v>6218</v>
      </c>
      <c r="D858" s="648">
        <v>73423</v>
      </c>
      <c r="E858" s="648">
        <v>23938</v>
      </c>
      <c r="F858" s="649">
        <f t="shared" si="26"/>
        <v>97361</v>
      </c>
      <c r="G858" s="648">
        <v>93606</v>
      </c>
      <c r="H858" s="648">
        <v>10334</v>
      </c>
      <c r="I858" s="648">
        <v>5562</v>
      </c>
      <c r="J858" s="648">
        <v>13786</v>
      </c>
      <c r="K858" s="649">
        <f t="shared" si="27"/>
        <v>123288</v>
      </c>
      <c r="L858" s="648">
        <v>21451</v>
      </c>
      <c r="M858" s="648">
        <v>6669</v>
      </c>
      <c r="N858" s="648">
        <v>200560</v>
      </c>
      <c r="O858" s="1510">
        <f>1-N859</f>
        <v>0.55364554702678881</v>
      </c>
    </row>
    <row r="859" spans="1:15" ht="12" customHeight="1">
      <c r="A859" s="1517"/>
      <c r="B859" s="1502"/>
      <c r="C859" s="635" t="s">
        <v>6219</v>
      </c>
      <c r="D859" s="636">
        <f>D858/(D858+E858+G858+H858+I858+J858+L858+M858+N858)</f>
        <v>0.16340587854333907</v>
      </c>
      <c r="E859" s="636">
        <f>E858/(D858+E858+G858+H858+I858+J858+L858+M858+N858)</f>
        <v>5.3274994491786645E-2</v>
      </c>
      <c r="F859" s="637">
        <f t="shared" si="26"/>
        <v>0.21668087303512573</v>
      </c>
      <c r="G859" s="636">
        <f>G858/(D858+E858+G858+H858+I858+J858+L858+M858+N858)</f>
        <v>0.20832396751600721</v>
      </c>
      <c r="H859" s="636">
        <f>H858/(D858+E858+G858+H858+I858+J858+L858+M858+N858)</f>
        <v>2.2998738118394316E-2</v>
      </c>
      <c r="I859" s="636">
        <f>I858/(D858+E858+G858+H858+I858+J858+L858+M858+N858)</f>
        <v>1.2378457655748906E-2</v>
      </c>
      <c r="J859" s="636">
        <f>J858/(D858+E858+G858+H858+I858+J858+L858+M858+N858)</f>
        <v>3.0681304790031359E-2</v>
      </c>
      <c r="K859" s="637">
        <f t="shared" si="27"/>
        <v>0.2743824680801818</v>
      </c>
      <c r="L859" s="636">
        <f>L858/(D858+E858+G858+H858+I858+J858+L858+M858+N858)</f>
        <v>4.7740074644636782E-2</v>
      </c>
      <c r="M859" s="636">
        <f>M858/(D858+E858+G858+H858+I858+J858+L858+M858+N858)</f>
        <v>1.4842131266844562E-2</v>
      </c>
      <c r="N859" s="636">
        <f>N858/(D858+E858+G858+H858+I858+J858+L858+M858+N858)</f>
        <v>0.44635445297321119</v>
      </c>
      <c r="O859" s="1503"/>
    </row>
    <row r="860" spans="1:15" ht="12" customHeight="1">
      <c r="A860" s="1517"/>
      <c r="B860" s="1502" t="s">
        <v>14938</v>
      </c>
      <c r="C860" s="638" t="s">
        <v>6218</v>
      </c>
      <c r="D860" s="639">
        <v>124653</v>
      </c>
      <c r="E860" s="639">
        <v>26531</v>
      </c>
      <c r="F860" s="640">
        <f t="shared" si="26"/>
        <v>151184</v>
      </c>
      <c r="G860" s="639">
        <v>78427</v>
      </c>
      <c r="H860" s="639">
        <v>11654</v>
      </c>
      <c r="I860" s="639"/>
      <c r="J860" s="639">
        <v>12327</v>
      </c>
      <c r="K860" s="640">
        <f t="shared" si="27"/>
        <v>102408</v>
      </c>
      <c r="L860" s="639">
        <v>22294</v>
      </c>
      <c r="M860" s="639"/>
      <c r="N860" s="639">
        <v>153271</v>
      </c>
      <c r="O860" s="1503">
        <f>1-N861</f>
        <v>0.64285564490384639</v>
      </c>
    </row>
    <row r="861" spans="1:15" ht="12" customHeight="1">
      <c r="A861" s="1517"/>
      <c r="B861" s="1502"/>
      <c r="C861" s="635" t="s">
        <v>6219</v>
      </c>
      <c r="D861" s="636">
        <f>D860/(D860+E860+G860+H860+I860+J860+L860+M860+N860)</f>
        <v>0.29046013463604231</v>
      </c>
      <c r="E861" s="636">
        <f>E860/(D860+E860+G860+H860+I860+J860+L860+M860+N860)</f>
        <v>6.1821198302719052E-2</v>
      </c>
      <c r="F861" s="637">
        <f t="shared" si="26"/>
        <v>0.35228133293876135</v>
      </c>
      <c r="G861" s="636">
        <f>G860/(D860+E860+G860+H860+I860+J860+L860+M860+N860)</f>
        <v>0.18274664050685413</v>
      </c>
      <c r="H861" s="636">
        <f>H860/(D860+E860+G860+H860+I860+J860+L860+M860+N860)</f>
        <v>2.7155563115596391E-2</v>
      </c>
      <c r="I861" s="636">
        <f>I860/(D860+E860+G860+H860+I860+J860+L860+M860+N860)</f>
        <v>0</v>
      </c>
      <c r="J861" s="636">
        <f>J860/(D860+E860+G860+H860+I860+J860+L860+M860+N860)</f>
        <v>2.8723753777754994E-2</v>
      </c>
      <c r="K861" s="637">
        <f t="shared" si="27"/>
        <v>0.23862595740020551</v>
      </c>
      <c r="L861" s="636">
        <f>L860/(D860+E860+G860+H860+I860+J860+L860+M860+N860)</f>
        <v>5.194835456487952E-2</v>
      </c>
      <c r="M861" s="636">
        <f>M860/(D860+E860+G860+H860+I860+J860+L860+M860+N860)</f>
        <v>0</v>
      </c>
      <c r="N861" s="636">
        <f>N860/(D860+E860+G860+H860+I860+J860+L860+M860+N860)</f>
        <v>0.35714435509615361</v>
      </c>
      <c r="O861" s="1503"/>
    </row>
    <row r="862" spans="1:15" ht="12" customHeight="1">
      <c r="A862" s="1517"/>
      <c r="B862" s="1502" t="s">
        <v>14939</v>
      </c>
      <c r="C862" s="638" t="s">
        <v>6218</v>
      </c>
      <c r="D862" s="639">
        <v>67842</v>
      </c>
      <c r="E862" s="639">
        <v>26696</v>
      </c>
      <c r="F862" s="640">
        <f t="shared" si="26"/>
        <v>94538</v>
      </c>
      <c r="G862" s="639">
        <v>87473</v>
      </c>
      <c r="H862" s="639">
        <v>12288</v>
      </c>
      <c r="I862" s="639"/>
      <c r="J862" s="639"/>
      <c r="K862" s="640">
        <f t="shared" si="27"/>
        <v>99761</v>
      </c>
      <c r="L862" s="639">
        <v>20161</v>
      </c>
      <c r="M862" s="639">
        <v>11398</v>
      </c>
      <c r="N862" s="639">
        <v>190788</v>
      </c>
      <c r="O862" s="1503">
        <f>1-N863</f>
        <v>0.54208608746993847</v>
      </c>
    </row>
    <row r="863" spans="1:15" ht="12" customHeight="1">
      <c r="A863" s="1517"/>
      <c r="B863" s="1502"/>
      <c r="C863" s="635" t="s">
        <v>6219</v>
      </c>
      <c r="D863" s="636">
        <f>D862/(D862+E862+G862+H862+I862+J862+L862+M862+N862)</f>
        <v>0.16282887631226509</v>
      </c>
      <c r="E863" s="636">
        <f>E862/(D862+E862+G862+H862+I862+J862+L862+M862+N862)</f>
        <v>6.4073578049471253E-2</v>
      </c>
      <c r="F863" s="637">
        <f t="shared" si="26"/>
        <v>0.22690245436173634</v>
      </c>
      <c r="G863" s="636">
        <f>G862/(D862+E862+G862+H862+I862+J862+L862+M862+N862)</f>
        <v>0.20994561330241979</v>
      </c>
      <c r="H863" s="636">
        <f>H862/(D862+E862+G862+H862+I862+J862+L862+M862+N862)</f>
        <v>2.9492662836076669E-2</v>
      </c>
      <c r="I863" s="636">
        <f>I862/(D862+E862+G862+H862+I862+J862+L862+M862+N862)</f>
        <v>0</v>
      </c>
      <c r="J863" s="636">
        <f>J862/(D862+E862+G862+H862+I862+J862+L862+M862+N862)</f>
        <v>0</v>
      </c>
      <c r="K863" s="637">
        <f t="shared" si="27"/>
        <v>0.23943827613849644</v>
      </c>
      <c r="L863" s="636">
        <f>L862/(D862+E862+G862+H862+I862+J862+L862+M862+N862)</f>
        <v>4.8388800084484193E-2</v>
      </c>
      <c r="M863" s="636">
        <f>M862/(D862+E862+G862+H862+I862+J862+L862+M862+N862)</f>
        <v>2.7356556885221508E-2</v>
      </c>
      <c r="N863" s="636">
        <f>N862/(D862+E862+G862+H862+I862+J862+L862+M862+N862)</f>
        <v>0.45791391253006147</v>
      </c>
      <c r="O863" s="1503"/>
    </row>
    <row r="864" spans="1:15" ht="12" customHeight="1">
      <c r="A864" s="1517"/>
      <c r="B864" s="1502" t="s">
        <v>14940</v>
      </c>
      <c r="C864" s="638" t="s">
        <v>6218</v>
      </c>
      <c r="D864" s="639">
        <v>84443</v>
      </c>
      <c r="E864" s="639">
        <v>26071</v>
      </c>
      <c r="F864" s="640">
        <f t="shared" si="26"/>
        <v>110514</v>
      </c>
      <c r="G864" s="639">
        <v>94832</v>
      </c>
      <c r="H864" s="639">
        <v>9975</v>
      </c>
      <c r="I864" s="639"/>
      <c r="J864" s="639"/>
      <c r="K864" s="640">
        <f t="shared" si="27"/>
        <v>104807</v>
      </c>
      <c r="L864" s="639">
        <v>21067</v>
      </c>
      <c r="M864" s="639"/>
      <c r="N864" s="639">
        <v>178613</v>
      </c>
      <c r="O864" s="1503">
        <f>1-N865</f>
        <v>0.56960826600417835</v>
      </c>
    </row>
    <row r="865" spans="1:15" ht="12" customHeight="1" thickBot="1">
      <c r="A865" s="1519"/>
      <c r="B865" s="1514"/>
      <c r="C865" s="641" t="s">
        <v>6219</v>
      </c>
      <c r="D865" s="642">
        <f>D864/(D864+E864+G864+H864+I864+J864+L864+M864+N864)</f>
        <v>0.20347661812863102</v>
      </c>
      <c r="E865" s="642">
        <f>E864/(D864+E864+G864+H864+I864+J864+L864+M864+N864)</f>
        <v>6.282153536979429E-2</v>
      </c>
      <c r="F865" s="643">
        <f t="shared" si="26"/>
        <v>0.26629815349842534</v>
      </c>
      <c r="G865" s="642">
        <f>G864/(D864+E864+G864+H864+I864+J864+L864+M864+N864)</f>
        <v>0.22851029274628254</v>
      </c>
      <c r="H865" s="642">
        <f>H864/(D864+E864+G864+H864+I864+J864+L864+M864+N864)</f>
        <v>2.4036086660032145E-2</v>
      </c>
      <c r="I865" s="642">
        <f>I864/(D864+E864+G864+H864+I864+J864+L864+M864+N864)</f>
        <v>0</v>
      </c>
      <c r="J865" s="642">
        <f>J864/(D864+E864+G864+H864+I864+J864+L864+M864+N864)</f>
        <v>0</v>
      </c>
      <c r="K865" s="643">
        <f t="shared" si="27"/>
        <v>0.25254637940631469</v>
      </c>
      <c r="L865" s="642">
        <f>L864/(D864+E864+G864+H864+I864+J864+L864+M864+N864)</f>
        <v>5.0763733099438317E-2</v>
      </c>
      <c r="M865" s="642">
        <f>M864/(D864+E864+G864+H864+I864+J864+L864+M864+N864)</f>
        <v>0</v>
      </c>
      <c r="N865" s="642">
        <f>N864/(D864+E864+G864+H864+I864+J864+L864+M864+N864)</f>
        <v>0.4303917339958217</v>
      </c>
      <c r="O865" s="1515"/>
    </row>
    <row r="866" spans="1:15" ht="12" customHeight="1">
      <c r="A866" s="1516" t="s">
        <v>15046</v>
      </c>
      <c r="B866" s="1509" t="s">
        <v>14937</v>
      </c>
      <c r="C866" s="647" t="s">
        <v>6218</v>
      </c>
      <c r="D866" s="648">
        <v>67263</v>
      </c>
      <c r="E866" s="648">
        <v>19658</v>
      </c>
      <c r="F866" s="649">
        <f t="shared" si="26"/>
        <v>86921</v>
      </c>
      <c r="G866" s="648">
        <v>89989</v>
      </c>
      <c r="H866" s="648">
        <v>8843</v>
      </c>
      <c r="I866" s="648">
        <v>4335</v>
      </c>
      <c r="J866" s="648">
        <v>12918</v>
      </c>
      <c r="K866" s="649">
        <f t="shared" si="27"/>
        <v>116085</v>
      </c>
      <c r="L866" s="648">
        <v>21882</v>
      </c>
      <c r="M866" s="648">
        <v>7868</v>
      </c>
      <c r="N866" s="648">
        <v>157926</v>
      </c>
      <c r="O866" s="1510">
        <f>1-N867</f>
        <v>0.59576842547135522</v>
      </c>
    </row>
    <row r="867" spans="1:15" ht="12" customHeight="1">
      <c r="A867" s="1517"/>
      <c r="B867" s="1502"/>
      <c r="C867" s="635" t="s">
        <v>6219</v>
      </c>
      <c r="D867" s="636">
        <f>D866/(D866+E866+G866+H866+I866+J866+L866+M866+N866)</f>
        <v>0.17216815722249809</v>
      </c>
      <c r="E867" s="636">
        <f>E866/(D866+E866+G866+H866+I866+J866+L866+M866+N866)</f>
        <v>5.0317137723263419E-2</v>
      </c>
      <c r="F867" s="637">
        <f t="shared" si="26"/>
        <v>0.22248529494576152</v>
      </c>
      <c r="G867" s="636">
        <f>G866/(D866+E866+G866+H866+I866+J866+L866+M866+N866)</f>
        <v>0.23033822904561765</v>
      </c>
      <c r="H867" s="636">
        <f>H866/(D866+E866+G866+H866+I866+J866+L866+M866+N866)</f>
        <v>2.2634777133320707E-2</v>
      </c>
      <c r="I867" s="636">
        <f>I866/(D866+E866+G866+H866+I866+J866+L866+M866+N866)</f>
        <v>1.1095980874470798E-2</v>
      </c>
      <c r="J867" s="636">
        <f>J866/(D866+E866+G866+H866+I866+J866+L866+M866+N866)</f>
        <v>3.3065255117973189E-2</v>
      </c>
      <c r="K867" s="637">
        <f t="shared" si="27"/>
        <v>0.29713424217138235</v>
      </c>
      <c r="L867" s="636">
        <f>L866/(D866+E866+G866+H866+I866+J866+L866+M866+N866)</f>
        <v>5.6009747057709336E-2</v>
      </c>
      <c r="M867" s="636">
        <f>M866/(D866+E866+G866+H866+I866+J866+L866+M866+N866)</f>
        <v>2.0139141296502013E-2</v>
      </c>
      <c r="N867" s="636">
        <f>N866/(D866+E866+G866+H866+I866+J866+L866+M866+N866)</f>
        <v>0.40423157452864478</v>
      </c>
      <c r="O867" s="1503"/>
    </row>
    <row r="868" spans="1:15" ht="12" customHeight="1">
      <c r="A868" s="1517"/>
      <c r="B868" s="1502" t="s">
        <v>14938</v>
      </c>
      <c r="C868" s="638" t="s">
        <v>6218</v>
      </c>
      <c r="D868" s="639">
        <v>113374</v>
      </c>
      <c r="E868" s="639">
        <v>21229</v>
      </c>
      <c r="F868" s="640">
        <f t="shared" si="26"/>
        <v>134603</v>
      </c>
      <c r="G868" s="639">
        <v>74487</v>
      </c>
      <c r="H868" s="639">
        <v>10183</v>
      </c>
      <c r="I868" s="639"/>
      <c r="J868" s="639">
        <v>11420</v>
      </c>
      <c r="K868" s="640">
        <f t="shared" si="27"/>
        <v>96090</v>
      </c>
      <c r="L868" s="639">
        <v>22445</v>
      </c>
      <c r="M868" s="639"/>
      <c r="N868" s="639">
        <v>123035</v>
      </c>
      <c r="O868" s="1503">
        <f>1-N869</f>
        <v>0.67292974243233838</v>
      </c>
    </row>
    <row r="869" spans="1:15" ht="12" customHeight="1">
      <c r="A869" s="1517"/>
      <c r="B869" s="1502"/>
      <c r="C869" s="635" t="s">
        <v>6219</v>
      </c>
      <c r="D869" s="636">
        <f>D868/(D868+E868+G868+H868+I868+J868+L868+M868+N868)</f>
        <v>0.3013879252365268</v>
      </c>
      <c r="E869" s="636">
        <f>E868/(D868+E868+G868+H868+I868+J868+L868+M868+N868)</f>
        <v>5.6434140674636403E-2</v>
      </c>
      <c r="F869" s="637">
        <f t="shared" si="26"/>
        <v>0.35782206591116322</v>
      </c>
      <c r="G869" s="636">
        <f>G868/(D868+E868+G868+H868+I868+J868+L868+M868+N868)</f>
        <v>0.19801261653547703</v>
      </c>
      <c r="H869" s="636">
        <f>H868/(D868+E868+G868+H868+I868+J868+L868+M868+N868)</f>
        <v>2.7069991732527322E-2</v>
      </c>
      <c r="I869" s="636">
        <f>I868/(D868+E868+G868+H868+I868+J868+L868+M868+N868)</f>
        <v>0</v>
      </c>
      <c r="J869" s="636">
        <f>J868/(D868+E868+G868+H868+I868+J868+L868+M868+N868)</f>
        <v>3.0358372344639301E-2</v>
      </c>
      <c r="K869" s="637">
        <f t="shared" si="27"/>
        <v>0.25544098061264364</v>
      </c>
      <c r="L869" s="636">
        <f>L868/(D868+E868+G868+H868+I868+J868+L868+M868+N868)</f>
        <v>5.966669590853145E-2</v>
      </c>
      <c r="M869" s="636">
        <f>M868/(D868+E868+G868+H868+I868+J868+L868+M868+N868)</f>
        <v>0</v>
      </c>
      <c r="N869" s="636">
        <f>N868/(D868+E868+G868+H868+I868+J868+L868+M868+N868)</f>
        <v>0.32707025756766167</v>
      </c>
      <c r="O869" s="1503"/>
    </row>
    <row r="870" spans="1:15" ht="12" customHeight="1">
      <c r="A870" s="1517"/>
      <c r="B870" s="1502" t="s">
        <v>14939</v>
      </c>
      <c r="C870" s="638" t="s">
        <v>6218</v>
      </c>
      <c r="D870" s="639">
        <v>62146</v>
      </c>
      <c r="E870" s="639">
        <v>23208</v>
      </c>
      <c r="F870" s="640">
        <f t="shared" si="26"/>
        <v>85354</v>
      </c>
      <c r="G870" s="639">
        <v>83203</v>
      </c>
      <c r="H870" s="639">
        <v>11111</v>
      </c>
      <c r="I870" s="639"/>
      <c r="J870" s="639"/>
      <c r="K870" s="640">
        <f t="shared" si="27"/>
        <v>94314</v>
      </c>
      <c r="L870" s="639">
        <v>20635</v>
      </c>
      <c r="M870" s="639">
        <v>9894</v>
      </c>
      <c r="N870" s="639">
        <v>153586</v>
      </c>
      <c r="O870" s="1503">
        <f>1-N871</f>
        <v>0.57780874862211817</v>
      </c>
    </row>
    <row r="871" spans="1:15" ht="12" customHeight="1">
      <c r="A871" s="1517"/>
      <c r="B871" s="1502"/>
      <c r="C871" s="635" t="s">
        <v>6219</v>
      </c>
      <c r="D871" s="636">
        <f>D870/(D870+E870+G870+H870+I870+J870+L870+M870+N870)</f>
        <v>0.17083261174931208</v>
      </c>
      <c r="E871" s="636">
        <f>E870/(D870+E870+G870+H870+I870+J870+L870+M870+N870)</f>
        <v>6.3796274152448026E-2</v>
      </c>
      <c r="F871" s="637">
        <f t="shared" si="26"/>
        <v>0.23462888590176012</v>
      </c>
      <c r="G871" s="636">
        <f>G870/(D870+E870+G870+H870+I870+J870+L870+M870+N870)</f>
        <v>0.22871602026482821</v>
      </c>
      <c r="H871" s="636">
        <f>H870/(D870+E870+G870+H870+I870+J870+L870+M870+N870)</f>
        <v>3.0542933562041106E-2</v>
      </c>
      <c r="I871" s="636">
        <f>I870/(D870+E870+G870+H870+I870+J870+L870+M870+N870)</f>
        <v>0</v>
      </c>
      <c r="J871" s="636">
        <f>J870/(D870+E870+G870+H870+I870+J870+L870+M870+N870)</f>
        <v>0</v>
      </c>
      <c r="K871" s="637">
        <f t="shared" si="27"/>
        <v>0.25925895382686931</v>
      </c>
      <c r="L871" s="636">
        <f>L870/(D870+E870+G870+H870+I870+J870+L870+M870+N870)</f>
        <v>5.6723376298507627E-2</v>
      </c>
      <c r="M871" s="636">
        <f>M870/(D870+E870+G870+H870+I870+J870+L870+M870+N870)</f>
        <v>2.7197532594981075E-2</v>
      </c>
      <c r="N871" s="636">
        <f>N870/(D870+E870+G870+H870+I870+J870+L870+M870+N870)</f>
        <v>0.42219125137788188</v>
      </c>
      <c r="O871" s="1503"/>
    </row>
    <row r="872" spans="1:15" ht="12" customHeight="1">
      <c r="A872" s="1517"/>
      <c r="B872" s="1502" t="s">
        <v>14940</v>
      </c>
      <c r="C872" s="638" t="s">
        <v>6218</v>
      </c>
      <c r="D872" s="639">
        <v>77410</v>
      </c>
      <c r="E872" s="639">
        <v>21853</v>
      </c>
      <c r="F872" s="640">
        <f t="shared" si="26"/>
        <v>99263</v>
      </c>
      <c r="G872" s="639">
        <v>89709</v>
      </c>
      <c r="H872" s="639">
        <v>8051</v>
      </c>
      <c r="I872" s="639"/>
      <c r="J872" s="639"/>
      <c r="K872" s="640">
        <f t="shared" si="27"/>
        <v>97760</v>
      </c>
      <c r="L872" s="639">
        <v>21264</v>
      </c>
      <c r="M872" s="639"/>
      <c r="N872" s="639">
        <v>142099</v>
      </c>
      <c r="O872" s="1503">
        <f>1-N873</f>
        <v>0.60570332920812686</v>
      </c>
    </row>
    <row r="873" spans="1:15" ht="12" customHeight="1" thickBot="1">
      <c r="A873" s="1519"/>
      <c r="B873" s="1514"/>
      <c r="C873" s="641" t="s">
        <v>6219</v>
      </c>
      <c r="D873" s="642">
        <f>D872/(D872+E872+G872+H872+I872+J872+L872+M872+N872)</f>
        <v>0.21479746716021156</v>
      </c>
      <c r="E873" s="642">
        <f>E872/(D872+E872+G872+H872+I872+J872+L872+M872+N872)</f>
        <v>6.0637760623331649E-2</v>
      </c>
      <c r="F873" s="643">
        <f t="shared" si="26"/>
        <v>0.27543522778354323</v>
      </c>
      <c r="G873" s="642">
        <f>G872/(D872+E872+G872+H872+I872+J872+L872+M872+N872)</f>
        <v>0.24892476400304117</v>
      </c>
      <c r="H873" s="642">
        <f>H872/(D872+E872+G872+H872+I872+J872+L872+M872+N872)</f>
        <v>2.2339935513588208E-2</v>
      </c>
      <c r="I873" s="642">
        <f>I872/(D872+E872+G872+H872+I872+J872+L872+M872+N872)</f>
        <v>0</v>
      </c>
      <c r="J873" s="642">
        <f>J872/(D872+E872+G872+H872+I872+J872+L872+M872+N872)</f>
        <v>0</v>
      </c>
      <c r="K873" s="643">
        <f t="shared" si="27"/>
        <v>0.2712646995166294</v>
      </c>
      <c r="L873" s="642">
        <f>L872/(D872+E872+G872+H872+I872+J872+L872+M872+N872)</f>
        <v>5.900340190795425E-2</v>
      </c>
      <c r="M873" s="642">
        <f>M872/(D872+E872+G872+H872+I872+J872+L872+M872+N872)</f>
        <v>0</v>
      </c>
      <c r="N873" s="642">
        <f>N872/(D872+E872+G872+H872+I872+J872+L872+M872+N872)</f>
        <v>0.39429667079187314</v>
      </c>
      <c r="O873" s="1515"/>
    </row>
    <row r="874" spans="1:15" ht="12" customHeight="1">
      <c r="A874" s="1516" t="s">
        <v>15047</v>
      </c>
      <c r="B874" s="1509" t="s">
        <v>14937</v>
      </c>
      <c r="C874" s="647" t="s">
        <v>6218</v>
      </c>
      <c r="D874" s="648">
        <v>71206</v>
      </c>
      <c r="E874" s="648">
        <v>32083</v>
      </c>
      <c r="F874" s="649">
        <f t="shared" si="26"/>
        <v>103289</v>
      </c>
      <c r="G874" s="648">
        <v>99630</v>
      </c>
      <c r="H874" s="648">
        <v>9552</v>
      </c>
      <c r="I874" s="648">
        <v>4777</v>
      </c>
      <c r="J874" s="648">
        <v>11389</v>
      </c>
      <c r="K874" s="649">
        <f t="shared" si="27"/>
        <v>125348</v>
      </c>
      <c r="L874" s="648">
        <v>25832</v>
      </c>
      <c r="M874" s="648">
        <v>6967</v>
      </c>
      <c r="N874" s="648">
        <v>205088</v>
      </c>
      <c r="O874" s="1510">
        <f>1-N875</f>
        <v>0.56039131963200184</v>
      </c>
    </row>
    <row r="875" spans="1:15" ht="12" customHeight="1">
      <c r="A875" s="1517"/>
      <c r="B875" s="1502"/>
      <c r="C875" s="635" t="s">
        <v>6219</v>
      </c>
      <c r="D875" s="636">
        <f>D874/(D874+E874+G874+H874+I874+J874+L874+M874+N874)</f>
        <v>0.15263094717527931</v>
      </c>
      <c r="E875" s="636">
        <f>E874/(D874+E874+G874+H874+I874+J874+L874+M874+N874)</f>
        <v>6.8770309780418579E-2</v>
      </c>
      <c r="F875" s="637">
        <f t="shared" si="26"/>
        <v>0.2214012569556979</v>
      </c>
      <c r="G875" s="636">
        <f>G874/(D874+E874+G874+H874+I874+J874+L874+M874+N874)</f>
        <v>0.2135581449185894</v>
      </c>
      <c r="H875" s="636">
        <f>H874/(D874+E874+G874+H874+I874+J874+L874+M874+N874)</f>
        <v>2.0474830876868071E-2</v>
      </c>
      <c r="I875" s="636">
        <f>I874/(D874+E874+G874+H874+I874+J874+L874+M874+N874)</f>
        <v>1.0239558950879269E-2</v>
      </c>
      <c r="J875" s="636">
        <f>J874/(D874+E874+G874+H874+I874+J874+L874+M874+N874)</f>
        <v>2.4412463238761565E-2</v>
      </c>
      <c r="K875" s="637">
        <f t="shared" si="27"/>
        <v>0.26868499798509832</v>
      </c>
      <c r="L875" s="636">
        <f>L874/(D874+E874+G874+H874+I874+J874+L874+M874+N874)</f>
        <v>5.5371213485265497E-2</v>
      </c>
      <c r="M875" s="636">
        <f>M874/(D874+E874+G874+H874+I874+J874+L874+M874+N874)</f>
        <v>1.4933851205940102E-2</v>
      </c>
      <c r="N875" s="636">
        <f>N874/(D874+E874+G874+H874+I874+J874+L874+M874+N874)</f>
        <v>0.43960868036799822</v>
      </c>
      <c r="O875" s="1503"/>
    </row>
    <row r="876" spans="1:15" ht="12" customHeight="1">
      <c r="A876" s="1517"/>
      <c r="B876" s="1502" t="s">
        <v>14938</v>
      </c>
      <c r="C876" s="638" t="s">
        <v>6218</v>
      </c>
      <c r="D876" s="639">
        <v>132357</v>
      </c>
      <c r="E876" s="639">
        <v>32002</v>
      </c>
      <c r="F876" s="640">
        <f t="shared" si="26"/>
        <v>164359</v>
      </c>
      <c r="G876" s="639">
        <v>88702</v>
      </c>
      <c r="H876" s="639">
        <v>12325</v>
      </c>
      <c r="I876" s="639"/>
      <c r="J876" s="639">
        <v>11305</v>
      </c>
      <c r="K876" s="640">
        <f t="shared" si="27"/>
        <v>112332</v>
      </c>
      <c r="L876" s="639">
        <v>24835</v>
      </c>
      <c r="M876" s="639"/>
      <c r="N876" s="639">
        <v>156854</v>
      </c>
      <c r="O876" s="1503">
        <f>1-N877</f>
        <v>0.6578079322832584</v>
      </c>
    </row>
    <row r="877" spans="1:15" ht="12" customHeight="1">
      <c r="A877" s="1517"/>
      <c r="B877" s="1502"/>
      <c r="C877" s="635" t="s">
        <v>6219</v>
      </c>
      <c r="D877" s="636">
        <f>D876/(D876+E876+G876+H876+I876+J876+L876+M876+N876)</f>
        <v>0.28874950914088748</v>
      </c>
      <c r="E877" s="636">
        <f>E876/(D876+E876+G876+H876+I876+J876+L876+M876+N876)</f>
        <v>6.9815436973689957E-2</v>
      </c>
      <c r="F877" s="637">
        <f t="shared" si="26"/>
        <v>0.35856494611457745</v>
      </c>
      <c r="G877" s="636">
        <f>G876/(D876+E876+G876+H876+I876+J876+L876+M876+N876)</f>
        <v>0.19351193333042455</v>
      </c>
      <c r="H877" s="636">
        <f>H876/(D876+E876+G876+H876+I876+J876+L876+M876+N876)</f>
        <v>2.6888171386186134E-2</v>
      </c>
      <c r="I877" s="636">
        <f>I876/(D876+E876+G876+H876+I876+J876+L876+M876+N876)</f>
        <v>0</v>
      </c>
      <c r="J877" s="636">
        <f>J876/(D876+E876+G876+H876+I876+J876+L876+M876+N876)</f>
        <v>2.4662943409398317E-2</v>
      </c>
      <c r="K877" s="637">
        <f t="shared" si="27"/>
        <v>0.24506304812600899</v>
      </c>
      <c r="L877" s="636">
        <f>L876/(D876+E876+G876+H876+I876+J876+L876+M876+N876)</f>
        <v>5.4179938042672016E-2</v>
      </c>
      <c r="M877" s="636">
        <f>M876/(D876+E876+G876+H876+I876+J876+L876+M876+N876)</f>
        <v>0</v>
      </c>
      <c r="N877" s="636">
        <f>N876/(D876+E876+G876+H876+I876+J876+L876+M876+N876)</f>
        <v>0.34219206771674154</v>
      </c>
      <c r="O877" s="1503"/>
    </row>
    <row r="878" spans="1:15" ht="12" customHeight="1">
      <c r="A878" s="1517"/>
      <c r="B878" s="1502" t="s">
        <v>14939</v>
      </c>
      <c r="C878" s="638" t="s">
        <v>6218</v>
      </c>
      <c r="D878" s="639">
        <v>67873</v>
      </c>
      <c r="E878" s="639">
        <v>37634</v>
      </c>
      <c r="F878" s="640">
        <f t="shared" si="26"/>
        <v>105507</v>
      </c>
      <c r="G878" s="639">
        <v>91473</v>
      </c>
      <c r="H878" s="639">
        <v>12425</v>
      </c>
      <c r="I878" s="639"/>
      <c r="J878" s="639"/>
      <c r="K878" s="640">
        <f t="shared" si="27"/>
        <v>103898</v>
      </c>
      <c r="L878" s="639">
        <v>24018</v>
      </c>
      <c r="M878" s="639">
        <v>10640</v>
      </c>
      <c r="N878" s="639">
        <v>207237</v>
      </c>
      <c r="O878" s="1503">
        <f>1-N879</f>
        <v>0.54079991136716155</v>
      </c>
    </row>
    <row r="879" spans="1:15" ht="12" customHeight="1">
      <c r="A879" s="1517"/>
      <c r="B879" s="1502"/>
      <c r="C879" s="635" t="s">
        <v>6219</v>
      </c>
      <c r="D879" s="636">
        <f>D878/(D878+E878+G878+H878+I878+J878+L878+M878+N878)</f>
        <v>0.1503944161311766</v>
      </c>
      <c r="E879" s="636">
        <f>E878/(D878+E878+G878+H878+I878+J878+L878+M878+N878)</f>
        <v>8.3390206071349435E-2</v>
      </c>
      <c r="F879" s="637">
        <f t="shared" si="26"/>
        <v>0.23378462220252605</v>
      </c>
      <c r="G879" s="636">
        <f>G878/(D878+E878+G878+H878+I878+J878+L878+M878+N878)</f>
        <v>0.20268779082650121</v>
      </c>
      <c r="H879" s="636">
        <f>H878/(D878+E878+G878+H878+I878+J878+L878+M878+N878)</f>
        <v>2.7531575448703743E-2</v>
      </c>
      <c r="I879" s="636">
        <f>I878/(D878+E878+G878+H878+I878+J878+L878+M878+N878)</f>
        <v>0</v>
      </c>
      <c r="J879" s="636">
        <f>J878/(D878+E878+G878+H878+I878+J878+L878+M878+N878)</f>
        <v>0</v>
      </c>
      <c r="K879" s="637">
        <f t="shared" si="27"/>
        <v>0.23021936627520495</v>
      </c>
      <c r="L879" s="636">
        <f>L878/(D878+E878+G878+H878+I878+J878+L878+M878+N878)</f>
        <v>5.3219587857301132E-2</v>
      </c>
      <c r="M879" s="636">
        <f>M878/(D878+E878+G878+H878+I878+J878+L878+M878+N878)</f>
        <v>2.3576335032129404E-2</v>
      </c>
      <c r="N879" s="636">
        <f>N878/(D878+E878+G878+H878+I878+J878+L878+M878+N878)</f>
        <v>0.45920008863283845</v>
      </c>
      <c r="O879" s="1503"/>
    </row>
    <row r="880" spans="1:15" ht="12" customHeight="1">
      <c r="A880" s="1517"/>
      <c r="B880" s="1502" t="s">
        <v>14940</v>
      </c>
      <c r="C880" s="638" t="s">
        <v>6218</v>
      </c>
      <c r="D880" s="639">
        <v>90073</v>
      </c>
      <c r="E880" s="639">
        <v>32464</v>
      </c>
      <c r="F880" s="640">
        <f t="shared" si="26"/>
        <v>122537</v>
      </c>
      <c r="G880" s="639">
        <v>103745</v>
      </c>
      <c r="H880" s="639">
        <v>10256</v>
      </c>
      <c r="I880" s="639"/>
      <c r="J880" s="639"/>
      <c r="K880" s="640">
        <f t="shared" si="27"/>
        <v>114001</v>
      </c>
      <c r="L880" s="639">
        <v>23752</v>
      </c>
      <c r="M880" s="639"/>
      <c r="N880" s="639">
        <v>188749</v>
      </c>
      <c r="O880" s="1503">
        <f>1-N881</f>
        <v>0.57966011860885136</v>
      </c>
    </row>
    <row r="881" spans="1:15" ht="12" customHeight="1" thickBot="1">
      <c r="A881" s="1519"/>
      <c r="B881" s="1514"/>
      <c r="C881" s="641" t="s">
        <v>6219</v>
      </c>
      <c r="D881" s="642">
        <f>D880/(D880+E880+G880+H880+I880+J880+L880+M880+N880)</f>
        <v>0.20059059458087158</v>
      </c>
      <c r="E881" s="642">
        <f>E880/(D880+E880+G880+H880+I880+J880+L880+M880+N880)</f>
        <v>7.2296615661445893E-2</v>
      </c>
      <c r="F881" s="643">
        <f t="shared" si="26"/>
        <v>0.27288721024231749</v>
      </c>
      <c r="G881" s="642">
        <f>G880/(D880+E880+G880+H880+I880+J880+L880+M880+N880)</f>
        <v>0.23103783858417642</v>
      </c>
      <c r="H881" s="642">
        <f>H880/(D880+E880+G880+H880+I880+J880+L880+M880+N880)</f>
        <v>2.2839886958593798E-2</v>
      </c>
      <c r="I881" s="642">
        <f>I880/(D880+E880+G880+H880+I880+J880+L880+M880+N880)</f>
        <v>0</v>
      </c>
      <c r="J881" s="642">
        <f>J880/(D880+E880+G880+H880+I880+J880+L880+M880+N880)</f>
        <v>0</v>
      </c>
      <c r="K881" s="643">
        <f t="shared" si="27"/>
        <v>0.25387772554277022</v>
      </c>
      <c r="L881" s="642">
        <f>L880/(D880+E880+G880+H880+I880+J880+L880+M880+N880)</f>
        <v>5.289518282376364E-2</v>
      </c>
      <c r="M881" s="642">
        <f>M880/(D880+E880+G880+H880+I880+J880+L880+M880+N880)</f>
        <v>0</v>
      </c>
      <c r="N881" s="642">
        <f>N880/(D880+E880+G880+H880+I880+J880+L880+M880+N880)</f>
        <v>0.42033988139114864</v>
      </c>
      <c r="O881" s="1515"/>
    </row>
    <row r="882" spans="1:15" ht="12" customHeight="1">
      <c r="A882" s="1516" t="s">
        <v>15048</v>
      </c>
      <c r="B882" s="1509" t="s">
        <v>14937</v>
      </c>
      <c r="C882" s="647" t="s">
        <v>6218</v>
      </c>
      <c r="D882" s="648">
        <v>62110</v>
      </c>
      <c r="E882" s="648">
        <v>32348</v>
      </c>
      <c r="F882" s="649">
        <f t="shared" si="26"/>
        <v>94458</v>
      </c>
      <c r="G882" s="648">
        <v>89528</v>
      </c>
      <c r="H882" s="648">
        <v>8274</v>
      </c>
      <c r="I882" s="648">
        <v>3894</v>
      </c>
      <c r="J882" s="648">
        <v>9804</v>
      </c>
      <c r="K882" s="649">
        <f t="shared" si="27"/>
        <v>111500</v>
      </c>
      <c r="L882" s="648">
        <v>22939</v>
      </c>
      <c r="M882" s="648">
        <v>6107</v>
      </c>
      <c r="N882" s="648">
        <v>185898</v>
      </c>
      <c r="O882" s="1510">
        <f>1-N883</f>
        <v>0.55833424407581811</v>
      </c>
    </row>
    <row r="883" spans="1:15" ht="12" customHeight="1">
      <c r="A883" s="1517"/>
      <c r="B883" s="1502"/>
      <c r="C883" s="635" t="s">
        <v>6219</v>
      </c>
      <c r="D883" s="636">
        <f>D882/(D882+E882+G882+H882+I882+J882+L882+M882+N882)</f>
        <v>0.14756404103568052</v>
      </c>
      <c r="E883" s="636">
        <f>E882/(D882+E882+G882+H882+I882+J882+L882+M882+N882)</f>
        <v>7.6853994516538293E-2</v>
      </c>
      <c r="F883" s="637">
        <f t="shared" si="26"/>
        <v>0.22441803555221881</v>
      </c>
      <c r="G883" s="636">
        <f>G882/(D882+E882+G882+H882+I882+J882+L882+M882+N882)</f>
        <v>0.21270509524782491</v>
      </c>
      <c r="H883" s="636">
        <f>H882/(D882+E882+G882+H882+I882+J882+L882+M882+N882)</f>
        <v>1.9657782571715032E-2</v>
      </c>
      <c r="I883" s="636">
        <f>I882/(D882+E882+G882+H882+I882+J882+L882+M882+N882)</f>
        <v>9.251559745498952E-3</v>
      </c>
      <c r="J883" s="636">
        <f>J882/(D882+E882+G882+H882+I882+J882+L882+M882+N882)</f>
        <v>2.3292833011009689E-2</v>
      </c>
      <c r="K883" s="637">
        <f t="shared" si="27"/>
        <v>0.26490727057604857</v>
      </c>
      <c r="L883" s="636">
        <f>L882/(D882+E882+G882+H882+I882+J882+L882+M882+N882)</f>
        <v>5.4499622239856306E-2</v>
      </c>
      <c r="M883" s="636">
        <f>M882/(D882+E882+G882+H882+I882+J882+L882+M882+N882)</f>
        <v>1.4509315707694427E-2</v>
      </c>
      <c r="N883" s="636">
        <f>N882/(D882+E882+G882+H882+I882+J882+L882+M882+N882)</f>
        <v>0.44166575592418189</v>
      </c>
      <c r="O883" s="1503"/>
    </row>
    <row r="884" spans="1:15" ht="12" customHeight="1">
      <c r="A884" s="1517"/>
      <c r="B884" s="1502" t="s">
        <v>14938</v>
      </c>
      <c r="C884" s="638" t="s">
        <v>6218</v>
      </c>
      <c r="D884" s="639">
        <v>104990</v>
      </c>
      <c r="E884" s="639">
        <v>40631</v>
      </c>
      <c r="F884" s="640">
        <f t="shared" si="26"/>
        <v>145621</v>
      </c>
      <c r="G884" s="639">
        <v>70506</v>
      </c>
      <c r="H884" s="639">
        <v>9605</v>
      </c>
      <c r="I884" s="639"/>
      <c r="J884" s="639">
        <v>9606</v>
      </c>
      <c r="K884" s="640">
        <f t="shared" si="27"/>
        <v>89717</v>
      </c>
      <c r="L884" s="639">
        <v>24519</v>
      </c>
      <c r="M884" s="639"/>
      <c r="N884" s="639">
        <v>154904</v>
      </c>
      <c r="O884" s="1503">
        <f>1-N885</f>
        <v>0.62652226221848251</v>
      </c>
    </row>
    <row r="885" spans="1:15" ht="12" customHeight="1">
      <c r="A885" s="1517"/>
      <c r="B885" s="1502"/>
      <c r="C885" s="635" t="s">
        <v>6219</v>
      </c>
      <c r="D885" s="636">
        <f>D884/(D884+E884+G884+H884+I884+J884+L884+M884+N884)</f>
        <v>0.25313373243868154</v>
      </c>
      <c r="E885" s="636">
        <f>E884/(D884+E884+G884+H884+I884+J884+L884+M884+N884)</f>
        <v>9.7962441020250215E-2</v>
      </c>
      <c r="F885" s="637">
        <f t="shared" si="26"/>
        <v>0.35109617345893174</v>
      </c>
      <c r="G885" s="636">
        <f>G884/(D884+E884+G884+H884+I884+J884+L884+M884+N884)</f>
        <v>0.16999187483876257</v>
      </c>
      <c r="H885" s="636">
        <f>H884/(D884+E884+G884+H884+I884+J884+L884+M884+N884)</f>
        <v>2.3157915040227985E-2</v>
      </c>
      <c r="I885" s="636">
        <f>I884/(D884+E884+G884+H884+I884+J884+L884+M884+N884)</f>
        <v>0</v>
      </c>
      <c r="J885" s="636">
        <f>J884/(D884+E884+G884+H884+I884+J884+L884+M884+N884)</f>
        <v>2.3160326067301409E-2</v>
      </c>
      <c r="K885" s="637">
        <f t="shared" si="27"/>
        <v>0.21631011594629196</v>
      </c>
      <c r="L885" s="636">
        <f>L884/(D884+E884+G884+H884+I884+J884+L884+M884+N884)</f>
        <v>5.911597281325872E-2</v>
      </c>
      <c r="M885" s="636">
        <f>M884/(D884+E884+G884+H884+I884+J884+L884+M884+N884)</f>
        <v>0</v>
      </c>
      <c r="N885" s="636">
        <f>N884/(D884+E884+G884+H884+I884+J884+L884+M884+N884)</f>
        <v>0.37347773778151755</v>
      </c>
      <c r="O885" s="1503"/>
    </row>
    <row r="886" spans="1:15" ht="12" customHeight="1">
      <c r="A886" s="1517"/>
      <c r="B886" s="1502" t="s">
        <v>14939</v>
      </c>
      <c r="C886" s="638" t="s">
        <v>6218</v>
      </c>
      <c r="D886" s="639">
        <v>60069</v>
      </c>
      <c r="E886" s="639">
        <v>37119</v>
      </c>
      <c r="F886" s="640">
        <f t="shared" si="26"/>
        <v>97188</v>
      </c>
      <c r="G886" s="639">
        <v>82141</v>
      </c>
      <c r="H886" s="639">
        <v>10900</v>
      </c>
      <c r="I886" s="639"/>
      <c r="J886" s="639"/>
      <c r="K886" s="640">
        <f t="shared" si="27"/>
        <v>93041</v>
      </c>
      <c r="L886" s="639">
        <v>21073</v>
      </c>
      <c r="M886" s="639">
        <v>9070</v>
      </c>
      <c r="N886" s="639">
        <v>186949</v>
      </c>
      <c r="O886" s="1503">
        <f>1-N887</f>
        <v>0.5410278379950948</v>
      </c>
    </row>
    <row r="887" spans="1:15" ht="12" customHeight="1">
      <c r="A887" s="1517"/>
      <c r="B887" s="1502"/>
      <c r="C887" s="635" t="s">
        <v>6219</v>
      </c>
      <c r="D887" s="636">
        <f>D886/(D886+E886+G886+H886+I886+J886+L886+M886+N886)</f>
        <v>0.14747336866991881</v>
      </c>
      <c r="E887" s="636">
        <f>E886/(D886+E886+G886+H886+I886+J886+L886+M886+N886)</f>
        <v>9.1129600487085127E-2</v>
      </c>
      <c r="F887" s="637">
        <f t="shared" si="26"/>
        <v>0.23860296915700394</v>
      </c>
      <c r="G887" s="636">
        <f>G886/(D886+E886+G886+H886+I886+J886+L886+M886+N886)</f>
        <v>0.20166158877150944</v>
      </c>
      <c r="H887" s="636">
        <f>H886/(D886+E886+G886+H886+I886+J886+L886+M886+N886)</f>
        <v>2.6760221054156305E-2</v>
      </c>
      <c r="I887" s="636">
        <f>I886/(D886+E886+G886+H886+I886+J886+L886+M886+N886)</f>
        <v>0</v>
      </c>
      <c r="J887" s="636">
        <f>J886/(D886+E886+G886+H886+I886+J886+L886+M886+N886)</f>
        <v>0</v>
      </c>
      <c r="K887" s="637">
        <f t="shared" si="27"/>
        <v>0.22842180982566573</v>
      </c>
      <c r="L887" s="636">
        <f>L886/(D886+E886+G886+H886+I886+J886+L886+M886+N886)</f>
        <v>5.1735609015984937E-2</v>
      </c>
      <c r="M887" s="636">
        <f>M886/(D886+E886+G886+H886+I886+J886+L886+M886+N886)</f>
        <v>2.2267449996440154E-2</v>
      </c>
      <c r="N887" s="636">
        <f>N886/(D886+E886+G886+H886+I886+J886+L886+M886+N886)</f>
        <v>0.4589721620049052</v>
      </c>
      <c r="O887" s="1503"/>
    </row>
    <row r="888" spans="1:15" ht="12" customHeight="1">
      <c r="A888" s="1517"/>
      <c r="B888" s="1502" t="s">
        <v>14940</v>
      </c>
      <c r="C888" s="638" t="s">
        <v>6218</v>
      </c>
      <c r="D888" s="639">
        <v>71529</v>
      </c>
      <c r="E888" s="639">
        <v>40510</v>
      </c>
      <c r="F888" s="640">
        <f t="shared" si="26"/>
        <v>112039</v>
      </c>
      <c r="G888" s="639">
        <v>81107</v>
      </c>
      <c r="H888" s="639">
        <v>7562</v>
      </c>
      <c r="I888" s="639"/>
      <c r="J888" s="639"/>
      <c r="K888" s="640">
        <f t="shared" si="27"/>
        <v>88669</v>
      </c>
      <c r="L888" s="639">
        <v>22656</v>
      </c>
      <c r="M888" s="639"/>
      <c r="N888" s="639">
        <v>183823</v>
      </c>
      <c r="O888" s="1503">
        <f>1-N889</f>
        <v>0.54855385854656458</v>
      </c>
    </row>
    <row r="889" spans="1:15" ht="12" customHeight="1" thickBot="1">
      <c r="A889" s="1519"/>
      <c r="B889" s="1514"/>
      <c r="C889" s="641" t="s">
        <v>6219</v>
      </c>
      <c r="D889" s="642">
        <f>D888/(D888+E888+G888+H888+I888+J888+L888+M888+N888)</f>
        <v>0.17566621724170958</v>
      </c>
      <c r="E889" s="642">
        <f>E888/(D888+E888+G888+H888+I888+J888+L888+M888+N888)</f>
        <v>9.94874590789981E-2</v>
      </c>
      <c r="F889" s="643">
        <f t="shared" si="26"/>
        <v>0.2751536763207077</v>
      </c>
      <c r="G889" s="642">
        <f>G888/(D888+E888+G888+H888+I888+J888+L888+M888+N888)</f>
        <v>0.1991885792031671</v>
      </c>
      <c r="H889" s="642">
        <f>H888/(D888+E888+G888+H888+I888+J888+L888+M888+N888)</f>
        <v>1.8571319811290635E-2</v>
      </c>
      <c r="I889" s="642">
        <f>I888/(D888+E888+G888+H888+I888+J888+L888+M888+N888)</f>
        <v>0</v>
      </c>
      <c r="J889" s="642">
        <f>J888/(D888+E888+G888+H888+I888+J888+L888+M888+N888)</f>
        <v>0</v>
      </c>
      <c r="K889" s="643">
        <f t="shared" si="27"/>
        <v>0.21775989901445775</v>
      </c>
      <c r="L889" s="642">
        <f>L888/(D888+E888+G888+H888+I888+J888+L888+M888+N888)</f>
        <v>5.5640283211399189E-2</v>
      </c>
      <c r="M889" s="642">
        <f>M888/(D888+E888+G888+H888+I888+J888+L888+M888+N888)</f>
        <v>0</v>
      </c>
      <c r="N889" s="642">
        <f>N888/(D888+E888+G888+H888+I888+J888+L888+M888+N888)</f>
        <v>0.45144614145343542</v>
      </c>
      <c r="O889" s="1515"/>
    </row>
    <row r="890" spans="1:15" ht="12" customHeight="1">
      <c r="A890" s="1516" t="s">
        <v>15049</v>
      </c>
      <c r="B890" s="1509" t="s">
        <v>14937</v>
      </c>
      <c r="C890" s="647" t="s">
        <v>6218</v>
      </c>
      <c r="D890" s="648">
        <v>70364</v>
      </c>
      <c r="E890" s="648">
        <v>21433</v>
      </c>
      <c r="F890" s="649">
        <f t="shared" si="26"/>
        <v>91797</v>
      </c>
      <c r="G890" s="648">
        <v>101234</v>
      </c>
      <c r="H890" s="648">
        <v>11692</v>
      </c>
      <c r="I890" s="648">
        <v>4828</v>
      </c>
      <c r="J890" s="648">
        <v>14464</v>
      </c>
      <c r="K890" s="649">
        <f t="shared" si="27"/>
        <v>132218</v>
      </c>
      <c r="L890" s="648">
        <v>19645</v>
      </c>
      <c r="M890" s="648">
        <v>7002</v>
      </c>
      <c r="N890" s="648">
        <v>197967</v>
      </c>
      <c r="O890" s="1510">
        <f>1-N891</f>
        <v>0.55872892746567882</v>
      </c>
    </row>
    <row r="891" spans="1:15" ht="12" customHeight="1">
      <c r="A891" s="1517"/>
      <c r="B891" s="1502"/>
      <c r="C891" s="635" t="s">
        <v>6219</v>
      </c>
      <c r="D891" s="636">
        <f>D890/(D890+E890+G890+H890+I890+J890+L890+M890+N890)</f>
        <v>0.15684229062320981</v>
      </c>
      <c r="E891" s="636">
        <f>E890/(D890+E890+G890+H890+I890+J890+L890+M890+N890)</f>
        <v>4.7774441687898017E-2</v>
      </c>
      <c r="F891" s="637">
        <f t="shared" si="26"/>
        <v>0.20461673231110783</v>
      </c>
      <c r="G891" s="636">
        <f>G890/(D890+E890+G890+H890+I890+J890+L890+M890+N890)</f>
        <v>0.22565193065985481</v>
      </c>
      <c r="H891" s="636">
        <f>H890/(D890+E890+G890+H890+I890+J890+L890+M890+N890)</f>
        <v>2.6061623301213251E-2</v>
      </c>
      <c r="I891" s="636">
        <f>I890/(D890+E890+G890+H890+I890+J890+L890+M890+N890)</f>
        <v>1.0761676128828052E-2</v>
      </c>
      <c r="J891" s="636">
        <f>J890/(D890+E890+G890+H890+I890+J890+L890+M890+N890)</f>
        <v>3.2240448120830351E-2</v>
      </c>
      <c r="K891" s="637">
        <f t="shared" si="27"/>
        <v>0.29471567821072642</v>
      </c>
      <c r="L891" s="636">
        <f>L890/(D890+E890+G890+H890+I890+J890+L890+M890+N890)</f>
        <v>4.3788965938448027E-2</v>
      </c>
      <c r="M891" s="636">
        <f>M890/(D890+E890+G890+H890+I890+J890+L890+M890+N890)</f>
        <v>1.5607551005396441E-2</v>
      </c>
      <c r="N891" s="636">
        <f>N890/(D890+E890+G890+H890+I890+J890+L890+M890+N890)</f>
        <v>0.44127107253432124</v>
      </c>
      <c r="O891" s="1503"/>
    </row>
    <row r="892" spans="1:15" ht="12" customHeight="1">
      <c r="A892" s="1517"/>
      <c r="B892" s="1502" t="s">
        <v>14938</v>
      </c>
      <c r="C892" s="638" t="s">
        <v>6218</v>
      </c>
      <c r="D892" s="639">
        <v>130486</v>
      </c>
      <c r="E892" s="639">
        <v>25071</v>
      </c>
      <c r="F892" s="640">
        <f t="shared" si="26"/>
        <v>155557</v>
      </c>
      <c r="G892" s="639">
        <v>84958</v>
      </c>
      <c r="H892" s="639">
        <v>12849</v>
      </c>
      <c r="I892" s="639"/>
      <c r="J892" s="639">
        <v>12815</v>
      </c>
      <c r="K892" s="640">
        <f t="shared" si="27"/>
        <v>110622</v>
      </c>
      <c r="L892" s="639">
        <v>18924</v>
      </c>
      <c r="M892" s="639"/>
      <c r="N892" s="639">
        <v>154375</v>
      </c>
      <c r="O892" s="1503">
        <f>1-N893</f>
        <v>0.64873099449801808</v>
      </c>
    </row>
    <row r="893" spans="1:15" ht="12" customHeight="1">
      <c r="A893" s="1517"/>
      <c r="B893" s="1502"/>
      <c r="C893" s="635" t="s">
        <v>6219</v>
      </c>
      <c r="D893" s="636">
        <f>D892/(D892+E892+G892+H892+I892+J892+L892+M892+N892)</f>
        <v>0.29691133572101447</v>
      </c>
      <c r="E893" s="636">
        <f>E892/(D892+E892+G892+H892+I892+J892+L892+M892+N892)</f>
        <v>5.7047224206900005E-2</v>
      </c>
      <c r="F893" s="637">
        <f t="shared" si="26"/>
        <v>0.35395855992791447</v>
      </c>
      <c r="G893" s="636">
        <f>G892/(D892+E892+G892+H892+I892+J892+L892+M892+N892)</f>
        <v>0.19331570636072795</v>
      </c>
      <c r="H893" s="636">
        <f>H892/(D892+E892+G892+H892+I892+J892+L892+M892+N892)</f>
        <v>2.9236958391546334E-2</v>
      </c>
      <c r="I893" s="636">
        <f>I892/(D892+E892+G892+H892+I892+J892+L892+M892+N892)</f>
        <v>0</v>
      </c>
      <c r="J893" s="636">
        <f>J892/(D892+E892+G892+H892+I892+J892+L892+M892+N892)</f>
        <v>2.9159593881832539E-2</v>
      </c>
      <c r="K893" s="637">
        <f t="shared" si="27"/>
        <v>0.25171225863410684</v>
      </c>
      <c r="L893" s="636">
        <f>L892/(D892+E892+G892+H892+I892+J892+L892+M892+N892)</f>
        <v>4.3060175935996793E-2</v>
      </c>
      <c r="M893" s="636">
        <f>M892/(D892+E892+G892+H892+I892+J892+L892+M892+N892)</f>
        <v>0</v>
      </c>
      <c r="N893" s="636">
        <f>N892/(D892+E892+G892+H892+I892+J892+L892+M892+N892)</f>
        <v>0.35126900550198192</v>
      </c>
      <c r="O893" s="1503"/>
    </row>
    <row r="894" spans="1:15" ht="12" customHeight="1">
      <c r="A894" s="1517"/>
      <c r="B894" s="1502" t="s">
        <v>14939</v>
      </c>
      <c r="C894" s="638" t="s">
        <v>6218</v>
      </c>
      <c r="D894" s="639">
        <v>66535</v>
      </c>
      <c r="E894" s="639">
        <v>24787</v>
      </c>
      <c r="F894" s="640">
        <f t="shared" si="26"/>
        <v>91322</v>
      </c>
      <c r="G894" s="639">
        <v>96676</v>
      </c>
      <c r="H894" s="639">
        <v>14145</v>
      </c>
      <c r="I894" s="639"/>
      <c r="J894" s="639"/>
      <c r="K894" s="640">
        <f t="shared" si="27"/>
        <v>110821</v>
      </c>
      <c r="L894" s="639">
        <v>17418</v>
      </c>
      <c r="M894" s="639">
        <v>12910</v>
      </c>
      <c r="N894" s="639">
        <v>200917</v>
      </c>
      <c r="O894" s="1503">
        <f>1-N895</f>
        <v>0.53640386905036597</v>
      </c>
    </row>
    <row r="895" spans="1:15" ht="12" customHeight="1">
      <c r="A895" s="1517"/>
      <c r="B895" s="1502"/>
      <c r="C895" s="635" t="s">
        <v>6219</v>
      </c>
      <c r="D895" s="636">
        <f>D894/(D894+E894+G894+H894+I894+J894+L894+M894+N894)</f>
        <v>0.15352294018293078</v>
      </c>
      <c r="E895" s="636">
        <f>E894/(D894+E894+G894+H894+I894+J894+L894+M894+N894)</f>
        <v>5.7193554043951378E-2</v>
      </c>
      <c r="F895" s="637">
        <f t="shared" si="26"/>
        <v>0.21071649422688216</v>
      </c>
      <c r="G895" s="636">
        <f>G894/(D894+E894+G894+H894+I894+J894+L894+M894+N894)</f>
        <v>0.22307032035958541</v>
      </c>
      <c r="H895" s="636">
        <f>H894/(D894+E894+G894+H894+I894+J894+L894+M894+N894)</f>
        <v>3.2638190259075009E-2</v>
      </c>
      <c r="I895" s="636">
        <f>I894/(D894+E894+G894+H894+I894+J894+L894+M894+N894)</f>
        <v>0</v>
      </c>
      <c r="J895" s="636">
        <f>J894/(D894+E894+G894+H894+I894+J894+L894+M894+N894)</f>
        <v>0</v>
      </c>
      <c r="K895" s="637">
        <f t="shared" si="27"/>
        <v>0.2557085106186604</v>
      </c>
      <c r="L895" s="636">
        <f>L894/(D894+E894+G894+H894+I894+J894+L894+M894+N894)</f>
        <v>4.0190314452638286E-2</v>
      </c>
      <c r="M895" s="636">
        <f>M894/(D894+E894+G894+H894+I894+J894+L894+M894+N894)</f>
        <v>2.978854975218511E-2</v>
      </c>
      <c r="N895" s="636">
        <f>N894/(D894+E894+G894+H894+I894+J894+L894+M894+N894)</f>
        <v>0.46359613094963403</v>
      </c>
      <c r="O895" s="1503"/>
    </row>
    <row r="896" spans="1:15" ht="12" customHeight="1">
      <c r="A896" s="1517"/>
      <c r="B896" s="1502" t="s">
        <v>14940</v>
      </c>
      <c r="C896" s="638" t="s">
        <v>6218</v>
      </c>
      <c r="D896" s="639">
        <v>85810</v>
      </c>
      <c r="E896" s="639">
        <v>23942</v>
      </c>
      <c r="F896" s="640">
        <f t="shared" si="26"/>
        <v>109752</v>
      </c>
      <c r="G896" s="639">
        <v>106584</v>
      </c>
      <c r="H896" s="639">
        <v>10533</v>
      </c>
      <c r="I896" s="639"/>
      <c r="J896" s="639"/>
      <c r="K896" s="640">
        <f t="shared" si="27"/>
        <v>117117</v>
      </c>
      <c r="L896" s="639">
        <v>17541</v>
      </c>
      <c r="M896" s="639"/>
      <c r="N896" s="639">
        <v>189272</v>
      </c>
      <c r="O896" s="1503">
        <f>1-N897</f>
        <v>0.56356962013641332</v>
      </c>
    </row>
    <row r="897" spans="1:15" ht="12" customHeight="1" thickBot="1">
      <c r="A897" s="1519"/>
      <c r="B897" s="1514"/>
      <c r="C897" s="641" t="s">
        <v>6219</v>
      </c>
      <c r="D897" s="642">
        <f>D896/(D896+E896+G896+H896+I896+J896+L896+M896+N896)</f>
        <v>0.19786387260711766</v>
      </c>
      <c r="E897" s="642">
        <f>E896/(D896+E896+G896+H896+I896+J896+L896+M896+N896)</f>
        <v>5.5206349352751552E-2</v>
      </c>
      <c r="F897" s="643">
        <f t="shared" si="26"/>
        <v>0.25307022195986922</v>
      </c>
      <c r="G897" s="642">
        <f>G896/(D896+E896+G896+H896+I896+J896+L896+M896+N896)</f>
        <v>0.24576533035726639</v>
      </c>
      <c r="H897" s="642">
        <f>H896/(D896+E896+G896+H896+I896+J896+L896+M896+N896)</f>
        <v>2.4287381076456942E-2</v>
      </c>
      <c r="I897" s="642">
        <f>I896/(D896+E896+G896+H896+I896+J896+L896+M896+N896)</f>
        <v>0</v>
      </c>
      <c r="J897" s="642">
        <f>J896/(D896+E896+G896+H896+I896+J896+L896+M896+N896)</f>
        <v>0</v>
      </c>
      <c r="K897" s="643">
        <f t="shared" si="27"/>
        <v>0.27005271143372334</v>
      </c>
      <c r="L897" s="642">
        <f>L896/(D896+E896+G896+H896+I896+J896+L896+M896+N896)</f>
        <v>4.044668674282078E-2</v>
      </c>
      <c r="M897" s="642">
        <f>M896/(D896+E896+G896+H896+I896+J896+L896+M896+N896)</f>
        <v>0</v>
      </c>
      <c r="N897" s="642">
        <f>N896/(D896+E896+G896+H896+I896+J896+L896+M896+N896)</f>
        <v>0.43643037986358668</v>
      </c>
      <c r="O897" s="1515"/>
    </row>
    <row r="898" spans="1:15" ht="12" customHeight="1">
      <c r="A898" s="1516" t="s">
        <v>15050</v>
      </c>
      <c r="B898" s="1509" t="s">
        <v>14937</v>
      </c>
      <c r="C898" s="647" t="s">
        <v>6218</v>
      </c>
      <c r="D898" s="648">
        <v>72582</v>
      </c>
      <c r="E898" s="648">
        <v>22662</v>
      </c>
      <c r="F898" s="649">
        <f t="shared" ref="F898:F961" si="28">SUM(D898:E898)</f>
        <v>95244</v>
      </c>
      <c r="G898" s="648">
        <v>109570</v>
      </c>
      <c r="H898" s="648">
        <v>13342</v>
      </c>
      <c r="I898" s="648">
        <v>5133</v>
      </c>
      <c r="J898" s="648">
        <v>16025</v>
      </c>
      <c r="K898" s="649">
        <f t="shared" ref="K898:K961" si="29">SUM(G898:J898)</f>
        <v>144070</v>
      </c>
      <c r="L898" s="648">
        <v>20237</v>
      </c>
      <c r="M898" s="648">
        <v>7570</v>
      </c>
      <c r="N898" s="648">
        <v>208884</v>
      </c>
      <c r="O898" s="1510">
        <f>1-N899</f>
        <v>0.56117267675759708</v>
      </c>
    </row>
    <row r="899" spans="1:15" ht="12" customHeight="1">
      <c r="A899" s="1517"/>
      <c r="B899" s="1502"/>
      <c r="C899" s="635" t="s">
        <v>6219</v>
      </c>
      <c r="D899" s="636">
        <f>D898/(D898+E898+G898+H898+I898+J898+L898+M898+N898)</f>
        <v>0.15248159157992039</v>
      </c>
      <c r="E899" s="636">
        <f>E898/(D898+E898+G898+H898+I898+J898+L898+M898+N898)</f>
        <v>4.7608743605634392E-2</v>
      </c>
      <c r="F899" s="637">
        <f t="shared" si="28"/>
        <v>0.20009033518555477</v>
      </c>
      <c r="G899" s="636">
        <f>G898/(D898+E898+G898+H898+I898+J898+L898+M898+N898)</f>
        <v>0.2301866577031754</v>
      </c>
      <c r="H899" s="636">
        <f>H898/(D898+E898+G898+H898+I898+J898+L898+M898+N898)</f>
        <v>2.8029117341204401E-2</v>
      </c>
      <c r="I899" s="636">
        <f>I898/(D898+E898+G898+H898+I898+J898+L898+M898+N898)</f>
        <v>1.0783500173317508E-2</v>
      </c>
      <c r="J899" s="636">
        <f>J898/(D898+E898+G898+H898+I898+J898+L898+M898+N898)</f>
        <v>3.3665612756168528E-2</v>
      </c>
      <c r="K899" s="637">
        <f t="shared" si="29"/>
        <v>0.30266488797386587</v>
      </c>
      <c r="L899" s="636">
        <f>L898/(D898+E898+G898+H898+I898+J898+L898+M898+N898)</f>
        <v>4.2514259303998908E-2</v>
      </c>
      <c r="M899" s="636">
        <f>M898/(D898+E898+G898+H898+I898+J898+L898+M898+N898)</f>
        <v>1.5903194294177581E-2</v>
      </c>
      <c r="N899" s="636">
        <f>N898/(D898+E898+G898+H898+I898+J898+L898+M898+N898)</f>
        <v>0.43882732324240292</v>
      </c>
      <c r="O899" s="1503"/>
    </row>
    <row r="900" spans="1:15" ht="12" customHeight="1">
      <c r="A900" s="1517"/>
      <c r="B900" s="1502" t="s">
        <v>14938</v>
      </c>
      <c r="C900" s="638" t="s">
        <v>6218</v>
      </c>
      <c r="D900" s="639">
        <v>128059</v>
      </c>
      <c r="E900" s="639">
        <v>27045</v>
      </c>
      <c r="F900" s="640">
        <f t="shared" si="28"/>
        <v>155104</v>
      </c>
      <c r="G900" s="639">
        <v>91718</v>
      </c>
      <c r="H900" s="639">
        <v>16853</v>
      </c>
      <c r="I900" s="639"/>
      <c r="J900" s="639">
        <v>13612</v>
      </c>
      <c r="K900" s="640">
        <f t="shared" si="29"/>
        <v>122183</v>
      </c>
      <c r="L900" s="639">
        <v>22447</v>
      </c>
      <c r="M900" s="639"/>
      <c r="N900" s="639">
        <v>167378</v>
      </c>
      <c r="O900" s="1503">
        <f>1-N901</f>
        <v>0.64167480176060554</v>
      </c>
    </row>
    <row r="901" spans="1:15" ht="12" customHeight="1">
      <c r="A901" s="1517"/>
      <c r="B901" s="1502"/>
      <c r="C901" s="635" t="s">
        <v>6219</v>
      </c>
      <c r="D901" s="636">
        <f>D900/(D900+E900+G900+H900+I900+J900+L900+M900+N900)</f>
        <v>0.27415052492764047</v>
      </c>
      <c r="E901" s="636">
        <f>E900/(D900+E900+G900+H900+I900+J900+L900+M900+N900)</f>
        <v>5.7898319889020194E-2</v>
      </c>
      <c r="F901" s="637">
        <f t="shared" si="28"/>
        <v>0.33204884481666064</v>
      </c>
      <c r="G901" s="636">
        <f>G900/(D900+E900+G900+H900+I900+J900+L900+M900+N900)</f>
        <v>0.19635119628697187</v>
      </c>
      <c r="H901" s="636">
        <f>H900/(D900+E900+G900+H900+I900+J900+L900+M900+N900)</f>
        <v>3.6079141619140588E-2</v>
      </c>
      <c r="I901" s="636">
        <f>I900/(D900+E900+G900+H900+I900+J900+L900+M900+N900)</f>
        <v>0</v>
      </c>
      <c r="J901" s="636">
        <f>J900/(D900+E900+G900+H900+I900+J900+L900+M900+N900)</f>
        <v>2.9140762814913769E-2</v>
      </c>
      <c r="K901" s="637">
        <f t="shared" si="29"/>
        <v>0.26157110072102624</v>
      </c>
      <c r="L901" s="636">
        <f>L900/(D900+E900+G900+H900+I900+J900+L900+M900+N900)</f>
        <v>4.8054856222918697E-2</v>
      </c>
      <c r="M901" s="636">
        <f>M900/(D900+E900+G900+H900+I900+J900+L900+M900+N900)</f>
        <v>0</v>
      </c>
      <c r="N901" s="636">
        <f>N900/(D900+E900+G900+H900+I900+J900+L900+M900+N900)</f>
        <v>0.3583251982393944</v>
      </c>
      <c r="O901" s="1503"/>
    </row>
    <row r="902" spans="1:15" ht="12" customHeight="1">
      <c r="A902" s="1517"/>
      <c r="B902" s="1502" t="s">
        <v>14939</v>
      </c>
      <c r="C902" s="638" t="s">
        <v>6218</v>
      </c>
      <c r="D902" s="639">
        <v>69890</v>
      </c>
      <c r="E902" s="639">
        <v>26116</v>
      </c>
      <c r="F902" s="640">
        <f t="shared" si="28"/>
        <v>96006</v>
      </c>
      <c r="G902" s="639">
        <v>105097</v>
      </c>
      <c r="H902" s="639">
        <v>16555</v>
      </c>
      <c r="I902" s="639"/>
      <c r="J902" s="639"/>
      <c r="K902" s="640">
        <f t="shared" si="29"/>
        <v>121652</v>
      </c>
      <c r="L902" s="639">
        <v>18248</v>
      </c>
      <c r="M902" s="639">
        <v>15554</v>
      </c>
      <c r="N902" s="639">
        <v>208446</v>
      </c>
      <c r="O902" s="1503">
        <f>1-N903</f>
        <v>0.54676390392819396</v>
      </c>
    </row>
    <row r="903" spans="1:15" ht="12" customHeight="1">
      <c r="A903" s="1517"/>
      <c r="B903" s="1502"/>
      <c r="C903" s="635" t="s">
        <v>6219</v>
      </c>
      <c r="D903" s="636">
        <f>D902/(D902+E902+G902+H902+I902+J902+L902+M902+N902)</f>
        <v>0.1519658364970233</v>
      </c>
      <c r="E903" s="636">
        <f>E902/(D902+E902+G902+H902+I902+J902+L902+M902+N902)</f>
        <v>5.6785517040438702E-2</v>
      </c>
      <c r="F903" s="637">
        <f t="shared" si="28"/>
        <v>0.20875135353746199</v>
      </c>
      <c r="G903" s="636">
        <f>G902/(D902+E902+G902+H902+I902+J902+L902+M902+N902)</f>
        <v>0.22851843637612904</v>
      </c>
      <c r="H903" s="636">
        <f>H902/(D902+E902+G902+H902+I902+J902+L902+M902+N902)</f>
        <v>3.5996486238492213E-2</v>
      </c>
      <c r="I903" s="636">
        <f>I902/(D902+E902+G902+H902+I902+J902+L902+M902+N902)</f>
        <v>0</v>
      </c>
      <c r="J903" s="636">
        <f>J902/(D902+E902+G902+H902+I902+J902+L902+M902+N902)</f>
        <v>0</v>
      </c>
      <c r="K903" s="637">
        <f t="shared" si="29"/>
        <v>0.26451492261462123</v>
      </c>
      <c r="L903" s="636">
        <f>L902/(D902+E902+G902+H902+I902+J902+L902+M902+N902)</f>
        <v>3.9677673263666925E-2</v>
      </c>
      <c r="M903" s="636">
        <f>M902/(D902+E902+G902+H902+I902+J902+L902+M902+N902)</f>
        <v>3.3819954512443851E-2</v>
      </c>
      <c r="N903" s="636">
        <f>N902/(D902+E902+G902+H902+I902+J902+L902+M902+N902)</f>
        <v>0.45323609607180598</v>
      </c>
      <c r="O903" s="1503"/>
    </row>
    <row r="904" spans="1:15" ht="12" customHeight="1">
      <c r="A904" s="1517"/>
      <c r="B904" s="1502" t="s">
        <v>14940</v>
      </c>
      <c r="C904" s="638" t="s">
        <v>6218</v>
      </c>
      <c r="D904" s="639">
        <v>81415</v>
      </c>
      <c r="E904" s="639">
        <v>26102</v>
      </c>
      <c r="F904" s="640">
        <f t="shared" si="28"/>
        <v>107517</v>
      </c>
      <c r="G904" s="639">
        <v>111943</v>
      </c>
      <c r="H904" s="639">
        <v>16903</v>
      </c>
      <c r="I904" s="639"/>
      <c r="J904" s="639"/>
      <c r="K904" s="640">
        <f t="shared" si="29"/>
        <v>128846</v>
      </c>
      <c r="L904" s="639">
        <v>19367</v>
      </c>
      <c r="M904" s="639"/>
      <c r="N904" s="639">
        <v>205453</v>
      </c>
      <c r="O904" s="1503">
        <f>1-N905</f>
        <v>0.55450873080751029</v>
      </c>
    </row>
    <row r="905" spans="1:15" ht="12" customHeight="1" thickBot="1">
      <c r="A905" s="1519"/>
      <c r="B905" s="1514"/>
      <c r="C905" s="641" t="s">
        <v>6219</v>
      </c>
      <c r="D905" s="642">
        <f>D904/(D904+E904+G904+H904+I904+J904+L904+M904+N904)</f>
        <v>0.17653512813785416</v>
      </c>
      <c r="E905" s="642">
        <f>E904/(D904+E904+G904+H904+I904+J904+L904+M904+N904)</f>
        <v>5.6597923167159239E-2</v>
      </c>
      <c r="F905" s="643">
        <f t="shared" si="28"/>
        <v>0.23313305130501338</v>
      </c>
      <c r="G905" s="642">
        <f>G904/(D904+E904+G904+H904+I904+J904+L904+M904+N904)</f>
        <v>0.2427301093058504</v>
      </c>
      <c r="H905" s="642">
        <f>H904/(D904+E904+G904+H904+I904+J904+L904+M904+N904)</f>
        <v>3.6651394348881032E-2</v>
      </c>
      <c r="I905" s="642">
        <f>I904/(D904+E904+G904+H904+I904+J904+L904+M904+N904)</f>
        <v>0</v>
      </c>
      <c r="J905" s="642">
        <f>J904/(D904+E904+G904+H904+I904+J904+L904+M904+N904)</f>
        <v>0</v>
      </c>
      <c r="K905" s="643">
        <f t="shared" si="29"/>
        <v>0.27938150365473141</v>
      </c>
      <c r="L905" s="642">
        <f>L904/(D904+E904+G904+H904+I904+J904+L904+M904+N904)</f>
        <v>4.1994175847765422E-2</v>
      </c>
      <c r="M905" s="642">
        <f>M904/(D904+E904+G904+H904+I904+J904+L904+M904+N904)</f>
        <v>0</v>
      </c>
      <c r="N905" s="642">
        <f>N904/(D904+E904+G904+H904+I904+J904+L904+M904+N904)</f>
        <v>0.44549126919248977</v>
      </c>
      <c r="O905" s="1515"/>
    </row>
    <row r="906" spans="1:15" ht="12" customHeight="1">
      <c r="A906" s="1516" t="s">
        <v>15051</v>
      </c>
      <c r="B906" s="1509" t="s">
        <v>14937</v>
      </c>
      <c r="C906" s="647" t="s">
        <v>6218</v>
      </c>
      <c r="D906" s="648">
        <v>63620</v>
      </c>
      <c r="E906" s="648">
        <v>23568</v>
      </c>
      <c r="F906" s="649">
        <f t="shared" si="28"/>
        <v>87188</v>
      </c>
      <c r="G906" s="648">
        <v>93295</v>
      </c>
      <c r="H906" s="648">
        <v>9705</v>
      </c>
      <c r="I906" s="648">
        <v>4782</v>
      </c>
      <c r="J906" s="648">
        <v>12843</v>
      </c>
      <c r="K906" s="649">
        <f t="shared" si="29"/>
        <v>120625</v>
      </c>
      <c r="L906" s="648">
        <v>22753</v>
      </c>
      <c r="M906" s="648">
        <v>6546</v>
      </c>
      <c r="N906" s="648">
        <v>202730</v>
      </c>
      <c r="O906" s="1510">
        <f>1-N907</f>
        <v>0.53908448943029541</v>
      </c>
    </row>
    <row r="907" spans="1:15" ht="12" customHeight="1">
      <c r="A907" s="1517"/>
      <c r="B907" s="1502"/>
      <c r="C907" s="635" t="s">
        <v>6219</v>
      </c>
      <c r="D907" s="636">
        <f>D906/(D906+E906+G906+H906+I906+J906+L906+M906+N906)</f>
        <v>0.14464284902305827</v>
      </c>
      <c r="E907" s="636">
        <f>E906/(D906+E906+G906+H906+I906+J906+L906+M906+N906)</f>
        <v>5.358287748782517E-2</v>
      </c>
      <c r="F907" s="637">
        <f t="shared" si="28"/>
        <v>0.19822572651088344</v>
      </c>
      <c r="G907" s="636">
        <f>G906/(D906+E906+G906+H906+I906+J906+L906+M906+N906)</f>
        <v>0.21211025777438261</v>
      </c>
      <c r="H907" s="636">
        <f>H906/(D906+E906+G906+H906+I906+J906+L906+M906+N906)</f>
        <v>2.2064741429877091E-2</v>
      </c>
      <c r="I907" s="636">
        <f>I906/(D906+E906+G906+H906+I906+J906+L906+M906+N906)</f>
        <v>1.0872085885386115E-2</v>
      </c>
      <c r="J907" s="636">
        <f>J906/(D906+E906+G906+H906+I906+J906+L906+M906+N906)</f>
        <v>2.9199121502721432E-2</v>
      </c>
      <c r="K907" s="637">
        <f t="shared" si="29"/>
        <v>0.27424620659236726</v>
      </c>
      <c r="L907" s="636">
        <f>L906/(D906+E906+G906+H906+I906+J906+L906+M906+N906)</f>
        <v>5.1729939387325452E-2</v>
      </c>
      <c r="M907" s="636">
        <f>M906/(D906+E906+G906+H906+I906+J906+L906+M906+N906)</f>
        <v>1.4882616939719262E-2</v>
      </c>
      <c r="N907" s="636">
        <f>N906/(D906+E906+G906+H906+I906+J906+L906+M906+N906)</f>
        <v>0.46091551056970459</v>
      </c>
      <c r="O907" s="1503"/>
    </row>
    <row r="908" spans="1:15" ht="12" customHeight="1">
      <c r="A908" s="1517"/>
      <c r="B908" s="1502" t="s">
        <v>14938</v>
      </c>
      <c r="C908" s="638" t="s">
        <v>6218</v>
      </c>
      <c r="D908" s="639">
        <v>115776</v>
      </c>
      <c r="E908" s="639">
        <v>27163</v>
      </c>
      <c r="F908" s="640">
        <f t="shared" si="28"/>
        <v>142939</v>
      </c>
      <c r="G908" s="639">
        <v>79731</v>
      </c>
      <c r="H908" s="639">
        <v>12061</v>
      </c>
      <c r="I908" s="639"/>
      <c r="J908" s="639">
        <v>11856</v>
      </c>
      <c r="K908" s="640">
        <f t="shared" si="29"/>
        <v>103648</v>
      </c>
      <c r="L908" s="639">
        <v>24207</v>
      </c>
      <c r="M908" s="639"/>
      <c r="N908" s="639">
        <v>164239</v>
      </c>
      <c r="O908" s="1503">
        <f>1-N909</f>
        <v>0.62246772083956847</v>
      </c>
    </row>
    <row r="909" spans="1:15" ht="12" customHeight="1">
      <c r="A909" s="1517"/>
      <c r="B909" s="1502"/>
      <c r="C909" s="635" t="s">
        <v>6219</v>
      </c>
      <c r="D909" s="636">
        <f>D908/(D908+E908+G908+H908+I908+J908+L908+M908+N908)</f>
        <v>0.26613153484908042</v>
      </c>
      <c r="E909" s="636">
        <f>E908/(D908+E908+G908+H908+I908+J908+L908+M908+N908)</f>
        <v>6.2438941413639884E-2</v>
      </c>
      <c r="F909" s="637">
        <f t="shared" si="28"/>
        <v>0.32857047626272029</v>
      </c>
      <c r="G909" s="636">
        <f>G908/(D908+E908+G908+H908+I908+J908+L908+M908+N908)</f>
        <v>0.1832757514947142</v>
      </c>
      <c r="H909" s="636">
        <f>H908/(D908+E908+G908+H908+I908+J908+L908+M908+N908)</f>
        <v>2.7724333556304923E-2</v>
      </c>
      <c r="I909" s="636">
        <f>I908/(D908+E908+G908+H908+I908+J908+L908+M908+N908)</f>
        <v>0</v>
      </c>
      <c r="J909" s="636">
        <f>J908/(D908+E908+G908+H908+I908+J908+L908+M908+N908)</f>
        <v>2.7253104936866859E-2</v>
      </c>
      <c r="K909" s="637">
        <f t="shared" si="29"/>
        <v>0.238253189987886</v>
      </c>
      <c r="L909" s="636">
        <f>L908/(D908+E908+G908+H908+I908+J908+L908+M908+N908)</f>
        <v>5.5644054588962218E-2</v>
      </c>
      <c r="M909" s="636">
        <f>M908/(D908+E908+G908+H908+I908+J908+L908+M908+N908)</f>
        <v>0</v>
      </c>
      <c r="N909" s="636">
        <f>N908/(D908+E908+G908+H908+I908+J908+L908+M908+N908)</f>
        <v>0.37753227916043153</v>
      </c>
      <c r="O909" s="1503"/>
    </row>
    <row r="910" spans="1:15" ht="12" customHeight="1">
      <c r="A910" s="1517"/>
      <c r="B910" s="1502" t="s">
        <v>14939</v>
      </c>
      <c r="C910" s="638" t="s">
        <v>6218</v>
      </c>
      <c r="D910" s="639">
        <v>60976</v>
      </c>
      <c r="E910" s="639">
        <v>27257</v>
      </c>
      <c r="F910" s="640">
        <f t="shared" si="28"/>
        <v>88233</v>
      </c>
      <c r="G910" s="639">
        <v>91276</v>
      </c>
      <c r="H910" s="639">
        <v>12650</v>
      </c>
      <c r="I910" s="639"/>
      <c r="J910" s="639"/>
      <c r="K910" s="640">
        <f t="shared" si="29"/>
        <v>103926</v>
      </c>
      <c r="L910" s="639">
        <v>22092</v>
      </c>
      <c r="M910" s="639">
        <v>12452</v>
      </c>
      <c r="N910" s="639">
        <v>204499</v>
      </c>
      <c r="O910" s="1503">
        <f>1-N911</f>
        <v>0.52574663382822906</v>
      </c>
    </row>
    <row r="911" spans="1:15" ht="12" customHeight="1">
      <c r="A911" s="1517"/>
      <c r="B911" s="1502"/>
      <c r="C911" s="635" t="s">
        <v>6219</v>
      </c>
      <c r="D911" s="636">
        <f>D910/(D910+E910+G910+H910+I910+J910+L910+M910+N910)</f>
        <v>0.14140936266529375</v>
      </c>
      <c r="E911" s="636">
        <f>E910/(D910+E910+G910+H910+I910+J910+L910+M910+N910)</f>
        <v>6.3211673415243905E-2</v>
      </c>
      <c r="F911" s="637">
        <f t="shared" si="28"/>
        <v>0.20462103608053767</v>
      </c>
      <c r="G911" s="636">
        <f>G910/(D910+E910+G910+H910+I910+J910+L910+M910+N910)</f>
        <v>0.21167805344131058</v>
      </c>
      <c r="H911" s="636">
        <f>H910/(D910+E910+G910+H910+I910+J910+L910+M910+N910)</f>
        <v>2.9336598624310647E-2</v>
      </c>
      <c r="I911" s="636">
        <f>I910/(D910+E910+G910+H910+I910+J910+L910+M910+N910)</f>
        <v>0</v>
      </c>
      <c r="J911" s="636">
        <f>J910/(D910+E910+G910+H910+I910+J910+L910+M910+N910)</f>
        <v>0</v>
      </c>
      <c r="K911" s="637">
        <f t="shared" si="29"/>
        <v>0.24101465206562123</v>
      </c>
      <c r="L911" s="636">
        <f>L910/(D910+E910+G910+H910+I910+J910+L910+M910+N910)</f>
        <v>5.1233528601444332E-2</v>
      </c>
      <c r="M911" s="636">
        <f>M910/(D910+E910+G910+H910+I910+J910+L910+M910+N910)</f>
        <v>2.8877417080625786E-2</v>
      </c>
      <c r="N911" s="636">
        <f>N910/(D910+E910+G910+H910+I910+J910+L910+M910+N910)</f>
        <v>0.474253366171771</v>
      </c>
      <c r="O911" s="1503"/>
    </row>
    <row r="912" spans="1:15" ht="12" customHeight="1">
      <c r="A912" s="1517"/>
      <c r="B912" s="1502" t="s">
        <v>14940</v>
      </c>
      <c r="C912" s="638" t="s">
        <v>6218</v>
      </c>
      <c r="D912" s="639">
        <v>76902</v>
      </c>
      <c r="E912" s="639">
        <v>26944</v>
      </c>
      <c r="F912" s="640">
        <f t="shared" si="28"/>
        <v>103846</v>
      </c>
      <c r="G912" s="639">
        <v>96612</v>
      </c>
      <c r="H912" s="639">
        <v>9961</v>
      </c>
      <c r="I912" s="639"/>
      <c r="J912" s="639"/>
      <c r="K912" s="640">
        <f t="shared" si="29"/>
        <v>106573</v>
      </c>
      <c r="L912" s="639">
        <v>22673</v>
      </c>
      <c r="M912" s="639"/>
      <c r="N912" s="639">
        <v>198428</v>
      </c>
      <c r="O912" s="1503">
        <f>1-N913</f>
        <v>0.54016499814608832</v>
      </c>
    </row>
    <row r="913" spans="1:15" ht="12" customHeight="1" thickBot="1">
      <c r="A913" s="1519"/>
      <c r="B913" s="1514"/>
      <c r="C913" s="641" t="s">
        <v>6219</v>
      </c>
      <c r="D913" s="642">
        <f>D912/(D912+E912+G912+H912+I912+J912+L912+M912+N912)</f>
        <v>0.17821190211345939</v>
      </c>
      <c r="E913" s="642">
        <f>E912/(D912+E912+G912+H912+I912+J912+L912+M912+N912)</f>
        <v>6.243974786800148E-2</v>
      </c>
      <c r="F913" s="643">
        <f t="shared" si="28"/>
        <v>0.24065164998146088</v>
      </c>
      <c r="G913" s="642">
        <f>G912/(D912+E912+G912+H912+I912+J912+L912+M912+N912)</f>
        <v>0.2238876529477197</v>
      </c>
      <c r="H913" s="642">
        <f>H912/(D912+E912+G912+H912+I912+J912+L912+M912+N912)</f>
        <v>2.3083518724508714E-2</v>
      </c>
      <c r="I913" s="642">
        <f>I912/(D912+E912+G912+H912+I912+J912+L912+M912+N912)</f>
        <v>0</v>
      </c>
      <c r="J913" s="642">
        <f>J912/(D912+E912+G912+H912+I912+J912+L912+M912+N912)</f>
        <v>0</v>
      </c>
      <c r="K913" s="643">
        <f t="shared" si="29"/>
        <v>0.24697117167222843</v>
      </c>
      <c r="L913" s="642">
        <f>L912/(D912+E912+G912+H912+I912+J912+L912+M912+N912)</f>
        <v>5.2542176492398965E-2</v>
      </c>
      <c r="M913" s="642">
        <f>M912/(D912+E912+G912+H912+I912+J912+L912+M912+N912)</f>
        <v>0</v>
      </c>
      <c r="N913" s="642">
        <f>N912/(D912+E912+G912+H912+I912+J912+L912+M912+N912)</f>
        <v>0.45983500185391174</v>
      </c>
      <c r="O913" s="1515"/>
    </row>
    <row r="914" spans="1:15" ht="12" customHeight="1">
      <c r="A914" s="1516" t="s">
        <v>15052</v>
      </c>
      <c r="B914" s="1509" t="s">
        <v>14937</v>
      </c>
      <c r="C914" s="647" t="s">
        <v>6218</v>
      </c>
      <c r="D914" s="648">
        <v>67302</v>
      </c>
      <c r="E914" s="648">
        <v>20115</v>
      </c>
      <c r="F914" s="649">
        <f t="shared" si="28"/>
        <v>87417</v>
      </c>
      <c r="G914" s="648">
        <v>102642</v>
      </c>
      <c r="H914" s="648">
        <v>13289</v>
      </c>
      <c r="I914" s="648">
        <v>4798</v>
      </c>
      <c r="J914" s="648">
        <v>14734</v>
      </c>
      <c r="K914" s="649">
        <f t="shared" si="29"/>
        <v>135463</v>
      </c>
      <c r="L914" s="648">
        <v>22749</v>
      </c>
      <c r="M914" s="648">
        <v>7257</v>
      </c>
      <c r="N914" s="648">
        <v>201818</v>
      </c>
      <c r="O914" s="1510">
        <f>1-N915</f>
        <v>0.55615521306168403</v>
      </c>
    </row>
    <row r="915" spans="1:15" ht="12" customHeight="1">
      <c r="A915" s="1517"/>
      <c r="B915" s="1502"/>
      <c r="C915" s="635" t="s">
        <v>6219</v>
      </c>
      <c r="D915" s="636">
        <f>D914/(D914+E914+G914+H914+I914+J914+L914+M914+N914)</f>
        <v>0.14801277314472711</v>
      </c>
      <c r="E915" s="636">
        <f>E914/(D914+E914+G914+H914+I914+J914+L914+M914+N914)</f>
        <v>4.4237569935606458E-2</v>
      </c>
      <c r="F915" s="637">
        <f t="shared" si="28"/>
        <v>0.19225034308033356</v>
      </c>
      <c r="G915" s="636">
        <f>G914/(D914+E914+G914+H914+I914+J914+L914+M914+N914)</f>
        <v>0.22573366409796264</v>
      </c>
      <c r="H915" s="636">
        <f>H914/(D914+E914+G914+H914+I914+J914+L914+M914+N914)</f>
        <v>2.9225606108589323E-2</v>
      </c>
      <c r="I915" s="636">
        <f>I914/(D914+E914+G914+H914+I914+J914+L914+M914+N914)</f>
        <v>1.0551919490481719E-2</v>
      </c>
      <c r="J915" s="636">
        <f>J914/(D914+E914+G914+H914+I914+J914+L914+M914+N914)</f>
        <v>3.2403497660016184E-2</v>
      </c>
      <c r="K915" s="637">
        <f t="shared" si="29"/>
        <v>0.29791468735704985</v>
      </c>
      <c r="L915" s="636">
        <f>L914/(D914+E914+G914+H914+I914+J914+L914+M914+N914)</f>
        <v>5.0030349414124355E-2</v>
      </c>
      <c r="M915" s="636">
        <f>M914/(D914+E914+G914+H914+I914+J914+L914+M914+N914)</f>
        <v>1.5959833210176289E-2</v>
      </c>
      <c r="N915" s="636">
        <f>N914/(D914+E914+G914+H914+I914+J914+L914+M914+N914)</f>
        <v>0.44384478693831592</v>
      </c>
      <c r="O915" s="1503"/>
    </row>
    <row r="916" spans="1:15" ht="12" customHeight="1">
      <c r="A916" s="1517"/>
      <c r="B916" s="1502" t="s">
        <v>14938</v>
      </c>
      <c r="C916" s="638" t="s">
        <v>6218</v>
      </c>
      <c r="D916" s="639">
        <v>117807</v>
      </c>
      <c r="E916" s="639">
        <v>24081</v>
      </c>
      <c r="F916" s="640">
        <f t="shared" si="28"/>
        <v>141888</v>
      </c>
      <c r="G916" s="639">
        <v>91097</v>
      </c>
      <c r="H916" s="639">
        <v>15959</v>
      </c>
      <c r="I916" s="639"/>
      <c r="J916" s="639">
        <v>12668</v>
      </c>
      <c r="K916" s="640">
        <f t="shared" si="29"/>
        <v>119724</v>
      </c>
      <c r="L916" s="639">
        <v>24006</v>
      </c>
      <c r="M916" s="639"/>
      <c r="N916" s="639">
        <v>162784</v>
      </c>
      <c r="O916" s="1503">
        <f>1-N917</f>
        <v>0.63696861298566909</v>
      </c>
    </row>
    <row r="917" spans="1:15" ht="12" customHeight="1">
      <c r="A917" s="1517"/>
      <c r="B917" s="1502"/>
      <c r="C917" s="635" t="s">
        <v>6219</v>
      </c>
      <c r="D917" s="636">
        <f>D916/(D916+E916+G916+H916+I916+J916+L916+M916+N916)</f>
        <v>0.26272630362933258</v>
      </c>
      <c r="E917" s="636">
        <f>E916/(D916+E916+G916+H916+I916+J916+L916+M916+N916)</f>
        <v>5.3704042354851225E-2</v>
      </c>
      <c r="F917" s="637">
        <f t="shared" si="28"/>
        <v>0.31643034598418379</v>
      </c>
      <c r="G917" s="636">
        <f>G916/(D916+E916+G916+H916+I916+J916+L916+M916+N916)</f>
        <v>0.20315921873675855</v>
      </c>
      <c r="H917" s="636">
        <f>H916/(D916+E916+G916+H916+I916+J916+L916+M916+N916)</f>
        <v>3.5590831441429792E-2</v>
      </c>
      <c r="I917" s="636">
        <f>I916/(D916+E916+G916+H916+I916+J916+L916+M916+N916)</f>
        <v>0</v>
      </c>
      <c r="J917" s="636">
        <f>J916/(D916+E916+G916+H916+I916+J916+L916+M916+N916)</f>
        <v>2.8251435096186012E-2</v>
      </c>
      <c r="K917" s="637">
        <f t="shared" si="29"/>
        <v>0.26700148527437434</v>
      </c>
      <c r="L917" s="636">
        <f>L916/(D916+E916+G916+H916+I916+J916+L916+M916+N916)</f>
        <v>5.3536781727110939E-2</v>
      </c>
      <c r="M917" s="636">
        <f>M916/(D916+E916+G916+H916+I916+J916+L916+M916+N916)</f>
        <v>0</v>
      </c>
      <c r="N917" s="636">
        <f>N916/(D916+E916+G916+H916+I916+J916+L916+M916+N916)</f>
        <v>0.36303138701433091</v>
      </c>
      <c r="O917" s="1503"/>
    </row>
    <row r="918" spans="1:15" ht="12" customHeight="1">
      <c r="A918" s="1517"/>
      <c r="B918" s="1502" t="s">
        <v>14939</v>
      </c>
      <c r="C918" s="638" t="s">
        <v>6218</v>
      </c>
      <c r="D918" s="639">
        <v>64979</v>
      </c>
      <c r="E918" s="639">
        <v>22802</v>
      </c>
      <c r="F918" s="640">
        <f t="shared" si="28"/>
        <v>87781</v>
      </c>
      <c r="G918" s="639">
        <v>100914</v>
      </c>
      <c r="H918" s="639">
        <v>16275</v>
      </c>
      <c r="I918" s="639"/>
      <c r="J918" s="639"/>
      <c r="K918" s="640">
        <f t="shared" si="29"/>
        <v>117189</v>
      </c>
      <c r="L918" s="639">
        <v>21127</v>
      </c>
      <c r="M918" s="639">
        <v>13917</v>
      </c>
      <c r="N918" s="639">
        <v>203519</v>
      </c>
      <c r="O918" s="1503">
        <f>1-N919</f>
        <v>0.54114124540902253</v>
      </c>
    </row>
    <row r="919" spans="1:15" ht="12" customHeight="1">
      <c r="A919" s="1517"/>
      <c r="B919" s="1502"/>
      <c r="C919" s="635" t="s">
        <v>6219</v>
      </c>
      <c r="D919" s="636">
        <f>D918/(D918+E918+G918+H918+I918+J918+L918+M918+N918)</f>
        <v>0.14650319141980417</v>
      </c>
      <c r="E919" s="636">
        <f>E918/(D918+E918+G918+H918+I918+J918+L918+M918+N918)</f>
        <v>5.1409928911715704E-2</v>
      </c>
      <c r="F919" s="637">
        <f t="shared" si="28"/>
        <v>0.19791312033151987</v>
      </c>
      <c r="G919" s="636">
        <f>G918/(D918+E918+G918+H918+I918+J918+L918+M918+N918)</f>
        <v>0.22752309298293474</v>
      </c>
      <c r="H919" s="636">
        <f>H918/(D918+E918+G918+H918+I918+J918+L918+M918+N918)</f>
        <v>3.6694000220953121E-2</v>
      </c>
      <c r="I919" s="636">
        <f>I918/(D918+E918+G918+H918+I918+J918+L918+M918+N918)</f>
        <v>0</v>
      </c>
      <c r="J919" s="636">
        <f>J918/(D918+E918+G918+H918+I918+J918+L918+M918+N918)</f>
        <v>0</v>
      </c>
      <c r="K919" s="637">
        <f t="shared" si="29"/>
        <v>0.26421709320388787</v>
      </c>
      <c r="L919" s="636">
        <f>L918/(D918+E918+G918+H918+I918+J918+L918+M918+N918)</f>
        <v>4.7633434265319602E-2</v>
      </c>
      <c r="M919" s="636">
        <f>M918/(D918+E918+G918+H918+I918+J918+L918+M918+N918)</f>
        <v>3.1377597608295213E-2</v>
      </c>
      <c r="N919" s="636">
        <f>N918/(D918+E918+G918+H918+I918+J918+L918+M918+N918)</f>
        <v>0.45885875459097747</v>
      </c>
      <c r="O919" s="1503"/>
    </row>
    <row r="920" spans="1:15" ht="12" customHeight="1">
      <c r="A920" s="1517"/>
      <c r="B920" s="1502" t="s">
        <v>14940</v>
      </c>
      <c r="C920" s="638" t="s">
        <v>6218</v>
      </c>
      <c r="D920" s="639">
        <v>83836</v>
      </c>
      <c r="E920" s="639">
        <v>22467</v>
      </c>
      <c r="F920" s="640">
        <f t="shared" si="28"/>
        <v>106303</v>
      </c>
      <c r="G920" s="639">
        <v>107509</v>
      </c>
      <c r="H920" s="639">
        <v>14825</v>
      </c>
      <c r="I920" s="639"/>
      <c r="J920" s="639"/>
      <c r="K920" s="640">
        <f t="shared" si="29"/>
        <v>122334</v>
      </c>
      <c r="L920" s="639">
        <v>20795</v>
      </c>
      <c r="M920" s="639"/>
      <c r="N920" s="639">
        <v>194914</v>
      </c>
      <c r="O920" s="1503">
        <f>1-N921</f>
        <v>0.56134633821391433</v>
      </c>
    </row>
    <row r="921" spans="1:15" ht="12" customHeight="1" thickBot="1">
      <c r="A921" s="1519"/>
      <c r="B921" s="1514"/>
      <c r="C921" s="641" t="s">
        <v>6219</v>
      </c>
      <c r="D921" s="642">
        <f>D920/(D920+E920+G920+H920+I920+J920+L920+M920+N920)</f>
        <v>0.18867279102321163</v>
      </c>
      <c r="E921" s="642">
        <f>E920/(D920+E920+G920+H920+I920+J920+L920+M920+N920)</f>
        <v>5.0561949471808004E-2</v>
      </c>
      <c r="F921" s="643">
        <f t="shared" si="28"/>
        <v>0.23923474049501964</v>
      </c>
      <c r="G921" s="642">
        <f>G920/(D920+E920+G920+H920+I920+J920+L920+M920+N920)</f>
        <v>0.24194884166842956</v>
      </c>
      <c r="H921" s="642">
        <f>H920/(D920+E920+G920+H920+I920+J920+L920+M920+N920)</f>
        <v>3.3363640046270251E-2</v>
      </c>
      <c r="I921" s="642">
        <f>I920/(D920+E920+G920+H920+I920+J920+L920+M920+N920)</f>
        <v>0</v>
      </c>
      <c r="J921" s="642">
        <f>J920/(D920+E920+G920+H920+I920+J920+L920+M920+N920)</f>
        <v>0</v>
      </c>
      <c r="K921" s="643">
        <f t="shared" si="29"/>
        <v>0.2753124817146998</v>
      </c>
      <c r="L921" s="642">
        <f>L920/(D920+E920+G920+H920+I920+J920+L920+M920+N920)</f>
        <v>4.6799116004194931E-2</v>
      </c>
      <c r="M921" s="642">
        <f>M920/(D920+E920+G920+H920+I920+J920+L920+M920+N920)</f>
        <v>0</v>
      </c>
      <c r="N921" s="642">
        <f>N920/(D920+E920+G920+H920+I920+J920+L920+M920+N920)</f>
        <v>0.43865366178608561</v>
      </c>
      <c r="O921" s="1515"/>
    </row>
    <row r="922" spans="1:15" ht="12" customHeight="1">
      <c r="A922" s="1516" t="s">
        <v>15053</v>
      </c>
      <c r="B922" s="1509" t="s">
        <v>14937</v>
      </c>
      <c r="C922" s="647" t="s">
        <v>6218</v>
      </c>
      <c r="D922" s="648">
        <v>63205</v>
      </c>
      <c r="E922" s="648">
        <v>29963</v>
      </c>
      <c r="F922" s="649">
        <f t="shared" si="28"/>
        <v>93168</v>
      </c>
      <c r="G922" s="648">
        <v>98613</v>
      </c>
      <c r="H922" s="648">
        <v>11416</v>
      </c>
      <c r="I922" s="648">
        <v>8158</v>
      </c>
      <c r="J922" s="648">
        <v>13133</v>
      </c>
      <c r="K922" s="649">
        <f t="shared" si="29"/>
        <v>131320</v>
      </c>
      <c r="L922" s="648">
        <v>21900</v>
      </c>
      <c r="M922" s="648">
        <v>6620</v>
      </c>
      <c r="N922" s="648">
        <v>183992</v>
      </c>
      <c r="O922" s="1510">
        <f>1-N923</f>
        <v>0.57896567505720831</v>
      </c>
    </row>
    <row r="923" spans="1:15" ht="12" customHeight="1">
      <c r="A923" s="1517"/>
      <c r="B923" s="1502"/>
      <c r="C923" s="635" t="s">
        <v>6219</v>
      </c>
      <c r="D923" s="636">
        <f>D922/(D922+E922+G922+H922+I922+J922+L922+M922+N922)</f>
        <v>0.14463386727688787</v>
      </c>
      <c r="E923" s="636">
        <f>E922/(D922+E922+G922+H922+I922+J922+L922+M922+N922)</f>
        <v>6.8565217391304348E-2</v>
      </c>
      <c r="F923" s="637">
        <f t="shared" si="28"/>
        <v>0.21319908466819221</v>
      </c>
      <c r="G923" s="636">
        <f>G922/(D922+E922+G922+H922+I922+J922+L922+M922+N922)</f>
        <v>0.22565903890160183</v>
      </c>
      <c r="H923" s="636">
        <f>H922/(D922+E922+G922+H922+I922+J922+L922+M922+N922)</f>
        <v>2.6123569794050342E-2</v>
      </c>
      <c r="I923" s="636">
        <f>I922/(D922+E922+G922+H922+I922+J922+L922+M922+N922)</f>
        <v>1.8668192219679632E-2</v>
      </c>
      <c r="J923" s="636">
        <f>J922/(D922+E922+G922+H922+I922+J922+L922+M922+N922)</f>
        <v>3.0052631578947369E-2</v>
      </c>
      <c r="K923" s="637">
        <f t="shared" si="29"/>
        <v>0.30050343249427919</v>
      </c>
      <c r="L923" s="636">
        <f>L922/(D922+E922+G922+H922+I922+J922+L922+M922+N922)</f>
        <v>5.0114416475972541E-2</v>
      </c>
      <c r="M923" s="636">
        <f>M922/(D922+E922+G922+H922+I922+J922+L922+M922+N922)</f>
        <v>1.5148741418764301E-2</v>
      </c>
      <c r="N923" s="636">
        <f>N922/(D922+E922+G922+H922+I922+J922+L922+M922+N922)</f>
        <v>0.42103432494279175</v>
      </c>
      <c r="O923" s="1503"/>
    </row>
    <row r="924" spans="1:15" ht="12" customHeight="1">
      <c r="A924" s="1517"/>
      <c r="B924" s="1502" t="s">
        <v>14938</v>
      </c>
      <c r="C924" s="638" t="s">
        <v>6218</v>
      </c>
      <c r="D924" s="639">
        <v>111698</v>
      </c>
      <c r="E924" s="639">
        <v>35098</v>
      </c>
      <c r="F924" s="640">
        <f t="shared" si="28"/>
        <v>146796</v>
      </c>
      <c r="G924" s="639">
        <v>85252</v>
      </c>
      <c r="H924" s="639">
        <v>14916</v>
      </c>
      <c r="I924" s="639"/>
      <c r="J924" s="639">
        <v>15474</v>
      </c>
      <c r="K924" s="640">
        <f t="shared" si="29"/>
        <v>115642</v>
      </c>
      <c r="L924" s="639">
        <v>24562</v>
      </c>
      <c r="M924" s="639"/>
      <c r="N924" s="639">
        <v>143697</v>
      </c>
      <c r="O924" s="1503">
        <f>1-N925</f>
        <v>0.66636173458370962</v>
      </c>
    </row>
    <row r="925" spans="1:15" ht="12" customHeight="1">
      <c r="A925" s="1517"/>
      <c r="B925" s="1502"/>
      <c r="C925" s="635" t="s">
        <v>6219</v>
      </c>
      <c r="D925" s="636">
        <f>D924/(D924+E924+G924+H924+I924+J924+L924+M924+N924)</f>
        <v>0.2593424147370425</v>
      </c>
      <c r="E925" s="636">
        <f>E924/(D924+E924+G924+H924+I924+J924+L924+M924+N924)</f>
        <v>8.149116432201757E-2</v>
      </c>
      <c r="F925" s="637">
        <f t="shared" si="28"/>
        <v>0.34083357905906009</v>
      </c>
      <c r="G925" s="636">
        <f>G924/(D924+E924+G924+H924+I924+J924+L924+M924+N924)</f>
        <v>0.19793961880393873</v>
      </c>
      <c r="H925" s="636">
        <f>H924/(D924+E924+G924+H924+I924+J924+L924+M924+N924)</f>
        <v>3.4632235655228619E-2</v>
      </c>
      <c r="I925" s="636">
        <f>I924/(D924+E924+G924+H924+I924+J924+L924+M924+N924)</f>
        <v>0</v>
      </c>
      <c r="J925" s="636">
        <f>J924/(D924+E924+G924+H924+I924+J924+L924+M924+N924)</f>
        <v>3.5927810038147469E-2</v>
      </c>
      <c r="K925" s="637">
        <f t="shared" si="29"/>
        <v>0.26849966449731483</v>
      </c>
      <c r="L925" s="636">
        <f>L924/(D924+E924+G924+H924+I924+J924+L924+M924+N924)</f>
        <v>5.702849102733476E-2</v>
      </c>
      <c r="M925" s="636">
        <f>M924/(D924+E924+G924+H924+I924+J924+L924+M924+N924)</f>
        <v>0</v>
      </c>
      <c r="N925" s="636">
        <f>N924/(D924+E924+G924+H924+I924+J924+L924+M924+N924)</f>
        <v>0.33363826541629032</v>
      </c>
      <c r="O925" s="1503"/>
    </row>
    <row r="926" spans="1:15" ht="12" customHeight="1">
      <c r="A926" s="1517"/>
      <c r="B926" s="1502" t="s">
        <v>14939</v>
      </c>
      <c r="C926" s="638" t="s">
        <v>6218</v>
      </c>
      <c r="D926" s="639">
        <v>60235</v>
      </c>
      <c r="E926" s="639">
        <v>33626</v>
      </c>
      <c r="F926" s="640">
        <f t="shared" si="28"/>
        <v>93861</v>
      </c>
      <c r="G926" s="639">
        <v>98445</v>
      </c>
      <c r="H926" s="639">
        <v>14558</v>
      </c>
      <c r="I926" s="639"/>
      <c r="J926" s="639"/>
      <c r="K926" s="640">
        <f t="shared" si="29"/>
        <v>113003</v>
      </c>
      <c r="L926" s="639">
        <v>20399</v>
      </c>
      <c r="M926" s="639">
        <v>11589</v>
      </c>
      <c r="N926" s="639">
        <v>186216</v>
      </c>
      <c r="O926" s="1503">
        <f>1-N927</f>
        <v>0.56191479951443069</v>
      </c>
    </row>
    <row r="927" spans="1:15" ht="12" customHeight="1">
      <c r="A927" s="1517"/>
      <c r="B927" s="1502"/>
      <c r="C927" s="635" t="s">
        <v>6219</v>
      </c>
      <c r="D927" s="636">
        <f>D926/(D926+E926+G926+H926+I926+J926+L926+M926+N926)</f>
        <v>0.14170673868651604</v>
      </c>
      <c r="E927" s="636">
        <f>E926/(D926+E926+G926+H926+I926+J926+L926+M926+N926)</f>
        <v>7.9107342825147975E-2</v>
      </c>
      <c r="F927" s="637">
        <f t="shared" si="28"/>
        <v>0.22081408151166401</v>
      </c>
      <c r="G927" s="636">
        <f>G926/(D926+E926+G926+H926+I926+J926+L926+M926+N926)</f>
        <v>0.23159823839950314</v>
      </c>
      <c r="H927" s="636">
        <f>H926/(D926+E926+G926+H926+I926+J926+L926+M926+N926)</f>
        <v>3.4248637865000424E-2</v>
      </c>
      <c r="I927" s="636">
        <f>I926/(D926+E926+G926+H926+I926+J926+L926+M926+N926)</f>
        <v>0</v>
      </c>
      <c r="J927" s="636">
        <f>J926/(D926+E926+G926+H926+I926+J926+L926+M926+N926)</f>
        <v>0</v>
      </c>
      <c r="K927" s="637">
        <f t="shared" si="29"/>
        <v>0.26584687626450354</v>
      </c>
      <c r="L927" s="636">
        <f>L926/(D926+E926+G926+H926+I926+J926+L926+M926+N926)</f>
        <v>4.7989968663837312E-2</v>
      </c>
      <c r="M927" s="636">
        <f>M926/(D926+E926+G926+H926+I926+J926+L926+M926+N926)</f>
        <v>2.7263873074425737E-2</v>
      </c>
      <c r="N927" s="636">
        <f>N926/(D926+E926+G926+H926+I926+J926+L926+M926+N926)</f>
        <v>0.43808520048556937</v>
      </c>
      <c r="O927" s="1503"/>
    </row>
    <row r="928" spans="1:15" ht="12" customHeight="1">
      <c r="A928" s="1517"/>
      <c r="B928" s="1502" t="s">
        <v>14940</v>
      </c>
      <c r="C928" s="638" t="s">
        <v>6218</v>
      </c>
      <c r="D928" s="639">
        <v>76940</v>
      </c>
      <c r="E928" s="639">
        <v>34322</v>
      </c>
      <c r="F928" s="640">
        <f t="shared" si="28"/>
        <v>111262</v>
      </c>
      <c r="G928" s="639">
        <v>103848</v>
      </c>
      <c r="H928" s="639">
        <v>11384</v>
      </c>
      <c r="I928" s="639"/>
      <c r="J928" s="639"/>
      <c r="K928" s="640">
        <f t="shared" si="29"/>
        <v>115232</v>
      </c>
      <c r="L928" s="639">
        <v>22009</v>
      </c>
      <c r="M928" s="639"/>
      <c r="N928" s="639">
        <v>175742</v>
      </c>
      <c r="O928" s="1503">
        <f>1-N929</f>
        <v>0.58575351506794426</v>
      </c>
    </row>
    <row r="929" spans="1:15" ht="12" customHeight="1" thickBot="1">
      <c r="A929" s="1519"/>
      <c r="B929" s="1514"/>
      <c r="C929" s="641" t="s">
        <v>6219</v>
      </c>
      <c r="D929" s="642">
        <f>D928/(D928+E928+G928+H928+I928+J928+L928+M928+N928)</f>
        <v>0.18135747032964442</v>
      </c>
      <c r="E929" s="642">
        <f>E928/(D928+E928+G928+H928+I928+J928+L928+M928+N928)</f>
        <v>8.0901365955992413E-2</v>
      </c>
      <c r="F929" s="643">
        <f t="shared" si="28"/>
        <v>0.26225883628563684</v>
      </c>
      <c r="G929" s="642">
        <f>G928/(D928+E928+G928+H928+I928+J928+L928+M928+N928)</f>
        <v>0.24478308524555387</v>
      </c>
      <c r="H929" s="642">
        <f>H928/(D928+E928+G928+H928+I928+J928+L928+M928+N928)</f>
        <v>2.6833551367723838E-2</v>
      </c>
      <c r="I929" s="642">
        <f>I928/(D928+E928+G928+H928+I928+J928+L928+M928+N928)</f>
        <v>0</v>
      </c>
      <c r="J929" s="642">
        <f>J928/(D928+E928+G928+H928+I928+J928+L928+M928+N928)</f>
        <v>0</v>
      </c>
      <c r="K929" s="643">
        <f t="shared" si="29"/>
        <v>0.27161663661327773</v>
      </c>
      <c r="L929" s="642">
        <f>L928/(D928+E928+G928+H928+I928+J928+L928+M928+N928)</f>
        <v>5.1878042169029685E-2</v>
      </c>
      <c r="M929" s="642">
        <f>M928/(D928+E928+G928+H928+I928+J928+L928+M928+N928)</f>
        <v>0</v>
      </c>
      <c r="N929" s="642">
        <f>N928/(D928+E928+G928+H928+I928+J928+L928+M928+N928)</f>
        <v>0.41424648493205579</v>
      </c>
      <c r="O929" s="1515"/>
    </row>
    <row r="930" spans="1:15" ht="12" customHeight="1">
      <c r="A930" s="1516" t="s">
        <v>15054</v>
      </c>
      <c r="B930" s="1509" t="s">
        <v>14937</v>
      </c>
      <c r="C930" s="647" t="s">
        <v>6218</v>
      </c>
      <c r="D930" s="648">
        <v>48400</v>
      </c>
      <c r="E930" s="648">
        <v>21952</v>
      </c>
      <c r="F930" s="649">
        <f t="shared" si="28"/>
        <v>70352</v>
      </c>
      <c r="G930" s="648">
        <v>72274</v>
      </c>
      <c r="H930" s="648">
        <v>8232</v>
      </c>
      <c r="I930" s="648">
        <v>7653</v>
      </c>
      <c r="J930" s="648">
        <v>9998</v>
      </c>
      <c r="K930" s="649">
        <f t="shared" si="29"/>
        <v>98157</v>
      </c>
      <c r="L930" s="648">
        <v>17687</v>
      </c>
      <c r="M930" s="648">
        <v>5045</v>
      </c>
      <c r="N930" s="648">
        <v>150412</v>
      </c>
      <c r="O930" s="1510">
        <f>1-N931</f>
        <v>0.55975214618340829</v>
      </c>
    </row>
    <row r="931" spans="1:15" ht="12" customHeight="1">
      <c r="A931" s="1517"/>
      <c r="B931" s="1502"/>
      <c r="C931" s="635" t="s">
        <v>6219</v>
      </c>
      <c r="D931" s="636">
        <f>D930/(D930+E930+G930+H930+I930+J930+L930+M930+N930)</f>
        <v>0.14166420315349199</v>
      </c>
      <c r="E931" s="636">
        <f>E930/(D930+E930+G930+H930+I930+J930+L930+M930+N930)</f>
        <v>6.4252326190608597E-2</v>
      </c>
      <c r="F931" s="637">
        <f t="shared" si="28"/>
        <v>0.2059165293441006</v>
      </c>
      <c r="G931" s="636">
        <f>G930/(D930+E930+G930+H930+I930+J930+L930+M930+N930)</f>
        <v>0.21154212022139421</v>
      </c>
      <c r="H931" s="636">
        <f>H930/(D930+E930+G930+H930+I930+J930+L930+M930+N930)</f>
        <v>2.4094622321478226E-2</v>
      </c>
      <c r="I931" s="636">
        <f>I930/(D930+E930+G930+H930+I930+J930+L930+M930+N930)</f>
        <v>2.2399920387059385E-2</v>
      </c>
      <c r="J931" s="636">
        <f>J930/(D930+E930+G930+H930+I930+J930+L930+M930+N930)</f>
        <v>2.9263609568772993E-2</v>
      </c>
      <c r="K931" s="637">
        <f t="shared" si="29"/>
        <v>0.28730027249870482</v>
      </c>
      <c r="L931" s="636">
        <f>L930/(D930+E930+G930+H930+I930+J930+L930+M930+N930)</f>
        <v>5.1768900024293657E-2</v>
      </c>
      <c r="M931" s="636">
        <f>M930/(D930+E930+G930+H930+I930+J930+L930+M930+N930)</f>
        <v>1.4766444316309238E-2</v>
      </c>
      <c r="N931" s="636">
        <f>N930/(D930+E930+G930+H930+I930+J930+L930+M930+N930)</f>
        <v>0.44024785381659171</v>
      </c>
      <c r="O931" s="1503"/>
    </row>
    <row r="932" spans="1:15" ht="12" customHeight="1">
      <c r="A932" s="1517"/>
      <c r="B932" s="1502" t="s">
        <v>14938</v>
      </c>
      <c r="C932" s="638" t="s">
        <v>6218</v>
      </c>
      <c r="D932" s="639">
        <v>83603</v>
      </c>
      <c r="E932" s="639">
        <v>24903</v>
      </c>
      <c r="F932" s="640">
        <f t="shared" si="28"/>
        <v>108506</v>
      </c>
      <c r="G932" s="639">
        <v>60790</v>
      </c>
      <c r="H932" s="639">
        <v>9136</v>
      </c>
      <c r="I932" s="639"/>
      <c r="J932" s="639">
        <v>22004</v>
      </c>
      <c r="K932" s="640">
        <f t="shared" si="29"/>
        <v>91930</v>
      </c>
      <c r="L932" s="639">
        <v>18723</v>
      </c>
      <c r="M932" s="639"/>
      <c r="N932" s="639">
        <v>114978</v>
      </c>
      <c r="O932" s="1503">
        <f>1-N933</f>
        <v>0.65589563562251407</v>
      </c>
    </row>
    <row r="933" spans="1:15" ht="12" customHeight="1">
      <c r="A933" s="1517"/>
      <c r="B933" s="1502"/>
      <c r="C933" s="635" t="s">
        <v>6219</v>
      </c>
      <c r="D933" s="636">
        <f>D932/(D932+E932+G932+H932+I932+J932+L932+M932+N932)</f>
        <v>0.25020575392728134</v>
      </c>
      <c r="E933" s="636">
        <f>E932/(D932+E932+G932+H932+I932+J932+L932+M932+N932)</f>
        <v>7.4529309833990254E-2</v>
      </c>
      <c r="F933" s="637">
        <f t="shared" si="28"/>
        <v>0.32473506376127159</v>
      </c>
      <c r="G933" s="636">
        <f>G932/(D932+E932+G932+H932+I932+J932+L932+M932+N932)</f>
        <v>0.18193136348264335</v>
      </c>
      <c r="H933" s="636">
        <f>H932/(D932+E932+G932+H932+I932+J932+L932+M932+N932)</f>
        <v>2.7342078249340838E-2</v>
      </c>
      <c r="I933" s="636">
        <f>I932/(D932+E932+G932+H932+I932+J932+L932+M932+N932)</f>
        <v>0</v>
      </c>
      <c r="J933" s="636">
        <f>J932/(D932+E932+G932+H932+I932+J932+L932+M932+N932)</f>
        <v>6.5853227867611192E-2</v>
      </c>
      <c r="K933" s="637">
        <f t="shared" si="29"/>
        <v>0.27512666959959542</v>
      </c>
      <c r="L933" s="636">
        <f>L932/(D932+E932+G932+H932+I932+J932+L932+M932+N932)</f>
        <v>5.6033902261647166E-2</v>
      </c>
      <c r="M933" s="636">
        <f>M932/(D932+E932+G932+H932+I932+J932+L932+M932+N932)</f>
        <v>0</v>
      </c>
      <c r="N933" s="636">
        <f>N932/(D932+E932+G932+H932+I932+J932+L932+M932+N932)</f>
        <v>0.34410436437748587</v>
      </c>
      <c r="O933" s="1503"/>
    </row>
    <row r="934" spans="1:15" ht="12" customHeight="1">
      <c r="A934" s="1517"/>
      <c r="B934" s="1502" t="s">
        <v>14939</v>
      </c>
      <c r="C934" s="638" t="s">
        <v>6218</v>
      </c>
      <c r="D934" s="639">
        <v>47378</v>
      </c>
      <c r="E934" s="639">
        <v>25233</v>
      </c>
      <c r="F934" s="640">
        <f t="shared" si="28"/>
        <v>72611</v>
      </c>
      <c r="G934" s="639">
        <v>70404</v>
      </c>
      <c r="H934" s="639">
        <v>10886</v>
      </c>
      <c r="I934" s="639"/>
      <c r="J934" s="639"/>
      <c r="K934" s="640">
        <f t="shared" si="29"/>
        <v>81290</v>
      </c>
      <c r="L934" s="639">
        <v>16666</v>
      </c>
      <c r="M934" s="639">
        <v>8569</v>
      </c>
      <c r="N934" s="639">
        <v>152721</v>
      </c>
      <c r="O934" s="1503">
        <f>1-N935</f>
        <v>0.53979876874677957</v>
      </c>
    </row>
    <row r="935" spans="1:15" ht="12" customHeight="1">
      <c r="A935" s="1517"/>
      <c r="B935" s="1502"/>
      <c r="C935" s="635" t="s">
        <v>6219</v>
      </c>
      <c r="D935" s="636">
        <f>D934/(D934+E934+G934+H934+I934+J934+L934+M934+N934)</f>
        <v>0.14276631199582954</v>
      </c>
      <c r="E935" s="636">
        <f>E934/(D934+E934+G934+H934+I934+J934+L934+M934+N934)</f>
        <v>7.6035762391632539E-2</v>
      </c>
      <c r="F935" s="637">
        <f t="shared" si="28"/>
        <v>0.21880207438746208</v>
      </c>
      <c r="G935" s="636">
        <f>G934/(D934+E934+G934+H934+I934+J934+L934+M934+N934)</f>
        <v>0.21215161952286676</v>
      </c>
      <c r="H935" s="636">
        <f>H934/(D934+E934+G934+H934+I934+J934+L934+M934+N934)</f>
        <v>3.2803285752598256E-2</v>
      </c>
      <c r="I935" s="636">
        <f>I934/(D934+E934+G934+H934+I934+J934+L934+M934+N934)</f>
        <v>0</v>
      </c>
      <c r="J935" s="636">
        <f>J934/(D934+E934+G934+H934+I934+J934+L934+M934+N934)</f>
        <v>0</v>
      </c>
      <c r="K935" s="637">
        <f t="shared" si="29"/>
        <v>0.24495490527546501</v>
      </c>
      <c r="L935" s="636">
        <f>L934/(D934+E934+G934+H934+I934+J934+L934+M934+N934)</f>
        <v>5.022042626794071E-2</v>
      </c>
      <c r="M935" s="636">
        <f>M934/(D934+E934+G934+H934+I934+J934+L934+M934+N934)</f>
        <v>2.5821362815911672E-2</v>
      </c>
      <c r="N935" s="636">
        <f>N934/(D934+E934+G934+H934+I934+J934+L934+M934+N934)</f>
        <v>0.46020123125322049</v>
      </c>
      <c r="O935" s="1503"/>
    </row>
    <row r="936" spans="1:15" ht="12" customHeight="1">
      <c r="A936" s="1517"/>
      <c r="B936" s="1502" t="s">
        <v>14940</v>
      </c>
      <c r="C936" s="638" t="s">
        <v>6218</v>
      </c>
      <c r="D936" s="639">
        <v>60113</v>
      </c>
      <c r="E936" s="639">
        <v>24449</v>
      </c>
      <c r="F936" s="640">
        <f t="shared" si="28"/>
        <v>84562</v>
      </c>
      <c r="G936" s="639">
        <v>74245</v>
      </c>
      <c r="H936" s="639">
        <v>7829</v>
      </c>
      <c r="I936" s="639"/>
      <c r="J936" s="639"/>
      <c r="K936" s="640">
        <f t="shared" si="29"/>
        <v>82074</v>
      </c>
      <c r="L936" s="639">
        <v>16987</v>
      </c>
      <c r="M936" s="639"/>
      <c r="N936" s="639">
        <v>149426</v>
      </c>
      <c r="O936" s="1503">
        <f>1-N937</f>
        <v>0.5513392924164312</v>
      </c>
    </row>
    <row r="937" spans="1:15" ht="12" customHeight="1" thickBot="1">
      <c r="A937" s="1519"/>
      <c r="B937" s="1514"/>
      <c r="C937" s="641" t="s">
        <v>6219</v>
      </c>
      <c r="D937" s="642">
        <f>D936/(D936+E936+G936+H936+I936+J936+L936+M936+N936)</f>
        <v>0.1804929604953025</v>
      </c>
      <c r="E937" s="642">
        <f>E936/(D936+E936+G936+H936+I936+J936+L936+M936+N936)</f>
        <v>7.3409618404499041E-2</v>
      </c>
      <c r="F937" s="643">
        <f t="shared" si="28"/>
        <v>0.25390257889980156</v>
      </c>
      <c r="G937" s="642">
        <f>G936/(D936+E936+G936+H936+I936+J936+L936+M936+N936)</f>
        <v>0.22292515515734923</v>
      </c>
      <c r="H937" s="642">
        <f>H936/(D936+E936+G936+H936+I936+J936+L936+M936+N936)</f>
        <v>2.3507051514942246E-2</v>
      </c>
      <c r="I937" s="642">
        <f>I936/(D936+E936+G936+H936+I936+J936+L936+M936+N936)</f>
        <v>0</v>
      </c>
      <c r="J937" s="642">
        <f>J936/(D936+E936+G936+H936+I936+J936+L936+M936+N936)</f>
        <v>0</v>
      </c>
      <c r="K937" s="643">
        <f t="shared" si="29"/>
        <v>0.24643220667229149</v>
      </c>
      <c r="L937" s="642">
        <f>L936/(D936+E936+G936+H936+I936+J936+L936+M936+N936)</f>
        <v>5.1004506844338222E-2</v>
      </c>
      <c r="M937" s="642">
        <f>M936/(D936+E936+G936+H936+I936+J936+L936+M936+N936)</f>
        <v>0</v>
      </c>
      <c r="N937" s="642">
        <f>N936/(D936+E936+G936+H936+I936+J936+L936+M936+N936)</f>
        <v>0.4486607075835688</v>
      </c>
      <c r="O937" s="1515"/>
    </row>
    <row r="938" spans="1:15" ht="12" customHeight="1">
      <c r="A938" s="1516" t="s">
        <v>15055</v>
      </c>
      <c r="B938" s="1509" t="s">
        <v>14937</v>
      </c>
      <c r="C938" s="647" t="s">
        <v>6218</v>
      </c>
      <c r="D938" s="648">
        <v>59748</v>
      </c>
      <c r="E938" s="648">
        <v>34486</v>
      </c>
      <c r="F938" s="649">
        <f t="shared" si="28"/>
        <v>94234</v>
      </c>
      <c r="G938" s="648">
        <v>89878</v>
      </c>
      <c r="H938" s="648">
        <v>9533</v>
      </c>
      <c r="I938" s="648">
        <v>4495</v>
      </c>
      <c r="J938" s="648">
        <v>11003</v>
      </c>
      <c r="K938" s="649">
        <f t="shared" si="29"/>
        <v>114909</v>
      </c>
      <c r="L938" s="648">
        <v>26670</v>
      </c>
      <c r="M938" s="648">
        <v>6164</v>
      </c>
      <c r="N938" s="648">
        <v>192194</v>
      </c>
      <c r="O938" s="1510">
        <f>1-N939</f>
        <v>0.55733109765507138</v>
      </c>
    </row>
    <row r="939" spans="1:15" ht="12" customHeight="1">
      <c r="A939" s="1517"/>
      <c r="B939" s="1502"/>
      <c r="C939" s="635" t="s">
        <v>6219</v>
      </c>
      <c r="D939" s="636">
        <f>D938/(D938+E938+G938+H938+I938+J938+L938+M938+N938)</f>
        <v>0.1376139815878997</v>
      </c>
      <c r="E939" s="636">
        <f>E938/(D938+E938+G938+H938+I938+J938+L938+M938+N938)</f>
        <v>7.9429533524809345E-2</v>
      </c>
      <c r="F939" s="637">
        <f t="shared" si="28"/>
        <v>0.21704351511270903</v>
      </c>
      <c r="G939" s="636">
        <f>G938/(D938+E938+G938+H938+I938+J938+L938+M938+N938)</f>
        <v>0.20701060181357114</v>
      </c>
      <c r="H939" s="636">
        <f>H938/(D938+E938+G938+H938+I938+J938+L938+M938+N938)</f>
        <v>2.1956786611726717E-2</v>
      </c>
      <c r="I939" s="636">
        <f>I938/(D938+E938+G938+H938+I938+J938+L938+M938+N938)</f>
        <v>1.0353063654642987E-2</v>
      </c>
      <c r="J939" s="636">
        <f>J938/(D938+E938+G938+H938+I938+J938+L938+M938+N938)</f>
        <v>2.5342549364190607E-2</v>
      </c>
      <c r="K939" s="637">
        <f t="shared" si="29"/>
        <v>0.26466300144413141</v>
      </c>
      <c r="L939" s="636">
        <f>L938/(D938+E938+G938+H938+I938+J938+L938+M938+N938)</f>
        <v>6.1427409937559165E-2</v>
      </c>
      <c r="M939" s="636">
        <f>M938/(D938+E938+G938+H938+I938+J938+L938+M938+N938)</f>
        <v>1.4197171160671717E-2</v>
      </c>
      <c r="N939" s="636">
        <f>N938/(D938+E938+G938+H938+I938+J938+L938+M938+N938)</f>
        <v>0.44266890234492862</v>
      </c>
      <c r="O939" s="1503"/>
    </row>
    <row r="940" spans="1:15" ht="12" customHeight="1">
      <c r="A940" s="1517"/>
      <c r="B940" s="1502" t="s">
        <v>14938</v>
      </c>
      <c r="C940" s="638" t="s">
        <v>6218</v>
      </c>
      <c r="D940" s="639">
        <v>101865</v>
      </c>
      <c r="E940" s="639">
        <v>38508</v>
      </c>
      <c r="F940" s="640">
        <f t="shared" si="28"/>
        <v>140373</v>
      </c>
      <c r="G940" s="639">
        <v>77322</v>
      </c>
      <c r="H940" s="639">
        <v>12143</v>
      </c>
      <c r="I940" s="639"/>
      <c r="J940" s="639">
        <v>12897</v>
      </c>
      <c r="K940" s="640">
        <f t="shared" si="29"/>
        <v>102362</v>
      </c>
      <c r="L940" s="639">
        <v>29096</v>
      </c>
      <c r="M940" s="639"/>
      <c r="N940" s="639">
        <v>157339</v>
      </c>
      <c r="O940" s="1503">
        <f>1-N941</f>
        <v>0.63338770184309245</v>
      </c>
    </row>
    <row r="941" spans="1:15" ht="12" customHeight="1">
      <c r="A941" s="1517"/>
      <c r="B941" s="1502"/>
      <c r="C941" s="635" t="s">
        <v>6219</v>
      </c>
      <c r="D941" s="636">
        <f>D940/(D940+E940+G940+H940+I940+J940+L940+M940+N940)</f>
        <v>0.23735349628352401</v>
      </c>
      <c r="E941" s="636">
        <f>E940/(D940+E940+G940+H940+I940+J940+L940+M940+N940)</f>
        <v>8.9726681734510802E-2</v>
      </c>
      <c r="F941" s="637">
        <f t="shared" si="28"/>
        <v>0.3270801780180348</v>
      </c>
      <c r="G941" s="636">
        <f>G940/(D940+E940+G940+H940+I940+J940+L940+M940+N940)</f>
        <v>0.18016636763986299</v>
      </c>
      <c r="H941" s="636">
        <f>H940/(D940+E940+G940+H940+I940+J940+L940+M940+N940)</f>
        <v>2.8294149171656919E-2</v>
      </c>
      <c r="I941" s="636">
        <f>I940/(D940+E940+G940+H940+I940+J940+L940+M940+N940)</f>
        <v>0</v>
      </c>
      <c r="J941" s="636">
        <f>J940/(D940+E940+G940+H940+I940+J940+L940+M940+N940)</f>
        <v>3.0051028729873943E-2</v>
      </c>
      <c r="K941" s="637">
        <f t="shared" si="29"/>
        <v>0.23851154554139387</v>
      </c>
      <c r="L941" s="636">
        <f>L940/(D940+E940+G940+H940+I940+J940+L940+M940+N940)</f>
        <v>6.7795978283663821E-2</v>
      </c>
      <c r="M941" s="636">
        <f>M940/(D940+E940+G940+H940+I940+J940+L940+M940+N940)</f>
        <v>0</v>
      </c>
      <c r="N941" s="636">
        <f>N940/(D940+E940+G940+H940+I940+J940+L940+M940+N940)</f>
        <v>0.36661229815690755</v>
      </c>
      <c r="O941" s="1503"/>
    </row>
    <row r="942" spans="1:15" ht="12" customHeight="1">
      <c r="A942" s="1517"/>
      <c r="B942" s="1502" t="s">
        <v>14939</v>
      </c>
      <c r="C942" s="638" t="s">
        <v>6218</v>
      </c>
      <c r="D942" s="639">
        <v>57999</v>
      </c>
      <c r="E942" s="639">
        <v>37631</v>
      </c>
      <c r="F942" s="640">
        <f t="shared" si="28"/>
        <v>95630</v>
      </c>
      <c r="G942" s="639">
        <v>85441</v>
      </c>
      <c r="H942" s="639">
        <v>13003</v>
      </c>
      <c r="I942" s="639"/>
      <c r="J942" s="639"/>
      <c r="K942" s="640">
        <f t="shared" si="29"/>
        <v>98444</v>
      </c>
      <c r="L942" s="639">
        <v>25612</v>
      </c>
      <c r="M942" s="639">
        <v>9478</v>
      </c>
      <c r="N942" s="639">
        <v>197956</v>
      </c>
      <c r="O942" s="1503">
        <f>1-N943</f>
        <v>0.53653305862521072</v>
      </c>
    </row>
    <row r="943" spans="1:15" ht="12" customHeight="1">
      <c r="A943" s="1517"/>
      <c r="B943" s="1502"/>
      <c r="C943" s="635" t="s">
        <v>6219</v>
      </c>
      <c r="D943" s="636">
        <f>D942/(D942+E942+G942+H942+I942+J942+L942+M942+N942)</f>
        <v>0.13579087844165574</v>
      </c>
      <c r="E943" s="636">
        <f>E942/(D942+E942+G942+H942+I942+J942+L942+M942+N942)</f>
        <v>8.8104045701442216E-2</v>
      </c>
      <c r="F943" s="637">
        <f t="shared" si="28"/>
        <v>0.22389492414309797</v>
      </c>
      <c r="G943" s="636">
        <f>G942/(D942+E942+G942+H942+I942+J942+L942+M942+N942)</f>
        <v>0.20003980146094774</v>
      </c>
      <c r="H943" s="636">
        <f>H942/(D942+E942+G942+H942+I942+J942+L942+M942+N942)</f>
        <v>3.0443435100206032E-2</v>
      </c>
      <c r="I943" s="636">
        <f>I942/(D942+E942+G942+H942+I942+J942+L942+M942+N942)</f>
        <v>0</v>
      </c>
      <c r="J943" s="636">
        <f>J942/(D942+E942+G942+H942+I942+J942+L942+M942+N942)</f>
        <v>0</v>
      </c>
      <c r="K943" s="637">
        <f t="shared" si="29"/>
        <v>0.23048323656115377</v>
      </c>
      <c r="L943" s="636">
        <f>L942/(D942+E942+G942+H942+I942+J942+L942+M942+N942)</f>
        <v>5.9964412811387903E-2</v>
      </c>
      <c r="M943" s="636">
        <f>M942/(D942+E942+G942+H942+I942+J942+L942+M942+N942)</f>
        <v>2.2190485109571081E-2</v>
      </c>
      <c r="N943" s="636">
        <f>N942/(D942+E942+G942+H942+I942+J942+L942+M942+N942)</f>
        <v>0.46346694137478928</v>
      </c>
      <c r="O943" s="1503"/>
    </row>
    <row r="944" spans="1:15" ht="12" customHeight="1">
      <c r="A944" s="1517"/>
      <c r="B944" s="1502" t="s">
        <v>14940</v>
      </c>
      <c r="C944" s="638" t="s">
        <v>6218</v>
      </c>
      <c r="D944" s="639">
        <v>72610</v>
      </c>
      <c r="E944" s="639">
        <v>37023</v>
      </c>
      <c r="F944" s="640">
        <f t="shared" si="28"/>
        <v>109633</v>
      </c>
      <c r="G944" s="639">
        <v>90538</v>
      </c>
      <c r="H944" s="639">
        <v>9150</v>
      </c>
      <c r="I944" s="639"/>
      <c r="J944" s="639"/>
      <c r="K944" s="640">
        <f t="shared" si="29"/>
        <v>99688</v>
      </c>
      <c r="L944" s="639">
        <v>26266</v>
      </c>
      <c r="M944" s="639"/>
      <c r="N944" s="639">
        <v>192275</v>
      </c>
      <c r="O944" s="1503">
        <f>1-N945</f>
        <v>0.55061445045365098</v>
      </c>
    </row>
    <row r="945" spans="1:15" ht="12" customHeight="1" thickBot="1">
      <c r="A945" s="1519"/>
      <c r="B945" s="1514"/>
      <c r="C945" s="641" t="s">
        <v>6219</v>
      </c>
      <c r="D945" s="642">
        <f>D944/(D944+E944+G944+H944+I944+J944+L944+M944+N944)</f>
        <v>0.16970425043588822</v>
      </c>
      <c r="E945" s="642">
        <f>E944/(D944+E944+G944+H944+I944+J944+L944+M944+N944)</f>
        <v>8.6530236384628686E-2</v>
      </c>
      <c r="F945" s="643">
        <f t="shared" si="28"/>
        <v>0.25623448682051692</v>
      </c>
      <c r="G945" s="642">
        <f>G944/(D944+E944+G944+H944+I944+J944+L944+M944+N944)</f>
        <v>0.21160561115499857</v>
      </c>
      <c r="H945" s="642">
        <f>H944/(D944+E944+G944+H944+I944+J944+L944+M944+N944)</f>
        <v>2.1385399965409408E-2</v>
      </c>
      <c r="I945" s="642">
        <f>I944/(D944+E944+G944+H944+I944+J944+L944+M944+N944)</f>
        <v>0</v>
      </c>
      <c r="J945" s="642">
        <f>J944/(D944+E944+G944+H944+I944+J944+L944+M944+N944)</f>
        <v>0</v>
      </c>
      <c r="K945" s="643">
        <f t="shared" si="29"/>
        <v>0.23299101112040799</v>
      </c>
      <c r="L945" s="642">
        <f>L944/(D944+E944+G944+H944+I944+J944+L944+M944+N944)</f>
        <v>6.1388952512726067E-2</v>
      </c>
      <c r="M945" s="642">
        <f>M944/(D944+E944+G944+H944+I944+J944+L944+M944+N944)</f>
        <v>0</v>
      </c>
      <c r="N945" s="642">
        <f>N944/(D944+E944+G944+H944+I944+J944+L944+M944+N944)</f>
        <v>0.44938554954634907</v>
      </c>
      <c r="O945" s="1515"/>
    </row>
    <row r="946" spans="1:15" ht="12" customHeight="1">
      <c r="A946" s="1532" t="s">
        <v>15056</v>
      </c>
      <c r="B946" s="1509" t="s">
        <v>14937</v>
      </c>
      <c r="C946" s="647" t="s">
        <v>6218</v>
      </c>
      <c r="D946" s="648">
        <v>55016</v>
      </c>
      <c r="E946" s="648">
        <v>34400</v>
      </c>
      <c r="F946" s="649">
        <f t="shared" si="28"/>
        <v>89416</v>
      </c>
      <c r="G946" s="648">
        <v>79494</v>
      </c>
      <c r="H946" s="648">
        <v>8121</v>
      </c>
      <c r="I946" s="648">
        <v>3839</v>
      </c>
      <c r="J946" s="648">
        <v>9719</v>
      </c>
      <c r="K946" s="649">
        <f t="shared" si="29"/>
        <v>101173</v>
      </c>
      <c r="L946" s="648">
        <v>25690</v>
      </c>
      <c r="M946" s="648">
        <v>5686</v>
      </c>
      <c r="N946" s="648">
        <v>165694</v>
      </c>
      <c r="O946" s="1510">
        <f>1-N947</f>
        <v>0.57257796155899898</v>
      </c>
    </row>
    <row r="947" spans="1:15" ht="12" customHeight="1">
      <c r="A947" s="1533"/>
      <c r="B947" s="1502"/>
      <c r="C947" s="635" t="s">
        <v>6219</v>
      </c>
      <c r="D947" s="636">
        <f>D946/(D946+E946+G946+H946+I946+J946+L946+M946+N946)</f>
        <v>0.14191854181123101</v>
      </c>
      <c r="E947" s="636">
        <f>E946/(D946+E946+G946+H946+I946+J946+L946+M946+N946)</f>
        <v>8.8737782432498663E-2</v>
      </c>
      <c r="F947" s="637">
        <f t="shared" si="28"/>
        <v>0.23065632424372967</v>
      </c>
      <c r="G947" s="636">
        <f>G946/(D946+E946+G946+H946+I946+J946+L946+M946+N946)</f>
        <v>0.20506166502003048</v>
      </c>
      <c r="H947" s="636">
        <f>H946/(D946+E946+G946+H946+I946+J946+L946+M946+N946)</f>
        <v>2.0948823579486096E-2</v>
      </c>
      <c r="I947" s="636">
        <f>I946/(D946+E946+G946+H946+I946+J946+L946+M946+N946)</f>
        <v>9.9030333359989061E-3</v>
      </c>
      <c r="J947" s="636">
        <f>J946/(D946+E946+G946+H946+I946+J946+L946+M946+N946)</f>
        <v>2.5071003123879491E-2</v>
      </c>
      <c r="K947" s="637">
        <f t="shared" si="29"/>
        <v>0.26098452505939496</v>
      </c>
      <c r="L947" s="636">
        <f>L946/(D946+E946+G946+H946+I946+J946+L946+M946+N946)</f>
        <v>6.6269582287525899E-2</v>
      </c>
      <c r="M947" s="636">
        <f>M946/(D946+E946+G946+H946+I946+J946+L946+M946+N946)</f>
        <v>1.4667529968348471E-2</v>
      </c>
      <c r="N947" s="636">
        <f>N946/(D946+E946+G946+H946+I946+J946+L946+M946+N946)</f>
        <v>0.42742203844100096</v>
      </c>
      <c r="O947" s="1503"/>
    </row>
    <row r="948" spans="1:15" ht="12" customHeight="1">
      <c r="A948" s="1533"/>
      <c r="B948" s="1502" t="s">
        <v>14938</v>
      </c>
      <c r="C948" s="638" t="s">
        <v>6218</v>
      </c>
      <c r="D948" s="639">
        <v>92689</v>
      </c>
      <c r="E948" s="639">
        <v>44235</v>
      </c>
      <c r="F948" s="640">
        <f t="shared" si="28"/>
        <v>136924</v>
      </c>
      <c r="G948" s="639">
        <v>71403</v>
      </c>
      <c r="H948" s="639">
        <v>10020</v>
      </c>
      <c r="I948" s="639"/>
      <c r="J948" s="639">
        <v>10469</v>
      </c>
      <c r="K948" s="640">
        <f t="shared" si="29"/>
        <v>91892</v>
      </c>
      <c r="L948" s="639">
        <v>27302</v>
      </c>
      <c r="M948" s="639"/>
      <c r="N948" s="639">
        <v>130386</v>
      </c>
      <c r="O948" s="1503">
        <f>1-N949</f>
        <v>0.66265290915488584</v>
      </c>
    </row>
    <row r="949" spans="1:15" ht="12" customHeight="1">
      <c r="A949" s="1533"/>
      <c r="B949" s="1502"/>
      <c r="C949" s="635" t="s">
        <v>6219</v>
      </c>
      <c r="D949" s="636">
        <f>D948/(D948+E948+G948+H948+I948+J948+L948+M948+N948)</f>
        <v>0.23981381822697825</v>
      </c>
      <c r="E949" s="636">
        <f>E948/(D948+E948+G948+H948+I948+J948+L948+M948+N948)</f>
        <v>0.11444900958334196</v>
      </c>
      <c r="F949" s="637">
        <f t="shared" si="28"/>
        <v>0.3542628278103202</v>
      </c>
      <c r="G949" s="636">
        <f>G948/(D948+E948+G948+H948+I948+J948+L948+M948+N948)</f>
        <v>0.18474064951462341</v>
      </c>
      <c r="H949" s="636">
        <f>H948/(D948+E948+G948+H948+I948+J948+L948+M948+N948)</f>
        <v>2.5924699356280917E-2</v>
      </c>
      <c r="I949" s="636">
        <f>I948/(D948+E948+G948+H948+I948+J948+L948+M948+N948)</f>
        <v>0</v>
      </c>
      <c r="J949" s="636">
        <f>J948/(D948+E948+G948+H948+I948+J948+L948+M948+N948)</f>
        <v>2.7086394966158178E-2</v>
      </c>
      <c r="K949" s="637">
        <f t="shared" si="29"/>
        <v>0.23775174383706249</v>
      </c>
      <c r="L949" s="636">
        <f>L948/(D948+E948+G948+H948+I948+J948+L948+M948+N948)</f>
        <v>7.063833750750316E-2</v>
      </c>
      <c r="M949" s="636">
        <f>M948/(D948+E948+G948+H948+I948+J948+L948+M948+N948)</f>
        <v>0</v>
      </c>
      <c r="N949" s="636">
        <f>N948/(D948+E948+G948+H948+I948+J948+L948+M948+N948)</f>
        <v>0.33734709084511416</v>
      </c>
      <c r="O949" s="1503"/>
    </row>
    <row r="950" spans="1:15" ht="12" customHeight="1">
      <c r="A950" s="1533"/>
      <c r="B950" s="1502" t="s">
        <v>14939</v>
      </c>
      <c r="C950" s="638" t="s">
        <v>6218</v>
      </c>
      <c r="D950" s="639">
        <v>53004</v>
      </c>
      <c r="E950" s="639">
        <v>39719</v>
      </c>
      <c r="F950" s="640">
        <f t="shared" si="28"/>
        <v>92723</v>
      </c>
      <c r="G950" s="639">
        <v>74075</v>
      </c>
      <c r="H950" s="639">
        <v>11510</v>
      </c>
      <c r="I950" s="639"/>
      <c r="J950" s="639"/>
      <c r="K950" s="640">
        <f t="shared" si="29"/>
        <v>85585</v>
      </c>
      <c r="L950" s="639">
        <v>24512</v>
      </c>
      <c r="M950" s="639">
        <v>8832</v>
      </c>
      <c r="N950" s="639">
        <v>171033</v>
      </c>
      <c r="O950" s="1503">
        <f>1-N951</f>
        <v>0.55307106366855252</v>
      </c>
    </row>
    <row r="951" spans="1:15" ht="12" customHeight="1">
      <c r="A951" s="1533"/>
      <c r="B951" s="1502"/>
      <c r="C951" s="635" t="s">
        <v>6219</v>
      </c>
      <c r="D951" s="636">
        <f>D950/(D950+E950+G950+H950+I950+J950+L950+M950+N950)</f>
        <v>0.13850555940264186</v>
      </c>
      <c r="E951" s="636">
        <f>E950/(D950+E950+G950+H950+I950+J950+L950+M950+N950)</f>
        <v>0.10379032363432066</v>
      </c>
      <c r="F951" s="637">
        <f t="shared" si="28"/>
        <v>0.24229588303696253</v>
      </c>
      <c r="G951" s="636">
        <f>G950/(D950+E950+G950+H950+I950+J950+L950+M950+N950)</f>
        <v>0.19356651031527236</v>
      </c>
      <c r="H951" s="636">
        <f>H950/(D950+E950+G950+H950+I950+J950+L950+M950+N950)</f>
        <v>3.0076956243385553E-2</v>
      </c>
      <c r="I951" s="636">
        <f>I950/(D950+E950+G950+H950+I950+J950+L950+M950+N950)</f>
        <v>0</v>
      </c>
      <c r="J951" s="636">
        <f>J950/(D950+E950+G950+H950+I950+J950+L950+M950+N950)</f>
        <v>0</v>
      </c>
      <c r="K951" s="637">
        <f t="shared" si="29"/>
        <v>0.22364346655865791</v>
      </c>
      <c r="L951" s="636">
        <f>L950/(D950+E950+G950+H950+I950+J950+L950+M950+N950)</f>
        <v>6.4052680402942375E-2</v>
      </c>
      <c r="M951" s="636">
        <f>M950/(D950+E950+G950+H950+I950+J950+L950+M950+N950)</f>
        <v>2.3079033669989677E-2</v>
      </c>
      <c r="N951" s="636">
        <f>N950/(D950+E950+G950+H950+I950+J950+L950+M950+N950)</f>
        <v>0.44692893633144753</v>
      </c>
      <c r="O951" s="1503"/>
    </row>
    <row r="952" spans="1:15" ht="12" customHeight="1">
      <c r="A952" s="1533"/>
      <c r="B952" s="1502" t="s">
        <v>14940</v>
      </c>
      <c r="C952" s="638" t="s">
        <v>6218</v>
      </c>
      <c r="D952" s="639">
        <v>69265</v>
      </c>
      <c r="E952" s="639">
        <v>43790</v>
      </c>
      <c r="F952" s="640">
        <f t="shared" si="28"/>
        <v>113055</v>
      </c>
      <c r="G952" s="639">
        <v>79013</v>
      </c>
      <c r="H952" s="639">
        <v>8694</v>
      </c>
      <c r="I952" s="639"/>
      <c r="J952" s="639"/>
      <c r="K952" s="640">
        <f t="shared" si="29"/>
        <v>87707</v>
      </c>
      <c r="L952" s="639">
        <v>26244</v>
      </c>
      <c r="M952" s="639"/>
      <c r="N952" s="639">
        <v>156476</v>
      </c>
      <c r="O952" s="1503">
        <f>1-N953</f>
        <v>0.59195998769172997</v>
      </c>
    </row>
    <row r="953" spans="1:15" ht="12" customHeight="1" thickBot="1">
      <c r="A953" s="1534"/>
      <c r="B953" s="1514"/>
      <c r="C953" s="641" t="s">
        <v>6219</v>
      </c>
      <c r="D953" s="642">
        <f>D952/(D952+E952+G952+H952+I952+J952+L952+M952+N952)</f>
        <v>0.18062125471338941</v>
      </c>
      <c r="E953" s="642">
        <f>E952/(D952+E952+G952+H952+I952+J952+L952+M952+N952)</f>
        <v>0.114190496555249</v>
      </c>
      <c r="F953" s="643">
        <f t="shared" si="28"/>
        <v>0.2948117512686384</v>
      </c>
      <c r="G953" s="642">
        <f>G952/(D952+E952+G952+H952+I952+J952+L952+M952+N952)</f>
        <v>0.206040961505364</v>
      </c>
      <c r="H953" s="642">
        <f>H952/(D952+E952+G952+H952+I952+J952+L952+M952+N952)</f>
        <v>2.2671207514303147E-2</v>
      </c>
      <c r="I953" s="642">
        <f>I952/(D952+E952+G952+H952+I952+J952+L952+M952+N952)</f>
        <v>0</v>
      </c>
      <c r="J953" s="642">
        <f>J952/(D952+E952+G952+H952+I952+J952+L952+M952+N952)</f>
        <v>0</v>
      </c>
      <c r="K953" s="643">
        <f t="shared" si="29"/>
        <v>0.22871216901966715</v>
      </c>
      <c r="L953" s="642">
        <f>L952/(D952+E952+G952+H952+I952+J952+L952+M952+N952)</f>
        <v>6.8436067403424408E-2</v>
      </c>
      <c r="M953" s="642">
        <f>M952/(D952+E952+G952+H952+I952+J952+L952+M952+N952)</f>
        <v>0</v>
      </c>
      <c r="N953" s="642">
        <f>N952/(D952+E952+G952+H952+I952+J952+L952+M952+N952)</f>
        <v>0.40804001230827003</v>
      </c>
      <c r="O953" s="1515"/>
    </row>
    <row r="954" spans="1:15" ht="12" customHeight="1">
      <c r="A954" s="1516" t="s">
        <v>15057</v>
      </c>
      <c r="B954" s="1509" t="s">
        <v>14937</v>
      </c>
      <c r="C954" s="647" t="s">
        <v>6218</v>
      </c>
      <c r="D954" s="648">
        <v>53437</v>
      </c>
      <c r="E954" s="648">
        <v>36325</v>
      </c>
      <c r="F954" s="649">
        <f t="shared" si="28"/>
        <v>89762</v>
      </c>
      <c r="G954" s="648">
        <v>74839</v>
      </c>
      <c r="H954" s="648">
        <v>5974</v>
      </c>
      <c r="I954" s="648">
        <v>3393</v>
      </c>
      <c r="J954" s="648">
        <v>8040</v>
      </c>
      <c r="K954" s="649">
        <f t="shared" si="29"/>
        <v>92246</v>
      </c>
      <c r="L954" s="648">
        <v>23284</v>
      </c>
      <c r="M954" s="648">
        <v>5132</v>
      </c>
      <c r="N954" s="648">
        <v>196028</v>
      </c>
      <c r="O954" s="1510">
        <f>1-N955</f>
        <v>0.51770934821331915</v>
      </c>
    </row>
    <row r="955" spans="1:15" ht="12" customHeight="1">
      <c r="A955" s="1517"/>
      <c r="B955" s="1502"/>
      <c r="C955" s="635" t="s">
        <v>6219</v>
      </c>
      <c r="D955" s="636">
        <f>D954/(D954+E954+G954+H954+I954+J954+L954+M954+N954)</f>
        <v>0.13147185891568991</v>
      </c>
      <c r="E955" s="636">
        <f>E954/(D954+E954+G954+H954+I954+J954+L954+M954+N954)</f>
        <v>8.9370946630844481E-2</v>
      </c>
      <c r="F955" s="637">
        <f t="shared" si="28"/>
        <v>0.2208428055465344</v>
      </c>
      <c r="G955" s="636">
        <f>G954/(D954+E954+G954+H954+I954+J954+L954+M954+N954)</f>
        <v>0.18412752305315264</v>
      </c>
      <c r="H955" s="636">
        <f>H954/(D954+E954+G954+H954+I954+J954+L954+M954+N954)</f>
        <v>1.4697922509915071E-2</v>
      </c>
      <c r="I955" s="636">
        <f>I954/(D954+E954+G954+H954+I954+J954+L954+M954+N954)</f>
        <v>8.3478491925245788E-3</v>
      </c>
      <c r="J955" s="636">
        <f>J954/(D954+E954+G954+H954+I954+J954+L954+M954+N954)</f>
        <v>1.9780933541968054E-2</v>
      </c>
      <c r="K955" s="637">
        <f t="shared" si="29"/>
        <v>0.22695422829756032</v>
      </c>
      <c r="L955" s="636">
        <f>L954/(D954+E954+G954+H954+I954+J954+L954+M954+N954)</f>
        <v>5.7285977187958234E-2</v>
      </c>
      <c r="M955" s="636">
        <f>M954/(D954+E954+G954+H954+I954+J954+L954+M954+N954)</f>
        <v>1.2626337181266177E-2</v>
      </c>
      <c r="N955" s="636">
        <f>N954/(D954+E954+G954+H954+I954+J954+L954+M954+N954)</f>
        <v>0.48229065178668085</v>
      </c>
      <c r="O955" s="1503"/>
    </row>
    <row r="956" spans="1:15" ht="12" customHeight="1">
      <c r="A956" s="1517"/>
      <c r="B956" s="1502" t="s">
        <v>14938</v>
      </c>
      <c r="C956" s="638" t="s">
        <v>6218</v>
      </c>
      <c r="D956" s="639">
        <v>96402</v>
      </c>
      <c r="E956" s="639">
        <v>37389</v>
      </c>
      <c r="F956" s="640">
        <f t="shared" si="28"/>
        <v>133791</v>
      </c>
      <c r="G956" s="639">
        <v>66436</v>
      </c>
      <c r="H956" s="639">
        <v>8227</v>
      </c>
      <c r="I956" s="639"/>
      <c r="J956" s="639">
        <v>9956</v>
      </c>
      <c r="K956" s="640">
        <f t="shared" si="29"/>
        <v>84619</v>
      </c>
      <c r="L956" s="639">
        <v>25551</v>
      </c>
      <c r="M956" s="639"/>
      <c r="N956" s="639">
        <v>159457</v>
      </c>
      <c r="O956" s="1503">
        <f>1-N957</f>
        <v>0.60473503909096771</v>
      </c>
    </row>
    <row r="957" spans="1:15" ht="12" customHeight="1">
      <c r="A957" s="1517"/>
      <c r="B957" s="1502"/>
      <c r="C957" s="635" t="s">
        <v>6219</v>
      </c>
      <c r="D957" s="636">
        <f>D956/(D956+E956+G956+H956+I956+J956+L956+M956+N956)</f>
        <v>0.23896306064677333</v>
      </c>
      <c r="E957" s="636">
        <f>E956/(D956+E956+G956+H956+I956+J956+L956+M956+N956)</f>
        <v>9.2680544745152665E-2</v>
      </c>
      <c r="F957" s="637">
        <f t="shared" si="28"/>
        <v>0.331643605391926</v>
      </c>
      <c r="G957" s="636">
        <f>G956/(D956+E956+G956+H956+I956+J956+L956+M956+N956)</f>
        <v>0.164682785597073</v>
      </c>
      <c r="H957" s="636">
        <f>H956/(D956+E956+G956+H956+I956+J956+L956+M956+N956)</f>
        <v>2.0393239766197838E-2</v>
      </c>
      <c r="I957" s="636">
        <f>I956/(D956+E956+G956+H956+I956+J956+L956+M956+N956)</f>
        <v>0</v>
      </c>
      <c r="J957" s="636">
        <f>J956/(D956+E956+G956+H956+I956+J956+L956+M956+N956)</f>
        <v>2.4679116945699003E-2</v>
      </c>
      <c r="K957" s="637">
        <f t="shared" si="29"/>
        <v>0.20975514230896983</v>
      </c>
      <c r="L957" s="636">
        <f>L956/(D956+E956+G956+H956+I956+J956+L956+M956+N956)</f>
        <v>6.3336291390071839E-2</v>
      </c>
      <c r="M957" s="636">
        <f>M956/(D956+E956+G956+H956+I956+J956+L956+M956+N956)</f>
        <v>0</v>
      </c>
      <c r="N957" s="636">
        <f>N956/(D956+E956+G956+H956+I956+J956+L956+M956+N956)</f>
        <v>0.39526496090903229</v>
      </c>
      <c r="O957" s="1503"/>
    </row>
    <row r="958" spans="1:15" ht="12" customHeight="1">
      <c r="A958" s="1517"/>
      <c r="B958" s="1502" t="s">
        <v>14939</v>
      </c>
      <c r="C958" s="638" t="s">
        <v>6218</v>
      </c>
      <c r="D958" s="639">
        <v>53270</v>
      </c>
      <c r="E958" s="639">
        <v>42120</v>
      </c>
      <c r="F958" s="640">
        <f t="shared" si="28"/>
        <v>95390</v>
      </c>
      <c r="G958" s="639">
        <v>68946</v>
      </c>
      <c r="H958" s="639">
        <v>8768</v>
      </c>
      <c r="I958" s="639"/>
      <c r="J958" s="639"/>
      <c r="K958" s="640">
        <f t="shared" si="29"/>
        <v>77714</v>
      </c>
      <c r="L958" s="639">
        <v>22357</v>
      </c>
      <c r="M958" s="639">
        <v>7509</v>
      </c>
      <c r="N958" s="639">
        <v>198487</v>
      </c>
      <c r="O958" s="1503">
        <f>1-N959</f>
        <v>0.50558341242025917</v>
      </c>
    </row>
    <row r="959" spans="1:15" ht="12" customHeight="1">
      <c r="A959" s="1517"/>
      <c r="B959" s="1502"/>
      <c r="C959" s="635" t="s">
        <v>6219</v>
      </c>
      <c r="D959" s="636">
        <f>D958/(D958+E958+G958+H958+I958+J958+L958+M958+N958)</f>
        <v>0.13269167058987638</v>
      </c>
      <c r="E959" s="636">
        <f>E958/(D958+E958+G958+H958+I958+J958+L958+M958+N958)</f>
        <v>0.10491783677953057</v>
      </c>
      <c r="F959" s="637">
        <f t="shared" si="28"/>
        <v>0.23760950736940695</v>
      </c>
      <c r="G959" s="636">
        <f>G958/(D958+E958+G958+H958+I958+J958+L958+M958+N958)</f>
        <v>0.17173943909310338</v>
      </c>
      <c r="H959" s="636">
        <f>H958/(D958+E958+G958+H958+I958+J958+L958+M958+N958)</f>
        <v>2.1840446174808261E-2</v>
      </c>
      <c r="I959" s="636">
        <f>I958/(D958+E958+G958+H958+I958+J958+L958+M958+N958)</f>
        <v>0</v>
      </c>
      <c r="J959" s="636">
        <f>J958/(D958+E958+G958+H958+I958+J958+L958+M958+N958)</f>
        <v>0</v>
      </c>
      <c r="K959" s="637">
        <f t="shared" si="29"/>
        <v>0.19357988526791164</v>
      </c>
      <c r="L959" s="636">
        <f>L958/(D958+E958+G958+H958+I958+J958+L958+M958+N958)</f>
        <v>5.5689650448242277E-2</v>
      </c>
      <c r="M959" s="636">
        <f>M958/(D958+E958+G958+H958+I958+J958+L958+M958+N958)</f>
        <v>1.8704369334698361E-2</v>
      </c>
      <c r="N959" s="636">
        <f>N958/(D958+E958+G958+H958+I958+J958+L958+M958+N958)</f>
        <v>0.49441658757974077</v>
      </c>
      <c r="O959" s="1503"/>
    </row>
    <row r="960" spans="1:15" ht="12" customHeight="1">
      <c r="A960" s="1517"/>
      <c r="B960" s="1502" t="s">
        <v>14940</v>
      </c>
      <c r="C960" s="638" t="s">
        <v>6218</v>
      </c>
      <c r="D960" s="639">
        <v>68952</v>
      </c>
      <c r="E960" s="639">
        <v>35990</v>
      </c>
      <c r="F960" s="640">
        <f t="shared" si="28"/>
        <v>104942</v>
      </c>
      <c r="G960" s="639">
        <v>74106</v>
      </c>
      <c r="H960" s="639">
        <v>6803</v>
      </c>
      <c r="I960" s="639"/>
      <c r="J960" s="639"/>
      <c r="K960" s="640">
        <f t="shared" si="29"/>
        <v>80909</v>
      </c>
      <c r="L960" s="639">
        <v>23749</v>
      </c>
      <c r="M960" s="639"/>
      <c r="N960" s="639">
        <v>191310</v>
      </c>
      <c r="O960" s="1503">
        <f>1-N961</f>
        <v>0.52281060587164196</v>
      </c>
    </row>
    <row r="961" spans="1:15" ht="12" customHeight="1" thickBot="1">
      <c r="A961" s="1519"/>
      <c r="B961" s="1514"/>
      <c r="C961" s="641" t="s">
        <v>6219</v>
      </c>
      <c r="D961" s="642">
        <f>D960/(D960+E960+G960+H960+I960+J960+L960+M960+N960)</f>
        <v>0.17198872564914819</v>
      </c>
      <c r="E961" s="642">
        <f>E960/(D960+E960+G960+H960+I960+J960+L960+M960+N960)</f>
        <v>8.9770771494849216E-2</v>
      </c>
      <c r="F961" s="643">
        <f t="shared" si="28"/>
        <v>0.26175949714399738</v>
      </c>
      <c r="G961" s="642">
        <f>G960/(D960+E960+G960+H960+I960+J960+L960+M960+N960)</f>
        <v>0.18484447881070565</v>
      </c>
      <c r="H961" s="642">
        <f>H960/(D960+E960+G960+H960+I960+J960+L960+M960+N960)</f>
        <v>1.6968895762141129E-2</v>
      </c>
      <c r="I961" s="642">
        <f>I960/(D960+E960+G960+H960+I960+J960+L960+M960+N960)</f>
        <v>0</v>
      </c>
      <c r="J961" s="642">
        <f>J960/(D960+E960+G960+H960+I960+J960+L960+M960+N960)</f>
        <v>0</v>
      </c>
      <c r="K961" s="643">
        <f t="shared" si="29"/>
        <v>0.20181337457284679</v>
      </c>
      <c r="L961" s="642">
        <f>L960/(D960+E960+G960+H960+I960+J960+L960+M960+N960)</f>
        <v>5.9237734154797834E-2</v>
      </c>
      <c r="M961" s="642">
        <f>M960/(D960+E960+G960+H960+I960+J960+L960+M960+N960)</f>
        <v>0</v>
      </c>
      <c r="N961" s="642">
        <f>N960/(D960+E960+G960+H960+I960+J960+L960+M960+N960)</f>
        <v>0.47718939412835798</v>
      </c>
      <c r="O961" s="1515"/>
    </row>
    <row r="962" spans="1:15" ht="12" customHeight="1">
      <c r="A962" s="1516" t="s">
        <v>15058</v>
      </c>
      <c r="B962" s="1509" t="s">
        <v>14937</v>
      </c>
      <c r="C962" s="647" t="s">
        <v>6218</v>
      </c>
      <c r="D962" s="648">
        <v>54426</v>
      </c>
      <c r="E962" s="648">
        <v>27842</v>
      </c>
      <c r="F962" s="649">
        <f t="shared" ref="F962:F1025" si="30">SUM(D962:E962)</f>
        <v>82268</v>
      </c>
      <c r="G962" s="648">
        <v>72874</v>
      </c>
      <c r="H962" s="648">
        <v>6228</v>
      </c>
      <c r="I962" s="648">
        <v>3365</v>
      </c>
      <c r="J962" s="648">
        <v>8465</v>
      </c>
      <c r="K962" s="649">
        <f t="shared" ref="K962:K1025" si="31">SUM(G962:J962)</f>
        <v>90932</v>
      </c>
      <c r="L962" s="648">
        <v>19617</v>
      </c>
      <c r="M962" s="648">
        <v>5242</v>
      </c>
      <c r="N962" s="648">
        <v>153118</v>
      </c>
      <c r="O962" s="1510">
        <f>1-N963</f>
        <v>0.56398625194702379</v>
      </c>
    </row>
    <row r="963" spans="1:15" ht="12" customHeight="1">
      <c r="A963" s="1517"/>
      <c r="B963" s="1502"/>
      <c r="C963" s="635" t="s">
        <v>6219</v>
      </c>
      <c r="D963" s="636">
        <f>D962/(D962+E962+G962+H962+I962+J962+L962+M962+N962)</f>
        <v>0.15498167590702125</v>
      </c>
      <c r="E963" s="636">
        <f>E962/(D962+E962+G962+H962+I962+J962+L962+M962+N962)</f>
        <v>7.9281957531387309E-2</v>
      </c>
      <c r="F963" s="637">
        <f t="shared" si="30"/>
        <v>0.23426363343840856</v>
      </c>
      <c r="G963" s="636">
        <f>G962/(D962+E962+G962+H962+I962+J962+L962+M962+N962)</f>
        <v>0.20751359001301339</v>
      </c>
      <c r="H963" s="636">
        <f>H962/(D962+E962+G962+H962+I962+J962+L962+M962+N962)</f>
        <v>1.7734646631185982E-2</v>
      </c>
      <c r="I963" s="636">
        <f>I962/(D962+E962+G962+H962+I962+J962+L962+M962+N962)</f>
        <v>9.5820626066057853E-3</v>
      </c>
      <c r="J963" s="636">
        <f>J962/(D962+E962+G962+H962+I962+J962+L962+M962+N962)</f>
        <v>2.4104653778578893E-2</v>
      </c>
      <c r="K963" s="637">
        <f t="shared" si="31"/>
        <v>0.25893495302938407</v>
      </c>
      <c r="L963" s="636">
        <f>L962/(D962+E962+G962+H962+I962+J962+L962+M962+N962)</f>
        <v>5.5860719807960091E-2</v>
      </c>
      <c r="M963" s="636">
        <f>M962/(D962+E962+G962+H962+I962+J962+L962+M962+N962)</f>
        <v>1.4926945671271181E-2</v>
      </c>
      <c r="N963" s="636">
        <f>N962/(D962+E962+G962+H962+I962+J962+L962+M962+N962)</f>
        <v>0.43601374805297616</v>
      </c>
      <c r="O963" s="1503"/>
    </row>
    <row r="964" spans="1:15" ht="12" customHeight="1">
      <c r="A964" s="1517"/>
      <c r="B964" s="1502" t="s">
        <v>14938</v>
      </c>
      <c r="C964" s="638" t="s">
        <v>6218</v>
      </c>
      <c r="D964" s="639">
        <v>90533</v>
      </c>
      <c r="E964" s="639">
        <v>32472</v>
      </c>
      <c r="F964" s="640">
        <f t="shared" si="30"/>
        <v>123005</v>
      </c>
      <c r="G964" s="639">
        <v>58686</v>
      </c>
      <c r="H964" s="639">
        <v>7514</v>
      </c>
      <c r="I964" s="639"/>
      <c r="J964" s="639">
        <v>8725</v>
      </c>
      <c r="K964" s="640">
        <f t="shared" si="31"/>
        <v>74925</v>
      </c>
      <c r="L964" s="639">
        <v>20015</v>
      </c>
      <c r="M964" s="639"/>
      <c r="N964" s="639">
        <v>125356</v>
      </c>
      <c r="O964" s="1503">
        <f>1-N965</f>
        <v>0.63485104907937928</v>
      </c>
    </row>
    <row r="965" spans="1:15" ht="12" customHeight="1">
      <c r="A965" s="1517"/>
      <c r="B965" s="1502"/>
      <c r="C965" s="635" t="s">
        <v>6219</v>
      </c>
      <c r="D965" s="636">
        <f>D964/(D964+E964+G964+H964+I964+J964+L964+M964+N964)</f>
        <v>0.26371318463971849</v>
      </c>
      <c r="E965" s="636">
        <f>E964/(D964+E964+G964+H964+I964+J964+L964+M964+N964)</f>
        <v>9.4587548536124277E-2</v>
      </c>
      <c r="F965" s="637">
        <f t="shared" si="30"/>
        <v>0.35830073317584277</v>
      </c>
      <c r="G965" s="636">
        <f>G964/(D964+E964+G964+H964+I964+J964+L964+M964+N964)</f>
        <v>0.1709461959038861</v>
      </c>
      <c r="H965" s="636">
        <f>H964/(D964+E964+G964+H964+I964+J964+L964+M964+N964)</f>
        <v>2.1887498143029004E-2</v>
      </c>
      <c r="I965" s="636">
        <f>I964/(D964+E964+G964+H964+I964+J964+L964+M964+N964)</f>
        <v>0</v>
      </c>
      <c r="J965" s="636">
        <f>J964/(D964+E964+G964+H964+I964+J964+L964+M964+N964)</f>
        <v>2.5415014812074536E-2</v>
      </c>
      <c r="K965" s="637">
        <f t="shared" si="31"/>
        <v>0.21824870885898964</v>
      </c>
      <c r="L965" s="636">
        <f>L964/(D964+E964+G964+H964+I964+J964+L964+M964+N964)</f>
        <v>5.8301607044546913E-2</v>
      </c>
      <c r="M965" s="636">
        <f>M964/(D964+E964+G964+H964+I964+J964+L964+M964+N964)</f>
        <v>0</v>
      </c>
      <c r="N965" s="636">
        <f>N964/(D964+E964+G964+H964+I964+J964+L964+M964+N964)</f>
        <v>0.36514895092062066</v>
      </c>
      <c r="O965" s="1503"/>
    </row>
    <row r="966" spans="1:15" ht="12" customHeight="1">
      <c r="A966" s="1517"/>
      <c r="B966" s="1502" t="s">
        <v>14939</v>
      </c>
      <c r="C966" s="638" t="s">
        <v>6218</v>
      </c>
      <c r="D966" s="639">
        <v>53172</v>
      </c>
      <c r="E966" s="639">
        <v>31282</v>
      </c>
      <c r="F966" s="640">
        <f t="shared" si="30"/>
        <v>84454</v>
      </c>
      <c r="G966" s="639">
        <v>65154</v>
      </c>
      <c r="H966" s="639">
        <v>7844</v>
      </c>
      <c r="I966" s="639"/>
      <c r="J966" s="639"/>
      <c r="K966" s="640">
        <f t="shared" si="31"/>
        <v>72998</v>
      </c>
      <c r="L966" s="639">
        <v>18639</v>
      </c>
      <c r="M966" s="639">
        <v>7932</v>
      </c>
      <c r="N966" s="639">
        <v>154013</v>
      </c>
      <c r="O966" s="1503">
        <f>1-N967</f>
        <v>0.54438876332698294</v>
      </c>
    </row>
    <row r="967" spans="1:15" ht="12" customHeight="1">
      <c r="A967" s="1517"/>
      <c r="B967" s="1502"/>
      <c r="C967" s="635" t="s">
        <v>6219</v>
      </c>
      <c r="D967" s="636">
        <f>D966/(D966+E966+G966+H966+I966+J966+L966+M966+N966)</f>
        <v>0.15729685595617035</v>
      </c>
      <c r="E967" s="636">
        <f>E966/(D966+E966+G966+H966+I966+J966+L966+M966+N966)</f>
        <v>9.2540439479818715E-2</v>
      </c>
      <c r="F967" s="637">
        <f t="shared" si="30"/>
        <v>0.24983729543598907</v>
      </c>
      <c r="G967" s="636">
        <f>G966/(D966+E966+G966+H966+I966+J966+L966+M966+N966)</f>
        <v>0.19274278479215232</v>
      </c>
      <c r="H967" s="636">
        <f>H966/(D966+E966+G966+H966+I966+J966+L966+M966+N966)</f>
        <v>2.320462909275935E-2</v>
      </c>
      <c r="I967" s="636">
        <f>I966/(D966+E966+G966+H966+I966+J966+L966+M966+N966)</f>
        <v>0</v>
      </c>
      <c r="J967" s="636">
        <f>J966/(D966+E966+G966+H966+I966+J966+L966+M966+N966)</f>
        <v>0</v>
      </c>
      <c r="K967" s="637">
        <f t="shared" si="31"/>
        <v>0.21594741388491168</v>
      </c>
      <c r="L967" s="636">
        <f>L966/(D966+E966+G966+H966+I966+J966+L966+M966+N966)</f>
        <v>5.5139097610905345E-2</v>
      </c>
      <c r="M967" s="636">
        <f>M966/(D966+E966+G966+H966+I966+J966+L966+M966+N966)</f>
        <v>2.3464956395176845E-2</v>
      </c>
      <c r="N967" s="636">
        <f>N966/(D966+E966+G966+H966+I966+J966+L966+M966+N966)</f>
        <v>0.45561123667301706</v>
      </c>
      <c r="O967" s="1503"/>
    </row>
    <row r="968" spans="1:15" ht="12" customHeight="1">
      <c r="A968" s="1517"/>
      <c r="B968" s="1502" t="s">
        <v>14940</v>
      </c>
      <c r="C968" s="638" t="s">
        <v>6218</v>
      </c>
      <c r="D968" s="639">
        <v>67549</v>
      </c>
      <c r="E968" s="639">
        <v>31883</v>
      </c>
      <c r="F968" s="640">
        <f t="shared" si="30"/>
        <v>99432</v>
      </c>
      <c r="G968" s="639">
        <v>67624</v>
      </c>
      <c r="H968" s="639">
        <v>5995</v>
      </c>
      <c r="I968" s="639"/>
      <c r="J968" s="639"/>
      <c r="K968" s="640">
        <f t="shared" si="31"/>
        <v>73619</v>
      </c>
      <c r="L968" s="639">
        <v>19049</v>
      </c>
      <c r="M968" s="639"/>
      <c r="N968" s="639">
        <v>145070</v>
      </c>
      <c r="O968" s="1503">
        <f>1-N969</f>
        <v>0.56974226651244186</v>
      </c>
    </row>
    <row r="969" spans="1:15" ht="12" customHeight="1" thickBot="1">
      <c r="A969" s="1519"/>
      <c r="B969" s="1514"/>
      <c r="C969" s="641" t="s">
        <v>6219</v>
      </c>
      <c r="D969" s="642">
        <f>D968/(D968+E968+G968+H968+I968+J968+L968+M968+N968)</f>
        <v>0.20034107423554884</v>
      </c>
      <c r="E969" s="642">
        <f>E968/(D968+E968+G968+H968+I968+J968+L968+M968+N968)</f>
        <v>9.4560607408725572E-2</v>
      </c>
      <c r="F969" s="643">
        <f t="shared" si="30"/>
        <v>0.29490168164427444</v>
      </c>
      <c r="G969" s="642">
        <f>G968/(D968+E968+G968+H968+I968+J968+L968+M968+N968)</f>
        <v>0.20056351395438504</v>
      </c>
      <c r="H969" s="642">
        <f>H968/(D968+E968+G968+H968+I968+J968+L968+M968+N968)</f>
        <v>1.7780348192306551E-2</v>
      </c>
      <c r="I969" s="642">
        <f>I968/(D968+E968+G968+H968+I968+J968+L968+M968+N968)</f>
        <v>0</v>
      </c>
      <c r="J969" s="642">
        <f>J968/(D968+E968+G968+H968+I968+J968+L968+M968+N968)</f>
        <v>0</v>
      </c>
      <c r="K969" s="643">
        <f t="shared" si="31"/>
        <v>0.2183438621466916</v>
      </c>
      <c r="L969" s="642">
        <f>L968/(D968+E968+G968+H968+I968+J968+L968+M968+N968)</f>
        <v>5.6496722721475816E-2</v>
      </c>
      <c r="M969" s="642">
        <f>M968/(D968+E968+G968+H968+I968+J968+L968+M968+N968)</f>
        <v>0</v>
      </c>
      <c r="N969" s="642">
        <f>N968/(D968+E968+G968+H968+I968+J968+L968+M968+N968)</f>
        <v>0.43025773348755819</v>
      </c>
      <c r="O969" s="1515"/>
    </row>
    <row r="970" spans="1:15" ht="12" customHeight="1">
      <c r="A970" s="1516" t="s">
        <v>15059</v>
      </c>
      <c r="B970" s="1509" t="s">
        <v>14937</v>
      </c>
      <c r="C970" s="647" t="s">
        <v>6218</v>
      </c>
      <c r="D970" s="648">
        <v>52859</v>
      </c>
      <c r="E970" s="648">
        <v>29018</v>
      </c>
      <c r="F970" s="649">
        <f t="shared" si="30"/>
        <v>81877</v>
      </c>
      <c r="G970" s="648">
        <v>79166</v>
      </c>
      <c r="H970" s="648">
        <v>6820</v>
      </c>
      <c r="I970" s="648">
        <v>3616</v>
      </c>
      <c r="J970" s="648">
        <v>9589</v>
      </c>
      <c r="K970" s="649">
        <f t="shared" si="31"/>
        <v>99191</v>
      </c>
      <c r="L970" s="648">
        <v>21623</v>
      </c>
      <c r="M970" s="648">
        <v>6040</v>
      </c>
      <c r="N970" s="648">
        <v>153029</v>
      </c>
      <c r="O970" s="1510">
        <f>1-N971</f>
        <v>0.57698750552852718</v>
      </c>
    </row>
    <row r="971" spans="1:15" ht="12" customHeight="1">
      <c r="A971" s="1517"/>
      <c r="B971" s="1502"/>
      <c r="C971" s="635" t="s">
        <v>6219</v>
      </c>
      <c r="D971" s="636">
        <f>D970/(D970+E970+G970+H970+I970+J970+L970+M970+N970)</f>
        <v>0.14611620964175143</v>
      </c>
      <c r="E971" s="636">
        <f>E970/(D970+E970+G970+H970+I970+J970+L970+M970+N970)</f>
        <v>8.0213401149933652E-2</v>
      </c>
      <c r="F971" s="637">
        <f t="shared" si="30"/>
        <v>0.22632961079168507</v>
      </c>
      <c r="G971" s="636">
        <f>G970/(D970+E970+G970+H970+I970+J970+L970+M970+N970)</f>
        <v>0.21883569217160548</v>
      </c>
      <c r="H971" s="636">
        <f>H970/(D970+E970+G970+H970+I970+J970+L970+M970+N970)</f>
        <v>1.8852277753206546E-2</v>
      </c>
      <c r="I971" s="636">
        <f>I970/(D970+E970+G970+H970+I970+J970+L970+M970+N970)</f>
        <v>9.9955771782397167E-3</v>
      </c>
      <c r="J971" s="636">
        <f>J970/(D970+E970+G970+H970+I970+J970+L970+M970+N970)</f>
        <v>2.6506523662096416E-2</v>
      </c>
      <c r="K971" s="637">
        <f t="shared" si="31"/>
        <v>0.27419007076514818</v>
      </c>
      <c r="L971" s="636">
        <f>L970/(D970+E970+G970+H970+I970+J970+L970+M970+N970)</f>
        <v>5.9771671826625385E-2</v>
      </c>
      <c r="M971" s="636">
        <f>M970/(D970+E970+G970+H970+I970+J970+L970+M970+N970)</f>
        <v>1.6696152145068553E-2</v>
      </c>
      <c r="N971" s="636">
        <f>N970/(D970+E970+G970+H970+I970+J970+L970+M970+N970)</f>
        <v>0.42301249447147282</v>
      </c>
      <c r="O971" s="1503"/>
    </row>
    <row r="972" spans="1:15" ht="12" customHeight="1">
      <c r="A972" s="1517"/>
      <c r="B972" s="1502" t="s">
        <v>14938</v>
      </c>
      <c r="C972" s="638" t="s">
        <v>6218</v>
      </c>
      <c r="D972" s="639">
        <v>90724</v>
      </c>
      <c r="E972" s="639">
        <v>33019</v>
      </c>
      <c r="F972" s="640">
        <f t="shared" si="30"/>
        <v>123743</v>
      </c>
      <c r="G972" s="639">
        <v>64490</v>
      </c>
      <c r="H972" s="639">
        <v>8557</v>
      </c>
      <c r="I972" s="639"/>
      <c r="J972" s="639">
        <v>9229</v>
      </c>
      <c r="K972" s="640">
        <f t="shared" si="31"/>
        <v>82276</v>
      </c>
      <c r="L972" s="639">
        <v>21750</v>
      </c>
      <c r="M972" s="639"/>
      <c r="N972" s="639">
        <v>120724</v>
      </c>
      <c r="O972" s="1503">
        <f>1-N973</f>
        <v>0.65358271184787076</v>
      </c>
    </row>
    <row r="973" spans="1:15" ht="12" customHeight="1">
      <c r="A973" s="1517"/>
      <c r="B973" s="1502"/>
      <c r="C973" s="635" t="s">
        <v>6219</v>
      </c>
      <c r="D973" s="636">
        <f>D972/(D972+E972+G972+H972+I972+J972+L972+M972+N972)</f>
        <v>0.2603323452694889</v>
      </c>
      <c r="E973" s="636">
        <f>E972/(D972+E972+G972+H972+I972+J972+L972+M972+N972)</f>
        <v>9.4747957634730109E-2</v>
      </c>
      <c r="F973" s="637">
        <f t="shared" si="30"/>
        <v>0.35508030290421899</v>
      </c>
      <c r="G973" s="636">
        <f>G972/(D972+E972+G972+H972+I972+J972+L972+M972+N972)</f>
        <v>0.18505393221671598</v>
      </c>
      <c r="H973" s="636">
        <f>H972/(D972+E972+G972+H972+I972+J972+L972+M972+N972)</f>
        <v>2.4554295208225128E-2</v>
      </c>
      <c r="I973" s="636">
        <f>I972/(D972+E972+G972+H972+I972+J972+L972+M972+N972)</f>
        <v>0</v>
      </c>
      <c r="J973" s="636">
        <f>J972/(D972+E972+G972+H972+I972+J972+L972+M972+N972)</f>
        <v>2.6482597928796273E-2</v>
      </c>
      <c r="K973" s="637">
        <f t="shared" si="31"/>
        <v>0.23609082535373738</v>
      </c>
      <c r="L973" s="636">
        <f>L972/(D972+E972+G972+H972+I972+J972+L972+M972+N972)</f>
        <v>6.2411583589914291E-2</v>
      </c>
      <c r="M973" s="636">
        <f>M972/(D972+E972+G972+H972+I972+J972+L972+M972+N972)</f>
        <v>0</v>
      </c>
      <c r="N973" s="636">
        <f>N972/(D972+E972+G972+H972+I972+J972+L972+M972+N972)</f>
        <v>0.3464172881521293</v>
      </c>
      <c r="O973" s="1503"/>
    </row>
    <row r="974" spans="1:15" ht="12" customHeight="1">
      <c r="A974" s="1517"/>
      <c r="B974" s="1502" t="s">
        <v>14939</v>
      </c>
      <c r="C974" s="638" t="s">
        <v>6218</v>
      </c>
      <c r="D974" s="639">
        <v>47627</v>
      </c>
      <c r="E974" s="639">
        <v>33202</v>
      </c>
      <c r="F974" s="640">
        <f t="shared" si="30"/>
        <v>80829</v>
      </c>
      <c r="G974" s="639">
        <v>68452</v>
      </c>
      <c r="H974" s="639">
        <v>8976</v>
      </c>
      <c r="I974" s="639"/>
      <c r="J974" s="639"/>
      <c r="K974" s="640">
        <f t="shared" si="31"/>
        <v>77428</v>
      </c>
      <c r="L974" s="639">
        <v>19528</v>
      </c>
      <c r="M974" s="639">
        <v>8963</v>
      </c>
      <c r="N974" s="639">
        <v>149758</v>
      </c>
      <c r="O974" s="1503">
        <f>1-N975</f>
        <v>0.55496187289379684</v>
      </c>
    </row>
    <row r="975" spans="1:15" ht="12" customHeight="1">
      <c r="A975" s="1517"/>
      <c r="B975" s="1502"/>
      <c r="C975" s="635" t="s">
        <v>6219</v>
      </c>
      <c r="D975" s="636">
        <f>D974/(D974+E974+G974+H974+I974+J974+L974+M974+N974)</f>
        <v>0.14153388052516153</v>
      </c>
      <c r="E975" s="636">
        <f>E974/(D974+E974+G974+H974+I974+J974+L974+M974+N974)</f>
        <v>9.8666888554736029E-2</v>
      </c>
      <c r="F975" s="637">
        <f t="shared" si="30"/>
        <v>0.24020076907989757</v>
      </c>
      <c r="G975" s="636">
        <f>G974/(D974+E974+G974+H974+I974+J974+L974+M974+N974)</f>
        <v>0.20341984986894737</v>
      </c>
      <c r="H975" s="636">
        <f>H974/(D974+E974+G974+H974+I974+J974+L974+M974+N974)</f>
        <v>2.6674115766137898E-2</v>
      </c>
      <c r="I975" s="636">
        <f>I974/(D974+E974+G974+H974+I974+J974+L974+M974+N974)</f>
        <v>0</v>
      </c>
      <c r="J975" s="636">
        <f>J974/(D974+E974+G974+H974+I974+J974+L974+M974+N974)</f>
        <v>0</v>
      </c>
      <c r="K975" s="637">
        <f t="shared" si="31"/>
        <v>0.23009396563508527</v>
      </c>
      <c r="L975" s="636">
        <f>L974/(D974+E974+G974+H974+I974+J974+L974+M974+N974)</f>
        <v>5.8031654710465785E-2</v>
      </c>
      <c r="M975" s="636">
        <f>M974/(D974+E974+G974+H974+I974+J974+L974+M974+N974)</f>
        <v>2.6635483468348261E-2</v>
      </c>
      <c r="N975" s="636">
        <f>N974/(D974+E974+G974+H974+I974+J974+L974+M974+N974)</f>
        <v>0.44503812710620316</v>
      </c>
      <c r="O975" s="1503"/>
    </row>
    <row r="976" spans="1:15" ht="12" customHeight="1">
      <c r="A976" s="1517"/>
      <c r="B976" s="1502" t="s">
        <v>14940</v>
      </c>
      <c r="C976" s="638" t="s">
        <v>6218</v>
      </c>
      <c r="D976" s="639">
        <v>63362</v>
      </c>
      <c r="E976" s="639">
        <v>32145</v>
      </c>
      <c r="F976" s="640">
        <f t="shared" si="30"/>
        <v>95507</v>
      </c>
      <c r="G976" s="639">
        <v>72664</v>
      </c>
      <c r="H976" s="639">
        <v>6442</v>
      </c>
      <c r="I976" s="639"/>
      <c r="J976" s="639"/>
      <c r="K976" s="640">
        <f t="shared" si="31"/>
        <v>79106</v>
      </c>
      <c r="L976" s="639">
        <v>20160</v>
      </c>
      <c r="M976" s="639"/>
      <c r="N976" s="639">
        <v>138181</v>
      </c>
      <c r="O976" s="1503">
        <f>1-N977</f>
        <v>0.58498471260294216</v>
      </c>
    </row>
    <row r="977" spans="1:15" ht="12" customHeight="1" thickBot="1">
      <c r="A977" s="1519"/>
      <c r="B977" s="1514"/>
      <c r="C977" s="641" t="s">
        <v>6219</v>
      </c>
      <c r="D977" s="642">
        <f>D976/(D976+E976+G976+H976+I976+J976+L976+M976+N976)</f>
        <v>0.19030256431819412</v>
      </c>
      <c r="E977" s="642">
        <f>E976/(D976+E976+G976+H976+I976+J976+L976+M976+N976)</f>
        <v>9.6544868059852115E-2</v>
      </c>
      <c r="F977" s="643">
        <f t="shared" si="30"/>
        <v>0.28684743237804622</v>
      </c>
      <c r="G977" s="642">
        <f>G976/(D976+E976+G976+H976+I976+J976+L976+M976+N976)</f>
        <v>0.21824035752686557</v>
      </c>
      <c r="H977" s="642">
        <f>H976/(D976+E976+G976+H976+I976+J976+L976+M976+N976)</f>
        <v>1.934801804453468E-2</v>
      </c>
      <c r="I977" s="642">
        <f>I976/(D976+E976+G976+H976+I976+J976+L976+M976+N976)</f>
        <v>0</v>
      </c>
      <c r="J977" s="642">
        <f>J976/(D976+E976+G976+H976+I976+J976+L976+M976+N976)</f>
        <v>0</v>
      </c>
      <c r="K977" s="643">
        <f t="shared" si="31"/>
        <v>0.23758837557140025</v>
      </c>
      <c r="L977" s="642">
        <f>L976/(D976+E976+G976+H976+I976+J976+L976+M976+N976)</f>
        <v>6.0548904653495675E-2</v>
      </c>
      <c r="M977" s="642">
        <f>M976/(D976+E976+G976+H976+I976+J976+L976+M976+N976)</f>
        <v>0</v>
      </c>
      <c r="N977" s="642">
        <f>N976/(D976+E976+G976+H976+I976+J976+L976+M976+N976)</f>
        <v>0.41501528739705784</v>
      </c>
      <c r="O977" s="1515"/>
    </row>
    <row r="978" spans="1:15" ht="12" customHeight="1">
      <c r="A978" s="1516" t="s">
        <v>15060</v>
      </c>
      <c r="B978" s="1509" t="s">
        <v>14937</v>
      </c>
      <c r="C978" s="647" t="s">
        <v>6218</v>
      </c>
      <c r="D978" s="648">
        <v>68494</v>
      </c>
      <c r="E978" s="648">
        <v>37691</v>
      </c>
      <c r="F978" s="649">
        <f t="shared" si="30"/>
        <v>106185</v>
      </c>
      <c r="G978" s="648">
        <v>84604</v>
      </c>
      <c r="H978" s="648">
        <v>6656</v>
      </c>
      <c r="I978" s="648">
        <v>3844</v>
      </c>
      <c r="J978" s="648">
        <v>9469</v>
      </c>
      <c r="K978" s="649">
        <f t="shared" si="31"/>
        <v>104573</v>
      </c>
      <c r="L978" s="648">
        <v>19420</v>
      </c>
      <c r="M978" s="648">
        <v>6290</v>
      </c>
      <c r="N978" s="648">
        <v>208270</v>
      </c>
      <c r="O978" s="1510">
        <f>1-N979</f>
        <v>0.53170181095386493</v>
      </c>
    </row>
    <row r="979" spans="1:15" ht="12" customHeight="1">
      <c r="A979" s="1517"/>
      <c r="B979" s="1502"/>
      <c r="C979" s="635" t="s">
        <v>6219</v>
      </c>
      <c r="D979" s="636">
        <f>D978/(D978+E978+G978+H978+I978+J978+L978+M978+N978)</f>
        <v>0.15400977654259362</v>
      </c>
      <c r="E979" s="636">
        <f>E978/(D978+E978+G978+H978+I978+J978+L978+M978+N978)</f>
        <v>8.4748773435146085E-2</v>
      </c>
      <c r="F979" s="637">
        <f t="shared" si="30"/>
        <v>0.23875854997773971</v>
      </c>
      <c r="G979" s="636">
        <f>G978/(D978+E978+G978+H978+I978+J978+L978+M978+N978)</f>
        <v>0.1902333508717492</v>
      </c>
      <c r="H979" s="636">
        <f>H978/(D978+E978+G978+H978+I978+J978+L978+M978+N978)</f>
        <v>1.4966114881121019E-2</v>
      </c>
      <c r="I979" s="636">
        <f>I978/(D978+E978+G978+H978+I978+J978+L978+M978+N978)</f>
        <v>8.6432911062243392E-3</v>
      </c>
      <c r="J979" s="636">
        <f>J978/(D978+E978+G978+H978+I978+J978+L978+M978+N978)</f>
        <v>2.1291187170873638E-2</v>
      </c>
      <c r="K979" s="637">
        <f t="shared" si="31"/>
        <v>0.23513394402996818</v>
      </c>
      <c r="L979" s="636">
        <f>L978/(D978+E978+G978+H978+I978+J978+L978+M978+N978)</f>
        <v>4.3666158502309226E-2</v>
      </c>
      <c r="M979" s="636">
        <f>M978/(D978+E978+G978+H978+I978+J978+L978+M978+N978)</f>
        <v>1.4143158443847838E-2</v>
      </c>
      <c r="N979" s="636">
        <f>N978/(D978+E978+G978+H978+I978+J978+L978+M978+N978)</f>
        <v>0.46829818904613502</v>
      </c>
      <c r="O979" s="1503"/>
    </row>
    <row r="980" spans="1:15" ht="12" customHeight="1">
      <c r="A980" s="1517"/>
      <c r="B980" s="1502" t="s">
        <v>14938</v>
      </c>
      <c r="C980" s="638" t="s">
        <v>6218</v>
      </c>
      <c r="D980" s="639">
        <v>104805</v>
      </c>
      <c r="E980" s="639">
        <v>43150</v>
      </c>
      <c r="F980" s="640">
        <f t="shared" si="30"/>
        <v>147955</v>
      </c>
      <c r="G980" s="639">
        <v>73031</v>
      </c>
      <c r="H980" s="639">
        <v>9082</v>
      </c>
      <c r="I980" s="639"/>
      <c r="J980" s="639">
        <v>10462</v>
      </c>
      <c r="K980" s="640">
        <f t="shared" si="31"/>
        <v>92575</v>
      </c>
      <c r="L980" s="639">
        <v>20866</v>
      </c>
      <c r="M980" s="639"/>
      <c r="N980" s="639">
        <v>179018</v>
      </c>
      <c r="O980" s="1503">
        <f>1-N981</f>
        <v>0.59352336665046979</v>
      </c>
    </row>
    <row r="981" spans="1:15" ht="12" customHeight="1">
      <c r="A981" s="1517"/>
      <c r="B981" s="1502"/>
      <c r="C981" s="635" t="s">
        <v>6219</v>
      </c>
      <c r="D981" s="636">
        <f>D980/(D980+E980+G980+H980+I980+J980+L980+M980+N980)</f>
        <v>0.23796927436457516</v>
      </c>
      <c r="E981" s="636">
        <f>E980/(D980+E980+G980+H980+I980+J980+L980+M980+N980)</f>
        <v>9.7975995313500486E-2</v>
      </c>
      <c r="F981" s="637">
        <f t="shared" si="30"/>
        <v>0.33594526967807564</v>
      </c>
      <c r="G981" s="636">
        <f>G980/(D980+E980+G980+H980+I980+J980+L980+M980+N980)</f>
        <v>0.16582352059652963</v>
      </c>
      <c r="H981" s="636">
        <f>H980/(D980+E980+G980+H980+I980+J980+L980+M980+N980)</f>
        <v>2.0621506128324713E-2</v>
      </c>
      <c r="I981" s="636">
        <f>I980/(D980+E980+G980+H980+I980+J980+L980+M980+N980)</f>
        <v>0</v>
      </c>
      <c r="J981" s="636">
        <f>J980/(D980+E980+G980+H980+I980+J980+L980+M980+N980)</f>
        <v>2.3754921505674206E-2</v>
      </c>
      <c r="K981" s="637">
        <f t="shared" si="31"/>
        <v>0.21019994823052857</v>
      </c>
      <c r="L981" s="636">
        <f>L980/(D980+E980+G980+H980+I980+J980+L980+M980+N980)</f>
        <v>4.7378148741865606E-2</v>
      </c>
      <c r="M981" s="636">
        <f>M980/(D980+E980+G980+H980+I980+J980+L980+M980+N980)</f>
        <v>0</v>
      </c>
      <c r="N981" s="636">
        <f>N980/(D980+E980+G980+H980+I980+J980+L980+M980+N980)</f>
        <v>0.40647663334953021</v>
      </c>
      <c r="O981" s="1503"/>
    </row>
    <row r="982" spans="1:15" ht="12" customHeight="1">
      <c r="A982" s="1517"/>
      <c r="B982" s="1502" t="s">
        <v>14939</v>
      </c>
      <c r="C982" s="638" t="s">
        <v>6218</v>
      </c>
      <c r="D982" s="639">
        <v>57419</v>
      </c>
      <c r="E982" s="639">
        <v>43151</v>
      </c>
      <c r="F982" s="640">
        <f t="shared" si="30"/>
        <v>100570</v>
      </c>
      <c r="G982" s="639">
        <v>77981</v>
      </c>
      <c r="H982" s="639">
        <v>9811</v>
      </c>
      <c r="I982" s="639"/>
      <c r="J982" s="639"/>
      <c r="K982" s="640">
        <f t="shared" si="31"/>
        <v>87792</v>
      </c>
      <c r="L982" s="639">
        <v>18220</v>
      </c>
      <c r="M982" s="639">
        <v>9647</v>
      </c>
      <c r="N982" s="639">
        <v>218499</v>
      </c>
      <c r="O982" s="1503">
        <f>1-N983</f>
        <v>0.49738917208001321</v>
      </c>
    </row>
    <row r="983" spans="1:15" ht="12" customHeight="1">
      <c r="A983" s="1517"/>
      <c r="B983" s="1502"/>
      <c r="C983" s="635" t="s">
        <v>6219</v>
      </c>
      <c r="D983" s="636">
        <f>D982/(D982+E982+G982+H982+I982+J982+L982+M982+N982)</f>
        <v>0.1320802892843341</v>
      </c>
      <c r="E983" s="636">
        <f>E982/(D982+E982+G982+H982+I982+J982+L982+M982+N982)</f>
        <v>9.9259767026738555E-2</v>
      </c>
      <c r="F983" s="637">
        <f t="shared" si="30"/>
        <v>0.23134005631107266</v>
      </c>
      <c r="G983" s="636">
        <f>G982/(D982+E982+G982+H982+I982+J982+L982+M982+N982)</f>
        <v>0.17937882998104562</v>
      </c>
      <c r="H983" s="636">
        <f>H982/(D982+E982+G982+H982+I982+J982+L982+M982+N982)</f>
        <v>2.2568134557700448E-2</v>
      </c>
      <c r="I983" s="636">
        <f>I982/(D982+E982+G982+H982+I982+J982+L982+M982+N982)</f>
        <v>0</v>
      </c>
      <c r="J983" s="636">
        <f>J982/(D982+E982+G982+H982+I982+J982+L982+M982+N982)</f>
        <v>0</v>
      </c>
      <c r="K983" s="637">
        <f t="shared" si="31"/>
        <v>0.20194696453874608</v>
      </c>
      <c r="L983" s="636">
        <f>L982/(D982+E982+G982+H982+I982+J982+L982+M982+N982)</f>
        <v>4.1911264054765279E-2</v>
      </c>
      <c r="M983" s="636">
        <f>M982/(D982+E982+G982+H982+I982+J982+L982+M982+N982)</f>
        <v>2.2190887175429233E-2</v>
      </c>
      <c r="N983" s="636">
        <f>N982/(D982+E982+G982+H982+I982+J982+L982+M982+N982)</f>
        <v>0.50261082791998679</v>
      </c>
      <c r="O983" s="1503"/>
    </row>
    <row r="984" spans="1:15" ht="12" customHeight="1">
      <c r="A984" s="1517"/>
      <c r="B984" s="1502" t="s">
        <v>14940</v>
      </c>
      <c r="C984" s="638" t="s">
        <v>6218</v>
      </c>
      <c r="D984" s="639">
        <v>76150</v>
      </c>
      <c r="E984" s="639">
        <v>45532</v>
      </c>
      <c r="F984" s="640">
        <f t="shared" si="30"/>
        <v>121682</v>
      </c>
      <c r="G984" s="639">
        <v>80515</v>
      </c>
      <c r="H984" s="639">
        <v>6897</v>
      </c>
      <c r="I984" s="639"/>
      <c r="J984" s="639"/>
      <c r="K984" s="640">
        <f t="shared" si="31"/>
        <v>87412</v>
      </c>
      <c r="L984" s="639">
        <v>18153</v>
      </c>
      <c r="M984" s="639"/>
      <c r="N984" s="639">
        <v>206175</v>
      </c>
      <c r="O984" s="1503">
        <f>1-N985</f>
        <v>0.52430887218461453</v>
      </c>
    </row>
    <row r="985" spans="1:15" ht="12" customHeight="1" thickBot="1">
      <c r="A985" s="1519"/>
      <c r="B985" s="1514"/>
      <c r="C985" s="641" t="s">
        <v>6219</v>
      </c>
      <c r="D985" s="642">
        <f>D984/(D984+E984+G984+H984+I984+J984+L984+M984+N984)</f>
        <v>0.17569481936772938</v>
      </c>
      <c r="E985" s="642">
        <f>E984/(D984+E984+G984+H984+I984+J984+L984+M984+N984)</f>
        <v>0.10505235082667701</v>
      </c>
      <c r="F985" s="643">
        <f t="shared" si="30"/>
        <v>0.28074717019440637</v>
      </c>
      <c r="G985" s="642">
        <f>G984/(D984+E984+G984+H984+I984+J984+L984+M984+N984)</f>
        <v>0.18576583560594526</v>
      </c>
      <c r="H985" s="642">
        <f>H984/(D984+E984+G984+H984+I984+J984+L984+M984+N984)</f>
        <v>1.5912897822445562E-2</v>
      </c>
      <c r="I985" s="642">
        <f>I984/(D984+E984+G984+H984+I984+J984+L984+M984+N984)</f>
        <v>0</v>
      </c>
      <c r="J985" s="642">
        <f>J984/(D984+E984+G984+H984+I984+J984+L984+M984+N984)</f>
        <v>0</v>
      </c>
      <c r="K985" s="643">
        <f t="shared" si="31"/>
        <v>0.20167873342839082</v>
      </c>
      <c r="L985" s="642">
        <f>L984/(D984+E984+G984+H984+I984+J984+L984+M984+N984)</f>
        <v>4.1882968561817349E-2</v>
      </c>
      <c r="M985" s="642">
        <f>M984/(D984+E984+G984+H984+I984+J984+L984+M984+N984)</f>
        <v>0</v>
      </c>
      <c r="N985" s="642">
        <f>N984/(D984+E984+G984+H984+I984+J984+L984+M984+N984)</f>
        <v>0.47569112781538547</v>
      </c>
      <c r="O985" s="1515"/>
    </row>
    <row r="986" spans="1:15" ht="12" customHeight="1">
      <c r="A986" s="1516" t="s">
        <v>15061</v>
      </c>
      <c r="B986" s="1509" t="s">
        <v>14937</v>
      </c>
      <c r="C986" s="647" t="s">
        <v>6218</v>
      </c>
      <c r="D986" s="648">
        <v>71096</v>
      </c>
      <c r="E986" s="648">
        <v>36432</v>
      </c>
      <c r="F986" s="649">
        <f t="shared" si="30"/>
        <v>107528</v>
      </c>
      <c r="G986" s="648">
        <v>84788</v>
      </c>
      <c r="H986" s="648">
        <v>7299</v>
      </c>
      <c r="I986" s="648">
        <v>3903</v>
      </c>
      <c r="J986" s="648">
        <v>10135</v>
      </c>
      <c r="K986" s="649">
        <f t="shared" si="31"/>
        <v>106125</v>
      </c>
      <c r="L986" s="648">
        <v>22500</v>
      </c>
      <c r="M986" s="648">
        <v>5933</v>
      </c>
      <c r="N986" s="648">
        <v>192605</v>
      </c>
      <c r="O986" s="1510">
        <f>1-N987</f>
        <v>0.55691514202042369</v>
      </c>
    </row>
    <row r="987" spans="1:15" ht="12" customHeight="1">
      <c r="A987" s="1517"/>
      <c r="B987" s="1502"/>
      <c r="C987" s="635" t="s">
        <v>6219</v>
      </c>
      <c r="D987" s="636">
        <f>D986/(D986+E986+G986+H986+I986+J986+L986+M986+N986)</f>
        <v>0.1635552610935124</v>
      </c>
      <c r="E987" s="636">
        <f>E986/(D986+E986+G986+H986+I986+J986+L986+M986+N986)</f>
        <v>8.3811259032278096E-2</v>
      </c>
      <c r="F987" s="637">
        <f t="shared" si="30"/>
        <v>0.2473665201257905</v>
      </c>
      <c r="G987" s="636">
        <f>G986/(D986+E986+G986+H986+I986+J986+L986+M986+N986)</f>
        <v>0.19505349777198056</v>
      </c>
      <c r="H987" s="636">
        <f>H986/(D986+E986+G986+H986+I986+J986+L986+M986+N986)</f>
        <v>1.6791237913828444E-2</v>
      </c>
      <c r="I987" s="636">
        <f>I986/(D986+E986+G986+H986+I986+J986+L986+M986+N986)</f>
        <v>8.9787918314388846E-3</v>
      </c>
      <c r="J987" s="636">
        <f>J986/(D986+E986+G986+H986+I986+J986+L986+M986+N986)</f>
        <v>2.3315412557425849E-2</v>
      </c>
      <c r="K987" s="637">
        <f t="shared" si="31"/>
        <v>0.24413894007467374</v>
      </c>
      <c r="L987" s="636">
        <f>L986/(D986+E986+G986+H986+I986+J986+L986+M986+N986)</f>
        <v>5.1760906022899025E-2</v>
      </c>
      <c r="M987" s="636">
        <f>M986/(D986+E986+G986+H986+I986+J986+L986+M986+N986)</f>
        <v>1.364877579706044E-2</v>
      </c>
      <c r="N987" s="636">
        <f>N986/(D986+E986+G986+H986+I986+J986+L986+M986+N986)</f>
        <v>0.44308485797957631</v>
      </c>
      <c r="O987" s="1503"/>
    </row>
    <row r="988" spans="1:15" ht="12" customHeight="1">
      <c r="A988" s="1517"/>
      <c r="B988" s="1502" t="s">
        <v>14938</v>
      </c>
      <c r="C988" s="638" t="s">
        <v>6218</v>
      </c>
      <c r="D988" s="639">
        <v>110543</v>
      </c>
      <c r="E988" s="639">
        <v>40943</v>
      </c>
      <c r="F988" s="640">
        <f t="shared" si="30"/>
        <v>151486</v>
      </c>
      <c r="G988" s="639">
        <v>73245</v>
      </c>
      <c r="H988" s="639">
        <v>9555</v>
      </c>
      <c r="I988" s="639"/>
      <c r="J988" s="639">
        <v>10771</v>
      </c>
      <c r="K988" s="640">
        <f t="shared" si="31"/>
        <v>93571</v>
      </c>
      <c r="L988" s="639">
        <v>24526</v>
      </c>
      <c r="M988" s="639"/>
      <c r="N988" s="639">
        <v>161219</v>
      </c>
      <c r="O988" s="1503">
        <f>1-N989</f>
        <v>0.62577007534783968</v>
      </c>
    </row>
    <row r="989" spans="1:15" ht="12" customHeight="1">
      <c r="A989" s="1517"/>
      <c r="B989" s="1502"/>
      <c r="C989" s="635" t="s">
        <v>6219</v>
      </c>
      <c r="D989" s="636">
        <f>D988/(D988+E988+G988+H988+I988+J988+L988+M988+N988)</f>
        <v>0.25659815878292114</v>
      </c>
      <c r="E989" s="636">
        <f>E988/(D988+E988+G988+H988+I988+J988+L988+M988+N988)</f>
        <v>9.5039020245959865E-2</v>
      </c>
      <c r="F989" s="637">
        <f t="shared" si="30"/>
        <v>0.35163717902888103</v>
      </c>
      <c r="G989" s="636">
        <f>G988/(D988+E988+G988+H988+I988+J988+L988+M988+N988)</f>
        <v>0.1700201020422375</v>
      </c>
      <c r="H989" s="636">
        <f>H988/(D988+E988+G988+H988+I988+J988+L988+M988+N988)</f>
        <v>2.2179562768975074E-2</v>
      </c>
      <c r="I989" s="636">
        <f>I988/(D988+E988+G988+H988+I988+J988+L988+M988+N988)</f>
        <v>0</v>
      </c>
      <c r="J989" s="636">
        <f>J988/(D988+E988+G988+H988+I988+J988+L988+M988+N988)</f>
        <v>2.500220518939095E-2</v>
      </c>
      <c r="K989" s="637">
        <f t="shared" si="31"/>
        <v>0.21720187000060351</v>
      </c>
      <c r="L989" s="636">
        <f>L988/(D988+E988+G988+H988+I988+J988+L988+M988+N988)</f>
        <v>5.6931026318355067E-2</v>
      </c>
      <c r="M989" s="636">
        <f>M988/(D988+E988+G988+H988+I988+J988+L988+M988+N988)</f>
        <v>0</v>
      </c>
      <c r="N989" s="636">
        <f>N988/(D988+E988+G988+H988+I988+J988+L988+M988+N988)</f>
        <v>0.37422992465216037</v>
      </c>
      <c r="O989" s="1503"/>
    </row>
    <row r="990" spans="1:15" ht="12" customHeight="1">
      <c r="A990" s="1517"/>
      <c r="B990" s="1502" t="s">
        <v>14939</v>
      </c>
      <c r="C990" s="638" t="s">
        <v>6218</v>
      </c>
      <c r="D990" s="639">
        <v>62706</v>
      </c>
      <c r="E990" s="639">
        <v>42277</v>
      </c>
      <c r="F990" s="640">
        <f t="shared" si="30"/>
        <v>104983</v>
      </c>
      <c r="G990" s="639">
        <v>78264</v>
      </c>
      <c r="H990" s="639">
        <v>10211</v>
      </c>
      <c r="I990" s="639"/>
      <c r="J990" s="639"/>
      <c r="K990" s="640">
        <f t="shared" si="31"/>
        <v>88475</v>
      </c>
      <c r="L990" s="639">
        <v>21355</v>
      </c>
      <c r="M990" s="639">
        <v>8877</v>
      </c>
      <c r="N990" s="639">
        <v>204232</v>
      </c>
      <c r="O990" s="1503">
        <f>1-N991</f>
        <v>0.52273545178794267</v>
      </c>
    </row>
    <row r="991" spans="1:15" ht="12" customHeight="1">
      <c r="A991" s="1517"/>
      <c r="B991" s="1502"/>
      <c r="C991" s="635" t="s">
        <v>6219</v>
      </c>
      <c r="D991" s="636">
        <f>D990/(D990+E990+G990+H990+I990+J990+L990+M990+N990)</f>
        <v>0.14653605096255859</v>
      </c>
      <c r="E991" s="636">
        <f>E990/(D990+E990+G990+H990+I990+J990+L990+M990+N990)</f>
        <v>9.8796042269385542E-2</v>
      </c>
      <c r="F991" s="637">
        <f t="shared" si="30"/>
        <v>0.24533209323194413</v>
      </c>
      <c r="G991" s="636">
        <f>G990/(D990+E990+G990+H990+I990+J990+L990+M990+N990)</f>
        <v>0.18289314407765903</v>
      </c>
      <c r="H991" s="636">
        <f>H990/(D990+E990+G990+H990+I990+J990+L990+M990+N990)</f>
        <v>2.3861825285916592E-2</v>
      </c>
      <c r="I991" s="636">
        <f>I990/(D990+E990+G990+H990+I990+J990+L990+M990+N990)</f>
        <v>0</v>
      </c>
      <c r="J991" s="636">
        <f>J990/(D990+E990+G990+H990+I990+J990+L990+M990+N990)</f>
        <v>0</v>
      </c>
      <c r="K991" s="637">
        <f t="shared" si="31"/>
        <v>0.20675496936357562</v>
      </c>
      <c r="L991" s="636">
        <f>L990/(D990+E990+G990+H990+I990+J990+L990+M990+N990)</f>
        <v>4.9903954458990187E-2</v>
      </c>
      <c r="M991" s="636">
        <f>M990/(D990+E990+G990+H990+I990+J990+L990+M990+N990)</f>
        <v>2.0744434733432727E-2</v>
      </c>
      <c r="N991" s="636">
        <f>N990/(D990+E990+G990+H990+I990+J990+L990+M990+N990)</f>
        <v>0.47726454821205733</v>
      </c>
      <c r="O991" s="1503"/>
    </row>
    <row r="992" spans="1:15" ht="12" customHeight="1">
      <c r="A992" s="1517"/>
      <c r="B992" s="1502" t="s">
        <v>14940</v>
      </c>
      <c r="C992" s="638" t="s">
        <v>6218</v>
      </c>
      <c r="D992" s="639">
        <v>87777</v>
      </c>
      <c r="E992" s="639">
        <v>40236</v>
      </c>
      <c r="F992" s="640">
        <f t="shared" si="30"/>
        <v>128013</v>
      </c>
      <c r="G992" s="639">
        <v>80799</v>
      </c>
      <c r="H992" s="639">
        <v>7386</v>
      </c>
      <c r="I992" s="639"/>
      <c r="J992" s="639"/>
      <c r="K992" s="640">
        <f t="shared" si="31"/>
        <v>88185</v>
      </c>
      <c r="L992" s="639">
        <v>21963</v>
      </c>
      <c r="M992" s="639"/>
      <c r="N992" s="639">
        <v>189501</v>
      </c>
      <c r="O992" s="1503">
        <f>1-N993</f>
        <v>0.55689072211232227</v>
      </c>
    </row>
    <row r="993" spans="1:15" ht="12" customHeight="1" thickBot="1">
      <c r="A993" s="1519"/>
      <c r="B993" s="1514"/>
      <c r="C993" s="641" t="s">
        <v>6219</v>
      </c>
      <c r="D993" s="642">
        <f>D992/(D992+E992+G992+H992+I992+J992+L992+M992+N992)</f>
        <v>0.20524853739635507</v>
      </c>
      <c r="E993" s="642">
        <f>E992/(D992+E992+G992+H992+I992+J992+L992+M992+N992)</f>
        <v>9.4083645495741969E-2</v>
      </c>
      <c r="F993" s="643">
        <f t="shared" si="30"/>
        <v>0.29933218289209707</v>
      </c>
      <c r="G993" s="642">
        <f>G992/(D992+E992+G992+H992+I992+J992+L992+M992+N992)</f>
        <v>0.18893191352049049</v>
      </c>
      <c r="H993" s="642">
        <f>H992/(D992+E992+G992+H992+I992+J992+L992+M992+N992)</f>
        <v>1.7270648315725969E-2</v>
      </c>
      <c r="I993" s="642">
        <f>I992/(D992+E992+G992+H992+I992+J992+L992+M992+N992)</f>
        <v>0</v>
      </c>
      <c r="J993" s="642">
        <f>J992/(D992+E992+G992+H992+I992+J992+L992+M992+N992)</f>
        <v>0</v>
      </c>
      <c r="K993" s="643">
        <f t="shared" si="31"/>
        <v>0.20620256183621646</v>
      </c>
      <c r="L993" s="642">
        <f>L992/(D992+E992+G992+H992+I992+J992+L992+M992+N992)</f>
        <v>5.1355977384008863E-2</v>
      </c>
      <c r="M993" s="642">
        <f>M992/(D992+E992+G992+H992+I992+J992+L992+M992+N992)</f>
        <v>0</v>
      </c>
      <c r="N993" s="642">
        <f>N992/(D992+E992+G992+H992+I992+J992+L992+M992+N992)</f>
        <v>0.44310927788767768</v>
      </c>
      <c r="O993" s="1515"/>
    </row>
    <row r="994" spans="1:15" ht="12" customHeight="1">
      <c r="A994" s="1526" t="s">
        <v>15062</v>
      </c>
      <c r="B994" s="1509" t="s">
        <v>14937</v>
      </c>
      <c r="C994" s="647" t="s">
        <v>6218</v>
      </c>
      <c r="D994" s="648">
        <v>59136</v>
      </c>
      <c r="E994" s="648">
        <v>21216</v>
      </c>
      <c r="F994" s="649">
        <f t="shared" si="30"/>
        <v>80352</v>
      </c>
      <c r="G994" s="648">
        <v>101226</v>
      </c>
      <c r="H994" s="648">
        <v>12562</v>
      </c>
      <c r="I994" s="648">
        <v>4126</v>
      </c>
      <c r="J994" s="648">
        <v>10924</v>
      </c>
      <c r="K994" s="649">
        <f t="shared" si="31"/>
        <v>128838</v>
      </c>
      <c r="L994" s="648">
        <v>20059</v>
      </c>
      <c r="M994" s="648">
        <v>5842</v>
      </c>
      <c r="N994" s="648">
        <v>168510</v>
      </c>
      <c r="O994" s="1510">
        <f>1-N995</f>
        <v>0.58248369057559324</v>
      </c>
    </row>
    <row r="995" spans="1:15" ht="12" customHeight="1">
      <c r="A995" s="1527"/>
      <c r="B995" s="1502"/>
      <c r="C995" s="635" t="s">
        <v>6219</v>
      </c>
      <c r="D995" s="636">
        <f>D994/(D994+E994+G994+H994+I994+J994+L994+M994+N994)</f>
        <v>0.14652094519091877</v>
      </c>
      <c r="E995" s="636">
        <f>E994/(D994+E994+G994+H994+I994+J994+L994+M994+N994)</f>
        <v>5.2566767674014685E-2</v>
      </c>
      <c r="F995" s="637">
        <f t="shared" si="30"/>
        <v>0.19908771286493346</v>
      </c>
      <c r="G995" s="636">
        <f>G994/(D994+E994+G994+H994+I994+J994+L994+M994+N994)</f>
        <v>0.25080710900121655</v>
      </c>
      <c r="H995" s="636">
        <f>H994/(D994+E994+G994+H994+I994+J994+L994+M994+N994)</f>
        <v>3.1124798997029243E-2</v>
      </c>
      <c r="I995" s="636">
        <f>I994/(D994+E994+G994+H994+I994+J994+L994+M994+N994)</f>
        <v>1.0222967732983814E-2</v>
      </c>
      <c r="J995" s="636">
        <f>J994/(D994+E994+G994+H994+I994+J994+L994+M994+N994)</f>
        <v>2.7066335316314874E-2</v>
      </c>
      <c r="K995" s="637">
        <f t="shared" si="31"/>
        <v>0.31922121104754447</v>
      </c>
      <c r="L995" s="636">
        <f>L994/(D994+E994+G994+H994+I994+J994+L994+M994+N994)</f>
        <v>4.9700075074145013E-2</v>
      </c>
      <c r="M995" s="636">
        <f>M994/(D994+E994+G994+H994+I994+J994+L994+M994+N994)</f>
        <v>1.4474691588970296E-2</v>
      </c>
      <c r="N995" s="636">
        <f>N994/(D994+E994+G994+H994+I994+J994+L994+M994+N994)</f>
        <v>0.41751630942440676</v>
      </c>
      <c r="O995" s="1503"/>
    </row>
    <row r="996" spans="1:15" ht="12" customHeight="1">
      <c r="A996" s="1527"/>
      <c r="B996" s="1502" t="s">
        <v>14938</v>
      </c>
      <c r="C996" s="638" t="s">
        <v>6218</v>
      </c>
      <c r="D996" s="639">
        <v>106064</v>
      </c>
      <c r="E996" s="639">
        <v>23145</v>
      </c>
      <c r="F996" s="640">
        <f t="shared" si="30"/>
        <v>129209</v>
      </c>
      <c r="G996" s="639">
        <v>92574</v>
      </c>
      <c r="H996" s="639">
        <v>13732</v>
      </c>
      <c r="I996" s="639"/>
      <c r="J996" s="639">
        <v>10263</v>
      </c>
      <c r="K996" s="640">
        <f t="shared" si="31"/>
        <v>116569</v>
      </c>
      <c r="L996" s="639">
        <v>21731</v>
      </c>
      <c r="M996" s="639"/>
      <c r="N996" s="639">
        <v>131477</v>
      </c>
      <c r="O996" s="1503">
        <f>1-N997</f>
        <v>0.67047214689237222</v>
      </c>
    </row>
    <row r="997" spans="1:15" ht="12" customHeight="1">
      <c r="A997" s="1527"/>
      <c r="B997" s="1502"/>
      <c r="C997" s="635" t="s">
        <v>6219</v>
      </c>
      <c r="D997" s="636">
        <f>D996/(D996+E996+G996+H996+I996+J996+L996+M996+N996)</f>
        <v>0.26583388890838278</v>
      </c>
      <c r="E997" s="636">
        <f>E996/(D996+E996+G996+H996+I996+J996+L996+M996+N996)</f>
        <v>5.8009554219947565E-2</v>
      </c>
      <c r="F997" s="637">
        <f t="shared" si="30"/>
        <v>0.32384344312833035</v>
      </c>
      <c r="G997" s="636">
        <f>G996/(D996+E996+G996+H996+I996+J996+L996+M996+N996)</f>
        <v>0.23202317875815193</v>
      </c>
      <c r="H997" s="636">
        <f>H996/(D996+E996+G996+H996+I996+J996+L996+M996+N996)</f>
        <v>3.4417247722977745E-2</v>
      </c>
      <c r="I997" s="636">
        <f>I996/(D996+E996+G996+H996+I996+J996+L996+M996+N996)</f>
        <v>0</v>
      </c>
      <c r="J997" s="636">
        <f>J996/(D996+E996+G996+H996+I996+J996+L996+M996+N996)</f>
        <v>2.5722707062403191E-2</v>
      </c>
      <c r="K997" s="637">
        <f t="shared" si="31"/>
        <v>0.29216313354353285</v>
      </c>
      <c r="L997" s="636">
        <f>L996/(D996+E996+G996+H996+I996+J996+L996+M996+N996)</f>
        <v>5.4465570220508991E-2</v>
      </c>
      <c r="M997" s="636">
        <f>M996/(D996+E996+G996+H996+I996+J996+L996+M996+N996)</f>
        <v>0</v>
      </c>
      <c r="N997" s="636">
        <f>N996/(D996+E996+G996+H996+I996+J996+L996+M996+N996)</f>
        <v>0.32952785310762783</v>
      </c>
      <c r="O997" s="1503"/>
    </row>
    <row r="998" spans="1:15" ht="12" customHeight="1">
      <c r="A998" s="1527"/>
      <c r="B998" s="1502" t="s">
        <v>14939</v>
      </c>
      <c r="C998" s="638" t="s">
        <v>6218</v>
      </c>
      <c r="D998" s="639">
        <v>58842</v>
      </c>
      <c r="E998" s="639">
        <v>24449</v>
      </c>
      <c r="F998" s="640">
        <f t="shared" si="30"/>
        <v>83291</v>
      </c>
      <c r="G998" s="639">
        <v>95018</v>
      </c>
      <c r="H998" s="639">
        <v>14189</v>
      </c>
      <c r="I998" s="639"/>
      <c r="J998" s="639"/>
      <c r="K998" s="640">
        <f t="shared" si="31"/>
        <v>109207</v>
      </c>
      <c r="L998" s="639">
        <v>18802</v>
      </c>
      <c r="M998" s="639">
        <v>11318</v>
      </c>
      <c r="N998" s="639">
        <v>167335</v>
      </c>
      <c r="O998" s="1503">
        <f>1-N999</f>
        <v>0.57088418347852177</v>
      </c>
    </row>
    <row r="999" spans="1:15" ht="12" customHeight="1">
      <c r="A999" s="1527"/>
      <c r="B999" s="1502"/>
      <c r="C999" s="635" t="s">
        <v>6219</v>
      </c>
      <c r="D999" s="636">
        <f>D998/(D998+E998+G998+H998+I998+J998+L998+M998+N998)</f>
        <v>0.15089510787197433</v>
      </c>
      <c r="E999" s="636">
        <f>E998/(D998+E998+G998+H998+I998+J998+L998+M998+N998)</f>
        <v>6.2697299418135011E-2</v>
      </c>
      <c r="F999" s="637">
        <f t="shared" si="30"/>
        <v>0.21359240729010934</v>
      </c>
      <c r="G999" s="636">
        <f>G998/(D998+E998+G998+H998+I998+J998+L998+M998+N998)</f>
        <v>0.24366526222390902</v>
      </c>
      <c r="H999" s="636">
        <f>H998/(D998+E998+G998+H998+I998+J998+L998+M998+N998)</f>
        <v>3.6386436314119905E-2</v>
      </c>
      <c r="I999" s="636">
        <f>I998/(D998+E998+G998+H998+I998+J998+L998+M998+N998)</f>
        <v>0</v>
      </c>
      <c r="J999" s="636">
        <f>J998/(D998+E998+G998+H998+I998+J998+L998+M998+N998)</f>
        <v>0</v>
      </c>
      <c r="K999" s="637">
        <f t="shared" si="31"/>
        <v>0.28005169853802891</v>
      </c>
      <c r="L999" s="636">
        <f>L998/(D998+E998+G998+H998+I998+J998+L998+M998+N998)</f>
        <v>4.8216067064492385E-2</v>
      </c>
      <c r="M999" s="636">
        <f>M998/(D998+E998+G998+H998+I998+J998+L998+M998+N998)</f>
        <v>2.902401058589112E-2</v>
      </c>
      <c r="N999" s="636">
        <f>N998/(D998+E998+G998+H998+I998+J998+L998+M998+N998)</f>
        <v>0.42911581652147823</v>
      </c>
      <c r="O999" s="1503"/>
    </row>
    <row r="1000" spans="1:15" ht="12" customHeight="1">
      <c r="A1000" s="1527"/>
      <c r="B1000" s="1502" t="s">
        <v>14940</v>
      </c>
      <c r="C1000" s="638" t="s">
        <v>6218</v>
      </c>
      <c r="D1000" s="639">
        <v>74786</v>
      </c>
      <c r="E1000" s="639">
        <v>23407</v>
      </c>
      <c r="F1000" s="640">
        <f t="shared" si="30"/>
        <v>98193</v>
      </c>
      <c r="G1000" s="639">
        <v>109025</v>
      </c>
      <c r="H1000" s="639">
        <v>11223</v>
      </c>
      <c r="I1000" s="639"/>
      <c r="J1000" s="639"/>
      <c r="K1000" s="640">
        <f t="shared" si="31"/>
        <v>120248</v>
      </c>
      <c r="L1000" s="639">
        <v>19409</v>
      </c>
      <c r="M1000" s="639"/>
      <c r="N1000" s="639">
        <v>151881</v>
      </c>
      <c r="O1000" s="1503">
        <f>1-N1001</f>
        <v>0.61029274037733716</v>
      </c>
    </row>
    <row r="1001" spans="1:15" ht="12" customHeight="1" thickBot="1">
      <c r="A1001" s="1528"/>
      <c r="B1001" s="1514"/>
      <c r="C1001" s="641" t="s">
        <v>6219</v>
      </c>
      <c r="D1001" s="642">
        <f>D1000/(D1000+E1000+G1000+H1000+I1000+J1000+L1000+M1000+N1000)</f>
        <v>0.19189133017388918</v>
      </c>
      <c r="E1001" s="642">
        <f>E1000/(D1000+E1000+G1000+H1000+I1000+J1000+L1000+M1000+N1000)</f>
        <v>6.0059374286366748E-2</v>
      </c>
      <c r="F1001" s="643">
        <f t="shared" si="30"/>
        <v>0.25195070446025591</v>
      </c>
      <c r="G1001" s="642">
        <f>G1000/(D1000+E1000+G1000+H1000+I1000+J1000+L1000+M1000+N1000)</f>
        <v>0.27974423384334324</v>
      </c>
      <c r="H1001" s="642">
        <f>H1000/(D1000+E1000+G1000+H1000+I1000+J1000+L1000+M1000+N1000)</f>
        <v>2.8796785475109755E-2</v>
      </c>
      <c r="I1001" s="642">
        <f>I1000/(D1000+E1000+G1000+H1000+I1000+J1000+L1000+M1000+N1000)</f>
        <v>0</v>
      </c>
      <c r="J1001" s="642">
        <f>J1000/(D1000+E1000+G1000+H1000+I1000+J1000+L1000+M1000+N1000)</f>
        <v>0</v>
      </c>
      <c r="K1001" s="643">
        <f t="shared" si="31"/>
        <v>0.30854101931845301</v>
      </c>
      <c r="L1001" s="642">
        <f>L1000/(D1000+E1000+G1000+H1000+I1000+J1000+L1000+M1000+N1000)</f>
        <v>4.9801016598628282E-2</v>
      </c>
      <c r="M1001" s="642">
        <f>M1000/(D1000+E1000+G1000+H1000+I1000+J1000+L1000+M1000+N1000)</f>
        <v>0</v>
      </c>
      <c r="N1001" s="642">
        <f>N1000/(D1000+E1000+G1000+H1000+I1000+J1000+L1000+M1000+N1000)</f>
        <v>0.38970725962266284</v>
      </c>
      <c r="O1001" s="1515"/>
    </row>
    <row r="1002" spans="1:15" ht="12" customHeight="1">
      <c r="A1002" s="1516" t="s">
        <v>15063</v>
      </c>
      <c r="B1002" s="1509" t="s">
        <v>14937</v>
      </c>
      <c r="C1002" s="647" t="s">
        <v>6218</v>
      </c>
      <c r="D1002" s="648">
        <v>65073</v>
      </c>
      <c r="E1002" s="648">
        <v>30436</v>
      </c>
      <c r="F1002" s="649">
        <f t="shared" si="30"/>
        <v>95509</v>
      </c>
      <c r="G1002" s="648">
        <v>111565</v>
      </c>
      <c r="H1002" s="648">
        <v>18471</v>
      </c>
      <c r="I1002" s="648">
        <v>4473</v>
      </c>
      <c r="J1002" s="648">
        <v>12374</v>
      </c>
      <c r="K1002" s="649">
        <f t="shared" si="31"/>
        <v>146883</v>
      </c>
      <c r="L1002" s="648">
        <v>25012</v>
      </c>
      <c r="M1002" s="648">
        <v>6431</v>
      </c>
      <c r="N1002" s="648">
        <v>183667</v>
      </c>
      <c r="O1002" s="1510">
        <f>1-N1003</f>
        <v>0.59854383150237589</v>
      </c>
    </row>
    <row r="1003" spans="1:15" ht="12" customHeight="1">
      <c r="A1003" s="1517"/>
      <c r="B1003" s="1502"/>
      <c r="C1003" s="635" t="s">
        <v>6219</v>
      </c>
      <c r="D1003" s="636">
        <f>D1002/(D1002+E1002+G1002+H1002+I1002+J1002+L1002+M1002+N1002)</f>
        <v>0.14223544377948075</v>
      </c>
      <c r="E1003" s="636">
        <f>E1002/(D1002+E1002+G1002+H1002+I1002+J1002+L1002+M1002+N1002)</f>
        <v>6.6526485130119647E-2</v>
      </c>
      <c r="F1003" s="637">
        <f t="shared" si="30"/>
        <v>0.20876192890960038</v>
      </c>
      <c r="G1003" s="636">
        <f>G1002/(D1002+E1002+G1002+H1002+I1002+J1002+L1002+M1002+N1002)</f>
        <v>0.24385685745636085</v>
      </c>
      <c r="H1003" s="636">
        <f>H1002/(D1002+E1002+G1002+H1002+I1002+J1002+L1002+M1002+N1002)</f>
        <v>4.0373593995217505E-2</v>
      </c>
      <c r="I1003" s="636">
        <f>I1002/(D1002+E1002+G1002+H1002+I1002+J1002+L1002+M1002+N1002)</f>
        <v>9.7770064393161125E-3</v>
      </c>
      <c r="J1003" s="636">
        <f>J1002/(D1002+E1002+G1002+H1002+I1002+J1002+L1002+M1002+N1002)</f>
        <v>2.7046876297808536E-2</v>
      </c>
      <c r="K1003" s="637">
        <f t="shared" si="31"/>
        <v>0.32105433418870299</v>
      </c>
      <c r="L1003" s="636">
        <f>L1002/(D1002+E1002+G1002+H1002+I1002+J1002+L1002+M1002+N1002)</f>
        <v>5.4670799253336601E-2</v>
      </c>
      <c r="M1003" s="636">
        <f>M1002/(D1002+E1002+G1002+H1002+I1002+J1002+L1002+M1002+N1002)</f>
        <v>1.4056769150735953E-2</v>
      </c>
      <c r="N1003" s="636">
        <f>N1002/(D1002+E1002+G1002+H1002+I1002+J1002+L1002+M1002+N1002)</f>
        <v>0.40145616849762406</v>
      </c>
      <c r="O1003" s="1503"/>
    </row>
    <row r="1004" spans="1:15" ht="12" customHeight="1">
      <c r="A1004" s="1517"/>
      <c r="B1004" s="1502" t="s">
        <v>14938</v>
      </c>
      <c r="C1004" s="638" t="s">
        <v>6218</v>
      </c>
      <c r="D1004" s="639">
        <v>114710</v>
      </c>
      <c r="E1004" s="639">
        <v>32110</v>
      </c>
      <c r="F1004" s="640">
        <f t="shared" si="30"/>
        <v>146820</v>
      </c>
      <c r="G1004" s="639">
        <v>98494</v>
      </c>
      <c r="H1004" s="639">
        <v>16926</v>
      </c>
      <c r="I1004" s="639"/>
      <c r="J1004" s="639">
        <v>12373</v>
      </c>
      <c r="K1004" s="640">
        <f t="shared" si="31"/>
        <v>127793</v>
      </c>
      <c r="L1004" s="639">
        <v>26860</v>
      </c>
      <c r="M1004" s="639"/>
      <c r="N1004" s="639">
        <v>148459</v>
      </c>
      <c r="O1004" s="1503">
        <f>1-N1005</f>
        <v>0.67004125067788023</v>
      </c>
    </row>
    <row r="1005" spans="1:15" ht="12" customHeight="1">
      <c r="A1005" s="1517"/>
      <c r="B1005" s="1502"/>
      <c r="C1005" s="635" t="s">
        <v>6219</v>
      </c>
      <c r="D1005" s="636">
        <f>D1004/(D1004+E1004+G1004+H1004+I1004+J1004+L1004+M1004+N1004)</f>
        <v>0.25494963683401045</v>
      </c>
      <c r="E1005" s="636">
        <f>E1004/(D1004+E1004+G1004+H1004+I1004+J1004+L1004+M1004+N1004)</f>
        <v>7.1366339802459045E-2</v>
      </c>
      <c r="F1005" s="637">
        <f t="shared" si="30"/>
        <v>0.3263159766364695</v>
      </c>
      <c r="G1005" s="636">
        <f>G1004/(D1004+E1004+G1004+H1004+I1004+J1004+L1004+M1004+N1004)</f>
        <v>0.21890863508263472</v>
      </c>
      <c r="H1005" s="636">
        <f>H1004/(D1004+E1004+G1004+H1004+I1004+J1004+L1004+M1004+N1004)</f>
        <v>3.7619017984939947E-2</v>
      </c>
      <c r="I1005" s="636">
        <f>I1004/(D1004+E1004+G1004+H1004+I1004+J1004+L1004+M1004+N1004)</f>
        <v>0</v>
      </c>
      <c r="J1005" s="636">
        <f>J1004/(D1004+E1004+G1004+H1004+I1004+J1004+L1004+M1004+N1004)</f>
        <v>2.7499711067450191E-2</v>
      </c>
      <c r="K1005" s="637">
        <f t="shared" si="31"/>
        <v>0.28402736413502488</v>
      </c>
      <c r="L1005" s="636">
        <f>L1004/(D1004+E1004+G1004+H1004+I1004+J1004+L1004+M1004+N1004)</f>
        <v>5.9697909906385856E-2</v>
      </c>
      <c r="M1005" s="636">
        <f>M1004/(D1004+E1004+G1004+H1004+I1004+J1004+L1004+M1004+N1004)</f>
        <v>0</v>
      </c>
      <c r="N1005" s="636">
        <f>N1004/(D1004+E1004+G1004+H1004+I1004+J1004+L1004+M1004+N1004)</f>
        <v>0.32995874932211977</v>
      </c>
      <c r="O1005" s="1503"/>
    </row>
    <row r="1006" spans="1:15" ht="12" customHeight="1">
      <c r="A1006" s="1517"/>
      <c r="B1006" s="1502" t="s">
        <v>14939</v>
      </c>
      <c r="C1006" s="638" t="s">
        <v>6218</v>
      </c>
      <c r="D1006" s="639">
        <v>62482</v>
      </c>
      <c r="E1006" s="639">
        <v>33696</v>
      </c>
      <c r="F1006" s="640">
        <f t="shared" si="30"/>
        <v>96178</v>
      </c>
      <c r="G1006" s="639">
        <v>107565</v>
      </c>
      <c r="H1006" s="639">
        <v>16876</v>
      </c>
      <c r="I1006" s="639"/>
      <c r="J1006" s="639"/>
      <c r="K1006" s="640">
        <f t="shared" si="31"/>
        <v>124441</v>
      </c>
      <c r="L1006" s="639">
        <v>24520</v>
      </c>
      <c r="M1006" s="639">
        <v>12717</v>
      </c>
      <c r="N1006" s="639">
        <v>186283</v>
      </c>
      <c r="O1006" s="1503">
        <f>1-N1007</f>
        <v>0.5805750001688661</v>
      </c>
    </row>
    <row r="1007" spans="1:15" ht="12" customHeight="1">
      <c r="A1007" s="1517"/>
      <c r="B1007" s="1502"/>
      <c r="C1007" s="635" t="s">
        <v>6219</v>
      </c>
      <c r="D1007" s="636">
        <f>D1006/(D1006+E1006+G1006+H1006+I1006+J1006+L1006+M1006+N1006)</f>
        <v>0.14068118314311512</v>
      </c>
      <c r="E1007" s="636">
        <f>E1006/(D1006+E1006+G1006+H1006+I1006+J1006+L1006+M1006+N1006)</f>
        <v>7.5868140379475799E-2</v>
      </c>
      <c r="F1007" s="637">
        <f t="shared" si="30"/>
        <v>0.21654932352259093</v>
      </c>
      <c r="G1007" s="636">
        <f>G1006/(D1006+E1006+G1006+H1006+I1006+J1006+L1006+M1006+N1006)</f>
        <v>0.24218769349235261</v>
      </c>
      <c r="H1007" s="636">
        <f>H1006/(D1006+E1006+G1006+H1006+I1006+J1006+L1006+M1006+N1006)</f>
        <v>3.7997113516264051E-2</v>
      </c>
      <c r="I1007" s="636">
        <f>I1006/(D1006+E1006+G1006+H1006+I1006+J1006+L1006+M1006+N1006)</f>
        <v>0</v>
      </c>
      <c r="J1007" s="636">
        <f>J1006/(D1006+E1006+G1006+H1006+I1006+J1006+L1006+M1006+N1006)</f>
        <v>0</v>
      </c>
      <c r="K1007" s="637">
        <f t="shared" si="31"/>
        <v>0.28018480700861664</v>
      </c>
      <c r="L1007" s="636">
        <f>L1006/(D1006+E1006+G1006+H1006+I1006+J1006+L1006+M1006+N1006)</f>
        <v>5.5207941657904394E-2</v>
      </c>
      <c r="M1007" s="636">
        <f>M1006/(D1006+E1006+G1006+H1006+I1006+J1006+L1006+M1006+N1006)</f>
        <v>2.8632927979754086E-2</v>
      </c>
      <c r="N1007" s="636">
        <f>N1006/(D1006+E1006+G1006+H1006+I1006+J1006+L1006+M1006+N1006)</f>
        <v>0.41942499983113396</v>
      </c>
      <c r="O1007" s="1503"/>
    </row>
    <row r="1008" spans="1:15" ht="12" customHeight="1">
      <c r="A1008" s="1517"/>
      <c r="B1008" s="1502" t="s">
        <v>14940</v>
      </c>
      <c r="C1008" s="638" t="s">
        <v>6218</v>
      </c>
      <c r="D1008" s="639">
        <v>74020</v>
      </c>
      <c r="E1008" s="639">
        <v>32895</v>
      </c>
      <c r="F1008" s="640">
        <f t="shared" si="30"/>
        <v>106915</v>
      </c>
      <c r="G1008" s="639">
        <v>114759</v>
      </c>
      <c r="H1008" s="639">
        <v>14052</v>
      </c>
      <c r="I1008" s="639"/>
      <c r="J1008" s="639"/>
      <c r="K1008" s="640">
        <f t="shared" si="31"/>
        <v>128811</v>
      </c>
      <c r="L1008" s="639">
        <v>24336</v>
      </c>
      <c r="M1008" s="639"/>
      <c r="N1008" s="639">
        <v>182576</v>
      </c>
      <c r="O1008" s="1503">
        <f>1-N1009</f>
        <v>0.58752750554629296</v>
      </c>
    </row>
    <row r="1009" spans="1:15" ht="12" customHeight="1" thickBot="1">
      <c r="A1009" s="1519"/>
      <c r="B1009" s="1514"/>
      <c r="C1009" s="641" t="s">
        <v>6219</v>
      </c>
      <c r="D1009" s="642">
        <f>D1008/(D1008+E1008+G1008+H1008+I1008+J1008+L1008+M1008+N1008)</f>
        <v>0.16722468473108951</v>
      </c>
      <c r="E1009" s="642">
        <f>E1008/(D1008+E1008+G1008+H1008+I1008+J1008+L1008+M1008+N1008)</f>
        <v>7.431580659590907E-2</v>
      </c>
      <c r="F1009" s="643">
        <f t="shared" si="30"/>
        <v>0.24154049132699856</v>
      </c>
      <c r="G1009" s="642">
        <f>G1008/(D1008+E1008+G1008+H1008+I1008+J1008+L1008+M1008+N1008)</f>
        <v>0.25926151844170631</v>
      </c>
      <c r="H1009" s="642">
        <f>H1008/(D1008+E1008+G1008+H1008+I1008+J1008+L1008+M1008+N1008)</f>
        <v>3.1746031746031744E-2</v>
      </c>
      <c r="I1009" s="642">
        <f>I1008/(D1008+E1008+G1008+H1008+I1008+J1008+L1008+M1008+N1008)</f>
        <v>0</v>
      </c>
      <c r="J1009" s="642">
        <f>J1008/(D1008+E1008+G1008+H1008+I1008+J1008+L1008+M1008+N1008)</f>
        <v>0</v>
      </c>
      <c r="K1009" s="643">
        <f t="shared" si="31"/>
        <v>0.29100755018773805</v>
      </c>
      <c r="L1009" s="642">
        <f>L1008/(D1008+E1008+G1008+H1008+I1008+J1008+L1008+M1008+N1008)</f>
        <v>5.4979464031556263E-2</v>
      </c>
      <c r="M1009" s="642">
        <f>M1008/(D1008+E1008+G1008+H1008+I1008+J1008+L1008+M1008+N1008)</f>
        <v>0</v>
      </c>
      <c r="N1009" s="642">
        <f>N1008/(D1008+E1008+G1008+H1008+I1008+J1008+L1008+M1008+N1008)</f>
        <v>0.41247249445370709</v>
      </c>
      <c r="O1009" s="1515"/>
    </row>
    <row r="1010" spans="1:15" ht="12" customHeight="1">
      <c r="A1010" s="1516" t="s">
        <v>15064</v>
      </c>
      <c r="B1010" s="1509" t="s">
        <v>14937</v>
      </c>
      <c r="C1010" s="647" t="s">
        <v>6218</v>
      </c>
      <c r="D1010" s="648">
        <v>53039</v>
      </c>
      <c r="E1010" s="648">
        <v>33760</v>
      </c>
      <c r="F1010" s="649">
        <f t="shared" si="30"/>
        <v>86799</v>
      </c>
      <c r="G1010" s="648">
        <v>91150</v>
      </c>
      <c r="H1010" s="648">
        <v>10953</v>
      </c>
      <c r="I1010" s="648">
        <v>3530</v>
      </c>
      <c r="J1010" s="648">
        <v>8911</v>
      </c>
      <c r="K1010" s="649">
        <f t="shared" si="31"/>
        <v>114544</v>
      </c>
      <c r="L1010" s="648">
        <v>26308</v>
      </c>
      <c r="M1010" s="648">
        <v>5248</v>
      </c>
      <c r="N1010" s="648">
        <v>159922</v>
      </c>
      <c r="O1010" s="1510">
        <f>1-N1011</f>
        <v>0.59288836391129807</v>
      </c>
    </row>
    <row r="1011" spans="1:15" ht="12" customHeight="1">
      <c r="A1011" s="1517"/>
      <c r="B1011" s="1502"/>
      <c r="C1011" s="635" t="s">
        <v>6219</v>
      </c>
      <c r="D1011" s="636">
        <f>D1010/(D1010+E1010+G1010+H1010+I1010+J1010+L1010+M1010+N1010)</f>
        <v>0.13502078554863411</v>
      </c>
      <c r="E1011" s="636">
        <f>E1010/(D1010+E1010+G1010+H1010+I1010+J1010+L1010+M1010+N1010)</f>
        <v>8.5942452160144192E-2</v>
      </c>
      <c r="F1011" s="637">
        <f t="shared" si="30"/>
        <v>0.22096323770877829</v>
      </c>
      <c r="G1011" s="636">
        <f>G1010/(D1010+E1010+G1010+H1010+I1010+J1010+L1010+M1010+N1010)</f>
        <v>0.23203952945489167</v>
      </c>
      <c r="H1011" s="636">
        <f>H1010/(D1010+E1010+G1010+H1010+I1010+J1010+L1010+M1010+N1010)</f>
        <v>2.7882928865819293E-2</v>
      </c>
      <c r="I1011" s="636">
        <f>I1010/(D1010+E1010+G1010+H1010+I1010+J1010+L1010+M1010+N1010)</f>
        <v>8.9862812833326113E-3</v>
      </c>
      <c r="J1011" s="636">
        <f>J1010/(D1010+E1010+G1010+H1010+I1010+J1010+L1010+M1010+N1010)</f>
        <v>2.2684632440730001E-2</v>
      </c>
      <c r="K1011" s="637">
        <f t="shared" si="31"/>
        <v>0.29159337204477359</v>
      </c>
      <c r="L1011" s="636">
        <f>L1010/(D1010+E1010+G1010+H1010+I1010+J1010+L1010+M1010+N1010)</f>
        <v>6.6971979603941745E-2</v>
      </c>
      <c r="M1011" s="636">
        <f>M1010/(D1010+E1010+G1010+H1010+I1010+J1010+L1010+M1010+N1010)</f>
        <v>1.3359774553804405E-2</v>
      </c>
      <c r="N1011" s="636">
        <f>N1010/(D1010+E1010+G1010+H1010+I1010+J1010+L1010+M1010+N1010)</f>
        <v>0.40711163608870199</v>
      </c>
      <c r="O1011" s="1503"/>
    </row>
    <row r="1012" spans="1:15" ht="12" customHeight="1">
      <c r="A1012" s="1517"/>
      <c r="B1012" s="1502" t="s">
        <v>14938</v>
      </c>
      <c r="C1012" s="638" t="s">
        <v>6218</v>
      </c>
      <c r="D1012" s="639">
        <v>90631</v>
      </c>
      <c r="E1012" s="639">
        <v>37479</v>
      </c>
      <c r="F1012" s="640">
        <f t="shared" si="30"/>
        <v>128110</v>
      </c>
      <c r="G1012" s="639">
        <v>78371</v>
      </c>
      <c r="H1012" s="639">
        <v>12253</v>
      </c>
      <c r="I1012" s="639"/>
      <c r="J1012" s="639">
        <v>9725</v>
      </c>
      <c r="K1012" s="640">
        <f t="shared" si="31"/>
        <v>100349</v>
      </c>
      <c r="L1012" s="639">
        <v>27915</v>
      </c>
      <c r="M1012" s="639"/>
      <c r="N1012" s="639">
        <v>132142</v>
      </c>
      <c r="O1012" s="1503">
        <f>1-N1013</f>
        <v>0.65988015937567557</v>
      </c>
    </row>
    <row r="1013" spans="1:15" ht="12" customHeight="1">
      <c r="A1013" s="1517"/>
      <c r="B1013" s="1502"/>
      <c r="C1013" s="635" t="s">
        <v>6219</v>
      </c>
      <c r="D1013" s="636">
        <f>D1012/(D1012+E1012+G1012+H1012+I1012+J1012+L1012+M1012+N1012)</f>
        <v>0.23327482008462971</v>
      </c>
      <c r="E1013" s="636">
        <f>E1012/(D1012+E1012+G1012+H1012+I1012+J1012+L1012+M1012+N1012)</f>
        <v>9.6467069567276506E-2</v>
      </c>
      <c r="F1013" s="637">
        <f t="shared" si="30"/>
        <v>0.32974188965190621</v>
      </c>
      <c r="G1013" s="636">
        <f>G1012/(D1012+E1012+G1012+H1012+I1012+J1012+L1012+M1012+N1012)</f>
        <v>0.20171884812980675</v>
      </c>
      <c r="H1013" s="636">
        <f>H1012/(D1012+E1012+G1012+H1012+I1012+J1012+L1012+M1012+N1012)</f>
        <v>3.1537954678829187E-2</v>
      </c>
      <c r="I1013" s="636">
        <f>I1012/(D1012+E1012+G1012+H1012+I1012+J1012+L1012+M1012+N1012)</f>
        <v>0</v>
      </c>
      <c r="J1013" s="636">
        <f>J1012/(D1012+E1012+G1012+H1012+I1012+J1012+L1012+M1012+N1012)</f>
        <v>2.5031144148503538E-2</v>
      </c>
      <c r="K1013" s="637">
        <f t="shared" si="31"/>
        <v>0.25828794695713947</v>
      </c>
      <c r="L1013" s="636">
        <f>L1012/(D1012+E1012+G1012+H1012+I1012+J1012+L1012+M1012+N1012)</f>
        <v>7.1850322766629948E-2</v>
      </c>
      <c r="M1013" s="636">
        <f>M1012/(D1012+E1012+G1012+H1012+I1012+J1012+L1012+M1012+N1012)</f>
        <v>0</v>
      </c>
      <c r="N1013" s="636">
        <f>N1012/(D1012+E1012+G1012+H1012+I1012+J1012+L1012+M1012+N1012)</f>
        <v>0.34011984062432438</v>
      </c>
      <c r="O1013" s="1503"/>
    </row>
    <row r="1014" spans="1:15" ht="12" customHeight="1">
      <c r="A1014" s="1517"/>
      <c r="B1014" s="1502" t="s">
        <v>14939</v>
      </c>
      <c r="C1014" s="638" t="s">
        <v>6218</v>
      </c>
      <c r="D1014" s="639">
        <v>50445</v>
      </c>
      <c r="E1014" s="639">
        <v>37562</v>
      </c>
      <c r="F1014" s="640">
        <f t="shared" si="30"/>
        <v>88007</v>
      </c>
      <c r="G1014" s="639">
        <v>83133</v>
      </c>
      <c r="H1014" s="639">
        <v>13347</v>
      </c>
      <c r="I1014" s="639"/>
      <c r="J1014" s="639"/>
      <c r="K1014" s="640">
        <f t="shared" si="31"/>
        <v>96480</v>
      </c>
      <c r="L1014" s="639">
        <v>24574</v>
      </c>
      <c r="M1014" s="639">
        <v>9442</v>
      </c>
      <c r="N1014" s="639">
        <v>164797</v>
      </c>
      <c r="O1014" s="1503">
        <f>1-N1015</f>
        <v>0.57005739629533003</v>
      </c>
    </row>
    <row r="1015" spans="1:15" ht="12" customHeight="1">
      <c r="A1015" s="1517"/>
      <c r="B1015" s="1502"/>
      <c r="C1015" s="635" t="s">
        <v>6219</v>
      </c>
      <c r="D1015" s="636">
        <f>D1014/(D1014+E1014+G1014+H1014+I1014+J1014+L1014+M1014+N1014)</f>
        <v>0.1316070962692408</v>
      </c>
      <c r="E1015" s="636">
        <f>E1014/(D1014+E1014+G1014+H1014+I1014+J1014+L1014+M1014+N1014)</f>
        <v>9.7996347508478993E-2</v>
      </c>
      <c r="F1015" s="637">
        <f t="shared" si="30"/>
        <v>0.2296034437777198</v>
      </c>
      <c r="G1015" s="636">
        <f>G1014/(D1014+E1014+G1014+H1014+I1014+J1014+L1014+M1014+N1014)</f>
        <v>0.21688755543960345</v>
      </c>
      <c r="H1015" s="636">
        <f>H1014/(D1014+E1014+G1014+H1014+I1014+J1014+L1014+M1014+N1014)</f>
        <v>3.4821288807722409E-2</v>
      </c>
      <c r="I1015" s="636">
        <f>I1014/(D1014+E1014+G1014+H1014+I1014+J1014+L1014+M1014+N1014)</f>
        <v>0</v>
      </c>
      <c r="J1015" s="636">
        <f>J1014/(D1014+E1014+G1014+H1014+I1014+J1014+L1014+M1014+N1014)</f>
        <v>0</v>
      </c>
      <c r="K1015" s="637">
        <f t="shared" si="31"/>
        <v>0.25170884424732587</v>
      </c>
      <c r="L1015" s="636">
        <f>L1014/(D1014+E1014+G1014+H1014+I1014+J1014+L1014+M1014+N1014)</f>
        <v>6.4111661883642063E-2</v>
      </c>
      <c r="M1015" s="636">
        <f>M1014/(D1014+E1014+G1014+H1014+I1014+J1014+L1014+M1014+N1014)</f>
        <v>2.4633446386642315E-2</v>
      </c>
      <c r="N1015" s="636">
        <f>N1014/(D1014+E1014+G1014+H1014+I1014+J1014+L1014+M1014+N1014)</f>
        <v>0.42994260370466997</v>
      </c>
      <c r="O1015" s="1503"/>
    </row>
    <row r="1016" spans="1:15" ht="12" customHeight="1">
      <c r="A1016" s="1517"/>
      <c r="B1016" s="1502" t="s">
        <v>14940</v>
      </c>
      <c r="C1016" s="638" t="s">
        <v>6218</v>
      </c>
      <c r="D1016" s="639">
        <v>64822</v>
      </c>
      <c r="E1016" s="639">
        <v>36810</v>
      </c>
      <c r="F1016" s="640">
        <f t="shared" si="30"/>
        <v>101632</v>
      </c>
      <c r="G1016" s="639">
        <v>88533</v>
      </c>
      <c r="H1016" s="639">
        <v>9571</v>
      </c>
      <c r="I1016" s="639"/>
      <c r="J1016" s="639"/>
      <c r="K1016" s="640">
        <f t="shared" si="31"/>
        <v>98104</v>
      </c>
      <c r="L1016" s="639">
        <v>24411</v>
      </c>
      <c r="M1016" s="639"/>
      <c r="N1016" s="639">
        <v>157287</v>
      </c>
      <c r="O1016" s="1503">
        <f>1-N1017</f>
        <v>0.58764294740374479</v>
      </c>
    </row>
    <row r="1017" spans="1:15" ht="12" customHeight="1" thickBot="1">
      <c r="A1017" s="1519"/>
      <c r="B1017" s="1514"/>
      <c r="C1017" s="641" t="s">
        <v>6219</v>
      </c>
      <c r="D1017" s="642">
        <f>D1016/(D1016+E1016+G1016+H1016+I1016+J1016+L1016+M1016+N1016)</f>
        <v>0.16994289968906809</v>
      </c>
      <c r="E1017" s="642">
        <f>E1016/(D1016+E1016+G1016+H1016+I1016+J1016+L1016+M1016+N1016)</f>
        <v>9.650424450887965E-2</v>
      </c>
      <c r="F1017" s="643">
        <f t="shared" si="30"/>
        <v>0.26644714419794774</v>
      </c>
      <c r="G1017" s="642">
        <f>G1016/(D1016+E1016+G1016+H1016+I1016+J1016+L1016+M1016+N1016)</f>
        <v>0.23210568538724918</v>
      </c>
      <c r="H1017" s="642">
        <f>H1016/(D1016+E1016+G1016+H1016+I1016+J1016+L1016+M1016+N1016)</f>
        <v>2.5092152246522333E-2</v>
      </c>
      <c r="I1017" s="642">
        <f>I1016/(D1016+E1016+G1016+H1016+I1016+J1016+L1016+M1016+N1016)</f>
        <v>0</v>
      </c>
      <c r="J1017" s="642">
        <f>J1016/(D1016+E1016+G1016+H1016+I1016+J1016+L1016+M1016+N1016)</f>
        <v>0</v>
      </c>
      <c r="K1017" s="643">
        <f t="shared" si="31"/>
        <v>0.25719783763377152</v>
      </c>
      <c r="L1017" s="642">
        <f>L1016/(D1016+E1016+G1016+H1016+I1016+J1016+L1016+M1016+N1016)</f>
        <v>6.399796557202557E-2</v>
      </c>
      <c r="M1017" s="642">
        <f>M1016/(D1016+E1016+G1016+H1016+I1016+J1016+L1016+M1016+N1016)</f>
        <v>0</v>
      </c>
      <c r="N1017" s="642">
        <f>N1016/(D1016+E1016+G1016+H1016+I1016+J1016+L1016+M1016+N1016)</f>
        <v>0.41235705259625516</v>
      </c>
      <c r="O1017" s="1515"/>
    </row>
    <row r="1018" spans="1:15" ht="12" customHeight="1">
      <c r="A1018" s="1516" t="s">
        <v>15065</v>
      </c>
      <c r="B1018" s="1509" t="s">
        <v>14937</v>
      </c>
      <c r="C1018" s="647" t="s">
        <v>6218</v>
      </c>
      <c r="D1018" s="648">
        <v>53735</v>
      </c>
      <c r="E1018" s="648">
        <v>27792</v>
      </c>
      <c r="F1018" s="649">
        <f t="shared" si="30"/>
        <v>81527</v>
      </c>
      <c r="G1018" s="648">
        <v>86509</v>
      </c>
      <c r="H1018" s="648">
        <v>10614</v>
      </c>
      <c r="I1018" s="648">
        <v>3382</v>
      </c>
      <c r="J1018" s="648">
        <v>8350</v>
      </c>
      <c r="K1018" s="649">
        <f t="shared" si="31"/>
        <v>108855</v>
      </c>
      <c r="L1018" s="648">
        <v>21112</v>
      </c>
      <c r="M1018" s="648">
        <v>5193</v>
      </c>
      <c r="N1018" s="648">
        <v>156850</v>
      </c>
      <c r="O1018" s="1510">
        <f>1-N1019</f>
        <v>0.58009514452383559</v>
      </c>
    </row>
    <row r="1019" spans="1:15" ht="12" customHeight="1">
      <c r="A1019" s="1517"/>
      <c r="B1019" s="1502"/>
      <c r="C1019" s="635" t="s">
        <v>6219</v>
      </c>
      <c r="D1019" s="636">
        <f>D1018/(D1018+E1018+G1018+H1018+I1018+J1018+L1018+M1018+N1018)</f>
        <v>0.14385455791528015</v>
      </c>
      <c r="E1019" s="636">
        <f>E1018/(D1018+E1018+G1018+H1018+I1018+J1018+L1018+M1018+N1018)</f>
        <v>7.4402268048412878E-2</v>
      </c>
      <c r="F1019" s="637">
        <f t="shared" si="30"/>
        <v>0.21825682596369303</v>
      </c>
      <c r="G1019" s="636">
        <f>G1018/(D1018+E1018+G1018+H1018+I1018+J1018+L1018+M1018+N1018)</f>
        <v>0.2315941928108862</v>
      </c>
      <c r="H1019" s="636">
        <f>H1018/(D1018+E1018+G1018+H1018+I1018+J1018+L1018+M1018+N1018)</f>
        <v>2.8414855824188769E-2</v>
      </c>
      <c r="I1019" s="636">
        <f>I1018/(D1018+E1018+G1018+H1018+I1018+J1018+L1018+M1018+N1018)</f>
        <v>9.0539892969103454E-3</v>
      </c>
      <c r="J1019" s="636">
        <f>J1018/(D1018+E1018+G1018+H1018+I1018+J1018+L1018+M1018+N1018)</f>
        <v>2.2353876590538554E-2</v>
      </c>
      <c r="K1019" s="637">
        <f t="shared" si="31"/>
        <v>0.29141691452252388</v>
      </c>
      <c r="L1019" s="636">
        <f>L1018/(D1018+E1018+G1018+H1018+I1018+J1018+L1018+M1018+N1018)</f>
        <v>5.6519166775982031E-2</v>
      </c>
      <c r="M1019" s="636">
        <f>M1018/(D1018+E1018+G1018+H1018+I1018+J1018+L1018+M1018+N1018)</f>
        <v>1.3902237261636733E-2</v>
      </c>
      <c r="N1019" s="636">
        <f>N1018/(D1018+E1018+G1018+H1018+I1018+J1018+L1018+M1018+N1018)</f>
        <v>0.41990485547616435</v>
      </c>
      <c r="O1019" s="1503"/>
    </row>
    <row r="1020" spans="1:15" ht="12" customHeight="1">
      <c r="A1020" s="1517"/>
      <c r="B1020" s="1502" t="s">
        <v>14938</v>
      </c>
      <c r="C1020" s="638" t="s">
        <v>6218</v>
      </c>
      <c r="D1020" s="639">
        <v>91154</v>
      </c>
      <c r="E1020" s="639">
        <v>30990</v>
      </c>
      <c r="F1020" s="640">
        <f t="shared" si="30"/>
        <v>122144</v>
      </c>
      <c r="G1020" s="639">
        <v>73124</v>
      </c>
      <c r="H1020" s="639">
        <v>12077</v>
      </c>
      <c r="I1020" s="639"/>
      <c r="J1020" s="639">
        <v>8853</v>
      </c>
      <c r="K1020" s="640">
        <f t="shared" si="31"/>
        <v>94054</v>
      </c>
      <c r="L1020" s="639">
        <v>22587</v>
      </c>
      <c r="M1020" s="639"/>
      <c r="N1020" s="639">
        <v>128001</v>
      </c>
      <c r="O1020" s="1503">
        <f>1-N1021</f>
        <v>0.65101994078290881</v>
      </c>
    </row>
    <row r="1021" spans="1:15" ht="12" customHeight="1">
      <c r="A1021" s="1517"/>
      <c r="B1021" s="1502"/>
      <c r="C1021" s="635" t="s">
        <v>6219</v>
      </c>
      <c r="D1021" s="636">
        <f>D1020/(D1020+E1020+G1020+H1020+I1020+J1020+L1020+M1020+N1020)</f>
        <v>0.24852093591358448</v>
      </c>
      <c r="E1021" s="636">
        <f>E1020/(D1020+E1020+G1020+H1020+I1020+J1020+L1020+M1020+N1020)</f>
        <v>8.4490683941044642E-2</v>
      </c>
      <c r="F1021" s="637">
        <f t="shared" si="30"/>
        <v>0.33301161985462913</v>
      </c>
      <c r="G1021" s="636">
        <f>G1020/(D1020+E1020+G1020+H1020+I1020+J1020+L1020+M1020+N1020)</f>
        <v>0.19936420692174728</v>
      </c>
      <c r="H1021" s="636">
        <f>H1020/(D1020+E1020+G1020+H1020+I1020+J1020+L1020+M1020+N1020)</f>
        <v>3.2926556629751406E-2</v>
      </c>
      <c r="I1021" s="636">
        <f>I1020/(D1020+E1020+G1020+H1020+I1020+J1020+L1020+M1020+N1020)</f>
        <v>0</v>
      </c>
      <c r="J1021" s="636">
        <f>J1020/(D1020+E1020+G1020+H1020+I1020+J1020+L1020+M1020+N1020)</f>
        <v>2.4136690059053507E-2</v>
      </c>
      <c r="K1021" s="637">
        <f t="shared" si="31"/>
        <v>0.25642745361055219</v>
      </c>
      <c r="L1021" s="636">
        <f>L1020/(D1020+E1020+G1020+H1020+I1020+J1020+L1020+M1020+N1020)</f>
        <v>6.1580867317727501E-2</v>
      </c>
      <c r="M1021" s="636">
        <f>M1020/(D1020+E1020+G1020+H1020+I1020+J1020+L1020+M1020+N1020)</f>
        <v>0</v>
      </c>
      <c r="N1021" s="636">
        <f>N1020/(D1020+E1020+G1020+H1020+I1020+J1020+L1020+M1020+N1020)</f>
        <v>0.34898005921709119</v>
      </c>
      <c r="O1021" s="1503"/>
    </row>
    <row r="1022" spans="1:15" ht="12" customHeight="1">
      <c r="A1022" s="1517"/>
      <c r="B1022" s="1502" t="s">
        <v>14939</v>
      </c>
      <c r="C1022" s="638" t="s">
        <v>6218</v>
      </c>
      <c r="D1022" s="639">
        <v>51788</v>
      </c>
      <c r="E1022" s="639">
        <v>30846</v>
      </c>
      <c r="F1022" s="640">
        <f t="shared" si="30"/>
        <v>82634</v>
      </c>
      <c r="G1022" s="639">
        <v>79250</v>
      </c>
      <c r="H1022" s="639">
        <v>12231</v>
      </c>
      <c r="I1022" s="639"/>
      <c r="J1022" s="639"/>
      <c r="K1022" s="640">
        <f t="shared" si="31"/>
        <v>91481</v>
      </c>
      <c r="L1022" s="639">
        <v>19975</v>
      </c>
      <c r="M1022" s="639">
        <v>9149</v>
      </c>
      <c r="N1022" s="639">
        <v>160218</v>
      </c>
      <c r="O1022" s="1503">
        <f>1-N1023</f>
        <v>0.55918306704782128</v>
      </c>
    </row>
    <row r="1023" spans="1:15" ht="12" customHeight="1">
      <c r="A1023" s="1517"/>
      <c r="B1023" s="1502"/>
      <c r="C1023" s="635" t="s">
        <v>6219</v>
      </c>
      <c r="D1023" s="636">
        <f>D1022/(D1022+E1022+G1022+H1022+I1022+J1022+L1022+M1022+N1022)</f>
        <v>0.1424872818517734</v>
      </c>
      <c r="E1023" s="636">
        <f>E1022/(D1022+E1022+G1022+H1022+I1022+J1022+L1022+M1022+N1022)</f>
        <v>8.4868361319220709E-2</v>
      </c>
      <c r="F1023" s="637">
        <f t="shared" si="30"/>
        <v>0.2273556431709941</v>
      </c>
      <c r="G1023" s="636">
        <f>G1022/(D1022+E1022+G1022+H1022+I1022+J1022+L1022+M1022+N1022)</f>
        <v>0.21804505072126826</v>
      </c>
      <c r="H1023" s="636">
        <f>H1022/(D1022+E1022+G1022+H1022+I1022+J1022+L1022+M1022+N1022)</f>
        <v>3.3651848774407973E-2</v>
      </c>
      <c r="I1023" s="636">
        <f>I1022/(D1022+E1022+G1022+H1022+I1022+J1022+L1022+M1022+N1022)</f>
        <v>0</v>
      </c>
      <c r="J1023" s="636">
        <f>J1022/(D1022+E1022+G1022+H1022+I1022+J1022+L1022+M1022+N1022)</f>
        <v>0</v>
      </c>
      <c r="K1023" s="637">
        <f t="shared" si="31"/>
        <v>0.25169689949567625</v>
      </c>
      <c r="L1023" s="636">
        <f>L1022/(D1022+E1022+G1022+H1022+I1022+J1022+L1022+M1022+N1022)</f>
        <v>5.4958358210187172E-2</v>
      </c>
      <c r="M1023" s="636">
        <f>M1022/(D1022+E1022+G1022+H1022+I1022+J1022+L1022+M1022+N1022)</f>
        <v>2.5172166170963829E-2</v>
      </c>
      <c r="N1023" s="636">
        <f>N1022/(D1022+E1022+G1022+H1022+I1022+J1022+L1022+M1022+N1022)</f>
        <v>0.44081693295217866</v>
      </c>
      <c r="O1023" s="1503"/>
    </row>
    <row r="1024" spans="1:15" ht="12" customHeight="1">
      <c r="A1024" s="1517"/>
      <c r="B1024" s="1502" t="s">
        <v>14940</v>
      </c>
      <c r="C1024" s="638" t="s">
        <v>6218</v>
      </c>
      <c r="D1024" s="639">
        <v>64061</v>
      </c>
      <c r="E1024" s="639">
        <v>30171</v>
      </c>
      <c r="F1024" s="640">
        <f t="shared" si="30"/>
        <v>94232</v>
      </c>
      <c r="G1024" s="639">
        <v>84663</v>
      </c>
      <c r="H1024" s="639">
        <v>9146</v>
      </c>
      <c r="I1024" s="639"/>
      <c r="J1024" s="639"/>
      <c r="K1024" s="640">
        <f t="shared" si="31"/>
        <v>93809</v>
      </c>
      <c r="L1024" s="639">
        <v>20052</v>
      </c>
      <c r="M1024" s="639"/>
      <c r="N1024" s="639">
        <v>152950</v>
      </c>
      <c r="O1024" s="1503">
        <f>1-N1025</f>
        <v>0.5763662500034622</v>
      </c>
    </row>
    <row r="1025" spans="1:15" ht="12" customHeight="1" thickBot="1">
      <c r="A1025" s="1519"/>
      <c r="B1025" s="1514"/>
      <c r="C1025" s="641" t="s">
        <v>6219</v>
      </c>
      <c r="D1025" s="642">
        <f>D1024/(D1024+E1024+G1024+H1024+I1024+J1024+L1024+M1024+N1024)</f>
        <v>0.17743315893120765</v>
      </c>
      <c r="E1025" s="642">
        <f>E1024/(D1024+E1024+G1024+H1024+I1024+J1024+L1024+M1024+N1024)</f>
        <v>8.3566223413831589E-2</v>
      </c>
      <c r="F1025" s="643">
        <f t="shared" si="30"/>
        <v>0.26099938234503922</v>
      </c>
      <c r="G1025" s="642">
        <f>G1024/(D1024+E1024+G1024+H1024+I1024+J1024+L1024+M1024+N1024)</f>
        <v>0.23449561409582792</v>
      </c>
      <c r="H1025" s="642">
        <f>H1024/(D1024+E1024+G1024+H1024+I1024+J1024+L1024+M1024+N1024)</f>
        <v>2.533216265098617E-2</v>
      </c>
      <c r="I1025" s="642">
        <f>I1024/(D1024+E1024+G1024+H1024+I1024+J1024+L1024+M1024+N1024)</f>
        <v>0</v>
      </c>
      <c r="J1025" s="642">
        <f>J1024/(D1024+E1024+G1024+H1024+I1024+J1024+L1024+M1024+N1024)</f>
        <v>0</v>
      </c>
      <c r="K1025" s="643">
        <f t="shared" si="31"/>
        <v>0.25982777674681407</v>
      </c>
      <c r="L1025" s="642">
        <f>L1024/(D1024+E1024+G1024+H1024+I1024+J1024+L1024+M1024+N1024)</f>
        <v>5.5539090911608864E-2</v>
      </c>
      <c r="M1025" s="642">
        <f>M1024/(D1024+E1024+G1024+H1024+I1024+J1024+L1024+M1024+N1024)</f>
        <v>0</v>
      </c>
      <c r="N1025" s="642">
        <f>N1024/(D1024+E1024+G1024+H1024+I1024+J1024+L1024+M1024+N1024)</f>
        <v>0.4236337499965378</v>
      </c>
      <c r="O1025" s="1515"/>
    </row>
    <row r="1026" spans="1:15" ht="12" customHeight="1">
      <c r="A1026" s="1516" t="s">
        <v>15066</v>
      </c>
      <c r="B1026" s="1509" t="s">
        <v>14937</v>
      </c>
      <c r="C1026" s="647" t="s">
        <v>6218</v>
      </c>
      <c r="D1026" s="648">
        <v>62707</v>
      </c>
      <c r="E1026" s="648">
        <v>25957</v>
      </c>
      <c r="F1026" s="649">
        <f t="shared" ref="F1026:F1089" si="32">SUM(D1026:E1026)</f>
        <v>88664</v>
      </c>
      <c r="G1026" s="648">
        <v>108386</v>
      </c>
      <c r="H1026" s="648">
        <v>13714</v>
      </c>
      <c r="I1026" s="648">
        <v>4254</v>
      </c>
      <c r="J1026" s="648">
        <v>12482</v>
      </c>
      <c r="K1026" s="649">
        <f t="shared" ref="K1026:K1089" si="33">SUM(G1026:J1026)</f>
        <v>138836</v>
      </c>
      <c r="L1026" s="648">
        <v>24456</v>
      </c>
      <c r="M1026" s="648">
        <v>6672</v>
      </c>
      <c r="N1026" s="648">
        <v>192242</v>
      </c>
      <c r="O1026" s="1510">
        <f>1-N1027</f>
        <v>0.57361989043404971</v>
      </c>
    </row>
    <row r="1027" spans="1:15" ht="12" customHeight="1">
      <c r="A1027" s="1517"/>
      <c r="B1027" s="1502"/>
      <c r="C1027" s="635" t="s">
        <v>6219</v>
      </c>
      <c r="D1027" s="636">
        <f>D1026/(D1026+E1026+G1026+H1026+I1026+J1026+L1026+M1026+N1026)</f>
        <v>0.13908000088717368</v>
      </c>
      <c r="E1027" s="636">
        <f>E1026/(D1026+E1026+G1026+H1026+I1026+J1026+L1026+M1026+N1026)</f>
        <v>5.7570918446558872E-2</v>
      </c>
      <c r="F1027" s="637">
        <f t="shared" si="32"/>
        <v>0.19665091933373255</v>
      </c>
      <c r="G1027" s="636">
        <f>G1026/(D1026+E1026+G1026+H1026+I1026+J1026+L1026+M1026+N1026)</f>
        <v>0.24039301794308782</v>
      </c>
      <c r="H1027" s="636">
        <f>H1026/(D1026+E1026+G1026+H1026+I1026+J1026+L1026+M1026+N1026)</f>
        <v>3.0416749839199769E-2</v>
      </c>
      <c r="I1027" s="636">
        <f>I1026/(D1026+E1026+G1026+H1026+I1026+J1026+L1026+M1026+N1026)</f>
        <v>9.4350921551666772E-3</v>
      </c>
      <c r="J1027" s="636">
        <f>J1026/(D1026+E1026+G1026+H1026+I1026+J1026+L1026+M1026+N1026)</f>
        <v>2.768425488500011E-2</v>
      </c>
      <c r="K1027" s="637">
        <f t="shared" si="33"/>
        <v>0.30792911482245439</v>
      </c>
      <c r="L1027" s="636">
        <f>L1026/(D1026+E1026+G1026+H1026+I1026+J1026+L1026+M1026+N1026)</f>
        <v>5.424179918823608E-2</v>
      </c>
      <c r="M1027" s="636">
        <f>M1026/(D1026+E1026+G1026+H1026+I1026+J1026+L1026+M1026+N1026)</f>
        <v>1.4798057089626721E-2</v>
      </c>
      <c r="N1027" s="636">
        <f>N1026/(D1026+E1026+G1026+H1026+I1026+J1026+L1026+M1026+N1026)</f>
        <v>0.42638010956595029</v>
      </c>
      <c r="O1027" s="1503"/>
    </row>
    <row r="1028" spans="1:15" ht="12" customHeight="1">
      <c r="A1028" s="1517"/>
      <c r="B1028" s="1502" t="s">
        <v>14938</v>
      </c>
      <c r="C1028" s="638" t="s">
        <v>6218</v>
      </c>
      <c r="D1028" s="639">
        <v>115266</v>
      </c>
      <c r="E1028" s="639">
        <v>28589</v>
      </c>
      <c r="F1028" s="640">
        <f t="shared" si="32"/>
        <v>143855</v>
      </c>
      <c r="G1028" s="639">
        <v>92902</v>
      </c>
      <c r="H1028" s="639">
        <v>15499</v>
      </c>
      <c r="I1028" s="639"/>
      <c r="J1028" s="639">
        <v>11496</v>
      </c>
      <c r="K1028" s="640">
        <f t="shared" si="33"/>
        <v>119897</v>
      </c>
      <c r="L1028" s="639">
        <v>26192</v>
      </c>
      <c r="M1028" s="639"/>
      <c r="N1028" s="639">
        <v>153100</v>
      </c>
      <c r="O1028" s="1503">
        <f>1-N1029</f>
        <v>0.65443612824008457</v>
      </c>
    </row>
    <row r="1029" spans="1:15" ht="12" customHeight="1">
      <c r="A1029" s="1517"/>
      <c r="B1029" s="1502"/>
      <c r="C1029" s="635" t="s">
        <v>6219</v>
      </c>
      <c r="D1029" s="636">
        <f>D1028/(D1028+E1028+G1028+H1028+I1028+J1028+L1028+M1028+N1028)</f>
        <v>0.26016829028268074</v>
      </c>
      <c r="E1029" s="636">
        <f>E1028/(D1028+E1028+G1028+H1028+I1028+J1028+L1028+M1028+N1028)</f>
        <v>6.4528579554175208E-2</v>
      </c>
      <c r="F1029" s="637">
        <f t="shared" si="32"/>
        <v>0.32469686983685597</v>
      </c>
      <c r="G1029" s="636">
        <f>G1028/(D1028+E1028+G1028+H1028+I1028+J1028+L1028+M1028+N1028)</f>
        <v>0.20969023392710431</v>
      </c>
      <c r="H1029" s="636">
        <f>H1028/(D1028+E1028+G1028+H1028+I1028+J1028+L1028+M1028+N1028)</f>
        <v>3.4982981374310454E-2</v>
      </c>
      <c r="I1029" s="636">
        <f>I1028/(D1028+E1028+G1028+H1028+I1028+J1028+L1028+M1028+N1028)</f>
        <v>0</v>
      </c>
      <c r="J1029" s="636">
        <f>J1028/(D1028+E1028+G1028+H1028+I1028+J1028+L1028+M1028+N1028)</f>
        <v>2.59477613961593E-2</v>
      </c>
      <c r="K1029" s="637">
        <f t="shared" si="33"/>
        <v>0.27062097669757407</v>
      </c>
      <c r="L1029" s="636">
        <f>L1028/(D1028+E1028+G1028+H1028+I1028+J1028+L1028+M1028+N1028)</f>
        <v>5.9118281705654516E-2</v>
      </c>
      <c r="M1029" s="636">
        <f>M1028/(D1028+E1028+G1028+H1028+I1028+J1028+L1028+M1028+N1028)</f>
        <v>0</v>
      </c>
      <c r="N1029" s="636">
        <f>N1028/(D1028+E1028+G1028+H1028+I1028+J1028+L1028+M1028+N1028)</f>
        <v>0.34556387175991549</v>
      </c>
      <c r="O1029" s="1503"/>
    </row>
    <row r="1030" spans="1:15" ht="12" customHeight="1">
      <c r="A1030" s="1517"/>
      <c r="B1030" s="1502" t="s">
        <v>14939</v>
      </c>
      <c r="C1030" s="638" t="s">
        <v>6218</v>
      </c>
      <c r="D1030" s="639">
        <v>61636</v>
      </c>
      <c r="E1030" s="639">
        <v>29900</v>
      </c>
      <c r="F1030" s="640">
        <f t="shared" si="32"/>
        <v>91536</v>
      </c>
      <c r="G1030" s="639">
        <v>100636</v>
      </c>
      <c r="H1030" s="639">
        <v>15876</v>
      </c>
      <c r="I1030" s="639"/>
      <c r="J1030" s="639"/>
      <c r="K1030" s="640">
        <f t="shared" si="33"/>
        <v>116512</v>
      </c>
      <c r="L1030" s="639">
        <v>22800</v>
      </c>
      <c r="M1030" s="639">
        <v>11953</v>
      </c>
      <c r="N1030" s="639">
        <v>191835</v>
      </c>
      <c r="O1030" s="1503">
        <f>1-N1031</f>
        <v>0.5586306702620123</v>
      </c>
    </row>
    <row r="1031" spans="1:15" ht="12" customHeight="1">
      <c r="A1031" s="1517"/>
      <c r="B1031" s="1502"/>
      <c r="C1031" s="635" t="s">
        <v>6219</v>
      </c>
      <c r="D1031" s="636">
        <f>D1030/(D1030+E1030+G1030+H1030+I1030+J1030+L1030+M1030+N1030)</f>
        <v>0.14181061854057189</v>
      </c>
      <c r="E1031" s="636">
        <f>E1030/(D1030+E1030+G1030+H1030+I1030+J1030+L1030+M1030+N1030)</f>
        <v>6.8793197066050679E-2</v>
      </c>
      <c r="F1031" s="637">
        <f t="shared" si="32"/>
        <v>0.21060381560662256</v>
      </c>
      <c r="G1031" s="636">
        <f>G1030/(D1030+E1030+G1030+H1030+I1030+J1030+L1030+M1030+N1030)</f>
        <v>0.23154087558324668</v>
      </c>
      <c r="H1031" s="636">
        <f>H1030/(D1030+E1030+G1030+H1030+I1030+J1030+L1030+M1030+N1030)</f>
        <v>3.6527116943833461E-2</v>
      </c>
      <c r="I1031" s="636">
        <f>I1030/(D1030+E1030+G1030+H1030+I1030+J1030+L1030+M1030+N1030)</f>
        <v>0</v>
      </c>
      <c r="J1031" s="636">
        <f>J1030/(D1030+E1030+G1030+H1030+I1030+J1030+L1030+M1030+N1030)</f>
        <v>0</v>
      </c>
      <c r="K1031" s="637">
        <f t="shared" si="33"/>
        <v>0.26806799252708013</v>
      </c>
      <c r="L1031" s="636">
        <f>L1030/(D1030+E1030+G1030+H1030+I1030+J1030+L1030+M1030+N1030)</f>
        <v>5.2457688732640645E-2</v>
      </c>
      <c r="M1031" s="636">
        <f>M1030/(D1030+E1030+G1030+H1030+I1030+J1030+L1030+M1030+N1030)</f>
        <v>2.7501173395669019E-2</v>
      </c>
      <c r="N1031" s="636">
        <f>N1030/(D1030+E1030+G1030+H1030+I1030+J1030+L1030+M1030+N1030)</f>
        <v>0.44136932973798765</v>
      </c>
      <c r="O1031" s="1503"/>
    </row>
    <row r="1032" spans="1:15" ht="12" customHeight="1">
      <c r="A1032" s="1517"/>
      <c r="B1032" s="1502" t="s">
        <v>14940</v>
      </c>
      <c r="C1032" s="638" t="s">
        <v>6218</v>
      </c>
      <c r="D1032" s="639">
        <v>76376</v>
      </c>
      <c r="E1032" s="639">
        <v>29558</v>
      </c>
      <c r="F1032" s="640">
        <f t="shared" si="32"/>
        <v>105934</v>
      </c>
      <c r="G1032" s="639">
        <v>108322</v>
      </c>
      <c r="H1032" s="639">
        <v>12683</v>
      </c>
      <c r="I1032" s="639"/>
      <c r="J1032" s="639"/>
      <c r="K1032" s="640">
        <f t="shared" si="33"/>
        <v>121005</v>
      </c>
      <c r="L1032" s="639">
        <v>23054</v>
      </c>
      <c r="M1032" s="639"/>
      <c r="N1032" s="639">
        <v>183260</v>
      </c>
      <c r="O1032" s="1503">
        <f>1-N1033</f>
        <v>0.57701389257546976</v>
      </c>
    </row>
    <row r="1033" spans="1:15" ht="12" customHeight="1" thickBot="1">
      <c r="A1033" s="1519"/>
      <c r="B1033" s="1514"/>
      <c r="C1033" s="641" t="s">
        <v>6219</v>
      </c>
      <c r="D1033" s="642">
        <f>D1032/(D1032+E1032+G1032+H1032+I1032+J1032+L1032+M1032+N1032)</f>
        <v>0.17628498821704638</v>
      </c>
      <c r="E1033" s="642">
        <f>E1032/(D1032+E1032+G1032+H1032+I1032+J1032+L1032+M1032+N1032)</f>
        <v>6.8223416802653411E-2</v>
      </c>
      <c r="F1033" s="643">
        <f t="shared" si="32"/>
        <v>0.24450840501969978</v>
      </c>
      <c r="G1033" s="642">
        <f>G1032/(D1032+E1032+G1032+H1032+I1032+J1032+L1032+M1032+N1032)</f>
        <v>0.25002019605172959</v>
      </c>
      <c r="H1033" s="642">
        <f>H1032/(D1032+E1032+G1032+H1032+I1032+J1032+L1032+M1032+N1032)</f>
        <v>2.9273888467015809E-2</v>
      </c>
      <c r="I1033" s="642">
        <f>I1032/(D1032+E1032+G1032+H1032+I1032+J1032+L1032+M1032+N1032)</f>
        <v>0</v>
      </c>
      <c r="J1033" s="642">
        <f>J1032/(D1032+E1032+G1032+H1032+I1032+J1032+L1032+M1032+N1032)</f>
        <v>0</v>
      </c>
      <c r="K1033" s="643">
        <f t="shared" si="33"/>
        <v>0.27929408451874538</v>
      </c>
      <c r="L1033" s="642">
        <f>L1032/(D1032+E1032+G1032+H1032+I1032+J1032+L1032+M1032+N1032)</f>
        <v>5.3211403037024554E-2</v>
      </c>
      <c r="M1033" s="642">
        <f>M1032/(D1032+E1032+G1032+H1032+I1032+J1032+L1032+M1032+N1032)</f>
        <v>0</v>
      </c>
      <c r="N1033" s="642">
        <f>N1032/(D1032+E1032+G1032+H1032+I1032+J1032+L1032+M1032+N1032)</f>
        <v>0.42298610742453024</v>
      </c>
      <c r="O1033" s="1515"/>
    </row>
    <row r="1034" spans="1:15" ht="12" customHeight="1">
      <c r="A1034" s="1516" t="s">
        <v>15067</v>
      </c>
      <c r="B1034" s="1509" t="s">
        <v>14937</v>
      </c>
      <c r="C1034" s="647" t="s">
        <v>6218</v>
      </c>
      <c r="D1034" s="648">
        <v>64839</v>
      </c>
      <c r="E1034" s="648">
        <v>28407</v>
      </c>
      <c r="F1034" s="649">
        <f t="shared" si="32"/>
        <v>93246</v>
      </c>
      <c r="G1034" s="648">
        <v>111694</v>
      </c>
      <c r="H1034" s="648">
        <v>14720</v>
      </c>
      <c r="I1034" s="648">
        <v>4142</v>
      </c>
      <c r="J1034" s="648">
        <v>11966</v>
      </c>
      <c r="K1034" s="649">
        <f t="shared" si="33"/>
        <v>142522</v>
      </c>
      <c r="L1034" s="648">
        <v>23768</v>
      </c>
      <c r="M1034" s="648">
        <v>6751</v>
      </c>
      <c r="N1034" s="648">
        <v>187938</v>
      </c>
      <c r="O1034" s="1510">
        <f>1-N1035</f>
        <v>0.58624470251527327</v>
      </c>
    </row>
    <row r="1035" spans="1:15" ht="12" customHeight="1">
      <c r="A1035" s="1517"/>
      <c r="B1035" s="1502"/>
      <c r="C1035" s="635" t="s">
        <v>6219</v>
      </c>
      <c r="D1035" s="636">
        <f>D1034/(D1034+E1034+G1034+H1034+I1034+J1034+L1034+M1034+N1034)</f>
        <v>0.14274643623754746</v>
      </c>
      <c r="E1035" s="636">
        <f>E1034/(D1034+E1034+G1034+H1034+I1034+J1034+L1034+M1034+N1034)</f>
        <v>6.2539490340690188E-2</v>
      </c>
      <c r="F1035" s="637">
        <f t="shared" si="32"/>
        <v>0.20528592657823763</v>
      </c>
      <c r="G1035" s="636">
        <f>G1034/(D1034+E1034+G1034+H1034+I1034+J1034+L1034+M1034+N1034)</f>
        <v>0.24590015961252684</v>
      </c>
      <c r="H1035" s="636">
        <f>H1034/(D1034+E1034+G1034+H1034+I1034+J1034+L1034+M1034+N1034)</f>
        <v>3.2406846827013044E-2</v>
      </c>
      <c r="I1035" s="636">
        <f>I1034/(D1034+E1034+G1034+H1034+I1034+J1034+L1034+M1034+N1034)</f>
        <v>9.1188287742858722E-3</v>
      </c>
      <c r="J1035" s="636">
        <f>J1034/(D1034+E1034+G1034+H1034+I1034+J1034+L1034+M1034+N1034)</f>
        <v>2.6343772359513459E-2</v>
      </c>
      <c r="K1035" s="637">
        <f t="shared" si="33"/>
        <v>0.31376960757333922</v>
      </c>
      <c r="L1035" s="636">
        <f>L1034/(D1034+E1034+G1034+H1034+I1034+J1034+L1034+M1034+N1034)</f>
        <v>5.2326490175573781E-2</v>
      </c>
      <c r="M1035" s="636">
        <f>M1034/(D1034+E1034+G1034+H1034+I1034+J1034+L1034+M1034+N1034)</f>
        <v>1.4862678188122626E-2</v>
      </c>
      <c r="N1035" s="636">
        <f>N1034/(D1034+E1034+G1034+H1034+I1034+J1034+L1034+M1034+N1034)</f>
        <v>0.41375529748472673</v>
      </c>
      <c r="O1035" s="1503"/>
    </row>
    <row r="1036" spans="1:15" ht="12" customHeight="1">
      <c r="A1036" s="1517"/>
      <c r="B1036" s="1502" t="s">
        <v>14938</v>
      </c>
      <c r="C1036" s="638" t="s">
        <v>6218</v>
      </c>
      <c r="D1036" s="639">
        <v>114069</v>
      </c>
      <c r="E1036" s="639">
        <v>37649</v>
      </c>
      <c r="F1036" s="640">
        <f t="shared" si="32"/>
        <v>151718</v>
      </c>
      <c r="G1036" s="639">
        <v>93557</v>
      </c>
      <c r="H1036" s="639">
        <v>16774</v>
      </c>
      <c r="I1036" s="639"/>
      <c r="J1036" s="639">
        <v>12490</v>
      </c>
      <c r="K1036" s="640">
        <f t="shared" si="33"/>
        <v>122821</v>
      </c>
      <c r="L1036" s="639">
        <v>24455</v>
      </c>
      <c r="M1036" s="639"/>
      <c r="N1036" s="639">
        <v>147386</v>
      </c>
      <c r="O1036" s="1503">
        <f>1-N1037</f>
        <v>0.66981943635467545</v>
      </c>
    </row>
    <row r="1037" spans="1:15" ht="12" customHeight="1">
      <c r="A1037" s="1517"/>
      <c r="B1037" s="1502"/>
      <c r="C1037" s="635" t="s">
        <v>6219</v>
      </c>
      <c r="D1037" s="636">
        <f>D1036/(D1036+E1036+G1036+H1036+I1036+J1036+L1036+M1036+N1036)</f>
        <v>0.25554236300909539</v>
      </c>
      <c r="E1037" s="636">
        <f>E1036/(D1036+E1036+G1036+H1036+I1036+J1036+L1036+M1036+N1036)</f>
        <v>8.4342936511492453E-2</v>
      </c>
      <c r="F1037" s="637">
        <f t="shared" si="32"/>
        <v>0.33988529952058782</v>
      </c>
      <c r="G1037" s="636">
        <f>G1036/(D1036+E1036+G1036+H1036+I1036+J1036+L1036+M1036+N1036)</f>
        <v>0.20959048344459877</v>
      </c>
      <c r="H1037" s="636">
        <f>H1036/(D1036+E1036+G1036+H1036+I1036+J1036+L1036+M1036+N1036)</f>
        <v>3.7577848469913529E-2</v>
      </c>
      <c r="I1037" s="636">
        <f>I1036/(D1036+E1036+G1036+H1036+I1036+J1036+L1036+M1036+N1036)</f>
        <v>0</v>
      </c>
      <c r="J1037" s="636">
        <f>J1036/(D1036+E1036+G1036+H1036+I1036+J1036+L1036+M1036+N1036)</f>
        <v>2.7980644294099199E-2</v>
      </c>
      <c r="K1037" s="637">
        <f t="shared" si="33"/>
        <v>0.27514897620861151</v>
      </c>
      <c r="L1037" s="636">
        <f>L1036/(D1036+E1036+G1036+H1036+I1036+J1036+L1036+M1036+N1036)</f>
        <v>5.4785160625476052E-2</v>
      </c>
      <c r="M1037" s="636">
        <f>M1036/(D1036+E1036+G1036+H1036+I1036+J1036+L1036+M1036+N1036)</f>
        <v>0</v>
      </c>
      <c r="N1037" s="636">
        <f>N1036/(D1036+E1036+G1036+H1036+I1036+J1036+L1036+M1036+N1036)</f>
        <v>0.33018056364532461</v>
      </c>
      <c r="O1037" s="1503"/>
    </row>
    <row r="1038" spans="1:15" ht="12" customHeight="1">
      <c r="A1038" s="1517"/>
      <c r="B1038" s="1502" t="s">
        <v>14939</v>
      </c>
      <c r="C1038" s="638" t="s">
        <v>6218</v>
      </c>
      <c r="D1038" s="639">
        <v>63680</v>
      </c>
      <c r="E1038" s="639">
        <v>32186</v>
      </c>
      <c r="F1038" s="640">
        <f t="shared" si="32"/>
        <v>95866</v>
      </c>
      <c r="G1038" s="639">
        <v>103817</v>
      </c>
      <c r="H1038" s="639">
        <v>18010</v>
      </c>
      <c r="I1038" s="639"/>
      <c r="J1038" s="639"/>
      <c r="K1038" s="640">
        <f t="shared" si="33"/>
        <v>121827</v>
      </c>
      <c r="L1038" s="639">
        <v>22410</v>
      </c>
      <c r="M1038" s="639">
        <v>12884</v>
      </c>
      <c r="N1038" s="639">
        <v>187591</v>
      </c>
      <c r="O1038" s="1503">
        <f>1-N1039</f>
        <v>0.57421614333897741</v>
      </c>
    </row>
    <row r="1039" spans="1:15" ht="12" customHeight="1">
      <c r="A1039" s="1517"/>
      <c r="B1039" s="1502"/>
      <c r="C1039" s="635" t="s">
        <v>6219</v>
      </c>
      <c r="D1039" s="636">
        <f>D1038/(D1038+E1038+G1038+H1038+I1038+J1038+L1038+M1038+N1038)</f>
        <v>0.14453740313860428</v>
      </c>
      <c r="E1039" s="636">
        <f>E1038/(D1038+E1038+G1038+H1038+I1038+J1038+L1038+M1038+N1038)</f>
        <v>7.3054033564998705E-2</v>
      </c>
      <c r="F1039" s="637">
        <f t="shared" si="32"/>
        <v>0.21759143670360298</v>
      </c>
      <c r="G1039" s="636">
        <f>G1038/(D1038+E1038+G1038+H1038+I1038+J1038+L1038+M1038+N1038)</f>
        <v>0.23563818438505782</v>
      </c>
      <c r="H1039" s="636">
        <f>H1038/(D1038+E1038+G1038+H1038+I1038+J1038+L1038+M1038+N1038)</f>
        <v>4.0878119197962678E-2</v>
      </c>
      <c r="I1039" s="636">
        <f>I1038/(D1038+E1038+G1038+H1038+I1038+J1038+L1038+M1038+N1038)</f>
        <v>0</v>
      </c>
      <c r="J1039" s="636">
        <f>J1038/(D1038+E1038+G1038+H1038+I1038+J1038+L1038+M1038+N1038)</f>
        <v>0</v>
      </c>
      <c r="K1039" s="637">
        <f t="shared" si="33"/>
        <v>0.27651630358302048</v>
      </c>
      <c r="L1039" s="636">
        <f>L1038/(D1038+E1038+G1038+H1038+I1038+J1038+L1038+M1038+N1038)</f>
        <v>5.0865000068092373E-2</v>
      </c>
      <c r="M1039" s="636">
        <f>M1038/(D1038+E1038+G1038+H1038+I1038+J1038+L1038+M1038+N1038)</f>
        <v>2.9243402984261584E-2</v>
      </c>
      <c r="N1039" s="636">
        <f>N1038/(D1038+E1038+G1038+H1038+I1038+J1038+L1038+M1038+N1038)</f>
        <v>0.42578385666102259</v>
      </c>
      <c r="O1039" s="1503"/>
    </row>
    <row r="1040" spans="1:15" ht="12" customHeight="1">
      <c r="A1040" s="1517"/>
      <c r="B1040" s="1502" t="s">
        <v>14940</v>
      </c>
      <c r="C1040" s="638" t="s">
        <v>6218</v>
      </c>
      <c r="D1040" s="639">
        <v>83750</v>
      </c>
      <c r="E1040" s="639">
        <v>32872</v>
      </c>
      <c r="F1040" s="640">
        <f t="shared" si="32"/>
        <v>116622</v>
      </c>
      <c r="G1040" s="639">
        <v>109374</v>
      </c>
      <c r="H1040" s="639">
        <v>13526</v>
      </c>
      <c r="I1040" s="639"/>
      <c r="J1040" s="639"/>
      <c r="K1040" s="640">
        <f t="shared" si="33"/>
        <v>122900</v>
      </c>
      <c r="L1040" s="639">
        <v>22628</v>
      </c>
      <c r="M1040" s="639"/>
      <c r="N1040" s="639">
        <v>175719</v>
      </c>
      <c r="O1040" s="1503">
        <f>1-N1041</f>
        <v>0.59869504349474378</v>
      </c>
    </row>
    <row r="1041" spans="1:15" ht="12" customHeight="1" thickBot="1">
      <c r="A1041" s="1519"/>
      <c r="B1041" s="1514"/>
      <c r="C1041" s="641" t="s">
        <v>6219</v>
      </c>
      <c r="D1041" s="642">
        <f>D1040/(D1040+E1040+G1040+H1040+I1040+J1040+L1040+M1040+N1040)</f>
        <v>0.19126725116416096</v>
      </c>
      <c r="E1041" s="642">
        <f>E1040/(D1040+E1040+G1040+H1040+I1040+J1040+L1040+M1040+N1040)</f>
        <v>7.5072681555442375E-2</v>
      </c>
      <c r="F1041" s="643">
        <f t="shared" si="32"/>
        <v>0.26633993271960332</v>
      </c>
      <c r="G1041" s="642">
        <f>G1040/(D1040+E1040+G1040+H1040+I1040+J1040+L1040+M1040+N1040)</f>
        <v>0.24978703676213662</v>
      </c>
      <c r="H1041" s="642">
        <f>H1040/(D1040+E1040+G1040+H1040+I1040+J1040+L1040+M1040+N1040)</f>
        <v>3.0890517483539597E-2</v>
      </c>
      <c r="I1041" s="642">
        <f>I1040/(D1040+E1040+G1040+H1040+I1040+J1040+L1040+M1040+N1040)</f>
        <v>0</v>
      </c>
      <c r="J1041" s="642">
        <f>J1040/(D1040+E1040+G1040+H1040+I1040+J1040+L1040+M1040+N1040)</f>
        <v>0</v>
      </c>
      <c r="K1041" s="643">
        <f t="shared" si="33"/>
        <v>0.2806775542456762</v>
      </c>
      <c r="L1041" s="642">
        <f>L1040/(D1040+E1040+G1040+H1040+I1040+J1040+L1040+M1040+N1040)</f>
        <v>5.1677556529464291E-2</v>
      </c>
      <c r="M1041" s="642">
        <f>M1040/(D1040+E1040+G1040+H1040+I1040+J1040+L1040+M1040+N1040)</f>
        <v>0</v>
      </c>
      <c r="N1041" s="642">
        <f>N1040/(D1040+E1040+G1040+H1040+I1040+J1040+L1040+M1040+N1040)</f>
        <v>0.40130495650525616</v>
      </c>
      <c r="O1041" s="1515"/>
    </row>
    <row r="1042" spans="1:15" ht="12" customHeight="1">
      <c r="A1042" s="1516" t="s">
        <v>15068</v>
      </c>
      <c r="B1042" s="1509" t="s">
        <v>14937</v>
      </c>
      <c r="C1042" s="647" t="s">
        <v>6218</v>
      </c>
      <c r="D1042" s="648">
        <v>58110</v>
      </c>
      <c r="E1042" s="648">
        <v>41262</v>
      </c>
      <c r="F1042" s="649">
        <f t="shared" si="32"/>
        <v>99372</v>
      </c>
      <c r="G1042" s="648">
        <v>100779</v>
      </c>
      <c r="H1042" s="648">
        <v>11952</v>
      </c>
      <c r="I1042" s="648">
        <v>4028</v>
      </c>
      <c r="J1042" s="648">
        <v>9798</v>
      </c>
      <c r="K1042" s="649">
        <f t="shared" si="33"/>
        <v>126557</v>
      </c>
      <c r="L1042" s="648">
        <v>23032</v>
      </c>
      <c r="M1042" s="648">
        <v>5880</v>
      </c>
      <c r="N1042" s="648">
        <v>185847</v>
      </c>
      <c r="O1042" s="1510">
        <f>1-N1043</f>
        <v>0.57827987147369564</v>
      </c>
    </row>
    <row r="1043" spans="1:15" ht="12" customHeight="1">
      <c r="A1043" s="1517"/>
      <c r="B1043" s="1502"/>
      <c r="C1043" s="635" t="s">
        <v>6219</v>
      </c>
      <c r="D1043" s="636">
        <f>D1042/(D1042+E1042+G1042+H1042+I1042+J1042+L1042+M1042+N1042)</f>
        <v>0.13186199760374687</v>
      </c>
      <c r="E1043" s="636">
        <f>E1042/(D1042+E1042+G1042+H1042+I1042+J1042+L1042+M1042+N1042)</f>
        <v>9.3630868097157177E-2</v>
      </c>
      <c r="F1043" s="637">
        <f t="shared" si="32"/>
        <v>0.22549286570090404</v>
      </c>
      <c r="G1043" s="636">
        <f>G1042/(D1042+E1042+G1042+H1042+I1042+J1042+L1042+M1042+N1042)</f>
        <v>0.22868560069709182</v>
      </c>
      <c r="H1043" s="636">
        <f>H1042/(D1042+E1042+G1042+H1042+I1042+J1042+L1042+M1042+N1042)</f>
        <v>2.712122862433286E-2</v>
      </c>
      <c r="I1043" s="636">
        <f>I1042/(D1042+E1042+G1042+H1042+I1042+J1042+L1042+M1042+N1042)</f>
        <v>9.140253421922085E-3</v>
      </c>
      <c r="J1043" s="636">
        <f>J1042/(D1042+E1042+G1042+H1042+I1042+J1042+L1042+M1042+N1042)</f>
        <v>2.2233416839124279E-2</v>
      </c>
      <c r="K1043" s="637">
        <f t="shared" si="33"/>
        <v>0.28718049958247105</v>
      </c>
      <c r="L1043" s="636">
        <f>L1042/(D1042+E1042+G1042+H1042+I1042+J1042+L1042+M1042+N1042)</f>
        <v>5.2263733071923904E-2</v>
      </c>
      <c r="M1043" s="636">
        <f>M1042/(D1042+E1042+G1042+H1042+I1042+J1042+L1042+M1042+N1042)</f>
        <v>1.3342773118396689E-2</v>
      </c>
      <c r="N1043" s="636">
        <f>N1042/(D1042+E1042+G1042+H1042+I1042+J1042+L1042+M1042+N1042)</f>
        <v>0.42172012852630431</v>
      </c>
      <c r="O1043" s="1503"/>
    </row>
    <row r="1044" spans="1:15" ht="12" customHeight="1">
      <c r="A1044" s="1517"/>
      <c r="B1044" s="1502" t="s">
        <v>14938</v>
      </c>
      <c r="C1044" s="638" t="s">
        <v>6218</v>
      </c>
      <c r="D1044" s="639">
        <v>103392</v>
      </c>
      <c r="E1044" s="639">
        <v>48153</v>
      </c>
      <c r="F1044" s="640">
        <f t="shared" si="32"/>
        <v>151545</v>
      </c>
      <c r="G1044" s="639">
        <v>84299</v>
      </c>
      <c r="H1044" s="639">
        <v>13953</v>
      </c>
      <c r="I1044" s="639"/>
      <c r="J1044" s="639">
        <v>11456</v>
      </c>
      <c r="K1044" s="640">
        <f t="shared" si="33"/>
        <v>109708</v>
      </c>
      <c r="L1044" s="639">
        <v>24453</v>
      </c>
      <c r="M1044" s="639"/>
      <c r="N1044" s="639">
        <v>148945</v>
      </c>
      <c r="O1044" s="1503">
        <f>1-N1045</f>
        <v>0.65732277160296415</v>
      </c>
    </row>
    <row r="1045" spans="1:15" ht="12" customHeight="1">
      <c r="A1045" s="1517"/>
      <c r="B1045" s="1502"/>
      <c r="C1045" s="635" t="s">
        <v>6219</v>
      </c>
      <c r="D1045" s="636">
        <f>D1044/(D1044+E1044+G1044+H1044+I1044+J1044+L1044+M1044+N1044)</f>
        <v>0.23787360434003374</v>
      </c>
      <c r="E1045" s="636">
        <f>E1044/(D1044+E1044+G1044+H1044+I1044+J1044+L1044+M1044+N1044)</f>
        <v>0.11078543475109916</v>
      </c>
      <c r="F1045" s="637">
        <f t="shared" si="32"/>
        <v>0.34865903909113288</v>
      </c>
      <c r="G1045" s="636">
        <f>G1044/(D1044+E1044+G1044+H1044+I1044+J1044+L1044+M1044+N1044)</f>
        <v>0.19394640757757373</v>
      </c>
      <c r="H1045" s="636">
        <f>H1044/(D1044+E1044+G1044+H1044+I1044+J1044+L1044+M1044+N1044)</f>
        <v>3.2101617159514186E-2</v>
      </c>
      <c r="I1045" s="636">
        <f>I1044/(D1044+E1044+G1044+H1044+I1044+J1044+L1044+M1044+N1044)</f>
        <v>0</v>
      </c>
      <c r="J1045" s="636">
        <f>J1044/(D1044+E1044+G1044+H1044+I1044+J1044+L1044+M1044+N1044)</f>
        <v>2.6356778196760158E-2</v>
      </c>
      <c r="K1045" s="637">
        <f t="shared" si="33"/>
        <v>0.25240480293384804</v>
      </c>
      <c r="L1045" s="636">
        <f>L1044/(D1044+E1044+G1044+H1044+I1044+J1044+L1044+M1044+N1044)</f>
        <v>5.6258929577983258E-2</v>
      </c>
      <c r="M1045" s="636">
        <f>M1044/(D1044+E1044+G1044+H1044+I1044+J1044+L1044+M1044+N1044)</f>
        <v>0</v>
      </c>
      <c r="N1045" s="636">
        <f>N1044/(D1044+E1044+G1044+H1044+I1044+J1044+L1044+M1044+N1044)</f>
        <v>0.34267722839703579</v>
      </c>
      <c r="O1045" s="1503"/>
    </row>
    <row r="1046" spans="1:15" ht="12" customHeight="1">
      <c r="A1046" s="1517"/>
      <c r="B1046" s="1502" t="s">
        <v>14939</v>
      </c>
      <c r="C1046" s="638" t="s">
        <v>6218</v>
      </c>
      <c r="D1046" s="639">
        <v>54522</v>
      </c>
      <c r="E1046" s="639">
        <v>44983</v>
      </c>
      <c r="F1046" s="640">
        <f t="shared" si="32"/>
        <v>99505</v>
      </c>
      <c r="G1046" s="639">
        <v>90978</v>
      </c>
      <c r="H1046" s="639">
        <v>14352</v>
      </c>
      <c r="I1046" s="639"/>
      <c r="J1046" s="639"/>
      <c r="K1046" s="640">
        <f t="shared" si="33"/>
        <v>105330</v>
      </c>
      <c r="L1046" s="639">
        <v>20854</v>
      </c>
      <c r="M1046" s="639">
        <v>9528</v>
      </c>
      <c r="N1046" s="639">
        <v>193698</v>
      </c>
      <c r="O1046" s="1503">
        <f>1-N1047</f>
        <v>0.54840003264049986</v>
      </c>
    </row>
    <row r="1047" spans="1:15" ht="12" customHeight="1">
      <c r="A1047" s="1517"/>
      <c r="B1047" s="1502"/>
      <c r="C1047" s="635" t="s">
        <v>6219</v>
      </c>
      <c r="D1047" s="636">
        <f>D1046/(D1046+E1046+G1046+H1046+I1046+J1046+L1046+M1046+N1046)</f>
        <v>0.12711609526363032</v>
      </c>
      <c r="E1047" s="636">
        <f>E1046/(D1046+E1046+G1046+H1046+I1046+J1046+L1046+M1046+N1046)</f>
        <v>0.10487625753354395</v>
      </c>
      <c r="F1047" s="637">
        <f t="shared" si="32"/>
        <v>0.23199235279717428</v>
      </c>
      <c r="G1047" s="636">
        <f>G1046/(D1046+E1046+G1046+H1046+I1046+J1046+L1046+M1046+N1046)</f>
        <v>0.21211195691454018</v>
      </c>
      <c r="H1047" s="636">
        <f>H1046/(D1046+E1046+G1046+H1046+I1046+J1046+L1046+M1046+N1046)</f>
        <v>3.34611752911416E-2</v>
      </c>
      <c r="I1047" s="636">
        <f>I1046/(D1046+E1046+G1046+H1046+I1046+J1046+L1046+M1046+N1046)</f>
        <v>0</v>
      </c>
      <c r="J1047" s="636">
        <f>J1046/(D1046+E1046+G1046+H1046+I1046+J1046+L1046+M1046+N1046)</f>
        <v>0</v>
      </c>
      <c r="K1047" s="637">
        <f t="shared" si="33"/>
        <v>0.24557313220568178</v>
      </c>
      <c r="L1047" s="636">
        <f>L1046/(D1046+E1046+G1046+H1046+I1046+J1046+L1046+M1046+N1046)</f>
        <v>4.8620356014594968E-2</v>
      </c>
      <c r="M1047" s="636">
        <f>M1046/(D1046+E1046+G1046+H1046+I1046+J1046+L1046+M1046+N1046)</f>
        <v>2.2214191623048857E-2</v>
      </c>
      <c r="N1047" s="636">
        <f>N1046/(D1046+E1046+G1046+H1046+I1046+J1046+L1046+M1046+N1046)</f>
        <v>0.45159996735950014</v>
      </c>
      <c r="O1047" s="1503"/>
    </row>
    <row r="1048" spans="1:15" ht="12" customHeight="1">
      <c r="A1048" s="1517"/>
      <c r="B1048" s="1502" t="s">
        <v>14940</v>
      </c>
      <c r="C1048" s="638" t="s">
        <v>6218</v>
      </c>
      <c r="D1048" s="639">
        <v>73804</v>
      </c>
      <c r="E1048" s="639">
        <v>45866</v>
      </c>
      <c r="F1048" s="640">
        <f t="shared" si="32"/>
        <v>119670</v>
      </c>
      <c r="G1048" s="639">
        <v>97698</v>
      </c>
      <c r="H1048" s="639">
        <v>11297</v>
      </c>
      <c r="I1048" s="639"/>
      <c r="J1048" s="639"/>
      <c r="K1048" s="640">
        <f t="shared" si="33"/>
        <v>108995</v>
      </c>
      <c r="L1048" s="639">
        <v>21048</v>
      </c>
      <c r="M1048" s="639"/>
      <c r="N1048" s="639">
        <v>176102</v>
      </c>
      <c r="O1048" s="1503">
        <f>1-N1049</f>
        <v>0.58643542383429426</v>
      </c>
    </row>
    <row r="1049" spans="1:15" ht="12" customHeight="1" thickBot="1">
      <c r="A1049" s="1519"/>
      <c r="B1049" s="1514"/>
      <c r="C1049" s="641" t="s">
        <v>6219</v>
      </c>
      <c r="D1049" s="642">
        <f>D1048/(D1048+E1048+G1048+H1048+I1048+J1048+L1048+M1048+N1048)</f>
        <v>0.17332409614503952</v>
      </c>
      <c r="E1049" s="642">
        <f>E1048/(D1048+E1048+G1048+H1048+I1048+J1048+L1048+M1048+N1048)</f>
        <v>0.10771344363162406</v>
      </c>
      <c r="F1049" s="643">
        <f t="shared" si="32"/>
        <v>0.28103753977666357</v>
      </c>
      <c r="G1049" s="642">
        <f>G1048/(D1048+E1048+G1048+H1048+I1048+J1048+L1048+M1048+N1048)</f>
        <v>0.22943766659229947</v>
      </c>
      <c r="H1049" s="642">
        <f>H1048/(D1048+E1048+G1048+H1048+I1048+J1048+L1048+M1048+N1048)</f>
        <v>2.6530300717447719E-2</v>
      </c>
      <c r="I1049" s="642">
        <f>I1048/(D1048+E1048+G1048+H1048+I1048+J1048+L1048+M1048+N1048)</f>
        <v>0</v>
      </c>
      <c r="J1049" s="642">
        <f>J1048/(D1048+E1048+G1048+H1048+I1048+J1048+L1048+M1048+N1048)</f>
        <v>0</v>
      </c>
      <c r="K1049" s="643">
        <f t="shared" si="33"/>
        <v>0.25596796730974719</v>
      </c>
      <c r="L1049" s="642">
        <f>L1048/(D1048+E1048+G1048+H1048+I1048+J1048+L1048+M1048+N1048)</f>
        <v>4.9429916747883468E-2</v>
      </c>
      <c r="M1049" s="642">
        <f>M1048/(D1048+E1048+G1048+H1048+I1048+J1048+L1048+M1048+N1048)</f>
        <v>0</v>
      </c>
      <c r="N1049" s="642">
        <f>N1048/(D1048+E1048+G1048+H1048+I1048+J1048+L1048+M1048+N1048)</f>
        <v>0.41356457616570574</v>
      </c>
      <c r="O1049" s="1515"/>
    </row>
    <row r="1050" spans="1:15" ht="12" customHeight="1">
      <c r="A1050" s="1516" t="s">
        <v>15069</v>
      </c>
      <c r="B1050" s="1509" t="s">
        <v>14937</v>
      </c>
      <c r="C1050" s="647" t="s">
        <v>6218</v>
      </c>
      <c r="D1050" s="648">
        <v>48595</v>
      </c>
      <c r="E1050" s="648">
        <v>25434</v>
      </c>
      <c r="F1050" s="649">
        <f t="shared" si="32"/>
        <v>74029</v>
      </c>
      <c r="G1050" s="648">
        <v>69195</v>
      </c>
      <c r="H1050" s="648">
        <v>7721</v>
      </c>
      <c r="I1050" s="648">
        <v>2921</v>
      </c>
      <c r="J1050" s="648">
        <v>6020</v>
      </c>
      <c r="K1050" s="649">
        <f t="shared" si="33"/>
        <v>85857</v>
      </c>
      <c r="L1050" s="648">
        <v>14963</v>
      </c>
      <c r="M1050" s="648">
        <v>3789</v>
      </c>
      <c r="N1050" s="648">
        <v>139756</v>
      </c>
      <c r="O1050" s="1510">
        <f>1-N1051</f>
        <v>0.56105956770542154</v>
      </c>
    </row>
    <row r="1051" spans="1:15" ht="12" customHeight="1">
      <c r="A1051" s="1517"/>
      <c r="B1051" s="1502"/>
      <c r="C1051" s="635" t="s">
        <v>6219</v>
      </c>
      <c r="D1051" s="636">
        <f>D1050/(D1050+E1050+G1050+H1050+I1050+J1050+L1050+M1050+N1050)</f>
        <v>0.15262536354328285</v>
      </c>
      <c r="E1051" s="636">
        <f>E1050/(D1050+E1050+G1050+H1050+I1050+J1050+L1050+M1050+N1050)</f>
        <v>7.9882158583390386E-2</v>
      </c>
      <c r="F1051" s="637">
        <f t="shared" si="32"/>
        <v>0.23250752212667325</v>
      </c>
      <c r="G1051" s="636">
        <f>G1050/(D1050+E1050+G1050+H1050+I1050+J1050+L1050+M1050+N1050)</f>
        <v>0.21732507522126673</v>
      </c>
      <c r="H1051" s="636">
        <f>H1050/(D1050+E1050+G1050+H1050+I1050+J1050+L1050+M1050+N1050)</f>
        <v>2.4249828828432695E-2</v>
      </c>
      <c r="I1051" s="636">
        <f>I1050/(D1050+E1050+G1050+H1050+I1050+J1050+L1050+M1050+N1050)</f>
        <v>9.1741678549218889E-3</v>
      </c>
      <c r="J1051" s="636">
        <f>J1050/(D1050+E1050+G1050+H1050+I1050+J1050+L1050+M1050+N1050)</f>
        <v>1.8907391470944803E-2</v>
      </c>
      <c r="K1051" s="637">
        <f t="shared" si="33"/>
        <v>0.26965646337556609</v>
      </c>
      <c r="L1051" s="636">
        <f>L1050/(D1050+E1050+G1050+H1050+I1050+J1050+L1050+M1050+N1050)</f>
        <v>4.6995232322217126E-2</v>
      </c>
      <c r="M1051" s="636">
        <f>M1050/(D1050+E1050+G1050+H1050+I1050+J1050+L1050+M1050+N1050)</f>
        <v>1.1900349880965094E-2</v>
      </c>
      <c r="N1051" s="636">
        <f>N1050/(D1050+E1050+G1050+H1050+I1050+J1050+L1050+M1050+N1050)</f>
        <v>0.43894043229457841</v>
      </c>
      <c r="O1051" s="1503"/>
    </row>
    <row r="1052" spans="1:15" ht="12" customHeight="1">
      <c r="A1052" s="1517"/>
      <c r="B1052" s="1502" t="s">
        <v>14938</v>
      </c>
      <c r="C1052" s="638" t="s">
        <v>6218</v>
      </c>
      <c r="D1052" s="639">
        <v>79767</v>
      </c>
      <c r="E1052" s="639">
        <v>28541</v>
      </c>
      <c r="F1052" s="640">
        <f t="shared" si="32"/>
        <v>108308</v>
      </c>
      <c r="G1052" s="639">
        <v>58623</v>
      </c>
      <c r="H1052" s="639">
        <v>8929</v>
      </c>
      <c r="I1052" s="639"/>
      <c r="J1052" s="639">
        <v>7775</v>
      </c>
      <c r="K1052" s="640">
        <f t="shared" si="33"/>
        <v>75327</v>
      </c>
      <c r="L1052" s="639">
        <v>15756</v>
      </c>
      <c r="M1052" s="639"/>
      <c r="N1052" s="639">
        <v>117825</v>
      </c>
      <c r="O1052" s="1503">
        <f>1-N1053</f>
        <v>0.62856539392716637</v>
      </c>
    </row>
    <row r="1053" spans="1:15" ht="12" customHeight="1">
      <c r="A1053" s="1517"/>
      <c r="B1053" s="1502"/>
      <c r="C1053" s="635" t="s">
        <v>6219</v>
      </c>
      <c r="D1053" s="636">
        <f>D1052/(D1052+E1052+G1052+H1052+I1052+J1052+L1052+M1052+N1052)</f>
        <v>0.25145957328760216</v>
      </c>
      <c r="E1053" s="636">
        <f>E1052/(D1052+E1052+G1052+H1052+I1052+J1052+L1052+M1052+N1052)</f>
        <v>8.9973393523655812E-2</v>
      </c>
      <c r="F1053" s="637">
        <f t="shared" si="32"/>
        <v>0.34143296681125795</v>
      </c>
      <c r="G1053" s="636">
        <f>G1052/(D1052+E1052+G1052+H1052+I1052+J1052+L1052+M1052+N1052)</f>
        <v>0.18480467567840209</v>
      </c>
      <c r="H1053" s="636">
        <f>H1052/(D1052+E1052+G1052+H1052+I1052+J1052+L1052+M1052+N1052)</f>
        <v>2.8148012710582065E-2</v>
      </c>
      <c r="I1053" s="636">
        <f>I1052/(D1052+E1052+G1052+H1052+I1052+J1052+L1052+M1052+N1052)</f>
        <v>0</v>
      </c>
      <c r="J1053" s="636">
        <f>J1052/(D1052+E1052+G1052+H1052+I1052+J1052+L1052+M1052+N1052)</f>
        <v>2.4510112982951679E-2</v>
      </c>
      <c r="K1053" s="637">
        <f t="shared" si="33"/>
        <v>0.23746280137193582</v>
      </c>
      <c r="L1053" s="636">
        <f>L1052/(D1052+E1052+G1052+H1052+I1052+J1052+L1052+M1052+N1052)</f>
        <v>4.9669625743972559E-2</v>
      </c>
      <c r="M1053" s="636">
        <f>M1052/(D1052+E1052+G1052+H1052+I1052+J1052+L1052+M1052+N1052)</f>
        <v>0</v>
      </c>
      <c r="N1053" s="636">
        <f>N1052/(D1052+E1052+G1052+H1052+I1052+J1052+L1052+M1052+N1052)</f>
        <v>0.37143460607283363</v>
      </c>
      <c r="O1053" s="1503"/>
    </row>
    <row r="1054" spans="1:15" ht="12" customHeight="1">
      <c r="A1054" s="1517"/>
      <c r="B1054" s="1502" t="s">
        <v>14939</v>
      </c>
      <c r="C1054" s="638" t="s">
        <v>6218</v>
      </c>
      <c r="D1054" s="639">
        <v>47011</v>
      </c>
      <c r="E1054" s="639">
        <v>29036</v>
      </c>
      <c r="F1054" s="640">
        <f t="shared" si="32"/>
        <v>76047</v>
      </c>
      <c r="G1054" s="639">
        <v>60858</v>
      </c>
      <c r="H1054" s="639">
        <v>9644</v>
      </c>
      <c r="I1054" s="639"/>
      <c r="J1054" s="639"/>
      <c r="K1054" s="640">
        <f t="shared" si="33"/>
        <v>70502</v>
      </c>
      <c r="L1054" s="639">
        <v>13497</v>
      </c>
      <c r="M1054" s="639">
        <v>6428</v>
      </c>
      <c r="N1054" s="639">
        <v>149514</v>
      </c>
      <c r="O1054" s="1503">
        <f>1-N1055</f>
        <v>0.52683646214413205</v>
      </c>
    </row>
    <row r="1055" spans="1:15" ht="12" customHeight="1">
      <c r="A1055" s="1517"/>
      <c r="B1055" s="1502"/>
      <c r="C1055" s="635" t="s">
        <v>6219</v>
      </c>
      <c r="D1055" s="636">
        <f>D1054/(D1054+E1054+G1054+H1054+I1054+J1054+L1054+M1054+N1054)</f>
        <v>0.1487746370115321</v>
      </c>
      <c r="E1055" s="636">
        <f>E1054/(D1054+E1054+G1054+H1054+I1054+J1054+L1054+M1054+N1054)</f>
        <v>9.1889565426535189E-2</v>
      </c>
      <c r="F1055" s="637">
        <f t="shared" si="32"/>
        <v>0.2406642024380673</v>
      </c>
      <c r="G1055" s="636">
        <f>G1054/(D1054+E1054+G1054+H1054+I1054+J1054+L1054+M1054+N1054)</f>
        <v>0.19259592136410245</v>
      </c>
      <c r="H1055" s="636">
        <f>H1054/(D1054+E1054+G1054+H1054+I1054+J1054+L1054+M1054+N1054)</f>
        <v>3.0520146334670938E-2</v>
      </c>
      <c r="I1055" s="636">
        <f>I1054/(D1054+E1054+G1054+H1054+I1054+J1054+L1054+M1054+N1054)</f>
        <v>0</v>
      </c>
      <c r="J1055" s="636">
        <f>J1054/(D1054+E1054+G1054+H1054+I1054+J1054+L1054+M1054+N1054)</f>
        <v>0</v>
      </c>
      <c r="K1055" s="637">
        <f t="shared" si="33"/>
        <v>0.22311606769877337</v>
      </c>
      <c r="L1055" s="636">
        <f>L1054/(D1054+E1054+G1054+H1054+I1054+J1054+L1054+M1054+N1054)</f>
        <v>4.2713647353696975E-2</v>
      </c>
      <c r="M1055" s="636">
        <f>M1054/(D1054+E1054+G1054+H1054+I1054+J1054+L1054+M1054+N1054)</f>
        <v>2.034254465359444E-2</v>
      </c>
      <c r="N1055" s="636">
        <f>N1054/(D1054+E1054+G1054+H1054+I1054+J1054+L1054+M1054+N1054)</f>
        <v>0.47316353785586795</v>
      </c>
      <c r="O1055" s="1503"/>
    </row>
    <row r="1056" spans="1:15" ht="12" customHeight="1">
      <c r="A1056" s="1517"/>
      <c r="B1056" s="1502" t="s">
        <v>14940</v>
      </c>
      <c r="C1056" s="638" t="s">
        <v>6218</v>
      </c>
      <c r="D1056" s="639">
        <v>61789</v>
      </c>
      <c r="E1056" s="639">
        <v>28338</v>
      </c>
      <c r="F1056" s="640">
        <f t="shared" si="32"/>
        <v>90127</v>
      </c>
      <c r="G1056" s="639">
        <v>63357</v>
      </c>
      <c r="H1056" s="639">
        <v>6959</v>
      </c>
      <c r="I1056" s="639"/>
      <c r="J1056" s="639"/>
      <c r="K1056" s="640">
        <f t="shared" si="33"/>
        <v>70316</v>
      </c>
      <c r="L1056" s="639">
        <v>13743</v>
      </c>
      <c r="M1056" s="639"/>
      <c r="N1056" s="639">
        <v>141514</v>
      </c>
      <c r="O1056" s="1503">
        <f>1-N1057</f>
        <v>0.55174532784288877</v>
      </c>
    </row>
    <row r="1057" spans="1:15" ht="12" customHeight="1" thickBot="1">
      <c r="A1057" s="1518"/>
      <c r="B1057" s="1504"/>
      <c r="C1057" s="644" t="s">
        <v>6219</v>
      </c>
      <c r="D1057" s="645">
        <f>D1056/(D1056+E1056+G1056+H1056+I1056+J1056+L1056+M1056+N1056)</f>
        <v>0.19572062084257205</v>
      </c>
      <c r="E1057" s="645">
        <f>E1056/(D1056+E1056+G1056+H1056+I1056+J1056+L1056+M1056+N1056)</f>
        <v>8.9762432689261956E-2</v>
      </c>
      <c r="F1057" s="646">
        <f t="shared" si="32"/>
        <v>0.28548305353183401</v>
      </c>
      <c r="G1057" s="645">
        <f>G1056/(D1056+E1056+G1056+H1056+I1056+J1056+L1056+M1056+N1056)</f>
        <v>0.20068736141906873</v>
      </c>
      <c r="H1057" s="645">
        <f>H1056/(D1056+E1056+G1056+H1056+I1056+J1056+L1056+M1056+N1056)</f>
        <v>2.2043078872347164E-2</v>
      </c>
      <c r="I1057" s="645">
        <f>I1056/(D1056+E1056+G1056+H1056+I1056+J1056+L1056+M1056+N1056)</f>
        <v>0</v>
      </c>
      <c r="J1057" s="645">
        <f>J1056/(D1056+E1056+G1056+H1056+I1056+J1056+L1056+M1056+N1056)</f>
        <v>0</v>
      </c>
      <c r="K1057" s="646">
        <f t="shared" si="33"/>
        <v>0.22273044029141589</v>
      </c>
      <c r="L1057" s="645">
        <f>L1056/(D1056+E1056+G1056+H1056+I1056+J1056+L1056+M1056+N1056)</f>
        <v>4.35318340196389E-2</v>
      </c>
      <c r="M1057" s="645">
        <f>M1056/(D1056+E1056+G1056+H1056+I1056+J1056+L1056+M1056+N1056)</f>
        <v>0</v>
      </c>
      <c r="N1057" s="645">
        <f>N1056/(D1056+E1056+G1056+H1056+I1056+J1056+L1056+M1056+N1056)</f>
        <v>0.44825467215711118</v>
      </c>
      <c r="O1057" s="1505"/>
    </row>
    <row r="1058" spans="1:15" ht="12" customHeight="1" thickTop="1">
      <c r="A1058" s="1511" t="s">
        <v>15070</v>
      </c>
      <c r="B1058" s="1509" t="s">
        <v>14937</v>
      </c>
      <c r="C1058" s="647" t="s">
        <v>6218</v>
      </c>
      <c r="D1058" s="648">
        <f>D858+D866+D874+D882+D890+D898+D906+D914+D922+D930+D938+D946+D954+D962+D970+D978+D986+D994+D1002+D1010+D1018+D1026+D1034+D1042+D1050</f>
        <v>1539785</v>
      </c>
      <c r="E1058" s="648">
        <f>E858+E866+E874+E882+E890+E898+E906+E914+E922+E930+E938+E946+E954+E962+E970+E978+E986+E994+E1002+E1010+E1018+E1026+E1034+E1042+E1050</f>
        <v>718178</v>
      </c>
      <c r="F1058" s="649">
        <f t="shared" si="32"/>
        <v>2257963</v>
      </c>
      <c r="G1058" s="648">
        <f>G858+G866+G874+G882+G890+G898+G906+G914+G922+G930+G938+G946+G954+G962+G970+G978+G986+G994+G1002+G1010+G1018+G1026+G1034+G1042+G1050</f>
        <v>2296528</v>
      </c>
      <c r="H1058" s="648">
        <f>H858+H866+H874+H882+H890+H898+H906+H914+H922+H930+H938+H946+H954+H962+H970+H978+H986+H994+H1002+H1010+H1018+H1026+H1034+H1042+H1050</f>
        <v>256017</v>
      </c>
      <c r="I1058" s="648">
        <f>I858+I866+I874+I882+I890+I898+I906+I914+I922+I930+I938+I946+I954+I962+I970+I978+I986+I994+I1002+I1010+I1018+I1026+I1034+I1042+I1050</f>
        <v>111231</v>
      </c>
      <c r="J1058" s="648">
        <f>J858+J866+J874+J882+J890+J898+J906+J914+J922+J930+J938+J946+J954+J962+J970+J978+J986+J994+J1002+J1010+J1018+J1026+J1034+J1042+J1050</f>
        <v>276339</v>
      </c>
      <c r="K1058" s="649">
        <f t="shared" si="33"/>
        <v>2940115</v>
      </c>
      <c r="L1058" s="648">
        <f>L858+L866+L874+L882+L890+L898+L906+L914+L922+L930+L938+L946+L954+L962+L970+L978+L986+L994+L1002+L1010+L1018+L1026+L1034+L1042+L1050</f>
        <v>554589</v>
      </c>
      <c r="M1058" s="648">
        <f>M858+M866+M874+M882+M890+M898+M906+M914+M922+M930+M938+M946+M954+M962+M970+M978+M986+M994+M1002+M1010+M1018+M1026+M1034+M1042+M1050</f>
        <v>153944</v>
      </c>
      <c r="N1058" s="648">
        <f>N858+N866+N874+N882+N890+N898+N906+N914+N922+N930+N938+N946+N954+N962+N970+N978+N986+N994+N1002+N1010+N1018+N1026+N1034+N1042+N1050</f>
        <v>4530945</v>
      </c>
      <c r="O1058" s="1510">
        <f>1-N1059</f>
        <v>0.56589981409441059</v>
      </c>
    </row>
    <row r="1059" spans="1:15" ht="12" customHeight="1">
      <c r="A1059" s="1512"/>
      <c r="B1059" s="1502"/>
      <c r="C1059" s="635" t="s">
        <v>6219</v>
      </c>
      <c r="D1059" s="650">
        <f>D1058/(D1058+E1058+G1058+H1058+I1058+J1058+L1058+M1058+N1058)</f>
        <v>0.14752351987380954</v>
      </c>
      <c r="E1059" s="650">
        <f>E1058/(D1058+E1058+G1058+H1058+I1058+J1058+L1058+M1058+N1058)</f>
        <v>6.8807103885239029E-2</v>
      </c>
      <c r="F1059" s="651">
        <f t="shared" si="32"/>
        <v>0.21633062375904857</v>
      </c>
      <c r="G1059" s="650">
        <f>G1058/(D1058+E1058+G1058+H1058+I1058+J1058+L1058+M1058+N1058)</f>
        <v>0.22002545423468867</v>
      </c>
      <c r="H1059" s="650">
        <f>H1058/(D1058+E1058+G1058+H1058+I1058+J1058+L1058+M1058+N1058)</f>
        <v>2.4528443248591911E-2</v>
      </c>
      <c r="I1059" s="650">
        <f>I1058/(D1058+E1058+G1058+H1058+I1058+J1058+L1058+M1058+N1058)</f>
        <v>1.0656805098818152E-2</v>
      </c>
      <c r="J1059" s="650">
        <f>J1058/(D1058+E1058+G1058+H1058+I1058+J1058+L1058+M1058+N1058)</f>
        <v>2.6475450766443791E-2</v>
      </c>
      <c r="K1059" s="651">
        <f t="shared" si="33"/>
        <v>0.28168615334854252</v>
      </c>
      <c r="L1059" s="650">
        <f>L1058/(D1058+E1058+G1058+H1058+I1058+J1058+L1058+M1058+N1058)</f>
        <v>5.3133990370925914E-2</v>
      </c>
      <c r="M1059" s="650">
        <f>M1058/(D1058+E1058+G1058+H1058+I1058+J1058+L1058+M1058+N1058)</f>
        <v>1.4749046615893605E-2</v>
      </c>
      <c r="N1059" s="650">
        <f>N1058/(D1058+E1058+G1058+H1058+I1058+J1058+L1058+M1058+N1058)</f>
        <v>0.43410018590558941</v>
      </c>
      <c r="O1059" s="1503"/>
    </row>
    <row r="1060" spans="1:15" ht="12" customHeight="1">
      <c r="A1060" s="1512"/>
      <c r="B1060" s="1502" t="s">
        <v>14938</v>
      </c>
      <c r="C1060" s="638" t="s">
        <v>6218</v>
      </c>
      <c r="D1060" s="648">
        <f>D860+D868+D876+D884+D892+D900+D908+D916+D924+D932+D940+D948+D956+D964+D972+D980+D988+D996+D1004+D1012+D1020+D1028+D1036+D1044+D1052</f>
        <v>2665417</v>
      </c>
      <c r="E1060" s="648">
        <f>E860+E868+E876+E884+E892+E900+E908+E916+E924+E932+E940+E948+E956+E964+E972+E980+E988+E996+E1004+E1012+E1020+E1028+E1036+E1044+E1052</f>
        <v>820126</v>
      </c>
      <c r="F1060" s="652">
        <f t="shared" si="32"/>
        <v>3485543</v>
      </c>
      <c r="G1060" s="648">
        <f>G860+G868+G876+G884+G892+G900+G908+G916+G924+G932+G940+G948+G956+G964+G972+G980+G988+G996+G1004+G1012+G1020+G1028+G1036+G1044+G1052</f>
        <v>1962225</v>
      </c>
      <c r="H1060" s="648">
        <f>H860+H868+H876+H884+H892+H900+H908+H916+H924+H932+H940+H948+H956+H964+H972+H980+H988+H996+H1004+H1012+H1020+H1028+H1036+H1044+H1052</f>
        <v>300782</v>
      </c>
      <c r="I1060" s="648">
        <f>I860+I868+I876+I884+I892+I900+I908+I916+I924+I932+I940+I948+I956+I964+I972+I980+I988+I996+I1004+I1012+I1020+I1028+I1036+I1044+I1052</f>
        <v>0</v>
      </c>
      <c r="J1060" s="648">
        <f>J860+J868+J876+J884+J892+J900+J908+J916+J924+J932+J940+J948+J956+J964+J972+J980+J988+J996+J1004+J1012+J1020+J1028+J1036+J1044+J1052</f>
        <v>290027</v>
      </c>
      <c r="K1060" s="652">
        <f t="shared" si="33"/>
        <v>2553034</v>
      </c>
      <c r="L1060" s="648">
        <f>L860+L868+L876+L884+L892+L900+L908+L916+L924+L932+L940+L948+L956+L964+L972+L980+L988+L996+L1004+L1012+L1020+L1028+L1036+L1044+L1052</f>
        <v>586017</v>
      </c>
      <c r="M1060" s="648">
        <f>M860+M868+M876+M884+M892+M900+M908+M916+M924+M932+M940+M948+M956+M964+M972+M980+M988+M996+M1004+M1012+M1020+M1028+M1036+M1044+M1052</f>
        <v>0</v>
      </c>
      <c r="N1060" s="648">
        <f>N860+N868+N876+N884+N892+N900+N908+N916+N924+N932+N940+N948+N956+N964+N972+N980+N988+N996+N1004+N1012+N1020+N1028+N1036+N1044+N1052</f>
        <v>3636349</v>
      </c>
      <c r="O1060" s="1503">
        <f>1-N1061</f>
        <v>0.64561259135734406</v>
      </c>
    </row>
    <row r="1061" spans="1:15" ht="12" customHeight="1">
      <c r="A1061" s="1512"/>
      <c r="B1061" s="1502"/>
      <c r="C1061" s="635" t="s">
        <v>6219</v>
      </c>
      <c r="D1061" s="650">
        <f>D1060/(D1060+E1060+G1060+H1060+I1060+J1060+L1060+M1060+N1060)</f>
        <v>0.25976335703258463</v>
      </c>
      <c r="E1061" s="650">
        <f>E1060/(D1060+E1060+G1060+H1060+I1060+J1060+L1060+M1060+N1060)</f>
        <v>7.9926961878649949E-2</v>
      </c>
      <c r="F1061" s="651">
        <f t="shared" si="32"/>
        <v>0.33969031891123458</v>
      </c>
      <c r="G1061" s="650">
        <f>G1060/(D1060+E1060+G1060+H1060+I1060+J1060+L1060+M1060+N1060)</f>
        <v>0.19123242376456043</v>
      </c>
      <c r="H1061" s="650">
        <f>H1060/(D1060+E1060+G1060+H1060+I1060+J1060+L1060+M1060+N1060)</f>
        <v>2.9313290211240819E-2</v>
      </c>
      <c r="I1061" s="650">
        <f>I1060/(D1060+E1060+G1060+H1060+I1060+J1060+L1060+M1060+N1060)</f>
        <v>0</v>
      </c>
      <c r="J1061" s="650">
        <f>J1060/(D1060+E1060+G1060+H1060+I1060+J1060+L1060+M1060+N1060)</f>
        <v>2.8265140932953237E-2</v>
      </c>
      <c r="K1061" s="651">
        <f t="shared" si="33"/>
        <v>0.24881085490875449</v>
      </c>
      <c r="L1061" s="650">
        <f>L1060/(D1060+E1060+G1060+H1060+I1060+J1060+L1060+M1060+N1060)</f>
        <v>5.7111417537354998E-2</v>
      </c>
      <c r="M1061" s="650">
        <f>M1060/(D1060+E1060+G1060+H1060+I1060+J1060+L1060+M1060+N1060)</f>
        <v>0</v>
      </c>
      <c r="N1061" s="650">
        <f>N1060/(D1060+E1060+G1060+H1060+I1060+J1060+L1060+M1060+N1060)</f>
        <v>0.35438740864265594</v>
      </c>
      <c r="O1061" s="1503"/>
    </row>
    <row r="1062" spans="1:15" ht="12" customHeight="1">
      <c r="A1062" s="1512"/>
      <c r="B1062" s="1502" t="s">
        <v>14939</v>
      </c>
      <c r="C1062" s="638" t="s">
        <v>6218</v>
      </c>
      <c r="D1062" s="648">
        <f>D862+D870+D878+D886+D894+D902+D910+D918+D926+D934+D942+D950+D958+D966+D974+D982+D990+D998+D1006+D1014+D1022+D1030+D1038+D1046+D1054</f>
        <v>1463526</v>
      </c>
      <c r="E1062" s="648">
        <f>E862+E870+E878+E886+E894+E902+E910+E918+E926+E934+E942+E950+E958+E966+E974+E982+E990+E998+E1006+E1014+E1022+E1030+E1038+E1046+E1054</f>
        <v>816518</v>
      </c>
      <c r="F1062" s="652">
        <f t="shared" si="32"/>
        <v>2280044</v>
      </c>
      <c r="G1062" s="648">
        <f>G862+G870+G878+G886+G894+G902+G910+G918+G926+G934+G942+G950+G958+G966+G974+G982+G990+G998+G1006+G1014+G1022+G1030+G1038+G1046+G1054</f>
        <v>2146670</v>
      </c>
      <c r="H1062" s="648">
        <f>H862+H870+H878+H886+H894+H902+H910+H918+H926+H934+H942+H950+H958+H966+H974+H982+H990+H998+H1006+H1014+H1022+H1030+H1038+H1046+H1054</f>
        <v>316441</v>
      </c>
      <c r="I1062" s="648">
        <f>I862+I870+I878+I886+I894+I902+I910+I918+I926+I934+I942+I950+I958+I966+I974+I982+I990+I998+I1006+I1014+I1022+I1030+I1038+I1046+I1054</f>
        <v>0</v>
      </c>
      <c r="J1062" s="648">
        <f>J862+J870+J878+J886+J894+J902+J910+J918+J926+J934+J942+J950+J958+J966+J974+J982+J990+J998+J1006+J1014+J1022+J1030+J1038+J1046+J1054</f>
        <v>0</v>
      </c>
      <c r="K1062" s="652">
        <f t="shared" si="33"/>
        <v>2463111</v>
      </c>
      <c r="L1062" s="648">
        <f>L862+L870+L878+L886+L894+L902+L910+L918+L926+L934+L942+L950+L958+L966+L974+L982+L990+L998+L1006+L1014+L1022+L1030+L1038+L1046+L1054</f>
        <v>519492</v>
      </c>
      <c r="M1062" s="648">
        <f>M862+M870+M878+M886+M894+M902+M910+M918+M926+M934+M942+M950+M958+M966+M974+M982+M990+M998+M1006+M1014+M1022+M1030+M1038+M1046+M1054</f>
        <v>260650</v>
      </c>
      <c r="N1062" s="648">
        <f>N862+N870+N878+N886+N894+N902+N910+N918+N926+N934+N942+N950+N958+N966+N974+N982+N990+N998+N1006+N1014+N1022+N1030+N1038+N1046+N1054</f>
        <v>4590127</v>
      </c>
      <c r="O1062" s="1503">
        <f>1-N1063</f>
        <v>0.54613521592687109</v>
      </c>
    </row>
    <row r="1063" spans="1:15" ht="12" customHeight="1">
      <c r="A1063" s="1512"/>
      <c r="B1063" s="1502"/>
      <c r="C1063" s="635" t="s">
        <v>6219</v>
      </c>
      <c r="D1063" s="650">
        <f>D1062/(D1062+E1062+G1062+H1062+I1062+J1062+L1062+M1062+N1062)</f>
        <v>0.14471122737462605</v>
      </c>
      <c r="E1063" s="650">
        <f>E1062/(D1062+E1062+G1062+H1062+I1062+J1062+L1062+M1062+N1062)</f>
        <v>8.0736059320760209E-2</v>
      </c>
      <c r="F1063" s="651">
        <f t="shared" si="32"/>
        <v>0.22544728669538627</v>
      </c>
      <c r="G1063" s="650">
        <f>G1062/(D1062+E1062+G1062+H1062+I1062+J1062+L1062+M1062+N1062)</f>
        <v>0.21225946820779984</v>
      </c>
      <c r="H1063" s="650">
        <f>H1062/(D1062+E1062+G1062+H1062+I1062+J1062+L1062+M1062+N1062)</f>
        <v>3.1289205317605588E-2</v>
      </c>
      <c r="I1063" s="650">
        <f>I1062/(D1062+E1062+G1062+H1062+I1062+J1062+L1062+M1062+N1062)</f>
        <v>0</v>
      </c>
      <c r="J1063" s="650">
        <f>J1062/(D1062+E1062+G1062+H1062+I1062+J1062+L1062+M1062+N1062)</f>
        <v>0</v>
      </c>
      <c r="K1063" s="651">
        <f t="shared" si="33"/>
        <v>0.24354867352540543</v>
      </c>
      <c r="L1063" s="650">
        <f>L1062/(D1062+E1062+G1062+H1062+I1062+J1062+L1062+M1062+N1062)</f>
        <v>5.1366579706338823E-2</v>
      </c>
      <c r="M1063" s="650">
        <f>M1062/(D1062+E1062+G1062+H1062+I1062+J1062+L1062+M1062+N1062)</f>
        <v>2.5772675999740542E-2</v>
      </c>
      <c r="N1063" s="650">
        <f>N1062/(D1062+E1062+G1062+H1062+I1062+J1062+L1062+M1062+N1062)</f>
        <v>0.45386478407312897</v>
      </c>
      <c r="O1063" s="1503"/>
    </row>
    <row r="1064" spans="1:15" ht="12" customHeight="1">
      <c r="A1064" s="1512"/>
      <c r="B1064" s="1502" t="s">
        <v>14940</v>
      </c>
      <c r="C1064" s="638" t="s">
        <v>6218</v>
      </c>
      <c r="D1064" s="648">
        <f>D864+D872+D880+D888+D896+D904+D912+D920+D928+D936+D944+D952+D960+D968+D976+D984+D992+D1000+D1008+D1016+D1024+D1032+D1040+D1048+D1056</f>
        <v>1867544</v>
      </c>
      <c r="E1064" s="648">
        <f>E864+E872+E880+E888+E896+E904+E912+E920+E928+E936+E944+E952+E960+E968+E976+E984+E992+E1000+E1008+E1016+E1024+E1032+E1040+E1048+E1056</f>
        <v>805640</v>
      </c>
      <c r="F1064" s="652">
        <f t="shared" si="32"/>
        <v>2673184</v>
      </c>
      <c r="G1064" s="648">
        <f>G864+G872+G880+G888+G896+G904+G912+G920+G928+G936+G944+G952+G960+G968+G976+G984+G992+G1000+G1008+G1016+G1024+G1032+G1040+G1048+G1056</f>
        <v>2291124</v>
      </c>
      <c r="H1064" s="648">
        <f>H864+H872+H880+H888+H896+H904+H912+H920+H928+H936+H944+H952+H960+H968+H976+H984+H992+H1000+H1008+H1016+H1024+H1032+H1040+H1048+H1056</f>
        <v>247103</v>
      </c>
      <c r="I1064" s="648">
        <f>I864+I872+I880+I888+I896+I904+I912+I920+I928+I936+I944+I952+I960+I968+I976+I984+I992+I1000+I1008+I1016+I1024+I1032+I1040+I1048+I1056</f>
        <v>0</v>
      </c>
      <c r="J1064" s="648">
        <f>J864+J872+J880+J888+J896+J904+J912+J920+J928+J936+J944+J952+J960+J968+J976+J984+J992+J1000+J1008+J1016+J1024+J1032+J1040+J1048+J1056</f>
        <v>0</v>
      </c>
      <c r="K1064" s="652">
        <f t="shared" si="33"/>
        <v>2538227</v>
      </c>
      <c r="L1064" s="648">
        <f>L864+L872+L880+L888+L896+L904+L912+L920+L928+L936+L944+L952+L960+L968+L976+L984+L992+L1000+L1008+L1016+L1024+L1032+L1040+L1048+L1056</f>
        <v>532376</v>
      </c>
      <c r="M1064" s="648">
        <f>M864+M872+M880+M888+M896+M904+M912+M920+M928+M936+M944+M952+M960+M968+M976+M984+M992+M1000+M1008+M1016+M1024+M1032+M1040+M1048+M1056</f>
        <v>0</v>
      </c>
      <c r="N1064" s="648">
        <f>N864+N872+N880+N888+N896+N904+N912+N920+N928+N936+N944+N952+N960+N968+N976+N984+N992+N1000+N1008+N1016+N1024+N1032+N1040+N1048+N1056</f>
        <v>4346796</v>
      </c>
      <c r="O1064" s="1503">
        <f>1-N1065</f>
        <v>0.56922251172206795</v>
      </c>
    </row>
    <row r="1065" spans="1:15" ht="12" customHeight="1" thickBot="1">
      <c r="A1065" s="1513"/>
      <c r="B1065" s="1504"/>
      <c r="C1065" s="644" t="s">
        <v>6219</v>
      </c>
      <c r="D1065" s="645">
        <f>D1064/(D1064+E1064+G1064+H1064+I1064+J1064+L1064+M1064+N1064)</f>
        <v>0.18507790877890801</v>
      </c>
      <c r="E1065" s="645">
        <f>E1064/(D1064+E1064+G1064+H1064+I1064+J1064+L1064+M1064+N1064)</f>
        <v>7.9840778278123276E-2</v>
      </c>
      <c r="F1065" s="646">
        <f t="shared" si="32"/>
        <v>0.26491868705703125</v>
      </c>
      <c r="G1065" s="645">
        <f>G1064/(D1064+E1064+G1064+H1064+I1064+J1064+L1064+M1064+N1064)</f>
        <v>0.22705566169962627</v>
      </c>
      <c r="H1065" s="645">
        <f>H1064/(D1064+E1064+G1064+H1064+I1064+J1064+L1064+M1064+N1064)</f>
        <v>2.4488476037509428E-2</v>
      </c>
      <c r="I1065" s="645">
        <f>I1064/(D1064+E1064+G1064+H1064+I1064+J1064+L1064+M1064+N1064)</f>
        <v>0</v>
      </c>
      <c r="J1065" s="645">
        <f>J1064/(D1064+E1064+G1064+H1064+I1064+J1064+L1064+M1064+N1064)</f>
        <v>0</v>
      </c>
      <c r="K1065" s="646">
        <f t="shared" si="33"/>
        <v>0.25154413773713569</v>
      </c>
      <c r="L1065" s="645">
        <f>L1064/(D1064+E1064+G1064+H1064+I1064+J1064+L1064+M1064+N1064)</f>
        <v>5.2759686927900992E-2</v>
      </c>
      <c r="M1065" s="645">
        <f>M1064/(D1064+E1064+G1064+H1064+I1064+J1064+L1064+M1064+N1064)</f>
        <v>0</v>
      </c>
      <c r="N1065" s="645">
        <f>N1064/(D1064+E1064+G1064+H1064+I1064+J1064+L1064+M1064+N1064)</f>
        <v>0.430777488277932</v>
      </c>
      <c r="O1065" s="1505"/>
    </row>
    <row r="1066" spans="1:15" ht="12" customHeight="1" thickTop="1">
      <c r="A1066" s="1526" t="s">
        <v>15071</v>
      </c>
      <c r="B1066" s="1509" t="s">
        <v>14937</v>
      </c>
      <c r="C1066" s="647" t="s">
        <v>6218</v>
      </c>
      <c r="D1066" s="648">
        <v>61903</v>
      </c>
      <c r="E1066" s="648">
        <v>21125</v>
      </c>
      <c r="F1066" s="649">
        <f t="shared" si="32"/>
        <v>83028</v>
      </c>
      <c r="G1066" s="648">
        <v>109191</v>
      </c>
      <c r="H1066" s="648">
        <v>14927</v>
      </c>
      <c r="I1066" s="648">
        <v>3344</v>
      </c>
      <c r="J1066" s="648">
        <v>8655</v>
      </c>
      <c r="K1066" s="649">
        <f t="shared" si="33"/>
        <v>136117</v>
      </c>
      <c r="L1066" s="648">
        <v>17195</v>
      </c>
      <c r="M1066" s="648">
        <v>5295</v>
      </c>
      <c r="N1066" s="648">
        <v>183733</v>
      </c>
      <c r="O1066" s="1510">
        <f>1-N1067</f>
        <v>0.56806106712305582</v>
      </c>
    </row>
    <row r="1067" spans="1:15" ht="12" customHeight="1">
      <c r="A1067" s="1527"/>
      <c r="B1067" s="1502"/>
      <c r="C1067" s="635" t="s">
        <v>6219</v>
      </c>
      <c r="D1067" s="636">
        <f>D1066/(D1066+E1066+G1066+H1066+I1066+J1066+L1066+M1066+N1066)</f>
        <v>0.14552810742698088</v>
      </c>
      <c r="E1067" s="636">
        <f>E1066/(D1066+E1066+G1066+H1066+I1066+J1066+L1066+M1066+N1066)</f>
        <v>4.9662880141430478E-2</v>
      </c>
      <c r="F1067" s="637">
        <f t="shared" si="32"/>
        <v>0.19519098756841136</v>
      </c>
      <c r="G1067" s="636">
        <f>G1066/(D1066+E1066+G1066+H1066+I1066+J1066+L1066+M1066+N1066)</f>
        <v>0.25669772996558277</v>
      </c>
      <c r="H1067" s="636">
        <f>H1066/(D1066+E1066+G1066+H1066+I1066+J1066+L1066+M1066+N1066)</f>
        <v>3.5091967425852438E-2</v>
      </c>
      <c r="I1067" s="636">
        <f>I1066/(D1066+E1066+G1066+H1066+I1066+J1066+L1066+M1066+N1066)</f>
        <v>7.8614282221511726E-3</v>
      </c>
      <c r="J1067" s="636">
        <f>J1066/(D1066+E1066+G1066+H1066+I1066+J1066+L1066+M1066+N1066)</f>
        <v>2.0347087698181339E-2</v>
      </c>
      <c r="K1067" s="637">
        <f t="shared" si="33"/>
        <v>0.31999821331176775</v>
      </c>
      <c r="L1067" s="636">
        <f>L1066/(D1066+E1066+G1066+H1066+I1066+J1066+L1066+M1066+N1066)</f>
        <v>4.0423821255947789E-2</v>
      </c>
      <c r="M1067" s="636">
        <f>M1066/(D1066+E1066+G1066+H1066+I1066+J1066+L1066+M1066+N1066)</f>
        <v>1.2448044986928966E-2</v>
      </c>
      <c r="N1067" s="636">
        <f>N1066/(D1066+E1066+G1066+H1066+I1066+J1066+L1066+M1066+N1066)</f>
        <v>0.43193893287694418</v>
      </c>
      <c r="O1067" s="1503"/>
    </row>
    <row r="1068" spans="1:15" ht="12" customHeight="1">
      <c r="A1068" s="1527"/>
      <c r="B1068" s="1502" t="s">
        <v>14938</v>
      </c>
      <c r="C1068" s="638" t="s">
        <v>6218</v>
      </c>
      <c r="D1068" s="639">
        <v>94555</v>
      </c>
      <c r="E1068" s="639">
        <v>25798</v>
      </c>
      <c r="F1068" s="640">
        <f t="shared" si="32"/>
        <v>120353</v>
      </c>
      <c r="G1068" s="639">
        <v>101049</v>
      </c>
      <c r="H1068" s="639">
        <v>18652</v>
      </c>
      <c r="I1068" s="639">
        <v>14368</v>
      </c>
      <c r="J1068" s="639"/>
      <c r="K1068" s="640">
        <f t="shared" si="33"/>
        <v>134069</v>
      </c>
      <c r="L1068" s="639">
        <v>20639</v>
      </c>
      <c r="M1068" s="639"/>
      <c r="N1068" s="639">
        <v>146859</v>
      </c>
      <c r="O1068" s="1503">
        <f>1-N1069</f>
        <v>0.65192690557451649</v>
      </c>
    </row>
    <row r="1069" spans="1:15" ht="12" customHeight="1">
      <c r="A1069" s="1527"/>
      <c r="B1069" s="1502"/>
      <c r="C1069" s="635" t="s">
        <v>6219</v>
      </c>
      <c r="D1069" s="636">
        <f>D1068/(D1068+E1068+G1068+H1068+I1068+J1068+L1068+M1068+N1068)</f>
        <v>0.22410646568069775</v>
      </c>
      <c r="E1069" s="636">
        <f>E1068/(D1068+E1068+G1068+H1068+I1068+J1068+L1068+M1068+N1068)</f>
        <v>6.1144292756920744E-2</v>
      </c>
      <c r="F1069" s="637">
        <f t="shared" si="32"/>
        <v>0.28525075843761849</v>
      </c>
      <c r="G1069" s="636">
        <f>G1068/(D1068+E1068+G1068+H1068+I1068+J1068+L1068+M1068+N1068)</f>
        <v>0.23949800910125144</v>
      </c>
      <c r="H1069" s="636">
        <f>H1068/(D1068+E1068+G1068+H1068+I1068+J1068+L1068+M1068+N1068)</f>
        <v>4.4207432688661355E-2</v>
      </c>
      <c r="I1069" s="636">
        <f>I1068/(D1068+E1068+G1068+H1068+I1068+J1068+L1068+M1068+N1068)</f>
        <v>3.4053849070913918E-2</v>
      </c>
      <c r="J1069" s="636">
        <f>J1068/(D1068+E1068+G1068+H1068+I1068+J1068+L1068+M1068+N1068)</f>
        <v>0</v>
      </c>
      <c r="K1069" s="637">
        <f t="shared" si="33"/>
        <v>0.31775929086082672</v>
      </c>
      <c r="L1069" s="636">
        <f>L1068/(D1068+E1068+G1068+H1068+I1068+J1068+L1068+M1068+N1068)</f>
        <v>4.8916856276071292E-2</v>
      </c>
      <c r="M1069" s="636">
        <f>M1068/(D1068+E1068+G1068+H1068+I1068+J1068+L1068+M1068+N1068)</f>
        <v>0</v>
      </c>
      <c r="N1069" s="636">
        <f>N1068/(D1068+E1068+G1068+H1068+I1068+J1068+L1068+M1068+N1068)</f>
        <v>0.34807309442548351</v>
      </c>
      <c r="O1069" s="1503"/>
    </row>
    <row r="1070" spans="1:15" ht="12" customHeight="1">
      <c r="A1070" s="1527"/>
      <c r="B1070" s="1502" t="s">
        <v>14939</v>
      </c>
      <c r="C1070" s="638" t="s">
        <v>6218</v>
      </c>
      <c r="D1070" s="639">
        <v>59472</v>
      </c>
      <c r="E1070" s="639">
        <v>26224</v>
      </c>
      <c r="F1070" s="640">
        <f t="shared" si="32"/>
        <v>85696</v>
      </c>
      <c r="G1070" s="639">
        <v>96854</v>
      </c>
      <c r="H1070" s="639">
        <v>15935</v>
      </c>
      <c r="I1070" s="639"/>
      <c r="J1070" s="639"/>
      <c r="K1070" s="640">
        <f t="shared" si="33"/>
        <v>112789</v>
      </c>
      <c r="L1070" s="639">
        <v>18631</v>
      </c>
      <c r="M1070" s="639">
        <v>9386</v>
      </c>
      <c r="N1070" s="639">
        <v>194036</v>
      </c>
      <c r="O1070" s="1503">
        <f>1-N1071</f>
        <v>0.53860055452777156</v>
      </c>
    </row>
    <row r="1071" spans="1:15" ht="12" customHeight="1">
      <c r="A1071" s="1527"/>
      <c r="B1071" s="1502"/>
      <c r="C1071" s="635" t="s">
        <v>6219</v>
      </c>
      <c r="D1071" s="636">
        <f>D1070/(D1070+E1070+G1070+H1070+I1070+J1070+L1070+M1070+N1070)</f>
        <v>0.14141884918842054</v>
      </c>
      <c r="E1071" s="636">
        <f>E1070/(D1070+E1070+G1070+H1070+I1070+J1070+L1070+M1070+N1070)</f>
        <v>6.2358217331132976E-2</v>
      </c>
      <c r="F1071" s="637">
        <f t="shared" si="32"/>
        <v>0.20377706651955352</v>
      </c>
      <c r="G1071" s="636">
        <f>G1070/(D1070+E1070+G1070+H1070+I1070+J1070+L1070+M1070+N1070)</f>
        <v>0.23030974608715502</v>
      </c>
      <c r="H1071" s="636">
        <f>H1070/(D1070+E1070+G1070+H1070+I1070+J1070+L1070+M1070+N1070)</f>
        <v>3.7891938421735966E-2</v>
      </c>
      <c r="I1071" s="636">
        <f>I1070/(D1070+E1070+G1070+H1070+I1070+J1070+L1070+M1070+N1070)</f>
        <v>0</v>
      </c>
      <c r="J1071" s="636">
        <f>J1070/(D1070+E1070+G1070+H1070+I1070+J1070+L1070+M1070+N1070)</f>
        <v>0</v>
      </c>
      <c r="K1071" s="637">
        <f t="shared" si="33"/>
        <v>0.26820168450889098</v>
      </c>
      <c r="L1071" s="636">
        <f>L1070/(D1070+E1070+G1070+H1070+I1070+J1070+L1070+M1070+N1070)</f>
        <v>4.430277406560168E-2</v>
      </c>
      <c r="M1071" s="636">
        <f>M1070/(D1070+E1070+G1070+H1070+I1070+J1070+L1070+M1070+N1070)</f>
        <v>2.2319029433725372E-2</v>
      </c>
      <c r="N1071" s="636">
        <f>N1070/(D1070+E1070+G1070+H1070+I1070+J1070+L1070+M1070+N1070)</f>
        <v>0.46139944547222844</v>
      </c>
      <c r="O1071" s="1503"/>
    </row>
    <row r="1072" spans="1:15" ht="12" customHeight="1">
      <c r="A1072" s="1527"/>
      <c r="B1072" s="1502" t="s">
        <v>14940</v>
      </c>
      <c r="C1072" s="638" t="s">
        <v>6218</v>
      </c>
      <c r="D1072" s="639">
        <v>70958</v>
      </c>
      <c r="E1072" s="639">
        <v>23635</v>
      </c>
      <c r="F1072" s="640">
        <f t="shared" si="32"/>
        <v>94593</v>
      </c>
      <c r="G1072" s="639">
        <v>102599</v>
      </c>
      <c r="H1072" s="639">
        <v>15096</v>
      </c>
      <c r="I1072" s="639"/>
      <c r="J1072" s="639"/>
      <c r="K1072" s="640">
        <f t="shared" si="33"/>
        <v>117695</v>
      </c>
      <c r="L1072" s="639">
        <v>19738</v>
      </c>
      <c r="M1072" s="639"/>
      <c r="N1072" s="639">
        <v>186793</v>
      </c>
      <c r="O1072" s="1503">
        <f>1-N1073</f>
        <v>0.55400065422055822</v>
      </c>
    </row>
    <row r="1073" spans="1:15" ht="12" customHeight="1" thickBot="1">
      <c r="A1073" s="1528"/>
      <c r="B1073" s="1514"/>
      <c r="C1073" s="641" t="s">
        <v>6219</v>
      </c>
      <c r="D1073" s="642">
        <f>D1072/(D1072+E1072+G1072+H1072+I1072+J1072+L1072+M1072+N1072)</f>
        <v>0.16942402326542014</v>
      </c>
      <c r="E1073" s="642">
        <f>E1072/(D1072+E1072+G1072+H1072+I1072+J1072+L1072+M1072+N1072)</f>
        <v>5.6432492317683776E-2</v>
      </c>
      <c r="F1073" s="643">
        <f t="shared" si="32"/>
        <v>0.22585651558310391</v>
      </c>
      <c r="G1073" s="642">
        <f>G1072/(D1072+E1072+G1072+H1072+I1072+J1072+L1072+M1072+N1072)</f>
        <v>0.24497217174961022</v>
      </c>
      <c r="H1073" s="642">
        <f>H1072/(D1072+E1072+G1072+H1072+I1072+J1072+L1072+M1072+N1072)</f>
        <v>3.6044210028675874E-2</v>
      </c>
      <c r="I1073" s="642">
        <f>I1072/(D1072+E1072+G1072+H1072+I1072+J1072+L1072+M1072+N1072)</f>
        <v>0</v>
      </c>
      <c r="J1073" s="642">
        <f>J1072/(D1072+E1072+G1072+H1072+I1072+J1072+L1072+M1072+N1072)</f>
        <v>0</v>
      </c>
      <c r="K1073" s="643">
        <f t="shared" si="33"/>
        <v>0.28101638177828608</v>
      </c>
      <c r="L1073" s="642">
        <f>L1072/(D1072+E1072+G1072+H1072+I1072+J1072+L1072+M1072+N1072)</f>
        <v>4.7127756859168278E-2</v>
      </c>
      <c r="M1073" s="642">
        <f>M1072/(D1072+E1072+G1072+H1072+I1072+J1072+L1072+M1072+N1072)</f>
        <v>0</v>
      </c>
      <c r="N1073" s="642">
        <f>N1072/(D1072+E1072+G1072+H1072+I1072+J1072+L1072+M1072+N1072)</f>
        <v>0.44599934577944172</v>
      </c>
      <c r="O1073" s="1515"/>
    </row>
    <row r="1074" spans="1:15" ht="12" customHeight="1">
      <c r="A1074" s="1516" t="s">
        <v>15072</v>
      </c>
      <c r="B1074" s="1509" t="s">
        <v>14937</v>
      </c>
      <c r="C1074" s="647" t="s">
        <v>6218</v>
      </c>
      <c r="D1074" s="648">
        <v>59521</v>
      </c>
      <c r="E1074" s="648">
        <v>15157</v>
      </c>
      <c r="F1074" s="649">
        <f t="shared" si="32"/>
        <v>74678</v>
      </c>
      <c r="G1074" s="648">
        <v>86941</v>
      </c>
      <c r="H1074" s="648">
        <v>12878</v>
      </c>
      <c r="I1074" s="648">
        <v>4084</v>
      </c>
      <c r="J1074" s="648">
        <v>3857</v>
      </c>
      <c r="K1074" s="649">
        <f t="shared" si="33"/>
        <v>107760</v>
      </c>
      <c r="L1074" s="648">
        <v>9446</v>
      </c>
      <c r="M1074" s="648">
        <v>3954</v>
      </c>
      <c r="N1074" s="648">
        <v>124027</v>
      </c>
      <c r="O1074" s="1510">
        <f>1-N1075</f>
        <v>0.61225204383099119</v>
      </c>
    </row>
    <row r="1075" spans="1:15" ht="12" customHeight="1">
      <c r="A1075" s="1517"/>
      <c r="B1075" s="1502"/>
      <c r="C1075" s="635" t="s">
        <v>6219</v>
      </c>
      <c r="D1075" s="636">
        <f>D1074/(D1074+E1074+G1074+H1074+I1074+J1074+L1074+M1074+N1074)</f>
        <v>0.18608162818689133</v>
      </c>
      <c r="E1075" s="636">
        <f>E1074/(D1074+E1074+G1074+H1074+I1074+J1074+L1074+M1074+N1074)</f>
        <v>4.7385615806668439E-2</v>
      </c>
      <c r="F1075" s="637">
        <f t="shared" si="32"/>
        <v>0.23346724399355978</v>
      </c>
      <c r="G1075" s="636">
        <f>G1074/(D1074+E1074+G1074+H1074+I1074+J1074+L1074+M1074+N1074)</f>
        <v>0.27180529285792443</v>
      </c>
      <c r="H1075" s="636">
        <f>H1074/(D1074+E1074+G1074+H1074+I1074+J1074+L1074+M1074+N1074)</f>
        <v>4.0260734997577104E-2</v>
      </c>
      <c r="I1075" s="636">
        <f>I1074/(D1074+E1074+G1074+H1074+I1074+J1074+L1074+M1074+N1074)</f>
        <v>1.2767886452096979E-2</v>
      </c>
      <c r="J1075" s="636">
        <f>J1074/(D1074+E1074+G1074+H1074+I1074+J1074+L1074+M1074+N1074)</f>
        <v>1.2058212058212059E-2</v>
      </c>
      <c r="K1075" s="637">
        <f t="shared" si="33"/>
        <v>0.33689212636581056</v>
      </c>
      <c r="L1075" s="636">
        <f>L1074/(D1074+E1074+G1074+H1074+I1074+J1074+L1074+M1074+N1074)</f>
        <v>2.95312084785769E-2</v>
      </c>
      <c r="M1075" s="636">
        <f>M1074/(D1074+E1074+G1074+H1074+I1074+J1074+L1074+M1074+N1074)</f>
        <v>1.236146499304394E-2</v>
      </c>
      <c r="N1075" s="636">
        <f>N1074/(D1074+E1074+G1074+H1074+I1074+J1074+L1074+M1074+N1074)</f>
        <v>0.38774795616900881</v>
      </c>
      <c r="O1075" s="1503"/>
    </row>
    <row r="1076" spans="1:15" ht="12" customHeight="1">
      <c r="A1076" s="1517"/>
      <c r="B1076" s="1502" t="s">
        <v>14938</v>
      </c>
      <c r="C1076" s="638" t="s">
        <v>6218</v>
      </c>
      <c r="D1076" s="639">
        <v>81905</v>
      </c>
      <c r="E1076" s="639">
        <v>21414</v>
      </c>
      <c r="F1076" s="640">
        <f t="shared" si="32"/>
        <v>103319</v>
      </c>
      <c r="G1076" s="639">
        <v>83202</v>
      </c>
      <c r="H1076" s="639">
        <v>15525</v>
      </c>
      <c r="I1076" s="639">
        <v>13318</v>
      </c>
      <c r="J1076" s="639"/>
      <c r="K1076" s="640">
        <f t="shared" si="33"/>
        <v>112045</v>
      </c>
      <c r="L1076" s="639">
        <v>12949</v>
      </c>
      <c r="M1076" s="639"/>
      <c r="N1076" s="639">
        <v>92492</v>
      </c>
      <c r="O1076" s="1503">
        <f>1-N1077</f>
        <v>0.71168778541481581</v>
      </c>
    </row>
    <row r="1077" spans="1:15" ht="12" customHeight="1">
      <c r="A1077" s="1517"/>
      <c r="B1077" s="1502"/>
      <c r="C1077" s="635" t="s">
        <v>6219</v>
      </c>
      <c r="D1077" s="636">
        <f>D1076/(D1076+E1076+G1076+H1076+I1076+J1076+L1076+M1076+N1076)</f>
        <v>0.25531085862128083</v>
      </c>
      <c r="E1077" s="636">
        <f>E1076/(D1076+E1076+G1076+H1076+I1076+J1076+L1076+M1076+N1076)</f>
        <v>6.6750829943423573E-2</v>
      </c>
      <c r="F1077" s="637">
        <f t="shared" si="32"/>
        <v>0.32206168856470441</v>
      </c>
      <c r="G1077" s="636">
        <f>G1076/(D1076+E1076+G1076+H1076+I1076+J1076+L1076+M1076+N1076)</f>
        <v>0.25935381306401084</v>
      </c>
      <c r="H1077" s="636">
        <f>H1076/(D1076+E1076+G1076+H1076+I1076+J1076+L1076+M1076+N1076)</f>
        <v>4.8393884135222331E-2</v>
      </c>
      <c r="I1077" s="636">
        <f>I1076/(D1076+E1076+G1076+H1076+I1076+J1076+L1076+M1076+N1076)</f>
        <v>4.1514315549944669E-2</v>
      </c>
      <c r="J1077" s="636">
        <f>J1076/(D1076+E1076+G1076+H1076+I1076+J1076+L1076+M1076+N1076)</f>
        <v>0</v>
      </c>
      <c r="K1077" s="637">
        <f t="shared" si="33"/>
        <v>0.34926201274917784</v>
      </c>
      <c r="L1077" s="636">
        <f>L1076/(D1076+E1076+G1076+H1076+I1076+J1076+L1076+M1076+N1076)</f>
        <v>4.0364084100933589E-2</v>
      </c>
      <c r="M1077" s="636">
        <f>M1076/(D1076+E1076+G1076+H1076+I1076+J1076+L1076+M1076+N1076)</f>
        <v>0</v>
      </c>
      <c r="N1077" s="636">
        <f>N1076/(D1076+E1076+G1076+H1076+I1076+J1076+L1076+M1076+N1076)</f>
        <v>0.28831221458518413</v>
      </c>
      <c r="O1077" s="1503"/>
    </row>
    <row r="1078" spans="1:15" ht="12" customHeight="1">
      <c r="A1078" s="1517"/>
      <c r="B1078" s="1502" t="s">
        <v>14939</v>
      </c>
      <c r="C1078" s="638" t="s">
        <v>6218</v>
      </c>
      <c r="D1078" s="639">
        <v>71091</v>
      </c>
      <c r="E1078" s="639">
        <v>20625</v>
      </c>
      <c r="F1078" s="640">
        <f t="shared" si="32"/>
        <v>91716</v>
      </c>
      <c r="G1078" s="639">
        <v>80448</v>
      </c>
      <c r="H1078" s="639">
        <v>13782</v>
      </c>
      <c r="I1078" s="639"/>
      <c r="J1078" s="639"/>
      <c r="K1078" s="640">
        <f t="shared" si="33"/>
        <v>94230</v>
      </c>
      <c r="L1078" s="639">
        <v>11752</v>
      </c>
      <c r="M1078" s="639">
        <v>6402</v>
      </c>
      <c r="N1078" s="639">
        <v>117392</v>
      </c>
      <c r="O1078" s="1503">
        <f>1-N1079</f>
        <v>0.63485250021773476</v>
      </c>
    </row>
    <row r="1079" spans="1:15" ht="12" customHeight="1">
      <c r="A1079" s="1517"/>
      <c r="B1079" s="1502"/>
      <c r="C1079" s="635" t="s">
        <v>6219</v>
      </c>
      <c r="D1079" s="636">
        <f>D1078/(D1078+E1078+G1078+H1078+I1078+J1078+L1078+M1078+N1078)</f>
        <v>0.22112836400283678</v>
      </c>
      <c r="E1079" s="636">
        <f>E1078/(D1078+E1078+G1078+H1078+I1078+J1078+L1078+M1078+N1078)</f>
        <v>6.4154006942629987E-2</v>
      </c>
      <c r="F1079" s="637">
        <f t="shared" si="32"/>
        <v>0.28528237094546677</v>
      </c>
      <c r="G1079" s="636">
        <f>G1078/(D1078+E1078+G1078+H1078+I1078+J1078+L1078+M1078+N1078)</f>
        <v>0.25023328729797317</v>
      </c>
      <c r="H1079" s="636">
        <f>H1078/(D1078+E1078+G1078+H1078+I1078+J1078+L1078+M1078+N1078)</f>
        <v>4.286887387555522E-2</v>
      </c>
      <c r="I1079" s="636">
        <f>I1078/(D1078+E1078+G1078+H1078+I1078+J1078+L1078+M1078+N1078)</f>
        <v>0</v>
      </c>
      <c r="J1079" s="636">
        <f>J1078/(D1078+E1078+G1078+H1078+I1078+J1078+L1078+M1078+N1078)</f>
        <v>0</v>
      </c>
      <c r="K1079" s="637">
        <f t="shared" si="33"/>
        <v>0.29310216117352839</v>
      </c>
      <c r="L1079" s="636">
        <f>L1078/(D1078+E1078+G1078+H1078+I1078+J1078+L1078+M1078+N1078)</f>
        <v>3.6554564343747278E-2</v>
      </c>
      <c r="M1079" s="636">
        <f>M1078/(D1078+E1078+G1078+H1078+I1078+J1078+L1078+M1078+N1078)</f>
        <v>1.991340375499235E-2</v>
      </c>
      <c r="N1079" s="636">
        <f>N1078/(D1078+E1078+G1078+H1078+I1078+J1078+L1078+M1078+N1078)</f>
        <v>0.36514749978226518</v>
      </c>
      <c r="O1079" s="1503"/>
    </row>
    <row r="1080" spans="1:15" ht="12" customHeight="1">
      <c r="A1080" s="1517"/>
      <c r="B1080" s="1502" t="s">
        <v>14940</v>
      </c>
      <c r="C1080" s="638" t="s">
        <v>6218</v>
      </c>
      <c r="D1080" s="639">
        <v>82422</v>
      </c>
      <c r="E1080" s="639">
        <v>20224</v>
      </c>
      <c r="F1080" s="640">
        <f t="shared" si="32"/>
        <v>102646</v>
      </c>
      <c r="G1080" s="639">
        <v>79433</v>
      </c>
      <c r="H1080" s="639">
        <v>15424</v>
      </c>
      <c r="I1080" s="639"/>
      <c r="J1080" s="639"/>
      <c r="K1080" s="640">
        <f t="shared" si="33"/>
        <v>94857</v>
      </c>
      <c r="L1080" s="639">
        <v>13219</v>
      </c>
      <c r="M1080" s="639"/>
      <c r="N1080" s="639">
        <v>111012</v>
      </c>
      <c r="O1080" s="1503">
        <f>1-N1081</f>
        <v>0.65495720066887553</v>
      </c>
    </row>
    <row r="1081" spans="1:15" ht="12" customHeight="1" thickBot="1">
      <c r="A1081" s="1519"/>
      <c r="B1081" s="1514"/>
      <c r="C1081" s="641" t="s">
        <v>6219</v>
      </c>
      <c r="D1081" s="642">
        <f>D1080/(D1080+E1080+G1080+H1080+I1080+J1080+L1080+M1080+N1080)</f>
        <v>0.25618057152803247</v>
      </c>
      <c r="E1081" s="642">
        <f>E1080/(D1080+E1080+G1080+H1080+I1080+J1080+L1080+M1080+N1080)</f>
        <v>6.2859380730665701E-2</v>
      </c>
      <c r="F1081" s="643">
        <f t="shared" si="32"/>
        <v>0.31903995225869819</v>
      </c>
      <c r="G1081" s="642">
        <f>G1080/(D1080+E1080+G1080+H1080+I1080+J1080+L1080+M1080+N1080)</f>
        <v>0.24689028825054238</v>
      </c>
      <c r="H1081" s="642">
        <f>H1080/(D1080+E1080+G1080+H1080+I1080+J1080+L1080+M1080+N1080)</f>
        <v>4.7940223911678591E-2</v>
      </c>
      <c r="I1081" s="642">
        <f>I1080/(D1080+E1080+G1080+H1080+I1080+J1080+L1080+M1080+N1080)</f>
        <v>0</v>
      </c>
      <c r="J1081" s="642">
        <f>J1080/(D1080+E1080+G1080+H1080+I1080+J1080+L1080+M1080+N1080)</f>
        <v>0</v>
      </c>
      <c r="K1081" s="643">
        <f t="shared" si="33"/>
        <v>0.29483051216222095</v>
      </c>
      <c r="L1081" s="642">
        <f>L1080/(D1080+E1080+G1080+H1080+I1080+J1080+L1080+M1080+N1080)</f>
        <v>4.1086736247956383E-2</v>
      </c>
      <c r="M1081" s="642">
        <f>M1080/(D1080+E1080+G1080+H1080+I1080+J1080+L1080+M1080+N1080)</f>
        <v>0</v>
      </c>
      <c r="N1081" s="642">
        <f>N1080/(D1080+E1080+G1080+H1080+I1080+J1080+L1080+M1080+N1080)</f>
        <v>0.34504279933112447</v>
      </c>
      <c r="O1081" s="1515"/>
    </row>
    <row r="1082" spans="1:15" ht="12" customHeight="1">
      <c r="A1082" s="1516" t="s">
        <v>15073</v>
      </c>
      <c r="B1082" s="1509" t="s">
        <v>14937</v>
      </c>
      <c r="C1082" s="647" t="s">
        <v>6218</v>
      </c>
      <c r="D1082" s="648">
        <v>62707</v>
      </c>
      <c r="E1082" s="648">
        <v>15856</v>
      </c>
      <c r="F1082" s="649">
        <f t="shared" si="32"/>
        <v>78563</v>
      </c>
      <c r="G1082" s="648">
        <v>86213</v>
      </c>
      <c r="H1082" s="648">
        <v>13038</v>
      </c>
      <c r="I1082" s="648">
        <v>2967</v>
      </c>
      <c r="J1082" s="648">
        <v>3828</v>
      </c>
      <c r="K1082" s="649">
        <f t="shared" si="33"/>
        <v>106046</v>
      </c>
      <c r="L1082" s="648">
        <v>10743</v>
      </c>
      <c r="M1082" s="648">
        <v>4174</v>
      </c>
      <c r="N1082" s="648">
        <v>127641</v>
      </c>
      <c r="O1082" s="1510">
        <f>1-N1083</f>
        <v>0.60985979637310606</v>
      </c>
    </row>
    <row r="1083" spans="1:15" ht="12" customHeight="1">
      <c r="A1083" s="1517"/>
      <c r="B1083" s="1502"/>
      <c r="C1083" s="635" t="s">
        <v>6219</v>
      </c>
      <c r="D1083" s="636">
        <f>D1082/(D1082+E1082+G1082+H1082+I1082+J1082+L1082+M1082+N1082)</f>
        <v>0.19166664119547511</v>
      </c>
      <c r="E1083" s="636">
        <f>E1082/(D1082+E1082+G1082+H1082+I1082+J1082+L1082+M1082+N1082)</f>
        <v>4.8464545629602007E-2</v>
      </c>
      <c r="F1083" s="637">
        <f t="shared" si="32"/>
        <v>0.24013118682507711</v>
      </c>
      <c r="G1083" s="636">
        <f>G1082/(D1082+E1082+G1082+H1082+I1082+J1082+L1082+M1082+N1082)</f>
        <v>0.2635137406890059</v>
      </c>
      <c r="H1083" s="636">
        <f>H1082/(D1082+E1082+G1082+H1082+I1082+J1082+L1082+M1082+N1082)</f>
        <v>3.9851207487307708E-2</v>
      </c>
      <c r="I1083" s="636">
        <f>I1082/(D1082+E1082+G1082+H1082+I1082+J1082+L1082+M1082+N1082)</f>
        <v>9.0687630476178824E-3</v>
      </c>
      <c r="J1083" s="636">
        <f>J1082/(D1082+E1082+G1082+H1082+I1082+J1082+L1082+M1082+N1082)</f>
        <v>1.1700446560930656E-2</v>
      </c>
      <c r="K1083" s="637">
        <f t="shared" si="33"/>
        <v>0.32413415778486215</v>
      </c>
      <c r="L1083" s="636">
        <f>L1082/(D1082+E1082+G1082+H1082+I1082+J1082+L1082+M1082+N1082)</f>
        <v>3.283644132812906E-2</v>
      </c>
      <c r="M1083" s="636">
        <f>M1082/(D1082+E1082+G1082+H1082+I1082+J1082+L1082+M1082+N1082)</f>
        <v>1.2758010435037763E-2</v>
      </c>
      <c r="N1083" s="636">
        <f>N1082/(D1082+E1082+G1082+H1082+I1082+J1082+L1082+M1082+N1082)</f>
        <v>0.39014020362689389</v>
      </c>
      <c r="O1083" s="1503"/>
    </row>
    <row r="1084" spans="1:15" ht="12" customHeight="1">
      <c r="A1084" s="1517"/>
      <c r="B1084" s="1502" t="s">
        <v>14938</v>
      </c>
      <c r="C1084" s="638" t="s">
        <v>6218</v>
      </c>
      <c r="D1084" s="639">
        <v>80133</v>
      </c>
      <c r="E1084" s="639">
        <v>20436</v>
      </c>
      <c r="F1084" s="640">
        <f t="shared" si="32"/>
        <v>100569</v>
      </c>
      <c r="G1084" s="639">
        <v>64691</v>
      </c>
      <c r="H1084" s="639">
        <v>26212</v>
      </c>
      <c r="I1084" s="639">
        <v>16288</v>
      </c>
      <c r="J1084" s="639"/>
      <c r="K1084" s="640">
        <f t="shared" si="33"/>
        <v>107191</v>
      </c>
      <c r="L1084" s="639">
        <v>13496</v>
      </c>
      <c r="M1084" s="639"/>
      <c r="N1084" s="639">
        <v>107312</v>
      </c>
      <c r="O1084" s="1503">
        <f>1-N1085</f>
        <v>0.67339485281585554</v>
      </c>
    </row>
    <row r="1085" spans="1:15" ht="12" customHeight="1">
      <c r="A1085" s="1517"/>
      <c r="B1085" s="1502"/>
      <c r="C1085" s="635" t="s">
        <v>6219</v>
      </c>
      <c r="D1085" s="636">
        <f>D1084/(D1084+E1084+G1084+H1084+I1084+J1084+L1084+M1084+N1084)</f>
        <v>0.24388558837135693</v>
      </c>
      <c r="E1085" s="636">
        <f>E1084/(D1084+E1084+G1084+H1084+I1084+J1084+L1084+M1084+N1084)</f>
        <v>6.2197170753086117E-2</v>
      </c>
      <c r="F1085" s="637">
        <f t="shared" si="32"/>
        <v>0.30608275912444305</v>
      </c>
      <c r="G1085" s="636">
        <f>G1084/(D1084+E1084+G1084+H1084+I1084+J1084+L1084+M1084+N1084)</f>
        <v>0.19688770665433031</v>
      </c>
      <c r="H1085" s="636">
        <f>H1084/(D1084+E1084+G1084+H1084+I1084+J1084+L1084+M1084+N1084)</f>
        <v>7.9776484624187377E-2</v>
      </c>
      <c r="I1085" s="636">
        <f>I1084/(D1084+E1084+G1084+H1084+I1084+J1084+L1084+M1084+N1084)</f>
        <v>4.9572691193299406E-2</v>
      </c>
      <c r="J1085" s="636">
        <f>J1084/(D1084+E1084+G1084+H1084+I1084+J1084+L1084+M1084+N1084)</f>
        <v>0</v>
      </c>
      <c r="K1085" s="637">
        <f t="shared" si="33"/>
        <v>0.32623688247181715</v>
      </c>
      <c r="L1085" s="636">
        <f>L1084/(D1084+E1084+G1084+H1084+I1084+J1084+L1084+M1084+N1084)</f>
        <v>4.1075211219595335E-2</v>
      </c>
      <c r="M1085" s="636">
        <f>M1084/(D1084+E1084+G1084+H1084+I1084+J1084+L1084+M1084+N1084)</f>
        <v>0</v>
      </c>
      <c r="N1085" s="636">
        <f>N1084/(D1084+E1084+G1084+H1084+I1084+J1084+L1084+M1084+N1084)</f>
        <v>0.32660514718414452</v>
      </c>
      <c r="O1085" s="1503"/>
    </row>
    <row r="1086" spans="1:15" ht="12" customHeight="1">
      <c r="A1086" s="1517"/>
      <c r="B1086" s="1502" t="s">
        <v>14939</v>
      </c>
      <c r="C1086" s="638" t="s">
        <v>6218</v>
      </c>
      <c r="D1086" s="639">
        <v>66636</v>
      </c>
      <c r="E1086" s="639">
        <v>20109</v>
      </c>
      <c r="F1086" s="640">
        <f t="shared" si="32"/>
        <v>86745</v>
      </c>
      <c r="G1086" s="639">
        <v>71222</v>
      </c>
      <c r="H1086" s="639">
        <v>15261</v>
      </c>
      <c r="I1086" s="639"/>
      <c r="J1086" s="639"/>
      <c r="K1086" s="640">
        <f t="shared" si="33"/>
        <v>86483</v>
      </c>
      <c r="L1086" s="639">
        <v>12079</v>
      </c>
      <c r="M1086" s="639">
        <v>6378</v>
      </c>
      <c r="N1086" s="639">
        <v>137327</v>
      </c>
      <c r="O1086" s="1503">
        <f>1-N1087</f>
        <v>0.58260792919407201</v>
      </c>
    </row>
    <row r="1087" spans="1:15" ht="12" customHeight="1">
      <c r="A1087" s="1517"/>
      <c r="B1087" s="1502"/>
      <c r="C1087" s="635" t="s">
        <v>6219</v>
      </c>
      <c r="D1087" s="636">
        <f>D1086/(D1086+E1086+G1086+H1086+I1086+J1086+L1086+M1086+N1086)</f>
        <v>0.20253364618919675</v>
      </c>
      <c r="E1087" s="636">
        <f>E1086/(D1086+E1086+G1086+H1086+I1086+J1086+L1086+M1086+N1086)</f>
        <v>6.1119351269862496E-2</v>
      </c>
      <c r="F1087" s="637">
        <f t="shared" si="32"/>
        <v>0.26365299745905924</v>
      </c>
      <c r="G1087" s="636">
        <f>G1086/(D1086+E1086+G1086+H1086+I1086+J1086+L1086+M1086+N1086)</f>
        <v>0.21647234751316061</v>
      </c>
      <c r="H1087" s="636">
        <f>H1086/(D1086+E1086+G1086+H1086+I1086+J1086+L1086+M1086+N1086)</f>
        <v>4.6384326407547444E-2</v>
      </c>
      <c r="I1087" s="636">
        <f>I1086/(D1086+E1086+G1086+H1086+I1086+J1086+L1086+M1086+N1086)</f>
        <v>0</v>
      </c>
      <c r="J1087" s="636">
        <f>J1086/(D1086+E1086+G1086+H1086+I1086+J1086+L1086+M1086+N1086)</f>
        <v>0</v>
      </c>
      <c r="K1087" s="637">
        <f t="shared" si="33"/>
        <v>0.26285667392070805</v>
      </c>
      <c r="L1087" s="636">
        <f>L1086/(D1086+E1086+G1086+H1086+I1086+J1086+L1086+M1086+N1086)</f>
        <v>3.6712946640244125E-2</v>
      </c>
      <c r="M1087" s="636">
        <f>M1086/(D1086+E1086+G1086+H1086+I1086+J1086+L1086+M1086+N1086)</f>
        <v>1.9385311174060522E-2</v>
      </c>
      <c r="N1087" s="636">
        <f>N1086/(D1086+E1086+G1086+H1086+I1086+J1086+L1086+M1086+N1086)</f>
        <v>0.41739207080592805</v>
      </c>
      <c r="O1087" s="1503"/>
    </row>
    <row r="1088" spans="1:15" ht="12" customHeight="1">
      <c r="A1088" s="1517"/>
      <c r="B1088" s="1502" t="s">
        <v>14940</v>
      </c>
      <c r="C1088" s="638" t="s">
        <v>6218</v>
      </c>
      <c r="D1088" s="639">
        <v>74142</v>
      </c>
      <c r="E1088" s="639">
        <v>18603</v>
      </c>
      <c r="F1088" s="640">
        <f t="shared" si="32"/>
        <v>92745</v>
      </c>
      <c r="G1088" s="639">
        <v>62408</v>
      </c>
      <c r="H1088" s="639">
        <v>23926</v>
      </c>
      <c r="I1088" s="639"/>
      <c r="J1088" s="639"/>
      <c r="K1088" s="640">
        <f t="shared" si="33"/>
        <v>86334</v>
      </c>
      <c r="L1088" s="639">
        <v>13313</v>
      </c>
      <c r="M1088" s="639"/>
      <c r="N1088" s="639">
        <v>136533</v>
      </c>
      <c r="O1088" s="1503">
        <f>1-N1089</f>
        <v>0.58491145397887057</v>
      </c>
    </row>
    <row r="1089" spans="1:15" ht="12" customHeight="1" thickBot="1">
      <c r="A1089" s="1519"/>
      <c r="B1089" s="1514"/>
      <c r="C1089" s="641" t="s">
        <v>6219</v>
      </c>
      <c r="D1089" s="642">
        <f>D1088/(D1088+E1088+G1088+H1088+I1088+J1088+L1088+M1088+N1088)</f>
        <v>0.225407007676522</v>
      </c>
      <c r="E1089" s="642">
        <f>E1088/(D1088+E1088+G1088+H1088+I1088+J1088+L1088+M1088+N1088)</f>
        <v>5.6556965873679407E-2</v>
      </c>
      <c r="F1089" s="643">
        <f t="shared" si="32"/>
        <v>0.28196397355020142</v>
      </c>
      <c r="G1089" s="642">
        <f>G1088/(D1088+E1088+G1088+H1088+I1088+J1088+L1088+M1088+N1088)</f>
        <v>0.18973322185908642</v>
      </c>
      <c r="H1089" s="642">
        <f>H1088/(D1088+E1088+G1088+H1088+I1088+J1088+L1088+M1088+N1088)</f>
        <v>7.2739986319069694E-2</v>
      </c>
      <c r="I1089" s="642">
        <f>I1088/(D1088+E1088+G1088+H1088+I1088+J1088+L1088+M1088+N1088)</f>
        <v>0</v>
      </c>
      <c r="J1089" s="642">
        <f>J1088/(D1088+E1088+G1088+H1088+I1088+J1088+L1088+M1088+N1088)</f>
        <v>0</v>
      </c>
      <c r="K1089" s="643">
        <f t="shared" si="33"/>
        <v>0.26247320817815611</v>
      </c>
      <c r="L1089" s="642">
        <f>L1088/(D1088+E1088+G1088+H1088+I1088+J1088+L1088+M1088+N1088)</f>
        <v>4.0474272250513033E-2</v>
      </c>
      <c r="M1089" s="642">
        <f>M1088/(D1088+E1088+G1088+H1088+I1088+J1088+L1088+M1088+N1088)</f>
        <v>0</v>
      </c>
      <c r="N1089" s="642">
        <f>N1088/(D1088+E1088+G1088+H1088+I1088+J1088+L1088+M1088+N1088)</f>
        <v>0.41508854602112943</v>
      </c>
      <c r="O1089" s="1515"/>
    </row>
    <row r="1090" spans="1:15" ht="12" customHeight="1">
      <c r="A1090" s="1526" t="s">
        <v>15074</v>
      </c>
      <c r="B1090" s="1509" t="s">
        <v>14937</v>
      </c>
      <c r="C1090" s="647" t="s">
        <v>6218</v>
      </c>
      <c r="D1090" s="648">
        <v>55467</v>
      </c>
      <c r="E1090" s="648">
        <v>13547</v>
      </c>
      <c r="F1090" s="649">
        <f t="shared" ref="F1090:F1153" si="34">SUM(D1090:E1090)</f>
        <v>69014</v>
      </c>
      <c r="G1090" s="648">
        <v>92847</v>
      </c>
      <c r="H1090" s="648">
        <v>11239</v>
      </c>
      <c r="I1090" s="648">
        <v>2976</v>
      </c>
      <c r="J1090" s="648">
        <v>4764</v>
      </c>
      <c r="K1090" s="649">
        <f t="shared" ref="K1090:K1153" si="35">SUM(G1090:J1090)</f>
        <v>111826</v>
      </c>
      <c r="L1090" s="648">
        <v>12485</v>
      </c>
      <c r="M1090" s="648">
        <v>4565</v>
      </c>
      <c r="N1090" s="648">
        <v>125768</v>
      </c>
      <c r="O1090" s="1510">
        <f>1-N1091</f>
        <v>0.61141698953833989</v>
      </c>
    </row>
    <row r="1091" spans="1:15" ht="12" customHeight="1">
      <c r="A1091" s="1527"/>
      <c r="B1091" s="1502"/>
      <c r="C1091" s="635" t="s">
        <v>6219</v>
      </c>
      <c r="D1091" s="636">
        <f>D1090/(D1090+E1090+G1090+H1090+I1090+J1090+L1090+M1090+N1090)</f>
        <v>0.17137534063733942</v>
      </c>
      <c r="E1091" s="636">
        <f>E1090/(D1090+E1090+G1090+H1090+I1090+J1090+L1090+M1090+N1090)</f>
        <v>4.1855909633007678E-2</v>
      </c>
      <c r="F1091" s="637">
        <f t="shared" si="34"/>
        <v>0.21323125027034709</v>
      </c>
      <c r="G1091" s="636">
        <f>G1090/(D1090+E1090+G1090+H1090+I1090+J1090+L1090+M1090+N1090)</f>
        <v>0.28686761952431272</v>
      </c>
      <c r="H1091" s="636">
        <f>H1090/(D1090+E1090+G1090+H1090+I1090+J1090+L1090+M1090+N1090)</f>
        <v>3.4724925693169949E-2</v>
      </c>
      <c r="I1091" s="636">
        <f>I1090/(D1090+E1090+G1090+H1090+I1090+J1090+L1090+M1090+N1090)</f>
        <v>9.1948909033609545E-3</v>
      </c>
      <c r="J1091" s="636">
        <f>J1090/(D1090+E1090+G1090+H1090+I1090+J1090+L1090+M1090+N1090)</f>
        <v>1.4719240679977012E-2</v>
      </c>
      <c r="K1091" s="637">
        <f t="shared" si="35"/>
        <v>0.34550667680082059</v>
      </c>
      <c r="L1091" s="636">
        <f>L1090/(D1090+E1090+G1090+H1090+I1090+J1090+L1090+M1090+N1090)</f>
        <v>3.8574668322735726E-2</v>
      </c>
      <c r="M1091" s="636">
        <f>M1090/(D1090+E1090+G1090+H1090+I1090+J1090+L1090+M1090+N1090)</f>
        <v>1.4104394144436412E-2</v>
      </c>
      <c r="N1091" s="636">
        <f>N1090/(D1090+E1090+G1090+H1090+I1090+J1090+L1090+M1090+N1090)</f>
        <v>0.38858301046166016</v>
      </c>
      <c r="O1091" s="1503"/>
    </row>
    <row r="1092" spans="1:15" ht="12" customHeight="1">
      <c r="A1092" s="1527"/>
      <c r="B1092" s="1502" t="s">
        <v>14938</v>
      </c>
      <c r="C1092" s="638" t="s">
        <v>6218</v>
      </c>
      <c r="D1092" s="639">
        <v>80824</v>
      </c>
      <c r="E1092" s="639">
        <v>17980</v>
      </c>
      <c r="F1092" s="640">
        <f t="shared" si="34"/>
        <v>98804</v>
      </c>
      <c r="G1092" s="639">
        <v>83206</v>
      </c>
      <c r="H1092" s="639">
        <v>14634</v>
      </c>
      <c r="I1092" s="639">
        <v>13020</v>
      </c>
      <c r="J1092" s="639"/>
      <c r="K1092" s="640">
        <f t="shared" si="35"/>
        <v>110860</v>
      </c>
      <c r="L1092" s="639">
        <v>15821</v>
      </c>
      <c r="M1092" s="639"/>
      <c r="N1092" s="639">
        <v>96588</v>
      </c>
      <c r="O1092" s="1503">
        <f>1-N1093</f>
        <v>0.70010525564080195</v>
      </c>
    </row>
    <row r="1093" spans="1:15" ht="12" customHeight="1">
      <c r="A1093" s="1527"/>
      <c r="B1093" s="1502"/>
      <c r="C1093" s="635" t="s">
        <v>6219</v>
      </c>
      <c r="D1093" s="636">
        <f>D1092/(D1092+E1092+G1092+H1092+I1092+J1092+L1092+M1092+N1092)</f>
        <v>0.25094931894322092</v>
      </c>
      <c r="E1093" s="636">
        <f>E1092/(D1092+E1092+G1092+H1092+I1092+J1092+L1092+M1092+N1092)</f>
        <v>5.5825853145094438E-2</v>
      </c>
      <c r="F1093" s="637">
        <f t="shared" si="34"/>
        <v>0.30677517208831534</v>
      </c>
      <c r="G1093" s="636">
        <f>G1092/(D1092+E1092+G1092+H1092+I1092+J1092+L1092+M1092+N1092)</f>
        <v>0.25834515777479017</v>
      </c>
      <c r="H1093" s="636">
        <f>H1092/(D1092+E1092+G1092+H1092+I1092+J1092+L1092+M1092+N1092)</f>
        <v>4.5436904055912788E-2</v>
      </c>
      <c r="I1093" s="636">
        <f>I1092/(D1092+E1092+G1092+H1092+I1092+J1092+L1092+M1092+N1092)</f>
        <v>4.0425617794723555E-2</v>
      </c>
      <c r="J1093" s="636">
        <f>J1092/(D1092+E1092+G1092+H1092+I1092+J1092+L1092+M1092+N1092)</f>
        <v>0</v>
      </c>
      <c r="K1093" s="637">
        <f t="shared" si="35"/>
        <v>0.34420767962542648</v>
      </c>
      <c r="L1093" s="636">
        <f>L1092/(D1092+E1092+G1092+H1092+I1092+J1092+L1092+M1092+N1092)</f>
        <v>4.9122403927060014E-2</v>
      </c>
      <c r="M1093" s="636">
        <f>M1092/(D1092+E1092+G1092+H1092+I1092+J1092+L1092+M1092+N1092)</f>
        <v>0</v>
      </c>
      <c r="N1093" s="636">
        <f>N1092/(D1092+E1092+G1092+H1092+I1092+J1092+L1092+M1092+N1092)</f>
        <v>0.29989474435919805</v>
      </c>
      <c r="O1093" s="1503"/>
    </row>
    <row r="1094" spans="1:15" ht="12" customHeight="1">
      <c r="A1094" s="1527"/>
      <c r="B1094" s="1502" t="s">
        <v>14939</v>
      </c>
      <c r="C1094" s="638" t="s">
        <v>6218</v>
      </c>
      <c r="D1094" s="639">
        <v>53563</v>
      </c>
      <c r="E1094" s="639">
        <v>17352</v>
      </c>
      <c r="F1094" s="640">
        <f t="shared" si="34"/>
        <v>70915</v>
      </c>
      <c r="G1094" s="639">
        <v>88109</v>
      </c>
      <c r="H1094" s="639">
        <v>12085</v>
      </c>
      <c r="I1094" s="639"/>
      <c r="J1094" s="639"/>
      <c r="K1094" s="640">
        <f t="shared" si="35"/>
        <v>100194</v>
      </c>
      <c r="L1094" s="639">
        <v>12668</v>
      </c>
      <c r="M1094" s="639">
        <v>6665</v>
      </c>
      <c r="N1094" s="639">
        <v>131343</v>
      </c>
      <c r="O1094" s="1503">
        <f>1-N1095</f>
        <v>0.5918299485681433</v>
      </c>
    </row>
    <row r="1095" spans="1:15" ht="12" customHeight="1">
      <c r="A1095" s="1527"/>
      <c r="B1095" s="1502"/>
      <c r="C1095" s="635" t="s">
        <v>6219</v>
      </c>
      <c r="D1095" s="636">
        <f>D1094/(D1094+E1094+G1094+H1094+I1094+J1094+L1094+M1094+N1094)</f>
        <v>0.16645586338704416</v>
      </c>
      <c r="E1095" s="636">
        <f>E1094/(D1094+E1094+G1094+H1094+I1094+J1094+L1094+M1094+N1094)</f>
        <v>5.392420404928757E-2</v>
      </c>
      <c r="F1095" s="637">
        <f t="shared" si="34"/>
        <v>0.22038006743633173</v>
      </c>
      <c r="G1095" s="636">
        <f>G1094/(D1094+E1094+G1094+H1094+I1094+J1094+L1094+M1094+N1094)</f>
        <v>0.27381326040679338</v>
      </c>
      <c r="H1095" s="636">
        <f>H1094/(D1094+E1094+G1094+H1094+I1094+J1094+L1094+M1094+N1094)</f>
        <v>3.7556132200071479E-2</v>
      </c>
      <c r="I1095" s="636">
        <f>I1094/(D1094+E1094+G1094+H1094+I1094+J1094+L1094+M1094+N1094)</f>
        <v>0</v>
      </c>
      <c r="J1095" s="636">
        <f>J1094/(D1094+E1094+G1094+H1094+I1094+J1094+L1094+M1094+N1094)</f>
        <v>0</v>
      </c>
      <c r="K1095" s="637">
        <f t="shared" si="35"/>
        <v>0.31136939260686486</v>
      </c>
      <c r="L1095" s="636">
        <f>L1094/(D1094+E1094+G1094+H1094+I1094+J1094+L1094+M1094+N1094)</f>
        <v>3.9367900927638019E-2</v>
      </c>
      <c r="M1095" s="636">
        <f>M1094/(D1094+E1094+G1094+H1094+I1094+J1094+L1094+M1094+N1094)</f>
        <v>2.0712587597308763E-2</v>
      </c>
      <c r="N1095" s="636">
        <f>N1094/(D1094+E1094+G1094+H1094+I1094+J1094+L1094+M1094+N1094)</f>
        <v>0.4081700514318567</v>
      </c>
      <c r="O1095" s="1503"/>
    </row>
    <row r="1096" spans="1:15" ht="12" customHeight="1">
      <c r="A1096" s="1527"/>
      <c r="B1096" s="1502" t="s">
        <v>14940</v>
      </c>
      <c r="C1096" s="638" t="s">
        <v>6218</v>
      </c>
      <c r="D1096" s="639">
        <v>74447</v>
      </c>
      <c r="E1096" s="639">
        <v>16266</v>
      </c>
      <c r="F1096" s="640">
        <f t="shared" si="34"/>
        <v>90713</v>
      </c>
      <c r="G1096" s="639">
        <v>88307</v>
      </c>
      <c r="H1096" s="639">
        <v>13059</v>
      </c>
      <c r="I1096" s="639"/>
      <c r="J1096" s="639"/>
      <c r="K1096" s="640">
        <f t="shared" si="35"/>
        <v>101366</v>
      </c>
      <c r="L1096" s="639">
        <v>14763</v>
      </c>
      <c r="M1096" s="639"/>
      <c r="N1096" s="639">
        <v>114478</v>
      </c>
      <c r="O1096" s="1503">
        <f>1-N1097</f>
        <v>0.64372588074193948</v>
      </c>
    </row>
    <row r="1097" spans="1:15" ht="12" customHeight="1" thickBot="1">
      <c r="A1097" s="1528"/>
      <c r="B1097" s="1514"/>
      <c r="C1097" s="641" t="s">
        <v>6219</v>
      </c>
      <c r="D1097" s="642">
        <f>D1096/(D1096+E1096+G1096+H1096+I1096+J1096+L1096+M1096+N1096)</f>
        <v>0.23169114901033239</v>
      </c>
      <c r="E1097" s="642">
        <f>E1096/(D1096+E1096+G1096+H1096+I1096+J1096+L1096+M1096+N1096)</f>
        <v>5.0622432466077429E-2</v>
      </c>
      <c r="F1097" s="643">
        <f t="shared" si="34"/>
        <v>0.28231358147640984</v>
      </c>
      <c r="G1097" s="642">
        <f>G1096/(D1096+E1096+G1096+H1096+I1096+J1096+L1096+M1096+N1096)</f>
        <v>0.27482571890949831</v>
      </c>
      <c r="H1097" s="642">
        <f>H1096/(D1096+E1096+G1096+H1096+I1096+J1096+L1096+M1096+N1096)</f>
        <v>4.0641727872525832E-2</v>
      </c>
      <c r="I1097" s="642">
        <f>I1096/(D1096+E1096+G1096+H1096+I1096+J1096+L1096+M1096+N1096)</f>
        <v>0</v>
      </c>
      <c r="J1097" s="642">
        <f>J1096/(D1096+E1096+G1096+H1096+I1096+J1096+L1096+M1096+N1096)</f>
        <v>0</v>
      </c>
      <c r="K1097" s="643">
        <f t="shared" si="35"/>
        <v>0.31546744678202415</v>
      </c>
      <c r="L1097" s="642">
        <f>L1096/(D1096+E1096+G1096+H1096+I1096+J1096+L1096+M1096+N1096)</f>
        <v>4.5944852483505542E-2</v>
      </c>
      <c r="M1097" s="642">
        <f>M1096/(D1096+E1096+G1096+H1096+I1096+J1096+L1096+M1096+N1096)</f>
        <v>0</v>
      </c>
      <c r="N1097" s="642">
        <f>N1096/(D1096+E1096+G1096+H1096+I1096+J1096+L1096+M1096+N1096)</f>
        <v>0.35627411925806052</v>
      </c>
      <c r="O1097" s="1515"/>
    </row>
    <row r="1098" spans="1:15" ht="12" customHeight="1">
      <c r="A1098" s="1529" t="s">
        <v>15075</v>
      </c>
      <c r="B1098" s="1509" t="s">
        <v>14937</v>
      </c>
      <c r="C1098" s="647" t="s">
        <v>6218</v>
      </c>
      <c r="D1098" s="648">
        <v>56995</v>
      </c>
      <c r="E1098" s="648">
        <v>13253</v>
      </c>
      <c r="F1098" s="649">
        <f t="shared" si="34"/>
        <v>70248</v>
      </c>
      <c r="G1098" s="648">
        <v>80463</v>
      </c>
      <c r="H1098" s="648">
        <v>12655</v>
      </c>
      <c r="I1098" s="648">
        <v>3131</v>
      </c>
      <c r="J1098" s="648">
        <v>3861</v>
      </c>
      <c r="K1098" s="649">
        <f t="shared" si="35"/>
        <v>100110</v>
      </c>
      <c r="L1098" s="648">
        <v>10452</v>
      </c>
      <c r="M1098" s="648">
        <v>3431</v>
      </c>
      <c r="N1098" s="648">
        <v>102311</v>
      </c>
      <c r="O1098" s="1510">
        <f>1-N1099</f>
        <v>0.64295834612914926</v>
      </c>
    </row>
    <row r="1099" spans="1:15" ht="12" customHeight="1">
      <c r="A1099" s="1530"/>
      <c r="B1099" s="1502"/>
      <c r="C1099" s="635" t="s">
        <v>6219</v>
      </c>
      <c r="D1099" s="636">
        <f>D1098/(D1098+E1098+G1098+H1098+I1098+J1098+L1098+M1098+N1098)</f>
        <v>0.19889932717272957</v>
      </c>
      <c r="E1099" s="636">
        <f>E1098/(D1098+E1098+G1098+H1098+I1098+J1098+L1098+M1098+N1098)</f>
        <v>4.6249895306959991E-2</v>
      </c>
      <c r="F1099" s="637">
        <f t="shared" si="34"/>
        <v>0.24514922247968957</v>
      </c>
      <c r="G1099" s="636">
        <f>G1098/(D1098+E1098+G1098+H1098+I1098+J1098+L1098+M1098+N1098)</f>
        <v>0.280797202601971</v>
      </c>
      <c r="H1099" s="636">
        <f>H1098/(D1098+E1098+G1098+H1098+I1098+J1098+L1098+M1098+N1098)</f>
        <v>4.416301404282643E-2</v>
      </c>
      <c r="I1099" s="636">
        <f>I1098/(D1098+E1098+G1098+H1098+I1098+J1098+L1098+M1098+N1098)</f>
        <v>1.0926463608699293E-2</v>
      </c>
      <c r="J1099" s="636">
        <f>J1098/(D1098+E1098+G1098+H1098+I1098+J1098+L1098+M1098+N1098)</f>
        <v>1.3473994248862335E-2</v>
      </c>
      <c r="K1099" s="637">
        <f t="shared" si="35"/>
        <v>0.34936067450235903</v>
      </c>
      <c r="L1099" s="636">
        <f>L1098/(D1098+E1098+G1098+H1098+I1098+J1098+L1098+M1098+N1098)</f>
        <v>3.6475055138334406E-2</v>
      </c>
      <c r="M1099" s="636">
        <f>M1098/(D1098+E1098+G1098+H1098+I1098+J1098+L1098+M1098+N1098)</f>
        <v>1.1973394008766297E-2</v>
      </c>
      <c r="N1099" s="636">
        <f>N1098/(D1098+E1098+G1098+H1098+I1098+J1098+L1098+M1098+N1098)</f>
        <v>0.35704165387085068</v>
      </c>
      <c r="O1099" s="1503"/>
    </row>
    <row r="1100" spans="1:15" ht="12" customHeight="1">
      <c r="A1100" s="1530"/>
      <c r="B1100" s="1502" t="s">
        <v>14938</v>
      </c>
      <c r="C1100" s="638" t="s">
        <v>6218</v>
      </c>
      <c r="D1100" s="639">
        <v>78158</v>
      </c>
      <c r="E1100" s="639">
        <v>15517</v>
      </c>
      <c r="F1100" s="640">
        <f t="shared" si="34"/>
        <v>93675</v>
      </c>
      <c r="G1100" s="639">
        <v>70102</v>
      </c>
      <c r="H1100" s="639">
        <v>15905</v>
      </c>
      <c r="I1100" s="639">
        <v>10598</v>
      </c>
      <c r="J1100" s="639"/>
      <c r="K1100" s="640">
        <f t="shared" si="35"/>
        <v>96605</v>
      </c>
      <c r="L1100" s="639">
        <v>13877</v>
      </c>
      <c r="M1100" s="639"/>
      <c r="N1100" s="639">
        <v>82958</v>
      </c>
      <c r="O1100" s="1503">
        <f>1-N1101</f>
        <v>0.71106351113665256</v>
      </c>
    </row>
    <row r="1101" spans="1:15" ht="12" customHeight="1">
      <c r="A1101" s="1530"/>
      <c r="B1101" s="1502"/>
      <c r="C1101" s="635" t="s">
        <v>6219</v>
      </c>
      <c r="D1101" s="636">
        <f>D1100/(D1100+E1100+G1100+H1100+I1100+J1100+L1100+M1100+N1100)</f>
        <v>0.27221844905351517</v>
      </c>
      <c r="E1101" s="636">
        <f>E1100/(D1100+E1100+G1100+H1100+I1100+J1100+L1100+M1100+N1100)</f>
        <v>5.4044546610243285E-2</v>
      </c>
      <c r="F1101" s="637">
        <f t="shared" si="34"/>
        <v>0.32626299566375844</v>
      </c>
      <c r="G1101" s="636">
        <f>G1100/(D1100+E1100+G1100+H1100+I1100+J1100+L1100+M1100+N1100)</f>
        <v>0.24416000557267994</v>
      </c>
      <c r="H1101" s="636">
        <f>H1100/(D1100+E1100+G1100+H1100+I1100+J1100+L1100+M1100+N1100)</f>
        <v>5.5395921494871395E-2</v>
      </c>
      <c r="I1101" s="636">
        <f>I1100/(D1100+E1100+G1100+H1100+I1100+J1100+L1100+M1100+N1100)</f>
        <v>3.6912038730125558E-2</v>
      </c>
      <c r="J1101" s="636">
        <f>J1100/(D1100+E1100+G1100+H1100+I1100+J1100+L1100+M1100+N1100)</f>
        <v>0</v>
      </c>
      <c r="K1101" s="637">
        <f t="shared" si="35"/>
        <v>0.3364679657976769</v>
      </c>
      <c r="L1101" s="636">
        <f>L1100/(D1100+E1100+G1100+H1100+I1100+J1100+L1100+M1100+N1100)</f>
        <v>4.8332549675217246E-2</v>
      </c>
      <c r="M1101" s="636">
        <f>M1100/(D1100+E1100+G1100+H1100+I1100+J1100+L1100+M1100+N1100)</f>
        <v>0</v>
      </c>
      <c r="N1101" s="636">
        <f>N1100/(D1100+E1100+G1100+H1100+I1100+J1100+L1100+M1100+N1100)</f>
        <v>0.28893648886334744</v>
      </c>
      <c r="O1101" s="1503"/>
    </row>
    <row r="1102" spans="1:15" ht="12" customHeight="1">
      <c r="A1102" s="1530"/>
      <c r="B1102" s="1502" t="s">
        <v>14939</v>
      </c>
      <c r="C1102" s="638" t="s">
        <v>6218</v>
      </c>
      <c r="D1102" s="639">
        <v>56642</v>
      </c>
      <c r="E1102" s="639">
        <v>16790</v>
      </c>
      <c r="F1102" s="640">
        <f t="shared" si="34"/>
        <v>73432</v>
      </c>
      <c r="G1102" s="639">
        <v>73044</v>
      </c>
      <c r="H1102" s="639">
        <v>14002</v>
      </c>
      <c r="I1102" s="639"/>
      <c r="J1102" s="639"/>
      <c r="K1102" s="640">
        <f t="shared" si="35"/>
        <v>87046</v>
      </c>
      <c r="L1102" s="639">
        <v>11069</v>
      </c>
      <c r="M1102" s="639">
        <v>5678</v>
      </c>
      <c r="N1102" s="639">
        <v>110260</v>
      </c>
      <c r="O1102" s="1503">
        <f>1-N1103</f>
        <v>0.61646694610153574</v>
      </c>
    </row>
    <row r="1103" spans="1:15" ht="12" customHeight="1">
      <c r="A1103" s="1530"/>
      <c r="B1103" s="1502"/>
      <c r="C1103" s="635" t="s">
        <v>6219</v>
      </c>
      <c r="D1103" s="636">
        <f>D1102/(D1102+E1102+G1102+H1102+I1102+J1102+L1102+M1102+N1102)</f>
        <v>0.19702593178774544</v>
      </c>
      <c r="E1103" s="636">
        <f>E1102/(D1102+E1102+G1102+H1102+I1102+J1102+L1102+M1102+N1102)</f>
        <v>5.8403047115501677E-2</v>
      </c>
      <c r="F1103" s="637">
        <f t="shared" si="34"/>
        <v>0.25542897890324712</v>
      </c>
      <c r="G1103" s="636">
        <f>G1102/(D1102+E1102+G1102+H1102+I1102+J1102+L1102+M1102+N1102)</f>
        <v>0.25407934327008364</v>
      </c>
      <c r="H1103" s="636">
        <f>H1102/(D1102+E1102+G1102+H1102+I1102+J1102+L1102+M1102+N1102)</f>
        <v>4.8705149833904379E-2</v>
      </c>
      <c r="I1103" s="636">
        <f>I1102/(D1102+E1102+G1102+H1102+I1102+J1102+L1102+M1102+N1102)</f>
        <v>0</v>
      </c>
      <c r="J1103" s="636">
        <f>J1102/(D1102+E1102+G1102+H1102+I1102+J1102+L1102+M1102+N1102)</f>
        <v>0</v>
      </c>
      <c r="K1103" s="637">
        <f t="shared" si="35"/>
        <v>0.30278449310398803</v>
      </c>
      <c r="L1103" s="636">
        <f>L1102/(D1102+E1102+G1102+H1102+I1102+J1102+L1102+M1102+N1102)</f>
        <v>3.8502878411047534E-2</v>
      </c>
      <c r="M1103" s="636">
        <f>M1102/(D1102+E1102+G1102+H1102+I1102+J1102+L1102+M1102+N1102)</f>
        <v>1.975059568325304E-2</v>
      </c>
      <c r="N1103" s="636">
        <f>N1102/(D1102+E1102+G1102+H1102+I1102+J1102+L1102+M1102+N1102)</f>
        <v>0.38353305389846426</v>
      </c>
      <c r="O1103" s="1503"/>
    </row>
    <row r="1104" spans="1:15" ht="12" customHeight="1">
      <c r="A1104" s="1530"/>
      <c r="B1104" s="1502" t="s">
        <v>14940</v>
      </c>
      <c r="C1104" s="638" t="s">
        <v>6218</v>
      </c>
      <c r="D1104" s="639">
        <v>72082</v>
      </c>
      <c r="E1104" s="639">
        <v>16975</v>
      </c>
      <c r="F1104" s="640">
        <f t="shared" si="34"/>
        <v>89057</v>
      </c>
      <c r="G1104" s="639">
        <v>70849</v>
      </c>
      <c r="H1104" s="639">
        <v>16582</v>
      </c>
      <c r="I1104" s="639"/>
      <c r="J1104" s="639"/>
      <c r="K1104" s="640">
        <f t="shared" si="35"/>
        <v>87431</v>
      </c>
      <c r="L1104" s="639">
        <v>12904</v>
      </c>
      <c r="M1104" s="639"/>
      <c r="N1104" s="639">
        <v>97830</v>
      </c>
      <c r="O1104" s="1503">
        <f>1-N1105</f>
        <v>0.65939238637708808</v>
      </c>
    </row>
    <row r="1105" spans="1:15" ht="12" customHeight="1" thickBot="1">
      <c r="A1105" s="1531"/>
      <c r="B1105" s="1514"/>
      <c r="C1105" s="641" t="s">
        <v>6219</v>
      </c>
      <c r="D1105" s="642">
        <f>D1104/(D1104+E1104+G1104+H1104+I1104+J1104+L1104+M1104+N1104)</f>
        <v>0.25096266999046035</v>
      </c>
      <c r="E1105" s="642">
        <f>E1104/(D1104+E1104+G1104+H1104+I1104+J1104+L1104+M1104+N1104)</f>
        <v>5.9100625996615856E-2</v>
      </c>
      <c r="F1105" s="643">
        <f t="shared" si="34"/>
        <v>0.31006329598707622</v>
      </c>
      <c r="G1105" s="642">
        <f>G1104/(D1104+E1104+G1104+H1104+I1104+J1104+L1104+M1104+N1104)</f>
        <v>0.24666982334222309</v>
      </c>
      <c r="H1105" s="642">
        <f>H1104/(D1104+E1104+G1104+H1104+I1104+J1104+L1104+M1104+N1104)</f>
        <v>5.773234640800496E-2</v>
      </c>
      <c r="I1105" s="642">
        <f>I1104/(D1104+E1104+G1104+H1104+I1104+J1104+L1104+M1104+N1104)</f>
        <v>0</v>
      </c>
      <c r="J1105" s="642">
        <f>J1104/(D1104+E1104+G1104+H1104+I1104+J1104+L1104+M1104+N1104)</f>
        <v>0</v>
      </c>
      <c r="K1105" s="643">
        <f t="shared" si="35"/>
        <v>0.30440216975022805</v>
      </c>
      <c r="L1105" s="642">
        <f>L1104/(D1104+E1104+G1104+H1104+I1104+J1104+L1104+M1104+N1104)</f>
        <v>4.492692063978386E-2</v>
      </c>
      <c r="M1105" s="642">
        <f>M1104/(D1104+E1104+G1104+H1104+I1104+J1104+L1104+M1104+N1104)</f>
        <v>0</v>
      </c>
      <c r="N1105" s="642">
        <f>N1104/(D1104+E1104+G1104+H1104+I1104+J1104+L1104+M1104+N1104)</f>
        <v>0.34060761362291192</v>
      </c>
      <c r="O1105" s="1515"/>
    </row>
    <row r="1106" spans="1:15" ht="12" customHeight="1">
      <c r="A1106" s="1526" t="s">
        <v>15076</v>
      </c>
      <c r="B1106" s="1509" t="s">
        <v>14937</v>
      </c>
      <c r="C1106" s="647" t="s">
        <v>6218</v>
      </c>
      <c r="D1106" s="648">
        <v>63872</v>
      </c>
      <c r="E1106" s="648">
        <v>12416</v>
      </c>
      <c r="F1106" s="649">
        <f t="shared" si="34"/>
        <v>76288</v>
      </c>
      <c r="G1106" s="648">
        <v>94732</v>
      </c>
      <c r="H1106" s="648">
        <v>10985</v>
      </c>
      <c r="I1106" s="648">
        <v>3365</v>
      </c>
      <c r="J1106" s="648">
        <v>3539</v>
      </c>
      <c r="K1106" s="649">
        <f t="shared" si="35"/>
        <v>112621</v>
      </c>
      <c r="L1106" s="648">
        <v>9657</v>
      </c>
      <c r="M1106" s="648">
        <v>3215</v>
      </c>
      <c r="N1106" s="648">
        <v>101796</v>
      </c>
      <c r="O1106" s="1510">
        <f>1-N1107</f>
        <v>0.66467815414211229</v>
      </c>
    </row>
    <row r="1107" spans="1:15" ht="12" customHeight="1">
      <c r="A1107" s="1527"/>
      <c r="B1107" s="1502"/>
      <c r="C1107" s="635" t="s">
        <v>6219</v>
      </c>
      <c r="D1107" s="636">
        <f>D1106/(D1106+E1106+G1106+H1106+I1106+J1106+L1106+M1106+N1106)</f>
        <v>0.21039802093043938</v>
      </c>
      <c r="E1107" s="636">
        <f>E1106/(D1106+E1106+G1106+H1106+I1106+J1106+L1106+M1106+N1106)</f>
        <v>4.0899014088682607E-2</v>
      </c>
      <c r="F1107" s="637">
        <f t="shared" si="34"/>
        <v>0.25129703501912198</v>
      </c>
      <c r="G1107" s="636">
        <f>G1106/(D1106+E1106+G1106+H1106+I1106+J1106+L1106+M1106+N1106)</f>
        <v>0.31205262585769011</v>
      </c>
      <c r="H1107" s="636">
        <f>H1106/(D1106+E1106+G1106+H1106+I1106+J1106+L1106+M1106+N1106)</f>
        <v>3.6185218247759221E-2</v>
      </c>
      <c r="I1107" s="636">
        <f>I1106/(D1106+E1106+G1106+H1106+I1106+J1106+L1106+M1106+N1106)</f>
        <v>1.1084502449131521E-2</v>
      </c>
      <c r="J1107" s="636">
        <f>J1106/(D1106+E1106+G1106+H1106+I1106+J1106+L1106+M1106+N1106)</f>
        <v>1.1657668400438768E-2</v>
      </c>
      <c r="K1107" s="637">
        <f t="shared" si="35"/>
        <v>0.37098001495501959</v>
      </c>
      <c r="L1107" s="636">
        <f>L1106/(D1106+E1106+G1106+H1106+I1106+J1106+L1106+M1106+N1106)</f>
        <v>3.1810710297552183E-2</v>
      </c>
      <c r="M1107" s="636">
        <f>M1106/(D1106+E1106+G1106+H1106+I1106+J1106+L1106+M1106+N1106)</f>
        <v>1.0590393870418378E-2</v>
      </c>
      <c r="N1107" s="636">
        <f>N1106/(D1106+E1106+G1106+H1106+I1106+J1106+L1106+M1106+N1106)</f>
        <v>0.33532184585788777</v>
      </c>
      <c r="O1107" s="1503"/>
    </row>
    <row r="1108" spans="1:15" ht="12" customHeight="1">
      <c r="A1108" s="1527"/>
      <c r="B1108" s="1502" t="s">
        <v>14938</v>
      </c>
      <c r="C1108" s="638" t="s">
        <v>6218</v>
      </c>
      <c r="D1108" s="639">
        <v>87206</v>
      </c>
      <c r="E1108" s="639">
        <v>16458</v>
      </c>
      <c r="F1108" s="640">
        <f t="shared" si="34"/>
        <v>103664</v>
      </c>
      <c r="G1108" s="639">
        <v>79708</v>
      </c>
      <c r="H1108" s="639">
        <v>15241</v>
      </c>
      <c r="I1108" s="639">
        <v>13026</v>
      </c>
      <c r="J1108" s="639"/>
      <c r="K1108" s="640">
        <f t="shared" si="35"/>
        <v>107975</v>
      </c>
      <c r="L1108" s="639">
        <v>13069</v>
      </c>
      <c r="M1108" s="639"/>
      <c r="N1108" s="639">
        <v>79940</v>
      </c>
      <c r="O1108" s="1503">
        <f>1-N1109</f>
        <v>0.73759880255245402</v>
      </c>
    </row>
    <row r="1109" spans="1:15" ht="12" customHeight="1">
      <c r="A1109" s="1527"/>
      <c r="B1109" s="1502"/>
      <c r="C1109" s="635" t="s">
        <v>6219</v>
      </c>
      <c r="D1109" s="636">
        <f>D1108/(D1108+E1108+G1108+H1108+I1108+J1108+L1108+M1108+N1108)</f>
        <v>0.28625167406318114</v>
      </c>
      <c r="E1109" s="636">
        <f>E1108/(D1108+E1108+G1108+H1108+I1108+J1108+L1108+M1108+N1108)</f>
        <v>5.4023003597594599E-2</v>
      </c>
      <c r="F1109" s="637">
        <f t="shared" si="34"/>
        <v>0.34027467766077574</v>
      </c>
      <c r="G1109" s="636">
        <f>G1108/(D1108+E1108+G1108+H1108+I1108+J1108+L1108+M1108+N1108)</f>
        <v>0.26163966282398049</v>
      </c>
      <c r="H1109" s="636">
        <f>H1108/(D1108+E1108+G1108+H1108+I1108+J1108+L1108+M1108+N1108)</f>
        <v>5.0028229300701138E-2</v>
      </c>
      <c r="I1109" s="636">
        <f>I1108/(D1108+E1108+G1108+H1108+I1108+J1108+L1108+M1108+N1108)</f>
        <v>4.2757543131745492E-2</v>
      </c>
      <c r="J1109" s="636">
        <f>J1108/(D1108+E1108+G1108+H1108+I1108+J1108+L1108+M1108+N1108)</f>
        <v>0</v>
      </c>
      <c r="K1109" s="637">
        <f t="shared" si="35"/>
        <v>0.35442543525642711</v>
      </c>
      <c r="L1109" s="636">
        <f>L1108/(D1108+E1108+G1108+H1108+I1108+J1108+L1108+M1108+N1108)</f>
        <v>4.2898689635251175E-2</v>
      </c>
      <c r="M1109" s="636">
        <f>M1108/(D1108+E1108+G1108+H1108+I1108+J1108+L1108+M1108+N1108)</f>
        <v>0</v>
      </c>
      <c r="N1109" s="636">
        <f>N1108/(D1108+E1108+G1108+H1108+I1108+J1108+L1108+M1108+N1108)</f>
        <v>0.26240119744754603</v>
      </c>
      <c r="O1109" s="1503"/>
    </row>
    <row r="1110" spans="1:15" ht="12" customHeight="1">
      <c r="A1110" s="1527"/>
      <c r="B1110" s="1502" t="s">
        <v>14939</v>
      </c>
      <c r="C1110" s="638" t="s">
        <v>6218</v>
      </c>
      <c r="D1110" s="639">
        <v>75174</v>
      </c>
      <c r="E1110" s="639">
        <v>15968</v>
      </c>
      <c r="F1110" s="640">
        <f t="shared" si="34"/>
        <v>91142</v>
      </c>
      <c r="G1110" s="639">
        <v>73701</v>
      </c>
      <c r="H1110" s="639">
        <v>12637</v>
      </c>
      <c r="I1110" s="639"/>
      <c r="J1110" s="639"/>
      <c r="K1110" s="640">
        <f t="shared" si="35"/>
        <v>86338</v>
      </c>
      <c r="L1110" s="639">
        <v>11928</v>
      </c>
      <c r="M1110" s="639">
        <v>4885</v>
      </c>
      <c r="N1110" s="639">
        <v>111151</v>
      </c>
      <c r="O1110" s="1503">
        <f>1-N1111</f>
        <v>0.63610023441285479</v>
      </c>
    </row>
    <row r="1111" spans="1:15" ht="12" customHeight="1">
      <c r="A1111" s="1527"/>
      <c r="B1111" s="1502"/>
      <c r="C1111" s="635" t="s">
        <v>6219</v>
      </c>
      <c r="D1111" s="636">
        <f>D1110/(D1110+E1110+G1110+H1110+I1110+J1110+L1110+M1110+N1110)</f>
        <v>0.24611385393067142</v>
      </c>
      <c r="E1111" s="636">
        <f>E1110/(D1110+E1110+G1110+H1110+I1110+J1110+L1110+M1110+N1110)</f>
        <v>5.2277995311742903E-2</v>
      </c>
      <c r="F1111" s="637">
        <f t="shared" si="34"/>
        <v>0.29839184924241435</v>
      </c>
      <c r="G1111" s="636">
        <f>G1110/(D1110+E1110+G1110+H1110+I1110+J1110+L1110+M1110+N1110)</f>
        <v>0.24129136601144563</v>
      </c>
      <c r="H1111" s="636">
        <f>H1110/(D1110+E1110+G1110+H1110+I1110+J1110+L1110+M1110+N1110)</f>
        <v>4.1372559290737417E-2</v>
      </c>
      <c r="I1111" s="636">
        <f>I1110/(D1110+E1110+G1110+H1110+I1110+J1110+L1110+M1110+N1110)</f>
        <v>0</v>
      </c>
      <c r="J1111" s="636">
        <f>J1110/(D1110+E1110+G1110+H1110+I1110+J1110+L1110+M1110+N1110)</f>
        <v>0</v>
      </c>
      <c r="K1111" s="637">
        <f t="shared" si="35"/>
        <v>0.28266392530218304</v>
      </c>
      <c r="L1111" s="636">
        <f>L1110/(D1110+E1110+G1110+H1110+I1110+J1110+L1110+M1110+N1110)</f>
        <v>3.905134820130695E-2</v>
      </c>
      <c r="M1111" s="636">
        <f>M1110/(D1110+E1110+G1110+H1110+I1110+J1110+L1110+M1110+N1110)</f>
        <v>1.5993111666950405E-2</v>
      </c>
      <c r="N1111" s="636">
        <f>N1110/(D1110+E1110+G1110+H1110+I1110+J1110+L1110+M1110+N1110)</f>
        <v>0.36389976558714526</v>
      </c>
      <c r="O1111" s="1503"/>
    </row>
    <row r="1112" spans="1:15" ht="12" customHeight="1">
      <c r="A1112" s="1527"/>
      <c r="B1112" s="1502" t="s">
        <v>14940</v>
      </c>
      <c r="C1112" s="638" t="s">
        <v>6218</v>
      </c>
      <c r="D1112" s="639">
        <v>83928</v>
      </c>
      <c r="E1112" s="639">
        <v>15841</v>
      </c>
      <c r="F1112" s="640">
        <f t="shared" si="34"/>
        <v>99769</v>
      </c>
      <c r="G1112" s="639">
        <v>79915</v>
      </c>
      <c r="H1112" s="639">
        <v>17167</v>
      </c>
      <c r="I1112" s="639"/>
      <c r="J1112" s="639"/>
      <c r="K1112" s="640">
        <f t="shared" si="35"/>
        <v>97082</v>
      </c>
      <c r="L1112" s="639">
        <v>12609</v>
      </c>
      <c r="M1112" s="639"/>
      <c r="N1112" s="639">
        <v>96113</v>
      </c>
      <c r="O1112" s="1503">
        <f>1-N1113</f>
        <v>0.68546632065005741</v>
      </c>
    </row>
    <row r="1113" spans="1:15" ht="12" customHeight="1" thickBot="1">
      <c r="A1113" s="1528"/>
      <c r="B1113" s="1514"/>
      <c r="C1113" s="641" t="s">
        <v>6219</v>
      </c>
      <c r="D1113" s="642">
        <f>D1112/(D1112+E1112+G1112+H1112+I1112+J1112+L1112+M1112+N1112)</f>
        <v>0.27465777408344322</v>
      </c>
      <c r="E1113" s="642">
        <f>E1112/(D1112+E1112+G1112+H1112+I1112+J1112+L1112+M1112+N1112)</f>
        <v>5.184031311666934E-2</v>
      </c>
      <c r="F1113" s="643">
        <f t="shared" si="34"/>
        <v>0.32649808720011253</v>
      </c>
      <c r="G1113" s="642">
        <f>G1112/(D1112+E1112+G1112+H1112+I1112+J1112+L1112+M1112+N1112)</f>
        <v>0.2615250692960438</v>
      </c>
      <c r="H1113" s="642">
        <f>H1112/(D1112+E1112+G1112+H1112+I1112+J1112+L1112+M1112+N1112)</f>
        <v>5.6179701740664258E-2</v>
      </c>
      <c r="I1113" s="642">
        <f>I1112/(D1112+E1112+G1112+H1112+I1112+J1112+L1112+M1112+N1112)</f>
        <v>0</v>
      </c>
      <c r="J1113" s="642">
        <f>J1112/(D1112+E1112+G1112+H1112+I1112+J1112+L1112+M1112+N1112)</f>
        <v>0</v>
      </c>
      <c r="K1113" s="643">
        <f t="shared" si="35"/>
        <v>0.31770477103670808</v>
      </c>
      <c r="L1113" s="642">
        <f>L1112/(D1112+E1112+G1112+H1112+I1112+J1112+L1112+M1112+N1112)</f>
        <v>4.1263462413236772E-2</v>
      </c>
      <c r="M1113" s="642">
        <f>M1112/(D1112+E1112+G1112+H1112+I1112+J1112+L1112+M1112+N1112)</f>
        <v>0</v>
      </c>
      <c r="N1113" s="642">
        <f>N1112/(D1112+E1112+G1112+H1112+I1112+J1112+L1112+M1112+N1112)</f>
        <v>0.31453367934994259</v>
      </c>
      <c r="O1113" s="1515"/>
    </row>
    <row r="1114" spans="1:15" ht="12" customHeight="1">
      <c r="A1114" s="1516" t="s">
        <v>15077</v>
      </c>
      <c r="B1114" s="1509" t="s">
        <v>14937</v>
      </c>
      <c r="C1114" s="647" t="s">
        <v>6218</v>
      </c>
      <c r="D1114" s="648">
        <v>50698</v>
      </c>
      <c r="E1114" s="648">
        <v>14676</v>
      </c>
      <c r="F1114" s="649">
        <f t="shared" si="34"/>
        <v>65374</v>
      </c>
      <c r="G1114" s="648">
        <v>56851</v>
      </c>
      <c r="H1114" s="648">
        <v>18554</v>
      </c>
      <c r="I1114" s="648">
        <v>7982</v>
      </c>
      <c r="J1114" s="648">
        <v>2651</v>
      </c>
      <c r="K1114" s="649">
        <f t="shared" si="35"/>
        <v>86038</v>
      </c>
      <c r="L1114" s="648">
        <v>6383</v>
      </c>
      <c r="M1114" s="648">
        <v>2250</v>
      </c>
      <c r="N1114" s="648">
        <v>103127</v>
      </c>
      <c r="O1114" s="1510">
        <f>1-N1115</f>
        <v>0.60813840378155737</v>
      </c>
    </row>
    <row r="1115" spans="1:15" ht="12" customHeight="1">
      <c r="A1115" s="1517"/>
      <c r="B1115" s="1502"/>
      <c r="C1115" s="635" t="s">
        <v>6219</v>
      </c>
      <c r="D1115" s="636">
        <f>D1114/(D1114+E1114+G1114+H1114+I1114+J1114+L1114+M1114+N1114)</f>
        <v>0.19264207438481298</v>
      </c>
      <c r="E1115" s="636">
        <f>E1114/(D1114+E1114+G1114+H1114+I1114+J1114+L1114+M1114+N1114)</f>
        <v>5.5765810952532947E-2</v>
      </c>
      <c r="F1115" s="637">
        <f t="shared" si="34"/>
        <v>0.24840788533734592</v>
      </c>
      <c r="G1115" s="636">
        <f>G1114/(D1114+E1114+G1114+H1114+I1114+J1114+L1114+M1114+N1114)</f>
        <v>0.21602222120894321</v>
      </c>
      <c r="H1115" s="636">
        <f>H1114/(D1114+E1114+G1114+H1114+I1114+J1114+L1114+M1114+N1114)</f>
        <v>7.0501421123827762E-2</v>
      </c>
      <c r="I1115" s="636">
        <f>I1114/(D1114+E1114+G1114+H1114+I1114+J1114+L1114+M1114+N1114)</f>
        <v>3.0329974313376803E-2</v>
      </c>
      <c r="J1115" s="636">
        <f>J1114/(D1114+E1114+G1114+H1114+I1114+J1114+L1114+M1114+N1114)</f>
        <v>1.0073260073260074E-2</v>
      </c>
      <c r="K1115" s="637">
        <f t="shared" si="35"/>
        <v>0.32692687671940784</v>
      </c>
      <c r="L1115" s="636">
        <f>L1114/(D1114+E1114+G1114+H1114+I1114+J1114+L1114+M1114+N1114)</f>
        <v>2.425409998024106E-2</v>
      </c>
      <c r="M1115" s="636">
        <f>M1114/(D1114+E1114+G1114+H1114+I1114+J1114+L1114+M1114+N1114)</f>
        <v>8.5495417445624923E-3</v>
      </c>
      <c r="N1115" s="636">
        <f>N1114/(D1114+E1114+G1114+H1114+I1114+J1114+L1114+M1114+N1114)</f>
        <v>0.39186159621844269</v>
      </c>
      <c r="O1115" s="1503"/>
    </row>
    <row r="1116" spans="1:15" ht="12" customHeight="1">
      <c r="A1116" s="1517"/>
      <c r="B1116" s="1502" t="s">
        <v>14938</v>
      </c>
      <c r="C1116" s="638" t="s">
        <v>6218</v>
      </c>
      <c r="D1116" s="639">
        <v>65252</v>
      </c>
      <c r="E1116" s="639">
        <v>15999</v>
      </c>
      <c r="F1116" s="640">
        <f t="shared" si="34"/>
        <v>81251</v>
      </c>
      <c r="G1116" s="639">
        <v>47931</v>
      </c>
      <c r="H1116" s="639">
        <v>9568</v>
      </c>
      <c r="I1116" s="639">
        <v>21592</v>
      </c>
      <c r="J1116" s="639"/>
      <c r="K1116" s="640">
        <f t="shared" si="35"/>
        <v>79091</v>
      </c>
      <c r="L1116" s="639">
        <v>8601</v>
      </c>
      <c r="M1116" s="639"/>
      <c r="N1116" s="639">
        <v>93712</v>
      </c>
      <c r="O1116" s="1503">
        <f>1-N1117</f>
        <v>0.64321257923892561</v>
      </c>
    </row>
    <row r="1117" spans="1:15" ht="12" customHeight="1">
      <c r="A1117" s="1517"/>
      <c r="B1117" s="1502"/>
      <c r="C1117" s="635" t="s">
        <v>6219</v>
      </c>
      <c r="D1117" s="636">
        <f>D1116/(D1116+E1116+G1116+H1116+I1116+J1116+L1116+M1116+N1116)</f>
        <v>0.24843235422893148</v>
      </c>
      <c r="E1117" s="636">
        <f>E1116/(D1116+E1116+G1116+H1116+I1116+J1116+L1116+M1116+N1116)</f>
        <v>6.0912603986217659E-2</v>
      </c>
      <c r="F1117" s="637">
        <f t="shared" si="34"/>
        <v>0.30934495821514912</v>
      </c>
      <c r="G1117" s="636">
        <f>G1116/(D1116+E1116+G1116+H1116+I1116+J1116+L1116+M1116+N1116)</f>
        <v>0.18248653176219756</v>
      </c>
      <c r="H1117" s="636">
        <f>H1116/(D1116+E1116+G1116+H1116+I1116+J1116+L1116+M1116+N1116)</f>
        <v>3.6428013934629078E-2</v>
      </c>
      <c r="I1117" s="636">
        <f>I1116/(D1116+E1116+G1116+H1116+I1116+J1116+L1116+M1116+N1116)</f>
        <v>8.2206696997963111E-2</v>
      </c>
      <c r="J1117" s="636">
        <f>J1116/(D1116+E1116+G1116+H1116+I1116+J1116+L1116+M1116+N1116)</f>
        <v>0</v>
      </c>
      <c r="K1117" s="637">
        <f t="shared" si="35"/>
        <v>0.30112124269478974</v>
      </c>
      <c r="L1117" s="636">
        <f>L1116/(D1116+E1116+G1116+H1116+I1116+J1116+L1116+M1116+N1116)</f>
        <v>3.2746378328986692E-2</v>
      </c>
      <c r="M1117" s="636">
        <f>M1116/(D1116+E1116+G1116+H1116+I1116+J1116+L1116+M1116+N1116)</f>
        <v>0</v>
      </c>
      <c r="N1117" s="636">
        <f>N1116/(D1116+E1116+G1116+H1116+I1116+J1116+L1116+M1116+N1116)</f>
        <v>0.35678742076107439</v>
      </c>
      <c r="O1117" s="1503"/>
    </row>
    <row r="1118" spans="1:15" ht="12" customHeight="1">
      <c r="A1118" s="1517"/>
      <c r="B1118" s="1502" t="s">
        <v>14939</v>
      </c>
      <c r="C1118" s="638" t="s">
        <v>6218</v>
      </c>
      <c r="D1118" s="639">
        <v>47442</v>
      </c>
      <c r="E1118" s="639">
        <v>15631</v>
      </c>
      <c r="F1118" s="640">
        <f t="shared" si="34"/>
        <v>63073</v>
      </c>
      <c r="G1118" s="639">
        <v>44228</v>
      </c>
      <c r="H1118" s="639">
        <v>10932</v>
      </c>
      <c r="I1118" s="639"/>
      <c r="J1118" s="639"/>
      <c r="K1118" s="640">
        <f t="shared" si="35"/>
        <v>55160</v>
      </c>
      <c r="L1118" s="639">
        <v>7855</v>
      </c>
      <c r="M1118" s="639">
        <v>4517</v>
      </c>
      <c r="N1118" s="639">
        <v>131405</v>
      </c>
      <c r="O1118" s="1503">
        <f>1-N1119</f>
        <v>0.49847334071218652</v>
      </c>
    </row>
    <row r="1119" spans="1:15" ht="12" customHeight="1">
      <c r="A1119" s="1517"/>
      <c r="B1119" s="1502"/>
      <c r="C1119" s="635" t="s">
        <v>6219</v>
      </c>
      <c r="D1119" s="636">
        <f>D1118/(D1118+E1118+G1118+H1118+I1118+J1118+L1118+M1118+N1118)</f>
        <v>0.18106942483111332</v>
      </c>
      <c r="E1119" s="636">
        <f>E1118/(D1118+E1118+G1118+H1118+I1118+J1118+L1118+M1118+N1118)</f>
        <v>5.9658028319529786E-2</v>
      </c>
      <c r="F1119" s="637">
        <f t="shared" si="34"/>
        <v>0.24072745315064312</v>
      </c>
      <c r="G1119" s="636">
        <f>G1118/(D1118+E1118+G1118+H1118+I1118+J1118+L1118+M1118+N1118)</f>
        <v>0.16880271745353231</v>
      </c>
      <c r="H1119" s="636">
        <f>H1118/(D1118+E1118+G1118+H1118+I1118+J1118+L1118+M1118+N1118)</f>
        <v>4.172359833594138E-2</v>
      </c>
      <c r="I1119" s="636">
        <f>I1118/(D1118+E1118+G1118+H1118+I1118+J1118+L1118+M1118+N1118)</f>
        <v>0</v>
      </c>
      <c r="J1119" s="636">
        <f>J1118/(D1118+E1118+G1118+H1118+I1118+J1118+L1118+M1118+N1118)</f>
        <v>0</v>
      </c>
      <c r="K1119" s="637">
        <f t="shared" si="35"/>
        <v>0.2105263157894737</v>
      </c>
      <c r="L1119" s="636">
        <f>L1118/(D1118+E1118+G1118+H1118+I1118+J1118+L1118+M1118+N1118)</f>
        <v>2.9979771764436471E-2</v>
      </c>
      <c r="M1119" s="636">
        <f>M1118/(D1118+E1118+G1118+H1118+I1118+J1118+L1118+M1118+N1118)</f>
        <v>1.7239800007633296E-2</v>
      </c>
      <c r="N1119" s="636">
        <f>N1118/(D1118+E1118+G1118+H1118+I1118+J1118+L1118+M1118+N1118)</f>
        <v>0.50152665928781348</v>
      </c>
      <c r="O1119" s="1503"/>
    </row>
    <row r="1120" spans="1:15" ht="12" customHeight="1">
      <c r="A1120" s="1517"/>
      <c r="B1120" s="1502" t="s">
        <v>14940</v>
      </c>
      <c r="C1120" s="638" t="s">
        <v>6218</v>
      </c>
      <c r="D1120" s="639">
        <v>57191</v>
      </c>
      <c r="E1120" s="639">
        <v>14584</v>
      </c>
      <c r="F1120" s="640">
        <f t="shared" si="34"/>
        <v>71775</v>
      </c>
      <c r="G1120" s="639">
        <v>45304</v>
      </c>
      <c r="H1120" s="639">
        <v>9517</v>
      </c>
      <c r="I1120" s="639"/>
      <c r="J1120" s="639"/>
      <c r="K1120" s="640">
        <f t="shared" si="35"/>
        <v>54821</v>
      </c>
      <c r="L1120" s="639">
        <v>9063</v>
      </c>
      <c r="M1120" s="639"/>
      <c r="N1120" s="639">
        <v>125910</v>
      </c>
      <c r="O1120" s="1503">
        <f>1-N1121</f>
        <v>0.51863561813517656</v>
      </c>
    </row>
    <row r="1121" spans="1:15" ht="12" customHeight="1" thickBot="1">
      <c r="A1121" s="1519"/>
      <c r="B1121" s="1514"/>
      <c r="C1121" s="641" t="s">
        <v>6219</v>
      </c>
      <c r="D1121" s="642">
        <f>D1120/(D1120+E1120+G1120+H1120+I1120+J1120+L1120+M1120+N1120)</f>
        <v>0.21864594045930519</v>
      </c>
      <c r="E1121" s="642">
        <f>E1120/(D1120+E1120+G1120+H1120+I1120+J1120+L1120+M1120+N1120)</f>
        <v>5.5755842626610951E-2</v>
      </c>
      <c r="F1121" s="643">
        <f t="shared" si="34"/>
        <v>0.27440178308591612</v>
      </c>
      <c r="G1121" s="642">
        <f>G1120/(D1120+E1120+G1120+H1120+I1120+J1120+L1120+M1120+N1120)</f>
        <v>0.17320095271228625</v>
      </c>
      <c r="H1121" s="642">
        <f>H1120/(D1120+E1120+G1120+H1120+I1120+J1120+L1120+M1120+N1120)</f>
        <v>3.6384281011893609E-2</v>
      </c>
      <c r="I1121" s="642">
        <f>I1120/(D1120+E1120+G1120+H1120+I1120+J1120+L1120+M1120+N1120)</f>
        <v>0</v>
      </c>
      <c r="J1121" s="642">
        <f>J1120/(D1120+E1120+G1120+H1120+I1120+J1120+L1120+M1120+N1120)</f>
        <v>0</v>
      </c>
      <c r="K1121" s="643">
        <f t="shared" si="35"/>
        <v>0.20958523372417986</v>
      </c>
      <c r="L1121" s="642">
        <f>L1120/(D1120+E1120+G1120+H1120+I1120+J1120+L1120+M1120+N1120)</f>
        <v>3.4648601325080575E-2</v>
      </c>
      <c r="M1121" s="642">
        <f>M1120/(D1120+E1120+G1120+H1120+I1120+J1120+L1120+M1120+N1120)</f>
        <v>0</v>
      </c>
      <c r="N1121" s="642">
        <f>N1120/(D1120+E1120+G1120+H1120+I1120+J1120+L1120+M1120+N1120)</f>
        <v>0.48136438186482344</v>
      </c>
      <c r="O1121" s="1515"/>
    </row>
    <row r="1122" spans="1:15" ht="12" customHeight="1">
      <c r="A1122" s="1516" t="s">
        <v>15078</v>
      </c>
      <c r="B1122" s="1509" t="s">
        <v>14937</v>
      </c>
      <c r="C1122" s="647" t="s">
        <v>6218</v>
      </c>
      <c r="D1122" s="648">
        <v>59462</v>
      </c>
      <c r="E1122" s="648">
        <v>14233</v>
      </c>
      <c r="F1122" s="649">
        <f t="shared" si="34"/>
        <v>73695</v>
      </c>
      <c r="G1122" s="648">
        <v>51667</v>
      </c>
      <c r="H1122" s="648">
        <v>17773</v>
      </c>
      <c r="I1122" s="648">
        <v>8723</v>
      </c>
      <c r="J1122" s="648">
        <v>2544</v>
      </c>
      <c r="K1122" s="649">
        <f t="shared" si="35"/>
        <v>80707</v>
      </c>
      <c r="L1122" s="648">
        <v>6376</v>
      </c>
      <c r="M1122" s="648">
        <v>2247</v>
      </c>
      <c r="N1122" s="648">
        <v>95059</v>
      </c>
      <c r="O1122" s="1510">
        <f>1-N1123</f>
        <v>0.63167418359913818</v>
      </c>
    </row>
    <row r="1123" spans="1:15" ht="12" customHeight="1">
      <c r="A1123" s="1517"/>
      <c r="B1123" s="1502"/>
      <c r="C1123" s="635" t="s">
        <v>6219</v>
      </c>
      <c r="D1123" s="636">
        <f>D1122/(D1122+E1122+G1122+H1122+I1122+J1122+L1122+M1122+N1122)</f>
        <v>0.23039785496195037</v>
      </c>
      <c r="E1123" s="636">
        <f>E1122/(D1122+E1122+G1122+H1122+I1122+J1122+L1122+M1122+N1122)</f>
        <v>5.5148711272298943E-2</v>
      </c>
      <c r="F1123" s="637">
        <f t="shared" si="34"/>
        <v>0.28554656623424929</v>
      </c>
      <c r="G1123" s="636">
        <f>G1122/(D1122+E1122+G1122+H1122+I1122+J1122+L1122+M1122+N1122)</f>
        <v>0.20019451031447125</v>
      </c>
      <c r="H1123" s="636">
        <f>H1122/(D1122+E1122+G1122+H1122+I1122+J1122+L1122+M1122+N1122)</f>
        <v>6.8865175679236224E-2</v>
      </c>
      <c r="I1123" s="636">
        <f>I1122/(D1122+E1122+G1122+H1122+I1122+J1122+L1122+M1122+N1122)</f>
        <v>3.3799073169975664E-2</v>
      </c>
      <c r="J1123" s="636">
        <f>J1122/(D1122+E1122+G1122+H1122+I1122+J1122+L1122+M1122+N1122)</f>
        <v>9.8572557771888225E-3</v>
      </c>
      <c r="K1123" s="637">
        <f t="shared" si="35"/>
        <v>0.31271601494087192</v>
      </c>
      <c r="L1123" s="636">
        <f>L1122/(D1122+E1122+G1122+H1122+I1122+J1122+L1122+M1122+N1122)</f>
        <v>2.4705134762325446E-2</v>
      </c>
      <c r="M1123" s="636">
        <f>M1122/(D1122+E1122+G1122+H1122+I1122+J1122+L1122+M1122+N1122)</f>
        <v>8.7064676616915426E-3</v>
      </c>
      <c r="N1123" s="636">
        <f>N1122/(D1122+E1122+G1122+H1122+I1122+J1122+L1122+M1122+N1122)</f>
        <v>0.36832581640086176</v>
      </c>
      <c r="O1123" s="1503"/>
    </row>
    <row r="1124" spans="1:15" ht="12" customHeight="1">
      <c r="A1124" s="1517"/>
      <c r="B1124" s="1502" t="s">
        <v>14938</v>
      </c>
      <c r="C1124" s="638" t="s">
        <v>6218</v>
      </c>
      <c r="D1124" s="639">
        <v>71779</v>
      </c>
      <c r="E1124" s="639">
        <v>13997</v>
      </c>
      <c r="F1124" s="640">
        <f t="shared" si="34"/>
        <v>85776</v>
      </c>
      <c r="G1124" s="639">
        <v>44478</v>
      </c>
      <c r="H1124" s="639">
        <v>12470</v>
      </c>
      <c r="I1124" s="639">
        <v>24582</v>
      </c>
      <c r="J1124" s="639"/>
      <c r="K1124" s="640">
        <f t="shared" si="35"/>
        <v>81530</v>
      </c>
      <c r="L1124" s="639">
        <v>7561</v>
      </c>
      <c r="M1124" s="639"/>
      <c r="N1124" s="639">
        <v>83494</v>
      </c>
      <c r="O1124" s="1503">
        <f>1-N1125</f>
        <v>0.67683202960199096</v>
      </c>
    </row>
    <row r="1125" spans="1:15" ht="12" customHeight="1">
      <c r="A1125" s="1517"/>
      <c r="B1125" s="1502"/>
      <c r="C1125" s="635" t="s">
        <v>6219</v>
      </c>
      <c r="D1125" s="636">
        <f>D1124/(D1124+E1124+G1124+H1124+I1124+J1124+L1124+M1124+N1124)</f>
        <v>0.2778244394471302</v>
      </c>
      <c r="E1125" s="636">
        <f>E1124/(D1124+E1124+G1124+H1124+I1124+J1124+L1124+M1124+N1124)</f>
        <v>5.4176133394746112E-2</v>
      </c>
      <c r="F1125" s="637">
        <f t="shared" si="34"/>
        <v>0.33200057284187634</v>
      </c>
      <c r="G1125" s="636">
        <f>G1124/(D1124+E1124+G1124+H1124+I1124+J1124+L1124+M1124+N1124)</f>
        <v>0.1721544660378308</v>
      </c>
      <c r="H1125" s="636">
        <f>H1124/(D1124+E1124+G1124+H1124+I1124+J1124+L1124+M1124+N1124)</f>
        <v>4.8265798630598274E-2</v>
      </c>
      <c r="I1125" s="636">
        <f>I1124/(D1124+E1124+G1124+H1124+I1124+J1124+L1124+M1124+N1124)</f>
        <v>9.514593920909116E-2</v>
      </c>
      <c r="J1125" s="636">
        <f>J1124/(D1124+E1124+G1124+H1124+I1124+J1124+L1124+M1124+N1124)</f>
        <v>0</v>
      </c>
      <c r="K1125" s="637">
        <f t="shared" si="35"/>
        <v>0.31556620387752021</v>
      </c>
      <c r="L1125" s="636">
        <f>L1124/(D1124+E1124+G1124+H1124+I1124+J1124+L1124+M1124+N1124)</f>
        <v>2.926525288259451E-2</v>
      </c>
      <c r="M1125" s="636">
        <f>M1124/(D1124+E1124+G1124+H1124+I1124+J1124+L1124+M1124+N1124)</f>
        <v>0</v>
      </c>
      <c r="N1125" s="636">
        <f>N1124/(D1124+E1124+G1124+H1124+I1124+J1124+L1124+M1124+N1124)</f>
        <v>0.32316797039800899</v>
      </c>
      <c r="O1125" s="1503"/>
    </row>
    <row r="1126" spans="1:15" ht="12" customHeight="1">
      <c r="A1126" s="1517"/>
      <c r="B1126" s="1502" t="s">
        <v>14939</v>
      </c>
      <c r="C1126" s="638" t="s">
        <v>6218</v>
      </c>
      <c r="D1126" s="639">
        <v>61872</v>
      </c>
      <c r="E1126" s="639">
        <v>13862</v>
      </c>
      <c r="F1126" s="640">
        <f t="shared" si="34"/>
        <v>75734</v>
      </c>
      <c r="G1126" s="639">
        <v>46174</v>
      </c>
      <c r="H1126" s="639">
        <v>12866</v>
      </c>
      <c r="I1126" s="639"/>
      <c r="J1126" s="639"/>
      <c r="K1126" s="640">
        <f t="shared" si="35"/>
        <v>59040</v>
      </c>
      <c r="L1126" s="639">
        <v>6528</v>
      </c>
      <c r="M1126" s="639">
        <v>4475</v>
      </c>
      <c r="N1126" s="639">
        <v>111810</v>
      </c>
      <c r="O1126" s="1503">
        <f>1-N1127</f>
        <v>0.56593306339217431</v>
      </c>
    </row>
    <row r="1127" spans="1:15" ht="12" customHeight="1">
      <c r="A1127" s="1517"/>
      <c r="B1127" s="1502"/>
      <c r="C1127" s="635" t="s">
        <v>6219</v>
      </c>
      <c r="D1127" s="636">
        <f>D1126/(D1126+E1126+G1126+H1126+I1126+J1126+L1126+M1126+N1126)</f>
        <v>0.24019845722027897</v>
      </c>
      <c r="E1127" s="636">
        <f>E1126/(D1126+E1126+G1126+H1126+I1126+J1126+L1126+M1126+N1126)</f>
        <v>5.3814827611641892E-2</v>
      </c>
      <c r="F1127" s="637">
        <f t="shared" si="34"/>
        <v>0.29401328483192085</v>
      </c>
      <c r="G1127" s="636">
        <f>G1126/(D1126+E1126+G1126+H1126+I1126+J1126+L1126+M1126+N1126)</f>
        <v>0.17925594071129367</v>
      </c>
      <c r="H1127" s="636">
        <f>H1126/(D1126+E1126+G1126+H1126+I1126+J1126+L1126+M1126+N1126)</f>
        <v>4.9948172850337945E-2</v>
      </c>
      <c r="I1127" s="636">
        <f>I1126/(D1126+E1126+G1126+H1126+I1126+J1126+L1126+M1126+N1126)</f>
        <v>0</v>
      </c>
      <c r="J1127" s="636">
        <f>J1126/(D1126+E1126+G1126+H1126+I1126+J1126+L1126+M1126+N1126)</f>
        <v>0</v>
      </c>
      <c r="K1127" s="637">
        <f t="shared" si="35"/>
        <v>0.22920411356163162</v>
      </c>
      <c r="L1127" s="636">
        <f>L1126/(D1126+E1126+G1126+H1126+I1126+J1126+L1126+M1126+N1126)</f>
        <v>2.5342893857221056E-2</v>
      </c>
      <c r="M1127" s="636">
        <f>M1126/(D1126+E1126+G1126+H1126+I1126+J1126+L1126+M1126+N1126)</f>
        <v>1.7372771141400768E-2</v>
      </c>
      <c r="N1127" s="636">
        <f>N1126/(D1126+E1126+G1126+H1126+I1126+J1126+L1126+M1126+N1126)</f>
        <v>0.43406693660782569</v>
      </c>
      <c r="O1127" s="1503"/>
    </row>
    <row r="1128" spans="1:15" ht="12" customHeight="1">
      <c r="A1128" s="1517"/>
      <c r="B1128" s="1502" t="s">
        <v>14940</v>
      </c>
      <c r="C1128" s="638" t="s">
        <v>6218</v>
      </c>
      <c r="D1128" s="639">
        <v>74964</v>
      </c>
      <c r="E1128" s="639">
        <v>13231</v>
      </c>
      <c r="F1128" s="640">
        <f t="shared" si="34"/>
        <v>88195</v>
      </c>
      <c r="G1128" s="639">
        <v>43469</v>
      </c>
      <c r="H1128" s="639">
        <v>14189</v>
      </c>
      <c r="I1128" s="639"/>
      <c r="J1128" s="639"/>
      <c r="K1128" s="640">
        <f t="shared" si="35"/>
        <v>57658</v>
      </c>
      <c r="L1128" s="639">
        <v>8160</v>
      </c>
      <c r="M1128" s="639"/>
      <c r="N1128" s="639">
        <v>103557</v>
      </c>
      <c r="O1128" s="1503">
        <f>1-N1129</f>
        <v>0.59794618938540978</v>
      </c>
    </row>
    <row r="1129" spans="1:15" ht="12" customHeight="1" thickBot="1">
      <c r="A1129" s="1519"/>
      <c r="B1129" s="1514"/>
      <c r="C1129" s="641" t="s">
        <v>6219</v>
      </c>
      <c r="D1129" s="642">
        <f>D1128/(D1128+E1128+G1128+H1128+I1128+J1128+L1128+M1128+N1128)</f>
        <v>0.29104321155414065</v>
      </c>
      <c r="E1129" s="642">
        <f>E1128/(D1128+E1128+G1128+H1128+I1128+J1128+L1128+M1128+N1128)</f>
        <v>5.1368560003105954E-2</v>
      </c>
      <c r="F1129" s="643">
        <f t="shared" si="34"/>
        <v>0.34241177155724661</v>
      </c>
      <c r="G1129" s="642">
        <f>G1128/(D1128+E1128+G1128+H1128+I1128+J1128+L1128+M1128+N1128)</f>
        <v>0.16876577241138332</v>
      </c>
      <c r="H1129" s="642">
        <f>H1128/(D1128+E1128+G1128+H1128+I1128+J1128+L1128+M1128+N1128)</f>
        <v>5.5087937259774039E-2</v>
      </c>
      <c r="I1129" s="642">
        <f>I1128/(D1128+E1128+G1128+H1128+I1128+J1128+L1128+M1128+N1128)</f>
        <v>0</v>
      </c>
      <c r="J1129" s="642">
        <f>J1128/(D1128+E1128+G1128+H1128+I1128+J1128+L1128+M1128+N1128)</f>
        <v>0</v>
      </c>
      <c r="K1129" s="643">
        <f t="shared" si="35"/>
        <v>0.22385370967115736</v>
      </c>
      <c r="L1129" s="642">
        <f>L1128/(D1128+E1128+G1128+H1128+I1128+J1128+L1128+M1128+N1128)</f>
        <v>3.1680708157005862E-2</v>
      </c>
      <c r="M1129" s="642">
        <f>M1128/(D1128+E1128+G1128+H1128+I1128+J1128+L1128+M1128+N1128)</f>
        <v>0</v>
      </c>
      <c r="N1129" s="642">
        <f>N1128/(D1128+E1128+G1128+H1128+I1128+J1128+L1128+M1128+N1128)</f>
        <v>0.40205381061459022</v>
      </c>
      <c r="O1129" s="1515"/>
    </row>
    <row r="1130" spans="1:15" ht="12" customHeight="1">
      <c r="A1130" s="1523" t="s">
        <v>15079</v>
      </c>
      <c r="B1130" s="1509" t="s">
        <v>14937</v>
      </c>
      <c r="C1130" s="647" t="s">
        <v>6218</v>
      </c>
      <c r="D1130" s="648">
        <v>90686</v>
      </c>
      <c r="E1130" s="648">
        <v>16961</v>
      </c>
      <c r="F1130" s="649">
        <f t="shared" si="34"/>
        <v>107647</v>
      </c>
      <c r="G1130" s="648">
        <v>69006</v>
      </c>
      <c r="H1130" s="648">
        <v>27826</v>
      </c>
      <c r="I1130" s="648">
        <v>27029</v>
      </c>
      <c r="J1130" s="648">
        <v>3685</v>
      </c>
      <c r="K1130" s="649">
        <f t="shared" si="35"/>
        <v>127546</v>
      </c>
      <c r="L1130" s="648">
        <v>7000</v>
      </c>
      <c r="M1130" s="648">
        <v>3678</v>
      </c>
      <c r="N1130" s="648">
        <v>143342</v>
      </c>
      <c r="O1130" s="1510">
        <f>1-N1131</f>
        <v>0.63171322643385497</v>
      </c>
    </row>
    <row r="1131" spans="1:15" ht="12" customHeight="1">
      <c r="A1131" s="1524"/>
      <c r="B1131" s="1502"/>
      <c r="C1131" s="635" t="s">
        <v>6219</v>
      </c>
      <c r="D1131" s="636">
        <f>D1130/(D1130+E1130+G1130+H1130+I1130+J1130+L1130+M1130+N1130)</f>
        <v>0.23299838391831723</v>
      </c>
      <c r="E1131" s="636">
        <f>E1130/(D1130+E1130+G1130+H1130+I1130+J1130+L1130+M1130+N1130)</f>
        <v>4.3577681115481756E-2</v>
      </c>
      <c r="F1131" s="637">
        <f t="shared" si="34"/>
        <v>0.276576065033799</v>
      </c>
      <c r="G1131" s="636">
        <f>G1130/(D1130+E1130+G1130+H1130+I1130+J1130+L1130+M1130+N1130)</f>
        <v>0.17729623625110158</v>
      </c>
      <c r="H1131" s="636">
        <f>H1130/(D1130+E1130+G1130+H1130+I1130+J1130+L1130+M1130+N1130)</f>
        <v>7.1492987130440139E-2</v>
      </c>
      <c r="I1131" s="636">
        <f>I1130/(D1130+E1130+G1130+H1130+I1130+J1130+L1130+M1130+N1130)</f>
        <v>6.9445265188983918E-2</v>
      </c>
      <c r="J1131" s="636">
        <f>J1130/(D1130+E1130+G1130+H1130+I1130+J1130+L1130+M1130+N1130)</f>
        <v>9.4678235310742456E-3</v>
      </c>
      <c r="K1131" s="637">
        <f t="shared" si="35"/>
        <v>0.32770231210159984</v>
      </c>
      <c r="L1131" s="636">
        <f>L1130/(D1130+E1130+G1130+H1130+I1130+J1130+L1130+M1130+N1130)</f>
        <v>1.7985010778160032E-2</v>
      </c>
      <c r="M1131" s="636">
        <f>M1130/(D1130+E1130+G1130+H1130+I1130+J1130+L1130+M1130+N1130)</f>
        <v>9.4498385202960843E-3</v>
      </c>
      <c r="N1131" s="636">
        <f>N1130/(D1130+E1130+G1130+H1130+I1130+J1130+L1130+M1130+N1130)</f>
        <v>0.36828677356614503</v>
      </c>
      <c r="O1131" s="1503"/>
    </row>
    <row r="1132" spans="1:15" ht="12" customHeight="1">
      <c r="A1132" s="1524"/>
      <c r="B1132" s="1502" t="s">
        <v>14938</v>
      </c>
      <c r="C1132" s="638" t="s">
        <v>6218</v>
      </c>
      <c r="D1132" s="639">
        <v>110515</v>
      </c>
      <c r="E1132" s="639">
        <v>17305</v>
      </c>
      <c r="F1132" s="640">
        <f t="shared" si="34"/>
        <v>127820</v>
      </c>
      <c r="G1132" s="639">
        <v>63512</v>
      </c>
      <c r="H1132" s="639">
        <v>19196</v>
      </c>
      <c r="I1132" s="639">
        <v>64929</v>
      </c>
      <c r="J1132" s="639"/>
      <c r="K1132" s="640">
        <f t="shared" si="35"/>
        <v>147637</v>
      </c>
      <c r="L1132" s="639">
        <v>9049</v>
      </c>
      <c r="M1132" s="639"/>
      <c r="N1132" s="639">
        <v>106570</v>
      </c>
      <c r="O1132" s="1503">
        <f>1-N1133</f>
        <v>0.72749542288455449</v>
      </c>
    </row>
    <row r="1133" spans="1:15" ht="12" customHeight="1">
      <c r="A1133" s="1524"/>
      <c r="B1133" s="1502"/>
      <c r="C1133" s="635" t="s">
        <v>6219</v>
      </c>
      <c r="D1133" s="636">
        <f>D1132/(D1132+E1132+G1132+H1132+I1132+J1132+L1132+M1132+N1132)</f>
        <v>0.28259213042989084</v>
      </c>
      <c r="E1133" s="636">
        <f>E1132/(D1132+E1132+G1132+H1132+I1132+J1132+L1132+M1132+N1132)</f>
        <v>4.424971105360595E-2</v>
      </c>
      <c r="F1133" s="637">
        <f t="shared" si="34"/>
        <v>0.32684184148349682</v>
      </c>
      <c r="G1133" s="636">
        <f>G1132/(D1132+E1132+G1132+H1132+I1132+J1132+L1132+M1132+N1132)</f>
        <v>0.16240321574323149</v>
      </c>
      <c r="H1133" s="636">
        <f>H1132/(D1132+E1132+G1132+H1132+I1132+J1132+L1132+M1132+N1132)</f>
        <v>4.9085088320428766E-2</v>
      </c>
      <c r="I1133" s="636">
        <f>I1132/(D1132+E1132+G1132+H1132+I1132+J1132+L1132+M1132+N1132)</f>
        <v>0.16602655238367989</v>
      </c>
      <c r="J1133" s="636">
        <f>J1132/(D1132+E1132+G1132+H1132+I1132+J1132+L1132+M1132+N1132)</f>
        <v>0</v>
      </c>
      <c r="K1133" s="637">
        <f t="shared" si="35"/>
        <v>0.37751485644734017</v>
      </c>
      <c r="L1133" s="636">
        <f>L1132/(D1132+E1132+G1132+H1132+I1132+J1132+L1132+M1132+N1132)</f>
        <v>2.3138724953717434E-2</v>
      </c>
      <c r="M1133" s="636">
        <f>M1132/(D1132+E1132+G1132+H1132+I1132+J1132+L1132+M1132+N1132)</f>
        <v>0</v>
      </c>
      <c r="N1133" s="636">
        <f>N1132/(D1132+E1132+G1132+H1132+I1132+J1132+L1132+M1132+N1132)</f>
        <v>0.27250457711544557</v>
      </c>
      <c r="O1133" s="1503"/>
    </row>
    <row r="1134" spans="1:15" ht="12" customHeight="1">
      <c r="A1134" s="1524"/>
      <c r="B1134" s="1502" t="s">
        <v>14939</v>
      </c>
      <c r="C1134" s="638" t="s">
        <v>6218</v>
      </c>
      <c r="D1134" s="639">
        <v>102432</v>
      </c>
      <c r="E1134" s="639">
        <v>18380</v>
      </c>
      <c r="F1134" s="640">
        <f t="shared" si="34"/>
        <v>120812</v>
      </c>
      <c r="G1134" s="639">
        <v>64803</v>
      </c>
      <c r="H1134" s="639">
        <v>22129</v>
      </c>
      <c r="I1134" s="639"/>
      <c r="J1134" s="639"/>
      <c r="K1134" s="640">
        <f t="shared" si="35"/>
        <v>86932</v>
      </c>
      <c r="L1134" s="639">
        <v>8888</v>
      </c>
      <c r="M1134" s="639">
        <v>7756</v>
      </c>
      <c r="N1134" s="639">
        <v>167549</v>
      </c>
      <c r="O1134" s="1503">
        <f>1-N1135</f>
        <v>0.57251037794339399</v>
      </c>
    </row>
    <row r="1135" spans="1:15" ht="12" customHeight="1">
      <c r="A1135" s="1524"/>
      <c r="B1135" s="1502"/>
      <c r="C1135" s="635" t="s">
        <v>6219</v>
      </c>
      <c r="D1135" s="636">
        <f>D1134/(D1134+E1134+G1134+H1134+I1134+J1134+L1134+M1134+N1134)</f>
        <v>0.2613481248261838</v>
      </c>
      <c r="E1135" s="636">
        <f>E1134/(D1134+E1134+G1134+H1134+I1134+J1134+L1134+M1134+N1134)</f>
        <v>4.689529184537311E-2</v>
      </c>
      <c r="F1135" s="637">
        <f t="shared" si="34"/>
        <v>0.30824341667155691</v>
      </c>
      <c r="G1135" s="636">
        <f>G1134/(D1134+E1134+G1134+H1134+I1134+J1134+L1134+M1134+N1134)</f>
        <v>0.16534034806614328</v>
      </c>
      <c r="H1135" s="636">
        <f>H1134/(D1134+E1134+G1134+H1134+I1134+J1134+L1134+M1134+N1134)</f>
        <v>5.646060463799029E-2</v>
      </c>
      <c r="I1135" s="636">
        <f>I1134/(D1134+E1134+G1134+H1134+I1134+J1134+L1134+M1134+N1134)</f>
        <v>0</v>
      </c>
      <c r="J1135" s="636">
        <f>J1134/(D1134+E1134+G1134+H1134+I1134+J1134+L1134+M1134+N1134)</f>
        <v>0</v>
      </c>
      <c r="K1135" s="637">
        <f t="shared" si="35"/>
        <v>0.22180095270413358</v>
      </c>
      <c r="L1135" s="636">
        <f>L1134/(D1134+E1134+G1134+H1134+I1134+J1134+L1134+M1134+N1134)</f>
        <v>2.2677113923921445E-2</v>
      </c>
      <c r="M1135" s="636">
        <f>M1134/(D1134+E1134+G1134+H1134+I1134+J1134+L1134+M1134+N1134)</f>
        <v>1.9788894643782036E-2</v>
      </c>
      <c r="N1135" s="636">
        <f>N1134/(D1134+E1134+G1134+H1134+I1134+J1134+L1134+M1134+N1134)</f>
        <v>0.42748962205660601</v>
      </c>
      <c r="O1135" s="1503"/>
    </row>
    <row r="1136" spans="1:15" ht="12" customHeight="1">
      <c r="A1136" s="1524"/>
      <c r="B1136" s="1502" t="s">
        <v>14940</v>
      </c>
      <c r="C1136" s="638" t="s">
        <v>6218</v>
      </c>
      <c r="D1136" s="639">
        <v>118123</v>
      </c>
      <c r="E1136" s="639">
        <v>17386</v>
      </c>
      <c r="F1136" s="640">
        <f t="shared" si="34"/>
        <v>135509</v>
      </c>
      <c r="G1136" s="639">
        <v>54360</v>
      </c>
      <c r="H1136" s="639">
        <v>25819</v>
      </c>
      <c r="I1136" s="639"/>
      <c r="J1136" s="639"/>
      <c r="K1136" s="640">
        <f t="shared" si="35"/>
        <v>80179</v>
      </c>
      <c r="L1136" s="639">
        <v>10238</v>
      </c>
      <c r="M1136" s="639"/>
      <c r="N1136" s="639">
        <v>165782</v>
      </c>
      <c r="O1136" s="1503">
        <f>1-N1137</f>
        <v>0.57677147262756945</v>
      </c>
    </row>
    <row r="1137" spans="1:15" ht="12" customHeight="1" thickBot="1">
      <c r="A1137" s="1525"/>
      <c r="B1137" s="1514"/>
      <c r="C1137" s="641" t="s">
        <v>6219</v>
      </c>
      <c r="D1137" s="642">
        <f>D1136/(D1136+E1136+G1136+H1136+I1136+J1136+L1136+M1136+N1136)</f>
        <v>0.3015588142187548</v>
      </c>
      <c r="E1137" s="642">
        <f>E1136/(D1136+E1136+G1136+H1136+I1136+J1136+L1136+M1136+N1136)</f>
        <v>4.4385103189110257E-2</v>
      </c>
      <c r="F1137" s="643">
        <f t="shared" si="34"/>
        <v>0.34594391740786506</v>
      </c>
      <c r="G1137" s="642">
        <f>G1136/(D1136+E1136+G1136+H1136+I1136+J1136+L1136+M1136+N1136)</f>
        <v>0.13877684397561449</v>
      </c>
      <c r="H1137" s="642">
        <f>H1136/(D1136+E1136+G1136+H1136+I1136+J1136+L1136+M1136+N1136)</f>
        <v>6.5913895044267673E-2</v>
      </c>
      <c r="I1137" s="642">
        <f>I1136/(D1136+E1136+G1136+H1136+I1136+J1136+L1136+M1136+N1136)</f>
        <v>0</v>
      </c>
      <c r="J1137" s="642">
        <f>J1136/(D1136+E1136+G1136+H1136+I1136+J1136+L1136+M1136+N1136)</f>
        <v>0</v>
      </c>
      <c r="K1137" s="643">
        <f t="shared" si="35"/>
        <v>0.20469073901988216</v>
      </c>
      <c r="L1137" s="642">
        <f>L1136/(D1136+E1136+G1136+H1136+I1136+J1136+L1136+M1136+N1136)</f>
        <v>2.6136816199822315E-2</v>
      </c>
      <c r="M1137" s="642">
        <f>M1136/(D1136+E1136+G1136+H1136+I1136+J1136+L1136+M1136+N1136)</f>
        <v>0</v>
      </c>
      <c r="N1137" s="642">
        <f>N1136/(D1136+E1136+G1136+H1136+I1136+J1136+L1136+M1136+N1136)</f>
        <v>0.4232285273724305</v>
      </c>
      <c r="O1137" s="1515"/>
    </row>
    <row r="1138" spans="1:15" ht="12" customHeight="1">
      <c r="A1138" s="1516" t="s">
        <v>15080</v>
      </c>
      <c r="B1138" s="1509" t="s">
        <v>14937</v>
      </c>
      <c r="C1138" s="647" t="s">
        <v>6218</v>
      </c>
      <c r="D1138" s="648">
        <v>63065</v>
      </c>
      <c r="E1138" s="648">
        <v>18098</v>
      </c>
      <c r="F1138" s="649">
        <f t="shared" si="34"/>
        <v>81163</v>
      </c>
      <c r="G1138" s="648">
        <v>84263</v>
      </c>
      <c r="H1138" s="648">
        <v>6063</v>
      </c>
      <c r="I1138" s="648">
        <v>4458</v>
      </c>
      <c r="J1138" s="648">
        <v>5479</v>
      </c>
      <c r="K1138" s="649">
        <f t="shared" si="35"/>
        <v>100263</v>
      </c>
      <c r="L1138" s="648">
        <v>11849</v>
      </c>
      <c r="M1138" s="648">
        <v>3876</v>
      </c>
      <c r="N1138" s="648">
        <v>159956</v>
      </c>
      <c r="O1138" s="1510">
        <f>1-N1139</f>
        <v>0.5520782286541569</v>
      </c>
    </row>
    <row r="1139" spans="1:15" ht="12" customHeight="1">
      <c r="A1139" s="1517"/>
      <c r="B1139" s="1502"/>
      <c r="C1139" s="635" t="s">
        <v>6219</v>
      </c>
      <c r="D1139" s="636">
        <f>D1138/(D1138+E1138+G1138+H1138+I1138+J1138+L1138+M1138+N1138)</f>
        <v>0.17659973061295353</v>
      </c>
      <c r="E1139" s="636">
        <f>E1138/(D1138+E1138+G1138+H1138+I1138+J1138+L1138+M1138+N1138)</f>
        <v>5.0679488220617352E-2</v>
      </c>
      <c r="F1139" s="637">
        <f t="shared" si="34"/>
        <v>0.22727921883357088</v>
      </c>
      <c r="G1139" s="636">
        <f>G1138/(D1138+E1138+G1138+H1138+I1138+J1138+L1138+M1138+N1138)</f>
        <v>0.23596009039307547</v>
      </c>
      <c r="H1139" s="636">
        <f>H1138/(D1138+E1138+G1138+H1138+I1138+J1138+L1138+M1138+N1138)</f>
        <v>1.6978104601702012E-2</v>
      </c>
      <c r="I1139" s="636">
        <f>I1138/(D1138+E1138+G1138+H1138+I1138+J1138+L1138+M1138+N1138)</f>
        <v>1.2483653358797224E-2</v>
      </c>
      <c r="J1139" s="636">
        <f>J1138/(D1138+E1138+G1138+H1138+I1138+J1138+L1138+M1138+N1138)</f>
        <v>1.5342740411137278E-2</v>
      </c>
      <c r="K1139" s="637">
        <f t="shared" si="35"/>
        <v>0.28076458876471194</v>
      </c>
      <c r="L1139" s="636">
        <f>L1138/(D1138+E1138+G1138+H1138+I1138+J1138+L1138+M1138+N1138)</f>
        <v>3.3180531325345063E-2</v>
      </c>
      <c r="M1139" s="636">
        <f>M1138/(D1138+E1138+G1138+H1138+I1138+J1138+L1138+M1138+N1138)</f>
        <v>1.0853889730528945E-2</v>
      </c>
      <c r="N1139" s="636">
        <f>N1138/(D1138+E1138+G1138+H1138+I1138+J1138+L1138+M1138+N1138)</f>
        <v>0.4479217713458431</v>
      </c>
      <c r="O1139" s="1503"/>
    </row>
    <row r="1140" spans="1:15" ht="12" customHeight="1">
      <c r="A1140" s="1517"/>
      <c r="B1140" s="1502" t="s">
        <v>14938</v>
      </c>
      <c r="C1140" s="638" t="s">
        <v>6218</v>
      </c>
      <c r="D1140" s="639">
        <v>102335</v>
      </c>
      <c r="E1140" s="639">
        <v>21437</v>
      </c>
      <c r="F1140" s="640">
        <f t="shared" si="34"/>
        <v>123772</v>
      </c>
      <c r="G1140" s="639">
        <v>79487</v>
      </c>
      <c r="H1140" s="639">
        <v>9368</v>
      </c>
      <c r="I1140" s="639">
        <v>11365</v>
      </c>
      <c r="J1140" s="639"/>
      <c r="K1140" s="640">
        <f t="shared" si="35"/>
        <v>100220</v>
      </c>
      <c r="L1140" s="639">
        <v>14023</v>
      </c>
      <c r="M1140" s="639"/>
      <c r="N1140" s="639">
        <v>116669</v>
      </c>
      <c r="O1140" s="1503">
        <f>1-N1141</f>
        <v>0.67106212854258995</v>
      </c>
    </row>
    <row r="1141" spans="1:15" ht="12" customHeight="1">
      <c r="A1141" s="1517"/>
      <c r="B1141" s="1502"/>
      <c r="C1141" s="635" t="s">
        <v>6219</v>
      </c>
      <c r="D1141" s="636">
        <f>D1140/(D1140+E1140+G1140+H1140+I1140+J1140+L1140+M1140+N1140)</f>
        <v>0.28852443301643155</v>
      </c>
      <c r="E1141" s="636">
        <f>E1140/(D1140+E1140+G1140+H1140+I1140+J1140+L1140+M1140+N1140)</f>
        <v>6.0439715352257221E-2</v>
      </c>
      <c r="F1141" s="637">
        <f t="shared" si="34"/>
        <v>0.34896414836868878</v>
      </c>
      <c r="G1141" s="636">
        <f>G1140/(D1140+E1140+G1140+H1140+I1140+J1140+L1140+M1140+N1140)</f>
        <v>0.22410652862830013</v>
      </c>
      <c r="H1141" s="636">
        <f>H1140/(D1140+E1140+G1140+H1140+I1140+J1140+L1140+M1140+N1140)</f>
        <v>2.6412243010679928E-2</v>
      </c>
      <c r="I1141" s="636">
        <f>I1140/(D1140+E1140+G1140+H1140+I1140+J1140+L1140+M1140+N1140)</f>
        <v>3.2042606940262321E-2</v>
      </c>
      <c r="J1141" s="636">
        <f>J1140/(D1140+E1140+G1140+H1140+I1140+J1140+L1140+M1140+N1140)</f>
        <v>0</v>
      </c>
      <c r="K1141" s="637">
        <f t="shared" si="35"/>
        <v>0.28256137857924241</v>
      </c>
      <c r="L1141" s="636">
        <f>L1140/(D1140+E1140+G1140+H1140+I1140+J1140+L1140+M1140+N1140)</f>
        <v>3.953660159465891E-2</v>
      </c>
      <c r="M1141" s="636">
        <f>M1140/(D1140+E1140+G1140+H1140+I1140+J1140+L1140+M1140+N1140)</f>
        <v>0</v>
      </c>
      <c r="N1141" s="636">
        <f>N1140/(D1140+E1140+G1140+H1140+I1140+J1140+L1140+M1140+N1140)</f>
        <v>0.32893787145740999</v>
      </c>
      <c r="O1141" s="1503"/>
    </row>
    <row r="1142" spans="1:15" ht="12" customHeight="1">
      <c r="A1142" s="1517"/>
      <c r="B1142" s="1502" t="s">
        <v>14939</v>
      </c>
      <c r="C1142" s="638" t="s">
        <v>6218</v>
      </c>
      <c r="D1142" s="639">
        <v>60287</v>
      </c>
      <c r="E1142" s="639">
        <v>20979</v>
      </c>
      <c r="F1142" s="640">
        <f t="shared" si="34"/>
        <v>81266</v>
      </c>
      <c r="G1142" s="639">
        <v>65924</v>
      </c>
      <c r="H1142" s="639">
        <v>7080</v>
      </c>
      <c r="I1142" s="639"/>
      <c r="J1142" s="639"/>
      <c r="K1142" s="640">
        <f t="shared" si="35"/>
        <v>73004</v>
      </c>
      <c r="L1142" s="639">
        <v>12002</v>
      </c>
      <c r="M1142" s="639">
        <v>9970</v>
      </c>
      <c r="N1142" s="639">
        <v>177826</v>
      </c>
      <c r="O1142" s="1503">
        <f>1-N1143</f>
        <v>0.49776314154343237</v>
      </c>
    </row>
    <row r="1143" spans="1:15" ht="12" customHeight="1">
      <c r="A1143" s="1517"/>
      <c r="B1143" s="1502"/>
      <c r="C1143" s="635" t="s">
        <v>6219</v>
      </c>
      <c r="D1143" s="636">
        <f>D1142/(D1142+E1142+G1142+H1142+I1142+J1142+L1142+M1142+N1142)</f>
        <v>0.17026955274128133</v>
      </c>
      <c r="E1143" s="636">
        <f>E1142/(D1142+E1142+G1142+H1142+I1142+J1142+L1142+M1142+N1142)</f>
        <v>5.9251330252945759E-2</v>
      </c>
      <c r="F1143" s="637">
        <f t="shared" si="34"/>
        <v>0.2295208829942271</v>
      </c>
      <c r="G1143" s="636">
        <f>G1142/(D1142+E1142+G1142+H1142+I1142+J1142+L1142+M1142+N1142)</f>
        <v>0.1861902233469277</v>
      </c>
      <c r="H1143" s="636">
        <f>H1142/(D1142+E1142+G1142+H1142+I1142+J1142+L1142+M1142+N1142)</f>
        <v>1.9996158929923066E-2</v>
      </c>
      <c r="I1143" s="636">
        <f>I1142/(D1142+E1142+G1142+H1142+I1142+J1142+L1142+M1142+N1142)</f>
        <v>0</v>
      </c>
      <c r="J1143" s="636">
        <f>J1142/(D1142+E1142+G1142+H1142+I1142+J1142+L1142+M1142+N1142)</f>
        <v>0</v>
      </c>
      <c r="K1143" s="637">
        <f t="shared" si="35"/>
        <v>0.20618638227685077</v>
      </c>
      <c r="L1143" s="636">
        <f>L1142/(D1142+E1142+G1142+H1142+I1142+J1142+L1142+M1142+N1142)</f>
        <v>3.389744342894585E-2</v>
      </c>
      <c r="M1143" s="636">
        <f>M1142/(D1142+E1142+G1142+H1142+I1142+J1142+L1142+M1142+N1142)</f>
        <v>2.8158432843408611E-2</v>
      </c>
      <c r="N1143" s="636">
        <f>N1142/(D1142+E1142+G1142+H1142+I1142+J1142+L1142+M1142+N1142)</f>
        <v>0.50223685845656763</v>
      </c>
      <c r="O1143" s="1503"/>
    </row>
    <row r="1144" spans="1:15" ht="12" customHeight="1">
      <c r="A1144" s="1517"/>
      <c r="B1144" s="1502" t="s">
        <v>14940</v>
      </c>
      <c r="C1144" s="638" t="s">
        <v>6218</v>
      </c>
      <c r="D1144" s="639">
        <v>76869</v>
      </c>
      <c r="E1144" s="639">
        <v>21302</v>
      </c>
      <c r="F1144" s="640">
        <f t="shared" si="34"/>
        <v>98171</v>
      </c>
      <c r="G1144" s="639">
        <v>84196</v>
      </c>
      <c r="H1144" s="639">
        <v>8008</v>
      </c>
      <c r="I1144" s="639"/>
      <c r="J1144" s="639"/>
      <c r="K1144" s="640">
        <f t="shared" si="35"/>
        <v>92204</v>
      </c>
      <c r="L1144" s="639">
        <v>13333</v>
      </c>
      <c r="M1144" s="639"/>
      <c r="N1144" s="639">
        <v>149901</v>
      </c>
      <c r="O1144" s="1503">
        <f>1-N1145</f>
        <v>0.57608262233144525</v>
      </c>
    </row>
    <row r="1145" spans="1:15" ht="12" customHeight="1" thickBot="1">
      <c r="A1145" s="1519"/>
      <c r="B1145" s="1514"/>
      <c r="C1145" s="641" t="s">
        <v>6219</v>
      </c>
      <c r="D1145" s="642">
        <f>D1144/(D1144+E1144+G1144+H1144+I1144+J1144+L1144+M1144+N1144)</f>
        <v>0.21738417291415094</v>
      </c>
      <c r="E1145" s="642">
        <f>E1144/(D1144+E1144+G1144+H1144+I1144+J1144+L1144+M1144+N1144)</f>
        <v>6.0241679369020584E-2</v>
      </c>
      <c r="F1145" s="643">
        <f t="shared" si="34"/>
        <v>0.27762585228317149</v>
      </c>
      <c r="G1145" s="642">
        <f>G1144/(D1144+E1144+G1144+H1144+I1144+J1144+L1144+M1144+N1144)</f>
        <v>0.23810479936879433</v>
      </c>
      <c r="H1145" s="642">
        <f>H1144/(D1144+E1144+G1144+H1144+I1144+J1144+L1144+M1144+N1144)</f>
        <v>2.2646482414191947E-2</v>
      </c>
      <c r="I1145" s="642">
        <f>I1144/(D1144+E1144+G1144+H1144+I1144+J1144+L1144+M1144+N1144)</f>
        <v>0</v>
      </c>
      <c r="J1145" s="642">
        <f>J1144/(D1144+E1144+G1144+H1144+I1144+J1144+L1144+M1144+N1144)</f>
        <v>0</v>
      </c>
      <c r="K1145" s="643">
        <f t="shared" si="35"/>
        <v>0.26075128178298629</v>
      </c>
      <c r="L1145" s="642">
        <f>L1144/(D1144+E1144+G1144+H1144+I1144+J1144+L1144+M1144+N1144)</f>
        <v>3.7705488265287364E-2</v>
      </c>
      <c r="M1145" s="642">
        <f>M1144/(D1144+E1144+G1144+H1144+I1144+J1144+L1144+M1144+N1144)</f>
        <v>0</v>
      </c>
      <c r="N1145" s="642">
        <f>N1144/(D1144+E1144+G1144+H1144+I1144+J1144+L1144+M1144+N1144)</f>
        <v>0.42391737766855481</v>
      </c>
      <c r="O1145" s="1515"/>
    </row>
    <row r="1146" spans="1:15" ht="12" customHeight="1">
      <c r="A1146" s="1516" t="s">
        <v>15081</v>
      </c>
      <c r="B1146" s="1509" t="s">
        <v>14937</v>
      </c>
      <c r="C1146" s="647" t="s">
        <v>6218</v>
      </c>
      <c r="D1146" s="648">
        <v>77640</v>
      </c>
      <c r="E1146" s="648">
        <v>17636</v>
      </c>
      <c r="F1146" s="649">
        <f t="shared" si="34"/>
        <v>95276</v>
      </c>
      <c r="G1146" s="648">
        <v>81790</v>
      </c>
      <c r="H1146" s="648">
        <v>4855</v>
      </c>
      <c r="I1146" s="648">
        <v>4174</v>
      </c>
      <c r="J1146" s="648">
        <v>4109</v>
      </c>
      <c r="K1146" s="649">
        <f t="shared" si="35"/>
        <v>94928</v>
      </c>
      <c r="L1146" s="648">
        <v>7622</v>
      </c>
      <c r="M1146" s="648">
        <v>3909</v>
      </c>
      <c r="N1146" s="648">
        <v>114825</v>
      </c>
      <c r="O1146" s="1510">
        <f>1-N1147</f>
        <v>0.63727255496588331</v>
      </c>
    </row>
    <row r="1147" spans="1:15" ht="12" customHeight="1">
      <c r="A1147" s="1517"/>
      <c r="B1147" s="1502"/>
      <c r="C1147" s="635" t="s">
        <v>6219</v>
      </c>
      <c r="D1147" s="636">
        <f>D1146/(D1146+E1146+G1146+H1146+I1146+J1146+L1146+M1146+N1146)</f>
        <v>0.24526156178923428</v>
      </c>
      <c r="E1147" s="636">
        <f>E1146/(D1146+E1146+G1146+H1146+I1146+J1146+L1146+M1146+N1146)</f>
        <v>5.5711397523376296E-2</v>
      </c>
      <c r="F1147" s="637">
        <f t="shared" si="34"/>
        <v>0.30097295931261059</v>
      </c>
      <c r="G1147" s="636">
        <f>G1146/(D1146+E1146+G1146+H1146+I1146+J1146+L1146+M1146+N1146)</f>
        <v>0.25837124083901947</v>
      </c>
      <c r="H1147" s="636">
        <f>H1146/(D1146+E1146+G1146+H1146+I1146+J1146+L1146+M1146+N1146)</f>
        <v>1.5336745008845085E-2</v>
      </c>
      <c r="I1147" s="636">
        <f>I1146/(D1146+E1146+G1146+H1146+I1146+J1146+L1146+M1146+N1146)</f>
        <v>1.3185494061157443E-2</v>
      </c>
      <c r="J1147" s="636">
        <f>J1146/(D1146+E1146+G1146+H1146+I1146+J1146+L1146+M1146+N1146)</f>
        <v>1.2980161738690927E-2</v>
      </c>
      <c r="K1147" s="637">
        <f t="shared" si="35"/>
        <v>0.29987364164771291</v>
      </c>
      <c r="L1147" s="636">
        <f>L1146/(D1146+E1146+G1146+H1146+I1146+J1146+L1146+M1146+N1146)</f>
        <v>2.4077584028304271E-2</v>
      </c>
      <c r="M1147" s="636">
        <f>M1146/(D1146+E1146+G1146+H1146+I1146+J1146+L1146+M1146+N1146)</f>
        <v>1.2348369977255497E-2</v>
      </c>
      <c r="N1147" s="636">
        <f>N1146/(D1146+E1146+G1146+H1146+I1146+J1146+L1146+M1146+N1146)</f>
        <v>0.36272744503411675</v>
      </c>
      <c r="O1147" s="1503"/>
    </row>
    <row r="1148" spans="1:15" ht="12" customHeight="1">
      <c r="A1148" s="1517"/>
      <c r="B1148" s="1502" t="s">
        <v>14938</v>
      </c>
      <c r="C1148" s="638" t="s">
        <v>6218</v>
      </c>
      <c r="D1148" s="639">
        <v>104633</v>
      </c>
      <c r="E1148" s="639">
        <v>20556</v>
      </c>
      <c r="F1148" s="640">
        <f t="shared" si="34"/>
        <v>125189</v>
      </c>
      <c r="G1148" s="639">
        <v>70807</v>
      </c>
      <c r="H1148" s="639">
        <v>7570</v>
      </c>
      <c r="I1148" s="639">
        <v>10474</v>
      </c>
      <c r="J1148" s="639"/>
      <c r="K1148" s="640">
        <f t="shared" si="35"/>
        <v>88851</v>
      </c>
      <c r="L1148" s="639">
        <v>9670</v>
      </c>
      <c r="M1148" s="639"/>
      <c r="N1148" s="639">
        <v>90658</v>
      </c>
      <c r="O1148" s="1503">
        <f>1-N1149</f>
        <v>0.7116182308631922</v>
      </c>
    </row>
    <row r="1149" spans="1:15" ht="12" customHeight="1">
      <c r="A1149" s="1517"/>
      <c r="B1149" s="1502"/>
      <c r="C1149" s="635" t="s">
        <v>6219</v>
      </c>
      <c r="D1149" s="636">
        <f>D1148/(D1148+E1148+G1148+H1148+I1148+J1148+L1148+M1148+N1148)</f>
        <v>0.33283603929153094</v>
      </c>
      <c r="E1149" s="636">
        <f>E1148/(D1148+E1148+G1148+H1148+I1148+J1148+L1148+M1148+N1148)</f>
        <v>6.5388334690553745E-2</v>
      </c>
      <c r="F1149" s="637">
        <f t="shared" si="34"/>
        <v>0.39822437398208466</v>
      </c>
      <c r="G1149" s="636">
        <f>G1148/(D1148+E1148+G1148+H1148+I1148+J1148+L1148+M1148+N1148)</f>
        <v>0.22523602911237786</v>
      </c>
      <c r="H1149" s="636">
        <f>H1148/(D1148+E1148+G1148+H1148+I1148+J1148+L1148+M1148+N1148)</f>
        <v>2.4080059039087949E-2</v>
      </c>
      <c r="I1149" s="636">
        <f>I1148/(D1148+E1148+G1148+H1148+I1148+J1148+L1148+M1148+N1148)</f>
        <v>3.3317640472312705E-2</v>
      </c>
      <c r="J1149" s="636">
        <f>J1148/(D1148+E1148+G1148+H1148+I1148+J1148+L1148+M1148+N1148)</f>
        <v>0</v>
      </c>
      <c r="K1149" s="637">
        <f t="shared" si="35"/>
        <v>0.2826337286237785</v>
      </c>
      <c r="L1149" s="636">
        <f>L1148/(D1148+E1148+G1148+H1148+I1148+J1148+L1148+M1148+N1148)</f>
        <v>3.0760128257328989E-2</v>
      </c>
      <c r="M1149" s="636">
        <f>M1148/(D1148+E1148+G1148+H1148+I1148+J1148+L1148+M1148+N1148)</f>
        <v>0</v>
      </c>
      <c r="N1149" s="636">
        <f>N1148/(D1148+E1148+G1148+H1148+I1148+J1148+L1148+M1148+N1148)</f>
        <v>0.2883817691368078</v>
      </c>
      <c r="O1149" s="1503"/>
    </row>
    <row r="1150" spans="1:15" ht="12" customHeight="1">
      <c r="A1150" s="1517"/>
      <c r="B1150" s="1502" t="s">
        <v>14939</v>
      </c>
      <c r="C1150" s="638" t="s">
        <v>6218</v>
      </c>
      <c r="D1150" s="639">
        <v>76778</v>
      </c>
      <c r="E1150" s="639">
        <v>20239</v>
      </c>
      <c r="F1150" s="640">
        <f t="shared" si="34"/>
        <v>97017</v>
      </c>
      <c r="G1150" s="639">
        <v>64288</v>
      </c>
      <c r="H1150" s="639">
        <v>5669</v>
      </c>
      <c r="I1150" s="639"/>
      <c r="J1150" s="639"/>
      <c r="K1150" s="640">
        <f t="shared" si="35"/>
        <v>69957</v>
      </c>
      <c r="L1150" s="639">
        <v>8312</v>
      </c>
      <c r="M1150" s="639">
        <v>7320</v>
      </c>
      <c r="N1150" s="639">
        <v>130179</v>
      </c>
      <c r="O1150" s="1503">
        <f>1-N1151</f>
        <v>0.58380676822737665</v>
      </c>
    </row>
    <row r="1151" spans="1:15" ht="12" customHeight="1">
      <c r="A1151" s="1517"/>
      <c r="B1151" s="1502"/>
      <c r="C1151" s="635" t="s">
        <v>6219</v>
      </c>
      <c r="D1151" s="636">
        <f>D1150/(D1150+E1150+G1150+H1150+I1150+J1150+L1150+M1150+N1150)</f>
        <v>0.2454657352494525</v>
      </c>
      <c r="E1151" s="636">
        <f>E1150/(D1150+E1150+G1150+H1150+I1150+J1150+L1150+M1150+N1150)</f>
        <v>6.47057883210512E-2</v>
      </c>
      <c r="F1151" s="637">
        <f t="shared" si="34"/>
        <v>0.3101715235705037</v>
      </c>
      <c r="G1151" s="636">
        <f>G1150/(D1150+E1150+G1150+H1150+I1150+J1150+L1150+M1150+N1150)</f>
        <v>0.20553415285259843</v>
      </c>
      <c r="H1151" s="636">
        <f>H1150/(D1150+E1150+G1150+H1150+I1150+J1150+L1150+M1150+N1150)</f>
        <v>1.8124270665153382E-2</v>
      </c>
      <c r="I1151" s="636">
        <f>I1150/(D1150+E1150+G1150+H1150+I1150+J1150+L1150+M1150+N1150)</f>
        <v>0</v>
      </c>
      <c r="J1151" s="636">
        <f>J1150/(D1150+E1150+G1150+H1150+I1150+J1150+L1150+M1150+N1150)</f>
        <v>0</v>
      </c>
      <c r="K1151" s="637">
        <f t="shared" si="35"/>
        <v>0.22365842351775181</v>
      </c>
      <c r="L1151" s="636">
        <f>L1150/(D1150+E1150+G1150+H1150+I1150+J1150+L1150+M1150+N1150)</f>
        <v>2.6574164362101763E-2</v>
      </c>
      <c r="M1151" s="636">
        <f>M1150/(D1150+E1150+G1150+H1150+I1150+J1150+L1150+M1150+N1150)</f>
        <v>2.3402656777019359E-2</v>
      </c>
      <c r="N1151" s="636">
        <f>N1150/(D1150+E1150+G1150+H1150+I1150+J1150+L1150+M1150+N1150)</f>
        <v>0.41619323177262335</v>
      </c>
      <c r="O1151" s="1503"/>
    </row>
    <row r="1152" spans="1:15" ht="12" customHeight="1">
      <c r="A1152" s="1517"/>
      <c r="B1152" s="1502" t="s">
        <v>14940</v>
      </c>
      <c r="C1152" s="638" t="s">
        <v>6218</v>
      </c>
      <c r="D1152" s="639">
        <v>91898</v>
      </c>
      <c r="E1152" s="639">
        <v>21322</v>
      </c>
      <c r="F1152" s="640">
        <f t="shared" si="34"/>
        <v>113220</v>
      </c>
      <c r="G1152" s="639">
        <v>73523</v>
      </c>
      <c r="H1152" s="639">
        <v>6579</v>
      </c>
      <c r="I1152" s="639"/>
      <c r="J1152" s="639"/>
      <c r="K1152" s="640">
        <f t="shared" si="35"/>
        <v>80102</v>
      </c>
      <c r="L1152" s="639">
        <v>9009</v>
      </c>
      <c r="M1152" s="639"/>
      <c r="N1152" s="639">
        <v>109352</v>
      </c>
      <c r="O1152" s="1503">
        <f>1-N1153</f>
        <v>0.64915635437287245</v>
      </c>
    </row>
    <row r="1153" spans="1:15" ht="12" customHeight="1" thickBot="1">
      <c r="A1153" s="1519"/>
      <c r="B1153" s="1514"/>
      <c r="C1153" s="641" t="s">
        <v>6219</v>
      </c>
      <c r="D1153" s="642">
        <f>D1152/(D1152+E1152+G1152+H1152+I1152+J1152+L1152+M1152+N1152)</f>
        <v>0.29484444130735393</v>
      </c>
      <c r="E1153" s="642">
        <f>E1152/(D1152+E1152+G1152+H1152+I1152+J1152+L1152+M1152+N1152)</f>
        <v>6.8409249140954115E-2</v>
      </c>
      <c r="F1153" s="643">
        <f t="shared" si="34"/>
        <v>0.36325369044830802</v>
      </c>
      <c r="G1153" s="642">
        <f>G1152/(D1152+E1152+G1152+H1152+I1152+J1152+L1152+M1152+N1152)</f>
        <v>0.23589031163072738</v>
      </c>
      <c r="H1153" s="642">
        <f>H1152/(D1152+E1152+G1152+H1152+I1152+J1152+L1152+M1152+N1152)</f>
        <v>2.1107984715239524E-2</v>
      </c>
      <c r="I1153" s="642">
        <f>I1152/(D1152+E1152+G1152+H1152+I1152+J1152+L1152+M1152+N1152)</f>
        <v>0</v>
      </c>
      <c r="J1153" s="642">
        <f>J1152/(D1152+E1152+G1152+H1152+I1152+J1152+L1152+M1152+N1152)</f>
        <v>0</v>
      </c>
      <c r="K1153" s="643">
        <f t="shared" si="35"/>
        <v>0.25699829634596688</v>
      </c>
      <c r="L1153" s="642">
        <f>L1152/(D1152+E1152+G1152+H1152+I1152+J1152+L1152+M1152+N1152)</f>
        <v>2.8904367578597486E-2</v>
      </c>
      <c r="M1153" s="642">
        <f>M1152/(D1152+E1152+G1152+H1152+I1152+J1152+L1152+M1152+N1152)</f>
        <v>0</v>
      </c>
      <c r="N1153" s="642">
        <f>N1152/(D1152+E1152+G1152+H1152+I1152+J1152+L1152+M1152+N1152)</f>
        <v>0.35084364562712755</v>
      </c>
      <c r="O1153" s="1515"/>
    </row>
    <row r="1154" spans="1:15" ht="12" customHeight="1">
      <c r="A1154" s="1516" t="s">
        <v>15082</v>
      </c>
      <c r="B1154" s="1509" t="s">
        <v>14937</v>
      </c>
      <c r="C1154" s="647" t="s">
        <v>6218</v>
      </c>
      <c r="D1154" s="648">
        <v>81355</v>
      </c>
      <c r="E1154" s="648">
        <v>14809</v>
      </c>
      <c r="F1154" s="649">
        <f t="shared" ref="F1154:F1217" si="36">SUM(D1154:E1154)</f>
        <v>96164</v>
      </c>
      <c r="G1154" s="648">
        <v>56681</v>
      </c>
      <c r="H1154" s="648">
        <v>4242</v>
      </c>
      <c r="I1154" s="648">
        <v>4511</v>
      </c>
      <c r="J1154" s="648">
        <v>2447</v>
      </c>
      <c r="K1154" s="649">
        <f t="shared" ref="K1154:K1217" si="37">SUM(G1154:J1154)</f>
        <v>67881</v>
      </c>
      <c r="L1154" s="648">
        <v>6114</v>
      </c>
      <c r="M1154" s="648">
        <v>2410</v>
      </c>
      <c r="N1154" s="648">
        <v>100145</v>
      </c>
      <c r="O1154" s="1510">
        <f>1-N1155</f>
        <v>0.63278379547804664</v>
      </c>
    </row>
    <row r="1155" spans="1:15" ht="12" customHeight="1">
      <c r="A1155" s="1517"/>
      <c r="B1155" s="1502"/>
      <c r="C1155" s="635" t="s">
        <v>6219</v>
      </c>
      <c r="D1155" s="636">
        <f>D1154/(D1154+E1154+G1154+H1154+I1154+J1154+L1154+M1154+N1154)</f>
        <v>0.29831618472098975</v>
      </c>
      <c r="E1155" s="636">
        <f>E1154/(D1154+E1154+G1154+H1154+I1154+J1154+L1154+M1154+N1154)</f>
        <v>5.4302309379056446E-2</v>
      </c>
      <c r="F1155" s="637">
        <f t="shared" si="36"/>
        <v>0.3526184941000462</v>
      </c>
      <c r="G1155" s="636">
        <f>G1154/(D1154+E1154+G1154+H1154+I1154+J1154+L1154+M1154+N1154)</f>
        <v>0.20784044823514744</v>
      </c>
      <c r="H1155" s="636">
        <f>H1154/(D1154+E1154+G1154+H1154+I1154+J1154+L1154+M1154+N1154)</f>
        <v>1.5554756998173911E-2</v>
      </c>
      <c r="I1155" s="636">
        <f>I1154/(D1154+E1154+G1154+H1154+I1154+J1154+L1154+M1154+N1154)</f>
        <v>1.654113833539899E-2</v>
      </c>
      <c r="J1155" s="636">
        <f>J1154/(D1154+E1154+G1154+H1154+I1154+J1154+L1154+M1154+N1154)</f>
        <v>8.972770008140396E-3</v>
      </c>
      <c r="K1155" s="637">
        <f t="shared" si="37"/>
        <v>0.24890911357686074</v>
      </c>
      <c r="L1155" s="636">
        <f>L1154/(D1154+E1154+G1154+H1154+I1154+J1154+L1154+M1154+N1154)</f>
        <v>2.2419091062431704E-2</v>
      </c>
      <c r="M1155" s="636">
        <f>M1154/(D1154+E1154+G1154+H1154+I1154+J1154+L1154+M1154+N1154)</f>
        <v>8.8370967387079499E-3</v>
      </c>
      <c r="N1155" s="636">
        <f>N1154/(D1154+E1154+G1154+H1154+I1154+J1154+L1154+M1154+N1154)</f>
        <v>0.36721620452195342</v>
      </c>
      <c r="O1155" s="1503"/>
    </row>
    <row r="1156" spans="1:15" ht="12" customHeight="1">
      <c r="A1156" s="1517"/>
      <c r="B1156" s="1502" t="s">
        <v>14938</v>
      </c>
      <c r="C1156" s="638" t="s">
        <v>6218</v>
      </c>
      <c r="D1156" s="639">
        <v>99265</v>
      </c>
      <c r="E1156" s="639">
        <v>15706</v>
      </c>
      <c r="F1156" s="640">
        <f t="shared" si="36"/>
        <v>114971</v>
      </c>
      <c r="G1156" s="639">
        <v>53067</v>
      </c>
      <c r="H1156" s="639">
        <v>6226</v>
      </c>
      <c r="I1156" s="639">
        <v>9886</v>
      </c>
      <c r="J1156" s="639"/>
      <c r="K1156" s="640">
        <f t="shared" si="37"/>
        <v>69179</v>
      </c>
      <c r="L1156" s="639">
        <v>6930</v>
      </c>
      <c r="M1156" s="639"/>
      <c r="N1156" s="639">
        <v>84963</v>
      </c>
      <c r="O1156" s="1503">
        <f>1-N1157</f>
        <v>0.69221099611292436</v>
      </c>
    </row>
    <row r="1157" spans="1:15" ht="12" customHeight="1">
      <c r="A1157" s="1517"/>
      <c r="B1157" s="1502"/>
      <c r="C1157" s="635" t="s">
        <v>6219</v>
      </c>
      <c r="D1157" s="636">
        <f>D1156/(D1156+E1156+G1156+H1156+I1156+J1156+L1156+M1156+N1156)</f>
        <v>0.3595997724992121</v>
      </c>
      <c r="E1157" s="636">
        <f>E1156/(D1156+E1156+G1156+H1156+I1156+J1156+L1156+M1156+N1156)</f>
        <v>5.6896932724249484E-2</v>
      </c>
      <c r="F1157" s="637">
        <f t="shared" si="36"/>
        <v>0.41649670522346161</v>
      </c>
      <c r="G1157" s="636">
        <f>G1156/(D1156+E1156+G1156+H1156+I1156+J1156+L1156+M1156+N1156)</f>
        <v>0.192241788417022</v>
      </c>
      <c r="H1157" s="636">
        <f>H1156/(D1156+E1156+G1156+H1156+I1156+J1156+L1156+M1156+N1156)</f>
        <v>2.2554457095452521E-2</v>
      </c>
      <c r="I1157" s="636">
        <f>I1156/(D1156+E1156+G1156+H1156+I1156+J1156+L1156+M1156+N1156)</f>
        <v>3.5813260977456414E-2</v>
      </c>
      <c r="J1157" s="636">
        <f>J1156/(D1156+E1156+G1156+H1156+I1156+J1156+L1156+M1156+N1156)</f>
        <v>0</v>
      </c>
      <c r="K1157" s="637">
        <f t="shared" si="37"/>
        <v>0.25060950648993091</v>
      </c>
      <c r="L1157" s="636">
        <f>L1156/(D1156+E1156+G1156+H1156+I1156+J1156+L1156+M1156+N1156)</f>
        <v>2.5104784399531958E-2</v>
      </c>
      <c r="M1157" s="636">
        <f>M1156/(D1156+E1156+G1156+H1156+I1156+J1156+L1156+M1156+N1156)</f>
        <v>0</v>
      </c>
      <c r="N1157" s="636">
        <f>N1156/(D1156+E1156+G1156+H1156+I1156+J1156+L1156+M1156+N1156)</f>
        <v>0.30778900388707559</v>
      </c>
      <c r="O1157" s="1503"/>
    </row>
    <row r="1158" spans="1:15" ht="12" customHeight="1">
      <c r="A1158" s="1517"/>
      <c r="B1158" s="1502" t="s">
        <v>14939</v>
      </c>
      <c r="C1158" s="638" t="s">
        <v>6218</v>
      </c>
      <c r="D1158" s="639">
        <v>76840</v>
      </c>
      <c r="E1158" s="639">
        <v>17163</v>
      </c>
      <c r="F1158" s="640">
        <f t="shared" si="36"/>
        <v>94003</v>
      </c>
      <c r="G1158" s="639">
        <v>45722</v>
      </c>
      <c r="H1158" s="639">
        <v>5384</v>
      </c>
      <c r="I1158" s="639"/>
      <c r="J1158" s="639"/>
      <c r="K1158" s="640">
        <f t="shared" si="37"/>
        <v>51106</v>
      </c>
      <c r="L1158" s="639">
        <v>6597</v>
      </c>
      <c r="M1158" s="639">
        <v>4905</v>
      </c>
      <c r="N1158" s="639">
        <v>121280</v>
      </c>
      <c r="O1158" s="1503">
        <f>1-N1159</f>
        <v>0.56356988891327897</v>
      </c>
    </row>
    <row r="1159" spans="1:15" ht="12" customHeight="1">
      <c r="A1159" s="1517"/>
      <c r="B1159" s="1502"/>
      <c r="C1159" s="635" t="s">
        <v>6219</v>
      </c>
      <c r="D1159" s="636">
        <f>D1158/(D1158+E1158+G1158+H1158+I1158+J1158+L1158+M1158+N1158)</f>
        <v>0.27651129399656699</v>
      </c>
      <c r="E1159" s="636">
        <f>E1158/(D1158+E1158+G1158+H1158+I1158+J1158+L1158+M1158+N1158)</f>
        <v>6.1761625961258192E-2</v>
      </c>
      <c r="F1159" s="637">
        <f t="shared" si="36"/>
        <v>0.33827291995782516</v>
      </c>
      <c r="G1159" s="636">
        <f>G1158/(D1158+E1158+G1158+H1158+I1158+J1158+L1158+M1158+N1158)</f>
        <v>0.16453213670108063</v>
      </c>
      <c r="H1159" s="636">
        <f>H1158/(D1158+E1158+G1158+H1158+I1158+J1158+L1158+M1158+N1158)</f>
        <v>1.9374502952596521E-2</v>
      </c>
      <c r="I1159" s="636">
        <f>I1158/(D1158+E1158+G1158+H1158+I1158+J1158+L1158+M1158+N1158)</f>
        <v>0</v>
      </c>
      <c r="J1159" s="636">
        <f>J1158/(D1158+E1158+G1158+H1158+I1158+J1158+L1158+M1158+N1158)</f>
        <v>0</v>
      </c>
      <c r="K1159" s="637">
        <f t="shared" si="37"/>
        <v>0.18390663965367715</v>
      </c>
      <c r="L1159" s="636">
        <f>L1158/(D1158+E1158+G1158+H1158+I1158+J1158+L1158+M1158+N1158)</f>
        <v>2.3739523770111303E-2</v>
      </c>
      <c r="M1159" s="636">
        <f>M1158/(D1158+E1158+G1158+H1158+I1158+J1158+L1158+M1158+N1158)</f>
        <v>1.7650805531665294E-2</v>
      </c>
      <c r="N1159" s="636">
        <f>N1158/(D1158+E1158+G1158+H1158+I1158+J1158+L1158+M1158+N1158)</f>
        <v>0.43643011108672103</v>
      </c>
      <c r="O1159" s="1503"/>
    </row>
    <row r="1160" spans="1:15" ht="12" customHeight="1">
      <c r="A1160" s="1517"/>
      <c r="B1160" s="1502" t="s">
        <v>14940</v>
      </c>
      <c r="C1160" s="638" t="s">
        <v>6218</v>
      </c>
      <c r="D1160" s="639">
        <v>86696</v>
      </c>
      <c r="E1160" s="639">
        <v>17478</v>
      </c>
      <c r="F1160" s="640">
        <f t="shared" si="36"/>
        <v>104174</v>
      </c>
      <c r="G1160" s="639">
        <v>52614</v>
      </c>
      <c r="H1160" s="639">
        <v>6291</v>
      </c>
      <c r="I1160" s="639"/>
      <c r="J1160" s="639"/>
      <c r="K1160" s="640">
        <f t="shared" si="37"/>
        <v>58905</v>
      </c>
      <c r="L1160" s="639">
        <v>7473</v>
      </c>
      <c r="M1160" s="639"/>
      <c r="N1160" s="639">
        <v>107692</v>
      </c>
      <c r="O1160" s="1503">
        <f>1-N1161</f>
        <v>0.61295841060364287</v>
      </c>
    </row>
    <row r="1161" spans="1:15" ht="12" customHeight="1" thickBot="1">
      <c r="A1161" s="1519"/>
      <c r="B1161" s="1514"/>
      <c r="C1161" s="641" t="s">
        <v>6219</v>
      </c>
      <c r="D1161" s="642">
        <f>D1160/(D1160+E1160+G1160+H1160+I1160+J1160+L1160+M1160+N1160)</f>
        <v>0.31158263969753164</v>
      </c>
      <c r="E1161" s="642">
        <f>E1160/(D1160+E1160+G1160+H1160+I1160+J1160+L1160+M1160+N1160)</f>
        <v>6.2815370681847588E-2</v>
      </c>
      <c r="F1161" s="643">
        <f t="shared" si="36"/>
        <v>0.37439801037937925</v>
      </c>
      <c r="G1161" s="642">
        <f>G1160/(D1160+E1160+G1160+H1160+I1160+J1160+L1160+M1160+N1160)</f>
        <v>0.1890930262647173</v>
      </c>
      <c r="H1161" s="642">
        <f>H1160/(D1160+E1160+G1160+H1160+I1160+J1160+L1160+M1160+N1160)</f>
        <v>2.2609651960150082E-2</v>
      </c>
      <c r="I1161" s="642">
        <f>I1160/(D1160+E1160+G1160+H1160+I1160+J1160+L1160+M1160+N1160)</f>
        <v>0</v>
      </c>
      <c r="J1161" s="642">
        <f>J1160/(D1160+E1160+G1160+H1160+I1160+J1160+L1160+M1160+N1160)</f>
        <v>0</v>
      </c>
      <c r="K1161" s="643">
        <f t="shared" si="37"/>
        <v>0.21170267822486738</v>
      </c>
      <c r="L1161" s="642">
        <f>L1160/(D1160+E1160+G1160+H1160+I1160+J1160+L1160+M1160+N1160)</f>
        <v>2.6857721999396213E-2</v>
      </c>
      <c r="M1161" s="642">
        <f>M1160/(D1160+E1160+G1160+H1160+I1160+J1160+L1160+M1160+N1160)</f>
        <v>0</v>
      </c>
      <c r="N1161" s="642">
        <f>N1160/(D1160+E1160+G1160+H1160+I1160+J1160+L1160+M1160+N1160)</f>
        <v>0.38704158939635713</v>
      </c>
      <c r="O1161" s="1515"/>
    </row>
    <row r="1162" spans="1:15" ht="12" customHeight="1">
      <c r="A1162" s="1516" t="s">
        <v>15083</v>
      </c>
      <c r="B1162" s="1509" t="s">
        <v>14937</v>
      </c>
      <c r="C1162" s="647" t="s">
        <v>6218</v>
      </c>
      <c r="D1162" s="648">
        <v>50336</v>
      </c>
      <c r="E1162" s="648">
        <v>12240</v>
      </c>
      <c r="F1162" s="649">
        <f t="shared" si="36"/>
        <v>62576</v>
      </c>
      <c r="G1162" s="648">
        <v>47971</v>
      </c>
      <c r="H1162" s="648">
        <v>3621</v>
      </c>
      <c r="I1162" s="648">
        <v>3240</v>
      </c>
      <c r="J1162" s="648">
        <v>3230</v>
      </c>
      <c r="K1162" s="649">
        <f t="shared" si="37"/>
        <v>58062</v>
      </c>
      <c r="L1162" s="648">
        <v>5722</v>
      </c>
      <c r="M1162" s="648">
        <v>2458</v>
      </c>
      <c r="N1162" s="648">
        <v>92061</v>
      </c>
      <c r="O1162" s="1510">
        <f>1-N1163</f>
        <v>0.58320618981433281</v>
      </c>
    </row>
    <row r="1163" spans="1:15" ht="12" customHeight="1">
      <c r="A1163" s="1517"/>
      <c r="B1163" s="1502"/>
      <c r="C1163" s="635" t="s">
        <v>6219</v>
      </c>
      <c r="D1163" s="636">
        <f>D1162/(D1162+E1162+G1162+H1162+I1162+J1162+L1162+M1162+N1162)</f>
        <v>0.22788947794946554</v>
      </c>
      <c r="E1163" s="636">
        <f>E1162/(D1162+E1162+G1162+H1162+I1162+J1162+L1162+M1162+N1162)</f>
        <v>5.5414955699727E-2</v>
      </c>
      <c r="F1163" s="637">
        <f t="shared" si="36"/>
        <v>0.28330443364919256</v>
      </c>
      <c r="G1163" s="636">
        <f>G1162/(D1162+E1162+G1162+H1162+I1162+J1162+L1162+M1162+N1162)</f>
        <v>0.21718225815944475</v>
      </c>
      <c r="H1163" s="636">
        <f>H1162/(D1162+E1162+G1162+H1162+I1162+J1162+L1162+M1162+N1162)</f>
        <v>1.6393591061169239E-2</v>
      </c>
      <c r="I1163" s="636">
        <f>I1162/(D1162+E1162+G1162+H1162+I1162+J1162+L1162+M1162+N1162)</f>
        <v>1.4668664744045382E-2</v>
      </c>
      <c r="J1163" s="636">
        <f>J1162/(D1162+E1162+G1162+H1162+I1162+J1162+L1162+M1162+N1162)</f>
        <v>1.4623391087427958E-2</v>
      </c>
      <c r="K1163" s="637">
        <f t="shared" si="37"/>
        <v>0.26286790505208735</v>
      </c>
      <c r="L1163" s="636">
        <f>L1162/(D1162+E1162+G1162+H1162+I1162+J1162+L1162+M1162+N1162)</f>
        <v>2.5905586316490023E-2</v>
      </c>
      <c r="M1163" s="636">
        <f>M1162/(D1162+E1162+G1162+H1162+I1162+J1162+L1162+M1162+N1162)</f>
        <v>1.1128264796562823E-2</v>
      </c>
      <c r="N1163" s="636">
        <f>N1162/(D1162+E1162+G1162+H1162+I1162+J1162+L1162+M1162+N1162)</f>
        <v>0.41679381018566725</v>
      </c>
      <c r="O1163" s="1503"/>
    </row>
    <row r="1164" spans="1:15" ht="12" customHeight="1">
      <c r="A1164" s="1517"/>
      <c r="B1164" s="1502" t="s">
        <v>14938</v>
      </c>
      <c r="C1164" s="638" t="s">
        <v>6218</v>
      </c>
      <c r="D1164" s="639">
        <v>72252</v>
      </c>
      <c r="E1164" s="639">
        <v>14181</v>
      </c>
      <c r="F1164" s="640">
        <f t="shared" si="36"/>
        <v>86433</v>
      </c>
      <c r="G1164" s="639">
        <v>43172</v>
      </c>
      <c r="H1164" s="639">
        <v>4839</v>
      </c>
      <c r="I1164" s="639">
        <v>8568</v>
      </c>
      <c r="J1164" s="639"/>
      <c r="K1164" s="640">
        <f t="shared" si="37"/>
        <v>56579</v>
      </c>
      <c r="L1164" s="639">
        <v>6666</v>
      </c>
      <c r="M1164" s="639"/>
      <c r="N1164" s="639">
        <v>70579</v>
      </c>
      <c r="O1164" s="1503">
        <f>1-N1165</f>
        <v>0.67956069500628813</v>
      </c>
    </row>
    <row r="1165" spans="1:15" ht="12" customHeight="1">
      <c r="A1165" s="1517"/>
      <c r="B1165" s="1502"/>
      <c r="C1165" s="635" t="s">
        <v>6219</v>
      </c>
      <c r="D1165" s="636">
        <f>D1164/(D1164+E1164+G1164+H1164+I1164+J1164+L1164+M1164+N1164)</f>
        <v>0.32803497732194664</v>
      </c>
      <c r="E1165" s="636">
        <f>E1164/(D1164+E1164+G1164+H1164+I1164+J1164+L1164+M1164+N1164)</f>
        <v>6.4383878832454819E-2</v>
      </c>
      <c r="F1165" s="637">
        <f t="shared" si="36"/>
        <v>0.39241885615440147</v>
      </c>
      <c r="G1165" s="636">
        <f>G1164/(D1164+E1164+G1164+H1164+I1164+J1164+L1164+M1164+N1164)</f>
        <v>0.19600739136554116</v>
      </c>
      <c r="H1165" s="636">
        <f>H1164/(D1164+E1164+G1164+H1164+I1164+J1164+L1164+M1164+N1164)</f>
        <v>2.1969789836418365E-2</v>
      </c>
      <c r="I1165" s="636">
        <f>I1164/(D1164+E1164+G1164+H1164+I1164+J1164+L1164+M1164+N1164)</f>
        <v>3.8900012258407224E-2</v>
      </c>
      <c r="J1165" s="636">
        <f>J1164/(D1164+E1164+G1164+H1164+I1164+J1164+L1164+M1164+N1164)</f>
        <v>0</v>
      </c>
      <c r="K1165" s="637">
        <f t="shared" si="37"/>
        <v>0.25687719346036675</v>
      </c>
      <c r="L1165" s="636">
        <f>L1164/(D1164+E1164+G1164+H1164+I1164+J1164+L1164+M1164+N1164)</f>
        <v>3.0264645391519907E-2</v>
      </c>
      <c r="M1165" s="636">
        <f>M1164/(D1164+E1164+G1164+H1164+I1164+J1164+L1164+M1164+N1164)</f>
        <v>0</v>
      </c>
      <c r="N1165" s="636">
        <f>N1164/(D1164+E1164+G1164+H1164+I1164+J1164+L1164+M1164+N1164)</f>
        <v>0.32043930499371187</v>
      </c>
      <c r="O1165" s="1503"/>
    </row>
    <row r="1166" spans="1:15" ht="12" customHeight="1">
      <c r="A1166" s="1517"/>
      <c r="B1166" s="1502" t="s">
        <v>14939</v>
      </c>
      <c r="C1166" s="638" t="s">
        <v>6218</v>
      </c>
      <c r="D1166" s="639">
        <v>52240</v>
      </c>
      <c r="E1166" s="639">
        <v>14066</v>
      </c>
      <c r="F1166" s="640">
        <f t="shared" si="36"/>
        <v>66306</v>
      </c>
      <c r="G1166" s="639">
        <v>39065</v>
      </c>
      <c r="H1166" s="639">
        <v>4283</v>
      </c>
      <c r="I1166" s="639"/>
      <c r="J1166" s="639"/>
      <c r="K1166" s="640">
        <f t="shared" si="37"/>
        <v>43348</v>
      </c>
      <c r="L1166" s="639">
        <v>5324</v>
      </c>
      <c r="M1166" s="639">
        <v>3666</v>
      </c>
      <c r="N1166" s="639">
        <v>101072</v>
      </c>
      <c r="O1166" s="1503">
        <f>1-N1167</f>
        <v>0.53998798448906771</v>
      </c>
    </row>
    <row r="1167" spans="1:15" ht="12" customHeight="1">
      <c r="A1167" s="1517"/>
      <c r="B1167" s="1502"/>
      <c r="C1167" s="635" t="s">
        <v>6219</v>
      </c>
      <c r="D1167" s="636">
        <f>D1166/(D1166+E1166+G1166+H1166+I1166+J1166+L1166+M1166+N1166)</f>
        <v>0.23776147390267435</v>
      </c>
      <c r="E1167" s="636">
        <f>E1166/(D1166+E1166+G1166+H1166+I1166+J1166+L1166+M1166+N1166)</f>
        <v>6.4019006353656538E-2</v>
      </c>
      <c r="F1167" s="637">
        <f t="shared" si="36"/>
        <v>0.30178048025633086</v>
      </c>
      <c r="G1167" s="636">
        <f>G1166/(D1166+E1166+G1166+H1166+I1166+J1166+L1166+M1166+N1166)</f>
        <v>0.17779770248866719</v>
      </c>
      <c r="H1167" s="636">
        <f>H1166/(D1166+E1166+G1166+H1166+I1166+J1166+L1166+M1166+N1166)</f>
        <v>1.9493345955688253E-2</v>
      </c>
      <c r="I1167" s="636">
        <f>I1166/(D1166+E1166+G1166+H1166+I1166+J1166+L1166+M1166+N1166)</f>
        <v>0</v>
      </c>
      <c r="J1167" s="636">
        <f>J1166/(D1166+E1166+G1166+H1166+I1166+J1166+L1166+M1166+N1166)</f>
        <v>0</v>
      </c>
      <c r="K1167" s="637">
        <f t="shared" si="37"/>
        <v>0.19729104844435544</v>
      </c>
      <c r="L1167" s="636">
        <f>L1166/(D1166+E1166+G1166+H1166+I1166+J1166+L1166+M1166+N1166)</f>
        <v>2.4231280380127073E-2</v>
      </c>
      <c r="M1167" s="636">
        <f>M1166/(D1166+E1166+G1166+H1166+I1166+J1166+L1166+M1166+N1166)</f>
        <v>1.6685175408254291E-2</v>
      </c>
      <c r="N1167" s="636">
        <f>N1166/(D1166+E1166+G1166+H1166+I1166+J1166+L1166+M1166+N1166)</f>
        <v>0.46001201551093229</v>
      </c>
      <c r="O1167" s="1503"/>
    </row>
    <row r="1168" spans="1:15" ht="12" customHeight="1">
      <c r="A1168" s="1517"/>
      <c r="B1168" s="1502" t="s">
        <v>14940</v>
      </c>
      <c r="C1168" s="638" t="s">
        <v>6218</v>
      </c>
      <c r="D1168" s="639">
        <v>61602</v>
      </c>
      <c r="E1168" s="639">
        <v>13592</v>
      </c>
      <c r="F1168" s="640">
        <f t="shared" si="36"/>
        <v>75194</v>
      </c>
      <c r="G1168" s="639">
        <v>41366</v>
      </c>
      <c r="H1168" s="639">
        <v>4031</v>
      </c>
      <c r="I1168" s="639"/>
      <c r="J1168" s="639"/>
      <c r="K1168" s="640">
        <f t="shared" si="37"/>
        <v>45397</v>
      </c>
      <c r="L1168" s="639">
        <v>6852</v>
      </c>
      <c r="M1168" s="639"/>
      <c r="N1168" s="639">
        <v>91988</v>
      </c>
      <c r="O1168" s="1503">
        <f>1-N1169</f>
        <v>0.58078849387734643</v>
      </c>
    </row>
    <row r="1169" spans="1:15" ht="12" customHeight="1" thickBot="1">
      <c r="A1169" s="1519"/>
      <c r="B1169" s="1514"/>
      <c r="C1169" s="641" t="s">
        <v>6219</v>
      </c>
      <c r="D1169" s="642">
        <f>D1168/(D1168+E1168+G1168+H1168+I1168+J1168+L1168+M1168+N1168)</f>
        <v>0.28073517415497357</v>
      </c>
      <c r="E1169" s="642">
        <f>E1168/(D1168+E1168+G1168+H1168+I1168+J1168+L1168+M1168+N1168)</f>
        <v>6.1942022777091661E-2</v>
      </c>
      <c r="F1169" s="643">
        <f t="shared" si="36"/>
        <v>0.34267719693206522</v>
      </c>
      <c r="G1169" s="642">
        <f>G1168/(D1168+E1168+G1168+H1168+I1168+J1168+L1168+M1168+N1168)</f>
        <v>0.18851484065606045</v>
      </c>
      <c r="H1169" s="642">
        <f>H1168/(D1168+E1168+G1168+H1168+I1168+J1168+L1168+M1168+N1168)</f>
        <v>1.8370239391881732E-2</v>
      </c>
      <c r="I1169" s="642">
        <f>I1168/(D1168+E1168+G1168+H1168+I1168+J1168+L1168+M1168+N1168)</f>
        <v>0</v>
      </c>
      <c r="J1169" s="642">
        <f>J1168/(D1168+E1168+G1168+H1168+I1168+J1168+L1168+M1168+N1168)</f>
        <v>0</v>
      </c>
      <c r="K1169" s="643">
        <f t="shared" si="37"/>
        <v>0.20688508004794218</v>
      </c>
      <c r="L1169" s="642">
        <f>L1168/(D1168+E1168+G1168+H1168+I1168+J1168+L1168+M1168+N1168)</f>
        <v>3.1226216897339027E-2</v>
      </c>
      <c r="M1169" s="642">
        <f>M1168/(D1168+E1168+G1168+H1168+I1168+J1168+L1168+M1168+N1168)</f>
        <v>0</v>
      </c>
      <c r="N1169" s="642">
        <f>N1168/(D1168+E1168+G1168+H1168+I1168+J1168+L1168+M1168+N1168)</f>
        <v>0.41921150612265357</v>
      </c>
      <c r="O1169" s="1515"/>
    </row>
    <row r="1170" spans="1:15" ht="12" customHeight="1">
      <c r="A1170" s="1516" t="s">
        <v>15084</v>
      </c>
      <c r="B1170" s="1509" t="s">
        <v>14937</v>
      </c>
      <c r="C1170" s="647" t="s">
        <v>6218</v>
      </c>
      <c r="D1170" s="648">
        <v>54323</v>
      </c>
      <c r="E1170" s="648">
        <v>12361</v>
      </c>
      <c r="F1170" s="649">
        <f t="shared" si="36"/>
        <v>66684</v>
      </c>
      <c r="G1170" s="648">
        <v>50963</v>
      </c>
      <c r="H1170" s="648">
        <v>3432</v>
      </c>
      <c r="I1170" s="648">
        <v>3342</v>
      </c>
      <c r="J1170" s="648">
        <v>2673</v>
      </c>
      <c r="K1170" s="649">
        <f t="shared" si="37"/>
        <v>60410</v>
      </c>
      <c r="L1170" s="648">
        <v>5467</v>
      </c>
      <c r="M1170" s="648">
        <v>2650</v>
      </c>
      <c r="N1170" s="648">
        <v>84862</v>
      </c>
      <c r="O1170" s="1510">
        <f>1-N1171</f>
        <v>0.61439158824571849</v>
      </c>
    </row>
    <row r="1171" spans="1:15" ht="12" customHeight="1">
      <c r="A1171" s="1517"/>
      <c r="B1171" s="1502"/>
      <c r="C1171" s="635" t="s">
        <v>6219</v>
      </c>
      <c r="D1171" s="636">
        <f>D1170/(D1170+E1170+G1170+H1170+I1170+J1170+L1170+M1170+N1170)</f>
        <v>0.24684082100030444</v>
      </c>
      <c r="E1171" s="636">
        <f>E1170/(D1170+E1170+G1170+H1170+I1170+J1170+L1170+M1170+N1170)</f>
        <v>5.616772616359117E-2</v>
      </c>
      <c r="F1171" s="637">
        <f t="shared" si="36"/>
        <v>0.30300854716389558</v>
      </c>
      <c r="G1171" s="636">
        <f>G1170/(D1170+E1170+G1170+H1170+I1170+J1170+L1170+M1170+N1170)</f>
        <v>0.23157315981515225</v>
      </c>
      <c r="H1171" s="636">
        <f>H1170/(D1170+E1170+G1170+H1170+I1170+J1170+L1170+M1170+N1170)</f>
        <v>1.5594825353405461E-2</v>
      </c>
      <c r="I1171" s="636">
        <f>I1170/(D1170+E1170+G1170+H1170+I1170+J1170+L1170+M1170+N1170)</f>
        <v>1.5185870143088883E-2</v>
      </c>
      <c r="J1171" s="636">
        <f>J1170/(D1170+E1170+G1170+H1170+I1170+J1170+L1170+M1170+N1170)</f>
        <v>1.214596974640233E-2</v>
      </c>
      <c r="K1171" s="637">
        <f t="shared" si="37"/>
        <v>0.27449982505804887</v>
      </c>
      <c r="L1171" s="636">
        <f>L1170/(D1170+E1170+G1170+H1170+I1170+J1170+L1170+M1170+N1170)</f>
        <v>2.4841757053341393E-2</v>
      </c>
      <c r="M1171" s="636">
        <f>M1170/(D1170+E1170+G1170+H1170+I1170+J1170+L1170+M1170+N1170)</f>
        <v>1.2041458970432538E-2</v>
      </c>
      <c r="N1171" s="636">
        <f>N1170/(D1170+E1170+G1170+H1170+I1170+J1170+L1170+M1170+N1170)</f>
        <v>0.38560841175428151</v>
      </c>
      <c r="O1171" s="1503"/>
    </row>
    <row r="1172" spans="1:15" ht="12" customHeight="1">
      <c r="A1172" s="1517"/>
      <c r="B1172" s="1502" t="s">
        <v>14938</v>
      </c>
      <c r="C1172" s="638" t="s">
        <v>6218</v>
      </c>
      <c r="D1172" s="639">
        <v>75448</v>
      </c>
      <c r="E1172" s="639">
        <v>13658</v>
      </c>
      <c r="F1172" s="640">
        <f t="shared" si="36"/>
        <v>89106</v>
      </c>
      <c r="G1172" s="639">
        <v>45006</v>
      </c>
      <c r="H1172" s="639">
        <v>4350</v>
      </c>
      <c r="I1172" s="639">
        <v>7471</v>
      </c>
      <c r="J1172" s="639"/>
      <c r="K1172" s="640">
        <f t="shared" si="37"/>
        <v>56827</v>
      </c>
      <c r="L1172" s="639">
        <v>6361</v>
      </c>
      <c r="M1172" s="639"/>
      <c r="N1172" s="639">
        <v>67583</v>
      </c>
      <c r="O1172" s="1503">
        <f>1-N1173</f>
        <v>0.69263269919091131</v>
      </c>
    </row>
    <row r="1173" spans="1:15" ht="12" customHeight="1">
      <c r="A1173" s="1517"/>
      <c r="B1173" s="1502"/>
      <c r="C1173" s="635" t="s">
        <v>6219</v>
      </c>
      <c r="D1173" s="636">
        <f>D1172/(D1172+E1172+G1172+H1172+I1172+J1172+L1172+M1172+N1172)</f>
        <v>0.34313729949016952</v>
      </c>
      <c r="E1173" s="636">
        <f>E1172/(D1172+E1172+G1172+H1172+I1172+J1172+L1172+M1172+N1172)</f>
        <v>6.2116546978538002E-2</v>
      </c>
      <c r="F1173" s="637">
        <f t="shared" si="36"/>
        <v>0.40525384646870755</v>
      </c>
      <c r="G1173" s="636">
        <f>G1172/(D1172+E1172+G1172+H1172+I1172+J1172+L1172+M1172+N1172)</f>
        <v>0.20468716600644907</v>
      </c>
      <c r="H1173" s="636">
        <f>H1172/(D1172+E1172+G1172+H1172+I1172+J1172+L1172+M1172+N1172)</f>
        <v>1.9783788208862226E-2</v>
      </c>
      <c r="I1173" s="636">
        <f>I1172/(D1172+E1172+G1172+H1172+I1172+J1172+L1172+M1172+N1172)</f>
        <v>3.39780877490597E-2</v>
      </c>
      <c r="J1173" s="636">
        <f>J1172/(D1172+E1172+G1172+H1172+I1172+J1172+L1172+M1172+N1172)</f>
        <v>0</v>
      </c>
      <c r="K1173" s="637">
        <f t="shared" si="37"/>
        <v>0.25844904196437102</v>
      </c>
      <c r="L1173" s="636">
        <f>L1172/(D1172+E1172+G1172+H1172+I1172+J1172+L1172+M1172+N1172)</f>
        <v>2.892981075783279E-2</v>
      </c>
      <c r="M1173" s="636">
        <f>M1172/(D1172+E1172+G1172+H1172+I1172+J1172+L1172+M1172+N1172)</f>
        <v>0</v>
      </c>
      <c r="N1173" s="636">
        <f>N1172/(D1172+E1172+G1172+H1172+I1172+J1172+L1172+M1172+N1172)</f>
        <v>0.30736730080908869</v>
      </c>
      <c r="O1173" s="1503"/>
    </row>
    <row r="1174" spans="1:15" ht="12" customHeight="1">
      <c r="A1174" s="1517"/>
      <c r="B1174" s="1502" t="s">
        <v>14939</v>
      </c>
      <c r="C1174" s="638" t="s">
        <v>6218</v>
      </c>
      <c r="D1174" s="639">
        <v>58864</v>
      </c>
      <c r="E1174" s="639">
        <v>14006</v>
      </c>
      <c r="F1174" s="640">
        <f t="shared" si="36"/>
        <v>72870</v>
      </c>
      <c r="G1174" s="639">
        <v>42832</v>
      </c>
      <c r="H1174" s="639">
        <v>3992</v>
      </c>
      <c r="I1174" s="639"/>
      <c r="J1174" s="639"/>
      <c r="K1174" s="640">
        <f t="shared" si="37"/>
        <v>46824</v>
      </c>
      <c r="L1174" s="639">
        <v>5288</v>
      </c>
      <c r="M1174" s="639">
        <v>3752</v>
      </c>
      <c r="N1174" s="639">
        <v>90787</v>
      </c>
      <c r="O1174" s="1503">
        <f>1-N1175</f>
        <v>0.58643136647518923</v>
      </c>
    </row>
    <row r="1175" spans="1:15" ht="12" customHeight="1">
      <c r="A1175" s="1517"/>
      <c r="B1175" s="1502"/>
      <c r="C1175" s="635" t="s">
        <v>6219</v>
      </c>
      <c r="D1175" s="636">
        <f>D1174/(D1174+E1174+G1174+H1174+I1174+J1174+L1174+M1174+N1174)</f>
        <v>0.26814746652939808</v>
      </c>
      <c r="E1175" s="636">
        <f>E1174/(D1174+E1174+G1174+H1174+I1174+J1174+L1174+M1174+N1174)</f>
        <v>6.380255191986188E-2</v>
      </c>
      <c r="F1175" s="637">
        <f t="shared" si="36"/>
        <v>0.33195001844925998</v>
      </c>
      <c r="G1175" s="636">
        <f>G1174/(D1174+E1174+G1174+H1174+I1174+J1174+L1174+M1174+N1174)</f>
        <v>0.19511572924686021</v>
      </c>
      <c r="H1175" s="636">
        <f>H1174/(D1174+E1174+G1174+H1174+I1174+J1174+L1174+M1174+N1174)</f>
        <v>1.8185048355282639E-2</v>
      </c>
      <c r="I1175" s="636">
        <f>I1174/(D1174+E1174+G1174+H1174+I1174+J1174+L1174+M1174+N1174)</f>
        <v>0</v>
      </c>
      <c r="J1175" s="636">
        <f>J1174/(D1174+E1174+G1174+H1174+I1174+J1174+L1174+M1174+N1174)</f>
        <v>0</v>
      </c>
      <c r="K1175" s="637">
        <f t="shared" si="37"/>
        <v>0.21330077760214286</v>
      </c>
      <c r="L1175" s="636">
        <f>L1174/(D1174+E1174+G1174+H1174+I1174+J1174+L1174+M1174+N1174)</f>
        <v>2.408881154878121E-2</v>
      </c>
      <c r="M1175" s="636">
        <f>M1174/(D1174+E1174+G1174+H1174+I1174+J1174+L1174+M1174+N1174)</f>
        <v>1.7091758875005126E-2</v>
      </c>
      <c r="N1175" s="636">
        <f>N1174/(D1174+E1174+G1174+H1174+I1174+J1174+L1174+M1174+N1174)</f>
        <v>0.41356863352481082</v>
      </c>
      <c r="O1175" s="1503"/>
    </row>
    <row r="1176" spans="1:15" ht="12" customHeight="1">
      <c r="A1176" s="1517"/>
      <c r="B1176" s="1502" t="s">
        <v>14940</v>
      </c>
      <c r="C1176" s="638" t="s">
        <v>6218</v>
      </c>
      <c r="D1176" s="639">
        <v>68980</v>
      </c>
      <c r="E1176" s="639">
        <v>13555</v>
      </c>
      <c r="F1176" s="640">
        <f t="shared" si="36"/>
        <v>82535</v>
      </c>
      <c r="G1176" s="639">
        <v>45195</v>
      </c>
      <c r="H1176" s="639">
        <v>3760</v>
      </c>
      <c r="I1176" s="639"/>
      <c r="J1176" s="639"/>
      <c r="K1176" s="640">
        <f t="shared" si="37"/>
        <v>48955</v>
      </c>
      <c r="L1176" s="639">
        <v>6462</v>
      </c>
      <c r="M1176" s="639"/>
      <c r="N1176" s="639">
        <v>81079</v>
      </c>
      <c r="O1176" s="1503">
        <f>1-N1177</f>
        <v>0.62982865439138758</v>
      </c>
    </row>
    <row r="1177" spans="1:15" ht="12" customHeight="1" thickBot="1">
      <c r="A1177" s="1519"/>
      <c r="B1177" s="1514"/>
      <c r="C1177" s="641" t="s">
        <v>6219</v>
      </c>
      <c r="D1177" s="642">
        <f>D1176/(D1176+E1176+G1176+H1176+I1176+J1176+L1176+M1176+N1176)</f>
        <v>0.31493258945080832</v>
      </c>
      <c r="E1177" s="642">
        <f>E1176/(D1176+E1176+G1176+H1176+I1176+J1176+L1176+M1176+N1176)</f>
        <v>6.1886217019508652E-2</v>
      </c>
      <c r="F1177" s="643">
        <f t="shared" si="36"/>
        <v>0.37681880647031696</v>
      </c>
      <c r="G1177" s="642">
        <f>G1176/(D1176+E1176+G1176+H1176+I1176+J1176+L1176+M1176+N1176)</f>
        <v>0.20634065497577969</v>
      </c>
      <c r="H1177" s="642">
        <f>H1176/(D1176+E1176+G1176+H1176+I1176+J1176+L1176+M1176+N1176)</f>
        <v>1.7166519807698455E-2</v>
      </c>
      <c r="I1177" s="642">
        <f>I1176/(D1176+E1176+G1176+H1176+I1176+J1176+L1176+M1176+N1176)</f>
        <v>0</v>
      </c>
      <c r="J1177" s="642">
        <f>J1176/(D1176+E1176+G1176+H1176+I1176+J1176+L1176+M1176+N1176)</f>
        <v>0</v>
      </c>
      <c r="K1177" s="643">
        <f t="shared" si="37"/>
        <v>0.22350717478347815</v>
      </c>
      <c r="L1177" s="642">
        <f>L1176/(D1176+E1176+G1176+H1176+I1176+J1176+L1176+M1176+N1176)</f>
        <v>2.9502673137592396E-2</v>
      </c>
      <c r="M1177" s="642">
        <f>M1176/(D1176+E1176+G1176+H1176+I1176+J1176+L1176+M1176+N1176)</f>
        <v>0</v>
      </c>
      <c r="N1177" s="642">
        <f>N1176/(D1176+E1176+G1176+H1176+I1176+J1176+L1176+M1176+N1176)</f>
        <v>0.37017134560861248</v>
      </c>
      <c r="O1177" s="1515"/>
    </row>
    <row r="1178" spans="1:15" ht="12" customHeight="1">
      <c r="A1178" s="1516" t="s">
        <v>15085</v>
      </c>
      <c r="B1178" s="1509" t="s">
        <v>14937</v>
      </c>
      <c r="C1178" s="647" t="s">
        <v>6218</v>
      </c>
      <c r="D1178" s="648">
        <v>50181</v>
      </c>
      <c r="E1178" s="648">
        <v>15311</v>
      </c>
      <c r="F1178" s="649">
        <f t="shared" si="36"/>
        <v>65492</v>
      </c>
      <c r="G1178" s="648">
        <v>53305</v>
      </c>
      <c r="H1178" s="648">
        <v>3567</v>
      </c>
      <c r="I1178" s="648">
        <v>3350</v>
      </c>
      <c r="J1178" s="648">
        <v>2527</v>
      </c>
      <c r="K1178" s="649">
        <f t="shared" si="37"/>
        <v>62749</v>
      </c>
      <c r="L1178" s="648">
        <v>5932</v>
      </c>
      <c r="M1178" s="648">
        <v>2406</v>
      </c>
      <c r="N1178" s="648">
        <v>78865</v>
      </c>
      <c r="O1178" s="1510">
        <f>1-N1179</f>
        <v>0.6339419988488888</v>
      </c>
    </row>
    <row r="1179" spans="1:15" ht="12" customHeight="1">
      <c r="A1179" s="1517"/>
      <c r="B1179" s="1502"/>
      <c r="C1179" s="635" t="s">
        <v>6219</v>
      </c>
      <c r="D1179" s="636">
        <f>D1178/(D1178+E1178+G1178+H1178+I1178+J1178+L1178+M1178+N1178)</f>
        <v>0.23291899519132583</v>
      </c>
      <c r="E1179" s="636">
        <f>E1178/(D1178+E1178+G1178+H1178+I1178+J1178+L1178+M1178+N1178)</f>
        <v>7.1067191474350644E-2</v>
      </c>
      <c r="F1179" s="637">
        <f t="shared" si="36"/>
        <v>0.30398618666567645</v>
      </c>
      <c r="G1179" s="636">
        <f>G1178/(D1178+E1178+G1178+H1178+I1178+J1178+L1178+M1178+N1178)</f>
        <v>0.24741928296912422</v>
      </c>
      <c r="H1179" s="636">
        <f>H1178/(D1178+E1178+G1178+H1178+I1178+J1178+L1178+M1178+N1178)</f>
        <v>1.6556506563190434E-2</v>
      </c>
      <c r="I1179" s="636">
        <f>I1178/(D1178+E1178+G1178+H1178+I1178+J1178+L1178+M1178+N1178)</f>
        <v>1.5549284268765897E-2</v>
      </c>
      <c r="J1179" s="636">
        <f>J1178/(D1178+E1178+G1178+H1178+I1178+J1178+L1178+M1178+N1178)</f>
        <v>1.1729266073782513E-2</v>
      </c>
      <c r="K1179" s="637">
        <f t="shared" si="37"/>
        <v>0.29125433987486304</v>
      </c>
      <c r="L1179" s="636">
        <f>L1178/(D1178+E1178+G1178+H1178+I1178+J1178+L1178+M1178+N1178)</f>
        <v>2.7533837099199793E-2</v>
      </c>
      <c r="M1179" s="636">
        <f>M1178/(D1178+E1178+G1178+H1178+I1178+J1178+L1178+M1178+N1178)</f>
        <v>1.1167635209149478E-2</v>
      </c>
      <c r="N1179" s="636">
        <f>N1178/(D1178+E1178+G1178+H1178+I1178+J1178+L1178+M1178+N1178)</f>
        <v>0.3660580011511112</v>
      </c>
      <c r="O1179" s="1503"/>
    </row>
    <row r="1180" spans="1:15" ht="12" customHeight="1">
      <c r="A1180" s="1517"/>
      <c r="B1180" s="1502" t="s">
        <v>14938</v>
      </c>
      <c r="C1180" s="638" t="s">
        <v>6218</v>
      </c>
      <c r="D1180" s="639">
        <v>69908</v>
      </c>
      <c r="E1180" s="639">
        <v>16323</v>
      </c>
      <c r="F1180" s="640">
        <f t="shared" si="36"/>
        <v>86231</v>
      </c>
      <c r="G1180" s="639">
        <v>47113</v>
      </c>
      <c r="H1180" s="639">
        <v>4703</v>
      </c>
      <c r="I1180" s="639">
        <v>7128</v>
      </c>
      <c r="J1180" s="639"/>
      <c r="K1180" s="640">
        <f t="shared" si="37"/>
        <v>58944</v>
      </c>
      <c r="L1180" s="639">
        <v>7129</v>
      </c>
      <c r="M1180" s="639"/>
      <c r="N1180" s="639">
        <v>64112</v>
      </c>
      <c r="O1180" s="1503">
        <f>1-N1181</f>
        <v>0.70375572970575195</v>
      </c>
    </row>
    <row r="1181" spans="1:15" ht="12" customHeight="1">
      <c r="A1181" s="1517"/>
      <c r="B1181" s="1502"/>
      <c r="C1181" s="635" t="s">
        <v>6219</v>
      </c>
      <c r="D1181" s="636">
        <f>D1180/(D1180+E1180+G1180+H1180+I1180+J1180+L1180+M1180+N1180)</f>
        <v>0.32302602395386665</v>
      </c>
      <c r="E1181" s="636">
        <f>E1180/(D1180+E1180+G1180+H1180+I1180+J1180+L1180+M1180+N1180)</f>
        <v>7.5424183054857305E-2</v>
      </c>
      <c r="F1181" s="637">
        <f t="shared" si="36"/>
        <v>0.39845020700872397</v>
      </c>
      <c r="G1181" s="636">
        <f>G1180/(D1180+E1180+G1180+H1180+I1180+J1180+L1180+M1180+N1180)</f>
        <v>0.21769647345852433</v>
      </c>
      <c r="H1181" s="636">
        <f>H1180/(D1180+E1180+G1180+H1180+I1180+J1180+L1180+M1180+N1180)</f>
        <v>2.1731295283158363E-2</v>
      </c>
      <c r="I1181" s="636">
        <f>I1180/(D1180+E1180+G1180+H1180+I1180+J1180+L1180+M1180+N1180)</f>
        <v>3.2936566612450098E-2</v>
      </c>
      <c r="J1181" s="636">
        <f>J1180/(D1180+E1180+G1180+H1180+I1180+J1180+L1180+M1180+N1180)</f>
        <v>0</v>
      </c>
      <c r="K1181" s="637">
        <f t="shared" si="37"/>
        <v>0.27236433535413279</v>
      </c>
      <c r="L1181" s="636">
        <f>L1180/(D1180+E1180+G1180+H1180+I1180+J1180+L1180+M1180+N1180)</f>
        <v>3.2941187342895167E-2</v>
      </c>
      <c r="M1181" s="636">
        <f>M1180/(D1180+E1180+G1180+H1180+I1180+J1180+L1180+M1180+N1180)</f>
        <v>0</v>
      </c>
      <c r="N1181" s="636">
        <f>N1180/(D1180+E1180+G1180+H1180+I1180+J1180+L1180+M1180+N1180)</f>
        <v>0.2962442702942481</v>
      </c>
      <c r="O1181" s="1503"/>
    </row>
    <row r="1182" spans="1:15" ht="12" customHeight="1">
      <c r="A1182" s="1517"/>
      <c r="B1182" s="1502" t="s">
        <v>14939</v>
      </c>
      <c r="C1182" s="638" t="s">
        <v>6218</v>
      </c>
      <c r="D1182" s="639">
        <v>57130</v>
      </c>
      <c r="E1182" s="639">
        <v>16991</v>
      </c>
      <c r="F1182" s="640">
        <f t="shared" si="36"/>
        <v>74121</v>
      </c>
      <c r="G1182" s="639">
        <v>47187</v>
      </c>
      <c r="H1182" s="639">
        <v>4057</v>
      </c>
      <c r="I1182" s="639"/>
      <c r="J1182" s="639"/>
      <c r="K1182" s="640">
        <f t="shared" si="37"/>
        <v>51244</v>
      </c>
      <c r="L1182" s="639">
        <v>6348</v>
      </c>
      <c r="M1182" s="639">
        <v>3688</v>
      </c>
      <c r="N1182" s="639">
        <v>81226</v>
      </c>
      <c r="O1182" s="1503">
        <f>1-N1183</f>
        <v>0.6250421230963823</v>
      </c>
    </row>
    <row r="1183" spans="1:15" ht="12" customHeight="1">
      <c r="A1183" s="1517"/>
      <c r="B1183" s="1502"/>
      <c r="C1183" s="635" t="s">
        <v>6219</v>
      </c>
      <c r="D1183" s="636">
        <f>D1182/(D1182+E1182+G1182+H1182+I1182+J1182+L1182+M1182+N1182)</f>
        <v>0.26372520507600622</v>
      </c>
      <c r="E1183" s="636">
        <f>E1182/(D1182+E1182+G1182+H1182+I1182+J1182+L1182+M1182+N1182)</f>
        <v>7.8434359521204658E-2</v>
      </c>
      <c r="F1183" s="637">
        <f t="shared" si="36"/>
        <v>0.34215956459721086</v>
      </c>
      <c r="G1183" s="636">
        <f>G1182/(D1182+E1182+G1182+H1182+I1182+J1182+L1182+M1182+N1182)</f>
        <v>0.21782603276599871</v>
      </c>
      <c r="H1183" s="636">
        <f>H1182/(D1182+E1182+G1182+H1182+I1182+J1182+L1182+M1182+N1182)</f>
        <v>1.8728044057296642E-2</v>
      </c>
      <c r="I1183" s="636">
        <f>I1182/(D1182+E1182+G1182+H1182+I1182+J1182+L1182+M1182+N1182)</f>
        <v>0</v>
      </c>
      <c r="J1183" s="636">
        <f>J1182/(D1182+E1182+G1182+H1182+I1182+J1182+L1182+M1182+N1182)</f>
        <v>0</v>
      </c>
      <c r="K1183" s="637">
        <f t="shared" si="37"/>
        <v>0.23655407682329535</v>
      </c>
      <c r="L1183" s="636">
        <f>L1182/(D1182+E1182+G1182+H1182+I1182+J1182+L1182+M1182+N1182)</f>
        <v>2.9303826392831918E-2</v>
      </c>
      <c r="M1183" s="636">
        <f>M1182/(D1182+E1182+G1182+H1182+I1182+J1182+L1182+M1182+N1182)</f>
        <v>1.7024655283044126E-2</v>
      </c>
      <c r="N1183" s="636">
        <f>N1182/(D1182+E1182+G1182+H1182+I1182+J1182+L1182+M1182+N1182)</f>
        <v>0.37495787690361776</v>
      </c>
      <c r="O1183" s="1503"/>
    </row>
    <row r="1184" spans="1:15" ht="12" customHeight="1">
      <c r="A1184" s="1517"/>
      <c r="B1184" s="1502" t="s">
        <v>14940</v>
      </c>
      <c r="C1184" s="638" t="s">
        <v>6218</v>
      </c>
      <c r="D1184" s="639">
        <v>65221</v>
      </c>
      <c r="E1184" s="639">
        <v>16668</v>
      </c>
      <c r="F1184" s="640">
        <f t="shared" si="36"/>
        <v>81889</v>
      </c>
      <c r="G1184" s="639">
        <v>46584</v>
      </c>
      <c r="H1184" s="639">
        <v>3682</v>
      </c>
      <c r="I1184" s="639"/>
      <c r="J1184" s="639"/>
      <c r="K1184" s="640">
        <f t="shared" si="37"/>
        <v>50266</v>
      </c>
      <c r="L1184" s="639">
        <v>7623</v>
      </c>
      <c r="M1184" s="639"/>
      <c r="N1184" s="639">
        <v>76651</v>
      </c>
      <c r="O1184" s="1503">
        <f>1-N1185</f>
        <v>0.64583766500792406</v>
      </c>
    </row>
    <row r="1185" spans="1:15" ht="12" customHeight="1" thickBot="1">
      <c r="A1185" s="1519"/>
      <c r="B1185" s="1514"/>
      <c r="C1185" s="641" t="s">
        <v>6219</v>
      </c>
      <c r="D1185" s="642">
        <f>D1184/(D1184+E1184+G1184+H1184+I1184+J1184+L1184+M1184+N1184)</f>
        <v>0.30135055838173258</v>
      </c>
      <c r="E1185" s="642">
        <f>E1184/(D1184+E1184+G1184+H1184+I1184+J1184+L1184+M1184+N1184)</f>
        <v>7.7013708883744786E-2</v>
      </c>
      <c r="F1185" s="643">
        <f t="shared" si="36"/>
        <v>0.37836426726547734</v>
      </c>
      <c r="G1185" s="642">
        <f>G1184/(D1184+E1184+G1184+H1184+I1184+J1184+L1184+M1184+N1184)</f>
        <v>0.21523917774420248</v>
      </c>
      <c r="H1185" s="642">
        <f>H1184/(D1184+E1184+G1184+H1184+I1184+J1184+L1184+M1184+N1184)</f>
        <v>1.7012507565991618E-2</v>
      </c>
      <c r="I1185" s="642">
        <f>I1184/(D1184+E1184+G1184+H1184+I1184+J1184+L1184+M1184+N1184)</f>
        <v>0</v>
      </c>
      <c r="J1185" s="642">
        <f>J1184/(D1184+E1184+G1184+H1184+I1184+J1184+L1184+M1184+N1184)</f>
        <v>0</v>
      </c>
      <c r="K1185" s="643">
        <f t="shared" si="37"/>
        <v>0.23225168531019411</v>
      </c>
      <c r="L1185" s="642">
        <f>L1184/(D1184+E1184+G1184+H1184+I1184+J1184+L1184+M1184+N1184)</f>
        <v>3.5221712432252611E-2</v>
      </c>
      <c r="M1185" s="642">
        <f>M1184/(D1184+E1184+G1184+H1184+I1184+J1184+L1184+M1184+N1184)</f>
        <v>0</v>
      </c>
      <c r="N1185" s="642">
        <f>N1184/(D1184+E1184+G1184+H1184+I1184+J1184+L1184+M1184+N1184)</f>
        <v>0.35416233499207594</v>
      </c>
      <c r="O1185" s="1515"/>
    </row>
    <row r="1186" spans="1:15" ht="12" customHeight="1">
      <c r="A1186" s="1516" t="s">
        <v>15086</v>
      </c>
      <c r="B1186" s="1509" t="s">
        <v>14937</v>
      </c>
      <c r="C1186" s="647" t="s">
        <v>6218</v>
      </c>
      <c r="D1186" s="648">
        <v>63594</v>
      </c>
      <c r="E1186" s="648">
        <v>22148</v>
      </c>
      <c r="F1186" s="649">
        <f t="shared" si="36"/>
        <v>85742</v>
      </c>
      <c r="G1186" s="648">
        <v>103535</v>
      </c>
      <c r="H1186" s="648">
        <v>14537</v>
      </c>
      <c r="I1186" s="648">
        <v>4097</v>
      </c>
      <c r="J1186" s="648">
        <v>25093</v>
      </c>
      <c r="K1186" s="649">
        <f t="shared" si="37"/>
        <v>147262</v>
      </c>
      <c r="L1186" s="648">
        <v>24191</v>
      </c>
      <c r="M1186" s="648">
        <v>4720</v>
      </c>
      <c r="N1186" s="648">
        <v>168810</v>
      </c>
      <c r="O1186" s="1510">
        <f>1-N1187</f>
        <v>0.60807940100992508</v>
      </c>
    </row>
    <row r="1187" spans="1:15" ht="12" customHeight="1">
      <c r="A1187" s="1517"/>
      <c r="B1187" s="1502"/>
      <c r="C1187" s="635" t="s">
        <v>6219</v>
      </c>
      <c r="D1187" s="636">
        <f>D1186/(D1186+E1186+G1186+H1186+I1186+J1186+L1186+M1186+N1186)</f>
        <v>0.14764408845551105</v>
      </c>
      <c r="E1187" s="636">
        <f>E1186/(D1186+E1186+G1186+H1186+I1186+J1186+L1186+M1186+N1186)</f>
        <v>5.1420279760868305E-2</v>
      </c>
      <c r="F1187" s="637">
        <f t="shared" si="36"/>
        <v>0.19906436821637935</v>
      </c>
      <c r="G1187" s="636">
        <f>G1186/(D1186+E1186+G1186+H1186+I1186+J1186+L1186+M1186+N1186)</f>
        <v>0.24037378838005688</v>
      </c>
      <c r="H1187" s="636">
        <f>H1186/(D1186+E1186+G1186+H1186+I1186+J1186+L1186+M1186+N1186)</f>
        <v>3.3750072552092406E-2</v>
      </c>
      <c r="I1187" s="636">
        <f>I1186/(D1186+E1186+G1186+H1186+I1186+J1186+L1186+M1186+N1186)</f>
        <v>9.5118695223170239E-3</v>
      </c>
      <c r="J1187" s="636">
        <f>J1186/(D1186+E1186+G1186+H1186+I1186+J1186+L1186+M1186+N1186)</f>
        <v>5.8257588948865284E-2</v>
      </c>
      <c r="K1187" s="637">
        <f t="shared" si="37"/>
        <v>0.34189331940333162</v>
      </c>
      <c r="L1187" s="636">
        <f>L1186/(D1186+E1186+G1186+H1186+I1186+J1186+L1186+M1186+N1186)</f>
        <v>5.6163445353764004E-2</v>
      </c>
      <c r="M1187" s="636">
        <f>M1186/(D1186+E1186+G1186+H1186+I1186+J1186+L1186+M1186+N1186)</f>
        <v>1.0958268036450171E-2</v>
      </c>
      <c r="N1187" s="636">
        <f>N1186/(D1186+E1186+G1186+H1186+I1186+J1186+L1186+M1186+N1186)</f>
        <v>0.39192059899007486</v>
      </c>
      <c r="O1187" s="1503"/>
    </row>
    <row r="1188" spans="1:15" ht="12" customHeight="1">
      <c r="A1188" s="1517"/>
      <c r="B1188" s="1502" t="s">
        <v>14938</v>
      </c>
      <c r="C1188" s="638" t="s">
        <v>6218</v>
      </c>
      <c r="D1188" s="639">
        <v>99304</v>
      </c>
      <c r="E1188" s="639">
        <v>27038</v>
      </c>
      <c r="F1188" s="640">
        <f t="shared" si="36"/>
        <v>126342</v>
      </c>
      <c r="G1188" s="639">
        <v>109217</v>
      </c>
      <c r="H1188" s="639">
        <v>19266</v>
      </c>
      <c r="I1188" s="639">
        <v>11595</v>
      </c>
      <c r="J1188" s="639"/>
      <c r="K1188" s="640">
        <f t="shared" si="37"/>
        <v>140078</v>
      </c>
      <c r="L1188" s="639">
        <v>27751</v>
      </c>
      <c r="M1188" s="639"/>
      <c r="N1188" s="639">
        <v>136712</v>
      </c>
      <c r="O1188" s="1503">
        <f>1-N1189</f>
        <v>0.6827166539408609</v>
      </c>
    </row>
    <row r="1189" spans="1:15" ht="12" customHeight="1">
      <c r="A1189" s="1517"/>
      <c r="B1189" s="1502"/>
      <c r="C1189" s="635" t="s">
        <v>6219</v>
      </c>
      <c r="D1189" s="636">
        <f>D1188/(D1188+E1188+G1188+H1188+I1188+J1188+L1188+M1188+N1188)</f>
        <v>0.23046627506770981</v>
      </c>
      <c r="E1189" s="636">
        <f>E1188/(D1188+E1188+G1188+H1188+I1188+J1188+L1188+M1188+N1188)</f>
        <v>6.2750212934833821E-2</v>
      </c>
      <c r="F1189" s="637">
        <f t="shared" si="36"/>
        <v>0.29321648800254363</v>
      </c>
      <c r="G1189" s="636">
        <f>G1188/(D1188+E1188+G1188+H1188+I1188+J1188+L1188+M1188+N1188)</f>
        <v>0.25347252038256324</v>
      </c>
      <c r="H1189" s="636">
        <f>H1188/(D1188+E1188+G1188+H1188+I1188+J1188+L1188+M1188+N1188)</f>
        <v>4.4712833878338201E-2</v>
      </c>
      <c r="I1189" s="636">
        <f>I1188/(D1188+E1188+G1188+H1188+I1188+J1188+L1188+M1188+N1188)</f>
        <v>2.6909857200214445E-2</v>
      </c>
      <c r="J1189" s="636">
        <f>J1188/(D1188+E1188+G1188+H1188+I1188+J1188+L1188+M1188+N1188)</f>
        <v>0</v>
      </c>
      <c r="K1189" s="637">
        <f t="shared" si="37"/>
        <v>0.32509521146111586</v>
      </c>
      <c r="L1189" s="636">
        <f>L1188/(D1188+E1188+G1188+H1188+I1188+J1188+L1188+M1188+N1188)</f>
        <v>6.4404954477201473E-2</v>
      </c>
      <c r="M1189" s="636">
        <f>M1188/(D1188+E1188+G1188+H1188+I1188+J1188+L1188+M1188+N1188)</f>
        <v>0</v>
      </c>
      <c r="N1189" s="636">
        <f>N1188/(D1188+E1188+G1188+H1188+I1188+J1188+L1188+M1188+N1188)</f>
        <v>0.31728334605913905</v>
      </c>
      <c r="O1189" s="1503"/>
    </row>
    <row r="1190" spans="1:15" ht="12" customHeight="1">
      <c r="A1190" s="1517"/>
      <c r="B1190" s="1502" t="s">
        <v>14939</v>
      </c>
      <c r="C1190" s="638" t="s">
        <v>6218</v>
      </c>
      <c r="D1190" s="639">
        <v>69458</v>
      </c>
      <c r="E1190" s="639">
        <v>25263</v>
      </c>
      <c r="F1190" s="640">
        <f t="shared" si="36"/>
        <v>94721</v>
      </c>
      <c r="G1190" s="639">
        <v>99744</v>
      </c>
      <c r="H1190" s="639">
        <v>17786</v>
      </c>
      <c r="I1190" s="639"/>
      <c r="J1190" s="639"/>
      <c r="K1190" s="640">
        <f t="shared" si="37"/>
        <v>117530</v>
      </c>
      <c r="L1190" s="639">
        <v>21770</v>
      </c>
      <c r="M1190" s="639">
        <v>7794</v>
      </c>
      <c r="N1190" s="639">
        <v>188228</v>
      </c>
      <c r="O1190" s="1503">
        <f>1-N1191</f>
        <v>0.56230423469280977</v>
      </c>
    </row>
    <row r="1191" spans="1:15" ht="12" customHeight="1">
      <c r="A1191" s="1517"/>
      <c r="B1191" s="1502"/>
      <c r="C1191" s="635" t="s">
        <v>6219</v>
      </c>
      <c r="D1191" s="636">
        <f>D1190/(D1190+E1190+G1190+H1190+I1190+J1190+L1190+M1190+N1190)</f>
        <v>0.16151408115002452</v>
      </c>
      <c r="E1191" s="636">
        <f>E1190/(D1190+E1190+G1190+H1190+I1190+J1190+L1190+M1190+N1190)</f>
        <v>5.8745288261871489E-2</v>
      </c>
      <c r="F1191" s="637">
        <f t="shared" si="36"/>
        <v>0.220259369411896</v>
      </c>
      <c r="G1191" s="636">
        <f>G1190/(D1190+E1190+G1190+H1190+I1190+J1190+L1190+M1190+N1190)</f>
        <v>0.23193959673800063</v>
      </c>
      <c r="H1191" s="636">
        <f>H1190/(D1190+E1190+G1190+H1190+I1190+J1190+L1190+M1190+N1190)</f>
        <v>4.13586548321912E-2</v>
      </c>
      <c r="I1191" s="636">
        <f>I1190/(D1190+E1190+G1190+H1190+I1190+J1190+L1190+M1190+N1190)</f>
        <v>0</v>
      </c>
      <c r="J1191" s="636">
        <f>J1190/(D1190+E1190+G1190+H1190+I1190+J1190+L1190+M1190+N1190)</f>
        <v>0</v>
      </c>
      <c r="K1191" s="637">
        <f t="shared" si="37"/>
        <v>0.27329825157019183</v>
      </c>
      <c r="L1191" s="636">
        <f>L1190/(D1190+E1190+G1190+H1190+I1190+J1190+L1190+M1190+N1190)</f>
        <v>5.062284469227496E-2</v>
      </c>
      <c r="M1191" s="636">
        <f>M1190/(D1190+E1190+G1190+H1190+I1190+J1190+L1190+M1190+N1190)</f>
        <v>1.8123769018446992E-2</v>
      </c>
      <c r="N1191" s="636">
        <f>N1190/(D1190+E1190+G1190+H1190+I1190+J1190+L1190+M1190+N1190)</f>
        <v>0.43769576530719023</v>
      </c>
      <c r="O1191" s="1503"/>
    </row>
    <row r="1192" spans="1:15" ht="12" customHeight="1">
      <c r="A1192" s="1517"/>
      <c r="B1192" s="1502" t="s">
        <v>14940</v>
      </c>
      <c r="C1192" s="638" t="s">
        <v>6218</v>
      </c>
      <c r="D1192" s="639">
        <v>82072</v>
      </c>
      <c r="E1192" s="639">
        <v>24102</v>
      </c>
      <c r="F1192" s="640">
        <f t="shared" si="36"/>
        <v>106174</v>
      </c>
      <c r="G1192" s="639">
        <v>111053</v>
      </c>
      <c r="H1192" s="639">
        <v>16574</v>
      </c>
      <c r="I1192" s="639"/>
      <c r="J1192" s="639"/>
      <c r="K1192" s="640">
        <f t="shared" si="37"/>
        <v>127627</v>
      </c>
      <c r="L1192" s="639">
        <v>25150</v>
      </c>
      <c r="M1192" s="639"/>
      <c r="N1192" s="639">
        <v>170860</v>
      </c>
      <c r="O1192" s="1503">
        <f>1-N1193</f>
        <v>0.60247643731779776</v>
      </c>
    </row>
    <row r="1193" spans="1:15" ht="12" customHeight="1" thickBot="1">
      <c r="A1193" s="1519"/>
      <c r="B1193" s="1514"/>
      <c r="C1193" s="641" t="s">
        <v>6219</v>
      </c>
      <c r="D1193" s="642">
        <f>D1192/(D1192+E1192+G1192+H1192+I1192+J1192+L1192+M1192+N1192)</f>
        <v>0.19094904504538041</v>
      </c>
      <c r="E1193" s="642">
        <f>E1192/(D1192+E1192+G1192+H1192+I1192+J1192+L1192+M1192+N1192)</f>
        <v>5.6075810065354309E-2</v>
      </c>
      <c r="F1193" s="643">
        <f t="shared" si="36"/>
        <v>0.24702485511073471</v>
      </c>
      <c r="G1193" s="642">
        <f>G1192/(D1192+E1192+G1192+H1192+I1192+J1192+L1192+M1192+N1192)</f>
        <v>0.25837635611931759</v>
      </c>
      <c r="H1193" s="642">
        <f>H1192/(D1192+E1192+G1192+H1192+I1192+J1192+L1192+M1192+N1192)</f>
        <v>3.8561135010504614E-2</v>
      </c>
      <c r="I1193" s="642">
        <f>I1192/(D1192+E1192+G1192+H1192+I1192+J1192+L1192+M1192+N1192)</f>
        <v>0</v>
      </c>
      <c r="J1193" s="642">
        <f>J1192/(D1192+E1192+G1192+H1192+I1192+J1192+L1192+M1192+N1192)</f>
        <v>0</v>
      </c>
      <c r="K1193" s="643">
        <f t="shared" si="37"/>
        <v>0.29693749112982221</v>
      </c>
      <c r="L1193" s="642">
        <f>L1192/(D1192+E1192+G1192+H1192+I1192+J1192+L1192+M1192+N1192)</f>
        <v>5.8514091077240926E-2</v>
      </c>
      <c r="M1193" s="642">
        <f>M1192/(D1192+E1192+G1192+H1192+I1192+J1192+L1192+M1192+N1192)</f>
        <v>0</v>
      </c>
      <c r="N1193" s="642">
        <f>N1192/(D1192+E1192+G1192+H1192+I1192+J1192+L1192+M1192+N1192)</f>
        <v>0.39752356268220218</v>
      </c>
      <c r="O1193" s="1515"/>
    </row>
    <row r="1194" spans="1:15" ht="12" customHeight="1">
      <c r="A1194" s="1526" t="s">
        <v>15087</v>
      </c>
      <c r="B1194" s="1509" t="s">
        <v>14937</v>
      </c>
      <c r="C1194" s="647" t="s">
        <v>6218</v>
      </c>
      <c r="D1194" s="648">
        <v>51028</v>
      </c>
      <c r="E1194" s="648">
        <v>24145</v>
      </c>
      <c r="F1194" s="649">
        <f t="shared" si="36"/>
        <v>75173</v>
      </c>
      <c r="G1194" s="648">
        <v>93966</v>
      </c>
      <c r="H1194" s="648">
        <v>15630</v>
      </c>
      <c r="I1194" s="648">
        <v>3895</v>
      </c>
      <c r="J1194" s="648">
        <v>24994</v>
      </c>
      <c r="K1194" s="649">
        <f t="shared" si="37"/>
        <v>138485</v>
      </c>
      <c r="L1194" s="648">
        <v>22395</v>
      </c>
      <c r="M1194" s="648">
        <v>4518</v>
      </c>
      <c r="N1194" s="648">
        <v>149588</v>
      </c>
      <c r="O1194" s="1510">
        <f>1-N1195</f>
        <v>0.61659733595790434</v>
      </c>
    </row>
    <row r="1195" spans="1:15" ht="12" customHeight="1">
      <c r="A1195" s="1527"/>
      <c r="B1195" s="1502"/>
      <c r="C1195" s="635" t="s">
        <v>6219</v>
      </c>
      <c r="D1195" s="636">
        <f>D1194/(D1194+E1194+G1194+H1194+I1194+J1194+L1194+M1194+N1194)</f>
        <v>0.13078770449996027</v>
      </c>
      <c r="E1195" s="636">
        <f>E1194/(D1194+E1194+G1194+H1194+I1194+J1194+L1194+M1194+N1194)</f>
        <v>6.1885026361047674E-2</v>
      </c>
      <c r="F1195" s="637">
        <f t="shared" si="36"/>
        <v>0.19267273086100795</v>
      </c>
      <c r="G1195" s="636">
        <f>G1194/(D1194+E1194+G1194+H1194+I1194+J1194+L1194+M1194+N1194)</f>
        <v>0.24084027281185363</v>
      </c>
      <c r="H1195" s="636">
        <f>H1194/(D1194+E1194+G1194+H1194+I1194+J1194+L1194+M1194+N1194)</f>
        <v>4.0060590682260311E-2</v>
      </c>
      <c r="I1195" s="636">
        <f>I1194/(D1194+E1194+G1194+H1194+I1194+J1194+L1194+M1194+N1194)</f>
        <v>9.9831094502497702E-3</v>
      </c>
      <c r="J1195" s="636">
        <f>J1194/(D1194+E1194+G1194+H1194+I1194+J1194+L1194+M1194+N1194)</f>
        <v>6.4061062284863357E-2</v>
      </c>
      <c r="K1195" s="637">
        <f t="shared" si="37"/>
        <v>0.35494503522922705</v>
      </c>
      <c r="L1195" s="636">
        <f>L1194/(D1194+E1194+G1194+H1194+I1194+J1194+L1194+M1194+N1194)</f>
        <v>5.7399675516904648E-2</v>
      </c>
      <c r="M1195" s="636">
        <f>M1194/(D1194+E1194+G1194+H1194+I1194+J1194+L1194+M1194+N1194)</f>
        <v>1.1579894350764688E-2</v>
      </c>
      <c r="N1195" s="636">
        <f>N1194/(D1194+E1194+G1194+H1194+I1194+J1194+L1194+M1194+N1194)</f>
        <v>0.38340266404209566</v>
      </c>
      <c r="O1195" s="1503"/>
    </row>
    <row r="1196" spans="1:15" ht="12" customHeight="1">
      <c r="A1196" s="1527"/>
      <c r="B1196" s="1502" t="s">
        <v>14938</v>
      </c>
      <c r="C1196" s="638" t="s">
        <v>6218</v>
      </c>
      <c r="D1196" s="639">
        <v>81825</v>
      </c>
      <c r="E1196" s="639">
        <v>28825</v>
      </c>
      <c r="F1196" s="640">
        <f t="shared" si="36"/>
        <v>110650</v>
      </c>
      <c r="G1196" s="639">
        <v>93216</v>
      </c>
      <c r="H1196" s="639">
        <v>25856</v>
      </c>
      <c r="I1196" s="639">
        <v>11457</v>
      </c>
      <c r="J1196" s="639"/>
      <c r="K1196" s="640">
        <f t="shared" si="37"/>
        <v>130529</v>
      </c>
      <c r="L1196" s="639">
        <v>24353</v>
      </c>
      <c r="M1196" s="639"/>
      <c r="N1196" s="639">
        <v>124412</v>
      </c>
      <c r="O1196" s="1503">
        <f>1-N1197</f>
        <v>0.68094905935211214</v>
      </c>
    </row>
    <row r="1197" spans="1:15" ht="12" customHeight="1">
      <c r="A1197" s="1527"/>
      <c r="B1197" s="1502"/>
      <c r="C1197" s="635" t="s">
        <v>6219</v>
      </c>
      <c r="D1197" s="636">
        <f>D1196/(D1196+E1196+G1196+H1196+I1196+J1196+L1196+M1196+N1196)</f>
        <v>0.20983782286687319</v>
      </c>
      <c r="E1197" s="636">
        <f>E1196/(D1196+E1196+G1196+H1196+I1196+J1196+L1196+M1196+N1196)</f>
        <v>7.392087068912459E-2</v>
      </c>
      <c r="F1197" s="637">
        <f t="shared" si="36"/>
        <v>0.28375869355599781</v>
      </c>
      <c r="G1197" s="636">
        <f>G1196/(D1196+E1196+G1196+H1196+I1196+J1196+L1196+M1196+N1196)</f>
        <v>0.23904970970190592</v>
      </c>
      <c r="H1197" s="636">
        <f>H1196/(D1196+E1196+G1196+H1196+I1196+J1196+L1196+M1196+N1196)</f>
        <v>6.6306956896374863E-2</v>
      </c>
      <c r="I1197" s="636">
        <f>I1196/(D1196+E1196+G1196+H1196+I1196+J1196+L1196+M1196+N1196)</f>
        <v>2.9381141907555957E-2</v>
      </c>
      <c r="J1197" s="636">
        <f>J1196/(D1196+E1196+G1196+H1196+I1196+J1196+L1196+M1196+N1196)</f>
        <v>0</v>
      </c>
      <c r="K1197" s="637">
        <f t="shared" si="37"/>
        <v>0.33473780850583673</v>
      </c>
      <c r="L1197" s="636">
        <f>L1196/(D1196+E1196+G1196+H1196+I1196+J1196+L1196+M1196+N1196)</f>
        <v>6.2452557290277579E-2</v>
      </c>
      <c r="M1197" s="636">
        <f>M1196/(D1196+E1196+G1196+H1196+I1196+J1196+L1196+M1196+N1196)</f>
        <v>0</v>
      </c>
      <c r="N1197" s="636">
        <f>N1196/(D1196+E1196+G1196+H1196+I1196+J1196+L1196+M1196+N1196)</f>
        <v>0.31905094064788792</v>
      </c>
      <c r="O1197" s="1503"/>
    </row>
    <row r="1198" spans="1:15" ht="12" customHeight="1">
      <c r="A1198" s="1527"/>
      <c r="B1198" s="1502" t="s">
        <v>14939</v>
      </c>
      <c r="C1198" s="638" t="s">
        <v>6218</v>
      </c>
      <c r="D1198" s="639">
        <v>57749</v>
      </c>
      <c r="E1198" s="639">
        <v>27890</v>
      </c>
      <c r="F1198" s="640">
        <f t="shared" si="36"/>
        <v>85639</v>
      </c>
      <c r="G1198" s="639">
        <v>90741</v>
      </c>
      <c r="H1198" s="639">
        <v>19809</v>
      </c>
      <c r="I1198" s="639"/>
      <c r="J1198" s="639"/>
      <c r="K1198" s="640">
        <f t="shared" si="37"/>
        <v>110550</v>
      </c>
      <c r="L1198" s="639">
        <v>21165</v>
      </c>
      <c r="M1198" s="639">
        <v>8044</v>
      </c>
      <c r="N1198" s="639">
        <v>164049</v>
      </c>
      <c r="O1198" s="1503">
        <f>1-N1199</f>
        <v>0.5787642477667051</v>
      </c>
    </row>
    <row r="1199" spans="1:15" ht="12" customHeight="1">
      <c r="A1199" s="1527"/>
      <c r="B1199" s="1502"/>
      <c r="C1199" s="635" t="s">
        <v>6219</v>
      </c>
      <c r="D1199" s="636">
        <f>D1198/(D1198+E1198+G1198+H1198+I1198+J1198+L1198+M1198+N1198)</f>
        <v>0.14828461895970441</v>
      </c>
      <c r="E1199" s="636">
        <f>E1198/(D1198+E1198+G1198+H1198+I1198+J1198+L1198+M1198+N1198)</f>
        <v>7.1614366011292938E-2</v>
      </c>
      <c r="F1199" s="637">
        <f t="shared" si="36"/>
        <v>0.21989898497099736</v>
      </c>
      <c r="G1199" s="636">
        <f>G1198/(D1198+E1198+G1198+H1198+I1198+J1198+L1198+M1198+N1198)</f>
        <v>0.2329996122707326</v>
      </c>
      <c r="H1199" s="636">
        <f>H1198/(D1198+E1198+G1198+H1198+I1198+J1198+L1198+M1198+N1198)</f>
        <v>5.0864430846816126E-2</v>
      </c>
      <c r="I1199" s="636">
        <f>I1198/(D1198+E1198+G1198+H1198+I1198+J1198+L1198+M1198+N1198)</f>
        <v>0</v>
      </c>
      <c r="J1199" s="636">
        <f>J1198/(D1198+E1198+G1198+H1198+I1198+J1198+L1198+M1198+N1198)</f>
        <v>0</v>
      </c>
      <c r="K1199" s="637">
        <f t="shared" si="37"/>
        <v>0.2838640431175487</v>
      </c>
      <c r="L1199" s="636">
        <f>L1198/(D1198+E1198+G1198+H1198+I1198+J1198+L1198+M1198+N1198)</f>
        <v>5.4346291022911976E-2</v>
      </c>
      <c r="M1199" s="636">
        <f>M1198/(D1198+E1198+G1198+H1198+I1198+J1198+L1198+M1198+N1198)</f>
        <v>2.0654928655247054E-2</v>
      </c>
      <c r="N1199" s="636">
        <f>N1198/(D1198+E1198+G1198+H1198+I1198+J1198+L1198+M1198+N1198)</f>
        <v>0.4212357522332949</v>
      </c>
      <c r="O1199" s="1503"/>
    </row>
    <row r="1200" spans="1:15" ht="12" customHeight="1">
      <c r="A1200" s="1527"/>
      <c r="B1200" s="1502" t="s">
        <v>14940</v>
      </c>
      <c r="C1200" s="638" t="s">
        <v>6218</v>
      </c>
      <c r="D1200" s="639">
        <v>74021</v>
      </c>
      <c r="E1200" s="639">
        <v>28658</v>
      </c>
      <c r="F1200" s="640">
        <f t="shared" si="36"/>
        <v>102679</v>
      </c>
      <c r="G1200" s="639">
        <v>98388</v>
      </c>
      <c r="H1200" s="639">
        <v>24548</v>
      </c>
      <c r="I1200" s="639"/>
      <c r="J1200" s="639"/>
      <c r="K1200" s="640">
        <f t="shared" si="37"/>
        <v>122936</v>
      </c>
      <c r="L1200" s="639">
        <v>22170</v>
      </c>
      <c r="M1200" s="639"/>
      <c r="N1200" s="639">
        <v>141456</v>
      </c>
      <c r="O1200" s="1503">
        <f>1-N1201</f>
        <v>0.63658504628238033</v>
      </c>
    </row>
    <row r="1201" spans="1:15" ht="12" customHeight="1" thickBot="1">
      <c r="A1201" s="1528"/>
      <c r="B1201" s="1514"/>
      <c r="C1201" s="641" t="s">
        <v>6219</v>
      </c>
      <c r="D1201" s="642">
        <f>D1200/(D1200+E1200+G1200+H1200+I1200+J1200+L1200+M1200+N1200)</f>
        <v>0.19016753116963525</v>
      </c>
      <c r="E1201" s="642">
        <f>E1200/(D1200+E1200+G1200+H1200+I1200+J1200+L1200+M1200+N1200)</f>
        <v>7.3625337515832098E-2</v>
      </c>
      <c r="F1201" s="643">
        <f t="shared" si="36"/>
        <v>0.26379286868546736</v>
      </c>
      <c r="G1201" s="642">
        <f>G1200/(D1200+E1200+G1200+H1200+I1200+J1200+L1200+M1200+N1200)</f>
        <v>0.25276885014682421</v>
      </c>
      <c r="H1201" s="642">
        <f>H1200/(D1200+E1200+G1200+H1200+I1200+J1200+L1200+M1200+N1200)</f>
        <v>6.3066326517504573E-2</v>
      </c>
      <c r="I1201" s="642">
        <f>I1200/(D1200+E1200+G1200+H1200+I1200+J1200+L1200+M1200+N1200)</f>
        <v>0</v>
      </c>
      <c r="J1201" s="642">
        <f>J1200/(D1200+E1200+G1200+H1200+I1200+J1200+L1200+M1200+N1200)</f>
        <v>0</v>
      </c>
      <c r="K1201" s="643">
        <f t="shared" si="37"/>
        <v>0.31583517666432881</v>
      </c>
      <c r="L1201" s="642">
        <f>L1200/(D1200+E1200+G1200+H1200+I1200+J1200+L1200+M1200+N1200)</f>
        <v>5.6957000932584184E-2</v>
      </c>
      <c r="M1201" s="642">
        <f>M1200/(D1200+E1200+G1200+H1200+I1200+J1200+L1200+M1200+N1200)</f>
        <v>0</v>
      </c>
      <c r="N1201" s="642">
        <f>N1200/(D1200+E1200+G1200+H1200+I1200+J1200+L1200+M1200+N1200)</f>
        <v>0.36341495371761967</v>
      </c>
      <c r="O1201" s="1515"/>
    </row>
    <row r="1202" spans="1:15" ht="12" customHeight="1">
      <c r="A1202" s="1526" t="s">
        <v>15088</v>
      </c>
      <c r="B1202" s="1509" t="s">
        <v>14937</v>
      </c>
      <c r="C1202" s="647" t="s">
        <v>6218</v>
      </c>
      <c r="D1202" s="648">
        <v>47916</v>
      </c>
      <c r="E1202" s="648">
        <v>31495</v>
      </c>
      <c r="F1202" s="649">
        <f t="shared" si="36"/>
        <v>79411</v>
      </c>
      <c r="G1202" s="648">
        <v>104172</v>
      </c>
      <c r="H1202" s="648">
        <v>12037</v>
      </c>
      <c r="I1202" s="648">
        <v>5189</v>
      </c>
      <c r="J1202" s="648">
        <v>24563</v>
      </c>
      <c r="K1202" s="649">
        <f t="shared" si="37"/>
        <v>145961</v>
      </c>
      <c r="L1202" s="648">
        <v>24620</v>
      </c>
      <c r="M1202" s="648">
        <v>4468</v>
      </c>
      <c r="N1202" s="648">
        <v>148215</v>
      </c>
      <c r="O1202" s="1510">
        <f>1-N1203</f>
        <v>0.63192400819519468</v>
      </c>
    </row>
    <row r="1203" spans="1:15" ht="12" customHeight="1">
      <c r="A1203" s="1527"/>
      <c r="B1203" s="1502"/>
      <c r="C1203" s="635" t="s">
        <v>6219</v>
      </c>
      <c r="D1203" s="636">
        <f>D1202/(D1202+E1202+G1202+H1202+I1202+J1202+L1202+M1202+N1202)</f>
        <v>0.11899422611287018</v>
      </c>
      <c r="E1203" s="636">
        <f>E1202/(D1202+E1202+G1202+H1202+I1202+J1202+L1202+M1202+N1202)</f>
        <v>7.8214440926305334E-2</v>
      </c>
      <c r="F1203" s="637">
        <f t="shared" si="36"/>
        <v>0.1972086670391755</v>
      </c>
      <c r="G1203" s="636">
        <f>G1202/(D1202+E1202+G1202+H1202+I1202+J1202+L1202+M1202+N1202)</f>
        <v>0.25869994412367292</v>
      </c>
      <c r="H1203" s="636">
        <f>H1202/(D1202+E1202+G1202+H1202+I1202+J1202+L1202+M1202+N1202)</f>
        <v>2.9892593282423791E-2</v>
      </c>
      <c r="I1203" s="636">
        <f>I1202/(D1202+E1202+G1202+H1202+I1202+J1202+L1202+M1202+N1202)</f>
        <v>1.2886322716831192E-2</v>
      </c>
      <c r="J1203" s="636">
        <f>J1202/(D1202+E1202+G1202+H1202+I1202+J1202+L1202+M1202+N1202)</f>
        <v>6.0999565406345067E-2</v>
      </c>
      <c r="K1203" s="637">
        <f t="shared" si="37"/>
        <v>0.36247842552927295</v>
      </c>
      <c r="L1203" s="636">
        <f>L1202/(D1202+E1202+G1202+H1202+I1202+J1202+L1202+M1202+N1202)</f>
        <v>6.1141118768237412E-2</v>
      </c>
      <c r="M1203" s="636">
        <f>M1202/(D1202+E1202+G1202+H1202+I1202+J1202+L1202+M1202+N1202)</f>
        <v>1.1095796858508722E-2</v>
      </c>
      <c r="N1203" s="636">
        <f>N1202/(D1202+E1202+G1202+H1202+I1202+J1202+L1202+M1202+N1202)</f>
        <v>0.36807599180480538</v>
      </c>
      <c r="O1203" s="1503"/>
    </row>
    <row r="1204" spans="1:15" ht="12" customHeight="1">
      <c r="A1204" s="1527"/>
      <c r="B1204" s="1502" t="s">
        <v>14938</v>
      </c>
      <c r="C1204" s="638" t="s">
        <v>6218</v>
      </c>
      <c r="D1204" s="639">
        <v>80774</v>
      </c>
      <c r="E1204" s="639">
        <v>35722</v>
      </c>
      <c r="F1204" s="640">
        <f t="shared" si="36"/>
        <v>116496</v>
      </c>
      <c r="G1204" s="639">
        <v>106722</v>
      </c>
      <c r="H1204" s="639">
        <v>17073</v>
      </c>
      <c r="I1204" s="639">
        <v>12736</v>
      </c>
      <c r="J1204" s="639"/>
      <c r="K1204" s="640">
        <f t="shared" si="37"/>
        <v>136531</v>
      </c>
      <c r="L1204" s="639">
        <v>27804</v>
      </c>
      <c r="M1204" s="639"/>
      <c r="N1204" s="639">
        <v>121822</v>
      </c>
      <c r="O1204" s="1503">
        <f>1-N1205</f>
        <v>0.69745165191864955</v>
      </c>
    </row>
    <row r="1205" spans="1:15" ht="12" customHeight="1">
      <c r="A1205" s="1527"/>
      <c r="B1205" s="1502"/>
      <c r="C1205" s="635" t="s">
        <v>6219</v>
      </c>
      <c r="D1205" s="636">
        <f>D1204/(D1204+E1204+G1204+H1204+I1204+J1204+L1204+M1204+N1204)</f>
        <v>0.20060449071533057</v>
      </c>
      <c r="E1205" s="636">
        <f>E1204/(D1204+E1204+G1204+H1204+I1204+J1204+L1204+M1204+N1204)</f>
        <v>8.8716587235162778E-2</v>
      </c>
      <c r="F1205" s="637">
        <f t="shared" si="36"/>
        <v>0.28932107795049333</v>
      </c>
      <c r="G1205" s="636">
        <f>G1204/(D1204+E1204+G1204+H1204+I1204+J1204+L1204+M1204+N1204)</f>
        <v>0.26504707527325017</v>
      </c>
      <c r="H1205" s="636">
        <f>H1204/(D1204+E1204+G1204+H1204+I1204+J1204+L1204+M1204+N1204)</f>
        <v>4.2401273553158675E-2</v>
      </c>
      <c r="I1205" s="636">
        <f>I1204/(D1204+E1204+G1204+H1204+I1204+J1204+L1204+M1204+N1204)</f>
        <v>3.1630212614832127E-2</v>
      </c>
      <c r="J1205" s="636">
        <f>J1204/(D1204+E1204+G1204+H1204+I1204+J1204+L1204+M1204+N1204)</f>
        <v>0</v>
      </c>
      <c r="K1205" s="637">
        <f t="shared" si="37"/>
        <v>0.33907856144124093</v>
      </c>
      <c r="L1205" s="636">
        <f>L1204/(D1204+E1204+G1204+H1204+I1204+J1204+L1204+M1204+N1204)</f>
        <v>6.905201252691523E-2</v>
      </c>
      <c r="M1205" s="636">
        <f>M1204/(D1204+E1204+G1204+H1204+I1204+J1204+L1204+M1204+N1204)</f>
        <v>0</v>
      </c>
      <c r="N1205" s="636">
        <f>N1204/(D1204+E1204+G1204+H1204+I1204+J1204+L1204+M1204+N1204)</f>
        <v>0.30254834808135045</v>
      </c>
      <c r="O1205" s="1503"/>
    </row>
    <row r="1206" spans="1:15" ht="12" customHeight="1">
      <c r="A1206" s="1527"/>
      <c r="B1206" s="1502" t="s">
        <v>14939</v>
      </c>
      <c r="C1206" s="638" t="s">
        <v>6218</v>
      </c>
      <c r="D1206" s="639">
        <v>51323</v>
      </c>
      <c r="E1206" s="639">
        <v>34525</v>
      </c>
      <c r="F1206" s="640">
        <f t="shared" si="36"/>
        <v>85848</v>
      </c>
      <c r="G1206" s="639">
        <v>106245</v>
      </c>
      <c r="H1206" s="639">
        <v>14584</v>
      </c>
      <c r="I1206" s="639"/>
      <c r="J1206" s="639"/>
      <c r="K1206" s="640">
        <f t="shared" si="37"/>
        <v>120829</v>
      </c>
      <c r="L1206" s="639">
        <v>21655</v>
      </c>
      <c r="M1206" s="639">
        <v>7879</v>
      </c>
      <c r="N1206" s="639">
        <v>165377</v>
      </c>
      <c r="O1206" s="1503">
        <f>1-N1207</f>
        <v>0.58819237626622312</v>
      </c>
    </row>
    <row r="1207" spans="1:15" ht="12" customHeight="1">
      <c r="A1207" s="1527"/>
      <c r="B1207" s="1502"/>
      <c r="C1207" s="635" t="s">
        <v>6219</v>
      </c>
      <c r="D1207" s="636">
        <f>D1206/(D1206+E1206+G1206+H1206+I1206+J1206+L1206+M1206+N1206)</f>
        <v>0.12780013347012362</v>
      </c>
      <c r="E1207" s="636">
        <f>E1206/(D1206+E1206+G1206+H1206+I1206+J1206+L1206+M1206+N1206)</f>
        <v>8.597119435839716E-2</v>
      </c>
      <c r="F1207" s="637">
        <f t="shared" si="36"/>
        <v>0.21377132782852076</v>
      </c>
      <c r="G1207" s="636">
        <f>G1206/(D1206+E1206+G1206+H1206+I1206+J1206+L1206+M1206+N1206)</f>
        <v>0.26456218811319065</v>
      </c>
      <c r="H1207" s="636">
        <f>H1206/(D1206+E1206+G1206+H1206+I1206+J1206+L1206+M1206+N1206)</f>
        <v>3.6315826170104683E-2</v>
      </c>
      <c r="I1207" s="636">
        <f>I1206/(D1206+E1206+G1206+H1206+I1206+J1206+L1206+M1206+N1206)</f>
        <v>0</v>
      </c>
      <c r="J1207" s="636">
        <f>J1206/(D1206+E1206+G1206+H1206+I1206+J1206+L1206+M1206+N1206)</f>
        <v>0</v>
      </c>
      <c r="K1207" s="637">
        <f t="shared" si="37"/>
        <v>0.30087801428329536</v>
      </c>
      <c r="L1207" s="636">
        <f>L1206/(D1206+E1206+G1206+H1206+I1206+J1206+L1206+M1206+N1206)</f>
        <v>5.3923424006693428E-2</v>
      </c>
      <c r="M1207" s="636">
        <f>M1206/(D1206+E1206+G1206+H1206+I1206+J1206+L1206+M1206+N1206)</f>
        <v>1.9619610147713577E-2</v>
      </c>
      <c r="N1207" s="636">
        <f>N1206/(D1206+E1206+G1206+H1206+I1206+J1206+L1206+M1206+N1206)</f>
        <v>0.41180762373377688</v>
      </c>
      <c r="O1207" s="1503"/>
    </row>
    <row r="1208" spans="1:15" ht="12" customHeight="1">
      <c r="A1208" s="1527"/>
      <c r="B1208" s="1502" t="s">
        <v>14940</v>
      </c>
      <c r="C1208" s="638" t="s">
        <v>6218</v>
      </c>
      <c r="D1208" s="639">
        <v>68806</v>
      </c>
      <c r="E1208" s="639">
        <v>35428</v>
      </c>
      <c r="F1208" s="640">
        <f t="shared" si="36"/>
        <v>104234</v>
      </c>
      <c r="G1208" s="639">
        <v>111412</v>
      </c>
      <c r="H1208" s="639">
        <v>14200</v>
      </c>
      <c r="I1208" s="639"/>
      <c r="J1208" s="639"/>
      <c r="K1208" s="640">
        <f t="shared" si="37"/>
        <v>125612</v>
      </c>
      <c r="L1208" s="639">
        <v>25045</v>
      </c>
      <c r="M1208" s="639"/>
      <c r="N1208" s="639">
        <v>146612</v>
      </c>
      <c r="O1208" s="1503">
        <f>1-N1209</f>
        <v>0.63484208088108929</v>
      </c>
    </row>
    <row r="1209" spans="1:15" ht="12" customHeight="1" thickBot="1">
      <c r="A1209" s="1528"/>
      <c r="B1209" s="1514"/>
      <c r="C1209" s="641" t="s">
        <v>6219</v>
      </c>
      <c r="D1209" s="642">
        <f>D1208/(D1208+E1208+G1208+H1208+I1208+J1208+L1208+M1208+N1208)</f>
        <v>0.17137107319247927</v>
      </c>
      <c r="E1209" s="642">
        <f>E1208/(D1208+E1208+G1208+H1208+I1208+J1208+L1208+M1208+N1208)</f>
        <v>8.8238444046495293E-2</v>
      </c>
      <c r="F1209" s="643">
        <f t="shared" si="36"/>
        <v>0.25960951723897457</v>
      </c>
      <c r="G1209" s="642">
        <f>G1208/(D1208+E1208+G1208+H1208+I1208+J1208+L1208+M1208+N1208)</f>
        <v>0.27748734131500885</v>
      </c>
      <c r="H1209" s="642">
        <f>H1208/(D1208+E1208+G1208+H1208+I1208+J1208+L1208+M1208+N1208)</f>
        <v>3.5367108091346765E-2</v>
      </c>
      <c r="I1209" s="642">
        <f>I1208/(D1208+E1208+G1208+H1208+I1208+J1208+L1208+M1208+N1208)</f>
        <v>0</v>
      </c>
      <c r="J1209" s="642">
        <f>J1208/(D1208+E1208+G1208+H1208+I1208+J1208+L1208+M1208+N1208)</f>
        <v>0</v>
      </c>
      <c r="K1209" s="643">
        <f t="shared" si="37"/>
        <v>0.31285444940635559</v>
      </c>
      <c r="L1209" s="642">
        <f>L1208/(D1208+E1208+G1208+H1208+I1208+J1208+L1208+M1208+N1208)</f>
        <v>6.2378114235759133E-2</v>
      </c>
      <c r="M1209" s="642">
        <f>M1208/(D1208+E1208+G1208+H1208+I1208+J1208+L1208+M1208+N1208)</f>
        <v>0</v>
      </c>
      <c r="N1209" s="642">
        <f>N1208/(D1208+E1208+G1208+H1208+I1208+J1208+L1208+M1208+N1208)</f>
        <v>0.36515791911891071</v>
      </c>
      <c r="O1209" s="1515"/>
    </row>
    <row r="1210" spans="1:15" ht="12" customHeight="1">
      <c r="A1210" s="1516" t="s">
        <v>15089</v>
      </c>
      <c r="B1210" s="1509" t="s">
        <v>14937</v>
      </c>
      <c r="C1210" s="647" t="s">
        <v>6218</v>
      </c>
      <c r="D1210" s="648">
        <v>35309</v>
      </c>
      <c r="E1210" s="648">
        <v>14791</v>
      </c>
      <c r="F1210" s="649">
        <f t="shared" si="36"/>
        <v>50100</v>
      </c>
      <c r="G1210" s="648">
        <v>63260</v>
      </c>
      <c r="H1210" s="648">
        <v>8640</v>
      </c>
      <c r="I1210" s="648">
        <v>3100</v>
      </c>
      <c r="J1210" s="648">
        <v>16258</v>
      </c>
      <c r="K1210" s="649">
        <f t="shared" si="37"/>
        <v>91258</v>
      </c>
      <c r="L1210" s="648">
        <v>16165</v>
      </c>
      <c r="M1210" s="648">
        <v>3060</v>
      </c>
      <c r="N1210" s="648">
        <v>90345</v>
      </c>
      <c r="O1210" s="1510">
        <f>1-N1211</f>
        <v>0.63995648154052165</v>
      </c>
    </row>
    <row r="1211" spans="1:15" ht="12" customHeight="1">
      <c r="A1211" s="1517"/>
      <c r="B1211" s="1502"/>
      <c r="C1211" s="635" t="s">
        <v>6219</v>
      </c>
      <c r="D1211" s="636">
        <f>D1210/(D1210+E1210+G1210+H1210+I1210+J1210+L1210+M1210+N1210)</f>
        <v>0.14071367085379072</v>
      </c>
      <c r="E1211" s="636">
        <f>E1210/(D1210+E1210+G1210+H1210+I1210+J1210+L1210+M1210+N1210)</f>
        <v>5.894519543454696E-2</v>
      </c>
      <c r="F1211" s="637">
        <f t="shared" si="36"/>
        <v>0.19965886628833768</v>
      </c>
      <c r="G1211" s="636">
        <f>G1210/(D1210+E1210+G1210+H1210+I1210+J1210+L1210+M1210+N1210)</f>
        <v>0.25210418924950584</v>
      </c>
      <c r="H1211" s="636">
        <f>H1210/(D1210+E1210+G1210+H1210+I1210+J1210+L1210+M1210+N1210)</f>
        <v>3.443218771918638E-2</v>
      </c>
      <c r="I1211" s="636">
        <f>I1210/(D1210+E1210+G1210+H1210+I1210+J1210+L1210+M1210+N1210)</f>
        <v>1.2354141427022892E-2</v>
      </c>
      <c r="J1211" s="636">
        <f>J1210/(D1210+E1210+G1210+H1210+I1210+J1210+L1210+M1210+N1210)</f>
        <v>6.4791493974367148E-2</v>
      </c>
      <c r="K1211" s="637">
        <f t="shared" si="37"/>
        <v>0.36368201237008224</v>
      </c>
      <c r="L1211" s="636">
        <f>L1210/(D1210+E1210+G1210+H1210+I1210+J1210+L1210+M1210+N1210)</f>
        <v>6.442086973155646E-2</v>
      </c>
      <c r="M1211" s="636">
        <f>M1210/(D1210+E1210+G1210+H1210+I1210+J1210+L1210+M1210+N1210)</f>
        <v>1.2194733150545176E-2</v>
      </c>
      <c r="N1211" s="636">
        <f>N1210/(D1210+E1210+G1210+H1210+I1210+J1210+L1210+M1210+N1210)</f>
        <v>0.36004351845947841</v>
      </c>
      <c r="O1211" s="1503"/>
    </row>
    <row r="1212" spans="1:15" ht="12" customHeight="1">
      <c r="A1212" s="1517"/>
      <c r="B1212" s="1502" t="s">
        <v>14938</v>
      </c>
      <c r="C1212" s="638" t="s">
        <v>6218</v>
      </c>
      <c r="D1212" s="639">
        <v>58588</v>
      </c>
      <c r="E1212" s="639">
        <v>18913</v>
      </c>
      <c r="F1212" s="640">
        <f t="shared" si="36"/>
        <v>77501</v>
      </c>
      <c r="G1212" s="639">
        <v>58865</v>
      </c>
      <c r="H1212" s="639">
        <v>11549</v>
      </c>
      <c r="I1212" s="639">
        <v>8242</v>
      </c>
      <c r="J1212" s="639"/>
      <c r="K1212" s="640">
        <f t="shared" si="37"/>
        <v>78656</v>
      </c>
      <c r="L1212" s="639">
        <v>20754</v>
      </c>
      <c r="M1212" s="639"/>
      <c r="N1212" s="639">
        <v>75056</v>
      </c>
      <c r="O1212" s="1503">
        <f>1-N1213</f>
        <v>0.70211972202709083</v>
      </c>
    </row>
    <row r="1213" spans="1:15" ht="12" customHeight="1">
      <c r="A1213" s="1517"/>
      <c r="B1213" s="1502"/>
      <c r="C1213" s="635" t="s">
        <v>6219</v>
      </c>
      <c r="D1213" s="636">
        <f>D1212/(D1212+E1212+G1212+H1212+I1212+J1212+L1212+M1212+N1212)</f>
        <v>0.2325225128687487</v>
      </c>
      <c r="E1213" s="636">
        <f>E1212/(D1212+E1212+G1212+H1212+I1212+J1212+L1212+M1212+N1212)</f>
        <v>7.506141677283136E-2</v>
      </c>
      <c r="F1213" s="637">
        <f t="shared" si="36"/>
        <v>0.30758392964158005</v>
      </c>
      <c r="G1213" s="636">
        <f>G1212/(D1212+E1212+G1212+H1212+I1212+J1212+L1212+M1212+N1212)</f>
        <v>0.23362186318049585</v>
      </c>
      <c r="H1213" s="636">
        <f>H1212/(D1212+E1212+G1212+H1212+I1212+J1212+L1212+M1212+N1212)</f>
        <v>4.5835367329848747E-2</v>
      </c>
      <c r="I1213" s="636">
        <f>I1212/(D1212+E1212+G1212+H1212+I1212+J1212+L1212+M1212+N1212)</f>
        <v>3.2710632741589175E-2</v>
      </c>
      <c r="J1213" s="636">
        <f>J1212/(D1212+E1212+G1212+H1212+I1212+J1212+L1212+M1212+N1212)</f>
        <v>0</v>
      </c>
      <c r="K1213" s="637">
        <f t="shared" si="37"/>
        <v>0.3121678632519338</v>
      </c>
      <c r="L1213" s="636">
        <f>L1212/(D1212+E1212+G1212+H1212+I1212+J1212+L1212+M1212+N1212)</f>
        <v>8.2367929133577017E-2</v>
      </c>
      <c r="M1213" s="636">
        <f>M1212/(D1212+E1212+G1212+H1212+I1212+J1212+L1212+M1212+N1212)</f>
        <v>0</v>
      </c>
      <c r="N1213" s="636">
        <f>N1212/(D1212+E1212+G1212+H1212+I1212+J1212+L1212+M1212+N1212)</f>
        <v>0.29788027797290917</v>
      </c>
      <c r="O1213" s="1503"/>
    </row>
    <row r="1214" spans="1:15" ht="12" customHeight="1">
      <c r="A1214" s="1517"/>
      <c r="B1214" s="1502" t="s">
        <v>14939</v>
      </c>
      <c r="C1214" s="638" t="s">
        <v>6218</v>
      </c>
      <c r="D1214" s="639">
        <v>39120</v>
      </c>
      <c r="E1214" s="639">
        <v>17633</v>
      </c>
      <c r="F1214" s="640">
        <f t="shared" si="36"/>
        <v>56753</v>
      </c>
      <c r="G1214" s="639">
        <v>59870</v>
      </c>
      <c r="H1214" s="639">
        <v>11690</v>
      </c>
      <c r="I1214" s="639"/>
      <c r="J1214" s="639"/>
      <c r="K1214" s="640">
        <f t="shared" si="37"/>
        <v>71560</v>
      </c>
      <c r="L1214" s="639">
        <v>15617</v>
      </c>
      <c r="M1214" s="639">
        <v>5329</v>
      </c>
      <c r="N1214" s="639">
        <v>104152</v>
      </c>
      <c r="O1214" s="1503">
        <f>1-N1215</f>
        <v>0.5889996882534696</v>
      </c>
    </row>
    <row r="1215" spans="1:15" ht="12" customHeight="1">
      <c r="A1215" s="1517"/>
      <c r="B1215" s="1502"/>
      <c r="C1215" s="635" t="s">
        <v>6219</v>
      </c>
      <c r="D1215" s="636">
        <f>D1214/(D1214+E1214+G1214+H1214+I1214+J1214+L1214+M1214+N1214)</f>
        <v>0.15437372489749854</v>
      </c>
      <c r="E1215" s="636">
        <f>E1214/(D1214+E1214+G1214+H1214+I1214+J1214+L1214+M1214+N1214)</f>
        <v>6.9582614803619422E-2</v>
      </c>
      <c r="F1215" s="637">
        <f t="shared" si="36"/>
        <v>0.22395633970111795</v>
      </c>
      <c r="G1215" s="636">
        <f>G1214/(D1214+E1214+G1214+H1214+I1214+J1214+L1214+M1214+N1214)</f>
        <v>0.2362565160944079</v>
      </c>
      <c r="H1215" s="636">
        <f>H1214/(D1214+E1214+G1214+H1214+I1214+J1214+L1214+M1214+N1214)</f>
        <v>4.6130594173102196E-2</v>
      </c>
      <c r="I1215" s="636">
        <f>I1214/(D1214+E1214+G1214+H1214+I1214+J1214+L1214+M1214+N1214)</f>
        <v>0</v>
      </c>
      <c r="J1215" s="636">
        <f>J1214/(D1214+E1214+G1214+H1214+I1214+J1214+L1214+M1214+N1214)</f>
        <v>0</v>
      </c>
      <c r="K1215" s="637">
        <f t="shared" si="37"/>
        <v>0.28238711026751007</v>
      </c>
      <c r="L1215" s="636">
        <f>L1214/(D1214+E1214+G1214+H1214+I1214+J1214+L1214+M1214+N1214)</f>
        <v>6.1627159042030533E-2</v>
      </c>
      <c r="M1215" s="636">
        <f>M1214/(D1214+E1214+G1214+H1214+I1214+J1214+L1214+M1214+N1214)</f>
        <v>2.1029079242811086E-2</v>
      </c>
      <c r="N1215" s="636">
        <f>N1214/(D1214+E1214+G1214+H1214+I1214+J1214+L1214+M1214+N1214)</f>
        <v>0.41100031174653034</v>
      </c>
      <c r="O1215" s="1503"/>
    </row>
    <row r="1216" spans="1:15" ht="12" customHeight="1">
      <c r="A1216" s="1517"/>
      <c r="B1216" s="1502" t="s">
        <v>14940</v>
      </c>
      <c r="C1216" s="638" t="s">
        <v>6218</v>
      </c>
      <c r="D1216" s="639">
        <v>50898</v>
      </c>
      <c r="E1216" s="639">
        <v>17092</v>
      </c>
      <c r="F1216" s="640">
        <f t="shared" si="36"/>
        <v>67990</v>
      </c>
      <c r="G1216" s="639">
        <v>60686</v>
      </c>
      <c r="H1216" s="639">
        <v>15032</v>
      </c>
      <c r="I1216" s="639"/>
      <c r="J1216" s="639"/>
      <c r="K1216" s="640">
        <f t="shared" si="37"/>
        <v>75718</v>
      </c>
      <c r="L1216" s="639">
        <v>17842</v>
      </c>
      <c r="M1216" s="639"/>
      <c r="N1216" s="639">
        <v>92007</v>
      </c>
      <c r="O1216" s="1503">
        <f>1-N1217</f>
        <v>0.63713484541937315</v>
      </c>
    </row>
    <row r="1217" spans="1:15" ht="12" customHeight="1" thickBot="1">
      <c r="A1217" s="1519"/>
      <c r="B1217" s="1514"/>
      <c r="C1217" s="641" t="s">
        <v>6219</v>
      </c>
      <c r="D1217" s="642">
        <f>D1216/(D1216+E1216+G1216+H1216+I1216+J1216+L1216+M1216+N1216)</f>
        <v>0.20073592919935163</v>
      </c>
      <c r="E1217" s="642">
        <f>E1216/(D1216+E1216+G1216+H1216+I1216+J1216+L1216+M1216+N1216)</f>
        <v>6.7408906084233527E-2</v>
      </c>
      <c r="F1217" s="643">
        <f t="shared" si="36"/>
        <v>0.26814483528358513</v>
      </c>
      <c r="G1217" s="642">
        <f>G1216/(D1216+E1216+G1216+H1216+I1216+J1216+L1216+M1216+N1216)</f>
        <v>0.2393386891310435</v>
      </c>
      <c r="H1217" s="642">
        <f>H1216/(D1216+E1216+G1216+H1216+I1216+J1216+L1216+M1216+N1216)</f>
        <v>5.9284500132120194E-2</v>
      </c>
      <c r="I1217" s="642">
        <f>I1216/(D1216+E1216+G1216+H1216+I1216+J1216+L1216+M1216+N1216)</f>
        <v>0</v>
      </c>
      <c r="J1217" s="642">
        <f>J1216/(D1216+E1216+G1216+H1216+I1216+J1216+L1216+M1216+N1216)</f>
        <v>0</v>
      </c>
      <c r="K1217" s="643">
        <f t="shared" si="37"/>
        <v>0.29862318926316367</v>
      </c>
      <c r="L1217" s="642">
        <f>L1216/(D1216+E1216+G1216+H1216+I1216+J1216+L1216+M1216+N1216)</f>
        <v>7.0366820872624303E-2</v>
      </c>
      <c r="M1217" s="642">
        <f>M1216/(D1216+E1216+G1216+H1216+I1216+J1216+L1216+M1216+N1216)</f>
        <v>0</v>
      </c>
      <c r="N1217" s="642">
        <f>N1216/(D1216+E1216+G1216+H1216+I1216+J1216+L1216+M1216+N1216)</f>
        <v>0.36286515458062685</v>
      </c>
      <c r="O1217" s="1515"/>
    </row>
    <row r="1218" spans="1:15" ht="12" customHeight="1">
      <c r="A1218" s="1516" t="s">
        <v>15090</v>
      </c>
      <c r="B1218" s="1509" t="s">
        <v>14937</v>
      </c>
      <c r="C1218" s="647" t="s">
        <v>6218</v>
      </c>
      <c r="D1218" s="648">
        <v>46714</v>
      </c>
      <c r="E1218" s="648">
        <v>20837</v>
      </c>
      <c r="F1218" s="649">
        <f t="shared" ref="F1218:F1281" si="38">SUM(D1218:E1218)</f>
        <v>67551</v>
      </c>
      <c r="G1218" s="648">
        <v>71164</v>
      </c>
      <c r="H1218" s="648">
        <v>11777</v>
      </c>
      <c r="I1218" s="648">
        <v>3298</v>
      </c>
      <c r="J1218" s="648">
        <v>17864</v>
      </c>
      <c r="K1218" s="649">
        <f t="shared" ref="K1218:K1281" si="39">SUM(G1218:J1218)</f>
        <v>104103</v>
      </c>
      <c r="L1218" s="648">
        <v>21709</v>
      </c>
      <c r="M1218" s="648">
        <v>3587</v>
      </c>
      <c r="N1218" s="648">
        <v>96114</v>
      </c>
      <c r="O1218" s="1510">
        <f>1-N1219</f>
        <v>0.67203750716567034</v>
      </c>
    </row>
    <row r="1219" spans="1:15" ht="12" customHeight="1">
      <c r="A1219" s="1517"/>
      <c r="B1219" s="1502"/>
      <c r="C1219" s="635" t="s">
        <v>6219</v>
      </c>
      <c r="D1219" s="636">
        <f>D1218/(D1218+E1218+G1218+H1218+I1218+J1218+L1218+M1218+N1218)</f>
        <v>0.15939862965086124</v>
      </c>
      <c r="E1219" s="636">
        <f>E1218/(D1218+E1218+G1218+H1218+I1218+J1218+L1218+M1218+N1218)</f>
        <v>7.1100510468703082E-2</v>
      </c>
      <c r="F1219" s="637">
        <f t="shared" si="38"/>
        <v>0.23049914011956432</v>
      </c>
      <c r="G1219" s="636">
        <f>G1218/(D1218+E1218+G1218+H1218+I1218+J1218+L1218+M1218+N1218)</f>
        <v>0.24282750525482488</v>
      </c>
      <c r="H1219" s="636">
        <f>H1218/(D1218+E1218+G1218+H1218+I1218+J1218+L1218+M1218+N1218)</f>
        <v>4.0185761471896925E-2</v>
      </c>
      <c r="I1219" s="636">
        <f>I1218/(D1218+E1218+G1218+H1218+I1218+J1218+L1218+M1218+N1218)</f>
        <v>1.1253514590669615E-2</v>
      </c>
      <c r="J1219" s="636">
        <f>J1218/(D1218+E1218+G1218+H1218+I1218+J1218+L1218+M1218+N1218)</f>
        <v>6.0955968662135235E-2</v>
      </c>
      <c r="K1219" s="637">
        <f t="shared" si="39"/>
        <v>0.35522274997952663</v>
      </c>
      <c r="L1219" s="636">
        <f>L1218/(D1218+E1218+G1218+H1218+I1218+J1218+L1218+M1218+N1218)</f>
        <v>7.40759697540469E-2</v>
      </c>
      <c r="M1219" s="636">
        <f>M1218/(D1218+E1218+G1218+H1218+I1218+J1218+L1218+M1218+N1218)</f>
        <v>1.2239647312532416E-2</v>
      </c>
      <c r="N1219" s="636">
        <f>N1218/(D1218+E1218+G1218+H1218+I1218+J1218+L1218+M1218+N1218)</f>
        <v>0.32796249283432971</v>
      </c>
      <c r="O1219" s="1503"/>
    </row>
    <row r="1220" spans="1:15" ht="12" customHeight="1">
      <c r="A1220" s="1517"/>
      <c r="B1220" s="1502" t="s">
        <v>14938</v>
      </c>
      <c r="C1220" s="638" t="s">
        <v>6218</v>
      </c>
      <c r="D1220" s="639">
        <v>70894</v>
      </c>
      <c r="E1220" s="639">
        <v>25940</v>
      </c>
      <c r="F1220" s="640">
        <f t="shared" si="38"/>
        <v>96834</v>
      </c>
      <c r="G1220" s="639">
        <v>69841</v>
      </c>
      <c r="H1220" s="639">
        <v>14446</v>
      </c>
      <c r="I1220" s="639">
        <v>9497</v>
      </c>
      <c r="J1220" s="639"/>
      <c r="K1220" s="640">
        <f t="shared" si="39"/>
        <v>93784</v>
      </c>
      <c r="L1220" s="639">
        <v>26542</v>
      </c>
      <c r="M1220" s="639"/>
      <c r="N1220" s="639">
        <v>77099</v>
      </c>
      <c r="O1220" s="1503">
        <f>1-N1221</f>
        <v>0.73798932233168735</v>
      </c>
    </row>
    <row r="1221" spans="1:15" ht="12" customHeight="1">
      <c r="A1221" s="1517"/>
      <c r="B1221" s="1502"/>
      <c r="C1221" s="635" t="s">
        <v>6219</v>
      </c>
      <c r="D1221" s="636">
        <f>D1220/(D1220+E1220+G1220+H1220+I1220+J1220+L1220+M1220+N1220)</f>
        <v>0.24092381201594515</v>
      </c>
      <c r="E1221" s="636">
        <f>E1220/(D1220+E1220+G1220+H1220+I1220+J1220+L1220+M1220+N1220)</f>
        <v>8.8153633363805356E-2</v>
      </c>
      <c r="F1221" s="637">
        <f t="shared" si="38"/>
        <v>0.32907744537975048</v>
      </c>
      <c r="G1221" s="636">
        <f>G1220/(D1220+E1220+G1220+H1220+I1220+J1220+L1220+M1220+N1220)</f>
        <v>0.2373453318335208</v>
      </c>
      <c r="H1221" s="636">
        <f>H1220/(D1220+E1220+G1220+H1220+I1220+J1220+L1220+M1220+N1220)</f>
        <v>4.9092805997437629E-2</v>
      </c>
      <c r="I1221" s="636">
        <f>I1220/(D1220+E1220+G1220+H1220+I1220+J1220+L1220+M1220+N1220)</f>
        <v>3.2274288976717788E-2</v>
      </c>
      <c r="J1221" s="636">
        <f>J1220/(D1220+E1220+G1220+H1220+I1220+J1220+L1220+M1220+N1220)</f>
        <v>0</v>
      </c>
      <c r="K1221" s="637">
        <f t="shared" si="39"/>
        <v>0.31871242680767625</v>
      </c>
      <c r="L1221" s="636">
        <f>L1220/(D1220+E1220+G1220+H1220+I1220+J1220+L1220+M1220+N1220)</f>
        <v>9.0199450144260673E-2</v>
      </c>
      <c r="M1221" s="636">
        <f>M1220/(D1220+E1220+G1220+H1220+I1220+J1220+L1220+M1220+N1220)</f>
        <v>0</v>
      </c>
      <c r="N1221" s="636">
        <f>N1220/(D1220+E1220+G1220+H1220+I1220+J1220+L1220+M1220+N1220)</f>
        <v>0.2620106776683126</v>
      </c>
      <c r="O1221" s="1503"/>
    </row>
    <row r="1222" spans="1:15" ht="12" customHeight="1">
      <c r="A1222" s="1517"/>
      <c r="B1222" s="1502" t="s">
        <v>14939</v>
      </c>
      <c r="C1222" s="638" t="s">
        <v>6218</v>
      </c>
      <c r="D1222" s="639">
        <v>50272</v>
      </c>
      <c r="E1222" s="639">
        <v>24145</v>
      </c>
      <c r="F1222" s="640">
        <f t="shared" si="38"/>
        <v>74417</v>
      </c>
      <c r="G1222" s="639">
        <v>70113</v>
      </c>
      <c r="H1222" s="639">
        <v>14686</v>
      </c>
      <c r="I1222" s="639"/>
      <c r="J1222" s="639"/>
      <c r="K1222" s="640">
        <f t="shared" si="39"/>
        <v>84799</v>
      </c>
      <c r="L1222" s="639">
        <v>22199</v>
      </c>
      <c r="M1222" s="639">
        <v>6168</v>
      </c>
      <c r="N1222" s="639">
        <v>106456</v>
      </c>
      <c r="O1222" s="1503">
        <f>1-N1223</f>
        <v>0.63795278857566506</v>
      </c>
    </row>
    <row r="1223" spans="1:15" ht="12" customHeight="1">
      <c r="A1223" s="1517"/>
      <c r="B1223" s="1502"/>
      <c r="C1223" s="635" t="s">
        <v>6219</v>
      </c>
      <c r="D1223" s="636">
        <f>D1222/(D1222+E1222+G1222+H1222+I1222+J1222+L1222+M1222+N1222)</f>
        <v>0.17097051751638387</v>
      </c>
      <c r="E1223" s="636">
        <f>E1222/(D1222+E1222+G1222+H1222+I1222+J1222+L1222+M1222+N1222)</f>
        <v>8.2114957539646108E-2</v>
      </c>
      <c r="F1223" s="637">
        <f t="shared" si="38"/>
        <v>0.25308547505602996</v>
      </c>
      <c r="G1223" s="636">
        <f>G1222/(D1222+E1222+G1222+H1222+I1222+J1222+L1222+M1222+N1222)</f>
        <v>0.23844796098476734</v>
      </c>
      <c r="H1223" s="636">
        <f>H1222/(D1222+E1222+G1222+H1222+I1222+J1222+L1222+M1222+N1222)</f>
        <v>4.9945755495019367E-2</v>
      </c>
      <c r="I1223" s="636">
        <f>I1222/(D1222+E1222+G1222+H1222+I1222+J1222+L1222+M1222+N1222)</f>
        <v>0</v>
      </c>
      <c r="J1223" s="636">
        <f>J1222/(D1222+E1222+G1222+H1222+I1222+J1222+L1222+M1222+N1222)</f>
        <v>0</v>
      </c>
      <c r="K1223" s="637">
        <f t="shared" si="39"/>
        <v>0.28839371647978673</v>
      </c>
      <c r="L1223" s="636">
        <f>L1222/(D1222+E1222+G1222+H1222+I1222+J1222+L1222+M1222+N1222)</f>
        <v>7.5496787841068697E-2</v>
      </c>
      <c r="M1223" s="636">
        <f>M1222/(D1222+E1222+G1222+H1222+I1222+J1222+L1222+M1222+N1222)</f>
        <v>2.0976809198779752E-2</v>
      </c>
      <c r="N1223" s="636">
        <f>N1222/(D1222+E1222+G1222+H1222+I1222+J1222+L1222+M1222+N1222)</f>
        <v>0.36204721142433488</v>
      </c>
      <c r="O1223" s="1503"/>
    </row>
    <row r="1224" spans="1:15" ht="12" customHeight="1">
      <c r="A1224" s="1517"/>
      <c r="B1224" s="1502" t="s">
        <v>14940</v>
      </c>
      <c r="C1224" s="638" t="s">
        <v>6218</v>
      </c>
      <c r="D1224" s="639">
        <v>67507</v>
      </c>
      <c r="E1224" s="639">
        <v>24979</v>
      </c>
      <c r="F1224" s="640">
        <f t="shared" si="38"/>
        <v>92486</v>
      </c>
      <c r="G1224" s="639">
        <v>72876</v>
      </c>
      <c r="H1224" s="639">
        <v>13612</v>
      </c>
      <c r="I1224" s="639"/>
      <c r="J1224" s="639"/>
      <c r="K1224" s="640">
        <f t="shared" si="39"/>
        <v>86488</v>
      </c>
      <c r="L1224" s="639">
        <v>23973</v>
      </c>
      <c r="M1224" s="639"/>
      <c r="N1224" s="639">
        <v>91243</v>
      </c>
      <c r="O1224" s="1503">
        <f>1-N1225</f>
        <v>0.68985009687616849</v>
      </c>
    </row>
    <row r="1225" spans="1:15" ht="12" customHeight="1" thickBot="1">
      <c r="A1225" s="1518"/>
      <c r="B1225" s="1504"/>
      <c r="C1225" s="644" t="s">
        <v>6219</v>
      </c>
      <c r="D1225" s="645">
        <f>D1224/(D1224+E1224+G1224+H1224+I1224+J1224+L1224+M1224+N1224)</f>
        <v>0.22946735103164623</v>
      </c>
      <c r="E1225" s="645">
        <f>E1224/(D1224+E1224+G1224+H1224+I1224+J1224+L1224+M1224+N1224)</f>
        <v>8.4907712702675137E-2</v>
      </c>
      <c r="F1225" s="646">
        <f t="shared" si="38"/>
        <v>0.31437506373432134</v>
      </c>
      <c r="G1225" s="645">
        <f>G1224/(D1224+E1224+G1224+H1224+I1224+J1224+L1224+M1224+N1224)</f>
        <v>0.24771746150446991</v>
      </c>
      <c r="H1225" s="645">
        <f>H1224/(D1224+E1224+G1224+H1224+I1224+J1224+L1224+M1224+N1224)</f>
        <v>4.6269417723240086E-2</v>
      </c>
      <c r="I1225" s="645">
        <f>I1224/(D1224+E1224+G1224+H1224+I1224+J1224+L1224+M1224+N1224)</f>
        <v>0</v>
      </c>
      <c r="J1225" s="645">
        <f>J1224/(D1224+E1224+G1224+H1224+I1224+J1224+L1224+M1224+N1224)</f>
        <v>0</v>
      </c>
      <c r="K1225" s="646">
        <f t="shared" si="39"/>
        <v>0.29398687922771</v>
      </c>
      <c r="L1225" s="645">
        <f>L1224/(D1224+E1224+G1224+H1224+I1224+J1224+L1224+M1224+N1224)</f>
        <v>8.1488153914137121E-2</v>
      </c>
      <c r="M1225" s="645">
        <f>M1224/(D1224+E1224+G1224+H1224+I1224+J1224+L1224+M1224+N1224)</f>
        <v>0</v>
      </c>
      <c r="N1225" s="645">
        <f>N1224/(D1224+E1224+G1224+H1224+I1224+J1224+L1224+M1224+N1224)</f>
        <v>0.31014990312383156</v>
      </c>
      <c r="O1225" s="1505"/>
    </row>
    <row r="1226" spans="1:15" ht="12" customHeight="1" thickTop="1">
      <c r="A1226" s="1511" t="s">
        <v>15091</v>
      </c>
      <c r="B1226" s="1509" t="s">
        <v>14937</v>
      </c>
      <c r="C1226" s="647" t="s">
        <v>6218</v>
      </c>
      <c r="D1226" s="648">
        <f>D1066+D1074+D1082+D1090+D1098+D1106+D1114+D1122+D1130+D1138+D1146+D1154+D1162+D1170+D1178+D1186+D1194+D1202+D1210+D1218</f>
        <v>1182772</v>
      </c>
      <c r="E1226" s="648">
        <f>E1066+E1074+E1082+E1090+E1098+E1106+E1114+E1122+E1130+E1138+E1146+E1154+E1162+E1170+E1178+E1186+E1194+E1202+E1210+E1218</f>
        <v>341095</v>
      </c>
      <c r="F1226" s="649">
        <f t="shared" si="38"/>
        <v>1523867</v>
      </c>
      <c r="G1226" s="648">
        <f>G1066+G1074+G1082+G1090+G1098+G1106+G1114+G1122+G1130+G1138+G1146+G1154+G1162+G1170+G1178+G1186+G1194+G1202+G1210+G1218</f>
        <v>1538981</v>
      </c>
      <c r="H1226" s="648">
        <f>H1066+H1074+H1082+H1090+H1098+H1106+H1114+H1122+H1130+H1138+H1146+H1154+H1162+H1170+H1178+H1186+H1194+H1202+H1210+H1218</f>
        <v>228276</v>
      </c>
      <c r="I1226" s="648">
        <f>I1066+I1074+I1082+I1090+I1098+I1106+I1114+I1122+I1130+I1138+I1146+I1154+I1162+I1170+I1178+I1186+I1194+I1202+I1210+I1218</f>
        <v>106255</v>
      </c>
      <c r="J1226" s="648">
        <f>J1066+J1074+J1082+J1090+J1098+J1106+J1114+J1122+J1130+J1138+J1146+J1154+J1162+J1170+J1178+J1186+J1194+J1202+J1210+J1218</f>
        <v>166621</v>
      </c>
      <c r="K1226" s="649">
        <f t="shared" si="39"/>
        <v>2040133</v>
      </c>
      <c r="L1226" s="648">
        <f>L1066+L1074+L1082+L1090+L1098+L1106+L1114+L1122+L1130+L1138+L1146+L1154+L1162+L1170+L1178+L1186+L1194+L1202+L1210+L1218</f>
        <v>241523</v>
      </c>
      <c r="M1226" s="648">
        <f>M1066+M1074+M1082+M1090+M1098+M1106+M1114+M1122+M1130+M1138+M1146+M1154+M1162+M1170+M1178+M1186+M1194+M1202+M1210+M1218</f>
        <v>70871</v>
      </c>
      <c r="N1226" s="648">
        <f>N1066+N1074+N1082+N1090+N1098+N1106+N1114+N1122+N1130+N1138+N1146+N1154+N1162+N1170+N1178+N1186+N1194+N1202+N1210+N1218</f>
        <v>2390590</v>
      </c>
      <c r="O1226" s="1510">
        <f>1-N1227</f>
        <v>0.61854218871469913</v>
      </c>
    </row>
    <row r="1227" spans="1:15" ht="12" customHeight="1">
      <c r="A1227" s="1512"/>
      <c r="B1227" s="1502"/>
      <c r="C1227" s="635" t="s">
        <v>6219</v>
      </c>
      <c r="D1227" s="636">
        <f>D1226/(D1226+E1226+G1226+H1226+I1226+J1226+L1226+M1226+N1226)</f>
        <v>0.1887306557667931</v>
      </c>
      <c r="E1227" s="636">
        <f>E1226/(D1226+E1226+G1226+H1226+I1226+J1226+L1226+M1226+N1226)</f>
        <v>5.4427297085807146E-2</v>
      </c>
      <c r="F1227" s="637">
        <f t="shared" si="38"/>
        <v>0.24315795285260025</v>
      </c>
      <c r="G1227" s="636">
        <f>G1226/(D1226+E1226+G1226+H1226+I1226+J1226+L1226+M1226+N1226)</f>
        <v>0.24556963923954489</v>
      </c>
      <c r="H1227" s="636">
        <f>H1226/(D1226+E1226+G1226+H1226+I1226+J1226+L1226+M1226+N1226)</f>
        <v>3.6425176767644535E-2</v>
      </c>
      <c r="I1227" s="636">
        <f>I1226/(D1226+E1226+G1226+H1226+I1226+J1226+L1226+M1226+N1226)</f>
        <v>1.6954726547889702E-2</v>
      </c>
      <c r="J1227" s="636">
        <f>J1226/(D1226+E1226+G1226+H1226+I1226+J1226+L1226+M1226+N1226)</f>
        <v>2.6587111120756013E-2</v>
      </c>
      <c r="K1227" s="637">
        <f t="shared" si="39"/>
        <v>0.32553665367583517</v>
      </c>
      <c r="L1227" s="636">
        <f>L1226/(D1226+E1226+G1226+H1226+I1226+J1226+L1226+M1226+N1226)</f>
        <v>3.8538952708352218E-2</v>
      </c>
      <c r="M1227" s="636">
        <f>M1226/(D1226+E1226+G1226+H1226+I1226+J1226+L1226+M1226+N1226)</f>
        <v>1.1308629477911544E-2</v>
      </c>
      <c r="N1227" s="636">
        <f>N1226/(D1226+E1226+G1226+H1226+I1226+J1226+L1226+M1226+N1226)</f>
        <v>0.38145781128530087</v>
      </c>
      <c r="O1227" s="1503"/>
    </row>
    <row r="1228" spans="1:15" ht="12" customHeight="1">
      <c r="A1228" s="1512"/>
      <c r="B1228" s="1502" t="s">
        <v>14938</v>
      </c>
      <c r="C1228" s="638" t="s">
        <v>6218</v>
      </c>
      <c r="D1228" s="648">
        <f>D1068+D1076+D1084+D1092+D1100+D1108+D1116+D1124+D1132+D1140+D1148+D1156+D1164+D1172+D1180+D1188+D1196+D1204+D1212+D1220</f>
        <v>1665553</v>
      </c>
      <c r="E1228" s="648">
        <f>E1068+E1076+E1084+E1092+E1100+E1108+E1116+E1124+E1132+E1140+E1148+E1156+E1164+E1172+E1180+E1188+E1196+E1204+E1212+E1220</f>
        <v>403203</v>
      </c>
      <c r="F1228" s="640">
        <f t="shared" si="38"/>
        <v>2068756</v>
      </c>
      <c r="G1228" s="648">
        <f>G1068+G1076+G1084+G1092+G1100+G1108+G1116+G1124+G1132+G1140+G1148+G1156+G1164+G1172+G1180+G1188+G1196+G1204+G1212+G1220</f>
        <v>1414392</v>
      </c>
      <c r="H1228" s="648">
        <f>H1068+H1076+H1084+H1092+H1100+H1108+H1116+H1124+H1132+H1140+H1148+H1156+H1164+H1172+H1180+H1188+H1196+H1204+H1212+H1220</f>
        <v>272649</v>
      </c>
      <c r="I1228" s="648">
        <f>I1068+I1076+I1084+I1092+I1100+I1108+I1116+I1124+I1132+I1140+I1148+I1156+I1164+I1172+I1180+I1188+I1196+I1204+I1212+I1220</f>
        <v>300140</v>
      </c>
      <c r="J1228" s="648">
        <f>J1068+J1076+J1084+J1092+J1100+J1108+J1116+J1124+J1132+J1140+J1148+J1156+J1164+J1172+J1180+J1188+J1196+J1204+J1212+J1220</f>
        <v>0</v>
      </c>
      <c r="K1228" s="640">
        <f t="shared" si="39"/>
        <v>1987181</v>
      </c>
      <c r="L1228" s="648">
        <f>L1068+L1076+L1084+L1092+L1100+L1108+L1116+L1124+L1132+L1140+L1148+L1156+L1164+L1172+L1180+L1188+L1196+L1204+L1212+L1220</f>
        <v>293045</v>
      </c>
      <c r="M1228" s="648">
        <f>M1068+M1076+M1084+M1092+M1100+M1108+M1116+M1124+M1132+M1140+M1148+M1156+M1164+M1172+M1180+M1188+M1196+M1204+M1212+M1220</f>
        <v>0</v>
      </c>
      <c r="N1228" s="648">
        <f>N1068+N1076+N1084+N1092+N1100+N1108+N1116+N1124+N1132+N1140+N1148+N1156+N1164+N1172+N1180+N1188+N1196+N1204+N1212+N1220</f>
        <v>1919590</v>
      </c>
      <c r="O1228" s="1503">
        <f>1-N1229</f>
        <v>0.69377555207150854</v>
      </c>
    </row>
    <row r="1229" spans="1:15" ht="12" customHeight="1">
      <c r="A1229" s="1512"/>
      <c r="B1229" s="1502"/>
      <c r="C1229" s="635" t="s">
        <v>6219</v>
      </c>
      <c r="D1229" s="636">
        <f>D1228/(D1228+E1228+G1228+H1228+I1228+J1228+L1228+M1228+N1228)</f>
        <v>0.26569895025533724</v>
      </c>
      <c r="E1229" s="636">
        <f>E1228/(D1228+E1228+G1228+H1228+I1228+J1228+L1228+M1228+N1228)</f>
        <v>6.4321347828500658E-2</v>
      </c>
      <c r="F1229" s="637">
        <f t="shared" si="38"/>
        <v>0.33002029808383793</v>
      </c>
      <c r="G1229" s="636">
        <f>G1228/(D1228+E1228+G1228+H1228+I1228+J1228+L1228+M1228+N1228)</f>
        <v>0.22563224925868283</v>
      </c>
      <c r="H1229" s="636">
        <f>H1228/(D1228+E1228+G1228+H1228+I1228+J1228+L1228+M1228+N1228)</f>
        <v>4.3494594941240208E-2</v>
      </c>
      <c r="I1229" s="636">
        <f>I1228/(D1228+E1228+G1228+H1228+I1228+J1228+L1228+M1228+N1228)</f>
        <v>4.788012325614191E-2</v>
      </c>
      <c r="J1229" s="636">
        <f>J1228/(D1228+E1228+G1228+H1228+I1228+J1228+L1228+M1228+N1228)</f>
        <v>0</v>
      </c>
      <c r="K1229" s="637">
        <f t="shared" si="39"/>
        <v>0.31700696745606494</v>
      </c>
      <c r="L1229" s="636">
        <f>L1228/(D1228+E1228+G1228+H1228+I1228+J1228+L1228+M1228+N1228)</f>
        <v>4.6748286531605607E-2</v>
      </c>
      <c r="M1229" s="636">
        <f>M1228/(D1228+E1228+G1228+H1228+I1228+J1228+L1228+M1228+N1228)</f>
        <v>0</v>
      </c>
      <c r="N1229" s="636">
        <f>N1228/(D1228+E1228+G1228+H1228+I1228+J1228+L1228+M1228+N1228)</f>
        <v>0.30622444792849152</v>
      </c>
      <c r="O1229" s="1503"/>
    </row>
    <row r="1230" spans="1:15" ht="12" customHeight="1">
      <c r="A1230" s="1512"/>
      <c r="B1230" s="1502" t="s">
        <v>14939</v>
      </c>
      <c r="C1230" s="638" t="s">
        <v>6218</v>
      </c>
      <c r="D1230" s="648">
        <f>D1070+D1078+D1086+D1094+D1102+D1110+D1118+D1126+D1134+D1142+D1150+D1158+D1166+D1174+D1182+D1190+D1198+D1206+D1214+D1222</f>
        <v>1244385</v>
      </c>
      <c r="E1230" s="648">
        <f>E1070+E1078+E1086+E1094+E1102+E1110+E1118+E1126+E1134+E1142+E1150+E1158+E1166+E1174+E1182+E1190+E1198+E1206+E1214+E1222</f>
        <v>397841</v>
      </c>
      <c r="F1230" s="640">
        <f t="shared" si="38"/>
        <v>1642226</v>
      </c>
      <c r="G1230" s="648">
        <f>G1070+G1078+G1086+G1094+G1102+G1110+G1118+G1126+G1134+G1142+G1150+G1158+G1166+G1174+G1182+G1190+G1198+G1206+G1214+G1222</f>
        <v>1370314</v>
      </c>
      <c r="H1230" s="648">
        <f>H1070+H1078+H1086+H1094+H1102+H1110+H1118+H1126+H1134+H1142+H1150+H1158+H1166+H1174+H1182+H1190+H1198+H1206+H1214+H1222</f>
        <v>238649</v>
      </c>
      <c r="I1230" s="648">
        <f>I1070+I1078+I1086+I1094+I1102+I1110+I1118+I1126+I1134+I1142+I1150+I1158+I1166+I1174+I1182+I1190+I1198+I1206+I1214+I1222</f>
        <v>0</v>
      </c>
      <c r="J1230" s="648">
        <f>J1070+J1078+J1086+J1094+J1102+J1110+J1118+J1126+J1134+J1142+J1150+J1158+J1166+J1174+J1182+J1190+J1198+J1206+J1214+J1222</f>
        <v>0</v>
      </c>
      <c r="K1230" s="640">
        <f t="shared" si="39"/>
        <v>1608963</v>
      </c>
      <c r="L1230" s="648">
        <f>L1070+L1078+L1086+L1094+L1102+L1110+L1118+L1126+L1134+L1142+L1150+L1158+L1166+L1174+L1182+L1190+L1198+L1206+L1214+L1222</f>
        <v>247675</v>
      </c>
      <c r="M1230" s="648">
        <f>M1070+M1078+M1086+M1094+M1102+M1110+M1118+M1126+M1134+M1142+M1150+M1158+M1166+M1174+M1182+M1190+M1198+M1206+M1214+M1222</f>
        <v>124657</v>
      </c>
      <c r="N1230" s="648">
        <f>N1070+N1078+N1086+N1094+N1102+N1110+N1118+N1126+N1134+N1142+N1150+N1158+N1166+N1174+N1182+N1190+N1198+N1206+N1214+N1222</f>
        <v>2642905</v>
      </c>
      <c r="O1230" s="1503">
        <f>1-N1231</f>
        <v>0.57824364318672239</v>
      </c>
    </row>
    <row r="1231" spans="1:15" ht="12" customHeight="1">
      <c r="A1231" s="1512"/>
      <c r="B1231" s="1502"/>
      <c r="C1231" s="635" t="s">
        <v>6219</v>
      </c>
      <c r="D1231" s="636">
        <f>D1230/(D1230+E1230+G1230+H1230+I1230+J1230+L1230+M1230+N1230)</f>
        <v>0.19857970077361481</v>
      </c>
      <c r="E1231" s="636">
        <f>E1230/(D1230+E1230+G1230+H1230+I1230+J1230+L1230+M1230+N1230)</f>
        <v>6.3487704155446814E-2</v>
      </c>
      <c r="F1231" s="637">
        <f t="shared" si="38"/>
        <v>0.26206740492906161</v>
      </c>
      <c r="G1231" s="636">
        <f>G1230/(D1230+E1230+G1230+H1230+I1230+J1230+L1230+M1230+N1230)</f>
        <v>0.21867552573029667</v>
      </c>
      <c r="H1231" s="636">
        <f>H1230/(D1230+E1230+G1230+H1230+I1230+J1230+L1230+M1230+N1230)</f>
        <v>3.8083749812093851E-2</v>
      </c>
      <c r="I1231" s="636">
        <f>I1230/(D1230+E1230+G1230+H1230+I1230+J1230+L1230+M1230+N1230)</f>
        <v>0</v>
      </c>
      <c r="J1231" s="636">
        <f>J1230/(D1230+E1230+G1230+H1230+I1230+J1230+L1230+M1230+N1230)</f>
        <v>0</v>
      </c>
      <c r="K1231" s="637">
        <f t="shared" si="39"/>
        <v>0.25675927554239053</v>
      </c>
      <c r="L1231" s="636">
        <f>L1230/(D1230+E1230+G1230+H1230+I1230+J1230+L1230+M1230+N1230)</f>
        <v>3.9524124277538743E-2</v>
      </c>
      <c r="M1231" s="636">
        <f>M1230/(D1230+E1230+G1230+H1230+I1230+J1230+L1230+M1230+N1230)</f>
        <v>1.9892838437731493E-2</v>
      </c>
      <c r="N1231" s="636">
        <f>N1230/(D1230+E1230+G1230+H1230+I1230+J1230+L1230+M1230+N1230)</f>
        <v>0.42175635681327761</v>
      </c>
      <c r="O1231" s="1503"/>
    </row>
    <row r="1232" spans="1:15" ht="12" customHeight="1">
      <c r="A1232" s="1512"/>
      <c r="B1232" s="1502" t="s">
        <v>14940</v>
      </c>
      <c r="C1232" s="638" t="s">
        <v>6218</v>
      </c>
      <c r="D1232" s="648">
        <f>D1072+D1080+D1088+D1096+D1104+D1112+D1120+D1128+D1136+D1144+D1152+D1160+D1168+D1176+D1184+D1192+D1200+D1208+D1216+D1224</f>
        <v>1502827</v>
      </c>
      <c r="E1232" s="648">
        <f>E1072+E1080+E1088+E1096+E1104+E1112+E1120+E1128+E1136+E1144+E1152+E1160+E1168+E1176+E1184+E1192+E1200+E1208+E1216+E1224</f>
        <v>390921</v>
      </c>
      <c r="F1232" s="640">
        <f t="shared" si="38"/>
        <v>1893748</v>
      </c>
      <c r="G1232" s="648">
        <f>G1072+G1080+G1088+G1096+G1104+G1112+G1120+G1128+G1136+G1144+G1152+G1160+G1168+G1176+G1184+G1192+G1200+G1208+G1216+G1224</f>
        <v>1424537</v>
      </c>
      <c r="H1232" s="648">
        <f>H1072+H1080+H1088+H1096+H1104+H1112+H1120+H1128+H1136+H1144+H1152+H1160+H1168+H1176+H1184+H1192+H1200+H1208+H1216+H1224</f>
        <v>267096</v>
      </c>
      <c r="I1232" s="648">
        <f>I1072+I1080+I1088+I1096+I1104+I1112+I1120+I1128+I1136+I1144+I1152+I1160+I1168+I1176+I1184+I1192+I1200+I1208+I1216+I1224</f>
        <v>0</v>
      </c>
      <c r="J1232" s="648">
        <f>J1072+J1080+J1088+J1096+J1104+J1112+J1120+J1128+J1136+J1144+J1152+J1160+J1168+J1176+J1184+J1192+J1200+J1208+J1216+J1224</f>
        <v>0</v>
      </c>
      <c r="K1232" s="640">
        <f t="shared" si="39"/>
        <v>1691633</v>
      </c>
      <c r="L1232" s="648">
        <f>L1072+L1080+L1088+L1096+L1104+L1112+L1120+L1128+L1136+L1144+L1152+L1160+L1168+L1176+L1184+L1192+L1200+L1208+L1216+L1224</f>
        <v>278939</v>
      </c>
      <c r="M1232" s="648">
        <f>M1072+M1080+M1088+M1096+M1104+M1112+M1120+M1128+M1136+M1144+M1152+M1160+M1168+M1176+M1184+M1192+M1200+M1208+M1216+M1224</f>
        <v>0</v>
      </c>
      <c r="N1232" s="648">
        <f>N1072+N1080+N1088+N1096+N1104+N1112+N1120+N1128+N1136+N1144+N1152+N1160+N1168+N1176+N1184+N1192+N1200+N1208+N1216+N1224</f>
        <v>2396849</v>
      </c>
      <c r="O1232" s="1503">
        <f>1-N1233</f>
        <v>0.61718825989204251</v>
      </c>
    </row>
    <row r="1233" spans="1:15" ht="12" customHeight="1" thickBot="1">
      <c r="A1233" s="1513"/>
      <c r="B1233" s="1504"/>
      <c r="C1233" s="644" t="s">
        <v>6219</v>
      </c>
      <c r="D1233" s="645">
        <f>D1232/(D1232+E1232+G1232+H1232+I1232+J1232+L1232+M1232+N1232)</f>
        <v>0.24002338860362976</v>
      </c>
      <c r="E1233" s="645">
        <f>E1232/(D1232+E1232+G1232+H1232+I1232+J1232+L1232+M1232+N1232)</f>
        <v>6.2435784755211048E-2</v>
      </c>
      <c r="F1233" s="646">
        <f t="shared" si="38"/>
        <v>0.30245917335884082</v>
      </c>
      <c r="G1233" s="645">
        <f>G1232/(D1232+E1232+G1232+H1232+I1232+J1232+L1232+M1232+N1232)</f>
        <v>0.22751933384963735</v>
      </c>
      <c r="H1233" s="645">
        <f>H1232/(D1232+E1232+G1232+H1232+I1232+J1232+L1232+M1232+N1232)</f>
        <v>4.2659126434696139E-2</v>
      </c>
      <c r="I1233" s="645">
        <f>I1232/(D1232+E1232+G1232+H1232+I1232+J1232+L1232+M1232+N1232)</f>
        <v>0</v>
      </c>
      <c r="J1233" s="645">
        <f>J1232/(D1232+E1232+G1232+H1232+I1232+J1232+L1232+M1232+N1232)</f>
        <v>0</v>
      </c>
      <c r="K1233" s="646">
        <f t="shared" si="39"/>
        <v>0.27017846028433351</v>
      </c>
      <c r="L1233" s="645">
        <f>L1232/(D1232+E1232+G1232+H1232+I1232+J1232+L1232+M1232+N1232)</f>
        <v>4.4550626248868221E-2</v>
      </c>
      <c r="M1233" s="645">
        <f>M1232/(D1232+E1232+G1232+H1232+I1232+J1232+L1232+M1232+N1232)</f>
        <v>0</v>
      </c>
      <c r="N1233" s="645">
        <f>N1232/(D1232+E1232+G1232+H1232+I1232+J1232+L1232+M1232+N1232)</f>
        <v>0.38281174010795749</v>
      </c>
      <c r="O1233" s="1505"/>
    </row>
    <row r="1234" spans="1:15" ht="12" customHeight="1" thickTop="1">
      <c r="A1234" s="1516" t="s">
        <v>15092</v>
      </c>
      <c r="B1234" s="1509" t="s">
        <v>14937</v>
      </c>
      <c r="C1234" s="647" t="s">
        <v>6218</v>
      </c>
      <c r="D1234" s="648">
        <v>47756</v>
      </c>
      <c r="E1234" s="648">
        <v>23231</v>
      </c>
      <c r="F1234" s="649">
        <f t="shared" si="38"/>
        <v>70987</v>
      </c>
      <c r="G1234" s="648">
        <v>67855</v>
      </c>
      <c r="H1234" s="648">
        <v>6789</v>
      </c>
      <c r="I1234" s="648">
        <v>2623</v>
      </c>
      <c r="J1234" s="648">
        <v>5911</v>
      </c>
      <c r="K1234" s="649">
        <f t="shared" si="39"/>
        <v>83178</v>
      </c>
      <c r="L1234" s="648">
        <v>13689</v>
      </c>
      <c r="M1234" s="648">
        <v>3505</v>
      </c>
      <c r="N1234" s="648">
        <v>154298</v>
      </c>
      <c r="O1234" s="1510">
        <f>1-N1235</f>
        <v>0.5261947386360496</v>
      </c>
    </row>
    <row r="1235" spans="1:15" ht="12" customHeight="1">
      <c r="A1235" s="1517"/>
      <c r="B1235" s="1502"/>
      <c r="C1235" s="635" t="s">
        <v>6219</v>
      </c>
      <c r="D1235" s="636">
        <f>D1234/(D1234+E1234+G1234+H1234+I1234+J1234+L1234+M1234+N1234)</f>
        <v>0.14664508977236787</v>
      </c>
      <c r="E1235" s="636">
        <f>E1234/(D1234+E1234+G1234+H1234+I1234+J1234+L1234+M1234+N1234)</f>
        <v>7.1335791952882935E-2</v>
      </c>
      <c r="F1235" s="637">
        <f t="shared" si="38"/>
        <v>0.21798088172525082</v>
      </c>
      <c r="G1235" s="636">
        <f>G1234/(D1234+E1234+G1234+H1234+I1234+J1234+L1234+M1234+N1234)</f>
        <v>0.20836340075601015</v>
      </c>
      <c r="H1235" s="636">
        <f>H1234/(D1234+E1234+G1234+H1234+I1234+J1234+L1234+M1234+N1234)</f>
        <v>2.0847087579876987E-2</v>
      </c>
      <c r="I1235" s="636">
        <f>I1234/(D1234+E1234+G1234+H1234+I1234+J1234+L1234+M1234+N1234)</f>
        <v>8.0544867759636679E-3</v>
      </c>
      <c r="J1235" s="636">
        <f>J1234/(D1234+E1234+G1234+H1234+I1234+J1234+L1234+M1234+N1234)</f>
        <v>1.8150999364361889E-2</v>
      </c>
      <c r="K1235" s="637">
        <f t="shared" si="39"/>
        <v>0.25541597447621267</v>
      </c>
      <c r="L1235" s="636">
        <f>L1234/(D1234+E1234+G1234+H1234+I1234+J1234+L1234+M1234+N1234)</f>
        <v>4.2035024581077635E-2</v>
      </c>
      <c r="M1235" s="636">
        <f>M1234/(D1234+E1234+G1234+H1234+I1234+J1234+L1234+M1234+N1234)</f>
        <v>1.0762857853508445E-2</v>
      </c>
      <c r="N1235" s="636">
        <f>N1234/(D1234+E1234+G1234+H1234+I1234+J1234+L1234+M1234+N1234)</f>
        <v>0.4738052613639504</v>
      </c>
      <c r="O1235" s="1503"/>
    </row>
    <row r="1236" spans="1:15" ht="12" customHeight="1">
      <c r="A1236" s="1517"/>
      <c r="B1236" s="1502" t="s">
        <v>14938</v>
      </c>
      <c r="C1236" s="638" t="s">
        <v>6218</v>
      </c>
      <c r="D1236" s="639">
        <v>81373</v>
      </c>
      <c r="E1236" s="639">
        <v>31589</v>
      </c>
      <c r="F1236" s="640">
        <f t="shared" si="38"/>
        <v>112962</v>
      </c>
      <c r="G1236" s="639">
        <v>73534</v>
      </c>
      <c r="H1236" s="639">
        <v>8425</v>
      </c>
      <c r="I1236" s="639"/>
      <c r="J1236" s="639">
        <v>9943</v>
      </c>
      <c r="K1236" s="640">
        <f t="shared" si="39"/>
        <v>91902</v>
      </c>
      <c r="L1236" s="639">
        <v>15539</v>
      </c>
      <c r="M1236" s="639"/>
      <c r="N1236" s="639">
        <v>104754</v>
      </c>
      <c r="O1236" s="1503">
        <f>1-N1237</f>
        <v>0.67783563017250126</v>
      </c>
    </row>
    <row r="1237" spans="1:15" ht="12" customHeight="1">
      <c r="A1237" s="1517"/>
      <c r="B1237" s="1502"/>
      <c r="C1237" s="635" t="s">
        <v>6219</v>
      </c>
      <c r="D1237" s="636">
        <f>D1236/(D1236+E1236+G1236+H1236+I1236+J1236+L1236+M1236+N1236)</f>
        <v>0.25025756788259212</v>
      </c>
      <c r="E1237" s="636">
        <f>E1236/(D1236+E1236+G1236+H1236+I1236+J1236+L1236+M1236+N1236)</f>
        <v>9.7149992157634618E-2</v>
      </c>
      <c r="F1237" s="637">
        <f t="shared" si="38"/>
        <v>0.34740756004022677</v>
      </c>
      <c r="G1237" s="636">
        <f>G1236/(D1236+E1236+G1236+H1236+I1236+J1236+L1236+M1236+N1236)</f>
        <v>0.22614921407197139</v>
      </c>
      <c r="H1237" s="636">
        <f>H1236/(D1236+E1236+G1236+H1236+I1236+J1236+L1236+M1236+N1236)</f>
        <v>2.5910560129414405E-2</v>
      </c>
      <c r="I1237" s="636">
        <f>I1236/(D1236+E1236+G1236+H1236+I1236+J1236+L1236+M1236+N1236)</f>
        <v>0</v>
      </c>
      <c r="J1237" s="636">
        <f>J1236/(D1236+E1236+G1236+H1236+I1236+J1236+L1236+M1236+N1236)</f>
        <v>3.0579074108815125E-2</v>
      </c>
      <c r="K1237" s="637">
        <f t="shared" si="39"/>
        <v>0.28263884831020092</v>
      </c>
      <c r="L1237" s="636">
        <f>L1236/(D1236+E1236+G1236+H1236+I1236+J1236+L1236+M1236+N1236)</f>
        <v>4.7789221822073645E-2</v>
      </c>
      <c r="M1237" s="636">
        <f>M1236/(D1236+E1236+G1236+H1236+I1236+J1236+L1236+M1236+N1236)</f>
        <v>0</v>
      </c>
      <c r="N1237" s="636">
        <f>N1236/(D1236+E1236+G1236+H1236+I1236+J1236+L1236+M1236+N1236)</f>
        <v>0.32216436982749874</v>
      </c>
      <c r="O1237" s="1503"/>
    </row>
    <row r="1238" spans="1:15" ht="12" customHeight="1">
      <c r="A1238" s="1517"/>
      <c r="B1238" s="1502" t="s">
        <v>14939</v>
      </c>
      <c r="C1238" s="638" t="s">
        <v>6218</v>
      </c>
      <c r="D1238" s="639">
        <v>44651</v>
      </c>
      <c r="E1238" s="639">
        <v>28815</v>
      </c>
      <c r="F1238" s="640">
        <f t="shared" si="38"/>
        <v>73466</v>
      </c>
      <c r="G1238" s="639">
        <v>60014</v>
      </c>
      <c r="H1238" s="639">
        <v>8249</v>
      </c>
      <c r="I1238" s="639"/>
      <c r="J1238" s="639"/>
      <c r="K1238" s="640">
        <f t="shared" si="39"/>
        <v>68263</v>
      </c>
      <c r="L1238" s="639">
        <v>13781</v>
      </c>
      <c r="M1238" s="639">
        <v>7414</v>
      </c>
      <c r="N1238" s="639">
        <v>161832</v>
      </c>
      <c r="O1238" s="1503">
        <f>1-N1239</f>
        <v>0.50168126223995868</v>
      </c>
    </row>
    <row r="1239" spans="1:15" ht="12" customHeight="1">
      <c r="A1239" s="1517"/>
      <c r="B1239" s="1502"/>
      <c r="C1239" s="635" t="s">
        <v>6219</v>
      </c>
      <c r="D1239" s="636">
        <f>D1238/(D1238+E1238+G1238+H1238+I1238+J1238+L1238+M1238+N1238)</f>
        <v>0.13749091625712842</v>
      </c>
      <c r="E1239" s="636">
        <f>E1238/(D1238+E1238+G1238+H1238+I1238+J1238+L1238+M1238+N1238)</f>
        <v>8.872815282858515E-2</v>
      </c>
      <c r="F1239" s="637">
        <f t="shared" si="38"/>
        <v>0.22621906908571357</v>
      </c>
      <c r="G1239" s="636">
        <f>G1238/(D1238+E1238+G1238+H1238+I1238+J1238+L1238+M1238+N1238)</f>
        <v>0.18479720159134858</v>
      </c>
      <c r="H1239" s="636">
        <f>H1238/(D1238+E1238+G1238+H1238+I1238+J1238+L1238+M1238+N1238)</f>
        <v>2.5400608456810653E-2</v>
      </c>
      <c r="I1239" s="636">
        <f>I1238/(D1238+E1238+G1238+H1238+I1238+J1238+L1238+M1238+N1238)</f>
        <v>0</v>
      </c>
      <c r="J1239" s="636">
        <f>J1238/(D1238+E1238+G1238+H1238+I1238+J1238+L1238+M1238+N1238)</f>
        <v>0</v>
      </c>
      <c r="K1239" s="637">
        <f t="shared" si="39"/>
        <v>0.21019781004815924</v>
      </c>
      <c r="L1239" s="636">
        <f>L1238/(D1238+E1238+G1238+H1238+I1238+J1238+L1238+M1238+N1238)</f>
        <v>4.2434935767160578E-2</v>
      </c>
      <c r="M1239" s="636">
        <f>M1238/(D1238+E1238+G1238+H1238+I1238+J1238+L1238+M1238+N1238)</f>
        <v>2.2829447338925224E-2</v>
      </c>
      <c r="N1239" s="636">
        <f>N1238/(D1238+E1238+G1238+H1238+I1238+J1238+L1238+M1238+N1238)</f>
        <v>0.49831873776004137</v>
      </c>
      <c r="O1239" s="1503"/>
    </row>
    <row r="1240" spans="1:15" ht="12" customHeight="1">
      <c r="A1240" s="1517"/>
      <c r="B1240" s="1502" t="s">
        <v>14940</v>
      </c>
      <c r="C1240" s="638" t="s">
        <v>6218</v>
      </c>
      <c r="D1240" s="639">
        <v>58545</v>
      </c>
      <c r="E1240" s="639">
        <v>27816</v>
      </c>
      <c r="F1240" s="640">
        <f t="shared" si="38"/>
        <v>86361</v>
      </c>
      <c r="G1240" s="639">
        <v>72427</v>
      </c>
      <c r="H1240" s="639">
        <v>5609</v>
      </c>
      <c r="I1240" s="639"/>
      <c r="J1240" s="639"/>
      <c r="K1240" s="640">
        <f t="shared" si="39"/>
        <v>78036</v>
      </c>
      <c r="L1240" s="639">
        <v>14102</v>
      </c>
      <c r="M1240" s="639"/>
      <c r="N1240" s="639">
        <v>145918</v>
      </c>
      <c r="O1240" s="1503">
        <f>1-N1241</f>
        <v>0.55021469281819391</v>
      </c>
    </row>
    <row r="1241" spans="1:15" ht="12" customHeight="1" thickBot="1">
      <c r="A1241" s="1519"/>
      <c r="B1241" s="1514"/>
      <c r="C1241" s="641" t="s">
        <v>6219</v>
      </c>
      <c r="D1241" s="642">
        <f>D1240/(D1240+E1240+G1240+H1240+I1240+J1240+L1240+M1240+N1240)</f>
        <v>0.1804621829312274</v>
      </c>
      <c r="E1241" s="642">
        <f>E1240/(D1240+E1240+G1240+H1240+I1240+J1240+L1240+M1240+N1240)</f>
        <v>8.5741499366556007E-2</v>
      </c>
      <c r="F1241" s="643">
        <f t="shared" si="38"/>
        <v>0.26620368229778341</v>
      </c>
      <c r="G1241" s="642">
        <f>G1240/(D1240+E1240+G1240+H1240+I1240+J1240+L1240+M1240+N1240)</f>
        <v>0.22325278884891975</v>
      </c>
      <c r="H1241" s="642">
        <f>H1240/(D1240+E1240+G1240+H1240+I1240+J1240+L1240+M1240+N1240)</f>
        <v>1.7289476198842847E-2</v>
      </c>
      <c r="I1241" s="642">
        <f>I1240/(D1240+E1240+G1240+H1240+I1240+J1240+L1240+M1240+N1240)</f>
        <v>0</v>
      </c>
      <c r="J1241" s="642">
        <f>J1240/(D1240+E1240+G1240+H1240+I1240+J1240+L1240+M1240+N1240)</f>
        <v>0</v>
      </c>
      <c r="K1241" s="643">
        <f t="shared" si="39"/>
        <v>0.2405422650477626</v>
      </c>
      <c r="L1241" s="642">
        <f>L1240/(D1240+E1240+G1240+H1240+I1240+J1240+L1240+M1240+N1240)</f>
        <v>4.3468745472647854E-2</v>
      </c>
      <c r="M1241" s="642">
        <f>M1240/(D1240+E1240+G1240+H1240+I1240+J1240+L1240+M1240+N1240)</f>
        <v>0</v>
      </c>
      <c r="N1241" s="642">
        <f>N1240/(D1240+E1240+G1240+H1240+I1240+J1240+L1240+M1240+N1240)</f>
        <v>0.44978530718180615</v>
      </c>
      <c r="O1241" s="1515"/>
    </row>
    <row r="1242" spans="1:15" ht="12" customHeight="1">
      <c r="A1242" s="1516" t="s">
        <v>15093</v>
      </c>
      <c r="B1242" s="1509" t="s">
        <v>14937</v>
      </c>
      <c r="C1242" s="647" t="s">
        <v>6218</v>
      </c>
      <c r="D1242" s="648">
        <v>62208</v>
      </c>
      <c r="E1242" s="648">
        <v>17091</v>
      </c>
      <c r="F1242" s="649">
        <f t="shared" si="38"/>
        <v>79299</v>
      </c>
      <c r="G1242" s="648">
        <v>70078</v>
      </c>
      <c r="H1242" s="648">
        <v>6692</v>
      </c>
      <c r="I1242" s="648">
        <v>4207</v>
      </c>
      <c r="J1242" s="648">
        <v>4649</v>
      </c>
      <c r="K1242" s="649">
        <f t="shared" si="39"/>
        <v>85626</v>
      </c>
      <c r="L1242" s="648">
        <v>9824</v>
      </c>
      <c r="M1242" s="648">
        <v>3616</v>
      </c>
      <c r="N1242" s="648">
        <v>134116</v>
      </c>
      <c r="O1242" s="1510">
        <f>1-N1243</f>
        <v>0.57080270480445217</v>
      </c>
    </row>
    <row r="1243" spans="1:15" ht="12" customHeight="1">
      <c r="A1243" s="1517"/>
      <c r="B1243" s="1502"/>
      <c r="C1243" s="635" t="s">
        <v>6219</v>
      </c>
      <c r="D1243" s="636">
        <f>D1242/(D1242+E1242+G1242+H1242+I1242+J1242+L1242+M1242+N1242)</f>
        <v>0.19907770392439861</v>
      </c>
      <c r="E1243" s="636">
        <f>E1242/(D1242+E1242+G1242+H1242+I1242+J1242+L1242+M1242+N1242)</f>
        <v>5.4694525427145972E-2</v>
      </c>
      <c r="F1243" s="637">
        <f t="shared" si="38"/>
        <v>0.25377222935154459</v>
      </c>
      <c r="G1243" s="636">
        <f>G1242/(D1242+E1242+G1242+H1242+I1242+J1242+L1242+M1242+N1242)</f>
        <v>0.22426323520470046</v>
      </c>
      <c r="H1243" s="636">
        <f>H1242/(D1242+E1242+G1242+H1242+I1242+J1242+L1242+M1242+N1242)</f>
        <v>2.1415702074686141E-2</v>
      </c>
      <c r="I1243" s="636">
        <f>I1242/(D1242+E1242+G1242+H1242+I1242+J1242+L1242+M1242+N1242)</f>
        <v>1.3463218563688673E-2</v>
      </c>
      <c r="J1243" s="636">
        <f>J1242/(D1242+E1242+G1242+H1242+I1242+J1242+L1242+M1242+N1242)</f>
        <v>1.4877704564437518E-2</v>
      </c>
      <c r="K1243" s="637">
        <f t="shared" si="39"/>
        <v>0.27401986040751281</v>
      </c>
      <c r="L1243" s="636">
        <f>L1242/(D1242+E1242+G1242+H1242+I1242+J1242+L1242+M1242+N1242)</f>
        <v>3.14387114736576E-2</v>
      </c>
      <c r="M1243" s="636">
        <f>M1242/(D1242+E1242+G1242+H1242+I1242+J1242+L1242+M1242+N1242)</f>
        <v>1.1571903571737161E-2</v>
      </c>
      <c r="N1243" s="636">
        <f>N1242/(D1242+E1242+G1242+H1242+I1242+J1242+L1242+M1242+N1242)</f>
        <v>0.42919729519554789</v>
      </c>
      <c r="O1243" s="1503"/>
    </row>
    <row r="1244" spans="1:15" ht="12" customHeight="1">
      <c r="A1244" s="1517"/>
      <c r="B1244" s="1502" t="s">
        <v>14938</v>
      </c>
      <c r="C1244" s="638" t="s">
        <v>6218</v>
      </c>
      <c r="D1244" s="639">
        <v>88427</v>
      </c>
      <c r="E1244" s="639">
        <v>22041</v>
      </c>
      <c r="F1244" s="640">
        <f t="shared" si="38"/>
        <v>110468</v>
      </c>
      <c r="G1244" s="639">
        <v>68380</v>
      </c>
      <c r="H1244" s="639">
        <v>6928</v>
      </c>
      <c r="I1244" s="639"/>
      <c r="J1244" s="639">
        <v>10516</v>
      </c>
      <c r="K1244" s="640">
        <f t="shared" si="39"/>
        <v>85824</v>
      </c>
      <c r="L1244" s="639">
        <v>11793</v>
      </c>
      <c r="M1244" s="639"/>
      <c r="N1244" s="639">
        <v>104555</v>
      </c>
      <c r="O1244" s="1503">
        <f>1-N1245</f>
        <v>0.66557382292732858</v>
      </c>
    </row>
    <row r="1245" spans="1:15" ht="12" customHeight="1">
      <c r="A1245" s="1517"/>
      <c r="B1245" s="1502"/>
      <c r="C1245" s="635" t="s">
        <v>6219</v>
      </c>
      <c r="D1245" s="636">
        <f>D1244/(D1244+E1244+G1244+H1244+I1244+J1244+L1244+M1244+N1244)</f>
        <v>0.28283968781985669</v>
      </c>
      <c r="E1245" s="636">
        <f>E1244/(D1244+E1244+G1244+H1244+I1244+J1244+L1244+M1244+N1244)</f>
        <v>7.0499616171954965E-2</v>
      </c>
      <c r="F1245" s="637">
        <f t="shared" si="38"/>
        <v>0.35333930399181168</v>
      </c>
      <c r="G1245" s="636">
        <f>G1244/(D1244+E1244+G1244+H1244+I1244+J1244+L1244+M1244+N1244)</f>
        <v>0.21871801432958035</v>
      </c>
      <c r="H1245" s="636">
        <f>H1244/(D1244+E1244+G1244+H1244+I1244+J1244+L1244+M1244+N1244)</f>
        <v>2.2159672466734903E-2</v>
      </c>
      <c r="I1245" s="636">
        <f>I1244/(D1244+E1244+G1244+H1244+I1244+J1244+L1244+M1244+N1244)</f>
        <v>0</v>
      </c>
      <c r="J1245" s="636">
        <f>J1244/(D1244+E1244+G1244+H1244+I1244+J1244+L1244+M1244+N1244)</f>
        <v>3.3636131013306036E-2</v>
      </c>
      <c r="K1245" s="637">
        <f t="shared" si="39"/>
        <v>0.27451381780962125</v>
      </c>
      <c r="L1245" s="636">
        <f>L1244/(D1244+E1244+G1244+H1244+I1244+J1244+L1244+M1244+N1244)</f>
        <v>3.7720701125895602E-2</v>
      </c>
      <c r="M1245" s="636">
        <f>M1244/(D1244+E1244+G1244+H1244+I1244+J1244+L1244+M1244+N1244)</f>
        <v>0</v>
      </c>
      <c r="N1245" s="636">
        <f>N1244/(D1244+E1244+G1244+H1244+I1244+J1244+L1244+M1244+N1244)</f>
        <v>0.33442617707267142</v>
      </c>
      <c r="O1245" s="1503"/>
    </row>
    <row r="1246" spans="1:15" ht="12" customHeight="1">
      <c r="A1246" s="1517"/>
      <c r="B1246" s="1502" t="s">
        <v>14939</v>
      </c>
      <c r="C1246" s="638" t="s">
        <v>6218</v>
      </c>
      <c r="D1246" s="639">
        <v>62116</v>
      </c>
      <c r="E1246" s="639">
        <v>21660</v>
      </c>
      <c r="F1246" s="640">
        <f t="shared" si="38"/>
        <v>83776</v>
      </c>
      <c r="G1246" s="639">
        <v>62466</v>
      </c>
      <c r="H1246" s="639">
        <v>7133</v>
      </c>
      <c r="I1246" s="639"/>
      <c r="J1246" s="639"/>
      <c r="K1246" s="640">
        <f t="shared" si="39"/>
        <v>69599</v>
      </c>
      <c r="L1246" s="639">
        <v>10693</v>
      </c>
      <c r="M1246" s="639">
        <v>7572</v>
      </c>
      <c r="N1246" s="639">
        <v>140531</v>
      </c>
      <c r="O1246" s="1503">
        <f>1-N1247</f>
        <v>0.5498268577158032</v>
      </c>
    </row>
    <row r="1247" spans="1:15" ht="12" customHeight="1">
      <c r="A1247" s="1517"/>
      <c r="B1247" s="1502"/>
      <c r="C1247" s="635" t="s">
        <v>6219</v>
      </c>
      <c r="D1247" s="636">
        <f>D1246/(D1246+E1246+G1246+H1246+I1246+J1246+L1246+M1246+N1246)</f>
        <v>0.19898068686713372</v>
      </c>
      <c r="E1247" s="636">
        <f>E1246/(D1246+E1246+G1246+H1246+I1246+J1246+L1246+M1246+N1246)</f>
        <v>6.9385048579144126E-2</v>
      </c>
      <c r="F1247" s="637">
        <f t="shared" si="38"/>
        <v>0.26836573544627784</v>
      </c>
      <c r="G1247" s="636">
        <f>G1246/(D1246+E1246+G1246+H1246+I1246+J1246+L1246+M1246+N1246)</f>
        <v>0.20010186724583642</v>
      </c>
      <c r="H1247" s="636">
        <f>H1246/(D1246+E1246+G1246+H1246+I1246+J1246+L1246+M1246+N1246)</f>
        <v>2.2849656117960988E-2</v>
      </c>
      <c r="I1247" s="636">
        <f>I1246/(D1246+E1246+G1246+H1246+I1246+J1246+L1246+M1246+N1246)</f>
        <v>0</v>
      </c>
      <c r="J1247" s="636">
        <f>J1246/(D1246+E1246+G1246+H1246+I1246+J1246+L1246+M1246+N1246)</f>
        <v>0</v>
      </c>
      <c r="K1247" s="637">
        <f t="shared" si="39"/>
        <v>0.22295152336379742</v>
      </c>
      <c r="L1247" s="636">
        <f>L1246/(D1246+E1246+G1246+H1246+I1246+J1246+L1246+M1246+N1246)</f>
        <v>3.4253662255622722E-2</v>
      </c>
      <c r="M1247" s="636">
        <f>M1246/(D1246+E1246+G1246+H1246+I1246+J1246+L1246+M1246+N1246)</f>
        <v>2.4255936650105232E-2</v>
      </c>
      <c r="N1247" s="636">
        <f>N1246/(D1246+E1246+G1246+H1246+I1246+J1246+L1246+M1246+N1246)</f>
        <v>0.4501731422841968</v>
      </c>
      <c r="O1247" s="1503"/>
    </row>
    <row r="1248" spans="1:15" ht="12" customHeight="1">
      <c r="A1248" s="1517"/>
      <c r="B1248" s="1502" t="s">
        <v>14940</v>
      </c>
      <c r="C1248" s="638" t="s">
        <v>6218</v>
      </c>
      <c r="D1248" s="639">
        <v>81814</v>
      </c>
      <c r="E1248" s="639">
        <v>21440</v>
      </c>
      <c r="F1248" s="640">
        <f t="shared" si="38"/>
        <v>103254</v>
      </c>
      <c r="G1248" s="639">
        <v>68122</v>
      </c>
      <c r="H1248" s="639">
        <v>5310</v>
      </c>
      <c r="I1248" s="639"/>
      <c r="J1248" s="639"/>
      <c r="K1248" s="640">
        <f t="shared" si="39"/>
        <v>73432</v>
      </c>
      <c r="L1248" s="639">
        <v>11336</v>
      </c>
      <c r="M1248" s="639"/>
      <c r="N1248" s="639">
        <v>123962</v>
      </c>
      <c r="O1248" s="1503">
        <f>1-N1249</f>
        <v>0.60266552130878503</v>
      </c>
    </row>
    <row r="1249" spans="1:15" ht="12" customHeight="1" thickBot="1">
      <c r="A1249" s="1519"/>
      <c r="B1249" s="1514"/>
      <c r="C1249" s="641" t="s">
        <v>6219</v>
      </c>
      <c r="D1249" s="642">
        <f>D1248/(D1248+E1248+G1248+H1248+I1248+J1248+L1248+M1248+N1248)</f>
        <v>0.26223780706702909</v>
      </c>
      <c r="E1249" s="642">
        <f>E1248/(D1248+E1248+G1248+H1248+I1248+J1248+L1248+M1248+N1248)</f>
        <v>6.8721472896045951E-2</v>
      </c>
      <c r="F1249" s="643">
        <f t="shared" si="38"/>
        <v>0.33095927996307506</v>
      </c>
      <c r="G1249" s="642">
        <f>G1248/(D1248+E1248+G1248+H1248+I1248+J1248+L1248+M1248+N1248)</f>
        <v>0.21835094107390124</v>
      </c>
      <c r="H1249" s="642">
        <f>H1248/(D1248+E1248+G1248+H1248+I1248+J1248+L1248+M1248+N1248)</f>
        <v>1.7020103595056155E-2</v>
      </c>
      <c r="I1249" s="642">
        <f>I1248/(D1248+E1248+G1248+H1248+I1248+J1248+L1248+M1248+N1248)</f>
        <v>0</v>
      </c>
      <c r="J1249" s="642">
        <f>J1248/(D1248+E1248+G1248+H1248+I1248+J1248+L1248+M1248+N1248)</f>
        <v>0</v>
      </c>
      <c r="K1249" s="643">
        <f t="shared" si="39"/>
        <v>0.23537104466895739</v>
      </c>
      <c r="L1249" s="642">
        <f>L1248/(D1248+E1248+G1248+H1248+I1248+J1248+L1248+M1248+N1248)</f>
        <v>3.6335196676752654E-2</v>
      </c>
      <c r="M1249" s="642">
        <f>M1248/(D1248+E1248+G1248+H1248+I1248+J1248+L1248+M1248+N1248)</f>
        <v>0</v>
      </c>
      <c r="N1249" s="642">
        <f>N1248/(D1248+E1248+G1248+H1248+I1248+J1248+L1248+M1248+N1248)</f>
        <v>0.39733447869121491</v>
      </c>
      <c r="O1249" s="1515"/>
    </row>
    <row r="1250" spans="1:15" ht="12" customHeight="1">
      <c r="A1250" s="1516" t="s">
        <v>15094</v>
      </c>
      <c r="B1250" s="1509" t="s">
        <v>14937</v>
      </c>
      <c r="C1250" s="647" t="s">
        <v>6218</v>
      </c>
      <c r="D1250" s="648">
        <v>70791</v>
      </c>
      <c r="E1250" s="648">
        <v>28579</v>
      </c>
      <c r="F1250" s="649">
        <f t="shared" si="38"/>
        <v>99370</v>
      </c>
      <c r="G1250" s="648">
        <v>96492</v>
      </c>
      <c r="H1250" s="648">
        <v>8802</v>
      </c>
      <c r="I1250" s="648">
        <v>3639</v>
      </c>
      <c r="J1250" s="648">
        <v>6456</v>
      </c>
      <c r="K1250" s="649">
        <f t="shared" si="39"/>
        <v>115389</v>
      </c>
      <c r="L1250" s="648">
        <v>14431</v>
      </c>
      <c r="M1250" s="648">
        <v>4643</v>
      </c>
      <c r="N1250" s="648">
        <v>180065</v>
      </c>
      <c r="O1250" s="1510">
        <f>1-N1251</f>
        <v>0.56495320103020552</v>
      </c>
    </row>
    <row r="1251" spans="1:15" ht="12" customHeight="1">
      <c r="A1251" s="1517"/>
      <c r="B1251" s="1502"/>
      <c r="C1251" s="635" t="s">
        <v>6219</v>
      </c>
      <c r="D1251" s="636">
        <f>D1250/(D1250+E1250+G1250+H1250+I1250+J1250+L1250+M1250+N1250)</f>
        <v>0.17103489265471203</v>
      </c>
      <c r="E1251" s="636">
        <f>E1250/(D1250+E1250+G1250+H1250+I1250+J1250+L1250+M1250+N1250)</f>
        <v>6.9048412893998032E-2</v>
      </c>
      <c r="F1251" s="637">
        <f t="shared" si="38"/>
        <v>0.24008330554871005</v>
      </c>
      <c r="G1251" s="636">
        <f>G1250/(D1250+E1250+G1250+H1250+I1250+J1250+L1250+M1250+N1250)</f>
        <v>0.23312990156995203</v>
      </c>
      <c r="H1251" s="636">
        <f>H1250/(D1250+E1250+G1250+H1250+I1250+J1250+L1250+M1250+N1250)</f>
        <v>2.1266109041358016E-2</v>
      </c>
      <c r="I1251" s="636">
        <f>I1250/(D1250+E1250+G1250+H1250+I1250+J1250+L1250+M1250+N1250)</f>
        <v>8.7920212226200653E-3</v>
      </c>
      <c r="J1251" s="636">
        <f>J1250/(D1250+E1250+G1250+H1250+I1250+J1250+L1250+M1250+N1250)</f>
        <v>1.5598045895365524E-2</v>
      </c>
      <c r="K1251" s="637">
        <f t="shared" si="39"/>
        <v>0.27878607772929564</v>
      </c>
      <c r="L1251" s="636">
        <f>L1250/(D1250+E1250+G1250+H1250+I1250+J1250+L1250+M1250+N1250)</f>
        <v>3.4866078115864292E-2</v>
      </c>
      <c r="M1251" s="636">
        <f>M1250/(D1250+E1250+G1250+H1250+I1250+J1250+L1250+M1250+N1250)</f>
        <v>1.1217739636335522E-2</v>
      </c>
      <c r="N1251" s="636">
        <f>N1250/(D1250+E1250+G1250+H1250+I1250+J1250+L1250+M1250+N1250)</f>
        <v>0.43504679896979448</v>
      </c>
      <c r="O1251" s="1503"/>
    </row>
    <row r="1252" spans="1:15" ht="12" customHeight="1">
      <c r="A1252" s="1517"/>
      <c r="B1252" s="1502" t="s">
        <v>14938</v>
      </c>
      <c r="C1252" s="638" t="s">
        <v>6218</v>
      </c>
      <c r="D1252" s="639">
        <v>106889</v>
      </c>
      <c r="E1252" s="639">
        <v>35253</v>
      </c>
      <c r="F1252" s="640">
        <f t="shared" si="38"/>
        <v>142142</v>
      </c>
      <c r="G1252" s="639">
        <v>96421</v>
      </c>
      <c r="H1252" s="639">
        <v>9259</v>
      </c>
      <c r="I1252" s="639"/>
      <c r="J1252" s="639">
        <v>12141</v>
      </c>
      <c r="K1252" s="640">
        <f t="shared" si="39"/>
        <v>117821</v>
      </c>
      <c r="L1252" s="639">
        <v>16733</v>
      </c>
      <c r="M1252" s="639"/>
      <c r="N1252" s="639">
        <v>134645</v>
      </c>
      <c r="O1252" s="1503">
        <f>1-N1253</f>
        <v>0.67266817555264369</v>
      </c>
    </row>
    <row r="1253" spans="1:15" ht="12" customHeight="1">
      <c r="A1253" s="1517"/>
      <c r="B1253" s="1502"/>
      <c r="C1253" s="635" t="s">
        <v>6219</v>
      </c>
      <c r="D1253" s="636">
        <f>D1252/(D1252+E1252+G1252+H1252+I1252+J1252+L1252+M1252+N1252)</f>
        <v>0.25985496218465942</v>
      </c>
      <c r="E1253" s="636">
        <f>E1252/(D1252+E1252+G1252+H1252+I1252+J1252+L1252+M1252+N1252)</f>
        <v>8.5702616563872791E-2</v>
      </c>
      <c r="F1253" s="637">
        <f t="shared" si="38"/>
        <v>0.34555757874853221</v>
      </c>
      <c r="G1253" s="636">
        <f>G1252/(D1252+E1252+G1252+H1252+I1252+J1252+L1252+M1252+N1252)</f>
        <v>0.23440648999248798</v>
      </c>
      <c r="H1253" s="636">
        <f>H1252/(D1252+E1252+G1252+H1252+I1252+J1252+L1252+M1252+N1252)</f>
        <v>2.2509304931917801E-2</v>
      </c>
      <c r="I1253" s="636">
        <f>I1252/(D1252+E1252+G1252+H1252+I1252+J1252+L1252+M1252+N1252)</f>
        <v>0</v>
      </c>
      <c r="J1253" s="636">
        <f>J1252/(D1252+E1252+G1252+H1252+I1252+J1252+L1252+M1252+N1252)</f>
        <v>2.9515657325673832E-2</v>
      </c>
      <c r="K1253" s="637">
        <f t="shared" si="39"/>
        <v>0.2864314522500796</v>
      </c>
      <c r="L1253" s="636">
        <f>L1252/(D1252+E1252+G1252+H1252+I1252+J1252+L1252+M1252+N1252)</f>
        <v>4.0679144554031814E-2</v>
      </c>
      <c r="M1253" s="636">
        <f>M1252/(D1252+E1252+G1252+H1252+I1252+J1252+L1252+M1252+N1252)</f>
        <v>0</v>
      </c>
      <c r="N1253" s="636">
        <f>N1252/(D1252+E1252+G1252+H1252+I1252+J1252+L1252+M1252+N1252)</f>
        <v>0.32733182444735631</v>
      </c>
      <c r="O1253" s="1503"/>
    </row>
    <row r="1254" spans="1:15" ht="12" customHeight="1">
      <c r="A1254" s="1517"/>
      <c r="B1254" s="1502" t="s">
        <v>14939</v>
      </c>
      <c r="C1254" s="638" t="s">
        <v>6218</v>
      </c>
      <c r="D1254" s="639">
        <v>67838</v>
      </c>
      <c r="E1254" s="639">
        <v>34789</v>
      </c>
      <c r="F1254" s="640">
        <f t="shared" si="38"/>
        <v>102627</v>
      </c>
      <c r="G1254" s="639">
        <v>82487</v>
      </c>
      <c r="H1254" s="639">
        <v>9662</v>
      </c>
      <c r="I1254" s="639"/>
      <c r="J1254" s="639"/>
      <c r="K1254" s="640">
        <f t="shared" si="39"/>
        <v>92149</v>
      </c>
      <c r="L1254" s="639">
        <v>14650</v>
      </c>
      <c r="M1254" s="639">
        <v>9652</v>
      </c>
      <c r="N1254" s="639">
        <v>189910</v>
      </c>
      <c r="O1254" s="1503">
        <f>1-N1255</f>
        <v>0.53565874793392476</v>
      </c>
    </row>
    <row r="1255" spans="1:15" ht="12" customHeight="1">
      <c r="A1255" s="1517"/>
      <c r="B1255" s="1502"/>
      <c r="C1255" s="635" t="s">
        <v>6219</v>
      </c>
      <c r="D1255" s="636">
        <f>D1254/(D1254+E1254+G1254+H1254+I1254+J1254+L1254+M1254+N1254)</f>
        <v>0.16586794722583548</v>
      </c>
      <c r="E1255" s="636">
        <f>E1254/(D1254+E1254+G1254+H1254+I1254+J1254+L1254+M1254+N1254)</f>
        <v>8.5061175389008967E-2</v>
      </c>
      <c r="F1255" s="637">
        <f t="shared" si="38"/>
        <v>0.25092912261484446</v>
      </c>
      <c r="G1255" s="636">
        <f>G1254/(D1254+E1254+G1254+H1254+I1254+J1254+L1254+M1254+N1254)</f>
        <v>0.20168562402808884</v>
      </c>
      <c r="H1255" s="636">
        <f>H1254/(D1254+E1254+G1254+H1254+I1254+J1254+L1254+M1254+N1254)</f>
        <v>2.3624165012176398E-2</v>
      </c>
      <c r="I1255" s="636">
        <f>I1254/(D1254+E1254+G1254+H1254+I1254+J1254+L1254+M1254+N1254)</f>
        <v>0</v>
      </c>
      <c r="J1255" s="636">
        <f>J1254/(D1254+E1254+G1254+H1254+I1254+J1254+L1254+M1254+N1254)</f>
        <v>0</v>
      </c>
      <c r="K1255" s="637">
        <f t="shared" si="39"/>
        <v>0.22530978904026525</v>
      </c>
      <c r="L1255" s="636">
        <f>L1254/(D1254+E1254+G1254+H1254+I1254+J1254+L1254+M1254+N1254)</f>
        <v>3.5820121861766113E-2</v>
      </c>
      <c r="M1255" s="636">
        <f>M1254/(D1254+E1254+G1254+H1254+I1254+J1254+L1254+M1254+N1254)</f>
        <v>2.359971441704891E-2</v>
      </c>
      <c r="N1255" s="636">
        <f>N1254/(D1254+E1254+G1254+H1254+I1254+J1254+L1254+M1254+N1254)</f>
        <v>0.46434125206607529</v>
      </c>
      <c r="O1255" s="1503"/>
    </row>
    <row r="1256" spans="1:15" ht="12" customHeight="1">
      <c r="A1256" s="1517"/>
      <c r="B1256" s="1502" t="s">
        <v>14940</v>
      </c>
      <c r="C1256" s="638" t="s">
        <v>6218</v>
      </c>
      <c r="D1256" s="639">
        <v>87187</v>
      </c>
      <c r="E1256" s="639">
        <v>34542</v>
      </c>
      <c r="F1256" s="640">
        <f t="shared" si="38"/>
        <v>121729</v>
      </c>
      <c r="G1256" s="639">
        <v>96010</v>
      </c>
      <c r="H1256" s="639">
        <v>6671</v>
      </c>
      <c r="I1256" s="639"/>
      <c r="J1256" s="639"/>
      <c r="K1256" s="640">
        <f t="shared" si="39"/>
        <v>102681</v>
      </c>
      <c r="L1256" s="639">
        <v>14436</v>
      </c>
      <c r="M1256" s="639"/>
      <c r="N1256" s="639">
        <v>168986</v>
      </c>
      <c r="O1256" s="1503">
        <f>1-N1257</f>
        <v>0.58564801192647953</v>
      </c>
    </row>
    <row r="1257" spans="1:15" ht="12" customHeight="1" thickBot="1">
      <c r="A1257" s="1519"/>
      <c r="B1257" s="1514"/>
      <c r="C1257" s="641" t="s">
        <v>6219</v>
      </c>
      <c r="D1257" s="642">
        <f>D1256/(D1256+E1256+G1256+H1256+I1256+J1256+L1256+M1256+N1256)</f>
        <v>0.21378165519135331</v>
      </c>
      <c r="E1257" s="642">
        <f>E1256/(D1256+E1256+G1256+H1256+I1256+J1256+L1256+M1256+N1256)</f>
        <v>8.4696639792855882E-2</v>
      </c>
      <c r="F1257" s="643">
        <f t="shared" si="38"/>
        <v>0.29847829498420919</v>
      </c>
      <c r="G1257" s="642">
        <f>G1256/(D1256+E1256+G1256+H1256+I1256+J1256+L1256+M1256+N1256)</f>
        <v>0.23541556327115087</v>
      </c>
      <c r="H1257" s="642">
        <f>H1256/(D1256+E1256+G1256+H1256+I1256+J1256+L1256+M1256+N1256)</f>
        <v>1.6357225524235471E-2</v>
      </c>
      <c r="I1257" s="642">
        <f>I1256/(D1256+E1256+G1256+H1256+I1256+J1256+L1256+M1256+N1256)</f>
        <v>0</v>
      </c>
      <c r="J1257" s="642">
        <f>J1256/(D1256+E1256+G1256+H1256+I1256+J1256+L1256+M1256+N1256)</f>
        <v>0</v>
      </c>
      <c r="K1257" s="643">
        <f t="shared" si="39"/>
        <v>0.25177278879538634</v>
      </c>
      <c r="L1257" s="642">
        <f>L1256/(D1256+E1256+G1256+H1256+I1256+J1256+L1256+M1256+N1256)</f>
        <v>3.5396928146884013E-2</v>
      </c>
      <c r="M1257" s="642">
        <f>M1256/(D1256+E1256+G1256+H1256+I1256+J1256+L1256+M1256+N1256)</f>
        <v>0</v>
      </c>
      <c r="N1257" s="642">
        <f>N1256/(D1256+E1256+G1256+H1256+I1256+J1256+L1256+M1256+N1256)</f>
        <v>0.41435198807352047</v>
      </c>
      <c r="O1257" s="1515"/>
    </row>
    <row r="1258" spans="1:15" ht="12" customHeight="1">
      <c r="A1258" s="1516" t="s">
        <v>15095</v>
      </c>
      <c r="B1258" s="1509" t="s">
        <v>14937</v>
      </c>
      <c r="C1258" s="647" t="s">
        <v>6218</v>
      </c>
      <c r="D1258" s="648">
        <v>89133</v>
      </c>
      <c r="E1258" s="648">
        <v>24005</v>
      </c>
      <c r="F1258" s="649">
        <f t="shared" si="38"/>
        <v>113138</v>
      </c>
      <c r="G1258" s="648">
        <v>91023</v>
      </c>
      <c r="H1258" s="648">
        <v>8955</v>
      </c>
      <c r="I1258" s="648">
        <v>5350</v>
      </c>
      <c r="J1258" s="648">
        <v>4812</v>
      </c>
      <c r="K1258" s="649">
        <f t="shared" si="39"/>
        <v>110140</v>
      </c>
      <c r="L1258" s="648">
        <v>13525</v>
      </c>
      <c r="M1258" s="648">
        <v>4375</v>
      </c>
      <c r="N1258" s="648">
        <v>108135</v>
      </c>
      <c r="O1258" s="1510">
        <f>1-N1259</f>
        <v>0.69043522571447391</v>
      </c>
    </row>
    <row r="1259" spans="1:15" ht="12" customHeight="1">
      <c r="A1259" s="1517"/>
      <c r="B1259" s="1502"/>
      <c r="C1259" s="635" t="s">
        <v>6219</v>
      </c>
      <c r="D1259" s="636">
        <f>D1258/(D1258+E1258+G1258+H1258+I1258+J1258+L1258+M1258+N1258)</f>
        <v>0.25516656980988395</v>
      </c>
      <c r="E1259" s="636">
        <f>E1258/(D1258+E1258+G1258+H1258+I1258+J1258+L1258+M1258+N1258)</f>
        <v>6.8720603012198234E-2</v>
      </c>
      <c r="F1259" s="637">
        <f t="shared" si="38"/>
        <v>0.32388717282208218</v>
      </c>
      <c r="G1259" s="636">
        <f>G1258/(D1258+E1258+G1258+H1258+I1258+J1258+L1258+M1258+N1258)</f>
        <v>0.26057719008453734</v>
      </c>
      <c r="H1259" s="636">
        <f>H1258/(D1258+E1258+G1258+H1258+I1258+J1258+L1258+M1258+N1258)</f>
        <v>2.5636034158476782E-2</v>
      </c>
      <c r="I1259" s="636">
        <f>I1258/(D1258+E1258+G1258+H1258+I1258+J1258+L1258+M1258+N1258)</f>
        <v>1.5315776967934203E-2</v>
      </c>
      <c r="J1259" s="636">
        <f>J1258/(D1258+E1258+G1258+H1258+I1258+J1258+L1258+M1258+N1258)</f>
        <v>1.3775610984990539E-2</v>
      </c>
      <c r="K1259" s="637">
        <f t="shared" si="39"/>
        <v>0.3153046121959388</v>
      </c>
      <c r="L1259" s="636">
        <f>L1258/(D1258+E1258+G1258+H1258+I1258+J1258+L1258+M1258+N1258)</f>
        <v>3.8718856727347678E-2</v>
      </c>
      <c r="M1259" s="636">
        <f>M1258/(D1258+E1258+G1258+H1258+I1258+J1258+L1258+M1258+N1258)</f>
        <v>1.2524583969105073E-2</v>
      </c>
      <c r="N1259" s="636">
        <f>N1258/(D1258+E1258+G1258+H1258+I1258+J1258+L1258+M1258+N1258)</f>
        <v>0.30956477428552615</v>
      </c>
      <c r="O1259" s="1503"/>
    </row>
    <row r="1260" spans="1:15" ht="12" customHeight="1">
      <c r="A1260" s="1517"/>
      <c r="B1260" s="1502" t="s">
        <v>14938</v>
      </c>
      <c r="C1260" s="638" t="s">
        <v>6218</v>
      </c>
      <c r="D1260" s="639">
        <v>115733</v>
      </c>
      <c r="E1260" s="639">
        <v>37566</v>
      </c>
      <c r="F1260" s="640">
        <f t="shared" si="38"/>
        <v>153299</v>
      </c>
      <c r="G1260" s="639">
        <v>79048</v>
      </c>
      <c r="H1260" s="639">
        <v>9007</v>
      </c>
      <c r="I1260" s="639"/>
      <c r="J1260" s="639">
        <v>10902</v>
      </c>
      <c r="K1260" s="640">
        <f t="shared" si="39"/>
        <v>98957</v>
      </c>
      <c r="L1260" s="639">
        <v>14354</v>
      </c>
      <c r="M1260" s="639"/>
      <c r="N1260" s="639">
        <v>83637</v>
      </c>
      <c r="O1260" s="1503">
        <f>1-N1261</f>
        <v>0.76120566343180673</v>
      </c>
    </row>
    <row r="1261" spans="1:15" ht="12" customHeight="1">
      <c r="A1261" s="1517"/>
      <c r="B1261" s="1502"/>
      <c r="C1261" s="635" t="s">
        <v>6219</v>
      </c>
      <c r="D1261" s="636">
        <f>D1260/(D1260+E1260+G1260+H1260+I1260+J1260+L1260+M1260+N1260)</f>
        <v>0.33043252333353318</v>
      </c>
      <c r="E1261" s="636">
        <f>E1260/(D1260+E1260+G1260+H1260+I1260+J1260+L1260+M1260+N1260)</f>
        <v>0.10725573666583868</v>
      </c>
      <c r="F1261" s="637">
        <f t="shared" si="38"/>
        <v>0.43768825999937189</v>
      </c>
      <c r="G1261" s="636">
        <f>G1260/(D1260+E1260+G1260+H1260+I1260+J1260+L1260+M1260+N1260)</f>
        <v>0.22569215439389917</v>
      </c>
      <c r="H1261" s="636">
        <f>H1260/(D1260+E1260+G1260+H1260+I1260+J1260+L1260+M1260+N1260)</f>
        <v>2.5716137468700658E-2</v>
      </c>
      <c r="I1261" s="636">
        <f>I1260/(D1260+E1260+G1260+H1260+I1260+J1260+L1260+M1260+N1260)</f>
        <v>0</v>
      </c>
      <c r="J1261" s="636">
        <f>J1260/(D1260+E1260+G1260+H1260+I1260+J1260+L1260+M1260+N1260)</f>
        <v>3.1126604938800331E-2</v>
      </c>
      <c r="K1261" s="637">
        <f t="shared" si="39"/>
        <v>0.28253489680140015</v>
      </c>
      <c r="L1261" s="636">
        <f>L1260/(D1260+E1260+G1260+H1260+I1260+J1260+L1260+M1260+N1260)</f>
        <v>4.0982506631034671E-2</v>
      </c>
      <c r="M1261" s="636">
        <f>M1260/(D1260+E1260+G1260+H1260+I1260+J1260+L1260+M1260+N1260)</f>
        <v>0</v>
      </c>
      <c r="N1261" s="636">
        <f>N1260/(D1260+E1260+G1260+H1260+I1260+J1260+L1260+M1260+N1260)</f>
        <v>0.23879433656819329</v>
      </c>
      <c r="O1261" s="1503"/>
    </row>
    <row r="1262" spans="1:15" ht="12" customHeight="1">
      <c r="A1262" s="1517"/>
      <c r="B1262" s="1502" t="s">
        <v>14939</v>
      </c>
      <c r="C1262" s="638" t="s">
        <v>6218</v>
      </c>
      <c r="D1262" s="639">
        <v>87661</v>
      </c>
      <c r="E1262" s="639">
        <v>28597</v>
      </c>
      <c r="F1262" s="640">
        <f t="shared" si="38"/>
        <v>116258</v>
      </c>
      <c r="G1262" s="639">
        <v>77230</v>
      </c>
      <c r="H1262" s="639">
        <v>9088</v>
      </c>
      <c r="I1262" s="639"/>
      <c r="J1262" s="639"/>
      <c r="K1262" s="640">
        <f t="shared" si="39"/>
        <v>86318</v>
      </c>
      <c r="L1262" s="639">
        <v>14084</v>
      </c>
      <c r="M1262" s="639">
        <v>9403</v>
      </c>
      <c r="N1262" s="639">
        <v>123941</v>
      </c>
      <c r="O1262" s="1503">
        <f>1-N1263</f>
        <v>0.64588690414966687</v>
      </c>
    </row>
    <row r="1263" spans="1:15" ht="12" customHeight="1">
      <c r="A1263" s="1517"/>
      <c r="B1263" s="1502"/>
      <c r="C1263" s="635" t="s">
        <v>6219</v>
      </c>
      <c r="D1263" s="636">
        <f>D1262/(D1262+E1262+G1262+H1262+I1262+J1262+L1262+M1262+N1262)</f>
        <v>0.25045713763271277</v>
      </c>
      <c r="E1263" s="636">
        <f>E1262/(D1262+E1262+G1262+H1262+I1262+J1262+L1262+M1262+N1262)</f>
        <v>8.1704780516794098E-2</v>
      </c>
      <c r="F1263" s="637">
        <f t="shared" si="38"/>
        <v>0.33216191814950685</v>
      </c>
      <c r="G1263" s="636">
        <f>G1262/(D1262+E1262+G1262+H1262+I1262+J1262+L1262+M1262+N1262)</f>
        <v>0.22065462109004469</v>
      </c>
      <c r="H1263" s="636">
        <f>H1262/(D1262+E1262+G1262+H1262+I1262+J1262+L1262+M1262+N1262)</f>
        <v>2.5965417538085279E-2</v>
      </c>
      <c r="I1263" s="636">
        <f>I1262/(D1262+E1262+G1262+H1262+I1262+J1262+L1262+M1262+N1262)</f>
        <v>0</v>
      </c>
      <c r="J1263" s="636">
        <f>J1262/(D1262+E1262+G1262+H1262+I1262+J1262+L1262+M1262+N1262)</f>
        <v>0</v>
      </c>
      <c r="K1263" s="637">
        <f t="shared" si="39"/>
        <v>0.24662003862812998</v>
      </c>
      <c r="L1263" s="636">
        <f>L1262/(D1262+E1262+G1262+H1262+I1262+J1262+L1262+M1262+N1262)</f>
        <v>4.0239540119541492E-2</v>
      </c>
      <c r="M1263" s="636">
        <f>M1262/(D1262+E1262+G1262+H1262+I1262+J1262+L1262+M1262+N1262)</f>
        <v>2.6865407252488541E-2</v>
      </c>
      <c r="N1263" s="636">
        <f>N1262/(D1262+E1262+G1262+H1262+I1262+J1262+L1262+M1262+N1262)</f>
        <v>0.35411309585033313</v>
      </c>
      <c r="O1263" s="1503"/>
    </row>
    <row r="1264" spans="1:15" ht="12" customHeight="1">
      <c r="A1264" s="1517"/>
      <c r="B1264" s="1502" t="s">
        <v>14940</v>
      </c>
      <c r="C1264" s="638" t="s">
        <v>6218</v>
      </c>
      <c r="D1264" s="639">
        <v>114923</v>
      </c>
      <c r="E1264" s="639">
        <v>26803</v>
      </c>
      <c r="F1264" s="640">
        <f t="shared" si="38"/>
        <v>141726</v>
      </c>
      <c r="G1264" s="639">
        <v>80030</v>
      </c>
      <c r="H1264" s="639">
        <v>6311</v>
      </c>
      <c r="I1264" s="639"/>
      <c r="J1264" s="639"/>
      <c r="K1264" s="640">
        <f t="shared" si="39"/>
        <v>86341</v>
      </c>
      <c r="L1264" s="639">
        <v>13104</v>
      </c>
      <c r="M1264" s="639"/>
      <c r="N1264" s="639">
        <v>108581</v>
      </c>
      <c r="O1264" s="1503">
        <f>1-N1265</f>
        <v>0.6895485944326265</v>
      </c>
    </row>
    <row r="1265" spans="1:15" ht="12" customHeight="1" thickBot="1">
      <c r="A1265" s="1519"/>
      <c r="B1265" s="1514"/>
      <c r="C1265" s="641" t="s">
        <v>6219</v>
      </c>
      <c r="D1265" s="642">
        <f>D1264/(D1264+E1264+G1264+H1264+I1264+J1264+L1264+M1264+N1264)</f>
        <v>0.32858425398568131</v>
      </c>
      <c r="E1265" s="642">
        <f>E1264/(D1264+E1264+G1264+H1264+I1264+J1264+L1264+M1264+N1264)</f>
        <v>7.6634300876049319E-2</v>
      </c>
      <c r="F1265" s="643">
        <f t="shared" si="38"/>
        <v>0.40521855486173064</v>
      </c>
      <c r="G1265" s="642">
        <f>G1264/(D1264+E1264+G1264+H1264+I1264+J1264+L1264+M1264+N1264)</f>
        <v>0.22881927765959881</v>
      </c>
      <c r="H1265" s="642">
        <f>H1264/(D1264+E1264+G1264+H1264+I1264+J1264+L1264+M1264+N1264)</f>
        <v>1.804421418605183E-2</v>
      </c>
      <c r="I1265" s="642">
        <f>I1264/(D1264+E1264+G1264+H1264+I1264+J1264+L1264+M1264+N1264)</f>
        <v>0</v>
      </c>
      <c r="J1265" s="642">
        <f>J1264/(D1264+E1264+G1264+H1264+I1264+J1264+L1264+M1264+N1264)</f>
        <v>0</v>
      </c>
      <c r="K1265" s="643">
        <f t="shared" si="39"/>
        <v>0.24686349184565065</v>
      </c>
      <c r="L1265" s="642">
        <f>L1264/(D1264+E1264+G1264+H1264+I1264+J1264+L1264+M1264+N1264)</f>
        <v>3.7466547725245318E-2</v>
      </c>
      <c r="M1265" s="642">
        <f>M1264/(D1264+E1264+G1264+H1264+I1264+J1264+L1264+M1264+N1264)</f>
        <v>0</v>
      </c>
      <c r="N1265" s="642">
        <f>N1264/(D1264+E1264+G1264+H1264+I1264+J1264+L1264+M1264+N1264)</f>
        <v>0.31045140556737344</v>
      </c>
      <c r="O1265" s="1515"/>
    </row>
    <row r="1266" spans="1:15" ht="12" customHeight="1">
      <c r="A1266" s="1516" t="s">
        <v>15096</v>
      </c>
      <c r="B1266" s="1509" t="s">
        <v>14937</v>
      </c>
      <c r="C1266" s="647" t="s">
        <v>6218</v>
      </c>
      <c r="D1266" s="648">
        <v>53010</v>
      </c>
      <c r="E1266" s="648">
        <v>20584</v>
      </c>
      <c r="F1266" s="649">
        <f t="shared" si="38"/>
        <v>73594</v>
      </c>
      <c r="G1266" s="648">
        <v>73544</v>
      </c>
      <c r="H1266" s="648">
        <v>7887</v>
      </c>
      <c r="I1266" s="648">
        <v>3211</v>
      </c>
      <c r="J1266" s="648">
        <v>4795</v>
      </c>
      <c r="K1266" s="649">
        <f t="shared" si="39"/>
        <v>89437</v>
      </c>
      <c r="L1266" s="648">
        <v>14361</v>
      </c>
      <c r="M1266" s="648">
        <v>3468</v>
      </c>
      <c r="N1266" s="648">
        <v>110176</v>
      </c>
      <c r="O1266" s="1510">
        <f>1-N1267</f>
        <v>0.62143514891628526</v>
      </c>
    </row>
    <row r="1267" spans="1:15" ht="12" customHeight="1">
      <c r="A1267" s="1517"/>
      <c r="B1267" s="1502"/>
      <c r="C1267" s="635" t="s">
        <v>6219</v>
      </c>
      <c r="D1267" s="636">
        <f>D1266/(D1266+E1266+G1266+H1266+I1266+J1266+L1266+M1266+N1266)</f>
        <v>0.18214241537129428</v>
      </c>
      <c r="E1267" s="636">
        <f>E1266/(D1266+E1266+G1266+H1266+I1266+J1266+L1266+M1266+N1266)</f>
        <v>7.0726645500900229E-2</v>
      </c>
      <c r="F1267" s="637">
        <f t="shared" si="38"/>
        <v>0.25286906087219452</v>
      </c>
      <c r="G1267" s="636">
        <f>G1266/(D1266+E1266+G1266+H1266+I1266+J1266+L1266+M1266+N1266)</f>
        <v>0.2526972608199673</v>
      </c>
      <c r="H1267" s="636">
        <f>H1266/(D1266+E1266+G1266+H1266+I1266+J1266+L1266+M1266+N1266)</f>
        <v>2.7099740238321034E-2</v>
      </c>
      <c r="I1267" s="636">
        <f>I1266/(D1266+E1266+G1266+H1266+I1266+J1266+L1266+M1266+N1266)</f>
        <v>1.1032999354031804E-2</v>
      </c>
      <c r="J1267" s="636">
        <f>J1266/(D1266+E1266+G1266+H1266+I1266+J1266+L1266+M1266+N1266)</f>
        <v>1.6475625008590001E-2</v>
      </c>
      <c r="K1267" s="637">
        <f t="shared" si="39"/>
        <v>0.30730562542091011</v>
      </c>
      <c r="L1267" s="636">
        <f>L1266/(D1266+E1266+G1266+H1266+I1266+J1266+L1266+M1266+N1266)</f>
        <v>4.9344411000700944E-2</v>
      </c>
      <c r="M1267" s="636">
        <f>M1266/(D1266+E1266+G1266+H1266+I1266+J1266+L1266+M1266+N1266)</f>
        <v>1.1916051622479693E-2</v>
      </c>
      <c r="N1267" s="636">
        <f>N1266/(D1266+E1266+G1266+H1266+I1266+J1266+L1266+M1266+N1266)</f>
        <v>0.37856485108371474</v>
      </c>
      <c r="O1267" s="1503"/>
    </row>
    <row r="1268" spans="1:15" ht="12" customHeight="1">
      <c r="A1268" s="1517"/>
      <c r="B1268" s="1502" t="s">
        <v>14938</v>
      </c>
      <c r="C1268" s="638" t="s">
        <v>6218</v>
      </c>
      <c r="D1268" s="639">
        <v>74456</v>
      </c>
      <c r="E1268" s="639">
        <v>27022</v>
      </c>
      <c r="F1268" s="640">
        <f t="shared" si="38"/>
        <v>101478</v>
      </c>
      <c r="G1268" s="639">
        <v>71755</v>
      </c>
      <c r="H1268" s="639">
        <v>8984</v>
      </c>
      <c r="I1268" s="639"/>
      <c r="J1268" s="639">
        <v>9520</v>
      </c>
      <c r="K1268" s="640">
        <f t="shared" si="39"/>
        <v>90259</v>
      </c>
      <c r="L1268" s="639">
        <v>16189</v>
      </c>
      <c r="M1268" s="639"/>
      <c r="N1268" s="639">
        <v>82854</v>
      </c>
      <c r="O1268" s="1503">
        <f>1-N1269</f>
        <v>0.71506293417704114</v>
      </c>
    </row>
    <row r="1269" spans="1:15" ht="12" customHeight="1">
      <c r="A1269" s="1517"/>
      <c r="B1269" s="1502"/>
      <c r="C1269" s="635" t="s">
        <v>6219</v>
      </c>
      <c r="D1269" s="636">
        <f>D1268/(D1268+E1268+G1268+H1268+I1268+J1268+L1268+M1268+N1268)</f>
        <v>0.25605612490542679</v>
      </c>
      <c r="E1269" s="636">
        <f>E1268/(D1268+E1268+G1268+H1268+I1268+J1268+L1268+M1268+N1268)</f>
        <v>9.292936240456702E-2</v>
      </c>
      <c r="F1269" s="637">
        <f t="shared" si="38"/>
        <v>0.34898548730999379</v>
      </c>
      <c r="G1269" s="636">
        <f>G1268/(D1268+E1268+G1268+H1268+I1268+J1268+L1268+M1268+N1268)</f>
        <v>0.24676731549625147</v>
      </c>
      <c r="H1269" s="636">
        <f>H1268/(D1268+E1268+G1268+H1268+I1268+J1268+L1268+M1268+N1268)</f>
        <v>3.0896210193273266E-2</v>
      </c>
      <c r="I1269" s="636">
        <f>I1268/(D1268+E1268+G1268+H1268+I1268+J1268+L1268+M1268+N1268)</f>
        <v>0</v>
      </c>
      <c r="J1269" s="636">
        <f>J1268/(D1268+E1268+G1268+H1268+I1268+J1268+L1268+M1268+N1268)</f>
        <v>3.2739528165623498E-2</v>
      </c>
      <c r="K1269" s="637">
        <f t="shared" si="39"/>
        <v>0.31040305385514821</v>
      </c>
      <c r="L1269" s="636">
        <f>L1268/(D1268+E1268+G1268+H1268+I1268+J1268+L1268+M1268+N1268)</f>
        <v>5.5674393011899033E-2</v>
      </c>
      <c r="M1269" s="636">
        <f>M1268/(D1268+E1268+G1268+H1268+I1268+J1268+L1268+M1268+N1268)</f>
        <v>0</v>
      </c>
      <c r="N1269" s="636">
        <f>N1268/(D1268+E1268+G1268+H1268+I1268+J1268+L1268+M1268+N1268)</f>
        <v>0.28493706582295891</v>
      </c>
      <c r="O1269" s="1503"/>
    </row>
    <row r="1270" spans="1:15" ht="12" customHeight="1">
      <c r="A1270" s="1517"/>
      <c r="B1270" s="1502" t="s">
        <v>14939</v>
      </c>
      <c r="C1270" s="638" t="s">
        <v>6218</v>
      </c>
      <c r="D1270" s="639">
        <v>52024</v>
      </c>
      <c r="E1270" s="639">
        <v>26052</v>
      </c>
      <c r="F1270" s="640">
        <f t="shared" si="38"/>
        <v>78076</v>
      </c>
      <c r="G1270" s="639">
        <v>66268</v>
      </c>
      <c r="H1270" s="639">
        <v>8622</v>
      </c>
      <c r="I1270" s="639"/>
      <c r="J1270" s="639"/>
      <c r="K1270" s="640">
        <f t="shared" si="39"/>
        <v>74890</v>
      </c>
      <c r="L1270" s="639">
        <v>14896</v>
      </c>
      <c r="M1270" s="639">
        <v>8185</v>
      </c>
      <c r="N1270" s="639">
        <v>111931</v>
      </c>
      <c r="O1270" s="1503">
        <f>1-N1271</f>
        <v>0.61132100368778164</v>
      </c>
    </row>
    <row r="1271" spans="1:15" ht="12" customHeight="1">
      <c r="A1271" s="1517"/>
      <c r="B1271" s="1502"/>
      <c r="C1271" s="635" t="s">
        <v>6219</v>
      </c>
      <c r="D1271" s="636">
        <f>D1270/(D1270+E1270+G1270+H1270+I1270+J1270+L1270+M1270+N1270)</f>
        <v>0.18065268874705706</v>
      </c>
      <c r="E1271" s="636">
        <f>E1270/(D1270+E1270+G1270+H1270+I1270+J1270+L1270+M1270+N1270)</f>
        <v>9.0465243872795836E-2</v>
      </c>
      <c r="F1271" s="637">
        <f t="shared" si="38"/>
        <v>0.2711179326198529</v>
      </c>
      <c r="G1271" s="636">
        <f>G1270/(D1270+E1270+G1270+H1270+I1270+J1270+L1270+M1270+N1270)</f>
        <v>0.23011480043614443</v>
      </c>
      <c r="H1271" s="636">
        <f>H1270/(D1270+E1270+G1270+H1270+I1270+J1270+L1270+M1270+N1270)</f>
        <v>2.9939787067067625E-2</v>
      </c>
      <c r="I1271" s="636">
        <f>I1270/(D1270+E1270+G1270+H1270+I1270+J1270+L1270+M1270+N1270)</f>
        <v>0</v>
      </c>
      <c r="J1271" s="636">
        <f>J1270/(D1270+E1270+G1270+H1270+I1270+J1270+L1270+M1270+N1270)</f>
        <v>0</v>
      </c>
      <c r="K1271" s="637">
        <f t="shared" si="39"/>
        <v>0.26005458750321209</v>
      </c>
      <c r="L1271" s="636">
        <f>L1270/(D1270+E1270+G1270+H1270+I1270+J1270+L1270+M1270+N1270)</f>
        <v>5.1726173527144433E-2</v>
      </c>
      <c r="M1271" s="636">
        <f>M1270/(D1270+E1270+G1270+H1270+I1270+J1270+L1270+M1270+N1270)</f>
        <v>2.8422310037572316E-2</v>
      </c>
      <c r="N1271" s="636">
        <f>N1270/(D1270+E1270+G1270+H1270+I1270+J1270+L1270+M1270+N1270)</f>
        <v>0.38867899631221831</v>
      </c>
      <c r="O1271" s="1503"/>
    </row>
    <row r="1272" spans="1:15" ht="12" customHeight="1">
      <c r="A1272" s="1517"/>
      <c r="B1272" s="1502" t="s">
        <v>14940</v>
      </c>
      <c r="C1272" s="638" t="s">
        <v>6218</v>
      </c>
      <c r="D1272" s="639">
        <v>70895</v>
      </c>
      <c r="E1272" s="639">
        <v>25085</v>
      </c>
      <c r="F1272" s="640">
        <f t="shared" si="38"/>
        <v>95980</v>
      </c>
      <c r="G1272" s="639">
        <v>73091</v>
      </c>
      <c r="H1272" s="639">
        <v>6824</v>
      </c>
      <c r="I1272" s="639"/>
      <c r="J1272" s="639"/>
      <c r="K1272" s="640">
        <f t="shared" si="39"/>
        <v>79915</v>
      </c>
      <c r="L1272" s="639">
        <v>14623</v>
      </c>
      <c r="M1272" s="639"/>
      <c r="N1272" s="639">
        <v>97380</v>
      </c>
      <c r="O1272" s="1503">
        <f>1-N1273</f>
        <v>0.66175520496842632</v>
      </c>
    </row>
    <row r="1273" spans="1:15" ht="12" customHeight="1" thickBot="1">
      <c r="A1273" s="1519"/>
      <c r="B1273" s="1514"/>
      <c r="C1273" s="641" t="s">
        <v>6219</v>
      </c>
      <c r="D1273" s="642">
        <f>D1272/(D1272+E1272+G1272+H1272+I1272+J1272+L1272+M1272+N1272)</f>
        <v>0.24625040813065738</v>
      </c>
      <c r="E1273" s="642">
        <f>E1272/(D1272+E1272+G1272+H1272+I1272+J1272+L1272+M1272+N1272)</f>
        <v>8.713155353632189E-2</v>
      </c>
      <c r="F1273" s="643">
        <f t="shared" si="38"/>
        <v>0.33338196166697925</v>
      </c>
      <c r="G1273" s="642">
        <f>G1272/(D1272+E1272+G1272+H1272+I1272+J1272+L1272+M1272+N1272)</f>
        <v>0.25387810960826401</v>
      </c>
      <c r="H1273" s="642">
        <f>H1272/(D1272+E1272+G1272+H1272+I1272+J1272+L1272+M1272+N1272)</f>
        <v>2.3702839199994441E-2</v>
      </c>
      <c r="I1273" s="642">
        <f>I1272/(D1272+E1272+G1272+H1272+I1272+J1272+L1272+M1272+N1272)</f>
        <v>0</v>
      </c>
      <c r="J1273" s="642">
        <f>J1272/(D1272+E1272+G1272+H1272+I1272+J1272+L1272+M1272+N1272)</f>
        <v>0</v>
      </c>
      <c r="K1273" s="643">
        <f t="shared" si="39"/>
        <v>0.27758094880825845</v>
      </c>
      <c r="L1273" s="642">
        <f>L1272/(D1272+E1272+G1272+H1272+I1272+J1272+L1272+M1272+N1272)</f>
        <v>5.0792294493188561E-2</v>
      </c>
      <c r="M1273" s="642">
        <f>M1272/(D1272+E1272+G1272+H1272+I1272+J1272+L1272+M1272+N1272)</f>
        <v>0</v>
      </c>
      <c r="N1273" s="642">
        <f>N1272/(D1272+E1272+G1272+H1272+I1272+J1272+L1272+M1272+N1272)</f>
        <v>0.33824479503157368</v>
      </c>
      <c r="O1273" s="1515"/>
    </row>
    <row r="1274" spans="1:15" ht="12" customHeight="1">
      <c r="A1274" s="1516" t="s">
        <v>15097</v>
      </c>
      <c r="B1274" s="1509" t="s">
        <v>14937</v>
      </c>
      <c r="C1274" s="647" t="s">
        <v>6218</v>
      </c>
      <c r="D1274" s="648">
        <v>52822</v>
      </c>
      <c r="E1274" s="648">
        <v>26120</v>
      </c>
      <c r="F1274" s="649">
        <f t="shared" si="38"/>
        <v>78942</v>
      </c>
      <c r="G1274" s="648">
        <v>83078</v>
      </c>
      <c r="H1274" s="648">
        <v>8365</v>
      </c>
      <c r="I1274" s="648">
        <v>3121</v>
      </c>
      <c r="J1274" s="648">
        <v>8446</v>
      </c>
      <c r="K1274" s="649">
        <f t="shared" si="39"/>
        <v>103010</v>
      </c>
      <c r="L1274" s="648">
        <v>18375</v>
      </c>
      <c r="M1274" s="648">
        <v>6903</v>
      </c>
      <c r="N1274" s="648">
        <v>176769</v>
      </c>
      <c r="O1274" s="1510">
        <f>1-N1275</f>
        <v>0.5396628637053742</v>
      </c>
    </row>
    <row r="1275" spans="1:15" ht="12" customHeight="1">
      <c r="A1275" s="1517"/>
      <c r="B1275" s="1502"/>
      <c r="C1275" s="635" t="s">
        <v>6219</v>
      </c>
      <c r="D1275" s="636">
        <f>D1274/(D1274+E1274+G1274+H1274+I1274+J1274+L1274+M1274+N1274)</f>
        <v>0.13755764988971325</v>
      </c>
      <c r="E1275" s="636">
        <f>E1274/(D1274+E1274+G1274+H1274+I1274+J1274+L1274+M1274+N1274)</f>
        <v>6.8021010471381441E-2</v>
      </c>
      <c r="F1275" s="637">
        <f t="shared" si="38"/>
        <v>0.20557866036109468</v>
      </c>
      <c r="G1275" s="636">
        <f>G1274/(D1274+E1274+G1274+H1274+I1274+J1274+L1274+M1274+N1274)</f>
        <v>0.21634952174354621</v>
      </c>
      <c r="H1275" s="636">
        <f>H1274/(D1274+E1274+G1274+H1274+I1274+J1274+L1274+M1274+N1274)</f>
        <v>2.1783910895601291E-2</v>
      </c>
      <c r="I1275" s="636">
        <f>I1274/(D1274+E1274+G1274+H1274+I1274+J1274+L1274+M1274+N1274)</f>
        <v>8.1276253323576356E-3</v>
      </c>
      <c r="J1275" s="636">
        <f>J1274/(D1274+E1274+G1274+H1274+I1274+J1274+L1274+M1274+N1274)</f>
        <v>2.1994848944919126E-2</v>
      </c>
      <c r="K1275" s="637">
        <f t="shared" si="39"/>
        <v>0.26825590691642426</v>
      </c>
      <c r="L1275" s="636">
        <f>L1274/(D1274+E1274+G1274+H1274+I1274+J1274+L1274+M1274+N1274)</f>
        <v>4.7851687113768526E-2</v>
      </c>
      <c r="M1275" s="636">
        <f>M1274/(D1274+E1274+G1274+H1274+I1274+J1274+L1274+M1274+N1274)</f>
        <v>1.7976609314086754E-2</v>
      </c>
      <c r="N1275" s="636">
        <f>N1274/(D1274+E1274+G1274+H1274+I1274+J1274+L1274+M1274+N1274)</f>
        <v>0.46033713629462575</v>
      </c>
      <c r="O1275" s="1503"/>
    </row>
    <row r="1276" spans="1:15" ht="12" customHeight="1">
      <c r="A1276" s="1517"/>
      <c r="B1276" s="1502" t="s">
        <v>14938</v>
      </c>
      <c r="C1276" s="638" t="s">
        <v>6218</v>
      </c>
      <c r="D1276" s="639">
        <v>97323</v>
      </c>
      <c r="E1276" s="639">
        <v>35536</v>
      </c>
      <c r="F1276" s="640">
        <f t="shared" si="38"/>
        <v>132859</v>
      </c>
      <c r="G1276" s="639">
        <v>76468</v>
      </c>
      <c r="H1276" s="639">
        <v>10767</v>
      </c>
      <c r="I1276" s="639"/>
      <c r="J1276" s="639">
        <v>10568</v>
      </c>
      <c r="K1276" s="640">
        <f t="shared" si="39"/>
        <v>97803</v>
      </c>
      <c r="L1276" s="639">
        <v>19388</v>
      </c>
      <c r="M1276" s="639"/>
      <c r="N1276" s="639">
        <v>132506</v>
      </c>
      <c r="O1276" s="1503">
        <f>1-N1277</f>
        <v>0.65362979537636323</v>
      </c>
    </row>
    <row r="1277" spans="1:15" ht="12" customHeight="1">
      <c r="A1277" s="1517"/>
      <c r="B1277" s="1502"/>
      <c r="C1277" s="635" t="s">
        <v>6219</v>
      </c>
      <c r="D1277" s="636">
        <f>D1276/(D1276+E1276+G1276+H1276+I1276+J1276+L1276+M1276+N1276)</f>
        <v>0.25440196990767366</v>
      </c>
      <c r="E1277" s="636">
        <f>E1276/(D1276+E1276+G1276+H1276+I1276+J1276+L1276+M1276+N1276)</f>
        <v>9.2890975438889994E-2</v>
      </c>
      <c r="F1277" s="637">
        <f t="shared" si="38"/>
        <v>0.34729294534656363</v>
      </c>
      <c r="G1277" s="636">
        <f>G1276/(D1276+E1276+G1276+H1276+I1276+J1276+L1276+M1276+N1276)</f>
        <v>0.19988707535628772</v>
      </c>
      <c r="H1277" s="636">
        <f>H1276/(D1276+E1276+G1276+H1276+I1276+J1276+L1276+M1276+N1276)</f>
        <v>2.8144899047459718E-2</v>
      </c>
      <c r="I1277" s="636">
        <f>I1276/(D1276+E1276+G1276+H1276+I1276+J1276+L1276+M1276+N1276)</f>
        <v>0</v>
      </c>
      <c r="J1277" s="636">
        <f>J1276/(D1276+E1276+G1276+H1276+I1276+J1276+L1276+M1276+N1276)</f>
        <v>2.7624713767396145E-2</v>
      </c>
      <c r="K1277" s="637">
        <f t="shared" si="39"/>
        <v>0.25565668817114362</v>
      </c>
      <c r="L1277" s="636">
        <f>L1276/(D1276+E1276+G1276+H1276+I1276+J1276+L1276+M1276+N1276)</f>
        <v>5.0680161858655988E-2</v>
      </c>
      <c r="M1277" s="636">
        <f>M1276/(D1276+E1276+G1276+H1276+I1276+J1276+L1276+M1276+N1276)</f>
        <v>0</v>
      </c>
      <c r="N1277" s="636">
        <f>N1276/(D1276+E1276+G1276+H1276+I1276+J1276+L1276+M1276+N1276)</f>
        <v>0.34637020462363682</v>
      </c>
      <c r="O1277" s="1503"/>
    </row>
    <row r="1278" spans="1:15" ht="12" customHeight="1">
      <c r="A1278" s="1517"/>
      <c r="B1278" s="1502" t="s">
        <v>14939</v>
      </c>
      <c r="C1278" s="638" t="s">
        <v>6218</v>
      </c>
      <c r="D1278" s="639">
        <v>56807</v>
      </c>
      <c r="E1278" s="639">
        <v>30562</v>
      </c>
      <c r="F1278" s="640">
        <f t="shared" si="38"/>
        <v>87369</v>
      </c>
      <c r="G1278" s="639">
        <v>76334</v>
      </c>
      <c r="H1278" s="639">
        <v>8619</v>
      </c>
      <c r="I1278" s="639"/>
      <c r="J1278" s="639"/>
      <c r="K1278" s="640">
        <f t="shared" si="39"/>
        <v>84953</v>
      </c>
      <c r="L1278" s="639">
        <v>16784</v>
      </c>
      <c r="M1278" s="639">
        <v>8441</v>
      </c>
      <c r="N1278" s="639">
        <v>183061</v>
      </c>
      <c r="O1278" s="1503">
        <f>1-N1279</f>
        <v>0.51903007819068436</v>
      </c>
    </row>
    <row r="1279" spans="1:15" ht="12" customHeight="1">
      <c r="A1279" s="1517"/>
      <c r="B1279" s="1502"/>
      <c r="C1279" s="635" t="s">
        <v>6219</v>
      </c>
      <c r="D1279" s="636">
        <f>D1278/(D1278+E1278+G1278+H1278+I1278+J1278+L1278+M1278+N1278)</f>
        <v>0.14925329998318479</v>
      </c>
      <c r="E1279" s="636">
        <f>E1278/(D1278+E1278+G1278+H1278+I1278+J1278+L1278+M1278+N1278)</f>
        <v>8.0297839246678993E-2</v>
      </c>
      <c r="F1279" s="637">
        <f t="shared" si="38"/>
        <v>0.22955113922986378</v>
      </c>
      <c r="G1279" s="636">
        <f>G1278/(D1278+E1278+G1278+H1278+I1278+J1278+L1278+M1278+N1278)</f>
        <v>0.20055805448125105</v>
      </c>
      <c r="H1279" s="636">
        <f>H1278/(D1278+E1278+G1278+H1278+I1278+J1278+L1278+M1278+N1278)</f>
        <v>2.26453463931394E-2</v>
      </c>
      <c r="I1279" s="636">
        <f>I1278/(D1278+E1278+G1278+H1278+I1278+J1278+L1278+M1278+N1278)</f>
        <v>0</v>
      </c>
      <c r="J1279" s="636">
        <f>J1278/(D1278+E1278+G1278+H1278+I1278+J1278+L1278+M1278+N1278)</f>
        <v>0</v>
      </c>
      <c r="K1279" s="637">
        <f t="shared" si="39"/>
        <v>0.22320340087439045</v>
      </c>
      <c r="L1279" s="636">
        <f>L1278/(D1278+E1278+G1278+H1278+I1278+J1278+L1278+M1278+N1278)</f>
        <v>4.4097864469480413E-2</v>
      </c>
      <c r="M1279" s="636">
        <f>M1278/(D1278+E1278+G1278+H1278+I1278+J1278+L1278+M1278+N1278)</f>
        <v>2.2177673616949722E-2</v>
      </c>
      <c r="N1279" s="636">
        <f>N1278/(D1278+E1278+G1278+H1278+I1278+J1278+L1278+M1278+N1278)</f>
        <v>0.48096992180931564</v>
      </c>
      <c r="O1279" s="1503"/>
    </row>
    <row r="1280" spans="1:15" ht="12" customHeight="1">
      <c r="A1280" s="1517"/>
      <c r="B1280" s="1502" t="s">
        <v>14940</v>
      </c>
      <c r="C1280" s="638" t="s">
        <v>6218</v>
      </c>
      <c r="D1280" s="639">
        <v>72195</v>
      </c>
      <c r="E1280" s="639">
        <v>38172</v>
      </c>
      <c r="F1280" s="640">
        <f t="shared" si="38"/>
        <v>110367</v>
      </c>
      <c r="G1280" s="639">
        <v>83827</v>
      </c>
      <c r="H1280" s="639">
        <v>9465</v>
      </c>
      <c r="I1280" s="639"/>
      <c r="J1280" s="639"/>
      <c r="K1280" s="640">
        <f t="shared" si="39"/>
        <v>93292</v>
      </c>
      <c r="L1280" s="639">
        <v>18285</v>
      </c>
      <c r="M1280" s="639"/>
      <c r="N1280" s="639">
        <v>158326</v>
      </c>
      <c r="O1280" s="1503">
        <f>1-N1281</f>
        <v>0.58364846030452044</v>
      </c>
    </row>
    <row r="1281" spans="1:15" ht="12" customHeight="1" thickBot="1">
      <c r="A1281" s="1519"/>
      <c r="B1281" s="1514"/>
      <c r="C1281" s="641" t="s">
        <v>6219</v>
      </c>
      <c r="D1281" s="642">
        <f>D1280/(D1280+E1280+G1280+H1280+I1280+J1280+L1280+M1280+N1280)</f>
        <v>0.1898519473006022</v>
      </c>
      <c r="E1281" s="642">
        <f>E1280/(D1280+E1280+G1280+H1280+I1280+J1280+L1280+M1280+N1280)</f>
        <v>0.10038130801798723</v>
      </c>
      <c r="F1281" s="643">
        <f t="shared" si="38"/>
        <v>0.29023325531858946</v>
      </c>
      <c r="G1281" s="642">
        <f>G1280/(D1280+E1280+G1280+H1280+I1280+J1280+L1280+M1280+N1280)</f>
        <v>0.22044073947458384</v>
      </c>
      <c r="H1281" s="642">
        <f>H1280/(D1280+E1280+G1280+H1280+I1280+J1280+L1280+M1280+N1280)</f>
        <v>2.4890209587924369E-2</v>
      </c>
      <c r="I1281" s="642">
        <f>I1280/(D1280+E1280+G1280+H1280+I1280+J1280+L1280+M1280+N1280)</f>
        <v>0</v>
      </c>
      <c r="J1281" s="642">
        <f>J1280/(D1280+E1280+G1280+H1280+I1280+J1280+L1280+M1280+N1280)</f>
        <v>0</v>
      </c>
      <c r="K1281" s="643">
        <f t="shared" si="39"/>
        <v>0.24533094906250821</v>
      </c>
      <c r="L1281" s="642">
        <f>L1280/(D1280+E1280+G1280+H1280+I1280+J1280+L1280+M1280+N1280)</f>
        <v>4.8084255923422831E-2</v>
      </c>
      <c r="M1281" s="642">
        <f>M1280/(D1280+E1280+G1280+H1280+I1280+J1280+L1280+M1280+N1280)</f>
        <v>0</v>
      </c>
      <c r="N1281" s="642">
        <f>N1280/(D1280+E1280+G1280+H1280+I1280+J1280+L1280+M1280+N1280)</f>
        <v>0.4163515396954795</v>
      </c>
      <c r="O1281" s="1515"/>
    </row>
    <row r="1282" spans="1:15" ht="12" customHeight="1">
      <c r="A1282" s="1516" t="s">
        <v>15098</v>
      </c>
      <c r="B1282" s="1509" t="s">
        <v>14937</v>
      </c>
      <c r="C1282" s="647" t="s">
        <v>6218</v>
      </c>
      <c r="D1282" s="648">
        <v>75995</v>
      </c>
      <c r="E1282" s="648">
        <v>27472</v>
      </c>
      <c r="F1282" s="649">
        <f t="shared" ref="F1282:F1345" si="40">SUM(D1282:E1282)</f>
        <v>103467</v>
      </c>
      <c r="G1282" s="648">
        <v>90701</v>
      </c>
      <c r="H1282" s="648">
        <v>8137</v>
      </c>
      <c r="I1282" s="648">
        <v>3691</v>
      </c>
      <c r="J1282" s="648">
        <v>7350</v>
      </c>
      <c r="K1282" s="649">
        <f t="shared" ref="K1282:K1345" si="41">SUM(G1282:J1282)</f>
        <v>109879</v>
      </c>
      <c r="L1282" s="648">
        <v>14714</v>
      </c>
      <c r="M1282" s="648">
        <v>8092</v>
      </c>
      <c r="N1282" s="648">
        <v>159850</v>
      </c>
      <c r="O1282" s="1510">
        <f>1-N1283</f>
        <v>0.59634042252311859</v>
      </c>
    </row>
    <row r="1283" spans="1:15" ht="12" customHeight="1">
      <c r="A1283" s="1517"/>
      <c r="B1283" s="1502"/>
      <c r="C1283" s="635" t="s">
        <v>6219</v>
      </c>
      <c r="D1283" s="636">
        <f>D1282/(D1282+E1282+G1282+H1282+I1282+J1282+L1282+M1282+N1282)</f>
        <v>0.19190559643638164</v>
      </c>
      <c r="E1283" s="636">
        <f>E1282/(D1282+E1282+G1282+H1282+I1282+J1282+L1282+M1282+N1282)</f>
        <v>6.9373387003095949E-2</v>
      </c>
      <c r="F1283" s="637">
        <f t="shared" si="40"/>
        <v>0.26127898343947759</v>
      </c>
      <c r="G1283" s="636">
        <f>G1282/(D1282+E1282+G1282+H1282+I1282+J1282+L1282+M1282+N1282)</f>
        <v>0.22904177251630042</v>
      </c>
      <c r="H1283" s="636">
        <f>H1282/(D1282+E1282+G1282+H1282+I1282+J1282+L1282+M1282+N1282)</f>
        <v>2.0547876020828179E-2</v>
      </c>
      <c r="I1283" s="636">
        <f>I1282/(D1282+E1282+G1282+H1282+I1282+J1282+L1282+M1282+N1282)</f>
        <v>9.3206599966666834E-3</v>
      </c>
      <c r="J1283" s="636">
        <f>J1282/(D1282+E1282+G1282+H1282+I1282+J1282+L1282+M1282+N1282)</f>
        <v>1.8560512320644845E-2</v>
      </c>
      <c r="K1283" s="637">
        <f t="shared" si="41"/>
        <v>0.27747082085444019</v>
      </c>
      <c r="L1283" s="636">
        <f>L1282/(D1282+E1282+G1282+H1282+I1282+J1282+L1282+M1282+N1282)</f>
        <v>3.715637799809092E-2</v>
      </c>
      <c r="M1283" s="636">
        <f>M1282/(D1282+E1282+G1282+H1282+I1282+J1282+L1282+M1282+N1282)</f>
        <v>2.0434240231109943E-2</v>
      </c>
      <c r="N1283" s="636">
        <f>N1282/(D1282+E1282+G1282+H1282+I1282+J1282+L1282+M1282+N1282)</f>
        <v>0.40365957747688141</v>
      </c>
      <c r="O1283" s="1503"/>
    </row>
    <row r="1284" spans="1:15" ht="12" customHeight="1">
      <c r="A1284" s="1517"/>
      <c r="B1284" s="1502" t="s">
        <v>14938</v>
      </c>
      <c r="C1284" s="638" t="s">
        <v>6218</v>
      </c>
      <c r="D1284" s="639">
        <v>115059</v>
      </c>
      <c r="E1284" s="639">
        <v>34096</v>
      </c>
      <c r="F1284" s="640">
        <f t="shared" si="40"/>
        <v>149155</v>
      </c>
      <c r="G1284" s="639">
        <v>88178</v>
      </c>
      <c r="H1284" s="639">
        <v>10295</v>
      </c>
      <c r="I1284" s="639"/>
      <c r="J1284" s="639">
        <v>9664</v>
      </c>
      <c r="K1284" s="640">
        <f t="shared" si="41"/>
        <v>108137</v>
      </c>
      <c r="L1284" s="639">
        <v>14545</v>
      </c>
      <c r="M1284" s="639"/>
      <c r="N1284" s="639">
        <v>122767</v>
      </c>
      <c r="O1284" s="1503">
        <f>1-N1285</f>
        <v>0.68888556628924191</v>
      </c>
    </row>
    <row r="1285" spans="1:15" ht="12" customHeight="1">
      <c r="A1285" s="1517"/>
      <c r="B1285" s="1502"/>
      <c r="C1285" s="635" t="s">
        <v>6219</v>
      </c>
      <c r="D1285" s="636">
        <f>D1284/(D1284+E1284+G1284+H1284+I1284+J1284+L1284+M1284+N1284)</f>
        <v>0.29158092670119917</v>
      </c>
      <c r="E1285" s="636">
        <f>E1284/(D1284+E1284+G1284+H1284+I1284+J1284+L1284+M1284+N1284)</f>
        <v>8.6405611701858065E-2</v>
      </c>
      <c r="F1285" s="637">
        <f t="shared" si="40"/>
        <v>0.37798653840305724</v>
      </c>
      <c r="G1285" s="636">
        <f>G1284/(D1284+E1284+G1284+H1284+I1284+J1284+L1284+M1284+N1284)</f>
        <v>0.22345946822637378</v>
      </c>
      <c r="H1285" s="636">
        <f>H1284/(D1284+E1284+G1284+H1284+I1284+J1284+L1284+M1284+N1284)</f>
        <v>2.6089446635107601E-2</v>
      </c>
      <c r="I1285" s="636">
        <f>I1284/(D1284+E1284+G1284+H1284+I1284+J1284+L1284+M1284+N1284)</f>
        <v>0</v>
      </c>
      <c r="J1285" s="636">
        <f>J1284/(D1284+E1284+G1284+H1284+I1284+J1284+L1284+M1284+N1284)</f>
        <v>2.4490375160920824E-2</v>
      </c>
      <c r="K1285" s="637">
        <f t="shared" si="41"/>
        <v>0.27403929002240218</v>
      </c>
      <c r="L1285" s="636">
        <f>L1284/(D1284+E1284+G1284+H1284+I1284+J1284+L1284+M1284+N1284)</f>
        <v>3.6859737863782424E-2</v>
      </c>
      <c r="M1285" s="636">
        <f>M1284/(D1284+E1284+G1284+H1284+I1284+J1284+L1284+M1284+N1284)</f>
        <v>0</v>
      </c>
      <c r="N1285" s="636">
        <f>N1284/(D1284+E1284+G1284+H1284+I1284+J1284+L1284+M1284+N1284)</f>
        <v>0.31111443371075814</v>
      </c>
      <c r="O1285" s="1503"/>
    </row>
    <row r="1286" spans="1:15" ht="12" customHeight="1">
      <c r="A1286" s="1517"/>
      <c r="B1286" s="1502" t="s">
        <v>14939</v>
      </c>
      <c r="C1286" s="638" t="s">
        <v>6218</v>
      </c>
      <c r="D1286" s="639">
        <v>78467</v>
      </c>
      <c r="E1286" s="639">
        <v>31260</v>
      </c>
      <c r="F1286" s="640">
        <f t="shared" si="40"/>
        <v>109727</v>
      </c>
      <c r="G1286" s="639">
        <v>84421</v>
      </c>
      <c r="H1286" s="639">
        <v>9055</v>
      </c>
      <c r="I1286" s="639"/>
      <c r="J1286" s="639"/>
      <c r="K1286" s="640">
        <f t="shared" si="41"/>
        <v>93476</v>
      </c>
      <c r="L1286" s="639">
        <v>13533</v>
      </c>
      <c r="M1286" s="639">
        <v>10185</v>
      </c>
      <c r="N1286" s="639">
        <v>165598</v>
      </c>
      <c r="O1286" s="1503">
        <f>1-N1287</f>
        <v>0.5781146899895292</v>
      </c>
    </row>
    <row r="1287" spans="1:15" ht="12" customHeight="1">
      <c r="A1287" s="1517"/>
      <c r="B1287" s="1502"/>
      <c r="C1287" s="635" t="s">
        <v>6219</v>
      </c>
      <c r="D1287" s="636">
        <f>D1286/(D1286+E1286+G1286+H1286+I1286+J1286+L1286+M1286+N1286)</f>
        <v>0.19990624657659883</v>
      </c>
      <c r="E1287" s="636">
        <f>E1286/(D1286+E1286+G1286+H1286+I1286+J1286+L1286+M1286+N1286)</f>
        <v>7.9639456943485537E-2</v>
      </c>
      <c r="F1287" s="637">
        <f t="shared" si="40"/>
        <v>0.27954570352008434</v>
      </c>
      <c r="G1287" s="636">
        <f>G1286/(D1286+E1286+G1286+H1286+I1286+J1286+L1286+M1286+N1286)</f>
        <v>0.21507493904753655</v>
      </c>
      <c r="H1287" s="636">
        <f>H1286/(D1286+E1286+G1286+H1286+I1286+J1286+L1286+M1286+N1286)</f>
        <v>2.3068946980910478E-2</v>
      </c>
      <c r="I1287" s="636">
        <f>I1286/(D1286+E1286+G1286+H1286+I1286+J1286+L1286+M1286+N1286)</f>
        <v>0</v>
      </c>
      <c r="J1287" s="636">
        <f>J1286/(D1286+E1286+G1286+H1286+I1286+J1286+L1286+M1286+N1286)</f>
        <v>0</v>
      </c>
      <c r="K1287" s="637">
        <f t="shared" si="41"/>
        <v>0.23814388602844702</v>
      </c>
      <c r="L1287" s="636">
        <f>L1286/(D1286+E1286+G1286+H1286+I1286+J1286+L1286+M1286+N1286)</f>
        <v>3.4477311926301657E-2</v>
      </c>
      <c r="M1287" s="636">
        <f>M1286/(D1286+E1286+G1286+H1286+I1286+J1286+L1286+M1286+N1286)</f>
        <v>2.5947788514696105E-2</v>
      </c>
      <c r="N1287" s="636">
        <f>N1286/(D1286+E1286+G1286+H1286+I1286+J1286+L1286+M1286+N1286)</f>
        <v>0.4218853100104708</v>
      </c>
      <c r="O1287" s="1503"/>
    </row>
    <row r="1288" spans="1:15" ht="12" customHeight="1">
      <c r="A1288" s="1517"/>
      <c r="B1288" s="1502" t="s">
        <v>14940</v>
      </c>
      <c r="C1288" s="638" t="s">
        <v>6218</v>
      </c>
      <c r="D1288" s="639">
        <v>98889</v>
      </c>
      <c r="E1288" s="639">
        <v>34209</v>
      </c>
      <c r="F1288" s="640">
        <f t="shared" si="40"/>
        <v>133098</v>
      </c>
      <c r="G1288" s="639">
        <v>89943</v>
      </c>
      <c r="H1288" s="639">
        <v>8902</v>
      </c>
      <c r="I1288" s="639"/>
      <c r="J1288" s="639"/>
      <c r="K1288" s="640">
        <f t="shared" si="41"/>
        <v>98845</v>
      </c>
      <c r="L1288" s="639">
        <v>15683</v>
      </c>
      <c r="M1288" s="639"/>
      <c r="N1288" s="639">
        <v>144271</v>
      </c>
      <c r="O1288" s="1503">
        <f>1-N1289</f>
        <v>0.63186500534579237</v>
      </c>
    </row>
    <row r="1289" spans="1:15" ht="12" customHeight="1" thickBot="1">
      <c r="A1289" s="1519"/>
      <c r="B1289" s="1514"/>
      <c r="C1289" s="641" t="s">
        <v>6219</v>
      </c>
      <c r="D1289" s="642">
        <f>D1288/(D1288+E1288+G1288+H1288+I1288+J1288+L1288+M1288+N1288)</f>
        <v>0.25233415923061414</v>
      </c>
      <c r="E1289" s="642">
        <f>E1288/(D1288+E1288+G1288+H1288+I1288+J1288+L1288+M1288+N1288)</f>
        <v>8.7290793244143225E-2</v>
      </c>
      <c r="F1289" s="643">
        <f t="shared" si="40"/>
        <v>0.33962495247475738</v>
      </c>
      <c r="G1289" s="642">
        <f>G1288/(D1288+E1288+G1288+H1288+I1288+J1288+L1288+M1288+N1288)</f>
        <v>0.22950673263638149</v>
      </c>
      <c r="H1289" s="642">
        <f>H1288/(D1288+E1288+G1288+H1288+I1288+J1288+L1288+M1288+N1288)</f>
        <v>2.2715152195602415E-2</v>
      </c>
      <c r="I1289" s="642">
        <f>I1288/(D1288+E1288+G1288+H1288+I1288+J1288+L1288+M1288+N1288)</f>
        <v>0</v>
      </c>
      <c r="J1289" s="642">
        <f>J1288/(D1288+E1288+G1288+H1288+I1288+J1288+L1288+M1288+N1288)</f>
        <v>0</v>
      </c>
      <c r="K1289" s="643">
        <f t="shared" si="41"/>
        <v>0.25222188483198393</v>
      </c>
      <c r="L1289" s="642">
        <f>L1288/(D1288+E1288+G1288+H1288+I1288+J1288+L1288+M1288+N1288)</f>
        <v>4.0018168039051075E-2</v>
      </c>
      <c r="M1289" s="642">
        <f>M1288/(D1288+E1288+G1288+H1288+I1288+J1288+L1288+M1288+N1288)</f>
        <v>0</v>
      </c>
      <c r="N1289" s="642">
        <f>N1288/(D1288+E1288+G1288+H1288+I1288+J1288+L1288+M1288+N1288)</f>
        <v>0.36813499465420763</v>
      </c>
      <c r="O1289" s="1515"/>
    </row>
    <row r="1290" spans="1:15" ht="12" customHeight="1">
      <c r="A1290" s="1516" t="s">
        <v>15099</v>
      </c>
      <c r="B1290" s="1509" t="s">
        <v>14937</v>
      </c>
      <c r="C1290" s="647" t="s">
        <v>6218</v>
      </c>
      <c r="D1290" s="648">
        <v>71370</v>
      </c>
      <c r="E1290" s="648">
        <v>21555</v>
      </c>
      <c r="F1290" s="649">
        <f t="shared" si="40"/>
        <v>92925</v>
      </c>
      <c r="G1290" s="648">
        <v>94467</v>
      </c>
      <c r="H1290" s="648">
        <v>7597</v>
      </c>
      <c r="I1290" s="648">
        <v>3330</v>
      </c>
      <c r="J1290" s="648">
        <v>6655</v>
      </c>
      <c r="K1290" s="649">
        <f t="shared" si="41"/>
        <v>112049</v>
      </c>
      <c r="L1290" s="648">
        <v>13945</v>
      </c>
      <c r="M1290" s="648">
        <v>7399</v>
      </c>
      <c r="N1290" s="648">
        <v>143814</v>
      </c>
      <c r="O1290" s="1510">
        <f>1-N1291</f>
        <v>0.61145213059124859</v>
      </c>
    </row>
    <row r="1291" spans="1:15" ht="12" customHeight="1">
      <c r="A1291" s="1517"/>
      <c r="B1291" s="1502"/>
      <c r="C1291" s="635" t="s">
        <v>6219</v>
      </c>
      <c r="D1291" s="636">
        <f>D1290/(D1290+E1290+G1290+H1290+I1290+J1290+L1290+M1290+N1290)</f>
        <v>0.19282310094776997</v>
      </c>
      <c r="E1291" s="636">
        <f>E1290/(D1290+E1290+G1290+H1290+I1290+J1290+L1290+M1290+N1290)</f>
        <v>5.8235980677163825E-2</v>
      </c>
      <c r="F1291" s="637">
        <f t="shared" si="40"/>
        <v>0.25105908162493379</v>
      </c>
      <c r="G1291" s="636">
        <f>G1290/(D1290+E1290+G1290+H1290+I1290+J1290+L1290+M1290+N1290)</f>
        <v>0.25522516291485198</v>
      </c>
      <c r="H1291" s="636">
        <f>H1290/(D1290+E1290+G1290+H1290+I1290+J1290+L1290+M1290+N1290)</f>
        <v>2.0525109960770751E-2</v>
      </c>
      <c r="I1291" s="636">
        <f>I1290/(D1290+E1290+G1290+H1290+I1290+J1290+L1290+M1290+N1290)</f>
        <v>8.9967903342591284E-3</v>
      </c>
      <c r="J1291" s="636">
        <f>J1290/(D1290+E1290+G1290+H1290+I1290+J1290+L1290+M1290+N1290)</f>
        <v>1.7980071974322675E-2</v>
      </c>
      <c r="K1291" s="637">
        <f t="shared" si="41"/>
        <v>0.30272713518420452</v>
      </c>
      <c r="L1291" s="636">
        <f>L1290/(D1290+E1290+G1290+H1290+I1290+J1290+L1290+M1290+N1290)</f>
        <v>3.7675748111484553E-2</v>
      </c>
      <c r="M1291" s="636">
        <f>M1290/(D1290+E1290+G1290+H1290+I1290+J1290+L1290+M1290+N1290)</f>
        <v>1.9990165670625615E-2</v>
      </c>
      <c r="N1291" s="636">
        <f>N1290/(D1290+E1290+G1290+H1290+I1290+J1290+L1290+M1290+N1290)</f>
        <v>0.38854786940875147</v>
      </c>
      <c r="O1291" s="1503"/>
    </row>
    <row r="1292" spans="1:15" ht="12" customHeight="1">
      <c r="A1292" s="1517"/>
      <c r="B1292" s="1502" t="s">
        <v>14938</v>
      </c>
      <c r="C1292" s="638" t="s">
        <v>6218</v>
      </c>
      <c r="D1292" s="639">
        <v>108082</v>
      </c>
      <c r="E1292" s="639">
        <v>24474</v>
      </c>
      <c r="F1292" s="640">
        <f t="shared" si="40"/>
        <v>132556</v>
      </c>
      <c r="G1292" s="639">
        <v>83313</v>
      </c>
      <c r="H1292" s="639">
        <v>9653</v>
      </c>
      <c r="I1292" s="639"/>
      <c r="J1292" s="639">
        <v>9102</v>
      </c>
      <c r="K1292" s="640">
        <f t="shared" si="41"/>
        <v>102068</v>
      </c>
      <c r="L1292" s="639">
        <v>15142</v>
      </c>
      <c r="M1292" s="639"/>
      <c r="N1292" s="639">
        <v>116222</v>
      </c>
      <c r="O1292" s="1503">
        <f>1-N1293</f>
        <v>0.68244314021224739</v>
      </c>
    </row>
    <row r="1293" spans="1:15" ht="12" customHeight="1">
      <c r="A1293" s="1517"/>
      <c r="B1293" s="1502"/>
      <c r="C1293" s="635" t="s">
        <v>6219</v>
      </c>
      <c r="D1293" s="636">
        <f>D1292/(D1292+E1292+G1292+H1292+I1292+J1292+L1292+M1292+N1292)</f>
        <v>0.2953156934107129</v>
      </c>
      <c r="E1293" s="636">
        <f>E1292/(D1292+E1292+G1292+H1292+I1292+J1292+L1292+M1292+N1292)</f>
        <v>6.6871044952293512E-2</v>
      </c>
      <c r="F1293" s="637">
        <f t="shared" si="40"/>
        <v>0.36218673836300641</v>
      </c>
      <c r="G1293" s="636">
        <f>G1292/(D1292+E1292+G1292+H1292+I1292+J1292+L1292+M1292+N1292)</f>
        <v>0.22763861110200334</v>
      </c>
      <c r="H1293" s="636">
        <f>H1292/(D1292+E1292+G1292+H1292+I1292+J1292+L1292+M1292+N1292)</f>
        <v>2.6375181699946446E-2</v>
      </c>
      <c r="I1293" s="636">
        <f>I1292/(D1292+E1292+G1292+H1292+I1292+J1292+L1292+M1292+N1292)</f>
        <v>0</v>
      </c>
      <c r="J1293" s="636">
        <f>J1292/(D1292+E1292+G1292+H1292+I1292+J1292+L1292+M1292+N1292)</f>
        <v>2.4869667857962557E-2</v>
      </c>
      <c r="K1293" s="637">
        <f t="shared" si="41"/>
        <v>0.27888346065991237</v>
      </c>
      <c r="L1293" s="636">
        <f>L1292/(D1292+E1292+G1292+H1292+I1292+J1292+L1292+M1292+N1292)</f>
        <v>4.1372941189328612E-2</v>
      </c>
      <c r="M1293" s="636">
        <f>M1292/(D1292+E1292+G1292+H1292+I1292+J1292+L1292+M1292+N1292)</f>
        <v>0</v>
      </c>
      <c r="N1293" s="636">
        <f>N1292/(D1292+E1292+G1292+H1292+I1292+J1292+L1292+M1292+N1292)</f>
        <v>0.31755685978775261</v>
      </c>
      <c r="O1293" s="1503"/>
    </row>
    <row r="1294" spans="1:15" ht="12" customHeight="1">
      <c r="A1294" s="1517"/>
      <c r="B1294" s="1502" t="s">
        <v>14939</v>
      </c>
      <c r="C1294" s="638" t="s">
        <v>6218</v>
      </c>
      <c r="D1294" s="639">
        <v>77922</v>
      </c>
      <c r="E1294" s="639">
        <v>23682</v>
      </c>
      <c r="F1294" s="640">
        <f t="shared" si="40"/>
        <v>101604</v>
      </c>
      <c r="G1294" s="639">
        <v>85237</v>
      </c>
      <c r="H1294" s="639">
        <v>8512</v>
      </c>
      <c r="I1294" s="639"/>
      <c r="J1294" s="639"/>
      <c r="K1294" s="640">
        <f t="shared" si="41"/>
        <v>93749</v>
      </c>
      <c r="L1294" s="639">
        <v>12842</v>
      </c>
      <c r="M1294" s="639">
        <v>9495</v>
      </c>
      <c r="N1294" s="639">
        <v>144870</v>
      </c>
      <c r="O1294" s="1503">
        <f>1-N1295</f>
        <v>0.60042475728155342</v>
      </c>
    </row>
    <row r="1295" spans="1:15" ht="12" customHeight="1">
      <c r="A1295" s="1517"/>
      <c r="B1295" s="1502"/>
      <c r="C1295" s="635" t="s">
        <v>6219</v>
      </c>
      <c r="D1295" s="636">
        <f>D1294/(D1294+E1294+G1294+H1294+I1294+J1294+L1294+M1294+N1294)</f>
        <v>0.21492166813768757</v>
      </c>
      <c r="E1295" s="636">
        <f>E1294/(D1294+E1294+G1294+H1294+I1294+J1294+L1294+M1294+N1294)</f>
        <v>6.5318843777581639E-2</v>
      </c>
      <c r="F1295" s="637">
        <f t="shared" si="40"/>
        <v>0.28024051191526922</v>
      </c>
      <c r="G1295" s="636">
        <f>G1294/(D1294+E1294+G1294+H1294+I1294+J1294+L1294+M1294+N1294)</f>
        <v>0.23509763901147396</v>
      </c>
      <c r="H1295" s="636">
        <f>H1294/(D1294+E1294+G1294+H1294+I1294+J1294+L1294+M1294+N1294)</f>
        <v>2.3477493380406E-2</v>
      </c>
      <c r="I1295" s="636">
        <f>I1294/(D1294+E1294+G1294+H1294+I1294+J1294+L1294+M1294+N1294)</f>
        <v>0</v>
      </c>
      <c r="J1295" s="636">
        <f>J1294/(D1294+E1294+G1294+H1294+I1294+J1294+L1294+M1294+N1294)</f>
        <v>0</v>
      </c>
      <c r="K1295" s="637">
        <f t="shared" si="41"/>
        <v>0.25857513239187996</v>
      </c>
      <c r="L1295" s="636">
        <f>L1294/(D1294+E1294+G1294+H1294+I1294+J1294+L1294+M1294+N1294)</f>
        <v>3.5420344218887907E-2</v>
      </c>
      <c r="M1295" s="636">
        <f>M1294/(D1294+E1294+G1294+H1294+I1294+J1294+L1294+M1294+N1294)</f>
        <v>2.6188768755516328E-2</v>
      </c>
      <c r="N1295" s="636">
        <f>N1294/(D1294+E1294+G1294+H1294+I1294+J1294+L1294+M1294+N1294)</f>
        <v>0.39957524271844658</v>
      </c>
      <c r="O1295" s="1503"/>
    </row>
    <row r="1296" spans="1:15" ht="12" customHeight="1">
      <c r="A1296" s="1517"/>
      <c r="B1296" s="1502" t="s">
        <v>14940</v>
      </c>
      <c r="C1296" s="638" t="s">
        <v>6218</v>
      </c>
      <c r="D1296" s="639">
        <v>96541</v>
      </c>
      <c r="E1296" s="639">
        <v>25721</v>
      </c>
      <c r="F1296" s="640">
        <f t="shared" si="40"/>
        <v>122262</v>
      </c>
      <c r="G1296" s="639">
        <v>83244</v>
      </c>
      <c r="H1296" s="639">
        <v>9052</v>
      </c>
      <c r="I1296" s="639"/>
      <c r="J1296" s="639"/>
      <c r="K1296" s="640">
        <f t="shared" si="41"/>
        <v>92296</v>
      </c>
      <c r="L1296" s="639">
        <v>14591</v>
      </c>
      <c r="M1296" s="639"/>
      <c r="N1296" s="639">
        <v>132222</v>
      </c>
      <c r="O1296" s="1503">
        <f>1-N1297</f>
        <v>0.63411009737914781</v>
      </c>
    </row>
    <row r="1297" spans="1:15" ht="12" customHeight="1" thickBot="1">
      <c r="A1297" s="1519"/>
      <c r="B1297" s="1514"/>
      <c r="C1297" s="641" t="s">
        <v>6219</v>
      </c>
      <c r="D1297" s="642">
        <f>D1296/(D1296+E1296+G1296+H1296+I1296+J1296+L1296+M1296+N1296)</f>
        <v>0.26715204042383034</v>
      </c>
      <c r="E1297" s="642">
        <f>E1296/(D1296+E1296+G1296+H1296+I1296+J1296+L1296+M1296+N1296)</f>
        <v>7.1176159680771289E-2</v>
      </c>
      <c r="F1297" s="643">
        <f t="shared" si="40"/>
        <v>0.33832820010460163</v>
      </c>
      <c r="G1297" s="642">
        <f>G1296/(D1296+E1296+G1296+H1296+I1296+J1296+L1296+M1296+N1296)</f>
        <v>0.23035606066895239</v>
      </c>
      <c r="H1297" s="642">
        <f>H1296/(D1296+E1296+G1296+H1296+I1296+J1296+L1296+M1296+N1296)</f>
        <v>2.5049049314969932E-2</v>
      </c>
      <c r="I1297" s="642">
        <f>I1296/(D1296+E1296+G1296+H1296+I1296+J1296+L1296+M1296+N1296)</f>
        <v>0</v>
      </c>
      <c r="J1297" s="642">
        <f>J1296/(D1296+E1296+G1296+H1296+I1296+J1296+L1296+M1296+N1296)</f>
        <v>0</v>
      </c>
      <c r="K1297" s="643">
        <f t="shared" si="41"/>
        <v>0.25540510998392235</v>
      </c>
      <c r="L1297" s="642">
        <f>L1296/(D1296+E1296+G1296+H1296+I1296+J1296+L1296+M1296+N1296)</f>
        <v>4.0376787290623765E-2</v>
      </c>
      <c r="M1297" s="642">
        <f>M1296/(D1296+E1296+G1296+H1296+I1296+J1296+L1296+M1296+N1296)</f>
        <v>0</v>
      </c>
      <c r="N1297" s="642">
        <f>N1296/(D1296+E1296+G1296+H1296+I1296+J1296+L1296+M1296+N1296)</f>
        <v>0.36588990262085225</v>
      </c>
      <c r="O1297" s="1515"/>
    </row>
    <row r="1298" spans="1:15" ht="12" customHeight="1">
      <c r="A1298" s="1516" t="s">
        <v>15100</v>
      </c>
      <c r="B1298" s="1509" t="s">
        <v>14937</v>
      </c>
      <c r="C1298" s="647" t="s">
        <v>6218</v>
      </c>
      <c r="D1298" s="648">
        <v>48918</v>
      </c>
      <c r="E1298" s="648">
        <v>24335</v>
      </c>
      <c r="F1298" s="649">
        <f t="shared" si="40"/>
        <v>73253</v>
      </c>
      <c r="G1298" s="648">
        <v>72171</v>
      </c>
      <c r="H1298" s="648">
        <v>6571</v>
      </c>
      <c r="I1298" s="648">
        <v>2823</v>
      </c>
      <c r="J1298" s="648">
        <v>5899</v>
      </c>
      <c r="K1298" s="649">
        <f t="shared" si="41"/>
        <v>87464</v>
      </c>
      <c r="L1298" s="648">
        <v>13814</v>
      </c>
      <c r="M1298" s="648">
        <v>5210</v>
      </c>
      <c r="N1298" s="648">
        <v>150529</v>
      </c>
      <c r="O1298" s="1510">
        <f>1-N1299</f>
        <v>0.54422442244224423</v>
      </c>
    </row>
    <row r="1299" spans="1:15" ht="12" customHeight="1">
      <c r="A1299" s="1517"/>
      <c r="B1299" s="1502"/>
      <c r="C1299" s="635" t="s">
        <v>6219</v>
      </c>
      <c r="D1299" s="636">
        <f>D1298/(D1298+E1298+G1298+H1298+I1298+J1298+L1298+M1298+N1298)</f>
        <v>0.1481151784903261</v>
      </c>
      <c r="E1299" s="636">
        <f>E1298/(D1298+E1298+G1298+H1298+I1298+J1298+L1298+M1298+N1298)</f>
        <v>7.3682138856087445E-2</v>
      </c>
      <c r="F1299" s="637">
        <f t="shared" si="40"/>
        <v>0.22179731734641356</v>
      </c>
      <c r="G1299" s="636">
        <f>G1298/(D1298+E1298+G1298+H1298+I1298+J1298+L1298+M1298+N1298)</f>
        <v>0.21852120991915705</v>
      </c>
      <c r="H1299" s="636">
        <f>H1298/(D1298+E1298+G1298+H1298+I1298+J1298+L1298+M1298+N1298)</f>
        <v>1.9895842795288703E-2</v>
      </c>
      <c r="I1299" s="636">
        <f>I1298/(D1298+E1298+G1298+H1298+I1298+J1298+L1298+M1298+N1298)</f>
        <v>8.547552002906713E-3</v>
      </c>
      <c r="J1299" s="636">
        <f>J1298/(D1298+E1298+G1298+H1298+I1298+J1298+L1298+M1298+N1298)</f>
        <v>1.7861143912556394E-2</v>
      </c>
      <c r="K1299" s="637">
        <f t="shared" si="41"/>
        <v>0.26482574862990887</v>
      </c>
      <c r="L1299" s="636">
        <f>L1298/(D1298+E1298+G1298+H1298+I1298+J1298+L1298+M1298+N1298)</f>
        <v>4.1826384473309719E-2</v>
      </c>
      <c r="M1299" s="636">
        <f>M1298/(D1298+E1298+G1298+H1298+I1298+J1298+L1298+M1298+N1298)</f>
        <v>1.5774971992612106E-2</v>
      </c>
      <c r="N1299" s="636">
        <f>N1298/(D1298+E1298+G1298+H1298+I1298+J1298+L1298+M1298+N1298)</f>
        <v>0.45577557755775577</v>
      </c>
      <c r="O1299" s="1503"/>
    </row>
    <row r="1300" spans="1:15" ht="12" customHeight="1">
      <c r="A1300" s="1517"/>
      <c r="B1300" s="1502" t="s">
        <v>14938</v>
      </c>
      <c r="C1300" s="638" t="s">
        <v>6218</v>
      </c>
      <c r="D1300" s="639">
        <v>81653</v>
      </c>
      <c r="E1300" s="639">
        <v>32244</v>
      </c>
      <c r="F1300" s="640">
        <f t="shared" si="40"/>
        <v>113897</v>
      </c>
      <c r="G1300" s="639">
        <v>68675</v>
      </c>
      <c r="H1300" s="639">
        <v>8714</v>
      </c>
      <c r="I1300" s="639"/>
      <c r="J1300" s="639">
        <v>8309</v>
      </c>
      <c r="K1300" s="640">
        <f t="shared" si="41"/>
        <v>85698</v>
      </c>
      <c r="L1300" s="639">
        <v>14509</v>
      </c>
      <c r="M1300" s="639"/>
      <c r="N1300" s="639">
        <v>116299</v>
      </c>
      <c r="O1300" s="1503">
        <f>1-N1301</f>
        <v>0.64800864398931002</v>
      </c>
    </row>
    <row r="1301" spans="1:15" ht="12" customHeight="1">
      <c r="A1301" s="1517"/>
      <c r="B1301" s="1502"/>
      <c r="C1301" s="635" t="s">
        <v>6219</v>
      </c>
      <c r="D1301" s="636">
        <f>D1300/(D1300+E1300+G1300+H1300+I1300+J1300+L1300+M1300+N1300)</f>
        <v>0.24713153330932225</v>
      </c>
      <c r="E1301" s="636">
        <f>E1300/(D1300+E1300+G1300+H1300+I1300+J1300+L1300+M1300+N1300)</f>
        <v>9.7589912924519448E-2</v>
      </c>
      <c r="F1301" s="637">
        <f t="shared" si="40"/>
        <v>0.34472144623384171</v>
      </c>
      <c r="G1301" s="636">
        <f>G1300/(D1300+E1300+G1300+H1300+I1300+J1300+L1300+M1300+N1300)</f>
        <v>0.20785222894465244</v>
      </c>
      <c r="H1301" s="636">
        <f>H1300/(D1300+E1300+G1300+H1300+I1300+J1300+L1300+M1300+N1300)</f>
        <v>2.6373852537658556E-2</v>
      </c>
      <c r="I1301" s="636">
        <f>I1300/(D1300+E1300+G1300+H1300+I1300+J1300+L1300+M1300+N1300)</f>
        <v>0</v>
      </c>
      <c r="J1301" s="636">
        <f>J1300/(D1300+E1300+G1300+H1300+I1300+J1300+L1300+M1300+N1300)</f>
        <v>2.514807674264459E-2</v>
      </c>
      <c r="K1301" s="637">
        <f t="shared" si="41"/>
        <v>0.25937415822495558</v>
      </c>
      <c r="L1301" s="636">
        <f>L1300/(D1300+E1300+G1300+H1300+I1300+J1300+L1300+M1300+N1300)</f>
        <v>4.3913039530512739E-2</v>
      </c>
      <c r="M1301" s="636">
        <f>M1300/(D1300+E1300+G1300+H1300+I1300+J1300+L1300+M1300+N1300)</f>
        <v>0</v>
      </c>
      <c r="N1301" s="636">
        <f>N1300/(D1300+E1300+G1300+H1300+I1300+J1300+L1300+M1300+N1300)</f>
        <v>0.35199135601068998</v>
      </c>
      <c r="O1301" s="1503"/>
    </row>
    <row r="1302" spans="1:15" ht="12" customHeight="1">
      <c r="A1302" s="1517"/>
      <c r="B1302" s="1502" t="s">
        <v>14939</v>
      </c>
      <c r="C1302" s="638" t="s">
        <v>6218</v>
      </c>
      <c r="D1302" s="639">
        <v>51116</v>
      </c>
      <c r="E1302" s="639">
        <v>28457</v>
      </c>
      <c r="F1302" s="640">
        <f t="shared" si="40"/>
        <v>79573</v>
      </c>
      <c r="G1302" s="639">
        <v>68038</v>
      </c>
      <c r="H1302" s="639">
        <v>7578</v>
      </c>
      <c r="I1302" s="639"/>
      <c r="J1302" s="639"/>
      <c r="K1302" s="640">
        <f t="shared" si="41"/>
        <v>75616</v>
      </c>
      <c r="L1302" s="639">
        <v>13327</v>
      </c>
      <c r="M1302" s="639">
        <v>7047</v>
      </c>
      <c r="N1302" s="639">
        <v>155386</v>
      </c>
      <c r="O1302" s="1503">
        <f>1-N1303</f>
        <v>0.53048354882474347</v>
      </c>
    </row>
    <row r="1303" spans="1:15" ht="12" customHeight="1">
      <c r="A1303" s="1517"/>
      <c r="B1303" s="1502"/>
      <c r="C1303" s="635" t="s">
        <v>6219</v>
      </c>
      <c r="D1303" s="636">
        <f>D1302/(D1302+E1302+G1302+H1302+I1302+J1302+L1302+M1302+N1302)</f>
        <v>0.15445280088472846</v>
      </c>
      <c r="E1303" s="636">
        <f>E1302/(D1302+E1302+G1302+H1302+I1302+J1302+L1302+M1302+N1302)</f>
        <v>8.5986058274839933E-2</v>
      </c>
      <c r="F1303" s="637">
        <f t="shared" si="40"/>
        <v>0.24043885915956839</v>
      </c>
      <c r="G1303" s="636">
        <f>G1302/(D1302+E1302+G1302+H1302+I1302+J1302+L1302+M1302+N1302)</f>
        <v>0.20558454625939343</v>
      </c>
      <c r="H1303" s="636">
        <f>H1302/(D1302+E1302+G1302+H1302+I1302+J1302+L1302+M1302+N1302)</f>
        <v>2.2897787876681907E-2</v>
      </c>
      <c r="I1303" s="636">
        <f>I1302/(D1302+E1302+G1302+H1302+I1302+J1302+L1302+M1302+N1302)</f>
        <v>0</v>
      </c>
      <c r="J1303" s="636">
        <f>J1302/(D1302+E1302+G1302+H1302+I1302+J1302+L1302+M1302+N1302)</f>
        <v>0</v>
      </c>
      <c r="K1303" s="637">
        <f t="shared" si="41"/>
        <v>0.22848233413607533</v>
      </c>
      <c r="L1303" s="636">
        <f>L1302/(D1302+E1302+G1302+H1302+I1302+J1302+L1302+M1302+N1302)</f>
        <v>4.0269044475130612E-2</v>
      </c>
      <c r="M1303" s="636">
        <f>M1302/(D1302+E1302+G1302+H1302+I1302+J1302+L1302+M1302+N1302)</f>
        <v>2.129331105396904E-2</v>
      </c>
      <c r="N1303" s="636">
        <f>N1302/(D1302+E1302+G1302+H1302+I1302+J1302+L1302+M1302+N1302)</f>
        <v>0.46951645117525659</v>
      </c>
      <c r="O1303" s="1503"/>
    </row>
    <row r="1304" spans="1:15" ht="12" customHeight="1">
      <c r="A1304" s="1517"/>
      <c r="B1304" s="1502" t="s">
        <v>14940</v>
      </c>
      <c r="C1304" s="638" t="s">
        <v>6218</v>
      </c>
      <c r="D1304" s="639">
        <v>67139</v>
      </c>
      <c r="E1304" s="639">
        <v>33052</v>
      </c>
      <c r="F1304" s="640">
        <f t="shared" si="40"/>
        <v>100191</v>
      </c>
      <c r="G1304" s="639">
        <v>69049</v>
      </c>
      <c r="H1304" s="639">
        <v>7333</v>
      </c>
      <c r="I1304" s="639"/>
      <c r="J1304" s="639"/>
      <c r="K1304" s="640">
        <f t="shared" si="41"/>
        <v>76382</v>
      </c>
      <c r="L1304" s="639">
        <v>15095</v>
      </c>
      <c r="M1304" s="639"/>
      <c r="N1304" s="639">
        <v>138603</v>
      </c>
      <c r="O1304" s="1503">
        <f>1-N1305</f>
        <v>0.58033554263014309</v>
      </c>
    </row>
    <row r="1305" spans="1:15" ht="12" customHeight="1" thickBot="1">
      <c r="A1305" s="1519"/>
      <c r="B1305" s="1514"/>
      <c r="C1305" s="641" t="s">
        <v>6219</v>
      </c>
      <c r="D1305" s="642">
        <f>D1304/(D1304+E1304+G1304+H1304+I1304+J1304+L1304+M1304+N1304)</f>
        <v>0.20328457539414602</v>
      </c>
      <c r="E1305" s="642">
        <f>E1304/(D1304+E1304+G1304+H1304+I1304+J1304+L1304+M1304+N1304)</f>
        <v>0.10007539263211121</v>
      </c>
      <c r="F1305" s="643">
        <f t="shared" si="40"/>
        <v>0.3033599680262572</v>
      </c>
      <c r="G1305" s="642">
        <f>G1304/(D1304+E1304+G1304+H1304+I1304+J1304+L1304+M1304+N1304)</f>
        <v>0.20906770500588912</v>
      </c>
      <c r="H1305" s="642">
        <f>H1304/(D1304+E1304+G1304+H1304+I1304+J1304+L1304+M1304+N1304)</f>
        <v>2.2202978765922532E-2</v>
      </c>
      <c r="I1305" s="642">
        <f>I1304/(D1304+E1304+G1304+H1304+I1304+J1304+L1304+M1304+N1304)</f>
        <v>0</v>
      </c>
      <c r="J1305" s="642">
        <f>J1304/(D1304+E1304+G1304+H1304+I1304+J1304+L1304+M1304+N1304)</f>
        <v>0</v>
      </c>
      <c r="K1305" s="643">
        <f t="shared" si="41"/>
        <v>0.23127068377181165</v>
      </c>
      <c r="L1305" s="642">
        <f>L1304/(D1304+E1304+G1304+H1304+I1304+J1304+L1304+M1304+N1304)</f>
        <v>4.5704890832074269E-2</v>
      </c>
      <c r="M1305" s="642">
        <f>M1304/(D1304+E1304+G1304+H1304+I1304+J1304+L1304+M1304+N1304)</f>
        <v>0</v>
      </c>
      <c r="N1305" s="642">
        <f>N1304/(D1304+E1304+G1304+H1304+I1304+J1304+L1304+M1304+N1304)</f>
        <v>0.41966445736985686</v>
      </c>
      <c r="O1305" s="1515"/>
    </row>
    <row r="1306" spans="1:15" ht="12" customHeight="1">
      <c r="A1306" s="1526" t="s">
        <v>15101</v>
      </c>
      <c r="B1306" s="1509" t="s">
        <v>14937</v>
      </c>
      <c r="C1306" s="647" t="s">
        <v>6218</v>
      </c>
      <c r="D1306" s="648">
        <v>71415</v>
      </c>
      <c r="E1306" s="648">
        <v>27918</v>
      </c>
      <c r="F1306" s="649">
        <f t="shared" si="40"/>
        <v>99333</v>
      </c>
      <c r="G1306" s="648">
        <v>104669</v>
      </c>
      <c r="H1306" s="648">
        <v>9020</v>
      </c>
      <c r="I1306" s="648">
        <v>3792</v>
      </c>
      <c r="J1306" s="648">
        <v>7165</v>
      </c>
      <c r="K1306" s="649">
        <f t="shared" si="41"/>
        <v>124646</v>
      </c>
      <c r="L1306" s="648">
        <v>14036</v>
      </c>
      <c r="M1306" s="648">
        <v>7068</v>
      </c>
      <c r="N1306" s="648">
        <v>208122</v>
      </c>
      <c r="O1306" s="1510">
        <f>1-N1307</f>
        <v>0.54077735241226377</v>
      </c>
    </row>
    <row r="1307" spans="1:15" ht="12" customHeight="1">
      <c r="A1307" s="1527"/>
      <c r="B1307" s="1502"/>
      <c r="C1307" s="635" t="s">
        <v>6219</v>
      </c>
      <c r="D1307" s="636">
        <f>D1306/(D1306+E1306+G1306+H1306+I1306+J1306+L1306+M1306+N1306)</f>
        <v>0.15757769662735407</v>
      </c>
      <c r="E1307" s="636">
        <f>E1306/(D1306+E1306+G1306+H1306+I1306+J1306+L1306+M1306+N1306)</f>
        <v>6.160126212199777E-2</v>
      </c>
      <c r="F1307" s="637">
        <f t="shared" si="40"/>
        <v>0.21917895874935184</v>
      </c>
      <c r="G1307" s="636">
        <f>G1306/(D1306+E1306+G1306+H1306+I1306+J1306+L1306+M1306+N1306)</f>
        <v>0.23095288004324754</v>
      </c>
      <c r="H1307" s="636">
        <f>H1306/(D1306+E1306+G1306+H1306+I1306+J1306+L1306+M1306+N1306)</f>
        <v>1.990269304178021E-2</v>
      </c>
      <c r="I1307" s="636">
        <f>I1306/(D1306+E1306+G1306+H1306+I1306+J1306+L1306+M1306+N1306)</f>
        <v>8.3670745027084881E-3</v>
      </c>
      <c r="J1307" s="636">
        <f>J1306/(D1306+E1306+G1306+H1306+I1306+J1306+L1306+M1306+N1306)</f>
        <v>1.5809622576979512E-2</v>
      </c>
      <c r="K1307" s="637">
        <f t="shared" si="41"/>
        <v>0.27503227016471576</v>
      </c>
      <c r="L1307" s="636">
        <f>L1306/(D1306+E1306+G1306+H1306+I1306+J1306+L1306+M1306+N1306)</f>
        <v>3.0970532099160425E-2</v>
      </c>
      <c r="M1307" s="636">
        <f>M1306/(D1306+E1306+G1306+H1306+I1306+J1306+L1306+M1306+N1306)</f>
        <v>1.5595591399035756E-2</v>
      </c>
      <c r="N1307" s="636">
        <f>N1306/(D1306+E1306+G1306+H1306+I1306+J1306+L1306+M1306+N1306)</f>
        <v>0.45922264758773623</v>
      </c>
      <c r="O1307" s="1503"/>
    </row>
    <row r="1308" spans="1:15" ht="12" customHeight="1">
      <c r="A1308" s="1527"/>
      <c r="B1308" s="1502" t="s">
        <v>14938</v>
      </c>
      <c r="C1308" s="638" t="s">
        <v>6218</v>
      </c>
      <c r="D1308" s="639">
        <v>116679</v>
      </c>
      <c r="E1308" s="639">
        <v>40686</v>
      </c>
      <c r="F1308" s="640">
        <f t="shared" si="40"/>
        <v>157365</v>
      </c>
      <c r="G1308" s="639">
        <v>106276</v>
      </c>
      <c r="H1308" s="639">
        <v>11844</v>
      </c>
      <c r="I1308" s="639"/>
      <c r="J1308" s="639">
        <v>9816</v>
      </c>
      <c r="K1308" s="640">
        <f t="shared" si="41"/>
        <v>127936</v>
      </c>
      <c r="L1308" s="639">
        <v>15562</v>
      </c>
      <c r="M1308" s="639"/>
      <c r="N1308" s="639">
        <v>147883</v>
      </c>
      <c r="O1308" s="1503">
        <f>1-N1309</f>
        <v>0.67045277283808657</v>
      </c>
    </row>
    <row r="1309" spans="1:15" ht="12" customHeight="1">
      <c r="A1309" s="1527"/>
      <c r="B1309" s="1502"/>
      <c r="C1309" s="635" t="s">
        <v>6219</v>
      </c>
      <c r="D1309" s="636">
        <f>D1308/(D1308+E1308+G1308+H1308+I1308+J1308+L1308+M1308+N1308)</f>
        <v>0.26001123129788345</v>
      </c>
      <c r="E1309" s="636">
        <f>E1308/(D1308+E1308+G1308+H1308+I1308+J1308+L1308+M1308+N1308)</f>
        <v>9.0665989223302268E-2</v>
      </c>
      <c r="F1309" s="637">
        <f t="shared" si="40"/>
        <v>0.35067722052118572</v>
      </c>
      <c r="G1309" s="636">
        <f>G1308/(D1308+E1308+G1308+H1308+I1308+J1308+L1308+M1308+N1308)</f>
        <v>0.23682885195634057</v>
      </c>
      <c r="H1309" s="636">
        <f>H1308/(D1308+E1308+G1308+H1308+I1308+J1308+L1308+M1308+N1308)</f>
        <v>2.6393550026072656E-2</v>
      </c>
      <c r="I1309" s="636">
        <f>I1308/(D1308+E1308+G1308+H1308+I1308+J1308+L1308+M1308+N1308)</f>
        <v>0</v>
      </c>
      <c r="J1309" s="636">
        <f>J1308/(D1308+E1308+G1308+H1308+I1308+J1308+L1308+M1308+N1308)</f>
        <v>2.1874289687261836E-2</v>
      </c>
      <c r="K1309" s="637">
        <f t="shared" si="41"/>
        <v>0.28509669166967505</v>
      </c>
      <c r="L1309" s="636">
        <f>L1308/(D1308+E1308+G1308+H1308+I1308+J1308+L1308+M1308+N1308)</f>
        <v>3.4678860647225827E-2</v>
      </c>
      <c r="M1309" s="636">
        <f>M1308/(D1308+E1308+G1308+H1308+I1308+J1308+L1308+M1308+N1308)</f>
        <v>0</v>
      </c>
      <c r="N1309" s="636">
        <f>N1308/(D1308+E1308+G1308+H1308+I1308+J1308+L1308+M1308+N1308)</f>
        <v>0.32954722716191343</v>
      </c>
      <c r="O1309" s="1503"/>
    </row>
    <row r="1310" spans="1:15" ht="12" customHeight="1">
      <c r="A1310" s="1527"/>
      <c r="B1310" s="1502" t="s">
        <v>14939</v>
      </c>
      <c r="C1310" s="638" t="s">
        <v>6218</v>
      </c>
      <c r="D1310" s="639">
        <v>76037</v>
      </c>
      <c r="E1310" s="639">
        <v>33751</v>
      </c>
      <c r="F1310" s="640">
        <f t="shared" si="40"/>
        <v>109788</v>
      </c>
      <c r="G1310" s="639">
        <v>100194</v>
      </c>
      <c r="H1310" s="639">
        <v>10905</v>
      </c>
      <c r="I1310" s="639"/>
      <c r="J1310" s="639"/>
      <c r="K1310" s="640">
        <f t="shared" si="41"/>
        <v>111099</v>
      </c>
      <c r="L1310" s="639">
        <v>13540</v>
      </c>
      <c r="M1310" s="639">
        <v>8458</v>
      </c>
      <c r="N1310" s="639">
        <v>202196</v>
      </c>
      <c r="O1310" s="1503">
        <f>1-N1311</f>
        <v>0.54570965734327004</v>
      </c>
    </row>
    <row r="1311" spans="1:15" ht="12" customHeight="1">
      <c r="A1311" s="1527"/>
      <c r="B1311" s="1502"/>
      <c r="C1311" s="635" t="s">
        <v>6219</v>
      </c>
      <c r="D1311" s="636">
        <f>D1310/(D1310+E1310+G1310+H1310+I1310+J1310+L1310+M1310+N1310)</f>
        <v>0.1708385664631831</v>
      </c>
      <c r="E1311" s="636">
        <f>E1310/(D1310+E1310+G1310+H1310+I1310+J1310+L1310+M1310+N1310)</f>
        <v>7.5831140848519704E-2</v>
      </c>
      <c r="F1311" s="637">
        <f t="shared" si="40"/>
        <v>0.24666970731170279</v>
      </c>
      <c r="G1311" s="636">
        <f>G1310/(D1310+E1310+G1310+H1310+I1310+J1310+L1310+M1310+N1310)</f>
        <v>0.22511408035840666</v>
      </c>
      <c r="H1311" s="636">
        <f>H1310/(D1310+E1310+G1310+H1310+I1310+J1310+L1310+M1310+N1310)</f>
        <v>2.4501158216144927E-2</v>
      </c>
      <c r="I1311" s="636">
        <f>I1310/(D1310+E1310+G1310+H1310+I1310+J1310+L1310+M1310+N1310)</f>
        <v>0</v>
      </c>
      <c r="J1311" s="636">
        <f>J1310/(D1310+E1310+G1310+H1310+I1310+J1310+L1310+M1310+N1310)</f>
        <v>0</v>
      </c>
      <c r="K1311" s="637">
        <f t="shared" si="41"/>
        <v>0.24961523857455159</v>
      </c>
      <c r="L1311" s="636">
        <f>L1310/(D1310+E1310+G1310+H1310+I1310+J1310+L1310+M1310+N1310)</f>
        <v>3.0421428908445878E-2</v>
      </c>
      <c r="M1311" s="636">
        <f>M1310/(D1310+E1310+G1310+H1310+I1310+J1310+L1310+M1310+N1310)</f>
        <v>1.9003282548569811E-2</v>
      </c>
      <c r="N1311" s="636">
        <f>N1310/(D1310+E1310+G1310+H1310+I1310+J1310+L1310+M1310+N1310)</f>
        <v>0.45429034265672991</v>
      </c>
      <c r="O1311" s="1503"/>
    </row>
    <row r="1312" spans="1:15" ht="12" customHeight="1">
      <c r="A1312" s="1527"/>
      <c r="B1312" s="1502" t="s">
        <v>14940</v>
      </c>
      <c r="C1312" s="638" t="s">
        <v>6218</v>
      </c>
      <c r="D1312" s="639">
        <v>101484</v>
      </c>
      <c r="E1312" s="639">
        <v>36047</v>
      </c>
      <c r="F1312" s="640">
        <f t="shared" si="40"/>
        <v>137531</v>
      </c>
      <c r="G1312" s="639">
        <v>109061</v>
      </c>
      <c r="H1312" s="639">
        <v>11384</v>
      </c>
      <c r="I1312" s="639"/>
      <c r="J1312" s="639"/>
      <c r="K1312" s="640">
        <f t="shared" si="41"/>
        <v>120445</v>
      </c>
      <c r="L1312" s="639">
        <v>14722</v>
      </c>
      <c r="M1312" s="639"/>
      <c r="N1312" s="639">
        <v>171167</v>
      </c>
      <c r="O1312" s="1503">
        <f>1-N1313</f>
        <v>0.61437148682594933</v>
      </c>
    </row>
    <row r="1313" spans="1:15" ht="12" customHeight="1" thickBot="1">
      <c r="A1313" s="1528"/>
      <c r="B1313" s="1514"/>
      <c r="C1313" s="641" t="s">
        <v>6219</v>
      </c>
      <c r="D1313" s="642">
        <f>D1312/(D1312+E1312+G1312+H1312+I1312+J1312+L1312+M1312+N1312)</f>
        <v>0.22863708560035145</v>
      </c>
      <c r="E1313" s="642">
        <f>E1312/(D1312+E1312+G1312+H1312+I1312+J1312+L1312+M1312+N1312)</f>
        <v>8.1211629662172061E-2</v>
      </c>
      <c r="F1313" s="643">
        <f t="shared" si="40"/>
        <v>0.3098487152625235</v>
      </c>
      <c r="G1313" s="642">
        <f>G1312/(D1312+E1312+G1312+H1312+I1312+J1312+L1312+M1312+N1312)</f>
        <v>0.24570759127212102</v>
      </c>
      <c r="H1313" s="642">
        <f>H1312/(D1312+E1312+G1312+H1312+I1312+J1312+L1312+M1312+N1312)</f>
        <v>2.5647437847093148E-2</v>
      </c>
      <c r="I1313" s="642">
        <f>I1312/(D1312+E1312+G1312+H1312+I1312+J1312+L1312+M1312+N1312)</f>
        <v>0</v>
      </c>
      <c r="J1313" s="642">
        <f>J1312/(D1312+E1312+G1312+H1312+I1312+J1312+L1312+M1312+N1312)</f>
        <v>0</v>
      </c>
      <c r="K1313" s="643">
        <f t="shared" si="41"/>
        <v>0.27135502911921416</v>
      </c>
      <c r="L1313" s="642">
        <f>L1312/(D1312+E1312+G1312+H1312+I1312+J1312+L1312+M1312+N1312)</f>
        <v>3.316774244421164E-2</v>
      </c>
      <c r="M1313" s="642">
        <f>M1312/(D1312+E1312+G1312+H1312+I1312+J1312+L1312+M1312+N1312)</f>
        <v>0</v>
      </c>
      <c r="N1313" s="642">
        <f>N1312/(D1312+E1312+G1312+H1312+I1312+J1312+L1312+M1312+N1312)</f>
        <v>0.38562851317405067</v>
      </c>
      <c r="O1313" s="1515"/>
    </row>
    <row r="1314" spans="1:15" ht="12" customHeight="1">
      <c r="A1314" s="1526" t="s">
        <v>15102</v>
      </c>
      <c r="B1314" s="1509" t="s">
        <v>14937</v>
      </c>
      <c r="C1314" s="647" t="s">
        <v>6218</v>
      </c>
      <c r="D1314" s="648">
        <v>74155</v>
      </c>
      <c r="E1314" s="648">
        <v>33562</v>
      </c>
      <c r="F1314" s="649">
        <f t="shared" si="40"/>
        <v>107717</v>
      </c>
      <c r="G1314" s="648">
        <v>98907</v>
      </c>
      <c r="H1314" s="648">
        <v>8379</v>
      </c>
      <c r="I1314" s="648">
        <v>4066</v>
      </c>
      <c r="J1314" s="648">
        <v>7112</v>
      </c>
      <c r="K1314" s="649">
        <f t="shared" si="41"/>
        <v>118464</v>
      </c>
      <c r="L1314" s="648">
        <v>16300</v>
      </c>
      <c r="M1314" s="648">
        <v>5434</v>
      </c>
      <c r="N1314" s="648">
        <v>205184</v>
      </c>
      <c r="O1314" s="1510">
        <f>1-N1315</f>
        <v>0.54715415394869549</v>
      </c>
    </row>
    <row r="1315" spans="1:15" ht="12" customHeight="1">
      <c r="A1315" s="1527"/>
      <c r="B1315" s="1502"/>
      <c r="C1315" s="635" t="s">
        <v>6219</v>
      </c>
      <c r="D1315" s="636">
        <f>D1314/(D1314+E1314+G1314+H1314+I1314+J1314+L1314+M1314+N1314)</f>
        <v>0.16366180459458088</v>
      </c>
      <c r="E1315" s="636">
        <f>E1314/(D1314+E1314+G1314+H1314+I1314+J1314+L1314+M1314+N1314)</f>
        <v>7.407211227568368E-2</v>
      </c>
      <c r="F1315" s="637">
        <f t="shared" si="40"/>
        <v>0.23773391687026457</v>
      </c>
      <c r="G1315" s="636">
        <f>G1314/(D1314+E1314+G1314+H1314+I1314+J1314+L1314+M1314+N1314)</f>
        <v>0.21829004257347731</v>
      </c>
      <c r="H1315" s="636">
        <f>H1314/(D1314+E1314+G1314+H1314+I1314+J1314+L1314+M1314+N1314)</f>
        <v>1.8492647302245206E-2</v>
      </c>
      <c r="I1315" s="636">
        <f>I1314/(D1314+E1314+G1314+H1314+I1314+J1314+L1314+M1314+N1314)</f>
        <v>8.9737562872573094E-3</v>
      </c>
      <c r="J1315" s="636">
        <f>J1314/(D1314+E1314+G1314+H1314+I1314+J1314+L1314+M1314+N1314)</f>
        <v>1.5696348921538119E-2</v>
      </c>
      <c r="K1315" s="637">
        <f t="shared" si="41"/>
        <v>0.26145279508451791</v>
      </c>
      <c r="L1315" s="636">
        <f>L1314/(D1314+E1314+G1314+H1314+I1314+J1314+L1314+M1314+N1314)</f>
        <v>3.5974477983840174E-2</v>
      </c>
      <c r="M1315" s="636">
        <f>M1314/(D1314+E1314+G1314+H1314+I1314+J1314+L1314+M1314+N1314)</f>
        <v>1.1992964010072854E-2</v>
      </c>
      <c r="N1315" s="636">
        <f>N1314/(D1314+E1314+G1314+H1314+I1314+J1314+L1314+M1314+N1314)</f>
        <v>0.45284584605130446</v>
      </c>
      <c r="O1315" s="1503"/>
    </row>
    <row r="1316" spans="1:15" ht="12" customHeight="1">
      <c r="A1316" s="1527"/>
      <c r="B1316" s="1502" t="s">
        <v>14938</v>
      </c>
      <c r="C1316" s="638" t="s">
        <v>6218</v>
      </c>
      <c r="D1316" s="639">
        <v>116390</v>
      </c>
      <c r="E1316" s="639">
        <v>39471</v>
      </c>
      <c r="F1316" s="640">
        <f t="shared" si="40"/>
        <v>155861</v>
      </c>
      <c r="G1316" s="639">
        <v>97824</v>
      </c>
      <c r="H1316" s="639">
        <v>11434</v>
      </c>
      <c r="I1316" s="639"/>
      <c r="J1316" s="639">
        <v>10467</v>
      </c>
      <c r="K1316" s="640">
        <f t="shared" si="41"/>
        <v>119725</v>
      </c>
      <c r="L1316" s="639">
        <v>18010</v>
      </c>
      <c r="M1316" s="639"/>
      <c r="N1316" s="639">
        <v>160073</v>
      </c>
      <c r="O1316" s="1503">
        <f>1-N1317</f>
        <v>0.64715905208422875</v>
      </c>
    </row>
    <row r="1317" spans="1:15" ht="12" customHeight="1">
      <c r="A1317" s="1527"/>
      <c r="B1317" s="1502"/>
      <c r="C1317" s="635" t="s">
        <v>6219</v>
      </c>
      <c r="D1317" s="636">
        <f>D1316/(D1316+E1316+G1316+H1316+I1316+J1316+L1316+M1316+N1316)</f>
        <v>0.25655268488699912</v>
      </c>
      <c r="E1317" s="636">
        <f>E1316/(D1316+E1316+G1316+H1316+I1316+J1316+L1316+M1316+N1316)</f>
        <v>8.7003961037672842E-2</v>
      </c>
      <c r="F1317" s="637">
        <f t="shared" si="40"/>
        <v>0.34355664592467194</v>
      </c>
      <c r="G1317" s="636">
        <f>G1316/(D1316+E1316+G1316+H1316+I1316+J1316+L1316+M1316+N1316)</f>
        <v>0.21562857501835039</v>
      </c>
      <c r="H1317" s="636">
        <f>H1316/(D1316+E1316+G1316+H1316+I1316+J1316+L1316+M1316+N1316)</f>
        <v>2.5203397190462652E-2</v>
      </c>
      <c r="I1317" s="636">
        <f>I1316/(D1316+E1316+G1316+H1316+I1316+J1316+L1316+M1316+N1316)</f>
        <v>0</v>
      </c>
      <c r="J1317" s="636">
        <f>J1316/(D1316+E1316+G1316+H1316+I1316+J1316+L1316+M1316+N1316)</f>
        <v>2.3071887212923959E-2</v>
      </c>
      <c r="K1317" s="637">
        <f t="shared" si="41"/>
        <v>0.263903859421737</v>
      </c>
      <c r="L1317" s="636">
        <f>L1316/(D1316+E1316+G1316+H1316+I1316+J1316+L1316+M1316+N1316)</f>
        <v>3.9698546737819862E-2</v>
      </c>
      <c r="M1317" s="636">
        <f>M1316/(D1316+E1316+G1316+H1316+I1316+J1316+L1316+M1316+N1316)</f>
        <v>0</v>
      </c>
      <c r="N1317" s="636">
        <f>N1316/(D1316+E1316+G1316+H1316+I1316+J1316+L1316+M1316+N1316)</f>
        <v>0.3528409479157712</v>
      </c>
      <c r="O1317" s="1503"/>
    </row>
    <row r="1318" spans="1:15" ht="12" customHeight="1">
      <c r="A1318" s="1527"/>
      <c r="B1318" s="1502" t="s">
        <v>14939</v>
      </c>
      <c r="C1318" s="638" t="s">
        <v>6218</v>
      </c>
      <c r="D1318" s="639">
        <v>79211</v>
      </c>
      <c r="E1318" s="639">
        <v>41559</v>
      </c>
      <c r="F1318" s="640">
        <f t="shared" si="40"/>
        <v>120770</v>
      </c>
      <c r="G1318" s="639">
        <v>94744</v>
      </c>
      <c r="H1318" s="639">
        <v>10404</v>
      </c>
      <c r="I1318" s="639"/>
      <c r="J1318" s="639"/>
      <c r="K1318" s="640">
        <f t="shared" si="41"/>
        <v>105148</v>
      </c>
      <c r="L1318" s="639">
        <v>16172</v>
      </c>
      <c r="M1318" s="639">
        <v>6994</v>
      </c>
      <c r="N1318" s="639">
        <v>204084</v>
      </c>
      <c r="O1318" s="1503">
        <f>1-N1319</f>
        <v>0.54965046075627577</v>
      </c>
    </row>
    <row r="1319" spans="1:15" ht="12" customHeight="1">
      <c r="A1319" s="1527"/>
      <c r="B1319" s="1502"/>
      <c r="C1319" s="635" t="s">
        <v>6219</v>
      </c>
      <c r="D1319" s="636">
        <f>D1318/(D1318+E1318+G1318+H1318+I1318+J1318+L1318+M1318+N1318)</f>
        <v>0.17479389542068283</v>
      </c>
      <c r="E1319" s="636">
        <f>E1318/(D1318+E1318+G1318+H1318+I1318+J1318+L1318+M1318+N1318)</f>
        <v>9.1707711047558524E-2</v>
      </c>
      <c r="F1319" s="637">
        <f t="shared" si="40"/>
        <v>0.26650160646824134</v>
      </c>
      <c r="G1319" s="636">
        <f>G1318/(D1318+E1318+G1318+H1318+I1318+J1318+L1318+M1318+N1318)</f>
        <v>0.20907036683967095</v>
      </c>
      <c r="H1319" s="636">
        <f>H1318/(D1318+E1318+G1318+H1318+I1318+J1318+L1318+M1318+N1318)</f>
        <v>2.2958373053701939E-2</v>
      </c>
      <c r="I1319" s="636">
        <f>I1318/(D1318+E1318+G1318+H1318+I1318+J1318+L1318+M1318+N1318)</f>
        <v>0</v>
      </c>
      <c r="J1319" s="636">
        <f>J1318/(D1318+E1318+G1318+H1318+I1318+J1318+L1318+M1318+N1318)</f>
        <v>0</v>
      </c>
      <c r="K1319" s="637">
        <f t="shared" si="41"/>
        <v>0.23202873989337289</v>
      </c>
      <c r="L1319" s="636">
        <f>L1318/(D1318+E1318+G1318+H1318+I1318+J1318+L1318+M1318+N1318)</f>
        <v>3.5686544504466337E-2</v>
      </c>
      <c r="M1319" s="636">
        <f>M1318/(D1318+E1318+G1318+H1318+I1318+J1318+L1318+M1318+N1318)</f>
        <v>1.5433569890195249E-2</v>
      </c>
      <c r="N1319" s="636">
        <f>N1318/(D1318+E1318+G1318+H1318+I1318+J1318+L1318+M1318+N1318)</f>
        <v>0.45034953924372417</v>
      </c>
      <c r="O1319" s="1503"/>
    </row>
    <row r="1320" spans="1:15" ht="12" customHeight="1">
      <c r="A1320" s="1527"/>
      <c r="B1320" s="1502" t="s">
        <v>14940</v>
      </c>
      <c r="C1320" s="638" t="s">
        <v>6218</v>
      </c>
      <c r="D1320" s="639">
        <v>98357</v>
      </c>
      <c r="E1320" s="639">
        <v>42071</v>
      </c>
      <c r="F1320" s="640">
        <f t="shared" si="40"/>
        <v>140428</v>
      </c>
      <c r="G1320" s="639">
        <v>102492</v>
      </c>
      <c r="H1320" s="639">
        <v>10300</v>
      </c>
      <c r="I1320" s="639"/>
      <c r="J1320" s="639"/>
      <c r="K1320" s="640">
        <f t="shared" si="41"/>
        <v>112792</v>
      </c>
      <c r="L1320" s="639">
        <v>17901</v>
      </c>
      <c r="M1320" s="639"/>
      <c r="N1320" s="639">
        <v>182816</v>
      </c>
      <c r="O1320" s="1503">
        <f>1-N1321</f>
        <v>0.59726569986584044</v>
      </c>
    </row>
    <row r="1321" spans="1:15" ht="12" customHeight="1" thickBot="1">
      <c r="A1321" s="1528"/>
      <c r="B1321" s="1514"/>
      <c r="C1321" s="641" t="s">
        <v>6219</v>
      </c>
      <c r="D1321" s="642">
        <f>D1320/(D1320+E1320+G1320+H1320+I1320+J1320+L1320+M1320+N1320)</f>
        <v>0.21667544174632164</v>
      </c>
      <c r="E1321" s="642">
        <f>E1320/(D1320+E1320+G1320+H1320+I1320+J1320+L1320+M1320+N1320)</f>
        <v>9.2680261798443395E-2</v>
      </c>
      <c r="F1321" s="643">
        <f t="shared" si="40"/>
        <v>0.30935570354476505</v>
      </c>
      <c r="G1321" s="642">
        <f>G1320/(D1320+E1320+G1320+H1320+I1320+J1320+L1320+M1320+N1320)</f>
        <v>0.22578463531282975</v>
      </c>
      <c r="H1321" s="642">
        <f>H1320/(D1320+E1320+G1320+H1320+I1320+J1320+L1320+M1320+N1320)</f>
        <v>2.2690373333744549E-2</v>
      </c>
      <c r="I1321" s="642">
        <f>I1320/(D1320+E1320+G1320+H1320+I1320+J1320+L1320+M1320+N1320)</f>
        <v>0</v>
      </c>
      <c r="J1321" s="642">
        <f>J1320/(D1320+E1320+G1320+H1320+I1320+J1320+L1320+M1320+N1320)</f>
        <v>0</v>
      </c>
      <c r="K1321" s="643">
        <f t="shared" si="41"/>
        <v>0.24847500864657429</v>
      </c>
      <c r="L1321" s="642">
        <f>L1320/(D1320+E1320+G1320+H1320+I1320+J1320+L1320+M1320+N1320)</f>
        <v>3.9434987674501085E-2</v>
      </c>
      <c r="M1321" s="642">
        <f>M1320/(D1320+E1320+G1320+H1320+I1320+J1320+L1320+M1320+N1320)</f>
        <v>0</v>
      </c>
      <c r="N1321" s="642">
        <f>N1320/(D1320+E1320+G1320+H1320+I1320+J1320+L1320+M1320+N1320)</f>
        <v>0.40273430013415956</v>
      </c>
      <c r="O1321" s="1515"/>
    </row>
    <row r="1322" spans="1:15" ht="12" customHeight="1">
      <c r="A1322" s="1516" t="s">
        <v>15103</v>
      </c>
      <c r="B1322" s="1509" t="s">
        <v>14937</v>
      </c>
      <c r="C1322" s="647" t="s">
        <v>6218</v>
      </c>
      <c r="D1322" s="648">
        <v>58485</v>
      </c>
      <c r="E1322" s="648">
        <v>19184</v>
      </c>
      <c r="F1322" s="649">
        <f t="shared" si="40"/>
        <v>77669</v>
      </c>
      <c r="G1322" s="648">
        <v>82740</v>
      </c>
      <c r="H1322" s="648">
        <v>6502</v>
      </c>
      <c r="I1322" s="648">
        <v>2988</v>
      </c>
      <c r="J1322" s="648">
        <v>6194</v>
      </c>
      <c r="K1322" s="649">
        <f t="shared" si="41"/>
        <v>98424</v>
      </c>
      <c r="L1322" s="648">
        <v>11878</v>
      </c>
      <c r="M1322" s="648">
        <v>6040</v>
      </c>
      <c r="N1322" s="648">
        <v>128055</v>
      </c>
      <c r="O1322" s="1510">
        <f>1-N1323</f>
        <v>0.60239516124024273</v>
      </c>
    </row>
    <row r="1323" spans="1:15" ht="12" customHeight="1">
      <c r="A1323" s="1517"/>
      <c r="B1323" s="1502"/>
      <c r="C1323" s="635" t="s">
        <v>6219</v>
      </c>
      <c r="D1323" s="636">
        <f>D1322/(D1322+E1322+G1322+H1322+I1322+J1322+L1322+M1322+N1322)</f>
        <v>0.18159321381331778</v>
      </c>
      <c r="E1323" s="636">
        <f>E1322/(D1322+E1322+G1322+H1322+I1322+J1322+L1322+M1322+N1322)</f>
        <v>5.9565430688119828E-2</v>
      </c>
      <c r="F1323" s="637">
        <f t="shared" si="40"/>
        <v>0.24115864450143759</v>
      </c>
      <c r="G1323" s="636">
        <f>G1322/(D1322+E1322+G1322+H1322+I1322+J1322+L1322+M1322+N1322)</f>
        <v>0.25690386442530411</v>
      </c>
      <c r="H1323" s="636">
        <f>H1322/(D1322+E1322+G1322+H1322+I1322+J1322+L1322+M1322+N1322)</f>
        <v>2.0188408587059795E-2</v>
      </c>
      <c r="I1323" s="636">
        <f>I1322/(D1322+E1322+G1322+H1322+I1322+J1322+L1322+M1322+N1322)</f>
        <v>9.2776014854098234E-3</v>
      </c>
      <c r="J1323" s="636">
        <f>J1322/(D1322+E1322+G1322+H1322+I1322+J1322+L1322+M1322+N1322)</f>
        <v>1.9232082865002824E-2</v>
      </c>
      <c r="K1323" s="637">
        <f t="shared" si="41"/>
        <v>0.30560195736277657</v>
      </c>
      <c r="L1323" s="636">
        <f>L1322/(D1322+E1322+G1322+H1322+I1322+J1322+L1322+M1322+N1322)</f>
        <v>3.6880639372054172E-2</v>
      </c>
      <c r="M1323" s="636">
        <f>M1322/(D1322+E1322+G1322+H1322+I1322+J1322+L1322+M1322+N1322)</f>
        <v>1.8753920003974342E-2</v>
      </c>
      <c r="N1323" s="636">
        <f>N1322/(D1322+E1322+G1322+H1322+I1322+J1322+L1322+M1322+N1322)</f>
        <v>0.39760483875975733</v>
      </c>
      <c r="O1323" s="1503"/>
    </row>
    <row r="1324" spans="1:15" ht="12" customHeight="1">
      <c r="A1324" s="1517"/>
      <c r="B1324" s="1502" t="s">
        <v>14938</v>
      </c>
      <c r="C1324" s="638" t="s">
        <v>6218</v>
      </c>
      <c r="D1324" s="639">
        <v>91348</v>
      </c>
      <c r="E1324" s="639">
        <v>23276</v>
      </c>
      <c r="F1324" s="640">
        <f t="shared" si="40"/>
        <v>114624</v>
      </c>
      <c r="G1324" s="639">
        <v>82535</v>
      </c>
      <c r="H1324" s="639">
        <v>8399</v>
      </c>
      <c r="I1324" s="639"/>
      <c r="J1324" s="639">
        <v>8812</v>
      </c>
      <c r="K1324" s="640">
        <f t="shared" si="41"/>
        <v>99746</v>
      </c>
      <c r="L1324" s="639">
        <v>12586</v>
      </c>
      <c r="M1324" s="639"/>
      <c r="N1324" s="639">
        <v>91506</v>
      </c>
      <c r="O1324" s="1503">
        <f>1-N1325</f>
        <v>0.71266273527139812</v>
      </c>
    </row>
    <row r="1325" spans="1:15" ht="12" customHeight="1">
      <c r="A1325" s="1517"/>
      <c r="B1325" s="1502"/>
      <c r="C1325" s="635" t="s">
        <v>6219</v>
      </c>
      <c r="D1325" s="636">
        <f>D1324/(D1324+E1324+G1324+H1324+I1324+J1324+L1324+M1324+N1324)</f>
        <v>0.28684113018193691</v>
      </c>
      <c r="E1325" s="636">
        <f>E1324/(D1324+E1324+G1324+H1324+I1324+J1324+L1324+M1324+N1324)</f>
        <v>7.308878296311648E-2</v>
      </c>
      <c r="F1325" s="637">
        <f t="shared" si="40"/>
        <v>0.3599299131450534</v>
      </c>
      <c r="G1325" s="636">
        <f>G1324/(D1324+E1324+G1324+H1324+I1324+J1324+L1324+M1324+N1324)</f>
        <v>0.25916749879106454</v>
      </c>
      <c r="H1325" s="636">
        <f>H1324/(D1324+E1324+G1324+H1324+I1324+J1324+L1324+M1324+N1324)</f>
        <v>2.6373633274927619E-2</v>
      </c>
      <c r="I1325" s="636">
        <f>I1324/(D1324+E1324+G1324+H1324+I1324+J1324+L1324+M1324+N1324)</f>
        <v>0</v>
      </c>
      <c r="J1325" s="636">
        <f>J1324/(D1324+E1324+G1324+H1324+I1324+J1324+L1324+M1324+N1324)</f>
        <v>2.7670491298804882E-2</v>
      </c>
      <c r="K1325" s="637">
        <f t="shared" si="41"/>
        <v>0.31321162336479708</v>
      </c>
      <c r="L1325" s="636">
        <f>L1324/(D1324+E1324+G1324+H1324+I1324+J1324+L1324+M1324+N1324)</f>
        <v>3.9521198761547686E-2</v>
      </c>
      <c r="M1325" s="636">
        <f>M1324/(D1324+E1324+G1324+H1324+I1324+J1324+L1324+M1324+N1324)</f>
        <v>0</v>
      </c>
      <c r="N1325" s="636">
        <f>N1324/(D1324+E1324+G1324+H1324+I1324+J1324+L1324+M1324+N1324)</f>
        <v>0.28733726472860183</v>
      </c>
      <c r="O1325" s="1503"/>
    </row>
    <row r="1326" spans="1:15" ht="12" customHeight="1">
      <c r="A1326" s="1517"/>
      <c r="B1326" s="1502" t="s">
        <v>14939</v>
      </c>
      <c r="C1326" s="638" t="s">
        <v>6218</v>
      </c>
      <c r="D1326" s="639">
        <v>62290</v>
      </c>
      <c r="E1326" s="639">
        <v>23343</v>
      </c>
      <c r="F1326" s="640">
        <f t="shared" si="40"/>
        <v>85633</v>
      </c>
      <c r="G1326" s="639">
        <v>75004</v>
      </c>
      <c r="H1326" s="639">
        <v>7342</v>
      </c>
      <c r="I1326" s="639"/>
      <c r="J1326" s="639"/>
      <c r="K1326" s="640">
        <f t="shared" si="41"/>
        <v>82346</v>
      </c>
      <c r="L1326" s="639">
        <v>11905</v>
      </c>
      <c r="M1326" s="639">
        <v>7600</v>
      </c>
      <c r="N1326" s="639">
        <v>128089</v>
      </c>
      <c r="O1326" s="1503">
        <f>1-N1327</f>
        <v>0.59410659340311112</v>
      </c>
    </row>
    <row r="1327" spans="1:15" ht="12" customHeight="1">
      <c r="A1327" s="1517"/>
      <c r="B1327" s="1502"/>
      <c r="C1327" s="635" t="s">
        <v>6219</v>
      </c>
      <c r="D1327" s="636">
        <f>D1326/(D1326+E1326+G1326+H1326+I1326+J1326+L1326+M1326+N1326)</f>
        <v>0.19738697543832964</v>
      </c>
      <c r="E1327" s="636">
        <f>E1326/(D1326+E1326+G1326+H1326+I1326+J1326+L1326+M1326+N1326)</f>
        <v>7.3970206576608272E-2</v>
      </c>
      <c r="F1327" s="637">
        <f t="shared" si="40"/>
        <v>0.27135718201493791</v>
      </c>
      <c r="G1327" s="636">
        <f>G1326/(D1326+E1326+G1326+H1326+I1326+J1326+L1326+M1326+N1326)</f>
        <v>0.23767559328586413</v>
      </c>
      <c r="H1327" s="636">
        <f>H1326/(D1326+E1326+G1326+H1326+I1326+J1326+L1326+M1326+N1326)</f>
        <v>2.3265615245917744E-2</v>
      </c>
      <c r="I1327" s="636">
        <f>I1326/(D1326+E1326+G1326+H1326+I1326+J1326+L1326+M1326+N1326)</f>
        <v>0</v>
      </c>
      <c r="J1327" s="636">
        <f>J1326/(D1326+E1326+G1326+H1326+I1326+J1326+L1326+M1326+N1326)</f>
        <v>0</v>
      </c>
      <c r="K1327" s="637">
        <f t="shared" si="41"/>
        <v>0.26094120853178188</v>
      </c>
      <c r="L1327" s="636">
        <f>L1326/(D1326+E1326+G1326+H1326+I1326+J1326+L1326+M1326+N1326)</f>
        <v>3.7725027172793614E-2</v>
      </c>
      <c r="M1327" s="636">
        <f>M1326/(D1326+E1326+G1326+H1326+I1326+J1326+L1326+M1326+N1326)</f>
        <v>2.4083175683597774E-2</v>
      </c>
      <c r="N1327" s="636">
        <f>N1326/(D1326+E1326+G1326+H1326+I1326+J1326+L1326+M1326+N1326)</f>
        <v>0.40589340659688883</v>
      </c>
      <c r="O1327" s="1503"/>
    </row>
    <row r="1328" spans="1:15" ht="12" customHeight="1">
      <c r="A1328" s="1517"/>
      <c r="B1328" s="1502" t="s">
        <v>14940</v>
      </c>
      <c r="C1328" s="638" t="s">
        <v>6218</v>
      </c>
      <c r="D1328" s="639">
        <v>80892</v>
      </c>
      <c r="E1328" s="639">
        <v>28677</v>
      </c>
      <c r="F1328" s="640">
        <f t="shared" si="40"/>
        <v>109569</v>
      </c>
      <c r="G1328" s="639">
        <v>73210</v>
      </c>
      <c r="H1328" s="639">
        <v>8214</v>
      </c>
      <c r="I1328" s="639"/>
      <c r="J1328" s="639"/>
      <c r="K1328" s="640">
        <f t="shared" si="41"/>
        <v>81424</v>
      </c>
      <c r="L1328" s="639">
        <v>13729</v>
      </c>
      <c r="M1328" s="639"/>
      <c r="N1328" s="639">
        <v>110090</v>
      </c>
      <c r="O1328" s="1503">
        <f>1-N1329</f>
        <v>0.65029922620484615</v>
      </c>
    </row>
    <row r="1329" spans="1:15" ht="12" customHeight="1" thickBot="1">
      <c r="A1329" s="1519"/>
      <c r="B1329" s="1514"/>
      <c r="C1329" s="641" t="s">
        <v>6219</v>
      </c>
      <c r="D1329" s="642">
        <f>D1328/(D1328+E1328+G1328+H1328+I1328+J1328+L1328+M1328+N1328)</f>
        <v>0.2569533562888327</v>
      </c>
      <c r="E1329" s="642">
        <f>E1328/(D1328+E1328+G1328+H1328+I1328+J1328+L1328+M1328+N1328)</f>
        <v>9.109246153259723E-2</v>
      </c>
      <c r="F1329" s="643">
        <f t="shared" si="40"/>
        <v>0.34804581782142996</v>
      </c>
      <c r="G1329" s="642">
        <f>G1328/(D1328+E1328+G1328+H1328+I1328+J1328+L1328+M1328+N1328)</f>
        <v>0.23255149104862585</v>
      </c>
      <c r="H1329" s="642">
        <f>H1328/(D1328+E1328+G1328+H1328+I1328+J1328+L1328+M1328+N1328)</f>
        <v>2.609176270281946E-2</v>
      </c>
      <c r="I1329" s="642">
        <f>I1328/(D1328+E1328+G1328+H1328+I1328+J1328+L1328+M1328+N1328)</f>
        <v>0</v>
      </c>
      <c r="J1329" s="642">
        <f>J1328/(D1328+E1328+G1328+H1328+I1328+J1328+L1328+M1328+N1328)</f>
        <v>0</v>
      </c>
      <c r="K1329" s="643">
        <f t="shared" si="41"/>
        <v>0.25864325375144531</v>
      </c>
      <c r="L1329" s="642">
        <f>L1328/(D1328+E1328+G1328+H1328+I1328+J1328+L1328+M1328+N1328)</f>
        <v>4.3610154631970828E-2</v>
      </c>
      <c r="M1329" s="642">
        <f>M1328/(D1328+E1328+G1328+H1328+I1328+J1328+L1328+M1328+N1328)</f>
        <v>0</v>
      </c>
      <c r="N1329" s="642">
        <f>N1328/(D1328+E1328+G1328+H1328+I1328+J1328+L1328+M1328+N1328)</f>
        <v>0.34970077379515391</v>
      </c>
      <c r="O1329" s="1515"/>
    </row>
    <row r="1330" spans="1:15" ht="12" customHeight="1">
      <c r="A1330" s="1516" t="s">
        <v>15104</v>
      </c>
      <c r="B1330" s="1509" t="s">
        <v>14937</v>
      </c>
      <c r="C1330" s="647" t="s">
        <v>6218</v>
      </c>
      <c r="D1330" s="648">
        <v>54697</v>
      </c>
      <c r="E1330" s="648">
        <v>24620</v>
      </c>
      <c r="F1330" s="649">
        <f t="shared" si="40"/>
        <v>79317</v>
      </c>
      <c r="G1330" s="648">
        <v>85620</v>
      </c>
      <c r="H1330" s="648">
        <v>7243</v>
      </c>
      <c r="I1330" s="648">
        <v>2918</v>
      </c>
      <c r="J1330" s="648">
        <v>8192</v>
      </c>
      <c r="K1330" s="649">
        <f t="shared" si="41"/>
        <v>103973</v>
      </c>
      <c r="L1330" s="648">
        <v>14103</v>
      </c>
      <c r="M1330" s="648">
        <v>6402</v>
      </c>
      <c r="N1330" s="648">
        <v>153797</v>
      </c>
      <c r="O1330" s="1510">
        <f>1-N1331</f>
        <v>0.56990928208684766</v>
      </c>
    </row>
    <row r="1331" spans="1:15" ht="12" customHeight="1">
      <c r="A1331" s="1517"/>
      <c r="B1331" s="1502"/>
      <c r="C1331" s="635" t="s">
        <v>6219</v>
      </c>
      <c r="D1331" s="636">
        <f>D1330/(D1330+E1330+G1330+H1330+I1330+J1330+L1330+M1330+N1330)</f>
        <v>0.15295923846171056</v>
      </c>
      <c r="E1331" s="636">
        <f>E1330/(D1330+E1330+G1330+H1330+I1330+J1330+L1330+M1330+N1330)</f>
        <v>6.8849414975726525E-2</v>
      </c>
      <c r="F1331" s="637">
        <f t="shared" si="40"/>
        <v>0.22180865343743708</v>
      </c>
      <c r="G1331" s="636">
        <f>G1330/(D1330+E1330+G1330+H1330+I1330+J1330+L1330+M1330+N1330)</f>
        <v>0.23943488668650306</v>
      </c>
      <c r="H1331" s="636">
        <f>H1330/(D1330+E1330+G1330+H1330+I1330+J1330+L1330+M1330+N1330)</f>
        <v>2.0254927403297613E-2</v>
      </c>
      <c r="I1331" s="636">
        <f>I1330/(D1330+E1330+G1330+H1330+I1330+J1330+L1330+M1330+N1330)</f>
        <v>8.1601378106892775E-3</v>
      </c>
      <c r="J1331" s="636">
        <f>J1330/(D1330+E1330+G1330+H1330+I1330+J1330+L1330+M1330+N1330)</f>
        <v>2.2908789905814447E-2</v>
      </c>
      <c r="K1331" s="637">
        <f t="shared" si="41"/>
        <v>0.29075874180630445</v>
      </c>
      <c r="L1331" s="636">
        <f>L1330/(D1330+E1330+G1330+H1330+I1330+J1330+L1330+M1330+N1330)</f>
        <v>3.9438801762902972E-2</v>
      </c>
      <c r="M1331" s="636">
        <f>M1330/(D1330+E1330+G1330+H1330+I1330+J1330+L1330+M1330+N1330)</f>
        <v>1.7903085080203135E-2</v>
      </c>
      <c r="N1331" s="636">
        <f>N1330/(D1330+E1330+G1330+H1330+I1330+J1330+L1330+M1330+N1330)</f>
        <v>0.4300907179131524</v>
      </c>
      <c r="O1331" s="1503"/>
    </row>
    <row r="1332" spans="1:15" ht="12" customHeight="1">
      <c r="A1332" s="1517"/>
      <c r="B1332" s="1502" t="s">
        <v>14938</v>
      </c>
      <c r="C1332" s="638" t="s">
        <v>6218</v>
      </c>
      <c r="D1332" s="639">
        <v>94524</v>
      </c>
      <c r="E1332" s="639">
        <v>29348</v>
      </c>
      <c r="F1332" s="640">
        <f t="shared" si="40"/>
        <v>123872</v>
      </c>
      <c r="G1332" s="639">
        <v>84568</v>
      </c>
      <c r="H1332" s="639">
        <v>8780</v>
      </c>
      <c r="I1332" s="639"/>
      <c r="J1332" s="639">
        <v>8338</v>
      </c>
      <c r="K1332" s="640">
        <f t="shared" si="41"/>
        <v>101686</v>
      </c>
      <c r="L1332" s="639">
        <v>14146</v>
      </c>
      <c r="M1332" s="639"/>
      <c r="N1332" s="639">
        <v>115209</v>
      </c>
      <c r="O1332" s="1503">
        <f>1-N1333</f>
        <v>0.67538805284675396</v>
      </c>
    </row>
    <row r="1333" spans="1:15" ht="12" customHeight="1">
      <c r="A1333" s="1517"/>
      <c r="B1333" s="1502"/>
      <c r="C1333" s="635" t="s">
        <v>6219</v>
      </c>
      <c r="D1333" s="636">
        <f>D1332/(D1332+E1332+G1332+H1332+I1332+J1332+L1332+M1332+N1332)</f>
        <v>0.26633005835232859</v>
      </c>
      <c r="E1333" s="636">
        <f>E1332/(D1332+E1332+G1332+H1332+I1332+J1332+L1332+M1332+N1332)</f>
        <v>8.2690687576955482E-2</v>
      </c>
      <c r="F1333" s="637">
        <f t="shared" si="40"/>
        <v>0.34902074592928406</v>
      </c>
      <c r="G1333" s="636">
        <f>G1332/(D1332+E1332+G1332+H1332+I1332+J1332+L1332+M1332+N1332)</f>
        <v>0.23827811322774878</v>
      </c>
      <c r="H1333" s="636">
        <f>H1332/(D1332+E1332+G1332+H1332+I1332+J1332+L1332+M1332+N1332)</f>
        <v>2.4738457030314472E-2</v>
      </c>
      <c r="I1333" s="636">
        <f>I1332/(D1332+E1332+G1332+H1332+I1332+J1332+L1332+M1332+N1332)</f>
        <v>0</v>
      </c>
      <c r="J1333" s="636">
        <f>J1332/(D1332+E1332+G1332+H1332+I1332+J1332+L1332+M1332+N1332)</f>
        <v>2.349308140304807E-2</v>
      </c>
      <c r="K1333" s="637">
        <f t="shared" si="41"/>
        <v>0.28650965166111131</v>
      </c>
      <c r="L1333" s="636">
        <f>L1332/(D1332+E1332+G1332+H1332+I1332+J1332+L1332+M1332+N1332)</f>
        <v>3.98576552563586E-2</v>
      </c>
      <c r="M1333" s="636">
        <f>M1332/(D1332+E1332+G1332+H1332+I1332+J1332+L1332+M1332+N1332)</f>
        <v>0</v>
      </c>
      <c r="N1333" s="636">
        <f>N1332/(D1332+E1332+G1332+H1332+I1332+J1332+L1332+M1332+N1332)</f>
        <v>0.32461194715324598</v>
      </c>
      <c r="O1333" s="1503"/>
    </row>
    <row r="1334" spans="1:15" ht="12" customHeight="1">
      <c r="A1334" s="1517"/>
      <c r="B1334" s="1502" t="s">
        <v>14939</v>
      </c>
      <c r="C1334" s="638" t="s">
        <v>6218</v>
      </c>
      <c r="D1334" s="639">
        <v>59002</v>
      </c>
      <c r="E1334" s="639">
        <v>27569</v>
      </c>
      <c r="F1334" s="640">
        <f t="shared" si="40"/>
        <v>86571</v>
      </c>
      <c r="G1334" s="639">
        <v>80340</v>
      </c>
      <c r="H1334" s="639">
        <v>8064</v>
      </c>
      <c r="I1334" s="639"/>
      <c r="J1334" s="639"/>
      <c r="K1334" s="640">
        <f t="shared" si="41"/>
        <v>88404</v>
      </c>
      <c r="L1334" s="639">
        <v>13455</v>
      </c>
      <c r="M1334" s="639">
        <v>8317</v>
      </c>
      <c r="N1334" s="639">
        <v>155297</v>
      </c>
      <c r="O1334" s="1503">
        <f>1-N1335</f>
        <v>0.55887048209882861</v>
      </c>
    </row>
    <row r="1335" spans="1:15" ht="12" customHeight="1">
      <c r="A1335" s="1517"/>
      <c r="B1335" s="1502"/>
      <c r="C1335" s="635" t="s">
        <v>6219</v>
      </c>
      <c r="D1335" s="636">
        <f>D1334/(D1334+E1334+G1334+H1334+I1334+J1334+L1334+M1334+N1334)</f>
        <v>0.16759836838576997</v>
      </c>
      <c r="E1335" s="636">
        <f>E1334/(D1334+E1334+G1334+H1334+I1334+J1334+L1334+M1334+N1334)</f>
        <v>7.8311233823044848E-2</v>
      </c>
      <c r="F1335" s="637">
        <f t="shared" si="40"/>
        <v>0.2459096022088148</v>
      </c>
      <c r="G1335" s="636">
        <f>G1334/(D1334+E1334+G1334+H1334+I1334+J1334+L1334+M1334+N1334)</f>
        <v>0.22821011009987388</v>
      </c>
      <c r="H1335" s="636">
        <f>H1334/(D1334+E1334+G1334+H1334+I1334+J1334+L1334+M1334+N1334)</f>
        <v>2.2906227630637079E-2</v>
      </c>
      <c r="I1335" s="636">
        <f>I1334/(D1334+E1334+G1334+H1334+I1334+J1334+L1334+M1334+N1334)</f>
        <v>0</v>
      </c>
      <c r="J1335" s="636">
        <f>J1334/(D1334+E1334+G1334+H1334+I1334+J1334+L1334+M1334+N1334)</f>
        <v>0</v>
      </c>
      <c r="K1335" s="637">
        <f t="shared" si="41"/>
        <v>0.25111633773051095</v>
      </c>
      <c r="L1335" s="636">
        <f>L1334/(D1334+E1334+G1334+H1334+I1334+J1334+L1334+M1334+N1334)</f>
        <v>3.8219654361386642E-2</v>
      </c>
      <c r="M1335" s="636">
        <f>M1334/(D1334+E1334+G1334+H1334+I1334+J1334+L1334+M1334+N1334)</f>
        <v>2.3624887798116143E-2</v>
      </c>
      <c r="N1335" s="636">
        <f>N1334/(D1334+E1334+G1334+H1334+I1334+J1334+L1334+M1334+N1334)</f>
        <v>0.44112951790117144</v>
      </c>
      <c r="O1335" s="1503"/>
    </row>
    <row r="1336" spans="1:15" ht="12" customHeight="1">
      <c r="A1336" s="1517"/>
      <c r="B1336" s="1502" t="s">
        <v>14940</v>
      </c>
      <c r="C1336" s="638" t="s">
        <v>6218</v>
      </c>
      <c r="D1336" s="639">
        <v>77258</v>
      </c>
      <c r="E1336" s="639">
        <v>30496</v>
      </c>
      <c r="F1336" s="640">
        <f t="shared" si="40"/>
        <v>107754</v>
      </c>
      <c r="G1336" s="639">
        <v>85254</v>
      </c>
      <c r="H1336" s="639">
        <v>7588</v>
      </c>
      <c r="I1336" s="639"/>
      <c r="J1336" s="639"/>
      <c r="K1336" s="640">
        <f t="shared" si="41"/>
        <v>92842</v>
      </c>
      <c r="L1336" s="639">
        <v>16036</v>
      </c>
      <c r="M1336" s="639"/>
      <c r="N1336" s="639">
        <v>134392</v>
      </c>
      <c r="O1336" s="1503">
        <f>1-N1337</f>
        <v>0.61714298737408269</v>
      </c>
    </row>
    <row r="1337" spans="1:15" ht="12" customHeight="1" thickBot="1">
      <c r="A1337" s="1519"/>
      <c r="B1337" s="1514"/>
      <c r="C1337" s="641" t="s">
        <v>6219</v>
      </c>
      <c r="D1337" s="642">
        <f>D1336/(D1336+E1336+G1336+H1336+I1336+J1336+L1336+M1336+N1336)</f>
        <v>0.22009321299968093</v>
      </c>
      <c r="E1337" s="642">
        <f>E1336/(D1336+E1336+G1336+H1336+I1336+J1336+L1336+M1336+N1336)</f>
        <v>8.6877250558366384E-2</v>
      </c>
      <c r="F1337" s="643">
        <f t="shared" si="40"/>
        <v>0.3069704635580473</v>
      </c>
      <c r="G1337" s="642">
        <f>G1336/(D1336+E1336+G1336+H1336+I1336+J1336+L1336+M1336+N1336)</f>
        <v>0.24287228223711199</v>
      </c>
      <c r="H1337" s="642">
        <f>H1336/(D1336+E1336+G1336+H1336+I1336+J1336+L1336+M1336+N1336)</f>
        <v>2.16167555494781E-2</v>
      </c>
      <c r="I1337" s="642">
        <f>I1336/(D1336+E1336+G1336+H1336+I1336+J1336+L1336+M1336+N1336)</f>
        <v>0</v>
      </c>
      <c r="J1337" s="642">
        <f>J1336/(D1336+E1336+G1336+H1336+I1336+J1336+L1336+M1336+N1336)</f>
        <v>0</v>
      </c>
      <c r="K1337" s="643">
        <f t="shared" si="41"/>
        <v>0.26448903778659011</v>
      </c>
      <c r="L1337" s="642">
        <f>L1336/(D1336+E1336+G1336+H1336+I1336+J1336+L1336+M1336+N1336)</f>
        <v>4.5683486029445282E-2</v>
      </c>
      <c r="M1337" s="642">
        <f>M1336/(D1336+E1336+G1336+H1336+I1336+J1336+L1336+M1336+N1336)</f>
        <v>0</v>
      </c>
      <c r="N1337" s="642">
        <f>N1336/(D1336+E1336+G1336+H1336+I1336+J1336+L1336+M1336+N1336)</f>
        <v>0.38285701262591731</v>
      </c>
      <c r="O1337" s="1515"/>
    </row>
    <row r="1338" spans="1:15" ht="12" customHeight="1">
      <c r="A1338" s="1526" t="s">
        <v>15105</v>
      </c>
      <c r="B1338" s="1509" t="s">
        <v>14937</v>
      </c>
      <c r="C1338" s="647" t="s">
        <v>6218</v>
      </c>
      <c r="D1338" s="648">
        <v>42610</v>
      </c>
      <c r="E1338" s="648">
        <v>26883</v>
      </c>
      <c r="F1338" s="649">
        <f t="shared" si="40"/>
        <v>69493</v>
      </c>
      <c r="G1338" s="648">
        <v>82176</v>
      </c>
      <c r="H1338" s="648">
        <v>6776</v>
      </c>
      <c r="I1338" s="648">
        <v>3654</v>
      </c>
      <c r="J1338" s="648">
        <v>7621</v>
      </c>
      <c r="K1338" s="649">
        <f t="shared" si="41"/>
        <v>100227</v>
      </c>
      <c r="L1338" s="648">
        <v>15052</v>
      </c>
      <c r="M1338" s="648">
        <v>4009</v>
      </c>
      <c r="N1338" s="648">
        <v>176073</v>
      </c>
      <c r="O1338" s="1510">
        <f>1-N1339</f>
        <v>0.51741518525218311</v>
      </c>
    </row>
    <row r="1339" spans="1:15" ht="12" customHeight="1">
      <c r="A1339" s="1527"/>
      <c r="B1339" s="1502"/>
      <c r="C1339" s="635" t="s">
        <v>6219</v>
      </c>
      <c r="D1339" s="636">
        <f>D1338/(D1338+E1338+G1338+H1338+I1338+J1338+L1338+M1338+N1338)</f>
        <v>0.11678644060363871</v>
      </c>
      <c r="E1339" s="636">
        <f>E1338/(D1338+E1338+G1338+H1338+I1338+J1338+L1338+M1338+N1338)</f>
        <v>7.3681527405482741E-2</v>
      </c>
      <c r="F1339" s="637">
        <f t="shared" si="40"/>
        <v>0.19046796800912147</v>
      </c>
      <c r="G1339" s="636">
        <f>G1338/(D1338+E1338+G1338+H1338+I1338+J1338+L1338+M1338+N1338)</f>
        <v>0.22522981795457908</v>
      </c>
      <c r="H1339" s="636">
        <f>H1338/(D1338+E1338+G1338+H1338+I1338+J1338+L1338+M1338+N1338)</f>
        <v>1.8571812286558458E-2</v>
      </c>
      <c r="I1339" s="636">
        <f>I1338/(D1338+E1338+G1338+H1338+I1338+J1338+L1338+M1338+N1338)</f>
        <v>1.0014964890065614E-2</v>
      </c>
      <c r="J1339" s="636">
        <f>J1338/(D1338+E1338+G1338+H1338+I1338+J1338+L1338+M1338+N1338)</f>
        <v>2.0887807177665588E-2</v>
      </c>
      <c r="K1339" s="637">
        <f t="shared" si="41"/>
        <v>0.27470440230886872</v>
      </c>
      <c r="L1339" s="636">
        <f>L1338/(D1338+E1338+G1338+H1338+I1338+J1338+L1338+M1338+N1338)</f>
        <v>4.1254858107626614E-2</v>
      </c>
      <c r="M1339" s="636">
        <f>M1338/(D1338+E1338+G1338+H1338+I1338+J1338+L1338+M1338+N1338)</f>
        <v>1.0987956826566243E-2</v>
      </c>
      <c r="N1339" s="636">
        <f>N1338/(D1338+E1338+G1338+H1338+I1338+J1338+L1338+M1338+N1338)</f>
        <v>0.48258481474781695</v>
      </c>
      <c r="O1339" s="1503"/>
    </row>
    <row r="1340" spans="1:15" ht="12" customHeight="1">
      <c r="A1340" s="1527"/>
      <c r="B1340" s="1502" t="s">
        <v>14938</v>
      </c>
      <c r="C1340" s="638" t="s">
        <v>6218</v>
      </c>
      <c r="D1340" s="639">
        <v>77507</v>
      </c>
      <c r="E1340" s="639">
        <v>26589</v>
      </c>
      <c r="F1340" s="640">
        <f t="shared" si="40"/>
        <v>104096</v>
      </c>
      <c r="G1340" s="639">
        <v>70769</v>
      </c>
      <c r="H1340" s="639">
        <v>9697</v>
      </c>
      <c r="I1340" s="639"/>
      <c r="J1340" s="639">
        <v>9308</v>
      </c>
      <c r="K1340" s="640">
        <f t="shared" si="41"/>
        <v>89774</v>
      </c>
      <c r="L1340" s="639">
        <v>16727</v>
      </c>
      <c r="M1340" s="639"/>
      <c r="N1340" s="639">
        <v>149681</v>
      </c>
      <c r="O1340" s="1503">
        <f>1-N1341</f>
        <v>0.58454027167909228</v>
      </c>
    </row>
    <row r="1341" spans="1:15" ht="12" customHeight="1">
      <c r="A1341" s="1527"/>
      <c r="B1341" s="1502"/>
      <c r="C1341" s="635" t="s">
        <v>6219</v>
      </c>
      <c r="D1341" s="636">
        <f>D1340/(D1340+E1340+G1340+H1340+I1340+J1340+L1340+M1340+N1340)</f>
        <v>0.21513109321135346</v>
      </c>
      <c r="E1341" s="636">
        <f>E1340/(D1340+E1340+G1340+H1340+I1340+J1340+L1340+M1340+N1340)</f>
        <v>7.3801342296781924E-2</v>
      </c>
      <c r="F1341" s="637">
        <f t="shared" si="40"/>
        <v>0.28893243550813541</v>
      </c>
      <c r="G1341" s="636">
        <f>G1340/(D1340+E1340+G1340+H1340+I1340+J1340+L1340+M1340+N1340)</f>
        <v>0.19642886881796834</v>
      </c>
      <c r="H1341" s="636">
        <f>H1340/(D1340+E1340+G1340+H1340+I1340+J1340+L1340+M1340+N1340)</f>
        <v>2.6915326497871088E-2</v>
      </c>
      <c r="I1341" s="636">
        <f>I1340/(D1340+E1340+G1340+H1340+I1340+J1340+L1340+M1340+N1340)</f>
        <v>0</v>
      </c>
      <c r="J1341" s="636">
        <f>J1340/(D1340+E1340+G1340+H1340+I1340+J1340+L1340+M1340+N1340)</f>
        <v>2.5835604727460462E-2</v>
      </c>
      <c r="K1341" s="637">
        <f t="shared" si="41"/>
        <v>0.2491798000432999</v>
      </c>
      <c r="L1341" s="636">
        <f>L1340/(D1340+E1340+G1340+H1340+I1340+J1340+L1340+M1340+N1340)</f>
        <v>4.6428036127656974E-2</v>
      </c>
      <c r="M1341" s="636">
        <f>M1340/(D1340+E1340+G1340+H1340+I1340+J1340+L1340+M1340+N1340)</f>
        <v>0</v>
      </c>
      <c r="N1341" s="636">
        <f>N1340/(D1340+E1340+G1340+H1340+I1340+J1340+L1340+M1340+N1340)</f>
        <v>0.41545972832090772</v>
      </c>
      <c r="O1341" s="1503"/>
    </row>
    <row r="1342" spans="1:15" ht="12" customHeight="1">
      <c r="A1342" s="1527"/>
      <c r="B1342" s="1502" t="s">
        <v>14939</v>
      </c>
      <c r="C1342" s="638" t="s">
        <v>6218</v>
      </c>
      <c r="D1342" s="639">
        <v>37922</v>
      </c>
      <c r="E1342" s="639">
        <v>28484</v>
      </c>
      <c r="F1342" s="640">
        <f t="shared" si="40"/>
        <v>66406</v>
      </c>
      <c r="G1342" s="639">
        <v>74108</v>
      </c>
      <c r="H1342" s="639">
        <v>7696</v>
      </c>
      <c r="I1342" s="639"/>
      <c r="J1342" s="639"/>
      <c r="K1342" s="640">
        <f t="shared" si="41"/>
        <v>81804</v>
      </c>
      <c r="L1342" s="639">
        <v>15135</v>
      </c>
      <c r="M1342" s="639">
        <v>6224</v>
      </c>
      <c r="N1342" s="639">
        <v>187252</v>
      </c>
      <c r="O1342" s="1503">
        <f>1-N1343</f>
        <v>0.47522146958839306</v>
      </c>
    </row>
    <row r="1343" spans="1:15" ht="12" customHeight="1">
      <c r="A1343" s="1527"/>
      <c r="B1343" s="1502"/>
      <c r="C1343" s="635" t="s">
        <v>6219</v>
      </c>
      <c r="D1343" s="636">
        <f>D1342/(D1342+E1342+G1342+H1342+I1342+J1342+L1342+M1342+N1342)</f>
        <v>0.10627737717230769</v>
      </c>
      <c r="E1343" s="636">
        <f>E1342/(D1342+E1342+G1342+H1342+I1342+J1342+L1342+M1342+N1342)</f>
        <v>7.982714021876515E-2</v>
      </c>
      <c r="F1343" s="637">
        <f t="shared" si="40"/>
        <v>0.18610451739107284</v>
      </c>
      <c r="G1343" s="636">
        <f>G1342/(D1342+E1342+G1342+H1342+I1342+J1342+L1342+M1342+N1342)</f>
        <v>0.20768956984034012</v>
      </c>
      <c r="H1343" s="636">
        <f>H1342/(D1342+E1342+G1342+H1342+I1342+J1342+L1342+M1342+N1342)</f>
        <v>2.1568237295450661E-2</v>
      </c>
      <c r="I1343" s="636">
        <f>I1342/(D1342+E1342+G1342+H1342+I1342+J1342+L1342+M1342+N1342)</f>
        <v>0</v>
      </c>
      <c r="J1343" s="636">
        <f>J1342/(D1342+E1342+G1342+H1342+I1342+J1342+L1342+M1342+N1342)</f>
        <v>0</v>
      </c>
      <c r="K1343" s="637">
        <f t="shared" si="41"/>
        <v>0.22925780713579078</v>
      </c>
      <c r="L1343" s="636">
        <f>L1342/(D1342+E1342+G1342+H1342+I1342+J1342+L1342+M1342+N1342)</f>
        <v>4.2416225502422786E-2</v>
      </c>
      <c r="M1343" s="636">
        <f>M1342/(D1342+E1342+G1342+H1342+I1342+J1342+L1342+M1342+N1342)</f>
        <v>1.7442919559106668E-2</v>
      </c>
      <c r="N1343" s="636">
        <f>N1342/(D1342+E1342+G1342+H1342+I1342+J1342+L1342+M1342+N1342)</f>
        <v>0.52477853041160694</v>
      </c>
      <c r="O1343" s="1503"/>
    </row>
    <row r="1344" spans="1:15" ht="12" customHeight="1">
      <c r="A1344" s="1527"/>
      <c r="B1344" s="1502" t="s">
        <v>14940</v>
      </c>
      <c r="C1344" s="638" t="s">
        <v>6218</v>
      </c>
      <c r="D1344" s="639">
        <v>52135</v>
      </c>
      <c r="E1344" s="639">
        <v>28915</v>
      </c>
      <c r="F1344" s="640">
        <f t="shared" si="40"/>
        <v>81050</v>
      </c>
      <c r="G1344" s="639">
        <v>77083</v>
      </c>
      <c r="H1344" s="639">
        <v>6972</v>
      </c>
      <c r="I1344" s="639"/>
      <c r="J1344" s="639"/>
      <c r="K1344" s="640">
        <f t="shared" si="41"/>
        <v>84055</v>
      </c>
      <c r="L1344" s="639">
        <v>15313</v>
      </c>
      <c r="M1344" s="639"/>
      <c r="N1344" s="639">
        <v>175357</v>
      </c>
      <c r="O1344" s="1503">
        <f>1-N1345</f>
        <v>0.5071126414166256</v>
      </c>
    </row>
    <row r="1345" spans="1:15" ht="12" customHeight="1" thickBot="1">
      <c r="A1345" s="1528"/>
      <c r="B1345" s="1514"/>
      <c r="C1345" s="641" t="s">
        <v>6219</v>
      </c>
      <c r="D1345" s="642">
        <f>D1344/(D1344+E1344+G1344+H1344+I1344+J1344+L1344+M1344+N1344)</f>
        <v>0.14653924530953552</v>
      </c>
      <c r="E1345" s="642">
        <f>E1344/(D1344+E1344+G1344+H1344+I1344+J1344+L1344+M1344+N1344)</f>
        <v>8.1273276649567849E-2</v>
      </c>
      <c r="F1345" s="643">
        <f t="shared" si="40"/>
        <v>0.22781252195910337</v>
      </c>
      <c r="G1345" s="642">
        <f>G1344/(D1344+E1344+G1344+H1344+I1344+J1344+L1344+M1344+N1344)</f>
        <v>0.2166622162883845</v>
      </c>
      <c r="H1345" s="642">
        <f>H1344/(D1344+E1344+G1344+H1344+I1344+J1344+L1344+M1344+N1344)</f>
        <v>1.9596655189375308E-2</v>
      </c>
      <c r="I1345" s="642">
        <f>I1344/(D1344+E1344+G1344+H1344+I1344+J1344+L1344+M1344+N1344)</f>
        <v>0</v>
      </c>
      <c r="J1345" s="642">
        <f>J1344/(D1344+E1344+G1344+H1344+I1344+J1344+L1344+M1344+N1344)</f>
        <v>0</v>
      </c>
      <c r="K1345" s="643">
        <f t="shared" si="41"/>
        <v>0.23625887147775981</v>
      </c>
      <c r="L1345" s="642">
        <f>L1344/(D1344+E1344+G1344+H1344+I1344+J1344+L1344+M1344+N1344)</f>
        <v>4.3041247979762491E-2</v>
      </c>
      <c r="M1345" s="642">
        <f>M1344/(D1344+E1344+G1344+H1344+I1344+J1344+L1344+M1344+N1344)</f>
        <v>0</v>
      </c>
      <c r="N1345" s="642">
        <f>N1344/(D1344+E1344+G1344+H1344+I1344+J1344+L1344+M1344+N1344)</f>
        <v>0.49288735858337435</v>
      </c>
      <c r="O1345" s="1515"/>
    </row>
    <row r="1346" spans="1:15" ht="12" customHeight="1">
      <c r="A1346" s="1526" t="s">
        <v>15106</v>
      </c>
      <c r="B1346" s="1509" t="s">
        <v>14937</v>
      </c>
      <c r="C1346" s="647" t="s">
        <v>6218</v>
      </c>
      <c r="D1346" s="648">
        <v>45011</v>
      </c>
      <c r="E1346" s="648">
        <v>24841</v>
      </c>
      <c r="F1346" s="649">
        <f t="shared" ref="F1346:F1409" si="42">SUM(D1346:E1346)</f>
        <v>69852</v>
      </c>
      <c r="G1346" s="648">
        <v>91960</v>
      </c>
      <c r="H1346" s="648">
        <v>8321</v>
      </c>
      <c r="I1346" s="648">
        <v>3607</v>
      </c>
      <c r="J1346" s="648">
        <v>8955</v>
      </c>
      <c r="K1346" s="649">
        <f t="shared" ref="K1346:K1409" si="43">SUM(G1346:J1346)</f>
        <v>112843</v>
      </c>
      <c r="L1346" s="648">
        <v>16811</v>
      </c>
      <c r="M1346" s="648">
        <v>4455</v>
      </c>
      <c r="N1346" s="648">
        <v>170073</v>
      </c>
      <c r="O1346" s="1510">
        <f>1-N1347</f>
        <v>0.545300694589262</v>
      </c>
    </row>
    <row r="1347" spans="1:15" ht="12" customHeight="1">
      <c r="A1347" s="1527"/>
      <c r="B1347" s="1502"/>
      <c r="C1347" s="635" t="s">
        <v>6219</v>
      </c>
      <c r="D1347" s="636">
        <f>D1346/(D1346+E1346+G1346+H1346+I1346+J1346+L1346+M1346+N1346)</f>
        <v>0.12033932744082089</v>
      </c>
      <c r="E1347" s="636">
        <f>E1346/(D1346+E1346+G1346+H1346+I1346+J1346+L1346+M1346+N1346)</f>
        <v>6.6413748482758259E-2</v>
      </c>
      <c r="F1347" s="637">
        <f t="shared" si="42"/>
        <v>0.18675307592357915</v>
      </c>
      <c r="G1347" s="636">
        <f>G1346/(D1346+E1346+G1346+H1346+I1346+J1346+L1346+M1346+N1346)</f>
        <v>0.24586000203190084</v>
      </c>
      <c r="H1347" s="636">
        <f>H1346/(D1346+E1346+G1346+H1346+I1346+J1346+L1346+M1346+N1346)</f>
        <v>2.2246640679724303E-2</v>
      </c>
      <c r="I1347" s="636">
        <f>I1346/(D1346+E1346+G1346+H1346+I1346+J1346+L1346+M1346+N1346)</f>
        <v>9.6435083441612258E-3</v>
      </c>
      <c r="J1347" s="636">
        <f>J1346/(D1346+E1346+G1346+H1346+I1346+J1346+L1346+M1346+N1346)</f>
        <v>2.394167375158408E-2</v>
      </c>
      <c r="K1347" s="637">
        <f t="shared" si="43"/>
        <v>0.30169182480737045</v>
      </c>
      <c r="L1347" s="636">
        <f>L1346/(D1346+E1346+G1346+H1346+I1346+J1346+L1346+M1346+N1346)</f>
        <v>4.4945111941695141E-2</v>
      </c>
      <c r="M1347" s="636">
        <f>M1346/(D1346+E1346+G1346+H1346+I1346+J1346+L1346+M1346+N1346)</f>
        <v>1.1910681916617205E-2</v>
      </c>
      <c r="N1347" s="636">
        <f>N1346/(D1346+E1346+G1346+H1346+I1346+J1346+L1346+M1346+N1346)</f>
        <v>0.45469930541073805</v>
      </c>
      <c r="O1347" s="1503"/>
    </row>
    <row r="1348" spans="1:15" ht="12" customHeight="1">
      <c r="A1348" s="1527"/>
      <c r="B1348" s="1502" t="s">
        <v>14938</v>
      </c>
      <c r="C1348" s="638" t="s">
        <v>6218</v>
      </c>
      <c r="D1348" s="639">
        <v>84092</v>
      </c>
      <c r="E1348" s="639">
        <v>23594</v>
      </c>
      <c r="F1348" s="640">
        <f t="shared" si="42"/>
        <v>107686</v>
      </c>
      <c r="G1348" s="639">
        <v>79118</v>
      </c>
      <c r="H1348" s="639">
        <v>10277</v>
      </c>
      <c r="I1348" s="639"/>
      <c r="J1348" s="639">
        <v>10320</v>
      </c>
      <c r="K1348" s="640">
        <f t="shared" si="43"/>
        <v>99715</v>
      </c>
      <c r="L1348" s="639">
        <v>18070</v>
      </c>
      <c r="M1348" s="639"/>
      <c r="N1348" s="639">
        <v>140954</v>
      </c>
      <c r="O1348" s="1503">
        <f>1-N1349</f>
        <v>0.61532646517022582</v>
      </c>
    </row>
    <row r="1349" spans="1:15" ht="12" customHeight="1">
      <c r="A1349" s="1527"/>
      <c r="B1349" s="1502"/>
      <c r="C1349" s="635" t="s">
        <v>6219</v>
      </c>
      <c r="D1349" s="636">
        <f>D1348/(D1348+E1348+G1348+H1348+I1348+J1348+L1348+M1348+N1348)</f>
        <v>0.22949307498123764</v>
      </c>
      <c r="E1349" s="636">
        <f>E1348/(D1348+E1348+G1348+H1348+I1348+J1348+L1348+M1348+N1348)</f>
        <v>6.4389711400695909E-2</v>
      </c>
      <c r="F1349" s="637">
        <f t="shared" si="42"/>
        <v>0.29388278638193355</v>
      </c>
      <c r="G1349" s="636">
        <f>G1348/(D1348+E1348+G1348+H1348+I1348+J1348+L1348+M1348+N1348)</f>
        <v>0.21591867367128334</v>
      </c>
      <c r="H1349" s="636">
        <f>H1348/(D1348+E1348+G1348+H1348+I1348+J1348+L1348+M1348+N1348)</f>
        <v>2.8046667121511906E-2</v>
      </c>
      <c r="I1349" s="636">
        <f>I1348/(D1348+E1348+G1348+H1348+I1348+J1348+L1348+M1348+N1348)</f>
        <v>0</v>
      </c>
      <c r="J1349" s="636">
        <f>J1348/(D1348+E1348+G1348+H1348+I1348+J1348+L1348+M1348+N1348)</f>
        <v>2.816401719315003E-2</v>
      </c>
      <c r="K1349" s="637">
        <f t="shared" si="43"/>
        <v>0.27212935798594529</v>
      </c>
      <c r="L1349" s="636">
        <f>L1348/(D1348+E1348+G1348+H1348+I1348+J1348+L1348+M1348+N1348)</f>
        <v>4.9314320802347003E-2</v>
      </c>
      <c r="M1349" s="636">
        <f>M1348/(D1348+E1348+G1348+H1348+I1348+J1348+L1348+M1348+N1348)</f>
        <v>0</v>
      </c>
      <c r="N1349" s="636">
        <f>N1348/(D1348+E1348+G1348+H1348+I1348+J1348+L1348+M1348+N1348)</f>
        <v>0.38467353482977418</v>
      </c>
      <c r="O1349" s="1503"/>
    </row>
    <row r="1350" spans="1:15" ht="12" customHeight="1">
      <c r="A1350" s="1527"/>
      <c r="B1350" s="1502" t="s">
        <v>14939</v>
      </c>
      <c r="C1350" s="638" t="s">
        <v>6218</v>
      </c>
      <c r="D1350" s="639">
        <v>40238</v>
      </c>
      <c r="E1350" s="639">
        <v>24815</v>
      </c>
      <c r="F1350" s="640">
        <f t="shared" si="42"/>
        <v>65053</v>
      </c>
      <c r="G1350" s="639">
        <v>82266</v>
      </c>
      <c r="H1350" s="639">
        <v>9334</v>
      </c>
      <c r="I1350" s="639"/>
      <c r="J1350" s="639"/>
      <c r="K1350" s="640">
        <f t="shared" si="43"/>
        <v>91600</v>
      </c>
      <c r="L1350" s="639">
        <v>16356</v>
      </c>
      <c r="M1350" s="639">
        <v>6914</v>
      </c>
      <c r="N1350" s="639">
        <v>182976</v>
      </c>
      <c r="O1350" s="1503">
        <f>1-N1351</f>
        <v>0.49579359546320045</v>
      </c>
    </row>
    <row r="1351" spans="1:15" ht="12" customHeight="1">
      <c r="A1351" s="1527"/>
      <c r="B1351" s="1502"/>
      <c r="C1351" s="635" t="s">
        <v>6219</v>
      </c>
      <c r="D1351" s="636">
        <f>D1350/(D1350+E1350+G1350+H1350+I1350+J1350+L1350+M1350+N1350)</f>
        <v>0.11087933557270756</v>
      </c>
      <c r="E1351" s="636">
        <f>E1350/(D1350+E1350+G1350+H1350+I1350+J1350+L1350+M1350+N1350)</f>
        <v>6.8379907357143443E-2</v>
      </c>
      <c r="F1351" s="637">
        <f t="shared" si="42"/>
        <v>0.17925924292985101</v>
      </c>
      <c r="G1351" s="636">
        <f>G1350/(D1350+E1350+G1350+H1350+I1350+J1350+L1350+M1350+N1350)</f>
        <v>0.22669117302610367</v>
      </c>
      <c r="H1351" s="636">
        <f>H1350/(D1350+E1350+G1350+H1350+I1350+J1350+L1350+M1350+N1350)</f>
        <v>2.5720655058294458E-2</v>
      </c>
      <c r="I1351" s="636">
        <f>I1350/(D1350+E1350+G1350+H1350+I1350+J1350+L1350+M1350+N1350)</f>
        <v>0</v>
      </c>
      <c r="J1351" s="636">
        <f>J1350/(D1350+E1350+G1350+H1350+I1350+J1350+L1350+M1350+N1350)</f>
        <v>0</v>
      </c>
      <c r="K1351" s="637">
        <f t="shared" si="43"/>
        <v>0.2524118280843981</v>
      </c>
      <c r="L1351" s="636">
        <f>L1350/(D1350+E1350+G1350+H1350+I1350+J1350+L1350+M1350+N1350)</f>
        <v>4.5070391486336417E-2</v>
      </c>
      <c r="M1351" s="636">
        <f>M1350/(D1350+E1350+G1350+H1350+I1350+J1350+L1350+M1350+N1350)</f>
        <v>1.9052132962614942E-2</v>
      </c>
      <c r="N1351" s="636">
        <f>N1350/(D1350+E1350+G1350+H1350+I1350+J1350+L1350+M1350+N1350)</f>
        <v>0.50420640453679955</v>
      </c>
      <c r="O1351" s="1503"/>
    </row>
    <row r="1352" spans="1:15" ht="12" customHeight="1">
      <c r="A1352" s="1527"/>
      <c r="B1352" s="1502" t="s">
        <v>14940</v>
      </c>
      <c r="C1352" s="638" t="s">
        <v>6218</v>
      </c>
      <c r="D1352" s="639">
        <v>53085</v>
      </c>
      <c r="E1352" s="639">
        <v>24734</v>
      </c>
      <c r="F1352" s="640">
        <f t="shared" si="42"/>
        <v>77819</v>
      </c>
      <c r="G1352" s="639">
        <v>88931</v>
      </c>
      <c r="H1352" s="639">
        <v>8148</v>
      </c>
      <c r="I1352" s="639"/>
      <c r="J1352" s="639"/>
      <c r="K1352" s="640">
        <f t="shared" si="43"/>
        <v>97079</v>
      </c>
      <c r="L1352" s="639">
        <v>16369</v>
      </c>
      <c r="M1352" s="639"/>
      <c r="N1352" s="639">
        <v>170207</v>
      </c>
      <c r="O1352" s="1503">
        <f>1-N1353</f>
        <v>0.52913072586133447</v>
      </c>
    </row>
    <row r="1353" spans="1:15" ht="12" customHeight="1" thickBot="1">
      <c r="A1353" s="1528"/>
      <c r="B1353" s="1514"/>
      <c r="C1353" s="641" t="s">
        <v>6219</v>
      </c>
      <c r="D1353" s="642">
        <f>D1352/(D1352+E1352+G1352+H1352+I1352+J1352+L1352+M1352+N1352)</f>
        <v>0.14685703536077283</v>
      </c>
      <c r="E1353" s="642">
        <f>E1352/(D1352+E1352+G1352+H1352+I1352+J1352+L1352+M1352+N1352)</f>
        <v>6.8425391591096452E-2</v>
      </c>
      <c r="F1353" s="643">
        <f t="shared" si="42"/>
        <v>0.21528242695186928</v>
      </c>
      <c r="G1353" s="642">
        <f>G1352/(D1352+E1352+G1352+H1352+I1352+J1352+L1352+M1352+N1352)</f>
        <v>0.24602322712006949</v>
      </c>
      <c r="H1353" s="642">
        <f>H1352/(D1352+E1352+G1352+H1352+I1352+J1352+L1352+M1352+N1352)</f>
        <v>2.2541040296120883E-2</v>
      </c>
      <c r="I1353" s="642">
        <f>I1352/(D1352+E1352+G1352+H1352+I1352+J1352+L1352+M1352+N1352)</f>
        <v>0</v>
      </c>
      <c r="J1353" s="642">
        <f>J1352/(D1352+E1352+G1352+H1352+I1352+J1352+L1352+M1352+N1352)</f>
        <v>0</v>
      </c>
      <c r="K1353" s="643">
        <f t="shared" si="43"/>
        <v>0.26856426741619038</v>
      </c>
      <c r="L1353" s="642">
        <f>L1352/(D1352+E1352+G1352+H1352+I1352+J1352+L1352+M1352+N1352)</f>
        <v>4.5284031493274757E-2</v>
      </c>
      <c r="M1353" s="642">
        <f>M1352/(D1352+E1352+G1352+H1352+I1352+J1352+L1352+M1352+N1352)</f>
        <v>0</v>
      </c>
      <c r="N1353" s="642">
        <f>N1352/(D1352+E1352+G1352+H1352+I1352+J1352+L1352+M1352+N1352)</f>
        <v>0.47086927413866558</v>
      </c>
      <c r="O1353" s="1515"/>
    </row>
    <row r="1354" spans="1:15" ht="12" customHeight="1">
      <c r="A1354" s="1526" t="s">
        <v>15107</v>
      </c>
      <c r="B1354" s="1509" t="s">
        <v>14937</v>
      </c>
      <c r="C1354" s="647" t="s">
        <v>6218</v>
      </c>
      <c r="D1354" s="648">
        <v>42942</v>
      </c>
      <c r="E1354" s="648">
        <v>25895</v>
      </c>
      <c r="F1354" s="649">
        <f t="shared" si="42"/>
        <v>68837</v>
      </c>
      <c r="G1354" s="648">
        <v>95777</v>
      </c>
      <c r="H1354" s="648">
        <v>7724</v>
      </c>
      <c r="I1354" s="648">
        <v>3600</v>
      </c>
      <c r="J1354" s="648">
        <v>8425</v>
      </c>
      <c r="K1354" s="649">
        <f t="shared" si="43"/>
        <v>115526</v>
      </c>
      <c r="L1354" s="648">
        <v>18319</v>
      </c>
      <c r="M1354" s="648">
        <v>4475</v>
      </c>
      <c r="N1354" s="648">
        <v>169129</v>
      </c>
      <c r="O1354" s="1510">
        <f>1-N1355</f>
        <v>0.55053071334038473</v>
      </c>
    </row>
    <row r="1355" spans="1:15" ht="12" customHeight="1">
      <c r="A1355" s="1527"/>
      <c r="B1355" s="1502"/>
      <c r="C1355" s="635" t="s">
        <v>6219</v>
      </c>
      <c r="D1355" s="636">
        <f>D1354/(D1354+E1354+G1354+H1354+I1354+J1354+L1354+M1354+N1354)</f>
        <v>0.11412064227741664</v>
      </c>
      <c r="E1355" s="636">
        <f>E1354/(D1354+E1354+G1354+H1354+I1354+J1354+L1354+M1354+N1354)</f>
        <v>6.8817335749934885E-2</v>
      </c>
      <c r="F1355" s="637">
        <f t="shared" si="42"/>
        <v>0.18293797802735151</v>
      </c>
      <c r="G1355" s="636">
        <f>G1354/(D1354+E1354+G1354+H1354+I1354+J1354+L1354+M1354+N1354)</f>
        <v>0.25453245669517333</v>
      </c>
      <c r="H1355" s="636">
        <f>H1354/(D1354+E1354+G1354+H1354+I1354+J1354+L1354+M1354+N1354)</f>
        <v>2.0526939615080019E-2</v>
      </c>
      <c r="I1355" s="636">
        <f>I1354/(D1354+E1354+G1354+H1354+I1354+J1354+L1354+M1354+N1354)</f>
        <v>9.567190913294674E-3</v>
      </c>
      <c r="J1355" s="636">
        <f>J1354/(D1354+E1354+G1354+H1354+I1354+J1354+L1354+M1354+N1354)</f>
        <v>2.2389884290141011E-2</v>
      </c>
      <c r="K1355" s="637">
        <f t="shared" si="43"/>
        <v>0.30701647151368899</v>
      </c>
      <c r="L1355" s="636">
        <f>L1354/(D1354+E1354+G1354+H1354+I1354+J1354+L1354+M1354+N1354)</f>
        <v>4.8683713983512539E-2</v>
      </c>
      <c r="M1355" s="636">
        <f>M1354/(D1354+E1354+G1354+H1354+I1354+J1354+L1354+M1354+N1354)</f>
        <v>1.1892549815831575E-2</v>
      </c>
      <c r="N1355" s="636">
        <f>N1354/(D1354+E1354+G1354+H1354+I1354+J1354+L1354+M1354+N1354)</f>
        <v>0.44946928665961527</v>
      </c>
      <c r="O1355" s="1503"/>
    </row>
    <row r="1356" spans="1:15" ht="12" customHeight="1">
      <c r="A1356" s="1527"/>
      <c r="B1356" s="1502" t="s">
        <v>14938</v>
      </c>
      <c r="C1356" s="638" t="s">
        <v>6218</v>
      </c>
      <c r="D1356" s="639">
        <v>82429</v>
      </c>
      <c r="E1356" s="639">
        <v>25140</v>
      </c>
      <c r="F1356" s="640">
        <f t="shared" si="42"/>
        <v>107569</v>
      </c>
      <c r="G1356" s="639">
        <v>80108</v>
      </c>
      <c r="H1356" s="639">
        <v>10160</v>
      </c>
      <c r="I1356" s="639"/>
      <c r="J1356" s="639">
        <v>9945</v>
      </c>
      <c r="K1356" s="640">
        <f t="shared" si="43"/>
        <v>100213</v>
      </c>
      <c r="L1356" s="639">
        <v>19750</v>
      </c>
      <c r="M1356" s="639"/>
      <c r="N1356" s="639">
        <v>140671</v>
      </c>
      <c r="O1356" s="1503">
        <f>1-N1357</f>
        <v>0.61795259680122105</v>
      </c>
    </row>
    <row r="1357" spans="1:15" ht="12" customHeight="1">
      <c r="A1357" s="1527"/>
      <c r="B1357" s="1502"/>
      <c r="C1357" s="635" t="s">
        <v>6219</v>
      </c>
      <c r="D1357" s="636">
        <f>D1356/(D1356+E1356+G1356+H1356+I1356+J1356+L1356+M1356+N1356)</f>
        <v>0.22386835522795848</v>
      </c>
      <c r="E1357" s="636">
        <f>E1356/(D1356+E1356+G1356+H1356+I1356+J1356+L1356+M1356+N1356)</f>
        <v>6.8277553414828232E-2</v>
      </c>
      <c r="F1357" s="637">
        <f t="shared" si="42"/>
        <v>0.29214590864278672</v>
      </c>
      <c r="G1357" s="636">
        <f>G1356/(D1356+E1356+G1356+H1356+I1356+J1356+L1356+M1356+N1356)</f>
        <v>0.21756476726153778</v>
      </c>
      <c r="H1357" s="636">
        <f>H1356/(D1356+E1356+G1356+H1356+I1356+J1356+L1356+M1356+N1356)</f>
        <v>2.7593474251975135E-2</v>
      </c>
      <c r="I1357" s="636">
        <f>I1356/(D1356+E1356+G1356+H1356+I1356+J1356+L1356+M1356+N1356)</f>
        <v>0</v>
      </c>
      <c r="J1357" s="636">
        <f>J1356/(D1356+E1356+G1356+H1356+I1356+J1356+L1356+M1356+N1356)</f>
        <v>2.7009557227942196E-2</v>
      </c>
      <c r="K1357" s="637">
        <f t="shared" si="43"/>
        <v>0.27216779874145514</v>
      </c>
      <c r="L1357" s="636">
        <f>L1356/(D1356+E1356+G1356+H1356+I1356+J1356+L1356+M1356+N1356)</f>
        <v>5.3638889416979224E-2</v>
      </c>
      <c r="M1357" s="636">
        <f>M1356/(D1356+E1356+G1356+H1356+I1356+J1356+L1356+M1356+N1356)</f>
        <v>0</v>
      </c>
      <c r="N1357" s="636">
        <f>N1356/(D1356+E1356+G1356+H1356+I1356+J1356+L1356+M1356+N1356)</f>
        <v>0.38204740319877895</v>
      </c>
      <c r="O1357" s="1503"/>
    </row>
    <row r="1358" spans="1:15" ht="12" customHeight="1">
      <c r="A1358" s="1527"/>
      <c r="B1358" s="1502" t="s">
        <v>14939</v>
      </c>
      <c r="C1358" s="638" t="s">
        <v>6218</v>
      </c>
      <c r="D1358" s="639">
        <v>39736</v>
      </c>
      <c r="E1358" s="639">
        <v>26882</v>
      </c>
      <c r="F1358" s="640">
        <f t="shared" si="42"/>
        <v>66618</v>
      </c>
      <c r="G1358" s="639">
        <v>84480</v>
      </c>
      <c r="H1358" s="639">
        <v>8977</v>
      </c>
      <c r="I1358" s="639"/>
      <c r="J1358" s="639"/>
      <c r="K1358" s="640">
        <f t="shared" si="43"/>
        <v>93457</v>
      </c>
      <c r="L1358" s="639">
        <v>17873</v>
      </c>
      <c r="M1358" s="639">
        <v>7150</v>
      </c>
      <c r="N1358" s="639">
        <v>178508</v>
      </c>
      <c r="O1358" s="1503">
        <f>1-N1359</f>
        <v>0.50906200667755752</v>
      </c>
    </row>
    <row r="1359" spans="1:15" ht="12" customHeight="1">
      <c r="A1359" s="1527"/>
      <c r="B1359" s="1502"/>
      <c r="C1359" s="635" t="s">
        <v>6219</v>
      </c>
      <c r="D1359" s="636">
        <f>D1358/(D1358+E1358+G1358+H1358+I1358+J1358+L1358+M1358+N1358)</f>
        <v>0.10928312514094927</v>
      </c>
      <c r="E1359" s="636">
        <f>E1358/(D1358+E1358+G1358+H1358+I1358+J1358+L1358+M1358+N1358)</f>
        <v>7.3931673294720113E-2</v>
      </c>
      <c r="F1359" s="637">
        <f t="shared" si="42"/>
        <v>0.1832147984356694</v>
      </c>
      <c r="G1359" s="636">
        <f>G1358/(D1358+E1358+G1358+H1358+I1358+J1358+L1358+M1358+N1358)</f>
        <v>0.23233940033992839</v>
      </c>
      <c r="H1359" s="636">
        <f>H1358/(D1358+E1358+G1358+H1358+I1358+J1358+L1358+M1358+N1358)</f>
        <v>2.4688811515761567E-2</v>
      </c>
      <c r="I1359" s="636">
        <f>I1358/(D1358+E1358+G1358+H1358+I1358+J1358+L1358+M1358+N1358)</f>
        <v>0</v>
      </c>
      <c r="J1359" s="636">
        <f>J1358/(D1358+E1358+G1358+H1358+I1358+J1358+L1358+M1358+N1358)</f>
        <v>0</v>
      </c>
      <c r="K1359" s="637">
        <f t="shared" si="43"/>
        <v>0.25702821185568997</v>
      </c>
      <c r="L1359" s="636">
        <f>L1358/(D1358+E1358+G1358+H1358+I1358+J1358+L1358+M1358+N1358)</f>
        <v>4.9154854430344931E-2</v>
      </c>
      <c r="M1359" s="636">
        <f>M1358/(D1358+E1358+G1358+H1358+I1358+J1358+L1358+M1358+N1358)</f>
        <v>1.9664141955853313E-2</v>
      </c>
      <c r="N1359" s="636">
        <f>N1358/(D1358+E1358+G1358+H1358+I1358+J1358+L1358+M1358+N1358)</f>
        <v>0.49093799332244242</v>
      </c>
      <c r="O1359" s="1503"/>
    </row>
    <row r="1360" spans="1:15" ht="12" customHeight="1">
      <c r="A1360" s="1527"/>
      <c r="B1360" s="1502" t="s">
        <v>14940</v>
      </c>
      <c r="C1360" s="638" t="s">
        <v>6218</v>
      </c>
      <c r="D1360" s="639">
        <v>52957</v>
      </c>
      <c r="E1360" s="639">
        <v>26251</v>
      </c>
      <c r="F1360" s="640">
        <f t="shared" si="42"/>
        <v>79208</v>
      </c>
      <c r="G1360" s="639">
        <v>91966</v>
      </c>
      <c r="H1360" s="639">
        <v>7613</v>
      </c>
      <c r="I1360" s="639"/>
      <c r="J1360" s="639"/>
      <c r="K1360" s="640">
        <f t="shared" si="43"/>
        <v>99579</v>
      </c>
      <c r="L1360" s="639">
        <v>17714</v>
      </c>
      <c r="M1360" s="639"/>
      <c r="N1360" s="639">
        <v>165647</v>
      </c>
      <c r="O1360" s="1503">
        <f>1-N1361</f>
        <v>0.54259860609474586</v>
      </c>
    </row>
    <row r="1361" spans="1:15" ht="12" customHeight="1" thickBot="1">
      <c r="A1361" s="1528"/>
      <c r="B1361" s="1514"/>
      <c r="C1361" s="641" t="s">
        <v>6219</v>
      </c>
      <c r="D1361" s="642">
        <f>D1360/(D1360+E1360+G1360+H1360+I1360+J1360+L1360+M1360+N1360)</f>
        <v>0.14623027049714482</v>
      </c>
      <c r="E1361" s="642">
        <f>E1360/(D1360+E1360+G1360+H1360+I1360+J1360+L1360+M1360+N1360)</f>
        <v>7.2486939041496848E-2</v>
      </c>
      <c r="F1361" s="643">
        <f t="shared" si="42"/>
        <v>0.21871720953864165</v>
      </c>
      <c r="G1361" s="642">
        <f>G1360/(D1360+E1360+G1360+H1360+I1360+J1360+L1360+M1360+N1360)</f>
        <v>0.25394590057103728</v>
      </c>
      <c r="H1361" s="642">
        <f>H1360/(D1360+E1360+G1360+H1360+I1360+J1360+L1360+M1360+N1360)</f>
        <v>2.1021792195456003E-2</v>
      </c>
      <c r="I1361" s="642">
        <f>I1360/(D1360+E1360+G1360+H1360+I1360+J1360+L1360+M1360+N1360)</f>
        <v>0</v>
      </c>
      <c r="J1361" s="642">
        <f>J1360/(D1360+E1360+G1360+H1360+I1360+J1360+L1360+M1360+N1360)</f>
        <v>0</v>
      </c>
      <c r="K1361" s="643">
        <f t="shared" si="43"/>
        <v>0.2749676927664933</v>
      </c>
      <c r="L1361" s="642">
        <f>L1360/(D1360+E1360+G1360+H1360+I1360+J1360+L1360+M1360+N1360)</f>
        <v>4.891370378961088E-2</v>
      </c>
      <c r="M1361" s="642">
        <f>M1360/(D1360+E1360+G1360+H1360+I1360+J1360+L1360+M1360+N1360)</f>
        <v>0</v>
      </c>
      <c r="N1361" s="642">
        <f>N1360/(D1360+E1360+G1360+H1360+I1360+J1360+L1360+M1360+N1360)</f>
        <v>0.45740139390525419</v>
      </c>
      <c r="O1361" s="1515"/>
    </row>
    <row r="1362" spans="1:15" ht="12" customHeight="1">
      <c r="A1362" s="1526" t="s">
        <v>15108</v>
      </c>
      <c r="B1362" s="1509" t="s">
        <v>14937</v>
      </c>
      <c r="C1362" s="647" t="s">
        <v>6218</v>
      </c>
      <c r="D1362" s="648">
        <v>41089</v>
      </c>
      <c r="E1362" s="648">
        <v>32994</v>
      </c>
      <c r="F1362" s="649">
        <f t="shared" si="42"/>
        <v>74083</v>
      </c>
      <c r="G1362" s="648">
        <v>81009</v>
      </c>
      <c r="H1362" s="648">
        <v>6421</v>
      </c>
      <c r="I1362" s="648">
        <v>3388</v>
      </c>
      <c r="J1362" s="648">
        <v>6835</v>
      </c>
      <c r="K1362" s="649">
        <f t="shared" si="43"/>
        <v>97653</v>
      </c>
      <c r="L1362" s="648">
        <v>19613</v>
      </c>
      <c r="M1362" s="648">
        <v>3851</v>
      </c>
      <c r="N1362" s="648">
        <v>178650</v>
      </c>
      <c r="O1362" s="1510">
        <f>1-N1363</f>
        <v>0.52213454594088538</v>
      </c>
    </row>
    <row r="1363" spans="1:15" ht="12" customHeight="1">
      <c r="A1363" s="1527"/>
      <c r="B1363" s="1502"/>
      <c r="C1363" s="635" t="s">
        <v>6219</v>
      </c>
      <c r="D1363" s="636">
        <f>D1362/(D1362+E1362+G1362+H1362+I1362+J1362+L1362+M1362+N1362)</f>
        <v>0.10990771699879631</v>
      </c>
      <c r="E1363" s="636">
        <f>E1362/(D1362+E1362+G1362+H1362+I1362+J1362+L1362+M1362+N1362)</f>
        <v>8.8254647585930185E-2</v>
      </c>
      <c r="F1363" s="637">
        <f t="shared" si="42"/>
        <v>0.1981623645847265</v>
      </c>
      <c r="G1363" s="636">
        <f>G1362/(D1362+E1362+G1362+H1362+I1362+J1362+L1362+M1362+N1362)</f>
        <v>0.21668851143506754</v>
      </c>
      <c r="H1363" s="636">
        <f>H1362/(D1362+E1362+G1362+H1362+I1362+J1362+L1362+M1362+N1362)</f>
        <v>1.7175337702287012E-2</v>
      </c>
      <c r="I1363" s="636">
        <f>I1362/(D1362+E1362+G1362+H1362+I1362+J1362+L1362+M1362+N1362)</f>
        <v>9.0624582051624988E-3</v>
      </c>
      <c r="J1363" s="636">
        <f>J1362/(D1362+E1362+G1362+H1362+I1362+J1362+L1362+M1362+N1362)</f>
        <v>1.8282733716731309E-2</v>
      </c>
      <c r="K1363" s="637">
        <f t="shared" si="43"/>
        <v>0.26120904105924836</v>
      </c>
      <c r="L1363" s="636">
        <f>L1362/(D1362+E1362+G1362+H1362+I1362+J1362+L1362+M1362+N1362)</f>
        <v>5.2462217466898491E-2</v>
      </c>
      <c r="M1363" s="636">
        <f>M1362/(D1362+E1362+G1362+H1362+I1362+J1362+L1362+M1362+N1362)</f>
        <v>1.0300922830012037E-2</v>
      </c>
      <c r="N1363" s="636">
        <f>N1362/(D1362+E1362+G1362+H1362+I1362+J1362+L1362+M1362+N1362)</f>
        <v>0.47786545405911462</v>
      </c>
      <c r="O1363" s="1503"/>
    </row>
    <row r="1364" spans="1:15" ht="12" customHeight="1">
      <c r="A1364" s="1527"/>
      <c r="B1364" s="1502" t="s">
        <v>14938</v>
      </c>
      <c r="C1364" s="638" t="s">
        <v>6218</v>
      </c>
      <c r="D1364" s="639">
        <v>73518</v>
      </c>
      <c r="E1364" s="639">
        <v>33041</v>
      </c>
      <c r="F1364" s="640">
        <f t="shared" si="42"/>
        <v>106559</v>
      </c>
      <c r="G1364" s="639">
        <v>72110</v>
      </c>
      <c r="H1364" s="639">
        <v>8533</v>
      </c>
      <c r="I1364" s="639"/>
      <c r="J1364" s="639">
        <v>8505</v>
      </c>
      <c r="K1364" s="640">
        <f t="shared" si="43"/>
        <v>89148</v>
      </c>
      <c r="L1364" s="639">
        <v>23725</v>
      </c>
      <c r="M1364" s="639"/>
      <c r="N1364" s="639">
        <v>153012</v>
      </c>
      <c r="O1364" s="1503">
        <f>1-N1365</f>
        <v>0.58916776750330246</v>
      </c>
    </row>
    <row r="1365" spans="1:15" ht="12" customHeight="1">
      <c r="A1365" s="1527"/>
      <c r="B1365" s="1502"/>
      <c r="C1365" s="635" t="s">
        <v>6219</v>
      </c>
      <c r="D1365" s="636">
        <f>D1364/(D1364+E1364+G1364+H1364+I1364+J1364+L1364+M1364+N1364)</f>
        <v>0.19739343364371556</v>
      </c>
      <c r="E1365" s="636">
        <f>E1364/(D1364+E1364+G1364+H1364+I1364+J1364+L1364+M1364+N1364)</f>
        <v>8.8714008011942735E-2</v>
      </c>
      <c r="F1365" s="637">
        <f t="shared" si="42"/>
        <v>0.28610744165565827</v>
      </c>
      <c r="G1365" s="636">
        <f>G1364/(D1364+E1364+G1364+H1364+I1364+J1364+L1364+M1364+N1364)</f>
        <v>0.19361299953818562</v>
      </c>
      <c r="H1365" s="636">
        <f>H1364/(D1364+E1364+G1364+H1364+I1364+J1364+L1364+M1364+N1364)</f>
        <v>2.2910826862561889E-2</v>
      </c>
      <c r="I1365" s="636">
        <f>I1364/(D1364+E1364+G1364+H1364+I1364+J1364+L1364+M1364+N1364)</f>
        <v>0</v>
      </c>
      <c r="J1365" s="636">
        <f>J1364/(D1364+E1364+G1364+H1364+I1364+J1364+L1364+M1364+N1364)</f>
        <v>2.2835647775236008E-2</v>
      </c>
      <c r="K1365" s="637">
        <f t="shared" si="43"/>
        <v>0.23935947417598349</v>
      </c>
      <c r="L1365" s="636">
        <f>L1364/(D1364+E1364+G1364+H1364+I1364+J1364+L1364+M1364+N1364)</f>
        <v>6.3700851671660702E-2</v>
      </c>
      <c r="M1365" s="636">
        <f>M1364/(D1364+E1364+G1364+H1364+I1364+J1364+L1364+M1364+N1364)</f>
        <v>0</v>
      </c>
      <c r="N1365" s="636">
        <f>N1364/(D1364+E1364+G1364+H1364+I1364+J1364+L1364+M1364+N1364)</f>
        <v>0.41083223249669748</v>
      </c>
      <c r="O1365" s="1503"/>
    </row>
    <row r="1366" spans="1:15" ht="12" customHeight="1">
      <c r="A1366" s="1527"/>
      <c r="B1366" s="1502" t="s">
        <v>14939</v>
      </c>
      <c r="C1366" s="638" t="s">
        <v>6218</v>
      </c>
      <c r="D1366" s="639">
        <v>37029</v>
      </c>
      <c r="E1366" s="639">
        <v>33489</v>
      </c>
      <c r="F1366" s="640">
        <f t="shared" si="42"/>
        <v>70518</v>
      </c>
      <c r="G1366" s="639">
        <v>71709</v>
      </c>
      <c r="H1366" s="639">
        <v>7629</v>
      </c>
      <c r="I1366" s="639"/>
      <c r="J1366" s="639"/>
      <c r="K1366" s="640">
        <f t="shared" si="43"/>
        <v>79338</v>
      </c>
      <c r="L1366" s="639">
        <v>20643</v>
      </c>
      <c r="M1366" s="639">
        <v>6055</v>
      </c>
      <c r="N1366" s="639">
        <v>193990</v>
      </c>
      <c r="O1366" s="1503">
        <f>1-N1367</f>
        <v>0.47647242972494497</v>
      </c>
    </row>
    <row r="1367" spans="1:15" ht="12" customHeight="1">
      <c r="A1367" s="1527"/>
      <c r="B1367" s="1502"/>
      <c r="C1367" s="635" t="s">
        <v>6219</v>
      </c>
      <c r="D1367" s="636">
        <f>D1366/(D1366+E1366+G1366+H1366+I1366+J1366+L1366+M1366+N1366)</f>
        <v>9.9931452135239004E-2</v>
      </c>
      <c r="E1367" s="636">
        <f>E1366/(D1366+E1366+G1366+H1366+I1366+J1366+L1366+M1366+N1366)</f>
        <v>9.0377930826028754E-2</v>
      </c>
      <c r="F1367" s="637">
        <f t="shared" si="42"/>
        <v>0.19030938296126776</v>
      </c>
      <c r="G1367" s="636">
        <f>G1366/(D1366+E1366+G1366+H1366+I1366+J1366+L1366+M1366+N1366)</f>
        <v>0.19352357614750204</v>
      </c>
      <c r="H1367" s="636">
        <f>H1366/(D1366+E1366+G1366+H1366+I1366+J1366+L1366+M1366+N1366)</f>
        <v>2.0588648041798004E-2</v>
      </c>
      <c r="I1367" s="636">
        <f>I1366/(D1366+E1366+G1366+H1366+I1366+J1366+L1366+M1366+N1366)</f>
        <v>0</v>
      </c>
      <c r="J1367" s="636">
        <f>J1366/(D1366+E1366+G1366+H1366+I1366+J1366+L1366+M1366+N1366)</f>
        <v>0</v>
      </c>
      <c r="K1367" s="637">
        <f t="shared" si="43"/>
        <v>0.21411222418930004</v>
      </c>
      <c r="L1367" s="636">
        <f>L1366/(D1366+E1366+G1366+H1366+I1366+J1366+L1366+M1366+N1366)</f>
        <v>5.5709983159894644E-2</v>
      </c>
      <c r="M1367" s="636">
        <f>M1366/(D1366+E1366+G1366+H1366+I1366+J1366+L1366+M1366+N1366)</f>
        <v>1.6340839414482489E-2</v>
      </c>
      <c r="N1367" s="636">
        <f>N1366/(D1366+E1366+G1366+H1366+I1366+J1366+L1366+M1366+N1366)</f>
        <v>0.52352757027505503</v>
      </c>
      <c r="O1367" s="1503"/>
    </row>
    <row r="1368" spans="1:15" ht="12" customHeight="1">
      <c r="A1368" s="1527"/>
      <c r="B1368" s="1502" t="s">
        <v>14940</v>
      </c>
      <c r="C1368" s="638" t="s">
        <v>6218</v>
      </c>
      <c r="D1368" s="639">
        <v>53204</v>
      </c>
      <c r="E1368" s="639">
        <v>33845</v>
      </c>
      <c r="F1368" s="640">
        <f t="shared" si="42"/>
        <v>87049</v>
      </c>
      <c r="G1368" s="639">
        <v>77595</v>
      </c>
      <c r="H1368" s="639">
        <v>6758</v>
      </c>
      <c r="I1368" s="639"/>
      <c r="J1368" s="639"/>
      <c r="K1368" s="640">
        <f t="shared" si="43"/>
        <v>84353</v>
      </c>
      <c r="L1368" s="639">
        <v>21648</v>
      </c>
      <c r="M1368" s="639"/>
      <c r="N1368" s="639">
        <v>177020</v>
      </c>
      <c r="O1368" s="1503">
        <f>1-N1369</f>
        <v>0.52165806469046394</v>
      </c>
    </row>
    <row r="1369" spans="1:15" ht="12" customHeight="1" thickBot="1">
      <c r="A1369" s="1528"/>
      <c r="B1369" s="1514"/>
      <c r="C1369" s="641" t="s">
        <v>6219</v>
      </c>
      <c r="D1369" s="642">
        <f>D1368/(D1368+E1368+G1368+H1368+I1368+J1368+L1368+M1368+N1368)</f>
        <v>0.14376739535763505</v>
      </c>
      <c r="E1369" s="642">
        <f>E1368/(D1368+E1368+G1368+H1368+I1368+J1368+L1368+M1368+N1368)</f>
        <v>9.1455670548815093E-2</v>
      </c>
      <c r="F1369" s="643">
        <f t="shared" si="42"/>
        <v>0.23522306590645015</v>
      </c>
      <c r="G1369" s="642">
        <f>G1368/(D1368+E1368+G1368+H1368+I1368+J1368+L1368+M1368+N1368)</f>
        <v>0.20967654768016861</v>
      </c>
      <c r="H1369" s="642">
        <f>H1368/(D1368+E1368+G1368+H1368+I1368+J1368+L1368+M1368+N1368)</f>
        <v>1.8261410003512848E-2</v>
      </c>
      <c r="I1369" s="642">
        <f>I1368/(D1368+E1368+G1368+H1368+I1368+J1368+L1368+M1368+N1368)</f>
        <v>0</v>
      </c>
      <c r="J1369" s="642">
        <f>J1368/(D1368+E1368+G1368+H1368+I1368+J1368+L1368+M1368+N1368)</f>
        <v>0</v>
      </c>
      <c r="K1369" s="643">
        <f t="shared" si="43"/>
        <v>0.22793795768368147</v>
      </c>
      <c r="L1369" s="642">
        <f>L1368/(D1368+E1368+G1368+H1368+I1368+J1368+L1368+M1368+N1368)</f>
        <v>5.8497041100332367E-2</v>
      </c>
      <c r="M1369" s="642">
        <f>M1368/(D1368+E1368+G1368+H1368+I1368+J1368+L1368+M1368+N1368)</f>
        <v>0</v>
      </c>
      <c r="N1369" s="642">
        <f>N1368/(D1368+E1368+G1368+H1368+I1368+J1368+L1368+M1368+N1368)</f>
        <v>0.47834193530953606</v>
      </c>
      <c r="O1369" s="1515"/>
    </row>
    <row r="1370" spans="1:15" ht="12" customHeight="1">
      <c r="A1370" s="1516" t="s">
        <v>15109</v>
      </c>
      <c r="B1370" s="1509" t="s">
        <v>14937</v>
      </c>
      <c r="C1370" s="647" t="s">
        <v>6218</v>
      </c>
      <c r="D1370" s="648">
        <v>48884</v>
      </c>
      <c r="E1370" s="648">
        <v>36469</v>
      </c>
      <c r="F1370" s="649">
        <f t="shared" si="42"/>
        <v>85353</v>
      </c>
      <c r="G1370" s="648">
        <v>92725</v>
      </c>
      <c r="H1370" s="648">
        <v>6955</v>
      </c>
      <c r="I1370" s="648">
        <v>3866</v>
      </c>
      <c r="J1370" s="648">
        <v>6980</v>
      </c>
      <c r="K1370" s="649">
        <f t="shared" si="43"/>
        <v>110526</v>
      </c>
      <c r="L1370" s="648">
        <v>15158</v>
      </c>
      <c r="M1370" s="648">
        <v>4278</v>
      </c>
      <c r="N1370" s="648">
        <v>191907</v>
      </c>
      <c r="O1370" s="1510">
        <f>1-N1371</f>
        <v>0.52874107980413632</v>
      </c>
    </row>
    <row r="1371" spans="1:15" ht="12" customHeight="1">
      <c r="A1371" s="1517"/>
      <c r="B1371" s="1502"/>
      <c r="C1371" s="635" t="s">
        <v>6219</v>
      </c>
      <c r="D1371" s="636">
        <f>D1370/(D1370+E1370+G1370+H1370+I1370+J1370+L1370+M1370+N1370)</f>
        <v>0.12004263030975733</v>
      </c>
      <c r="E1371" s="636">
        <f>E1370/(D1370+E1370+G1370+H1370+I1370+J1370+L1370+M1370+N1370)</f>
        <v>8.9555574109453806E-2</v>
      </c>
      <c r="F1371" s="637">
        <f t="shared" si="42"/>
        <v>0.20959820441921112</v>
      </c>
      <c r="G1371" s="636">
        <f>G1370/(D1370+E1370+G1370+H1370+I1370+J1370+L1370+M1370+N1370)</f>
        <v>0.22770135208805026</v>
      </c>
      <c r="H1371" s="636">
        <f>H1370/(D1370+E1370+G1370+H1370+I1370+J1370+L1370+M1370+N1370)</f>
        <v>1.7079136195981552E-2</v>
      </c>
      <c r="I1371" s="636">
        <f>I1370/(D1370+E1370+G1370+H1370+I1370+J1370+L1370+M1370+N1370)</f>
        <v>9.4935931752213772E-3</v>
      </c>
      <c r="J1371" s="636">
        <f>J1370/(D1370+E1370+G1370+H1370+I1370+J1370+L1370+M1370+N1370)</f>
        <v>1.7140527771092918E-2</v>
      </c>
      <c r="K1371" s="637">
        <f t="shared" si="43"/>
        <v>0.2714146092303461</v>
      </c>
      <c r="L1371" s="636">
        <f>L1370/(D1370+E1370+G1370+H1370+I1370+J1370+L1370+M1370+N1370)</f>
        <v>3.7222939821522416E-2</v>
      </c>
      <c r="M1371" s="636">
        <f>M1370/(D1370+E1370+G1370+H1370+I1370+J1370+L1370+M1370+N1370)</f>
        <v>1.0505326333056663E-2</v>
      </c>
      <c r="N1371" s="636">
        <f>N1370/(D1370+E1370+G1370+H1370+I1370+J1370+L1370+M1370+N1370)</f>
        <v>0.47125892019586368</v>
      </c>
      <c r="O1371" s="1503"/>
    </row>
    <row r="1372" spans="1:15" ht="12" customHeight="1">
      <c r="A1372" s="1517"/>
      <c r="B1372" s="1502" t="s">
        <v>14938</v>
      </c>
      <c r="C1372" s="638" t="s">
        <v>6218</v>
      </c>
      <c r="D1372" s="639">
        <v>87670</v>
      </c>
      <c r="E1372" s="639">
        <v>36001</v>
      </c>
      <c r="F1372" s="640">
        <f t="shared" si="42"/>
        <v>123671</v>
      </c>
      <c r="G1372" s="639">
        <v>82402</v>
      </c>
      <c r="H1372" s="639">
        <v>8903</v>
      </c>
      <c r="I1372" s="639"/>
      <c r="J1372" s="639">
        <v>9899</v>
      </c>
      <c r="K1372" s="640">
        <f t="shared" si="43"/>
        <v>101204</v>
      </c>
      <c r="L1372" s="639">
        <v>16736</v>
      </c>
      <c r="M1372" s="639"/>
      <c r="N1372" s="639">
        <v>159259</v>
      </c>
      <c r="O1372" s="1503">
        <f>1-N1373</f>
        <v>0.60271659141367517</v>
      </c>
    </row>
    <row r="1373" spans="1:15" ht="12" customHeight="1">
      <c r="A1373" s="1517"/>
      <c r="B1373" s="1502"/>
      <c r="C1373" s="635" t="s">
        <v>6219</v>
      </c>
      <c r="D1373" s="636">
        <f>D1372/(D1372+E1372+G1372+H1372+I1372+J1372+L1372+M1372+N1372)</f>
        <v>0.21869932895951305</v>
      </c>
      <c r="E1373" s="636">
        <f>E1372/(D1372+E1372+G1372+H1372+I1372+J1372+L1372+M1372+N1372)</f>
        <v>8.9807169406540779E-2</v>
      </c>
      <c r="F1373" s="637">
        <f t="shared" si="42"/>
        <v>0.30850649836605382</v>
      </c>
      <c r="G1373" s="636">
        <f>G1372/(D1372+E1372+G1372+H1372+I1372+J1372+L1372+M1372+N1372)</f>
        <v>0.20555791154239528</v>
      </c>
      <c r="H1373" s="636">
        <f>H1372/(D1372+E1372+G1372+H1372+I1372+J1372+L1372+M1372+N1372)</f>
        <v>2.2209195000873101E-2</v>
      </c>
      <c r="I1373" s="636">
        <f>I1372/(D1372+E1372+G1372+H1372+I1372+J1372+L1372+M1372+N1372)</f>
        <v>0</v>
      </c>
      <c r="J1373" s="636">
        <f>J1372/(D1372+E1372+G1372+H1372+I1372+J1372+L1372+M1372+N1372)</f>
        <v>2.469379100456507E-2</v>
      </c>
      <c r="K1373" s="637">
        <f t="shared" si="43"/>
        <v>0.25246089754783346</v>
      </c>
      <c r="L1373" s="636">
        <f>L1372/(D1372+E1372+G1372+H1372+I1372+J1372+L1372+M1372+N1372)</f>
        <v>4.1749195499787964E-2</v>
      </c>
      <c r="M1373" s="636">
        <f>M1372/(D1372+E1372+G1372+H1372+I1372+J1372+L1372+M1372+N1372)</f>
        <v>0</v>
      </c>
      <c r="N1373" s="636">
        <f>N1372/(D1372+E1372+G1372+H1372+I1372+J1372+L1372+M1372+N1372)</f>
        <v>0.39728340858632477</v>
      </c>
      <c r="O1373" s="1503"/>
    </row>
    <row r="1374" spans="1:15" ht="12" customHeight="1">
      <c r="A1374" s="1517"/>
      <c r="B1374" s="1502" t="s">
        <v>14939</v>
      </c>
      <c r="C1374" s="638" t="s">
        <v>6218</v>
      </c>
      <c r="D1374" s="639">
        <v>43814</v>
      </c>
      <c r="E1374" s="639">
        <v>36824</v>
      </c>
      <c r="F1374" s="640">
        <f t="shared" si="42"/>
        <v>80638</v>
      </c>
      <c r="G1374" s="639">
        <v>81536</v>
      </c>
      <c r="H1374" s="639">
        <v>7805</v>
      </c>
      <c r="I1374" s="639"/>
      <c r="J1374" s="639"/>
      <c r="K1374" s="640">
        <f t="shared" si="43"/>
        <v>89341</v>
      </c>
      <c r="L1374" s="639">
        <v>15527</v>
      </c>
      <c r="M1374" s="639">
        <v>6413</v>
      </c>
      <c r="N1374" s="639">
        <v>205887</v>
      </c>
      <c r="O1374" s="1503">
        <f>1-N1375</f>
        <v>0.4824437037148761</v>
      </c>
    </row>
    <row r="1375" spans="1:15" ht="12" customHeight="1">
      <c r="A1375" s="1517"/>
      <c r="B1375" s="1502"/>
      <c r="C1375" s="635" t="s">
        <v>6219</v>
      </c>
      <c r="D1375" s="636">
        <f>D1374/(D1374+E1374+G1374+H1374+I1374+J1374+L1374+M1374+N1374)</f>
        <v>0.11013911303499696</v>
      </c>
      <c r="E1375" s="636">
        <f>E1374/(D1374+E1374+G1374+H1374+I1374+J1374+L1374+M1374+N1374)</f>
        <v>9.2567734021105769E-2</v>
      </c>
      <c r="F1375" s="637">
        <f t="shared" si="42"/>
        <v>0.20270684705610273</v>
      </c>
      <c r="G1375" s="636">
        <f>G1374/(D1374+E1374+G1374+H1374+I1374+J1374+L1374+M1374+N1374)</f>
        <v>0.20496422879494025</v>
      </c>
      <c r="H1375" s="636">
        <f>H1374/(D1374+E1374+G1374+H1374+I1374+J1374+L1374+M1374+N1374)</f>
        <v>1.9620116338114557E-2</v>
      </c>
      <c r="I1375" s="636">
        <f>I1374/(D1374+E1374+G1374+H1374+I1374+J1374+L1374+M1374+N1374)</f>
        <v>0</v>
      </c>
      <c r="J1375" s="636">
        <f>J1374/(D1374+E1374+G1374+H1374+I1374+J1374+L1374+M1374+N1374)</f>
        <v>0</v>
      </c>
      <c r="K1375" s="637">
        <f t="shared" si="43"/>
        <v>0.22458434513305481</v>
      </c>
      <c r="L1375" s="636">
        <f>L1374/(D1374+E1374+G1374+H1374+I1374+J1374+L1374+M1374+N1374)</f>
        <v>3.9031588261614958E-2</v>
      </c>
      <c r="M1375" s="636">
        <f>M1374/(D1374+E1374+G1374+H1374+I1374+J1374+L1374+M1374+N1374)</f>
        <v>1.6120923264103609E-2</v>
      </c>
      <c r="N1375" s="636">
        <f>N1374/(D1374+E1374+G1374+H1374+I1374+J1374+L1374+M1374+N1374)</f>
        <v>0.5175562962851239</v>
      </c>
      <c r="O1375" s="1503"/>
    </row>
    <row r="1376" spans="1:15" ht="12" customHeight="1">
      <c r="A1376" s="1517"/>
      <c r="B1376" s="1502" t="s">
        <v>14940</v>
      </c>
      <c r="C1376" s="638" t="s">
        <v>6218</v>
      </c>
      <c r="D1376" s="639">
        <v>63894</v>
      </c>
      <c r="E1376" s="639">
        <v>36668</v>
      </c>
      <c r="F1376" s="640">
        <f t="shared" si="42"/>
        <v>100562</v>
      </c>
      <c r="G1376" s="639">
        <v>88185</v>
      </c>
      <c r="H1376" s="639">
        <v>7376</v>
      </c>
      <c r="I1376" s="639"/>
      <c r="J1376" s="639"/>
      <c r="K1376" s="640">
        <f t="shared" si="43"/>
        <v>95561</v>
      </c>
      <c r="L1376" s="639">
        <v>15154</v>
      </c>
      <c r="M1376" s="639"/>
      <c r="N1376" s="639">
        <v>185826</v>
      </c>
      <c r="O1376" s="1503">
        <f>1-N1377</f>
        <v>0.53204584201076299</v>
      </c>
    </row>
    <row r="1377" spans="1:15" ht="12" customHeight="1" thickBot="1">
      <c r="A1377" s="1519"/>
      <c r="B1377" s="1514"/>
      <c r="C1377" s="641" t="s">
        <v>6219</v>
      </c>
      <c r="D1377" s="642">
        <f>D1376/(D1376+E1376+G1376+H1376+I1376+J1376+L1376+M1376+N1376)</f>
        <v>0.16090032057174083</v>
      </c>
      <c r="E1377" s="642">
        <f>E1376/(D1376+E1376+G1376+H1376+I1376+J1376+L1376+M1376+N1376)</f>
        <v>9.2338763494609705E-2</v>
      </c>
      <c r="F1377" s="643">
        <f t="shared" si="42"/>
        <v>0.25323908406635054</v>
      </c>
      <c r="G1377" s="642">
        <f>G1376/(D1376+E1376+G1376+H1376+I1376+J1376+L1376+M1376+N1376)</f>
        <v>0.22207084811749092</v>
      </c>
      <c r="H1377" s="642">
        <f>H1376/(D1376+E1376+G1376+H1376+I1376+J1376+L1376+M1376+N1376)</f>
        <v>1.857452600458823E-2</v>
      </c>
      <c r="I1377" s="642">
        <f>I1376/(D1376+E1376+G1376+H1376+I1376+J1376+L1376+M1376+N1376)</f>
        <v>0</v>
      </c>
      <c r="J1377" s="642">
        <f>J1376/(D1376+E1376+G1376+H1376+I1376+J1376+L1376+M1376+N1376)</f>
        <v>0</v>
      </c>
      <c r="K1377" s="643">
        <f t="shared" si="43"/>
        <v>0.24064537412207915</v>
      </c>
      <c r="L1377" s="642">
        <f>L1376/(D1376+E1376+G1376+H1376+I1376+J1376+L1376+M1376+N1376)</f>
        <v>3.816138382233325E-2</v>
      </c>
      <c r="M1377" s="642">
        <f>M1376/(D1376+E1376+G1376+H1376+I1376+J1376+L1376+M1376+N1376)</f>
        <v>0</v>
      </c>
      <c r="N1377" s="642">
        <f>N1376/(D1376+E1376+G1376+H1376+I1376+J1376+L1376+M1376+N1376)</f>
        <v>0.46795415798923706</v>
      </c>
      <c r="O1377" s="1515"/>
    </row>
    <row r="1378" spans="1:15" ht="12" customHeight="1">
      <c r="A1378" s="1516" t="s">
        <v>15110</v>
      </c>
      <c r="B1378" s="1509" t="s">
        <v>14937</v>
      </c>
      <c r="C1378" s="647" t="s">
        <v>6218</v>
      </c>
      <c r="D1378" s="648">
        <v>53426</v>
      </c>
      <c r="E1378" s="648">
        <v>32197</v>
      </c>
      <c r="F1378" s="649">
        <f t="shared" si="42"/>
        <v>85623</v>
      </c>
      <c r="G1378" s="648">
        <v>104955</v>
      </c>
      <c r="H1378" s="648">
        <v>8691</v>
      </c>
      <c r="I1378" s="648">
        <v>4327</v>
      </c>
      <c r="J1378" s="648">
        <v>8108</v>
      </c>
      <c r="K1378" s="649">
        <f t="shared" si="43"/>
        <v>126081</v>
      </c>
      <c r="L1378" s="648">
        <v>16955</v>
      </c>
      <c r="M1378" s="648">
        <v>4632</v>
      </c>
      <c r="N1378" s="648">
        <v>180495</v>
      </c>
      <c r="O1378" s="1510">
        <f>1-N1379</f>
        <v>0.56379626183582821</v>
      </c>
    </row>
    <row r="1379" spans="1:15" ht="12" customHeight="1">
      <c r="A1379" s="1517"/>
      <c r="B1379" s="1502"/>
      <c r="C1379" s="635" t="s">
        <v>6219</v>
      </c>
      <c r="D1379" s="636">
        <f>D1378/(D1378+E1378+G1378+H1378+I1378+J1378+L1378+M1378+N1378)</f>
        <v>0.12911504980835503</v>
      </c>
      <c r="E1379" s="636">
        <f>E1378/(D1378+E1378+G1378+H1378+I1378+J1378+L1378+M1378+N1378)</f>
        <v>7.7810752417916504E-2</v>
      </c>
      <c r="F1379" s="637">
        <f t="shared" si="42"/>
        <v>0.20692580222627155</v>
      </c>
      <c r="G1379" s="636">
        <f>G1378/(D1378+E1378+G1378+H1378+I1378+J1378+L1378+M1378+N1378)</f>
        <v>0.25364560424953964</v>
      </c>
      <c r="H1379" s="636">
        <f>H1378/(D1378+E1378+G1378+H1378+I1378+J1378+L1378+M1378+N1378)</f>
        <v>2.1003610561981315E-2</v>
      </c>
      <c r="I1379" s="636">
        <f>I1378/(D1378+E1378+G1378+H1378+I1378+J1378+L1378+M1378+N1378)</f>
        <v>1.0457096180151093E-2</v>
      </c>
      <c r="J1379" s="636">
        <f>J1378/(D1378+E1378+G1378+H1378+I1378+J1378+L1378+M1378+N1378)</f>
        <v>1.9594669708496663E-2</v>
      </c>
      <c r="K1379" s="637">
        <f t="shared" si="43"/>
        <v>0.30470098070016871</v>
      </c>
      <c r="L1379" s="636">
        <f>L1378/(D1378+E1378+G1378+H1378+I1378+J1378+L1378+M1378+N1378)</f>
        <v>4.0975286742422415E-2</v>
      </c>
      <c r="M1379" s="636">
        <f>M1378/(D1378+E1378+G1378+H1378+I1378+J1378+L1378+M1378+N1378)</f>
        <v>1.1194192166965532E-2</v>
      </c>
      <c r="N1379" s="636">
        <f>N1378/(D1378+E1378+G1378+H1378+I1378+J1378+L1378+M1378+N1378)</f>
        <v>0.43620373816417179</v>
      </c>
      <c r="O1379" s="1503"/>
    </row>
    <row r="1380" spans="1:15" ht="12" customHeight="1">
      <c r="A1380" s="1517"/>
      <c r="B1380" s="1502" t="s">
        <v>14938</v>
      </c>
      <c r="C1380" s="638" t="s">
        <v>6218</v>
      </c>
      <c r="D1380" s="639">
        <v>96590</v>
      </c>
      <c r="E1380" s="639">
        <v>33770</v>
      </c>
      <c r="F1380" s="640">
        <f t="shared" si="42"/>
        <v>130360</v>
      </c>
      <c r="G1380" s="639">
        <v>91554</v>
      </c>
      <c r="H1380" s="639">
        <v>11018</v>
      </c>
      <c r="I1380" s="639"/>
      <c r="J1380" s="639">
        <v>12000</v>
      </c>
      <c r="K1380" s="640">
        <f t="shared" si="43"/>
        <v>114572</v>
      </c>
      <c r="L1380" s="639">
        <v>19468</v>
      </c>
      <c r="M1380" s="639"/>
      <c r="N1380" s="639">
        <v>143437</v>
      </c>
      <c r="O1380" s="1503">
        <f>1-N1381</f>
        <v>0.64829821717990277</v>
      </c>
    </row>
    <row r="1381" spans="1:15" ht="12" customHeight="1">
      <c r="A1381" s="1517"/>
      <c r="B1381" s="1502"/>
      <c r="C1381" s="635" t="s">
        <v>6219</v>
      </c>
      <c r="D1381" s="636">
        <f>D1380/(D1380+E1380+G1380+H1380+I1380+J1380+L1380+M1380+N1380)</f>
        <v>0.23683481390849775</v>
      </c>
      <c r="E1381" s="636">
        <f>E1380/(D1380+E1380+G1380+H1380+I1380+J1380+L1380+M1380+N1380)</f>
        <v>8.2802688328915713E-2</v>
      </c>
      <c r="F1381" s="637">
        <f t="shared" si="42"/>
        <v>0.3196375022374135</v>
      </c>
      <c r="G1381" s="636">
        <f>G1380/(D1380+E1380+G1380+H1380+I1380+J1380+L1380+M1380+N1380)</f>
        <v>0.22448674347839945</v>
      </c>
      <c r="H1381" s="636">
        <f>H1380/(D1380+E1380+G1380+H1380+I1380+J1380+L1380+M1380+N1380)</f>
        <v>2.7015694995794887E-2</v>
      </c>
      <c r="I1381" s="636">
        <f>I1380/(D1380+E1380+G1380+H1380+I1380+J1380+L1380+M1380+N1380)</f>
        <v>0</v>
      </c>
      <c r="J1381" s="636">
        <f>J1380/(D1380+E1380+G1380+H1380+I1380+J1380+L1380+M1380+N1380)</f>
        <v>2.9423519690464573E-2</v>
      </c>
      <c r="K1381" s="637">
        <f t="shared" si="43"/>
        <v>0.28092595816465893</v>
      </c>
      <c r="L1381" s="636">
        <f>L1380/(D1380+E1380+G1380+H1380+I1380+J1380+L1380+M1380+N1380)</f>
        <v>4.7734756777830359E-2</v>
      </c>
      <c r="M1381" s="636">
        <f>M1380/(D1380+E1380+G1380+H1380+I1380+J1380+L1380+M1380+N1380)</f>
        <v>0</v>
      </c>
      <c r="N1381" s="636">
        <f>N1380/(D1380+E1380+G1380+H1380+I1380+J1380+L1380+M1380+N1380)</f>
        <v>0.35170178282009723</v>
      </c>
      <c r="O1381" s="1503"/>
    </row>
    <row r="1382" spans="1:15" ht="12" customHeight="1">
      <c r="A1382" s="1517"/>
      <c r="B1382" s="1502" t="s">
        <v>14939</v>
      </c>
      <c r="C1382" s="638" t="s">
        <v>6218</v>
      </c>
      <c r="D1382" s="639">
        <v>49360</v>
      </c>
      <c r="E1382" s="639">
        <v>32608</v>
      </c>
      <c r="F1382" s="640">
        <f t="shared" si="42"/>
        <v>81968</v>
      </c>
      <c r="G1382" s="639">
        <v>92893</v>
      </c>
      <c r="H1382" s="639">
        <v>9827</v>
      </c>
      <c r="I1382" s="639"/>
      <c r="J1382" s="639"/>
      <c r="K1382" s="640">
        <f t="shared" si="43"/>
        <v>102720</v>
      </c>
      <c r="L1382" s="639">
        <v>17628</v>
      </c>
      <c r="M1382" s="639">
        <v>7959</v>
      </c>
      <c r="N1382" s="639">
        <v>194297</v>
      </c>
      <c r="O1382" s="1503">
        <f>1-N1383</f>
        <v>0.51974679414294611</v>
      </c>
    </row>
    <row r="1383" spans="1:15" ht="12" customHeight="1">
      <c r="A1383" s="1517"/>
      <c r="B1383" s="1502"/>
      <c r="C1383" s="635" t="s">
        <v>6219</v>
      </c>
      <c r="D1383" s="636">
        <f>D1382/(D1382+E1382+G1382+H1382+I1382+J1382+L1382+M1382+N1382)</f>
        <v>0.12200547739339351</v>
      </c>
      <c r="E1383" s="636">
        <f>E1382/(D1382+E1382+G1382+H1382+I1382+J1382+L1382+M1382+N1382)</f>
        <v>8.0598756216446021E-2</v>
      </c>
      <c r="F1383" s="637">
        <f t="shared" si="42"/>
        <v>0.20260423360983953</v>
      </c>
      <c r="G1383" s="636">
        <f>G1382/(D1382+E1382+G1382+H1382+I1382+J1382+L1382+M1382+N1382)</f>
        <v>0.229608079649605</v>
      </c>
      <c r="H1383" s="636">
        <f>H1382/(D1382+E1382+G1382+H1382+I1382+J1382+L1382+M1382+N1382)</f>
        <v>2.4289866822222003E-2</v>
      </c>
      <c r="I1383" s="636">
        <f>I1382/(D1382+E1382+G1382+H1382+I1382+J1382+L1382+M1382+N1382)</f>
        <v>0</v>
      </c>
      <c r="J1383" s="636">
        <f>J1382/(D1382+E1382+G1382+H1382+I1382+J1382+L1382+M1382+N1382)</f>
        <v>0</v>
      </c>
      <c r="K1383" s="637">
        <f t="shared" si="43"/>
        <v>0.25389794647182701</v>
      </c>
      <c r="L1383" s="636">
        <f>L1382/(D1382+E1382+G1382+H1382+I1382+J1382+L1382+M1382+N1382)</f>
        <v>4.3571972355971246E-2</v>
      </c>
      <c r="M1383" s="636">
        <f>M1382/(D1382+E1382+G1382+H1382+I1382+J1382+L1382+M1382+N1382)</f>
        <v>1.9672641705308327E-2</v>
      </c>
      <c r="N1383" s="636">
        <f>N1382/(D1382+E1382+G1382+H1382+I1382+J1382+L1382+M1382+N1382)</f>
        <v>0.48025320585705389</v>
      </c>
      <c r="O1383" s="1503"/>
    </row>
    <row r="1384" spans="1:15" ht="12" customHeight="1">
      <c r="A1384" s="1517"/>
      <c r="B1384" s="1502" t="s">
        <v>14940</v>
      </c>
      <c r="C1384" s="638" t="s">
        <v>6218</v>
      </c>
      <c r="D1384" s="639">
        <v>66956</v>
      </c>
      <c r="E1384" s="639">
        <v>31606</v>
      </c>
      <c r="F1384" s="640">
        <f t="shared" si="42"/>
        <v>98562</v>
      </c>
      <c r="G1384" s="639">
        <v>96611</v>
      </c>
      <c r="H1384" s="639">
        <v>9019</v>
      </c>
      <c r="I1384" s="639"/>
      <c r="J1384" s="639"/>
      <c r="K1384" s="640">
        <f t="shared" si="43"/>
        <v>105630</v>
      </c>
      <c r="L1384" s="639">
        <v>17345</v>
      </c>
      <c r="M1384" s="639"/>
      <c r="N1384" s="639">
        <v>181451</v>
      </c>
      <c r="O1384" s="1503">
        <f>1-N1385</f>
        <v>0.54973597228701598</v>
      </c>
    </row>
    <row r="1385" spans="1:15" ht="12" customHeight="1" thickBot="1">
      <c r="A1385" s="1519"/>
      <c r="B1385" s="1514"/>
      <c r="C1385" s="641" t="s">
        <v>6219</v>
      </c>
      <c r="D1385" s="642">
        <f>D1384/(D1384+E1384+G1384+H1384+I1384+J1384+L1384+M1384+N1384)</f>
        <v>0.16614886795636594</v>
      </c>
      <c r="E1385" s="642">
        <f>E1384/(D1384+E1384+G1384+H1384+I1384+J1384+L1384+M1384+N1384)</f>
        <v>7.8429134366283862E-2</v>
      </c>
      <c r="F1385" s="643">
        <f t="shared" si="42"/>
        <v>0.24457800232264981</v>
      </c>
      <c r="G1385" s="642">
        <f>G1384/(D1384+E1384+G1384+H1384+I1384+J1384+L1384+M1384+N1384)</f>
        <v>0.23973666709678701</v>
      </c>
      <c r="H1385" s="642">
        <f>H1384/(D1384+E1384+G1384+H1384+I1384+J1384+L1384+M1384+N1384)</f>
        <v>2.2380319016943432E-2</v>
      </c>
      <c r="I1385" s="642">
        <f>I1384/(D1384+E1384+G1384+H1384+I1384+J1384+L1384+M1384+N1384)</f>
        <v>0</v>
      </c>
      <c r="J1385" s="642">
        <f>J1384/(D1384+E1384+G1384+H1384+I1384+J1384+L1384+M1384+N1384)</f>
        <v>0</v>
      </c>
      <c r="K1385" s="643">
        <f t="shared" si="43"/>
        <v>0.26211698611373047</v>
      </c>
      <c r="L1385" s="642">
        <f>L1384/(D1384+E1384+G1384+H1384+I1384+J1384+L1384+M1384+N1384)</f>
        <v>4.3040983850635754E-2</v>
      </c>
      <c r="M1385" s="642">
        <f>M1384/(D1384+E1384+G1384+H1384+I1384+J1384+L1384+M1384+N1384)</f>
        <v>0</v>
      </c>
      <c r="N1385" s="642">
        <f>N1384/(D1384+E1384+G1384+H1384+I1384+J1384+L1384+M1384+N1384)</f>
        <v>0.45026402771298402</v>
      </c>
      <c r="O1385" s="1515"/>
    </row>
    <row r="1386" spans="1:15" ht="12" customHeight="1">
      <c r="A1386" s="1516" t="s">
        <v>15111</v>
      </c>
      <c r="B1386" s="1509" t="s">
        <v>14937</v>
      </c>
      <c r="C1386" s="647" t="s">
        <v>6218</v>
      </c>
      <c r="D1386" s="648">
        <v>56058</v>
      </c>
      <c r="E1386" s="648">
        <v>29225</v>
      </c>
      <c r="F1386" s="649">
        <f t="shared" si="42"/>
        <v>85283</v>
      </c>
      <c r="G1386" s="648">
        <v>111046</v>
      </c>
      <c r="H1386" s="648">
        <v>9893</v>
      </c>
      <c r="I1386" s="648">
        <v>8916</v>
      </c>
      <c r="J1386" s="648">
        <v>8522</v>
      </c>
      <c r="K1386" s="649">
        <f t="shared" si="43"/>
        <v>138377</v>
      </c>
      <c r="L1386" s="648">
        <v>17148</v>
      </c>
      <c r="M1386" s="648">
        <v>5040</v>
      </c>
      <c r="N1386" s="648">
        <v>164304</v>
      </c>
      <c r="O1386" s="1510">
        <f>1-N1387</f>
        <v>0.59940704909399445</v>
      </c>
    </row>
    <row r="1387" spans="1:15" ht="12" customHeight="1">
      <c r="A1387" s="1517"/>
      <c r="B1387" s="1502"/>
      <c r="C1387" s="635" t="s">
        <v>6219</v>
      </c>
      <c r="D1387" s="636">
        <f>D1386/(D1386+E1386+G1386+H1386+I1386+J1386+L1386+M1386+N1386)</f>
        <v>0.13667615908248648</v>
      </c>
      <c r="E1387" s="636">
        <f>E1386/(D1386+E1386+G1386+H1386+I1386+J1386+L1386+M1386+N1386)</f>
        <v>7.1254071661237789E-2</v>
      </c>
      <c r="F1387" s="637">
        <f t="shared" si="42"/>
        <v>0.20793023074372427</v>
      </c>
      <c r="G1387" s="636">
        <f>G1386/(D1386+E1386+G1386+H1386+I1386+J1386+L1386+M1386+N1386)</f>
        <v>0.27074352922818856</v>
      </c>
      <c r="H1387" s="636">
        <f>H1386/(D1386+E1386+G1386+H1386+I1386+J1386+L1386+M1386+N1386)</f>
        <v>2.4120326122998303E-2</v>
      </c>
      <c r="I1387" s="636">
        <f>I1386/(D1386+E1386+G1386+H1386+I1386+J1386+L1386+M1386+N1386)</f>
        <v>2.1738282392868985E-2</v>
      </c>
      <c r="J1387" s="636">
        <f>J1386/(D1386+E1386+G1386+H1386+I1386+J1386+L1386+M1386+N1386)</f>
        <v>2.0777662915211922E-2</v>
      </c>
      <c r="K1387" s="637">
        <f t="shared" si="43"/>
        <v>0.33737980065926781</v>
      </c>
      <c r="L1387" s="636">
        <f>L1386/(D1386+E1386+G1386+H1386+I1386+J1386+L1386+M1386+N1386)</f>
        <v>4.180889036259728E-2</v>
      </c>
      <c r="M1387" s="636">
        <f>M1386/(D1386+E1386+G1386+H1386+I1386+J1386+L1386+M1386+N1386)</f>
        <v>1.2288127328405079E-2</v>
      </c>
      <c r="N1387" s="636">
        <f>N1386/(D1386+E1386+G1386+H1386+I1386+J1386+L1386+M1386+N1386)</f>
        <v>0.40059295090600555</v>
      </c>
      <c r="O1387" s="1503"/>
    </row>
    <row r="1388" spans="1:15" ht="12" customHeight="1">
      <c r="A1388" s="1517"/>
      <c r="B1388" s="1502" t="s">
        <v>14938</v>
      </c>
      <c r="C1388" s="638" t="s">
        <v>6218</v>
      </c>
      <c r="D1388" s="639">
        <v>101018</v>
      </c>
      <c r="E1388" s="639">
        <v>29826</v>
      </c>
      <c r="F1388" s="640">
        <f t="shared" si="42"/>
        <v>130844</v>
      </c>
      <c r="G1388" s="639">
        <v>89610</v>
      </c>
      <c r="H1388" s="639">
        <v>13083</v>
      </c>
      <c r="I1388" s="639"/>
      <c r="J1388" s="639">
        <v>18561</v>
      </c>
      <c r="K1388" s="640">
        <f t="shared" si="43"/>
        <v>121254</v>
      </c>
      <c r="L1388" s="639">
        <v>18310</v>
      </c>
      <c r="M1388" s="639"/>
      <c r="N1388" s="639">
        <v>132677</v>
      </c>
      <c r="O1388" s="1503">
        <f>1-N1389</f>
        <v>0.67084609945793072</v>
      </c>
    </row>
    <row r="1389" spans="1:15" ht="12" customHeight="1">
      <c r="A1389" s="1517"/>
      <c r="B1389" s="1502"/>
      <c r="C1389" s="635" t="s">
        <v>6219</v>
      </c>
      <c r="D1389" s="636">
        <f>D1388/(D1388+E1388+G1388+H1388+I1388+J1388+L1388+M1388+N1388)</f>
        <v>0.2506121537640944</v>
      </c>
      <c r="E1389" s="636">
        <f>E1388/(D1388+E1388+G1388+H1388+I1388+J1388+L1388+M1388+N1388)</f>
        <v>7.3994318816130597E-2</v>
      </c>
      <c r="F1389" s="637">
        <f t="shared" si="42"/>
        <v>0.32460647258022501</v>
      </c>
      <c r="G1389" s="636">
        <f>G1388/(D1388+E1388+G1388+H1388+I1388+J1388+L1388+M1388+N1388)</f>
        <v>0.2223104308024362</v>
      </c>
      <c r="H1389" s="636">
        <f>H1388/(D1388+E1388+G1388+H1388+I1388+J1388+L1388+M1388+N1388)</f>
        <v>3.2457174045176576E-2</v>
      </c>
      <c r="I1389" s="636">
        <f>I1388/(D1388+E1388+G1388+H1388+I1388+J1388+L1388+M1388+N1388)</f>
        <v>0</v>
      </c>
      <c r="J1389" s="636">
        <f>J1388/(D1388+E1388+G1388+H1388+I1388+J1388+L1388+M1388+N1388)</f>
        <v>4.6047359738020516E-2</v>
      </c>
      <c r="K1389" s="637">
        <f t="shared" si="43"/>
        <v>0.30081496458563328</v>
      </c>
      <c r="L1389" s="636">
        <f>L1388/(D1388+E1388+G1388+H1388+I1388+J1388+L1388+M1388+N1388)</f>
        <v>4.5424662292072392E-2</v>
      </c>
      <c r="M1389" s="636">
        <f>M1388/(D1388+E1388+G1388+H1388+I1388+J1388+L1388+M1388+N1388)</f>
        <v>0</v>
      </c>
      <c r="N1389" s="636">
        <f>N1388/(D1388+E1388+G1388+H1388+I1388+J1388+L1388+M1388+N1388)</f>
        <v>0.32915390054206928</v>
      </c>
      <c r="O1389" s="1503"/>
    </row>
    <row r="1390" spans="1:15" ht="12" customHeight="1">
      <c r="A1390" s="1517"/>
      <c r="B1390" s="1502" t="s">
        <v>14939</v>
      </c>
      <c r="C1390" s="638" t="s">
        <v>6218</v>
      </c>
      <c r="D1390" s="639">
        <v>52569</v>
      </c>
      <c r="E1390" s="639">
        <v>28692</v>
      </c>
      <c r="F1390" s="640">
        <f t="shared" si="42"/>
        <v>81261</v>
      </c>
      <c r="G1390" s="639">
        <v>99266</v>
      </c>
      <c r="H1390" s="639">
        <v>11214</v>
      </c>
      <c r="I1390" s="639"/>
      <c r="J1390" s="639"/>
      <c r="K1390" s="640">
        <f t="shared" si="43"/>
        <v>110480</v>
      </c>
      <c r="L1390" s="639">
        <v>17105</v>
      </c>
      <c r="M1390" s="639">
        <v>8297</v>
      </c>
      <c r="N1390" s="639">
        <v>180193</v>
      </c>
      <c r="O1390" s="1503">
        <f>1-N1391</f>
        <v>0.54649717115992513</v>
      </c>
    </row>
    <row r="1391" spans="1:15" ht="12" customHeight="1">
      <c r="A1391" s="1517"/>
      <c r="B1391" s="1502"/>
      <c r="C1391" s="635" t="s">
        <v>6219</v>
      </c>
      <c r="D1391" s="636">
        <f>D1390/(D1390+E1390+G1390+H1390+I1390+J1390+L1390+M1390+N1390)</f>
        <v>0.13230364225743452</v>
      </c>
      <c r="E1391" s="636">
        <f>E1390/(D1390+E1390+G1390+H1390+I1390+J1390+L1390+M1390+N1390)</f>
        <v>7.2210924758894235E-2</v>
      </c>
      <c r="F1391" s="637">
        <f t="shared" si="42"/>
        <v>0.20451456701632875</v>
      </c>
      <c r="G1391" s="636">
        <f>G1390/(D1390+E1390+G1390+H1390+I1390+J1390+L1390+M1390+N1390)</f>
        <v>0.24982886020899189</v>
      </c>
      <c r="H1391" s="636">
        <f>H1390/(D1390+E1390+G1390+H1390+I1390+J1390+L1390+M1390+N1390)</f>
        <v>2.8222964946543982E-2</v>
      </c>
      <c r="I1391" s="636">
        <f>I1390/(D1390+E1390+G1390+H1390+I1390+J1390+L1390+M1390+N1390)</f>
        <v>0</v>
      </c>
      <c r="J1391" s="636">
        <f>J1390/(D1390+E1390+G1390+H1390+I1390+J1390+L1390+M1390+N1390)</f>
        <v>0</v>
      </c>
      <c r="K1391" s="637">
        <f t="shared" si="43"/>
        <v>0.27805182515553589</v>
      </c>
      <c r="L1391" s="636">
        <f>L1390/(D1390+E1390+G1390+H1390+I1390+J1390+L1390+M1390+N1390)</f>
        <v>4.30492077234381E-2</v>
      </c>
      <c r="M1391" s="636">
        <f>M1390/(D1390+E1390+G1390+H1390+I1390+J1390+L1390+M1390+N1390)</f>
        <v>2.0881571264622385E-2</v>
      </c>
      <c r="N1391" s="636">
        <f>N1390/(D1390+E1390+G1390+H1390+I1390+J1390+L1390+M1390+N1390)</f>
        <v>0.45350282884007492</v>
      </c>
      <c r="O1391" s="1503"/>
    </row>
    <row r="1392" spans="1:15" ht="12" customHeight="1">
      <c r="A1392" s="1517"/>
      <c r="B1392" s="1502" t="s">
        <v>14940</v>
      </c>
      <c r="C1392" s="638" t="s">
        <v>6218</v>
      </c>
      <c r="D1392" s="639">
        <v>73167</v>
      </c>
      <c r="E1392" s="639">
        <v>27976</v>
      </c>
      <c r="F1392" s="640">
        <f t="shared" si="42"/>
        <v>101143</v>
      </c>
      <c r="G1392" s="639">
        <v>102165</v>
      </c>
      <c r="H1392" s="639">
        <v>13837</v>
      </c>
      <c r="I1392" s="639"/>
      <c r="J1392" s="639"/>
      <c r="K1392" s="640">
        <f t="shared" si="43"/>
        <v>116002</v>
      </c>
      <c r="L1392" s="639">
        <v>16300</v>
      </c>
      <c r="M1392" s="639"/>
      <c r="N1392" s="639">
        <v>161766</v>
      </c>
      <c r="O1392" s="1503">
        <f>1-N1393</f>
        <v>0.59068446981485834</v>
      </c>
    </row>
    <row r="1393" spans="1:15" ht="12" customHeight="1" thickBot="1">
      <c r="A1393" s="1519"/>
      <c r="B1393" s="1514"/>
      <c r="C1393" s="641" t="s">
        <v>6219</v>
      </c>
      <c r="D1393" s="642">
        <f>D1392/(D1392+E1392+G1392+H1392+I1392+J1392+L1392+M1392+N1392)</f>
        <v>0.18513401701875706</v>
      </c>
      <c r="E1393" s="642">
        <f>E1392/(D1392+E1392+G1392+H1392+I1392+J1392+L1392+M1392+N1392)</f>
        <v>7.0787503384268147E-2</v>
      </c>
      <c r="F1393" s="643">
        <f t="shared" si="42"/>
        <v>0.25592152040302518</v>
      </c>
      <c r="G1393" s="642">
        <f>G1392/(D1392+E1392+G1392+H1392+I1392+J1392+L1392+M1392+N1392)</f>
        <v>0.25850748081404618</v>
      </c>
      <c r="H1393" s="642">
        <f>H1392/(D1392+E1392+G1392+H1392+I1392+J1392+L1392+M1392+N1392)</f>
        <v>3.5011677306552705E-2</v>
      </c>
      <c r="I1393" s="642">
        <f>I1392/(D1392+E1392+G1392+H1392+I1392+J1392+L1392+M1392+N1392)</f>
        <v>0</v>
      </c>
      <c r="J1393" s="642">
        <f>J1392/(D1392+E1392+G1392+H1392+I1392+J1392+L1392+M1392+N1392)</f>
        <v>0</v>
      </c>
      <c r="K1393" s="643">
        <f t="shared" si="43"/>
        <v>0.29351915812059887</v>
      </c>
      <c r="L1393" s="642">
        <f>L1392/(D1392+E1392+G1392+H1392+I1392+J1392+L1392+M1392+N1392)</f>
        <v>4.1243791291234302E-2</v>
      </c>
      <c r="M1393" s="642">
        <f>M1392/(D1392+E1392+G1392+H1392+I1392+J1392+L1392+M1392+N1392)</f>
        <v>0</v>
      </c>
      <c r="N1393" s="642">
        <f>N1392/(D1392+E1392+G1392+H1392+I1392+J1392+L1392+M1392+N1392)</f>
        <v>0.40931553018514161</v>
      </c>
      <c r="O1393" s="1515"/>
    </row>
    <row r="1394" spans="1:15" ht="12" customHeight="1">
      <c r="A1394" s="1516" t="s">
        <v>15112</v>
      </c>
      <c r="B1394" s="1509" t="s">
        <v>14937</v>
      </c>
      <c r="C1394" s="647" t="s">
        <v>6218</v>
      </c>
      <c r="D1394" s="648">
        <v>59926</v>
      </c>
      <c r="E1394" s="648">
        <v>31857</v>
      </c>
      <c r="F1394" s="649">
        <f t="shared" si="42"/>
        <v>91783</v>
      </c>
      <c r="G1394" s="648">
        <v>107635</v>
      </c>
      <c r="H1394" s="648">
        <v>7809</v>
      </c>
      <c r="I1394" s="648">
        <v>4418</v>
      </c>
      <c r="J1394" s="648">
        <v>6973</v>
      </c>
      <c r="K1394" s="649">
        <f t="shared" si="43"/>
        <v>126835</v>
      </c>
      <c r="L1394" s="648">
        <v>14892</v>
      </c>
      <c r="M1394" s="648">
        <v>4689</v>
      </c>
      <c r="N1394" s="648">
        <v>173718</v>
      </c>
      <c r="O1394" s="1510">
        <f>1-N1395</f>
        <v>0.57826940864300336</v>
      </c>
    </row>
    <row r="1395" spans="1:15" ht="12" customHeight="1">
      <c r="A1395" s="1517"/>
      <c r="B1395" s="1502"/>
      <c r="C1395" s="635" t="s">
        <v>6219</v>
      </c>
      <c r="D1395" s="636">
        <f>D1394/(D1394+E1394+G1394+H1394+I1394+J1394+L1394+M1394+N1394)</f>
        <v>0.14548076432873613</v>
      </c>
      <c r="E1395" s="636">
        <f>E1394/(D1394+E1394+G1394+H1394+I1394+J1394+L1394+M1394+N1394)</f>
        <v>7.7338395841880764E-2</v>
      </c>
      <c r="F1395" s="637">
        <f t="shared" si="42"/>
        <v>0.2228191601706169</v>
      </c>
      <c r="G1395" s="636">
        <f>G1394/(D1394+E1394+G1394+H1394+I1394+J1394+L1394+M1394+N1394)</f>
        <v>0.26130264106604001</v>
      </c>
      <c r="H1395" s="636">
        <f>H1394/(D1394+E1394+G1394+H1394+I1394+J1394+L1394+M1394+N1394)</f>
        <v>1.8957702643979248E-2</v>
      </c>
      <c r="I1395" s="636">
        <f>I1394/(D1394+E1394+G1394+H1394+I1394+J1394+L1394+M1394+N1394)</f>
        <v>1.0725461682814743E-2</v>
      </c>
      <c r="J1395" s="636">
        <f>J1394/(D1394+E1394+G1394+H1394+I1394+J1394+L1394+M1394+N1394)</f>
        <v>1.6928167567738159E-2</v>
      </c>
      <c r="K1395" s="637">
        <f t="shared" si="43"/>
        <v>0.30791397296057216</v>
      </c>
      <c r="L1395" s="636">
        <f>L1394/(D1394+E1394+G1394+H1394+I1394+J1394+L1394+M1394+N1394)</f>
        <v>3.6152914300696497E-2</v>
      </c>
      <c r="M1395" s="636">
        <f>M1394/(D1394+E1394+G1394+H1394+I1394+J1394+L1394+M1394+N1394)</f>
        <v>1.1383361211117774E-2</v>
      </c>
      <c r="N1395" s="636">
        <f>N1394/(D1394+E1394+G1394+H1394+I1394+J1394+L1394+M1394+N1394)</f>
        <v>0.4217305913569967</v>
      </c>
      <c r="O1395" s="1503"/>
    </row>
    <row r="1396" spans="1:15" ht="12" customHeight="1">
      <c r="A1396" s="1517"/>
      <c r="B1396" s="1502" t="s">
        <v>14938</v>
      </c>
      <c r="C1396" s="638" t="s">
        <v>6218</v>
      </c>
      <c r="D1396" s="639">
        <v>104408</v>
      </c>
      <c r="E1396" s="639">
        <v>31471</v>
      </c>
      <c r="F1396" s="640">
        <f t="shared" si="42"/>
        <v>135879</v>
      </c>
      <c r="G1396" s="639">
        <v>91510</v>
      </c>
      <c r="H1396" s="639">
        <v>9536</v>
      </c>
      <c r="I1396" s="639"/>
      <c r="J1396" s="639">
        <v>14797</v>
      </c>
      <c r="K1396" s="640">
        <f t="shared" si="43"/>
        <v>115843</v>
      </c>
      <c r="L1396" s="639">
        <v>15755</v>
      </c>
      <c r="M1396" s="639"/>
      <c r="N1396" s="639">
        <v>137673</v>
      </c>
      <c r="O1396" s="1503">
        <f>1-N1397</f>
        <v>0.66019252128841166</v>
      </c>
    </row>
    <row r="1397" spans="1:15" ht="12" customHeight="1">
      <c r="A1397" s="1517"/>
      <c r="B1397" s="1502"/>
      <c r="C1397" s="635" t="s">
        <v>6219</v>
      </c>
      <c r="D1397" s="636">
        <f>D1396/(D1396+E1396+G1396+H1396+I1396+J1396+L1396+M1396+N1396)</f>
        <v>0.25770208564729113</v>
      </c>
      <c r="E1397" s="636">
        <f>E1396/(D1396+E1396+G1396+H1396+I1396+J1396+L1396+M1396+N1396)</f>
        <v>7.7677403430828088E-2</v>
      </c>
      <c r="F1397" s="637">
        <f t="shared" si="42"/>
        <v>0.33537948907811921</v>
      </c>
      <c r="G1397" s="636">
        <f>G1396/(D1396+E1396+G1396+H1396+I1396+J1396+L1396+M1396+N1396)</f>
        <v>0.22586696285326421</v>
      </c>
      <c r="H1397" s="636">
        <f>H1396/(D1396+E1396+G1396+H1396+I1396+J1396+L1396+M1396+N1396)</f>
        <v>2.3536961619153401E-2</v>
      </c>
      <c r="I1397" s="636">
        <f>I1396/(D1396+E1396+G1396+H1396+I1396+J1396+L1396+M1396+N1396)</f>
        <v>0</v>
      </c>
      <c r="J1397" s="636">
        <f>J1396/(D1396+E1396+G1396+H1396+I1396+J1396+L1396+M1396+N1396)</f>
        <v>3.652227570035789E-2</v>
      </c>
      <c r="K1397" s="637">
        <f t="shared" si="43"/>
        <v>0.28592620017277548</v>
      </c>
      <c r="L1397" s="636">
        <f>L1396/(D1396+E1396+G1396+H1396+I1396+J1396+L1396+M1396+N1396)</f>
        <v>3.8886832037516972E-2</v>
      </c>
      <c r="M1397" s="636">
        <f>M1396/(D1396+E1396+G1396+H1396+I1396+J1396+L1396+M1396+N1396)</f>
        <v>0</v>
      </c>
      <c r="N1397" s="636">
        <f>N1396/(D1396+E1396+G1396+H1396+I1396+J1396+L1396+M1396+N1396)</f>
        <v>0.33980747871158828</v>
      </c>
      <c r="O1397" s="1503"/>
    </row>
    <row r="1398" spans="1:15" ht="12" customHeight="1">
      <c r="A1398" s="1517"/>
      <c r="B1398" s="1502" t="s">
        <v>14939</v>
      </c>
      <c r="C1398" s="638" t="s">
        <v>6218</v>
      </c>
      <c r="D1398" s="639">
        <v>55999</v>
      </c>
      <c r="E1398" s="639">
        <v>30695</v>
      </c>
      <c r="F1398" s="640">
        <f t="shared" si="42"/>
        <v>86694</v>
      </c>
      <c r="G1398" s="639">
        <v>92754</v>
      </c>
      <c r="H1398" s="639">
        <v>9246</v>
      </c>
      <c r="I1398" s="639"/>
      <c r="J1398" s="639"/>
      <c r="K1398" s="640">
        <f t="shared" si="43"/>
        <v>102000</v>
      </c>
      <c r="L1398" s="639">
        <v>14930</v>
      </c>
      <c r="M1398" s="639">
        <v>7949</v>
      </c>
      <c r="N1398" s="639">
        <v>188236</v>
      </c>
      <c r="O1398" s="1503">
        <f>1-N1399</f>
        <v>0.52918518592627972</v>
      </c>
    </row>
    <row r="1399" spans="1:15" ht="12" customHeight="1">
      <c r="A1399" s="1517"/>
      <c r="B1399" s="1502"/>
      <c r="C1399" s="635" t="s">
        <v>6219</v>
      </c>
      <c r="D1399" s="636">
        <f>D1398/(D1398+E1398+G1398+H1398+I1398+J1398+L1398+M1398+N1398)</f>
        <v>0.14006438074180422</v>
      </c>
      <c r="E1399" s="636">
        <f>E1398/(D1398+E1398+G1398+H1398+I1398+J1398+L1398+M1398+N1398)</f>
        <v>7.6774159661238239E-2</v>
      </c>
      <c r="F1399" s="637">
        <f t="shared" si="42"/>
        <v>0.21683854040304246</v>
      </c>
      <c r="G1399" s="636">
        <f>G1398/(D1398+E1398+G1398+H1398+I1398+J1398+L1398+M1398+N1398)</f>
        <v>0.23199577798398735</v>
      </c>
      <c r="H1399" s="636">
        <f>H1398/(D1398+E1398+G1398+H1398+I1398+J1398+L1398+M1398+N1398)</f>
        <v>2.3126042685382271E-2</v>
      </c>
      <c r="I1399" s="636">
        <f>I1398/(D1398+E1398+G1398+H1398+I1398+J1398+L1398+M1398+N1398)</f>
        <v>0</v>
      </c>
      <c r="J1399" s="636">
        <f>J1398/(D1398+E1398+G1398+H1398+I1398+J1398+L1398+M1398+N1398)</f>
        <v>0</v>
      </c>
      <c r="K1399" s="637">
        <f t="shared" si="43"/>
        <v>0.25512182066936961</v>
      </c>
      <c r="L1399" s="636">
        <f>L1398/(D1398+E1398+G1398+H1398+I1398+J1398+L1398+M1398+N1398)</f>
        <v>3.7342831201898907E-2</v>
      </c>
      <c r="M1399" s="636">
        <f>M1398/(D1398+E1398+G1398+H1398+I1398+J1398+L1398+M1398+N1398)</f>
        <v>1.9881993651968816E-2</v>
      </c>
      <c r="N1399" s="636">
        <f>N1398/(D1398+E1398+G1398+H1398+I1398+J1398+L1398+M1398+N1398)</f>
        <v>0.47081481407372022</v>
      </c>
      <c r="O1399" s="1503"/>
    </row>
    <row r="1400" spans="1:15" ht="12" customHeight="1">
      <c r="A1400" s="1517"/>
      <c r="B1400" s="1502" t="s">
        <v>14940</v>
      </c>
      <c r="C1400" s="638" t="s">
        <v>6218</v>
      </c>
      <c r="D1400" s="639">
        <v>77413</v>
      </c>
      <c r="E1400" s="639">
        <v>32346</v>
      </c>
      <c r="F1400" s="640">
        <f t="shared" si="42"/>
        <v>109759</v>
      </c>
      <c r="G1400" s="639">
        <v>101327</v>
      </c>
      <c r="H1400" s="639">
        <v>8639</v>
      </c>
      <c r="I1400" s="639"/>
      <c r="J1400" s="639"/>
      <c r="K1400" s="640">
        <f t="shared" si="43"/>
        <v>109966</v>
      </c>
      <c r="L1400" s="639">
        <v>14797</v>
      </c>
      <c r="M1400" s="639"/>
      <c r="N1400" s="639">
        <v>163698</v>
      </c>
      <c r="O1400" s="1503">
        <f>1-N1401</f>
        <v>0.58892571945155936</v>
      </c>
    </row>
    <row r="1401" spans="1:15" ht="12" customHeight="1" thickBot="1">
      <c r="A1401" s="1519"/>
      <c r="B1401" s="1514"/>
      <c r="C1401" s="641" t="s">
        <v>6219</v>
      </c>
      <c r="D1401" s="642">
        <f>D1400/(D1400+E1400+G1400+H1400+I1400+J1400+L1400+M1400+N1400)</f>
        <v>0.19439756918286374</v>
      </c>
      <c r="E1401" s="642">
        <f>E1400/(D1400+E1400+G1400+H1400+I1400+J1400+L1400+M1400+N1400)</f>
        <v>8.1226457736929339E-2</v>
      </c>
      <c r="F1401" s="643">
        <f t="shared" si="42"/>
        <v>0.2756240269197931</v>
      </c>
      <c r="G1401" s="642">
        <f>G1400/(D1400+E1400+G1400+H1400+I1400+J1400+L1400+M1400+N1400)</f>
        <v>0.25444980161719655</v>
      </c>
      <c r="H1401" s="642">
        <f>H1400/(D1400+E1400+G1400+H1400+I1400+J1400+L1400+M1400+N1400)</f>
        <v>2.1694038471196827E-2</v>
      </c>
      <c r="I1401" s="642">
        <f>I1400/(D1400+E1400+G1400+H1400+I1400+J1400+L1400+M1400+N1400)</f>
        <v>0</v>
      </c>
      <c r="J1401" s="642">
        <f>J1400/(D1400+E1400+G1400+H1400+I1400+J1400+L1400+M1400+N1400)</f>
        <v>0</v>
      </c>
      <c r="K1401" s="643">
        <f t="shared" si="43"/>
        <v>0.27614384008839338</v>
      </c>
      <c r="L1401" s="642">
        <f>L1400/(D1400+E1400+G1400+H1400+I1400+J1400+L1400+M1400+N1400)</f>
        <v>3.715785244337301E-2</v>
      </c>
      <c r="M1401" s="642">
        <f>M1400/(D1400+E1400+G1400+H1400+I1400+J1400+L1400+M1400+N1400)</f>
        <v>0</v>
      </c>
      <c r="N1401" s="642">
        <f>N1400/(D1400+E1400+G1400+H1400+I1400+J1400+L1400+M1400+N1400)</f>
        <v>0.41107428054844058</v>
      </c>
      <c r="O1401" s="1515"/>
    </row>
    <row r="1402" spans="1:15" ht="12" customHeight="1">
      <c r="A1402" s="1516" t="s">
        <v>15113</v>
      </c>
      <c r="B1402" s="1509" t="s">
        <v>14937</v>
      </c>
      <c r="C1402" s="647" t="s">
        <v>6218</v>
      </c>
      <c r="D1402" s="648">
        <v>62735</v>
      </c>
      <c r="E1402" s="648">
        <v>32360</v>
      </c>
      <c r="F1402" s="649">
        <f t="shared" si="42"/>
        <v>95095</v>
      </c>
      <c r="G1402" s="648">
        <v>105756</v>
      </c>
      <c r="H1402" s="648">
        <v>7654</v>
      </c>
      <c r="I1402" s="648">
        <v>4933</v>
      </c>
      <c r="J1402" s="648">
        <v>6996</v>
      </c>
      <c r="K1402" s="649">
        <f t="shared" si="43"/>
        <v>125339</v>
      </c>
      <c r="L1402" s="648">
        <v>15432</v>
      </c>
      <c r="M1402" s="648">
        <v>4901</v>
      </c>
      <c r="N1402" s="648">
        <v>178930</v>
      </c>
      <c r="O1402" s="1510">
        <f>1-N1403</f>
        <v>0.57366862283981068</v>
      </c>
    </row>
    <row r="1403" spans="1:15" ht="12" customHeight="1">
      <c r="A1403" s="1517"/>
      <c r="B1403" s="1502"/>
      <c r="C1403" s="635" t="s">
        <v>6219</v>
      </c>
      <c r="D1403" s="636">
        <f>D1402/(D1402+E1402+G1402+H1402+I1402+J1402+L1402+M1402+N1402)</f>
        <v>0.14947688451430435</v>
      </c>
      <c r="E1403" s="636">
        <f>E1402/(D1402+E1402+G1402+H1402+I1402+J1402+L1402+M1402+N1402)</f>
        <v>7.7103243530451726E-2</v>
      </c>
      <c r="F1403" s="637">
        <f t="shared" si="42"/>
        <v>0.22658012804475608</v>
      </c>
      <c r="G1403" s="636">
        <f>G1402/(D1402+E1402+G1402+H1402+I1402+J1402+L1402+M1402+N1402)</f>
        <v>0.25198178686052081</v>
      </c>
      <c r="H1403" s="636">
        <f>H1402/(D1402+E1402+G1402+H1402+I1402+J1402+L1402+M1402+N1402)</f>
        <v>1.8236966192276809E-2</v>
      </c>
      <c r="I1403" s="636">
        <f>I1402/(D1402+E1402+G1402+H1402+I1402+J1402+L1402+M1402+N1402)</f>
        <v>1.1753717562908479E-2</v>
      </c>
      <c r="J1403" s="636">
        <f>J1402/(D1402+E1402+G1402+H1402+I1402+J1402+L1402+M1402+N1402)</f>
        <v>1.6669168471540183E-2</v>
      </c>
      <c r="K1403" s="637">
        <f t="shared" si="43"/>
        <v>0.29864163908724634</v>
      </c>
      <c r="L1403" s="636">
        <f>L1402/(D1402+E1402+G1402+H1402+I1402+J1402+L1402+M1402+N1402)</f>
        <v>3.6769383626759307E-2</v>
      </c>
      <c r="M1403" s="636">
        <f>M1402/(D1402+E1402+G1402+H1402+I1402+J1402+L1402+M1402+N1402)</f>
        <v>1.1677472081048947E-2</v>
      </c>
      <c r="N1403" s="636">
        <f>N1402/(D1402+E1402+G1402+H1402+I1402+J1402+L1402+M1402+N1402)</f>
        <v>0.42633137716018937</v>
      </c>
      <c r="O1403" s="1503"/>
    </row>
    <row r="1404" spans="1:15" ht="12" customHeight="1">
      <c r="A1404" s="1517"/>
      <c r="B1404" s="1502" t="s">
        <v>14938</v>
      </c>
      <c r="C1404" s="638" t="s">
        <v>6218</v>
      </c>
      <c r="D1404" s="639">
        <v>101355</v>
      </c>
      <c r="E1404" s="639">
        <v>35549</v>
      </c>
      <c r="F1404" s="640">
        <f t="shared" si="42"/>
        <v>136904</v>
      </c>
      <c r="G1404" s="639">
        <v>97342</v>
      </c>
      <c r="H1404" s="639">
        <v>9879</v>
      </c>
      <c r="I1404" s="639"/>
      <c r="J1404" s="639">
        <v>12031</v>
      </c>
      <c r="K1404" s="640">
        <f t="shared" si="43"/>
        <v>119252</v>
      </c>
      <c r="L1404" s="639">
        <v>17383</v>
      </c>
      <c r="M1404" s="639"/>
      <c r="N1404" s="639">
        <v>143936</v>
      </c>
      <c r="O1404" s="1503">
        <f>1-N1405</f>
        <v>0.65522246841128218</v>
      </c>
    </row>
    <row r="1405" spans="1:15" ht="12" customHeight="1">
      <c r="A1405" s="1517"/>
      <c r="B1405" s="1502"/>
      <c r="C1405" s="635" t="s">
        <v>6219</v>
      </c>
      <c r="D1405" s="636">
        <f>D1404/(D1404+E1404+G1404+H1404+I1404+J1404+L1404+M1404+N1404)</f>
        <v>0.24278100485058984</v>
      </c>
      <c r="E1405" s="636">
        <f>E1404/(D1404+E1404+G1404+H1404+I1404+J1404+L1404+M1404+N1404)</f>
        <v>8.515240433558896E-2</v>
      </c>
      <c r="F1405" s="637">
        <f t="shared" si="42"/>
        <v>0.3279334091861788</v>
      </c>
      <c r="G1405" s="636">
        <f>G1404/(D1404+E1404+G1404+H1404+I1404+J1404+L1404+M1404+N1404)</f>
        <v>0.23316845320079047</v>
      </c>
      <c r="H1405" s="636">
        <f>H1404/(D1404+E1404+G1404+H1404+I1404+J1404+L1404+M1404+N1404)</f>
        <v>2.3663692436672854E-2</v>
      </c>
      <c r="I1405" s="636">
        <f>I1404/(D1404+E1404+G1404+H1404+I1404+J1404+L1404+M1404+N1404)</f>
        <v>0</v>
      </c>
      <c r="J1405" s="636">
        <f>J1404/(D1404+E1404+G1404+H1404+I1404+J1404+L1404+M1404+N1404)</f>
        <v>2.8818492125276964E-2</v>
      </c>
      <c r="K1405" s="637">
        <f t="shared" si="43"/>
        <v>0.2856506377627403</v>
      </c>
      <c r="L1405" s="636">
        <f>L1404/(D1404+E1404+G1404+H1404+I1404+J1404+L1404+M1404+N1404)</f>
        <v>4.1638421462363018E-2</v>
      </c>
      <c r="M1405" s="636">
        <f>M1404/(D1404+E1404+G1404+H1404+I1404+J1404+L1404+M1404+N1404)</f>
        <v>0</v>
      </c>
      <c r="N1405" s="636">
        <f>N1404/(D1404+E1404+G1404+H1404+I1404+J1404+L1404+M1404+N1404)</f>
        <v>0.34477753158871788</v>
      </c>
      <c r="O1405" s="1503"/>
    </row>
    <row r="1406" spans="1:15" ht="12" customHeight="1">
      <c r="A1406" s="1517"/>
      <c r="B1406" s="1502" t="s">
        <v>14939</v>
      </c>
      <c r="C1406" s="638" t="s">
        <v>6218</v>
      </c>
      <c r="D1406" s="639">
        <v>57121</v>
      </c>
      <c r="E1406" s="639">
        <v>32291</v>
      </c>
      <c r="F1406" s="640">
        <f t="shared" si="42"/>
        <v>89412</v>
      </c>
      <c r="G1406" s="639">
        <v>93169</v>
      </c>
      <c r="H1406" s="639">
        <v>8684</v>
      </c>
      <c r="I1406" s="639"/>
      <c r="J1406" s="639"/>
      <c r="K1406" s="640">
        <f t="shared" si="43"/>
        <v>101853</v>
      </c>
      <c r="L1406" s="639">
        <v>16066</v>
      </c>
      <c r="M1406" s="639">
        <v>7983</v>
      </c>
      <c r="N1406" s="639">
        <v>200106</v>
      </c>
      <c r="O1406" s="1503">
        <f>1-N1407</f>
        <v>0.51830436666506186</v>
      </c>
    </row>
    <row r="1407" spans="1:15" ht="12" customHeight="1">
      <c r="A1407" s="1517"/>
      <c r="B1407" s="1502"/>
      <c r="C1407" s="635" t="s">
        <v>6219</v>
      </c>
      <c r="D1407" s="636">
        <f>D1406/(D1406+E1406+G1406+H1406+I1406+J1406+L1406+M1406+N1406)</f>
        <v>0.13750180540176207</v>
      </c>
      <c r="E1407" s="636">
        <f>E1406/(D1406+E1406+G1406+H1406+I1406+J1406+L1406+M1406+N1406)</f>
        <v>7.7730971065427756E-2</v>
      </c>
      <c r="F1407" s="637">
        <f t="shared" si="42"/>
        <v>0.21523277646718983</v>
      </c>
      <c r="G1407" s="636">
        <f>G1406/(D1406+E1406+G1406+H1406+I1406+J1406+L1406+M1406+N1406)</f>
        <v>0.22427663569399645</v>
      </c>
      <c r="H1407" s="636">
        <f>H1406/(D1406+E1406+G1406+H1406+I1406+J1406+L1406+M1406+N1406)</f>
        <v>2.0904145202445719E-2</v>
      </c>
      <c r="I1407" s="636">
        <f>I1406/(D1406+E1406+G1406+H1406+I1406+J1406+L1406+M1406+N1406)</f>
        <v>0</v>
      </c>
      <c r="J1407" s="636">
        <f>J1406/(D1406+E1406+G1406+H1406+I1406+J1406+L1406+M1406+N1406)</f>
        <v>0</v>
      </c>
      <c r="K1407" s="637">
        <f t="shared" si="43"/>
        <v>0.24518078089644216</v>
      </c>
      <c r="L1407" s="636">
        <f>L1406/(D1406+E1406+G1406+H1406+I1406+J1406+L1406+M1406+N1406)</f>
        <v>3.8674112945934237E-2</v>
      </c>
      <c r="M1407" s="636">
        <f>M1406/(D1406+E1406+G1406+H1406+I1406+J1406+L1406+M1406+N1406)</f>
        <v>1.9216696355495642E-2</v>
      </c>
      <c r="N1407" s="636">
        <f>N1406/(D1406+E1406+G1406+H1406+I1406+J1406+L1406+M1406+N1406)</f>
        <v>0.48169563333493814</v>
      </c>
      <c r="O1407" s="1503"/>
    </row>
    <row r="1408" spans="1:15" ht="12" customHeight="1">
      <c r="A1408" s="1517"/>
      <c r="B1408" s="1502" t="s">
        <v>14940</v>
      </c>
      <c r="C1408" s="638" t="s">
        <v>6218</v>
      </c>
      <c r="D1408" s="639">
        <v>71926</v>
      </c>
      <c r="E1408" s="639">
        <v>32019</v>
      </c>
      <c r="F1408" s="640">
        <f t="shared" si="42"/>
        <v>103945</v>
      </c>
      <c r="G1408" s="639">
        <v>102641</v>
      </c>
      <c r="H1408" s="639">
        <v>9009</v>
      </c>
      <c r="I1408" s="639"/>
      <c r="J1408" s="639"/>
      <c r="K1408" s="640">
        <f t="shared" si="43"/>
        <v>111650</v>
      </c>
      <c r="L1408" s="639">
        <v>15805</v>
      </c>
      <c r="M1408" s="639"/>
      <c r="N1408" s="639">
        <v>183525</v>
      </c>
      <c r="O1408" s="1503">
        <f>1-N1409</f>
        <v>0.55769114900283179</v>
      </c>
    </row>
    <row r="1409" spans="1:15" ht="12" customHeight="1" thickBot="1">
      <c r="A1409" s="1519"/>
      <c r="B1409" s="1514"/>
      <c r="C1409" s="641" t="s">
        <v>6219</v>
      </c>
      <c r="D1409" s="642">
        <f>D1408/(D1408+E1408+G1408+H1408+I1408+J1408+L1408+M1408+N1408)</f>
        <v>0.17334699041995541</v>
      </c>
      <c r="E1409" s="642">
        <f>E1408/(D1408+E1408+G1408+H1408+I1408+J1408+L1408+M1408+N1408)</f>
        <v>7.7168162921009822E-2</v>
      </c>
      <c r="F1409" s="643">
        <f t="shared" si="42"/>
        <v>0.25051515334096525</v>
      </c>
      <c r="G1409" s="642">
        <f>G1408/(D1408+E1408+G1408+H1408+I1408+J1408+L1408+M1408+N1408)</f>
        <v>0.24737241670181359</v>
      </c>
      <c r="H1409" s="642">
        <f>H1408/(D1408+E1408+G1408+H1408+I1408+J1408+L1408+M1408+N1408)</f>
        <v>2.1712357654997891E-2</v>
      </c>
      <c r="I1409" s="642">
        <f>I1408/(D1408+E1408+G1408+H1408+I1408+J1408+L1408+M1408+N1408)</f>
        <v>0</v>
      </c>
      <c r="J1409" s="642">
        <f>J1408/(D1408+E1408+G1408+H1408+I1408+J1408+L1408+M1408+N1408)</f>
        <v>0</v>
      </c>
      <c r="K1409" s="643">
        <f t="shared" si="43"/>
        <v>0.2690847743568115</v>
      </c>
      <c r="L1409" s="642">
        <f>L1408/(D1408+E1408+G1408+H1408+I1408+J1408+L1408+M1408+N1408)</f>
        <v>3.8091221305055128E-2</v>
      </c>
      <c r="M1409" s="642">
        <f>M1408/(D1408+E1408+G1408+H1408+I1408+J1408+L1408+M1408+N1408)</f>
        <v>0</v>
      </c>
      <c r="N1409" s="642">
        <f>N1408/(D1408+E1408+G1408+H1408+I1408+J1408+L1408+M1408+N1408)</f>
        <v>0.44230885099716816</v>
      </c>
      <c r="O1409" s="1515"/>
    </row>
    <row r="1410" spans="1:15" ht="12" customHeight="1">
      <c r="A1410" s="1516" t="s">
        <v>15114</v>
      </c>
      <c r="B1410" s="1509" t="s">
        <v>14937</v>
      </c>
      <c r="C1410" s="647" t="s">
        <v>6218</v>
      </c>
      <c r="D1410" s="648">
        <v>55887</v>
      </c>
      <c r="E1410" s="648">
        <v>33506</v>
      </c>
      <c r="F1410" s="649">
        <f t="shared" ref="F1410:F1473" si="44">SUM(D1410:E1410)</f>
        <v>89393</v>
      </c>
      <c r="G1410" s="648">
        <v>103573</v>
      </c>
      <c r="H1410" s="648">
        <v>7611</v>
      </c>
      <c r="I1410" s="648">
        <v>4520</v>
      </c>
      <c r="J1410" s="648">
        <v>7484</v>
      </c>
      <c r="K1410" s="649">
        <f t="shared" ref="K1410:K1473" si="45">SUM(G1410:J1410)</f>
        <v>123188</v>
      </c>
      <c r="L1410" s="648">
        <v>16071</v>
      </c>
      <c r="M1410" s="648">
        <v>4833</v>
      </c>
      <c r="N1410" s="648">
        <v>179480</v>
      </c>
      <c r="O1410" s="1510">
        <f>1-N1411</f>
        <v>0.5653868971946775</v>
      </c>
    </row>
    <row r="1411" spans="1:15" ht="12" customHeight="1">
      <c r="A1411" s="1517"/>
      <c r="B1411" s="1502"/>
      <c r="C1411" s="635" t="s">
        <v>6219</v>
      </c>
      <c r="D1411" s="636">
        <f>D1410/(D1410+E1410+G1410+H1410+I1410+J1410+L1410+M1410+N1410)</f>
        <v>0.13533108132650468</v>
      </c>
      <c r="E1411" s="636">
        <f>E1410/(D1410+E1410+G1410+H1410+I1410+J1410+L1410+M1410+N1410)</f>
        <v>8.1135205162665119E-2</v>
      </c>
      <c r="F1411" s="637">
        <f t="shared" si="44"/>
        <v>0.2164662864891698</v>
      </c>
      <c r="G1411" s="636">
        <f>G1410/(D1410+E1410+G1410+H1410+I1410+J1410+L1410+M1410+N1410)</f>
        <v>0.25080333684452677</v>
      </c>
      <c r="H1411" s="636">
        <f>H1410/(D1410+E1410+G1410+H1410+I1410+J1410+L1410+M1410+N1410)</f>
        <v>1.8430133304275179E-2</v>
      </c>
      <c r="I1411" s="636">
        <f>I1410/(D1410+E1410+G1410+H1410+I1410+J1410+L1410+M1410+N1410)</f>
        <v>1.0945237489859915E-2</v>
      </c>
      <c r="J1411" s="636">
        <f>J1410/(D1410+E1410+G1410+H1410+I1410+J1410+L1410+M1410+N1410)</f>
        <v>1.8122601188962743E-2</v>
      </c>
      <c r="K1411" s="637">
        <f t="shared" si="45"/>
        <v>0.29830130882762462</v>
      </c>
      <c r="L1411" s="636">
        <f>L1410/(D1410+E1410+G1410+H1410+I1410+J1410+L1410+M1410+N1410)</f>
        <v>3.891613090697759E-2</v>
      </c>
      <c r="M1411" s="636">
        <f>M1410/(D1410+E1410+G1410+H1410+I1410+J1410+L1410+M1410+N1410)</f>
        <v>1.1703170970905525E-2</v>
      </c>
      <c r="N1411" s="636">
        <f>N1410/(D1410+E1410+G1410+H1410+I1410+J1410+L1410+M1410+N1410)</f>
        <v>0.4346131028053225</v>
      </c>
      <c r="O1411" s="1503"/>
    </row>
    <row r="1412" spans="1:15" ht="12" customHeight="1">
      <c r="A1412" s="1517"/>
      <c r="B1412" s="1502" t="s">
        <v>14938</v>
      </c>
      <c r="C1412" s="638" t="s">
        <v>6218</v>
      </c>
      <c r="D1412" s="639">
        <v>96034</v>
      </c>
      <c r="E1412" s="639">
        <v>38101</v>
      </c>
      <c r="F1412" s="640">
        <f t="shared" si="44"/>
        <v>134135</v>
      </c>
      <c r="G1412" s="639">
        <v>92267</v>
      </c>
      <c r="H1412" s="639">
        <v>10210</v>
      </c>
      <c r="I1412" s="639"/>
      <c r="J1412" s="639">
        <v>12254</v>
      </c>
      <c r="K1412" s="640">
        <f t="shared" si="45"/>
        <v>114731</v>
      </c>
      <c r="L1412" s="639">
        <v>18387</v>
      </c>
      <c r="M1412" s="639"/>
      <c r="N1412" s="639">
        <v>141358</v>
      </c>
      <c r="O1412" s="1503">
        <f>1-N1413</f>
        <v>0.65405238723382386</v>
      </c>
    </row>
    <row r="1413" spans="1:15" ht="12" customHeight="1">
      <c r="A1413" s="1517"/>
      <c r="B1413" s="1502"/>
      <c r="C1413" s="635" t="s">
        <v>6219</v>
      </c>
      <c r="D1413" s="636">
        <f>D1412/(D1412+E1412+G1412+H1412+I1412+J1412+L1412+M1412+N1412)</f>
        <v>0.23502548879007173</v>
      </c>
      <c r="E1413" s="636">
        <f>E1412/(D1412+E1412+G1412+H1412+I1412+J1412+L1412+M1412+N1412)</f>
        <v>9.3245164716564161E-2</v>
      </c>
      <c r="F1413" s="637">
        <f t="shared" si="44"/>
        <v>0.32827065350663587</v>
      </c>
      <c r="G1413" s="636">
        <f>G1412/(D1412+E1412+G1412+H1412+I1412+J1412+L1412+M1412+N1412)</f>
        <v>0.22580645161290322</v>
      </c>
      <c r="H1413" s="636">
        <f>H1412/(D1412+E1412+G1412+H1412+I1412+J1412+L1412+M1412+N1412)</f>
        <v>2.4987090411173463E-2</v>
      </c>
      <c r="I1413" s="636">
        <f>I1412/(D1412+E1412+G1412+H1412+I1412+J1412+L1412+M1412+N1412)</f>
        <v>0</v>
      </c>
      <c r="J1413" s="636">
        <f>J1412/(D1412+E1412+G1412+H1412+I1412+J1412+L1412+M1412+N1412)</f>
        <v>2.998940312424286E-2</v>
      </c>
      <c r="K1413" s="637">
        <f t="shared" si="45"/>
        <v>0.28078294514831953</v>
      </c>
      <c r="L1413" s="636">
        <f>L1412/(D1412+E1412+G1412+H1412+I1412+J1412+L1412+M1412+N1412)</f>
        <v>4.4998788578868409E-2</v>
      </c>
      <c r="M1413" s="636">
        <f>M1412/(D1412+E1412+G1412+H1412+I1412+J1412+L1412+M1412+N1412)</f>
        <v>0</v>
      </c>
      <c r="N1413" s="636">
        <f>N1412/(D1412+E1412+G1412+H1412+I1412+J1412+L1412+M1412+N1412)</f>
        <v>0.34594761276617614</v>
      </c>
      <c r="O1413" s="1503"/>
    </row>
    <row r="1414" spans="1:15" ht="12" customHeight="1">
      <c r="A1414" s="1517"/>
      <c r="B1414" s="1502" t="s">
        <v>14939</v>
      </c>
      <c r="C1414" s="638" t="s">
        <v>6218</v>
      </c>
      <c r="D1414" s="639">
        <v>50903</v>
      </c>
      <c r="E1414" s="639">
        <v>33705</v>
      </c>
      <c r="F1414" s="640">
        <f t="shared" si="44"/>
        <v>84608</v>
      </c>
      <c r="G1414" s="639">
        <v>89163</v>
      </c>
      <c r="H1414" s="639">
        <v>8813</v>
      </c>
      <c r="I1414" s="639"/>
      <c r="J1414" s="639"/>
      <c r="K1414" s="640">
        <f t="shared" si="45"/>
        <v>97976</v>
      </c>
      <c r="L1414" s="639">
        <v>17124</v>
      </c>
      <c r="M1414" s="639">
        <v>8113</v>
      </c>
      <c r="N1414" s="639">
        <v>197917</v>
      </c>
      <c r="O1414" s="1503">
        <f>1-N1415</f>
        <v>0.51220492041662347</v>
      </c>
    </row>
    <row r="1415" spans="1:15" ht="12" customHeight="1">
      <c r="A1415" s="1517"/>
      <c r="B1415" s="1502"/>
      <c r="C1415" s="635" t="s">
        <v>6219</v>
      </c>
      <c r="D1415" s="636">
        <f>D1414/(D1414+E1414+G1414+H1414+I1414+J1414+L1414+M1414+N1414)</f>
        <v>0.125457807747857</v>
      </c>
      <c r="E1415" s="636">
        <f>E1414/(D1414+E1414+G1414+H1414+I1414+J1414+L1414+M1414+N1414)</f>
        <v>8.307084867574642E-2</v>
      </c>
      <c r="F1415" s="637">
        <f t="shared" si="44"/>
        <v>0.20852865642360341</v>
      </c>
      <c r="G1415" s="636">
        <f>G1414/(D1414+E1414+G1414+H1414+I1414+J1414+L1414+M1414+N1414)</f>
        <v>0.21975511290537245</v>
      </c>
      <c r="H1415" s="636">
        <f>H1414/(D1414+E1414+G1414+H1414+I1414+J1414+L1414+M1414+N1414)</f>
        <v>2.1720913495901297E-2</v>
      </c>
      <c r="I1415" s="636">
        <f>I1414/(D1414+E1414+G1414+H1414+I1414+J1414+L1414+M1414+N1414)</f>
        <v>0</v>
      </c>
      <c r="J1415" s="636">
        <f>J1414/(D1414+E1414+G1414+H1414+I1414+J1414+L1414+M1414+N1414)</f>
        <v>0</v>
      </c>
      <c r="K1415" s="637">
        <f t="shared" si="45"/>
        <v>0.24147602640127375</v>
      </c>
      <c r="L1415" s="636">
        <f>L1414/(D1414+E1414+G1414+H1414+I1414+J1414+L1414+M1414+N1414)</f>
        <v>4.2204575366369429E-2</v>
      </c>
      <c r="M1415" s="636">
        <f>M1414/(D1414+E1414+G1414+H1414+I1414+J1414+L1414+M1414+N1414)</f>
        <v>1.9995662225376968E-2</v>
      </c>
      <c r="N1415" s="636">
        <f>N1414/(D1414+E1414+G1414+H1414+I1414+J1414+L1414+M1414+N1414)</f>
        <v>0.48779507958337648</v>
      </c>
      <c r="O1415" s="1503"/>
    </row>
    <row r="1416" spans="1:15" ht="12" customHeight="1">
      <c r="A1416" s="1517"/>
      <c r="B1416" s="1502" t="s">
        <v>14940</v>
      </c>
      <c r="C1416" s="638" t="s">
        <v>6218</v>
      </c>
      <c r="D1416" s="639">
        <v>71839</v>
      </c>
      <c r="E1416" s="639">
        <v>36257</v>
      </c>
      <c r="F1416" s="640">
        <f t="shared" si="44"/>
        <v>108096</v>
      </c>
      <c r="G1416" s="639">
        <v>99959</v>
      </c>
      <c r="H1416" s="639">
        <v>9007</v>
      </c>
      <c r="I1416" s="639"/>
      <c r="J1416" s="639"/>
      <c r="K1416" s="640">
        <f t="shared" si="45"/>
        <v>108966</v>
      </c>
      <c r="L1416" s="639">
        <v>17189</v>
      </c>
      <c r="M1416" s="639"/>
      <c r="N1416" s="639">
        <v>170413</v>
      </c>
      <c r="O1416" s="1503">
        <f>1-N1417</f>
        <v>0.57887778502659004</v>
      </c>
    </row>
    <row r="1417" spans="1:15" ht="12" customHeight="1" thickBot="1">
      <c r="A1417" s="1519"/>
      <c r="B1417" s="1514"/>
      <c r="C1417" s="641" t="s">
        <v>6219</v>
      </c>
      <c r="D1417" s="642">
        <f>D1416/(D1416+E1416+G1416+H1416+I1416+J1416+L1416+M1416+N1416)</f>
        <v>0.17752752901172331</v>
      </c>
      <c r="E1417" s="642">
        <f>E1416/(D1416+E1416+G1416+H1416+I1416+J1416+L1416+M1416+N1416)</f>
        <v>8.959778977126702E-2</v>
      </c>
      <c r="F1417" s="643">
        <f t="shared" si="44"/>
        <v>0.26712531878299034</v>
      </c>
      <c r="G1417" s="642">
        <f>G1416/(D1416+E1416+G1416+H1416+I1416+J1416+L1416+M1416+N1416)</f>
        <v>0.24701727853231323</v>
      </c>
      <c r="H1417" s="642">
        <f>H1416/(D1416+E1416+G1416+H1416+I1416+J1416+L1416+M1416+N1416)</f>
        <v>2.2257972045944291E-2</v>
      </c>
      <c r="I1417" s="642">
        <f>I1416/(D1416+E1416+G1416+H1416+I1416+J1416+L1416+M1416+N1416)</f>
        <v>0</v>
      </c>
      <c r="J1417" s="642">
        <f>J1416/(D1416+E1416+G1416+H1416+I1416+J1416+L1416+M1416+N1416)</f>
        <v>0</v>
      </c>
      <c r="K1417" s="643">
        <f t="shared" si="45"/>
        <v>0.26927525057825752</v>
      </c>
      <c r="L1417" s="642">
        <f>L1416/(D1416+E1416+G1416+H1416+I1416+J1416+L1416+M1416+N1416)</f>
        <v>4.2477215665342113E-2</v>
      </c>
      <c r="M1417" s="642">
        <f>M1416/(D1416+E1416+G1416+H1416+I1416+J1416+L1416+M1416+N1416)</f>
        <v>0</v>
      </c>
      <c r="N1417" s="642">
        <f>N1416/(D1416+E1416+G1416+H1416+I1416+J1416+L1416+M1416+N1416)</f>
        <v>0.42112221497341001</v>
      </c>
      <c r="O1417" s="1515"/>
    </row>
    <row r="1418" spans="1:15" ht="12" customHeight="1">
      <c r="A1418" s="1526" t="s">
        <v>15115</v>
      </c>
      <c r="B1418" s="1509" t="s">
        <v>14937</v>
      </c>
      <c r="C1418" s="647" t="s">
        <v>6218</v>
      </c>
      <c r="D1418" s="648">
        <v>60262</v>
      </c>
      <c r="E1418" s="648">
        <v>26744</v>
      </c>
      <c r="F1418" s="649">
        <f t="shared" si="44"/>
        <v>87006</v>
      </c>
      <c r="G1418" s="648">
        <v>119553</v>
      </c>
      <c r="H1418" s="648">
        <v>6819</v>
      </c>
      <c r="I1418" s="648">
        <v>3720</v>
      </c>
      <c r="J1418" s="648">
        <v>6337</v>
      </c>
      <c r="K1418" s="649">
        <f t="shared" si="45"/>
        <v>136429</v>
      </c>
      <c r="L1418" s="648">
        <v>8501</v>
      </c>
      <c r="M1418" s="648">
        <v>5032</v>
      </c>
      <c r="N1418" s="648">
        <v>118485</v>
      </c>
      <c r="O1418" s="1510">
        <f>1-N1419</f>
        <v>0.66666479112569033</v>
      </c>
    </row>
    <row r="1419" spans="1:15" ht="12" customHeight="1">
      <c r="A1419" s="1527"/>
      <c r="B1419" s="1502"/>
      <c r="C1419" s="635" t="s">
        <v>6219</v>
      </c>
      <c r="D1419" s="636">
        <f>D1418/(D1418+E1418+G1418+H1418+I1418+J1418+L1418+M1418+N1418)</f>
        <v>0.16953577547523863</v>
      </c>
      <c r="E1419" s="636">
        <f>E1418/(D1418+E1418+G1418+H1418+I1418+J1418+L1418+M1418+N1418)</f>
        <v>7.5239201807271283E-2</v>
      </c>
      <c r="F1419" s="637">
        <f t="shared" si="44"/>
        <v>0.24477497728250991</v>
      </c>
      <c r="G1419" s="636">
        <f>G1418/(D1418+E1418+G1418+H1418+I1418+J1418+L1418+M1418+N1418)</f>
        <v>0.33633982551842295</v>
      </c>
      <c r="H1419" s="636">
        <f>H1418/(D1418+E1418+G1418+H1418+I1418+J1418+L1418+M1418+N1418)</f>
        <v>1.9183970876599718E-2</v>
      </c>
      <c r="I1419" s="636">
        <f>I1418/(D1418+E1418+G1418+H1418+I1418+J1418+L1418+M1418+N1418)</f>
        <v>1.0465518648035042E-2</v>
      </c>
      <c r="J1419" s="636">
        <f>J1418/(D1418+E1418+G1418+H1418+I1418+J1418+L1418+M1418+N1418)</f>
        <v>1.7827954750698406E-2</v>
      </c>
      <c r="K1419" s="637">
        <f t="shared" si="45"/>
        <v>0.38381726979375613</v>
      </c>
      <c r="L1419" s="636">
        <f>L1418/(D1418+E1418+G1418+H1418+I1418+J1418+L1418+M1418+N1418)</f>
        <v>2.3915960759931694E-2</v>
      </c>
      <c r="M1419" s="636">
        <f>M1418/(D1418+E1418+G1418+H1418+I1418+J1418+L1418+M1418+N1418)</f>
        <v>1.4156583289492562E-2</v>
      </c>
      <c r="N1419" s="636">
        <f>N1418/(D1418+E1418+G1418+H1418+I1418+J1418+L1418+M1418+N1418)</f>
        <v>0.33333520887430967</v>
      </c>
      <c r="O1419" s="1503"/>
    </row>
    <row r="1420" spans="1:15" ht="12" customHeight="1">
      <c r="A1420" s="1527"/>
      <c r="B1420" s="1502" t="s">
        <v>14938</v>
      </c>
      <c r="C1420" s="638" t="s">
        <v>6218</v>
      </c>
      <c r="D1420" s="639">
        <v>99369</v>
      </c>
      <c r="E1420" s="639">
        <v>25522</v>
      </c>
      <c r="F1420" s="640">
        <f t="shared" si="44"/>
        <v>124891</v>
      </c>
      <c r="G1420" s="639">
        <v>99506</v>
      </c>
      <c r="H1420" s="639">
        <v>8341</v>
      </c>
      <c r="I1420" s="639"/>
      <c r="J1420" s="639">
        <v>10162</v>
      </c>
      <c r="K1420" s="640">
        <f t="shared" si="45"/>
        <v>118009</v>
      </c>
      <c r="L1420" s="639">
        <v>10534</v>
      </c>
      <c r="M1420" s="639"/>
      <c r="N1420" s="639">
        <v>93556</v>
      </c>
      <c r="O1420" s="1503">
        <f>1-N1421</f>
        <v>0.73037839707196173</v>
      </c>
    </row>
    <row r="1421" spans="1:15" ht="12" customHeight="1">
      <c r="A1421" s="1527"/>
      <c r="B1421" s="1502"/>
      <c r="C1421" s="635" t="s">
        <v>6219</v>
      </c>
      <c r="D1421" s="636">
        <f>D1420/(D1420+E1420+G1420+H1420+I1420+J1420+L1420+M1420+N1420)</f>
        <v>0.28637424709645809</v>
      </c>
      <c r="E1421" s="636">
        <f>E1420/(D1420+E1420+G1420+H1420+I1420+J1420+L1420+M1420+N1420)</f>
        <v>7.3552551946741984E-2</v>
      </c>
      <c r="F1421" s="637">
        <f t="shared" si="44"/>
        <v>0.35992679904320007</v>
      </c>
      <c r="G1421" s="636">
        <f>G1420/(D1420+E1420+G1420+H1420+I1420+J1420+L1420+M1420+N1420)</f>
        <v>0.28676907115478834</v>
      </c>
      <c r="H1421" s="636">
        <f>H1420/(D1420+E1420+G1420+H1420+I1420+J1420+L1420+M1420+N1420)</f>
        <v>2.4038156719213812E-2</v>
      </c>
      <c r="I1421" s="636">
        <f>I1420/(D1420+E1420+G1420+H1420+I1420+J1420+L1420+M1420+N1420)</f>
        <v>0</v>
      </c>
      <c r="J1421" s="636">
        <f>J1420/(D1420+E1420+G1420+H1420+I1420+J1420+L1420+M1420+N1420)</f>
        <v>2.9286146574829246E-2</v>
      </c>
      <c r="K1421" s="637">
        <f t="shared" si="45"/>
        <v>0.34009337444883142</v>
      </c>
      <c r="L1421" s="636">
        <f>L1420/(D1420+E1420+G1420+H1420+I1420+J1420+L1420+M1420+N1420)</f>
        <v>3.0358223579930257E-2</v>
      </c>
      <c r="M1421" s="636">
        <f>M1420/(D1420+E1420+G1420+H1420+I1420+J1420+L1420+M1420+N1420)</f>
        <v>0</v>
      </c>
      <c r="N1421" s="636">
        <f>N1420/(D1420+E1420+G1420+H1420+I1420+J1420+L1420+M1420+N1420)</f>
        <v>0.26962160292803827</v>
      </c>
      <c r="O1421" s="1503"/>
    </row>
    <row r="1422" spans="1:15" ht="12" customHeight="1">
      <c r="A1422" s="1527"/>
      <c r="B1422" s="1502" t="s">
        <v>14939</v>
      </c>
      <c r="C1422" s="638" t="s">
        <v>6218</v>
      </c>
      <c r="D1422" s="639">
        <v>54282</v>
      </c>
      <c r="E1422" s="639">
        <v>26568</v>
      </c>
      <c r="F1422" s="640">
        <f t="shared" si="44"/>
        <v>80850</v>
      </c>
      <c r="G1422" s="639">
        <v>107286</v>
      </c>
      <c r="H1422" s="639">
        <v>7215</v>
      </c>
      <c r="I1422" s="639"/>
      <c r="J1422" s="639"/>
      <c r="K1422" s="640">
        <f t="shared" si="45"/>
        <v>114501</v>
      </c>
      <c r="L1422" s="639">
        <v>8806</v>
      </c>
      <c r="M1422" s="639">
        <v>8683</v>
      </c>
      <c r="N1422" s="639">
        <v>127824</v>
      </c>
      <c r="O1422" s="1503">
        <f>1-N1423</f>
        <v>0.62477984172087453</v>
      </c>
    </row>
    <row r="1423" spans="1:15" ht="12" customHeight="1">
      <c r="A1423" s="1527"/>
      <c r="B1423" s="1502"/>
      <c r="C1423" s="635" t="s">
        <v>6219</v>
      </c>
      <c r="D1423" s="636">
        <f>D1422/(D1422+E1422+G1422+H1422+I1422+J1422+L1422+M1422+N1422)</f>
        <v>0.15934175609985204</v>
      </c>
      <c r="E1423" s="636">
        <f>E1422/(D1422+E1422+G1422+H1422+I1422+J1422+L1422+M1422+N1422)</f>
        <v>7.7988868797407421E-2</v>
      </c>
      <c r="F1423" s="637">
        <f t="shared" si="44"/>
        <v>0.23733062489725948</v>
      </c>
      <c r="G1423" s="636">
        <f>G1422/(D1422+E1422+G1422+H1422+I1422+J1422+L1422+M1422+N1422)</f>
        <v>0.31493201512340607</v>
      </c>
      <c r="H1423" s="636">
        <f>H1422/(D1422+E1422+G1422+H1422+I1422+J1422+L1422+M1422+N1422)</f>
        <v>2.1179226451870464E-2</v>
      </c>
      <c r="I1423" s="636">
        <f>I1422/(D1422+E1422+G1422+H1422+I1422+J1422+L1422+M1422+N1422)</f>
        <v>0</v>
      </c>
      <c r="J1423" s="636">
        <f>J1422/(D1422+E1422+G1422+H1422+I1422+J1422+L1422+M1422+N1422)</f>
        <v>0</v>
      </c>
      <c r="K1423" s="637">
        <f t="shared" si="45"/>
        <v>0.33611124157527655</v>
      </c>
      <c r="L1423" s="636">
        <f>L1422/(D1422+E1422+G1422+H1422+I1422+J1422+L1422+M1422+N1422)</f>
        <v>2.5849517413052157E-2</v>
      </c>
      <c r="M1423" s="636">
        <f>M1422/(D1422+E1422+G1422+H1422+I1422+J1422+L1422+M1422+N1422)</f>
        <v>2.5488457835286381E-2</v>
      </c>
      <c r="N1423" s="636">
        <f>N1422/(D1422+E1422+G1422+H1422+I1422+J1422+L1422+M1422+N1422)</f>
        <v>0.37522015827912547</v>
      </c>
      <c r="O1423" s="1503"/>
    </row>
    <row r="1424" spans="1:15" ht="12" customHeight="1">
      <c r="A1424" s="1527"/>
      <c r="B1424" s="1502" t="s">
        <v>14940</v>
      </c>
      <c r="C1424" s="638" t="s">
        <v>6218</v>
      </c>
      <c r="D1424" s="639">
        <v>65401</v>
      </c>
      <c r="E1424" s="639">
        <v>27971</v>
      </c>
      <c r="F1424" s="640">
        <f t="shared" si="44"/>
        <v>93372</v>
      </c>
      <c r="G1424" s="639">
        <v>109555</v>
      </c>
      <c r="H1424" s="639">
        <v>7829</v>
      </c>
      <c r="I1424" s="639"/>
      <c r="J1424" s="639"/>
      <c r="K1424" s="640">
        <f t="shared" si="45"/>
        <v>117384</v>
      </c>
      <c r="L1424" s="639">
        <v>9311</v>
      </c>
      <c r="M1424" s="639"/>
      <c r="N1424" s="639">
        <v>119018</v>
      </c>
      <c r="O1424" s="1503">
        <f>1-N1425</f>
        <v>0.6490024625094003</v>
      </c>
    </row>
    <row r="1425" spans="1:15" ht="12" customHeight="1" thickBot="1">
      <c r="A1425" s="1528"/>
      <c r="B1425" s="1514"/>
      <c r="C1425" s="641" t="s">
        <v>6219</v>
      </c>
      <c r="D1425" s="642">
        <f>D1424/(D1424+E1424+G1424+H1424+I1424+J1424+L1424+M1424+N1424)</f>
        <v>0.19287494286093457</v>
      </c>
      <c r="E1425" s="642">
        <f>E1424/(D1424+E1424+G1424+H1424+I1424+J1424+L1424+M1424+N1424)</f>
        <v>8.2489641240396955E-2</v>
      </c>
      <c r="F1425" s="643">
        <f t="shared" si="44"/>
        <v>0.27536458410133152</v>
      </c>
      <c r="G1425" s="642">
        <f>G1424/(D1424+E1424+G1424+H1424+I1424+J1424+L1424+M1424+N1424)</f>
        <v>0.32309008065824202</v>
      </c>
      <c r="H1425" s="642">
        <f>H1424/(D1424+E1424+G1424+H1424+I1424+J1424+L1424+M1424+N1424)</f>
        <v>2.3088606101714908E-2</v>
      </c>
      <c r="I1425" s="642">
        <f>I1424/(D1424+E1424+G1424+H1424+I1424+J1424+L1424+M1424+N1424)</f>
        <v>0</v>
      </c>
      <c r="J1425" s="642">
        <f>J1424/(D1424+E1424+G1424+H1424+I1424+J1424+L1424+M1424+N1424)</f>
        <v>0</v>
      </c>
      <c r="K1425" s="643">
        <f t="shared" si="45"/>
        <v>0.34617868675995694</v>
      </c>
      <c r="L1425" s="642">
        <f>L1424/(D1424+E1424+G1424+H1424+I1424+J1424+L1424+M1424+N1424)</f>
        <v>2.7459191648111829E-2</v>
      </c>
      <c r="M1425" s="642">
        <f>M1424/(D1424+E1424+G1424+H1424+I1424+J1424+L1424+M1424+N1424)</f>
        <v>0</v>
      </c>
      <c r="N1425" s="642">
        <f>N1424/(D1424+E1424+G1424+H1424+I1424+J1424+L1424+M1424+N1424)</f>
        <v>0.3509975374905997</v>
      </c>
      <c r="O1425" s="1515"/>
    </row>
    <row r="1426" spans="1:15" ht="12" customHeight="1">
      <c r="A1426" s="1516" t="s">
        <v>15116</v>
      </c>
      <c r="B1426" s="1509" t="s">
        <v>14937</v>
      </c>
      <c r="C1426" s="647" t="s">
        <v>6218</v>
      </c>
      <c r="D1426" s="648">
        <v>74448</v>
      </c>
      <c r="E1426" s="648">
        <v>28451</v>
      </c>
      <c r="F1426" s="649">
        <f t="shared" si="44"/>
        <v>102899</v>
      </c>
      <c r="G1426" s="648">
        <v>126019</v>
      </c>
      <c r="H1426" s="648">
        <v>8145</v>
      </c>
      <c r="I1426" s="648">
        <v>4607</v>
      </c>
      <c r="J1426" s="648">
        <v>7826</v>
      </c>
      <c r="K1426" s="649">
        <f t="shared" si="45"/>
        <v>146597</v>
      </c>
      <c r="L1426" s="648">
        <v>13312</v>
      </c>
      <c r="M1426" s="648">
        <v>5566</v>
      </c>
      <c r="N1426" s="648">
        <v>172778</v>
      </c>
      <c r="O1426" s="1510">
        <f>1-N1427</f>
        <v>0.60834814304366747</v>
      </c>
    </row>
    <row r="1427" spans="1:15" ht="12" customHeight="1">
      <c r="A1427" s="1517"/>
      <c r="B1427" s="1502"/>
      <c r="C1427" s="635" t="s">
        <v>6219</v>
      </c>
      <c r="D1427" s="636">
        <f>D1426/(D1426+E1426+G1426+H1426+I1426+J1426+L1426+M1426+N1426)</f>
        <v>0.16875816045263312</v>
      </c>
      <c r="E1427" s="636">
        <f>E1426/(D1426+E1426+G1426+H1426+I1426+J1426+L1426+M1426+N1426)</f>
        <v>6.4492510517916726E-2</v>
      </c>
      <c r="F1427" s="637">
        <f t="shared" si="44"/>
        <v>0.23325067097054986</v>
      </c>
      <c r="G1427" s="636">
        <f>G1426/(D1426+E1426+G1426+H1426+I1426+J1426+L1426+M1426+N1426)</f>
        <v>0.28565891121427534</v>
      </c>
      <c r="H1427" s="636">
        <f>H1426/(D1426+E1426+G1426+H1426+I1426+J1426+L1426+M1426+N1426)</f>
        <v>1.8463024082402437E-2</v>
      </c>
      <c r="I1427" s="636">
        <f>I1426/(D1426+E1426+G1426+H1426+I1426+J1426+L1426+M1426+N1426)</f>
        <v>1.0443112577977658E-2</v>
      </c>
      <c r="J1427" s="636">
        <f>J1426/(D1426+E1426+G1426+H1426+I1426+J1426+L1426+M1426+N1426)</f>
        <v>1.7739917307413318E-2</v>
      </c>
      <c r="K1427" s="637">
        <f t="shared" si="45"/>
        <v>0.3323049651820687</v>
      </c>
      <c r="L1427" s="636">
        <f>L1426/(D1426+E1426+G1426+H1426+I1426+J1426+L1426+M1426+N1426)</f>
        <v>3.0175540403307704E-2</v>
      </c>
      <c r="M1427" s="636">
        <f>M1426/(D1426+E1426+G1426+H1426+I1426+J1426+L1426+M1426+N1426)</f>
        <v>1.2616966487741186E-2</v>
      </c>
      <c r="N1427" s="636">
        <f>N1426/(D1426+E1426+G1426+H1426+I1426+J1426+L1426+M1426+N1426)</f>
        <v>0.39165185695633253</v>
      </c>
      <c r="O1427" s="1503"/>
    </row>
    <row r="1428" spans="1:15" ht="12" customHeight="1">
      <c r="A1428" s="1517"/>
      <c r="B1428" s="1502" t="s">
        <v>14938</v>
      </c>
      <c r="C1428" s="638" t="s">
        <v>6218</v>
      </c>
      <c r="D1428" s="639">
        <v>126898</v>
      </c>
      <c r="E1428" s="639">
        <v>29352</v>
      </c>
      <c r="F1428" s="640">
        <f t="shared" si="44"/>
        <v>156250</v>
      </c>
      <c r="G1428" s="639">
        <v>107600</v>
      </c>
      <c r="H1428" s="639">
        <v>9780</v>
      </c>
      <c r="I1428" s="639"/>
      <c r="J1428" s="639">
        <v>12663</v>
      </c>
      <c r="K1428" s="640">
        <f t="shared" si="45"/>
        <v>130043</v>
      </c>
      <c r="L1428" s="639">
        <v>14729</v>
      </c>
      <c r="M1428" s="639"/>
      <c r="N1428" s="639">
        <v>132279</v>
      </c>
      <c r="O1428" s="1503">
        <f>1-N1429</f>
        <v>0.69471799049621397</v>
      </c>
    </row>
    <row r="1429" spans="1:15" ht="12" customHeight="1">
      <c r="A1429" s="1517"/>
      <c r="B1429" s="1502"/>
      <c r="C1429" s="635" t="s">
        <v>6219</v>
      </c>
      <c r="D1429" s="636">
        <f>D1428/(D1428+E1428+G1428+H1428+I1428+J1428+L1428+M1428+N1428)</f>
        <v>0.29286339057606608</v>
      </c>
      <c r="E1429" s="636">
        <f>E1428/(D1428+E1428+G1428+H1428+I1428+J1428+L1428+M1428+N1428)</f>
        <v>6.7740439094301649E-2</v>
      </c>
      <c r="F1429" s="637">
        <f t="shared" si="44"/>
        <v>0.36060382967036775</v>
      </c>
      <c r="G1429" s="636">
        <f>G1428/(D1428+E1428+G1428+H1428+I1428+J1428+L1428+M1428+N1428)</f>
        <v>0.24832622126420204</v>
      </c>
      <c r="H1429" s="636">
        <f>H1428/(D1428+E1428+G1428+H1428+I1428+J1428+L1428+M1428+N1428)</f>
        <v>2.2570914906727656E-2</v>
      </c>
      <c r="I1429" s="636">
        <f>I1428/(D1428+E1428+G1428+H1428+I1428+J1428+L1428+M1428+N1428)</f>
        <v>0</v>
      </c>
      <c r="J1429" s="636">
        <f>J1428/(D1428+E1428+G1428+H1428+I1428+J1428+L1428+M1428+N1428)</f>
        <v>2.9224488288741544E-2</v>
      </c>
      <c r="K1429" s="637">
        <f t="shared" si="45"/>
        <v>0.30012162445967122</v>
      </c>
      <c r="L1429" s="636">
        <f>L1428/(D1428+E1428+G1428+H1428+I1428+J1428+L1428+M1428+N1428)</f>
        <v>3.3992536366175018E-2</v>
      </c>
      <c r="M1429" s="636">
        <f>M1428/(D1428+E1428+G1428+H1428+I1428+J1428+L1428+M1428+N1428)</f>
        <v>0</v>
      </c>
      <c r="N1429" s="636">
        <f>N1428/(D1428+E1428+G1428+H1428+I1428+J1428+L1428+M1428+N1428)</f>
        <v>0.30528200950378603</v>
      </c>
      <c r="O1429" s="1503"/>
    </row>
    <row r="1430" spans="1:15" ht="12" customHeight="1">
      <c r="A1430" s="1517"/>
      <c r="B1430" s="1502" t="s">
        <v>14939</v>
      </c>
      <c r="C1430" s="638" t="s">
        <v>6218</v>
      </c>
      <c r="D1430" s="639">
        <v>69521</v>
      </c>
      <c r="E1430" s="639">
        <v>28542</v>
      </c>
      <c r="F1430" s="640">
        <f t="shared" si="44"/>
        <v>98063</v>
      </c>
      <c r="G1430" s="639">
        <v>111374</v>
      </c>
      <c r="H1430" s="639">
        <v>8468</v>
      </c>
      <c r="I1430" s="639"/>
      <c r="J1430" s="639"/>
      <c r="K1430" s="640">
        <f t="shared" si="45"/>
        <v>119842</v>
      </c>
      <c r="L1430" s="639">
        <v>14220</v>
      </c>
      <c r="M1430" s="639">
        <v>9151</v>
      </c>
      <c r="N1430" s="639">
        <v>186691</v>
      </c>
      <c r="O1430" s="1503">
        <f>1-N1431</f>
        <v>0.56377244039844188</v>
      </c>
    </row>
    <row r="1431" spans="1:15" ht="12" customHeight="1">
      <c r="A1431" s="1517"/>
      <c r="B1431" s="1502"/>
      <c r="C1431" s="635" t="s">
        <v>6219</v>
      </c>
      <c r="D1431" s="636">
        <f>D1430/(D1430+E1430+G1430+H1430+I1430+J1430+L1430+M1430+N1430)</f>
        <v>0.16244476793771481</v>
      </c>
      <c r="E1431" s="636">
        <f>E1430/(D1430+E1430+G1430+H1430+I1430+J1430+L1430+M1430+N1430)</f>
        <v>6.6692058032511853E-2</v>
      </c>
      <c r="F1431" s="637">
        <f t="shared" si="44"/>
        <v>0.22913682597022667</v>
      </c>
      <c r="G1431" s="636">
        <f>G1430/(D1430+E1430+G1430+H1430+I1430+J1430+L1430+M1430+N1430)</f>
        <v>0.26023969137807357</v>
      </c>
      <c r="H1431" s="636">
        <f>H1430/(D1430+E1430+G1430+H1430+I1430+J1430+L1430+M1430+N1430)</f>
        <v>1.9786572329174912E-2</v>
      </c>
      <c r="I1431" s="636">
        <f>I1430/(D1430+E1430+G1430+H1430+I1430+J1430+L1430+M1430+N1430)</f>
        <v>0</v>
      </c>
      <c r="J1431" s="636">
        <f>J1430/(D1430+E1430+G1430+H1430+I1430+J1430+L1430+M1430+N1430)</f>
        <v>0</v>
      </c>
      <c r="K1431" s="637">
        <f t="shared" si="45"/>
        <v>0.28002626370724848</v>
      </c>
      <c r="L1431" s="636">
        <f>L1430/(D1430+E1430+G1430+H1430+I1430+J1430+L1430+M1430+N1430)</f>
        <v>3.3226860949559192E-2</v>
      </c>
      <c r="M1431" s="636">
        <f>M1430/(D1430+E1430+G1430+H1430+I1430+J1430+L1430+M1430+N1430)</f>
        <v>2.1382489771407609E-2</v>
      </c>
      <c r="N1431" s="636">
        <f>N1430/(D1430+E1430+G1430+H1430+I1430+J1430+L1430+M1430+N1430)</f>
        <v>0.43622755960155807</v>
      </c>
      <c r="O1431" s="1503"/>
    </row>
    <row r="1432" spans="1:15" ht="12" customHeight="1">
      <c r="A1432" s="1517"/>
      <c r="B1432" s="1502" t="s">
        <v>14940</v>
      </c>
      <c r="C1432" s="638" t="s">
        <v>6218</v>
      </c>
      <c r="D1432" s="639">
        <v>97320</v>
      </c>
      <c r="E1432" s="639">
        <v>29791</v>
      </c>
      <c r="F1432" s="640">
        <f t="shared" si="44"/>
        <v>127111</v>
      </c>
      <c r="G1432" s="639">
        <v>118271</v>
      </c>
      <c r="H1432" s="639">
        <v>8260</v>
      </c>
      <c r="I1432" s="639"/>
      <c r="J1432" s="639"/>
      <c r="K1432" s="640">
        <f t="shared" si="45"/>
        <v>126531</v>
      </c>
      <c r="L1432" s="639">
        <v>13133</v>
      </c>
      <c r="M1432" s="639"/>
      <c r="N1432" s="639">
        <v>158554</v>
      </c>
      <c r="O1432" s="1503">
        <f>1-N1433</f>
        <v>0.62722034001913807</v>
      </c>
    </row>
    <row r="1433" spans="1:15" ht="12" customHeight="1" thickBot="1">
      <c r="A1433" s="1519"/>
      <c r="B1433" s="1514"/>
      <c r="C1433" s="641" t="s">
        <v>6219</v>
      </c>
      <c r="D1433" s="642">
        <f>D1432/(D1432+E1432+G1432+H1432+I1432+J1432+L1432+M1432+N1432)</f>
        <v>0.228811108577125</v>
      </c>
      <c r="E1433" s="642">
        <f>E1432/(D1432+E1432+G1432+H1432+I1432+J1432+L1432+M1432+N1432)</f>
        <v>7.0042249646744048E-2</v>
      </c>
      <c r="F1433" s="643">
        <f t="shared" si="44"/>
        <v>0.29885335822386905</v>
      </c>
      <c r="G1433" s="642">
        <f>G1432/(D1432+E1432+G1432+H1432+I1432+J1432+L1432+M1432+N1432)</f>
        <v>0.27806944741600031</v>
      </c>
      <c r="H1433" s="642">
        <f>H1432/(D1432+E1432+G1432+H1432+I1432+J1432+L1432+M1432+N1432)</f>
        <v>1.9420260551243861E-2</v>
      </c>
      <c r="I1433" s="642">
        <f>I1432/(D1432+E1432+G1432+H1432+I1432+J1432+L1432+M1432+N1432)</f>
        <v>0</v>
      </c>
      <c r="J1433" s="642">
        <f>J1432/(D1432+E1432+G1432+H1432+I1432+J1432+L1432+M1432+N1432)</f>
        <v>0</v>
      </c>
      <c r="K1433" s="643">
        <f t="shared" si="45"/>
        <v>0.29748970796724417</v>
      </c>
      <c r="L1433" s="642">
        <f>L1432/(D1432+E1432+G1432+H1432+I1432+J1432+L1432+M1432+N1432)</f>
        <v>3.0877273828024895E-2</v>
      </c>
      <c r="M1433" s="642">
        <f>M1432/(D1432+E1432+G1432+H1432+I1432+J1432+L1432+M1432+N1432)</f>
        <v>0</v>
      </c>
      <c r="N1433" s="642">
        <f>N1432/(D1432+E1432+G1432+H1432+I1432+J1432+L1432+M1432+N1432)</f>
        <v>0.37277965998086188</v>
      </c>
      <c r="O1433" s="1515"/>
    </row>
    <row r="1434" spans="1:15" ht="12" customHeight="1">
      <c r="A1434" s="1516" t="s">
        <v>15117</v>
      </c>
      <c r="B1434" s="1509" t="s">
        <v>14937</v>
      </c>
      <c r="C1434" s="647" t="s">
        <v>6218</v>
      </c>
      <c r="D1434" s="648">
        <v>63319</v>
      </c>
      <c r="E1434" s="648">
        <v>25555</v>
      </c>
      <c r="F1434" s="649">
        <f t="shared" si="44"/>
        <v>88874</v>
      </c>
      <c r="G1434" s="648">
        <v>110834</v>
      </c>
      <c r="H1434" s="648">
        <v>6996</v>
      </c>
      <c r="I1434" s="648">
        <v>3985</v>
      </c>
      <c r="J1434" s="648">
        <v>7514</v>
      </c>
      <c r="K1434" s="649">
        <f t="shared" si="45"/>
        <v>129329</v>
      </c>
      <c r="L1434" s="648">
        <v>12077</v>
      </c>
      <c r="M1434" s="648">
        <v>5714</v>
      </c>
      <c r="N1434" s="648">
        <v>143004</v>
      </c>
      <c r="O1434" s="1510">
        <f>1-N1435</f>
        <v>0.62267874764510633</v>
      </c>
    </row>
    <row r="1435" spans="1:15" ht="12" customHeight="1">
      <c r="A1435" s="1517"/>
      <c r="B1435" s="1502"/>
      <c r="C1435" s="635" t="s">
        <v>6219</v>
      </c>
      <c r="D1435" s="636">
        <f>D1434/(D1434+E1434+G1434+H1434+I1434+J1434+L1434+M1434+N1434)</f>
        <v>0.16706948321627027</v>
      </c>
      <c r="E1435" s="636">
        <f>E1434/(D1434+E1434+G1434+H1434+I1434+J1434+L1434+M1434+N1434)</f>
        <v>6.7427796452751723E-2</v>
      </c>
      <c r="F1435" s="637">
        <f t="shared" si="44"/>
        <v>0.23449727966902201</v>
      </c>
      <c r="G1435" s="636">
        <f>G1434/(D1434+E1434+G1434+H1434+I1434+J1434+L1434+M1434+N1434)</f>
        <v>0.29243953793951422</v>
      </c>
      <c r="H1435" s="636">
        <f>H1434/(D1434+E1434+G1434+H1434+I1434+J1434+L1434+M1434+N1434)</f>
        <v>1.8459200312402703E-2</v>
      </c>
      <c r="I1435" s="636">
        <f>I1434/(D1434+E1434+G1434+H1434+I1434+J1434+L1434+M1434+N1434)</f>
        <v>1.0514567359194508E-2</v>
      </c>
      <c r="J1435" s="636">
        <f>J1434/(D1434+E1434+G1434+H1434+I1434+J1434+L1434+M1434+N1434)</f>
        <v>1.9825962142280433E-2</v>
      </c>
      <c r="K1435" s="637">
        <f t="shared" si="45"/>
        <v>0.34123926775339186</v>
      </c>
      <c r="L1435" s="636">
        <f>L1434/(D1434+E1434+G1434+H1434+I1434+J1434+L1434+M1434+N1434)</f>
        <v>3.1865603512419592E-2</v>
      </c>
      <c r="M1435" s="636">
        <f>M1434/(D1434+E1434+G1434+H1434+I1434+J1434+L1434+M1434+N1434)</f>
        <v>1.5076596710272878E-2</v>
      </c>
      <c r="N1435" s="636">
        <f>N1434/(D1434+E1434+G1434+H1434+I1434+J1434+L1434+M1434+N1434)</f>
        <v>0.37732125235489367</v>
      </c>
      <c r="O1435" s="1503"/>
    </row>
    <row r="1436" spans="1:15" ht="12" customHeight="1">
      <c r="A1436" s="1517"/>
      <c r="B1436" s="1502" t="s">
        <v>14938</v>
      </c>
      <c r="C1436" s="638" t="s">
        <v>6218</v>
      </c>
      <c r="D1436" s="639">
        <v>106321</v>
      </c>
      <c r="E1436" s="639">
        <v>25390</v>
      </c>
      <c r="F1436" s="640">
        <f t="shared" si="44"/>
        <v>131711</v>
      </c>
      <c r="G1436" s="639">
        <v>95790</v>
      </c>
      <c r="H1436" s="639">
        <v>8687</v>
      </c>
      <c r="I1436" s="639"/>
      <c r="J1436" s="639">
        <v>10551</v>
      </c>
      <c r="K1436" s="640">
        <f t="shared" si="45"/>
        <v>115028</v>
      </c>
      <c r="L1436" s="639">
        <v>13271</v>
      </c>
      <c r="M1436" s="639"/>
      <c r="N1436" s="639">
        <v>110134</v>
      </c>
      <c r="O1436" s="1503">
        <f>1-N1437</f>
        <v>0.70245634131581225</v>
      </c>
    </row>
    <row r="1437" spans="1:15" ht="12" customHeight="1">
      <c r="A1437" s="1517"/>
      <c r="B1437" s="1502"/>
      <c r="C1437" s="635" t="s">
        <v>6219</v>
      </c>
      <c r="D1437" s="636">
        <f>D1436/(D1436+E1436+G1436+H1436+I1436+J1436+L1436+M1436+N1436)</f>
        <v>0.28724226247082218</v>
      </c>
      <c r="E1437" s="636">
        <f>E1436/(D1436+E1436+G1436+H1436+I1436+J1436+L1436+M1436+N1436)</f>
        <v>6.8594925218293426E-2</v>
      </c>
      <c r="F1437" s="637">
        <f t="shared" si="44"/>
        <v>0.3558371876891156</v>
      </c>
      <c r="G1437" s="636">
        <f>G1436/(D1436+E1436+G1436+H1436+I1436+J1436+L1436+M1436+N1436)</f>
        <v>0.25879117316503847</v>
      </c>
      <c r="H1437" s="636">
        <f>H1436/(D1436+E1436+G1436+H1436+I1436+J1436+L1436+M1436+N1436)</f>
        <v>2.346924440217861E-2</v>
      </c>
      <c r="I1437" s="636">
        <f>I1436/(D1436+E1436+G1436+H1436+I1436+J1436+L1436+M1436+N1436)</f>
        <v>0</v>
      </c>
      <c r="J1437" s="636">
        <f>J1436/(D1436+E1436+G1436+H1436+I1436+J1436+L1436+M1436+N1436)</f>
        <v>2.8505122330768566E-2</v>
      </c>
      <c r="K1437" s="637">
        <f t="shared" si="45"/>
        <v>0.31076553989798567</v>
      </c>
      <c r="L1437" s="636">
        <f>L1436/(D1436+E1436+G1436+H1436+I1436+J1436+L1436+M1436+N1436)</f>
        <v>3.5853613728710987E-2</v>
      </c>
      <c r="M1437" s="636">
        <f>M1436/(D1436+E1436+G1436+H1436+I1436+J1436+L1436+M1436+N1436)</f>
        <v>0</v>
      </c>
      <c r="N1437" s="636">
        <f>N1436/(D1436+E1436+G1436+H1436+I1436+J1436+L1436+M1436+N1436)</f>
        <v>0.29754365868418775</v>
      </c>
      <c r="O1437" s="1503"/>
    </row>
    <row r="1438" spans="1:15" ht="12" customHeight="1">
      <c r="A1438" s="1517"/>
      <c r="B1438" s="1502" t="s">
        <v>14939</v>
      </c>
      <c r="C1438" s="638" t="s">
        <v>6218</v>
      </c>
      <c r="D1438" s="639">
        <v>56423</v>
      </c>
      <c r="E1438" s="639">
        <v>24507</v>
      </c>
      <c r="F1438" s="640">
        <f t="shared" si="44"/>
        <v>80930</v>
      </c>
      <c r="G1438" s="639">
        <v>99253</v>
      </c>
      <c r="H1438" s="639">
        <v>7440</v>
      </c>
      <c r="I1438" s="639"/>
      <c r="J1438" s="639"/>
      <c r="K1438" s="640">
        <f t="shared" si="45"/>
        <v>106693</v>
      </c>
      <c r="L1438" s="639">
        <v>12591</v>
      </c>
      <c r="M1438" s="639">
        <v>8778</v>
      </c>
      <c r="N1438" s="639">
        <v>154470</v>
      </c>
      <c r="O1438" s="1503">
        <f>1-N1439</f>
        <v>0.57500371428099772</v>
      </c>
    </row>
    <row r="1439" spans="1:15" ht="12" customHeight="1">
      <c r="A1439" s="1517"/>
      <c r="B1439" s="1502"/>
      <c r="C1439" s="635" t="s">
        <v>6219</v>
      </c>
      <c r="D1439" s="636">
        <f>D1438/(D1438+E1438+G1438+H1438+I1438+J1438+L1438+M1438+N1438)</f>
        <v>0.15523768647066269</v>
      </c>
      <c r="E1439" s="636">
        <f>E1438/(D1438+E1438+G1438+H1438+I1438+J1438+L1438+M1438+N1438)</f>
        <v>6.7426581045611375E-2</v>
      </c>
      <c r="F1439" s="637">
        <f t="shared" si="44"/>
        <v>0.22266426751627405</v>
      </c>
      <c r="G1439" s="636">
        <f>G1438/(D1438+E1438+G1438+H1438+I1438+J1438+L1438+M1438+N1438)</f>
        <v>0.27307669027298592</v>
      </c>
      <c r="H1439" s="636">
        <f>H1438/(D1438+E1438+G1438+H1438+I1438+J1438+L1438+M1438+N1438)</f>
        <v>2.0469815276425045E-2</v>
      </c>
      <c r="I1439" s="636">
        <f>I1438/(D1438+E1438+G1438+H1438+I1438+J1438+L1438+M1438+N1438)</f>
        <v>0</v>
      </c>
      <c r="J1439" s="636">
        <f>J1438/(D1438+E1438+G1438+H1438+I1438+J1438+L1438+M1438+N1438)</f>
        <v>0</v>
      </c>
      <c r="K1439" s="637">
        <f t="shared" si="45"/>
        <v>0.29354650554941097</v>
      </c>
      <c r="L1439" s="636">
        <f>L1438/(D1438+E1438+G1438+H1438+I1438+J1438+L1438+M1438+N1438)</f>
        <v>3.4641860772240289E-2</v>
      </c>
      <c r="M1439" s="636">
        <f>M1438/(D1438+E1438+G1438+H1438+I1438+J1438+L1438+M1438+N1438)</f>
        <v>2.4151080443072452E-2</v>
      </c>
      <c r="N1439" s="636">
        <f>N1438/(D1438+E1438+G1438+H1438+I1438+J1438+L1438+M1438+N1438)</f>
        <v>0.42499628571900228</v>
      </c>
      <c r="O1439" s="1503"/>
    </row>
    <row r="1440" spans="1:15" ht="12" customHeight="1">
      <c r="A1440" s="1517"/>
      <c r="B1440" s="1502" t="s">
        <v>14940</v>
      </c>
      <c r="C1440" s="638" t="s">
        <v>6218</v>
      </c>
      <c r="D1440" s="639">
        <v>82768</v>
      </c>
      <c r="E1440" s="639">
        <v>25296</v>
      </c>
      <c r="F1440" s="640">
        <f t="shared" si="44"/>
        <v>108064</v>
      </c>
      <c r="G1440" s="639">
        <v>104705</v>
      </c>
      <c r="H1440" s="639">
        <v>7656</v>
      </c>
      <c r="I1440" s="639"/>
      <c r="J1440" s="639"/>
      <c r="K1440" s="640">
        <f t="shared" si="45"/>
        <v>112361</v>
      </c>
      <c r="L1440" s="639">
        <v>12112</v>
      </c>
      <c r="M1440" s="639"/>
      <c r="N1440" s="639">
        <v>129442</v>
      </c>
      <c r="O1440" s="1503">
        <f>1-N1441</f>
        <v>0.64240466988416456</v>
      </c>
    </row>
    <row r="1441" spans="1:15" ht="12" customHeight="1" thickBot="1">
      <c r="A1441" s="1519"/>
      <c r="B1441" s="1514"/>
      <c r="C1441" s="641" t="s">
        <v>6219</v>
      </c>
      <c r="D1441" s="642">
        <f>D1440/(D1440+E1440+G1440+H1440+I1440+J1440+L1440+M1440+N1440)</f>
        <v>0.22865414844507553</v>
      </c>
      <c r="E1441" s="642">
        <f>E1440/(D1440+E1440+G1440+H1440+I1440+J1440+L1440+M1440+N1440)</f>
        <v>6.9882506996262209E-2</v>
      </c>
      <c r="F1441" s="643">
        <f t="shared" si="44"/>
        <v>0.29853665544133773</v>
      </c>
      <c r="G1441" s="642">
        <f>G1440/(D1440+E1440+G1440+H1440+I1440+J1440+L1440+M1440+N1440)</f>
        <v>0.28925711160039669</v>
      </c>
      <c r="H1441" s="642">
        <f>H1440/(D1440+E1440+G1440+H1440+I1440+J1440+L1440+M1440+N1440)</f>
        <v>2.1150398227521485E-2</v>
      </c>
      <c r="I1441" s="642">
        <f>I1440/(D1440+E1440+G1440+H1440+I1440+J1440+L1440+M1440+N1440)</f>
        <v>0</v>
      </c>
      <c r="J1441" s="642">
        <f>J1440/(D1440+E1440+G1440+H1440+I1440+J1440+L1440+M1440+N1440)</f>
        <v>0</v>
      </c>
      <c r="K1441" s="643">
        <f t="shared" si="45"/>
        <v>0.31040750982791815</v>
      </c>
      <c r="L1441" s="642">
        <f>L1440/(D1440+E1440+G1440+H1440+I1440+J1440+L1440+M1440+N1440)</f>
        <v>3.3460504614908598E-2</v>
      </c>
      <c r="M1441" s="642">
        <f>M1440/(D1440+E1440+G1440+H1440+I1440+J1440+L1440+M1440+N1440)</f>
        <v>0</v>
      </c>
      <c r="N1441" s="642">
        <f>N1440/(D1440+E1440+G1440+H1440+I1440+J1440+L1440+M1440+N1440)</f>
        <v>0.35759533011583544</v>
      </c>
      <c r="O1441" s="1515"/>
    </row>
    <row r="1442" spans="1:15" ht="12" customHeight="1">
      <c r="A1442" s="1526" t="s">
        <v>15118</v>
      </c>
      <c r="B1442" s="1509" t="s">
        <v>14937</v>
      </c>
      <c r="C1442" s="647" t="s">
        <v>6218</v>
      </c>
      <c r="D1442" s="648">
        <v>47816</v>
      </c>
      <c r="E1442" s="648">
        <v>20621</v>
      </c>
      <c r="F1442" s="649">
        <f t="shared" si="44"/>
        <v>68437</v>
      </c>
      <c r="G1442" s="648">
        <v>70288</v>
      </c>
      <c r="H1442" s="648">
        <v>4769</v>
      </c>
      <c r="I1442" s="648">
        <v>3160</v>
      </c>
      <c r="J1442" s="648">
        <v>4468</v>
      </c>
      <c r="K1442" s="649">
        <f t="shared" si="45"/>
        <v>82685</v>
      </c>
      <c r="L1442" s="648">
        <v>8969</v>
      </c>
      <c r="M1442" s="648">
        <v>3437</v>
      </c>
      <c r="N1442" s="648">
        <v>101406</v>
      </c>
      <c r="O1442" s="1510">
        <f>1-N1443</f>
        <v>0.61724052028052268</v>
      </c>
    </row>
    <row r="1443" spans="1:15" ht="12" customHeight="1">
      <c r="A1443" s="1527"/>
      <c r="B1443" s="1502"/>
      <c r="C1443" s="635" t="s">
        <v>6219</v>
      </c>
      <c r="D1443" s="636">
        <f>D1442/(D1442+E1442+G1442+H1442+I1442+J1442+L1442+M1442+N1442)</f>
        <v>0.18048268625393493</v>
      </c>
      <c r="E1443" s="636">
        <f>E1442/(D1442+E1442+G1442+H1442+I1442+J1442+L1442+M1442+N1442)</f>
        <v>7.7834479530751052E-2</v>
      </c>
      <c r="F1443" s="637">
        <f t="shared" si="44"/>
        <v>0.258317165784686</v>
      </c>
      <c r="G1443" s="636">
        <f>G1442/(D1442+E1442+G1442+H1442+I1442+J1442+L1442+M1442+N1442)</f>
        <v>0.26530381151532079</v>
      </c>
      <c r="H1443" s="636">
        <f>H1442/(D1442+E1442+G1442+H1442+I1442+J1442+L1442+M1442+N1442)</f>
        <v>1.8000709610695494E-2</v>
      </c>
      <c r="I1443" s="636">
        <f>I1442/(D1442+E1442+G1442+H1442+I1442+J1442+L1442+M1442+N1442)</f>
        <v>1.1927498924260382E-2</v>
      </c>
      <c r="J1443" s="636">
        <f>J1442/(D1442+E1442+G1442+H1442+I1442+J1442+L1442+M1442+N1442)</f>
        <v>1.6864577592909932E-2</v>
      </c>
      <c r="K1443" s="637">
        <f t="shared" si="45"/>
        <v>0.31209659764318659</v>
      </c>
      <c r="L1443" s="636">
        <f>L1442/(D1442+E1442+G1442+H1442+I1442+J1442+L1442+M1442+N1442)</f>
        <v>3.3853714510028915E-2</v>
      </c>
      <c r="M1443" s="636">
        <f>M1442/(D1442+E1442+G1442+H1442+I1442+J1442+L1442+M1442+N1442)</f>
        <v>1.297304234262118E-2</v>
      </c>
      <c r="N1443" s="636">
        <f>N1442/(D1442+E1442+G1442+H1442+I1442+J1442+L1442+M1442+N1442)</f>
        <v>0.38275947971947732</v>
      </c>
      <c r="O1443" s="1503"/>
    </row>
    <row r="1444" spans="1:15" ht="12" customHeight="1">
      <c r="A1444" s="1527"/>
      <c r="B1444" s="1502" t="s">
        <v>14938</v>
      </c>
      <c r="C1444" s="638" t="s">
        <v>6218</v>
      </c>
      <c r="D1444" s="639">
        <v>75807</v>
      </c>
      <c r="E1444" s="639">
        <v>21087</v>
      </c>
      <c r="F1444" s="640">
        <f t="shared" si="44"/>
        <v>96894</v>
      </c>
      <c r="G1444" s="639">
        <v>63407</v>
      </c>
      <c r="H1444" s="639">
        <v>6507</v>
      </c>
      <c r="I1444" s="639"/>
      <c r="J1444" s="639">
        <v>7811</v>
      </c>
      <c r="K1444" s="640">
        <f t="shared" si="45"/>
        <v>77725</v>
      </c>
      <c r="L1444" s="639">
        <v>10762</v>
      </c>
      <c r="M1444" s="639"/>
      <c r="N1444" s="639">
        <v>78447</v>
      </c>
      <c r="O1444" s="1503">
        <f>1-N1445</f>
        <v>0.7026585502675986</v>
      </c>
    </row>
    <row r="1445" spans="1:15" ht="12" customHeight="1">
      <c r="A1445" s="1527"/>
      <c r="B1445" s="1502"/>
      <c r="C1445" s="635" t="s">
        <v>6219</v>
      </c>
      <c r="D1445" s="636">
        <f>D1444/(D1444+E1444+G1444+H1444+I1444+J1444+L1444+M1444+N1444)</f>
        <v>0.28733493033339902</v>
      </c>
      <c r="E1445" s="636">
        <f>E1444/(D1444+E1444+G1444+H1444+I1444+J1444+L1444+M1444+N1444)</f>
        <v>7.9927073699531517E-2</v>
      </c>
      <c r="F1445" s="637">
        <f t="shared" si="44"/>
        <v>0.36726200403293052</v>
      </c>
      <c r="G1445" s="636">
        <f>G1444/(D1444+E1444+G1444+H1444+I1444+J1444+L1444+M1444+N1444)</f>
        <v>0.24033461194414543</v>
      </c>
      <c r="H1445" s="636">
        <f>H1444/(D1444+E1444+G1444+H1444+I1444+J1444+L1444+M1444+N1444)</f>
        <v>2.466379610958655E-2</v>
      </c>
      <c r="I1445" s="636">
        <f>I1444/(D1444+E1444+G1444+H1444+I1444+J1444+L1444+M1444+N1444)</f>
        <v>0</v>
      </c>
      <c r="J1445" s="636">
        <f>J1444/(D1444+E1444+G1444+H1444+I1444+J1444+L1444+M1444+N1444)</f>
        <v>2.9606410236972573E-2</v>
      </c>
      <c r="K1445" s="637">
        <f t="shared" si="45"/>
        <v>0.29460481829070456</v>
      </c>
      <c r="L1445" s="636">
        <f>L1444/(D1444+E1444+G1444+H1444+I1444+J1444+L1444+M1444+N1444)</f>
        <v>4.0791727943963491E-2</v>
      </c>
      <c r="M1445" s="636">
        <f>M1444/(D1444+E1444+G1444+H1444+I1444+J1444+L1444+M1444+N1444)</f>
        <v>0</v>
      </c>
      <c r="N1445" s="636">
        <f>N1444/(D1444+E1444+G1444+H1444+I1444+J1444+L1444+M1444+N1444)</f>
        <v>0.2973414497324014</v>
      </c>
      <c r="O1445" s="1503"/>
    </row>
    <row r="1446" spans="1:15" ht="12" customHeight="1">
      <c r="A1446" s="1527"/>
      <c r="B1446" s="1502" t="s">
        <v>14939</v>
      </c>
      <c r="C1446" s="638" t="s">
        <v>6218</v>
      </c>
      <c r="D1446" s="639">
        <v>47488</v>
      </c>
      <c r="E1446" s="639">
        <v>21855</v>
      </c>
      <c r="F1446" s="640">
        <f t="shared" si="44"/>
        <v>69343</v>
      </c>
      <c r="G1446" s="639">
        <v>64907</v>
      </c>
      <c r="H1446" s="639">
        <v>5364</v>
      </c>
      <c r="I1446" s="639"/>
      <c r="J1446" s="639"/>
      <c r="K1446" s="640">
        <f t="shared" si="45"/>
        <v>70271</v>
      </c>
      <c r="L1446" s="639">
        <v>9699</v>
      </c>
      <c r="M1446" s="639">
        <v>5353</v>
      </c>
      <c r="N1446" s="639">
        <v>108197</v>
      </c>
      <c r="O1446" s="1503">
        <f>1-N1447</f>
        <v>0.58839015000209227</v>
      </c>
    </row>
    <row r="1447" spans="1:15" ht="12" customHeight="1">
      <c r="A1447" s="1527"/>
      <c r="B1447" s="1502"/>
      <c r="C1447" s="635" t="s">
        <v>6219</v>
      </c>
      <c r="D1447" s="636">
        <f>D1446/(D1446+E1446+G1446+H1446+I1446+J1446+L1446+M1446+N1446)</f>
        <v>0.18065684405945304</v>
      </c>
      <c r="E1447" s="636">
        <f>E1446/(D1446+E1446+G1446+H1446+I1446+J1446+L1446+M1446+N1446)</f>
        <v>8.3142169114709938E-2</v>
      </c>
      <c r="F1447" s="637">
        <f t="shared" si="44"/>
        <v>0.26379901317416299</v>
      </c>
      <c r="G1447" s="636">
        <f>G1446/(D1446+E1446+G1446+H1446+I1446+J1446+L1446+M1446+N1446)</f>
        <v>0.24692330225250417</v>
      </c>
      <c r="H1447" s="636">
        <f>H1446/(D1446+E1446+G1446+H1446+I1446+J1446+L1446+M1446+N1446)</f>
        <v>2.0406067038723594E-2</v>
      </c>
      <c r="I1447" s="636">
        <f>I1446/(D1446+E1446+G1446+H1446+I1446+J1446+L1446+M1446+N1446)</f>
        <v>0</v>
      </c>
      <c r="J1447" s="636">
        <f>J1446/(D1446+E1446+G1446+H1446+I1446+J1446+L1446+M1446+N1446)</f>
        <v>0</v>
      </c>
      <c r="K1447" s="637">
        <f t="shared" si="45"/>
        <v>0.26732936929122775</v>
      </c>
      <c r="L1447" s="636">
        <f>L1446/(D1446+E1446+G1446+H1446+I1446+J1446+L1446+M1446+N1446)</f>
        <v>3.6897547391607034E-2</v>
      </c>
      <c r="M1447" s="636">
        <f>M1446/(D1446+E1446+G1446+H1446+I1446+J1446+L1446+M1446+N1446)</f>
        <v>2.0364220145094591E-2</v>
      </c>
      <c r="N1447" s="636">
        <f>N1446/(D1446+E1446+G1446+H1446+I1446+J1446+L1446+M1446+N1446)</f>
        <v>0.41160984999790767</v>
      </c>
      <c r="O1447" s="1503"/>
    </row>
    <row r="1448" spans="1:15" ht="12" customHeight="1">
      <c r="A1448" s="1527"/>
      <c r="B1448" s="1502" t="s">
        <v>14940</v>
      </c>
      <c r="C1448" s="638" t="s">
        <v>6218</v>
      </c>
      <c r="D1448" s="639">
        <v>62504</v>
      </c>
      <c r="E1448" s="639">
        <v>23049</v>
      </c>
      <c r="F1448" s="640">
        <f t="shared" si="44"/>
        <v>85553</v>
      </c>
      <c r="G1448" s="639">
        <v>73056</v>
      </c>
      <c r="H1448" s="639">
        <v>5485</v>
      </c>
      <c r="I1448" s="639"/>
      <c r="J1448" s="639"/>
      <c r="K1448" s="640">
        <f t="shared" si="45"/>
        <v>78541</v>
      </c>
      <c r="L1448" s="639">
        <v>9456</v>
      </c>
      <c r="M1448" s="639"/>
      <c r="N1448" s="639">
        <v>88769</v>
      </c>
      <c r="O1448" s="1503">
        <f>1-N1449</f>
        <v>0.66159904543704418</v>
      </c>
    </row>
    <row r="1449" spans="1:15" ht="12" customHeight="1" thickBot="1">
      <c r="A1449" s="1528"/>
      <c r="B1449" s="1514"/>
      <c r="C1449" s="641" t="s">
        <v>6219</v>
      </c>
      <c r="D1449" s="642">
        <f>D1448/(D1448+E1448+G1448+H1448+I1448+J1448+L1448+M1448+N1448)</f>
        <v>0.23827477231919914</v>
      </c>
      <c r="E1449" s="642">
        <f>E1448/(D1448+E1448+G1448+H1448+I1448+J1448+L1448+M1448+N1448)</f>
        <v>8.7866300191751262E-2</v>
      </c>
      <c r="F1449" s="643">
        <f t="shared" si="44"/>
        <v>0.32614107251095037</v>
      </c>
      <c r="G1449" s="642">
        <f>G1448/(D1448+E1448+G1448+H1448+I1448+J1448+L1448+M1448+N1448)</f>
        <v>0.27850060422615214</v>
      </c>
      <c r="H1449" s="642">
        <f>H1448/(D1448+E1448+G1448+H1448+I1448+J1448+L1448+M1448+N1448)</f>
        <v>2.0909655800761668E-2</v>
      </c>
      <c r="I1449" s="642">
        <f>I1448/(D1448+E1448+G1448+H1448+I1448+J1448+L1448+M1448+N1448)</f>
        <v>0</v>
      </c>
      <c r="J1449" s="642">
        <f>J1448/(D1448+E1448+G1448+H1448+I1448+J1448+L1448+M1448+N1448)</f>
        <v>0</v>
      </c>
      <c r="K1449" s="643">
        <f t="shared" si="45"/>
        <v>0.29941026002691379</v>
      </c>
      <c r="L1449" s="642">
        <f>L1448/(D1448+E1448+G1448+H1448+I1448+J1448+L1448+M1448+N1448)</f>
        <v>3.6047712899180004E-2</v>
      </c>
      <c r="M1449" s="642">
        <f>M1448/(D1448+E1448+G1448+H1448+I1448+J1448+L1448+M1448+N1448)</f>
        <v>0</v>
      </c>
      <c r="N1449" s="642">
        <f>N1448/(D1448+E1448+G1448+H1448+I1448+J1448+L1448+M1448+N1448)</f>
        <v>0.33840095456295577</v>
      </c>
      <c r="O1449" s="1515"/>
    </row>
    <row r="1450" spans="1:15" ht="12" customHeight="1">
      <c r="A1450" s="1516" t="s">
        <v>15119</v>
      </c>
      <c r="B1450" s="1509" t="s">
        <v>14937</v>
      </c>
      <c r="C1450" s="647" t="s">
        <v>6218</v>
      </c>
      <c r="D1450" s="648">
        <v>51861</v>
      </c>
      <c r="E1450" s="648">
        <v>25253</v>
      </c>
      <c r="F1450" s="649">
        <f t="shared" si="44"/>
        <v>77114</v>
      </c>
      <c r="G1450" s="648">
        <v>81120</v>
      </c>
      <c r="H1450" s="648">
        <v>5699</v>
      </c>
      <c r="I1450" s="648">
        <v>3594</v>
      </c>
      <c r="J1450" s="648">
        <v>6818</v>
      </c>
      <c r="K1450" s="649">
        <f t="shared" si="45"/>
        <v>97231</v>
      </c>
      <c r="L1450" s="648">
        <v>12415</v>
      </c>
      <c r="M1450" s="648">
        <v>4442</v>
      </c>
      <c r="N1450" s="648">
        <v>150943</v>
      </c>
      <c r="O1450" s="1510">
        <f>1-N1451</f>
        <v>0.5588332432155958</v>
      </c>
    </row>
    <row r="1451" spans="1:15" ht="12" customHeight="1">
      <c r="A1451" s="1517"/>
      <c r="B1451" s="1502"/>
      <c r="C1451" s="635" t="s">
        <v>6219</v>
      </c>
      <c r="D1451" s="636">
        <f>D1450/(D1450+E1450+G1450+H1450+I1450+J1450+L1450+M1450+N1450)</f>
        <v>0.15157608616229962</v>
      </c>
      <c r="E1451" s="636">
        <f>E1450/(D1450+E1450+G1450+H1450+I1450+J1450+L1450+M1450+N1450)</f>
        <v>7.3807888468339453E-2</v>
      </c>
      <c r="F1451" s="637">
        <f t="shared" si="44"/>
        <v>0.22538397463063908</v>
      </c>
      <c r="G1451" s="636">
        <f>G1450/(D1450+E1450+G1450+H1450+I1450+J1450+L1450+M1450+N1450)</f>
        <v>0.23709246079878415</v>
      </c>
      <c r="H1451" s="636">
        <f>H1450/(D1450+E1450+G1450+H1450+I1450+J1450+L1450+M1450+N1450)</f>
        <v>1.6656680647094069E-2</v>
      </c>
      <c r="I1451" s="636">
        <f>I1450/(D1450+E1450+G1450+H1450+I1450+J1450+L1450+M1450+N1450)</f>
        <v>1.0504318344561517E-2</v>
      </c>
      <c r="J1451" s="636">
        <f>J1450/(D1450+E1450+G1450+H1450+I1450+J1450+L1450+M1450+N1450)</f>
        <v>1.9927223837846526E-2</v>
      </c>
      <c r="K1451" s="637">
        <f t="shared" si="45"/>
        <v>0.28418068362828625</v>
      </c>
      <c r="L1451" s="636">
        <f>L1450/(D1450+E1450+G1450+H1450+I1450+J1450+L1450+M1450+N1450)</f>
        <v>3.6285785266480589E-2</v>
      </c>
      <c r="M1451" s="636">
        <f>M1450/(D1450+E1450+G1450+H1450+I1450+J1450+L1450+M1450+N1450)</f>
        <v>1.2982799690189832E-2</v>
      </c>
      <c r="N1451" s="636">
        <f>N1450/(D1450+E1450+G1450+H1450+I1450+J1450+L1450+M1450+N1450)</f>
        <v>0.44116675678440426</v>
      </c>
      <c r="O1451" s="1503"/>
    </row>
    <row r="1452" spans="1:15" ht="12" customHeight="1">
      <c r="A1452" s="1517"/>
      <c r="B1452" s="1502" t="s">
        <v>14938</v>
      </c>
      <c r="C1452" s="638" t="s">
        <v>6218</v>
      </c>
      <c r="D1452" s="639">
        <v>88371</v>
      </c>
      <c r="E1452" s="639">
        <v>26969</v>
      </c>
      <c r="F1452" s="640">
        <f t="shared" si="44"/>
        <v>115340</v>
      </c>
      <c r="G1452" s="639">
        <v>69616</v>
      </c>
      <c r="H1452" s="639">
        <v>8102</v>
      </c>
      <c r="I1452" s="639"/>
      <c r="J1452" s="639">
        <v>9939</v>
      </c>
      <c r="K1452" s="640">
        <f t="shared" si="45"/>
        <v>87657</v>
      </c>
      <c r="L1452" s="639">
        <v>15093</v>
      </c>
      <c r="M1452" s="639"/>
      <c r="N1452" s="639">
        <v>119172</v>
      </c>
      <c r="O1452" s="1503">
        <f>1-N1453</f>
        <v>0.64664859960505483</v>
      </c>
    </row>
    <row r="1453" spans="1:15" ht="12" customHeight="1">
      <c r="A1453" s="1517"/>
      <c r="B1453" s="1502"/>
      <c r="C1453" s="635" t="s">
        <v>6219</v>
      </c>
      <c r="D1453" s="636">
        <f>D1452/(D1452+E1452+G1452+H1452+I1452+J1452+L1452+M1452+N1452)</f>
        <v>0.26202477599017976</v>
      </c>
      <c r="E1453" s="636">
        <f>E1452/(D1452+E1452+G1452+H1452+I1452+J1452+L1452+M1452+N1452)</f>
        <v>7.9964537955654655E-2</v>
      </c>
      <c r="F1453" s="637">
        <f t="shared" si="44"/>
        <v>0.34198931394583443</v>
      </c>
      <c r="G1453" s="636">
        <f>G1452/(D1452+E1452+G1452+H1452+I1452+J1452+L1452+M1452+N1452)</f>
        <v>0.20641519056401256</v>
      </c>
      <c r="H1453" s="636">
        <f>H1452/(D1452+E1452+G1452+H1452+I1452+J1452+L1452+M1452+N1452)</f>
        <v>2.4022866495484223E-2</v>
      </c>
      <c r="I1453" s="636">
        <f>I1452/(D1452+E1452+G1452+H1452+I1452+J1452+L1452+M1452+N1452)</f>
        <v>0</v>
      </c>
      <c r="J1453" s="636">
        <f>J1452/(D1452+E1452+G1452+H1452+I1452+J1452+L1452+M1452+N1452)</f>
        <v>2.9469670463912329E-2</v>
      </c>
      <c r="K1453" s="637">
        <f t="shared" si="45"/>
        <v>0.25990772752340907</v>
      </c>
      <c r="L1453" s="636">
        <f>L1452/(D1452+E1452+G1452+H1452+I1452+J1452+L1452+M1452+N1452)</f>
        <v>4.4751558135811324E-2</v>
      </c>
      <c r="M1453" s="636">
        <f>M1452/(D1452+E1452+G1452+H1452+I1452+J1452+L1452+M1452+N1452)</f>
        <v>0</v>
      </c>
      <c r="N1453" s="636">
        <f>N1452/(D1452+E1452+G1452+H1452+I1452+J1452+L1452+M1452+N1452)</f>
        <v>0.35335140039494517</v>
      </c>
      <c r="O1453" s="1503"/>
    </row>
    <row r="1454" spans="1:15" ht="12" customHeight="1">
      <c r="A1454" s="1517"/>
      <c r="B1454" s="1502" t="s">
        <v>14939</v>
      </c>
      <c r="C1454" s="638" t="s">
        <v>6218</v>
      </c>
      <c r="D1454" s="639">
        <v>51149</v>
      </c>
      <c r="E1454" s="639">
        <v>26265</v>
      </c>
      <c r="F1454" s="640">
        <f t="shared" si="44"/>
        <v>77414</v>
      </c>
      <c r="G1454" s="639">
        <v>74075</v>
      </c>
      <c r="H1454" s="639">
        <v>6987</v>
      </c>
      <c r="I1454" s="639"/>
      <c r="J1454" s="639"/>
      <c r="K1454" s="640">
        <f t="shared" si="45"/>
        <v>81062</v>
      </c>
      <c r="L1454" s="639">
        <v>13536</v>
      </c>
      <c r="M1454" s="639">
        <v>7441</v>
      </c>
      <c r="N1454" s="639">
        <v>155139</v>
      </c>
      <c r="O1454" s="1503">
        <f>1-N1455</f>
        <v>0.53633380355776583</v>
      </c>
    </row>
    <row r="1455" spans="1:15" ht="12" customHeight="1">
      <c r="A1455" s="1517"/>
      <c r="B1455" s="1502"/>
      <c r="C1455" s="635" t="s">
        <v>6219</v>
      </c>
      <c r="D1455" s="636">
        <f>D1454/(D1454+E1454+G1454+H1454+I1454+J1454+L1454+M1454+N1454)</f>
        <v>0.15286976377199693</v>
      </c>
      <c r="E1455" s="636">
        <f>E1454/(D1454+E1454+G1454+H1454+I1454+J1454+L1454+M1454+N1454)</f>
        <v>7.8498589326702367E-2</v>
      </c>
      <c r="F1455" s="637">
        <f t="shared" si="44"/>
        <v>0.2313683530986993</v>
      </c>
      <c r="G1455" s="636">
        <f>G1454/(D1454+E1454+G1454+H1454+I1454+J1454+L1454+M1454+N1454)</f>
        <v>0.22138903500382556</v>
      </c>
      <c r="H1455" s="636">
        <f>H1454/(D1454+E1454+G1454+H1454+I1454+J1454+L1454+M1454+N1454)</f>
        <v>2.0882149005355777E-2</v>
      </c>
      <c r="I1455" s="636">
        <f>I1454/(D1454+E1454+G1454+H1454+I1454+J1454+L1454+M1454+N1454)</f>
        <v>0</v>
      </c>
      <c r="J1455" s="636">
        <f>J1454/(D1454+E1454+G1454+H1454+I1454+J1454+L1454+M1454+N1454)</f>
        <v>0</v>
      </c>
      <c r="K1455" s="637">
        <f t="shared" si="45"/>
        <v>0.24227118400918135</v>
      </c>
      <c r="L1455" s="636">
        <f>L1454/(D1454+E1454+G1454+H1454+I1454+J1454+L1454+M1454+N1454)</f>
        <v>4.0455241009946442E-2</v>
      </c>
      <c r="M1455" s="636">
        <f>M1454/(D1454+E1454+G1454+H1454+I1454+J1454+L1454+M1454+N1454)</f>
        <v>2.2239025439938793E-2</v>
      </c>
      <c r="N1455" s="636">
        <f>N1454/(D1454+E1454+G1454+H1454+I1454+J1454+L1454+M1454+N1454)</f>
        <v>0.46366619644223411</v>
      </c>
      <c r="O1455" s="1503"/>
    </row>
    <row r="1456" spans="1:15" ht="12" customHeight="1">
      <c r="A1456" s="1517"/>
      <c r="B1456" s="1502" t="s">
        <v>14940</v>
      </c>
      <c r="C1456" s="638" t="s">
        <v>6218</v>
      </c>
      <c r="D1456" s="639">
        <v>70373</v>
      </c>
      <c r="E1456" s="639">
        <v>26445</v>
      </c>
      <c r="F1456" s="640">
        <f t="shared" si="44"/>
        <v>96818</v>
      </c>
      <c r="G1456" s="639">
        <v>82642</v>
      </c>
      <c r="H1456" s="639">
        <v>6357</v>
      </c>
      <c r="I1456" s="639"/>
      <c r="J1456" s="639"/>
      <c r="K1456" s="640">
        <f t="shared" si="45"/>
        <v>88999</v>
      </c>
      <c r="L1456" s="639">
        <v>12832</v>
      </c>
      <c r="M1456" s="639"/>
      <c r="N1456" s="639">
        <v>134694</v>
      </c>
      <c r="O1456" s="1503">
        <f>1-N1457</f>
        <v>0.59592971803817685</v>
      </c>
    </row>
    <row r="1457" spans="1:15" ht="12" customHeight="1" thickBot="1">
      <c r="A1457" s="1519"/>
      <c r="B1457" s="1514"/>
      <c r="C1457" s="641" t="s">
        <v>6219</v>
      </c>
      <c r="D1457" s="642">
        <f>D1456/(D1456+E1456+G1456+H1456+I1456+J1456+L1456+M1456+N1456)</f>
        <v>0.21111287772654594</v>
      </c>
      <c r="E1457" s="642">
        <f>E1456/(D1456+E1456+G1456+H1456+I1456+J1456+L1456+M1456+N1456)</f>
        <v>7.9332699351718799E-2</v>
      </c>
      <c r="F1457" s="643">
        <f t="shared" si="44"/>
        <v>0.29044557707826474</v>
      </c>
      <c r="G1457" s="642">
        <f>G1456/(D1456+E1456+G1456+H1456+I1456+J1456+L1456+M1456+N1456)</f>
        <v>0.24791881035449972</v>
      </c>
      <c r="H1457" s="642">
        <f>H1456/(D1456+E1456+G1456+H1456+I1456+J1456+L1456+M1456+N1456)</f>
        <v>1.9070446957038245E-2</v>
      </c>
      <c r="I1457" s="642">
        <f>I1456/(D1456+E1456+G1456+H1456+I1456+J1456+L1456+M1456+N1456)</f>
        <v>0</v>
      </c>
      <c r="J1457" s="642">
        <f>J1456/(D1456+E1456+G1456+H1456+I1456+J1456+L1456+M1456+N1456)</f>
        <v>0</v>
      </c>
      <c r="K1457" s="643">
        <f t="shared" si="45"/>
        <v>0.266989257311538</v>
      </c>
      <c r="L1457" s="642">
        <f>L1456/(D1456+E1456+G1456+H1456+I1456+J1456+L1456+M1456+N1456)</f>
        <v>3.8494883648374195E-2</v>
      </c>
      <c r="M1457" s="642">
        <f>M1456/(D1456+E1456+G1456+H1456+I1456+J1456+L1456+M1456+N1456)</f>
        <v>0</v>
      </c>
      <c r="N1457" s="642">
        <f>N1456/(D1456+E1456+G1456+H1456+I1456+J1456+L1456+M1456+N1456)</f>
        <v>0.4040702819618231</v>
      </c>
      <c r="O1457" s="1515"/>
    </row>
    <row r="1458" spans="1:15" ht="12" customHeight="1">
      <c r="A1458" s="1516" t="s">
        <v>15120</v>
      </c>
      <c r="B1458" s="1509" t="s">
        <v>14937</v>
      </c>
      <c r="C1458" s="647" t="s">
        <v>6218</v>
      </c>
      <c r="D1458" s="648">
        <v>52781</v>
      </c>
      <c r="E1458" s="648">
        <v>28820</v>
      </c>
      <c r="F1458" s="649">
        <f t="shared" si="44"/>
        <v>81601</v>
      </c>
      <c r="G1458" s="648">
        <v>78254</v>
      </c>
      <c r="H1458" s="648">
        <v>4914</v>
      </c>
      <c r="I1458" s="648">
        <v>3334</v>
      </c>
      <c r="J1458" s="648">
        <v>4275</v>
      </c>
      <c r="K1458" s="649">
        <f t="shared" si="45"/>
        <v>90777</v>
      </c>
      <c r="L1458" s="648">
        <v>12399</v>
      </c>
      <c r="M1458" s="648">
        <v>2975</v>
      </c>
      <c r="N1458" s="648">
        <v>122425</v>
      </c>
      <c r="O1458" s="1510">
        <f>1-N1459</f>
        <v>0.60530600270168322</v>
      </c>
    </row>
    <row r="1459" spans="1:15" ht="12" customHeight="1">
      <c r="A1459" s="1517"/>
      <c r="B1459" s="1502"/>
      <c r="C1459" s="635" t="s">
        <v>6219</v>
      </c>
      <c r="D1459" s="636">
        <f>D1458/(D1458+E1458+G1458+H1458+I1458+J1458+L1458+M1458+N1458)</f>
        <v>0.17016413209232148</v>
      </c>
      <c r="E1459" s="636">
        <f>E1458/(D1458+E1458+G1458+H1458+I1458+J1458+L1458+M1458+N1458)</f>
        <v>9.2914690644374021E-2</v>
      </c>
      <c r="F1459" s="637">
        <f t="shared" si="44"/>
        <v>0.26307882273669547</v>
      </c>
      <c r="G1459" s="636">
        <f>G1458/(D1458+E1458+G1458+H1458+I1458+J1458+L1458+M1458+N1458)</f>
        <v>0.25228820963514381</v>
      </c>
      <c r="H1459" s="636">
        <f>H1458/(D1458+E1458+G1458+H1458+I1458+J1458+L1458+M1458+N1458)</f>
        <v>1.5842567308343301E-2</v>
      </c>
      <c r="I1459" s="636">
        <f>I1458/(D1458+E1458+G1458+H1458+I1458+J1458+L1458+M1458+N1458)</f>
        <v>1.0748701547825919E-2</v>
      </c>
      <c r="J1459" s="636">
        <f>J1458/(D1458+E1458+G1458+H1458+I1458+J1458+L1458+M1458+N1458)</f>
        <v>1.3782453244437854E-2</v>
      </c>
      <c r="K1459" s="637">
        <f t="shared" si="45"/>
        <v>0.29266193173575089</v>
      </c>
      <c r="L1459" s="636">
        <f>L1458/(D1458+E1458+G1458+H1458+I1458+J1458+L1458+M1458+N1458)</f>
        <v>3.9973950357376595E-2</v>
      </c>
      <c r="M1459" s="636">
        <f>M1458/(D1458+E1458+G1458+H1458+I1458+J1458+L1458+M1458+N1458)</f>
        <v>9.5912978718602597E-3</v>
      </c>
      <c r="N1459" s="636">
        <f>N1458/(D1458+E1458+G1458+H1458+I1458+J1458+L1458+M1458+N1458)</f>
        <v>0.39469399729831678</v>
      </c>
      <c r="O1459" s="1503"/>
    </row>
    <row r="1460" spans="1:15" ht="12" customHeight="1">
      <c r="A1460" s="1517"/>
      <c r="B1460" s="1502" t="s">
        <v>14938</v>
      </c>
      <c r="C1460" s="638" t="s">
        <v>6218</v>
      </c>
      <c r="D1460" s="639">
        <v>76411</v>
      </c>
      <c r="E1460" s="639">
        <v>34571</v>
      </c>
      <c r="F1460" s="640">
        <f t="shared" si="44"/>
        <v>110982</v>
      </c>
      <c r="G1460" s="639">
        <v>80218</v>
      </c>
      <c r="H1460" s="639">
        <v>8427</v>
      </c>
      <c r="I1460" s="639"/>
      <c r="J1460" s="639">
        <v>6915</v>
      </c>
      <c r="K1460" s="640">
        <f t="shared" si="45"/>
        <v>95560</v>
      </c>
      <c r="L1460" s="639">
        <v>13371</v>
      </c>
      <c r="M1460" s="639"/>
      <c r="N1460" s="639">
        <v>90388</v>
      </c>
      <c r="O1460" s="1503">
        <f>1-N1461</f>
        <v>0.70870864096474073</v>
      </c>
    </row>
    <row r="1461" spans="1:15" ht="12" customHeight="1">
      <c r="A1461" s="1517"/>
      <c r="B1461" s="1502"/>
      <c r="C1461" s="635" t="s">
        <v>6219</v>
      </c>
      <c r="D1461" s="636">
        <f>D1460/(D1460+E1460+G1460+H1460+I1460+J1460+L1460+M1460+N1460)</f>
        <v>0.2462479979117051</v>
      </c>
      <c r="E1461" s="636">
        <f>E1460/(D1460+E1460+G1460+H1460+I1460+J1460+L1460+M1460+N1460)</f>
        <v>0.11141117817860723</v>
      </c>
      <c r="F1461" s="637">
        <f t="shared" si="44"/>
        <v>0.35765917609031234</v>
      </c>
      <c r="G1461" s="636">
        <f>G1460/(D1460+E1460+G1460+H1460+I1460+J1460+L1460+M1460+N1460)</f>
        <v>0.25851673052938923</v>
      </c>
      <c r="H1461" s="636">
        <f>H1460/(D1460+E1460+G1460+H1460+I1460+J1460+L1460+M1460+N1460)</f>
        <v>2.7157501909436322E-2</v>
      </c>
      <c r="I1461" s="636">
        <f>I1460/(D1460+E1460+G1460+H1460+I1460+J1460+L1460+M1460+N1460)</f>
        <v>0</v>
      </c>
      <c r="J1461" s="636">
        <f>J1460/(D1460+E1460+G1460+H1460+I1460+J1460+L1460+M1460+N1460)</f>
        <v>2.2284813777590146E-2</v>
      </c>
      <c r="K1461" s="637">
        <f t="shared" si="45"/>
        <v>0.30795904621641568</v>
      </c>
      <c r="L1461" s="636">
        <f>L1460/(D1460+E1460+G1460+H1460+I1460+J1460+L1460+M1460+N1460)</f>
        <v>4.3090418658012705E-2</v>
      </c>
      <c r="M1461" s="636">
        <f>M1460/(D1460+E1460+G1460+H1460+I1460+J1460+L1460+M1460+N1460)</f>
        <v>0</v>
      </c>
      <c r="N1461" s="636">
        <f>N1460/(D1460+E1460+G1460+H1460+I1460+J1460+L1460+M1460+N1460)</f>
        <v>0.29129135903525932</v>
      </c>
      <c r="O1461" s="1503"/>
    </row>
    <row r="1462" spans="1:15" ht="12" customHeight="1">
      <c r="A1462" s="1517"/>
      <c r="B1462" s="1502" t="s">
        <v>14939</v>
      </c>
      <c r="C1462" s="638" t="s">
        <v>6218</v>
      </c>
      <c r="D1462" s="639">
        <v>53795</v>
      </c>
      <c r="E1462" s="639">
        <v>31682</v>
      </c>
      <c r="F1462" s="640">
        <f t="shared" si="44"/>
        <v>85477</v>
      </c>
      <c r="G1462" s="639">
        <v>81189</v>
      </c>
      <c r="H1462" s="639">
        <v>6401</v>
      </c>
      <c r="I1462" s="639"/>
      <c r="J1462" s="639"/>
      <c r="K1462" s="640">
        <f t="shared" si="45"/>
        <v>87590</v>
      </c>
      <c r="L1462" s="639">
        <v>11374</v>
      </c>
      <c r="M1462" s="639">
        <v>5113</v>
      </c>
      <c r="N1462" s="639">
        <v>119644</v>
      </c>
      <c r="O1462" s="1503">
        <f>1-N1463</f>
        <v>0.61305053719623026</v>
      </c>
    </row>
    <row r="1463" spans="1:15" ht="12" customHeight="1">
      <c r="A1463" s="1517"/>
      <c r="B1463" s="1502"/>
      <c r="C1463" s="635" t="s">
        <v>6219</v>
      </c>
      <c r="D1463" s="636">
        <f>D1462/(D1462+E1462+G1462+H1462+I1462+J1462+L1462+M1462+N1462)</f>
        <v>0.1739823672856875</v>
      </c>
      <c r="E1463" s="636">
        <f>E1462/(D1462+E1462+G1462+H1462+I1462+J1462+L1462+M1462+N1462)</f>
        <v>0.10246508709629429</v>
      </c>
      <c r="F1463" s="637">
        <f t="shared" si="44"/>
        <v>0.27644745438198182</v>
      </c>
      <c r="G1463" s="636">
        <f>G1462/(D1462+E1462+G1462+H1462+I1462+J1462+L1462+M1462+N1462)</f>
        <v>0.26257931810684415</v>
      </c>
      <c r="H1463" s="636">
        <f>H1462/(D1462+E1462+G1462+H1462+I1462+J1462+L1462+M1462+N1462)</f>
        <v>2.0701945031985976E-2</v>
      </c>
      <c r="I1463" s="636">
        <f>I1462/(D1462+E1462+G1462+H1462+I1462+J1462+L1462+M1462+N1462)</f>
        <v>0</v>
      </c>
      <c r="J1463" s="636">
        <f>J1462/(D1462+E1462+G1462+H1462+I1462+J1462+L1462+M1462+N1462)</f>
        <v>0</v>
      </c>
      <c r="K1463" s="637">
        <f t="shared" si="45"/>
        <v>0.28328126313883012</v>
      </c>
      <c r="L1463" s="636">
        <f>L1462/(D1462+E1462+G1462+H1462+I1462+J1462+L1462+M1462+N1462)</f>
        <v>3.6785490203688251E-2</v>
      </c>
      <c r="M1463" s="636">
        <f>M1462/(D1462+E1462+G1462+H1462+I1462+J1462+L1462+M1462+N1462)</f>
        <v>1.6536329471730088E-2</v>
      </c>
      <c r="N1463" s="636">
        <f>N1462/(D1462+E1462+G1462+H1462+I1462+J1462+L1462+M1462+N1462)</f>
        <v>0.38694946280376974</v>
      </c>
      <c r="O1463" s="1503"/>
    </row>
    <row r="1464" spans="1:15" ht="12" customHeight="1">
      <c r="A1464" s="1517"/>
      <c r="B1464" s="1502" t="s">
        <v>14940</v>
      </c>
      <c r="C1464" s="638" t="s">
        <v>6218</v>
      </c>
      <c r="D1464" s="639">
        <v>63217</v>
      </c>
      <c r="E1464" s="639">
        <v>39476</v>
      </c>
      <c r="F1464" s="640">
        <f t="shared" si="44"/>
        <v>102693</v>
      </c>
      <c r="G1464" s="639">
        <v>78134</v>
      </c>
      <c r="H1464" s="639">
        <v>8055</v>
      </c>
      <c r="I1464" s="639"/>
      <c r="J1464" s="639"/>
      <c r="K1464" s="640">
        <f t="shared" si="45"/>
        <v>86189</v>
      </c>
      <c r="L1464" s="639">
        <v>12615</v>
      </c>
      <c r="M1464" s="639"/>
      <c r="N1464" s="639">
        <v>107087</v>
      </c>
      <c r="O1464" s="1503">
        <f>1-N1465</f>
        <v>0.65297293443600446</v>
      </c>
    </row>
    <row r="1465" spans="1:15" ht="12" customHeight="1" thickBot="1">
      <c r="A1465" s="1519"/>
      <c r="B1465" s="1514"/>
      <c r="C1465" s="641" t="s">
        <v>6219</v>
      </c>
      <c r="D1465" s="642">
        <f>D1464/(D1464+E1464+G1464+H1464+I1464+J1464+L1464+M1464+N1464)</f>
        <v>0.20486156119565499</v>
      </c>
      <c r="E1465" s="642">
        <f>E1464/(D1464+E1464+G1464+H1464+I1464+J1464+L1464+M1464+N1464)</f>
        <v>0.12792626967049492</v>
      </c>
      <c r="F1465" s="643">
        <f t="shared" si="44"/>
        <v>0.33278783086614994</v>
      </c>
      <c r="G1465" s="642">
        <f>G1464/(D1464+E1464+G1464+H1464+I1464+J1464+L1464+M1464+N1464)</f>
        <v>0.25320172141134989</v>
      </c>
      <c r="H1465" s="642">
        <f>H1464/(D1464+E1464+G1464+H1464+I1464+J1464+L1464+M1464+N1464)</f>
        <v>2.6103103206906387E-2</v>
      </c>
      <c r="I1465" s="642">
        <f>I1464/(D1464+E1464+G1464+H1464+I1464+J1464+L1464+M1464+N1464)</f>
        <v>0</v>
      </c>
      <c r="J1465" s="642">
        <f>J1464/(D1464+E1464+G1464+H1464+I1464+J1464+L1464+M1464+N1464)</f>
        <v>0</v>
      </c>
      <c r="K1465" s="643">
        <f t="shared" si="45"/>
        <v>0.27930482461825629</v>
      </c>
      <c r="L1465" s="642">
        <f>L1464/(D1464+E1464+G1464+H1464+I1464+J1464+L1464+M1464+N1464)</f>
        <v>4.0880278951598271E-2</v>
      </c>
      <c r="M1465" s="642">
        <f>M1464/(D1464+E1464+G1464+H1464+I1464+J1464+L1464+M1464+N1464)</f>
        <v>0</v>
      </c>
      <c r="N1465" s="642">
        <f>N1464/(D1464+E1464+G1464+H1464+I1464+J1464+L1464+M1464+N1464)</f>
        <v>0.34702706556399554</v>
      </c>
      <c r="O1465" s="1515"/>
    </row>
    <row r="1466" spans="1:15" ht="12" customHeight="1">
      <c r="A1466" s="1526" t="s">
        <v>15121</v>
      </c>
      <c r="B1466" s="1509" t="s">
        <v>14937</v>
      </c>
      <c r="C1466" s="647" t="s">
        <v>6218</v>
      </c>
      <c r="D1466" s="648">
        <v>42440</v>
      </c>
      <c r="E1466" s="648">
        <v>23263</v>
      </c>
      <c r="F1466" s="649">
        <f t="shared" si="44"/>
        <v>65703</v>
      </c>
      <c r="G1466" s="648">
        <v>87633</v>
      </c>
      <c r="H1466" s="648">
        <v>4762</v>
      </c>
      <c r="I1466" s="648">
        <v>3202</v>
      </c>
      <c r="J1466" s="648">
        <v>4514</v>
      </c>
      <c r="K1466" s="649">
        <f t="shared" si="45"/>
        <v>100111</v>
      </c>
      <c r="L1466" s="648">
        <v>11826</v>
      </c>
      <c r="M1466" s="648">
        <v>3109</v>
      </c>
      <c r="N1466" s="648">
        <v>141307</v>
      </c>
      <c r="O1466" s="1510">
        <f>1-N1467</f>
        <v>0.56123469210323673</v>
      </c>
    </row>
    <row r="1467" spans="1:15" ht="12" customHeight="1">
      <c r="A1467" s="1527"/>
      <c r="B1467" s="1502"/>
      <c r="C1467" s="635" t="s">
        <v>6219</v>
      </c>
      <c r="D1467" s="636">
        <f>D1466/(D1466+E1466+G1466+H1466+I1466+J1466+L1466+M1466+N1466)</f>
        <v>0.13177832426658717</v>
      </c>
      <c r="E1467" s="636">
        <f>E1466/(D1466+E1466+G1466+H1466+I1466+J1466+L1466+M1466+N1466)</f>
        <v>7.2232779392403801E-2</v>
      </c>
      <c r="F1467" s="637">
        <f t="shared" si="44"/>
        <v>0.20401110365899097</v>
      </c>
      <c r="G1467" s="636">
        <f>G1466/(D1466+E1466+G1466+H1466+I1466+J1466+L1466+M1466+N1466)</f>
        <v>0.27210485133020346</v>
      </c>
      <c r="H1467" s="636">
        <f>H1466/(D1466+E1466+G1466+H1466+I1466+J1466+L1466+M1466+N1466)</f>
        <v>1.4786248354323472E-2</v>
      </c>
      <c r="I1467" s="636">
        <f>I1466/(D1466+E1466+G1466+H1466+I1466+J1466+L1466+M1466+N1466)</f>
        <v>9.9423702710087682E-3</v>
      </c>
      <c r="J1467" s="636">
        <f>J1466/(D1466+E1466+G1466+H1466+I1466+J1466+L1466+M1466+N1466)</f>
        <v>1.401619594107857E-2</v>
      </c>
      <c r="K1467" s="637">
        <f t="shared" si="45"/>
        <v>0.31084966589661422</v>
      </c>
      <c r="L1467" s="636">
        <f>L1466/(D1466+E1466+G1466+H1466+I1466+J1466+L1466+M1466+N1466)</f>
        <v>3.6720321931589535E-2</v>
      </c>
      <c r="M1467" s="636">
        <f>M1466/(D1466+E1466+G1466+H1466+I1466+J1466+L1466+M1466+N1466)</f>
        <v>9.653600616041931E-3</v>
      </c>
      <c r="N1467" s="636">
        <f>N1466/(D1466+E1466+G1466+H1466+I1466+J1466+L1466+M1466+N1466)</f>
        <v>0.43876530789676332</v>
      </c>
      <c r="O1467" s="1503"/>
    </row>
    <row r="1468" spans="1:15" ht="12" customHeight="1">
      <c r="A1468" s="1527"/>
      <c r="B1468" s="1502" t="s">
        <v>14938</v>
      </c>
      <c r="C1468" s="638" t="s">
        <v>6218</v>
      </c>
      <c r="D1468" s="639">
        <v>71434</v>
      </c>
      <c r="E1468" s="639">
        <v>26445</v>
      </c>
      <c r="F1468" s="640">
        <f t="shared" si="44"/>
        <v>97879</v>
      </c>
      <c r="G1468" s="639">
        <v>87550</v>
      </c>
      <c r="H1468" s="639">
        <v>7222</v>
      </c>
      <c r="I1468" s="639"/>
      <c r="J1468" s="639">
        <v>5972</v>
      </c>
      <c r="K1468" s="640">
        <f t="shared" si="45"/>
        <v>100744</v>
      </c>
      <c r="L1468" s="639">
        <v>11181</v>
      </c>
      <c r="M1468" s="639"/>
      <c r="N1468" s="639">
        <v>107824</v>
      </c>
      <c r="O1468" s="1503">
        <f>1-N1469</f>
        <v>0.6605337060964398</v>
      </c>
    </row>
    <row r="1469" spans="1:15" ht="12" customHeight="1">
      <c r="A1469" s="1527"/>
      <c r="B1469" s="1502"/>
      <c r="C1469" s="635" t="s">
        <v>6219</v>
      </c>
      <c r="D1469" s="636">
        <f>D1468/(D1468+E1468+G1468+H1468+I1468+J1468+L1468+M1468+N1468)</f>
        <v>0.2248983087133376</v>
      </c>
      <c r="E1469" s="636">
        <f>E1468/(D1468+E1468+G1468+H1468+I1468+J1468+L1468+M1468+N1468)</f>
        <v>8.3257773244172426E-2</v>
      </c>
      <c r="F1469" s="637">
        <f t="shared" si="44"/>
        <v>0.30815608195751004</v>
      </c>
      <c r="G1469" s="636">
        <f>G1468/(D1468+E1468+G1468+H1468+I1468+J1468+L1468+M1468+N1468)</f>
        <v>0.27563690858488549</v>
      </c>
      <c r="H1469" s="636">
        <f>H1468/(D1468+E1468+G1468+H1468+I1468+J1468+L1468+M1468+N1468)</f>
        <v>2.2737290163335727E-2</v>
      </c>
      <c r="I1469" s="636">
        <f>I1468/(D1468+E1468+G1468+H1468+I1468+J1468+L1468+M1468+N1468)</f>
        <v>0</v>
      </c>
      <c r="J1469" s="636">
        <f>J1468/(D1468+E1468+G1468+H1468+I1468+J1468+L1468+M1468+N1468)</f>
        <v>1.8801868852871911E-2</v>
      </c>
      <c r="K1469" s="637">
        <f t="shared" si="45"/>
        <v>0.31717606760109318</v>
      </c>
      <c r="L1469" s="636">
        <f>L1468/(D1468+E1468+G1468+H1468+I1468+J1468+L1468+M1468+N1468)</f>
        <v>3.5201556537836715E-2</v>
      </c>
      <c r="M1469" s="636">
        <f>M1468/(D1468+E1468+G1468+H1468+I1468+J1468+L1468+M1468+N1468)</f>
        <v>0</v>
      </c>
      <c r="N1469" s="636">
        <f>N1468/(D1468+E1468+G1468+H1468+I1468+J1468+L1468+M1468+N1468)</f>
        <v>0.33946629390356015</v>
      </c>
      <c r="O1469" s="1503"/>
    </row>
    <row r="1470" spans="1:15" ht="12" customHeight="1">
      <c r="A1470" s="1527"/>
      <c r="B1470" s="1502" t="s">
        <v>14939</v>
      </c>
      <c r="C1470" s="638" t="s">
        <v>6218</v>
      </c>
      <c r="D1470" s="639">
        <v>46003</v>
      </c>
      <c r="E1470" s="639">
        <v>27802</v>
      </c>
      <c r="F1470" s="640">
        <f t="shared" si="44"/>
        <v>73805</v>
      </c>
      <c r="G1470" s="639">
        <v>90751</v>
      </c>
      <c r="H1470" s="639">
        <v>5438</v>
      </c>
      <c r="I1470" s="639"/>
      <c r="J1470" s="639"/>
      <c r="K1470" s="640">
        <f t="shared" si="45"/>
        <v>96189</v>
      </c>
      <c r="L1470" s="639">
        <v>9885</v>
      </c>
      <c r="M1470" s="639">
        <v>4977</v>
      </c>
      <c r="N1470" s="639">
        <v>129677</v>
      </c>
      <c r="O1470" s="1503">
        <f>1-N1471</f>
        <v>0.58771575637532469</v>
      </c>
    </row>
    <row r="1471" spans="1:15" ht="12" customHeight="1">
      <c r="A1471" s="1527"/>
      <c r="B1471" s="1502"/>
      <c r="C1471" s="635" t="s">
        <v>6219</v>
      </c>
      <c r="D1471" s="636">
        <f>D1470/(D1470+E1470+G1470+H1470+I1470+J1470+L1470+M1470+N1470)</f>
        <v>0.14625810328328029</v>
      </c>
      <c r="E1471" s="636">
        <f>E1470/(D1470+E1470+G1470+H1470+I1470+J1470+L1470+M1470+N1470)</f>
        <v>8.8391361160832085E-2</v>
      </c>
      <c r="F1471" s="637">
        <f t="shared" si="44"/>
        <v>0.23464946444411239</v>
      </c>
      <c r="G1471" s="636">
        <f>G1470/(D1470+E1470+G1470+H1470+I1470+J1470+L1470+M1470+N1470)</f>
        <v>0.28852616418626981</v>
      </c>
      <c r="H1471" s="636">
        <f>H1470/(D1470+E1470+G1470+H1470+I1470+J1470+L1470+M1470+N1470)</f>
        <v>1.7289123875714154E-2</v>
      </c>
      <c r="I1471" s="636">
        <f>I1470/(D1470+E1470+G1470+H1470+I1470+J1470+L1470+M1470+N1470)</f>
        <v>0</v>
      </c>
      <c r="J1471" s="636">
        <f>J1470/(D1470+E1470+G1470+H1470+I1470+J1470+L1470+M1470+N1470)</f>
        <v>0</v>
      </c>
      <c r="K1471" s="637">
        <f t="shared" si="45"/>
        <v>0.30581528806198394</v>
      </c>
      <c r="L1471" s="636">
        <f>L1470/(D1470+E1470+G1470+H1470+I1470+J1470+L1470+M1470+N1470)</f>
        <v>3.142754496348555E-2</v>
      </c>
      <c r="M1471" s="636">
        <f>M1470/(D1470+E1470+G1470+H1470+I1470+J1470+L1470+M1470+N1470)</f>
        <v>1.5823458905742799E-2</v>
      </c>
      <c r="N1471" s="636">
        <f>N1470/(D1470+E1470+G1470+H1470+I1470+J1470+L1470+M1470+N1470)</f>
        <v>0.41228424362467531</v>
      </c>
      <c r="O1471" s="1503"/>
    </row>
    <row r="1472" spans="1:15" ht="12" customHeight="1">
      <c r="A1472" s="1527"/>
      <c r="B1472" s="1502" t="s">
        <v>14940</v>
      </c>
      <c r="C1472" s="638" t="s">
        <v>6218</v>
      </c>
      <c r="D1472" s="639">
        <v>51358</v>
      </c>
      <c r="E1472" s="639">
        <v>30300</v>
      </c>
      <c r="F1472" s="640">
        <f t="shared" si="44"/>
        <v>81658</v>
      </c>
      <c r="G1472" s="639">
        <v>79251</v>
      </c>
      <c r="H1472" s="639">
        <v>6766</v>
      </c>
      <c r="I1472" s="639"/>
      <c r="J1472" s="639"/>
      <c r="K1472" s="640">
        <f t="shared" si="45"/>
        <v>86017</v>
      </c>
      <c r="L1472" s="639">
        <v>11599</v>
      </c>
      <c r="M1472" s="639"/>
      <c r="N1472" s="639">
        <v>134501</v>
      </c>
      <c r="O1472" s="1503">
        <f>1-N1473</f>
        <v>0.57134570950521879</v>
      </c>
    </row>
    <row r="1473" spans="1:15" ht="12" customHeight="1" thickBot="1">
      <c r="A1473" s="1528"/>
      <c r="B1473" s="1514"/>
      <c r="C1473" s="641" t="s">
        <v>6219</v>
      </c>
      <c r="D1473" s="642">
        <f>D1472/(D1472+E1472+G1472+H1472+I1472+J1472+L1472+M1472+N1472)</f>
        <v>0.16367779459803999</v>
      </c>
      <c r="E1473" s="642">
        <f>E1472/(D1472+E1472+G1472+H1472+I1472+J1472+L1472+M1472+N1472)</f>
        <v>9.656601067644012E-2</v>
      </c>
      <c r="F1473" s="643">
        <f t="shared" si="44"/>
        <v>0.2602438052744801</v>
      </c>
      <c r="G1473" s="642">
        <f>G1472/(D1472+E1472+G1472+H1472+I1472+J1472+L1472+M1472+N1472)</f>
        <v>0.2525727033702494</v>
      </c>
      <c r="H1473" s="642">
        <f>H1472/(D1472+E1472+G1472+H1472+I1472+J1472+L1472+M1472+N1472)</f>
        <v>2.1563222054019601E-2</v>
      </c>
      <c r="I1473" s="642">
        <f>I1472/(D1472+E1472+G1472+H1472+I1472+J1472+L1472+M1472+N1472)</f>
        <v>0</v>
      </c>
      <c r="J1473" s="642">
        <f>J1472/(D1472+E1472+G1472+H1472+I1472+J1472+L1472+M1472+N1472)</f>
        <v>0</v>
      </c>
      <c r="K1473" s="643">
        <f t="shared" si="45"/>
        <v>0.27413592542426901</v>
      </c>
      <c r="L1473" s="642">
        <f>L1472/(D1472+E1472+G1472+H1472+I1472+J1472+L1472+M1472+N1472)</f>
        <v>3.6965978806469603E-2</v>
      </c>
      <c r="M1473" s="642">
        <f>M1472/(D1472+E1472+G1472+H1472+I1472+J1472+L1472+M1472+N1472)</f>
        <v>0</v>
      </c>
      <c r="N1473" s="642">
        <f>N1472/(D1472+E1472+G1472+H1472+I1472+J1472+L1472+M1472+N1472)</f>
        <v>0.42865429049478126</v>
      </c>
      <c r="O1473" s="1515"/>
    </row>
    <row r="1474" spans="1:15" ht="12" customHeight="1">
      <c r="A1474" s="1526" t="s">
        <v>15122</v>
      </c>
      <c r="B1474" s="1509" t="s">
        <v>14937</v>
      </c>
      <c r="C1474" s="647" t="s">
        <v>6218</v>
      </c>
      <c r="D1474" s="648">
        <v>47490</v>
      </c>
      <c r="E1474" s="648">
        <v>22339</v>
      </c>
      <c r="F1474" s="649">
        <f t="shared" ref="F1474:F1537" si="46">SUM(D1474:E1474)</f>
        <v>69829</v>
      </c>
      <c r="G1474" s="648">
        <v>94617</v>
      </c>
      <c r="H1474" s="648">
        <v>4943</v>
      </c>
      <c r="I1474" s="648">
        <v>3678</v>
      </c>
      <c r="J1474" s="648">
        <v>5085</v>
      </c>
      <c r="K1474" s="649">
        <f t="shared" ref="K1474:K1537" si="47">SUM(G1474:J1474)</f>
        <v>108323</v>
      </c>
      <c r="L1474" s="648">
        <v>12202</v>
      </c>
      <c r="M1474" s="648">
        <v>3489</v>
      </c>
      <c r="N1474" s="648">
        <v>136814</v>
      </c>
      <c r="O1474" s="1510">
        <f>1-N1475</f>
        <v>0.58623588794430481</v>
      </c>
    </row>
    <row r="1475" spans="1:15" ht="12" customHeight="1">
      <c r="A1475" s="1527"/>
      <c r="B1475" s="1502"/>
      <c r="C1475" s="635" t="s">
        <v>6219</v>
      </c>
      <c r="D1475" s="636">
        <f>D1474/(D1474+E1474+G1474+H1474+I1474+J1474+L1474+M1474+N1474)</f>
        <v>0.1436231502735463</v>
      </c>
      <c r="E1475" s="636">
        <f>E1474/(D1474+E1474+G1474+H1474+I1474+J1474+L1474+M1474+N1474)</f>
        <v>6.7559434701216059E-2</v>
      </c>
      <c r="F1475" s="637">
        <f t="shared" si="46"/>
        <v>0.21118258497476236</v>
      </c>
      <c r="G1475" s="636">
        <f>G1474/(D1474+E1474+G1474+H1474+I1474+J1474+L1474+M1474+N1474)</f>
        <v>0.28614848619566502</v>
      </c>
      <c r="H1475" s="636">
        <f>H1474/(D1474+E1474+G1474+H1474+I1474+J1474+L1474+M1474+N1474)</f>
        <v>1.4949025727566633E-2</v>
      </c>
      <c r="I1475" s="636">
        <f>I1474/(D1474+E1474+G1474+H1474+I1474+J1474+L1474+M1474+N1474)</f>
        <v>1.1123309048349196E-2</v>
      </c>
      <c r="J1475" s="636">
        <f>J1474/(D1474+E1474+G1474+H1474+I1474+J1474+L1474+M1474+N1474)</f>
        <v>1.537847376586614E-2</v>
      </c>
      <c r="K1475" s="637">
        <f t="shared" si="47"/>
        <v>0.32759929473744698</v>
      </c>
      <c r="L1475" s="636">
        <f>L1474/(D1474+E1474+G1474+H1474+I1474+J1474+L1474+M1474+N1474)</f>
        <v>3.6902288474159023E-2</v>
      </c>
      <c r="M1475" s="636">
        <f>M1474/(D1474+E1474+G1474+H1474+I1474+J1474+L1474+M1474+N1474)</f>
        <v>1.0551719757936472E-2</v>
      </c>
      <c r="N1475" s="636">
        <f>N1474/(D1474+E1474+G1474+H1474+I1474+J1474+L1474+M1474+N1474)</f>
        <v>0.41376411205569519</v>
      </c>
      <c r="O1475" s="1503"/>
    </row>
    <row r="1476" spans="1:15" ht="12" customHeight="1">
      <c r="A1476" s="1527"/>
      <c r="B1476" s="1502" t="s">
        <v>14938</v>
      </c>
      <c r="C1476" s="638" t="s">
        <v>6218</v>
      </c>
      <c r="D1476" s="639">
        <v>81829</v>
      </c>
      <c r="E1476" s="639">
        <v>23866</v>
      </c>
      <c r="F1476" s="640">
        <f t="shared" si="46"/>
        <v>105695</v>
      </c>
      <c r="G1476" s="639">
        <v>100580</v>
      </c>
      <c r="H1476" s="639">
        <v>7186</v>
      </c>
      <c r="I1476" s="639"/>
      <c r="J1476" s="639">
        <v>6411</v>
      </c>
      <c r="K1476" s="640">
        <f t="shared" si="47"/>
        <v>114177</v>
      </c>
      <c r="L1476" s="639">
        <v>12020</v>
      </c>
      <c r="M1476" s="639"/>
      <c r="N1476" s="639">
        <v>94867</v>
      </c>
      <c r="O1476" s="1503">
        <f>1-N1477</f>
        <v>0.70967287817627056</v>
      </c>
    </row>
    <row r="1477" spans="1:15" ht="12" customHeight="1">
      <c r="A1477" s="1527"/>
      <c r="B1477" s="1502"/>
      <c r="C1477" s="635" t="s">
        <v>6219</v>
      </c>
      <c r="D1477" s="636">
        <f>D1476/(D1476+E1476+G1476+H1476+I1476+J1476+L1476+M1476+N1476)</f>
        <v>0.25042615505617288</v>
      </c>
      <c r="E1477" s="636">
        <f>E1476/(D1476+E1476+G1476+H1476+I1476+J1476+L1476+M1476+N1476)</f>
        <v>7.3038539106803482E-2</v>
      </c>
      <c r="F1477" s="637">
        <f t="shared" si="46"/>
        <v>0.32346469416297635</v>
      </c>
      <c r="G1477" s="636">
        <f>G1476/(D1476+E1476+G1476+H1476+I1476+J1476+L1476+M1476+N1476)</f>
        <v>0.30781095547483006</v>
      </c>
      <c r="H1477" s="636">
        <f>H1476/(D1476+E1476+G1476+H1476+I1476+J1476+L1476+M1476+N1476)</f>
        <v>2.1991743150150418E-2</v>
      </c>
      <c r="I1477" s="636">
        <f>I1476/(D1476+E1476+G1476+H1476+I1476+J1476+L1476+M1476+N1476)</f>
        <v>0</v>
      </c>
      <c r="J1477" s="636">
        <f>J1476/(D1476+E1476+G1476+H1476+I1476+J1476+L1476+M1476+N1476)</f>
        <v>1.9619964561037338E-2</v>
      </c>
      <c r="K1477" s="637">
        <f t="shared" si="47"/>
        <v>0.34942266318601778</v>
      </c>
      <c r="L1477" s="636">
        <f>L1476/(D1476+E1476+G1476+H1476+I1476+J1476+L1476+M1476+N1476)</f>
        <v>3.6785520827276375E-2</v>
      </c>
      <c r="M1477" s="636">
        <f>M1476/(D1476+E1476+G1476+H1476+I1476+J1476+L1476+M1476+N1476)</f>
        <v>0</v>
      </c>
      <c r="N1477" s="636">
        <f>N1476/(D1476+E1476+G1476+H1476+I1476+J1476+L1476+M1476+N1476)</f>
        <v>0.29032712182372944</v>
      </c>
      <c r="O1477" s="1503"/>
    </row>
    <row r="1478" spans="1:15" ht="12" customHeight="1">
      <c r="A1478" s="1527"/>
      <c r="B1478" s="1502" t="s">
        <v>14939</v>
      </c>
      <c r="C1478" s="638" t="s">
        <v>6218</v>
      </c>
      <c r="D1478" s="639">
        <v>51174</v>
      </c>
      <c r="E1478" s="639">
        <v>26246</v>
      </c>
      <c r="F1478" s="640">
        <f t="shared" si="46"/>
        <v>77420</v>
      </c>
      <c r="G1478" s="639">
        <v>100049</v>
      </c>
      <c r="H1478" s="639">
        <v>5657</v>
      </c>
      <c r="I1478" s="639"/>
      <c r="J1478" s="639"/>
      <c r="K1478" s="640">
        <f t="shared" si="47"/>
        <v>105706</v>
      </c>
      <c r="L1478" s="639">
        <v>10477</v>
      </c>
      <c r="M1478" s="639">
        <v>5256</v>
      </c>
      <c r="N1478" s="639">
        <v>124260</v>
      </c>
      <c r="O1478" s="1503">
        <f>1-N1479</f>
        <v>0.61543579919472391</v>
      </c>
    </row>
    <row r="1479" spans="1:15" ht="12" customHeight="1">
      <c r="A1479" s="1527"/>
      <c r="B1479" s="1502"/>
      <c r="C1479" s="635" t="s">
        <v>6219</v>
      </c>
      <c r="D1479" s="636">
        <f>D1478/(D1478+E1478+G1478+H1478+I1478+J1478+L1478+M1478+N1478)</f>
        <v>0.15837508781594398</v>
      </c>
      <c r="E1479" s="636">
        <f>E1478/(D1478+E1478+G1478+H1478+I1478+J1478+L1478+M1478+N1478)</f>
        <v>8.1227040192622529E-2</v>
      </c>
      <c r="F1479" s="637">
        <f t="shared" si="46"/>
        <v>0.23960212800856651</v>
      </c>
      <c r="G1479" s="636">
        <f>G1478/(D1478+E1478+G1478+H1478+I1478+J1478+L1478+M1478+N1478)</f>
        <v>0.30963514989833468</v>
      </c>
      <c r="H1479" s="636">
        <f>H1478/(D1478+E1478+G1478+H1478+I1478+J1478+L1478+M1478+N1478)</f>
        <v>1.7507481763684586E-2</v>
      </c>
      <c r="I1479" s="636">
        <f>I1478/(D1478+E1478+G1478+H1478+I1478+J1478+L1478+M1478+N1478)</f>
        <v>0</v>
      </c>
      <c r="J1479" s="636">
        <f>J1478/(D1478+E1478+G1478+H1478+I1478+J1478+L1478+M1478+N1478)</f>
        <v>0</v>
      </c>
      <c r="K1479" s="637">
        <f t="shared" si="47"/>
        <v>0.32714263166201929</v>
      </c>
      <c r="L1479" s="636">
        <f>L1478/(D1478+E1478+G1478+H1478+I1478+J1478+L1478+M1478+N1478)</f>
        <v>3.2424586607410891E-2</v>
      </c>
      <c r="M1479" s="636">
        <f>M1478/(D1478+E1478+G1478+H1478+I1478+J1478+L1478+M1478+N1478)</f>
        <v>1.6266452916727275E-2</v>
      </c>
      <c r="N1479" s="636">
        <f>N1478/(D1478+E1478+G1478+H1478+I1478+J1478+L1478+M1478+N1478)</f>
        <v>0.38456420080527609</v>
      </c>
      <c r="O1479" s="1503"/>
    </row>
    <row r="1480" spans="1:15" ht="12" customHeight="1">
      <c r="A1480" s="1527"/>
      <c r="B1480" s="1502" t="s">
        <v>14940</v>
      </c>
      <c r="C1480" s="638" t="s">
        <v>6218</v>
      </c>
      <c r="D1480" s="639">
        <v>69221</v>
      </c>
      <c r="E1480" s="639">
        <v>28633</v>
      </c>
      <c r="F1480" s="640">
        <f t="shared" si="46"/>
        <v>97854</v>
      </c>
      <c r="G1480" s="639">
        <v>92012</v>
      </c>
      <c r="H1480" s="639">
        <v>6896</v>
      </c>
      <c r="I1480" s="639"/>
      <c r="J1480" s="639"/>
      <c r="K1480" s="640">
        <f t="shared" si="47"/>
        <v>98908</v>
      </c>
      <c r="L1480" s="639">
        <v>12837</v>
      </c>
      <c r="M1480" s="639"/>
      <c r="N1480" s="639">
        <v>112793</v>
      </c>
      <c r="O1480" s="1503">
        <f>1-N1481</f>
        <v>0.65013710017618309</v>
      </c>
    </row>
    <row r="1481" spans="1:15" ht="12" customHeight="1" thickBot="1">
      <c r="A1481" s="1528"/>
      <c r="B1481" s="1514"/>
      <c r="C1481" s="641" t="s">
        <v>6219</v>
      </c>
      <c r="D1481" s="642">
        <f>D1480/(D1480+E1480+G1480+H1480+I1480+J1480+L1480+M1480+N1480)</f>
        <v>0.21471066279560286</v>
      </c>
      <c r="E1481" s="642">
        <f>E1480/(D1480+E1480+G1480+H1480+I1480+J1480+L1480+M1480+N1480)</f>
        <v>8.8814238566713818E-2</v>
      </c>
      <c r="F1481" s="643">
        <f t="shared" si="46"/>
        <v>0.30352490136231669</v>
      </c>
      <c r="G1481" s="642">
        <f>G1480/(D1480+E1480+G1480+H1480+I1480+J1480+L1480+M1480+N1480)</f>
        <v>0.28540410432020646</v>
      </c>
      <c r="H1481" s="642">
        <f>H1480/(D1480+E1480+G1480+H1480+I1480+J1480+L1480+M1480+N1480)</f>
        <v>2.1390108935705601E-2</v>
      </c>
      <c r="I1481" s="642">
        <f>I1480/(D1480+E1480+G1480+H1480+I1480+J1480+L1480+M1480+N1480)</f>
        <v>0</v>
      </c>
      <c r="J1481" s="642">
        <f>J1480/(D1480+E1480+G1480+H1480+I1480+J1480+L1480+M1480+N1480)</f>
        <v>0</v>
      </c>
      <c r="K1481" s="643">
        <f t="shared" si="47"/>
        <v>0.30679421325591205</v>
      </c>
      <c r="L1481" s="642">
        <f>L1480/(D1480+E1480+G1480+H1480+I1480+J1480+L1480+M1480+N1480)</f>
        <v>3.9817985557954294E-2</v>
      </c>
      <c r="M1481" s="642">
        <f>M1480/(D1480+E1480+G1480+H1480+I1480+J1480+L1480+M1480+N1480)</f>
        <v>0</v>
      </c>
      <c r="N1481" s="642">
        <f>N1480/(D1480+E1480+G1480+H1480+I1480+J1480+L1480+M1480+N1480)</f>
        <v>0.34986289982381696</v>
      </c>
      <c r="O1481" s="1515"/>
    </row>
    <row r="1482" spans="1:15" ht="12" customHeight="1">
      <c r="A1482" s="1516" t="s">
        <v>15123</v>
      </c>
      <c r="B1482" s="1509" t="s">
        <v>14937</v>
      </c>
      <c r="C1482" s="647" t="s">
        <v>6218</v>
      </c>
      <c r="D1482" s="648">
        <v>43023</v>
      </c>
      <c r="E1482" s="648">
        <v>17490</v>
      </c>
      <c r="F1482" s="649">
        <f t="shared" si="46"/>
        <v>60513</v>
      </c>
      <c r="G1482" s="648">
        <v>62541</v>
      </c>
      <c r="H1482" s="648">
        <v>3673</v>
      </c>
      <c r="I1482" s="648">
        <v>2755</v>
      </c>
      <c r="J1482" s="648">
        <v>3022</v>
      </c>
      <c r="K1482" s="649">
        <f t="shared" si="47"/>
        <v>71991</v>
      </c>
      <c r="L1482" s="648">
        <v>8594</v>
      </c>
      <c r="M1482" s="648">
        <v>2789</v>
      </c>
      <c r="N1482" s="648">
        <v>100517</v>
      </c>
      <c r="O1482" s="1510">
        <f>1-N1483</f>
        <v>0.5887260437636046</v>
      </c>
    </row>
    <row r="1483" spans="1:15" ht="12" customHeight="1">
      <c r="A1483" s="1517"/>
      <c r="B1483" s="1502"/>
      <c r="C1483" s="635" t="s">
        <v>6219</v>
      </c>
      <c r="D1483" s="636">
        <f>D1482/(D1482+E1482+G1482+H1482+I1482+J1482+L1482+M1482+N1482)</f>
        <v>0.17603230716354887</v>
      </c>
      <c r="E1483" s="636">
        <f>E1482/(D1482+E1482+G1482+H1482+I1482+J1482+L1482+M1482+N1482)</f>
        <v>7.1561840231747428E-2</v>
      </c>
      <c r="F1483" s="637">
        <f t="shared" si="46"/>
        <v>0.24759414739529628</v>
      </c>
      <c r="G1483" s="636">
        <f>G1482/(D1482+E1482+G1482+H1482+I1482+J1482+L1482+M1482+N1482)</f>
        <v>0.2558918839298866</v>
      </c>
      <c r="H1483" s="636">
        <f>H1482/(D1482+E1482+G1482+H1482+I1482+J1482+L1482+M1482+N1482)</f>
        <v>1.5028395607273204E-2</v>
      </c>
      <c r="I1483" s="636">
        <f>I1482/(D1482+E1482+G1482+H1482+I1482+J1482+L1482+M1482+N1482)</f>
        <v>1.1272319601970508E-2</v>
      </c>
      <c r="J1483" s="636">
        <f>J1482/(D1482+E1482+G1482+H1482+I1482+J1482+L1482+M1482+N1482)</f>
        <v>1.2364773080636979E-2</v>
      </c>
      <c r="K1483" s="637">
        <f t="shared" si="47"/>
        <v>0.2945573722197673</v>
      </c>
      <c r="L1483" s="636">
        <f>L1482/(D1482+E1482+G1482+H1482+I1482+J1482+L1482+M1482+N1482)</f>
        <v>3.5163090620448111E-2</v>
      </c>
      <c r="M1483" s="636">
        <f>M1482/(D1482+E1482+G1482+H1482+I1482+J1482+L1482+M1482+N1482)</f>
        <v>1.141143352809283E-2</v>
      </c>
      <c r="N1483" s="636">
        <f>N1482/(D1482+E1482+G1482+H1482+I1482+J1482+L1482+M1482+N1482)</f>
        <v>0.41127395623639545</v>
      </c>
      <c r="O1483" s="1503"/>
    </row>
    <row r="1484" spans="1:15" ht="12" customHeight="1">
      <c r="A1484" s="1517"/>
      <c r="B1484" s="1502" t="s">
        <v>14938</v>
      </c>
      <c r="C1484" s="638" t="s">
        <v>6218</v>
      </c>
      <c r="D1484" s="639">
        <v>64428</v>
      </c>
      <c r="E1484" s="639">
        <v>21809</v>
      </c>
      <c r="F1484" s="640">
        <f t="shared" si="46"/>
        <v>86237</v>
      </c>
      <c r="G1484" s="639">
        <v>63889</v>
      </c>
      <c r="H1484" s="639">
        <v>5600</v>
      </c>
      <c r="I1484" s="639"/>
      <c r="J1484" s="639">
        <v>4532</v>
      </c>
      <c r="K1484" s="640">
        <f t="shared" si="47"/>
        <v>74021</v>
      </c>
      <c r="L1484" s="639">
        <v>8660</v>
      </c>
      <c r="M1484" s="639"/>
      <c r="N1484" s="639">
        <v>74257</v>
      </c>
      <c r="O1484" s="1503">
        <f>1-N1485</f>
        <v>0.69463555052945414</v>
      </c>
    </row>
    <row r="1485" spans="1:15" ht="12" customHeight="1">
      <c r="A1485" s="1517"/>
      <c r="B1485" s="1502"/>
      <c r="C1485" s="635" t="s">
        <v>6219</v>
      </c>
      <c r="D1485" s="636">
        <f>D1484/(D1484+E1484+G1484+H1484+I1484+J1484+L1484+M1484+N1484)</f>
        <v>0.2649449984579007</v>
      </c>
      <c r="E1485" s="636">
        <f>E1484/(D1484+E1484+G1484+H1484+I1484+J1484+L1484+M1484+N1484)</f>
        <v>8.9684383674308629E-2</v>
      </c>
      <c r="F1485" s="637">
        <f t="shared" si="46"/>
        <v>0.35462938213220935</v>
      </c>
      <c r="G1485" s="636">
        <f>G1484/(D1484+E1484+G1484+H1484+I1484+J1484+L1484+M1484+N1484)</f>
        <v>0.26272848771460883</v>
      </c>
      <c r="H1485" s="636">
        <f>H1484/(D1484+E1484+G1484+H1484+I1484+J1484+L1484+M1484+N1484)</f>
        <v>2.3028683047188241E-2</v>
      </c>
      <c r="I1485" s="636">
        <f>I1484/(D1484+E1484+G1484+H1484+I1484+J1484+L1484+M1484+N1484)</f>
        <v>0</v>
      </c>
      <c r="J1485" s="636">
        <f>J1484/(D1484+E1484+G1484+H1484+I1484+J1484+L1484+M1484+N1484)</f>
        <v>1.8636784208903055E-2</v>
      </c>
      <c r="K1485" s="637">
        <f t="shared" si="47"/>
        <v>0.30439395497070015</v>
      </c>
      <c r="L1485" s="636">
        <f>L1484/(D1484+E1484+G1484+H1484+I1484+J1484+L1484+M1484+N1484)</f>
        <v>3.5612213426544671E-2</v>
      </c>
      <c r="M1485" s="636">
        <f>M1484/(D1484+E1484+G1484+H1484+I1484+J1484+L1484+M1484+N1484)</f>
        <v>0</v>
      </c>
      <c r="N1485" s="636">
        <f>N1484/(D1484+E1484+G1484+H1484+I1484+J1484+L1484+M1484+N1484)</f>
        <v>0.30536444947054592</v>
      </c>
      <c r="O1485" s="1503"/>
    </row>
    <row r="1486" spans="1:15" ht="12" customHeight="1">
      <c r="A1486" s="1517"/>
      <c r="B1486" s="1502" t="s">
        <v>14939</v>
      </c>
      <c r="C1486" s="638" t="s">
        <v>6218</v>
      </c>
      <c r="D1486" s="639">
        <v>46828</v>
      </c>
      <c r="E1486" s="639">
        <v>21442</v>
      </c>
      <c r="F1486" s="640">
        <f t="shared" si="46"/>
        <v>68270</v>
      </c>
      <c r="G1486" s="639">
        <v>60895</v>
      </c>
      <c r="H1486" s="639">
        <v>4279</v>
      </c>
      <c r="I1486" s="639"/>
      <c r="J1486" s="639"/>
      <c r="K1486" s="640">
        <f t="shared" si="47"/>
        <v>65174</v>
      </c>
      <c r="L1486" s="639">
        <v>7390</v>
      </c>
      <c r="M1486" s="639">
        <v>4212</v>
      </c>
      <c r="N1486" s="639">
        <v>97198</v>
      </c>
      <c r="O1486" s="1503">
        <f>1-N1487</f>
        <v>0.59875992800647282</v>
      </c>
    </row>
    <row r="1487" spans="1:15" ht="12" customHeight="1">
      <c r="A1487" s="1517"/>
      <c r="B1487" s="1502"/>
      <c r="C1487" s="635" t="s">
        <v>6219</v>
      </c>
      <c r="D1487" s="636">
        <f>D1486/(D1486+E1486+G1486+H1486+I1486+J1486+L1486+M1486+N1486)</f>
        <v>0.19330922540909165</v>
      </c>
      <c r="E1487" s="636">
        <f>E1486/(D1486+E1486+G1486+H1486+I1486+J1486+L1486+M1486+N1486)</f>
        <v>8.8514060203761499E-2</v>
      </c>
      <c r="F1487" s="637">
        <f t="shared" si="46"/>
        <v>0.28182328561285314</v>
      </c>
      <c r="G1487" s="636">
        <f>G1486/(D1486+E1486+G1486+H1486+I1486+J1486+L1486+M1486+N1486)</f>
        <v>0.25137877511930118</v>
      </c>
      <c r="H1487" s="636">
        <f>H1486/(D1486+E1486+G1486+H1486+I1486+J1486+L1486+M1486+N1486)</f>
        <v>1.7664008190089332E-2</v>
      </c>
      <c r="I1487" s="636">
        <f>I1486/(D1486+E1486+G1486+H1486+I1486+J1486+L1486+M1486+N1486)</f>
        <v>0</v>
      </c>
      <c r="J1487" s="636">
        <f>J1486/(D1486+E1486+G1486+H1486+I1486+J1486+L1486+M1486+N1486)</f>
        <v>0</v>
      </c>
      <c r="K1487" s="637">
        <f t="shared" si="47"/>
        <v>0.26904278330939052</v>
      </c>
      <c r="L1487" s="636">
        <f>L1486/(D1486+E1486+G1486+H1486+I1486+J1486+L1486+M1486+N1486)</f>
        <v>3.0506431531843927E-2</v>
      </c>
      <c r="M1487" s="636">
        <f>M1486/(D1486+E1486+G1486+H1486+I1486+J1486+L1486+M1486+N1486)</f>
        <v>1.7387427552385197E-2</v>
      </c>
      <c r="N1487" s="636">
        <f>N1486/(D1486+E1486+G1486+H1486+I1486+J1486+L1486+M1486+N1486)</f>
        <v>0.40124007199352718</v>
      </c>
      <c r="O1487" s="1503"/>
    </row>
    <row r="1488" spans="1:15" ht="12" customHeight="1">
      <c r="A1488" s="1517"/>
      <c r="B1488" s="1502" t="s">
        <v>14940</v>
      </c>
      <c r="C1488" s="638" t="s">
        <v>6218</v>
      </c>
      <c r="D1488" s="639">
        <v>56589</v>
      </c>
      <c r="E1488" s="639">
        <v>27006</v>
      </c>
      <c r="F1488" s="640">
        <f t="shared" si="46"/>
        <v>83595</v>
      </c>
      <c r="G1488" s="639">
        <v>54765</v>
      </c>
      <c r="H1488" s="639">
        <v>6047</v>
      </c>
      <c r="I1488" s="639"/>
      <c r="J1488" s="639"/>
      <c r="K1488" s="640">
        <f t="shared" si="47"/>
        <v>60812</v>
      </c>
      <c r="L1488" s="639">
        <v>9103</v>
      </c>
      <c r="M1488" s="639"/>
      <c r="N1488" s="639">
        <v>87867</v>
      </c>
      <c r="O1488" s="1503">
        <f>1-N1489</f>
        <v>0.63597608719969179</v>
      </c>
    </row>
    <row r="1489" spans="1:15" ht="12" customHeight="1" thickBot="1">
      <c r="A1489" s="1519"/>
      <c r="B1489" s="1514"/>
      <c r="C1489" s="641" t="s">
        <v>6219</v>
      </c>
      <c r="D1489" s="642">
        <f>D1488/(D1488+E1488+G1488+H1488+I1488+J1488+L1488+M1488+N1488)</f>
        <v>0.23444238680570229</v>
      </c>
      <c r="E1489" s="642">
        <f>E1488/(D1488+E1488+G1488+H1488+I1488+J1488+L1488+M1488+N1488)</f>
        <v>0.11188307088082129</v>
      </c>
      <c r="F1489" s="643">
        <f t="shared" si="46"/>
        <v>0.34632545768652356</v>
      </c>
      <c r="G1489" s="642">
        <f>G1488/(D1488+E1488+G1488+H1488+I1488+J1488+L1488+M1488+N1488)</f>
        <v>0.22688574304925491</v>
      </c>
      <c r="H1489" s="642">
        <f>H1488/(D1488+E1488+G1488+H1488+I1488+J1488+L1488+M1488+N1488)</f>
        <v>2.5052096927213448E-2</v>
      </c>
      <c r="I1489" s="642">
        <f>I1488/(D1488+E1488+G1488+H1488+I1488+J1488+L1488+M1488+N1488)</f>
        <v>0</v>
      </c>
      <c r="J1489" s="642">
        <f>J1488/(D1488+E1488+G1488+H1488+I1488+J1488+L1488+M1488+N1488)</f>
        <v>0</v>
      </c>
      <c r="K1489" s="643">
        <f t="shared" si="47"/>
        <v>0.25193783997646835</v>
      </c>
      <c r="L1489" s="642">
        <f>L1488/(D1488+E1488+G1488+H1488+I1488+J1488+L1488+M1488+N1488)</f>
        <v>3.7712789536699855E-2</v>
      </c>
      <c r="M1489" s="642">
        <f>M1488/(D1488+E1488+G1488+H1488+I1488+J1488+L1488+M1488+N1488)</f>
        <v>0</v>
      </c>
      <c r="N1489" s="642">
        <f>N1488/(D1488+E1488+G1488+H1488+I1488+J1488+L1488+M1488+N1488)</f>
        <v>0.36402391280030821</v>
      </c>
      <c r="O1489" s="1515"/>
    </row>
    <row r="1490" spans="1:15" ht="12" customHeight="1">
      <c r="A1490" s="1516" t="s">
        <v>15124</v>
      </c>
      <c r="B1490" s="1509" t="s">
        <v>14937</v>
      </c>
      <c r="C1490" s="647" t="s">
        <v>6218</v>
      </c>
      <c r="D1490" s="648">
        <v>57743</v>
      </c>
      <c r="E1490" s="648">
        <v>21778</v>
      </c>
      <c r="F1490" s="649">
        <f t="shared" si="46"/>
        <v>79521</v>
      </c>
      <c r="G1490" s="648">
        <v>69932</v>
      </c>
      <c r="H1490" s="648">
        <v>4085</v>
      </c>
      <c r="I1490" s="648">
        <v>4194</v>
      </c>
      <c r="J1490" s="648">
        <v>3588</v>
      </c>
      <c r="K1490" s="649">
        <f t="shared" si="47"/>
        <v>81799</v>
      </c>
      <c r="L1490" s="648">
        <v>9805</v>
      </c>
      <c r="M1490" s="648">
        <v>2606</v>
      </c>
      <c r="N1490" s="648">
        <v>120224</v>
      </c>
      <c r="O1490" s="1510">
        <f>1-N1491</f>
        <v>0.59101222976305889</v>
      </c>
    </row>
    <row r="1491" spans="1:15" ht="12" customHeight="1">
      <c r="A1491" s="1517"/>
      <c r="B1491" s="1502"/>
      <c r="C1491" s="635" t="s">
        <v>6219</v>
      </c>
      <c r="D1491" s="636">
        <f>D1490/(D1490+E1490+G1490+H1490+I1490+J1490+L1490+M1490+N1490)</f>
        <v>0.19643482846013846</v>
      </c>
      <c r="E1491" s="636">
        <f>E1490/(D1490+E1490+G1490+H1490+I1490+J1490+L1490+M1490+N1490)</f>
        <v>7.4086169651817455E-2</v>
      </c>
      <c r="F1491" s="637">
        <f t="shared" si="46"/>
        <v>0.2705209981119559</v>
      </c>
      <c r="G1491" s="636">
        <f>G1490/(D1490+E1490+G1490+H1490+I1490+J1490+L1490+M1490+N1490)</f>
        <v>0.23790035889847086</v>
      </c>
      <c r="H1491" s="636">
        <f>H1490/(D1490+E1490+G1490+H1490+I1490+J1490+L1490+M1490+N1490)</f>
        <v>1.3896684866731302E-2</v>
      </c>
      <c r="I1491" s="636">
        <f>I1490/(D1490+E1490+G1490+H1490+I1490+J1490+L1490+M1490+N1490)</f>
        <v>1.4267489921926826E-2</v>
      </c>
      <c r="J1491" s="636">
        <f>J1490/(D1490+E1490+G1490+H1490+I1490+J1490+L1490+M1490+N1490)</f>
        <v>1.2205949890289331E-2</v>
      </c>
      <c r="K1491" s="637">
        <f t="shared" si="47"/>
        <v>0.27827048357741835</v>
      </c>
      <c r="L1491" s="636">
        <f>L1490/(D1490+E1490+G1490+H1490+I1490+J1490+L1490+M1490+N1490)</f>
        <v>3.3355445561395448E-2</v>
      </c>
      <c r="M1491" s="636">
        <f>M1490/(D1490+E1490+G1490+H1490+I1490+J1490+L1490+M1490+N1490)</f>
        <v>8.8653025122892963E-3</v>
      </c>
      <c r="N1491" s="636">
        <f>N1490/(D1490+E1490+G1490+H1490+I1490+J1490+L1490+M1490+N1490)</f>
        <v>0.40898777023694105</v>
      </c>
      <c r="O1491" s="1503"/>
    </row>
    <row r="1492" spans="1:15" ht="12" customHeight="1">
      <c r="A1492" s="1517"/>
      <c r="B1492" s="1502" t="s">
        <v>14938</v>
      </c>
      <c r="C1492" s="638" t="s">
        <v>6218</v>
      </c>
      <c r="D1492" s="639">
        <v>82593</v>
      </c>
      <c r="E1492" s="639">
        <v>26595</v>
      </c>
      <c r="F1492" s="640">
        <f t="shared" si="46"/>
        <v>109188</v>
      </c>
      <c r="G1492" s="639">
        <v>74522</v>
      </c>
      <c r="H1492" s="639">
        <v>6937</v>
      </c>
      <c r="I1492" s="639"/>
      <c r="J1492" s="639">
        <v>7094</v>
      </c>
      <c r="K1492" s="640">
        <f t="shared" si="47"/>
        <v>88553</v>
      </c>
      <c r="L1492" s="639">
        <v>10073</v>
      </c>
      <c r="M1492" s="639"/>
      <c r="N1492" s="639">
        <v>89725</v>
      </c>
      <c r="O1492" s="1503">
        <f>1-N1493</f>
        <v>0.6984428932005553</v>
      </c>
    </row>
    <row r="1493" spans="1:15" ht="12" customHeight="1">
      <c r="A1493" s="1517"/>
      <c r="B1493" s="1502"/>
      <c r="C1493" s="635" t="s">
        <v>6219</v>
      </c>
      <c r="D1493" s="636">
        <f>D1492/(D1492+E1492+G1492+H1492+I1492+J1492+L1492+M1492+N1492)</f>
        <v>0.27758713983713057</v>
      </c>
      <c r="E1493" s="636">
        <f>E1492/(D1492+E1492+G1492+H1492+I1492+J1492+L1492+M1492+N1492)</f>
        <v>8.9383240516369283E-2</v>
      </c>
      <c r="F1493" s="637">
        <f t="shared" si="46"/>
        <v>0.36697038035349983</v>
      </c>
      <c r="G1493" s="636">
        <f>G1492/(D1492+E1492+G1492+H1492+I1492+J1492+L1492+M1492+N1492)</f>
        <v>0.25046128406696266</v>
      </c>
      <c r="H1493" s="636">
        <f>H1492/(D1492+E1492+G1492+H1492+I1492+J1492+L1492+M1492+N1492)</f>
        <v>2.3314590692312603E-2</v>
      </c>
      <c r="I1493" s="636">
        <f>I1492/(D1492+E1492+G1492+H1492+I1492+J1492+L1492+M1492+N1492)</f>
        <v>0</v>
      </c>
      <c r="J1493" s="636">
        <f>J1492/(D1492+E1492+G1492+H1492+I1492+J1492+L1492+M1492+N1492)</f>
        <v>2.3842252612262593E-2</v>
      </c>
      <c r="K1493" s="637">
        <f t="shared" si="47"/>
        <v>0.29761812737153787</v>
      </c>
      <c r="L1493" s="636">
        <f>L1492/(D1492+E1492+G1492+H1492+I1492+J1492+L1492+M1492+N1492)</f>
        <v>3.3854385475517494E-2</v>
      </c>
      <c r="M1493" s="636">
        <f>M1492/(D1492+E1492+G1492+H1492+I1492+J1492+L1492+M1492+N1492)</f>
        <v>0</v>
      </c>
      <c r="N1493" s="636">
        <f>N1492/(D1492+E1492+G1492+H1492+I1492+J1492+L1492+M1492+N1492)</f>
        <v>0.30155710679944475</v>
      </c>
      <c r="O1493" s="1503"/>
    </row>
    <row r="1494" spans="1:15" ht="12" customHeight="1">
      <c r="A1494" s="1517"/>
      <c r="B1494" s="1502" t="s">
        <v>14939</v>
      </c>
      <c r="C1494" s="638" t="s">
        <v>6218</v>
      </c>
      <c r="D1494" s="639">
        <v>59514</v>
      </c>
      <c r="E1494" s="639">
        <v>26581</v>
      </c>
      <c r="F1494" s="640">
        <f t="shared" si="46"/>
        <v>86095</v>
      </c>
      <c r="G1494" s="639">
        <v>71101</v>
      </c>
      <c r="H1494" s="639">
        <v>5173</v>
      </c>
      <c r="I1494" s="639"/>
      <c r="J1494" s="639"/>
      <c r="K1494" s="640">
        <f t="shared" si="47"/>
        <v>76274</v>
      </c>
      <c r="L1494" s="639">
        <v>8688</v>
      </c>
      <c r="M1494" s="639">
        <v>4231</v>
      </c>
      <c r="N1494" s="639">
        <v>123613</v>
      </c>
      <c r="O1494" s="1503">
        <f>1-N1495</f>
        <v>0.58644166463143321</v>
      </c>
    </row>
    <row r="1495" spans="1:15" ht="12" customHeight="1">
      <c r="A1495" s="1517"/>
      <c r="B1495" s="1502"/>
      <c r="C1495" s="635" t="s">
        <v>6219</v>
      </c>
      <c r="D1495" s="636">
        <f>D1494/(D1494+E1494+G1494+H1494+I1494+J1494+L1494+M1494+N1494)</f>
        <v>0.19910940411708225</v>
      </c>
      <c r="E1495" s="636">
        <f>E1494/(D1494+E1494+G1494+H1494+I1494+J1494+L1494+M1494+N1494)</f>
        <v>8.8929110307426201E-2</v>
      </c>
      <c r="F1495" s="637">
        <f t="shared" si="46"/>
        <v>0.28803851442450845</v>
      </c>
      <c r="G1495" s="636">
        <f>G1494/(D1494+E1494+G1494+H1494+I1494+J1494+L1494+M1494+N1494)</f>
        <v>0.23787474782620333</v>
      </c>
      <c r="H1495" s="636">
        <f>H1494/(D1494+E1494+G1494+H1494+I1494+J1494+L1494+M1494+N1494)</f>
        <v>1.7306733667669227E-2</v>
      </c>
      <c r="I1495" s="636">
        <f>I1494/(D1494+E1494+G1494+H1494+I1494+J1494+L1494+M1494+N1494)</f>
        <v>0</v>
      </c>
      <c r="J1495" s="636">
        <f>J1494/(D1494+E1494+G1494+H1494+I1494+J1494+L1494+M1494+N1494)</f>
        <v>0</v>
      </c>
      <c r="K1495" s="637">
        <f t="shared" si="47"/>
        <v>0.25518148149387254</v>
      </c>
      <c r="L1495" s="636">
        <f>L1494/(D1494+E1494+G1494+H1494+I1494+J1494+L1494+M1494+N1494)</f>
        <v>2.9066480205820658E-2</v>
      </c>
      <c r="M1495" s="636">
        <f>M1494/(D1494+E1494+G1494+H1494+I1494+J1494+L1494+M1494+N1494)</f>
        <v>1.4155188507231492E-2</v>
      </c>
      <c r="N1495" s="636">
        <f>N1494/(D1494+E1494+G1494+H1494+I1494+J1494+L1494+M1494+N1494)</f>
        <v>0.41355833536856684</v>
      </c>
      <c r="O1495" s="1503"/>
    </row>
    <row r="1496" spans="1:15" ht="12" customHeight="1">
      <c r="A1496" s="1517"/>
      <c r="B1496" s="1502" t="s">
        <v>14940</v>
      </c>
      <c r="C1496" s="638" t="s">
        <v>6218</v>
      </c>
      <c r="D1496" s="639">
        <v>75345</v>
      </c>
      <c r="E1496" s="639">
        <v>29861</v>
      </c>
      <c r="F1496" s="640">
        <f t="shared" si="46"/>
        <v>105206</v>
      </c>
      <c r="G1496" s="639">
        <v>67887</v>
      </c>
      <c r="H1496" s="639">
        <v>7139</v>
      </c>
      <c r="I1496" s="639"/>
      <c r="J1496" s="639"/>
      <c r="K1496" s="640">
        <f t="shared" si="47"/>
        <v>75026</v>
      </c>
      <c r="L1496" s="639">
        <v>10179</v>
      </c>
      <c r="M1496" s="639"/>
      <c r="N1496" s="639">
        <v>109133</v>
      </c>
      <c r="O1496" s="1503">
        <f>1-N1497</f>
        <v>0.6356695510509307</v>
      </c>
    </row>
    <row r="1497" spans="1:15" ht="12" customHeight="1" thickBot="1">
      <c r="A1497" s="1518"/>
      <c r="B1497" s="1504"/>
      <c r="C1497" s="644" t="s">
        <v>6219</v>
      </c>
      <c r="D1497" s="645">
        <f>D1496/(D1496+E1496+G1496+H1496+I1496+J1496+L1496+M1496+N1496)</f>
        <v>0.25153232914029322</v>
      </c>
      <c r="E1497" s="645">
        <f>E1496/(D1496+E1496+G1496+H1496+I1496+J1496+L1496+M1496+N1496)</f>
        <v>9.9688192719600457E-2</v>
      </c>
      <c r="F1497" s="646">
        <f t="shared" si="46"/>
        <v>0.35122052185989366</v>
      </c>
      <c r="G1497" s="645">
        <f>G1496/(D1496+E1496+G1496+H1496+I1496+J1496+L1496+M1496+N1496)</f>
        <v>0.22663448441631279</v>
      </c>
      <c r="H1497" s="645">
        <f>H1496/(D1496+E1496+G1496+H1496+I1496+J1496+L1496+M1496+N1496)</f>
        <v>2.3832892663515209E-2</v>
      </c>
      <c r="I1497" s="645">
        <f>I1496/(D1496+E1496+G1496+H1496+I1496+J1496+L1496+M1496+N1496)</f>
        <v>0</v>
      </c>
      <c r="J1497" s="645">
        <f>J1496/(D1496+E1496+G1496+H1496+I1496+J1496+L1496+M1496+N1496)</f>
        <v>0</v>
      </c>
      <c r="K1497" s="646">
        <f t="shared" si="47"/>
        <v>0.25046737707982802</v>
      </c>
      <c r="L1497" s="645">
        <f>L1496/(D1496+E1496+G1496+H1496+I1496+J1496+L1496+M1496+N1496)</f>
        <v>3.3981652111209036E-2</v>
      </c>
      <c r="M1497" s="645">
        <f>M1496/(D1496+E1496+G1496+H1496+I1496+J1496+L1496+M1496+N1496)</f>
        <v>0</v>
      </c>
      <c r="N1497" s="645">
        <f>N1496/(D1496+E1496+G1496+H1496+I1496+J1496+L1496+M1496+N1496)</f>
        <v>0.36433044894906924</v>
      </c>
      <c r="O1497" s="1505"/>
    </row>
    <row r="1498" spans="1:15" ht="12" customHeight="1" thickTop="1">
      <c r="A1498" s="1511" t="s">
        <v>15125</v>
      </c>
      <c r="B1498" s="1509" t="s">
        <v>14937</v>
      </c>
      <c r="C1498" s="647" t="s">
        <v>6218</v>
      </c>
      <c r="D1498" s="648">
        <f>D1234+D1242+D1250+D1258+D1266+D1274+D1282+D1290+D1298+D1306+D1314+D1322+D1330+D1338+D1346+D1354+D1362+D1370+D1378+D1386+D1394+D1402+D1410+D1418+D1426+D1434+D1442+D1450+D1458+D1466+D1474+D1482+D1490</f>
        <v>1880506</v>
      </c>
      <c r="E1498" s="648">
        <f>E1234+E1242+E1250+E1258+E1266+E1274+E1282+E1290+E1298+E1306+E1314+E1322+E1330+E1338+E1346+E1354+E1362+E1370+E1378+E1386+E1394+E1402+E1410+E1418+E1426+E1434+E1442+E1450+E1458+E1466+E1474+E1482+E1490</f>
        <v>864797</v>
      </c>
      <c r="F1498" s="649">
        <f t="shared" si="46"/>
        <v>2745303</v>
      </c>
      <c r="G1498" s="648">
        <f>G1234+G1242+G1250+G1258+G1266+G1274+G1282+G1290+G1298+G1306+G1314+G1322+G1330+G1338+G1346+G1354+G1362+G1370+G1378+G1386+G1394+G1402+G1410+G1418+G1426+G1434+G1442+G1450+G1458+G1466+G1474+G1482+G1490</f>
        <v>2988748</v>
      </c>
      <c r="H1498" s="648">
        <f>H1234+H1242+H1250+H1258+H1266+H1274+H1282+H1290+H1298+H1306+H1314+H1322+H1330+H1338+H1346+H1354+H1362+H1370+H1378+H1386+H1394+H1402+H1410+H1418+H1426+H1434+H1442+H1450+H1458+H1466+H1474+H1482+H1490</f>
        <v>233599</v>
      </c>
      <c r="I1498" s="648">
        <f>I1234+I1242+I1250+I1258+I1266+I1274+I1282+I1290+I1298+I1306+I1314+I1322+I1330+I1338+I1346+I1354+I1362+I1370+I1378+I1386+I1394+I1402+I1410+I1418+I1426+I1434+I1442+I1450+I1458+I1466+I1474+I1482+I1490</f>
        <v>127217</v>
      </c>
      <c r="J1498" s="648">
        <f>J1234+J1242+J1250+J1258+J1266+J1274+J1282+J1290+J1298+J1306+J1314+J1322+J1330+J1338+J1346+J1354+J1362+J1370+J1378+J1386+J1394+J1402+J1410+J1418+J1426+J1434+J1442+J1450+J1458+J1466+J1474+J1482+J1490</f>
        <v>213982</v>
      </c>
      <c r="K1498" s="649">
        <f t="shared" si="47"/>
        <v>3563546</v>
      </c>
      <c r="L1498" s="648">
        <f>L1234+L1242+L1250+L1258+L1266+L1274+L1282+L1290+L1298+L1306+L1314+L1322+L1330+L1338+L1346+L1354+L1362+L1370+L1378+L1386+L1394+L1402+L1410+L1418+L1426+L1434+L1442+L1450+L1458+L1466+L1474+L1482+L1490</f>
        <v>458546</v>
      </c>
      <c r="M1498" s="648">
        <f>M1234+M1242+M1250+M1258+M1266+M1274+M1282+M1290+M1298+M1306+M1314+M1322+M1330+M1338+M1346+M1354+M1362+M1370+M1378+M1386+M1394+M1402+M1410+M1418+M1426+M1434+M1442+M1450+M1458+M1466+M1474+M1482+M1490</f>
        <v>156477</v>
      </c>
      <c r="N1498" s="648">
        <f>N1234+N1242+N1250+N1258+N1266+N1274+N1282+N1290+N1298+N1306+N1314+N1322+N1330+N1338+N1346+N1354+N1362+N1370+N1378+N1386+N1394+N1402+N1410+N1418+N1426+N1434+N1442+N1450+N1458+N1466+N1474+N1482+N1490</f>
        <v>5083572</v>
      </c>
      <c r="O1498" s="1510">
        <f>1-N1499</f>
        <v>0.57663162951249247</v>
      </c>
    </row>
    <row r="1499" spans="1:15" ht="12" customHeight="1">
      <c r="A1499" s="1512"/>
      <c r="B1499" s="1502"/>
      <c r="C1499" s="635" t="s">
        <v>6219</v>
      </c>
      <c r="D1499" s="650">
        <f>D1498/(D1498+E1498+G1498+H1498+I1498+J1498+L1498+M1498+N1498)</f>
        <v>0.15661168188666963</v>
      </c>
      <c r="E1499" s="650">
        <f>E1498/(D1498+E1498+G1498+H1498+I1498+J1498+L1498+M1498+N1498)</f>
        <v>7.2021739181127975E-2</v>
      </c>
      <c r="F1499" s="651">
        <f t="shared" si="46"/>
        <v>0.2286334210677976</v>
      </c>
      <c r="G1499" s="650">
        <f>G1498/(D1498+E1498+G1498+H1498+I1498+J1498+L1498+M1498+N1498)</f>
        <v>0.24890792744900581</v>
      </c>
      <c r="H1499" s="650">
        <f>H1498/(D1498+E1498+G1498+H1498+I1498+J1498+L1498+M1498+N1498)</f>
        <v>1.9454515049164501E-2</v>
      </c>
      <c r="I1499" s="650">
        <f>I1498/(D1498+E1498+G1498+H1498+I1498+J1498+L1498+M1498+N1498)</f>
        <v>1.0594844331566319E-2</v>
      </c>
      <c r="J1499" s="650">
        <f>J1498/(D1498+E1498+G1498+H1498+I1498+J1498+L1498+M1498+N1498)</f>
        <v>1.7820778510397383E-2</v>
      </c>
      <c r="K1499" s="651">
        <f t="shared" si="47"/>
        <v>0.29677806534013401</v>
      </c>
      <c r="L1499" s="650">
        <f>L1498/(D1498+E1498+G1498+H1498+I1498+J1498+L1498+M1498+N1498)</f>
        <v>3.8188477081383849E-2</v>
      </c>
      <c r="M1499" s="650">
        <f>M1498/(D1498+E1498+G1498+H1498+I1498+J1498+L1498+M1498+N1498)</f>
        <v>1.3031666023176956E-2</v>
      </c>
      <c r="N1499" s="650">
        <f>N1498/(D1498+E1498+G1498+H1498+I1498+J1498+L1498+M1498+N1498)</f>
        <v>0.42336837048750758</v>
      </c>
      <c r="O1499" s="1503"/>
    </row>
    <row r="1500" spans="1:15" ht="12" customHeight="1">
      <c r="A1500" s="1512"/>
      <c r="B1500" s="1502" t="s">
        <v>14938</v>
      </c>
      <c r="C1500" s="638" t="s">
        <v>6218</v>
      </c>
      <c r="D1500" s="648">
        <f>D1236+D1244+D1252+D1260+D1268+D1276+D1284+D1292+D1300+D1308+D1316+D1324+D1332+D1340+D1348+D1356+D1364+D1372+D1380+D1388+D1396+D1404+D1412+D1420+D1428+D1436+D1444+D1452+D1460+D1468+D1476+D1484+D1492</f>
        <v>3066018</v>
      </c>
      <c r="E1500" s="648">
        <f>E1236+E1244+E1252+E1260+E1268+E1276+E1284+E1292+E1300+E1308+E1316+E1324+E1332+E1340+E1348+E1356+E1364+E1372+E1380+E1388+E1396+E1404+E1412+E1420+E1428+E1436+E1444+E1452+E1460+E1468+E1476+E1484+E1492</f>
        <v>987290</v>
      </c>
      <c r="F1500" s="649">
        <f t="shared" si="46"/>
        <v>4053308</v>
      </c>
      <c r="G1500" s="648">
        <f>G1236+G1244+G1252+G1260+G1268+G1276+G1284+G1292+G1300+G1308+G1316+G1324+G1332+G1340+G1348+G1356+G1364+G1372+G1380+G1388+G1396+G1404+G1412+G1420+G1428+G1436+G1444+G1452+G1460+G1468+G1476+G1484+G1492</f>
        <v>2766443</v>
      </c>
      <c r="H1500" s="648">
        <f>H1236+H1244+H1252+H1260+H1268+H1276+H1284+H1292+H1300+H1308+H1316+H1324+H1332+H1340+H1348+H1356+H1364+H1372+H1380+H1388+H1396+H1404+H1412+H1420+H1428+H1436+H1444+H1452+H1460+H1468+H1476+H1484+H1492</f>
        <v>300574</v>
      </c>
      <c r="I1500" s="648">
        <f>I1236+I1244+I1252+I1260+I1268+I1276+I1284+I1292+I1300+I1308+I1316+I1324+I1332+I1340+I1348+I1356+I1364+I1372+I1380+I1388+I1396+I1404+I1412+I1420+I1428+I1436+I1444+I1452+I1460+I1468+I1476+I1484+I1492</f>
        <v>0</v>
      </c>
      <c r="J1500" s="648">
        <f>J1236+J1244+J1252+J1260+J1268+J1276+J1284+J1292+J1300+J1308+J1316+J1324+J1332+J1340+J1348+J1356+J1364+J1372+J1380+J1388+J1396+J1404+J1412+J1420+J1428+J1436+J1444+J1452+J1460+J1468+J1476+J1484+J1492</f>
        <v>327768</v>
      </c>
      <c r="K1500" s="649">
        <f t="shared" si="47"/>
        <v>3394785</v>
      </c>
      <c r="L1500" s="648">
        <f>L1236+L1244+L1252+L1260+L1268+L1276+L1284+L1292+L1300+L1308+L1316+L1324+L1332+L1340+L1348+L1356+L1364+L1372+L1380+L1388+L1396+L1404+L1412+L1420+L1428+L1436+L1444+L1452+L1460+L1468+L1476+L1484+L1492</f>
        <v>502501</v>
      </c>
      <c r="M1500" s="648">
        <f>M1236+M1244+M1252+M1260+M1268+M1276+M1284+M1292+M1300+M1308+M1316+M1324+M1332+M1340+M1348+M1356+M1364+M1372+M1380+M1388+M1396+M1404+M1412+M1420+M1428+M1436+M1444+M1452+M1460+M1468+M1476+M1484+M1492</f>
        <v>0</v>
      </c>
      <c r="N1500" s="648">
        <f>N1236+N1244+N1252+N1260+N1268+N1276+N1284+N1292+N1300+N1308+N1316+N1324+N1332+N1340+N1348+N1356+N1364+N1372+N1380+N1388+N1396+N1404+N1412+N1420+N1428+N1436+N1444+N1452+N1460+N1468+N1476+N1484+N1492</f>
        <v>3946217</v>
      </c>
      <c r="O1500" s="1503">
        <f>1-N1501</f>
        <v>0.66829623501625779</v>
      </c>
    </row>
    <row r="1501" spans="1:15" ht="12" customHeight="1">
      <c r="A1501" s="1512"/>
      <c r="B1501" s="1502"/>
      <c r="C1501" s="635" t="s">
        <v>6219</v>
      </c>
      <c r="D1501" s="650">
        <f>D1500/(D1500+E1500+G1500+H1500+I1500+J1500+L1500+M1500+N1500)</f>
        <v>0.25771763542347609</v>
      </c>
      <c r="E1501" s="650">
        <f>E1500/(D1500+E1500+G1500+H1500+I1500+J1500+L1500+M1500+N1500)</f>
        <v>8.2987785550262164E-2</v>
      </c>
      <c r="F1501" s="651">
        <f t="shared" si="46"/>
        <v>0.34070542097373824</v>
      </c>
      <c r="G1501" s="650">
        <f>G1500/(D1500+E1500+G1500+H1500+I1500+J1500+L1500+M1500+N1500)</f>
        <v>0.23253651755920138</v>
      </c>
      <c r="H1501" s="650">
        <f>H1500/(D1500+E1500+G1500+H1500+I1500+J1500+L1500+M1500+N1500)</f>
        <v>2.5265089947213586E-2</v>
      </c>
      <c r="I1501" s="650">
        <f>I1500/(D1500+E1500+G1500+H1500+I1500+J1500+L1500+M1500+N1500)</f>
        <v>0</v>
      </c>
      <c r="J1501" s="650">
        <f>J1500/(D1500+E1500+G1500+H1500+I1500+J1500+L1500+M1500+N1500)</f>
        <v>2.7550912593299164E-2</v>
      </c>
      <c r="K1501" s="651">
        <f t="shared" si="47"/>
        <v>0.28535252009971412</v>
      </c>
      <c r="L1501" s="650">
        <f>L1500/(D1500+E1500+G1500+H1500+I1500+J1500+L1500+M1500+N1500)</f>
        <v>4.2238293942805344E-2</v>
      </c>
      <c r="M1501" s="650">
        <f>M1500/(D1500+E1500+G1500+H1500+I1500+J1500+L1500+M1500+N1500)</f>
        <v>0</v>
      </c>
      <c r="N1501" s="650">
        <f>N1500/(D1500+E1500+G1500+H1500+I1500+J1500+L1500+M1500+N1500)</f>
        <v>0.33170376498374227</v>
      </c>
      <c r="O1501" s="1503"/>
    </row>
    <row r="1502" spans="1:15" ht="12" customHeight="1">
      <c r="A1502" s="1512"/>
      <c r="B1502" s="1502" t="s">
        <v>14939</v>
      </c>
      <c r="C1502" s="638" t="s">
        <v>6218</v>
      </c>
      <c r="D1502" s="648">
        <f>D1238+D1246+D1254+D1262+D1270+D1278+D1286+D1294+D1302+D1310+D1318+D1326+D1334+D1342+D1350+D1358+D1366+D1374+D1382+D1390+D1398+D1406+D1414+D1422+D1430+D1438+D1446+D1454+D1462+D1470+D1478+D1486+D1494</f>
        <v>1856010</v>
      </c>
      <c r="E1502" s="648">
        <f>E1238+E1246+E1254+E1262+E1270+E1278+E1286+E1294+E1302+E1310+E1318+E1326+E1334+E1342+E1350+E1358+E1366+E1374+E1382+E1390+E1398+E1406+E1414+E1422+E1430+E1438+E1446+E1454+E1462+E1470+E1478+E1486+E1494</f>
        <v>950071</v>
      </c>
      <c r="F1502" s="649">
        <f t="shared" si="46"/>
        <v>2806081</v>
      </c>
      <c r="G1502" s="648">
        <f>G1238+G1246+G1254+G1262+G1270+G1278+G1286+G1294+G1302+G1310+G1318+G1326+G1334+G1342+G1350+G1358+G1366+G1374+G1382+G1390+G1398+G1406+G1414+G1422+G1430+G1438+G1446+G1454+G1462+G1470+G1478+G1486+G1494</f>
        <v>2735001</v>
      </c>
      <c r="H1502" s="648">
        <f>H1238+H1246+H1254+H1262+H1270+H1278+H1286+H1294+H1302+H1310+H1318+H1326+H1334+H1342+H1350+H1358+H1366+H1374+H1382+H1390+H1398+H1406+H1414+H1422+H1430+H1438+H1446+H1454+H1462+H1470+H1478+H1486+H1494</f>
        <v>264880</v>
      </c>
      <c r="I1502" s="648">
        <f>I1238+I1246+I1254+I1262+I1270+I1278+I1286+I1294+I1302+I1310+I1318+I1326+I1334+I1342+I1350+I1358+I1366+I1374+I1382+I1390+I1398+I1406+I1414+I1422+I1430+I1438+I1446+I1454+I1462+I1470+I1478+I1486+I1494</f>
        <v>0</v>
      </c>
      <c r="J1502" s="648">
        <f>J1238+J1246+J1254+J1262+J1270+J1278+J1286+J1294+J1302+J1310+J1318+J1326+J1334+J1342+J1350+J1358+J1366+J1374+J1382+J1390+J1398+J1406+J1414+J1422+J1430+J1438+J1446+J1454+J1462+J1470+J1478+J1486+J1494</f>
        <v>0</v>
      </c>
      <c r="K1502" s="649">
        <f t="shared" si="47"/>
        <v>2999881</v>
      </c>
      <c r="L1502" s="648">
        <f>L1238+L1246+L1254+L1262+L1270+L1278+L1286+L1294+L1302+L1310+L1318+L1326+L1334+L1342+L1350+L1358+L1366+L1374+L1382+L1390+L1398+L1406+L1414+L1422+L1430+L1438+L1446+L1454+L1462+L1470+L1478+L1486+L1494</f>
        <v>454715</v>
      </c>
      <c r="M1502" s="648">
        <f>M1238+M1246+M1254+M1262+M1270+M1278+M1286+M1294+M1302+M1310+M1318+M1326+M1334+M1342+M1350+M1358+M1366+M1374+M1382+M1390+M1398+M1406+M1414+M1422+M1430+M1438+M1446+M1454+M1462+M1470+M1478+M1486+M1494</f>
        <v>245015</v>
      </c>
      <c r="N1502" s="648">
        <f>N1238+N1246+N1254+N1262+N1270+N1278+N1286+N1294+N1302+N1310+N1318+N1326+N1334+N1342+N1350+N1358+N1366+N1374+N1382+N1390+N1398+N1406+N1414+N1422+N1430+N1438+N1446+N1454+N1462+N1470+N1478+N1486+N1494</f>
        <v>5302801</v>
      </c>
      <c r="O1502" s="1503">
        <f>1-N1503</f>
        <v>0.55093329860126938</v>
      </c>
    </row>
    <row r="1503" spans="1:15" ht="12" customHeight="1">
      <c r="A1503" s="1512"/>
      <c r="B1503" s="1502"/>
      <c r="C1503" s="635" t="s">
        <v>6219</v>
      </c>
      <c r="D1503" s="650">
        <f>D1502/(D1502+E1502+G1502+H1502+I1502+J1502+L1502+M1502+N1502)</f>
        <v>0.15717585639420711</v>
      </c>
      <c r="E1503" s="650">
        <f>E1502/(D1502+E1502+G1502+H1502+I1502+J1502+L1502+M1502+N1502)</f>
        <v>8.0456583240554061E-2</v>
      </c>
      <c r="F1503" s="651">
        <f t="shared" si="46"/>
        <v>0.23763243963476116</v>
      </c>
      <c r="G1503" s="650">
        <f>G1502/(D1502+E1502+G1502+H1502+I1502+J1502+L1502+M1502+N1502)</f>
        <v>0.23161304325623938</v>
      </c>
      <c r="H1503" s="650">
        <f>H1502/(D1502+E1502+G1502+H1502+I1502+J1502+L1502+M1502+N1502)</f>
        <v>2.2431312784789728E-2</v>
      </c>
      <c r="I1503" s="650">
        <f>I1502/(D1502+E1502+G1502+H1502+I1502+J1502+L1502+M1502+N1502)</f>
        <v>0</v>
      </c>
      <c r="J1503" s="650">
        <f>J1502/(D1502+E1502+G1502+H1502+I1502+J1502+L1502+M1502+N1502)</f>
        <v>0</v>
      </c>
      <c r="K1503" s="651">
        <f t="shared" si="47"/>
        <v>0.2540443560410291</v>
      </c>
      <c r="L1503" s="650">
        <f>L1502/(D1502+E1502+G1502+H1502+I1502+J1502+L1502+M1502+N1502)</f>
        <v>3.850745391473747E-2</v>
      </c>
      <c r="M1503" s="650">
        <f>M1502/(D1502+E1502+G1502+H1502+I1502+J1502+L1502+M1502+N1502)</f>
        <v>2.0749049010741677E-2</v>
      </c>
      <c r="N1503" s="650">
        <f>N1502/(D1502+E1502+G1502+H1502+I1502+J1502+L1502+M1502+N1502)</f>
        <v>0.44906670139873056</v>
      </c>
      <c r="O1503" s="1503"/>
    </row>
    <row r="1504" spans="1:15" ht="12" customHeight="1">
      <c r="A1504" s="1512"/>
      <c r="B1504" s="1502" t="s">
        <v>14940</v>
      </c>
      <c r="C1504" s="638" t="s">
        <v>6218</v>
      </c>
      <c r="D1504" s="648">
        <f>D1240+D1248+D1256+D1264+D1272+D1280+D1288+D1296+D1304+D1312+D1320+D1328+D1336+D1344+D1352+D1360+D1368+D1376+D1384+D1392+D1400+D1408+D1416+D1424+D1432+D1440+D1448+D1456+D1464+D1472+D1480+D1488+D1496</f>
        <v>2436791</v>
      </c>
      <c r="E1504" s="648">
        <f>E1240+E1248+E1256+E1264+E1272+E1280+E1288+E1296+E1304+E1312+E1320+E1328+E1336+E1344+E1352+E1360+E1368+E1376+E1384+E1392+E1400+E1408+E1416+E1424+E1432+E1440+E1448+E1456+E1464+E1472+E1480+E1488+E1496</f>
        <v>1002576</v>
      </c>
      <c r="F1504" s="649">
        <f t="shared" si="46"/>
        <v>3439367</v>
      </c>
      <c r="G1504" s="648">
        <f>G1240+G1248+G1256+G1264+G1272+G1280+G1288+G1296+G1304+G1312+G1320+G1328+G1336+G1344+G1352+G1360+G1368+G1376+G1384+G1392+G1400+G1408+G1416+G1424+G1432+G1440+G1448+G1456+G1464+G1472+G1480+G1488+G1496</f>
        <v>2872501</v>
      </c>
      <c r="H1504" s="648">
        <f>H1240+H1248+H1256+H1264+H1272+H1280+H1288+H1296+H1304+H1312+H1320+H1328+H1336+H1344+H1352+H1360+H1368+H1376+H1384+H1392+H1400+H1408+H1416+H1424+H1432+H1440+H1448+H1456+H1464+H1472+H1480+H1488+H1496</f>
        <v>259831</v>
      </c>
      <c r="I1504" s="648">
        <f>I1240+I1248+I1256+I1264+I1272+I1280+I1288+I1296+I1304+I1312+I1320+I1328+I1336+I1344+I1352+I1360+I1368+I1376+I1384+I1392+I1400+I1408+I1416+I1424+I1432+I1440+I1448+I1456+I1464+I1472+I1480+I1488+I1496</f>
        <v>0</v>
      </c>
      <c r="J1504" s="648">
        <f>J1240+J1248+J1256+J1264+J1272+J1280+J1288+J1296+J1304+J1312+J1320+J1328+J1336+J1344+J1352+J1360+J1368+J1376+J1384+J1392+J1400+J1408+J1416+J1424+J1432+J1440+J1448+J1456+J1464+J1472+J1480+J1488+J1496</f>
        <v>0</v>
      </c>
      <c r="K1504" s="649">
        <f t="shared" si="47"/>
        <v>3132332</v>
      </c>
      <c r="L1504" s="648">
        <f>L1240+L1248+L1256+L1264+L1272+L1280+L1288+L1296+L1304+L1312+L1320+L1328+L1336+L1344+L1352+L1360+L1368+L1376+L1384+L1392+L1400+L1408+L1416+L1424+L1432+L1440+L1448+L1456+L1464+L1472+L1480+L1488+L1496</f>
        <v>474454</v>
      </c>
      <c r="M1504" s="648">
        <f>M1240+M1248+M1256+M1264+M1272+M1280+M1288+M1296+M1304+M1312+M1320+M1328+M1336+M1344+M1352+M1360+M1368+M1376+M1384+M1392+M1400+M1408+M1416+M1424+M1432+M1440+M1448+M1456+M1464+M1472+M1480+M1488+M1496</f>
        <v>0</v>
      </c>
      <c r="N1504" s="648">
        <f>N1240+N1248+N1256+N1264+N1272+N1280+N1288+N1296+N1304+N1312+N1320+N1328+N1336+N1344+N1352+N1360+N1368+N1376+N1384+N1392+N1400+N1408+N1416+N1424+N1432+N1440+N1448+N1456+N1464+N1472+N1480+N1488+N1496</f>
        <v>4733482</v>
      </c>
      <c r="O1504" s="1503">
        <f>1-N1505</f>
        <v>0.59816394990167354</v>
      </c>
    </row>
    <row r="1505" spans="1:15" ht="12" customHeight="1" thickBot="1">
      <c r="A1505" s="1513"/>
      <c r="B1505" s="1504"/>
      <c r="C1505" s="644" t="s">
        <v>6219</v>
      </c>
      <c r="D1505" s="645">
        <f>D1504/(D1504+E1504+G1504+H1504+I1504+J1504+L1504+M1504+N1504)</f>
        <v>0.20686472883073201</v>
      </c>
      <c r="E1505" s="645">
        <f>E1504/(D1504+E1504+G1504+H1504+I1504+J1504+L1504+M1504+N1504)</f>
        <v>8.5110956324198503E-2</v>
      </c>
      <c r="F1505" s="646">
        <f t="shared" si="46"/>
        <v>0.2919756851549305</v>
      </c>
      <c r="G1505" s="645">
        <f>G1504/(D1504+E1504+G1504+H1504+I1504+J1504+L1504+M1504+N1504)</f>
        <v>0.24385314145981604</v>
      </c>
      <c r="H1505" s="645">
        <f>H1504/(D1504+E1504+G1504+H1504+I1504+J1504+L1504+M1504+N1504)</f>
        <v>2.2057644400696626E-2</v>
      </c>
      <c r="I1505" s="645">
        <f>I1504/(D1504+E1504+G1504+H1504+I1504+J1504+L1504+M1504+N1504)</f>
        <v>0</v>
      </c>
      <c r="J1505" s="645">
        <f>J1504/(D1504+E1504+G1504+H1504+I1504+J1504+L1504+M1504+N1504)</f>
        <v>0</v>
      </c>
      <c r="K1505" s="646">
        <f t="shared" si="47"/>
        <v>0.26591078586051264</v>
      </c>
      <c r="L1505" s="645">
        <f>L1504/(D1504+E1504+G1504+H1504+I1504+J1504+L1504+M1504+N1504)</f>
        <v>4.0277478886230345E-2</v>
      </c>
      <c r="M1505" s="645">
        <f>M1504/(D1504+E1504+G1504+H1504+I1504+J1504+L1504+M1504+N1504)</f>
        <v>0</v>
      </c>
      <c r="N1505" s="645">
        <f>N1504/(D1504+E1504+G1504+H1504+I1504+J1504+L1504+M1504+N1504)</f>
        <v>0.40183605009832646</v>
      </c>
      <c r="O1505" s="1505"/>
    </row>
    <row r="1506" spans="1:15" ht="12" customHeight="1" thickTop="1">
      <c r="A1506" s="1516" t="s">
        <v>15126</v>
      </c>
      <c r="B1506" s="1509" t="s">
        <v>14937</v>
      </c>
      <c r="C1506" s="647" t="s">
        <v>6218</v>
      </c>
      <c r="D1506" s="648">
        <v>53045</v>
      </c>
      <c r="E1506" s="648">
        <v>18742</v>
      </c>
      <c r="F1506" s="649">
        <f t="shared" si="46"/>
        <v>71787</v>
      </c>
      <c r="G1506" s="648">
        <v>69517</v>
      </c>
      <c r="H1506" s="648">
        <v>6883</v>
      </c>
      <c r="I1506" s="648">
        <v>2650</v>
      </c>
      <c r="J1506" s="648">
        <v>5939</v>
      </c>
      <c r="K1506" s="649">
        <f t="shared" si="47"/>
        <v>84989</v>
      </c>
      <c r="L1506" s="648">
        <v>19084</v>
      </c>
      <c r="M1506" s="648">
        <v>4082</v>
      </c>
      <c r="N1506" s="648">
        <v>124224</v>
      </c>
      <c r="O1506" s="1510">
        <f>1-N1507</f>
        <v>0.59159143362506006</v>
      </c>
    </row>
    <row r="1507" spans="1:15" ht="12" customHeight="1">
      <c r="A1507" s="1517"/>
      <c r="B1507" s="1502"/>
      <c r="C1507" s="635" t="s">
        <v>6219</v>
      </c>
      <c r="D1507" s="636">
        <f>D1506/(D1506+E1506+G1506+H1506+I1506+J1506+L1506+M1506+N1506)</f>
        <v>0.17439490278334857</v>
      </c>
      <c r="E1507" s="636">
        <f>E1506/(D1506+E1506+G1506+H1506+I1506+J1506+L1506+M1506+N1506)</f>
        <v>6.1617669299001206E-2</v>
      </c>
      <c r="F1507" s="637">
        <f t="shared" si="46"/>
        <v>0.23601257208234977</v>
      </c>
      <c r="G1507" s="636">
        <f>G1506/(D1506+E1506+G1506+H1506+I1506+J1506+L1506+M1506+N1506)</f>
        <v>0.22854954202639349</v>
      </c>
      <c r="H1507" s="636">
        <f>H1506/(D1506+E1506+G1506+H1506+I1506+J1506+L1506+M1506+N1506)</f>
        <v>2.2629090693897413E-2</v>
      </c>
      <c r="I1507" s="636">
        <f>I1506/(D1506+E1506+G1506+H1506+I1506+J1506+L1506+M1506+N1506)</f>
        <v>8.7123478626802472E-3</v>
      </c>
      <c r="J1507" s="636">
        <f>J1506/(D1506+E1506+G1506+H1506+I1506+J1506+L1506+M1506+N1506)</f>
        <v>1.9525522247719994E-2</v>
      </c>
      <c r="K1507" s="637">
        <f t="shared" si="47"/>
        <v>0.27941650283069114</v>
      </c>
      <c r="L1507" s="636">
        <f>L1506/(D1506+E1506+G1506+H1506+I1506+J1506+L1506+M1506+N1506)</f>
        <v>6.2742055325052767E-2</v>
      </c>
      <c r="M1507" s="636">
        <f>M1506/(D1506+E1506+G1506+H1506+I1506+J1506+L1506+M1506+N1506)</f>
        <v>1.3420303386966327E-2</v>
      </c>
      <c r="N1507" s="636">
        <f>N1506/(D1506+E1506+G1506+H1506+I1506+J1506+L1506+M1506+N1506)</f>
        <v>0.40840856637494</v>
      </c>
      <c r="O1507" s="1503"/>
    </row>
    <row r="1508" spans="1:15" ht="12" customHeight="1">
      <c r="A1508" s="1517"/>
      <c r="B1508" s="1502" t="s">
        <v>14938</v>
      </c>
      <c r="C1508" s="638" t="s">
        <v>6218</v>
      </c>
      <c r="D1508" s="639">
        <v>79344</v>
      </c>
      <c r="E1508" s="639">
        <v>19089</v>
      </c>
      <c r="F1508" s="640">
        <f t="shared" si="46"/>
        <v>98433</v>
      </c>
      <c r="G1508" s="639">
        <v>67107</v>
      </c>
      <c r="H1508" s="639">
        <v>10845</v>
      </c>
      <c r="I1508" s="639"/>
      <c r="J1508" s="639">
        <v>7287</v>
      </c>
      <c r="K1508" s="640">
        <f t="shared" si="47"/>
        <v>85239</v>
      </c>
      <c r="L1508" s="639">
        <v>20793</v>
      </c>
      <c r="M1508" s="639"/>
      <c r="N1508" s="639">
        <v>94869</v>
      </c>
      <c r="O1508" s="1503">
        <f>1-N1509</f>
        <v>0.68306640742448232</v>
      </c>
    </row>
    <row r="1509" spans="1:15" ht="12" customHeight="1">
      <c r="A1509" s="1517"/>
      <c r="B1509" s="1502"/>
      <c r="C1509" s="635" t="s">
        <v>6219</v>
      </c>
      <c r="D1509" s="636">
        <f>D1508/(D1508+E1508+G1508+H1508+I1508+J1508+L1508+M1508+N1508)</f>
        <v>0.26506845196335865</v>
      </c>
      <c r="E1509" s="636">
        <f>E1508/(D1508+E1508+G1508+H1508+I1508+J1508+L1508+M1508+N1508)</f>
        <v>6.3771572891819839E-2</v>
      </c>
      <c r="F1509" s="637">
        <f t="shared" si="46"/>
        <v>0.32884002485517849</v>
      </c>
      <c r="G1509" s="636">
        <f>G1508/(D1508+E1508+G1508+H1508+I1508+J1508+L1508+M1508+N1508)</f>
        <v>0.22418769668664434</v>
      </c>
      <c r="H1509" s="636">
        <f>H1508/(D1508+E1508+G1508+H1508+I1508+J1508+L1508+M1508+N1508)</f>
        <v>3.6230431558058891E-2</v>
      </c>
      <c r="I1509" s="636">
        <f>I1508/(D1508+E1508+G1508+H1508+I1508+J1508+L1508+M1508+N1508)</f>
        <v>0</v>
      </c>
      <c r="J1509" s="636">
        <f>J1508/(D1508+E1508+G1508+H1508+I1508+J1508+L1508+M1508+N1508)</f>
        <v>2.434404377718535E-2</v>
      </c>
      <c r="K1509" s="637">
        <f t="shared" si="47"/>
        <v>0.28476217202188858</v>
      </c>
      <c r="L1509" s="636">
        <f>L1508/(D1508+E1508+G1508+H1508+I1508+J1508+L1508+M1508+N1508)</f>
        <v>6.9464210547415264E-2</v>
      </c>
      <c r="M1509" s="636">
        <f>M1508/(D1508+E1508+G1508+H1508+I1508+J1508+L1508+M1508+N1508)</f>
        <v>0</v>
      </c>
      <c r="N1509" s="636">
        <f>N1508/(D1508+E1508+G1508+H1508+I1508+J1508+L1508+M1508+N1508)</f>
        <v>0.31693359257551768</v>
      </c>
      <c r="O1509" s="1503"/>
    </row>
    <row r="1510" spans="1:15" ht="12" customHeight="1">
      <c r="A1510" s="1517"/>
      <c r="B1510" s="1502" t="s">
        <v>14939</v>
      </c>
      <c r="C1510" s="638" t="s">
        <v>6218</v>
      </c>
      <c r="D1510" s="639">
        <v>50372</v>
      </c>
      <c r="E1510" s="639">
        <v>20663</v>
      </c>
      <c r="F1510" s="640">
        <f t="shared" si="46"/>
        <v>71035</v>
      </c>
      <c r="G1510" s="639">
        <v>65161</v>
      </c>
      <c r="H1510" s="639">
        <v>6683</v>
      </c>
      <c r="I1510" s="639"/>
      <c r="J1510" s="639"/>
      <c r="K1510" s="640">
        <f t="shared" si="47"/>
        <v>71844</v>
      </c>
      <c r="L1510" s="639">
        <v>18562</v>
      </c>
      <c r="M1510" s="639">
        <v>5487</v>
      </c>
      <c r="N1510" s="639">
        <v>129561</v>
      </c>
      <c r="O1510" s="1503">
        <f>1-N1511</f>
        <v>0.56301582858048693</v>
      </c>
    </row>
    <row r="1511" spans="1:15" ht="12" customHeight="1">
      <c r="A1511" s="1517"/>
      <c r="B1511" s="1502"/>
      <c r="C1511" s="635" t="s">
        <v>6219</v>
      </c>
      <c r="D1511" s="636">
        <f>D1510/(D1510+E1510+G1510+H1510+I1510+J1510+L1510+M1510+N1510)</f>
        <v>0.16989500453642462</v>
      </c>
      <c r="E1511" s="636">
        <f>E1510/(D1510+E1510+G1510+H1510+I1510+J1510+L1510+M1510+N1510)</f>
        <v>6.9692298871121688E-2</v>
      </c>
      <c r="F1511" s="637">
        <f t="shared" si="46"/>
        <v>0.2395873034075463</v>
      </c>
      <c r="G1511" s="636">
        <f>G1510/(D1510+E1510+G1510+H1510+I1510+J1510+L1510+M1510+N1510)</f>
        <v>0.2197754385491536</v>
      </c>
      <c r="H1511" s="636">
        <f>H1510/(D1510+E1510+G1510+H1510+I1510+J1510+L1510+M1510+N1510)</f>
        <v>2.2540465244916336E-2</v>
      </c>
      <c r="I1511" s="636">
        <f>I1510/(D1510+E1510+G1510+H1510+I1510+J1510+L1510+M1510+N1510)</f>
        <v>0</v>
      </c>
      <c r="J1511" s="636">
        <f>J1510/(D1510+E1510+G1510+H1510+I1510+J1510+L1510+M1510+N1510)</f>
        <v>0</v>
      </c>
      <c r="K1511" s="637">
        <f t="shared" si="47"/>
        <v>0.24231590379406995</v>
      </c>
      <c r="L1511" s="636">
        <f>L1510/(D1510+E1510+G1510+H1510+I1510+J1510+L1510+M1510+N1510)</f>
        <v>6.2606032601546763E-2</v>
      </c>
      <c r="M1511" s="636">
        <f>M1510/(D1510+E1510+G1510+H1510+I1510+J1510+L1510+M1510+N1510)</f>
        <v>1.8506588777323949E-2</v>
      </c>
      <c r="N1511" s="636">
        <f>N1510/(D1510+E1510+G1510+H1510+I1510+J1510+L1510+M1510+N1510)</f>
        <v>0.43698417141951301</v>
      </c>
      <c r="O1511" s="1503"/>
    </row>
    <row r="1512" spans="1:15" ht="12" customHeight="1">
      <c r="A1512" s="1517"/>
      <c r="B1512" s="1502" t="s">
        <v>14940</v>
      </c>
      <c r="C1512" s="638" t="s">
        <v>6218</v>
      </c>
      <c r="D1512" s="639">
        <v>57234</v>
      </c>
      <c r="E1512" s="639">
        <v>20179</v>
      </c>
      <c r="F1512" s="640">
        <f t="shared" si="46"/>
        <v>77413</v>
      </c>
      <c r="G1512" s="639">
        <v>69071</v>
      </c>
      <c r="H1512" s="639">
        <v>6160</v>
      </c>
      <c r="I1512" s="639"/>
      <c r="J1512" s="639"/>
      <c r="K1512" s="640">
        <f t="shared" si="47"/>
        <v>75231</v>
      </c>
      <c r="L1512" s="639">
        <v>19337</v>
      </c>
      <c r="M1512" s="639"/>
      <c r="N1512" s="639">
        <v>122456</v>
      </c>
      <c r="O1512" s="1503">
        <f>1-N1513</f>
        <v>0.58410118293556856</v>
      </c>
    </row>
    <row r="1513" spans="1:15" ht="12" customHeight="1" thickBot="1">
      <c r="A1513" s="1519"/>
      <c r="B1513" s="1514"/>
      <c r="C1513" s="641" t="s">
        <v>6219</v>
      </c>
      <c r="D1513" s="642">
        <f>D1512/(D1512+E1512+G1512+H1512+I1512+J1512+L1512+M1512+N1512)</f>
        <v>0.19438453726943286</v>
      </c>
      <c r="E1513" s="642">
        <f>E1512/(D1512+E1512+G1512+H1512+I1512+J1512+L1512+M1512+N1512)</f>
        <v>6.8534185581295828E-2</v>
      </c>
      <c r="F1513" s="643">
        <f t="shared" si="46"/>
        <v>0.2629187228507287</v>
      </c>
      <c r="G1513" s="642">
        <f>G1512/(D1512+E1512+G1512+H1512+I1512+J1512+L1512+M1512+N1512)</f>
        <v>0.23458668577658379</v>
      </c>
      <c r="H1513" s="642">
        <f>H1512/(D1512+E1512+G1512+H1512+I1512+J1512+L1512+M1512+N1512)</f>
        <v>2.0921283670190905E-2</v>
      </c>
      <c r="I1513" s="642">
        <f>I1512/(D1512+E1512+G1512+H1512+I1512+J1512+L1512+M1512+N1512)</f>
        <v>0</v>
      </c>
      <c r="J1513" s="642">
        <f>J1512/(D1512+E1512+G1512+H1512+I1512+J1512+L1512+M1512+N1512)</f>
        <v>0</v>
      </c>
      <c r="K1513" s="643">
        <f t="shared" si="47"/>
        <v>0.25550796944677467</v>
      </c>
      <c r="L1513" s="642">
        <f>L1512/(D1512+E1512+G1512+H1512+I1512+J1512+L1512+M1512+N1512)</f>
        <v>6.5674490638065186E-2</v>
      </c>
      <c r="M1513" s="642">
        <f>M1512/(D1512+E1512+G1512+H1512+I1512+J1512+L1512+M1512+N1512)</f>
        <v>0</v>
      </c>
      <c r="N1513" s="642">
        <f>N1512/(D1512+E1512+G1512+H1512+I1512+J1512+L1512+M1512+N1512)</f>
        <v>0.41589881706443144</v>
      </c>
      <c r="O1513" s="1515"/>
    </row>
    <row r="1514" spans="1:15" ht="12" customHeight="1">
      <c r="A1514" s="1526" t="s">
        <v>15127</v>
      </c>
      <c r="B1514" s="1509" t="s">
        <v>14937</v>
      </c>
      <c r="C1514" s="647" t="s">
        <v>6218</v>
      </c>
      <c r="D1514" s="648">
        <v>50459</v>
      </c>
      <c r="E1514" s="648">
        <v>12280</v>
      </c>
      <c r="F1514" s="649">
        <f t="shared" si="46"/>
        <v>62739</v>
      </c>
      <c r="G1514" s="648">
        <v>60779</v>
      </c>
      <c r="H1514" s="648">
        <v>4875</v>
      </c>
      <c r="I1514" s="648">
        <v>2207</v>
      </c>
      <c r="J1514" s="648">
        <v>2952</v>
      </c>
      <c r="K1514" s="649">
        <f t="shared" si="47"/>
        <v>70813</v>
      </c>
      <c r="L1514" s="648">
        <v>12475</v>
      </c>
      <c r="M1514" s="648">
        <v>2977</v>
      </c>
      <c r="N1514" s="648">
        <v>113214</v>
      </c>
      <c r="O1514" s="1510">
        <f>1-N1515</f>
        <v>0.56824474292382676</v>
      </c>
    </row>
    <row r="1515" spans="1:15" ht="12" customHeight="1">
      <c r="A1515" s="1527"/>
      <c r="B1515" s="1502"/>
      <c r="C1515" s="635" t="s">
        <v>6219</v>
      </c>
      <c r="D1515" s="636">
        <f>D1514/(D1514+E1514+G1514+H1514+I1514+J1514+L1514+M1514+N1514)</f>
        <v>0.19243148830362522</v>
      </c>
      <c r="E1515" s="636">
        <f>E1514/(D1514+E1514+G1514+H1514+I1514+J1514+L1514+M1514+N1514)</f>
        <v>4.6831262537278144E-2</v>
      </c>
      <c r="F1515" s="637">
        <f t="shared" si="46"/>
        <v>0.23926275084090337</v>
      </c>
      <c r="G1515" s="636">
        <f>G1514/(D1514+E1514+G1514+H1514+I1514+J1514+L1514+M1514+N1514)</f>
        <v>0.23178805421443227</v>
      </c>
      <c r="H1515" s="636">
        <f>H1514/(D1514+E1514+G1514+H1514+I1514+J1514+L1514+M1514+N1514)</f>
        <v>1.8591401047982976E-2</v>
      </c>
      <c r="I1515" s="636">
        <f>I1514/(D1514+E1514+G1514+H1514+I1514+J1514+L1514+M1514+N1514)</f>
        <v>8.4166609462355754E-3</v>
      </c>
      <c r="J1515" s="636">
        <f>J1514/(D1514+E1514+G1514+H1514+I1514+J1514+L1514+M1514+N1514)</f>
        <v>1.1257808388440153E-2</v>
      </c>
      <c r="K1515" s="637">
        <f t="shared" si="47"/>
        <v>0.27005392459709093</v>
      </c>
      <c r="L1515" s="636">
        <f>L1514/(D1514+E1514+G1514+H1514+I1514+J1514+L1514+M1514+N1514)</f>
        <v>4.7574918579197462E-2</v>
      </c>
      <c r="M1515" s="636">
        <f>M1514/(D1514+E1514+G1514+H1514+I1514+J1514+L1514+M1514+N1514)</f>
        <v>1.1353148906634938E-2</v>
      </c>
      <c r="N1515" s="636">
        <f>N1514/(D1514+E1514+G1514+H1514+I1514+J1514+L1514+M1514+N1514)</f>
        <v>0.43175525707617324</v>
      </c>
      <c r="O1515" s="1503"/>
    </row>
    <row r="1516" spans="1:15" ht="12" customHeight="1">
      <c r="A1516" s="1527"/>
      <c r="B1516" s="1502" t="s">
        <v>14938</v>
      </c>
      <c r="C1516" s="638" t="s">
        <v>6218</v>
      </c>
      <c r="D1516" s="639">
        <v>69335</v>
      </c>
      <c r="E1516" s="639">
        <v>15182</v>
      </c>
      <c r="F1516" s="640">
        <f t="shared" si="46"/>
        <v>84517</v>
      </c>
      <c r="G1516" s="639">
        <v>60415</v>
      </c>
      <c r="H1516" s="639">
        <v>8078</v>
      </c>
      <c r="I1516" s="639"/>
      <c r="J1516" s="639">
        <v>5669</v>
      </c>
      <c r="K1516" s="640">
        <f t="shared" si="47"/>
        <v>74162</v>
      </c>
      <c r="L1516" s="639">
        <v>13726</v>
      </c>
      <c r="M1516" s="639"/>
      <c r="N1516" s="639">
        <v>87285</v>
      </c>
      <c r="O1516" s="1503">
        <f>1-N1517</f>
        <v>0.66388771227232468</v>
      </c>
    </row>
    <row r="1517" spans="1:15" ht="12" customHeight="1">
      <c r="A1517" s="1527"/>
      <c r="B1517" s="1502"/>
      <c r="C1517" s="635" t="s">
        <v>6219</v>
      </c>
      <c r="D1517" s="636">
        <f>D1516/(D1516+E1516+G1516+H1516+I1516+J1516+L1516+M1516+N1516)</f>
        <v>0.26699141283838423</v>
      </c>
      <c r="E1517" s="636">
        <f>E1516/(D1516+E1516+G1516+H1516+I1516+J1516+L1516+M1516+N1516)</f>
        <v>5.8462012399399285E-2</v>
      </c>
      <c r="F1517" s="637">
        <f t="shared" si="46"/>
        <v>0.32545342523778353</v>
      </c>
      <c r="G1517" s="636">
        <f>G1516/(D1516+E1516+G1516+H1516+I1516+J1516+L1516+M1516+N1516)</f>
        <v>0.23264276637529363</v>
      </c>
      <c r="H1517" s="636">
        <f>H1516/(D1516+E1516+G1516+H1516+I1516+J1516+L1516+M1516+N1516)</f>
        <v>3.1106319072740574E-2</v>
      </c>
      <c r="I1517" s="636">
        <f>I1516/(D1516+E1516+G1516+H1516+I1516+J1516+L1516+M1516+N1516)</f>
        <v>0</v>
      </c>
      <c r="J1517" s="636">
        <f>J1516/(D1516+E1516+G1516+H1516+I1516+J1516+L1516+M1516+N1516)</f>
        <v>2.1829874080634602E-2</v>
      </c>
      <c r="K1517" s="637">
        <f t="shared" si="47"/>
        <v>0.2855789595286688</v>
      </c>
      <c r="L1517" s="636">
        <f>L1516/(D1516+E1516+G1516+H1516+I1516+J1516+L1516+M1516+N1516)</f>
        <v>5.2855327505872386E-2</v>
      </c>
      <c r="M1517" s="636">
        <f>M1516/(D1516+E1516+G1516+H1516+I1516+J1516+L1516+M1516+N1516)</f>
        <v>0</v>
      </c>
      <c r="N1517" s="636">
        <f>N1516/(D1516+E1516+G1516+H1516+I1516+J1516+L1516+M1516+N1516)</f>
        <v>0.33611228772767532</v>
      </c>
      <c r="O1517" s="1503"/>
    </row>
    <row r="1518" spans="1:15" ht="12" customHeight="1">
      <c r="A1518" s="1527"/>
      <c r="B1518" s="1502" t="s">
        <v>14939</v>
      </c>
      <c r="C1518" s="638" t="s">
        <v>6218</v>
      </c>
      <c r="D1518" s="639">
        <v>48030</v>
      </c>
      <c r="E1518" s="639">
        <v>14642</v>
      </c>
      <c r="F1518" s="640">
        <f t="shared" si="46"/>
        <v>62672</v>
      </c>
      <c r="G1518" s="639">
        <v>57159</v>
      </c>
      <c r="H1518" s="639">
        <v>4910</v>
      </c>
      <c r="I1518" s="639"/>
      <c r="J1518" s="639"/>
      <c r="K1518" s="640">
        <f t="shared" si="47"/>
        <v>62069</v>
      </c>
      <c r="L1518" s="639">
        <v>12242</v>
      </c>
      <c r="M1518" s="639">
        <v>4045</v>
      </c>
      <c r="N1518" s="639">
        <v>116800</v>
      </c>
      <c r="O1518" s="1503">
        <f>1-N1519</f>
        <v>0.54698481157981282</v>
      </c>
    </row>
    <row r="1519" spans="1:15" ht="12" customHeight="1">
      <c r="A1519" s="1527"/>
      <c r="B1519" s="1502"/>
      <c r="C1519" s="635" t="s">
        <v>6219</v>
      </c>
      <c r="D1519" s="636">
        <f>D1518/(D1518+E1518+G1518+H1518+I1518+J1518+L1518+M1518+N1518)</f>
        <v>0.18628698201902044</v>
      </c>
      <c r="E1519" s="636">
        <f>E1518/(D1518+E1518+G1518+H1518+I1518+J1518+L1518+M1518+N1518)</f>
        <v>5.6789797849729276E-2</v>
      </c>
      <c r="F1519" s="637">
        <f t="shared" si="46"/>
        <v>0.2430767798687497</v>
      </c>
      <c r="G1519" s="636">
        <f>G1518/(D1518+E1518+G1518+H1518+I1518+J1518+L1518+M1518+N1518)</f>
        <v>0.22169430783312907</v>
      </c>
      <c r="H1519" s="636">
        <f>H1518/(D1518+E1518+G1518+H1518+I1518+J1518+L1518+M1518+N1518)</f>
        <v>1.9043703554307522E-2</v>
      </c>
      <c r="I1519" s="636">
        <f>I1518/(D1518+E1518+G1518+H1518+I1518+J1518+L1518+M1518+N1518)</f>
        <v>0</v>
      </c>
      <c r="J1519" s="636">
        <f>J1518/(D1518+E1518+G1518+H1518+I1518+J1518+L1518+M1518+N1518)</f>
        <v>0</v>
      </c>
      <c r="K1519" s="637">
        <f t="shared" si="47"/>
        <v>0.24073801138743658</v>
      </c>
      <c r="L1519" s="636">
        <f>L1518/(D1518+E1518+G1518+H1518+I1518+J1518+L1518+M1518+N1518)</f>
        <v>4.7481266580821323E-2</v>
      </c>
      <c r="M1519" s="636">
        <f>M1518/(D1518+E1518+G1518+H1518+I1518+J1518+L1518+M1518+N1518)</f>
        <v>1.5688753742805282E-2</v>
      </c>
      <c r="N1519" s="636">
        <f>N1518/(D1518+E1518+G1518+H1518+I1518+J1518+L1518+M1518+N1518)</f>
        <v>0.45301518842018712</v>
      </c>
      <c r="O1519" s="1503"/>
    </row>
    <row r="1520" spans="1:15" ht="12" customHeight="1">
      <c r="A1520" s="1527"/>
      <c r="B1520" s="1502" t="s">
        <v>14940</v>
      </c>
      <c r="C1520" s="638" t="s">
        <v>6218</v>
      </c>
      <c r="D1520" s="639">
        <v>55954</v>
      </c>
      <c r="E1520" s="639">
        <v>19129</v>
      </c>
      <c r="F1520" s="640">
        <f t="shared" si="46"/>
        <v>75083</v>
      </c>
      <c r="G1520" s="639">
        <v>60045</v>
      </c>
      <c r="H1520" s="639">
        <v>4833</v>
      </c>
      <c r="I1520" s="639"/>
      <c r="J1520" s="639"/>
      <c r="K1520" s="640">
        <f t="shared" si="47"/>
        <v>64878</v>
      </c>
      <c r="L1520" s="639">
        <v>12372</v>
      </c>
      <c r="M1520" s="639"/>
      <c r="N1520" s="639">
        <v>105235</v>
      </c>
      <c r="O1520" s="1503">
        <f>1-N1521</f>
        <v>0.59142828301652384</v>
      </c>
    </row>
    <row r="1521" spans="1:15" ht="12" customHeight="1" thickBot="1">
      <c r="A1521" s="1528"/>
      <c r="B1521" s="1514"/>
      <c r="C1521" s="641" t="s">
        <v>6219</v>
      </c>
      <c r="D1521" s="642">
        <f>D1520/(D1520+E1520+G1520+H1520+I1520+J1520+L1520+M1520+N1520)</f>
        <v>0.21723971921977886</v>
      </c>
      <c r="E1521" s="642">
        <f>E1520/(D1520+E1520+G1520+H1520+I1520+J1520+L1520+M1520+N1520)</f>
        <v>7.4267766182134431E-2</v>
      </c>
      <c r="F1521" s="643">
        <f t="shared" si="46"/>
        <v>0.29150748540191329</v>
      </c>
      <c r="G1521" s="642">
        <f>G1520/(D1520+E1520+G1520+H1520+I1520+J1520+L1520+M1520+N1520)</f>
        <v>0.2331229034662691</v>
      </c>
      <c r="H1521" s="642">
        <f>H1520/(D1520+E1520+G1520+H1520+I1520+J1520+L1520+M1520+N1520)</f>
        <v>1.8763976891539323E-2</v>
      </c>
      <c r="I1521" s="642">
        <f>I1520/(D1520+E1520+G1520+H1520+I1520+J1520+L1520+M1520+N1520)</f>
        <v>0</v>
      </c>
      <c r="J1521" s="642">
        <f>J1520/(D1520+E1520+G1520+H1520+I1520+J1520+L1520+M1520+N1520)</f>
        <v>0</v>
      </c>
      <c r="K1521" s="643">
        <f t="shared" si="47"/>
        <v>0.25188688035780843</v>
      </c>
      <c r="L1521" s="642">
        <f>L1520/(D1520+E1520+G1520+H1520+I1520+J1520+L1520+M1520+N1520)</f>
        <v>4.8033917256802089E-2</v>
      </c>
      <c r="M1521" s="642">
        <f>M1520/(D1520+E1520+G1520+H1520+I1520+J1520+L1520+M1520+N1520)</f>
        <v>0</v>
      </c>
      <c r="N1521" s="642">
        <f>N1520/(D1520+E1520+G1520+H1520+I1520+J1520+L1520+M1520+N1520)</f>
        <v>0.40857171698347622</v>
      </c>
      <c r="O1521" s="1515"/>
    </row>
    <row r="1522" spans="1:15" ht="12" customHeight="1">
      <c r="A1522" s="1526" t="s">
        <v>15128</v>
      </c>
      <c r="B1522" s="1509" t="s">
        <v>14937</v>
      </c>
      <c r="C1522" s="647" t="s">
        <v>6218</v>
      </c>
      <c r="D1522" s="648">
        <v>41616</v>
      </c>
      <c r="E1522" s="648">
        <v>12602</v>
      </c>
      <c r="F1522" s="649">
        <f t="shared" si="46"/>
        <v>54218</v>
      </c>
      <c r="G1522" s="648">
        <v>58880</v>
      </c>
      <c r="H1522" s="648">
        <v>4283</v>
      </c>
      <c r="I1522" s="648">
        <v>1812</v>
      </c>
      <c r="J1522" s="648">
        <v>4056</v>
      </c>
      <c r="K1522" s="649">
        <f t="shared" si="47"/>
        <v>69031</v>
      </c>
      <c r="L1522" s="648">
        <v>10392</v>
      </c>
      <c r="M1522" s="648">
        <v>3102</v>
      </c>
      <c r="N1522" s="648">
        <v>99278</v>
      </c>
      <c r="O1522" s="1510">
        <f>1-N1523</f>
        <v>0.57936793759877303</v>
      </c>
    </row>
    <row r="1523" spans="1:15" ht="12" customHeight="1">
      <c r="A1523" s="1527"/>
      <c r="B1523" s="1502"/>
      <c r="C1523" s="635" t="s">
        <v>6219</v>
      </c>
      <c r="D1523" s="636">
        <f>D1522/(D1522+E1522+G1522+H1522+I1522+J1522+L1522+M1522+N1522)</f>
        <v>0.17632329326627716</v>
      </c>
      <c r="E1523" s="636">
        <f>E1522/(D1522+E1522+G1522+H1522+I1522+J1522+L1522+M1522+N1522)</f>
        <v>5.3393553963418508E-2</v>
      </c>
      <c r="F1523" s="637">
        <f t="shared" si="46"/>
        <v>0.22971684722969565</v>
      </c>
      <c r="G1523" s="636">
        <f>G1522/(D1522+E1522+G1522+H1522+I1522+J1522+L1522+M1522+N1522)</f>
        <v>0.24946932688192999</v>
      </c>
      <c r="H1523" s="636">
        <f>H1522/(D1522+E1522+G1522+H1522+I1522+J1522+L1522+M1522+N1522)</f>
        <v>1.8146690336876804E-2</v>
      </c>
      <c r="I1523" s="636">
        <f>I1522/(D1522+E1522+G1522+H1522+I1522+J1522+L1522+M1522+N1522)</f>
        <v>7.6772829536354819E-3</v>
      </c>
      <c r="J1523" s="636">
        <f>J1522/(D1522+E1522+G1522+H1522+I1522+J1522+L1522+M1522+N1522)</f>
        <v>1.7184911512111212E-2</v>
      </c>
      <c r="K1523" s="637">
        <f t="shared" si="47"/>
        <v>0.29247821168455346</v>
      </c>
      <c r="L1523" s="636">
        <f>L1522/(D1522+E1522+G1522+H1522+I1522+J1522+L1522+M1522+N1522)</f>
        <v>4.4029980383101505E-2</v>
      </c>
      <c r="M1523" s="636">
        <f>M1522/(D1522+E1522+G1522+H1522+I1522+J1522+L1522+M1522+N1522)</f>
        <v>1.3142898301422332E-2</v>
      </c>
      <c r="N1523" s="636">
        <f>N1522/(D1522+E1522+G1522+H1522+I1522+J1522+L1522+M1522+N1522)</f>
        <v>0.42063206240122702</v>
      </c>
      <c r="O1523" s="1503"/>
    </row>
    <row r="1524" spans="1:15" ht="12" customHeight="1">
      <c r="A1524" s="1527"/>
      <c r="B1524" s="1502" t="s">
        <v>14938</v>
      </c>
      <c r="C1524" s="638" t="s">
        <v>6218</v>
      </c>
      <c r="D1524" s="639">
        <v>63960</v>
      </c>
      <c r="E1524" s="639">
        <v>14841</v>
      </c>
      <c r="F1524" s="640">
        <f t="shared" si="46"/>
        <v>78801</v>
      </c>
      <c r="G1524" s="639">
        <v>55367</v>
      </c>
      <c r="H1524" s="639">
        <v>7069</v>
      </c>
      <c r="I1524" s="639"/>
      <c r="J1524" s="639">
        <v>4859</v>
      </c>
      <c r="K1524" s="640">
        <f t="shared" si="47"/>
        <v>67295</v>
      </c>
      <c r="L1524" s="639">
        <v>11528</v>
      </c>
      <c r="M1524" s="639"/>
      <c r="N1524" s="639">
        <v>72108</v>
      </c>
      <c r="O1524" s="1503">
        <f>1-N1525</f>
        <v>0.68612121950794847</v>
      </c>
    </row>
    <row r="1525" spans="1:15" ht="12" customHeight="1">
      <c r="A1525" s="1527"/>
      <c r="B1525" s="1502"/>
      <c r="C1525" s="635" t="s">
        <v>6219</v>
      </c>
      <c r="D1525" s="636">
        <f>D1524/(D1524+E1524+G1524+H1524+I1524+J1524+L1524+M1524+N1524)</f>
        <v>0.27841136628767432</v>
      </c>
      <c r="E1525" s="636">
        <f>E1524/(D1524+E1524+G1524+H1524+I1524+J1524+L1524+M1524+N1524)</f>
        <v>6.4601361586544323E-2</v>
      </c>
      <c r="F1525" s="637">
        <f t="shared" si="46"/>
        <v>0.34301272787421866</v>
      </c>
      <c r="G1525" s="636">
        <f>G1524/(D1524+E1524+G1524+H1524+I1524+J1524+L1524+M1524+N1524)</f>
        <v>0.24100691240227742</v>
      </c>
      <c r="H1525" s="636">
        <f>H1524/(D1524+E1524+G1524+H1524+I1524+J1524+L1524+M1524+N1524)</f>
        <v>3.0770637090174639E-2</v>
      </c>
      <c r="I1525" s="636">
        <f>I1524/(D1524+E1524+G1524+H1524+I1524+J1524+L1524+M1524+N1524)</f>
        <v>0</v>
      </c>
      <c r="J1525" s="636">
        <f>J1524/(D1524+E1524+G1524+H1524+I1524+J1524+L1524+M1524+N1524)</f>
        <v>2.1150732157470445E-2</v>
      </c>
      <c r="K1525" s="637">
        <f t="shared" si="47"/>
        <v>0.29292828164992252</v>
      </c>
      <c r="L1525" s="636">
        <f>L1524/(D1524+E1524+G1524+H1524+I1524+J1524+L1524+M1524+N1524)</f>
        <v>5.018020998380722E-2</v>
      </c>
      <c r="M1525" s="636">
        <f>M1524/(D1524+E1524+G1524+H1524+I1524+J1524+L1524+M1524+N1524)</f>
        <v>0</v>
      </c>
      <c r="N1525" s="636">
        <f>N1524/(D1524+E1524+G1524+H1524+I1524+J1524+L1524+M1524+N1524)</f>
        <v>0.31387878049205159</v>
      </c>
      <c r="O1525" s="1503"/>
    </row>
    <row r="1526" spans="1:15" ht="12" customHeight="1">
      <c r="A1526" s="1527"/>
      <c r="B1526" s="1502" t="s">
        <v>14939</v>
      </c>
      <c r="C1526" s="638" t="s">
        <v>6218</v>
      </c>
      <c r="D1526" s="639">
        <v>37517</v>
      </c>
      <c r="E1526" s="639">
        <v>14240</v>
      </c>
      <c r="F1526" s="640">
        <f t="shared" si="46"/>
        <v>51757</v>
      </c>
      <c r="G1526" s="639">
        <v>51390</v>
      </c>
      <c r="H1526" s="639">
        <v>4267</v>
      </c>
      <c r="I1526" s="639"/>
      <c r="J1526" s="639"/>
      <c r="K1526" s="640">
        <f t="shared" si="47"/>
        <v>55657</v>
      </c>
      <c r="L1526" s="639">
        <v>10251</v>
      </c>
      <c r="M1526" s="639">
        <v>4248</v>
      </c>
      <c r="N1526" s="639">
        <v>104779</v>
      </c>
      <c r="O1526" s="1503">
        <f>1-N1527</f>
        <v>0.53779136449455645</v>
      </c>
    </row>
    <row r="1527" spans="1:15" ht="12" customHeight="1">
      <c r="A1527" s="1527"/>
      <c r="B1527" s="1502"/>
      <c r="C1527" s="635" t="s">
        <v>6219</v>
      </c>
      <c r="D1527" s="636">
        <f>D1526/(D1526+E1526+G1526+H1526+I1526+J1526+L1526+M1526+N1526)</f>
        <v>0.16549767967109558</v>
      </c>
      <c r="E1527" s="636">
        <f>E1526/(D1526+E1526+G1526+H1526+I1526+J1526+L1526+M1526+N1526)</f>
        <v>6.2816508743140473E-2</v>
      </c>
      <c r="F1527" s="637">
        <f t="shared" si="46"/>
        <v>0.22831418841423606</v>
      </c>
      <c r="G1527" s="636">
        <f>G1526/(D1526+E1526+G1526+H1526+I1526+J1526+L1526+M1526+N1526)</f>
        <v>0.22669525170716215</v>
      </c>
      <c r="H1527" s="636">
        <f>H1526/(D1526+E1526+G1526+H1526+I1526+J1526+L1526+M1526+N1526)</f>
        <v>1.8822896264535139E-2</v>
      </c>
      <c r="I1527" s="636">
        <f>I1526/(D1526+E1526+G1526+H1526+I1526+J1526+L1526+M1526+N1526)</f>
        <v>0</v>
      </c>
      <c r="J1527" s="636">
        <f>J1526/(D1526+E1526+G1526+H1526+I1526+J1526+L1526+M1526+N1526)</f>
        <v>0</v>
      </c>
      <c r="K1527" s="637">
        <f t="shared" si="47"/>
        <v>0.2455181479716973</v>
      </c>
      <c r="L1527" s="636">
        <f>L1526/(D1526+E1526+G1526+H1526+I1526+J1526+L1526+M1526+N1526)</f>
        <v>4.5219946006034621E-2</v>
      </c>
      <c r="M1527" s="636">
        <f>M1526/(D1526+E1526+G1526+H1526+I1526+J1526+L1526+M1526+N1526)</f>
        <v>1.8739082102588536E-2</v>
      </c>
      <c r="N1527" s="636">
        <f>N1526/(D1526+E1526+G1526+H1526+I1526+J1526+L1526+M1526+N1526)</f>
        <v>0.4622086355054435</v>
      </c>
      <c r="O1527" s="1503"/>
    </row>
    <row r="1528" spans="1:15" ht="12" customHeight="1">
      <c r="A1528" s="1527"/>
      <c r="B1528" s="1502" t="s">
        <v>14940</v>
      </c>
      <c r="C1528" s="638" t="s">
        <v>6218</v>
      </c>
      <c r="D1528" s="639">
        <v>46840</v>
      </c>
      <c r="E1528" s="639">
        <v>15518</v>
      </c>
      <c r="F1528" s="640">
        <f t="shared" si="46"/>
        <v>62358</v>
      </c>
      <c r="G1528" s="639">
        <v>55790</v>
      </c>
      <c r="H1528" s="639">
        <v>4031</v>
      </c>
      <c r="I1528" s="639"/>
      <c r="J1528" s="639"/>
      <c r="K1528" s="640">
        <f t="shared" si="47"/>
        <v>59821</v>
      </c>
      <c r="L1528" s="639">
        <v>10551</v>
      </c>
      <c r="M1528" s="639"/>
      <c r="N1528" s="639">
        <v>91984</v>
      </c>
      <c r="O1528" s="1503">
        <f>1-N1529</f>
        <v>0.59066190802531215</v>
      </c>
    </row>
    <row r="1529" spans="1:15" ht="12" customHeight="1" thickBot="1">
      <c r="A1529" s="1528"/>
      <c r="B1529" s="1514"/>
      <c r="C1529" s="641" t="s">
        <v>6219</v>
      </c>
      <c r="D1529" s="642">
        <f>D1528/(D1528+E1528+G1528+H1528+I1528+J1528+L1528+M1528+N1528)</f>
        <v>0.20844273165000846</v>
      </c>
      <c r="E1529" s="642">
        <f>E1528/(D1528+E1528+G1528+H1528+I1528+J1528+L1528+M1528+N1528)</f>
        <v>6.9056667586354203E-2</v>
      </c>
      <c r="F1529" s="643">
        <f t="shared" si="46"/>
        <v>0.27749939923636269</v>
      </c>
      <c r="G1529" s="642">
        <f>G1528/(D1528+E1528+G1528+H1528+I1528+J1528+L1528+M1528+N1528)</f>
        <v>0.24827113575478163</v>
      </c>
      <c r="H1529" s="642">
        <f>H1528/(D1528+E1528+G1528+H1528+I1528+J1528+L1528+M1528+N1528)</f>
        <v>1.7938357200708455E-2</v>
      </c>
      <c r="I1529" s="642">
        <f>I1528/(D1528+E1528+G1528+H1528+I1528+J1528+L1528+M1528+N1528)</f>
        <v>0</v>
      </c>
      <c r="J1529" s="642">
        <f>J1528/(D1528+E1528+G1528+H1528+I1528+J1528+L1528+M1528+N1528)</f>
        <v>0</v>
      </c>
      <c r="K1529" s="643">
        <f t="shared" si="47"/>
        <v>0.26620949295549007</v>
      </c>
      <c r="L1529" s="642">
        <f>L1528/(D1528+E1528+G1528+H1528+I1528+J1528+L1528+M1528+N1528)</f>
        <v>4.695301583345942E-2</v>
      </c>
      <c r="M1529" s="642">
        <f>M1528/(D1528+E1528+G1528+H1528+I1528+J1528+L1528+M1528+N1528)</f>
        <v>0</v>
      </c>
      <c r="N1529" s="642">
        <f>N1528/(D1528+E1528+G1528+H1528+I1528+J1528+L1528+M1528+N1528)</f>
        <v>0.40933809197468785</v>
      </c>
      <c r="O1529" s="1515"/>
    </row>
    <row r="1530" spans="1:15" ht="12" customHeight="1">
      <c r="A1530" s="1516" t="s">
        <v>15129</v>
      </c>
      <c r="B1530" s="1509" t="s">
        <v>14937</v>
      </c>
      <c r="C1530" s="647" t="s">
        <v>6218</v>
      </c>
      <c r="D1530" s="648">
        <v>55350</v>
      </c>
      <c r="E1530" s="648">
        <v>17680</v>
      </c>
      <c r="F1530" s="649">
        <f t="shared" si="46"/>
        <v>73030</v>
      </c>
      <c r="G1530" s="648">
        <v>69236</v>
      </c>
      <c r="H1530" s="648">
        <v>4758</v>
      </c>
      <c r="I1530" s="648">
        <v>2292</v>
      </c>
      <c r="J1530" s="648">
        <v>3698</v>
      </c>
      <c r="K1530" s="649">
        <f t="shared" si="47"/>
        <v>79984</v>
      </c>
      <c r="L1530" s="648">
        <v>14975</v>
      </c>
      <c r="M1530" s="648">
        <v>3589</v>
      </c>
      <c r="N1530" s="648">
        <v>115887</v>
      </c>
      <c r="O1530" s="1510">
        <f>1-N1531</f>
        <v>0.59686570539022143</v>
      </c>
    </row>
    <row r="1531" spans="1:15" ht="12" customHeight="1">
      <c r="A1531" s="1517"/>
      <c r="B1531" s="1502"/>
      <c r="C1531" s="635" t="s">
        <v>6219</v>
      </c>
      <c r="D1531" s="636">
        <f>D1530/(D1530+E1530+G1530+H1530+I1530+J1530+L1530+M1530+N1530)</f>
        <v>0.19254517941314594</v>
      </c>
      <c r="E1531" s="636">
        <f>E1530/(D1530+E1530+G1530+H1530+I1530+J1530+L1530+M1530+N1530)</f>
        <v>6.1503139512636321E-2</v>
      </c>
      <c r="F1531" s="637">
        <f t="shared" si="46"/>
        <v>0.25404831892578228</v>
      </c>
      <c r="G1531" s="636">
        <f>G1530/(D1530+E1530+G1530+H1530+I1530+J1530+L1530+M1530+N1530)</f>
        <v>0.24085019045796879</v>
      </c>
      <c r="H1531" s="636">
        <f>H1530/(D1530+E1530+G1530+H1530+I1530+J1530+L1530+M1530+N1530)</f>
        <v>1.6551580192371244E-2</v>
      </c>
      <c r="I1531" s="636">
        <f>I1530/(D1530+E1530+G1530+H1530+I1530+J1530+L1530+M1530+N1530)</f>
        <v>7.9731445567286455E-3</v>
      </c>
      <c r="J1531" s="636">
        <f>J1530/(D1530+E1530+G1530+H1530+I1530+J1530+L1530+M1530+N1530)</f>
        <v>1.2864174769102326E-2</v>
      </c>
      <c r="K1531" s="637">
        <f t="shared" si="47"/>
        <v>0.27823908997617103</v>
      </c>
      <c r="L1531" s="636">
        <f>L1530/(D1530+E1530+G1530+H1530+I1530+J1530+L1530+M1530+N1530)</f>
        <v>5.209329831457743E-2</v>
      </c>
      <c r="M1531" s="636">
        <f>M1530/(D1530+E1530+G1530+H1530+I1530+J1530+L1530+M1530+N1530)</f>
        <v>1.248499817369071E-2</v>
      </c>
      <c r="N1531" s="636">
        <f>N1530/(D1530+E1530+G1530+H1530+I1530+J1530+L1530+M1530+N1530)</f>
        <v>0.40313429460977857</v>
      </c>
      <c r="O1531" s="1503"/>
    </row>
    <row r="1532" spans="1:15" ht="12" customHeight="1">
      <c r="A1532" s="1517"/>
      <c r="B1532" s="1502" t="s">
        <v>14938</v>
      </c>
      <c r="C1532" s="638" t="s">
        <v>6218</v>
      </c>
      <c r="D1532" s="639">
        <v>73210</v>
      </c>
      <c r="E1532" s="639">
        <v>20974</v>
      </c>
      <c r="F1532" s="640">
        <f t="shared" si="46"/>
        <v>94184</v>
      </c>
      <c r="G1532" s="639">
        <v>69632</v>
      </c>
      <c r="H1532" s="639">
        <v>8218</v>
      </c>
      <c r="I1532" s="639"/>
      <c r="J1532" s="639">
        <v>6224</v>
      </c>
      <c r="K1532" s="640">
        <f t="shared" si="47"/>
        <v>84074</v>
      </c>
      <c r="L1532" s="639">
        <v>17184</v>
      </c>
      <c r="M1532" s="639"/>
      <c r="N1532" s="639">
        <v>89396</v>
      </c>
      <c r="O1532" s="1503">
        <f>1-N1533</f>
        <v>0.68615142642484495</v>
      </c>
    </row>
    <row r="1533" spans="1:15" ht="12" customHeight="1">
      <c r="A1533" s="1517"/>
      <c r="B1533" s="1502"/>
      <c r="C1533" s="635" t="s">
        <v>6219</v>
      </c>
      <c r="D1533" s="636">
        <f>D1532/(D1532+E1532+G1532+H1532+I1532+J1532+L1532+M1532+N1532)</f>
        <v>0.2570232904317542</v>
      </c>
      <c r="E1533" s="636">
        <f>E1532/(D1532+E1532+G1532+H1532+I1532+J1532+L1532+M1532+N1532)</f>
        <v>7.3634838048294113E-2</v>
      </c>
      <c r="F1533" s="637">
        <f t="shared" si="46"/>
        <v>0.33065812848004833</v>
      </c>
      <c r="G1533" s="636">
        <f>G1532/(D1532+E1532+G1532+H1532+I1532+J1532+L1532+M1532+N1532)</f>
        <v>0.24446176423089616</v>
      </c>
      <c r="H1533" s="636">
        <f>H1532/(D1532+E1532+G1532+H1532+I1532+J1532+L1532+M1532+N1532)</f>
        <v>2.8851487512199916E-2</v>
      </c>
      <c r="I1533" s="636">
        <f>I1532/(D1532+E1532+G1532+H1532+I1532+J1532+L1532+M1532+N1532)</f>
        <v>0</v>
      </c>
      <c r="J1533" s="636">
        <f>J1532/(D1532+E1532+G1532+H1532+I1532+J1532+L1532+M1532+N1532)</f>
        <v>2.1851017069351702E-2</v>
      </c>
      <c r="K1533" s="637">
        <f t="shared" si="47"/>
        <v>0.29516426881244778</v>
      </c>
      <c r="L1533" s="636">
        <f>L1532/(D1532+E1532+G1532+H1532+I1532+J1532+L1532+M1532+N1532)</f>
        <v>6.0329029132348916E-2</v>
      </c>
      <c r="M1533" s="636">
        <f>M1532/(D1532+E1532+G1532+H1532+I1532+J1532+L1532+M1532+N1532)</f>
        <v>0</v>
      </c>
      <c r="N1533" s="636">
        <f>N1532/(D1532+E1532+G1532+H1532+I1532+J1532+L1532+M1532+N1532)</f>
        <v>0.313848573575155</v>
      </c>
      <c r="O1533" s="1503"/>
    </row>
    <row r="1534" spans="1:15" ht="12" customHeight="1">
      <c r="A1534" s="1517"/>
      <c r="B1534" s="1502" t="s">
        <v>14939</v>
      </c>
      <c r="C1534" s="638" t="s">
        <v>6218</v>
      </c>
      <c r="D1534" s="639">
        <v>52806</v>
      </c>
      <c r="E1534" s="639">
        <v>20495</v>
      </c>
      <c r="F1534" s="640">
        <f t="shared" si="46"/>
        <v>73301</v>
      </c>
      <c r="G1534" s="639">
        <v>64610</v>
      </c>
      <c r="H1534" s="639">
        <v>4991</v>
      </c>
      <c r="I1534" s="639"/>
      <c r="J1534" s="639"/>
      <c r="K1534" s="640">
        <f t="shared" si="47"/>
        <v>69601</v>
      </c>
      <c r="L1534" s="639">
        <v>16045</v>
      </c>
      <c r="M1534" s="639">
        <v>5530</v>
      </c>
      <c r="N1534" s="639">
        <v>118436</v>
      </c>
      <c r="O1534" s="1503">
        <f>1-N1535</f>
        <v>0.58136953763171006</v>
      </c>
    </row>
    <row r="1535" spans="1:15" ht="12" customHeight="1">
      <c r="A1535" s="1517"/>
      <c r="B1535" s="1502"/>
      <c r="C1535" s="635" t="s">
        <v>6219</v>
      </c>
      <c r="D1535" s="636">
        <f>D1534/(D1534+E1534+G1534+H1534+I1534+J1534+L1534+M1534+N1534)</f>
        <v>0.18665101992485322</v>
      </c>
      <c r="E1535" s="636">
        <f>E1534/(D1534+E1534+G1534+H1534+I1534+J1534+L1534+M1534+N1534)</f>
        <v>7.2442765090328126E-2</v>
      </c>
      <c r="F1535" s="637">
        <f t="shared" si="46"/>
        <v>0.25909378501518132</v>
      </c>
      <c r="G1535" s="636">
        <f>G1534/(D1534+E1534+G1534+H1534+I1534+J1534+L1534+M1534+N1534)</f>
        <v>0.22837409380268847</v>
      </c>
      <c r="H1535" s="636">
        <f>H1534/(D1534+E1534+G1534+H1534+I1534+J1534+L1534+M1534+N1534)</f>
        <v>1.7641465750955241E-2</v>
      </c>
      <c r="I1535" s="636">
        <f>I1534/(D1534+E1534+G1534+H1534+I1534+J1534+L1534+M1534+N1534)</f>
        <v>0</v>
      </c>
      <c r="J1535" s="636">
        <f>J1534/(D1534+E1534+G1534+H1534+I1534+J1534+L1534+M1534+N1534)</f>
        <v>0</v>
      </c>
      <c r="K1535" s="637">
        <f t="shared" si="47"/>
        <v>0.24601555955364371</v>
      </c>
      <c r="L1535" s="636">
        <f>L1534/(D1534+E1534+G1534+H1534+I1534+J1534+L1534+M1534+N1534)</f>
        <v>5.6713547981181493E-2</v>
      </c>
      <c r="M1535" s="636">
        <f>M1534/(D1534+E1534+G1534+H1534+I1534+J1534+L1534+M1534+N1534)</f>
        <v>1.9546645081703562E-2</v>
      </c>
      <c r="N1535" s="636">
        <f>N1534/(D1534+E1534+G1534+H1534+I1534+J1534+L1534+M1534+N1534)</f>
        <v>0.41863046236828988</v>
      </c>
      <c r="O1535" s="1503"/>
    </row>
    <row r="1536" spans="1:15" ht="12" customHeight="1">
      <c r="A1536" s="1517"/>
      <c r="B1536" s="1502" t="s">
        <v>14940</v>
      </c>
      <c r="C1536" s="638" t="s">
        <v>6218</v>
      </c>
      <c r="D1536" s="639">
        <v>62935</v>
      </c>
      <c r="E1536" s="639">
        <v>22755</v>
      </c>
      <c r="F1536" s="640">
        <f t="shared" si="46"/>
        <v>85690</v>
      </c>
      <c r="G1536" s="639">
        <v>69238</v>
      </c>
      <c r="H1536" s="639">
        <v>4762</v>
      </c>
      <c r="I1536" s="639"/>
      <c r="J1536" s="639"/>
      <c r="K1536" s="640">
        <f t="shared" si="47"/>
        <v>74000</v>
      </c>
      <c r="L1536" s="639">
        <v>15873</v>
      </c>
      <c r="M1536" s="639"/>
      <c r="N1536" s="639">
        <v>106082</v>
      </c>
      <c r="O1536" s="1503">
        <f>1-N1537</f>
        <v>0.62334854160379205</v>
      </c>
    </row>
    <row r="1537" spans="1:15" ht="12" customHeight="1" thickBot="1">
      <c r="A1537" s="1519"/>
      <c r="B1537" s="1514"/>
      <c r="C1537" s="641" t="s">
        <v>6219</v>
      </c>
      <c r="D1537" s="642">
        <f>D1536/(D1536+E1536+G1536+H1536+I1536+J1536+L1536+M1536+N1536)</f>
        <v>0.22345505867315238</v>
      </c>
      <c r="E1537" s="642">
        <f>E1536/(D1536+E1536+G1536+H1536+I1536+J1536+L1536+M1536+N1536)</f>
        <v>8.0793197109836845E-2</v>
      </c>
      <c r="F1537" s="643">
        <f t="shared" si="46"/>
        <v>0.3042482557829892</v>
      </c>
      <c r="G1537" s="642">
        <f>G1536/(D1536+E1536+G1536+H1536+I1536+J1536+L1536+M1536+N1536)</f>
        <v>0.24583429494576506</v>
      </c>
      <c r="H1537" s="642">
        <f>H1536/(D1536+E1536+G1536+H1536+I1536+J1536+L1536+M1536+N1536)</f>
        <v>1.6907809476468603E-2</v>
      </c>
      <c r="I1537" s="642">
        <f>I1536/(D1536+E1536+G1536+H1536+I1536+J1536+L1536+M1536+N1536)</f>
        <v>0</v>
      </c>
      <c r="J1537" s="642">
        <f>J1536/(D1536+E1536+G1536+H1536+I1536+J1536+L1536+M1536+N1536)</f>
        <v>0</v>
      </c>
      <c r="K1537" s="643">
        <f t="shared" si="47"/>
        <v>0.26274210442223367</v>
      </c>
      <c r="L1537" s="642">
        <f>L1536/(D1536+E1536+G1536+H1536+I1536+J1536+L1536+M1536+N1536)</f>
        <v>5.6358181398569122E-2</v>
      </c>
      <c r="M1537" s="642">
        <f>M1536/(D1536+E1536+G1536+H1536+I1536+J1536+L1536+M1536+N1536)</f>
        <v>0</v>
      </c>
      <c r="N1537" s="642">
        <f>N1536/(D1536+E1536+G1536+H1536+I1536+J1536+L1536+M1536+N1536)</f>
        <v>0.37665145839620801</v>
      </c>
      <c r="O1537" s="1515"/>
    </row>
    <row r="1538" spans="1:15" ht="12" customHeight="1">
      <c r="A1538" s="1516" t="s">
        <v>15130</v>
      </c>
      <c r="B1538" s="1509" t="s">
        <v>14937</v>
      </c>
      <c r="C1538" s="647" t="s">
        <v>6218</v>
      </c>
      <c r="D1538" s="648">
        <v>46007</v>
      </c>
      <c r="E1538" s="648">
        <v>22585</v>
      </c>
      <c r="F1538" s="649">
        <f t="shared" ref="F1538:F1601" si="48">SUM(D1538:E1538)</f>
        <v>68592</v>
      </c>
      <c r="G1538" s="648">
        <v>72949</v>
      </c>
      <c r="H1538" s="648">
        <v>6495</v>
      </c>
      <c r="I1538" s="648">
        <v>2492</v>
      </c>
      <c r="J1538" s="648">
        <v>7436</v>
      </c>
      <c r="K1538" s="649">
        <f t="shared" ref="K1538:K1601" si="49">SUM(G1538:J1538)</f>
        <v>89372</v>
      </c>
      <c r="L1538" s="648">
        <v>38208</v>
      </c>
      <c r="M1538" s="648">
        <v>3893</v>
      </c>
      <c r="N1538" s="648">
        <v>180469</v>
      </c>
      <c r="O1538" s="1510">
        <f>1-N1539</f>
        <v>0.52574802777150009</v>
      </c>
    </row>
    <row r="1539" spans="1:15" ht="12" customHeight="1">
      <c r="A1539" s="1517"/>
      <c r="B1539" s="1502"/>
      <c r="C1539" s="635" t="s">
        <v>6219</v>
      </c>
      <c r="D1539" s="636">
        <f>D1538/(D1538+E1538+G1538+H1538+I1538+J1538+L1538+M1538+N1538)</f>
        <v>0.12090115469314175</v>
      </c>
      <c r="E1539" s="636">
        <f>E1538/(D1538+E1538+G1538+H1538+I1538+J1538+L1538+M1538+N1538)</f>
        <v>5.9350807023813901E-2</v>
      </c>
      <c r="F1539" s="637">
        <f t="shared" si="48"/>
        <v>0.18025196171695565</v>
      </c>
      <c r="G1539" s="636">
        <f>G1538/(D1538+E1538+G1538+H1538+I1538+J1538+L1538+M1538+N1538)</f>
        <v>0.19170166134957717</v>
      </c>
      <c r="H1539" s="636">
        <f>H1538/(D1538+E1538+G1538+H1538+I1538+J1538+L1538+M1538+N1538)</f>
        <v>1.7068120062859037E-2</v>
      </c>
      <c r="I1539" s="636">
        <f>I1538/(D1538+E1538+G1538+H1538+I1538+J1538+L1538+M1538+N1538)</f>
        <v>6.5486921011000329E-3</v>
      </c>
      <c r="J1539" s="636">
        <f>J1538/(D1538+E1538+G1538+H1538+I1538+J1538+L1538+M1538+N1538)</f>
        <v>1.9540960860264786E-2</v>
      </c>
      <c r="K1539" s="637">
        <f t="shared" si="49"/>
        <v>0.23485943437380102</v>
      </c>
      <c r="L1539" s="636">
        <f>L1538/(D1538+E1538+G1538+H1538+I1538+J1538+L1538+M1538+N1538)</f>
        <v>0.10040627118733149</v>
      </c>
      <c r="M1539" s="636">
        <f>M1538/(D1538+E1538+G1538+H1538+I1538+J1538+L1538+M1538+N1538)</f>
        <v>1.023036049341189E-2</v>
      </c>
      <c r="N1539" s="636">
        <f>N1538/(D1538+E1538+G1538+H1538+I1538+J1538+L1538+M1538+N1538)</f>
        <v>0.47425197222849996</v>
      </c>
      <c r="O1539" s="1503"/>
    </row>
    <row r="1540" spans="1:15" ht="12" customHeight="1">
      <c r="A1540" s="1517"/>
      <c r="B1540" s="1502" t="s">
        <v>14938</v>
      </c>
      <c r="C1540" s="638" t="s">
        <v>6218</v>
      </c>
      <c r="D1540" s="639">
        <v>84407</v>
      </c>
      <c r="E1540" s="639">
        <v>24839</v>
      </c>
      <c r="F1540" s="640">
        <f t="shared" si="48"/>
        <v>109246</v>
      </c>
      <c r="G1540" s="639">
        <v>65742</v>
      </c>
      <c r="H1540" s="639">
        <v>12015</v>
      </c>
      <c r="I1540" s="639"/>
      <c r="J1540" s="639">
        <v>10143</v>
      </c>
      <c r="K1540" s="640">
        <f t="shared" si="49"/>
        <v>87900</v>
      </c>
      <c r="L1540" s="639">
        <v>40127</v>
      </c>
      <c r="M1540" s="639"/>
      <c r="N1540" s="639">
        <v>142809</v>
      </c>
      <c r="O1540" s="1503">
        <f>1-N1541</f>
        <v>0.62426792113280816</v>
      </c>
    </row>
    <row r="1541" spans="1:15" ht="12" customHeight="1">
      <c r="A1541" s="1517"/>
      <c r="B1541" s="1502"/>
      <c r="C1541" s="635" t="s">
        <v>6219</v>
      </c>
      <c r="D1541" s="636">
        <f>D1540/(D1540+E1540+G1540+H1540+I1540+J1540+L1540+M1540+N1540)</f>
        <v>0.22207576259859715</v>
      </c>
      <c r="E1541" s="636">
        <f>E1540/(D1540+E1540+G1540+H1540+I1540+J1540+L1540+M1540+N1540)</f>
        <v>6.5351687267484387E-2</v>
      </c>
      <c r="F1541" s="637">
        <f t="shared" si="48"/>
        <v>0.28742744986608154</v>
      </c>
      <c r="G1541" s="636">
        <f>G1540/(D1540+E1540+G1540+H1540+I1540+J1540+L1540+M1540+N1540)</f>
        <v>0.17296793849748213</v>
      </c>
      <c r="H1541" s="636">
        <f>H1540/(D1540+E1540+G1540+H1540+I1540+J1540+L1540+M1540+N1540)</f>
        <v>3.1611599602191107E-2</v>
      </c>
      <c r="I1541" s="636">
        <f>I1540/(D1540+E1540+G1540+H1540+I1540+J1540+L1540+M1540+N1540)</f>
        <v>0</v>
      </c>
      <c r="J1541" s="636">
        <f>J1540/(D1540+E1540+G1540+H1540+I1540+J1540+L1540+M1540+N1540)</f>
        <v>2.6686346630463952E-2</v>
      </c>
      <c r="K1541" s="637">
        <f t="shared" si="49"/>
        <v>0.23126588473013718</v>
      </c>
      <c r="L1541" s="636">
        <f>L1540/(D1540+E1540+G1540+H1540+I1540+J1540+L1540+M1540+N1540)</f>
        <v>0.10557458653658948</v>
      </c>
      <c r="M1541" s="636">
        <f>M1540/(D1540+E1540+G1540+H1540+I1540+J1540+L1540+M1540+N1540)</f>
        <v>0</v>
      </c>
      <c r="N1541" s="636">
        <f>N1540/(D1540+E1540+G1540+H1540+I1540+J1540+L1540+M1540+N1540)</f>
        <v>0.37573207886719184</v>
      </c>
      <c r="O1541" s="1503"/>
    </row>
    <row r="1542" spans="1:15" ht="12" customHeight="1">
      <c r="A1542" s="1517"/>
      <c r="B1542" s="1502" t="s">
        <v>14939</v>
      </c>
      <c r="C1542" s="638" t="s">
        <v>6218</v>
      </c>
      <c r="D1542" s="639">
        <v>48529</v>
      </c>
      <c r="E1542" s="639">
        <v>24268</v>
      </c>
      <c r="F1542" s="640">
        <f t="shared" si="48"/>
        <v>72797</v>
      </c>
      <c r="G1542" s="639">
        <v>66829</v>
      </c>
      <c r="H1542" s="639">
        <v>7802</v>
      </c>
      <c r="I1542" s="639"/>
      <c r="J1542" s="639"/>
      <c r="K1542" s="640">
        <f t="shared" si="49"/>
        <v>74631</v>
      </c>
      <c r="L1542" s="639">
        <v>38259</v>
      </c>
      <c r="M1542" s="639">
        <v>6165</v>
      </c>
      <c r="N1542" s="639">
        <v>186963</v>
      </c>
      <c r="O1542" s="1503">
        <f>1-N1543</f>
        <v>0.50645301796391373</v>
      </c>
    </row>
    <row r="1543" spans="1:15" ht="12" customHeight="1">
      <c r="A1543" s="1517"/>
      <c r="B1543" s="1502"/>
      <c r="C1543" s="635" t="s">
        <v>6219</v>
      </c>
      <c r="D1543" s="636">
        <f>D1542/(D1542+E1542+G1542+H1542+I1542+J1542+L1542+M1542+N1542)</f>
        <v>0.12810738751105422</v>
      </c>
      <c r="E1543" s="636">
        <f>E1542/(D1542+E1542+G1542+H1542+I1542+J1542+L1542+M1542+N1542)</f>
        <v>6.4062933093990471E-2</v>
      </c>
      <c r="F1543" s="637">
        <f t="shared" si="48"/>
        <v>0.19217032060504469</v>
      </c>
      <c r="G1543" s="636">
        <f>G1542/(D1542+E1542+G1542+H1542+I1542+J1542+L1542+M1542+N1542)</f>
        <v>0.17641592861951083</v>
      </c>
      <c r="H1543" s="636">
        <f>H1542/(D1542+E1542+G1542+H1542+I1542+J1542+L1542+M1542+N1542)</f>
        <v>2.0595805340337631E-2</v>
      </c>
      <c r="I1543" s="636">
        <f>I1542/(D1542+E1542+G1542+H1542+I1542+J1542+L1542+M1542+N1542)</f>
        <v>0</v>
      </c>
      <c r="J1543" s="636">
        <f>J1542/(D1542+E1542+G1542+H1542+I1542+J1542+L1542+M1542+N1542)</f>
        <v>0</v>
      </c>
      <c r="K1543" s="637">
        <f t="shared" si="49"/>
        <v>0.19701173395984847</v>
      </c>
      <c r="L1543" s="636">
        <f>L1542/(D1542+E1542+G1542+H1542+I1542+J1542+L1542+M1542+N1542)</f>
        <v>0.10099652864854876</v>
      </c>
      <c r="M1543" s="636">
        <f>M1542/(D1542+E1542+G1542+H1542+I1542+J1542+L1542+M1542+N1542)</f>
        <v>1.6274434750471866E-2</v>
      </c>
      <c r="N1543" s="636">
        <f>N1542/(D1542+E1542+G1542+H1542+I1542+J1542+L1542+M1542+N1542)</f>
        <v>0.49354698203608621</v>
      </c>
      <c r="O1543" s="1503"/>
    </row>
    <row r="1544" spans="1:15" ht="12" customHeight="1">
      <c r="A1544" s="1517"/>
      <c r="B1544" s="1502" t="s">
        <v>14940</v>
      </c>
      <c r="C1544" s="638" t="s">
        <v>6218</v>
      </c>
      <c r="D1544" s="639">
        <v>59895</v>
      </c>
      <c r="E1544" s="639">
        <v>23749</v>
      </c>
      <c r="F1544" s="640">
        <f t="shared" si="48"/>
        <v>83644</v>
      </c>
      <c r="G1544" s="639">
        <v>68815</v>
      </c>
      <c r="H1544" s="639">
        <v>7741</v>
      </c>
      <c r="I1544" s="639"/>
      <c r="J1544" s="639"/>
      <c r="K1544" s="640">
        <f t="shared" si="49"/>
        <v>76556</v>
      </c>
      <c r="L1544" s="639">
        <v>37738</v>
      </c>
      <c r="M1544" s="639"/>
      <c r="N1544" s="639">
        <v>179652</v>
      </c>
      <c r="O1544" s="1503">
        <f>1-N1545</f>
        <v>0.52421409465293045</v>
      </c>
    </row>
    <row r="1545" spans="1:15" ht="12" customHeight="1" thickBot="1">
      <c r="A1545" s="1519"/>
      <c r="B1545" s="1514"/>
      <c r="C1545" s="641" t="s">
        <v>6219</v>
      </c>
      <c r="D1545" s="642">
        <f>D1544/(D1544+E1544+G1544+H1544+I1544+J1544+L1544+M1544+N1544)</f>
        <v>0.15862443390979633</v>
      </c>
      <c r="E1545" s="642">
        <f>E1544/(D1544+E1544+G1544+H1544+I1544+J1544+L1544+M1544+N1544)</f>
        <v>6.2896263142562039E-2</v>
      </c>
      <c r="F1545" s="643">
        <f t="shared" si="48"/>
        <v>0.22152069705235838</v>
      </c>
      <c r="G1545" s="642">
        <f>G1544/(D1544+E1544+G1544+H1544+I1544+J1544+L1544+M1544+N1544)</f>
        <v>0.18224794088826504</v>
      </c>
      <c r="H1545" s="642">
        <f>H1544/(D1544+E1544+G1544+H1544+I1544+J1544+L1544+M1544+N1544)</f>
        <v>2.050107259196483E-2</v>
      </c>
      <c r="I1545" s="642">
        <f>I1544/(D1544+E1544+G1544+H1544+I1544+J1544+L1544+M1544+N1544)</f>
        <v>0</v>
      </c>
      <c r="J1545" s="642">
        <f>J1544/(D1544+E1544+G1544+H1544+I1544+J1544+L1544+M1544+N1544)</f>
        <v>0</v>
      </c>
      <c r="K1545" s="643">
        <f t="shared" si="49"/>
        <v>0.20274901348022986</v>
      </c>
      <c r="L1545" s="642">
        <f>L1544/(D1544+E1544+G1544+H1544+I1544+J1544+L1544+M1544+N1544)</f>
        <v>9.9944384120342164E-2</v>
      </c>
      <c r="M1545" s="642">
        <f>M1544/(D1544+E1544+G1544+H1544+I1544+J1544+L1544+M1544+N1544)</f>
        <v>0</v>
      </c>
      <c r="N1545" s="642">
        <f>N1544/(D1544+E1544+G1544+H1544+I1544+J1544+L1544+M1544+N1544)</f>
        <v>0.47578590534706955</v>
      </c>
      <c r="O1545" s="1515"/>
    </row>
    <row r="1546" spans="1:15" ht="12" customHeight="1">
      <c r="A1546" s="1526" t="s">
        <v>15131</v>
      </c>
      <c r="B1546" s="1509" t="s">
        <v>14937</v>
      </c>
      <c r="C1546" s="647" t="s">
        <v>6218</v>
      </c>
      <c r="D1546" s="648">
        <v>31149</v>
      </c>
      <c r="E1546" s="648">
        <v>17174</v>
      </c>
      <c r="F1546" s="649">
        <f t="shared" si="48"/>
        <v>48323</v>
      </c>
      <c r="G1546" s="648">
        <v>55457</v>
      </c>
      <c r="H1546" s="648">
        <v>5556</v>
      </c>
      <c r="I1546" s="648">
        <v>1753</v>
      </c>
      <c r="J1546" s="648">
        <v>5186</v>
      </c>
      <c r="K1546" s="649">
        <f t="shared" si="49"/>
        <v>67952</v>
      </c>
      <c r="L1546" s="648">
        <v>26989</v>
      </c>
      <c r="M1546" s="648">
        <v>2778</v>
      </c>
      <c r="N1546" s="648">
        <v>126756</v>
      </c>
      <c r="O1546" s="1510">
        <f>1-N1547</f>
        <v>0.53534849962243125</v>
      </c>
    </row>
    <row r="1547" spans="1:15" ht="12" customHeight="1">
      <c r="A1547" s="1527"/>
      <c r="B1547" s="1502"/>
      <c r="C1547" s="635" t="s">
        <v>6219</v>
      </c>
      <c r="D1547" s="636">
        <f>D1546/(D1546+E1546+G1546+H1546+I1546+J1546+L1546+M1546+N1546)</f>
        <v>0.11418338844126423</v>
      </c>
      <c r="E1547" s="636">
        <f>E1546/(D1546+E1546+G1546+H1546+I1546+J1546+L1546+M1546+N1546)</f>
        <v>6.2955007001517613E-2</v>
      </c>
      <c r="F1547" s="637">
        <f t="shared" si="48"/>
        <v>0.17713839544278184</v>
      </c>
      <c r="G1547" s="636">
        <f>G1546/(D1546+E1546+G1546+H1546+I1546+J1546+L1546+M1546+N1546)</f>
        <v>0.20328961356021671</v>
      </c>
      <c r="H1547" s="636">
        <f>H1546/(D1546+E1546+G1546+H1546+I1546+J1546+L1546+M1546+N1546)</f>
        <v>2.0366718231072074E-2</v>
      </c>
      <c r="I1547" s="636">
        <f>I1546/(D1546+E1546+G1546+H1546+I1546+J1546+L1546+M1546+N1546)</f>
        <v>6.4260001906172332E-3</v>
      </c>
      <c r="J1547" s="636">
        <f>J1546/(D1546+E1546+G1546+H1546+I1546+J1546+L1546+M1546+N1546)</f>
        <v>1.9010403302076994E-2</v>
      </c>
      <c r="K1547" s="637">
        <f t="shared" si="49"/>
        <v>0.24909273528398301</v>
      </c>
      <c r="L1547" s="636">
        <f>L1546/(D1546+E1546+G1546+H1546+I1546+J1546+L1546+M1546+N1546)</f>
        <v>9.8934009780130353E-2</v>
      </c>
      <c r="M1547" s="636">
        <f>M1546/(D1546+E1546+G1546+H1546+I1546+J1546+L1546+M1546+N1546)</f>
        <v>1.0183359115536037E-2</v>
      </c>
      <c r="N1547" s="636">
        <f>N1546/(D1546+E1546+G1546+H1546+I1546+J1546+L1546+M1546+N1546)</f>
        <v>0.46465150037756875</v>
      </c>
      <c r="O1547" s="1503"/>
    </row>
    <row r="1548" spans="1:15" ht="12" customHeight="1">
      <c r="A1548" s="1527"/>
      <c r="B1548" s="1502" t="s">
        <v>14938</v>
      </c>
      <c r="C1548" s="638" t="s">
        <v>6218</v>
      </c>
      <c r="D1548" s="639">
        <v>59075</v>
      </c>
      <c r="E1548" s="639">
        <v>17941</v>
      </c>
      <c r="F1548" s="640">
        <f t="shared" si="48"/>
        <v>77016</v>
      </c>
      <c r="G1548" s="639">
        <v>51280</v>
      </c>
      <c r="H1548" s="639">
        <v>9348</v>
      </c>
      <c r="I1548" s="639"/>
      <c r="J1548" s="639">
        <v>6655</v>
      </c>
      <c r="K1548" s="640">
        <f t="shared" si="49"/>
        <v>67283</v>
      </c>
      <c r="L1548" s="639">
        <v>28194</v>
      </c>
      <c r="M1548" s="639"/>
      <c r="N1548" s="639">
        <v>100459</v>
      </c>
      <c r="O1548" s="1503">
        <f>1-N1549</f>
        <v>0.63195360356399655</v>
      </c>
    </row>
    <row r="1549" spans="1:15" ht="12" customHeight="1">
      <c r="A1549" s="1527"/>
      <c r="B1549" s="1502"/>
      <c r="C1549" s="635" t="s">
        <v>6219</v>
      </c>
      <c r="D1549" s="636">
        <f>D1548/(D1548+E1548+G1548+H1548+I1548+J1548+L1548+M1548+N1548)</f>
        <v>0.21642999501743895</v>
      </c>
      <c r="E1549" s="636">
        <f>E1548/(D1548+E1548+G1548+H1548+I1548+J1548+L1548+M1548+N1548)</f>
        <v>6.5729505554090101E-2</v>
      </c>
      <c r="F1549" s="637">
        <f t="shared" si="48"/>
        <v>0.28215950057152905</v>
      </c>
      <c r="G1549" s="636">
        <f>G1548/(D1548+E1548+G1548+H1548+I1548+J1548+L1548+M1548+N1548)</f>
        <v>0.18787186025381752</v>
      </c>
      <c r="H1549" s="636">
        <f>H1548/(D1548+E1548+G1548+H1548+I1548+J1548+L1548+M1548+N1548)</f>
        <v>3.4247779829420559E-2</v>
      </c>
      <c r="I1549" s="636">
        <f>I1548/(D1548+E1548+G1548+H1548+I1548+J1548+L1548+M1548+N1548)</f>
        <v>0</v>
      </c>
      <c r="J1549" s="636">
        <f>J1548/(D1548+E1548+G1548+H1548+I1548+J1548+L1548+M1548+N1548)</f>
        <v>2.4381576247838446E-2</v>
      </c>
      <c r="K1549" s="637">
        <f t="shared" si="49"/>
        <v>0.24650121633107652</v>
      </c>
      <c r="L1549" s="636">
        <f>L1548/(D1548+E1548+G1548+H1548+I1548+J1548+L1548+M1548+N1548)</f>
        <v>0.10329288666139101</v>
      </c>
      <c r="M1549" s="636">
        <f>M1548/(D1548+E1548+G1548+H1548+I1548+J1548+L1548+M1548+N1548)</f>
        <v>0</v>
      </c>
      <c r="N1549" s="636">
        <f>N1548/(D1548+E1548+G1548+H1548+I1548+J1548+L1548+M1548+N1548)</f>
        <v>0.3680463964360034</v>
      </c>
      <c r="O1549" s="1503"/>
    </row>
    <row r="1550" spans="1:15" ht="12" customHeight="1">
      <c r="A1550" s="1527"/>
      <c r="B1550" s="1502" t="s">
        <v>14939</v>
      </c>
      <c r="C1550" s="638" t="s">
        <v>6218</v>
      </c>
      <c r="D1550" s="639">
        <v>33142</v>
      </c>
      <c r="E1550" s="639">
        <v>18185</v>
      </c>
      <c r="F1550" s="640">
        <f t="shared" si="48"/>
        <v>51327</v>
      </c>
      <c r="G1550" s="639">
        <v>50514</v>
      </c>
      <c r="H1550" s="639">
        <v>6185</v>
      </c>
      <c r="I1550" s="639"/>
      <c r="J1550" s="639"/>
      <c r="K1550" s="640">
        <f t="shared" si="49"/>
        <v>56699</v>
      </c>
      <c r="L1550" s="639">
        <v>27230</v>
      </c>
      <c r="M1550" s="639">
        <v>4684</v>
      </c>
      <c r="N1550" s="639">
        <v>133834</v>
      </c>
      <c r="O1550" s="1503">
        <f>1-N1551</f>
        <v>0.5111515337468131</v>
      </c>
    </row>
    <row r="1551" spans="1:15" ht="12" customHeight="1">
      <c r="A1551" s="1527"/>
      <c r="B1551" s="1502"/>
      <c r="C1551" s="635" t="s">
        <v>6219</v>
      </c>
      <c r="D1551" s="636">
        <f>D1550/(D1550+E1550+G1550+H1550+I1550+J1550+L1550+M1550+N1550)</f>
        <v>0.12105605353320623</v>
      </c>
      <c r="E1551" s="636">
        <f>E1550/(D1550+E1550+G1550+H1550+I1550+J1550+L1550+M1550+N1550)</f>
        <v>6.6423400322894066E-2</v>
      </c>
      <c r="F1551" s="637">
        <f t="shared" si="48"/>
        <v>0.18747945385610029</v>
      </c>
      <c r="G1551" s="636">
        <f>G1550/(D1550+E1550+G1550+H1550+I1550+J1550+L1550+M1550+N1550)</f>
        <v>0.18450985119112845</v>
      </c>
      <c r="H1551" s="636">
        <f>H1550/(D1550+E1550+G1550+H1550+I1550+J1550+L1550+M1550+N1550)</f>
        <v>2.2591626670173209E-2</v>
      </c>
      <c r="I1551" s="636">
        <f>I1550/(D1550+E1550+G1550+H1550+I1550+J1550+L1550+M1550+N1550)</f>
        <v>0</v>
      </c>
      <c r="J1551" s="636">
        <f>J1550/(D1550+E1550+G1550+H1550+I1550+J1550+L1550+M1550+N1550)</f>
        <v>0</v>
      </c>
      <c r="K1551" s="637">
        <f t="shared" si="49"/>
        <v>0.20710147786130165</v>
      </c>
      <c r="L1551" s="636">
        <f>L1550/(D1550+E1550+G1550+H1550+I1550+J1550+L1550+M1550+N1550)</f>
        <v>9.9461599713632415E-2</v>
      </c>
      <c r="M1551" s="636">
        <f>M1550/(D1550+E1550+G1550+H1550+I1550+J1550+L1550+M1550+N1550)</f>
        <v>1.7109002315778707E-2</v>
      </c>
      <c r="N1551" s="636">
        <f>N1550/(D1550+E1550+G1550+H1550+I1550+J1550+L1550+M1550+N1550)</f>
        <v>0.48884846625318695</v>
      </c>
      <c r="O1551" s="1503"/>
    </row>
    <row r="1552" spans="1:15" ht="12" customHeight="1">
      <c r="A1552" s="1527"/>
      <c r="B1552" s="1502" t="s">
        <v>14940</v>
      </c>
      <c r="C1552" s="638" t="s">
        <v>6218</v>
      </c>
      <c r="D1552" s="639">
        <v>41298</v>
      </c>
      <c r="E1552" s="639">
        <v>18041</v>
      </c>
      <c r="F1552" s="640">
        <f t="shared" si="48"/>
        <v>59339</v>
      </c>
      <c r="G1552" s="639">
        <v>56162</v>
      </c>
      <c r="H1552" s="639">
        <v>6313</v>
      </c>
      <c r="I1552" s="639"/>
      <c r="J1552" s="639"/>
      <c r="K1552" s="640">
        <f t="shared" si="49"/>
        <v>62475</v>
      </c>
      <c r="L1552" s="639">
        <v>26408</v>
      </c>
      <c r="M1552" s="639"/>
      <c r="N1552" s="639">
        <v>126225</v>
      </c>
      <c r="O1552" s="1503">
        <f>1-N1553</f>
        <v>0.54007513290362075</v>
      </c>
    </row>
    <row r="1553" spans="1:15" ht="12" customHeight="1" thickBot="1">
      <c r="A1553" s="1528"/>
      <c r="B1553" s="1514"/>
      <c r="C1553" s="641" t="s">
        <v>6219</v>
      </c>
      <c r="D1553" s="642">
        <f>D1552/(D1552+E1552+G1552+H1552+I1552+J1552+L1552+M1552+N1552)</f>
        <v>0.15047714130597165</v>
      </c>
      <c r="E1553" s="642">
        <f>E1552/(D1552+E1552+G1552+H1552+I1552+J1552+L1552+M1552+N1552)</f>
        <v>6.5735825131992692E-2</v>
      </c>
      <c r="F1553" s="643">
        <f t="shared" si="48"/>
        <v>0.21621296643796434</v>
      </c>
      <c r="G1553" s="642">
        <f>G1552/(D1552+E1552+G1552+H1552+I1552+J1552+L1552+M1552+N1552)</f>
        <v>0.20463696087040484</v>
      </c>
      <c r="H1553" s="642">
        <f>H1552/(D1552+E1552+G1552+H1552+I1552+J1552+L1552+M1552+N1552)</f>
        <v>2.3002619813661654E-2</v>
      </c>
      <c r="I1553" s="642">
        <f>I1552/(D1552+E1552+G1552+H1552+I1552+J1552+L1552+M1552+N1552)</f>
        <v>0</v>
      </c>
      <c r="J1553" s="642">
        <f>J1552/(D1552+E1552+G1552+H1552+I1552+J1552+L1552+M1552+N1552)</f>
        <v>0</v>
      </c>
      <c r="K1553" s="643">
        <f t="shared" si="49"/>
        <v>0.22763958068406648</v>
      </c>
      <c r="L1553" s="642">
        <f>L1552/(D1552+E1552+G1552+H1552+I1552+J1552+L1552+M1552+N1552)</f>
        <v>9.6222585781589889E-2</v>
      </c>
      <c r="M1553" s="642">
        <f>M1552/(D1552+E1552+G1552+H1552+I1552+J1552+L1552+M1552+N1552)</f>
        <v>0</v>
      </c>
      <c r="N1553" s="642">
        <f>N1552/(D1552+E1552+G1552+H1552+I1552+J1552+L1552+M1552+N1552)</f>
        <v>0.45992486709637925</v>
      </c>
      <c r="O1553" s="1515"/>
    </row>
    <row r="1554" spans="1:15" ht="12" customHeight="1">
      <c r="A1554" s="1526" t="s">
        <v>15132</v>
      </c>
      <c r="B1554" s="1509" t="s">
        <v>14937</v>
      </c>
      <c r="C1554" s="647" t="s">
        <v>6218</v>
      </c>
      <c r="D1554" s="648">
        <v>38042</v>
      </c>
      <c r="E1554" s="648">
        <v>25424</v>
      </c>
      <c r="F1554" s="649">
        <f t="shared" si="48"/>
        <v>63466</v>
      </c>
      <c r="G1554" s="648">
        <v>69684</v>
      </c>
      <c r="H1554" s="648">
        <v>6213</v>
      </c>
      <c r="I1554" s="648">
        <v>2192</v>
      </c>
      <c r="J1554" s="648">
        <v>6394</v>
      </c>
      <c r="K1554" s="649">
        <f t="shared" si="49"/>
        <v>84483</v>
      </c>
      <c r="L1554" s="648">
        <v>29333</v>
      </c>
      <c r="M1554" s="648">
        <v>3138</v>
      </c>
      <c r="N1554" s="648">
        <v>165723</v>
      </c>
      <c r="O1554" s="1510">
        <f>1-N1555</f>
        <v>0.52122966519617608</v>
      </c>
    </row>
    <row r="1555" spans="1:15" ht="12" customHeight="1">
      <c r="A1555" s="1527"/>
      <c r="B1555" s="1502"/>
      <c r="C1555" s="635" t="s">
        <v>6219</v>
      </c>
      <c r="D1555" s="636">
        <f>D1554/(D1554+E1554+G1554+H1554+I1554+J1554+L1554+M1554+N1554)</f>
        <v>0.10990255472449248</v>
      </c>
      <c r="E1555" s="636">
        <f>E1554/(D1554+E1554+G1554+H1554+I1554+J1554+L1554+M1554+N1554)</f>
        <v>7.3449412526036928E-2</v>
      </c>
      <c r="F1555" s="637">
        <f t="shared" si="48"/>
        <v>0.18335196725052941</v>
      </c>
      <c r="G1555" s="636">
        <f>G1554/(D1554+E1554+G1554+H1554+I1554+J1554+L1554+M1554+N1554)</f>
        <v>0.20131564122342499</v>
      </c>
      <c r="H1555" s="636">
        <f>H1554/(D1554+E1554+G1554+H1554+I1554+J1554+L1554+M1554+N1554)</f>
        <v>1.7949229075844376E-2</v>
      </c>
      <c r="I1555" s="636">
        <f>I1554/(D1554+E1554+G1554+H1554+I1554+J1554+L1554+M1554+N1554)</f>
        <v>6.3326428672542852E-3</v>
      </c>
      <c r="J1555" s="636">
        <f>J1554/(D1554+E1554+G1554+H1554+I1554+J1554+L1554+M1554+N1554)</f>
        <v>1.8472134349098494E-2</v>
      </c>
      <c r="K1555" s="637">
        <f t="shared" si="49"/>
        <v>0.24406964751562216</v>
      </c>
      <c r="L1555" s="636">
        <f>L1554/(D1554+E1554+G1554+H1554+I1554+J1554+L1554+M1554+N1554)</f>
        <v>8.4742433040679715E-2</v>
      </c>
      <c r="M1555" s="636">
        <f>M1554/(D1554+E1554+G1554+H1554+I1554+J1554+L1554+M1554+N1554)</f>
        <v>9.0656173893448669E-3</v>
      </c>
      <c r="N1555" s="636">
        <f>N1554/(D1554+E1554+G1554+H1554+I1554+J1554+L1554+M1554+N1554)</f>
        <v>0.47877033480382386</v>
      </c>
      <c r="O1555" s="1503"/>
    </row>
    <row r="1556" spans="1:15" ht="12" customHeight="1">
      <c r="A1556" s="1527"/>
      <c r="B1556" s="1502" t="s">
        <v>14938</v>
      </c>
      <c r="C1556" s="638" t="s">
        <v>6218</v>
      </c>
      <c r="D1556" s="639">
        <v>72920</v>
      </c>
      <c r="E1556" s="639">
        <v>27251</v>
      </c>
      <c r="F1556" s="640">
        <f t="shared" si="48"/>
        <v>100171</v>
      </c>
      <c r="G1556" s="639">
        <v>64845</v>
      </c>
      <c r="H1556" s="639">
        <v>11336</v>
      </c>
      <c r="I1556" s="639"/>
      <c r="J1556" s="639">
        <v>8110</v>
      </c>
      <c r="K1556" s="640">
        <f t="shared" si="49"/>
        <v>84291</v>
      </c>
      <c r="L1556" s="639">
        <v>31139</v>
      </c>
      <c r="M1556" s="639"/>
      <c r="N1556" s="639">
        <v>128610</v>
      </c>
      <c r="O1556" s="1503">
        <f>1-N1557</f>
        <v>0.62636289950059698</v>
      </c>
    </row>
    <row r="1557" spans="1:15" ht="12" customHeight="1">
      <c r="A1557" s="1527"/>
      <c r="B1557" s="1502"/>
      <c r="C1557" s="635" t="s">
        <v>6219</v>
      </c>
      <c r="D1557" s="636">
        <f>D1556/(D1556+E1556+G1556+H1556+I1556+J1556+L1556+M1556+N1556)</f>
        <v>0.21184680326892516</v>
      </c>
      <c r="E1557" s="636">
        <f>E1556/(D1556+E1556+G1556+H1556+I1556+J1556+L1556+M1556+N1556)</f>
        <v>7.9169462916641245E-2</v>
      </c>
      <c r="F1557" s="637">
        <f t="shared" si="48"/>
        <v>0.29101626618556642</v>
      </c>
      <c r="G1557" s="636">
        <f>G1556/(D1556+E1556+G1556+H1556+I1556+J1556+L1556+M1556+N1556)</f>
        <v>0.18838735543024482</v>
      </c>
      <c r="H1557" s="636">
        <f>H1556/(D1556+E1556+G1556+H1556+I1556+J1556+L1556+M1556+N1556)</f>
        <v>3.2933288012294781E-2</v>
      </c>
      <c r="I1557" s="636">
        <f>I1556/(D1556+E1556+G1556+H1556+I1556+J1556+L1556+M1556+N1556)</f>
        <v>0</v>
      </c>
      <c r="J1557" s="636">
        <f>J1556/(D1556+E1556+G1556+H1556+I1556+J1556+L1556+M1556+N1556)</f>
        <v>2.3561129655937783E-2</v>
      </c>
      <c r="K1557" s="637">
        <f t="shared" si="49"/>
        <v>0.24488177309847739</v>
      </c>
      <c r="L1557" s="636">
        <f>L1556/(D1556+E1556+G1556+H1556+I1556+J1556+L1556+M1556+N1556)</f>
        <v>9.0464860216553214E-2</v>
      </c>
      <c r="M1557" s="636">
        <f>M1556/(D1556+E1556+G1556+H1556+I1556+J1556+L1556+M1556+N1556)</f>
        <v>0</v>
      </c>
      <c r="N1557" s="636">
        <f>N1556/(D1556+E1556+G1556+H1556+I1556+J1556+L1556+M1556+N1556)</f>
        <v>0.37363710049940296</v>
      </c>
      <c r="O1557" s="1503"/>
    </row>
    <row r="1558" spans="1:15" ht="12" customHeight="1">
      <c r="A1558" s="1527"/>
      <c r="B1558" s="1502" t="s">
        <v>14939</v>
      </c>
      <c r="C1558" s="638" t="s">
        <v>6218</v>
      </c>
      <c r="D1558" s="639">
        <v>38515</v>
      </c>
      <c r="E1558" s="639">
        <v>27406</v>
      </c>
      <c r="F1558" s="640">
        <f t="shared" si="48"/>
        <v>65921</v>
      </c>
      <c r="G1558" s="639">
        <v>63286</v>
      </c>
      <c r="H1558" s="639">
        <v>7730</v>
      </c>
      <c r="I1558" s="639"/>
      <c r="J1558" s="639"/>
      <c r="K1558" s="640">
        <f t="shared" si="49"/>
        <v>71016</v>
      </c>
      <c r="L1558" s="639">
        <v>29366</v>
      </c>
      <c r="M1558" s="639">
        <v>5427</v>
      </c>
      <c r="N1558" s="639">
        <v>171160</v>
      </c>
      <c r="O1558" s="1503">
        <f>1-N1559</f>
        <v>0.50083117034617519</v>
      </c>
    </row>
    <row r="1559" spans="1:15" ht="12" customHeight="1">
      <c r="A1559" s="1527"/>
      <c r="B1559" s="1502"/>
      <c r="C1559" s="635" t="s">
        <v>6219</v>
      </c>
      <c r="D1559" s="636">
        <f>D1558/(D1558+E1558+G1558+H1558+I1558+J1558+L1558+M1558+N1558)</f>
        <v>0.11232465222082884</v>
      </c>
      <c r="E1559" s="636">
        <f>E1558/(D1558+E1558+G1558+H1558+I1558+J1558+L1558+M1558+N1558)</f>
        <v>7.9926507043075037E-2</v>
      </c>
      <c r="F1559" s="637">
        <f t="shared" si="48"/>
        <v>0.19225115926390388</v>
      </c>
      <c r="G1559" s="636">
        <f>G1558/(D1558+E1558+G1558+H1558+I1558+J1558+L1558+M1558+N1558)</f>
        <v>0.18456647904575813</v>
      </c>
      <c r="H1559" s="636">
        <f>H1558/(D1558+E1558+G1558+H1558+I1558+J1558+L1558+M1558+N1558)</f>
        <v>2.2543672898013942E-2</v>
      </c>
      <c r="I1559" s="636">
        <f>I1558/(D1558+E1558+G1558+H1558+I1558+J1558+L1558+M1558+N1558)</f>
        <v>0</v>
      </c>
      <c r="J1559" s="636">
        <f>J1558/(D1558+E1558+G1558+H1558+I1558+J1558+L1558+M1558+N1558)</f>
        <v>0</v>
      </c>
      <c r="K1559" s="637">
        <f t="shared" si="49"/>
        <v>0.20711015194377208</v>
      </c>
      <c r="L1559" s="636">
        <f>L1558/(D1558+E1558+G1558+H1558+I1558+J1558+L1558+M1558+N1558)</f>
        <v>8.5642625915016479E-2</v>
      </c>
      <c r="M1559" s="636">
        <f>M1558/(D1558+E1558+G1558+H1558+I1558+J1558+L1558+M1558+N1558)</f>
        <v>1.5827233223482749E-2</v>
      </c>
      <c r="N1559" s="636">
        <f>N1558/(D1558+E1558+G1558+H1558+I1558+J1558+L1558+M1558+N1558)</f>
        <v>0.49916882965382486</v>
      </c>
      <c r="O1559" s="1503"/>
    </row>
    <row r="1560" spans="1:15" ht="12" customHeight="1">
      <c r="A1560" s="1527"/>
      <c r="B1560" s="1502" t="s">
        <v>14940</v>
      </c>
      <c r="C1560" s="638" t="s">
        <v>6218</v>
      </c>
      <c r="D1560" s="639">
        <v>48564</v>
      </c>
      <c r="E1560" s="639">
        <v>28077</v>
      </c>
      <c r="F1560" s="640">
        <f t="shared" si="48"/>
        <v>76641</v>
      </c>
      <c r="G1560" s="639">
        <v>66476</v>
      </c>
      <c r="H1560" s="639">
        <v>7763</v>
      </c>
      <c r="I1560" s="639"/>
      <c r="J1560" s="639"/>
      <c r="K1560" s="640">
        <f t="shared" si="49"/>
        <v>74239</v>
      </c>
      <c r="L1560" s="639">
        <v>28547</v>
      </c>
      <c r="M1560" s="639"/>
      <c r="N1560" s="639">
        <v>163329</v>
      </c>
      <c r="O1560" s="1503">
        <f>1-N1561</f>
        <v>0.5234831775373735</v>
      </c>
    </row>
    <row r="1561" spans="1:15" ht="12" customHeight="1" thickBot="1">
      <c r="A1561" s="1528"/>
      <c r="B1561" s="1514"/>
      <c r="C1561" s="641" t="s">
        <v>6219</v>
      </c>
      <c r="D1561" s="642">
        <f>D1560/(D1560+E1560+G1560+H1560+I1560+J1560+L1560+M1560+N1560)</f>
        <v>0.14168679760529357</v>
      </c>
      <c r="E1561" s="642">
        <f>E1560/(D1560+E1560+G1560+H1560+I1560+J1560+L1560+M1560+N1560)</f>
        <v>8.1915415047438989E-2</v>
      </c>
      <c r="F1561" s="643">
        <f t="shared" si="48"/>
        <v>0.22360221265273256</v>
      </c>
      <c r="G1561" s="642">
        <f>G1560/(D1560+E1560+G1560+H1560+I1560+J1560+L1560+M1560+N1560)</f>
        <v>0.19394554726977792</v>
      </c>
      <c r="H1561" s="642">
        <f>H1560/(D1560+E1560+G1560+H1560+I1560+J1560+L1560+M1560+N1560)</f>
        <v>2.2648764718925418E-2</v>
      </c>
      <c r="I1561" s="642">
        <f>I1560/(D1560+E1560+G1560+H1560+I1560+J1560+L1560+M1560+N1560)</f>
        <v>0</v>
      </c>
      <c r="J1561" s="642">
        <f>J1560/(D1560+E1560+G1560+H1560+I1560+J1560+L1560+M1560+N1560)</f>
        <v>0</v>
      </c>
      <c r="K1561" s="643">
        <f t="shared" si="49"/>
        <v>0.21659431198870333</v>
      </c>
      <c r="L1561" s="642">
        <f>L1560/(D1560+E1560+G1560+H1560+I1560+J1560+L1560+M1560+N1560)</f>
        <v>8.3286652895937632E-2</v>
      </c>
      <c r="M1561" s="642">
        <f>M1560/(D1560+E1560+G1560+H1560+I1560+J1560+L1560+M1560+N1560)</f>
        <v>0</v>
      </c>
      <c r="N1561" s="642">
        <f>N1560/(D1560+E1560+G1560+H1560+I1560+J1560+L1560+M1560+N1560)</f>
        <v>0.4765168224626265</v>
      </c>
      <c r="O1561" s="1515"/>
    </row>
    <row r="1562" spans="1:15" ht="12" customHeight="1">
      <c r="A1562" s="1516" t="s">
        <v>15133</v>
      </c>
      <c r="B1562" s="1509" t="s">
        <v>14937</v>
      </c>
      <c r="C1562" s="647" t="s">
        <v>6218</v>
      </c>
      <c r="D1562" s="648">
        <v>52427</v>
      </c>
      <c r="E1562" s="648">
        <v>27271</v>
      </c>
      <c r="F1562" s="649">
        <f t="shared" si="48"/>
        <v>79698</v>
      </c>
      <c r="G1562" s="648">
        <v>80925</v>
      </c>
      <c r="H1562" s="648">
        <v>6201</v>
      </c>
      <c r="I1562" s="648">
        <v>2788</v>
      </c>
      <c r="J1562" s="648">
        <v>6614</v>
      </c>
      <c r="K1562" s="649">
        <f t="shared" si="49"/>
        <v>96528</v>
      </c>
      <c r="L1562" s="648">
        <v>35628</v>
      </c>
      <c r="M1562" s="648">
        <v>3619</v>
      </c>
      <c r="N1562" s="648">
        <v>182254</v>
      </c>
      <c r="O1562" s="1510">
        <f>1-N1563</f>
        <v>0.54176105720758216</v>
      </c>
    </row>
    <row r="1563" spans="1:15" ht="12" customHeight="1">
      <c r="A1563" s="1517"/>
      <c r="B1563" s="1502"/>
      <c r="C1563" s="635" t="s">
        <v>6219</v>
      </c>
      <c r="D1563" s="636">
        <f>D1562/(D1562+E1562+G1562+H1562+I1562+J1562+L1562+M1562+N1562)</f>
        <v>0.13181654753134689</v>
      </c>
      <c r="E1563" s="636">
        <f>E1562/(D1562+E1562+G1562+H1562+I1562+J1562+L1562+M1562+N1562)</f>
        <v>6.8567132731748165E-2</v>
      </c>
      <c r="F1563" s="637">
        <f t="shared" si="48"/>
        <v>0.20038368026309505</v>
      </c>
      <c r="G1563" s="636">
        <f>G1562/(D1562+E1562+G1562+H1562+I1562+J1562+L1562+M1562+N1562)</f>
        <v>0.20346871094997324</v>
      </c>
      <c r="H1563" s="636">
        <f>H1562/(D1562+E1562+G1562+H1562+I1562+J1562+L1562+M1562+N1562)</f>
        <v>1.5591096405323249E-2</v>
      </c>
      <c r="I1563" s="636">
        <f>I1562/(D1562+E1562+G1562+H1562+I1562+J1562+L1562+M1562+N1562)</f>
        <v>7.0098333781714595E-3</v>
      </c>
      <c r="J1563" s="636">
        <f>J1562/(D1562+E1562+G1562+H1562+I1562+J1562+L1562+M1562+N1562)</f>
        <v>1.6629497117369451E-2</v>
      </c>
      <c r="K1563" s="637">
        <f t="shared" si="49"/>
        <v>0.24269913785083738</v>
      </c>
      <c r="L1563" s="636">
        <f>L1562/(D1562+E1562+G1562+H1562+I1562+J1562+L1562+M1562+N1562)</f>
        <v>8.9579032854193955E-2</v>
      </c>
      <c r="M1563" s="636">
        <f>M1562/(D1562+E1562+G1562+H1562+I1562+J1562+L1562+M1562+N1562)</f>
        <v>9.0992062394557073E-3</v>
      </c>
      <c r="N1563" s="636">
        <f>N1562/(D1562+E1562+G1562+H1562+I1562+J1562+L1562+M1562+N1562)</f>
        <v>0.45823894279241789</v>
      </c>
      <c r="O1563" s="1503"/>
    </row>
    <row r="1564" spans="1:15" ht="12" customHeight="1">
      <c r="A1564" s="1517"/>
      <c r="B1564" s="1502" t="s">
        <v>14938</v>
      </c>
      <c r="C1564" s="638" t="s">
        <v>6218</v>
      </c>
      <c r="D1564" s="639">
        <v>86006</v>
      </c>
      <c r="E1564" s="639">
        <v>33236</v>
      </c>
      <c r="F1564" s="640">
        <f t="shared" si="48"/>
        <v>119242</v>
      </c>
      <c r="G1564" s="639">
        <v>76573</v>
      </c>
      <c r="H1564" s="639">
        <v>12049</v>
      </c>
      <c r="I1564" s="639"/>
      <c r="J1564" s="639">
        <v>12210</v>
      </c>
      <c r="K1564" s="640">
        <f t="shared" si="49"/>
        <v>100832</v>
      </c>
      <c r="L1564" s="639">
        <v>36675</v>
      </c>
      <c r="M1564" s="639"/>
      <c r="N1564" s="639">
        <v>139275</v>
      </c>
      <c r="O1564" s="1503">
        <f>1-N1565</f>
        <v>0.648316768680686</v>
      </c>
    </row>
    <row r="1565" spans="1:15" ht="12" customHeight="1">
      <c r="A1565" s="1517"/>
      <c r="B1565" s="1502"/>
      <c r="C1565" s="635" t="s">
        <v>6219</v>
      </c>
      <c r="D1565" s="636">
        <f>D1564/(D1564+E1564+G1564+H1564+I1564+J1564+L1564+M1564+N1564)</f>
        <v>0.21717370664404179</v>
      </c>
      <c r="E1565" s="636">
        <f>E1564/(D1564+E1564+G1564+H1564+I1564+J1564+L1564+M1564+N1564)</f>
        <v>8.3924206613740587E-2</v>
      </c>
      <c r="F1565" s="637">
        <f t="shared" si="48"/>
        <v>0.30109791325778235</v>
      </c>
      <c r="G1565" s="636">
        <f>G1564/(D1564+E1564+G1564+H1564+I1564+J1564+L1564+M1564+N1564)</f>
        <v>0.1933544431650607</v>
      </c>
      <c r="H1565" s="636">
        <f>H1564/(D1564+E1564+G1564+H1564+I1564+J1564+L1564+M1564+N1564)</f>
        <v>3.0424923741995433E-2</v>
      </c>
      <c r="I1565" s="636">
        <f>I1564/(D1564+E1564+G1564+H1564+I1564+J1564+L1564+M1564+N1564)</f>
        <v>0</v>
      </c>
      <c r="J1565" s="636">
        <f>J1564/(D1564+E1564+G1564+H1564+I1564+J1564+L1564+M1564+N1564)</f>
        <v>3.0831464759711533E-2</v>
      </c>
      <c r="K1565" s="637">
        <f t="shared" si="49"/>
        <v>0.25461083166676768</v>
      </c>
      <c r="L1565" s="636">
        <f>L1564/(D1564+E1564+G1564+H1564+I1564+J1564+L1564+M1564+N1564)</f>
        <v>9.2608023756135999E-2</v>
      </c>
      <c r="M1565" s="636">
        <f>M1564/(D1564+E1564+G1564+H1564+I1564+J1564+L1564+M1564+N1564)</f>
        <v>0</v>
      </c>
      <c r="N1565" s="636">
        <f>N1564/(D1564+E1564+G1564+H1564+I1564+J1564+L1564+M1564+N1564)</f>
        <v>0.351683231319314</v>
      </c>
      <c r="O1565" s="1503"/>
    </row>
    <row r="1566" spans="1:15" ht="12" customHeight="1">
      <c r="A1566" s="1517"/>
      <c r="B1566" s="1502" t="s">
        <v>14939</v>
      </c>
      <c r="C1566" s="638" t="s">
        <v>6218</v>
      </c>
      <c r="D1566" s="639">
        <v>55087</v>
      </c>
      <c r="E1566" s="639">
        <v>29934</v>
      </c>
      <c r="F1566" s="640">
        <f t="shared" si="48"/>
        <v>85021</v>
      </c>
      <c r="G1566" s="639">
        <v>73159</v>
      </c>
      <c r="H1566" s="639">
        <v>7992</v>
      </c>
      <c r="I1566" s="639"/>
      <c r="J1566" s="639"/>
      <c r="K1566" s="640">
        <f t="shared" si="49"/>
        <v>81151</v>
      </c>
      <c r="L1566" s="639">
        <v>35758</v>
      </c>
      <c r="M1566" s="639">
        <v>5900</v>
      </c>
      <c r="N1566" s="639">
        <v>186348</v>
      </c>
      <c r="O1566" s="1503">
        <f>1-N1567</f>
        <v>0.52724911080780767</v>
      </c>
    </row>
    <row r="1567" spans="1:15" ht="12" customHeight="1">
      <c r="A1567" s="1517"/>
      <c r="B1567" s="1502"/>
      <c r="C1567" s="635" t="s">
        <v>6219</v>
      </c>
      <c r="D1567" s="636">
        <f>D1566/(D1566+E1566+G1566+H1566+I1566+J1566+L1566+M1566+N1566)</f>
        <v>0.13975158430962661</v>
      </c>
      <c r="E1567" s="636">
        <f>E1566/(D1566+E1566+G1566+H1566+I1566+J1566+L1566+M1566+N1566)</f>
        <v>7.5940311229951957E-2</v>
      </c>
      <c r="F1567" s="637">
        <f t="shared" si="48"/>
        <v>0.21569189553957857</v>
      </c>
      <c r="G1567" s="636">
        <f>G1566/(D1566+E1566+G1566+H1566+I1566+J1566+L1566+M1566+N1566)</f>
        <v>0.18559889187118511</v>
      </c>
      <c r="H1567" s="636">
        <f>H1566/(D1566+E1566+G1566+H1566+I1566+J1566+L1566+M1566+N1566)</f>
        <v>2.0275104140768892E-2</v>
      </c>
      <c r="I1567" s="636">
        <f>I1566/(D1566+E1566+G1566+H1566+I1566+J1566+L1566+M1566+N1566)</f>
        <v>0</v>
      </c>
      <c r="J1567" s="636">
        <f>J1566/(D1566+E1566+G1566+H1566+I1566+J1566+L1566+M1566+N1566)</f>
        <v>0</v>
      </c>
      <c r="K1567" s="637">
        <f t="shared" si="49"/>
        <v>0.205873996011954</v>
      </c>
      <c r="L1567" s="636">
        <f>L1566/(D1566+E1566+G1566+H1566+I1566+J1566+L1566+M1566+N1566)</f>
        <v>9.0715362095297042E-2</v>
      </c>
      <c r="M1567" s="636">
        <f>M1566/(D1566+E1566+G1566+H1566+I1566+J1566+L1566+M1566+N1566)</f>
        <v>1.4967857160978036E-2</v>
      </c>
      <c r="N1567" s="636">
        <f>N1566/(D1566+E1566+G1566+H1566+I1566+J1566+L1566+M1566+N1566)</f>
        <v>0.47275088919219238</v>
      </c>
      <c r="O1567" s="1503"/>
    </row>
    <row r="1568" spans="1:15" ht="12" customHeight="1">
      <c r="A1568" s="1517"/>
      <c r="B1568" s="1502" t="s">
        <v>14940</v>
      </c>
      <c r="C1568" s="638" t="s">
        <v>6218</v>
      </c>
      <c r="D1568" s="639">
        <v>71694</v>
      </c>
      <c r="E1568" s="639">
        <v>28658</v>
      </c>
      <c r="F1568" s="640">
        <f t="shared" si="48"/>
        <v>100352</v>
      </c>
      <c r="G1568" s="639">
        <v>74363</v>
      </c>
      <c r="H1568" s="639">
        <v>7882</v>
      </c>
      <c r="I1568" s="639"/>
      <c r="J1568" s="639"/>
      <c r="K1568" s="640">
        <f t="shared" si="49"/>
        <v>82245</v>
      </c>
      <c r="L1568" s="639">
        <v>33644</v>
      </c>
      <c r="M1568" s="639"/>
      <c r="N1568" s="639">
        <v>176793</v>
      </c>
      <c r="O1568" s="1503">
        <f>1-N1569</f>
        <v>0.55018395355109229</v>
      </c>
    </row>
    <row r="1569" spans="1:15" ht="12" customHeight="1" thickBot="1">
      <c r="A1569" s="1519"/>
      <c r="B1569" s="1514"/>
      <c r="C1569" s="641" t="s">
        <v>6219</v>
      </c>
      <c r="D1569" s="642">
        <f>D1568/(D1568+E1568+G1568+H1568+I1568+J1568+L1568+M1568+N1568)</f>
        <v>0.18241169975116656</v>
      </c>
      <c r="E1569" s="642">
        <f>E1568/(D1568+E1568+G1568+H1568+I1568+J1568+L1568+M1568+N1568)</f>
        <v>7.2914811441249353E-2</v>
      </c>
      <c r="F1569" s="643">
        <f t="shared" si="48"/>
        <v>0.25532651119241589</v>
      </c>
      <c r="G1569" s="642">
        <f>G1568/(D1568+E1568+G1568+H1568+I1568+J1568+L1568+M1568+N1568)</f>
        <v>0.18920246085580383</v>
      </c>
      <c r="H1569" s="642">
        <f>H1568/(D1568+E1568+G1568+H1568+I1568+J1568+L1568+M1568+N1568)</f>
        <v>2.0054244670944497E-2</v>
      </c>
      <c r="I1569" s="642">
        <f>I1568/(D1568+E1568+G1568+H1568+I1568+J1568+L1568+M1568+N1568)</f>
        <v>0</v>
      </c>
      <c r="J1569" s="642">
        <f>J1568/(D1568+E1568+G1568+H1568+I1568+J1568+L1568+M1568+N1568)</f>
        <v>0</v>
      </c>
      <c r="K1569" s="643">
        <f t="shared" si="49"/>
        <v>0.20925670552674833</v>
      </c>
      <c r="L1569" s="642">
        <f>L1568/(D1568+E1568+G1568+H1568+I1568+J1568+L1568+M1568+N1568)</f>
        <v>8.5600736831928023E-2</v>
      </c>
      <c r="M1569" s="642">
        <f>M1568/(D1568+E1568+G1568+H1568+I1568+J1568+L1568+M1568+N1568)</f>
        <v>0</v>
      </c>
      <c r="N1569" s="642">
        <f>N1568/(D1568+E1568+G1568+H1568+I1568+J1568+L1568+M1568+N1568)</f>
        <v>0.44981604644890771</v>
      </c>
      <c r="O1569" s="1515"/>
    </row>
    <row r="1570" spans="1:15" ht="12" customHeight="1">
      <c r="A1570" s="1516" t="s">
        <v>15134</v>
      </c>
      <c r="B1570" s="1509" t="s">
        <v>14937</v>
      </c>
      <c r="C1570" s="647" t="s">
        <v>6218</v>
      </c>
      <c r="D1570" s="648">
        <v>50039</v>
      </c>
      <c r="E1570" s="648">
        <v>18852</v>
      </c>
      <c r="F1570" s="649">
        <f t="shared" si="48"/>
        <v>68891</v>
      </c>
      <c r="G1570" s="648">
        <v>56010</v>
      </c>
      <c r="H1570" s="648">
        <v>4072</v>
      </c>
      <c r="I1570" s="648">
        <v>2128</v>
      </c>
      <c r="J1570" s="648">
        <v>2557</v>
      </c>
      <c r="K1570" s="649">
        <f t="shared" si="49"/>
        <v>64767</v>
      </c>
      <c r="L1570" s="648">
        <v>20897</v>
      </c>
      <c r="M1570" s="648">
        <v>2024</v>
      </c>
      <c r="N1570" s="648">
        <v>107164</v>
      </c>
      <c r="O1570" s="1510">
        <f>1-N1571</f>
        <v>0.59368021141793337</v>
      </c>
    </row>
    <row r="1571" spans="1:15" ht="12" customHeight="1">
      <c r="A1571" s="1517"/>
      <c r="B1571" s="1502"/>
      <c r="C1571" s="635" t="s">
        <v>6219</v>
      </c>
      <c r="D1571" s="636">
        <f>D1570/(D1570+E1570+G1570+H1570+I1570+J1570+L1570+M1570+N1570)</f>
        <v>0.18972636240582688</v>
      </c>
      <c r="E1571" s="636">
        <f>E1570/(D1570+E1570+G1570+H1570+I1570+J1570+L1570+M1570+N1570)</f>
        <v>7.1478674315526861E-2</v>
      </c>
      <c r="F1571" s="637">
        <f t="shared" si="48"/>
        <v>0.26120503672135376</v>
      </c>
      <c r="G1571" s="636">
        <f>G1570/(D1570+E1570+G1570+H1570+I1570+J1570+L1570+M1570+N1570)</f>
        <v>0.21236582582286545</v>
      </c>
      <c r="H1571" s="636">
        <f>H1570/(D1570+E1570+G1570+H1570+I1570+J1570+L1570+M1570+N1570)</f>
        <v>1.5439272321919445E-2</v>
      </c>
      <c r="I1571" s="636">
        <f>I1570/(D1570+E1570+G1570+H1570+I1570+J1570+L1570+M1570+N1570)</f>
        <v>8.0684605847358981E-3</v>
      </c>
      <c r="J1571" s="636">
        <f>J1570/(D1570+E1570+G1570+H1570+I1570+J1570+L1570+M1570+N1570)</f>
        <v>9.6950440390835019E-3</v>
      </c>
      <c r="K1571" s="637">
        <f t="shared" si="49"/>
        <v>0.24556860276860429</v>
      </c>
      <c r="L1571" s="636">
        <f>L1570/(D1570+E1570+G1570+H1570+I1570+J1570+L1570+M1570+N1570)</f>
        <v>7.9232434604899468E-2</v>
      </c>
      <c r="M1571" s="636">
        <f>M1570/(D1570+E1570+G1570+H1570+I1570+J1570+L1570+M1570+N1570)</f>
        <v>7.6741373230758735E-3</v>
      </c>
      <c r="N1571" s="636">
        <f>N1570/(D1570+E1570+G1570+H1570+I1570+J1570+L1570+M1570+N1570)</f>
        <v>0.40631978858206663</v>
      </c>
      <c r="O1571" s="1503"/>
    </row>
    <row r="1572" spans="1:15" ht="12" customHeight="1">
      <c r="A1572" s="1517"/>
      <c r="B1572" s="1502" t="s">
        <v>14938</v>
      </c>
      <c r="C1572" s="638" t="s">
        <v>6218</v>
      </c>
      <c r="D1572" s="639">
        <v>72854</v>
      </c>
      <c r="E1572" s="639">
        <v>21651</v>
      </c>
      <c r="F1572" s="640">
        <f t="shared" si="48"/>
        <v>94505</v>
      </c>
      <c r="G1572" s="639">
        <v>49057</v>
      </c>
      <c r="H1572" s="639">
        <v>7358</v>
      </c>
      <c r="I1572" s="639"/>
      <c r="J1572" s="639">
        <v>6077</v>
      </c>
      <c r="K1572" s="640">
        <f t="shared" si="49"/>
        <v>62492</v>
      </c>
      <c r="L1572" s="639">
        <v>23019</v>
      </c>
      <c r="M1572" s="639"/>
      <c r="N1572" s="639">
        <v>85623</v>
      </c>
      <c r="O1572" s="1503">
        <f>1-N1573</f>
        <v>0.67767157683924428</v>
      </c>
    </row>
    <row r="1573" spans="1:15" ht="12" customHeight="1">
      <c r="A1573" s="1517"/>
      <c r="B1573" s="1502"/>
      <c r="C1573" s="635" t="s">
        <v>6219</v>
      </c>
      <c r="D1573" s="636">
        <f>D1572/(D1572+E1572+G1572+H1572+I1572+J1572+L1572+M1572+N1572)</f>
        <v>0.27425942726783342</v>
      </c>
      <c r="E1573" s="636">
        <f>E1572/(D1572+E1572+G1572+H1572+I1572+J1572+L1572+M1572+N1572)</f>
        <v>8.1505351247369545E-2</v>
      </c>
      <c r="F1573" s="637">
        <f t="shared" si="48"/>
        <v>0.35576477851520294</v>
      </c>
      <c r="G1573" s="636">
        <f>G1572/(D1572+E1572+G1572+H1572+I1572+J1572+L1572+M1572+N1572)</f>
        <v>0.18467544298841662</v>
      </c>
      <c r="H1573" s="636">
        <f>H1572/(D1572+E1572+G1572+H1572+I1572+J1572+L1572+M1572+N1572)</f>
        <v>2.7699245969153626E-2</v>
      </c>
      <c r="I1573" s="636">
        <f>I1572/(D1572+E1572+G1572+H1572+I1572+J1572+L1572+M1572+N1572)</f>
        <v>0</v>
      </c>
      <c r="J1573" s="636">
        <f>J1572/(D1572+E1572+G1572+H1572+I1572+J1572+L1572+M1572+N1572)</f>
        <v>2.2876911899231665E-2</v>
      </c>
      <c r="K1573" s="637">
        <f t="shared" si="49"/>
        <v>0.23525160085680191</v>
      </c>
      <c r="L1573" s="636">
        <f>L1572/(D1572+E1572+G1572+H1572+I1572+J1572+L1572+M1572+N1572)</f>
        <v>8.6655197467239375E-2</v>
      </c>
      <c r="M1573" s="636">
        <f>M1572/(D1572+E1572+G1572+H1572+I1572+J1572+L1572+M1572+N1572)</f>
        <v>0</v>
      </c>
      <c r="N1573" s="636">
        <f>N1572/(D1572+E1572+G1572+H1572+I1572+J1572+L1572+M1572+N1572)</f>
        <v>0.32232842316075577</v>
      </c>
      <c r="O1573" s="1503"/>
    </row>
    <row r="1574" spans="1:15" ht="12" customHeight="1">
      <c r="A1574" s="1517"/>
      <c r="B1574" s="1502" t="s">
        <v>14939</v>
      </c>
      <c r="C1574" s="638" t="s">
        <v>6218</v>
      </c>
      <c r="D1574" s="639">
        <v>52822</v>
      </c>
      <c r="E1574" s="639">
        <v>21115</v>
      </c>
      <c r="F1574" s="640">
        <f t="shared" si="48"/>
        <v>73937</v>
      </c>
      <c r="G1574" s="639">
        <v>49103</v>
      </c>
      <c r="H1574" s="639">
        <v>5243</v>
      </c>
      <c r="I1574" s="639"/>
      <c r="J1574" s="639"/>
      <c r="K1574" s="640">
        <f t="shared" si="49"/>
        <v>54346</v>
      </c>
      <c r="L1574" s="639">
        <v>22294</v>
      </c>
      <c r="M1574" s="639">
        <v>3299</v>
      </c>
      <c r="N1574" s="639">
        <v>113135</v>
      </c>
      <c r="O1574" s="1503">
        <f>1-N1575</f>
        <v>0.57629086442131605</v>
      </c>
    </row>
    <row r="1575" spans="1:15" ht="12" customHeight="1">
      <c r="A1575" s="1517"/>
      <c r="B1575" s="1502"/>
      <c r="C1575" s="635" t="s">
        <v>6219</v>
      </c>
      <c r="D1575" s="636">
        <f>D1574/(D1574+E1574+G1574+H1574+I1574+J1574+L1574+M1574+N1574)</f>
        <v>0.19782705581417995</v>
      </c>
      <c r="E1575" s="636">
        <f>E1574/(D1574+E1574+G1574+H1574+I1574+J1574+L1574+M1574+N1574)</f>
        <v>7.9079139061686593E-2</v>
      </c>
      <c r="F1575" s="637">
        <f t="shared" si="48"/>
        <v>0.27690619487586654</v>
      </c>
      <c r="G1575" s="636">
        <f>G1574/(D1574+E1574+G1574+H1574+I1574+J1574+L1574+M1574+N1574)</f>
        <v>0.18389879068652604</v>
      </c>
      <c r="H1575" s="636">
        <f>H1574/(D1574+E1574+G1574+H1574+I1574+J1574+L1574+M1574+N1574)</f>
        <v>1.9635895150387064E-2</v>
      </c>
      <c r="I1575" s="636">
        <f>I1574/(D1574+E1574+G1574+H1574+I1574+J1574+L1574+M1574+N1574)</f>
        <v>0</v>
      </c>
      <c r="J1575" s="636">
        <f>J1574/(D1574+E1574+G1574+H1574+I1574+J1574+L1574+M1574+N1574)</f>
        <v>0</v>
      </c>
      <c r="K1575" s="637">
        <f t="shared" si="49"/>
        <v>0.20353468583691309</v>
      </c>
      <c r="L1575" s="636">
        <f>L1574/(D1574+E1574+G1574+H1574+I1574+J1574+L1574+M1574+N1574)</f>
        <v>8.3494687484785265E-2</v>
      </c>
      <c r="M1575" s="636">
        <f>M1574/(D1574+E1574+G1574+H1574+I1574+J1574+L1574+M1574+N1574)</f>
        <v>1.2355296223751082E-2</v>
      </c>
      <c r="N1575" s="636">
        <f>N1574/(D1574+E1574+G1574+H1574+I1574+J1574+L1574+M1574+N1574)</f>
        <v>0.423709135578684</v>
      </c>
      <c r="O1575" s="1503"/>
    </row>
    <row r="1576" spans="1:15" ht="12" customHeight="1">
      <c r="A1576" s="1517"/>
      <c r="B1576" s="1502" t="s">
        <v>14940</v>
      </c>
      <c r="C1576" s="638" t="s">
        <v>6218</v>
      </c>
      <c r="D1576" s="639">
        <v>68310</v>
      </c>
      <c r="E1576" s="639">
        <v>20259</v>
      </c>
      <c r="F1576" s="640">
        <f t="shared" si="48"/>
        <v>88569</v>
      </c>
      <c r="G1576" s="639">
        <v>45062</v>
      </c>
      <c r="H1576" s="639">
        <v>5716</v>
      </c>
      <c r="I1576" s="639"/>
      <c r="J1576" s="639"/>
      <c r="K1576" s="640">
        <f t="shared" si="49"/>
        <v>50778</v>
      </c>
      <c r="L1576" s="639">
        <v>21837</v>
      </c>
      <c r="M1576" s="639"/>
      <c r="N1576" s="639">
        <v>105845</v>
      </c>
      <c r="O1576" s="1503">
        <f>1-N1577</f>
        <v>0.60361983155387611</v>
      </c>
    </row>
    <row r="1577" spans="1:15" ht="12" customHeight="1" thickBot="1">
      <c r="A1577" s="1519"/>
      <c r="B1577" s="1514"/>
      <c r="C1577" s="641" t="s">
        <v>6219</v>
      </c>
      <c r="D1577" s="642">
        <f>D1576/(D1576+E1576+G1576+H1576+I1576+J1576+L1576+M1576+N1576)</f>
        <v>0.25581491148901431</v>
      </c>
      <c r="E1577" s="642">
        <f>E1576/(D1576+E1576+G1576+H1576+I1576+J1576+L1576+M1576+N1576)</f>
        <v>7.586816413198566E-2</v>
      </c>
      <c r="F1577" s="643">
        <f t="shared" si="48"/>
        <v>0.33168307562099997</v>
      </c>
      <c r="G1577" s="642">
        <f>G1576/(D1576+E1576+G1576+H1576+I1576+J1576+L1576+M1576+N1576)</f>
        <v>0.16875320658055867</v>
      </c>
      <c r="H1577" s="642">
        <f>H1576/(D1576+E1576+G1576+H1576+I1576+J1576+L1576+M1576+N1576)</f>
        <v>2.1405914713383191E-2</v>
      </c>
      <c r="I1577" s="642">
        <f>I1576/(D1576+E1576+G1576+H1576+I1576+J1576+L1576+M1576+N1576)</f>
        <v>0</v>
      </c>
      <c r="J1577" s="642">
        <f>J1576/(D1576+E1576+G1576+H1576+I1576+J1576+L1576+M1576+N1576)</f>
        <v>0</v>
      </c>
      <c r="K1577" s="643">
        <f t="shared" si="49"/>
        <v>0.19015912129394186</v>
      </c>
      <c r="L1577" s="642">
        <f>L1576/(D1576+E1576+G1576+H1576+I1576+J1576+L1576+M1576+N1576)</f>
        <v>8.1777634638934352E-2</v>
      </c>
      <c r="M1577" s="642">
        <f>M1576/(D1576+E1576+G1576+H1576+I1576+J1576+L1576+M1576+N1576)</f>
        <v>0</v>
      </c>
      <c r="N1577" s="642">
        <f>N1576/(D1576+E1576+G1576+H1576+I1576+J1576+L1576+M1576+N1576)</f>
        <v>0.39638016844612384</v>
      </c>
      <c r="O1577" s="1515"/>
    </row>
    <row r="1578" spans="1:15" ht="12" customHeight="1">
      <c r="A1578" s="1526" t="s">
        <v>15135</v>
      </c>
      <c r="B1578" s="1509" t="s">
        <v>14937</v>
      </c>
      <c r="C1578" s="647" t="s">
        <v>6218</v>
      </c>
      <c r="D1578" s="648">
        <v>56758</v>
      </c>
      <c r="E1578" s="648">
        <v>31569</v>
      </c>
      <c r="F1578" s="649">
        <f t="shared" si="48"/>
        <v>88327</v>
      </c>
      <c r="G1578" s="648">
        <v>104579</v>
      </c>
      <c r="H1578" s="648">
        <v>8561</v>
      </c>
      <c r="I1578" s="648">
        <v>3277</v>
      </c>
      <c r="J1578" s="648">
        <v>7830</v>
      </c>
      <c r="K1578" s="649">
        <f t="shared" si="49"/>
        <v>124247</v>
      </c>
      <c r="L1578" s="648">
        <v>33347</v>
      </c>
      <c r="M1578" s="648">
        <v>4187</v>
      </c>
      <c r="N1578" s="648">
        <v>195995</v>
      </c>
      <c r="O1578" s="1510">
        <f>1-N1579</f>
        <v>0.56065079140915886</v>
      </c>
    </row>
    <row r="1579" spans="1:15" ht="12" customHeight="1">
      <c r="A1579" s="1527"/>
      <c r="B1579" s="1502"/>
      <c r="C1579" s="635" t="s">
        <v>6219</v>
      </c>
      <c r="D1579" s="636">
        <f>D1578/(D1578+E1578+G1578+H1578+I1578+J1578+L1578+M1578+N1578)</f>
        <v>0.12723070680986229</v>
      </c>
      <c r="E1579" s="636">
        <f>E1578/(D1578+E1578+G1578+H1578+I1578+J1578+L1578+M1578+N1578)</f>
        <v>7.076616835125521E-2</v>
      </c>
      <c r="F1579" s="637">
        <f t="shared" si="48"/>
        <v>0.1979968751611175</v>
      </c>
      <c r="G1579" s="636">
        <f>G1578/(D1578+E1578+G1578+H1578+I1578+J1578+L1578+M1578+N1578)</f>
        <v>0.23442792359612019</v>
      </c>
      <c r="H1579" s="636">
        <f>H1578/(D1578+E1578+G1578+H1578+I1578+J1578+L1578+M1578+N1578)</f>
        <v>1.9190635346545529E-2</v>
      </c>
      <c r="I1579" s="636">
        <f>I1578/(D1578+E1578+G1578+H1578+I1578+J1578+L1578+M1578+N1578)</f>
        <v>7.345837172132893E-3</v>
      </c>
      <c r="J1579" s="636">
        <f>J1578/(D1578+E1578+G1578+H1578+I1578+J1578+L1578+M1578+N1578)</f>
        <v>1.7552000322795407E-2</v>
      </c>
      <c r="K1579" s="637">
        <f t="shared" si="49"/>
        <v>0.27851639643759402</v>
      </c>
      <c r="L1579" s="636">
        <f>L1578/(D1578+E1578+G1578+H1578+I1578+J1578+L1578+M1578+N1578)</f>
        <v>7.4751794989049616E-2</v>
      </c>
      <c r="M1579" s="636">
        <f>M1578/(D1578+E1578+G1578+H1578+I1578+J1578+L1578+M1578+N1578)</f>
        <v>9.3857248213977482E-3</v>
      </c>
      <c r="N1579" s="636">
        <f>N1578/(D1578+E1578+G1578+H1578+I1578+J1578+L1578+M1578+N1578)</f>
        <v>0.43934920859084114</v>
      </c>
      <c r="O1579" s="1503"/>
    </row>
    <row r="1580" spans="1:15" ht="12" customHeight="1">
      <c r="A1580" s="1527"/>
      <c r="B1580" s="1502" t="s">
        <v>14938</v>
      </c>
      <c r="C1580" s="638" t="s">
        <v>6218</v>
      </c>
      <c r="D1580" s="639">
        <v>104138</v>
      </c>
      <c r="E1580" s="639">
        <v>33670</v>
      </c>
      <c r="F1580" s="640">
        <f t="shared" si="48"/>
        <v>137808</v>
      </c>
      <c r="G1580" s="639">
        <v>94480</v>
      </c>
      <c r="H1580" s="639">
        <v>14971</v>
      </c>
      <c r="I1580" s="639"/>
      <c r="J1580" s="639">
        <v>11197</v>
      </c>
      <c r="K1580" s="640">
        <f t="shared" si="49"/>
        <v>120648</v>
      </c>
      <c r="L1580" s="639">
        <v>34097</v>
      </c>
      <c r="M1580" s="639"/>
      <c r="N1580" s="639">
        <v>148116</v>
      </c>
      <c r="O1580" s="1503">
        <f>1-N1581</f>
        <v>0.6638837767122262</v>
      </c>
    </row>
    <row r="1581" spans="1:15" ht="12" customHeight="1">
      <c r="A1581" s="1527"/>
      <c r="B1581" s="1502"/>
      <c r="C1581" s="635" t="s">
        <v>6219</v>
      </c>
      <c r="D1581" s="636">
        <f>D1580/(D1580+E1580+G1580+H1580+I1580+J1580+L1580+M1580+N1580)</f>
        <v>0.23631796200776548</v>
      </c>
      <c r="E1581" s="636">
        <f>E1580/(D1580+E1580+G1580+H1580+I1580+J1580+L1580+M1580+N1580)</f>
        <v>7.6406554579514327E-2</v>
      </c>
      <c r="F1581" s="637">
        <f t="shared" si="48"/>
        <v>0.31272451658727979</v>
      </c>
      <c r="G1581" s="636">
        <f>G1580/(D1580+E1580+G1580+H1580+I1580+J1580+L1580+M1580+N1580)</f>
        <v>0.21440128531845898</v>
      </c>
      <c r="H1581" s="636">
        <f>H1580/(D1580+E1580+G1580+H1580+I1580+J1580+L1580+M1580+N1580)</f>
        <v>3.3973345073059373E-2</v>
      </c>
      <c r="I1581" s="636">
        <f>I1580/(D1580+E1580+G1580+H1580+I1580+J1580+L1580+M1580+N1580)</f>
        <v>0</v>
      </c>
      <c r="J1581" s="636">
        <f>J1580/(D1580+E1580+G1580+H1580+I1580+J1580+L1580+M1580+N1580)</f>
        <v>2.5409093900410511E-2</v>
      </c>
      <c r="K1581" s="637">
        <f t="shared" si="49"/>
        <v>0.27378372429192888</v>
      </c>
      <c r="L1581" s="636">
        <f>L1580/(D1580+E1580+G1580+H1580+I1580+J1580+L1580+M1580+N1580)</f>
        <v>7.7375535833017525E-2</v>
      </c>
      <c r="M1581" s="636">
        <f>M1580/(D1580+E1580+G1580+H1580+I1580+J1580+L1580+M1580+N1580)</f>
        <v>0</v>
      </c>
      <c r="N1581" s="636">
        <f>N1580/(D1580+E1580+G1580+H1580+I1580+J1580+L1580+M1580+N1580)</f>
        <v>0.3361162232877738</v>
      </c>
      <c r="O1581" s="1503"/>
    </row>
    <row r="1582" spans="1:15" ht="12" customHeight="1">
      <c r="A1582" s="1527"/>
      <c r="B1582" s="1502" t="s">
        <v>14939</v>
      </c>
      <c r="C1582" s="638" t="s">
        <v>6218</v>
      </c>
      <c r="D1582" s="639">
        <v>58843</v>
      </c>
      <c r="E1582" s="639">
        <v>34407</v>
      </c>
      <c r="F1582" s="640">
        <f t="shared" si="48"/>
        <v>93250</v>
      </c>
      <c r="G1582" s="639">
        <v>95229</v>
      </c>
      <c r="H1582" s="639">
        <v>10722</v>
      </c>
      <c r="I1582" s="639"/>
      <c r="J1582" s="639"/>
      <c r="K1582" s="640">
        <f t="shared" si="49"/>
        <v>105951</v>
      </c>
      <c r="L1582" s="639">
        <v>33072</v>
      </c>
      <c r="M1582" s="639">
        <v>6744</v>
      </c>
      <c r="N1582" s="639">
        <v>197798</v>
      </c>
      <c r="O1582" s="1503">
        <f>1-N1583</f>
        <v>0.54718130100843609</v>
      </c>
    </row>
    <row r="1583" spans="1:15" ht="12" customHeight="1">
      <c r="A1583" s="1527"/>
      <c r="B1583" s="1502"/>
      <c r="C1583" s="635" t="s">
        <v>6219</v>
      </c>
      <c r="D1583" s="636">
        <f>D1582/(D1582+E1582+G1582+H1582+I1582+J1582+L1582+M1582+N1582)</f>
        <v>0.13470920183601753</v>
      </c>
      <c r="E1583" s="636">
        <f>E1582/(D1582+E1582+G1582+H1582+I1582+J1582+L1582+M1582+N1582)</f>
        <v>7.8767899454002269E-2</v>
      </c>
      <c r="F1583" s="637">
        <f t="shared" si="48"/>
        <v>0.21347710129001979</v>
      </c>
      <c r="G1583" s="636">
        <f>G1582/(D1582+E1582+G1582+H1582+I1582+J1582+L1582+M1582+N1582)</f>
        <v>0.21800762336458226</v>
      </c>
      <c r="H1583" s="636">
        <f>H1582/(D1582+E1582+G1582+H1582+I1582+J1582+L1582+M1582+N1582)</f>
        <v>2.4545860375673911E-2</v>
      </c>
      <c r="I1583" s="636">
        <f>I1582/(D1582+E1582+G1582+H1582+I1582+J1582+L1582+M1582+N1582)</f>
        <v>0</v>
      </c>
      <c r="J1583" s="636">
        <f>J1582/(D1582+E1582+G1582+H1582+I1582+J1582+L1582+M1582+N1582)</f>
        <v>0</v>
      </c>
      <c r="K1583" s="637">
        <f t="shared" si="49"/>
        <v>0.24255348374025618</v>
      </c>
      <c r="L1583" s="636">
        <f>L1582/(D1582+E1582+G1582+H1582+I1582+J1582+L1582+M1582+N1582)</f>
        <v>7.5711685725078123E-2</v>
      </c>
      <c r="M1583" s="636">
        <f>M1582/(D1582+E1582+G1582+H1582+I1582+J1582+L1582+M1582+N1582)</f>
        <v>1.5439030253081968E-2</v>
      </c>
      <c r="N1583" s="636">
        <f>N1582/(D1582+E1582+G1582+H1582+I1582+J1582+L1582+M1582+N1582)</f>
        <v>0.45281869899156396</v>
      </c>
      <c r="O1583" s="1503"/>
    </row>
    <row r="1584" spans="1:15" ht="12" customHeight="1">
      <c r="A1584" s="1527"/>
      <c r="B1584" s="1502" t="s">
        <v>14940</v>
      </c>
      <c r="C1584" s="638" t="s">
        <v>6218</v>
      </c>
      <c r="D1584" s="639">
        <v>71558</v>
      </c>
      <c r="E1584" s="639">
        <v>35152</v>
      </c>
      <c r="F1584" s="640">
        <f t="shared" si="48"/>
        <v>106710</v>
      </c>
      <c r="G1584" s="639">
        <v>99115</v>
      </c>
      <c r="H1584" s="639">
        <v>10127</v>
      </c>
      <c r="I1584" s="639"/>
      <c r="J1584" s="639"/>
      <c r="K1584" s="640">
        <f t="shared" si="49"/>
        <v>109242</v>
      </c>
      <c r="L1584" s="639">
        <v>31299</v>
      </c>
      <c r="M1584" s="639"/>
      <c r="N1584" s="639">
        <v>186744</v>
      </c>
      <c r="O1584" s="1503">
        <f>1-N1585</f>
        <v>0.56970932844848443</v>
      </c>
    </row>
    <row r="1585" spans="1:15" ht="12" customHeight="1" thickBot="1">
      <c r="A1585" s="1528"/>
      <c r="B1585" s="1514"/>
      <c r="C1585" s="641" t="s">
        <v>6219</v>
      </c>
      <c r="D1585" s="642">
        <f>D1584/(D1584+E1584+G1584+H1584+I1584+J1584+L1584+M1584+N1584)</f>
        <v>0.16488208389497575</v>
      </c>
      <c r="E1585" s="642">
        <f>E1584/(D1584+E1584+G1584+H1584+I1584+J1584+L1584+M1584+N1584)</f>
        <v>8.0996324842452103E-2</v>
      </c>
      <c r="F1585" s="643">
        <f t="shared" si="48"/>
        <v>0.24587840873742783</v>
      </c>
      <c r="G1585" s="642">
        <f>G1584/(D1584+E1584+G1584+H1584+I1584+J1584+L1584+M1584+N1584)</f>
        <v>0.22837820712220186</v>
      </c>
      <c r="H1585" s="642">
        <f>H1584/(D1584+E1584+G1584+H1584+I1584+J1584+L1584+M1584+N1584)</f>
        <v>2.3334370211638384E-2</v>
      </c>
      <c r="I1585" s="642">
        <f>I1584/(D1584+E1584+G1584+H1584+I1584+J1584+L1584+M1584+N1584)</f>
        <v>0</v>
      </c>
      <c r="J1585" s="642">
        <f>J1584/(D1584+E1584+G1584+H1584+I1584+J1584+L1584+M1584+N1584)</f>
        <v>0</v>
      </c>
      <c r="K1585" s="643">
        <f t="shared" si="49"/>
        <v>0.25171257733384023</v>
      </c>
      <c r="L1585" s="642">
        <f>L1584/(D1584+E1584+G1584+H1584+I1584+J1584+L1584+M1584+N1584)</f>
        <v>7.211834237721633E-2</v>
      </c>
      <c r="M1585" s="642">
        <f>M1584/(D1584+E1584+G1584+H1584+I1584+J1584+L1584+M1584+N1584)</f>
        <v>0</v>
      </c>
      <c r="N1585" s="642">
        <f>N1584/(D1584+E1584+G1584+H1584+I1584+J1584+L1584+M1584+N1584)</f>
        <v>0.43029067155151557</v>
      </c>
      <c r="O1585" s="1515"/>
    </row>
    <row r="1586" spans="1:15" ht="12" customHeight="1">
      <c r="A1586" s="1516" t="s">
        <v>15136</v>
      </c>
      <c r="B1586" s="1509" t="s">
        <v>14937</v>
      </c>
      <c r="C1586" s="647" t="s">
        <v>6218</v>
      </c>
      <c r="D1586" s="648">
        <v>47040</v>
      </c>
      <c r="E1586" s="648">
        <v>34238</v>
      </c>
      <c r="F1586" s="649">
        <f t="shared" si="48"/>
        <v>81278</v>
      </c>
      <c r="G1586" s="648">
        <v>60139</v>
      </c>
      <c r="H1586" s="648">
        <v>6643</v>
      </c>
      <c r="I1586" s="648">
        <v>4747</v>
      </c>
      <c r="J1586" s="648">
        <v>7952</v>
      </c>
      <c r="K1586" s="649">
        <f t="shared" si="49"/>
        <v>79481</v>
      </c>
      <c r="L1586" s="648">
        <v>23283</v>
      </c>
      <c r="M1586" s="648">
        <v>4450</v>
      </c>
      <c r="N1586" s="648">
        <v>180648</v>
      </c>
      <c r="O1586" s="1510">
        <f>1-N1587</f>
        <v>0.51062469523757925</v>
      </c>
    </row>
    <row r="1587" spans="1:15" ht="12" customHeight="1">
      <c r="A1587" s="1517"/>
      <c r="B1587" s="1502"/>
      <c r="C1587" s="635" t="s">
        <v>6219</v>
      </c>
      <c r="D1587" s="636">
        <f>D1586/(D1586+E1586+G1586+H1586+I1586+J1586+L1586+M1586+N1586)</f>
        <v>0.12743132686785502</v>
      </c>
      <c r="E1587" s="636">
        <f>E1586/(D1586+E1586+G1586+H1586+I1586+J1586+L1586+M1586+N1586)</f>
        <v>9.2750717884813344E-2</v>
      </c>
      <c r="F1587" s="637">
        <f t="shared" si="48"/>
        <v>0.22018204475266837</v>
      </c>
      <c r="G1587" s="636">
        <f>G1586/(D1586+E1586+G1586+H1586+I1586+J1586+L1586+M1586+N1586)</f>
        <v>0.16291650864170776</v>
      </c>
      <c r="H1587" s="636">
        <f>H1586/(D1586+E1586+G1586+H1586+I1586+J1586+L1586+M1586+N1586)</f>
        <v>1.7995882321070595E-2</v>
      </c>
      <c r="I1587" s="636">
        <f>I1586/(D1586+E1586+G1586+H1586+I1586+J1586+L1586+M1586+N1586)</f>
        <v>1.2859619656498889E-2</v>
      </c>
      <c r="J1587" s="636">
        <f>J1586/(D1586+E1586+G1586+H1586+I1586+J1586+L1586+M1586+N1586)</f>
        <v>2.1541962399089776E-2</v>
      </c>
      <c r="K1587" s="637">
        <f t="shared" si="49"/>
        <v>0.21531397301836705</v>
      </c>
      <c r="L1587" s="636">
        <f>L1586/(D1586+E1586+G1586+H1586+I1586+J1586+L1586+M1586+N1586)</f>
        <v>6.3073630600856037E-2</v>
      </c>
      <c r="M1587" s="636">
        <f>M1586/(D1586+E1586+G1586+H1586+I1586+J1586+L1586+M1586+N1586)</f>
        <v>1.2055046865687815E-2</v>
      </c>
      <c r="N1587" s="636">
        <f>N1586/(D1586+E1586+G1586+H1586+I1586+J1586+L1586+M1586+N1586)</f>
        <v>0.48937530476242075</v>
      </c>
      <c r="O1587" s="1503"/>
    </row>
    <row r="1588" spans="1:15" ht="12" customHeight="1">
      <c r="A1588" s="1517"/>
      <c r="B1588" s="1502" t="s">
        <v>14938</v>
      </c>
      <c r="C1588" s="638" t="s">
        <v>6218</v>
      </c>
      <c r="D1588" s="639">
        <v>83504</v>
      </c>
      <c r="E1588" s="639">
        <v>37608</v>
      </c>
      <c r="F1588" s="640">
        <f t="shared" si="48"/>
        <v>121112</v>
      </c>
      <c r="G1588" s="639">
        <v>54713</v>
      </c>
      <c r="H1588" s="639">
        <v>10636</v>
      </c>
      <c r="I1588" s="639"/>
      <c r="J1588" s="639">
        <v>8720</v>
      </c>
      <c r="K1588" s="640">
        <f t="shared" si="49"/>
        <v>74069</v>
      </c>
      <c r="L1588" s="639">
        <v>21973</v>
      </c>
      <c r="M1588" s="639"/>
      <c r="N1588" s="639">
        <v>143233</v>
      </c>
      <c r="O1588" s="1503">
        <f>1-N1589</f>
        <v>0.60255780591419783</v>
      </c>
    </row>
    <row r="1589" spans="1:15" ht="12" customHeight="1">
      <c r="A1589" s="1517"/>
      <c r="B1589" s="1502"/>
      <c r="C1589" s="635" t="s">
        <v>6219</v>
      </c>
      <c r="D1589" s="636">
        <f>D1588/(D1588+E1588+G1588+H1588+I1588+J1588+L1588+M1588+N1588)</f>
        <v>0.23170647109912398</v>
      </c>
      <c r="E1589" s="636">
        <f>E1588/(D1588+E1588+G1588+H1588+I1588+J1588+L1588+M1588+N1588)</f>
        <v>0.10435448559465242</v>
      </c>
      <c r="F1589" s="637">
        <f t="shared" si="48"/>
        <v>0.33606095669377639</v>
      </c>
      <c r="G1589" s="636">
        <f>G1588/(D1588+E1588+G1588+H1588+I1588+J1588+L1588+M1588+N1588)</f>
        <v>0.15181735190226062</v>
      </c>
      <c r="H1589" s="636">
        <f>H1588/(D1588+E1588+G1588+H1588+I1588+J1588+L1588+M1588+N1588)</f>
        <v>2.951271827230172E-2</v>
      </c>
      <c r="I1589" s="636">
        <f>I1588/(D1588+E1588+G1588+H1588+I1588+J1588+L1588+M1588+N1588)</f>
        <v>0</v>
      </c>
      <c r="J1589" s="636">
        <f>J1588/(D1588+E1588+G1588+H1588+I1588+J1588+L1588+M1588+N1588)</f>
        <v>2.4196211295080011E-2</v>
      </c>
      <c r="K1589" s="637">
        <f t="shared" si="49"/>
        <v>0.20552628146964236</v>
      </c>
      <c r="L1589" s="636">
        <f>L1588/(D1588+E1588+G1588+H1588+I1588+J1588+L1588+M1588+N1588)</f>
        <v>6.0970567750779026E-2</v>
      </c>
      <c r="M1589" s="636">
        <f>M1588/(D1588+E1588+G1588+H1588+I1588+J1588+L1588+M1588+N1588)</f>
        <v>0</v>
      </c>
      <c r="N1589" s="636">
        <f>N1588/(D1588+E1588+G1588+H1588+I1588+J1588+L1588+M1588+N1588)</f>
        <v>0.39744219408580223</v>
      </c>
      <c r="O1589" s="1503"/>
    </row>
    <row r="1590" spans="1:15" ht="12" customHeight="1">
      <c r="A1590" s="1517"/>
      <c r="B1590" s="1502" t="s">
        <v>14939</v>
      </c>
      <c r="C1590" s="638" t="s">
        <v>6218</v>
      </c>
      <c r="D1590" s="639">
        <v>46196</v>
      </c>
      <c r="E1590" s="639">
        <v>36247</v>
      </c>
      <c r="F1590" s="640">
        <f t="shared" si="48"/>
        <v>82443</v>
      </c>
      <c r="G1590" s="639">
        <v>57620</v>
      </c>
      <c r="H1590" s="639">
        <v>5233</v>
      </c>
      <c r="I1590" s="639"/>
      <c r="J1590" s="639"/>
      <c r="K1590" s="640">
        <f t="shared" si="49"/>
        <v>62853</v>
      </c>
      <c r="L1590" s="639">
        <v>21425</v>
      </c>
      <c r="M1590" s="639">
        <v>6641</v>
      </c>
      <c r="N1590" s="639">
        <v>180064</v>
      </c>
      <c r="O1590" s="1503">
        <f>1-N1591</f>
        <v>0.49051852438700039</v>
      </c>
    </row>
    <row r="1591" spans="1:15" ht="12" customHeight="1">
      <c r="A1591" s="1517"/>
      <c r="B1591" s="1502"/>
      <c r="C1591" s="635" t="s">
        <v>6219</v>
      </c>
      <c r="D1591" s="636">
        <f>D1590/(D1590+E1590+G1590+H1590+I1590+J1590+L1590+M1590+N1590)</f>
        <v>0.13070911591111012</v>
      </c>
      <c r="E1591" s="636">
        <f>E1590/(D1590+E1590+G1590+H1590+I1590+J1590+L1590+M1590+N1590)</f>
        <v>0.10255895152026166</v>
      </c>
      <c r="F1591" s="637">
        <f t="shared" si="48"/>
        <v>0.2332680674313718</v>
      </c>
      <c r="G1591" s="636">
        <f>G1590/(D1590+E1590+G1590+H1590+I1590+J1590+L1590+M1590+N1590)</f>
        <v>0.1630327140617838</v>
      </c>
      <c r="H1591" s="636">
        <f>H1590/(D1590+E1590+G1590+H1590+I1590+J1590+L1590+M1590+N1590)</f>
        <v>1.4806494145874949E-2</v>
      </c>
      <c r="I1591" s="636">
        <f>I1590/(D1590+E1590+G1590+H1590+I1590+J1590+L1590+M1590+N1590)</f>
        <v>0</v>
      </c>
      <c r="J1591" s="636">
        <f>J1590/(D1590+E1590+G1590+H1590+I1590+J1590+L1590+M1590+N1590)</f>
        <v>0</v>
      </c>
      <c r="K1591" s="637">
        <f t="shared" si="49"/>
        <v>0.17783920820765875</v>
      </c>
      <c r="L1591" s="636">
        <f>L1590/(D1590+E1590+G1590+H1590+I1590+J1590+L1590+M1590+N1590)</f>
        <v>6.0620893765597324E-2</v>
      </c>
      <c r="M1591" s="636">
        <f>M1590/(D1590+E1590+G1590+H1590+I1590+J1590+L1590+M1590+N1590)</f>
        <v>1.8790354982372547E-2</v>
      </c>
      <c r="N1591" s="636">
        <f>N1590/(D1590+E1590+G1590+H1590+I1590+J1590+L1590+M1590+N1590)</f>
        <v>0.50948147561299961</v>
      </c>
      <c r="O1591" s="1503"/>
    </row>
    <row r="1592" spans="1:15" ht="12" customHeight="1">
      <c r="A1592" s="1517"/>
      <c r="B1592" s="1502" t="s">
        <v>14940</v>
      </c>
      <c r="C1592" s="638" t="s">
        <v>6218</v>
      </c>
      <c r="D1592" s="639">
        <v>54528</v>
      </c>
      <c r="E1592" s="639">
        <v>34936</v>
      </c>
      <c r="F1592" s="640">
        <f t="shared" si="48"/>
        <v>89464</v>
      </c>
      <c r="G1592" s="639">
        <v>63011</v>
      </c>
      <c r="H1592" s="639">
        <v>4940</v>
      </c>
      <c r="I1592" s="639"/>
      <c r="J1592" s="639"/>
      <c r="K1592" s="640">
        <f t="shared" si="49"/>
        <v>67951</v>
      </c>
      <c r="L1592" s="639">
        <v>20986</v>
      </c>
      <c r="M1592" s="639"/>
      <c r="N1592" s="639">
        <v>173651</v>
      </c>
      <c r="O1592" s="1503">
        <f>1-N1593</f>
        <v>0.50674616249872173</v>
      </c>
    </row>
    <row r="1593" spans="1:15" ht="12" customHeight="1" thickBot="1">
      <c r="A1593" s="1519"/>
      <c r="B1593" s="1514"/>
      <c r="C1593" s="641" t="s">
        <v>6219</v>
      </c>
      <c r="D1593" s="642">
        <f>D1592/(D1592+E1592+G1592+H1592+I1592+J1592+L1592+M1592+N1592)</f>
        <v>0.15488620999170577</v>
      </c>
      <c r="E1593" s="642">
        <f>E1592/(D1592+E1592+G1592+H1592+I1592+J1592+L1592+M1592+N1592)</f>
        <v>9.92353402338291E-2</v>
      </c>
      <c r="F1593" s="643">
        <f t="shared" si="48"/>
        <v>0.25412155022553484</v>
      </c>
      <c r="G1593" s="642">
        <f>G1592/(D1592+E1592+G1592+H1592+I1592+J1592+L1592+M1592+N1592)</f>
        <v>0.17898208219240339</v>
      </c>
      <c r="H1593" s="642">
        <f>H1592/(D1592+E1592+G1592+H1592+I1592+J1592+L1592+M1592+N1592)</f>
        <v>1.4032017997341302E-2</v>
      </c>
      <c r="I1593" s="642">
        <f>I1592/(D1592+E1592+G1592+H1592+I1592+J1592+L1592+M1592+N1592)</f>
        <v>0</v>
      </c>
      <c r="J1593" s="642">
        <f>J1592/(D1592+E1592+G1592+H1592+I1592+J1592+L1592+M1592+N1592)</f>
        <v>0</v>
      </c>
      <c r="K1593" s="643">
        <f t="shared" si="49"/>
        <v>0.19301410018974469</v>
      </c>
      <c r="L1593" s="642">
        <f>L1592/(D1592+E1592+G1592+H1592+I1592+J1592+L1592+M1592+N1592)</f>
        <v>5.9610512083442216E-2</v>
      </c>
      <c r="M1593" s="642">
        <f>M1592/(D1592+E1592+G1592+H1592+I1592+J1592+L1592+M1592+N1592)</f>
        <v>0</v>
      </c>
      <c r="N1593" s="642">
        <f>N1592/(D1592+E1592+G1592+H1592+I1592+J1592+L1592+M1592+N1592)</f>
        <v>0.49325383750127821</v>
      </c>
      <c r="O1593" s="1515"/>
    </row>
    <row r="1594" spans="1:15" ht="12" customHeight="1">
      <c r="A1594" s="1516" t="s">
        <v>15137</v>
      </c>
      <c r="B1594" s="1509" t="s">
        <v>14937</v>
      </c>
      <c r="C1594" s="647" t="s">
        <v>6218</v>
      </c>
      <c r="D1594" s="648">
        <v>44771</v>
      </c>
      <c r="E1594" s="648">
        <v>42432</v>
      </c>
      <c r="F1594" s="649">
        <f t="shared" si="48"/>
        <v>87203</v>
      </c>
      <c r="G1594" s="648">
        <v>61862</v>
      </c>
      <c r="H1594" s="648">
        <v>6602</v>
      </c>
      <c r="I1594" s="648">
        <v>4383</v>
      </c>
      <c r="J1594" s="648">
        <v>7186</v>
      </c>
      <c r="K1594" s="649">
        <f t="shared" si="49"/>
        <v>80033</v>
      </c>
      <c r="L1594" s="648">
        <v>25549</v>
      </c>
      <c r="M1594" s="648">
        <v>4359</v>
      </c>
      <c r="N1594" s="648">
        <v>155414</v>
      </c>
      <c r="O1594" s="1510">
        <f>1-N1595</f>
        <v>0.5591817516550468</v>
      </c>
    </row>
    <row r="1595" spans="1:15" ht="12" customHeight="1">
      <c r="A1595" s="1517"/>
      <c r="B1595" s="1502"/>
      <c r="C1595" s="635" t="s">
        <v>6219</v>
      </c>
      <c r="D1595" s="636">
        <f>D1594/(D1594+E1594+G1594+H1594+I1594+J1594+L1594+M1594+N1594)</f>
        <v>0.12698903442837775</v>
      </c>
      <c r="E1595" s="636">
        <f>E1594/(D1594+E1594+G1594+H1594+I1594+J1594+L1594+M1594+N1594)</f>
        <v>0.12035466504802046</v>
      </c>
      <c r="F1595" s="637">
        <f t="shared" si="48"/>
        <v>0.24734369947639823</v>
      </c>
      <c r="G1595" s="636">
        <f>G1594/(D1594+E1594+G1594+H1594+I1594+J1594+L1594+M1594+N1594)</f>
        <v>0.17546616443251892</v>
      </c>
      <c r="H1595" s="636">
        <f>H1594/(D1594+E1594+G1594+H1594+I1594+J1594+L1594+M1594+N1594)</f>
        <v>1.8725996857254693E-2</v>
      </c>
      <c r="I1595" s="636">
        <f>I1594/(D1594+E1594+G1594+H1594+I1594+J1594+L1594+M1594+N1594)</f>
        <v>1.2431997004748155E-2</v>
      </c>
      <c r="J1595" s="636">
        <f>J1594/(D1594+E1594+G1594+H1594+I1594+J1594+L1594+M1594+N1594)</f>
        <v>2.0382461892794943E-2</v>
      </c>
      <c r="K1595" s="637">
        <f t="shared" si="49"/>
        <v>0.22700662018731671</v>
      </c>
      <c r="L1595" s="636">
        <f>L1594/(D1594+E1594+G1594+H1594+I1594+J1594+L1594+M1594+N1594)</f>
        <v>7.246750889215392E-2</v>
      </c>
      <c r="M1595" s="636">
        <f>M1594/(D1594+E1594+G1594+H1594+I1594+J1594+L1594+M1594+N1594)</f>
        <v>1.2363923099178008E-2</v>
      </c>
      <c r="N1595" s="636">
        <f>N1594/(D1594+E1594+G1594+H1594+I1594+J1594+L1594+M1594+N1594)</f>
        <v>0.44081824834495315</v>
      </c>
      <c r="O1595" s="1503"/>
    </row>
    <row r="1596" spans="1:15" ht="12" customHeight="1">
      <c r="A1596" s="1517"/>
      <c r="B1596" s="1502" t="s">
        <v>14938</v>
      </c>
      <c r="C1596" s="638" t="s">
        <v>6218</v>
      </c>
      <c r="D1596" s="639">
        <v>80528</v>
      </c>
      <c r="E1596" s="639">
        <v>46885</v>
      </c>
      <c r="F1596" s="640">
        <f t="shared" si="48"/>
        <v>127413</v>
      </c>
      <c r="G1596" s="639">
        <v>55775</v>
      </c>
      <c r="H1596" s="639">
        <v>11278</v>
      </c>
      <c r="I1596" s="639"/>
      <c r="J1596" s="639">
        <v>8677</v>
      </c>
      <c r="K1596" s="640">
        <f t="shared" si="49"/>
        <v>75730</v>
      </c>
      <c r="L1596" s="639">
        <v>24768</v>
      </c>
      <c r="M1596" s="639"/>
      <c r="N1596" s="639">
        <v>124388</v>
      </c>
      <c r="O1596" s="1503">
        <f>1-N1597</f>
        <v>0.64692491321292422</v>
      </c>
    </row>
    <row r="1597" spans="1:15" ht="12" customHeight="1">
      <c r="A1597" s="1517"/>
      <c r="B1597" s="1502"/>
      <c r="C1597" s="635" t="s">
        <v>6219</v>
      </c>
      <c r="D1597" s="636">
        <f>D1596/(D1596+E1596+G1596+H1596+I1596+J1596+L1596+M1596+N1596)</f>
        <v>0.22857856536635074</v>
      </c>
      <c r="E1597" s="636">
        <f>E1596/(D1596+E1596+G1596+H1596+I1596+J1596+L1596+M1596+N1596)</f>
        <v>0.13308297781146128</v>
      </c>
      <c r="F1597" s="637">
        <f t="shared" si="48"/>
        <v>0.36166154317781202</v>
      </c>
      <c r="G1597" s="636">
        <f>G1596/(D1596+E1596+G1596+H1596+I1596+J1596+L1596+M1596+N1596)</f>
        <v>0.15831722485729452</v>
      </c>
      <c r="H1597" s="636">
        <f>H1596/(D1596+E1596+G1596+H1596+I1596+J1596+L1596+M1596+N1596)</f>
        <v>3.2012580223049168E-2</v>
      </c>
      <c r="I1597" s="636">
        <f>I1596/(D1596+E1596+G1596+H1596+I1596+J1596+L1596+M1596+N1596)</f>
        <v>0</v>
      </c>
      <c r="J1597" s="636">
        <f>J1596/(D1596+E1596+G1596+H1596+I1596+J1596+L1596+M1596+N1596)</f>
        <v>2.4629646976006177E-2</v>
      </c>
      <c r="K1597" s="637">
        <f t="shared" si="49"/>
        <v>0.21495945205634986</v>
      </c>
      <c r="L1597" s="636">
        <f>L1596/(D1596+E1596+G1596+H1596+I1596+J1596+L1596+M1596+N1596)</f>
        <v>7.0303917978762356E-2</v>
      </c>
      <c r="M1597" s="636">
        <f>M1596/(D1596+E1596+G1596+H1596+I1596+J1596+L1596+M1596+N1596)</f>
        <v>0</v>
      </c>
      <c r="N1597" s="636">
        <f>N1596/(D1596+E1596+G1596+H1596+I1596+J1596+L1596+M1596+N1596)</f>
        <v>0.35307508678707578</v>
      </c>
      <c r="O1597" s="1503"/>
    </row>
    <row r="1598" spans="1:15" ht="12" customHeight="1">
      <c r="A1598" s="1517"/>
      <c r="B1598" s="1502" t="s">
        <v>14939</v>
      </c>
      <c r="C1598" s="638" t="s">
        <v>6218</v>
      </c>
      <c r="D1598" s="639">
        <v>46202</v>
      </c>
      <c r="E1598" s="639">
        <v>44118</v>
      </c>
      <c r="F1598" s="640">
        <f t="shared" si="48"/>
        <v>90320</v>
      </c>
      <c r="G1598" s="639">
        <v>60125</v>
      </c>
      <c r="H1598" s="639">
        <v>5564</v>
      </c>
      <c r="I1598" s="639"/>
      <c r="J1598" s="639"/>
      <c r="K1598" s="640">
        <f t="shared" si="49"/>
        <v>65689</v>
      </c>
      <c r="L1598" s="639">
        <v>22823</v>
      </c>
      <c r="M1598" s="639">
        <v>7025</v>
      </c>
      <c r="N1598" s="639">
        <v>166150</v>
      </c>
      <c r="O1598" s="1503">
        <f>1-N1599</f>
        <v>0.52799234106139936</v>
      </c>
    </row>
    <row r="1599" spans="1:15" ht="12" customHeight="1">
      <c r="A1599" s="1517"/>
      <c r="B1599" s="1502"/>
      <c r="C1599" s="635" t="s">
        <v>6219</v>
      </c>
      <c r="D1599" s="636">
        <f>D1598/(D1598+E1598+G1598+H1598+I1598+J1598+L1598+M1598+N1598)</f>
        <v>0.13125307167187017</v>
      </c>
      <c r="E1599" s="636">
        <f>E1598/(D1598+E1598+G1598+H1598+I1598+J1598+L1598+M1598+N1598)</f>
        <v>0.12533273486038629</v>
      </c>
      <c r="F1599" s="637">
        <f t="shared" si="48"/>
        <v>0.25658580653225649</v>
      </c>
      <c r="G1599" s="636">
        <f>G1598/(D1598+E1598+G1598+H1598+I1598+J1598+L1598+M1598+N1598)</f>
        <v>0.17080626237546412</v>
      </c>
      <c r="H1599" s="636">
        <f>H1598/(D1598+E1598+G1598+H1598+I1598+J1598+L1598+M1598+N1598)</f>
        <v>1.5806503847934843E-2</v>
      </c>
      <c r="I1599" s="636">
        <f>I1598/(D1598+E1598+G1598+H1598+I1598+J1598+L1598+M1598+N1598)</f>
        <v>0</v>
      </c>
      <c r="J1599" s="636">
        <f>J1598/(D1598+E1598+G1598+H1598+I1598+J1598+L1598+M1598+N1598)</f>
        <v>0</v>
      </c>
      <c r="K1599" s="637">
        <f t="shared" si="49"/>
        <v>0.18661276622339895</v>
      </c>
      <c r="L1599" s="636">
        <f>L1598/(D1598+E1598+G1598+H1598+I1598+J1598+L1598+M1598+N1598)</f>
        <v>6.483677881405768E-2</v>
      </c>
      <c r="M1599" s="636">
        <f>M1598/(D1598+E1598+G1598+H1598+I1598+J1598+L1598+M1598+N1598)</f>
        <v>1.9956989491686245E-2</v>
      </c>
      <c r="N1599" s="636">
        <f>N1598/(D1598+E1598+G1598+H1598+I1598+J1598+L1598+M1598+N1598)</f>
        <v>0.47200765893860064</v>
      </c>
      <c r="O1599" s="1503"/>
    </row>
    <row r="1600" spans="1:15" ht="12" customHeight="1">
      <c r="A1600" s="1517"/>
      <c r="B1600" s="1502" t="s">
        <v>14940</v>
      </c>
      <c r="C1600" s="638" t="s">
        <v>6218</v>
      </c>
      <c r="D1600" s="639">
        <v>55351</v>
      </c>
      <c r="E1600" s="639">
        <v>45179</v>
      </c>
      <c r="F1600" s="640">
        <f t="shared" si="48"/>
        <v>100530</v>
      </c>
      <c r="G1600" s="639">
        <v>63774</v>
      </c>
      <c r="H1600" s="639">
        <v>5254</v>
      </c>
      <c r="I1600" s="639"/>
      <c r="J1600" s="639"/>
      <c r="K1600" s="640">
        <f t="shared" si="49"/>
        <v>69028</v>
      </c>
      <c r="L1600" s="639">
        <v>23724</v>
      </c>
      <c r="M1600" s="639"/>
      <c r="N1600" s="639">
        <v>159612</v>
      </c>
      <c r="O1600" s="1503">
        <f>1-N1601</f>
        <v>0.54770554330762211</v>
      </c>
    </row>
    <row r="1601" spans="1:15" ht="12" customHeight="1" thickBot="1">
      <c r="A1601" s="1519"/>
      <c r="B1601" s="1514"/>
      <c r="C1601" s="641" t="s">
        <v>6219</v>
      </c>
      <c r="D1601" s="642">
        <f>D1600/(D1600+E1600+G1600+H1600+I1600+J1600+L1600+M1600+N1600)</f>
        <v>0.15684879878943819</v>
      </c>
      <c r="E1601" s="642">
        <f>E1600/(D1600+E1600+G1600+H1600+I1600+J1600+L1600+M1600+N1600)</f>
        <v>0.12802427924532578</v>
      </c>
      <c r="F1601" s="643">
        <f t="shared" si="48"/>
        <v>0.28487307803476397</v>
      </c>
      <c r="G1601" s="642">
        <f>G1600/(D1600+E1600+G1600+H1600+I1600+J1600+L1600+M1600+N1600)</f>
        <v>0.18071715585983325</v>
      </c>
      <c r="H1601" s="642">
        <f>H1600/(D1600+E1600+G1600+H1600+I1600+J1600+L1600+M1600+N1600)</f>
        <v>1.4888323405895255E-2</v>
      </c>
      <c r="I1601" s="642">
        <f>I1600/(D1600+E1600+G1600+H1600+I1600+J1600+L1600+M1600+N1600)</f>
        <v>0</v>
      </c>
      <c r="J1601" s="642">
        <f>J1600/(D1600+E1600+G1600+H1600+I1600+J1600+L1600+M1600+N1600)</f>
        <v>0</v>
      </c>
      <c r="K1601" s="643">
        <f t="shared" si="49"/>
        <v>0.19560547926572849</v>
      </c>
      <c r="L1601" s="642">
        <f>L1600/(D1600+E1600+G1600+H1600+I1600+J1600+L1600+M1600+N1600)</f>
        <v>6.7226986007129619E-2</v>
      </c>
      <c r="M1601" s="642">
        <f>M1600/(D1600+E1600+G1600+H1600+I1600+J1600+L1600+M1600+N1600)</f>
        <v>0</v>
      </c>
      <c r="N1601" s="642">
        <f>N1600/(D1600+E1600+G1600+H1600+I1600+J1600+L1600+M1600+N1600)</f>
        <v>0.45229445669237789</v>
      </c>
      <c r="O1601" s="1515"/>
    </row>
    <row r="1602" spans="1:15" ht="12" customHeight="1">
      <c r="A1602" s="1532" t="s">
        <v>15138</v>
      </c>
      <c r="B1602" s="1509" t="s">
        <v>14937</v>
      </c>
      <c r="C1602" s="647" t="s">
        <v>6218</v>
      </c>
      <c r="D1602" s="648">
        <v>45224</v>
      </c>
      <c r="E1602" s="648">
        <v>48624</v>
      </c>
      <c r="F1602" s="649">
        <f t="shared" ref="F1602:F1665" si="50">SUM(D1602:E1602)</f>
        <v>93848</v>
      </c>
      <c r="G1602" s="648">
        <v>63711</v>
      </c>
      <c r="H1602" s="648">
        <v>7251</v>
      </c>
      <c r="I1602" s="648">
        <v>4405</v>
      </c>
      <c r="J1602" s="648">
        <v>6855</v>
      </c>
      <c r="K1602" s="649">
        <f t="shared" ref="K1602:K1665" si="51">SUM(G1602:J1602)</f>
        <v>82222</v>
      </c>
      <c r="L1602" s="648">
        <v>30115</v>
      </c>
      <c r="M1602" s="648">
        <v>4577</v>
      </c>
      <c r="N1602" s="648">
        <v>181656</v>
      </c>
      <c r="O1602" s="1510">
        <f>1-N1603</f>
        <v>0.53708545479565162</v>
      </c>
    </row>
    <row r="1603" spans="1:15" ht="12" customHeight="1">
      <c r="A1603" s="1533"/>
      <c r="B1603" s="1502"/>
      <c r="C1603" s="635" t="s">
        <v>6219</v>
      </c>
      <c r="D1603" s="636">
        <f>D1602/(D1602+E1602+G1602+H1602+I1602+J1602+L1602+M1602+N1602)</f>
        <v>0.11524445871494172</v>
      </c>
      <c r="E1603" s="636">
        <f>E1602/(D1602+E1602+G1602+H1602+I1602+J1602+L1602+M1602+N1602)</f>
        <v>0.12390868920385915</v>
      </c>
      <c r="F1603" s="637">
        <f t="shared" si="50"/>
        <v>0.23915314791880088</v>
      </c>
      <c r="G1603" s="636">
        <f>G1602/(D1602+E1602+G1602+H1602+I1602+J1602+L1602+M1602+N1602)</f>
        <v>0.16235493784688776</v>
      </c>
      <c r="H1603" s="636">
        <f>H1602/(D1602+E1602+G1602+H1602+I1602+J1602+L1602+M1602+N1602)</f>
        <v>1.8477745669158906E-2</v>
      </c>
      <c r="I1603" s="636">
        <f>I1602/(D1602+E1602+G1602+H1602+I1602+J1602+L1602+M1602+N1602)</f>
        <v>1.1225275089318023E-2</v>
      </c>
      <c r="J1603" s="636">
        <f>J1602/(D1602+E1602+G1602+H1602+I1602+J1602+L1602+M1602+N1602)</f>
        <v>1.7468617647508525E-2</v>
      </c>
      <c r="K1603" s="637">
        <f t="shared" si="51"/>
        <v>0.20952657625287324</v>
      </c>
      <c r="L1603" s="636">
        <f>L1602/(D1602+E1602+G1602+H1602+I1602+J1602+L1602+M1602+N1602)</f>
        <v>7.6742147404043642E-2</v>
      </c>
      <c r="M1603" s="636">
        <f>M1602/(D1602+E1602+G1602+H1602+I1602+J1602+L1602+M1602+N1602)</f>
        <v>1.1663583219933845E-2</v>
      </c>
      <c r="N1603" s="636">
        <f>N1602/(D1602+E1602+G1602+H1602+I1602+J1602+L1602+M1602+N1602)</f>
        <v>0.46291454520434844</v>
      </c>
      <c r="O1603" s="1503"/>
    </row>
    <row r="1604" spans="1:15" ht="12" customHeight="1">
      <c r="A1604" s="1533"/>
      <c r="B1604" s="1502" t="s">
        <v>14938</v>
      </c>
      <c r="C1604" s="638" t="s">
        <v>6218</v>
      </c>
      <c r="D1604" s="639">
        <v>86217</v>
      </c>
      <c r="E1604" s="639">
        <v>50802</v>
      </c>
      <c r="F1604" s="640">
        <f t="shared" si="50"/>
        <v>137019</v>
      </c>
      <c r="G1604" s="639">
        <v>60188</v>
      </c>
      <c r="H1604" s="639">
        <v>11788</v>
      </c>
      <c r="I1604" s="639"/>
      <c r="J1604" s="639">
        <v>8428</v>
      </c>
      <c r="K1604" s="640">
        <f t="shared" si="51"/>
        <v>80404</v>
      </c>
      <c r="L1604" s="639">
        <v>28840</v>
      </c>
      <c r="M1604" s="639"/>
      <c r="N1604" s="639">
        <v>151097</v>
      </c>
      <c r="O1604" s="1503">
        <f>1-N1605</f>
        <v>0.61974783571572378</v>
      </c>
    </row>
    <row r="1605" spans="1:15" ht="12" customHeight="1">
      <c r="A1605" s="1533"/>
      <c r="B1605" s="1502"/>
      <c r="C1605" s="635" t="s">
        <v>6219</v>
      </c>
      <c r="D1605" s="636">
        <f>D1604/(D1604+E1604+G1604+H1604+I1604+J1604+L1604+M1604+N1604)</f>
        <v>0.21697453191061003</v>
      </c>
      <c r="E1605" s="636">
        <f>E1604/(D1604+E1604+G1604+H1604+I1604+J1604+L1604+M1604+N1604)</f>
        <v>0.12784880209381921</v>
      </c>
      <c r="F1605" s="637">
        <f t="shared" si="50"/>
        <v>0.34482333400442922</v>
      </c>
      <c r="G1605" s="636">
        <f>G1604/(D1604+E1604+G1604+H1604+I1604+J1604+L1604+M1604+N1604)</f>
        <v>0.15146970002013288</v>
      </c>
      <c r="H1605" s="636">
        <f>H1604/(D1604+E1604+G1604+H1604+I1604+J1604+L1604+M1604+N1604)</f>
        <v>2.9665794241997182E-2</v>
      </c>
      <c r="I1605" s="636">
        <f>I1604/(D1604+E1604+G1604+H1604+I1604+J1604+L1604+M1604+N1604)</f>
        <v>0</v>
      </c>
      <c r="J1605" s="636">
        <f>J1604/(D1604+E1604+G1604+H1604+I1604+J1604+L1604+M1604+N1604)</f>
        <v>2.1209985906986108E-2</v>
      </c>
      <c r="K1605" s="637">
        <f t="shared" si="51"/>
        <v>0.20234548016911616</v>
      </c>
      <c r="L1605" s="636">
        <f>L1604/(D1604+E1604+G1604+H1604+I1604+J1604+L1604+M1604+N1604)</f>
        <v>7.2579021542178379E-2</v>
      </c>
      <c r="M1605" s="636">
        <f>M1604/(D1604+E1604+G1604+H1604+I1604+J1604+L1604+M1604+N1604)</f>
        <v>0</v>
      </c>
      <c r="N1605" s="636">
        <f>N1604/(D1604+E1604+G1604+H1604+I1604+J1604+L1604+M1604+N1604)</f>
        <v>0.38025216428427622</v>
      </c>
      <c r="O1605" s="1503"/>
    </row>
    <row r="1606" spans="1:15" ht="12" customHeight="1">
      <c r="A1606" s="1533"/>
      <c r="B1606" s="1502" t="s">
        <v>14939</v>
      </c>
      <c r="C1606" s="638" t="s">
        <v>6218</v>
      </c>
      <c r="D1606" s="639">
        <v>46410</v>
      </c>
      <c r="E1606" s="639">
        <v>51676</v>
      </c>
      <c r="F1606" s="640">
        <f t="shared" si="50"/>
        <v>98086</v>
      </c>
      <c r="G1606" s="639">
        <v>65260</v>
      </c>
      <c r="H1606" s="639">
        <v>6085</v>
      </c>
      <c r="I1606" s="639"/>
      <c r="J1606" s="639"/>
      <c r="K1606" s="640">
        <f t="shared" si="51"/>
        <v>71345</v>
      </c>
      <c r="L1606" s="639">
        <v>27411</v>
      </c>
      <c r="M1606" s="639">
        <v>7315</v>
      </c>
      <c r="N1606" s="639">
        <v>196281</v>
      </c>
      <c r="O1606" s="1503">
        <f>1-N1607</f>
        <v>0.50983423151648943</v>
      </c>
    </row>
    <row r="1607" spans="1:15" ht="12" customHeight="1">
      <c r="A1607" s="1533"/>
      <c r="B1607" s="1502"/>
      <c r="C1607" s="635" t="s">
        <v>6219</v>
      </c>
      <c r="D1607" s="636">
        <f>D1606/(D1606+E1606+G1606+H1606+I1606+J1606+L1606+M1606+N1606)</f>
        <v>0.11589809158970926</v>
      </c>
      <c r="E1607" s="636">
        <f>E1606/(D1606+E1606+G1606+H1606+I1606+J1606+L1606+M1606+N1606)</f>
        <v>0.12904869168260755</v>
      </c>
      <c r="F1607" s="637">
        <f t="shared" si="50"/>
        <v>0.24494678327231681</v>
      </c>
      <c r="G1607" s="636">
        <f>G1606/(D1606+E1606+G1606+H1606+I1606+J1606+L1606+M1606+N1606)</f>
        <v>0.16297154615695814</v>
      </c>
      <c r="H1607" s="636">
        <f>H1606/(D1606+E1606+G1606+H1606+I1606+J1606+L1606+M1606+N1606)</f>
        <v>1.5195860532716675E-2</v>
      </c>
      <c r="I1607" s="636">
        <f>I1606/(D1606+E1606+G1606+H1606+I1606+J1606+L1606+M1606+N1606)</f>
        <v>0</v>
      </c>
      <c r="J1607" s="636">
        <f>J1606/(D1606+E1606+G1606+H1606+I1606+J1606+L1606+M1606+N1606)</f>
        <v>0</v>
      </c>
      <c r="K1607" s="637">
        <f t="shared" si="51"/>
        <v>0.17816740668967482</v>
      </c>
      <c r="L1607" s="636">
        <f>L1606/(D1606+E1606+G1606+H1606+I1606+J1606+L1606+M1606+N1606)</f>
        <v>6.8452544463812132E-2</v>
      </c>
      <c r="M1607" s="636">
        <f>M1606/(D1606+E1606+G1606+H1606+I1606+J1606+L1606+M1606+N1606)</f>
        <v>1.8267497090685699E-2</v>
      </c>
      <c r="N1607" s="636">
        <f>N1606/(D1606+E1606+G1606+H1606+I1606+J1606+L1606+M1606+N1606)</f>
        <v>0.49016576848351057</v>
      </c>
      <c r="O1607" s="1503"/>
    </row>
    <row r="1608" spans="1:15" ht="12" customHeight="1">
      <c r="A1608" s="1533"/>
      <c r="B1608" s="1502" t="s">
        <v>14940</v>
      </c>
      <c r="C1608" s="638" t="s">
        <v>6218</v>
      </c>
      <c r="D1608" s="639">
        <v>58671</v>
      </c>
      <c r="E1608" s="639">
        <v>52257</v>
      </c>
      <c r="F1608" s="640">
        <f t="shared" si="50"/>
        <v>110928</v>
      </c>
      <c r="G1608" s="639">
        <v>69196</v>
      </c>
      <c r="H1608" s="639">
        <v>5661</v>
      </c>
      <c r="I1608" s="639"/>
      <c r="J1608" s="639"/>
      <c r="K1608" s="640">
        <f t="shared" si="51"/>
        <v>74857</v>
      </c>
      <c r="L1608" s="639">
        <v>27905</v>
      </c>
      <c r="M1608" s="639"/>
      <c r="N1608" s="639">
        <v>187904</v>
      </c>
      <c r="O1608" s="1503">
        <f>1-N1609</f>
        <v>0.53210456331518896</v>
      </c>
    </row>
    <row r="1609" spans="1:15" ht="12" customHeight="1" thickBot="1">
      <c r="A1609" s="1534"/>
      <c r="B1609" s="1514"/>
      <c r="C1609" s="641" t="s">
        <v>6219</v>
      </c>
      <c r="D1609" s="642">
        <f>D1608/(D1608+E1608+G1608+H1608+I1608+J1608+L1608+M1608+N1608)</f>
        <v>0.14609531018889724</v>
      </c>
      <c r="E1609" s="642">
        <f>E1608/(D1608+E1608+G1608+H1608+I1608+J1608+L1608+M1608+N1608)</f>
        <v>0.13012395603519972</v>
      </c>
      <c r="F1609" s="643">
        <f t="shared" si="50"/>
        <v>0.27621926622409698</v>
      </c>
      <c r="G1609" s="642">
        <f>G1608/(D1608+E1608+G1608+H1608+I1608+J1608+L1608+M1608+N1608)</f>
        <v>0.17230337106630078</v>
      </c>
      <c r="H1609" s="642">
        <f>H1608/(D1608+E1608+G1608+H1608+I1608+J1608+L1608+M1608+N1608)</f>
        <v>1.4096326140330781E-2</v>
      </c>
      <c r="I1609" s="642">
        <f>I1608/(D1608+E1608+G1608+H1608+I1608+J1608+L1608+M1608+N1608)</f>
        <v>0</v>
      </c>
      <c r="J1609" s="642">
        <f>J1608/(D1608+E1608+G1608+H1608+I1608+J1608+L1608+M1608+N1608)</f>
        <v>0</v>
      </c>
      <c r="K1609" s="643">
        <f t="shared" si="51"/>
        <v>0.18639969720663158</v>
      </c>
      <c r="L1609" s="642">
        <f>L1608/(D1608+E1608+G1608+H1608+I1608+J1608+L1608+M1608+N1608)</f>
        <v>6.9485599884460431E-2</v>
      </c>
      <c r="M1609" s="642">
        <f>M1608/(D1608+E1608+G1608+H1608+I1608+J1608+L1608+M1608+N1608)</f>
        <v>0</v>
      </c>
      <c r="N1609" s="642">
        <f>N1608/(D1608+E1608+G1608+H1608+I1608+J1608+L1608+M1608+N1608)</f>
        <v>0.46789543668481104</v>
      </c>
      <c r="O1609" s="1515"/>
    </row>
    <row r="1610" spans="1:15" ht="12" customHeight="1">
      <c r="A1610" s="1516" t="s">
        <v>15139</v>
      </c>
      <c r="B1610" s="1509" t="s">
        <v>14937</v>
      </c>
      <c r="C1610" s="647" t="s">
        <v>6218</v>
      </c>
      <c r="D1610" s="648">
        <v>51442</v>
      </c>
      <c r="E1610" s="648">
        <v>36675</v>
      </c>
      <c r="F1610" s="649">
        <f t="shared" si="50"/>
        <v>88117</v>
      </c>
      <c r="G1610" s="648">
        <v>75008</v>
      </c>
      <c r="H1610" s="648">
        <v>8645</v>
      </c>
      <c r="I1610" s="648">
        <v>5291</v>
      </c>
      <c r="J1610" s="648">
        <v>9251</v>
      </c>
      <c r="K1610" s="649">
        <f t="shared" si="51"/>
        <v>98195</v>
      </c>
      <c r="L1610" s="648">
        <v>27551</v>
      </c>
      <c r="M1610" s="648">
        <v>5490</v>
      </c>
      <c r="N1610" s="648">
        <v>189371</v>
      </c>
      <c r="O1610" s="1510">
        <f>1-N1611</f>
        <v>0.53667756236482322</v>
      </c>
    </row>
    <row r="1611" spans="1:15" ht="12" customHeight="1">
      <c r="A1611" s="1517"/>
      <c r="B1611" s="1502"/>
      <c r="C1611" s="635" t="s">
        <v>6219</v>
      </c>
      <c r="D1611" s="636">
        <f>D1610/(D1610+E1610+G1610+H1610+I1610+J1610+L1610+M1610+N1610)</f>
        <v>0.12585999354087354</v>
      </c>
      <c r="E1611" s="636">
        <f>E1610/(D1610+E1610+G1610+H1610+I1610+J1610+L1610+M1610+N1610)</f>
        <v>8.9730478268954111E-2</v>
      </c>
      <c r="F1611" s="637">
        <f t="shared" si="50"/>
        <v>0.21559047180982766</v>
      </c>
      <c r="G1611" s="636">
        <f>G1610/(D1610+E1610+G1610+H1610+I1610+J1610+L1610+M1610+N1610)</f>
        <v>0.18351748368091916</v>
      </c>
      <c r="H1611" s="636">
        <f>H1610/(D1610+E1610+G1610+H1610+I1610+J1610+L1610+M1610+N1610)</f>
        <v>2.1151192491754827E-2</v>
      </c>
      <c r="I1611" s="636">
        <f>I1610/(D1610+E1610+G1610+H1610+I1610+J1610+L1610+M1610+N1610)</f>
        <v>1.2945165931043931E-2</v>
      </c>
      <c r="J1611" s="636">
        <f>J1610/(D1610+E1610+G1610+H1610+I1610+J1610+L1610+M1610+N1610)</f>
        <v>2.263385560916413E-2</v>
      </c>
      <c r="K1611" s="637">
        <f t="shared" si="51"/>
        <v>0.24024769771288207</v>
      </c>
      <c r="L1611" s="636">
        <f>L1610/(D1610+E1610+G1610+H1610+I1610+J1610+L1610+M1610+N1610)</f>
        <v>6.7407345788355957E-2</v>
      </c>
      <c r="M1611" s="636">
        <f>M1610/(D1610+E1610+G1610+H1610+I1610+J1610+L1610+M1610+N1610)</f>
        <v>1.3432047053757548E-2</v>
      </c>
      <c r="N1611" s="636">
        <f>N1610/(D1610+E1610+G1610+H1610+I1610+J1610+L1610+M1610+N1610)</f>
        <v>0.46332243763517678</v>
      </c>
      <c r="O1611" s="1503"/>
    </row>
    <row r="1612" spans="1:15" ht="12" customHeight="1">
      <c r="A1612" s="1517"/>
      <c r="B1612" s="1502" t="s">
        <v>14938</v>
      </c>
      <c r="C1612" s="638" t="s">
        <v>6218</v>
      </c>
      <c r="D1612" s="639">
        <v>94653</v>
      </c>
      <c r="E1612" s="639">
        <v>41322</v>
      </c>
      <c r="F1612" s="640">
        <f t="shared" si="50"/>
        <v>135975</v>
      </c>
      <c r="G1612" s="639">
        <v>67830</v>
      </c>
      <c r="H1612" s="639">
        <v>13757</v>
      </c>
      <c r="I1612" s="639"/>
      <c r="J1612" s="639">
        <v>10409</v>
      </c>
      <c r="K1612" s="640">
        <f t="shared" si="51"/>
        <v>91996</v>
      </c>
      <c r="L1612" s="639">
        <v>25949</v>
      </c>
      <c r="M1612" s="639"/>
      <c r="N1612" s="639">
        <v>146631</v>
      </c>
      <c r="O1612" s="1503">
        <f>1-N1613</f>
        <v>0.6339267658800003</v>
      </c>
    </row>
    <row r="1613" spans="1:15" ht="12" customHeight="1">
      <c r="A1613" s="1517"/>
      <c r="B1613" s="1502"/>
      <c r="C1613" s="635" t="s">
        <v>6219</v>
      </c>
      <c r="D1613" s="636">
        <f>D1612/(D1612+E1612+G1612+H1612+I1612+J1612+L1612+M1612+N1612)</f>
        <v>0.23630698712523499</v>
      </c>
      <c r="E1613" s="636">
        <f>E1612/(D1612+E1612+G1612+H1612+I1612+J1612+L1612+M1612+N1612)</f>
        <v>0.10316289311473445</v>
      </c>
      <c r="F1613" s="637">
        <f t="shared" si="50"/>
        <v>0.33946988023996943</v>
      </c>
      <c r="G1613" s="636">
        <f>G1612/(D1612+E1612+G1612+H1612+I1612+J1612+L1612+M1612+N1612)</f>
        <v>0.16934173176449441</v>
      </c>
      <c r="H1613" s="636">
        <f>H1612/(D1612+E1612+G1612+H1612+I1612+J1612+L1612+M1612+N1612)</f>
        <v>3.4345189501461738E-2</v>
      </c>
      <c r="I1613" s="636">
        <f>I1612/(D1612+E1612+G1612+H1612+I1612+J1612+L1612+M1612+N1612)</f>
        <v>0</v>
      </c>
      <c r="J1613" s="636">
        <f>J1612/(D1612+E1612+G1612+H1612+I1612+J1612+L1612+M1612+N1612)</f>
        <v>2.5986703316181959E-2</v>
      </c>
      <c r="K1613" s="637">
        <f t="shared" si="51"/>
        <v>0.22967362458213811</v>
      </c>
      <c r="L1613" s="636">
        <f>L1612/(D1612+E1612+G1612+H1612+I1612+J1612+L1612+M1612+N1612)</f>
        <v>6.4783261057892755E-2</v>
      </c>
      <c r="M1613" s="636">
        <f>M1612/(D1612+E1612+G1612+H1612+I1612+J1612+L1612+M1612+N1612)</f>
        <v>0</v>
      </c>
      <c r="N1613" s="636">
        <f>N1612/(D1612+E1612+G1612+H1612+I1612+J1612+L1612+M1612+N1612)</f>
        <v>0.3660732341199997</v>
      </c>
      <c r="O1613" s="1503"/>
    </row>
    <row r="1614" spans="1:15" ht="12" customHeight="1">
      <c r="A1614" s="1517"/>
      <c r="B1614" s="1502" t="s">
        <v>14939</v>
      </c>
      <c r="C1614" s="638" t="s">
        <v>6218</v>
      </c>
      <c r="D1614" s="639">
        <v>50331</v>
      </c>
      <c r="E1614" s="639">
        <v>38959</v>
      </c>
      <c r="F1614" s="640">
        <f t="shared" si="50"/>
        <v>89290</v>
      </c>
      <c r="G1614" s="639">
        <v>72047</v>
      </c>
      <c r="H1614" s="639">
        <v>7029</v>
      </c>
      <c r="I1614" s="639"/>
      <c r="J1614" s="639"/>
      <c r="K1614" s="640">
        <f t="shared" si="51"/>
        <v>79076</v>
      </c>
      <c r="L1614" s="639">
        <v>24288</v>
      </c>
      <c r="M1614" s="639">
        <v>8365</v>
      </c>
      <c r="N1614" s="639">
        <v>193440</v>
      </c>
      <c r="O1614" s="1503">
        <f>1-N1615</f>
        <v>0.5096068285930857</v>
      </c>
    </row>
    <row r="1615" spans="1:15" ht="12" customHeight="1">
      <c r="A1615" s="1517"/>
      <c r="B1615" s="1502"/>
      <c r="C1615" s="635" t="s">
        <v>6219</v>
      </c>
      <c r="D1615" s="636">
        <f>D1614/(D1614+E1614+G1614+H1614+I1614+J1614+L1614+M1614+N1614)</f>
        <v>0.12759500987428352</v>
      </c>
      <c r="E1615" s="636">
        <f>E1614/(D1614+E1614+G1614+H1614+I1614+J1614+L1614+M1614+N1614)</f>
        <v>9.8765651183012684E-2</v>
      </c>
      <c r="F1615" s="637">
        <f t="shared" si="50"/>
        <v>0.22636066105729619</v>
      </c>
      <c r="G1615" s="636">
        <f>G1614/(D1614+E1614+G1614+H1614+I1614+J1614+L1614+M1614+N1614)</f>
        <v>0.18264762624252456</v>
      </c>
      <c r="H1615" s="636">
        <f>H1614/(D1614+E1614+G1614+H1614+I1614+J1614+L1614+M1614+N1614)</f>
        <v>1.7819342441166255E-2</v>
      </c>
      <c r="I1615" s="636">
        <f>I1614/(D1614+E1614+G1614+H1614+I1614+J1614+L1614+M1614+N1614)</f>
        <v>0</v>
      </c>
      <c r="J1615" s="636">
        <f>J1614/(D1614+E1614+G1614+H1614+I1614+J1614+L1614+M1614+N1614)</f>
        <v>0</v>
      </c>
      <c r="K1615" s="637">
        <f t="shared" si="51"/>
        <v>0.20046696868369082</v>
      </c>
      <c r="L1615" s="636">
        <f>L1614/(D1614+E1614+G1614+H1614+I1614+J1614+L1614+M1614+N1614)</f>
        <v>6.1572939139428941E-2</v>
      </c>
      <c r="M1615" s="636">
        <f>M1614/(D1614+E1614+G1614+H1614+I1614+J1614+L1614+M1614+N1614)</f>
        <v>2.1206259712669758E-2</v>
      </c>
      <c r="N1615" s="636">
        <f>N1614/(D1614+E1614+G1614+H1614+I1614+J1614+L1614+M1614+N1614)</f>
        <v>0.4903931714069143</v>
      </c>
      <c r="O1615" s="1503"/>
    </row>
    <row r="1616" spans="1:15" ht="12" customHeight="1">
      <c r="A1616" s="1517"/>
      <c r="B1616" s="1502" t="s">
        <v>14940</v>
      </c>
      <c r="C1616" s="638" t="s">
        <v>6218</v>
      </c>
      <c r="D1616" s="639">
        <v>59029</v>
      </c>
      <c r="E1616" s="639">
        <v>38542</v>
      </c>
      <c r="F1616" s="640">
        <f t="shared" si="50"/>
        <v>97571</v>
      </c>
      <c r="G1616" s="639">
        <v>79248</v>
      </c>
      <c r="H1616" s="639">
        <v>6796</v>
      </c>
      <c r="I1616" s="639"/>
      <c r="J1616" s="639"/>
      <c r="K1616" s="640">
        <f t="shared" si="51"/>
        <v>86044</v>
      </c>
      <c r="L1616" s="639">
        <v>24127</v>
      </c>
      <c r="M1616" s="639"/>
      <c r="N1616" s="639">
        <v>184107</v>
      </c>
      <c r="O1616" s="1503">
        <f>1-N1617</f>
        <v>0.53015830077402271</v>
      </c>
    </row>
    <row r="1617" spans="1:15" ht="12" customHeight="1" thickBot="1">
      <c r="A1617" s="1519"/>
      <c r="B1617" s="1514"/>
      <c r="C1617" s="641" t="s">
        <v>6219</v>
      </c>
      <c r="D1617" s="642">
        <f>D1616/(D1616+E1616+G1616+H1616+I1616+J1616+L1616+M1616+N1616)</f>
        <v>0.15064221166827019</v>
      </c>
      <c r="E1617" s="642">
        <f>E1616/(D1616+E1616+G1616+H1616+I1616+J1616+L1616+M1616+N1616)</f>
        <v>9.8359316981796563E-2</v>
      </c>
      <c r="F1617" s="643">
        <f t="shared" si="50"/>
        <v>0.24900152865006675</v>
      </c>
      <c r="G1617" s="642">
        <f>G1616/(D1616+E1616+G1616+H1616+I1616+J1616+L1616+M1616+N1616)</f>
        <v>0.20224116943006107</v>
      </c>
      <c r="H1617" s="642">
        <f>H1616/(D1616+E1616+G1616+H1616+I1616+J1616+L1616+M1616+N1616)</f>
        <v>1.7343415448297685E-2</v>
      </c>
      <c r="I1617" s="642">
        <f>I1616/(D1616+E1616+G1616+H1616+I1616+J1616+L1616+M1616+N1616)</f>
        <v>0</v>
      </c>
      <c r="J1617" s="642">
        <f>J1616/(D1616+E1616+G1616+H1616+I1616+J1616+L1616+M1616+N1616)</f>
        <v>0</v>
      </c>
      <c r="K1617" s="643">
        <f t="shared" si="51"/>
        <v>0.21958458487835875</v>
      </c>
      <c r="L1617" s="642">
        <f>L1616/(D1616+E1616+G1616+H1616+I1616+J1616+L1616+M1616+N1616)</f>
        <v>6.1572187245597154E-2</v>
      </c>
      <c r="M1617" s="642">
        <f>M1616/(D1616+E1616+G1616+H1616+I1616+J1616+L1616+M1616+N1616)</f>
        <v>0</v>
      </c>
      <c r="N1617" s="642">
        <f>N1616/(D1616+E1616+G1616+H1616+I1616+J1616+L1616+M1616+N1616)</f>
        <v>0.46984169922597735</v>
      </c>
      <c r="O1617" s="1515"/>
    </row>
    <row r="1618" spans="1:15" ht="12" customHeight="1">
      <c r="A1618" s="1532" t="s">
        <v>15140</v>
      </c>
      <c r="B1618" s="1509" t="s">
        <v>14937</v>
      </c>
      <c r="C1618" s="647" t="s">
        <v>6218</v>
      </c>
      <c r="D1618" s="648">
        <v>41574</v>
      </c>
      <c r="E1618" s="648">
        <v>47069</v>
      </c>
      <c r="F1618" s="649">
        <f t="shared" si="50"/>
        <v>88643</v>
      </c>
      <c r="G1618" s="648">
        <v>68363</v>
      </c>
      <c r="H1618" s="648">
        <v>7592</v>
      </c>
      <c r="I1618" s="648">
        <v>4401</v>
      </c>
      <c r="J1618" s="648">
        <v>7288</v>
      </c>
      <c r="K1618" s="649">
        <f t="shared" si="51"/>
        <v>87644</v>
      </c>
      <c r="L1618" s="648">
        <v>32982</v>
      </c>
      <c r="M1618" s="648">
        <v>4983</v>
      </c>
      <c r="N1618" s="648">
        <v>194446</v>
      </c>
      <c r="O1618" s="1510">
        <f>1-N1619</f>
        <v>0.52423060548375577</v>
      </c>
    </row>
    <row r="1619" spans="1:15" ht="12" customHeight="1">
      <c r="A1619" s="1533"/>
      <c r="B1619" s="1502"/>
      <c r="C1619" s="635" t="s">
        <v>6219</v>
      </c>
      <c r="D1619" s="636">
        <f>D1618/(D1618+E1618+G1618+H1618+I1618+J1618+L1618+M1618+N1618)</f>
        <v>0.10172303265491879</v>
      </c>
      <c r="E1619" s="636">
        <f>E1618/(D1618+E1618+G1618+H1618+I1618+J1618+L1618+M1618+N1618)</f>
        <v>0.11516816818286363</v>
      </c>
      <c r="F1619" s="637">
        <f t="shared" si="50"/>
        <v>0.21689120083778241</v>
      </c>
      <c r="G1619" s="636">
        <f>G1618/(D1618+E1618+G1618+H1618+I1618+J1618+L1618+M1618+N1618)</f>
        <v>0.16727020929879766</v>
      </c>
      <c r="H1619" s="636">
        <f>H1618/(D1618+E1618+G1618+H1618+I1618+J1618+L1618+M1618+N1618)</f>
        <v>1.8576063499209684E-2</v>
      </c>
      <c r="I1619" s="636">
        <f>I1618/(D1618+E1618+G1618+H1618+I1618+J1618+L1618+M1618+N1618)</f>
        <v>1.0768342394628797E-2</v>
      </c>
      <c r="J1619" s="636">
        <f>J1618/(D1618+E1618+G1618+H1618+I1618+J1618+L1618+M1618+N1618)</f>
        <v>1.783223798501583E-2</v>
      </c>
      <c r="K1619" s="637">
        <f t="shared" si="51"/>
        <v>0.21444685317765194</v>
      </c>
      <c r="L1619" s="636">
        <f>L1618/(D1618+E1618+G1618+H1618+I1618+J1618+L1618+M1618+N1618)</f>
        <v>8.0700174701124061E-2</v>
      </c>
      <c r="M1619" s="636">
        <f>M1618/(D1618+E1618+G1618+H1618+I1618+J1618+L1618+M1618+N1618)</f>
        <v>1.2192376767197295E-2</v>
      </c>
      <c r="N1619" s="636">
        <f>N1618/(D1618+E1618+G1618+H1618+I1618+J1618+L1618+M1618+N1618)</f>
        <v>0.47576939451624428</v>
      </c>
      <c r="O1619" s="1503"/>
    </row>
    <row r="1620" spans="1:15" ht="12" customHeight="1">
      <c r="A1620" s="1533"/>
      <c r="B1620" s="1502" t="s">
        <v>14938</v>
      </c>
      <c r="C1620" s="638" t="s">
        <v>6218</v>
      </c>
      <c r="D1620" s="639">
        <v>82210</v>
      </c>
      <c r="E1620" s="639">
        <v>51698</v>
      </c>
      <c r="F1620" s="640">
        <f t="shared" si="50"/>
        <v>133908</v>
      </c>
      <c r="G1620" s="639">
        <v>65057</v>
      </c>
      <c r="H1620" s="639">
        <v>12931</v>
      </c>
      <c r="I1620" s="639"/>
      <c r="J1620" s="639">
        <v>9192</v>
      </c>
      <c r="K1620" s="640">
        <f t="shared" si="51"/>
        <v>87180</v>
      </c>
      <c r="L1620" s="639">
        <v>32299</v>
      </c>
      <c r="M1620" s="639"/>
      <c r="N1620" s="639">
        <v>153664</v>
      </c>
      <c r="O1620" s="1503">
        <f>1-N1621</f>
        <v>0.62249447857885132</v>
      </c>
    </row>
    <row r="1621" spans="1:15" ht="12" customHeight="1">
      <c r="A1621" s="1533"/>
      <c r="B1621" s="1502"/>
      <c r="C1621" s="635" t="s">
        <v>6219</v>
      </c>
      <c r="D1621" s="636">
        <f>D1620/(D1620+E1620+G1620+H1620+I1620+J1620+L1620+M1620+N1620)</f>
        <v>0.2019648643536068</v>
      </c>
      <c r="E1621" s="636">
        <f>E1620/(D1620+E1620+G1620+H1620+I1620+J1620+L1620+M1620+N1620)</f>
        <v>0.12700619824051532</v>
      </c>
      <c r="F1621" s="637">
        <f t="shared" si="50"/>
        <v>0.32897106259412212</v>
      </c>
      <c r="G1621" s="636">
        <f>G1620/(D1620+E1620+G1620+H1620+I1620+J1620+L1620+M1620+N1620)</f>
        <v>0.15982518161114947</v>
      </c>
      <c r="H1621" s="636">
        <f>H1620/(D1620+E1620+G1620+H1620+I1620+J1620+L1620+M1620+N1620)</f>
        <v>3.1767518075130632E-2</v>
      </c>
      <c r="I1621" s="636">
        <f>I1620/(D1620+E1620+G1620+H1620+I1620+J1620+L1620+M1620+N1620)</f>
        <v>0</v>
      </c>
      <c r="J1621" s="636">
        <f>J1620/(D1620+E1620+G1620+H1620+I1620+J1620+L1620+M1620+N1620)</f>
        <v>2.2581936907168882E-2</v>
      </c>
      <c r="K1621" s="637">
        <f t="shared" si="51"/>
        <v>0.21417463659344901</v>
      </c>
      <c r="L1621" s="636">
        <f>L1620/(D1620+E1620+G1620+H1620+I1620+J1620+L1620+M1620+N1620)</f>
        <v>7.9348779391280211E-2</v>
      </c>
      <c r="M1621" s="636">
        <f>M1620/(D1620+E1620+G1620+H1620+I1620+J1620+L1620+M1620+N1620)</f>
        <v>0</v>
      </c>
      <c r="N1621" s="636">
        <f>N1620/(D1620+E1620+G1620+H1620+I1620+J1620+L1620+M1620+N1620)</f>
        <v>0.37750552142114868</v>
      </c>
      <c r="O1621" s="1503"/>
    </row>
    <row r="1622" spans="1:15" ht="12" customHeight="1">
      <c r="A1622" s="1533"/>
      <c r="B1622" s="1502" t="s">
        <v>14939</v>
      </c>
      <c r="C1622" s="638" t="s">
        <v>6218</v>
      </c>
      <c r="D1622" s="639">
        <v>42451</v>
      </c>
      <c r="E1622" s="639">
        <v>50928</v>
      </c>
      <c r="F1622" s="640">
        <f t="shared" si="50"/>
        <v>93379</v>
      </c>
      <c r="G1622" s="639">
        <v>66724</v>
      </c>
      <c r="H1622" s="639">
        <v>6693</v>
      </c>
      <c r="I1622" s="639"/>
      <c r="J1622" s="639"/>
      <c r="K1622" s="640">
        <f t="shared" si="51"/>
        <v>73417</v>
      </c>
      <c r="L1622" s="639">
        <v>30067</v>
      </c>
      <c r="M1622" s="639">
        <v>7083</v>
      </c>
      <c r="N1622" s="639">
        <v>201943</v>
      </c>
      <c r="O1622" s="1503">
        <f>1-N1623</f>
        <v>0.50246742335958849</v>
      </c>
    </row>
    <row r="1623" spans="1:15" ht="12" customHeight="1">
      <c r="A1623" s="1533"/>
      <c r="B1623" s="1502"/>
      <c r="C1623" s="635" t="s">
        <v>6219</v>
      </c>
      <c r="D1623" s="636">
        <f>D1622/(D1622+E1622+G1622+H1622+I1622+J1622+L1622+M1622+N1622)</f>
        <v>0.10458770747667466</v>
      </c>
      <c r="E1623" s="636">
        <f>E1622/(D1622+E1622+G1622+H1622+I1622+J1622+L1622+M1622+N1622)</f>
        <v>0.12547272776547283</v>
      </c>
      <c r="F1623" s="637">
        <f t="shared" si="50"/>
        <v>0.23006043524214748</v>
      </c>
      <c r="G1623" s="636">
        <f>G1622/(D1622+E1622+G1622+H1622+I1622+J1622+L1622+M1622+N1622)</f>
        <v>0.16438977158779863</v>
      </c>
      <c r="H1623" s="636">
        <f>H1622/(D1622+E1622+G1622+H1622+I1622+J1622+L1622+M1622+N1622)</f>
        <v>1.6489729950799357E-2</v>
      </c>
      <c r="I1623" s="636">
        <f>I1622/(D1622+E1622+G1622+H1622+I1622+J1622+L1622+M1622+N1622)</f>
        <v>0</v>
      </c>
      <c r="J1623" s="636">
        <f>J1622/(D1622+E1622+G1622+H1622+I1622+J1622+L1622+M1622+N1622)</f>
        <v>0</v>
      </c>
      <c r="K1623" s="637">
        <f t="shared" si="51"/>
        <v>0.180879501538598</v>
      </c>
      <c r="L1623" s="636">
        <f>L1622/(D1622+E1622+G1622+H1622+I1622+J1622+L1622+M1622+N1622)</f>
        <v>7.4076902798548366E-2</v>
      </c>
      <c r="M1623" s="636">
        <f>M1622/(D1622+E1622+G1622+H1622+I1622+J1622+L1622+M1622+N1622)</f>
        <v>1.7450583780294612E-2</v>
      </c>
      <c r="N1623" s="636">
        <f>N1622/(D1622+E1622+G1622+H1622+I1622+J1622+L1622+M1622+N1622)</f>
        <v>0.49753257664041156</v>
      </c>
      <c r="O1623" s="1503"/>
    </row>
    <row r="1624" spans="1:15" ht="12" customHeight="1">
      <c r="A1624" s="1533"/>
      <c r="B1624" s="1502" t="s">
        <v>14940</v>
      </c>
      <c r="C1624" s="638" t="s">
        <v>6218</v>
      </c>
      <c r="D1624" s="639">
        <v>51205</v>
      </c>
      <c r="E1624" s="639">
        <v>53121</v>
      </c>
      <c r="F1624" s="640">
        <f t="shared" si="50"/>
        <v>104326</v>
      </c>
      <c r="G1624" s="639">
        <v>75545</v>
      </c>
      <c r="H1624" s="639">
        <v>6753</v>
      </c>
      <c r="I1624" s="639"/>
      <c r="J1624" s="639"/>
      <c r="K1624" s="640">
        <f t="shared" si="51"/>
        <v>82298</v>
      </c>
      <c r="L1624" s="639">
        <v>30550</v>
      </c>
      <c r="M1624" s="639"/>
      <c r="N1624" s="639">
        <v>188772</v>
      </c>
      <c r="O1624" s="1503">
        <f>1-N1625</f>
        <v>0.53498248535519499</v>
      </c>
    </row>
    <row r="1625" spans="1:15" ht="12" customHeight="1" thickBot="1">
      <c r="A1625" s="1534"/>
      <c r="B1625" s="1514"/>
      <c r="C1625" s="641" t="s">
        <v>6219</v>
      </c>
      <c r="D1625" s="642">
        <f>D1624/(D1624+E1624+G1624+H1624+I1624+J1624+L1624+M1624+N1624)</f>
        <v>0.12613746655959168</v>
      </c>
      <c r="E1625" s="642">
        <f>E1624/(D1624+E1624+G1624+H1624+I1624+J1624+L1624+M1624+N1624)</f>
        <v>0.13085730614416696</v>
      </c>
      <c r="F1625" s="643">
        <f t="shared" si="50"/>
        <v>0.25699477270375864</v>
      </c>
      <c r="G1625" s="642">
        <f>G1624/(D1624+E1624+G1624+H1624+I1624+J1624+L1624+M1624+N1624)</f>
        <v>0.18609618028013578</v>
      </c>
      <c r="H1625" s="642">
        <f>H1624/(D1624+E1624+G1624+H1624+I1624+J1624+L1624+M1624+N1624)</f>
        <v>1.6635217491981692E-2</v>
      </c>
      <c r="I1625" s="642">
        <f>I1624/(D1624+E1624+G1624+H1624+I1624+J1624+L1624+M1624+N1624)</f>
        <v>0</v>
      </c>
      <c r="J1625" s="642">
        <f>J1624/(D1624+E1624+G1624+H1624+I1624+J1624+L1624+M1624+N1624)</f>
        <v>0</v>
      </c>
      <c r="K1625" s="643">
        <f t="shared" si="51"/>
        <v>0.20273139777211746</v>
      </c>
      <c r="L1625" s="642">
        <f>L1624/(D1624+E1624+G1624+H1624+I1624+J1624+L1624+M1624+N1624)</f>
        <v>7.5256314879318928E-2</v>
      </c>
      <c r="M1625" s="642">
        <f>M1624/(D1624+E1624+G1624+H1624+I1624+J1624+L1624+M1624+N1624)</f>
        <v>0</v>
      </c>
      <c r="N1625" s="642">
        <f>N1624/(D1624+E1624+G1624+H1624+I1624+J1624+L1624+M1624+N1624)</f>
        <v>0.46501751464480495</v>
      </c>
      <c r="O1625" s="1515"/>
    </row>
    <row r="1626" spans="1:15" ht="12" customHeight="1">
      <c r="A1626" s="1532" t="s">
        <v>15141</v>
      </c>
      <c r="B1626" s="1509" t="s">
        <v>14937</v>
      </c>
      <c r="C1626" s="647" t="s">
        <v>6218</v>
      </c>
      <c r="D1626" s="648">
        <v>44477</v>
      </c>
      <c r="E1626" s="648">
        <v>51914</v>
      </c>
      <c r="F1626" s="649">
        <f t="shared" si="50"/>
        <v>96391</v>
      </c>
      <c r="G1626" s="648">
        <v>66516</v>
      </c>
      <c r="H1626" s="648">
        <v>7813</v>
      </c>
      <c r="I1626" s="648">
        <v>5052</v>
      </c>
      <c r="J1626" s="648">
        <v>6331</v>
      </c>
      <c r="K1626" s="649">
        <f t="shared" si="51"/>
        <v>85712</v>
      </c>
      <c r="L1626" s="648">
        <v>24688</v>
      </c>
      <c r="M1626" s="648">
        <v>4386</v>
      </c>
      <c r="N1626" s="648">
        <v>176667</v>
      </c>
      <c r="O1626" s="1510">
        <f>1-N1627</f>
        <v>0.54448953703035241</v>
      </c>
    </row>
    <row r="1627" spans="1:15" ht="12" customHeight="1">
      <c r="A1627" s="1533"/>
      <c r="B1627" s="1502"/>
      <c r="C1627" s="635" t="s">
        <v>6219</v>
      </c>
      <c r="D1627" s="636">
        <f>D1626/(D1626+E1626+G1626+H1626+I1626+J1626+L1626+M1626+N1626)</f>
        <v>0.11467755076783449</v>
      </c>
      <c r="E1627" s="636">
        <f>E1626/(D1626+E1626+G1626+H1626+I1626+J1626+L1626+M1626+N1626)</f>
        <v>0.13385278617175977</v>
      </c>
      <c r="F1627" s="637">
        <f t="shared" si="50"/>
        <v>0.24853033693959425</v>
      </c>
      <c r="G1627" s="636">
        <f>G1626/(D1626+E1626+G1626+H1626+I1626+J1626+L1626+M1626+N1626)</f>
        <v>0.17150194408060973</v>
      </c>
      <c r="H1627" s="636">
        <f>H1626/(D1626+E1626+G1626+H1626+I1626+J1626+L1626+M1626+N1626)</f>
        <v>2.0144697352543806E-2</v>
      </c>
      <c r="I1627" s="636">
        <f>I1626/(D1626+E1626+G1626+H1626+I1626+J1626+L1626+M1626+N1626)</f>
        <v>1.3025855756438156E-2</v>
      </c>
      <c r="J1627" s="636">
        <f>J1626/(D1626+E1626+G1626+H1626+I1626+J1626+L1626+M1626+N1626)</f>
        <v>1.6323573395488906E-2</v>
      </c>
      <c r="K1627" s="637">
        <f t="shared" si="51"/>
        <v>0.22099607058508061</v>
      </c>
      <c r="L1627" s="636">
        <f>L1626/(D1626+E1626+G1626+H1626+I1626+J1626+L1626+M1626+N1626)</f>
        <v>6.3654459009292397E-2</v>
      </c>
      <c r="M1627" s="636">
        <f>M1626/(D1626+E1626+G1626+H1626+I1626+J1626+L1626+M1626+N1626)</f>
        <v>1.1308670496385145E-2</v>
      </c>
      <c r="N1627" s="636">
        <f>N1626/(D1626+E1626+G1626+H1626+I1626+J1626+L1626+M1626+N1626)</f>
        <v>0.45551046296964759</v>
      </c>
      <c r="O1627" s="1503"/>
    </row>
    <row r="1628" spans="1:15" ht="12" customHeight="1">
      <c r="A1628" s="1533"/>
      <c r="B1628" s="1502" t="s">
        <v>14938</v>
      </c>
      <c r="C1628" s="638" t="s">
        <v>6218</v>
      </c>
      <c r="D1628" s="639">
        <v>83552</v>
      </c>
      <c r="E1628" s="639">
        <v>54730</v>
      </c>
      <c r="F1628" s="640">
        <f t="shared" si="50"/>
        <v>138282</v>
      </c>
      <c r="G1628" s="639">
        <v>62205</v>
      </c>
      <c r="H1628" s="639">
        <v>12339</v>
      </c>
      <c r="I1628" s="639"/>
      <c r="J1628" s="639">
        <v>8403</v>
      </c>
      <c r="K1628" s="640">
        <f t="shared" si="51"/>
        <v>82947</v>
      </c>
      <c r="L1628" s="639">
        <v>24418</v>
      </c>
      <c r="M1628" s="639"/>
      <c r="N1628" s="639">
        <v>142834</v>
      </c>
      <c r="O1628" s="1503">
        <f>1-N1629</f>
        <v>0.6323269349080135</v>
      </c>
    </row>
    <row r="1629" spans="1:15" ht="12" customHeight="1">
      <c r="A1629" s="1533"/>
      <c r="B1629" s="1502"/>
      <c r="C1629" s="635" t="s">
        <v>6219</v>
      </c>
      <c r="D1629" s="636">
        <f>D1628/(D1628+E1628+G1628+H1628+I1628+J1628+L1628+M1628+N1628)</f>
        <v>0.21507358146215644</v>
      </c>
      <c r="E1629" s="636">
        <f>E1628/(D1628+E1628+G1628+H1628+I1628+J1628+L1628+M1628+N1628)</f>
        <v>0.14088205085963021</v>
      </c>
      <c r="F1629" s="637">
        <f t="shared" si="50"/>
        <v>0.35595563232178662</v>
      </c>
      <c r="G1629" s="636">
        <f>G1628/(D1628+E1628+G1628+H1628+I1628+J1628+L1628+M1628+N1628)</f>
        <v>0.16012366113143242</v>
      </c>
      <c r="H1629" s="636">
        <f>H1628/(D1628+E1628+G1628+H1628+I1628+J1628+L1628+M1628+N1628)</f>
        <v>3.1762171122912061E-2</v>
      </c>
      <c r="I1629" s="636">
        <f>I1628/(D1628+E1628+G1628+H1628+I1628+J1628+L1628+M1628+N1628)</f>
        <v>0</v>
      </c>
      <c r="J1629" s="636">
        <f>J1628/(D1628+E1628+G1628+H1628+I1628+J1628+L1628+M1628+N1628)</f>
        <v>2.1630401486816601E-2</v>
      </c>
      <c r="K1629" s="637">
        <f t="shared" si="51"/>
        <v>0.21351623374116108</v>
      </c>
      <c r="L1629" s="636">
        <f>L1628/(D1628+E1628+G1628+H1628+I1628+J1628+L1628+M1628+N1628)</f>
        <v>6.2855068845065781E-2</v>
      </c>
      <c r="M1629" s="636">
        <f>M1628/(D1628+E1628+G1628+H1628+I1628+J1628+L1628+M1628+N1628)</f>
        <v>0</v>
      </c>
      <c r="N1629" s="636">
        <f>N1628/(D1628+E1628+G1628+H1628+I1628+J1628+L1628+M1628+N1628)</f>
        <v>0.3676730650919865</v>
      </c>
      <c r="O1629" s="1503"/>
    </row>
    <row r="1630" spans="1:15" ht="12" customHeight="1">
      <c r="A1630" s="1533"/>
      <c r="B1630" s="1502" t="s">
        <v>14939</v>
      </c>
      <c r="C1630" s="638" t="s">
        <v>6218</v>
      </c>
      <c r="D1630" s="639">
        <v>46342</v>
      </c>
      <c r="E1630" s="639">
        <v>54089</v>
      </c>
      <c r="F1630" s="640">
        <f t="shared" si="50"/>
        <v>100431</v>
      </c>
      <c r="G1630" s="639">
        <v>63356</v>
      </c>
      <c r="H1630" s="639">
        <v>6455</v>
      </c>
      <c r="I1630" s="639"/>
      <c r="J1630" s="639"/>
      <c r="K1630" s="640">
        <f t="shared" si="51"/>
        <v>69811</v>
      </c>
      <c r="L1630" s="639">
        <v>23579</v>
      </c>
      <c r="M1630" s="639">
        <v>6625</v>
      </c>
      <c r="N1630" s="639">
        <v>188582</v>
      </c>
      <c r="O1630" s="1503">
        <f>1-N1631</f>
        <v>0.51524825976536393</v>
      </c>
    </row>
    <row r="1631" spans="1:15" ht="12" customHeight="1">
      <c r="A1631" s="1533"/>
      <c r="B1631" s="1502"/>
      <c r="C1631" s="635" t="s">
        <v>6219</v>
      </c>
      <c r="D1631" s="636">
        <f>D1630/(D1630+E1630+G1630+H1630+I1630+J1630+L1630+M1630+N1630)</f>
        <v>0.11912253102604439</v>
      </c>
      <c r="E1631" s="636">
        <f>E1630/(D1630+E1630+G1630+H1630+I1630+J1630+L1630+M1630+N1630)</f>
        <v>0.13903626474186948</v>
      </c>
      <c r="F1631" s="637">
        <f t="shared" si="50"/>
        <v>0.2581587957679139</v>
      </c>
      <c r="G1631" s="636">
        <f>G1630/(D1630+E1630+G1630+H1630+I1630+J1630+L1630+M1630+N1630)</f>
        <v>0.16285717223438931</v>
      </c>
      <c r="H1631" s="636">
        <f>H1630/(D1630+E1630+G1630+H1630+I1630+J1630+L1630+M1630+N1630)</f>
        <v>1.6592636005634556E-2</v>
      </c>
      <c r="I1631" s="636">
        <f>I1630/(D1630+E1630+G1630+H1630+I1630+J1630+L1630+M1630+N1630)</f>
        <v>0</v>
      </c>
      <c r="J1631" s="636">
        <f>J1630/(D1630+E1630+G1630+H1630+I1630+J1630+L1630+M1630+N1630)</f>
        <v>0</v>
      </c>
      <c r="K1631" s="637">
        <f t="shared" si="51"/>
        <v>0.17944980824002388</v>
      </c>
      <c r="L1631" s="636">
        <f>L1630/(D1630+E1630+G1630+H1630+I1630+J1630+L1630+M1630+N1630)</f>
        <v>6.0610033210977105E-2</v>
      </c>
      <c r="M1631" s="636">
        <f>M1630/(D1630+E1630+G1630+H1630+I1630+J1630+L1630+M1630+N1630)</f>
        <v>1.7029622546449099E-2</v>
      </c>
      <c r="N1631" s="636">
        <f>N1630/(D1630+E1630+G1630+H1630+I1630+J1630+L1630+M1630+N1630)</f>
        <v>0.48475174023463607</v>
      </c>
      <c r="O1631" s="1503"/>
    </row>
    <row r="1632" spans="1:15" ht="12" customHeight="1">
      <c r="A1632" s="1533"/>
      <c r="B1632" s="1502" t="s">
        <v>14940</v>
      </c>
      <c r="C1632" s="638" t="s">
        <v>6218</v>
      </c>
      <c r="D1632" s="639">
        <v>52591</v>
      </c>
      <c r="E1632" s="639">
        <v>55660</v>
      </c>
      <c r="F1632" s="640">
        <f t="shared" si="50"/>
        <v>108251</v>
      </c>
      <c r="G1632" s="639">
        <v>68663</v>
      </c>
      <c r="H1632" s="639">
        <v>6021</v>
      </c>
      <c r="I1632" s="639"/>
      <c r="J1632" s="639"/>
      <c r="K1632" s="640">
        <f t="shared" si="51"/>
        <v>74684</v>
      </c>
      <c r="L1632" s="639">
        <v>23338</v>
      </c>
      <c r="M1632" s="639"/>
      <c r="N1632" s="639">
        <v>183795</v>
      </c>
      <c r="O1632" s="1503">
        <f>1-N1633</f>
        <v>0.52881292492591037</v>
      </c>
    </row>
    <row r="1633" spans="1:15" ht="12" customHeight="1" thickBot="1">
      <c r="A1633" s="1534"/>
      <c r="B1633" s="1514"/>
      <c r="C1633" s="641" t="s">
        <v>6219</v>
      </c>
      <c r="D1633" s="642">
        <f>D1632/(D1632+E1632+G1632+H1632+I1632+J1632+L1632+M1632+N1632)</f>
        <v>0.13482520996339101</v>
      </c>
      <c r="E1633" s="642">
        <f>E1632/(D1632+E1632+G1632+H1632+I1632+J1632+L1632+M1632+N1632)</f>
        <v>0.14269306890080705</v>
      </c>
      <c r="F1633" s="643">
        <f t="shared" si="50"/>
        <v>0.27751827886419805</v>
      </c>
      <c r="G1633" s="642">
        <f>G1632/(D1632+E1632+G1632+H1632+I1632+J1632+L1632+M1632+N1632)</f>
        <v>0.17602828224822339</v>
      </c>
      <c r="H1633" s="642">
        <f>H1632/(D1632+E1632+G1632+H1632+I1632+J1632+L1632+M1632+N1632)</f>
        <v>1.5435770173405663E-2</v>
      </c>
      <c r="I1633" s="642">
        <f>I1632/(D1632+E1632+G1632+H1632+I1632+J1632+L1632+M1632+N1632)</f>
        <v>0</v>
      </c>
      <c r="J1633" s="642">
        <f>J1632/(D1632+E1632+G1632+H1632+I1632+J1632+L1632+M1632+N1632)</f>
        <v>0</v>
      </c>
      <c r="K1633" s="643">
        <f t="shared" si="51"/>
        <v>0.19146405242162906</v>
      </c>
      <c r="L1633" s="642">
        <f>L1632/(D1632+E1632+G1632+H1632+I1632+J1632+L1632+M1632+N1632)</f>
        <v>5.9830593640083266E-2</v>
      </c>
      <c r="M1633" s="642">
        <f>M1632/(D1632+E1632+G1632+H1632+I1632+J1632+L1632+M1632+N1632)</f>
        <v>0</v>
      </c>
      <c r="N1633" s="642">
        <f>N1632/(D1632+E1632+G1632+H1632+I1632+J1632+L1632+M1632+N1632)</f>
        <v>0.47118707507408963</v>
      </c>
      <c r="O1633" s="1515"/>
    </row>
    <row r="1634" spans="1:15" ht="12" customHeight="1">
      <c r="A1634" s="1516" t="s">
        <v>15142</v>
      </c>
      <c r="B1634" s="1509" t="s">
        <v>14937</v>
      </c>
      <c r="C1634" s="647" t="s">
        <v>6218</v>
      </c>
      <c r="D1634" s="648">
        <v>44463</v>
      </c>
      <c r="E1634" s="648">
        <v>27535</v>
      </c>
      <c r="F1634" s="649">
        <f t="shared" si="50"/>
        <v>71998</v>
      </c>
      <c r="G1634" s="648">
        <v>72547</v>
      </c>
      <c r="H1634" s="648">
        <v>9138</v>
      </c>
      <c r="I1634" s="648">
        <v>4075</v>
      </c>
      <c r="J1634" s="648">
        <v>7837</v>
      </c>
      <c r="K1634" s="649">
        <f t="shared" si="51"/>
        <v>93597</v>
      </c>
      <c r="L1634" s="648">
        <v>25195</v>
      </c>
      <c r="M1634" s="648">
        <v>4553</v>
      </c>
      <c r="N1634" s="648">
        <v>153509</v>
      </c>
      <c r="O1634" s="1510">
        <f>1-N1635</f>
        <v>0.55995952438283281</v>
      </c>
    </row>
    <row r="1635" spans="1:15" ht="12" customHeight="1">
      <c r="A1635" s="1517"/>
      <c r="B1635" s="1502"/>
      <c r="C1635" s="635" t="s">
        <v>6219</v>
      </c>
      <c r="D1635" s="636">
        <f>D1634/(D1634+E1634+G1634+H1634+I1634+J1634+L1634+M1634+N1634)</f>
        <v>0.12745519589969384</v>
      </c>
      <c r="E1635" s="636">
        <f>E1634/(D1634+E1634+G1634+H1634+I1634+J1634+L1634+M1634+N1634)</f>
        <v>7.8930320021097775E-2</v>
      </c>
      <c r="F1635" s="637">
        <f t="shared" si="50"/>
        <v>0.20638551592079163</v>
      </c>
      <c r="G1635" s="636">
        <f>G1634/(D1634+E1634+G1634+H1634+I1634+J1634+L1634+M1634+N1634)</f>
        <v>0.20795924919450082</v>
      </c>
      <c r="H1635" s="636">
        <f>H1634/(D1634+E1634+G1634+H1634+I1634+J1634+L1634+M1634+N1634)</f>
        <v>2.6194489353651405E-2</v>
      </c>
      <c r="I1635" s="636">
        <f>I1634/(D1634+E1634+G1634+H1634+I1634+J1634+L1634+M1634+N1634)</f>
        <v>1.1681171384999942E-2</v>
      </c>
      <c r="J1635" s="636">
        <f>J1634/(D1634+E1634+G1634+H1634+I1634+J1634+L1634+M1634+N1634)</f>
        <v>2.2465114145826883E-2</v>
      </c>
      <c r="K1635" s="637">
        <f t="shared" si="51"/>
        <v>0.26830002407897902</v>
      </c>
      <c r="L1635" s="636">
        <f>L1634/(D1634+E1634+G1634+H1634+I1634+J1634+L1634+M1634+N1634)</f>
        <v>7.2222604428238912E-2</v>
      </c>
      <c r="M1635" s="636">
        <f>M1634/(D1634+E1634+G1634+H1634+I1634+J1634+L1634+M1634+N1634)</f>
        <v>1.3051379954823248E-2</v>
      </c>
      <c r="N1635" s="636">
        <f>N1634/(D1634+E1634+G1634+H1634+I1634+J1634+L1634+M1634+N1634)</f>
        <v>0.44004047561716719</v>
      </c>
      <c r="O1635" s="1503"/>
    </row>
    <row r="1636" spans="1:15" ht="12" customHeight="1">
      <c r="A1636" s="1517"/>
      <c r="B1636" s="1502" t="s">
        <v>14938</v>
      </c>
      <c r="C1636" s="638" t="s">
        <v>6218</v>
      </c>
      <c r="D1636" s="639">
        <v>86667</v>
      </c>
      <c r="E1636" s="639">
        <v>28997</v>
      </c>
      <c r="F1636" s="640">
        <f t="shared" si="50"/>
        <v>115664</v>
      </c>
      <c r="G1636" s="639">
        <v>65833</v>
      </c>
      <c r="H1636" s="639">
        <v>14741</v>
      </c>
      <c r="I1636" s="639"/>
      <c r="J1636" s="639">
        <v>8607</v>
      </c>
      <c r="K1636" s="640">
        <f t="shared" si="51"/>
        <v>89181</v>
      </c>
      <c r="L1636" s="639">
        <v>24954</v>
      </c>
      <c r="M1636" s="639"/>
      <c r="N1636" s="639">
        <v>118314</v>
      </c>
      <c r="O1636" s="1503">
        <f>1-N1637</f>
        <v>0.66012760224409894</v>
      </c>
    </row>
    <row r="1637" spans="1:15" ht="12" customHeight="1">
      <c r="A1637" s="1517"/>
      <c r="B1637" s="1502"/>
      <c r="C1637" s="635" t="s">
        <v>6219</v>
      </c>
      <c r="D1637" s="636">
        <f>D1636/(D1636+E1636+G1636+H1636+I1636+J1636+L1636+M1636+N1636)</f>
        <v>0.24896226225392329</v>
      </c>
      <c r="E1637" s="636">
        <f>E1636/(D1636+E1636+G1636+H1636+I1636+J1636+L1636+M1636+N1636)</f>
        <v>8.3297664838716159E-2</v>
      </c>
      <c r="F1637" s="637">
        <f t="shared" si="50"/>
        <v>0.33225992709263946</v>
      </c>
      <c r="G1637" s="636">
        <f>G1636/(D1636+E1636+G1636+H1636+I1636+J1636+L1636+M1636+N1636)</f>
        <v>0.18911387968849194</v>
      </c>
      <c r="H1637" s="636">
        <f>H1636/(D1636+E1636+G1636+H1636+I1636+J1636+L1636+M1636+N1636)</f>
        <v>4.2345445300807499E-2</v>
      </c>
      <c r="I1637" s="636">
        <f>I1636/(D1636+E1636+G1636+H1636+I1636+J1636+L1636+M1636+N1636)</f>
        <v>0</v>
      </c>
      <c r="J1637" s="636">
        <f>J1636/(D1636+E1636+G1636+H1636+I1636+J1636+L1636+M1636+N1636)</f>
        <v>2.4724730188186019E-2</v>
      </c>
      <c r="K1637" s="637">
        <f t="shared" si="51"/>
        <v>0.25618405517748544</v>
      </c>
      <c r="L1637" s="636">
        <f>L1636/(D1636+E1636+G1636+H1636+I1636+J1636+L1636+M1636+N1636)</f>
        <v>7.1683619973973975E-2</v>
      </c>
      <c r="M1637" s="636">
        <f>M1636/(D1636+E1636+G1636+H1636+I1636+J1636+L1636+M1636+N1636)</f>
        <v>0</v>
      </c>
      <c r="N1637" s="636">
        <f>N1636/(D1636+E1636+G1636+H1636+I1636+J1636+L1636+M1636+N1636)</f>
        <v>0.33987239775590111</v>
      </c>
      <c r="O1637" s="1503"/>
    </row>
    <row r="1638" spans="1:15" ht="12" customHeight="1">
      <c r="A1638" s="1517"/>
      <c r="B1638" s="1502" t="s">
        <v>14939</v>
      </c>
      <c r="C1638" s="638" t="s">
        <v>6218</v>
      </c>
      <c r="D1638" s="639">
        <v>43171</v>
      </c>
      <c r="E1638" s="639">
        <v>29169</v>
      </c>
      <c r="F1638" s="640">
        <f t="shared" si="50"/>
        <v>72340</v>
      </c>
      <c r="G1638" s="639">
        <v>70806</v>
      </c>
      <c r="H1638" s="639">
        <v>8005</v>
      </c>
      <c r="I1638" s="639"/>
      <c r="J1638" s="639"/>
      <c r="K1638" s="640">
        <f t="shared" si="51"/>
        <v>78811</v>
      </c>
      <c r="L1638" s="639">
        <v>24770</v>
      </c>
      <c r="M1638" s="639">
        <v>7262</v>
      </c>
      <c r="N1638" s="639">
        <v>164318</v>
      </c>
      <c r="O1638" s="1503">
        <f>1-N1639</f>
        <v>0.52714380678041217</v>
      </c>
    </row>
    <row r="1639" spans="1:15" ht="12" customHeight="1">
      <c r="A1639" s="1517"/>
      <c r="B1639" s="1502"/>
      <c r="C1639" s="635" t="s">
        <v>6219</v>
      </c>
      <c r="D1639" s="636">
        <f>D1638/(D1638+E1638+G1638+H1638+I1638+J1638+L1638+M1638+N1638)</f>
        <v>0.12423273602090354</v>
      </c>
      <c r="E1639" s="636">
        <f>E1638/(D1638+E1638+G1638+H1638+I1638+J1638+L1638+M1638+N1638)</f>
        <v>8.3939326793304195E-2</v>
      </c>
      <c r="F1639" s="637">
        <f t="shared" si="50"/>
        <v>0.20817206281420775</v>
      </c>
      <c r="G1639" s="636">
        <f>G1638/(D1638+E1638+G1638+H1638+I1638+J1638+L1638+M1638+N1638)</f>
        <v>0.20375768702823877</v>
      </c>
      <c r="H1639" s="636">
        <f>H1638/(D1638+E1638+G1638+H1638+I1638+J1638+L1638+M1638+N1638)</f>
        <v>2.3035904932647677E-2</v>
      </c>
      <c r="I1639" s="636">
        <f>I1638/(D1638+E1638+G1638+H1638+I1638+J1638+L1638+M1638+N1638)</f>
        <v>0</v>
      </c>
      <c r="J1639" s="636">
        <f>J1638/(D1638+E1638+G1638+H1638+I1638+J1638+L1638+M1638+N1638)</f>
        <v>0</v>
      </c>
      <c r="K1639" s="637">
        <f t="shared" si="51"/>
        <v>0.22679359196088644</v>
      </c>
      <c r="L1639" s="636">
        <f>L1638/(D1638+E1638+G1638+H1638+I1638+J1638+L1638+M1638+N1638)</f>
        <v>7.1280370416200237E-2</v>
      </c>
      <c r="M1639" s="636">
        <f>M1638/(D1638+E1638+G1638+H1638+I1638+J1638+L1638+M1638+N1638)</f>
        <v>2.0897781589117728E-2</v>
      </c>
      <c r="N1639" s="636">
        <f>N1638/(D1638+E1638+G1638+H1638+I1638+J1638+L1638+M1638+N1638)</f>
        <v>0.47285619321958788</v>
      </c>
      <c r="O1639" s="1503"/>
    </row>
    <row r="1640" spans="1:15" ht="12" customHeight="1">
      <c r="A1640" s="1517"/>
      <c r="B1640" s="1502" t="s">
        <v>14940</v>
      </c>
      <c r="C1640" s="638" t="s">
        <v>6218</v>
      </c>
      <c r="D1640" s="639">
        <v>51346</v>
      </c>
      <c r="E1640" s="639">
        <v>28747</v>
      </c>
      <c r="F1640" s="640">
        <f t="shared" si="50"/>
        <v>80093</v>
      </c>
      <c r="G1640" s="639">
        <v>75972</v>
      </c>
      <c r="H1640" s="639">
        <v>7412</v>
      </c>
      <c r="I1640" s="639"/>
      <c r="J1640" s="639"/>
      <c r="K1640" s="640">
        <f t="shared" si="51"/>
        <v>83384</v>
      </c>
      <c r="L1640" s="639">
        <v>24038</v>
      </c>
      <c r="M1640" s="639"/>
      <c r="N1640" s="639">
        <v>158999</v>
      </c>
      <c r="O1640" s="1503">
        <f>1-N1641</f>
        <v>0.54114696664492634</v>
      </c>
    </row>
    <row r="1641" spans="1:15" ht="12" customHeight="1" thickBot="1">
      <c r="A1641" s="1519"/>
      <c r="B1641" s="1514"/>
      <c r="C1641" s="641" t="s">
        <v>6219</v>
      </c>
      <c r="D1641" s="642">
        <f>D1640/(D1640+E1640+G1640+H1640+I1640+J1640+L1640+M1640+N1640)</f>
        <v>0.14817871716582881</v>
      </c>
      <c r="E1641" s="642">
        <f>E1640/(D1640+E1640+G1640+H1640+I1640+J1640+L1640+M1640+N1640)</f>
        <v>8.2960573021580664E-2</v>
      </c>
      <c r="F1641" s="643">
        <f t="shared" si="50"/>
        <v>0.23113929018740947</v>
      </c>
      <c r="G1641" s="642">
        <f>G1640/(D1640+E1640+G1640+H1640+I1640+J1640+L1640+M1640+N1640)</f>
        <v>0.21924655280883312</v>
      </c>
      <c r="H1641" s="642">
        <f>H1640/(D1640+E1640+G1640+H1640+I1640+J1640+L1640+M1640+N1640)</f>
        <v>2.1390189140987087E-2</v>
      </c>
      <c r="I1641" s="642">
        <f>I1640/(D1640+E1640+G1640+H1640+I1640+J1640+L1640+M1640+N1640)</f>
        <v>0</v>
      </c>
      <c r="J1641" s="642">
        <f>J1640/(D1640+E1640+G1640+H1640+I1640+J1640+L1640+M1640+N1640)</f>
        <v>0</v>
      </c>
      <c r="K1641" s="643">
        <f t="shared" si="51"/>
        <v>0.24063674194982021</v>
      </c>
      <c r="L1641" s="642">
        <f>L1640/(D1640+E1640+G1640+H1640+I1640+J1640+L1640+M1640+N1640)</f>
        <v>6.9370934507696658E-2</v>
      </c>
      <c r="M1641" s="642">
        <f>M1640/(D1640+E1640+G1640+H1640+I1640+J1640+L1640+M1640+N1640)</f>
        <v>0</v>
      </c>
      <c r="N1641" s="642">
        <f>N1640/(D1640+E1640+G1640+H1640+I1640+J1640+L1640+M1640+N1640)</f>
        <v>0.45885303335507366</v>
      </c>
      <c r="O1641" s="1515"/>
    </row>
    <row r="1642" spans="1:15" ht="12" customHeight="1">
      <c r="A1642" s="1516" t="s">
        <v>15143</v>
      </c>
      <c r="B1642" s="1509" t="s">
        <v>14937</v>
      </c>
      <c r="C1642" s="647" t="s">
        <v>6218</v>
      </c>
      <c r="D1642" s="648">
        <v>41013</v>
      </c>
      <c r="E1642" s="648">
        <v>30396</v>
      </c>
      <c r="F1642" s="649">
        <f t="shared" si="50"/>
        <v>71409</v>
      </c>
      <c r="G1642" s="648">
        <v>63625</v>
      </c>
      <c r="H1642" s="648">
        <v>8770</v>
      </c>
      <c r="I1642" s="648">
        <v>3686</v>
      </c>
      <c r="J1642" s="648">
        <v>7722</v>
      </c>
      <c r="K1642" s="649">
        <f t="shared" si="51"/>
        <v>83803</v>
      </c>
      <c r="L1642" s="648">
        <v>17880</v>
      </c>
      <c r="M1642" s="648">
        <v>4229</v>
      </c>
      <c r="N1642" s="648">
        <v>141086</v>
      </c>
      <c r="O1642" s="1510">
        <f>1-N1643</f>
        <v>0.55690044502790448</v>
      </c>
    </row>
    <row r="1643" spans="1:15" ht="12" customHeight="1">
      <c r="A1643" s="1517"/>
      <c r="B1643" s="1502"/>
      <c r="C1643" s="635" t="s">
        <v>6219</v>
      </c>
      <c r="D1643" s="636">
        <f>D1642/(D1642+E1642+G1642+H1642+I1642+J1642+L1642+M1642+N1642)</f>
        <v>0.12880684155813157</v>
      </c>
      <c r="E1643" s="636">
        <f>E1642/(D1642+E1642+G1642+H1642+I1642+J1642+L1642+M1642+N1642)</f>
        <v>9.5462725379781219E-2</v>
      </c>
      <c r="F1643" s="637">
        <f t="shared" si="50"/>
        <v>0.22426956693791278</v>
      </c>
      <c r="G1643" s="636">
        <f>G1642/(D1642+E1642+G1642+H1642+I1642+J1642+L1642+M1642+N1642)</f>
        <v>0.19982286821583697</v>
      </c>
      <c r="H1643" s="636">
        <f>H1642/(D1642+E1642+G1642+H1642+I1642+J1642+L1642+M1642+N1642)</f>
        <v>2.7543364310458E-2</v>
      </c>
      <c r="I1643" s="636">
        <f>I1642/(D1642+E1642+G1642+H1642+I1642+J1642+L1642+M1642+N1642)</f>
        <v>1.1576378660016897E-2</v>
      </c>
      <c r="J1643" s="636">
        <f>J1642/(D1642+E1642+G1642+H1642+I1642+J1642+L1642+M1642+N1642)</f>
        <v>2.4251979384875333E-2</v>
      </c>
      <c r="K1643" s="637">
        <f t="shared" si="51"/>
        <v>0.26319459057118721</v>
      </c>
      <c r="L1643" s="636">
        <f>L1642/(D1642+E1642+G1642+H1642+I1642+J1642+L1642+M1642+N1642)</f>
        <v>5.6154544341047781E-2</v>
      </c>
      <c r="M1643" s="636">
        <f>M1642/(D1642+E1642+G1642+H1642+I1642+J1642+L1642+M1642+N1642)</f>
        <v>1.328174317775677E-2</v>
      </c>
      <c r="N1643" s="636">
        <f>N1642/(D1642+E1642+G1642+H1642+I1642+J1642+L1642+M1642+N1642)</f>
        <v>0.44309955497209547</v>
      </c>
      <c r="O1643" s="1503"/>
    </row>
    <row r="1644" spans="1:15" ht="12" customHeight="1">
      <c r="A1644" s="1517"/>
      <c r="B1644" s="1502" t="s">
        <v>14938</v>
      </c>
      <c r="C1644" s="638" t="s">
        <v>6218</v>
      </c>
      <c r="D1644" s="639">
        <v>78162</v>
      </c>
      <c r="E1644" s="639">
        <v>33491</v>
      </c>
      <c r="F1644" s="640">
        <f t="shared" si="50"/>
        <v>111653</v>
      </c>
      <c r="G1644" s="639">
        <v>57811</v>
      </c>
      <c r="H1644" s="639">
        <v>13640</v>
      </c>
      <c r="I1644" s="639"/>
      <c r="J1644" s="639">
        <v>8026</v>
      </c>
      <c r="K1644" s="640">
        <f t="shared" si="51"/>
        <v>79477</v>
      </c>
      <c r="L1644" s="639">
        <v>17574</v>
      </c>
      <c r="M1644" s="639"/>
      <c r="N1644" s="639">
        <v>107136</v>
      </c>
      <c r="O1644" s="1503">
        <f>1-N1645</f>
        <v>0.66079027355623099</v>
      </c>
    </row>
    <row r="1645" spans="1:15" ht="12" customHeight="1">
      <c r="A1645" s="1517"/>
      <c r="B1645" s="1502"/>
      <c r="C1645" s="635" t="s">
        <v>6219</v>
      </c>
      <c r="D1645" s="636">
        <f>D1644/(D1644+E1644+G1644+H1644+I1644+J1644+L1644+M1644+N1644)</f>
        <v>0.24747340425531916</v>
      </c>
      <c r="E1645" s="636">
        <f>E1644/(D1644+E1644+G1644+H1644+I1644+J1644+L1644+M1644+N1644)</f>
        <v>0.1060378672745694</v>
      </c>
      <c r="F1645" s="637">
        <f t="shared" si="50"/>
        <v>0.35351127152988859</v>
      </c>
      <c r="G1645" s="636">
        <f>G1644/(D1644+E1644+G1644+H1644+I1644+J1644+L1644+M1644+N1644)</f>
        <v>0.18303888044579533</v>
      </c>
      <c r="H1645" s="636">
        <f>H1644/(D1644+E1644+G1644+H1644+I1644+J1644+L1644+M1644+N1644)</f>
        <v>4.318642350557244E-2</v>
      </c>
      <c r="I1645" s="636">
        <f>I1644/(D1644+E1644+G1644+H1644+I1644+J1644+L1644+M1644+N1644)</f>
        <v>0</v>
      </c>
      <c r="J1645" s="636">
        <f>J1644/(D1644+E1644+G1644+H1644+I1644+J1644+L1644+M1644+N1644)</f>
        <v>2.5411600810536981E-2</v>
      </c>
      <c r="K1645" s="637">
        <f t="shared" si="51"/>
        <v>0.25163690476190476</v>
      </c>
      <c r="L1645" s="636">
        <f>L1644/(D1644+E1644+G1644+H1644+I1644+J1644+L1644+M1644+N1644)</f>
        <v>5.5642097264437688E-2</v>
      </c>
      <c r="M1645" s="636">
        <f>M1644/(D1644+E1644+G1644+H1644+I1644+J1644+L1644+M1644+N1644)</f>
        <v>0</v>
      </c>
      <c r="N1645" s="636">
        <f>N1644/(D1644+E1644+G1644+H1644+I1644+J1644+L1644+M1644+N1644)</f>
        <v>0.33920972644376901</v>
      </c>
      <c r="O1645" s="1503"/>
    </row>
    <row r="1646" spans="1:15" ht="12" customHeight="1">
      <c r="A1646" s="1517"/>
      <c r="B1646" s="1502" t="s">
        <v>14939</v>
      </c>
      <c r="C1646" s="638" t="s">
        <v>6218</v>
      </c>
      <c r="D1646" s="639">
        <v>40990</v>
      </c>
      <c r="E1646" s="639">
        <v>31989</v>
      </c>
      <c r="F1646" s="640">
        <f t="shared" si="50"/>
        <v>72979</v>
      </c>
      <c r="G1646" s="639">
        <v>63406</v>
      </c>
      <c r="H1646" s="639">
        <v>7420</v>
      </c>
      <c r="I1646" s="639"/>
      <c r="J1646" s="639"/>
      <c r="K1646" s="640">
        <f t="shared" si="51"/>
        <v>70826</v>
      </c>
      <c r="L1646" s="639">
        <v>16896</v>
      </c>
      <c r="M1646" s="639">
        <v>6386</v>
      </c>
      <c r="N1646" s="639">
        <v>148380</v>
      </c>
      <c r="O1646" s="1503">
        <f>1-N1647</f>
        <v>0.52964969394580097</v>
      </c>
    </row>
    <row r="1647" spans="1:15" ht="12" customHeight="1">
      <c r="A1647" s="1517"/>
      <c r="B1647" s="1502"/>
      <c r="C1647" s="635" t="s">
        <v>6219</v>
      </c>
      <c r="D1647" s="636">
        <f>D1646/(D1646+E1646+G1646+H1646+I1646+J1646+L1646+M1646+N1646)</f>
        <v>0.12993435129506414</v>
      </c>
      <c r="E1647" s="636">
        <f>E1646/(D1646+E1646+G1646+H1646+I1646+J1646+L1646+M1646+N1646)</f>
        <v>0.10140204839174938</v>
      </c>
      <c r="F1647" s="637">
        <f t="shared" si="50"/>
        <v>0.23133639968681352</v>
      </c>
      <c r="G1647" s="636">
        <f>G1646/(D1646+E1646+G1646+H1646+I1646+J1646+L1646+M1646+N1646)</f>
        <v>0.20099091188618778</v>
      </c>
      <c r="H1647" s="636">
        <f>H1646/(D1646+E1646+G1646+H1646+I1646+J1646+L1646+M1646+N1646)</f>
        <v>2.3520685206376579E-2</v>
      </c>
      <c r="I1647" s="636">
        <f>I1646/(D1646+E1646+G1646+H1646+I1646+J1646+L1646+M1646+N1646)</f>
        <v>0</v>
      </c>
      <c r="J1647" s="636">
        <f>J1646/(D1646+E1646+G1646+H1646+I1646+J1646+L1646+M1646+N1646)</f>
        <v>0</v>
      </c>
      <c r="K1647" s="637">
        <f t="shared" si="51"/>
        <v>0.22451159709256435</v>
      </c>
      <c r="L1647" s="636">
        <f>L1646/(D1646+E1646+G1646+H1646+I1646+J1646+L1646+M1646+N1646)</f>
        <v>5.3558692351339442E-2</v>
      </c>
      <c r="M1647" s="636">
        <f>M1646/(D1646+E1646+G1646+H1646+I1646+J1646+L1646+M1646+N1646)</f>
        <v>2.0243004815083669E-2</v>
      </c>
      <c r="N1647" s="636">
        <f>N1646/(D1646+E1646+G1646+H1646+I1646+J1646+L1646+M1646+N1646)</f>
        <v>0.47035030605419903</v>
      </c>
      <c r="O1647" s="1503"/>
    </row>
    <row r="1648" spans="1:15" ht="12" customHeight="1">
      <c r="A1648" s="1517"/>
      <c r="B1648" s="1502" t="s">
        <v>14940</v>
      </c>
      <c r="C1648" s="638" t="s">
        <v>6218</v>
      </c>
      <c r="D1648" s="639">
        <v>48601</v>
      </c>
      <c r="E1648" s="639">
        <v>30379</v>
      </c>
      <c r="F1648" s="640">
        <f t="shared" si="50"/>
        <v>78980</v>
      </c>
      <c r="G1648" s="639">
        <v>66785</v>
      </c>
      <c r="H1648" s="639">
        <v>7131</v>
      </c>
      <c r="I1648" s="639"/>
      <c r="J1648" s="639"/>
      <c r="K1648" s="640">
        <f t="shared" si="51"/>
        <v>73916</v>
      </c>
      <c r="L1648" s="639">
        <v>16655</v>
      </c>
      <c r="M1648" s="639"/>
      <c r="N1648" s="639">
        <v>145783</v>
      </c>
      <c r="O1648" s="1503">
        <f>1-N1649</f>
        <v>0.53768702391749701</v>
      </c>
    </row>
    <row r="1649" spans="1:15" ht="12" customHeight="1" thickBot="1">
      <c r="A1649" s="1519"/>
      <c r="B1649" s="1514"/>
      <c r="C1649" s="641" t="s">
        <v>6219</v>
      </c>
      <c r="D1649" s="642">
        <f>D1648/(D1648+E1648+G1648+H1648+I1648+J1648+L1648+M1648+N1648)</f>
        <v>0.15412546696518611</v>
      </c>
      <c r="E1649" s="642">
        <f>E1648/(D1648+E1648+G1648+H1648+I1648+J1648+L1648+M1648+N1648)</f>
        <v>9.6339119790444419E-2</v>
      </c>
      <c r="F1649" s="643">
        <f t="shared" si="50"/>
        <v>0.25046458675563055</v>
      </c>
      <c r="G1649" s="642">
        <f>G1648/(D1648+E1648+G1648+H1648+I1648+J1648+L1648+M1648+N1648)</f>
        <v>0.21179130699512264</v>
      </c>
      <c r="H1649" s="642">
        <f>H1648/(D1648+E1648+G1648+H1648+I1648+J1648+L1648+M1648+N1648)</f>
        <v>2.2614117094889863E-2</v>
      </c>
      <c r="I1649" s="642">
        <f>I1648/(D1648+E1648+G1648+H1648+I1648+J1648+L1648+M1648+N1648)</f>
        <v>0</v>
      </c>
      <c r="J1649" s="642">
        <f>J1648/(D1648+E1648+G1648+H1648+I1648+J1648+L1648+M1648+N1648)</f>
        <v>0</v>
      </c>
      <c r="K1649" s="643">
        <f t="shared" si="51"/>
        <v>0.2344054240900125</v>
      </c>
      <c r="L1649" s="642">
        <f>L1648/(D1648+E1648+G1648+H1648+I1648+J1648+L1648+M1648+N1648)</f>
        <v>5.281701307185397E-2</v>
      </c>
      <c r="M1649" s="642">
        <f>M1648/(D1648+E1648+G1648+H1648+I1648+J1648+L1648+M1648+N1648)</f>
        <v>0</v>
      </c>
      <c r="N1649" s="642">
        <f>N1648/(D1648+E1648+G1648+H1648+I1648+J1648+L1648+M1648+N1648)</f>
        <v>0.46231297608250299</v>
      </c>
      <c r="O1649" s="1515"/>
    </row>
    <row r="1650" spans="1:15" ht="12" customHeight="1">
      <c r="A1650" s="1516" t="s">
        <v>15144</v>
      </c>
      <c r="B1650" s="1509" t="s">
        <v>14937</v>
      </c>
      <c r="C1650" s="647" t="s">
        <v>6218</v>
      </c>
      <c r="D1650" s="648">
        <v>60489</v>
      </c>
      <c r="E1650" s="648">
        <v>32612</v>
      </c>
      <c r="F1650" s="649">
        <f t="shared" si="50"/>
        <v>93101</v>
      </c>
      <c r="G1650" s="648">
        <v>97910</v>
      </c>
      <c r="H1650" s="648">
        <v>12154</v>
      </c>
      <c r="I1650" s="648">
        <v>5392</v>
      </c>
      <c r="J1650" s="648">
        <v>9280</v>
      </c>
      <c r="K1650" s="649">
        <f t="shared" si="51"/>
        <v>124736</v>
      </c>
      <c r="L1650" s="648">
        <v>24078</v>
      </c>
      <c r="M1650" s="648">
        <v>5813</v>
      </c>
      <c r="N1650" s="648">
        <v>183255</v>
      </c>
      <c r="O1650" s="1510">
        <f>1-N1651</f>
        <v>0.57479761382699546</v>
      </c>
    </row>
    <row r="1651" spans="1:15" ht="12" customHeight="1">
      <c r="A1651" s="1517"/>
      <c r="B1651" s="1502"/>
      <c r="C1651" s="635" t="s">
        <v>6219</v>
      </c>
      <c r="D1651" s="636">
        <f>D1650/(D1650+E1650+G1650+H1650+I1650+J1650+L1650+M1650+N1650)</f>
        <v>0.14035124355252993</v>
      </c>
      <c r="E1651" s="636">
        <f>E1650/(D1650+E1650+G1650+H1650+I1650+J1650+L1650+M1650+N1650)</f>
        <v>7.5668877890775268E-2</v>
      </c>
      <c r="F1651" s="637">
        <f t="shared" si="50"/>
        <v>0.21602012144330518</v>
      </c>
      <c r="G1651" s="636">
        <f>G1650/(D1650+E1650+G1650+H1650+I1650+J1650+L1650+M1650+N1650)</f>
        <v>0.22717833418023448</v>
      </c>
      <c r="H1651" s="636">
        <f>H1650/(D1650+E1650+G1650+H1650+I1650+J1650+L1650+M1650+N1650)</f>
        <v>2.8200648285431212E-2</v>
      </c>
      <c r="I1651" s="636">
        <f>I1650/(D1650+E1650+G1650+H1650+I1650+J1650+L1650+M1650+N1650)</f>
        <v>1.2510934305993508E-2</v>
      </c>
      <c r="J1651" s="636">
        <f>J1650/(D1650+E1650+G1650+H1650+I1650+J1650+L1650+M1650+N1650)</f>
        <v>2.1532171802600104E-2</v>
      </c>
      <c r="K1651" s="637">
        <f t="shared" si="51"/>
        <v>0.28942208857425927</v>
      </c>
      <c r="L1651" s="636">
        <f>L1650/(D1650+E1650+G1650+H1650+I1650+J1650+L1650+M1650+N1650)</f>
        <v>5.5867632830065225E-2</v>
      </c>
      <c r="M1651" s="636">
        <f>M1650/(D1650+E1650+G1650+H1650+I1650+J1650+L1650+M1650+N1650)</f>
        <v>1.3487770979365776E-2</v>
      </c>
      <c r="N1651" s="636">
        <f>N1650/(D1650+E1650+G1650+H1650+I1650+J1650+L1650+M1650+N1650)</f>
        <v>0.42520238617300449</v>
      </c>
      <c r="O1651" s="1503"/>
    </row>
    <row r="1652" spans="1:15" ht="12" customHeight="1">
      <c r="A1652" s="1517"/>
      <c r="B1652" s="1502" t="s">
        <v>14938</v>
      </c>
      <c r="C1652" s="638" t="s">
        <v>6218</v>
      </c>
      <c r="D1652" s="639">
        <v>109245</v>
      </c>
      <c r="E1652" s="639">
        <v>34450</v>
      </c>
      <c r="F1652" s="640">
        <f t="shared" si="50"/>
        <v>143695</v>
      </c>
      <c r="G1652" s="639">
        <v>84379</v>
      </c>
      <c r="H1652" s="639">
        <v>20327</v>
      </c>
      <c r="I1652" s="639"/>
      <c r="J1652" s="639">
        <v>10446</v>
      </c>
      <c r="K1652" s="640">
        <f t="shared" si="51"/>
        <v>115152</v>
      </c>
      <c r="L1652" s="639">
        <v>23844</v>
      </c>
      <c r="M1652" s="639"/>
      <c r="N1652" s="639">
        <v>142966</v>
      </c>
      <c r="O1652" s="1503">
        <f>1-N1653</f>
        <v>0.66412862938939099</v>
      </c>
    </row>
    <row r="1653" spans="1:15" ht="12" customHeight="1">
      <c r="A1653" s="1517"/>
      <c r="B1653" s="1502"/>
      <c r="C1653" s="635" t="s">
        <v>6219</v>
      </c>
      <c r="D1653" s="636">
        <f>D1652/(D1652+E1652+G1652+H1652+I1652+J1652+L1652+M1652+N1652)</f>
        <v>0.25665030764206859</v>
      </c>
      <c r="E1653" s="636">
        <f>E1652/(D1652+E1652+G1652+H1652+I1652+J1652+L1652+M1652+N1652)</f>
        <v>8.0933709536081866E-2</v>
      </c>
      <c r="F1653" s="637">
        <f t="shared" si="50"/>
        <v>0.33758401717815045</v>
      </c>
      <c r="G1653" s="636">
        <f>G1652/(D1652+E1652+G1652+H1652+I1652+J1652+L1652+M1652+N1652)</f>
        <v>0.19823237959201892</v>
      </c>
      <c r="H1653" s="636">
        <f>H1652/(D1652+E1652+G1652+H1652+I1652+J1652+L1652+M1652+N1652)</f>
        <v>4.7754412590419043E-2</v>
      </c>
      <c r="I1653" s="636">
        <f>I1652/(D1652+E1652+G1652+H1652+I1652+J1652+L1652+M1652+N1652)</f>
        <v>0</v>
      </c>
      <c r="J1653" s="636">
        <f>J1652/(D1652+E1652+G1652+H1652+I1652+J1652+L1652+M1652+N1652)</f>
        <v>2.45408862064996E-2</v>
      </c>
      <c r="K1653" s="637">
        <f t="shared" si="51"/>
        <v>0.27052767838893754</v>
      </c>
      <c r="L1653" s="636">
        <f>L1652/(D1652+E1652+G1652+H1652+I1652+J1652+L1652+M1652+N1652)</f>
        <v>5.6016933822302932E-2</v>
      </c>
      <c r="M1653" s="636">
        <f>M1652/(D1652+E1652+G1652+H1652+I1652+J1652+L1652+M1652+N1652)</f>
        <v>0</v>
      </c>
      <c r="N1653" s="636">
        <f>N1652/(D1652+E1652+G1652+H1652+I1652+J1652+L1652+M1652+N1652)</f>
        <v>0.33587137061060901</v>
      </c>
      <c r="O1653" s="1503"/>
    </row>
    <row r="1654" spans="1:15" ht="12" customHeight="1">
      <c r="A1654" s="1517"/>
      <c r="B1654" s="1502" t="s">
        <v>14939</v>
      </c>
      <c r="C1654" s="638" t="s">
        <v>6218</v>
      </c>
      <c r="D1654" s="639">
        <v>59393</v>
      </c>
      <c r="E1654" s="639">
        <v>33160</v>
      </c>
      <c r="F1654" s="640">
        <f t="shared" si="50"/>
        <v>92553</v>
      </c>
      <c r="G1654" s="639">
        <v>92549</v>
      </c>
      <c r="H1654" s="639">
        <v>10511</v>
      </c>
      <c r="I1654" s="639"/>
      <c r="J1654" s="639"/>
      <c r="K1654" s="640">
        <f t="shared" si="51"/>
        <v>103060</v>
      </c>
      <c r="L1654" s="639">
        <v>22772</v>
      </c>
      <c r="M1654" s="639">
        <v>8779</v>
      </c>
      <c r="N1654" s="639">
        <v>195322</v>
      </c>
      <c r="O1654" s="1503">
        <f>1-N1655</f>
        <v>0.53768408894022524</v>
      </c>
    </row>
    <row r="1655" spans="1:15" ht="12" customHeight="1">
      <c r="A1655" s="1517"/>
      <c r="B1655" s="1502"/>
      <c r="C1655" s="635" t="s">
        <v>6219</v>
      </c>
      <c r="D1655" s="636">
        <f>D1654/(D1654+E1654+G1654+H1654+I1654+J1654+L1654+M1654+N1654)</f>
        <v>0.14057980619476149</v>
      </c>
      <c r="E1655" s="636">
        <f>E1654/(D1654+E1654+G1654+H1654+I1654+J1654+L1654+M1654+N1654)</f>
        <v>7.8487807880024421E-2</v>
      </c>
      <c r="F1655" s="637">
        <f t="shared" si="50"/>
        <v>0.21906761407478592</v>
      </c>
      <c r="G1655" s="636">
        <f>G1654/(D1654+E1654+G1654+H1654+I1654+J1654+L1654+M1654+N1654)</f>
        <v>0.21905814630543971</v>
      </c>
      <c r="H1655" s="636">
        <f>H1654/(D1654+E1654+G1654+H1654+I1654+J1654+L1654+M1654+N1654)</f>
        <v>2.4878930899485428E-2</v>
      </c>
      <c r="I1655" s="636">
        <f>I1654/(D1654+E1654+G1654+H1654+I1654+J1654+L1654+M1654+N1654)</f>
        <v>0</v>
      </c>
      <c r="J1655" s="636">
        <f>J1654/(D1654+E1654+G1654+H1654+I1654+J1654+L1654+M1654+N1654)</f>
        <v>0</v>
      </c>
      <c r="K1655" s="637">
        <f t="shared" si="51"/>
        <v>0.24393707720492513</v>
      </c>
      <c r="L1655" s="636">
        <f>L1654/(D1654+E1654+G1654+H1654+I1654+J1654+L1654+M1654+N1654)</f>
        <v>5.3900010887934745E-2</v>
      </c>
      <c r="M1655" s="636">
        <f>M1654/(D1654+E1654+G1654+H1654+I1654+J1654+L1654+M1654+N1654)</f>
        <v>2.0779386772579445E-2</v>
      </c>
      <c r="N1655" s="636">
        <f>N1654/(D1654+E1654+G1654+H1654+I1654+J1654+L1654+M1654+N1654)</f>
        <v>0.46231591105977476</v>
      </c>
      <c r="O1655" s="1503"/>
    </row>
    <row r="1656" spans="1:15" ht="12" customHeight="1">
      <c r="A1656" s="1517"/>
      <c r="B1656" s="1502" t="s">
        <v>14940</v>
      </c>
      <c r="C1656" s="638" t="s">
        <v>6218</v>
      </c>
      <c r="D1656" s="639">
        <v>70036</v>
      </c>
      <c r="E1656" s="639">
        <v>32394</v>
      </c>
      <c r="F1656" s="640">
        <f t="shared" si="50"/>
        <v>102430</v>
      </c>
      <c r="G1656" s="639">
        <v>97921</v>
      </c>
      <c r="H1656" s="639">
        <v>11707</v>
      </c>
      <c r="I1656" s="639"/>
      <c r="J1656" s="639"/>
      <c r="K1656" s="640">
        <f t="shared" si="51"/>
        <v>109628</v>
      </c>
      <c r="L1656" s="639">
        <v>21856</v>
      </c>
      <c r="M1656" s="639"/>
      <c r="N1656" s="639">
        <v>185545</v>
      </c>
      <c r="O1656" s="1503">
        <f>1-N1657</f>
        <v>0.55765640980405706</v>
      </c>
    </row>
    <row r="1657" spans="1:15" ht="12" customHeight="1" thickBot="1">
      <c r="A1657" s="1519"/>
      <c r="B1657" s="1514"/>
      <c r="C1657" s="641" t="s">
        <v>6219</v>
      </c>
      <c r="D1657" s="642">
        <f>D1656/(D1656+E1656+G1656+H1656+I1656+J1656+L1656+M1656+N1656)</f>
        <v>0.16696745093084187</v>
      </c>
      <c r="E1657" s="642">
        <f>E1656/(D1656+E1656+G1656+H1656+I1656+J1656+L1656+M1656+N1656)</f>
        <v>7.7228048510104688E-2</v>
      </c>
      <c r="F1657" s="643">
        <f t="shared" si="50"/>
        <v>0.24419549944094654</v>
      </c>
      <c r="G1657" s="642">
        <f>G1656/(D1656+E1656+G1656+H1656+I1656+J1656+L1656+M1656+N1656)</f>
        <v>0.23344593869722666</v>
      </c>
      <c r="H1657" s="642">
        <f>H1656/(D1656+E1656+G1656+H1656+I1656+J1656+L1656+M1656+N1656)</f>
        <v>2.790975995270098E-2</v>
      </c>
      <c r="I1657" s="642">
        <f>I1656/(D1656+E1656+G1656+H1656+I1656+J1656+L1656+M1656+N1656)</f>
        <v>0</v>
      </c>
      <c r="J1657" s="642">
        <f>J1656/(D1656+E1656+G1656+H1656+I1656+J1656+L1656+M1656+N1656)</f>
        <v>0</v>
      </c>
      <c r="K1657" s="643">
        <f t="shared" si="51"/>
        <v>0.26135569864992764</v>
      </c>
      <c r="L1657" s="642">
        <f>L1656/(D1656+E1656+G1656+H1656+I1656+J1656+L1656+M1656+N1656)</f>
        <v>5.2105211713182935E-2</v>
      </c>
      <c r="M1657" s="642">
        <f>M1656/(D1656+E1656+G1656+H1656+I1656+J1656+L1656+M1656+N1656)</f>
        <v>0</v>
      </c>
      <c r="N1657" s="642">
        <f>N1656/(D1656+E1656+G1656+H1656+I1656+J1656+L1656+M1656+N1656)</f>
        <v>0.44234359019594288</v>
      </c>
      <c r="O1657" s="1515"/>
    </row>
    <row r="1658" spans="1:15" ht="12" customHeight="1">
      <c r="A1658" s="1516" t="s">
        <v>15145</v>
      </c>
      <c r="B1658" s="1509" t="s">
        <v>14937</v>
      </c>
      <c r="C1658" s="647" t="s">
        <v>6218</v>
      </c>
      <c r="D1658" s="648">
        <v>41503</v>
      </c>
      <c r="E1658" s="648">
        <v>25469</v>
      </c>
      <c r="F1658" s="649">
        <f t="shared" si="50"/>
        <v>66972</v>
      </c>
      <c r="G1658" s="648">
        <v>67271</v>
      </c>
      <c r="H1658" s="648">
        <v>14574</v>
      </c>
      <c r="I1658" s="648">
        <v>3472</v>
      </c>
      <c r="J1658" s="648">
        <v>6645</v>
      </c>
      <c r="K1658" s="649">
        <f t="shared" si="51"/>
        <v>91962</v>
      </c>
      <c r="L1658" s="648">
        <v>19261</v>
      </c>
      <c r="M1658" s="648">
        <v>4219</v>
      </c>
      <c r="N1658" s="648">
        <v>133111</v>
      </c>
      <c r="O1658" s="1510">
        <f>1-N1659</f>
        <v>0.57812851596545434</v>
      </c>
    </row>
    <row r="1659" spans="1:15" ht="12" customHeight="1">
      <c r="A1659" s="1517"/>
      <c r="B1659" s="1502"/>
      <c r="C1659" s="635" t="s">
        <v>6219</v>
      </c>
      <c r="D1659" s="636">
        <f>D1658/(D1658+E1658+G1658+H1658+I1658+J1658+L1658+M1658+N1658)</f>
        <v>0.1315363283416528</v>
      </c>
      <c r="E1659" s="636">
        <f>E1658/(D1658+E1658+G1658+H1658+I1658+J1658+L1658+M1658+N1658)</f>
        <v>8.0719435860866814E-2</v>
      </c>
      <c r="F1659" s="637">
        <f t="shared" si="50"/>
        <v>0.21225576420251963</v>
      </c>
      <c r="G1659" s="636">
        <f>G1658/(D1658+E1658+G1658+H1658+I1658+J1658+L1658+M1658+N1658)</f>
        <v>0.21320339117344109</v>
      </c>
      <c r="H1659" s="636">
        <f>H1658/(D1658+E1658+G1658+H1658+I1658+J1658+L1658+M1658+N1658)</f>
        <v>4.6189683860232943E-2</v>
      </c>
      <c r="I1659" s="636">
        <f>I1658/(D1658+E1658+G1658+H1658+I1658+J1658+L1658+M1658+N1658)</f>
        <v>1.1003882418191903E-2</v>
      </c>
      <c r="J1659" s="636">
        <f>J1658/(D1658+E1658+G1658+H1658+I1658+J1658+L1658+M1658+N1658)</f>
        <v>2.1060137865462326E-2</v>
      </c>
      <c r="K1659" s="637">
        <f t="shared" si="51"/>
        <v>0.29145709531732827</v>
      </c>
      <c r="L1659" s="636">
        <f>L1658/(D1658+E1658+G1658+H1658+I1658+J1658+L1658+M1658+N1658)</f>
        <v>6.1044291260597419E-2</v>
      </c>
      <c r="M1659" s="636">
        <f>M1658/(D1658+E1658+G1658+H1658+I1658+J1658+L1658+M1658+N1658)</f>
        <v>1.3371365185009112E-2</v>
      </c>
      <c r="N1659" s="636">
        <f>N1658/(D1658+E1658+G1658+H1658+I1658+J1658+L1658+M1658+N1658)</f>
        <v>0.42187148403454561</v>
      </c>
      <c r="O1659" s="1503"/>
    </row>
    <row r="1660" spans="1:15" ht="12" customHeight="1">
      <c r="A1660" s="1517"/>
      <c r="B1660" s="1502" t="s">
        <v>14938</v>
      </c>
      <c r="C1660" s="638" t="s">
        <v>6218</v>
      </c>
      <c r="D1660" s="639">
        <v>74239</v>
      </c>
      <c r="E1660" s="639">
        <v>27979</v>
      </c>
      <c r="F1660" s="640">
        <f t="shared" si="50"/>
        <v>102218</v>
      </c>
      <c r="G1660" s="639">
        <v>62603</v>
      </c>
      <c r="H1660" s="639">
        <v>27198</v>
      </c>
      <c r="I1660" s="639"/>
      <c r="J1660" s="639">
        <v>6595</v>
      </c>
      <c r="K1660" s="640">
        <f t="shared" si="51"/>
        <v>96396</v>
      </c>
      <c r="L1660" s="639">
        <v>18049</v>
      </c>
      <c r="M1660" s="639"/>
      <c r="N1660" s="639">
        <v>96592</v>
      </c>
      <c r="O1660" s="1503">
        <f>1-N1661</f>
        <v>0.69165057221752246</v>
      </c>
    </row>
    <row r="1661" spans="1:15" ht="12" customHeight="1">
      <c r="A1661" s="1517"/>
      <c r="B1661" s="1502"/>
      <c r="C1661" s="635" t="s">
        <v>6219</v>
      </c>
      <c r="D1661" s="636">
        <f>D1660/(D1660+E1660+G1660+H1660+I1660+J1660+L1660+M1660+N1660)</f>
        <v>0.23699222678009929</v>
      </c>
      <c r="E1661" s="636">
        <f>E1660/(D1660+E1660+G1660+H1660+I1660+J1660+L1660+M1660+N1660)</f>
        <v>8.9317010103589722E-2</v>
      </c>
      <c r="F1661" s="637">
        <f t="shared" si="50"/>
        <v>0.32630923688368901</v>
      </c>
      <c r="G1661" s="636">
        <f>G1660/(D1660+E1660+G1660+H1660+I1660+J1660+L1660+M1660+N1660)</f>
        <v>0.19984677020318908</v>
      </c>
      <c r="H1661" s="636">
        <f>H1660/(D1660+E1660+G1660+H1660+I1660+J1660+L1660+M1660+N1660)</f>
        <v>8.6823833617978963E-2</v>
      </c>
      <c r="I1661" s="636">
        <f>I1660/(D1660+E1660+G1660+H1660+I1660+J1660+L1660+M1660+N1660)</f>
        <v>0</v>
      </c>
      <c r="J1661" s="636">
        <f>J1660/(D1660+E1660+G1660+H1660+I1660+J1660+L1660+M1660+N1660)</f>
        <v>2.1053135624331615E-2</v>
      </c>
      <c r="K1661" s="637">
        <f t="shared" si="51"/>
        <v>0.30772373944549969</v>
      </c>
      <c r="L1661" s="636">
        <f>L1660/(D1660+E1660+G1660+H1660+I1660+J1660+L1660+M1660+N1660)</f>
        <v>5.7617595888333782E-2</v>
      </c>
      <c r="M1661" s="636">
        <f>M1660/(D1660+E1660+G1660+H1660+I1660+J1660+L1660+M1660+N1660)</f>
        <v>0</v>
      </c>
      <c r="N1661" s="636">
        <f>N1660/(D1660+E1660+G1660+H1660+I1660+J1660+L1660+M1660+N1660)</f>
        <v>0.30834942778247754</v>
      </c>
      <c r="O1661" s="1503"/>
    </row>
    <row r="1662" spans="1:15" ht="12" customHeight="1">
      <c r="A1662" s="1517"/>
      <c r="B1662" s="1502" t="s">
        <v>14939</v>
      </c>
      <c r="C1662" s="638" t="s">
        <v>6218</v>
      </c>
      <c r="D1662" s="639">
        <v>40130</v>
      </c>
      <c r="E1662" s="639">
        <v>27897</v>
      </c>
      <c r="F1662" s="640">
        <f t="shared" si="50"/>
        <v>68027</v>
      </c>
      <c r="G1662" s="639">
        <v>68218</v>
      </c>
      <c r="H1662" s="639">
        <v>10569</v>
      </c>
      <c r="I1662" s="639"/>
      <c r="J1662" s="639"/>
      <c r="K1662" s="640">
        <f t="shared" si="51"/>
        <v>78787</v>
      </c>
      <c r="L1662" s="639">
        <v>18836</v>
      </c>
      <c r="M1662" s="639">
        <v>7414</v>
      </c>
      <c r="N1662" s="639">
        <v>138878</v>
      </c>
      <c r="O1662" s="1503">
        <f>1-N1663</f>
        <v>0.5547954427425611</v>
      </c>
    </row>
    <row r="1663" spans="1:15" ht="12" customHeight="1">
      <c r="A1663" s="1517"/>
      <c r="B1663" s="1502"/>
      <c r="C1663" s="635" t="s">
        <v>6219</v>
      </c>
      <c r="D1663" s="636">
        <f>D1662/(D1662+E1662+G1662+H1662+I1662+J1662+L1662+M1662+N1662)</f>
        <v>0.12864570977938206</v>
      </c>
      <c r="E1663" s="636">
        <f>E1662/(D1662+E1662+G1662+H1662+I1662+J1662+L1662+M1662+N1662)</f>
        <v>8.9430086362208353E-2</v>
      </c>
      <c r="F1663" s="637">
        <f t="shared" si="50"/>
        <v>0.21807579614159039</v>
      </c>
      <c r="G1663" s="636">
        <f>G1662/(D1662+E1662+G1662+H1662+I1662+J1662+L1662+M1662+N1662)</f>
        <v>0.21868808945252644</v>
      </c>
      <c r="H1663" s="636">
        <f>H1662/(D1662+E1662+G1662+H1662+I1662+J1662+L1662+M1662+N1662)</f>
        <v>3.3881298446506079E-2</v>
      </c>
      <c r="I1663" s="636">
        <f>I1662/(D1662+E1662+G1662+H1662+I1662+J1662+L1662+M1662+N1662)</f>
        <v>0</v>
      </c>
      <c r="J1663" s="636">
        <f>J1662/(D1662+E1662+G1662+H1662+I1662+J1662+L1662+M1662+N1662)</f>
        <v>0</v>
      </c>
      <c r="K1663" s="637">
        <f t="shared" si="51"/>
        <v>0.25256938789903249</v>
      </c>
      <c r="L1663" s="636">
        <f>L1662/(D1662+E1662+G1662+H1662+I1662+J1662+L1662+M1662+N1662)</f>
        <v>6.0383019920369811E-2</v>
      </c>
      <c r="M1663" s="636">
        <f>M1662/(D1662+E1662+G1662+H1662+I1662+J1662+L1662+M1662+N1662)</f>
        <v>2.3767238781568369E-2</v>
      </c>
      <c r="N1663" s="636">
        <f>N1662/(D1662+E1662+G1662+H1662+I1662+J1662+L1662+M1662+N1662)</f>
        <v>0.4452045572574389</v>
      </c>
      <c r="O1663" s="1503"/>
    </row>
    <row r="1664" spans="1:15" ht="12" customHeight="1">
      <c r="A1664" s="1517"/>
      <c r="B1664" s="1502" t="s">
        <v>14940</v>
      </c>
      <c r="C1664" s="638" t="s">
        <v>6218</v>
      </c>
      <c r="D1664" s="639">
        <v>46878</v>
      </c>
      <c r="E1664" s="639">
        <v>27243</v>
      </c>
      <c r="F1664" s="640">
        <f t="shared" si="50"/>
        <v>74121</v>
      </c>
      <c r="G1664" s="639">
        <v>74348</v>
      </c>
      <c r="H1664" s="639">
        <v>9747</v>
      </c>
      <c r="I1664" s="639"/>
      <c r="J1664" s="639"/>
      <c r="K1664" s="640">
        <f t="shared" si="51"/>
        <v>84095</v>
      </c>
      <c r="L1664" s="639">
        <v>18271</v>
      </c>
      <c r="M1664" s="639"/>
      <c r="N1664" s="639">
        <v>135320</v>
      </c>
      <c r="O1664" s="1503">
        <f>1-N1665</f>
        <v>0.56601359174104493</v>
      </c>
    </row>
    <row r="1665" spans="1:15" ht="12" customHeight="1" thickBot="1">
      <c r="A1665" s="1519"/>
      <c r="B1665" s="1514"/>
      <c r="C1665" s="641" t="s">
        <v>6219</v>
      </c>
      <c r="D1665" s="642">
        <f>D1664/(D1664+E1664+G1664+H1664+I1664+J1664+L1664+M1664+N1664)</f>
        <v>0.15034300063821532</v>
      </c>
      <c r="E1665" s="642">
        <f>E1664/(D1664+E1664+G1664+H1664+I1664+J1664+L1664+M1664+N1664)</f>
        <v>8.737135471621868E-2</v>
      </c>
      <c r="F1665" s="643">
        <f t="shared" si="50"/>
        <v>0.237714355354434</v>
      </c>
      <c r="G1665" s="642">
        <f>G1664/(D1664+E1664+G1664+H1664+I1664+J1664+L1664+M1664+N1664)</f>
        <v>0.23844236979926686</v>
      </c>
      <c r="H1665" s="642">
        <f>H1664/(D1664+E1664+G1664+H1664+I1664+J1664+L1664+M1664+N1664)</f>
        <v>3.1259721558528193E-2</v>
      </c>
      <c r="I1665" s="642">
        <f>I1664/(D1664+E1664+G1664+H1664+I1664+J1664+L1664+M1664+N1664)</f>
        <v>0</v>
      </c>
      <c r="J1665" s="642">
        <f>J1664/(D1664+E1664+G1664+H1664+I1664+J1664+L1664+M1664+N1664)</f>
        <v>0</v>
      </c>
      <c r="K1665" s="643">
        <f t="shared" si="51"/>
        <v>0.26970209135779505</v>
      </c>
      <c r="L1665" s="642">
        <f>L1664/(D1664+E1664+G1664+H1664+I1664+J1664+L1664+M1664+N1664)</f>
        <v>5.8597145028815904E-2</v>
      </c>
      <c r="M1665" s="642">
        <f>M1664/(D1664+E1664+G1664+H1664+I1664+J1664+L1664+M1664+N1664)</f>
        <v>0</v>
      </c>
      <c r="N1665" s="642">
        <f>N1664/(D1664+E1664+G1664+H1664+I1664+J1664+L1664+M1664+N1664)</f>
        <v>0.43398640825895507</v>
      </c>
      <c r="O1665" s="1515"/>
    </row>
    <row r="1666" spans="1:15" ht="12" customHeight="1">
      <c r="A1666" s="1526" t="s">
        <v>15146</v>
      </c>
      <c r="B1666" s="1509" t="s">
        <v>14937</v>
      </c>
      <c r="C1666" s="647" t="s">
        <v>6218</v>
      </c>
      <c r="D1666" s="648">
        <v>47888</v>
      </c>
      <c r="E1666" s="648">
        <v>38190</v>
      </c>
      <c r="F1666" s="649">
        <f t="shared" ref="F1666:F1729" si="52">SUM(D1666:E1666)</f>
        <v>86078</v>
      </c>
      <c r="G1666" s="648">
        <v>84964</v>
      </c>
      <c r="H1666" s="648">
        <v>9930</v>
      </c>
      <c r="I1666" s="648">
        <v>4618</v>
      </c>
      <c r="J1666" s="648">
        <v>8015</v>
      </c>
      <c r="K1666" s="649">
        <f t="shared" ref="K1666:K1729" si="53">SUM(G1666:J1666)</f>
        <v>107527</v>
      </c>
      <c r="L1666" s="648">
        <v>22499</v>
      </c>
      <c r="M1666" s="648">
        <v>4646</v>
      </c>
      <c r="N1666" s="648">
        <v>168123</v>
      </c>
      <c r="O1666" s="1510">
        <f>1-N1667</f>
        <v>0.56766605035577167</v>
      </c>
    </row>
    <row r="1667" spans="1:15" ht="12" customHeight="1">
      <c r="A1667" s="1527"/>
      <c r="B1667" s="1502"/>
      <c r="C1667" s="635" t="s">
        <v>6219</v>
      </c>
      <c r="D1667" s="636">
        <f>D1666/(D1666+E1666+G1666+H1666+I1666+J1666+L1666+M1666+N1666)</f>
        <v>0.12314560280605751</v>
      </c>
      <c r="E1667" s="636">
        <f>E1666/(D1666+E1666+G1666+H1666+I1666+J1666+L1666+M1666+N1666)</f>
        <v>9.8206869594957738E-2</v>
      </c>
      <c r="F1667" s="637">
        <f t="shared" si="52"/>
        <v>0.22135247240101524</v>
      </c>
      <c r="G1667" s="636">
        <f>G1666/(D1666+E1666+G1666+H1666+I1666+J1666+L1666+M1666+N1666)</f>
        <v>0.2184877839294577</v>
      </c>
      <c r="H1667" s="636">
        <f>H1666/(D1666+E1666+G1666+H1666+I1666+J1666+L1666+M1666+N1666)</f>
        <v>2.553532901487118E-2</v>
      </c>
      <c r="I1667" s="636">
        <f>I1666/(D1666+E1666+G1666+H1666+I1666+J1666+L1666+M1666+N1666)</f>
        <v>1.1875342335415418E-2</v>
      </c>
      <c r="J1667" s="636">
        <f>J1666/(D1666+E1666+G1666+H1666+I1666+J1666+L1666+M1666+N1666)</f>
        <v>2.061084210012009E-2</v>
      </c>
      <c r="K1667" s="637">
        <f t="shared" si="53"/>
        <v>0.2765092973798644</v>
      </c>
      <c r="L1667" s="636">
        <f>L1666/(D1666+E1666+G1666+H1666+I1666+J1666+L1666+M1666+N1666)</f>
        <v>5.7856935297642159E-2</v>
      </c>
      <c r="M1667" s="636">
        <f>M1666/(D1666+E1666+G1666+H1666+I1666+J1666+L1666+M1666+N1666)</f>
        <v>1.1947345277249898E-2</v>
      </c>
      <c r="N1667" s="636">
        <f>N1666/(D1666+E1666+G1666+H1666+I1666+J1666+L1666+M1666+N1666)</f>
        <v>0.43233394964422833</v>
      </c>
      <c r="O1667" s="1503"/>
    </row>
    <row r="1668" spans="1:15" ht="12" customHeight="1">
      <c r="A1668" s="1527"/>
      <c r="B1668" s="1502" t="s">
        <v>14938</v>
      </c>
      <c r="C1668" s="638" t="s">
        <v>6218</v>
      </c>
      <c r="D1668" s="639">
        <v>92190</v>
      </c>
      <c r="E1668" s="639">
        <v>39970</v>
      </c>
      <c r="F1668" s="640">
        <f t="shared" si="52"/>
        <v>132160</v>
      </c>
      <c r="G1668" s="639">
        <v>75523</v>
      </c>
      <c r="H1668" s="639">
        <v>16749</v>
      </c>
      <c r="I1668" s="639"/>
      <c r="J1668" s="639">
        <v>9318</v>
      </c>
      <c r="K1668" s="640">
        <f t="shared" si="53"/>
        <v>101590</v>
      </c>
      <c r="L1668" s="639">
        <v>23005</v>
      </c>
      <c r="M1668" s="639"/>
      <c r="N1668" s="639">
        <v>128595</v>
      </c>
      <c r="O1668" s="1503">
        <f>1-N1669</f>
        <v>0.6662903853639548</v>
      </c>
    </row>
    <row r="1669" spans="1:15" ht="12" customHeight="1">
      <c r="A1669" s="1527"/>
      <c r="B1669" s="1502"/>
      <c r="C1669" s="635" t="s">
        <v>6219</v>
      </c>
      <c r="D1669" s="636">
        <f>D1668/(D1668+E1668+G1668+H1668+I1668+J1668+L1668+M1668+N1668)</f>
        <v>0.23923705722070845</v>
      </c>
      <c r="E1669" s="636">
        <f>E1668/(D1668+E1668+G1668+H1668+I1668+J1668+L1668+M1668+N1668)</f>
        <v>0.10372388737511354</v>
      </c>
      <c r="F1669" s="637">
        <f t="shared" si="52"/>
        <v>0.34296094459582199</v>
      </c>
      <c r="G1669" s="636">
        <f>G1668/(D1668+E1668+G1668+H1668+I1668+J1668+L1668+M1668+N1668)</f>
        <v>0.19598546775658493</v>
      </c>
      <c r="H1669" s="636">
        <f>H1668/(D1668+E1668+G1668+H1668+I1668+J1668+L1668+M1668+N1668)</f>
        <v>4.3464383028415723E-2</v>
      </c>
      <c r="I1669" s="636">
        <f>I1668/(D1668+E1668+G1668+H1668+I1668+J1668+L1668+M1668+N1668)</f>
        <v>0</v>
      </c>
      <c r="J1669" s="636">
        <f>J1668/(D1668+E1668+G1668+H1668+I1668+J1668+L1668+M1668+N1668)</f>
        <v>2.4180615025301673E-2</v>
      </c>
      <c r="K1669" s="637">
        <f t="shared" si="53"/>
        <v>0.26363046581030231</v>
      </c>
      <c r="L1669" s="636">
        <f>L1668/(D1668+E1668+G1668+H1668+I1668+J1668+L1668+M1668+N1668)</f>
        <v>5.9698974957830546E-2</v>
      </c>
      <c r="M1669" s="636">
        <f>M1668/(D1668+E1668+G1668+H1668+I1668+J1668+L1668+M1668+N1668)</f>
        <v>0</v>
      </c>
      <c r="N1669" s="636">
        <f>N1668/(D1668+E1668+G1668+H1668+I1668+J1668+L1668+M1668+N1668)</f>
        <v>0.33370961463604515</v>
      </c>
      <c r="O1669" s="1503"/>
    </row>
    <row r="1670" spans="1:15" ht="12" customHeight="1">
      <c r="A1670" s="1527"/>
      <c r="B1670" s="1502" t="s">
        <v>14939</v>
      </c>
      <c r="C1670" s="638" t="s">
        <v>6218</v>
      </c>
      <c r="D1670" s="639">
        <v>48554</v>
      </c>
      <c r="E1670" s="639">
        <v>39322</v>
      </c>
      <c r="F1670" s="640">
        <f t="shared" si="52"/>
        <v>87876</v>
      </c>
      <c r="G1670" s="639">
        <v>83860</v>
      </c>
      <c r="H1670" s="639">
        <v>8989</v>
      </c>
      <c r="I1670" s="639"/>
      <c r="J1670" s="639"/>
      <c r="K1670" s="640">
        <f t="shared" si="53"/>
        <v>92849</v>
      </c>
      <c r="L1670" s="639">
        <v>21605</v>
      </c>
      <c r="M1670" s="639">
        <v>7561</v>
      </c>
      <c r="N1670" s="639">
        <v>173987</v>
      </c>
      <c r="O1670" s="1503">
        <f>1-N1671</f>
        <v>0.54676485758496196</v>
      </c>
    </row>
    <row r="1671" spans="1:15" ht="12" customHeight="1">
      <c r="A1671" s="1527"/>
      <c r="B1671" s="1502"/>
      <c r="C1671" s="635" t="s">
        <v>6219</v>
      </c>
      <c r="D1671" s="636">
        <f>D1670/(D1670+E1670+G1670+H1670+I1670+J1670+L1670+M1670+N1670)</f>
        <v>0.12648289300246432</v>
      </c>
      <c r="E1671" s="636">
        <f>E1670/(D1670+E1670+G1670+H1670+I1670+J1670+L1670+M1670+N1670)</f>
        <v>0.10243358567044739</v>
      </c>
      <c r="F1671" s="637">
        <f t="shared" si="52"/>
        <v>0.22891647867291171</v>
      </c>
      <c r="G1671" s="636">
        <f>G1670/(D1670+E1670+G1670+H1670+I1670+J1670+L1670+M1670+N1670)</f>
        <v>0.21845482158394072</v>
      </c>
      <c r="H1671" s="636">
        <f>H1670/(D1670+E1670+G1670+H1670+I1670+J1670+L1670+M1670+N1670)</f>
        <v>2.3416293718316758E-2</v>
      </c>
      <c r="I1671" s="636">
        <f>I1670/(D1670+E1670+G1670+H1670+I1670+J1670+L1670+M1670+N1670)</f>
        <v>0</v>
      </c>
      <c r="J1671" s="636">
        <f>J1670/(D1670+E1670+G1670+H1670+I1670+J1670+L1670+M1670+N1670)</f>
        <v>0</v>
      </c>
      <c r="K1671" s="637">
        <f t="shared" si="53"/>
        <v>0.24187111530225747</v>
      </c>
      <c r="L1671" s="636">
        <f>L1670/(D1670+E1670+G1670+H1670+I1670+J1670+L1670+M1670+N1670)</f>
        <v>5.6280901744825182E-2</v>
      </c>
      <c r="M1671" s="636">
        <f>M1670/(D1670+E1670+G1670+H1670+I1670+J1670+L1670+M1670+N1670)</f>
        <v>1.9696361864967517E-2</v>
      </c>
      <c r="N1671" s="636">
        <f>N1670/(D1670+E1670+G1670+H1670+I1670+J1670+L1670+M1670+N1670)</f>
        <v>0.45323514241503809</v>
      </c>
      <c r="O1671" s="1503"/>
    </row>
    <row r="1672" spans="1:15" ht="12" customHeight="1">
      <c r="A1672" s="1527"/>
      <c r="B1672" s="1502" t="s">
        <v>14940</v>
      </c>
      <c r="C1672" s="638" t="s">
        <v>6218</v>
      </c>
      <c r="D1672" s="639">
        <v>54698</v>
      </c>
      <c r="E1672" s="639">
        <v>37298</v>
      </c>
      <c r="F1672" s="640">
        <f t="shared" si="52"/>
        <v>91996</v>
      </c>
      <c r="G1672" s="639">
        <v>87713</v>
      </c>
      <c r="H1672" s="639">
        <v>8766</v>
      </c>
      <c r="I1672" s="639"/>
      <c r="J1672" s="639"/>
      <c r="K1672" s="640">
        <f t="shared" si="53"/>
        <v>96479</v>
      </c>
      <c r="L1672" s="639">
        <v>20911</v>
      </c>
      <c r="M1672" s="639"/>
      <c r="N1672" s="639">
        <v>173761</v>
      </c>
      <c r="O1672" s="1503">
        <f>1-N1673</f>
        <v>0.5464899894818438</v>
      </c>
    </row>
    <row r="1673" spans="1:15" ht="12" customHeight="1" thickBot="1">
      <c r="A1673" s="1528"/>
      <c r="B1673" s="1514"/>
      <c r="C1673" s="641" t="s">
        <v>6219</v>
      </c>
      <c r="D1673" s="642">
        <f>D1672/(D1672+E1672+G1672+H1672+I1672+J1672+L1672+M1672+N1672)</f>
        <v>0.14275982847314478</v>
      </c>
      <c r="E1673" s="642">
        <f>E1672/(D1672+E1672+G1672+H1672+I1672+J1672+L1672+M1672+N1672)</f>
        <v>9.7346449274038419E-2</v>
      </c>
      <c r="F1673" s="643">
        <f t="shared" si="52"/>
        <v>0.24010627774718318</v>
      </c>
      <c r="G1673" s="642">
        <f>G1672/(D1672+E1672+G1672+H1672+I1672+J1672+L1672+M1672+N1672)</f>
        <v>0.22892780055696638</v>
      </c>
      <c r="H1673" s="642">
        <f>H1672/(D1672+E1672+G1672+H1672+I1672+J1672+L1672+M1672+N1672)</f>
        <v>2.2878947244791163E-2</v>
      </c>
      <c r="I1673" s="642">
        <f>I1672/(D1672+E1672+G1672+H1672+I1672+J1672+L1672+M1672+N1672)</f>
        <v>0</v>
      </c>
      <c r="J1673" s="642">
        <f>J1672/(D1672+E1672+G1672+H1672+I1672+J1672+L1672+M1672+N1672)</f>
        <v>0</v>
      </c>
      <c r="K1673" s="643">
        <f t="shared" si="53"/>
        <v>0.25180674780175755</v>
      </c>
      <c r="L1673" s="642">
        <f>L1672/(D1672+E1672+G1672+H1672+I1672+J1672+L1672+M1672+N1672)</f>
        <v>5.4576963932903039E-2</v>
      </c>
      <c r="M1673" s="642">
        <f>M1672/(D1672+E1672+G1672+H1672+I1672+J1672+L1672+M1672+N1672)</f>
        <v>0</v>
      </c>
      <c r="N1673" s="642">
        <f>N1672/(D1672+E1672+G1672+H1672+I1672+J1672+L1672+M1672+N1672)</f>
        <v>0.4535100105181562</v>
      </c>
      <c r="O1673" s="1515"/>
    </row>
    <row r="1674" spans="1:15" ht="12" customHeight="1">
      <c r="A1674" s="1516" t="s">
        <v>15147</v>
      </c>
      <c r="B1674" s="1509" t="s">
        <v>14937</v>
      </c>
      <c r="C1674" s="647" t="s">
        <v>6218</v>
      </c>
      <c r="D1674" s="648">
        <v>39877</v>
      </c>
      <c r="E1674" s="648">
        <v>38931</v>
      </c>
      <c r="F1674" s="649">
        <f t="shared" si="52"/>
        <v>78808</v>
      </c>
      <c r="G1674" s="648">
        <v>63392</v>
      </c>
      <c r="H1674" s="648">
        <v>6900</v>
      </c>
      <c r="I1674" s="648">
        <v>3859</v>
      </c>
      <c r="J1674" s="648">
        <v>5468</v>
      </c>
      <c r="K1674" s="649">
        <f t="shared" si="53"/>
        <v>79619</v>
      </c>
      <c r="L1674" s="648">
        <v>20628</v>
      </c>
      <c r="M1674" s="648">
        <v>3845</v>
      </c>
      <c r="N1674" s="648">
        <v>159220</v>
      </c>
      <c r="O1674" s="1510">
        <f>1-N1675</f>
        <v>0.53460773997427802</v>
      </c>
    </row>
    <row r="1675" spans="1:15" ht="12" customHeight="1">
      <c r="A1675" s="1517"/>
      <c r="B1675" s="1502"/>
      <c r="C1675" s="635" t="s">
        <v>6219</v>
      </c>
      <c r="D1675" s="636">
        <f>D1674/(D1674+E1674+G1674+H1674+I1674+J1674+L1674+M1674+N1674)</f>
        <v>0.11655851747924705</v>
      </c>
      <c r="E1675" s="636">
        <f>E1674/(D1674+E1674+G1674+H1674+I1674+J1674+L1674+M1674+N1674)</f>
        <v>0.11379340582251841</v>
      </c>
      <c r="F1675" s="637">
        <f t="shared" si="52"/>
        <v>0.23035192330176546</v>
      </c>
      <c r="G1675" s="636">
        <f>G1674/(D1674+E1674+G1674+H1674+I1674+J1674+L1674+M1674+N1674)</f>
        <v>0.18529171051093182</v>
      </c>
      <c r="H1675" s="636">
        <f>H1674/(D1674+E1674+G1674+H1674+I1674+J1674+L1674+M1674+N1674)</f>
        <v>2.0168361978253245E-2</v>
      </c>
      <c r="I1675" s="636">
        <f>I1674/(D1674+E1674+G1674+H1674+I1674+J1674+L1674+M1674+N1674)</f>
        <v>1.1279667952765112E-2</v>
      </c>
      <c r="J1675" s="636">
        <f>J1674/(D1674+E1674+G1674+H1674+I1674+J1674+L1674+M1674+N1674)</f>
        <v>1.5982696130012863E-2</v>
      </c>
      <c r="K1675" s="637">
        <f t="shared" si="53"/>
        <v>0.23272243657196304</v>
      </c>
      <c r="L1675" s="636">
        <f>L1674/(D1674+E1674+G1674+H1674+I1674+J1674+L1674+M1674+N1674)</f>
        <v>6.0294633461943178E-2</v>
      </c>
      <c r="M1675" s="636">
        <f>M1674/(D1674+E1674+G1674+H1674+I1674+J1674+L1674+M1674+N1674)</f>
        <v>1.1238746638606337E-2</v>
      </c>
      <c r="N1675" s="636">
        <f>N1674/(D1674+E1674+G1674+H1674+I1674+J1674+L1674+M1674+N1674)</f>
        <v>0.46539226002572198</v>
      </c>
      <c r="O1675" s="1503"/>
    </row>
    <row r="1676" spans="1:15" ht="12" customHeight="1">
      <c r="A1676" s="1517"/>
      <c r="B1676" s="1502" t="s">
        <v>14938</v>
      </c>
      <c r="C1676" s="638" t="s">
        <v>6218</v>
      </c>
      <c r="D1676" s="639">
        <v>75762</v>
      </c>
      <c r="E1676" s="639">
        <v>42958</v>
      </c>
      <c r="F1676" s="640">
        <f t="shared" si="52"/>
        <v>118720</v>
      </c>
      <c r="G1676" s="639">
        <v>60926</v>
      </c>
      <c r="H1676" s="639">
        <v>11311</v>
      </c>
      <c r="I1676" s="639"/>
      <c r="J1676" s="639">
        <v>7068</v>
      </c>
      <c r="K1676" s="640">
        <f t="shared" si="53"/>
        <v>79305</v>
      </c>
      <c r="L1676" s="639">
        <v>20884</v>
      </c>
      <c r="M1676" s="639"/>
      <c r="N1676" s="639">
        <v>124617</v>
      </c>
      <c r="O1676" s="1503">
        <f>1-N1677</f>
        <v>0.63724143150736778</v>
      </c>
    </row>
    <row r="1677" spans="1:15" ht="12" customHeight="1">
      <c r="A1677" s="1517"/>
      <c r="B1677" s="1502"/>
      <c r="C1677" s="635" t="s">
        <v>6219</v>
      </c>
      <c r="D1677" s="636">
        <f>D1676/(D1676+E1676+G1676+H1676+I1676+J1676+L1676+M1676+N1676)</f>
        <v>0.22054225881010461</v>
      </c>
      <c r="E1677" s="636">
        <f>E1676/(D1676+E1676+G1676+H1676+I1676+J1676+L1676+M1676+N1676)</f>
        <v>0.12505021453980195</v>
      </c>
      <c r="F1677" s="637">
        <f t="shared" si="52"/>
        <v>0.34559247334990656</v>
      </c>
      <c r="G1677" s="636">
        <f>G1676/(D1676+E1676+G1676+H1676+I1676+J1676+L1676+M1676+N1676)</f>
        <v>0.17735484359262471</v>
      </c>
      <c r="H1677" s="636">
        <f>H1676/(D1676+E1676+G1676+H1676+I1676+J1676+L1676+M1676+N1676)</f>
        <v>3.2926183170997249E-2</v>
      </c>
      <c r="I1677" s="636">
        <f>I1676/(D1676+E1676+G1676+H1676+I1676+J1676+L1676+M1676+N1676)</f>
        <v>0</v>
      </c>
      <c r="J1677" s="636">
        <f>J1676/(D1676+E1676+G1676+H1676+I1676+J1676+L1676+M1676+N1676)</f>
        <v>2.0574861873628197E-2</v>
      </c>
      <c r="K1677" s="637">
        <f t="shared" si="53"/>
        <v>0.23085588863725015</v>
      </c>
      <c r="L1677" s="636">
        <f>L1676/(D1676+E1676+G1676+H1676+I1676+J1676+L1676+M1676+N1676)</f>
        <v>6.0793069520210991E-2</v>
      </c>
      <c r="M1677" s="636">
        <f>M1676/(D1676+E1676+G1676+H1676+I1676+J1676+L1676+M1676+N1676)</f>
        <v>0</v>
      </c>
      <c r="N1677" s="636">
        <f>N1676/(D1676+E1676+G1676+H1676+I1676+J1676+L1676+M1676+N1676)</f>
        <v>0.36275856849263227</v>
      </c>
      <c r="O1677" s="1503"/>
    </row>
    <row r="1678" spans="1:15" ht="12" customHeight="1">
      <c r="A1678" s="1517"/>
      <c r="B1678" s="1502" t="s">
        <v>14939</v>
      </c>
      <c r="C1678" s="638" t="s">
        <v>6218</v>
      </c>
      <c r="D1678" s="639">
        <v>40485</v>
      </c>
      <c r="E1678" s="639">
        <v>40004</v>
      </c>
      <c r="F1678" s="640">
        <f t="shared" si="52"/>
        <v>80489</v>
      </c>
      <c r="G1678" s="639">
        <v>61855</v>
      </c>
      <c r="H1678" s="639">
        <v>5916</v>
      </c>
      <c r="I1678" s="639"/>
      <c r="J1678" s="639"/>
      <c r="K1678" s="640">
        <f t="shared" si="53"/>
        <v>67771</v>
      </c>
      <c r="L1678" s="639">
        <v>19703</v>
      </c>
      <c r="M1678" s="639">
        <v>5889</v>
      </c>
      <c r="N1678" s="639">
        <v>170513</v>
      </c>
      <c r="O1678" s="1503">
        <f>1-N1679</f>
        <v>0.50484805366399033</v>
      </c>
    </row>
    <row r="1679" spans="1:15" ht="12" customHeight="1">
      <c r="A1679" s="1517"/>
      <c r="B1679" s="1502"/>
      <c r="C1679" s="635" t="s">
        <v>6219</v>
      </c>
      <c r="D1679" s="636">
        <f>D1678/(D1678+E1678+G1678+H1678+I1678+J1678+L1678+M1678+N1678)</f>
        <v>0.11756421239092242</v>
      </c>
      <c r="E1679" s="636">
        <f>E1678/(D1678+E1678+G1678+H1678+I1678+J1678+L1678+M1678+N1678)</f>
        <v>0.11616743861890727</v>
      </c>
      <c r="F1679" s="637">
        <f t="shared" si="52"/>
        <v>0.23373165100982968</v>
      </c>
      <c r="G1679" s="636">
        <f>G1678/(D1678+E1678+G1678+H1678+I1678+J1678+L1678+M1678+N1678)</f>
        <v>0.17962046084822789</v>
      </c>
      <c r="H1679" s="636">
        <f>H1678/(D1678+E1678+G1678+H1678+I1678+J1678+L1678+M1678+N1678)</f>
        <v>1.7179446227113673E-2</v>
      </c>
      <c r="I1679" s="636">
        <f>I1678/(D1678+E1678+G1678+H1678+I1678+J1678+L1678+M1678+N1678)</f>
        <v>0</v>
      </c>
      <c r="J1679" s="636">
        <f>J1678/(D1678+E1678+G1678+H1678+I1678+J1678+L1678+M1678+N1678)</f>
        <v>0</v>
      </c>
      <c r="K1679" s="637">
        <f t="shared" si="53"/>
        <v>0.19679990707534156</v>
      </c>
      <c r="L1679" s="636">
        <f>L1678/(D1678+E1678+G1678+H1678+I1678+J1678+L1678+M1678+N1678)</f>
        <v>5.7215454532255017E-2</v>
      </c>
      <c r="M1679" s="636">
        <f>M1678/(D1678+E1678+G1678+H1678+I1678+J1678+L1678+M1678+N1678)</f>
        <v>1.7101041046563965E-2</v>
      </c>
      <c r="N1679" s="636">
        <f>N1678/(D1678+E1678+G1678+H1678+I1678+J1678+L1678+M1678+N1678)</f>
        <v>0.49515194633600973</v>
      </c>
      <c r="O1679" s="1503"/>
    </row>
    <row r="1680" spans="1:15" ht="12" customHeight="1">
      <c r="A1680" s="1517"/>
      <c r="B1680" s="1502" t="s">
        <v>14940</v>
      </c>
      <c r="C1680" s="638" t="s">
        <v>6218</v>
      </c>
      <c r="D1680" s="639">
        <v>50729</v>
      </c>
      <c r="E1680" s="639">
        <v>41302</v>
      </c>
      <c r="F1680" s="640">
        <f t="shared" si="52"/>
        <v>92031</v>
      </c>
      <c r="G1680" s="639">
        <v>66433</v>
      </c>
      <c r="H1680" s="639">
        <v>5540</v>
      </c>
      <c r="I1680" s="639"/>
      <c r="J1680" s="639"/>
      <c r="K1680" s="640">
        <f t="shared" si="53"/>
        <v>71973</v>
      </c>
      <c r="L1680" s="639">
        <v>19499</v>
      </c>
      <c r="M1680" s="639"/>
      <c r="N1680" s="639">
        <v>161575</v>
      </c>
      <c r="O1680" s="1503">
        <f>1-N1681</f>
        <v>0.53177252679104436</v>
      </c>
    </row>
    <row r="1681" spans="1:15" ht="12" customHeight="1" thickBot="1">
      <c r="A1681" s="1519"/>
      <c r="B1681" s="1514"/>
      <c r="C1681" s="641" t="s">
        <v>6219</v>
      </c>
      <c r="D1681" s="642">
        <f>D1680/(D1680+E1680+G1680+H1680+I1680+J1680+L1680+M1680+N1680)</f>
        <v>0.14700734326731926</v>
      </c>
      <c r="E1681" s="642">
        <f>E1680/(D1680+E1680+G1680+H1680+I1680+J1680+L1680+M1680+N1680)</f>
        <v>0.11968888193393958</v>
      </c>
      <c r="F1681" s="643">
        <f t="shared" si="52"/>
        <v>0.26669622520125885</v>
      </c>
      <c r="G1681" s="642">
        <f>G1680/(D1680+E1680+G1680+H1680+I1680+J1680+L1680+M1680+N1680)</f>
        <v>0.19251589495708216</v>
      </c>
      <c r="H1681" s="642">
        <f>H1680/(D1680+E1680+G1680+H1680+I1680+J1680+L1680+M1680+N1680)</f>
        <v>1.6054341337320838E-2</v>
      </c>
      <c r="I1681" s="642">
        <f>I1680/(D1680+E1680+G1680+H1680+I1680+J1680+L1680+M1680+N1680)</f>
        <v>0</v>
      </c>
      <c r="J1681" s="642">
        <f>J1680/(D1680+E1680+G1680+H1680+I1680+J1680+L1680+M1680+N1680)</f>
        <v>0</v>
      </c>
      <c r="K1681" s="643">
        <f t="shared" si="53"/>
        <v>0.20857023629440299</v>
      </c>
      <c r="L1681" s="642">
        <f>L1680/(D1680+E1680+G1680+H1680+I1680+J1680+L1680+M1680+N1680)</f>
        <v>5.650606529538249E-2</v>
      </c>
      <c r="M1681" s="642">
        <f>M1680/(D1680+E1680+G1680+H1680+I1680+J1680+L1680+M1680+N1680)</f>
        <v>0</v>
      </c>
      <c r="N1681" s="642">
        <f>N1680/(D1680+E1680+G1680+H1680+I1680+J1680+L1680+M1680+N1680)</f>
        <v>0.46822747320895564</v>
      </c>
      <c r="O1681" s="1515"/>
    </row>
    <row r="1682" spans="1:15" ht="12" customHeight="1">
      <c r="A1682" s="1516" t="s">
        <v>15148</v>
      </c>
      <c r="B1682" s="1509" t="s">
        <v>14937</v>
      </c>
      <c r="C1682" s="647" t="s">
        <v>6218</v>
      </c>
      <c r="D1682" s="648">
        <v>49008</v>
      </c>
      <c r="E1682" s="648">
        <v>44519</v>
      </c>
      <c r="F1682" s="649">
        <f t="shared" si="52"/>
        <v>93527</v>
      </c>
      <c r="G1682" s="648">
        <v>63154</v>
      </c>
      <c r="H1682" s="648">
        <v>6633</v>
      </c>
      <c r="I1682" s="648">
        <v>4444</v>
      </c>
      <c r="J1682" s="648">
        <v>6335</v>
      </c>
      <c r="K1682" s="649">
        <f t="shared" si="53"/>
        <v>80566</v>
      </c>
      <c r="L1682" s="648">
        <v>28381</v>
      </c>
      <c r="M1682" s="648">
        <v>4285</v>
      </c>
      <c r="N1682" s="648">
        <v>194623</v>
      </c>
      <c r="O1682" s="1510">
        <f>1-N1683</f>
        <v>0.51511776811117582</v>
      </c>
    </row>
    <row r="1683" spans="1:15" ht="12" customHeight="1">
      <c r="A1683" s="1517"/>
      <c r="B1683" s="1502"/>
      <c r="C1683" s="635" t="s">
        <v>6219</v>
      </c>
      <c r="D1683" s="636">
        <f>D1682/(D1682+E1682+G1682+H1682+I1682+J1682+L1682+M1682+N1682)</f>
        <v>0.12209815088867962</v>
      </c>
      <c r="E1683" s="636">
        <f>E1682/(D1682+E1682+G1682+H1682+I1682+J1682+L1682+M1682+N1682)</f>
        <v>0.11091429112416601</v>
      </c>
      <c r="F1683" s="637">
        <f t="shared" si="52"/>
        <v>0.23301244201284563</v>
      </c>
      <c r="G1683" s="636">
        <f>G1682/(D1682+E1682+G1682+H1682+I1682+J1682+L1682+M1682+N1682)</f>
        <v>0.15734138551305241</v>
      </c>
      <c r="H1683" s="636">
        <f>H1682/(D1682+E1682+G1682+H1682+I1682+J1682+L1682+M1682+N1682)</f>
        <v>1.6525404726669357E-2</v>
      </c>
      <c r="I1683" s="636">
        <f>I1682/(D1682+E1682+G1682+H1682+I1682+J1682+L1682+M1682+N1682)</f>
        <v>1.1071747113722091E-2</v>
      </c>
      <c r="J1683" s="636">
        <f>J1682/(D1682+E1682+G1682+H1682+I1682+J1682+L1682+M1682+N1682)</f>
        <v>1.5782969839205546E-2</v>
      </c>
      <c r="K1683" s="637">
        <f t="shared" si="53"/>
        <v>0.20072150719264939</v>
      </c>
      <c r="L1683" s="636">
        <f>L1682/(D1682+E1682+G1682+H1682+I1682+J1682+L1682+M1682+N1682)</f>
        <v>7.0708203158088803E-2</v>
      </c>
      <c r="M1683" s="636">
        <f>M1682/(D1682+E1682+G1682+H1682+I1682+J1682+L1682+M1682+N1682)</f>
        <v>1.0675615747592069E-2</v>
      </c>
      <c r="N1683" s="636">
        <f>N1682/(D1682+E1682+G1682+H1682+I1682+J1682+L1682+M1682+N1682)</f>
        <v>0.48488223188882412</v>
      </c>
      <c r="O1683" s="1503"/>
    </row>
    <row r="1684" spans="1:15" ht="12" customHeight="1">
      <c r="A1684" s="1517"/>
      <c r="B1684" s="1502" t="s">
        <v>14938</v>
      </c>
      <c r="C1684" s="638" t="s">
        <v>6218</v>
      </c>
      <c r="D1684" s="639">
        <v>88189</v>
      </c>
      <c r="E1684" s="639">
        <v>49971</v>
      </c>
      <c r="F1684" s="640">
        <f t="shared" si="52"/>
        <v>138160</v>
      </c>
      <c r="G1684" s="639">
        <v>57178</v>
      </c>
      <c r="H1684" s="639">
        <v>11162</v>
      </c>
      <c r="I1684" s="639"/>
      <c r="J1684" s="639">
        <v>8548</v>
      </c>
      <c r="K1684" s="640">
        <f t="shared" si="53"/>
        <v>76888</v>
      </c>
      <c r="L1684" s="639">
        <v>29401</v>
      </c>
      <c r="M1684" s="639"/>
      <c r="N1684" s="639">
        <v>157717</v>
      </c>
      <c r="O1684" s="1503">
        <f>1-N1685</f>
        <v>0.60783109462261853</v>
      </c>
    </row>
    <row r="1685" spans="1:15" ht="12" customHeight="1">
      <c r="A1685" s="1517"/>
      <c r="B1685" s="1502"/>
      <c r="C1685" s="635" t="s">
        <v>6219</v>
      </c>
      <c r="D1685" s="636">
        <f>D1684/(D1684+E1684+G1684+H1684+I1684+J1684+L1684+M1684+N1684)</f>
        <v>0.21928507133870093</v>
      </c>
      <c r="E1685" s="636">
        <f>E1684/(D1684+E1684+G1684+H1684+I1684+J1684+L1684+M1684+N1684)</f>
        <v>0.12425466101062745</v>
      </c>
      <c r="F1685" s="637">
        <f t="shared" si="52"/>
        <v>0.34353973234932839</v>
      </c>
      <c r="G1685" s="636">
        <f>G1684/(D1684+E1684+G1684+H1684+I1684+J1684+L1684+M1684+N1684)</f>
        <v>0.14217512171590835</v>
      </c>
      <c r="H1685" s="636">
        <f>H1684/(D1684+E1684+G1684+H1684+I1684+J1684+L1684+M1684+N1684)</f>
        <v>2.7754708254800257E-2</v>
      </c>
      <c r="I1685" s="636">
        <f>I1684/(D1684+E1684+G1684+H1684+I1684+J1684+L1684+M1684+N1684)</f>
        <v>0</v>
      </c>
      <c r="J1685" s="636">
        <f>J1684/(D1684+E1684+G1684+H1684+I1684+J1684+L1684+M1684+N1684)</f>
        <v>2.1254904691097705E-2</v>
      </c>
      <c r="K1685" s="637">
        <f t="shared" si="53"/>
        <v>0.1911847346618063</v>
      </c>
      <c r="L1685" s="636">
        <f>L1684/(D1684+E1684+G1684+H1684+I1684+J1684+L1684+M1684+N1684)</f>
        <v>7.3106627611483815E-2</v>
      </c>
      <c r="M1685" s="636">
        <f>M1684/(D1684+E1684+G1684+H1684+I1684+J1684+L1684+M1684+N1684)</f>
        <v>0</v>
      </c>
      <c r="N1685" s="636">
        <f>N1684/(D1684+E1684+G1684+H1684+I1684+J1684+L1684+M1684+N1684)</f>
        <v>0.39216890537738147</v>
      </c>
      <c r="O1685" s="1503"/>
    </row>
    <row r="1686" spans="1:15" ht="12" customHeight="1">
      <c r="A1686" s="1517"/>
      <c r="B1686" s="1502" t="s">
        <v>14939</v>
      </c>
      <c r="C1686" s="638" t="s">
        <v>6218</v>
      </c>
      <c r="D1686" s="639">
        <v>50283</v>
      </c>
      <c r="E1686" s="639">
        <v>46318</v>
      </c>
      <c r="F1686" s="640">
        <f t="shared" si="52"/>
        <v>96601</v>
      </c>
      <c r="G1686" s="639">
        <v>60471</v>
      </c>
      <c r="H1686" s="639">
        <v>5674</v>
      </c>
      <c r="I1686" s="639"/>
      <c r="J1686" s="639"/>
      <c r="K1686" s="640">
        <f t="shared" si="53"/>
        <v>66145</v>
      </c>
      <c r="L1686" s="639">
        <v>26135</v>
      </c>
      <c r="M1686" s="639">
        <v>6693</v>
      </c>
      <c r="N1686" s="639">
        <v>206445</v>
      </c>
      <c r="O1686" s="1503">
        <f>1-N1687</f>
        <v>0.4864794947502481</v>
      </c>
    </row>
    <row r="1687" spans="1:15" ht="12" customHeight="1">
      <c r="A1687" s="1517"/>
      <c r="B1687" s="1502"/>
      <c r="C1687" s="635" t="s">
        <v>6219</v>
      </c>
      <c r="D1687" s="636">
        <f>D1686/(D1686+E1686+G1686+H1686+I1686+J1686+L1686+M1686+N1686)</f>
        <v>0.12507617799158746</v>
      </c>
      <c r="E1687" s="636">
        <f>E1686/(D1686+E1686+G1686+H1686+I1686+J1686+L1686+M1686+N1686)</f>
        <v>0.11521346006034541</v>
      </c>
      <c r="F1687" s="637">
        <f t="shared" si="52"/>
        <v>0.24028963805193287</v>
      </c>
      <c r="G1687" s="636">
        <f>G1686/(D1686+E1686+G1686+H1686+I1686+J1686+L1686+M1686+N1686)</f>
        <v>0.15041826381340184</v>
      </c>
      <c r="H1687" s="636">
        <f>H1686/(D1686+E1686+G1686+H1686+I1686+J1686+L1686+M1686+N1686)</f>
        <v>1.4113760792400358E-2</v>
      </c>
      <c r="I1687" s="636">
        <f>I1686/(D1686+E1686+G1686+H1686+I1686+J1686+L1686+M1686+N1686)</f>
        <v>0</v>
      </c>
      <c r="J1687" s="636">
        <f>J1686/(D1686+E1686+G1686+H1686+I1686+J1686+L1686+M1686+N1686)</f>
        <v>0</v>
      </c>
      <c r="K1687" s="637">
        <f t="shared" si="53"/>
        <v>0.16453202460580221</v>
      </c>
      <c r="L1687" s="636">
        <f>L1686/(D1686+E1686+G1686+H1686+I1686+J1686+L1686+M1686+N1686)</f>
        <v>6.5009365229006591E-2</v>
      </c>
      <c r="M1687" s="636">
        <f>M1686/(D1686+E1686+G1686+H1686+I1686+J1686+L1686+M1686+N1686)</f>
        <v>1.6648466863506451E-2</v>
      </c>
      <c r="N1687" s="636">
        <f>N1686/(D1686+E1686+G1686+H1686+I1686+J1686+L1686+M1686+N1686)</f>
        <v>0.5135205052497519</v>
      </c>
      <c r="O1687" s="1503"/>
    </row>
    <row r="1688" spans="1:15" ht="12" customHeight="1">
      <c r="A1688" s="1517"/>
      <c r="B1688" s="1502" t="s">
        <v>14940</v>
      </c>
      <c r="C1688" s="638" t="s">
        <v>6218</v>
      </c>
      <c r="D1688" s="639">
        <v>57548</v>
      </c>
      <c r="E1688" s="639">
        <v>42957</v>
      </c>
      <c r="F1688" s="640">
        <f t="shared" si="52"/>
        <v>100505</v>
      </c>
      <c r="G1688" s="639">
        <v>64702</v>
      </c>
      <c r="H1688" s="639">
        <v>4875</v>
      </c>
      <c r="I1688" s="639"/>
      <c r="J1688" s="639"/>
      <c r="K1688" s="640">
        <f t="shared" si="53"/>
        <v>69577</v>
      </c>
      <c r="L1688" s="639">
        <v>27159</v>
      </c>
      <c r="M1688" s="639"/>
      <c r="N1688" s="639">
        <v>204273</v>
      </c>
      <c r="O1688" s="1503">
        <f>1-N1689</f>
        <v>0.49124314469732067</v>
      </c>
    </row>
    <row r="1689" spans="1:15" ht="12" customHeight="1" thickBot="1">
      <c r="A1689" s="1519"/>
      <c r="B1689" s="1514"/>
      <c r="C1689" s="641" t="s">
        <v>6219</v>
      </c>
      <c r="D1689" s="642">
        <f>D1688/(D1688+E1688+G1688+H1688+I1688+J1688+L1688+M1688+N1688)</f>
        <v>0.14332750539209094</v>
      </c>
      <c r="E1689" s="642">
        <f>E1688/(D1688+E1688+G1688+H1688+I1688+J1688+L1688+M1688+N1688)</f>
        <v>0.1069875521152438</v>
      </c>
      <c r="F1689" s="643">
        <f t="shared" si="52"/>
        <v>0.25031505750733474</v>
      </c>
      <c r="G1689" s="642">
        <f>G1688/(D1688+E1688+G1688+H1688+I1688+J1688+L1688+M1688+N1688)</f>
        <v>0.16114506592547209</v>
      </c>
      <c r="H1689" s="642">
        <f>H1688/(D1688+E1688+G1688+H1688+I1688+J1688+L1688+M1688+N1688)</f>
        <v>1.2141544254994845E-2</v>
      </c>
      <c r="I1689" s="642">
        <f>I1688/(D1688+E1688+G1688+H1688+I1688+J1688+L1688+M1688+N1688)</f>
        <v>0</v>
      </c>
      <c r="J1689" s="642">
        <f>J1688/(D1688+E1688+G1688+H1688+I1688+J1688+L1688+M1688+N1688)</f>
        <v>0</v>
      </c>
      <c r="K1689" s="643">
        <f t="shared" si="53"/>
        <v>0.17328661018046693</v>
      </c>
      <c r="L1689" s="642">
        <f>L1688/(D1688+E1688+G1688+H1688+I1688+J1688+L1688+M1688+N1688)</f>
        <v>6.7641477009518974E-2</v>
      </c>
      <c r="M1689" s="642">
        <f>M1688/(D1688+E1688+G1688+H1688+I1688+J1688+L1688+M1688+N1688)</f>
        <v>0</v>
      </c>
      <c r="N1689" s="642">
        <f>N1688/(D1688+E1688+G1688+H1688+I1688+J1688+L1688+M1688+N1688)</f>
        <v>0.50875685530267933</v>
      </c>
      <c r="O1689" s="1515"/>
    </row>
    <row r="1690" spans="1:15" ht="12" customHeight="1">
      <c r="A1690" s="1516" t="s">
        <v>15149</v>
      </c>
      <c r="B1690" s="1509" t="s">
        <v>14937</v>
      </c>
      <c r="C1690" s="647" t="s">
        <v>6218</v>
      </c>
      <c r="D1690" s="648">
        <v>55504</v>
      </c>
      <c r="E1690" s="648">
        <v>42781</v>
      </c>
      <c r="F1690" s="649">
        <f t="shared" si="52"/>
        <v>98285</v>
      </c>
      <c r="G1690" s="648">
        <v>77345</v>
      </c>
      <c r="H1690" s="648">
        <v>8507</v>
      </c>
      <c r="I1690" s="648">
        <v>5104</v>
      </c>
      <c r="J1690" s="648">
        <v>7445</v>
      </c>
      <c r="K1690" s="649">
        <f t="shared" si="53"/>
        <v>98401</v>
      </c>
      <c r="L1690" s="648">
        <v>29283</v>
      </c>
      <c r="M1690" s="648">
        <v>4731</v>
      </c>
      <c r="N1690" s="648">
        <v>193659</v>
      </c>
      <c r="O1690" s="1510">
        <f>1-N1691</f>
        <v>0.54364347168317395</v>
      </c>
    </row>
    <row r="1691" spans="1:15" ht="12" customHeight="1">
      <c r="A1691" s="1517"/>
      <c r="B1691" s="1502"/>
      <c r="C1691" s="635" t="s">
        <v>6219</v>
      </c>
      <c r="D1691" s="636">
        <f>D1690/(D1690+E1690+G1690+H1690+I1690+J1690+L1690+M1690+N1690)</f>
        <v>0.13079491656828299</v>
      </c>
      <c r="E1691" s="636">
        <f>E1690/(D1690+E1690+G1690+H1690+I1690+J1690+L1690+M1690+N1690)</f>
        <v>0.10081322653696516</v>
      </c>
      <c r="F1691" s="637">
        <f t="shared" si="52"/>
        <v>0.23160814310524813</v>
      </c>
      <c r="G1691" s="636">
        <f>G1690/(D1690+E1690+G1690+H1690+I1690+J1690+L1690+M1690+N1690)</f>
        <v>0.18226313098107971</v>
      </c>
      <c r="H1691" s="636">
        <f>H1690/(D1690+E1690+G1690+H1690+I1690+J1690+L1690+M1690+N1690)</f>
        <v>2.0046705737359168E-2</v>
      </c>
      <c r="I1691" s="636">
        <f>I1690/(D1690+E1690+G1690+H1690+I1690+J1690+L1690+M1690+N1690)</f>
        <v>1.2027552143350323E-2</v>
      </c>
      <c r="J1691" s="636">
        <f>J1690/(D1690+E1690+G1690+H1690+I1690+J1690+L1690+M1690+N1690)</f>
        <v>1.7544107701262374E-2</v>
      </c>
      <c r="K1691" s="637">
        <f t="shared" si="53"/>
        <v>0.2318814965630516</v>
      </c>
      <c r="L1691" s="636">
        <f>L1690/(D1690+E1690+G1690+H1690+I1690+J1690+L1690+M1690+N1690)</f>
        <v>6.9005252628081409E-2</v>
      </c>
      <c r="M1691" s="636">
        <f>M1690/(D1690+E1690+G1690+H1690+I1690+J1690+L1690+M1690+N1690)</f>
        <v>1.1148579386792786E-2</v>
      </c>
      <c r="N1691" s="636">
        <f>N1690/(D1690+E1690+G1690+H1690+I1690+J1690+L1690+M1690+N1690)</f>
        <v>0.4563565283168261</v>
      </c>
      <c r="O1691" s="1503"/>
    </row>
    <row r="1692" spans="1:15" ht="12" customHeight="1">
      <c r="A1692" s="1517"/>
      <c r="B1692" s="1502" t="s">
        <v>14938</v>
      </c>
      <c r="C1692" s="638" t="s">
        <v>6218</v>
      </c>
      <c r="D1692" s="639">
        <v>105529</v>
      </c>
      <c r="E1692" s="639">
        <v>46136</v>
      </c>
      <c r="F1692" s="640">
        <f t="shared" si="52"/>
        <v>151665</v>
      </c>
      <c r="G1692" s="639">
        <v>71448</v>
      </c>
      <c r="H1692" s="639">
        <v>13853</v>
      </c>
      <c r="I1692" s="639"/>
      <c r="J1692" s="639">
        <v>10333</v>
      </c>
      <c r="K1692" s="640">
        <f t="shared" si="53"/>
        <v>95634</v>
      </c>
      <c r="L1692" s="639">
        <v>30532</v>
      </c>
      <c r="M1692" s="639"/>
      <c r="N1692" s="639">
        <v>146134</v>
      </c>
      <c r="O1692" s="1503">
        <f>1-N1693</f>
        <v>0.65531588692462828</v>
      </c>
    </row>
    <row r="1693" spans="1:15" ht="12" customHeight="1">
      <c r="A1693" s="1517"/>
      <c r="B1693" s="1502"/>
      <c r="C1693" s="635" t="s">
        <v>6219</v>
      </c>
      <c r="D1693" s="636">
        <f>D1692/(D1692+E1692+G1692+H1692+I1692+J1692+L1692+M1692+N1692)</f>
        <v>0.24890969773448279</v>
      </c>
      <c r="E1693" s="636">
        <f>E1692/(D1692+E1692+G1692+H1692+I1692+J1692+L1692+M1692+N1692)</f>
        <v>0.1088203035627941</v>
      </c>
      <c r="F1693" s="637">
        <f t="shared" si="52"/>
        <v>0.35773000129727689</v>
      </c>
      <c r="G1693" s="636">
        <f>G1692/(D1692+E1692+G1692+H1692+I1692+J1692+L1692+M1692+N1692)</f>
        <v>0.16852334508744826</v>
      </c>
      <c r="H1693" s="636">
        <f>H1692/(D1692+E1692+G1692+H1692+I1692+J1692+L1692+M1692+N1692)</f>
        <v>3.2674867029117968E-2</v>
      </c>
      <c r="I1693" s="636">
        <f>I1692/(D1692+E1692+G1692+H1692+I1692+J1692+L1692+M1692+N1692)</f>
        <v>0</v>
      </c>
      <c r="J1693" s="636">
        <f>J1692/(D1692+E1692+G1692+H1692+I1692+J1692+L1692+M1692+N1692)</f>
        <v>2.437229488283231E-2</v>
      </c>
      <c r="K1693" s="637">
        <f t="shared" si="53"/>
        <v>0.22557050699939857</v>
      </c>
      <c r="L1693" s="636">
        <f>L1692/(D1692+E1692+G1692+H1692+I1692+J1692+L1692+M1692+N1692)</f>
        <v>7.2015378627952778E-2</v>
      </c>
      <c r="M1693" s="636">
        <f>M1692/(D1692+E1692+G1692+H1692+I1692+J1692+L1692+M1692+N1692)</f>
        <v>0</v>
      </c>
      <c r="N1693" s="636">
        <f>N1692/(D1692+E1692+G1692+H1692+I1692+J1692+L1692+M1692+N1692)</f>
        <v>0.34468411307537178</v>
      </c>
      <c r="O1693" s="1503"/>
    </row>
    <row r="1694" spans="1:15" ht="12" customHeight="1">
      <c r="A1694" s="1517"/>
      <c r="B1694" s="1502" t="s">
        <v>14939</v>
      </c>
      <c r="C1694" s="638" t="s">
        <v>6218</v>
      </c>
      <c r="D1694" s="639">
        <v>56358</v>
      </c>
      <c r="E1694" s="639">
        <v>44258</v>
      </c>
      <c r="F1694" s="640">
        <f t="shared" si="52"/>
        <v>100616</v>
      </c>
      <c r="G1694" s="639">
        <v>74647</v>
      </c>
      <c r="H1694" s="639">
        <v>6853</v>
      </c>
      <c r="I1694" s="639"/>
      <c r="J1694" s="639"/>
      <c r="K1694" s="640">
        <f t="shared" si="53"/>
        <v>81500</v>
      </c>
      <c r="L1694" s="639">
        <v>28309</v>
      </c>
      <c r="M1694" s="639">
        <v>7542</v>
      </c>
      <c r="N1694" s="639">
        <v>206270</v>
      </c>
      <c r="O1694" s="1503">
        <f>1-N1695</f>
        <v>0.51378592626291431</v>
      </c>
    </row>
    <row r="1695" spans="1:15" ht="12" customHeight="1">
      <c r="A1695" s="1517"/>
      <c r="B1695" s="1502"/>
      <c r="C1695" s="635" t="s">
        <v>6219</v>
      </c>
      <c r="D1695" s="636">
        <f>D1694/(D1694+E1694+G1694+H1694+I1694+J1694+L1694+M1694+N1694)</f>
        <v>0.13284555566817605</v>
      </c>
      <c r="E1695" s="636">
        <f>E1694/(D1694+E1694+G1694+H1694+I1694+J1694+L1694+M1694+N1694)</f>
        <v>0.10432376242524816</v>
      </c>
      <c r="F1695" s="637">
        <f t="shared" si="52"/>
        <v>0.2371693180934242</v>
      </c>
      <c r="G1695" s="636">
        <f>G1694/(D1694+E1694+G1694+H1694+I1694+J1694+L1694+M1694+N1694)</f>
        <v>0.17595589257891225</v>
      </c>
      <c r="H1695" s="636">
        <f>H1694/(D1694+E1694+G1694+H1694+I1694+J1694+L1694+M1694+N1694)</f>
        <v>1.6153706536676433E-2</v>
      </c>
      <c r="I1695" s="636">
        <f>I1694/(D1694+E1694+G1694+H1694+I1694+J1694+L1694+M1694+N1694)</f>
        <v>0</v>
      </c>
      <c r="J1695" s="636">
        <f>J1694/(D1694+E1694+G1694+H1694+I1694+J1694+L1694+M1694+N1694)</f>
        <v>0</v>
      </c>
      <c r="K1695" s="637">
        <f t="shared" si="53"/>
        <v>0.1921095991155887</v>
      </c>
      <c r="L1695" s="636">
        <f>L1694/(D1694+E1694+G1694+H1694+I1694+J1694+L1694+M1694+N1694)</f>
        <v>6.6729210323474855E-2</v>
      </c>
      <c r="M1695" s="636">
        <f>M1694/(D1694+E1694+G1694+H1694+I1694+J1694+L1694+M1694+N1694)</f>
        <v>1.7777798730426626E-2</v>
      </c>
      <c r="N1695" s="636">
        <f>N1694/(D1694+E1694+G1694+H1694+I1694+J1694+L1694+M1694+N1694)</f>
        <v>0.48621407373708564</v>
      </c>
      <c r="O1695" s="1503"/>
    </row>
    <row r="1696" spans="1:15" ht="12" customHeight="1">
      <c r="A1696" s="1517"/>
      <c r="B1696" s="1502" t="s">
        <v>14940</v>
      </c>
      <c r="C1696" s="638" t="s">
        <v>6218</v>
      </c>
      <c r="D1696" s="639">
        <v>67414</v>
      </c>
      <c r="E1696" s="639">
        <v>44652</v>
      </c>
      <c r="F1696" s="640">
        <f t="shared" si="52"/>
        <v>112066</v>
      </c>
      <c r="G1696" s="639">
        <v>77140</v>
      </c>
      <c r="H1696" s="639">
        <v>6362</v>
      </c>
      <c r="I1696" s="639"/>
      <c r="J1696" s="639"/>
      <c r="K1696" s="640">
        <f t="shared" si="53"/>
        <v>83502</v>
      </c>
      <c r="L1696" s="639">
        <v>26288</v>
      </c>
      <c r="M1696" s="639"/>
      <c r="N1696" s="639">
        <v>202632</v>
      </c>
      <c r="O1696" s="1503">
        <f>1-N1697</f>
        <v>0.52264374964663318</v>
      </c>
    </row>
    <row r="1697" spans="1:15" ht="12" customHeight="1" thickBot="1">
      <c r="A1697" s="1519"/>
      <c r="B1697" s="1514"/>
      <c r="C1697" s="641" t="s">
        <v>6219</v>
      </c>
      <c r="D1697" s="642">
        <f>D1696/(D1696+E1696+G1696+H1696+I1696+J1696+L1696+M1696+N1696)</f>
        <v>0.1588124988221104</v>
      </c>
      <c r="E1697" s="642">
        <f>E1696/(D1696+E1696+G1696+H1696+I1696+J1696+L1696+M1696+N1696)</f>
        <v>0.10519025272799232</v>
      </c>
      <c r="F1697" s="643">
        <f t="shared" si="52"/>
        <v>0.26400275155010272</v>
      </c>
      <c r="G1697" s="642">
        <f>G1696/(D1696+E1696+G1696+H1696+I1696+J1696+L1696+M1696+N1696)</f>
        <v>0.18172480729726165</v>
      </c>
      <c r="H1697" s="642">
        <f>H1696/(D1696+E1696+G1696+H1696+I1696+J1696+L1696+M1696+N1696)</f>
        <v>1.4987467254669155E-2</v>
      </c>
      <c r="I1697" s="642">
        <f>I1696/(D1696+E1696+G1696+H1696+I1696+J1696+L1696+M1696+N1696)</f>
        <v>0</v>
      </c>
      <c r="J1697" s="642">
        <f>J1696/(D1696+E1696+G1696+H1696+I1696+J1696+L1696+M1696+N1696)</f>
        <v>0</v>
      </c>
      <c r="K1697" s="643">
        <f t="shared" si="53"/>
        <v>0.1967122745519308</v>
      </c>
      <c r="L1697" s="642">
        <f>L1696/(D1696+E1696+G1696+H1696+I1696+J1696+L1696+M1696+N1696)</f>
        <v>6.1928723544599613E-2</v>
      </c>
      <c r="M1697" s="642">
        <f>M1696/(D1696+E1696+G1696+H1696+I1696+J1696+L1696+M1696+N1696)</f>
        <v>0</v>
      </c>
      <c r="N1697" s="642">
        <f>N1696/(D1696+E1696+G1696+H1696+I1696+J1696+L1696+M1696+N1696)</f>
        <v>0.47735625035336687</v>
      </c>
      <c r="O1697" s="1515"/>
    </row>
    <row r="1698" spans="1:15" ht="12" customHeight="1">
      <c r="A1698" s="1516" t="s">
        <v>15150</v>
      </c>
      <c r="B1698" s="1509" t="s">
        <v>14937</v>
      </c>
      <c r="C1698" s="647" t="s">
        <v>6218</v>
      </c>
      <c r="D1698" s="648">
        <v>55595</v>
      </c>
      <c r="E1698" s="648">
        <v>38046</v>
      </c>
      <c r="F1698" s="649">
        <f t="shared" si="52"/>
        <v>93641</v>
      </c>
      <c r="G1698" s="648">
        <v>75875</v>
      </c>
      <c r="H1698" s="648">
        <v>8906</v>
      </c>
      <c r="I1698" s="648">
        <v>4843</v>
      </c>
      <c r="J1698" s="648">
        <v>7508</v>
      </c>
      <c r="K1698" s="649">
        <f t="shared" si="53"/>
        <v>97132</v>
      </c>
      <c r="L1698" s="648">
        <v>26420</v>
      </c>
      <c r="M1698" s="648">
        <v>4354</v>
      </c>
      <c r="N1698" s="648">
        <v>181567</v>
      </c>
      <c r="O1698" s="1510">
        <f>1-N1699</f>
        <v>0.54958895002406272</v>
      </c>
    </row>
    <row r="1699" spans="1:15" ht="12" customHeight="1">
      <c r="A1699" s="1517"/>
      <c r="B1699" s="1502"/>
      <c r="C1699" s="635" t="s">
        <v>6219</v>
      </c>
      <c r="D1699" s="636">
        <f>D1698/(D1698+E1698+G1698+H1698+I1698+J1698+L1698+M1698+N1698)</f>
        <v>0.13791384074976309</v>
      </c>
      <c r="E1699" s="636">
        <f>E1698/(D1698+E1698+G1698+H1698+I1698+J1698+L1698+M1698+N1698)</f>
        <v>9.4380249755652249E-2</v>
      </c>
      <c r="F1699" s="637">
        <f t="shared" si="52"/>
        <v>0.23229409050541533</v>
      </c>
      <c r="G1699" s="636">
        <f>G1698/(D1698+E1698+G1698+H1698+I1698+J1698+L1698+M1698+N1698)</f>
        <v>0.18822219024891221</v>
      </c>
      <c r="H1699" s="636">
        <f>H1698/(D1698+E1698+G1698+H1698+I1698+J1698+L1698+M1698+N1698)</f>
        <v>2.2093005948689452E-2</v>
      </c>
      <c r="I1699" s="636">
        <f>I1698/(D1698+E1698+G1698+H1698+I1698+J1698+L1698+M1698+N1698)</f>
        <v>1.2013971233943748E-2</v>
      </c>
      <c r="J1699" s="636">
        <f>J1698/(D1698+E1698+G1698+H1698+I1698+J1698+L1698+M1698+N1698)</f>
        <v>1.8625004341203729E-2</v>
      </c>
      <c r="K1699" s="637">
        <f t="shared" si="53"/>
        <v>0.24095417177274914</v>
      </c>
      <c r="L1699" s="636">
        <f>L1698/(D1698+E1698+G1698+H1698+I1698+J1698+L1698+M1698+N1698)</f>
        <v>6.5539772868220894E-2</v>
      </c>
      <c r="M1699" s="636">
        <f>M1698/(D1698+E1698+G1698+H1698+I1698+J1698+L1698+M1698+N1698)</f>
        <v>1.0800914877677282E-2</v>
      </c>
      <c r="N1699" s="636">
        <f>N1698/(D1698+E1698+G1698+H1698+I1698+J1698+L1698+M1698+N1698)</f>
        <v>0.45041104997593734</v>
      </c>
      <c r="O1699" s="1503"/>
    </row>
    <row r="1700" spans="1:15" ht="12" customHeight="1">
      <c r="A1700" s="1517"/>
      <c r="B1700" s="1502" t="s">
        <v>14938</v>
      </c>
      <c r="C1700" s="638" t="s">
        <v>6218</v>
      </c>
      <c r="D1700" s="639">
        <v>98896</v>
      </c>
      <c r="E1700" s="639">
        <v>42596</v>
      </c>
      <c r="F1700" s="640">
        <f t="shared" si="52"/>
        <v>141492</v>
      </c>
      <c r="G1700" s="639">
        <v>69813</v>
      </c>
      <c r="H1700" s="639">
        <v>13424</v>
      </c>
      <c r="I1700" s="639"/>
      <c r="J1700" s="639">
        <v>8794</v>
      </c>
      <c r="K1700" s="640">
        <f t="shared" si="53"/>
        <v>92031</v>
      </c>
      <c r="L1700" s="639">
        <v>26074</v>
      </c>
      <c r="M1700" s="639"/>
      <c r="N1700" s="639">
        <v>145057</v>
      </c>
      <c r="O1700" s="1503">
        <f>1-N1701</f>
        <v>0.64152831801983923</v>
      </c>
    </row>
    <row r="1701" spans="1:15" ht="12" customHeight="1">
      <c r="A1701" s="1517"/>
      <c r="B1701" s="1502"/>
      <c r="C1701" s="635" t="s">
        <v>6219</v>
      </c>
      <c r="D1701" s="636">
        <f>D1700/(D1700+E1700+G1700+H1700+I1700+J1700+L1700+M1700+N1700)</f>
        <v>0.24439644733525431</v>
      </c>
      <c r="E1701" s="636">
        <f>E1700/(D1700+E1700+G1700+H1700+I1700+J1700+L1700+M1700+N1700)</f>
        <v>0.10526523894487637</v>
      </c>
      <c r="F1701" s="637">
        <f t="shared" si="52"/>
        <v>0.34966168628013067</v>
      </c>
      <c r="G1701" s="636">
        <f>G1700/(D1700+E1700+G1700+H1700+I1700+J1700+L1700+M1700+N1700)</f>
        <v>0.17252516965110934</v>
      </c>
      <c r="H1701" s="636">
        <f>H1700/(D1700+E1700+G1700+H1700+I1700+J1700+L1700+M1700+N1700)</f>
        <v>3.3174020274110719E-2</v>
      </c>
      <c r="I1701" s="636">
        <f>I1700/(D1700+E1700+G1700+H1700+I1700+J1700+L1700+M1700+N1700)</f>
        <v>0</v>
      </c>
      <c r="J1701" s="636">
        <f>J1700/(D1700+E1700+G1700+H1700+I1700+J1700+L1700+M1700+N1700)</f>
        <v>2.1732146475754596E-2</v>
      </c>
      <c r="K1701" s="637">
        <f t="shared" si="53"/>
        <v>0.22743133640097468</v>
      </c>
      <c r="L1701" s="636">
        <f>L1700/(D1700+E1700+G1700+H1700+I1700+J1700+L1700+M1700+N1700)</f>
        <v>6.4435295338733836E-2</v>
      </c>
      <c r="M1701" s="636">
        <f>M1700/(D1700+E1700+G1700+H1700+I1700+J1700+L1700+M1700+N1700)</f>
        <v>0</v>
      </c>
      <c r="N1701" s="636">
        <f>N1700/(D1700+E1700+G1700+H1700+I1700+J1700+L1700+M1700+N1700)</f>
        <v>0.35847168198016083</v>
      </c>
      <c r="O1701" s="1503"/>
    </row>
    <row r="1702" spans="1:15" ht="12" customHeight="1">
      <c r="A1702" s="1517"/>
      <c r="B1702" s="1502" t="s">
        <v>14939</v>
      </c>
      <c r="C1702" s="638" t="s">
        <v>6218</v>
      </c>
      <c r="D1702" s="639">
        <v>56548</v>
      </c>
      <c r="E1702" s="639">
        <v>39321</v>
      </c>
      <c r="F1702" s="640">
        <f t="shared" si="52"/>
        <v>95869</v>
      </c>
      <c r="G1702" s="639">
        <v>75946</v>
      </c>
      <c r="H1702" s="639">
        <v>7151</v>
      </c>
      <c r="I1702" s="639"/>
      <c r="J1702" s="639"/>
      <c r="K1702" s="640">
        <f t="shared" si="53"/>
        <v>83097</v>
      </c>
      <c r="L1702" s="639">
        <v>25091</v>
      </c>
      <c r="M1702" s="639">
        <v>6964</v>
      </c>
      <c r="N1702" s="639">
        <v>193961</v>
      </c>
      <c r="O1702" s="1503">
        <f>1-N1703</f>
        <v>0.5210626645134846</v>
      </c>
    </row>
    <row r="1703" spans="1:15" ht="12" customHeight="1">
      <c r="A1703" s="1517"/>
      <c r="B1703" s="1502"/>
      <c r="C1703" s="635" t="s">
        <v>6219</v>
      </c>
      <c r="D1703" s="636">
        <f>D1702/(D1702+E1702+G1702+H1702+I1702+J1702+L1702+M1702+N1702)</f>
        <v>0.13963089717567695</v>
      </c>
      <c r="E1703" s="636">
        <f>E1702/(D1702+E1702+G1702+H1702+I1702+J1702+L1702+M1702+N1702)</f>
        <v>9.7093204142406325E-2</v>
      </c>
      <c r="F1703" s="637">
        <f t="shared" si="52"/>
        <v>0.23672410131808327</v>
      </c>
      <c r="G1703" s="636">
        <f>G1702/(D1702+E1702+G1702+H1702+I1702+J1702+L1702+M1702+N1702)</f>
        <v>0.18752932229086725</v>
      </c>
      <c r="H1703" s="636">
        <f>H1702/(D1702+E1702+G1702+H1702+I1702+J1702+L1702+M1702+N1702)</f>
        <v>1.7657574904563659E-2</v>
      </c>
      <c r="I1703" s="636">
        <f>I1702/(D1702+E1702+G1702+H1702+I1702+J1702+L1702+M1702+N1702)</f>
        <v>0</v>
      </c>
      <c r="J1703" s="636">
        <f>J1702/(D1702+E1702+G1702+H1702+I1702+J1702+L1702+M1702+N1702)</f>
        <v>0</v>
      </c>
      <c r="K1703" s="637">
        <f t="shared" si="53"/>
        <v>0.2051868971954309</v>
      </c>
      <c r="L1703" s="636">
        <f>L1702/(D1702+E1702+G1702+H1702+I1702+J1702+L1702+M1702+N1702)</f>
        <v>6.1955840012642538E-2</v>
      </c>
      <c r="M1703" s="636">
        <f>M1702/(D1702+E1702+G1702+H1702+I1702+J1702+L1702+M1702+N1702)</f>
        <v>1.7195825987327832E-2</v>
      </c>
      <c r="N1703" s="636">
        <f>N1702/(D1702+E1702+G1702+H1702+I1702+J1702+L1702+M1702+N1702)</f>
        <v>0.47893733548651546</v>
      </c>
      <c r="O1703" s="1503"/>
    </row>
    <row r="1704" spans="1:15" ht="12" customHeight="1">
      <c r="A1704" s="1517"/>
      <c r="B1704" s="1502" t="s">
        <v>14940</v>
      </c>
      <c r="C1704" s="638" t="s">
        <v>6218</v>
      </c>
      <c r="D1704" s="639">
        <v>67838</v>
      </c>
      <c r="E1704" s="639">
        <v>39780</v>
      </c>
      <c r="F1704" s="640">
        <f t="shared" si="52"/>
        <v>107618</v>
      </c>
      <c r="G1704" s="639">
        <v>79320</v>
      </c>
      <c r="H1704" s="639">
        <v>6580</v>
      </c>
      <c r="I1704" s="639"/>
      <c r="J1704" s="639"/>
      <c r="K1704" s="640">
        <f t="shared" si="53"/>
        <v>85900</v>
      </c>
      <c r="L1704" s="639">
        <v>23690</v>
      </c>
      <c r="M1704" s="639"/>
      <c r="N1704" s="639">
        <v>187513</v>
      </c>
      <c r="O1704" s="1503">
        <f>1-N1705</f>
        <v>0.53668576624390629</v>
      </c>
    </row>
    <row r="1705" spans="1:15" ht="12" customHeight="1" thickBot="1">
      <c r="A1705" s="1519"/>
      <c r="B1705" s="1514"/>
      <c r="C1705" s="641" t="s">
        <v>6219</v>
      </c>
      <c r="D1705" s="642">
        <f>D1704/(D1704+E1704+G1704+H1704+I1704+J1704+L1704+M1704+N1704)</f>
        <v>0.1676167038527776</v>
      </c>
      <c r="E1705" s="642">
        <f>E1704/(D1704+E1704+G1704+H1704+I1704+J1704+L1704+M1704+N1704)</f>
        <v>9.8289933065000334E-2</v>
      </c>
      <c r="F1705" s="643">
        <f t="shared" si="52"/>
        <v>0.26590663691777794</v>
      </c>
      <c r="G1705" s="642">
        <f>G1704/(D1704+E1704+G1704+H1704+I1704+J1704+L1704+M1704+N1704)</f>
        <v>0.19598686502553611</v>
      </c>
      <c r="H1705" s="642">
        <f>H1704/(D1704+E1704+G1704+H1704+I1704+J1704+L1704+M1704+N1704)</f>
        <v>1.6258113614069938E-2</v>
      </c>
      <c r="I1705" s="642">
        <f>I1704/(D1704+E1704+G1704+H1704+I1704+J1704+L1704+M1704+N1704)</f>
        <v>0</v>
      </c>
      <c r="J1705" s="642">
        <f>J1704/(D1704+E1704+G1704+H1704+I1704+J1704+L1704+M1704+N1704)</f>
        <v>0</v>
      </c>
      <c r="K1705" s="643">
        <f t="shared" si="53"/>
        <v>0.21224497863960606</v>
      </c>
      <c r="L1705" s="642">
        <f>L1704/(D1704+E1704+G1704+H1704+I1704+J1704+L1704+M1704+N1704)</f>
        <v>5.8534150686522318E-2</v>
      </c>
      <c r="M1705" s="642">
        <f>M1704/(D1704+E1704+G1704+H1704+I1704+J1704+L1704+M1704+N1704)</f>
        <v>0</v>
      </c>
      <c r="N1705" s="642">
        <f>N1704/(D1704+E1704+G1704+H1704+I1704+J1704+L1704+M1704+N1704)</f>
        <v>0.46331423375609371</v>
      </c>
      <c r="O1705" s="1515"/>
    </row>
    <row r="1706" spans="1:15" ht="12" customHeight="1">
      <c r="A1706" s="1532" t="s">
        <v>15151</v>
      </c>
      <c r="B1706" s="1509" t="s">
        <v>14937</v>
      </c>
      <c r="C1706" s="647" t="s">
        <v>6218</v>
      </c>
      <c r="D1706" s="648">
        <v>36059</v>
      </c>
      <c r="E1706" s="648">
        <v>34835</v>
      </c>
      <c r="F1706" s="649">
        <f t="shared" si="52"/>
        <v>70894</v>
      </c>
      <c r="G1706" s="648">
        <v>56920</v>
      </c>
      <c r="H1706" s="648">
        <v>6224</v>
      </c>
      <c r="I1706" s="648">
        <v>3479</v>
      </c>
      <c r="J1706" s="648">
        <v>5839</v>
      </c>
      <c r="K1706" s="649">
        <f t="shared" si="53"/>
        <v>72462</v>
      </c>
      <c r="L1706" s="648">
        <v>21748</v>
      </c>
      <c r="M1706" s="648">
        <v>3732</v>
      </c>
      <c r="N1706" s="648">
        <v>143667</v>
      </c>
      <c r="O1706" s="1510">
        <f>1-N1707</f>
        <v>0.54027001340787129</v>
      </c>
    </row>
    <row r="1707" spans="1:15" ht="12" customHeight="1">
      <c r="A1707" s="1533"/>
      <c r="B1707" s="1502"/>
      <c r="C1707" s="635" t="s">
        <v>6219</v>
      </c>
      <c r="D1707" s="636">
        <f>D1706/(D1706+E1706+G1706+H1706+I1706+J1706+L1706+M1706+N1706)</f>
        <v>0.11538769227815412</v>
      </c>
      <c r="E1707" s="636">
        <f>E1706/(D1706+E1706+G1706+H1706+I1706+J1706+L1706+M1706+N1706)</f>
        <v>0.11147092987907316</v>
      </c>
      <c r="F1707" s="637">
        <f t="shared" si="52"/>
        <v>0.2268586221572273</v>
      </c>
      <c r="G1707" s="636">
        <f>G1706/(D1706+E1706+G1706+H1706+I1706+J1706+L1706+M1706+N1706)</f>
        <v>0.18214225143438623</v>
      </c>
      <c r="H1707" s="636">
        <f>H1706/(D1706+E1706+G1706+H1706+I1706+J1706+L1706+M1706+N1706)</f>
        <v>1.9916608800555513E-2</v>
      </c>
      <c r="I1707" s="636">
        <f>I1706/(D1706+E1706+G1706+H1706+I1706+J1706+L1706+M1706+N1706)</f>
        <v>1.1132693126145989E-2</v>
      </c>
      <c r="J1707" s="636">
        <f>J1706/(D1706+E1706+G1706+H1706+I1706+J1706+L1706+M1706+N1706)</f>
        <v>1.8684620627641976E-2</v>
      </c>
      <c r="K1707" s="637">
        <f t="shared" si="53"/>
        <v>0.2318761739887297</v>
      </c>
      <c r="L1707" s="636">
        <f>L1706/(D1706+E1706+G1706+H1706+I1706+J1706+L1706+M1706+N1706)</f>
        <v>6.9592931907853678E-2</v>
      </c>
      <c r="M1707" s="636">
        <f>M1706/(D1706+E1706+G1706+H1706+I1706+J1706+L1706+M1706+N1706)</f>
        <v>1.1942285354060601E-2</v>
      </c>
      <c r="N1707" s="636">
        <f>N1706/(D1706+E1706+G1706+H1706+I1706+J1706+L1706+M1706+N1706)</f>
        <v>0.45972998659212871</v>
      </c>
      <c r="O1707" s="1503"/>
    </row>
    <row r="1708" spans="1:15" ht="12" customHeight="1">
      <c r="A1708" s="1533"/>
      <c r="B1708" s="1502" t="s">
        <v>14938</v>
      </c>
      <c r="C1708" s="638" t="s">
        <v>6218</v>
      </c>
      <c r="D1708" s="639">
        <v>68000</v>
      </c>
      <c r="E1708" s="639">
        <v>34304</v>
      </c>
      <c r="F1708" s="640">
        <f t="shared" si="52"/>
        <v>102304</v>
      </c>
      <c r="G1708" s="639">
        <v>52456</v>
      </c>
      <c r="H1708" s="639">
        <v>9958</v>
      </c>
      <c r="I1708" s="639"/>
      <c r="J1708" s="639">
        <v>6708</v>
      </c>
      <c r="K1708" s="640">
        <f t="shared" si="53"/>
        <v>69122</v>
      </c>
      <c r="L1708" s="639">
        <v>20992</v>
      </c>
      <c r="M1708" s="639"/>
      <c r="N1708" s="639">
        <v>118896</v>
      </c>
      <c r="O1708" s="1503">
        <f>1-N1709</f>
        <v>0.61808334992965297</v>
      </c>
    </row>
    <row r="1709" spans="1:15" ht="12" customHeight="1">
      <c r="A1709" s="1533"/>
      <c r="B1709" s="1502"/>
      <c r="C1709" s="635" t="s">
        <v>6219</v>
      </c>
      <c r="D1709" s="636">
        <f>D1708/(D1708+E1708+G1708+H1708+I1708+J1708+L1708+M1708+N1708)</f>
        <v>0.2184289816712387</v>
      </c>
      <c r="E1709" s="636">
        <f>E1708/(D1708+E1708+G1708+H1708+I1708+J1708+L1708+M1708+N1708)</f>
        <v>0.11019099687132605</v>
      </c>
      <c r="F1709" s="637">
        <f t="shared" si="52"/>
        <v>0.32861997854256475</v>
      </c>
      <c r="G1709" s="636">
        <f>G1708/(D1708+E1708+G1708+H1708+I1708+J1708+L1708+M1708+N1708)</f>
        <v>0.16849868621391906</v>
      </c>
      <c r="H1709" s="636">
        <f>H1708/(D1708+E1708+G1708+H1708+I1708+J1708+L1708+M1708+N1708)</f>
        <v>3.1986997051208749E-2</v>
      </c>
      <c r="I1709" s="636">
        <f>I1708/(D1708+E1708+G1708+H1708+I1708+J1708+L1708+M1708+N1708)</f>
        <v>0</v>
      </c>
      <c r="J1709" s="636">
        <f>J1708/(D1708+E1708+G1708+H1708+I1708+J1708+L1708+M1708+N1708)</f>
        <v>2.1547376603686309E-2</v>
      </c>
      <c r="K1709" s="637">
        <f t="shared" si="53"/>
        <v>0.22203305986881411</v>
      </c>
      <c r="L1709" s="636">
        <f>L1708/(D1708+E1708+G1708+H1708+I1708+J1708+L1708+M1708+N1708)</f>
        <v>6.7430311518274152E-2</v>
      </c>
      <c r="M1709" s="636">
        <f>M1708/(D1708+E1708+G1708+H1708+I1708+J1708+L1708+M1708+N1708)</f>
        <v>0</v>
      </c>
      <c r="N1709" s="636">
        <f>N1708/(D1708+E1708+G1708+H1708+I1708+J1708+L1708+M1708+N1708)</f>
        <v>0.38191665007034697</v>
      </c>
      <c r="O1709" s="1503"/>
    </row>
    <row r="1710" spans="1:15" ht="12" customHeight="1">
      <c r="A1710" s="1533"/>
      <c r="B1710" s="1502" t="s">
        <v>14939</v>
      </c>
      <c r="C1710" s="638" t="s">
        <v>6218</v>
      </c>
      <c r="D1710" s="639">
        <v>35629</v>
      </c>
      <c r="E1710" s="639">
        <v>33821</v>
      </c>
      <c r="F1710" s="640">
        <f t="shared" si="52"/>
        <v>69450</v>
      </c>
      <c r="G1710" s="639">
        <v>55368</v>
      </c>
      <c r="H1710" s="639">
        <v>5270</v>
      </c>
      <c r="I1710" s="639"/>
      <c r="J1710" s="639"/>
      <c r="K1710" s="640">
        <f t="shared" si="53"/>
        <v>60638</v>
      </c>
      <c r="L1710" s="639">
        <v>19712</v>
      </c>
      <c r="M1710" s="639">
        <v>5546</v>
      </c>
      <c r="N1710" s="639">
        <v>154763</v>
      </c>
      <c r="O1710" s="1503">
        <f>1-N1711</f>
        <v>0.50093999206730544</v>
      </c>
    </row>
    <row r="1711" spans="1:15" ht="12" customHeight="1">
      <c r="A1711" s="1533"/>
      <c r="B1711" s="1502"/>
      <c r="C1711" s="635" t="s">
        <v>6219</v>
      </c>
      <c r="D1711" s="636">
        <f>D1710/(D1710+E1710+G1710+H1710+I1710+J1710+L1710+M1710+N1710)</f>
        <v>0.11489186060385219</v>
      </c>
      <c r="E1711" s="636">
        <f>E1710/(D1710+E1710+G1710+H1710+I1710+J1710+L1710+M1710+N1710)</f>
        <v>0.10906165251572834</v>
      </c>
      <c r="F1711" s="637">
        <f t="shared" si="52"/>
        <v>0.22395351311958053</v>
      </c>
      <c r="G1711" s="636">
        <f>G1710/(D1710+E1710+G1710+H1710+I1710+J1710+L1710+M1710+N1710)</f>
        <v>0.17854367335356278</v>
      </c>
      <c r="H1711" s="636">
        <f>H1710/(D1710+E1710+G1710+H1710+I1710+J1710+L1710+M1710+N1710)</f>
        <v>1.6994024681644196E-2</v>
      </c>
      <c r="I1711" s="636">
        <f>I1710/(D1710+E1710+G1710+H1710+I1710+J1710+L1710+M1710+N1710)</f>
        <v>0</v>
      </c>
      <c r="J1711" s="636">
        <f>J1710/(D1710+E1710+G1710+H1710+I1710+J1710+L1710+M1710+N1710)</f>
        <v>0</v>
      </c>
      <c r="K1711" s="637">
        <f t="shared" si="53"/>
        <v>0.19553769803520699</v>
      </c>
      <c r="L1711" s="636">
        <f>L1710/(D1710+E1710+G1710+H1710+I1710+J1710+L1710+M1710+N1710)</f>
        <v>6.3564746589102536E-2</v>
      </c>
      <c r="M1711" s="636">
        <f>M1710/(D1710+E1710+G1710+H1710+I1710+J1710+L1710+M1710+N1710)</f>
        <v>1.7884034323415315E-2</v>
      </c>
      <c r="N1711" s="636">
        <f>N1710/(D1710+E1710+G1710+H1710+I1710+J1710+L1710+M1710+N1710)</f>
        <v>0.49906000793269462</v>
      </c>
      <c r="O1711" s="1503"/>
    </row>
    <row r="1712" spans="1:15" ht="12" customHeight="1">
      <c r="A1712" s="1533"/>
      <c r="B1712" s="1502" t="s">
        <v>14940</v>
      </c>
      <c r="C1712" s="638" t="s">
        <v>6218</v>
      </c>
      <c r="D1712" s="639">
        <v>41636</v>
      </c>
      <c r="E1712" s="639">
        <v>37806</v>
      </c>
      <c r="F1712" s="640">
        <f t="shared" si="52"/>
        <v>79442</v>
      </c>
      <c r="G1712" s="639">
        <v>58977</v>
      </c>
      <c r="H1712" s="639">
        <v>4897</v>
      </c>
      <c r="I1712" s="639"/>
      <c r="J1712" s="639"/>
      <c r="K1712" s="640">
        <f t="shared" si="53"/>
        <v>63874</v>
      </c>
      <c r="L1712" s="639">
        <v>20257</v>
      </c>
      <c r="M1712" s="639"/>
      <c r="N1712" s="639">
        <v>145853</v>
      </c>
      <c r="O1712" s="1503">
        <f>1-N1713</f>
        <v>0.52863366362232012</v>
      </c>
    </row>
    <row r="1713" spans="1:15" ht="12" customHeight="1" thickBot="1">
      <c r="A1713" s="1534"/>
      <c r="B1713" s="1514"/>
      <c r="C1713" s="641" t="s">
        <v>6219</v>
      </c>
      <c r="D1713" s="642">
        <f>D1712/(D1712+E1712+G1712+H1712+I1712+J1712+L1712+M1712+N1712)</f>
        <v>0.13455882828204482</v>
      </c>
      <c r="E1713" s="642">
        <f>E1712/(D1712+E1712+G1712+H1712+I1712+J1712+L1712+M1712+N1712)</f>
        <v>0.12218107075682069</v>
      </c>
      <c r="F1713" s="643">
        <f t="shared" si="52"/>
        <v>0.25673989903886552</v>
      </c>
      <c r="G1713" s="642">
        <f>G1712/(D1712+E1712+G1712+H1712+I1712+J1712+L1712+M1712+N1712)</f>
        <v>0.19060130693606872</v>
      </c>
      <c r="H1713" s="642">
        <f>H1712/(D1712+E1712+G1712+H1712+I1712+J1712+L1712+M1712+N1712)</f>
        <v>1.5826077963713457E-2</v>
      </c>
      <c r="I1713" s="642">
        <f>I1712/(D1712+E1712+G1712+H1712+I1712+J1712+L1712+M1712+N1712)</f>
        <v>0</v>
      </c>
      <c r="J1713" s="642">
        <f>J1712/(D1712+E1712+G1712+H1712+I1712+J1712+L1712+M1712+N1712)</f>
        <v>0</v>
      </c>
      <c r="K1713" s="643">
        <f t="shared" si="53"/>
        <v>0.20642738489978218</v>
      </c>
      <c r="L1713" s="642">
        <f>L1712/(D1712+E1712+G1712+H1712+I1712+J1712+L1712+M1712+N1712)</f>
        <v>6.5466379683672346E-2</v>
      </c>
      <c r="M1713" s="642">
        <f>M1712/(D1712+E1712+G1712+H1712+I1712+J1712+L1712+M1712+N1712)</f>
        <v>0</v>
      </c>
      <c r="N1713" s="642">
        <f>N1712/(D1712+E1712+G1712+H1712+I1712+J1712+L1712+M1712+N1712)</f>
        <v>0.47136633637767994</v>
      </c>
      <c r="O1713" s="1515"/>
    </row>
    <row r="1714" spans="1:15" ht="12" customHeight="1">
      <c r="A1714" s="1516" t="s">
        <v>15152</v>
      </c>
      <c r="B1714" s="1509" t="s">
        <v>14937</v>
      </c>
      <c r="C1714" s="647" t="s">
        <v>6218</v>
      </c>
      <c r="D1714" s="648">
        <v>40046</v>
      </c>
      <c r="E1714" s="648">
        <v>34207</v>
      </c>
      <c r="F1714" s="649">
        <f t="shared" si="52"/>
        <v>74253</v>
      </c>
      <c r="G1714" s="648">
        <v>61654</v>
      </c>
      <c r="H1714" s="648">
        <v>6745</v>
      </c>
      <c r="I1714" s="648">
        <v>3526</v>
      </c>
      <c r="J1714" s="648">
        <v>6290</v>
      </c>
      <c r="K1714" s="649">
        <f t="shared" si="53"/>
        <v>78215</v>
      </c>
      <c r="L1714" s="648">
        <v>21028</v>
      </c>
      <c r="M1714" s="648">
        <v>4019</v>
      </c>
      <c r="N1714" s="648">
        <v>153057</v>
      </c>
      <c r="O1714" s="1510">
        <f>1-N1715</f>
        <v>0.53699345377103924</v>
      </c>
    </row>
    <row r="1715" spans="1:15" ht="12" customHeight="1">
      <c r="A1715" s="1517"/>
      <c r="B1715" s="1502"/>
      <c r="C1715" s="635" t="s">
        <v>6219</v>
      </c>
      <c r="D1715" s="636">
        <f>D1714/(D1714+E1714+G1714+H1714+I1714+J1714+L1714+M1714+N1714)</f>
        <v>0.12114153648826882</v>
      </c>
      <c r="E1715" s="636">
        <f>E1714/(D1714+E1714+G1714+H1714+I1714+J1714+L1714+M1714+N1714)</f>
        <v>0.10347821352080636</v>
      </c>
      <c r="F1715" s="637">
        <f t="shared" si="52"/>
        <v>0.22461975000907519</v>
      </c>
      <c r="G1715" s="636">
        <f>G1714/(D1714+E1714+G1714+H1714+I1714+J1714+L1714+M1714+N1714)</f>
        <v>0.1865070241883765</v>
      </c>
      <c r="H1715" s="636">
        <f>H1714/(D1714+E1714+G1714+H1714+I1714+J1714+L1714+M1714+N1714)</f>
        <v>2.0404026959331099E-2</v>
      </c>
      <c r="I1715" s="636">
        <f>I1714/(D1714+E1714+G1714+H1714+I1714+J1714+L1714+M1714+N1714)</f>
        <v>1.0666360127294508E-2</v>
      </c>
      <c r="J1715" s="636">
        <f>J1714/(D1714+E1714+G1714+H1714+I1714+J1714+L1714+M1714+N1714)</f>
        <v>1.9027624844209431E-2</v>
      </c>
      <c r="K1715" s="637">
        <f t="shared" si="53"/>
        <v>0.23660503611921158</v>
      </c>
      <c r="L1715" s="636">
        <f>L1714/(D1714+E1714+G1714+H1714+I1714+J1714+L1714+M1714+N1714)</f>
        <v>6.3610953135776777E-2</v>
      </c>
      <c r="M1715" s="636">
        <f>M1714/(D1714+E1714+G1714+H1714+I1714+J1714+L1714+M1714+N1714)</f>
        <v>1.2157714506975788E-2</v>
      </c>
      <c r="N1715" s="636">
        <f>N1714/(D1714+E1714+G1714+H1714+I1714+J1714+L1714+M1714+N1714)</f>
        <v>0.4630065462289607</v>
      </c>
      <c r="O1715" s="1503"/>
    </row>
    <row r="1716" spans="1:15" ht="12" customHeight="1">
      <c r="A1716" s="1517"/>
      <c r="B1716" s="1502" t="s">
        <v>14938</v>
      </c>
      <c r="C1716" s="638" t="s">
        <v>6218</v>
      </c>
      <c r="D1716" s="639">
        <v>77643</v>
      </c>
      <c r="E1716" s="639">
        <v>36427</v>
      </c>
      <c r="F1716" s="640">
        <f t="shared" si="52"/>
        <v>114070</v>
      </c>
      <c r="G1716" s="639">
        <v>60355</v>
      </c>
      <c r="H1716" s="639">
        <v>11272</v>
      </c>
      <c r="I1716" s="639"/>
      <c r="J1716" s="639">
        <v>7090</v>
      </c>
      <c r="K1716" s="640">
        <f t="shared" si="53"/>
        <v>78717</v>
      </c>
      <c r="L1716" s="639">
        <v>22722</v>
      </c>
      <c r="M1716" s="639"/>
      <c r="N1716" s="639">
        <v>113708</v>
      </c>
      <c r="O1716" s="1503">
        <f>1-N1717</f>
        <v>0.65461078862877675</v>
      </c>
    </row>
    <row r="1717" spans="1:15" ht="12" customHeight="1">
      <c r="A1717" s="1517"/>
      <c r="B1717" s="1502"/>
      <c r="C1717" s="635" t="s">
        <v>6219</v>
      </c>
      <c r="D1717" s="636">
        <f>D1716/(D1716+E1716+G1716+H1716+I1716+J1716+L1716+M1716+N1716)</f>
        <v>0.23584140551672605</v>
      </c>
      <c r="E1717" s="636">
        <f>E1716/(D1716+E1716+G1716+H1716+I1716+J1716+L1716+M1716+N1716)</f>
        <v>0.11064738455183055</v>
      </c>
      <c r="F1717" s="637">
        <f t="shared" si="52"/>
        <v>0.3464887900685566</v>
      </c>
      <c r="G1717" s="636">
        <f>G1716/(D1716+E1716+G1716+H1716+I1716+J1716+L1716+M1716+N1716)</f>
        <v>0.18332892894352357</v>
      </c>
      <c r="H1717" s="636">
        <f>H1716/(D1716+E1716+G1716+H1716+I1716+J1716+L1716+M1716+N1716)</f>
        <v>3.4238815128015868E-2</v>
      </c>
      <c r="I1717" s="636">
        <f>I1716/(D1716+E1716+G1716+H1716+I1716+J1716+L1716+M1716+N1716)</f>
        <v>0</v>
      </c>
      <c r="J1717" s="636">
        <f>J1716/(D1716+E1716+G1716+H1716+I1716+J1716+L1716+M1716+N1716)</f>
        <v>2.1535947414623183E-2</v>
      </c>
      <c r="K1717" s="637">
        <f t="shared" si="53"/>
        <v>0.23910369148616262</v>
      </c>
      <c r="L1717" s="636">
        <f>L1716/(D1716+E1716+G1716+H1716+I1716+J1716+L1716+M1716+N1716)</f>
        <v>6.9018307074057539E-2</v>
      </c>
      <c r="M1717" s="636">
        <f>M1716/(D1716+E1716+G1716+H1716+I1716+J1716+L1716+M1716+N1716)</f>
        <v>0</v>
      </c>
      <c r="N1717" s="636">
        <f>N1716/(D1716+E1716+G1716+H1716+I1716+J1716+L1716+M1716+N1716)</f>
        <v>0.34538921137122325</v>
      </c>
      <c r="O1717" s="1503"/>
    </row>
    <row r="1718" spans="1:15" ht="12" customHeight="1">
      <c r="A1718" s="1517"/>
      <c r="B1718" s="1502" t="s">
        <v>14939</v>
      </c>
      <c r="C1718" s="638" t="s">
        <v>6218</v>
      </c>
      <c r="D1718" s="639">
        <v>37712</v>
      </c>
      <c r="E1718" s="639">
        <v>35797</v>
      </c>
      <c r="F1718" s="640">
        <f t="shared" si="52"/>
        <v>73509</v>
      </c>
      <c r="G1718" s="639">
        <v>58605</v>
      </c>
      <c r="H1718" s="639">
        <v>5578</v>
      </c>
      <c r="I1718" s="639"/>
      <c r="J1718" s="639"/>
      <c r="K1718" s="640">
        <f t="shared" si="53"/>
        <v>64183</v>
      </c>
      <c r="L1718" s="639">
        <v>20865</v>
      </c>
      <c r="M1718" s="639">
        <v>5871</v>
      </c>
      <c r="N1718" s="639">
        <v>163807</v>
      </c>
      <c r="O1718" s="1503">
        <f>1-N1719</f>
        <v>0.50094596858957763</v>
      </c>
    </row>
    <row r="1719" spans="1:15" ht="12" customHeight="1">
      <c r="A1719" s="1517"/>
      <c r="B1719" s="1502"/>
      <c r="C1719" s="635" t="s">
        <v>6219</v>
      </c>
      <c r="D1719" s="636">
        <f>D1718/(D1718+E1718+G1718+H1718+I1718+J1718+L1718+M1718+N1718)</f>
        <v>0.11489329291513702</v>
      </c>
      <c r="E1719" s="636">
        <f>E1718/(D1718+E1718+G1718+H1718+I1718+J1718+L1718+M1718+N1718)</f>
        <v>0.10905905829664722</v>
      </c>
      <c r="F1719" s="637">
        <f t="shared" si="52"/>
        <v>0.22395235121178425</v>
      </c>
      <c r="G1719" s="636">
        <f>G1718/(D1718+E1718+G1718+H1718+I1718+J1718+L1718+M1718+N1718)</f>
        <v>0.17854585891205996</v>
      </c>
      <c r="H1719" s="636">
        <f>H1718/(D1718+E1718+G1718+H1718+I1718+J1718+L1718+M1718+N1718)</f>
        <v>1.699392203756455E-2</v>
      </c>
      <c r="I1719" s="636">
        <f>I1718/(D1718+E1718+G1718+H1718+I1718+J1718+L1718+M1718+N1718)</f>
        <v>0</v>
      </c>
      <c r="J1719" s="636">
        <f>J1718/(D1718+E1718+G1718+H1718+I1718+J1718+L1718+M1718+N1718)</f>
        <v>0</v>
      </c>
      <c r="K1719" s="637">
        <f t="shared" si="53"/>
        <v>0.19553978094962451</v>
      </c>
      <c r="L1719" s="636">
        <f>L1718/(D1718+E1718+G1718+H1718+I1718+J1718+L1718+M1718+N1718)</f>
        <v>6.3567261260986788E-2</v>
      </c>
      <c r="M1719" s="636">
        <f>M1718/(D1718+E1718+G1718+H1718+I1718+J1718+L1718+M1718+N1718)</f>
        <v>1.7886575167182048E-2</v>
      </c>
      <c r="N1719" s="636">
        <f>N1718/(D1718+E1718+G1718+H1718+I1718+J1718+L1718+M1718+N1718)</f>
        <v>0.49905403141042243</v>
      </c>
      <c r="O1719" s="1503"/>
    </row>
    <row r="1720" spans="1:15" ht="12" customHeight="1">
      <c r="A1720" s="1517"/>
      <c r="B1720" s="1502" t="s">
        <v>14940</v>
      </c>
      <c r="C1720" s="638" t="s">
        <v>6218</v>
      </c>
      <c r="D1720" s="639">
        <v>45931</v>
      </c>
      <c r="E1720" s="639">
        <v>34566</v>
      </c>
      <c r="F1720" s="640">
        <f t="shared" si="52"/>
        <v>80497</v>
      </c>
      <c r="G1720" s="639">
        <v>67495</v>
      </c>
      <c r="H1720" s="639">
        <v>5368</v>
      </c>
      <c r="I1720" s="639"/>
      <c r="J1720" s="639"/>
      <c r="K1720" s="640">
        <f t="shared" si="53"/>
        <v>72863</v>
      </c>
      <c r="L1720" s="639">
        <v>20737</v>
      </c>
      <c r="M1720" s="639"/>
      <c r="N1720" s="639">
        <v>153414</v>
      </c>
      <c r="O1720" s="1503">
        <f>1-N1721</f>
        <v>0.53157603866740355</v>
      </c>
    </row>
    <row r="1721" spans="1:15" ht="12" customHeight="1" thickBot="1">
      <c r="A1721" s="1519"/>
      <c r="B1721" s="1514"/>
      <c r="C1721" s="641" t="s">
        <v>6219</v>
      </c>
      <c r="D1721" s="642">
        <f>D1720/(D1720+E1720+G1720+H1720+I1720+J1720+L1720+M1720+N1720)</f>
        <v>0.1402426178052035</v>
      </c>
      <c r="E1721" s="642">
        <f>E1720/(D1720+E1720+G1720+H1720+I1720+J1720+L1720+M1720+N1720)</f>
        <v>0.10554149326282171</v>
      </c>
      <c r="F1721" s="643">
        <f t="shared" si="52"/>
        <v>0.24578411106802522</v>
      </c>
      <c r="G1721" s="642">
        <f>G1720/(D1720+E1720+G1720+H1720+I1720+J1720+L1720+M1720+N1720)</f>
        <v>0.20608468112521411</v>
      </c>
      <c r="H1721" s="642">
        <f>H1720/(D1720+E1720+G1720+H1720+I1720+J1720+L1720+M1720+N1720)</f>
        <v>1.6390289181126741E-2</v>
      </c>
      <c r="I1721" s="642">
        <f>I1720/(D1720+E1720+G1720+H1720+I1720+J1720+L1720+M1720+N1720)</f>
        <v>0</v>
      </c>
      <c r="J1721" s="642">
        <f>J1720/(D1720+E1720+G1720+H1720+I1720+J1720+L1720+M1720+N1720)</f>
        <v>0</v>
      </c>
      <c r="K1721" s="643">
        <f t="shared" si="53"/>
        <v>0.22247497030634084</v>
      </c>
      <c r="L1721" s="642">
        <f>L1720/(D1720+E1720+G1720+H1720+I1720+J1720+L1720+M1720+N1720)</f>
        <v>6.331695729303749E-2</v>
      </c>
      <c r="M1721" s="642">
        <f>M1720/(D1720+E1720+G1720+H1720+I1720+J1720+L1720+M1720+N1720)</f>
        <v>0</v>
      </c>
      <c r="N1721" s="642">
        <f>N1720/(D1720+E1720+G1720+H1720+I1720+J1720+L1720+M1720+N1720)</f>
        <v>0.46842396133259645</v>
      </c>
      <c r="O1721" s="1515"/>
    </row>
    <row r="1722" spans="1:15" ht="12" customHeight="1">
      <c r="A1722" s="1516" t="s">
        <v>15153</v>
      </c>
      <c r="B1722" s="1509" t="s">
        <v>14937</v>
      </c>
      <c r="C1722" s="647" t="s">
        <v>6218</v>
      </c>
      <c r="D1722" s="648">
        <v>57755</v>
      </c>
      <c r="E1722" s="648">
        <v>43253</v>
      </c>
      <c r="F1722" s="649">
        <f t="shared" si="52"/>
        <v>101008</v>
      </c>
      <c r="G1722" s="648">
        <v>74149</v>
      </c>
      <c r="H1722" s="648">
        <v>7813</v>
      </c>
      <c r="I1722" s="648">
        <v>4622</v>
      </c>
      <c r="J1722" s="648">
        <v>6519</v>
      </c>
      <c r="K1722" s="649">
        <f t="shared" si="53"/>
        <v>93103</v>
      </c>
      <c r="L1722" s="648">
        <v>26103</v>
      </c>
      <c r="M1722" s="648">
        <v>4658</v>
      </c>
      <c r="N1722" s="648">
        <v>198448</v>
      </c>
      <c r="O1722" s="1510">
        <f>1-N1723</f>
        <v>0.53121043182462446</v>
      </c>
    </row>
    <row r="1723" spans="1:15" ht="12" customHeight="1">
      <c r="A1723" s="1517"/>
      <c r="B1723" s="1502"/>
      <c r="C1723" s="635" t="s">
        <v>6219</v>
      </c>
      <c r="D1723" s="636">
        <f>D1722/(D1722+E1722+G1722+H1722+I1722+J1722+L1722+M1722+N1722)</f>
        <v>0.13643343097420391</v>
      </c>
      <c r="E1723" s="636">
        <f>E1722/(D1722+E1722+G1722+H1722+I1722+J1722+L1722+M1722+N1722)</f>
        <v>0.1021756590758764</v>
      </c>
      <c r="F1723" s="637">
        <f t="shared" si="52"/>
        <v>0.2386090900500803</v>
      </c>
      <c r="G1723" s="636">
        <f>G1722/(D1722+E1722+G1722+H1722+I1722+J1722+L1722+M1722+N1722)</f>
        <v>0.17516063498062931</v>
      </c>
      <c r="H1723" s="636">
        <f>H1722/(D1722+E1722+G1722+H1722+I1722+J1722+L1722+M1722+N1722)</f>
        <v>1.845648681848247E-2</v>
      </c>
      <c r="I1723" s="636">
        <f>I1722/(D1722+E1722+G1722+H1722+I1722+J1722+L1722+M1722+N1722)</f>
        <v>1.0918454124539356E-2</v>
      </c>
      <c r="J1723" s="636">
        <f>J1722/(D1722+E1722+G1722+H1722+I1722+J1722+L1722+M1722+N1722)</f>
        <v>1.5399697628271756E-2</v>
      </c>
      <c r="K1723" s="637">
        <f t="shared" si="53"/>
        <v>0.21993527355192288</v>
      </c>
      <c r="L1723" s="636">
        <f>L1722/(D1722+E1722+G1722+H1722+I1722+J1722+L1722+M1722+N1722)</f>
        <v>6.1662572049513371E-2</v>
      </c>
      <c r="M1723" s="636">
        <f>M1722/(D1722+E1722+G1722+H1722+I1722+J1722+L1722+M1722+N1722)</f>
        <v>1.1003496173107814E-2</v>
      </c>
      <c r="N1723" s="636">
        <f>N1722/(D1722+E1722+G1722+H1722+I1722+J1722+L1722+M1722+N1722)</f>
        <v>0.46878956817537559</v>
      </c>
      <c r="O1723" s="1503"/>
    </row>
    <row r="1724" spans="1:15" ht="12" customHeight="1">
      <c r="A1724" s="1517"/>
      <c r="B1724" s="1502" t="s">
        <v>14938</v>
      </c>
      <c r="C1724" s="638" t="s">
        <v>6218</v>
      </c>
      <c r="D1724" s="639">
        <v>98422</v>
      </c>
      <c r="E1724" s="639">
        <v>46374</v>
      </c>
      <c r="F1724" s="640">
        <f t="shared" si="52"/>
        <v>144796</v>
      </c>
      <c r="G1724" s="639">
        <v>71852</v>
      </c>
      <c r="H1724" s="639">
        <v>11967</v>
      </c>
      <c r="I1724" s="639"/>
      <c r="J1724" s="639">
        <v>9029</v>
      </c>
      <c r="K1724" s="640">
        <f t="shared" si="53"/>
        <v>92848</v>
      </c>
      <c r="L1724" s="639">
        <v>26425</v>
      </c>
      <c r="M1724" s="639"/>
      <c r="N1724" s="639">
        <v>157020</v>
      </c>
      <c r="O1724" s="1503">
        <f>1-N1725</f>
        <v>0.62710970839893698</v>
      </c>
    </row>
    <row r="1725" spans="1:15" ht="12" customHeight="1">
      <c r="A1725" s="1517"/>
      <c r="B1725" s="1502"/>
      <c r="C1725" s="635" t="s">
        <v>6219</v>
      </c>
      <c r="D1725" s="636">
        <f>D1724/(D1724+E1724+G1724+H1724+I1724+J1724+L1724+M1724+N1724)</f>
        <v>0.23373206139319716</v>
      </c>
      <c r="E1725" s="636">
        <f>E1724/(D1724+E1724+G1724+H1724+I1724+J1724+L1724+M1724+N1724)</f>
        <v>0.11012873763028719</v>
      </c>
      <c r="F1725" s="637">
        <f t="shared" si="52"/>
        <v>0.34386079902348432</v>
      </c>
      <c r="G1725" s="636">
        <f>G1724/(D1724+E1724+G1724+H1724+I1724+J1724+L1724+M1724+N1724)</f>
        <v>0.17063376150884968</v>
      </c>
      <c r="H1725" s="636">
        <f>H1724/(D1724+E1724+G1724+H1724+I1724+J1724+L1724+M1724+N1724)</f>
        <v>2.8419170294165842E-2</v>
      </c>
      <c r="I1725" s="636">
        <f>I1724/(D1724+E1724+G1724+H1724+I1724+J1724+L1724+M1724+N1724)</f>
        <v>0</v>
      </c>
      <c r="J1725" s="636">
        <f>J1724/(D1724+E1724+G1724+H1724+I1724+J1724+L1724+M1724+N1724)</f>
        <v>2.1442022945268101E-2</v>
      </c>
      <c r="K1725" s="637">
        <f t="shared" si="53"/>
        <v>0.22049495474828362</v>
      </c>
      <c r="L1725" s="636">
        <f>L1724/(D1724+E1724+G1724+H1724+I1724+J1724+L1724+M1724+N1724)</f>
        <v>6.2753954627169081E-2</v>
      </c>
      <c r="M1725" s="636">
        <f>M1724/(D1724+E1724+G1724+H1724+I1724+J1724+L1724+M1724+N1724)</f>
        <v>0</v>
      </c>
      <c r="N1725" s="636">
        <f>N1724/(D1724+E1724+G1724+H1724+I1724+J1724+L1724+M1724+N1724)</f>
        <v>0.37289029160106296</v>
      </c>
      <c r="O1725" s="1503"/>
    </row>
    <row r="1726" spans="1:15" ht="12" customHeight="1">
      <c r="A1726" s="1517"/>
      <c r="B1726" s="1502" t="s">
        <v>14939</v>
      </c>
      <c r="C1726" s="638" t="s">
        <v>6218</v>
      </c>
      <c r="D1726" s="639">
        <v>56226</v>
      </c>
      <c r="E1726" s="639">
        <v>43918</v>
      </c>
      <c r="F1726" s="640">
        <f t="shared" si="52"/>
        <v>100144</v>
      </c>
      <c r="G1726" s="639">
        <v>70613</v>
      </c>
      <c r="H1726" s="639">
        <v>6520</v>
      </c>
      <c r="I1726" s="639"/>
      <c r="J1726" s="639"/>
      <c r="K1726" s="640">
        <f t="shared" si="53"/>
        <v>77133</v>
      </c>
      <c r="L1726" s="639">
        <v>25613</v>
      </c>
      <c r="M1726" s="639">
        <v>7554</v>
      </c>
      <c r="N1726" s="639">
        <v>208279</v>
      </c>
      <c r="O1726" s="1503">
        <f>1-N1727</f>
        <v>0.50258524131705207</v>
      </c>
    </row>
    <row r="1727" spans="1:15" ht="12" customHeight="1">
      <c r="A1727" s="1517"/>
      <c r="B1727" s="1502"/>
      <c r="C1727" s="635" t="s">
        <v>6219</v>
      </c>
      <c r="D1727" s="636">
        <f>D1726/(D1726+E1726+G1726+H1726+I1726+J1726+L1726+M1726+N1726)</f>
        <v>0.13427970281068868</v>
      </c>
      <c r="E1727" s="636">
        <f>E1726/(D1726+E1726+G1726+H1726+I1726+J1726+L1726+M1726+N1726)</f>
        <v>0.10488556874114868</v>
      </c>
      <c r="F1727" s="637">
        <f t="shared" si="52"/>
        <v>0.23916527155183737</v>
      </c>
      <c r="G1727" s="636">
        <f>G1726/(D1726+E1726+G1726+H1726+I1726+J1726+L1726+M1726+N1726)</f>
        <v>0.1686389331371814</v>
      </c>
      <c r="H1727" s="636">
        <f>H1726/(D1726+E1726+G1726+H1726+I1726+J1726+L1726+M1726+N1726)</f>
        <v>1.5571153244507705E-2</v>
      </c>
      <c r="I1727" s="636">
        <f>I1726/(D1726+E1726+G1726+H1726+I1726+J1726+L1726+M1726+N1726)</f>
        <v>0</v>
      </c>
      <c r="J1727" s="636">
        <f>J1726/(D1726+E1726+G1726+H1726+I1726+J1726+L1726+M1726+N1726)</f>
        <v>0</v>
      </c>
      <c r="K1727" s="637">
        <f t="shared" si="53"/>
        <v>0.18421008638168909</v>
      </c>
      <c r="L1727" s="636">
        <f>L1726/(D1726+E1726+G1726+H1726+I1726+J1726+L1726+M1726+N1726)</f>
        <v>6.1169317185824516E-2</v>
      </c>
      <c r="M1727" s="636">
        <f>M1726/(D1726+E1726+G1726+H1726+I1726+J1726+L1726+M1726+N1726)</f>
        <v>1.8040566197701106E-2</v>
      </c>
      <c r="N1727" s="636">
        <f>N1726/(D1726+E1726+G1726+H1726+I1726+J1726+L1726+M1726+N1726)</f>
        <v>0.49741475868294793</v>
      </c>
      <c r="O1727" s="1503"/>
    </row>
    <row r="1728" spans="1:15" ht="12" customHeight="1">
      <c r="A1728" s="1517"/>
      <c r="B1728" s="1502" t="s">
        <v>14940</v>
      </c>
      <c r="C1728" s="638" t="s">
        <v>6218</v>
      </c>
      <c r="D1728" s="639">
        <v>70700</v>
      </c>
      <c r="E1728" s="639">
        <v>44525</v>
      </c>
      <c r="F1728" s="640">
        <f t="shared" si="52"/>
        <v>115225</v>
      </c>
      <c r="G1728" s="639">
        <v>80442</v>
      </c>
      <c r="H1728" s="639">
        <v>6096</v>
      </c>
      <c r="I1728" s="639"/>
      <c r="J1728" s="639"/>
      <c r="K1728" s="640">
        <f t="shared" si="53"/>
        <v>86538</v>
      </c>
      <c r="L1728" s="639">
        <v>25089</v>
      </c>
      <c r="M1728" s="639"/>
      <c r="N1728" s="639">
        <v>190849</v>
      </c>
      <c r="O1728" s="1503">
        <f>1-N1729</f>
        <v>0.54309661695806333</v>
      </c>
    </row>
    <row r="1729" spans="1:15" ht="12" customHeight="1" thickBot="1">
      <c r="A1729" s="1519"/>
      <c r="B1729" s="1514"/>
      <c r="C1729" s="641" t="s">
        <v>6219</v>
      </c>
      <c r="D1729" s="642">
        <f>D1728/(D1728+E1728+G1728+H1728+I1728+J1728+L1728+M1728+N1728)</f>
        <v>0.16925982939949868</v>
      </c>
      <c r="E1729" s="642">
        <f>E1728/(D1728+E1728+G1728+H1728+I1728+J1728+L1728+M1728+N1728)</f>
        <v>0.10659538760979743</v>
      </c>
      <c r="F1729" s="643">
        <f t="shared" si="52"/>
        <v>0.27585521700929611</v>
      </c>
      <c r="G1729" s="642">
        <f>G1728/(D1728+E1728+G1728+H1728+I1728+J1728+L1728+M1728+N1728)</f>
        <v>0.19258273262453285</v>
      </c>
      <c r="H1729" s="642">
        <f>H1728/(D1728+E1728+G1728+H1728+I1728+J1728+L1728+M1728+N1728)</f>
        <v>1.4594171428845035E-2</v>
      </c>
      <c r="I1729" s="642">
        <f>I1728/(D1728+E1728+G1728+H1728+I1728+J1728+L1728+M1728+N1728)</f>
        <v>0</v>
      </c>
      <c r="J1729" s="642">
        <f>J1728/(D1728+E1728+G1728+H1728+I1728+J1728+L1728+M1728+N1728)</f>
        <v>0</v>
      </c>
      <c r="K1729" s="643">
        <f t="shared" si="53"/>
        <v>0.20717690405337788</v>
      </c>
      <c r="L1729" s="642">
        <f>L1728/(D1728+E1728+G1728+H1728+I1728+J1728+L1728+M1728+N1728)</f>
        <v>6.0064495895389286E-2</v>
      </c>
      <c r="M1729" s="642">
        <f>M1728/(D1728+E1728+G1728+H1728+I1728+J1728+L1728+M1728+N1728)</f>
        <v>0</v>
      </c>
      <c r="N1729" s="642">
        <f>N1728/(D1728+E1728+G1728+H1728+I1728+J1728+L1728+M1728+N1728)</f>
        <v>0.45690338304193667</v>
      </c>
      <c r="O1729" s="1515"/>
    </row>
    <row r="1730" spans="1:15" ht="12" customHeight="1">
      <c r="A1730" s="1526" t="s">
        <v>15154</v>
      </c>
      <c r="B1730" s="1509" t="s">
        <v>14937</v>
      </c>
      <c r="C1730" s="647" t="s">
        <v>6218</v>
      </c>
      <c r="D1730" s="648">
        <v>41532</v>
      </c>
      <c r="E1730" s="648">
        <v>30079</v>
      </c>
      <c r="F1730" s="649">
        <f t="shared" ref="F1730:F1793" si="54">SUM(D1730:E1730)</f>
        <v>71611</v>
      </c>
      <c r="G1730" s="648">
        <v>57572</v>
      </c>
      <c r="H1730" s="648">
        <v>5308</v>
      </c>
      <c r="I1730" s="648">
        <v>3376</v>
      </c>
      <c r="J1730" s="648">
        <v>4765</v>
      </c>
      <c r="K1730" s="649">
        <f t="shared" ref="K1730:K1793" si="55">SUM(G1730:J1730)</f>
        <v>71021</v>
      </c>
      <c r="L1730" s="648">
        <v>15010</v>
      </c>
      <c r="M1730" s="648">
        <v>3580</v>
      </c>
      <c r="N1730" s="648">
        <v>144996</v>
      </c>
      <c r="O1730" s="1510">
        <f>1-N1731</f>
        <v>0.52649419694466038</v>
      </c>
    </row>
    <row r="1731" spans="1:15" ht="12" customHeight="1">
      <c r="A1731" s="1527"/>
      <c r="B1731" s="1502"/>
      <c r="C1731" s="635" t="s">
        <v>6219</v>
      </c>
      <c r="D1731" s="636">
        <f>D1730/(D1730+E1730+G1730+H1730+I1730+J1730+L1730+M1730+N1730)</f>
        <v>0.1356288657100497</v>
      </c>
      <c r="E1731" s="636">
        <f>E1730/(D1730+E1730+G1730+H1730+I1730+J1730+L1730+M1730+N1730)</f>
        <v>9.8227406618814045E-2</v>
      </c>
      <c r="F1731" s="637">
        <f t="shared" si="54"/>
        <v>0.23385627232886375</v>
      </c>
      <c r="G1731" s="636">
        <f>G1730/(D1730+E1730+G1730+H1730+I1730+J1730+L1730+M1730+N1730)</f>
        <v>0.1880098491924054</v>
      </c>
      <c r="H1731" s="636">
        <f>H1730/(D1730+E1730+G1730+H1730+I1730+J1730+L1730+M1730+N1730)</f>
        <v>1.7334056129946641E-2</v>
      </c>
      <c r="I1731" s="636">
        <f>I1730/(D1730+E1730+G1730+H1730+I1730+J1730+L1730+M1730+N1730)</f>
        <v>1.1024825451149181E-2</v>
      </c>
      <c r="J1731" s="636">
        <f>J1730/(D1730+E1730+G1730+H1730+I1730+J1730+L1730+M1730+N1730)</f>
        <v>1.5560809619290832E-2</v>
      </c>
      <c r="K1731" s="637">
        <f t="shared" si="55"/>
        <v>0.23192954039279207</v>
      </c>
      <c r="L1731" s="636">
        <f>L1730/(D1730+E1730+G1730+H1730+I1730+J1730+L1730+M1730+N1730)</f>
        <v>4.9017366712603441E-2</v>
      </c>
      <c r="M1731" s="636">
        <f>M1730/(D1730+E1730+G1730+H1730+I1730+J1730+L1730+M1730+N1730)</f>
        <v>1.1691017510401087E-2</v>
      </c>
      <c r="N1731" s="636">
        <f>N1730/(D1730+E1730+G1730+H1730+I1730+J1730+L1730+M1730+N1730)</f>
        <v>0.47350580305533968</v>
      </c>
      <c r="O1731" s="1503"/>
    </row>
    <row r="1732" spans="1:15" ht="12" customHeight="1">
      <c r="A1732" s="1527"/>
      <c r="B1732" s="1502" t="s">
        <v>14938</v>
      </c>
      <c r="C1732" s="638" t="s">
        <v>6218</v>
      </c>
      <c r="D1732" s="639">
        <v>73123</v>
      </c>
      <c r="E1732" s="639">
        <v>32359</v>
      </c>
      <c r="F1732" s="640">
        <f t="shared" si="54"/>
        <v>105482</v>
      </c>
      <c r="G1732" s="639">
        <v>55743</v>
      </c>
      <c r="H1732" s="639">
        <v>8805</v>
      </c>
      <c r="I1732" s="639"/>
      <c r="J1732" s="639">
        <v>5977</v>
      </c>
      <c r="K1732" s="640">
        <f t="shared" si="55"/>
        <v>70525</v>
      </c>
      <c r="L1732" s="639">
        <v>14875</v>
      </c>
      <c r="M1732" s="639"/>
      <c r="N1732" s="639">
        <v>113568</v>
      </c>
      <c r="O1732" s="1503">
        <f>1-N1733</f>
        <v>0.62697323041550335</v>
      </c>
    </row>
    <row r="1733" spans="1:15" ht="12" customHeight="1">
      <c r="A1733" s="1527"/>
      <c r="B1733" s="1502"/>
      <c r="C1733" s="635" t="s">
        <v>6219</v>
      </c>
      <c r="D1733" s="636">
        <f>D1732/(D1732+E1732+G1732+H1732+I1732+J1732+L1732+M1732+N1732)</f>
        <v>0.24018065363770735</v>
      </c>
      <c r="E1733" s="636">
        <f>E1732/(D1732+E1732+G1732+H1732+I1732+J1732+L1732+M1732+N1732)</f>
        <v>0.10628674659221547</v>
      </c>
      <c r="F1733" s="637">
        <f t="shared" si="54"/>
        <v>0.34646740022992284</v>
      </c>
      <c r="G1733" s="636">
        <f>G1732/(D1732+E1732+G1732+H1732+I1732+J1732+L1732+M1732+N1732)</f>
        <v>0.18309410412218755</v>
      </c>
      <c r="H1733" s="636">
        <f>H1732/(D1732+E1732+G1732+H1732+I1732+J1732+L1732+M1732+N1732)</f>
        <v>2.8921005091147971E-2</v>
      </c>
      <c r="I1733" s="636">
        <f>I1732/(D1732+E1732+G1732+H1732+I1732+J1732+L1732+M1732+N1732)</f>
        <v>0</v>
      </c>
      <c r="J1733" s="636">
        <f>J1732/(D1732+E1732+G1732+H1732+I1732+J1732+L1732+M1732+N1732)</f>
        <v>1.9632123501395961E-2</v>
      </c>
      <c r="K1733" s="637">
        <f t="shared" si="55"/>
        <v>0.23164723271473148</v>
      </c>
      <c r="L1733" s="636">
        <f>L1732/(D1732+E1732+G1732+H1732+I1732+J1732+L1732+M1732+N1732)</f>
        <v>4.8858597470849072E-2</v>
      </c>
      <c r="M1733" s="636">
        <f>M1732/(D1732+E1732+G1732+H1732+I1732+J1732+L1732+M1732+N1732)</f>
        <v>0</v>
      </c>
      <c r="N1733" s="636">
        <f>N1732/(D1732+E1732+G1732+H1732+I1732+J1732+L1732+M1732+N1732)</f>
        <v>0.37302676958449665</v>
      </c>
      <c r="O1733" s="1503"/>
    </row>
    <row r="1734" spans="1:15" ht="12" customHeight="1">
      <c r="A1734" s="1527"/>
      <c r="B1734" s="1502" t="s">
        <v>14939</v>
      </c>
      <c r="C1734" s="638" t="s">
        <v>6218</v>
      </c>
      <c r="D1734" s="639">
        <v>38989</v>
      </c>
      <c r="E1734" s="639">
        <v>30637</v>
      </c>
      <c r="F1734" s="640">
        <f t="shared" si="54"/>
        <v>69626</v>
      </c>
      <c r="G1734" s="639">
        <v>52583</v>
      </c>
      <c r="H1734" s="639">
        <v>4847</v>
      </c>
      <c r="I1734" s="639"/>
      <c r="J1734" s="639"/>
      <c r="K1734" s="640">
        <f t="shared" si="55"/>
        <v>57430</v>
      </c>
      <c r="L1734" s="639">
        <v>14083</v>
      </c>
      <c r="M1734" s="639">
        <v>4829</v>
      </c>
      <c r="N1734" s="639">
        <v>156970</v>
      </c>
      <c r="O1734" s="1503">
        <f>1-N1735</f>
        <v>0.48184116882002259</v>
      </c>
    </row>
    <row r="1735" spans="1:15" ht="12" customHeight="1">
      <c r="A1735" s="1527"/>
      <c r="B1735" s="1502"/>
      <c r="C1735" s="635" t="s">
        <v>6219</v>
      </c>
      <c r="D1735" s="636">
        <f>D1734/(D1734+E1734+G1734+H1734+I1734+J1734+L1734+M1734+N1734)</f>
        <v>0.12870290290422462</v>
      </c>
      <c r="E1735" s="636">
        <f>E1734/(D1734+E1734+G1734+H1734+I1734+J1734+L1734+M1734+N1734)</f>
        <v>0.10113290508288825</v>
      </c>
      <c r="F1735" s="637">
        <f t="shared" si="54"/>
        <v>0.22983580798711287</v>
      </c>
      <c r="G1735" s="636">
        <f>G1734/(D1734+E1734+G1734+H1734+I1734+J1734+L1734+M1734+N1734)</f>
        <v>0.17357677148459422</v>
      </c>
      <c r="H1735" s="636">
        <f>H1734/(D1734+E1734+G1734+H1734+I1734+J1734+L1734+M1734+N1734)</f>
        <v>1.599997359195611E-2</v>
      </c>
      <c r="I1735" s="636">
        <f>I1734/(D1734+E1734+G1734+H1734+I1734+J1734+L1734+M1734+N1734)</f>
        <v>0</v>
      </c>
      <c r="J1735" s="636">
        <f>J1734/(D1734+E1734+G1734+H1734+I1734+J1734+L1734+M1734+N1734)</f>
        <v>0</v>
      </c>
      <c r="K1735" s="637">
        <f t="shared" si="55"/>
        <v>0.18957674507655031</v>
      </c>
      <c r="L1735" s="636">
        <f>L1734/(D1734+E1734+G1734+H1734+I1734+J1734+L1734+M1734+N1734)</f>
        <v>4.6488060263156154E-2</v>
      </c>
      <c r="M1735" s="636">
        <f>M1734/(D1734+E1734+G1734+H1734+I1734+J1734+L1734+M1734+N1734)</f>
        <v>1.594055549320323E-2</v>
      </c>
      <c r="N1735" s="636">
        <f>N1734/(D1734+E1734+G1734+H1734+I1734+J1734+L1734+M1734+N1734)</f>
        <v>0.51815883117997741</v>
      </c>
      <c r="O1735" s="1503"/>
    </row>
    <row r="1736" spans="1:15" ht="12" customHeight="1">
      <c r="A1736" s="1527"/>
      <c r="B1736" s="1502" t="s">
        <v>14940</v>
      </c>
      <c r="C1736" s="638" t="s">
        <v>6218</v>
      </c>
      <c r="D1736" s="639">
        <v>47837</v>
      </c>
      <c r="E1736" s="639">
        <v>31868</v>
      </c>
      <c r="F1736" s="640">
        <f t="shared" si="54"/>
        <v>79705</v>
      </c>
      <c r="G1736" s="639">
        <v>60561</v>
      </c>
      <c r="H1736" s="639">
        <v>4549</v>
      </c>
      <c r="I1736" s="639"/>
      <c r="J1736" s="639"/>
      <c r="K1736" s="640">
        <f t="shared" si="55"/>
        <v>65110</v>
      </c>
      <c r="L1736" s="639">
        <v>14158</v>
      </c>
      <c r="M1736" s="639"/>
      <c r="N1736" s="639">
        <v>143166</v>
      </c>
      <c r="O1736" s="1503">
        <f>1-N1737</f>
        <v>0.52615848996653858</v>
      </c>
    </row>
    <row r="1737" spans="1:15" ht="12" customHeight="1" thickBot="1">
      <c r="A1737" s="1528"/>
      <c r="B1737" s="1514"/>
      <c r="C1737" s="641" t="s">
        <v>6219</v>
      </c>
      <c r="D1737" s="642">
        <f>D1736/(D1736+E1736+G1736+H1736+I1736+J1736+L1736+M1736+N1736)</f>
        <v>0.15832778952733675</v>
      </c>
      <c r="E1737" s="642">
        <f>E1736/(D1736+E1736+G1736+H1736+I1736+J1736+L1736+M1736+N1736)</f>
        <v>0.10547463253668014</v>
      </c>
      <c r="F1737" s="643">
        <f t="shared" si="54"/>
        <v>0.26380242206401688</v>
      </c>
      <c r="G1737" s="642">
        <f>G1736/(D1736+E1736+G1736+H1736+I1736+J1736+L1736+M1736+N1736)</f>
        <v>0.20044085669178754</v>
      </c>
      <c r="H1737" s="642">
        <f>H1736/(D1736+E1736+G1736+H1736+I1736+J1736+L1736+M1736+N1736)</f>
        <v>1.5055984166228126E-2</v>
      </c>
      <c r="I1737" s="642">
        <f>I1736/(D1736+E1736+G1736+H1736+I1736+J1736+L1736+M1736+N1736)</f>
        <v>0</v>
      </c>
      <c r="J1737" s="642">
        <f>J1736/(D1736+E1736+G1736+H1736+I1736+J1736+L1736+M1736+N1736)</f>
        <v>0</v>
      </c>
      <c r="K1737" s="643">
        <f t="shared" si="55"/>
        <v>0.21549684085801568</v>
      </c>
      <c r="L1737" s="642">
        <f>L1736/(D1736+E1736+G1736+H1736+I1736+J1736+L1736+M1736+N1736)</f>
        <v>4.6859227044506006E-2</v>
      </c>
      <c r="M1737" s="642">
        <f>M1736/(D1736+E1736+G1736+H1736+I1736+J1736+L1736+M1736+N1736)</f>
        <v>0</v>
      </c>
      <c r="N1737" s="642">
        <f>N1736/(D1736+E1736+G1736+H1736+I1736+J1736+L1736+M1736+N1736)</f>
        <v>0.47384151003346142</v>
      </c>
      <c r="O1737" s="1515"/>
    </row>
    <row r="1738" spans="1:15" ht="12" customHeight="1">
      <c r="A1738" s="1516" t="s">
        <v>15155</v>
      </c>
      <c r="B1738" s="1509" t="s">
        <v>14937</v>
      </c>
      <c r="C1738" s="647" t="s">
        <v>6218</v>
      </c>
      <c r="D1738" s="648">
        <v>43278</v>
      </c>
      <c r="E1738" s="648">
        <v>25491</v>
      </c>
      <c r="F1738" s="649">
        <f t="shared" si="54"/>
        <v>68769</v>
      </c>
      <c r="G1738" s="648">
        <v>75926</v>
      </c>
      <c r="H1738" s="648">
        <v>6950</v>
      </c>
      <c r="I1738" s="648">
        <v>3085</v>
      </c>
      <c r="J1738" s="648">
        <v>9866</v>
      </c>
      <c r="K1738" s="649">
        <f t="shared" si="55"/>
        <v>95827</v>
      </c>
      <c r="L1738" s="648">
        <v>20259</v>
      </c>
      <c r="M1738" s="648">
        <v>7815</v>
      </c>
      <c r="N1738" s="648">
        <v>170577</v>
      </c>
      <c r="O1738" s="1510">
        <f>1-N1739</f>
        <v>0.53041043697539147</v>
      </c>
    </row>
    <row r="1739" spans="1:15" ht="12" customHeight="1">
      <c r="A1739" s="1517"/>
      <c r="B1739" s="1502"/>
      <c r="C1739" s="635" t="s">
        <v>6219</v>
      </c>
      <c r="D1739" s="636">
        <f>D1738/(D1738+E1738+G1738+H1738+I1738+J1738+L1738+M1738+N1738)</f>
        <v>0.11914207137292256</v>
      </c>
      <c r="E1739" s="636">
        <f>E1738/(D1738+E1738+G1738+H1738+I1738+J1738+L1738+M1738+N1738)</f>
        <v>7.0175390299162824E-2</v>
      </c>
      <c r="F1739" s="637">
        <f t="shared" si="54"/>
        <v>0.18931746167208538</v>
      </c>
      <c r="G1739" s="636">
        <f>G1738/(D1738+E1738+G1738+H1738+I1738+J1738+L1738+M1738+N1738)</f>
        <v>0.20902030849532136</v>
      </c>
      <c r="H1739" s="636">
        <f>H1738/(D1738+E1738+G1738+H1738+I1738+J1738+L1738+M1738+N1738)</f>
        <v>1.9132986645450618E-2</v>
      </c>
      <c r="I1739" s="636">
        <f>I1738/(D1738+E1738+G1738+H1738+I1738+J1738+L1738+M1738+N1738)</f>
        <v>8.4928437124050585E-3</v>
      </c>
      <c r="J1739" s="636">
        <f>J1738/(D1738+E1738+G1738+H1738+I1738+J1738+L1738+M1738+N1738)</f>
        <v>2.7160582193383565E-2</v>
      </c>
      <c r="K1739" s="637">
        <f t="shared" si="55"/>
        <v>0.26380672104656061</v>
      </c>
      <c r="L1739" s="636">
        <f>L1738/(D1738+E1738+G1738+H1738+I1738+J1738+L1738+M1738+N1738)</f>
        <v>5.5771967834558851E-2</v>
      </c>
      <c r="M1739" s="636">
        <f>M1738/(D1738+E1738+G1738+H1738+I1738+J1738+L1738+M1738+N1738)</f>
        <v>2.1514286422186557E-2</v>
      </c>
      <c r="N1739" s="636">
        <f>N1738/(D1738+E1738+G1738+H1738+I1738+J1738+L1738+M1738+N1738)</f>
        <v>0.46958956302460858</v>
      </c>
      <c r="O1739" s="1503"/>
    </row>
    <row r="1740" spans="1:15" ht="12" customHeight="1">
      <c r="A1740" s="1517"/>
      <c r="B1740" s="1502" t="s">
        <v>14938</v>
      </c>
      <c r="C1740" s="638" t="s">
        <v>6218</v>
      </c>
      <c r="D1740" s="639">
        <v>86743</v>
      </c>
      <c r="E1740" s="639">
        <v>24947</v>
      </c>
      <c r="F1740" s="640">
        <f t="shared" si="54"/>
        <v>111690</v>
      </c>
      <c r="G1740" s="639">
        <v>65185</v>
      </c>
      <c r="H1740" s="639">
        <v>16691</v>
      </c>
      <c r="I1740" s="639"/>
      <c r="J1740" s="639">
        <v>8945</v>
      </c>
      <c r="K1740" s="640">
        <f t="shared" si="55"/>
        <v>90821</v>
      </c>
      <c r="L1740" s="639">
        <v>21119</v>
      </c>
      <c r="M1740" s="639"/>
      <c r="N1740" s="639">
        <v>133073</v>
      </c>
      <c r="O1740" s="1503">
        <f>1-N1741</f>
        <v>0.62693613454330355</v>
      </c>
    </row>
    <row r="1741" spans="1:15" ht="12" customHeight="1">
      <c r="A1741" s="1517"/>
      <c r="B1741" s="1502"/>
      <c r="C1741" s="635" t="s">
        <v>6219</v>
      </c>
      <c r="D1741" s="636">
        <f>D1740/(D1740+E1740+G1740+H1740+I1740+J1740+L1740+M1740+N1740)</f>
        <v>0.24317990036528989</v>
      </c>
      <c r="E1741" s="636">
        <f>E1740/(D1740+E1740+G1740+H1740+I1740+J1740+L1740+M1740+N1740)</f>
        <v>6.9937735314813732E-2</v>
      </c>
      <c r="F1741" s="637">
        <f t="shared" si="54"/>
        <v>0.31311763568010365</v>
      </c>
      <c r="G1741" s="636">
        <f>G1740/(D1740+E1740+G1740+H1740+I1740+J1740+L1740+M1740+N1740)</f>
        <v>0.18274306636052962</v>
      </c>
      <c r="H1741" s="636">
        <f>H1740/(D1740+E1740+G1740+H1740+I1740+J1740+L1740+M1740+N1740)</f>
        <v>4.6792429556241466E-2</v>
      </c>
      <c r="I1741" s="636">
        <f>I1740/(D1740+E1740+G1740+H1740+I1740+J1740+L1740+M1740+N1740)</f>
        <v>0</v>
      </c>
      <c r="J1741" s="636">
        <f>J1740/(D1740+E1740+G1740+H1740+I1740+J1740+L1740+M1740+N1740)</f>
        <v>2.5076884691185665E-2</v>
      </c>
      <c r="K1741" s="637">
        <f t="shared" si="55"/>
        <v>0.25461238060795677</v>
      </c>
      <c r="L1741" s="636">
        <f>L1740/(D1740+E1740+G1740+H1740+I1740+J1740+L1740+M1740+N1740)</f>
        <v>5.9206118255243155E-2</v>
      </c>
      <c r="M1741" s="636">
        <f>M1740/(D1740+E1740+G1740+H1740+I1740+J1740+L1740+M1740+N1740)</f>
        <v>0</v>
      </c>
      <c r="N1741" s="636">
        <f>N1740/(D1740+E1740+G1740+H1740+I1740+J1740+L1740+M1740+N1740)</f>
        <v>0.37306386545669645</v>
      </c>
      <c r="O1741" s="1503"/>
    </row>
    <row r="1742" spans="1:15" ht="12" customHeight="1">
      <c r="A1742" s="1517"/>
      <c r="B1742" s="1502" t="s">
        <v>14939</v>
      </c>
      <c r="C1742" s="638" t="s">
        <v>6218</v>
      </c>
      <c r="D1742" s="639">
        <v>43443</v>
      </c>
      <c r="E1742" s="639">
        <v>27977</v>
      </c>
      <c r="F1742" s="640">
        <f t="shared" si="54"/>
        <v>71420</v>
      </c>
      <c r="G1742" s="639">
        <v>71010</v>
      </c>
      <c r="H1742" s="639">
        <v>9156</v>
      </c>
      <c r="I1742" s="639"/>
      <c r="J1742" s="639"/>
      <c r="K1742" s="640">
        <f t="shared" si="55"/>
        <v>80166</v>
      </c>
      <c r="L1742" s="639">
        <v>20322</v>
      </c>
      <c r="M1742" s="639">
        <v>8974</v>
      </c>
      <c r="N1742" s="639">
        <v>169946</v>
      </c>
      <c r="O1742" s="1503">
        <f>1-N1743</f>
        <v>0.51558598515511878</v>
      </c>
    </row>
    <row r="1743" spans="1:15" ht="12" customHeight="1">
      <c r="A1743" s="1517"/>
      <c r="B1743" s="1502"/>
      <c r="C1743" s="635" t="s">
        <v>6219</v>
      </c>
      <c r="D1743" s="636">
        <f>D1742/(D1742+E1742+G1742+H1742+I1742+J1742+L1742+M1742+N1742)</f>
        <v>0.12382991095351568</v>
      </c>
      <c r="E1743" s="636">
        <f>E1742/(D1742+E1742+G1742+H1742+I1742+J1742+L1742+M1742+N1742)</f>
        <v>7.9745630337373294E-2</v>
      </c>
      <c r="F1743" s="637">
        <f t="shared" si="54"/>
        <v>0.20357554129088898</v>
      </c>
      <c r="G1743" s="636">
        <f>G1742/(D1742+E1742+G1742+H1742+I1742+J1742+L1742+M1742+N1742)</f>
        <v>0.20240687744421768</v>
      </c>
      <c r="H1743" s="636">
        <f>H1742/(D1742+E1742+G1742+H1742+I1742+J1742+L1742+M1742+N1742)</f>
        <v>2.6098258975908423E-2</v>
      </c>
      <c r="I1743" s="636">
        <f>I1742/(D1742+E1742+G1742+H1742+I1742+J1742+L1742+M1742+N1742)</f>
        <v>0</v>
      </c>
      <c r="J1743" s="636">
        <f>J1742/(D1742+E1742+G1742+H1742+I1742+J1742+L1742+M1742+N1742)</f>
        <v>0</v>
      </c>
      <c r="K1743" s="637">
        <f t="shared" si="55"/>
        <v>0.2285051364201261</v>
      </c>
      <c r="L1743" s="636">
        <f>L1742/(D1742+E1742+G1742+H1742+I1742+J1742+L1742+M1742+N1742)</f>
        <v>5.792582120013226E-2</v>
      </c>
      <c r="M1743" s="636">
        <f>M1742/(D1742+E1742+G1742+H1742+I1742+J1742+L1742+M1742+N1742)</f>
        <v>2.5579486243971404E-2</v>
      </c>
      <c r="N1743" s="636">
        <f>N1742/(D1742+E1742+G1742+H1742+I1742+J1742+L1742+M1742+N1742)</f>
        <v>0.48441401484488128</v>
      </c>
      <c r="O1743" s="1503"/>
    </row>
    <row r="1744" spans="1:15" ht="12" customHeight="1">
      <c r="A1744" s="1517"/>
      <c r="B1744" s="1502" t="s">
        <v>14940</v>
      </c>
      <c r="C1744" s="638" t="s">
        <v>6218</v>
      </c>
      <c r="D1744" s="639">
        <v>54709</v>
      </c>
      <c r="E1744" s="639">
        <v>24186</v>
      </c>
      <c r="F1744" s="640">
        <f t="shared" si="54"/>
        <v>78895</v>
      </c>
      <c r="G1744" s="639">
        <v>75640</v>
      </c>
      <c r="H1744" s="639">
        <v>10384</v>
      </c>
      <c r="I1744" s="639"/>
      <c r="J1744" s="639"/>
      <c r="K1744" s="640">
        <f t="shared" si="55"/>
        <v>86024</v>
      </c>
      <c r="L1744" s="639">
        <v>20441</v>
      </c>
      <c r="M1744" s="639"/>
      <c r="N1744" s="639">
        <v>163139</v>
      </c>
      <c r="O1744" s="1503">
        <f>1-N1745</f>
        <v>0.53188100970160601</v>
      </c>
    </row>
    <row r="1745" spans="1:15" ht="12" customHeight="1" thickBot="1">
      <c r="A1745" s="1519"/>
      <c r="B1745" s="1514"/>
      <c r="C1745" s="641" t="s">
        <v>6219</v>
      </c>
      <c r="D1745" s="642">
        <f>D1744/(D1744+E1744+G1744+H1744+I1744+J1744+L1744+M1744+N1744)</f>
        <v>0.15698466853563425</v>
      </c>
      <c r="E1745" s="642">
        <f>E1744/(D1744+E1744+G1744+H1744+I1744+J1744+L1744+M1744+N1744)</f>
        <v>6.9400486084608567E-2</v>
      </c>
      <c r="F1745" s="643">
        <f t="shared" si="54"/>
        <v>0.22638515462024283</v>
      </c>
      <c r="G1745" s="642">
        <f>G1744/(D1744+E1744+G1744+H1744+I1744+J1744+L1744+M1744+N1744)</f>
        <v>0.21704509912510508</v>
      </c>
      <c r="H1745" s="642">
        <f>H1744/(D1744+E1744+G1744+H1744+I1744+J1744+L1744+M1744+N1744)</f>
        <v>2.9796355226270377E-2</v>
      </c>
      <c r="I1745" s="642">
        <f>I1744/(D1744+E1744+G1744+H1744+I1744+J1744+L1744+M1744+N1744)</f>
        <v>0</v>
      </c>
      <c r="J1745" s="642">
        <f>J1744/(D1744+E1744+G1744+H1744+I1744+J1744+L1744+M1744+N1744)</f>
        <v>0</v>
      </c>
      <c r="K1745" s="643">
        <f t="shared" si="55"/>
        <v>0.24684145435137547</v>
      </c>
      <c r="L1745" s="642">
        <f>L1744/(D1744+E1744+G1744+H1744+I1744+J1744+L1744+M1744+N1744)</f>
        <v>5.8654400729987746E-2</v>
      </c>
      <c r="M1745" s="642">
        <f>M1744/(D1744+E1744+G1744+H1744+I1744+J1744+L1744+M1744+N1744)</f>
        <v>0</v>
      </c>
      <c r="N1745" s="642">
        <f>N1744/(D1744+E1744+G1744+H1744+I1744+J1744+L1744+M1744+N1744)</f>
        <v>0.46811899029839399</v>
      </c>
      <c r="O1745" s="1515"/>
    </row>
    <row r="1746" spans="1:15" ht="12" customHeight="1">
      <c r="A1746" s="1532" t="s">
        <v>15156</v>
      </c>
      <c r="B1746" s="1509" t="s">
        <v>14937</v>
      </c>
      <c r="C1746" s="647" t="s">
        <v>6218</v>
      </c>
      <c r="D1746" s="648">
        <v>38070</v>
      </c>
      <c r="E1746" s="648">
        <v>38615</v>
      </c>
      <c r="F1746" s="649">
        <f t="shared" si="54"/>
        <v>76685</v>
      </c>
      <c r="G1746" s="648">
        <v>70222</v>
      </c>
      <c r="H1746" s="648">
        <v>5624</v>
      </c>
      <c r="I1746" s="648">
        <v>2788</v>
      </c>
      <c r="J1746" s="648">
        <v>7300</v>
      </c>
      <c r="K1746" s="649">
        <f t="shared" si="55"/>
        <v>85934</v>
      </c>
      <c r="L1746" s="648">
        <v>21329</v>
      </c>
      <c r="M1746" s="648">
        <v>5961</v>
      </c>
      <c r="N1746" s="648">
        <v>168038</v>
      </c>
      <c r="O1746" s="1510">
        <f>1-N1747</f>
        <v>0.53055061224147715</v>
      </c>
    </row>
    <row r="1747" spans="1:15" ht="12" customHeight="1">
      <c r="A1747" s="1533"/>
      <c r="B1747" s="1502"/>
      <c r="C1747" s="635" t="s">
        <v>6219</v>
      </c>
      <c r="D1747" s="636">
        <f>D1746/(D1746+E1746+G1746+H1746+I1746+J1746+L1746+M1746+N1746)</f>
        <v>0.10635652764236046</v>
      </c>
      <c r="E1747" s="636">
        <f>E1746/(D1746+E1746+G1746+H1746+I1746+J1746+L1746+M1746+N1746)</f>
        <v>0.10787909941974649</v>
      </c>
      <c r="F1747" s="637">
        <f t="shared" si="54"/>
        <v>0.21423562706210697</v>
      </c>
      <c r="G1747" s="636">
        <f>G1746/(D1746+E1746+G1746+H1746+I1746+J1746+L1746+M1746+N1746)</f>
        <v>0.19617988137908685</v>
      </c>
      <c r="H1747" s="636">
        <f>H1746/(D1746+E1746+G1746+H1746+I1746+J1746+L1746+M1746+N1746)</f>
        <v>1.5711823258750597E-2</v>
      </c>
      <c r="I1747" s="636">
        <f>I1746/(D1746+E1746+G1746+H1746+I1746+J1746+L1746+M1746+N1746)</f>
        <v>7.7888625969766475E-3</v>
      </c>
      <c r="J1747" s="636">
        <f>J1746/(D1746+E1746+G1746+H1746+I1746+J1746+L1746+M1746+N1746)</f>
        <v>2.0394080687923071E-2</v>
      </c>
      <c r="K1747" s="637">
        <f t="shared" si="55"/>
        <v>0.24007464792273714</v>
      </c>
      <c r="L1747" s="636">
        <f>L1746/(D1746+E1746+G1746+H1746+I1746+J1746+L1746+M1746+N1746)</f>
        <v>5.9587033834617976E-2</v>
      </c>
      <c r="M1747" s="636">
        <f>M1746/(D1746+E1746+G1746+H1746+I1746+J1746+L1746+M1746+N1746)</f>
        <v>1.665330342201499E-2</v>
      </c>
      <c r="N1747" s="636">
        <f>N1746/(D1746+E1746+G1746+H1746+I1746+J1746+L1746+M1746+N1746)</f>
        <v>0.46944938775852291</v>
      </c>
      <c r="O1747" s="1503"/>
    </row>
    <row r="1748" spans="1:15" ht="12" customHeight="1">
      <c r="A1748" s="1533"/>
      <c r="B1748" s="1502" t="s">
        <v>14938</v>
      </c>
      <c r="C1748" s="638" t="s">
        <v>6218</v>
      </c>
      <c r="D1748" s="639">
        <v>75273</v>
      </c>
      <c r="E1748" s="639">
        <v>39973</v>
      </c>
      <c r="F1748" s="640">
        <f t="shared" si="54"/>
        <v>115246</v>
      </c>
      <c r="G1748" s="639">
        <v>62931</v>
      </c>
      <c r="H1748" s="639">
        <v>13283</v>
      </c>
      <c r="I1748" s="639"/>
      <c r="J1748" s="639">
        <v>8428</v>
      </c>
      <c r="K1748" s="640">
        <f t="shared" si="55"/>
        <v>84642</v>
      </c>
      <c r="L1748" s="639">
        <v>24042</v>
      </c>
      <c r="M1748" s="639"/>
      <c r="N1748" s="639">
        <v>132128</v>
      </c>
      <c r="O1748" s="1503">
        <f>1-N1749</f>
        <v>0.6289143903521337</v>
      </c>
    </row>
    <row r="1749" spans="1:15" ht="12" customHeight="1">
      <c r="A1749" s="1533"/>
      <c r="B1749" s="1502"/>
      <c r="C1749" s="635" t="s">
        <v>6219</v>
      </c>
      <c r="D1749" s="636">
        <f>D1748/(D1748+E1748+G1748+H1748+I1748+J1748+L1748+M1748+N1748)</f>
        <v>0.21140656859275736</v>
      </c>
      <c r="E1749" s="636">
        <f>E1748/(D1748+E1748+G1748+H1748+I1748+J1748+L1748+M1748+N1748)</f>
        <v>0.11226541743199142</v>
      </c>
      <c r="F1749" s="637">
        <f t="shared" si="54"/>
        <v>0.32367198602474878</v>
      </c>
      <c r="G1749" s="636">
        <f>G1748/(D1748+E1748+G1748+H1748+I1748+J1748+L1748+M1748+N1748)</f>
        <v>0.1767436765920159</v>
      </c>
      <c r="H1749" s="636">
        <f>H1748/(D1748+E1748+G1748+H1748+I1748+J1748+L1748+M1748+N1748)</f>
        <v>3.7305719854630423E-2</v>
      </c>
      <c r="I1749" s="636">
        <f>I1748/(D1748+E1748+G1748+H1748+I1748+J1748+L1748+M1748+N1748)</f>
        <v>0</v>
      </c>
      <c r="J1749" s="636">
        <f>J1748/(D1748+E1748+G1748+H1748+I1748+J1748+L1748+M1748+N1748)</f>
        <v>2.3670300906032164E-2</v>
      </c>
      <c r="K1749" s="637">
        <f t="shared" si="55"/>
        <v>0.23771969735267851</v>
      </c>
      <c r="L1749" s="636">
        <f>L1748/(D1748+E1748+G1748+H1748+I1748+J1748+L1748+M1748+N1748)</f>
        <v>6.7522706974706373E-2</v>
      </c>
      <c r="M1749" s="636">
        <f>M1748/(D1748+E1748+G1748+H1748+I1748+J1748+L1748+M1748+N1748)</f>
        <v>0</v>
      </c>
      <c r="N1749" s="636">
        <f>N1748/(D1748+E1748+G1748+H1748+I1748+J1748+L1748+M1748+N1748)</f>
        <v>0.37108560964786635</v>
      </c>
      <c r="O1749" s="1503"/>
    </row>
    <row r="1750" spans="1:15" ht="12" customHeight="1">
      <c r="A1750" s="1533"/>
      <c r="B1750" s="1502" t="s">
        <v>14939</v>
      </c>
      <c r="C1750" s="638" t="s">
        <v>6218</v>
      </c>
      <c r="D1750" s="639">
        <v>40174</v>
      </c>
      <c r="E1750" s="639">
        <v>42350</v>
      </c>
      <c r="F1750" s="640">
        <f t="shared" si="54"/>
        <v>82524</v>
      </c>
      <c r="G1750" s="639">
        <v>66913</v>
      </c>
      <c r="H1750" s="639">
        <v>8007</v>
      </c>
      <c r="I1750" s="639"/>
      <c r="J1750" s="639"/>
      <c r="K1750" s="640">
        <f t="shared" si="55"/>
        <v>74920</v>
      </c>
      <c r="L1750" s="639">
        <v>22192</v>
      </c>
      <c r="M1750" s="639">
        <v>7317</v>
      </c>
      <c r="N1750" s="639">
        <v>167925</v>
      </c>
      <c r="O1750" s="1503">
        <f>1-N1751</f>
        <v>0.52680921330710828</v>
      </c>
    </row>
    <row r="1751" spans="1:15" ht="12" customHeight="1">
      <c r="A1751" s="1533"/>
      <c r="B1751" s="1502"/>
      <c r="C1751" s="635" t="s">
        <v>6219</v>
      </c>
      <c r="D1751" s="636">
        <f>D1750/(D1750+E1750+G1750+H1750+I1750+J1750+L1750+M1750+N1750)</f>
        <v>0.11320510147149161</v>
      </c>
      <c r="E1751" s="636">
        <f>E1750/(D1750+E1750+G1750+H1750+I1750+J1750+L1750+M1750+N1750)</f>
        <v>0.11933678616313212</v>
      </c>
      <c r="F1751" s="637">
        <f t="shared" si="54"/>
        <v>0.23254188763462375</v>
      </c>
      <c r="G1751" s="636">
        <f>G1750/(D1750+E1750+G1750+H1750+I1750+J1750+L1750+M1750+N1750)</f>
        <v>0.18855212213774875</v>
      </c>
      <c r="H1751" s="636">
        <f>H1750/(D1750+E1750+G1750+H1750+I1750+J1750+L1750+M1750+N1750)</f>
        <v>2.2562683513770929E-2</v>
      </c>
      <c r="I1751" s="636">
        <f>I1750/(D1750+E1750+G1750+H1750+I1750+J1750+L1750+M1750+N1750)</f>
        <v>0</v>
      </c>
      <c r="J1751" s="636">
        <f>J1750/(D1750+E1750+G1750+H1750+I1750+J1750+L1750+M1750+N1750)</f>
        <v>0</v>
      </c>
      <c r="K1751" s="637">
        <f t="shared" si="55"/>
        <v>0.21111480565151969</v>
      </c>
      <c r="L1751" s="636">
        <f>L1750/(D1750+E1750+G1750+H1750+I1750+J1750+L1750+M1750+N1750)</f>
        <v>6.253416667136312E-2</v>
      </c>
      <c r="M1751" s="636">
        <f>M1750/(D1750+E1750+G1750+H1750+I1750+J1750+L1750+M1750+N1750)</f>
        <v>2.0618353349601836E-2</v>
      </c>
      <c r="N1751" s="636">
        <f>N1750/(D1750+E1750+G1750+H1750+I1750+J1750+L1750+M1750+N1750)</f>
        <v>0.47319078669289166</v>
      </c>
      <c r="O1751" s="1503"/>
    </row>
    <row r="1752" spans="1:15" ht="12" customHeight="1">
      <c r="A1752" s="1533"/>
      <c r="B1752" s="1502" t="s">
        <v>14940</v>
      </c>
      <c r="C1752" s="638" t="s">
        <v>6218</v>
      </c>
      <c r="D1752" s="639">
        <v>50209</v>
      </c>
      <c r="E1752" s="639">
        <v>40848</v>
      </c>
      <c r="F1752" s="640">
        <f t="shared" si="54"/>
        <v>91057</v>
      </c>
      <c r="G1752" s="639">
        <v>72618</v>
      </c>
      <c r="H1752" s="639">
        <v>8526</v>
      </c>
      <c r="I1752" s="639"/>
      <c r="J1752" s="639"/>
      <c r="K1752" s="640">
        <f t="shared" si="55"/>
        <v>81144</v>
      </c>
      <c r="L1752" s="639">
        <v>23143</v>
      </c>
      <c r="M1752" s="639"/>
      <c r="N1752" s="639">
        <v>158882</v>
      </c>
      <c r="O1752" s="1503">
        <f>1-N1753</f>
        <v>0.55146714244578321</v>
      </c>
    </row>
    <row r="1753" spans="1:15" ht="12" customHeight="1" thickBot="1">
      <c r="A1753" s="1534"/>
      <c r="B1753" s="1514"/>
      <c r="C1753" s="641" t="s">
        <v>6219</v>
      </c>
      <c r="D1753" s="642">
        <f>D1752/(D1752+E1752+G1752+H1752+I1752+J1752+L1752+M1752+N1752)</f>
        <v>0.14174284214032848</v>
      </c>
      <c r="E1753" s="642">
        <f>E1752/(D1752+E1752+G1752+H1752+I1752+J1752+L1752+M1752+N1752)</f>
        <v>0.11531621055484352</v>
      </c>
      <c r="F1753" s="643">
        <f t="shared" si="54"/>
        <v>0.25705905269517199</v>
      </c>
      <c r="G1753" s="642">
        <f>G1752/(D1752+E1752+G1752+H1752+I1752+J1752+L1752+M1752+N1752)</f>
        <v>0.20500471450429952</v>
      </c>
      <c r="H1753" s="642">
        <f>H1752/(D1752+E1752+G1752+H1752+I1752+J1752+L1752+M1752+N1752)</f>
        <v>2.4069379435727473E-2</v>
      </c>
      <c r="I1753" s="642">
        <f>I1752/(D1752+E1752+G1752+H1752+I1752+J1752+L1752+M1752+N1752)</f>
        <v>0</v>
      </c>
      <c r="J1753" s="642">
        <f>J1752/(D1752+E1752+G1752+H1752+I1752+J1752+L1752+M1752+N1752)</f>
        <v>0</v>
      </c>
      <c r="K1753" s="643">
        <f t="shared" si="55"/>
        <v>0.22907409394002701</v>
      </c>
      <c r="L1753" s="642">
        <f>L1752/(D1752+E1752+G1752+H1752+I1752+J1752+L1752+M1752+N1752)</f>
        <v>6.5333995810584203E-2</v>
      </c>
      <c r="M1753" s="642">
        <f>M1752/(D1752+E1752+G1752+H1752+I1752+J1752+L1752+M1752+N1752)</f>
        <v>0</v>
      </c>
      <c r="N1753" s="642">
        <f>N1752/(D1752+E1752+G1752+H1752+I1752+J1752+L1752+M1752+N1752)</f>
        <v>0.44853285755421679</v>
      </c>
      <c r="O1753" s="1515"/>
    </row>
    <row r="1754" spans="1:15" ht="12" customHeight="1">
      <c r="A1754" s="1516" t="s">
        <v>15157</v>
      </c>
      <c r="B1754" s="1509" t="s">
        <v>14937</v>
      </c>
      <c r="C1754" s="647" t="s">
        <v>6218</v>
      </c>
      <c r="D1754" s="648">
        <v>36164</v>
      </c>
      <c r="E1754" s="648">
        <v>27813</v>
      </c>
      <c r="F1754" s="649">
        <f t="shared" si="54"/>
        <v>63977</v>
      </c>
      <c r="G1754" s="648">
        <v>71477</v>
      </c>
      <c r="H1754" s="648">
        <v>6142</v>
      </c>
      <c r="I1754" s="648">
        <v>2539</v>
      </c>
      <c r="J1754" s="648">
        <v>7513</v>
      </c>
      <c r="K1754" s="649">
        <f t="shared" si="55"/>
        <v>87671</v>
      </c>
      <c r="L1754" s="648">
        <v>18206</v>
      </c>
      <c r="M1754" s="648">
        <v>5681</v>
      </c>
      <c r="N1754" s="648">
        <v>146204</v>
      </c>
      <c r="O1754" s="1510">
        <f>1-N1755</f>
        <v>0.54558197793863972</v>
      </c>
    </row>
    <row r="1755" spans="1:15" ht="12" customHeight="1">
      <c r="A1755" s="1517"/>
      <c r="B1755" s="1502"/>
      <c r="C1755" s="635" t="s">
        <v>6219</v>
      </c>
      <c r="D1755" s="636">
        <f>D1754/(D1754+E1754+G1754+H1754+I1754+J1754+L1754+M1754+N1754)</f>
        <v>0.11240166718986508</v>
      </c>
      <c r="E1755" s="636">
        <f>E1754/(D1754+E1754+G1754+H1754+I1754+J1754+L1754+M1754+N1754)</f>
        <v>8.6445845856423995E-2</v>
      </c>
      <c r="F1755" s="637">
        <f t="shared" si="54"/>
        <v>0.19884751304628906</v>
      </c>
      <c r="G1755" s="636">
        <f>G1754/(D1754+E1754+G1754+H1754+I1754+J1754+L1754+M1754+N1754)</f>
        <v>0.22215833330743243</v>
      </c>
      <c r="H1755" s="636">
        <f>H1754/(D1754+E1754+G1754+H1754+I1754+J1754+L1754+M1754+N1754)</f>
        <v>1.9090007739192328E-2</v>
      </c>
      <c r="I1755" s="636">
        <f>I1754/(D1754+E1754+G1754+H1754+I1754+J1754+L1754+M1754+N1754)</f>
        <v>7.8914896857390626E-3</v>
      </c>
      <c r="J1755" s="636">
        <f>J1754/(D1754+E1754+G1754+H1754+I1754+J1754+L1754+M1754+N1754)</f>
        <v>2.3351225682929331E-2</v>
      </c>
      <c r="K1755" s="637">
        <f t="shared" si="55"/>
        <v>0.27249105641529314</v>
      </c>
      <c r="L1755" s="636">
        <f>L1754/(D1754+E1754+G1754+H1754+I1754+J1754+L1754+M1754+N1754)</f>
        <v>5.6586239156583444E-2</v>
      </c>
      <c r="M1755" s="636">
        <f>M1754/(D1754+E1754+G1754+H1754+I1754+J1754+L1754+M1754+N1754)</f>
        <v>1.765716932047405E-2</v>
      </c>
      <c r="N1755" s="636">
        <f>N1754/(D1754+E1754+G1754+H1754+I1754+J1754+L1754+M1754+N1754)</f>
        <v>0.45441802206136028</v>
      </c>
      <c r="O1755" s="1503"/>
    </row>
    <row r="1756" spans="1:15" ht="12" customHeight="1">
      <c r="A1756" s="1517"/>
      <c r="B1756" s="1502" t="s">
        <v>14938</v>
      </c>
      <c r="C1756" s="638" t="s">
        <v>6218</v>
      </c>
      <c r="D1756" s="639">
        <v>71587</v>
      </c>
      <c r="E1756" s="639">
        <v>27455</v>
      </c>
      <c r="F1756" s="640">
        <f t="shared" si="54"/>
        <v>99042</v>
      </c>
      <c r="G1756" s="639">
        <v>63161</v>
      </c>
      <c r="H1756" s="639">
        <v>14737</v>
      </c>
      <c r="I1756" s="639"/>
      <c r="J1756" s="639">
        <v>8225</v>
      </c>
      <c r="K1756" s="640">
        <f t="shared" si="55"/>
        <v>86123</v>
      </c>
      <c r="L1756" s="639">
        <v>19975</v>
      </c>
      <c r="M1756" s="639"/>
      <c r="N1756" s="639">
        <v>118075</v>
      </c>
      <c r="O1756" s="1503">
        <f>1-N1757</f>
        <v>0.63468589019692767</v>
      </c>
    </row>
    <row r="1757" spans="1:15" ht="12" customHeight="1">
      <c r="A1757" s="1517"/>
      <c r="B1757" s="1502"/>
      <c r="C1757" s="635" t="s">
        <v>6219</v>
      </c>
      <c r="D1757" s="636">
        <f>D1756/(D1756+E1756+G1756+H1756+I1756+J1756+L1756+M1756+N1756)</f>
        <v>0.22148415141623998</v>
      </c>
      <c r="E1757" s="636">
        <f>E1756/(D1756+E1756+G1756+H1756+I1756+J1756+L1756+M1756+N1756)</f>
        <v>8.4943458688489085E-2</v>
      </c>
      <c r="F1757" s="637">
        <f t="shared" si="54"/>
        <v>0.30642761010472908</v>
      </c>
      <c r="G1757" s="636">
        <f>G1756/(D1756+E1756+G1756+H1756+I1756+J1756+L1756+M1756+N1756)</f>
        <v>0.1954148167628359</v>
      </c>
      <c r="H1757" s="636">
        <f>H1756/(D1756+E1756+G1756+H1756+I1756+J1756+L1756+M1756+N1756)</f>
        <v>4.5595037359033461E-2</v>
      </c>
      <c r="I1757" s="636">
        <f>I1756/(D1756+E1756+G1756+H1756+I1756+J1756+L1756+M1756+N1756)</f>
        <v>0</v>
      </c>
      <c r="J1757" s="636">
        <f>J1756/(D1756+E1756+G1756+H1756+I1756+J1756+L1756+M1756+N1756)</f>
        <v>2.5447457574679394E-2</v>
      </c>
      <c r="K1757" s="637">
        <f t="shared" si="55"/>
        <v>0.26645731169654874</v>
      </c>
      <c r="L1757" s="636">
        <f>L1756/(D1756+E1756+G1756+H1756+I1756+J1756+L1756+M1756+N1756)</f>
        <v>6.1800968395649955E-2</v>
      </c>
      <c r="M1757" s="636">
        <f>M1756/(D1756+E1756+G1756+H1756+I1756+J1756+L1756+M1756+N1756)</f>
        <v>0</v>
      </c>
      <c r="N1757" s="636">
        <f>N1756/(D1756+E1756+G1756+H1756+I1756+J1756+L1756+M1756+N1756)</f>
        <v>0.36531410980307227</v>
      </c>
      <c r="O1757" s="1503"/>
    </row>
    <row r="1758" spans="1:15" ht="12" customHeight="1">
      <c r="A1758" s="1517"/>
      <c r="B1758" s="1502" t="s">
        <v>14939</v>
      </c>
      <c r="C1758" s="638" t="s">
        <v>6218</v>
      </c>
      <c r="D1758" s="639">
        <v>38433</v>
      </c>
      <c r="E1758" s="639">
        <v>31381</v>
      </c>
      <c r="F1758" s="640">
        <f t="shared" si="54"/>
        <v>69814</v>
      </c>
      <c r="G1758" s="639">
        <v>69538</v>
      </c>
      <c r="H1758" s="639">
        <v>8698</v>
      </c>
      <c r="I1758" s="639"/>
      <c r="J1758" s="639"/>
      <c r="K1758" s="640">
        <f t="shared" si="55"/>
        <v>78236</v>
      </c>
      <c r="L1758" s="639">
        <v>18767</v>
      </c>
      <c r="M1758" s="639">
        <v>7977</v>
      </c>
      <c r="N1758" s="639">
        <v>148167</v>
      </c>
      <c r="O1758" s="1503">
        <f>1-N1759</f>
        <v>0.5412232436733847</v>
      </c>
    </row>
    <row r="1759" spans="1:15" ht="12" customHeight="1">
      <c r="A1759" s="1517"/>
      <c r="B1759" s="1502"/>
      <c r="C1759" s="635" t="s">
        <v>6219</v>
      </c>
      <c r="D1759" s="636">
        <f>D1758/(D1758+E1758+G1758+H1758+I1758+J1758+L1758+M1758+N1758)</f>
        <v>0.11900198475976975</v>
      </c>
      <c r="E1759" s="636">
        <f>E1758/(D1758+E1758+G1758+H1758+I1758+J1758+L1758+M1758+N1758)</f>
        <v>9.7166530943364679E-2</v>
      </c>
      <c r="F1759" s="637">
        <f t="shared" si="54"/>
        <v>0.21616851570313445</v>
      </c>
      <c r="G1759" s="636">
        <f>G1758/(D1758+E1758+G1758+H1758+I1758+J1758+L1758+M1758+N1758)</f>
        <v>0.2153139233529745</v>
      </c>
      <c r="H1759" s="636">
        <f>H1758/(D1758+E1758+G1758+H1758+I1758+J1758+L1758+M1758+N1758)</f>
        <v>2.693204442641681E-2</v>
      </c>
      <c r="I1759" s="636">
        <f>I1758/(D1758+E1758+G1758+H1758+I1758+J1758+L1758+M1758+N1758)</f>
        <v>0</v>
      </c>
      <c r="J1759" s="636">
        <f>J1758/(D1758+E1758+G1758+H1758+I1758+J1758+L1758+M1758+N1758)</f>
        <v>0</v>
      </c>
      <c r="K1759" s="637">
        <f t="shared" si="55"/>
        <v>0.24224596777939131</v>
      </c>
      <c r="L1759" s="636">
        <f>L1758/(D1758+E1758+G1758+H1758+I1758+J1758+L1758+M1758+N1758)</f>
        <v>5.8109183461780213E-2</v>
      </c>
      <c r="M1759" s="636">
        <f>M1758/(D1758+E1758+G1758+H1758+I1758+J1758+L1758+M1758+N1758)</f>
        <v>2.4699576729078743E-2</v>
      </c>
      <c r="N1759" s="636">
        <f>N1758/(D1758+E1758+G1758+H1758+I1758+J1758+L1758+M1758+N1758)</f>
        <v>0.4587767563266153</v>
      </c>
      <c r="O1759" s="1503"/>
    </row>
    <row r="1760" spans="1:15" ht="12" customHeight="1">
      <c r="A1760" s="1517"/>
      <c r="B1760" s="1502" t="s">
        <v>14940</v>
      </c>
      <c r="C1760" s="638" t="s">
        <v>6218</v>
      </c>
      <c r="D1760" s="639">
        <v>45607</v>
      </c>
      <c r="E1760" s="639">
        <v>28338</v>
      </c>
      <c r="F1760" s="640">
        <f t="shared" si="54"/>
        <v>73945</v>
      </c>
      <c r="G1760" s="639">
        <v>73151</v>
      </c>
      <c r="H1760" s="639">
        <v>9342</v>
      </c>
      <c r="I1760" s="639"/>
      <c r="J1760" s="639"/>
      <c r="K1760" s="640">
        <f t="shared" si="55"/>
        <v>82493</v>
      </c>
      <c r="L1760" s="639">
        <v>18946</v>
      </c>
      <c r="M1760" s="639"/>
      <c r="N1760" s="639">
        <v>147911</v>
      </c>
      <c r="O1760" s="1503">
        <f>1-N1761</f>
        <v>0.54248905798110081</v>
      </c>
    </row>
    <row r="1761" spans="1:15" ht="12" customHeight="1" thickBot="1">
      <c r="A1761" s="1519"/>
      <c r="B1761" s="1514"/>
      <c r="C1761" s="641" t="s">
        <v>6219</v>
      </c>
      <c r="D1761" s="642">
        <f>D1760/(D1760+E1760+G1760+H1760+I1760+J1760+L1760+M1760+N1760)</f>
        <v>0.14106930203065313</v>
      </c>
      <c r="E1761" s="642">
        <f>E1760/(D1760+E1760+G1760+H1760+I1760+J1760+L1760+M1760+N1760)</f>
        <v>8.7653690901498632E-2</v>
      </c>
      <c r="F1761" s="643">
        <f t="shared" si="54"/>
        <v>0.22872299293215176</v>
      </c>
      <c r="G1761" s="642">
        <f>G1760/(D1760+E1760+G1760+H1760+I1760+J1760+L1760+M1760+N1760)</f>
        <v>0.22626703165839249</v>
      </c>
      <c r="H1761" s="642">
        <f>H1760/(D1760+E1760+G1760+H1760+I1760+J1760+L1760+M1760+N1760)</f>
        <v>2.8896209344406811E-2</v>
      </c>
      <c r="I1761" s="642">
        <f>I1760/(D1760+E1760+G1760+H1760+I1760+J1760+L1760+M1760+N1760)</f>
        <v>0</v>
      </c>
      <c r="J1761" s="642">
        <f>J1760/(D1760+E1760+G1760+H1760+I1760+J1760+L1760+M1760+N1760)</f>
        <v>0</v>
      </c>
      <c r="K1761" s="643">
        <f t="shared" si="55"/>
        <v>0.2551632410027993</v>
      </c>
      <c r="L1761" s="642">
        <f>L1760/(D1760+E1760+G1760+H1760+I1760+J1760+L1760+M1760+N1760)</f>
        <v>5.8602824046149804E-2</v>
      </c>
      <c r="M1761" s="642">
        <f>M1760/(D1760+E1760+G1760+H1760+I1760+J1760+L1760+M1760+N1760)</f>
        <v>0</v>
      </c>
      <c r="N1761" s="642">
        <f>N1760/(D1760+E1760+G1760+H1760+I1760+J1760+L1760+M1760+N1760)</f>
        <v>0.45751094201889914</v>
      </c>
      <c r="O1761" s="1515"/>
    </row>
    <row r="1762" spans="1:15" ht="12" customHeight="1">
      <c r="A1762" s="1516" t="s">
        <v>15158</v>
      </c>
      <c r="B1762" s="1509" t="s">
        <v>14937</v>
      </c>
      <c r="C1762" s="647" t="s">
        <v>6218</v>
      </c>
      <c r="D1762" s="648">
        <v>55176</v>
      </c>
      <c r="E1762" s="648">
        <v>33858</v>
      </c>
      <c r="F1762" s="649">
        <f t="shared" si="54"/>
        <v>89034</v>
      </c>
      <c r="G1762" s="648">
        <v>95733</v>
      </c>
      <c r="H1762" s="648">
        <v>6797</v>
      </c>
      <c r="I1762" s="648">
        <v>3674</v>
      </c>
      <c r="J1762" s="648">
        <v>7447</v>
      </c>
      <c r="K1762" s="649">
        <f t="shared" si="55"/>
        <v>113651</v>
      </c>
      <c r="L1762" s="648">
        <v>16188</v>
      </c>
      <c r="M1762" s="648">
        <v>6879</v>
      </c>
      <c r="N1762" s="648">
        <v>202507</v>
      </c>
      <c r="O1762" s="1510">
        <f>1-N1763</f>
        <v>0.52713895096191798</v>
      </c>
    </row>
    <row r="1763" spans="1:15" ht="12" customHeight="1">
      <c r="A1763" s="1517"/>
      <c r="B1763" s="1502"/>
      <c r="C1763" s="635" t="s">
        <v>6219</v>
      </c>
      <c r="D1763" s="636">
        <f>D1762/(D1762+E1762+G1762+H1762+I1762+J1762+L1762+M1762+N1762)</f>
        <v>0.12883792284575454</v>
      </c>
      <c r="E1763" s="636">
        <f>E1762/(D1762+E1762+G1762+H1762+I1762+J1762+L1762+M1762+N1762)</f>
        <v>7.9059634473531204E-2</v>
      </c>
      <c r="F1763" s="637">
        <f t="shared" si="54"/>
        <v>0.20789755731928575</v>
      </c>
      <c r="G1763" s="636">
        <f>G1762/(D1762+E1762+G1762+H1762+I1762+J1762+L1762+M1762+N1762)</f>
        <v>0.22353996063130022</v>
      </c>
      <c r="H1763" s="636">
        <f>H1762/(D1762+E1762+G1762+H1762+I1762+J1762+L1762+M1762+N1762)</f>
        <v>1.5871236798292623E-2</v>
      </c>
      <c r="I1763" s="636">
        <f>I1762/(D1762+E1762+G1762+H1762+I1762+J1762+L1762+M1762+N1762)</f>
        <v>8.578920699856862E-3</v>
      </c>
      <c r="J1763" s="636">
        <f>J1762/(D1762+E1762+G1762+H1762+I1762+J1762+L1762+M1762+N1762)</f>
        <v>1.7389009921566154E-2</v>
      </c>
      <c r="K1763" s="637">
        <f t="shared" si="55"/>
        <v>0.26537912805101582</v>
      </c>
      <c r="L1763" s="636">
        <f>L1762/(D1762+E1762+G1762+H1762+I1762+J1762+L1762+M1762+N1762)</f>
        <v>3.7799555876233772E-2</v>
      </c>
      <c r="M1763" s="636">
        <f>M1762/(D1762+E1762+G1762+H1762+I1762+J1762+L1762+M1762+N1762)</f>
        <v>1.6062709715382515E-2</v>
      </c>
      <c r="N1763" s="636">
        <f>N1762/(D1762+E1762+G1762+H1762+I1762+J1762+L1762+M1762+N1762)</f>
        <v>0.47286104903808207</v>
      </c>
      <c r="O1763" s="1503"/>
    </row>
    <row r="1764" spans="1:15" ht="12" customHeight="1">
      <c r="A1764" s="1517"/>
      <c r="B1764" s="1502" t="s">
        <v>14938</v>
      </c>
      <c r="C1764" s="638" t="s">
        <v>6218</v>
      </c>
      <c r="D1764" s="639">
        <v>99976</v>
      </c>
      <c r="E1764" s="639">
        <v>37724</v>
      </c>
      <c r="F1764" s="640">
        <f t="shared" si="54"/>
        <v>137700</v>
      </c>
      <c r="G1764" s="639">
        <v>83847</v>
      </c>
      <c r="H1764" s="639">
        <v>16830</v>
      </c>
      <c r="I1764" s="639"/>
      <c r="J1764" s="639">
        <v>10670</v>
      </c>
      <c r="K1764" s="640">
        <f t="shared" si="55"/>
        <v>111347</v>
      </c>
      <c r="L1764" s="639">
        <v>18743</v>
      </c>
      <c r="M1764" s="639"/>
      <c r="N1764" s="639">
        <v>155734</v>
      </c>
      <c r="O1764" s="1503">
        <f>1-N1765</f>
        <v>0.63229002370585841</v>
      </c>
    </row>
    <row r="1765" spans="1:15" ht="12" customHeight="1">
      <c r="A1765" s="1517"/>
      <c r="B1765" s="1502"/>
      <c r="C1765" s="635" t="s">
        <v>6219</v>
      </c>
      <c r="D1765" s="636">
        <f>D1764/(D1764+E1764+G1764+H1764+I1764+J1764+L1764+M1764+N1764)</f>
        <v>0.23605746073422049</v>
      </c>
      <c r="E1765" s="636">
        <f>E1764/(D1764+E1764+G1764+H1764+I1764+J1764+L1764+M1764+N1764)</f>
        <v>8.9071693693863863E-2</v>
      </c>
      <c r="F1765" s="637">
        <f t="shared" si="54"/>
        <v>0.32512915442808432</v>
      </c>
      <c r="G1765" s="636">
        <f>G1764/(D1764+E1764+G1764+H1764+I1764+J1764+L1764+M1764+N1764)</f>
        <v>0.19797461300894401</v>
      </c>
      <c r="H1765" s="636">
        <f>H1764/(D1764+E1764+G1764+H1764+I1764+J1764+L1764+M1764+N1764)</f>
        <v>3.9738007763432531E-2</v>
      </c>
      <c r="I1765" s="636">
        <f>I1764/(D1764+E1764+G1764+H1764+I1764+J1764+L1764+M1764+N1764)</f>
        <v>0</v>
      </c>
      <c r="J1765" s="636">
        <f>J1764/(D1764+E1764+G1764+H1764+I1764+J1764+L1764+M1764+N1764)</f>
        <v>2.519337747093435E-2</v>
      </c>
      <c r="K1765" s="637">
        <f t="shared" si="55"/>
        <v>0.2629059982433109</v>
      </c>
      <c r="L1765" s="636">
        <f>L1764/(D1764+E1764+G1764+H1764+I1764+J1764+L1764+M1764+N1764)</f>
        <v>4.4254871034463218E-2</v>
      </c>
      <c r="M1765" s="636">
        <f>M1764/(D1764+E1764+G1764+H1764+I1764+J1764+L1764+M1764+N1764)</f>
        <v>0</v>
      </c>
      <c r="N1765" s="636">
        <f>N1764/(D1764+E1764+G1764+H1764+I1764+J1764+L1764+M1764+N1764)</f>
        <v>0.36770997629414154</v>
      </c>
      <c r="O1765" s="1503"/>
    </row>
    <row r="1766" spans="1:15" ht="12" customHeight="1">
      <c r="A1766" s="1517"/>
      <c r="B1766" s="1502" t="s">
        <v>14939</v>
      </c>
      <c r="C1766" s="638" t="s">
        <v>6218</v>
      </c>
      <c r="D1766" s="639">
        <v>57464</v>
      </c>
      <c r="E1766" s="639">
        <v>37597</v>
      </c>
      <c r="F1766" s="640">
        <f t="shared" si="54"/>
        <v>95061</v>
      </c>
      <c r="G1766" s="639">
        <v>86903</v>
      </c>
      <c r="H1766" s="639">
        <v>9440</v>
      </c>
      <c r="I1766" s="639"/>
      <c r="J1766" s="639"/>
      <c r="K1766" s="640">
        <f t="shared" si="55"/>
        <v>96343</v>
      </c>
      <c r="L1766" s="639">
        <v>17479</v>
      </c>
      <c r="M1766" s="639">
        <v>8578</v>
      </c>
      <c r="N1766" s="639">
        <v>202999</v>
      </c>
      <c r="O1766" s="1503">
        <f>1-N1767</f>
        <v>0.51719783094705796</v>
      </c>
    </row>
    <row r="1767" spans="1:15" ht="12" customHeight="1">
      <c r="A1767" s="1517"/>
      <c r="B1767" s="1502"/>
      <c r="C1767" s="635" t="s">
        <v>6219</v>
      </c>
      <c r="D1767" s="636">
        <f>D1766/(D1766+E1766+G1766+H1766+I1766+J1766+L1766+M1766+N1766)</f>
        <v>0.13666936212719402</v>
      </c>
      <c r="E1767" s="636">
        <f>E1766/(D1766+E1766+G1766+H1766+I1766+J1766+L1766+M1766+N1766)</f>
        <v>8.9418731865100132E-2</v>
      </c>
      <c r="F1767" s="637">
        <f t="shared" si="54"/>
        <v>0.22608809399229415</v>
      </c>
      <c r="G1767" s="636">
        <f>G1766/(D1766+E1766+G1766+H1766+I1766+J1766+L1766+M1766+N1766)</f>
        <v>0.20668553489035818</v>
      </c>
      <c r="H1767" s="636">
        <f>H1766/(D1766+E1766+G1766+H1766+I1766+J1766+L1766+M1766+N1766)</f>
        <v>2.2451600627883747E-2</v>
      </c>
      <c r="I1767" s="636">
        <f>I1766/(D1766+E1766+G1766+H1766+I1766+J1766+L1766+M1766+N1766)</f>
        <v>0</v>
      </c>
      <c r="J1767" s="636">
        <f>J1766/(D1766+E1766+G1766+H1766+I1766+J1766+L1766+M1766+N1766)</f>
        <v>0</v>
      </c>
      <c r="K1767" s="637">
        <f t="shared" si="55"/>
        <v>0.22913713551824194</v>
      </c>
      <c r="L1767" s="636">
        <f>L1766/(D1766+E1766+G1766+H1766+I1766+J1766+L1766+M1766+N1766)</f>
        <v>4.1571136374447037E-2</v>
      </c>
      <c r="M1767" s="636">
        <f>M1766/(D1766+E1766+G1766+H1766+I1766+J1766+L1766+M1766+N1766)</f>
        <v>2.040146506207487E-2</v>
      </c>
      <c r="N1767" s="636">
        <f>N1766/(D1766+E1766+G1766+H1766+I1766+J1766+L1766+M1766+N1766)</f>
        <v>0.48280216905294204</v>
      </c>
      <c r="O1767" s="1503"/>
    </row>
    <row r="1768" spans="1:15" ht="12" customHeight="1">
      <c r="A1768" s="1517"/>
      <c r="B1768" s="1502" t="s">
        <v>14940</v>
      </c>
      <c r="C1768" s="638" t="s">
        <v>6218</v>
      </c>
      <c r="D1768" s="639">
        <v>71456</v>
      </c>
      <c r="E1768" s="639">
        <v>37137</v>
      </c>
      <c r="F1768" s="640">
        <f t="shared" si="54"/>
        <v>108593</v>
      </c>
      <c r="G1768" s="639">
        <v>90354</v>
      </c>
      <c r="H1768" s="639">
        <v>11060</v>
      </c>
      <c r="I1768" s="639"/>
      <c r="J1768" s="639"/>
      <c r="K1768" s="640">
        <f t="shared" si="55"/>
        <v>101414</v>
      </c>
      <c r="L1768" s="639">
        <v>18236</v>
      </c>
      <c r="M1768" s="639"/>
      <c r="N1768" s="639">
        <v>190333</v>
      </c>
      <c r="O1768" s="1503">
        <f>1-N1769</f>
        <v>0.54528448836053667</v>
      </c>
    </row>
    <row r="1769" spans="1:15" ht="12" customHeight="1" thickBot="1">
      <c r="A1769" s="1519"/>
      <c r="B1769" s="1514"/>
      <c r="C1769" s="641" t="s">
        <v>6219</v>
      </c>
      <c r="D1769" s="642">
        <f>D1768/(D1768+E1768+G1768+H1768+I1768+J1768+L1768+M1768+N1768)</f>
        <v>0.17071212874125608</v>
      </c>
      <c r="E1769" s="642">
        <f>E1768/(D1768+E1768+G1768+H1768+I1768+J1768+L1768+M1768+N1768)</f>
        <v>8.8722239211039333E-2</v>
      </c>
      <c r="F1769" s="643">
        <f t="shared" si="54"/>
        <v>0.25943436795229541</v>
      </c>
      <c r="G1769" s="642">
        <f>G1768/(D1768+E1768+G1768+H1768+I1768+J1768+L1768+M1768+N1768)</f>
        <v>0.21586044111463629</v>
      </c>
      <c r="H1769" s="642">
        <f>H1768/(D1768+E1768+G1768+H1768+I1768+J1768+L1768+M1768+N1768)</f>
        <v>2.6422919613164633E-2</v>
      </c>
      <c r="I1769" s="642">
        <f>I1768/(D1768+E1768+G1768+H1768+I1768+J1768+L1768+M1768+N1768)</f>
        <v>0</v>
      </c>
      <c r="J1769" s="642">
        <f>J1768/(D1768+E1768+G1768+H1768+I1768+J1768+L1768+M1768+N1768)</f>
        <v>0</v>
      </c>
      <c r="K1769" s="643">
        <f t="shared" si="55"/>
        <v>0.24228336072780093</v>
      </c>
      <c r="L1769" s="642">
        <f>L1768/(D1768+E1768+G1768+H1768+I1768+J1768+L1768+M1768+N1768)</f>
        <v>4.3566759680440353E-2</v>
      </c>
      <c r="M1769" s="642">
        <f>M1768/(D1768+E1768+G1768+H1768+I1768+J1768+L1768+M1768+N1768)</f>
        <v>0</v>
      </c>
      <c r="N1769" s="642">
        <f>N1768/(D1768+E1768+G1768+H1768+I1768+J1768+L1768+M1768+N1768)</f>
        <v>0.45471551163946333</v>
      </c>
      <c r="O1769" s="1515"/>
    </row>
    <row r="1770" spans="1:15" ht="12" customHeight="1">
      <c r="A1770" s="1516" t="s">
        <v>15159</v>
      </c>
      <c r="B1770" s="1509" t="s">
        <v>14937</v>
      </c>
      <c r="C1770" s="647" t="s">
        <v>6218</v>
      </c>
      <c r="D1770" s="648">
        <v>66567</v>
      </c>
      <c r="E1770" s="648">
        <v>28979</v>
      </c>
      <c r="F1770" s="649">
        <f t="shared" si="54"/>
        <v>95546</v>
      </c>
      <c r="G1770" s="648">
        <v>95292</v>
      </c>
      <c r="H1770" s="648">
        <v>6116</v>
      </c>
      <c r="I1770" s="648">
        <v>4124</v>
      </c>
      <c r="J1770" s="648">
        <v>5260</v>
      </c>
      <c r="K1770" s="649">
        <f t="shared" si="55"/>
        <v>110792</v>
      </c>
      <c r="L1770" s="648">
        <v>15274</v>
      </c>
      <c r="M1770" s="648">
        <v>5902</v>
      </c>
      <c r="N1770" s="648">
        <v>135882</v>
      </c>
      <c r="O1770" s="1510">
        <f>1-N1771</f>
        <v>0.62607733711983626</v>
      </c>
    </row>
    <row r="1771" spans="1:15" ht="12" customHeight="1">
      <c r="A1771" s="1517"/>
      <c r="B1771" s="1502"/>
      <c r="C1771" s="635" t="s">
        <v>6219</v>
      </c>
      <c r="D1771" s="636">
        <f>D1770/(D1770+E1770+G1770+H1770+I1770+J1770+L1770+M1770+N1770)</f>
        <v>0.18318033219958393</v>
      </c>
      <c r="E1771" s="636">
        <f>E1770/(D1770+E1770+G1770+H1770+I1770+J1770+L1770+M1770+N1770)</f>
        <v>7.9744961419498286E-2</v>
      </c>
      <c r="F1771" s="637">
        <f t="shared" si="54"/>
        <v>0.26292529361908223</v>
      </c>
      <c r="G1771" s="636">
        <f>G1770/(D1770+E1770+G1770+H1770+I1770+J1770+L1770+M1770+N1770)</f>
        <v>0.26222633160519104</v>
      </c>
      <c r="H1771" s="636">
        <f>H1770/(D1770+E1770+G1770+H1770+I1770+J1770+L1770+M1770+N1770)</f>
        <v>1.6830124712434918E-2</v>
      </c>
      <c r="I1771" s="636">
        <f>I1770/(D1770+E1770+G1770+H1770+I1770+J1770+L1770+M1770+N1770)</f>
        <v>1.1348501359398562E-2</v>
      </c>
      <c r="J1771" s="636">
        <f>J1770/(D1770+E1770+G1770+H1770+I1770+J1770+L1770+M1770+N1770)</f>
        <v>1.4474567689242589E-2</v>
      </c>
      <c r="K1771" s="637">
        <f t="shared" si="55"/>
        <v>0.30487952536626717</v>
      </c>
      <c r="L1771" s="636">
        <f>L1770/(D1770+E1770+G1770+H1770+I1770+J1770+L1770+M1770+N1770)</f>
        <v>4.2031282677850057E-2</v>
      </c>
      <c r="M1771" s="636">
        <f>M1770/(D1770+E1770+G1770+H1770+I1770+J1770+L1770+M1770+N1770)</f>
        <v>1.6241235456636836E-2</v>
      </c>
      <c r="N1771" s="636">
        <f>N1770/(D1770+E1770+G1770+H1770+I1770+J1770+L1770+M1770+N1770)</f>
        <v>0.37392266288016379</v>
      </c>
      <c r="O1771" s="1503"/>
    </row>
    <row r="1772" spans="1:15" ht="12" customHeight="1">
      <c r="A1772" s="1517"/>
      <c r="B1772" s="1502" t="s">
        <v>14938</v>
      </c>
      <c r="C1772" s="638" t="s">
        <v>6218</v>
      </c>
      <c r="D1772" s="639">
        <v>101293</v>
      </c>
      <c r="E1772" s="639">
        <v>30453</v>
      </c>
      <c r="F1772" s="640">
        <f t="shared" si="54"/>
        <v>131746</v>
      </c>
      <c r="G1772" s="639">
        <v>82278</v>
      </c>
      <c r="H1772" s="639">
        <v>15277</v>
      </c>
      <c r="I1772" s="639"/>
      <c r="J1772" s="639">
        <v>8952</v>
      </c>
      <c r="K1772" s="640">
        <f t="shared" si="55"/>
        <v>106507</v>
      </c>
      <c r="L1772" s="639">
        <v>18094</v>
      </c>
      <c r="M1772" s="639"/>
      <c r="N1772" s="639">
        <v>106720</v>
      </c>
      <c r="O1772" s="1503">
        <f>1-N1773</f>
        <v>0.70605976307403318</v>
      </c>
    </row>
    <row r="1773" spans="1:15" ht="12" customHeight="1">
      <c r="A1773" s="1517"/>
      <c r="B1773" s="1502"/>
      <c r="C1773" s="635" t="s">
        <v>6219</v>
      </c>
      <c r="D1773" s="636">
        <f>D1772/(D1772+E1772+G1772+H1772+I1772+J1772+L1772+M1772+N1772)</f>
        <v>0.27899258263626275</v>
      </c>
      <c r="E1773" s="636">
        <f>E1772/(D1772+E1772+G1772+H1772+I1772+J1772+L1772+M1772+N1772)</f>
        <v>8.3877080538853704E-2</v>
      </c>
      <c r="F1773" s="637">
        <f t="shared" si="54"/>
        <v>0.36286966317511649</v>
      </c>
      <c r="G1773" s="636">
        <f>G1772/(D1772+E1772+G1772+H1772+I1772+J1772+L1772+M1772+N1772)</f>
        <v>0.22661932921471795</v>
      </c>
      <c r="H1773" s="636">
        <f>H1772/(D1772+E1772+G1772+H1772+I1772+J1772+L1772+M1772+N1772)</f>
        <v>4.2077633053954226E-2</v>
      </c>
      <c r="I1773" s="636">
        <f>I1772/(D1772+E1772+G1772+H1772+I1772+J1772+L1772+M1772+N1772)</f>
        <v>0</v>
      </c>
      <c r="J1773" s="636">
        <f>J1772/(D1772+E1772+G1772+H1772+I1772+J1772+L1772+M1772+N1772)</f>
        <v>2.4656606080971279E-2</v>
      </c>
      <c r="K1773" s="637">
        <f t="shared" si="55"/>
        <v>0.29335356834964343</v>
      </c>
      <c r="L1773" s="636">
        <f>L1772/(D1772+E1772+G1772+H1772+I1772+J1772+L1772+M1772+N1772)</f>
        <v>4.9836531549273276E-2</v>
      </c>
      <c r="M1773" s="636">
        <f>M1772/(D1772+E1772+G1772+H1772+I1772+J1772+L1772+M1772+N1772)</f>
        <v>0</v>
      </c>
      <c r="N1773" s="636">
        <f>N1772/(D1772+E1772+G1772+H1772+I1772+J1772+L1772+M1772+N1772)</f>
        <v>0.29394023692596682</v>
      </c>
      <c r="O1773" s="1503"/>
    </row>
    <row r="1774" spans="1:15" ht="12" customHeight="1">
      <c r="A1774" s="1517"/>
      <c r="B1774" s="1502" t="s">
        <v>14939</v>
      </c>
      <c r="C1774" s="638" t="s">
        <v>6218</v>
      </c>
      <c r="D1774" s="639">
        <v>66707</v>
      </c>
      <c r="E1774" s="639">
        <v>32287</v>
      </c>
      <c r="F1774" s="640">
        <f t="shared" si="54"/>
        <v>98994</v>
      </c>
      <c r="G1774" s="639">
        <v>87360</v>
      </c>
      <c r="H1774" s="639">
        <v>8185</v>
      </c>
      <c r="I1774" s="639"/>
      <c r="J1774" s="639"/>
      <c r="K1774" s="640">
        <f t="shared" si="55"/>
        <v>95545</v>
      </c>
      <c r="L1774" s="639">
        <v>17320</v>
      </c>
      <c r="M1774" s="639">
        <v>6700</v>
      </c>
      <c r="N1774" s="639">
        <v>143541</v>
      </c>
      <c r="O1774" s="1503">
        <f>1-N1775</f>
        <v>0.60358740679370337</v>
      </c>
    </row>
    <row r="1775" spans="1:15" ht="12" customHeight="1">
      <c r="A1775" s="1517"/>
      <c r="B1775" s="1502"/>
      <c r="C1775" s="635" t="s">
        <v>6219</v>
      </c>
      <c r="D1775" s="636">
        <f>D1774/(D1774+E1774+G1774+H1774+I1774+J1774+L1774+M1774+N1774)</f>
        <v>0.18422259044462855</v>
      </c>
      <c r="E1775" s="636">
        <f>E1774/(D1774+E1774+G1774+H1774+I1774+J1774+L1774+M1774+N1774)</f>
        <v>8.9165976249654791E-2</v>
      </c>
      <c r="F1775" s="637">
        <f t="shared" si="54"/>
        <v>0.27338856669428335</v>
      </c>
      <c r="G1775" s="636">
        <f>G1774/(D1774+E1774+G1774+H1774+I1774+J1774+L1774+M1774+N1774)</f>
        <v>0.24125932062966032</v>
      </c>
      <c r="H1775" s="636">
        <f>H1774/(D1774+E1774+G1774+H1774+I1774+J1774+L1774+M1774+N1774)</f>
        <v>2.2604252968793152E-2</v>
      </c>
      <c r="I1775" s="636">
        <f>I1774/(D1774+E1774+G1774+H1774+I1774+J1774+L1774+M1774+N1774)</f>
        <v>0</v>
      </c>
      <c r="J1775" s="636">
        <f>J1774/(D1774+E1774+G1774+H1774+I1774+J1774+L1774+M1774+N1774)</f>
        <v>0</v>
      </c>
      <c r="K1775" s="637">
        <f t="shared" si="55"/>
        <v>0.26386357359845347</v>
      </c>
      <c r="L1775" s="636">
        <f>L1774/(D1774+E1774+G1774+H1774+I1774+J1774+L1774+M1774+N1774)</f>
        <v>4.7832090582711956E-2</v>
      </c>
      <c r="M1775" s="636">
        <f>M1774/(D1774+E1774+G1774+H1774+I1774+J1774+L1774+M1774+N1774)</f>
        <v>1.8503175918254625E-2</v>
      </c>
      <c r="N1775" s="636">
        <f>N1774/(D1774+E1774+G1774+H1774+I1774+J1774+L1774+M1774+N1774)</f>
        <v>0.39641259320629663</v>
      </c>
      <c r="O1775" s="1503"/>
    </row>
    <row r="1776" spans="1:15" ht="12" customHeight="1">
      <c r="A1776" s="1517"/>
      <c r="B1776" s="1502" t="s">
        <v>14940</v>
      </c>
      <c r="C1776" s="638" t="s">
        <v>6218</v>
      </c>
      <c r="D1776" s="639">
        <v>84077</v>
      </c>
      <c r="E1776" s="639">
        <v>30465</v>
      </c>
      <c r="F1776" s="640">
        <f t="shared" si="54"/>
        <v>114542</v>
      </c>
      <c r="G1776" s="639">
        <v>91147</v>
      </c>
      <c r="H1776" s="639">
        <v>10783</v>
      </c>
      <c r="I1776" s="639"/>
      <c r="J1776" s="639"/>
      <c r="K1776" s="640">
        <f t="shared" si="55"/>
        <v>101930</v>
      </c>
      <c r="L1776" s="639">
        <v>16424</v>
      </c>
      <c r="M1776" s="639"/>
      <c r="N1776" s="639">
        <v>128842</v>
      </c>
      <c r="O1776" s="1503">
        <f>1-N1777</f>
        <v>0.6438250888764796</v>
      </c>
    </row>
    <row r="1777" spans="1:15" ht="12" customHeight="1" thickBot="1">
      <c r="A1777" s="1519"/>
      <c r="B1777" s="1514"/>
      <c r="C1777" s="641" t="s">
        <v>6219</v>
      </c>
      <c r="D1777" s="642">
        <f>D1776/(D1776+E1776+G1776+H1776+I1776+J1776+L1776+M1776+N1776)</f>
        <v>0.23242512536697832</v>
      </c>
      <c r="E1777" s="642">
        <f>E1776/(D1776+E1776+G1776+H1776+I1776+J1776+L1776+M1776+N1776)</f>
        <v>8.4218412220999725E-2</v>
      </c>
      <c r="F1777" s="643">
        <f t="shared" si="54"/>
        <v>0.31664353758797803</v>
      </c>
      <c r="G1777" s="642">
        <f>G1776/(D1776+E1776+G1776+H1776+I1776+J1776+L1776+M1776+N1776)</f>
        <v>0.25196965759748768</v>
      </c>
      <c r="H1777" s="642">
        <f>H1776/(D1776+E1776+G1776+H1776+I1776+J1776+L1776+M1776+N1776)</f>
        <v>2.9808867191171512E-2</v>
      </c>
      <c r="I1777" s="642">
        <f>I1776/(D1776+E1776+G1776+H1776+I1776+J1776+L1776+M1776+N1776)</f>
        <v>0</v>
      </c>
      <c r="J1777" s="642">
        <f>J1776/(D1776+E1776+G1776+H1776+I1776+J1776+L1776+M1776+N1776)</f>
        <v>0</v>
      </c>
      <c r="K1777" s="643">
        <f t="shared" si="55"/>
        <v>0.28177852478865917</v>
      </c>
      <c r="L1777" s="642">
        <f>L1776/(D1776+E1776+G1776+H1776+I1776+J1776+L1776+M1776+N1776)</f>
        <v>4.540302649984243E-2</v>
      </c>
      <c r="M1777" s="642">
        <f>M1776/(D1776+E1776+G1776+H1776+I1776+J1776+L1776+M1776+N1776)</f>
        <v>0</v>
      </c>
      <c r="N1777" s="642">
        <f>N1776/(D1776+E1776+G1776+H1776+I1776+J1776+L1776+M1776+N1776)</f>
        <v>0.35617491112352034</v>
      </c>
      <c r="O1777" s="1515"/>
    </row>
    <row r="1778" spans="1:15" ht="12" customHeight="1">
      <c r="A1778" s="1516" t="s">
        <v>15160</v>
      </c>
      <c r="B1778" s="1509" t="s">
        <v>14937</v>
      </c>
      <c r="C1778" s="647" t="s">
        <v>6218</v>
      </c>
      <c r="D1778" s="648">
        <v>63863</v>
      </c>
      <c r="E1778" s="648">
        <v>35811</v>
      </c>
      <c r="F1778" s="649">
        <f t="shared" si="54"/>
        <v>99674</v>
      </c>
      <c r="G1778" s="648">
        <v>106055</v>
      </c>
      <c r="H1778" s="648">
        <v>11877</v>
      </c>
      <c r="I1778" s="648">
        <v>5011</v>
      </c>
      <c r="J1778" s="648">
        <v>11077</v>
      </c>
      <c r="K1778" s="649">
        <f t="shared" si="55"/>
        <v>134020</v>
      </c>
      <c r="L1778" s="648">
        <v>21850</v>
      </c>
      <c r="M1778" s="648">
        <v>7303</v>
      </c>
      <c r="N1778" s="648">
        <v>205202</v>
      </c>
      <c r="O1778" s="1510">
        <f>1-N1779</f>
        <v>0.56158009097338102</v>
      </c>
    </row>
    <row r="1779" spans="1:15" ht="12" customHeight="1">
      <c r="A1779" s="1517"/>
      <c r="B1779" s="1502"/>
      <c r="C1779" s="635" t="s">
        <v>6219</v>
      </c>
      <c r="D1779" s="636">
        <f>D1778/(D1778+E1778+G1778+H1778+I1778+J1778+L1778+M1778+N1778)</f>
        <v>0.13644511578915883</v>
      </c>
      <c r="E1779" s="636">
        <f>E1778/(D1778+E1778+G1778+H1778+I1778+J1778+L1778+M1778+N1778)</f>
        <v>7.6511219979104747E-2</v>
      </c>
      <c r="F1779" s="637">
        <f t="shared" si="54"/>
        <v>0.21295633576826356</v>
      </c>
      <c r="G1779" s="636">
        <f>G1778/(D1778+E1778+G1778+H1778+I1778+J1778+L1778+M1778+N1778)</f>
        <v>0.22658952374644534</v>
      </c>
      <c r="H1779" s="636">
        <f>H1778/(D1778+E1778+G1778+H1778+I1778+J1778+L1778+M1778+N1778)</f>
        <v>2.5375548286611017E-2</v>
      </c>
      <c r="I1779" s="636">
        <f>I1778/(D1778+E1778+G1778+H1778+I1778+J1778+L1778+M1778+N1778)</f>
        <v>1.0706144014836053E-2</v>
      </c>
      <c r="J1779" s="636">
        <f>J1778/(D1778+E1778+G1778+H1778+I1778+J1778+L1778+M1778+N1778)</f>
        <v>2.3666325534292348E-2</v>
      </c>
      <c r="K1779" s="637">
        <f t="shared" si="55"/>
        <v>0.28633754158218472</v>
      </c>
      <c r="L1779" s="636">
        <f>L1778/(D1778+E1778+G1778+H1778+I1778+J1778+L1778+M1778+N1778)</f>
        <v>4.6683146422703603E-2</v>
      </c>
      <c r="M1779" s="636">
        <f>M1778/(D1778+E1778+G1778+H1778+I1778+J1778+L1778+M1778+N1778)</f>
        <v>1.5603067200229036E-2</v>
      </c>
      <c r="N1779" s="636">
        <f>N1778/(D1778+E1778+G1778+H1778+I1778+J1778+L1778+M1778+N1778)</f>
        <v>0.43841990902661898</v>
      </c>
      <c r="O1779" s="1503"/>
    </row>
    <row r="1780" spans="1:15" ht="12" customHeight="1">
      <c r="A1780" s="1517"/>
      <c r="B1780" s="1502" t="s">
        <v>14938</v>
      </c>
      <c r="C1780" s="638" t="s">
        <v>6218</v>
      </c>
      <c r="D1780" s="639">
        <v>122125</v>
      </c>
      <c r="E1780" s="639">
        <v>33332</v>
      </c>
      <c r="F1780" s="640">
        <f t="shared" si="54"/>
        <v>155457</v>
      </c>
      <c r="G1780" s="639">
        <v>92583</v>
      </c>
      <c r="H1780" s="639">
        <v>27124</v>
      </c>
      <c r="I1780" s="639"/>
      <c r="J1780" s="639">
        <v>11116</v>
      </c>
      <c r="K1780" s="640">
        <f t="shared" si="55"/>
        <v>130823</v>
      </c>
      <c r="L1780" s="639">
        <v>21722</v>
      </c>
      <c r="M1780" s="639"/>
      <c r="N1780" s="639">
        <v>156250</v>
      </c>
      <c r="O1780" s="1503">
        <f>1-N1781</f>
        <v>0.66343709881702173</v>
      </c>
    </row>
    <row r="1781" spans="1:15" ht="12" customHeight="1">
      <c r="A1781" s="1517"/>
      <c r="B1781" s="1502"/>
      <c r="C1781" s="635" t="s">
        <v>6219</v>
      </c>
      <c r="D1781" s="636">
        <f>D1780/(D1780+E1780+G1780+H1780+I1780+J1780+L1780+M1780+N1780)</f>
        <v>0.26305756356461579</v>
      </c>
      <c r="E1781" s="636">
        <f>E1780/(D1780+E1780+G1780+H1780+I1780+J1780+L1780+M1780+N1780)</f>
        <v>7.1797213582278585E-2</v>
      </c>
      <c r="F1781" s="637">
        <f t="shared" si="54"/>
        <v>0.33485477714689438</v>
      </c>
      <c r="G1781" s="636">
        <f>G1780/(D1780+E1780+G1780+H1780+I1780+J1780+L1780+M1780+N1780)</f>
        <v>0.19942401971343149</v>
      </c>
      <c r="H1781" s="636">
        <f>H1780/(D1780+E1780+G1780+H1780+I1780+J1780+L1780+M1780+N1780)</f>
        <v>5.8425165642797448E-2</v>
      </c>
      <c r="I1781" s="636">
        <f>I1780/(D1780+E1780+G1780+H1780+I1780+J1780+L1780+M1780+N1780)</f>
        <v>0</v>
      </c>
      <c r="J1781" s="636">
        <f>J1780/(D1780+E1780+G1780+H1780+I1780+J1780+L1780+M1780+N1780)</f>
        <v>2.3943892541119911E-2</v>
      </c>
      <c r="K1781" s="637">
        <f t="shared" si="55"/>
        <v>0.28179307789734881</v>
      </c>
      <c r="L1781" s="636">
        <f>L1780/(D1780+E1780+G1780+H1780+I1780+J1780+L1780+M1780+N1780)</f>
        <v>4.6789243772778578E-2</v>
      </c>
      <c r="M1781" s="636">
        <f>M1780/(D1780+E1780+G1780+H1780+I1780+J1780+L1780+M1780+N1780)</f>
        <v>0</v>
      </c>
      <c r="N1781" s="636">
        <f>N1780/(D1780+E1780+G1780+H1780+I1780+J1780+L1780+M1780+N1780)</f>
        <v>0.33656290118297821</v>
      </c>
      <c r="O1781" s="1503"/>
    </row>
    <row r="1782" spans="1:15" ht="12" customHeight="1">
      <c r="A1782" s="1517"/>
      <c r="B1782" s="1502" t="s">
        <v>14939</v>
      </c>
      <c r="C1782" s="638" t="s">
        <v>6218</v>
      </c>
      <c r="D1782" s="639">
        <v>63056</v>
      </c>
      <c r="E1782" s="639">
        <v>37575</v>
      </c>
      <c r="F1782" s="640">
        <f t="shared" si="54"/>
        <v>100631</v>
      </c>
      <c r="G1782" s="639">
        <v>103066</v>
      </c>
      <c r="H1782" s="639">
        <v>14111</v>
      </c>
      <c r="I1782" s="639"/>
      <c r="J1782" s="639"/>
      <c r="K1782" s="640">
        <f t="shared" si="55"/>
        <v>117177</v>
      </c>
      <c r="L1782" s="639">
        <v>20452</v>
      </c>
      <c r="M1782" s="639">
        <v>10237</v>
      </c>
      <c r="N1782" s="639">
        <v>211678</v>
      </c>
      <c r="O1782" s="1503">
        <f>1-N1783</f>
        <v>0.54000543271581458</v>
      </c>
    </row>
    <row r="1783" spans="1:15" ht="12" customHeight="1">
      <c r="A1783" s="1517"/>
      <c r="B1783" s="1502"/>
      <c r="C1783" s="635" t="s">
        <v>6219</v>
      </c>
      <c r="D1783" s="636">
        <f>D1782/(D1782+E1782+G1782+H1782+I1782+J1782+L1782+M1782+N1782)</f>
        <v>0.1370261313630684</v>
      </c>
      <c r="E1783" s="636">
        <f>E1782/(D1782+E1782+G1782+H1782+I1782+J1782+L1782+M1782+N1782)</f>
        <v>8.1653718693975114E-2</v>
      </c>
      <c r="F1783" s="637">
        <f t="shared" si="54"/>
        <v>0.21867985005704352</v>
      </c>
      <c r="G1783" s="636">
        <f>G1782/(D1782+E1782+G1782+H1782+I1782+J1782+L1782+M1782+N1782)</f>
        <v>0.22397131526049871</v>
      </c>
      <c r="H1783" s="636">
        <f>H1782/(D1782+E1782+G1782+H1782+I1782+J1782+L1782+M1782+N1782)</f>
        <v>3.0664421144129952E-2</v>
      </c>
      <c r="I1783" s="636">
        <f>I1782/(D1782+E1782+G1782+H1782+I1782+J1782+L1782+M1782+N1782)</f>
        <v>0</v>
      </c>
      <c r="J1783" s="636">
        <f>J1782/(D1782+E1782+G1782+H1782+I1782+J1782+L1782+M1782+N1782)</f>
        <v>0</v>
      </c>
      <c r="K1783" s="637">
        <f t="shared" si="55"/>
        <v>0.25463573640462867</v>
      </c>
      <c r="L1783" s="636">
        <f>L1782/(D1782+E1782+G1782+H1782+I1782+J1782+L1782+M1782+N1782)</f>
        <v>4.4443961536372034E-2</v>
      </c>
      <c r="M1783" s="636">
        <f>M1782/(D1782+E1782+G1782+H1782+I1782+J1782+L1782+M1782+N1782)</f>
        <v>2.2245884717770413E-2</v>
      </c>
      <c r="N1783" s="636">
        <f>N1782/(D1782+E1782+G1782+H1782+I1782+J1782+L1782+M1782+N1782)</f>
        <v>0.45999456728418536</v>
      </c>
      <c r="O1783" s="1503"/>
    </row>
    <row r="1784" spans="1:15" ht="12" customHeight="1">
      <c r="A1784" s="1517"/>
      <c r="B1784" s="1502" t="s">
        <v>14940</v>
      </c>
      <c r="C1784" s="638" t="s">
        <v>6218</v>
      </c>
      <c r="D1784" s="639">
        <v>80772</v>
      </c>
      <c r="E1784" s="639">
        <v>31064</v>
      </c>
      <c r="F1784" s="640">
        <f t="shared" si="54"/>
        <v>111836</v>
      </c>
      <c r="G1784" s="639">
        <v>105538</v>
      </c>
      <c r="H1784" s="639">
        <v>20781</v>
      </c>
      <c r="I1784" s="639"/>
      <c r="J1784" s="639"/>
      <c r="K1784" s="640">
        <f t="shared" si="55"/>
        <v>126319</v>
      </c>
      <c r="L1784" s="639">
        <v>19988</v>
      </c>
      <c r="M1784" s="639"/>
      <c r="N1784" s="639">
        <v>200064</v>
      </c>
      <c r="O1784" s="1503">
        <f>1-N1785</f>
        <v>0.56337637792526085</v>
      </c>
    </row>
    <row r="1785" spans="1:15" ht="12" customHeight="1" thickBot="1">
      <c r="A1785" s="1519"/>
      <c r="B1785" s="1514"/>
      <c r="C1785" s="641" t="s">
        <v>6219</v>
      </c>
      <c r="D1785" s="642">
        <f>D1784/(D1784+E1784+G1784+H1784+I1784+J1784+L1784+M1784+N1784)</f>
        <v>0.17627840692088947</v>
      </c>
      <c r="E1785" s="642">
        <f>E1784/(D1784+E1784+G1784+H1784+I1784+J1784+L1784+M1784+N1784)</f>
        <v>6.7794686680910599E-2</v>
      </c>
      <c r="F1785" s="643">
        <f t="shared" si="54"/>
        <v>0.24407309360180007</v>
      </c>
      <c r="G1785" s="642">
        <f>G1784/(D1784+E1784+G1784+H1784+I1784+J1784+L1784+M1784+N1784)</f>
        <v>0.23032821410410578</v>
      </c>
      <c r="H1785" s="642">
        <f>H1784/(D1784+E1784+G1784+H1784+I1784+J1784+L1784+M1784+N1784)</f>
        <v>4.5352864535024566E-2</v>
      </c>
      <c r="I1785" s="642">
        <f>I1784/(D1784+E1784+G1784+H1784+I1784+J1784+L1784+M1784+N1784)</f>
        <v>0</v>
      </c>
      <c r="J1785" s="642">
        <f>J1784/(D1784+E1784+G1784+H1784+I1784+J1784+L1784+M1784+N1784)</f>
        <v>0</v>
      </c>
      <c r="K1785" s="643">
        <f t="shared" si="55"/>
        <v>0.27568107863913033</v>
      </c>
      <c r="L1785" s="642">
        <f>L1784/(D1784+E1784+G1784+H1784+I1784+J1784+L1784+M1784+N1784)</f>
        <v>4.3622205684330444E-2</v>
      </c>
      <c r="M1785" s="642">
        <f>M1784/(D1784+E1784+G1784+H1784+I1784+J1784+L1784+M1784+N1784)</f>
        <v>0</v>
      </c>
      <c r="N1785" s="642">
        <f>N1784/(D1784+E1784+G1784+H1784+I1784+J1784+L1784+M1784+N1784)</f>
        <v>0.43662362207473915</v>
      </c>
      <c r="O1785" s="1515"/>
    </row>
    <row r="1786" spans="1:15" ht="12" customHeight="1">
      <c r="A1786" s="1516" t="s">
        <v>15161</v>
      </c>
      <c r="B1786" s="1509" t="s">
        <v>14937</v>
      </c>
      <c r="C1786" s="647" t="s">
        <v>6218</v>
      </c>
      <c r="D1786" s="648">
        <v>58789</v>
      </c>
      <c r="E1786" s="648">
        <v>31228</v>
      </c>
      <c r="F1786" s="649">
        <f t="shared" si="54"/>
        <v>90017</v>
      </c>
      <c r="G1786" s="648">
        <v>101617</v>
      </c>
      <c r="H1786" s="648">
        <v>11135</v>
      </c>
      <c r="I1786" s="648">
        <v>5485</v>
      </c>
      <c r="J1786" s="648">
        <v>12862</v>
      </c>
      <c r="K1786" s="649">
        <f t="shared" si="55"/>
        <v>131099</v>
      </c>
      <c r="L1786" s="648">
        <v>21992</v>
      </c>
      <c r="M1786" s="648">
        <v>8037</v>
      </c>
      <c r="N1786" s="648">
        <v>198565</v>
      </c>
      <c r="O1786" s="1510">
        <f>1-N1787</f>
        <v>0.55845989637766569</v>
      </c>
    </row>
    <row r="1787" spans="1:15" ht="12" customHeight="1">
      <c r="A1787" s="1517"/>
      <c r="B1787" s="1502"/>
      <c r="C1787" s="635" t="s">
        <v>6219</v>
      </c>
      <c r="D1787" s="636">
        <f>D1786/(D1786+E1786+G1786+H1786+I1786+J1786+L1786+M1786+N1786)</f>
        <v>0.13072646816837519</v>
      </c>
      <c r="E1787" s="636">
        <f>E1786/(D1786+E1786+G1786+H1786+I1786+J1786+L1786+M1786+N1786)</f>
        <v>6.9440305974961647E-2</v>
      </c>
      <c r="F1787" s="637">
        <f t="shared" si="54"/>
        <v>0.20016677414333683</v>
      </c>
      <c r="G1787" s="636">
        <f>G1786/(D1786+E1786+G1786+H1786+I1786+J1786+L1786+M1786+N1786)</f>
        <v>0.22596117497943119</v>
      </c>
      <c r="H1787" s="636">
        <f>H1786/(D1786+E1786+G1786+H1786+I1786+J1786+L1786+M1786+N1786)</f>
        <v>2.4760401147406106E-2</v>
      </c>
      <c r="I1787" s="636">
        <f>I1786/(D1786+E1786+G1786+H1786+I1786+J1786+L1786+M1786+N1786)</f>
        <v>1.2196749016032554E-2</v>
      </c>
      <c r="J1787" s="636">
        <f>J1786/(D1786+E1786+G1786+H1786+I1786+J1786+L1786+M1786+N1786)</f>
        <v>2.860065375464188E-2</v>
      </c>
      <c r="K1787" s="637">
        <f t="shared" si="55"/>
        <v>0.29151897889751177</v>
      </c>
      <c r="L1787" s="636">
        <f>L1786/(D1786+E1786+G1786+H1786+I1786+J1786+L1786+M1786+N1786)</f>
        <v>4.8902626136843742E-2</v>
      </c>
      <c r="M1787" s="636">
        <f>M1786/(D1786+E1786+G1786+H1786+I1786+J1786+L1786+M1786+N1786)</f>
        <v>1.7871517199973316E-2</v>
      </c>
      <c r="N1787" s="636">
        <f>N1786/(D1786+E1786+G1786+H1786+I1786+J1786+L1786+M1786+N1786)</f>
        <v>0.44154010362233437</v>
      </c>
      <c r="O1787" s="1503"/>
    </row>
    <row r="1788" spans="1:15" ht="12" customHeight="1">
      <c r="A1788" s="1517"/>
      <c r="B1788" s="1502" t="s">
        <v>14938</v>
      </c>
      <c r="C1788" s="638" t="s">
        <v>6218</v>
      </c>
      <c r="D1788" s="639">
        <v>114336</v>
      </c>
      <c r="E1788" s="639">
        <v>30525</v>
      </c>
      <c r="F1788" s="640">
        <f t="shared" si="54"/>
        <v>144861</v>
      </c>
      <c r="G1788" s="639">
        <v>84858</v>
      </c>
      <c r="H1788" s="639">
        <v>29217</v>
      </c>
      <c r="I1788" s="639"/>
      <c r="J1788" s="639">
        <v>11179</v>
      </c>
      <c r="K1788" s="640">
        <f t="shared" si="55"/>
        <v>125254</v>
      </c>
      <c r="L1788" s="639">
        <v>21358</v>
      </c>
      <c r="M1788" s="639"/>
      <c r="N1788" s="639">
        <v>148186</v>
      </c>
      <c r="O1788" s="1503">
        <f>1-N1789</f>
        <v>0.66295242449261815</v>
      </c>
    </row>
    <row r="1789" spans="1:15" ht="12" customHeight="1">
      <c r="A1789" s="1517"/>
      <c r="B1789" s="1502"/>
      <c r="C1789" s="635" t="s">
        <v>6219</v>
      </c>
      <c r="D1789" s="636">
        <f>D1788/(D1788+E1788+G1788+H1788+I1788+J1788+L1788+M1788+N1788)</f>
        <v>0.26005608892346116</v>
      </c>
      <c r="E1789" s="636">
        <f>E1788/(D1788+E1788+G1788+H1788+I1788+J1788+L1788+M1788+N1788)</f>
        <v>6.9428807325677397E-2</v>
      </c>
      <c r="F1789" s="637">
        <f t="shared" si="54"/>
        <v>0.32948489624913857</v>
      </c>
      <c r="G1789" s="636">
        <f>G1788/(D1788+E1788+G1788+H1788+I1788+J1788+L1788+M1788+N1788)</f>
        <v>0.19300867263037946</v>
      </c>
      <c r="H1789" s="636">
        <f>H1788/(D1788+E1788+G1788+H1788+I1788+J1788+L1788+M1788+N1788)</f>
        <v>6.6453774402434621E-2</v>
      </c>
      <c r="I1789" s="636">
        <f>I1788/(D1788+E1788+G1788+H1788+I1788+J1788+L1788+M1788+N1788)</f>
        <v>0</v>
      </c>
      <c r="J1789" s="636">
        <f>J1788/(D1788+E1788+G1788+H1788+I1788+J1788+L1788+M1788+N1788)</f>
        <v>2.5426523737714909E-2</v>
      </c>
      <c r="K1789" s="637">
        <f t="shared" si="55"/>
        <v>0.28488897077052899</v>
      </c>
      <c r="L1789" s="636">
        <f>L1788/(D1788+E1788+G1788+H1788+I1788+J1788+L1788+M1788+N1788)</f>
        <v>4.8578557472950624E-2</v>
      </c>
      <c r="M1789" s="636">
        <f>M1788/(D1788+E1788+G1788+H1788+I1788+J1788+L1788+M1788+N1788)</f>
        <v>0</v>
      </c>
      <c r="N1789" s="636">
        <f>N1788/(D1788+E1788+G1788+H1788+I1788+J1788+L1788+M1788+N1788)</f>
        <v>0.33704757550738185</v>
      </c>
      <c r="O1789" s="1503"/>
    </row>
    <row r="1790" spans="1:15" ht="12" customHeight="1">
      <c r="A1790" s="1517"/>
      <c r="B1790" s="1502" t="s">
        <v>14939</v>
      </c>
      <c r="C1790" s="638" t="s">
        <v>6218</v>
      </c>
      <c r="D1790" s="639">
        <v>58253</v>
      </c>
      <c r="E1790" s="639">
        <v>33112</v>
      </c>
      <c r="F1790" s="640">
        <f t="shared" si="54"/>
        <v>91365</v>
      </c>
      <c r="G1790" s="639">
        <v>95035</v>
      </c>
      <c r="H1790" s="639">
        <v>14804</v>
      </c>
      <c r="I1790" s="639"/>
      <c r="J1790" s="639"/>
      <c r="K1790" s="640">
        <f t="shared" si="55"/>
        <v>109839</v>
      </c>
      <c r="L1790" s="639">
        <v>20564</v>
      </c>
      <c r="M1790" s="639">
        <v>11002</v>
      </c>
      <c r="N1790" s="639">
        <v>200807</v>
      </c>
      <c r="O1790" s="1503">
        <f>1-N1791</f>
        <v>0.53685965814607317</v>
      </c>
    </row>
    <row r="1791" spans="1:15" ht="12" customHeight="1">
      <c r="A1791" s="1517"/>
      <c r="B1791" s="1502"/>
      <c r="C1791" s="635" t="s">
        <v>6219</v>
      </c>
      <c r="D1791" s="636">
        <f>D1790/(D1790+E1790+G1790+H1790+I1790+J1790+L1790+M1790+N1790)</f>
        <v>0.13435445145844913</v>
      </c>
      <c r="E1791" s="636">
        <f>E1790/(D1790+E1790+G1790+H1790+I1790+J1790+L1790+M1790+N1790)</f>
        <v>7.6369364611130197E-2</v>
      </c>
      <c r="F1791" s="637">
        <f t="shared" si="54"/>
        <v>0.21072381606957932</v>
      </c>
      <c r="G1791" s="636">
        <f>G1790/(D1790+E1790+G1790+H1790+I1790+J1790+L1790+M1790+N1790)</f>
        <v>0.21918828720158126</v>
      </c>
      <c r="H1791" s="636">
        <f>H1790/(D1790+E1790+G1790+H1790+I1790+J1790+L1790+M1790+N1790)</f>
        <v>3.41438775580808E-2</v>
      </c>
      <c r="I1791" s="636">
        <f>I1790/(D1790+E1790+G1790+H1790+I1790+J1790+L1790+M1790+N1790)</f>
        <v>0</v>
      </c>
      <c r="J1791" s="636">
        <f>J1790/(D1790+E1790+G1790+H1790+I1790+J1790+L1790+M1790+N1790)</f>
        <v>0</v>
      </c>
      <c r="K1791" s="637">
        <f t="shared" si="55"/>
        <v>0.25333216475966208</v>
      </c>
      <c r="L1791" s="636">
        <f>L1790/(D1790+E1790+G1790+H1790+I1790+J1790+L1790+M1790+N1790)</f>
        <v>4.7428715084056577E-2</v>
      </c>
      <c r="M1791" s="636">
        <f>M1790/(D1790+E1790+G1790+H1790+I1790+J1790+L1790+M1790+N1790)</f>
        <v>2.5374962232775262E-2</v>
      </c>
      <c r="N1791" s="636">
        <f>N1790/(D1790+E1790+G1790+H1790+I1790+J1790+L1790+M1790+N1790)</f>
        <v>0.46314034185392677</v>
      </c>
      <c r="O1791" s="1503"/>
    </row>
    <row r="1792" spans="1:15" ht="12" customHeight="1">
      <c r="A1792" s="1517"/>
      <c r="B1792" s="1502" t="s">
        <v>14940</v>
      </c>
      <c r="C1792" s="638" t="s">
        <v>6218</v>
      </c>
      <c r="D1792" s="639">
        <v>74699</v>
      </c>
      <c r="E1792" s="639">
        <v>28281</v>
      </c>
      <c r="F1792" s="640">
        <f t="shared" si="54"/>
        <v>102980</v>
      </c>
      <c r="G1792" s="639">
        <v>94713</v>
      </c>
      <c r="H1792" s="639">
        <v>24209</v>
      </c>
      <c r="I1792" s="639"/>
      <c r="J1792" s="639"/>
      <c r="K1792" s="640">
        <f t="shared" si="55"/>
        <v>118922</v>
      </c>
      <c r="L1792" s="639">
        <v>20590</v>
      </c>
      <c r="M1792" s="639"/>
      <c r="N1792" s="639">
        <v>189461</v>
      </c>
      <c r="O1792" s="1503">
        <f>1-N1793</f>
        <v>0.56138515069926587</v>
      </c>
    </row>
    <row r="1793" spans="1:15" ht="12" customHeight="1" thickBot="1">
      <c r="A1793" s="1519"/>
      <c r="B1793" s="1514"/>
      <c r="C1793" s="641" t="s">
        <v>6219</v>
      </c>
      <c r="D1793" s="642">
        <f>D1792/(D1792+E1792+G1792+H1792+I1792+J1792+L1792+M1792+N1792)</f>
        <v>0.17293316633985642</v>
      </c>
      <c r="E1793" s="642">
        <f>E1792/(D1792+E1792+G1792+H1792+I1792+J1792+L1792+M1792+N1792)</f>
        <v>6.5472400932508862E-2</v>
      </c>
      <c r="F1793" s="643">
        <f t="shared" si="54"/>
        <v>0.23840556727236528</v>
      </c>
      <c r="G1793" s="642">
        <f>G1792/(D1792+E1792+G1792+H1792+I1792+J1792+L1792+M1792+N1792)</f>
        <v>0.21926691098337087</v>
      </c>
      <c r="H1793" s="642">
        <f>H1792/(D1792+E1792+G1792+H1792+I1792+J1792+L1792+M1792+N1792)</f>
        <v>5.6045449389169652E-2</v>
      </c>
      <c r="I1793" s="642">
        <f>I1792/(D1792+E1792+G1792+H1792+I1792+J1792+L1792+M1792+N1792)</f>
        <v>0</v>
      </c>
      <c r="J1793" s="642">
        <f>J1792/(D1792+E1792+G1792+H1792+I1792+J1792+L1792+M1792+N1792)</f>
        <v>0</v>
      </c>
      <c r="K1793" s="643">
        <f t="shared" si="55"/>
        <v>0.27531236037254053</v>
      </c>
      <c r="L1793" s="642">
        <f>L1792/(D1792+E1792+G1792+H1792+I1792+J1792+L1792+M1792+N1792)</f>
        <v>4.7667223054360081E-2</v>
      </c>
      <c r="M1793" s="642">
        <f>M1792/(D1792+E1792+G1792+H1792+I1792+J1792+L1792+M1792+N1792)</f>
        <v>0</v>
      </c>
      <c r="N1793" s="642">
        <f>N1792/(D1792+E1792+G1792+H1792+I1792+J1792+L1792+M1792+N1792)</f>
        <v>0.43861484930073413</v>
      </c>
      <c r="O1793" s="1515"/>
    </row>
    <row r="1794" spans="1:15" ht="12" customHeight="1">
      <c r="A1794" s="1532" t="s">
        <v>15162</v>
      </c>
      <c r="B1794" s="1509" t="s">
        <v>14937</v>
      </c>
      <c r="C1794" s="647" t="s">
        <v>6218</v>
      </c>
      <c r="D1794" s="648">
        <v>35210</v>
      </c>
      <c r="E1794" s="648">
        <v>45924</v>
      </c>
      <c r="F1794" s="649">
        <f t="shared" ref="F1794:F1857" si="56">SUM(D1794:E1794)</f>
        <v>81134</v>
      </c>
      <c r="G1794" s="648">
        <v>78331</v>
      </c>
      <c r="H1794" s="648">
        <v>7202</v>
      </c>
      <c r="I1794" s="648">
        <v>3423</v>
      </c>
      <c r="J1794" s="648">
        <v>7087</v>
      </c>
      <c r="K1794" s="649">
        <f t="shared" ref="K1794:K1857" si="57">SUM(G1794:J1794)</f>
        <v>96043</v>
      </c>
      <c r="L1794" s="648">
        <v>21356</v>
      </c>
      <c r="M1794" s="648">
        <v>5920</v>
      </c>
      <c r="N1794" s="648">
        <v>174712</v>
      </c>
      <c r="O1794" s="1510">
        <f>1-N1795</f>
        <v>0.53921907349043297</v>
      </c>
    </row>
    <row r="1795" spans="1:15" ht="12" customHeight="1">
      <c r="A1795" s="1533"/>
      <c r="B1795" s="1502"/>
      <c r="C1795" s="635" t="s">
        <v>6219</v>
      </c>
      <c r="D1795" s="636">
        <f>D1794/(D1794+E1794+G1794+H1794+I1794+J1794+L1794+M1794+N1794)</f>
        <v>9.2861946645919319E-2</v>
      </c>
      <c r="E1795" s="636">
        <f>E1794/(D1794+E1794+G1794+H1794+I1794+J1794+L1794+M1794+N1794)</f>
        <v>0.1211187741484578</v>
      </c>
      <c r="F1795" s="637">
        <f t="shared" si="56"/>
        <v>0.21398072079437713</v>
      </c>
      <c r="G1795" s="636">
        <f>G1794/(D1794+E1794+G1794+H1794+I1794+J1794+L1794+M1794+N1794)</f>
        <v>0.20658816082708056</v>
      </c>
      <c r="H1795" s="636">
        <f>H1794/(D1794+E1794+G1794+H1794+I1794+J1794+L1794+M1794+N1794)</f>
        <v>1.8994369206018488E-2</v>
      </c>
      <c r="I1795" s="636">
        <f>I1794/(D1794+E1794+G1794+H1794+I1794+J1794+L1794+M1794+N1794)</f>
        <v>9.0277319900307247E-3</v>
      </c>
      <c r="J1795" s="636">
        <f>J1794/(D1794+E1794+G1794+H1794+I1794+J1794+L1794+M1794+N1794)</f>
        <v>1.8691071169543601E-2</v>
      </c>
      <c r="K1795" s="637">
        <f t="shared" si="57"/>
        <v>0.25330133319267339</v>
      </c>
      <c r="L1795" s="636">
        <f>L1794/(D1794+E1794+G1794+H1794+I1794+J1794+L1794+M1794+N1794)</f>
        <v>5.6323764060501366E-2</v>
      </c>
      <c r="M1795" s="636">
        <f>M1794/(D1794+E1794+G1794+H1794+I1794+J1794+L1794+M1794+N1794)</f>
        <v>1.5613255442881068E-2</v>
      </c>
      <c r="N1795" s="636">
        <f>N1794/(D1794+E1794+G1794+H1794+I1794+J1794+L1794+M1794+N1794)</f>
        <v>0.46078092650956709</v>
      </c>
      <c r="O1795" s="1503"/>
    </row>
    <row r="1796" spans="1:15" ht="12" customHeight="1">
      <c r="A1796" s="1533"/>
      <c r="B1796" s="1502" t="s">
        <v>14938</v>
      </c>
      <c r="C1796" s="638" t="s">
        <v>6218</v>
      </c>
      <c r="D1796" s="639">
        <v>76938</v>
      </c>
      <c r="E1796" s="639">
        <v>46927</v>
      </c>
      <c r="F1796" s="640">
        <f t="shared" si="56"/>
        <v>123865</v>
      </c>
      <c r="G1796" s="639">
        <v>64363</v>
      </c>
      <c r="H1796" s="639">
        <v>18145</v>
      </c>
      <c r="I1796" s="639"/>
      <c r="J1796" s="639">
        <v>8121</v>
      </c>
      <c r="K1796" s="640">
        <f t="shared" si="57"/>
        <v>90629</v>
      </c>
      <c r="L1796" s="639">
        <v>25104</v>
      </c>
      <c r="M1796" s="639"/>
      <c r="N1796" s="639">
        <v>139947</v>
      </c>
      <c r="O1796" s="1503">
        <f>1-N1797</f>
        <v>0.63127692368493848</v>
      </c>
    </row>
    <row r="1797" spans="1:15" ht="12" customHeight="1">
      <c r="A1797" s="1533"/>
      <c r="B1797" s="1502"/>
      <c r="C1797" s="635" t="s">
        <v>6219</v>
      </c>
      <c r="D1797" s="636">
        <f>D1796/(D1796+E1796+G1796+H1796+I1796+J1796+L1796+M1796+N1796)</f>
        <v>0.20271114097142631</v>
      </c>
      <c r="E1797" s="636">
        <f>E1796/(D1796+E1796+G1796+H1796+I1796+J1796+L1796+M1796+N1796)</f>
        <v>0.12364014807203362</v>
      </c>
      <c r="F1797" s="637">
        <f t="shared" si="56"/>
        <v>0.32635128904345995</v>
      </c>
      <c r="G1797" s="636">
        <f>G1796/(D1796+E1796+G1796+H1796+I1796+J1796+L1796+M1796+N1796)</f>
        <v>0.16957936476570631</v>
      </c>
      <c r="H1797" s="636">
        <f>H1796/(D1796+E1796+G1796+H1796+I1796+J1796+L1796+M1796+N1796)</f>
        <v>4.7807242882925607E-2</v>
      </c>
      <c r="I1797" s="636">
        <f>I1796/(D1796+E1796+G1796+H1796+I1796+J1796+L1796+M1796+N1796)</f>
        <v>0</v>
      </c>
      <c r="J1797" s="636">
        <f>J1796/(D1796+E1796+G1796+H1796+I1796+J1796+L1796+M1796+N1796)</f>
        <v>2.139667233134411E-2</v>
      </c>
      <c r="K1797" s="637">
        <f t="shared" si="57"/>
        <v>0.23878327997997606</v>
      </c>
      <c r="L1797" s="636">
        <f>L1796/(D1796+E1796+G1796+H1796+I1796+J1796+L1796+M1796+N1796)</f>
        <v>6.6142354661502589E-2</v>
      </c>
      <c r="M1797" s="636">
        <f>M1796/(D1796+E1796+G1796+H1796+I1796+J1796+L1796+M1796+N1796)</f>
        <v>0</v>
      </c>
      <c r="N1797" s="636">
        <f>N1796/(D1796+E1796+G1796+H1796+I1796+J1796+L1796+M1796+N1796)</f>
        <v>0.36872307631506146</v>
      </c>
      <c r="O1797" s="1503"/>
    </row>
    <row r="1798" spans="1:15" ht="12" customHeight="1">
      <c r="A1798" s="1533"/>
      <c r="B1798" s="1502" t="s">
        <v>14939</v>
      </c>
      <c r="C1798" s="638" t="s">
        <v>6218</v>
      </c>
      <c r="D1798" s="639">
        <v>37528</v>
      </c>
      <c r="E1798" s="639">
        <v>49606</v>
      </c>
      <c r="F1798" s="640">
        <f t="shared" si="56"/>
        <v>87134</v>
      </c>
      <c r="G1798" s="639">
        <v>64112</v>
      </c>
      <c r="H1798" s="639">
        <v>9944</v>
      </c>
      <c r="I1798" s="639"/>
      <c r="J1798" s="639"/>
      <c r="K1798" s="640">
        <f t="shared" si="57"/>
        <v>74056</v>
      </c>
      <c r="L1798" s="639">
        <v>22087</v>
      </c>
      <c r="M1798" s="639">
        <v>8015</v>
      </c>
      <c r="N1798" s="639">
        <v>188357</v>
      </c>
      <c r="O1798" s="1503">
        <f>1-N1799</f>
        <v>0.50386541252578043</v>
      </c>
    </row>
    <row r="1799" spans="1:15" ht="12" customHeight="1">
      <c r="A1799" s="1533"/>
      <c r="B1799" s="1502"/>
      <c r="C1799" s="635" t="s">
        <v>6219</v>
      </c>
      <c r="D1799" s="636">
        <f>D1798/(D1798+E1798+G1798+H1798+I1798+J1798+L1798+M1798+N1798)</f>
        <v>9.8849200182273625E-2</v>
      </c>
      <c r="E1799" s="636">
        <f>E1798/(D1798+E1798+G1798+H1798+I1798+J1798+L1798+M1798+N1798)</f>
        <v>0.13066279642511899</v>
      </c>
      <c r="F1799" s="637">
        <f t="shared" si="56"/>
        <v>0.22951199660739263</v>
      </c>
      <c r="G1799" s="636">
        <f>G1798/(D1798+E1798+G1798+H1798+I1798+J1798+L1798+M1798+N1798)</f>
        <v>0.1688717736646218</v>
      </c>
      <c r="H1799" s="636">
        <f>H1798/(D1798+E1798+G1798+H1798+I1798+J1798+L1798+M1798+N1798)</f>
        <v>2.6192614757315311E-2</v>
      </c>
      <c r="I1799" s="636">
        <f>I1798/(D1798+E1798+G1798+H1798+I1798+J1798+L1798+M1798+N1798)</f>
        <v>0</v>
      </c>
      <c r="J1799" s="636">
        <f>J1798/(D1798+E1798+G1798+H1798+I1798+J1798+L1798+M1798+N1798)</f>
        <v>0</v>
      </c>
      <c r="K1799" s="637">
        <f t="shared" si="57"/>
        <v>0.19506438842193713</v>
      </c>
      <c r="L1799" s="636">
        <f>L1798/(D1798+E1798+G1798+H1798+I1798+J1798+L1798+M1798+N1798)</f>
        <v>5.8177421776430337E-2</v>
      </c>
      <c r="M1799" s="636">
        <f>M1798/(D1798+E1798+G1798+H1798+I1798+J1798+L1798+M1798+N1798)</f>
        <v>2.1111605720020334E-2</v>
      </c>
      <c r="N1799" s="636">
        <f>N1798/(D1798+E1798+G1798+H1798+I1798+J1798+L1798+M1798+N1798)</f>
        <v>0.49613458747421962</v>
      </c>
      <c r="O1799" s="1503"/>
    </row>
    <row r="1800" spans="1:15" ht="12" customHeight="1">
      <c r="A1800" s="1533"/>
      <c r="B1800" s="1502" t="s">
        <v>14940</v>
      </c>
      <c r="C1800" s="638" t="s">
        <v>6218</v>
      </c>
      <c r="D1800" s="639">
        <v>51911</v>
      </c>
      <c r="E1800" s="639">
        <v>50766</v>
      </c>
      <c r="F1800" s="640">
        <f t="shared" si="56"/>
        <v>102677</v>
      </c>
      <c r="G1800" s="639">
        <v>71663</v>
      </c>
      <c r="H1800" s="639">
        <v>15713</v>
      </c>
      <c r="I1800" s="639"/>
      <c r="J1800" s="639"/>
      <c r="K1800" s="640">
        <f t="shared" si="57"/>
        <v>87376</v>
      </c>
      <c r="L1800" s="639">
        <v>23168</v>
      </c>
      <c r="M1800" s="639"/>
      <c r="N1800" s="639">
        <v>166377</v>
      </c>
      <c r="O1800" s="1503">
        <f>1-N1801</f>
        <v>0.56170211644950707</v>
      </c>
    </row>
    <row r="1801" spans="1:15" ht="12" customHeight="1" thickBot="1">
      <c r="A1801" s="1534"/>
      <c r="B1801" s="1514"/>
      <c r="C1801" s="641" t="s">
        <v>6219</v>
      </c>
      <c r="D1801" s="642">
        <f>D1800/(D1800+E1800+G1800+H1800+I1800+J1800+L1800+M1800+N1800)</f>
        <v>0.13675256455513465</v>
      </c>
      <c r="E1801" s="642">
        <f>E1800/(D1800+E1800+G1800+H1800+I1800+J1800+L1800+M1800+N1800)</f>
        <v>0.13373621568079916</v>
      </c>
      <c r="F1801" s="643">
        <f t="shared" si="56"/>
        <v>0.27048878023593381</v>
      </c>
      <c r="G1801" s="642">
        <f>G1800/(D1800+E1800+G1800+H1800+I1800+J1800+L1800+M1800+N1800)</f>
        <v>0.18878655841179354</v>
      </c>
      <c r="H1801" s="642">
        <f>H1800/(D1800+E1800+G1800+H1800+I1800+J1800+L1800+M1800+N1800)</f>
        <v>4.139379027286761E-2</v>
      </c>
      <c r="I1801" s="642">
        <f>I1800/(D1800+E1800+G1800+H1800+I1800+J1800+L1800+M1800+N1800)</f>
        <v>0</v>
      </c>
      <c r="J1801" s="642">
        <f>J1800/(D1800+E1800+G1800+H1800+I1800+J1800+L1800+M1800+N1800)</f>
        <v>0</v>
      </c>
      <c r="K1801" s="643">
        <f t="shared" si="57"/>
        <v>0.23018034868466114</v>
      </c>
      <c r="L1801" s="642">
        <f>L1800/(D1800+E1800+G1800+H1800+I1800+J1800+L1800+M1800+N1800)</f>
        <v>6.1032987528912168E-2</v>
      </c>
      <c r="M1801" s="642">
        <f>M1800/(D1800+E1800+G1800+H1800+I1800+J1800+L1800+M1800+N1800)</f>
        <v>0</v>
      </c>
      <c r="N1801" s="642">
        <f>N1800/(D1800+E1800+G1800+H1800+I1800+J1800+L1800+M1800+N1800)</f>
        <v>0.43829788355049287</v>
      </c>
      <c r="O1801" s="1515"/>
    </row>
    <row r="1802" spans="1:15" ht="12" customHeight="1">
      <c r="A1802" s="1516" t="s">
        <v>15163</v>
      </c>
      <c r="B1802" s="1509" t="s">
        <v>14937</v>
      </c>
      <c r="C1802" s="647" t="s">
        <v>6218</v>
      </c>
      <c r="D1802" s="648">
        <v>51629</v>
      </c>
      <c r="E1802" s="648">
        <v>30958</v>
      </c>
      <c r="F1802" s="649">
        <f t="shared" si="56"/>
        <v>82587</v>
      </c>
      <c r="G1802" s="648">
        <v>71008</v>
      </c>
      <c r="H1802" s="648">
        <v>5341</v>
      </c>
      <c r="I1802" s="648">
        <v>11075</v>
      </c>
      <c r="J1802" s="648">
        <v>6314</v>
      </c>
      <c r="K1802" s="649">
        <f t="shared" si="57"/>
        <v>93738</v>
      </c>
      <c r="L1802" s="648">
        <v>14703</v>
      </c>
      <c r="M1802" s="648">
        <v>5298</v>
      </c>
      <c r="N1802" s="648">
        <v>165128</v>
      </c>
      <c r="O1802" s="1510">
        <f>1-N1803</f>
        <v>0.54315625224786557</v>
      </c>
    </row>
    <row r="1803" spans="1:15" ht="12" customHeight="1">
      <c r="A1803" s="1517"/>
      <c r="B1803" s="1502"/>
      <c r="C1803" s="635" t="s">
        <v>6219</v>
      </c>
      <c r="D1803" s="636">
        <f>D1802/(D1802+E1802+G1802+H1802+I1802+J1802+L1802+M1802+N1802)</f>
        <v>0.14283698617251434</v>
      </c>
      <c r="E1803" s="636">
        <f>E1802/(D1802+E1802+G1802+H1802+I1802+J1802+L1802+M1802+N1802)</f>
        <v>8.5648519590321312E-2</v>
      </c>
      <c r="F1803" s="637">
        <f t="shared" si="56"/>
        <v>0.22848550576283566</v>
      </c>
      <c r="G1803" s="636">
        <f>G1802/(D1802+E1802+G1802+H1802+I1802+J1802+L1802+M1802+N1802)</f>
        <v>0.19645100068058452</v>
      </c>
      <c r="H1803" s="636">
        <f>H1802/(D1802+E1802+G1802+H1802+I1802+J1802+L1802+M1802+N1802)</f>
        <v>1.477643074914097E-2</v>
      </c>
      <c r="I1803" s="636">
        <f>I1802/(D1802+E1802+G1802+H1802+I1802+J1802+L1802+M1802+N1802)</f>
        <v>3.0640136780890514E-2</v>
      </c>
      <c r="J1803" s="636">
        <f>J1802/(D1802+E1802+G1802+H1802+I1802+J1802+L1802+M1802+N1802)</f>
        <v>1.7468336219823268E-2</v>
      </c>
      <c r="K1803" s="637">
        <f t="shared" si="57"/>
        <v>0.25933590443043925</v>
      </c>
      <c r="L1803" s="636">
        <f>L1802/(D1802+E1802+G1802+H1802+I1802+J1802+L1802+M1802+N1802)</f>
        <v>4.0677375267668917E-2</v>
      </c>
      <c r="M1803" s="636">
        <f>M1802/(D1802+E1802+G1802+H1802+I1802+J1802+L1802+M1802+N1802)</f>
        <v>1.4657466786921711E-2</v>
      </c>
      <c r="N1803" s="636">
        <f>N1802/(D1802+E1802+G1802+H1802+I1802+J1802+L1802+M1802+N1802)</f>
        <v>0.45684374775213443</v>
      </c>
      <c r="O1803" s="1503"/>
    </row>
    <row r="1804" spans="1:15" ht="12" customHeight="1">
      <c r="A1804" s="1517"/>
      <c r="B1804" s="1502" t="s">
        <v>14938</v>
      </c>
      <c r="C1804" s="638" t="s">
        <v>6218</v>
      </c>
      <c r="D1804" s="639">
        <v>88606</v>
      </c>
      <c r="E1804" s="639">
        <v>33825</v>
      </c>
      <c r="F1804" s="640">
        <f t="shared" si="56"/>
        <v>122431</v>
      </c>
      <c r="G1804" s="639">
        <v>64809</v>
      </c>
      <c r="H1804" s="639">
        <v>13610</v>
      </c>
      <c r="I1804" s="639"/>
      <c r="J1804" s="639">
        <v>14150</v>
      </c>
      <c r="K1804" s="640">
        <f t="shared" si="57"/>
        <v>92569</v>
      </c>
      <c r="L1804" s="639">
        <v>17047</v>
      </c>
      <c r="M1804" s="639"/>
      <c r="N1804" s="639">
        <v>129702</v>
      </c>
      <c r="O1804" s="1503">
        <f>1-N1805</f>
        <v>0.64145858039690506</v>
      </c>
    </row>
    <row r="1805" spans="1:15" ht="12" customHeight="1">
      <c r="A1805" s="1517"/>
      <c r="B1805" s="1502"/>
      <c r="C1805" s="635" t="s">
        <v>6219</v>
      </c>
      <c r="D1805" s="636">
        <f>D1804/(D1804+E1804+G1804+H1804+I1804+J1804+L1804+M1804+N1804)</f>
        <v>0.24493778835601482</v>
      </c>
      <c r="E1805" s="636">
        <f>E1804/(D1804+E1804+G1804+H1804+I1804+J1804+L1804+M1804+N1804)</f>
        <v>9.3504059444531981E-2</v>
      </c>
      <c r="F1805" s="637">
        <f t="shared" si="56"/>
        <v>0.33844184780054681</v>
      </c>
      <c r="G1805" s="636">
        <f>G1804/(D1804+E1804+G1804+H1804+I1804+J1804+L1804+M1804+N1804)</f>
        <v>0.17915460720001991</v>
      </c>
      <c r="H1805" s="636">
        <f>H1804/(D1804+E1804+G1804+H1804+I1804+J1804+L1804+M1804+N1804)</f>
        <v>3.7622771590246275E-2</v>
      </c>
      <c r="I1805" s="636">
        <f>I1804/(D1804+E1804+G1804+H1804+I1804+J1804+L1804+M1804+N1804)</f>
        <v>0</v>
      </c>
      <c r="J1805" s="636">
        <f>J1804/(D1804+E1804+G1804+H1804+I1804+J1804+L1804+M1804+N1804)</f>
        <v>3.9115519324172288E-2</v>
      </c>
      <c r="K1805" s="637">
        <f t="shared" si="57"/>
        <v>0.25589289811443849</v>
      </c>
      <c r="L1805" s="636">
        <f>L1804/(D1804+E1804+G1804+H1804+I1804+J1804+L1804+M1804+N1804)</f>
        <v>4.7123834481919785E-2</v>
      </c>
      <c r="M1805" s="636">
        <f>M1804/(D1804+E1804+G1804+H1804+I1804+J1804+L1804+M1804+N1804)</f>
        <v>0</v>
      </c>
      <c r="N1805" s="636">
        <f>N1804/(D1804+E1804+G1804+H1804+I1804+J1804+L1804+M1804+N1804)</f>
        <v>0.35854141960309499</v>
      </c>
      <c r="O1805" s="1503"/>
    </row>
    <row r="1806" spans="1:15" ht="12" customHeight="1">
      <c r="A1806" s="1517"/>
      <c r="B1806" s="1502" t="s">
        <v>14939</v>
      </c>
      <c r="C1806" s="638" t="s">
        <v>6218</v>
      </c>
      <c r="D1806" s="639">
        <v>52903</v>
      </c>
      <c r="E1806" s="639">
        <v>36510</v>
      </c>
      <c r="F1806" s="640">
        <f t="shared" si="56"/>
        <v>89413</v>
      </c>
      <c r="G1806" s="639">
        <v>70501</v>
      </c>
      <c r="H1806" s="639">
        <v>8089</v>
      </c>
      <c r="I1806" s="639"/>
      <c r="J1806" s="639"/>
      <c r="K1806" s="640">
        <f t="shared" si="57"/>
        <v>78590</v>
      </c>
      <c r="L1806" s="639">
        <v>16237</v>
      </c>
      <c r="M1806" s="639">
        <v>7813</v>
      </c>
      <c r="N1806" s="639">
        <v>169727</v>
      </c>
      <c r="O1806" s="1503">
        <f>1-N1807</f>
        <v>0.53085576869920947</v>
      </c>
    </row>
    <row r="1807" spans="1:15" ht="12" customHeight="1">
      <c r="A1807" s="1517"/>
      <c r="B1807" s="1502"/>
      <c r="C1807" s="635" t="s">
        <v>6219</v>
      </c>
      <c r="D1807" s="636">
        <f>D1806/(D1806+E1806+G1806+H1806+I1806+J1806+L1806+M1806+N1806)</f>
        <v>0.14622975288849577</v>
      </c>
      <c r="E1807" s="636">
        <f>E1806/(D1806+E1806+G1806+H1806+I1806+J1806+L1806+M1806+N1806)</f>
        <v>0.10091768478080601</v>
      </c>
      <c r="F1807" s="637">
        <f t="shared" si="56"/>
        <v>0.24714743766930178</v>
      </c>
      <c r="G1807" s="636">
        <f>G1806/(D1806+E1806+G1806+H1806+I1806+J1806+L1806+M1806+N1806)</f>
        <v>0.19487257449278567</v>
      </c>
      <c r="H1807" s="636">
        <f>H1806/(D1806+E1806+G1806+H1806+I1806+J1806+L1806+M1806+N1806)</f>
        <v>2.2358892144397149E-2</v>
      </c>
      <c r="I1807" s="636">
        <f>I1806/(D1806+E1806+G1806+H1806+I1806+J1806+L1806+M1806+N1806)</f>
        <v>0</v>
      </c>
      <c r="J1807" s="636">
        <f>J1806/(D1806+E1806+G1806+H1806+I1806+J1806+L1806+M1806+N1806)</f>
        <v>0</v>
      </c>
      <c r="K1807" s="637">
        <f t="shared" si="57"/>
        <v>0.21723146663718282</v>
      </c>
      <c r="L1807" s="636">
        <f>L1806/(D1806+E1806+G1806+H1806+I1806+J1806+L1806+M1806+N1806)</f>
        <v>4.4880866825142349E-2</v>
      </c>
      <c r="M1807" s="636">
        <f>M1806/(D1806+E1806+G1806+H1806+I1806+J1806+L1806+M1806+N1806)</f>
        <v>2.1595997567582507E-2</v>
      </c>
      <c r="N1807" s="636">
        <f>N1806/(D1806+E1806+G1806+H1806+I1806+J1806+L1806+M1806+N1806)</f>
        <v>0.46914423130079053</v>
      </c>
      <c r="O1807" s="1503"/>
    </row>
    <row r="1808" spans="1:15" ht="12" customHeight="1">
      <c r="A1808" s="1517"/>
      <c r="B1808" s="1502" t="s">
        <v>14940</v>
      </c>
      <c r="C1808" s="638" t="s">
        <v>6218</v>
      </c>
      <c r="D1808" s="639">
        <v>68593</v>
      </c>
      <c r="E1808" s="639">
        <v>38312</v>
      </c>
      <c r="F1808" s="640">
        <f t="shared" si="56"/>
        <v>106905</v>
      </c>
      <c r="G1808" s="639">
        <v>74886</v>
      </c>
      <c r="H1808" s="639">
        <v>9125</v>
      </c>
      <c r="I1808" s="639"/>
      <c r="J1808" s="639"/>
      <c r="K1808" s="640">
        <f t="shared" si="57"/>
        <v>84011</v>
      </c>
      <c r="L1808" s="639">
        <v>16327</v>
      </c>
      <c r="M1808" s="639"/>
      <c r="N1808" s="639">
        <v>154267</v>
      </c>
      <c r="O1808" s="1503">
        <f>1-N1809</f>
        <v>0.57327044895023649</v>
      </c>
    </row>
    <row r="1809" spans="1:15" ht="12" customHeight="1" thickBot="1">
      <c r="A1809" s="1519"/>
      <c r="B1809" s="1514"/>
      <c r="C1809" s="641" t="s">
        <v>6219</v>
      </c>
      <c r="D1809" s="642">
        <f>D1808/(D1808+E1808+G1808+H1808+I1808+J1808+L1808+M1808+N1808)</f>
        <v>0.18974025614782442</v>
      </c>
      <c r="E1809" s="642">
        <f>E1808/(D1808+E1808+G1808+H1808+I1808+J1808+L1808+M1808+N1808)</f>
        <v>0.10597770462781113</v>
      </c>
      <c r="F1809" s="643">
        <f t="shared" si="56"/>
        <v>0.29571796077563556</v>
      </c>
      <c r="G1809" s="642">
        <f>G1808/(D1808+E1808+G1808+H1808+I1808+J1808+L1808+M1808+N1808)</f>
        <v>0.20714779674144559</v>
      </c>
      <c r="H1809" s="642">
        <f>H1808/(D1808+E1808+G1808+H1808+I1808+J1808+L1808+M1808+N1808)</f>
        <v>2.5241348787032172E-2</v>
      </c>
      <c r="I1809" s="642">
        <f>I1808/(D1808+E1808+G1808+H1808+I1808+J1808+L1808+M1808+N1808)</f>
        <v>0</v>
      </c>
      <c r="J1809" s="642">
        <f>J1808/(D1808+E1808+G1808+H1808+I1808+J1808+L1808+M1808+N1808)</f>
        <v>0</v>
      </c>
      <c r="K1809" s="643">
        <f t="shared" si="57"/>
        <v>0.23238914552847778</v>
      </c>
      <c r="L1809" s="642">
        <f>L1808/(D1808+E1808+G1808+H1808+I1808+J1808+L1808+M1808+N1808)</f>
        <v>4.5163342646123206E-2</v>
      </c>
      <c r="M1809" s="642">
        <f>M1808/(D1808+E1808+G1808+H1808+I1808+J1808+L1808+M1808+N1808)</f>
        <v>0</v>
      </c>
      <c r="N1809" s="642">
        <f>N1808/(D1808+E1808+G1808+H1808+I1808+J1808+L1808+M1808+N1808)</f>
        <v>0.42672955104976351</v>
      </c>
      <c r="O1809" s="1515"/>
    </row>
    <row r="1810" spans="1:15" ht="12" customHeight="1">
      <c r="A1810" s="1516" t="s">
        <v>15164</v>
      </c>
      <c r="B1810" s="1509" t="s">
        <v>14937</v>
      </c>
      <c r="C1810" s="647" t="s">
        <v>6218</v>
      </c>
      <c r="D1810" s="648">
        <v>39513</v>
      </c>
      <c r="E1810" s="648">
        <v>34356</v>
      </c>
      <c r="F1810" s="649">
        <f t="shared" si="56"/>
        <v>73869</v>
      </c>
      <c r="G1810" s="648">
        <v>79134</v>
      </c>
      <c r="H1810" s="648">
        <v>5832</v>
      </c>
      <c r="I1810" s="648">
        <v>2680</v>
      </c>
      <c r="J1810" s="648">
        <v>5869</v>
      </c>
      <c r="K1810" s="649">
        <f t="shared" si="57"/>
        <v>93515</v>
      </c>
      <c r="L1810" s="648">
        <v>13610</v>
      </c>
      <c r="M1810" s="648">
        <v>5957</v>
      </c>
      <c r="N1810" s="648">
        <v>155021</v>
      </c>
      <c r="O1810" s="1510">
        <f>1-N1811</f>
        <v>0.54668510872235154</v>
      </c>
    </row>
    <row r="1811" spans="1:15" ht="12" customHeight="1">
      <c r="A1811" s="1517"/>
      <c r="B1811" s="1502"/>
      <c r="C1811" s="635" t="s">
        <v>6219</v>
      </c>
      <c r="D1811" s="636">
        <f>D1810/(D1810+E1810+G1810+H1810+I1810+J1810+L1810+M1810+N1810)</f>
        <v>0.11554454750681342</v>
      </c>
      <c r="E1811" s="636">
        <f>E1810/(D1810+E1810+G1810+H1810+I1810+J1810+L1810+M1810+N1810)</f>
        <v>0.10046436550360849</v>
      </c>
      <c r="F1811" s="637">
        <f t="shared" si="56"/>
        <v>0.21600891301042191</v>
      </c>
      <c r="G1811" s="636">
        <f>G1810/(D1810+E1810+G1810+H1810+I1810+J1810+L1810+M1810+N1810)</f>
        <v>0.23140491034353688</v>
      </c>
      <c r="H1811" s="636">
        <f>H1810/(D1810+E1810+G1810+H1810+I1810+J1810+L1810+M1810+N1810)</f>
        <v>1.7054027815142762E-2</v>
      </c>
      <c r="I1811" s="636">
        <f>I1810/(D1810+E1810+G1810+H1810+I1810+J1810+L1810+M1810+N1810)</f>
        <v>7.8368989273975651E-3</v>
      </c>
      <c r="J1811" s="636">
        <f>J1810/(D1810+E1810+G1810+H1810+I1810+J1810+L1810+M1810+N1810)</f>
        <v>1.7162223807797129E-2</v>
      </c>
      <c r="K1811" s="637">
        <f t="shared" si="57"/>
        <v>0.27345806089387437</v>
      </c>
      <c r="L1811" s="636">
        <f>L1810/(D1810+E1810+G1810+H1810+I1810+J1810+L1810+M1810+N1810)</f>
        <v>3.9798580000701814E-2</v>
      </c>
      <c r="M1811" s="636">
        <f>M1810/(D1810+E1810+G1810+H1810+I1810+J1810+L1810+M1810+N1810)</f>
        <v>1.7419554817353466E-2</v>
      </c>
      <c r="N1811" s="636">
        <f>N1810/(D1810+E1810+G1810+H1810+I1810+J1810+L1810+M1810+N1810)</f>
        <v>0.45331489127764846</v>
      </c>
      <c r="O1811" s="1503"/>
    </row>
    <row r="1812" spans="1:15" ht="12" customHeight="1">
      <c r="A1812" s="1517"/>
      <c r="B1812" s="1502" t="s">
        <v>14938</v>
      </c>
      <c r="C1812" s="638" t="s">
        <v>6218</v>
      </c>
      <c r="D1812" s="639">
        <v>72322</v>
      </c>
      <c r="E1812" s="639">
        <v>38697</v>
      </c>
      <c r="F1812" s="640">
        <f t="shared" si="56"/>
        <v>111019</v>
      </c>
      <c r="G1812" s="639">
        <v>71447</v>
      </c>
      <c r="H1812" s="639">
        <v>14062</v>
      </c>
      <c r="I1812" s="639"/>
      <c r="J1812" s="639">
        <v>7711</v>
      </c>
      <c r="K1812" s="640">
        <f t="shared" si="57"/>
        <v>93220</v>
      </c>
      <c r="L1812" s="639">
        <v>15121</v>
      </c>
      <c r="M1812" s="639"/>
      <c r="N1812" s="639">
        <v>121180</v>
      </c>
      <c r="O1812" s="1503">
        <f>1-N1813</f>
        <v>0.64415340341810068</v>
      </c>
    </row>
    <row r="1813" spans="1:15" ht="12" customHeight="1">
      <c r="A1813" s="1517"/>
      <c r="B1813" s="1502"/>
      <c r="C1813" s="635" t="s">
        <v>6219</v>
      </c>
      <c r="D1813" s="636">
        <f>D1812/(D1812+E1812+G1812+H1812+I1812+J1812+L1812+M1812+N1812)</f>
        <v>0.21237446408645094</v>
      </c>
      <c r="E1813" s="636">
        <f>E1812/(D1812+E1812+G1812+H1812+I1812+J1812+L1812+M1812+N1812)</f>
        <v>0.11363422799083808</v>
      </c>
      <c r="F1813" s="637">
        <f t="shared" si="56"/>
        <v>0.326008692077289</v>
      </c>
      <c r="G1813" s="636">
        <f>G1812/(D1812+E1812+G1812+H1812+I1812+J1812+L1812+M1812+N1812)</f>
        <v>0.20980501556351677</v>
      </c>
      <c r="H1813" s="636">
        <f>H1812/(D1812+E1812+G1812+H1812+I1812+J1812+L1812+M1812+N1812)</f>
        <v>4.1293240148000232E-2</v>
      </c>
      <c r="I1813" s="636">
        <f>I1812/(D1812+E1812+G1812+H1812+I1812+J1812+L1812+M1812+N1812)</f>
        <v>0</v>
      </c>
      <c r="J1813" s="636">
        <f>J1812/(D1812+E1812+G1812+H1812+I1812+J1812+L1812+M1812+N1812)</f>
        <v>2.2643448640394668E-2</v>
      </c>
      <c r="K1813" s="637">
        <f t="shared" si="57"/>
        <v>0.2737417043519117</v>
      </c>
      <c r="L1813" s="636">
        <f>L1812/(D1812+E1812+G1812+H1812+I1812+J1812+L1812+M1812+N1812)</f>
        <v>4.4403006988899985E-2</v>
      </c>
      <c r="M1813" s="636">
        <f>M1812/(D1812+E1812+G1812+H1812+I1812+J1812+L1812+M1812+N1812)</f>
        <v>0</v>
      </c>
      <c r="N1813" s="636">
        <f>N1812/(D1812+E1812+G1812+H1812+I1812+J1812+L1812+M1812+N1812)</f>
        <v>0.35584659658189932</v>
      </c>
      <c r="O1813" s="1503"/>
    </row>
    <row r="1814" spans="1:15" ht="12" customHeight="1">
      <c r="A1814" s="1517"/>
      <c r="B1814" s="1502" t="s">
        <v>14939</v>
      </c>
      <c r="C1814" s="638" t="s">
        <v>6218</v>
      </c>
      <c r="D1814" s="639">
        <v>38823</v>
      </c>
      <c r="E1814" s="639">
        <v>36845</v>
      </c>
      <c r="F1814" s="640">
        <f t="shared" si="56"/>
        <v>75668</v>
      </c>
      <c r="G1814" s="639">
        <v>72152</v>
      </c>
      <c r="H1814" s="639">
        <v>8089</v>
      </c>
      <c r="I1814" s="639"/>
      <c r="J1814" s="639"/>
      <c r="K1814" s="640">
        <f t="shared" si="57"/>
        <v>80241</v>
      </c>
      <c r="L1814" s="639">
        <v>13537</v>
      </c>
      <c r="M1814" s="639">
        <v>7101</v>
      </c>
      <c r="N1814" s="639">
        <v>162825</v>
      </c>
      <c r="O1814" s="1503">
        <f>1-N1815</f>
        <v>0.5202167532972668</v>
      </c>
    </row>
    <row r="1815" spans="1:15" ht="12" customHeight="1">
      <c r="A1815" s="1517"/>
      <c r="B1815" s="1502"/>
      <c r="C1815" s="635" t="s">
        <v>6219</v>
      </c>
      <c r="D1815" s="636">
        <f>D1814/(D1814+E1814+G1814+H1814+I1814+J1814+L1814+M1814+N1814)</f>
        <v>0.11439659135108377</v>
      </c>
      <c r="E1815" s="636">
        <f>E1814/(D1814+E1814+G1814+H1814+I1814+J1814+L1814+M1814+N1814)</f>
        <v>0.10856817887156277</v>
      </c>
      <c r="F1815" s="637">
        <f t="shared" si="56"/>
        <v>0.22296477022264655</v>
      </c>
      <c r="G1815" s="636">
        <f>G1814/(D1814+E1814+G1814+H1814+I1814+J1814+L1814+M1814+N1814)</f>
        <v>0.21260445764529778</v>
      </c>
      <c r="H1815" s="636">
        <f>H1814/(D1814+E1814+G1814+H1814+I1814+J1814+L1814+M1814+N1814)</f>
        <v>2.3835201489810592E-2</v>
      </c>
      <c r="I1815" s="636">
        <f>I1814/(D1814+E1814+G1814+H1814+I1814+J1814+L1814+M1814+N1814)</f>
        <v>0</v>
      </c>
      <c r="J1815" s="636">
        <f>J1814/(D1814+E1814+G1814+H1814+I1814+J1814+L1814+M1814+N1814)</f>
        <v>0</v>
      </c>
      <c r="K1815" s="637">
        <f t="shared" si="57"/>
        <v>0.23643965913510837</v>
      </c>
      <c r="L1815" s="636">
        <f>L1814/(D1814+E1814+G1814+H1814+I1814+J1814+L1814+M1814+N1814)</f>
        <v>3.9888382070412412E-2</v>
      </c>
      <c r="M1815" s="636">
        <f>M1814/(D1814+E1814+G1814+H1814+I1814+J1814+L1814+M1814+N1814)</f>
        <v>2.0923941869099395E-2</v>
      </c>
      <c r="N1815" s="636">
        <f>N1814/(D1814+E1814+G1814+H1814+I1814+J1814+L1814+M1814+N1814)</f>
        <v>0.47978324670273326</v>
      </c>
      <c r="O1815" s="1503"/>
    </row>
    <row r="1816" spans="1:15" ht="12" customHeight="1">
      <c r="A1816" s="1517"/>
      <c r="B1816" s="1502" t="s">
        <v>14940</v>
      </c>
      <c r="C1816" s="638" t="s">
        <v>6218</v>
      </c>
      <c r="D1816" s="639">
        <v>52492</v>
      </c>
      <c r="E1816" s="639">
        <v>38959</v>
      </c>
      <c r="F1816" s="640">
        <f t="shared" si="56"/>
        <v>91451</v>
      </c>
      <c r="G1816" s="639">
        <v>74592</v>
      </c>
      <c r="H1816" s="639">
        <v>9090</v>
      </c>
      <c r="I1816" s="639"/>
      <c r="J1816" s="639"/>
      <c r="K1816" s="640">
        <f t="shared" si="57"/>
        <v>83682</v>
      </c>
      <c r="L1816" s="639">
        <v>13928</v>
      </c>
      <c r="M1816" s="639"/>
      <c r="N1816" s="639">
        <v>149410</v>
      </c>
      <c r="O1816" s="1503">
        <f>1-N1817</f>
        <v>0.55857370350783375</v>
      </c>
    </row>
    <row r="1817" spans="1:15" ht="12" customHeight="1" thickBot="1">
      <c r="A1817" s="1519"/>
      <c r="B1817" s="1514"/>
      <c r="C1817" s="641" t="s">
        <v>6219</v>
      </c>
      <c r="D1817" s="642">
        <f>D1816/(D1816+E1816+G1816+H1816+I1816+J1816+L1816+M1816+N1816)</f>
        <v>0.15508566465073817</v>
      </c>
      <c r="E1817" s="642">
        <f>E1816/(D1816+E1816+G1816+H1816+I1816+J1816+L1816+M1816+N1816)</f>
        <v>0.11510291871386323</v>
      </c>
      <c r="F1817" s="643">
        <f t="shared" si="56"/>
        <v>0.27018858336460139</v>
      </c>
      <c r="G1817" s="642">
        <f>G1816/(D1816+E1816+G1816+H1816+I1816+J1816+L1816+M1816+N1816)</f>
        <v>0.22037929394246478</v>
      </c>
      <c r="H1817" s="642">
        <f>H1816/(D1816+E1816+G1816+H1816+I1816+J1816+L1816+M1816+N1816)</f>
        <v>2.6856067432660405E-2</v>
      </c>
      <c r="I1817" s="642">
        <f>I1816/(D1816+E1816+G1816+H1816+I1816+J1816+L1816+M1816+N1816)</f>
        <v>0</v>
      </c>
      <c r="J1817" s="642">
        <f>J1816/(D1816+E1816+G1816+H1816+I1816+J1816+L1816+M1816+N1816)</f>
        <v>0</v>
      </c>
      <c r="K1817" s="643">
        <f t="shared" si="57"/>
        <v>0.2472353613751252</v>
      </c>
      <c r="L1817" s="642">
        <f>L1816/(D1816+E1816+G1816+H1816+I1816+J1816+L1816+M1816+N1816)</f>
        <v>4.1149758768107163E-2</v>
      </c>
      <c r="M1817" s="642">
        <f>M1816/(D1816+E1816+G1816+H1816+I1816+J1816+L1816+M1816+N1816)</f>
        <v>0</v>
      </c>
      <c r="N1817" s="642">
        <f>N1816/(D1816+E1816+G1816+H1816+I1816+J1816+L1816+M1816+N1816)</f>
        <v>0.44142629649216625</v>
      </c>
      <c r="O1817" s="1515"/>
    </row>
    <row r="1818" spans="1:15" ht="12" customHeight="1">
      <c r="A1818" s="1516" t="s">
        <v>15165</v>
      </c>
      <c r="B1818" s="1509" t="s">
        <v>14937</v>
      </c>
      <c r="C1818" s="647" t="s">
        <v>6218</v>
      </c>
      <c r="D1818" s="648">
        <v>43540</v>
      </c>
      <c r="E1818" s="648">
        <v>33945</v>
      </c>
      <c r="F1818" s="649">
        <f t="shared" si="56"/>
        <v>77485</v>
      </c>
      <c r="G1818" s="648">
        <v>81468</v>
      </c>
      <c r="H1818" s="648">
        <v>4603</v>
      </c>
      <c r="I1818" s="648">
        <v>3268</v>
      </c>
      <c r="J1818" s="648">
        <v>5828</v>
      </c>
      <c r="K1818" s="649">
        <f t="shared" si="57"/>
        <v>95167</v>
      </c>
      <c r="L1818" s="648">
        <v>13308</v>
      </c>
      <c r="M1818" s="648">
        <v>4981</v>
      </c>
      <c r="N1818" s="648">
        <v>186492</v>
      </c>
      <c r="O1818" s="1510">
        <f>1-N1819</f>
        <v>0.50589376127683594</v>
      </c>
    </row>
    <row r="1819" spans="1:15" ht="12" customHeight="1">
      <c r="A1819" s="1517"/>
      <c r="B1819" s="1502"/>
      <c r="C1819" s="635" t="s">
        <v>6219</v>
      </c>
      <c r="D1819" s="636">
        <f>D1818/(D1818+E1818+G1818+H1818+I1818+J1818+L1818+M1818+N1818)</f>
        <v>0.11535822251896363</v>
      </c>
      <c r="E1819" s="636">
        <f>E1818/(D1818+E1818+G1818+H1818+I1818+J1818+L1818+M1818+N1818)</f>
        <v>8.9936492039646765E-2</v>
      </c>
      <c r="F1819" s="637">
        <f t="shared" si="56"/>
        <v>0.2052947145586104</v>
      </c>
      <c r="G1819" s="636">
        <f>G1818/(D1818+E1818+G1818+H1818+I1818+J1818+L1818+M1818+N1818)</f>
        <v>0.21584758089515224</v>
      </c>
      <c r="H1819" s="636">
        <f>H1818/(D1818+E1818+G1818+H1818+I1818+J1818+L1818+M1818+N1818)</f>
        <v>1.2195541990234027E-2</v>
      </c>
      <c r="I1819" s="636">
        <f>I1818/(D1818+E1818+G1818+H1818+I1818+J1818+L1818+M1818+N1818)</f>
        <v>8.6584903810742568E-3</v>
      </c>
      <c r="J1819" s="636">
        <f>J1818/(D1818+E1818+G1818+H1818+I1818+J1818+L1818+M1818+N1818)</f>
        <v>1.5441151144706478E-2</v>
      </c>
      <c r="K1819" s="637">
        <f t="shared" si="57"/>
        <v>0.25214276441116701</v>
      </c>
      <c r="L1819" s="636">
        <f>L1818/(D1818+E1818+G1818+H1818+I1818+J1818+L1818+M1818+N1818)</f>
        <v>3.5259238063444373E-2</v>
      </c>
      <c r="M1819" s="636">
        <f>M1818/(D1818+E1818+G1818+H1818+I1818+J1818+L1818+M1818+N1818)</f>
        <v>1.3197044243614099E-2</v>
      </c>
      <c r="N1819" s="636">
        <f>N1818/(D1818+E1818+G1818+H1818+I1818+J1818+L1818+M1818+N1818)</f>
        <v>0.49410623872316412</v>
      </c>
      <c r="O1819" s="1503"/>
    </row>
    <row r="1820" spans="1:15" ht="12" customHeight="1">
      <c r="A1820" s="1517"/>
      <c r="B1820" s="1502" t="s">
        <v>14938</v>
      </c>
      <c r="C1820" s="638" t="s">
        <v>6218</v>
      </c>
      <c r="D1820" s="639">
        <v>86306</v>
      </c>
      <c r="E1820" s="639">
        <v>37118</v>
      </c>
      <c r="F1820" s="640">
        <f t="shared" si="56"/>
        <v>123424</v>
      </c>
      <c r="G1820" s="639">
        <v>76216</v>
      </c>
      <c r="H1820" s="639">
        <v>12082</v>
      </c>
      <c r="I1820" s="639"/>
      <c r="J1820" s="639">
        <v>8698</v>
      </c>
      <c r="K1820" s="640">
        <f t="shared" si="57"/>
        <v>96996</v>
      </c>
      <c r="L1820" s="639">
        <v>15816</v>
      </c>
      <c r="M1820" s="639"/>
      <c r="N1820" s="639">
        <v>140389</v>
      </c>
      <c r="O1820" s="1503">
        <f>1-N1821</f>
        <v>0.62724460670428139</v>
      </c>
    </row>
    <row r="1821" spans="1:15" ht="12" customHeight="1">
      <c r="A1821" s="1517"/>
      <c r="B1821" s="1502"/>
      <c r="C1821" s="635" t="s">
        <v>6219</v>
      </c>
      <c r="D1821" s="636">
        <f>D1820/(D1820+E1820+G1820+H1820+I1820+J1820+L1820+M1820+N1820)</f>
        <v>0.22915632260205776</v>
      </c>
      <c r="E1821" s="636">
        <f>E1820/(D1820+E1820+G1820+H1820+I1820+J1820+L1820+M1820+N1820)</f>
        <v>9.8554264852306672E-2</v>
      </c>
      <c r="F1821" s="637">
        <f t="shared" si="56"/>
        <v>0.32771058745436443</v>
      </c>
      <c r="G1821" s="636">
        <f>G1820/(D1820+E1820+G1820+H1820+I1820+J1820+L1820+M1820+N1820)</f>
        <v>0.20236574842349817</v>
      </c>
      <c r="H1821" s="636">
        <f>H1820/(D1820+E1820+G1820+H1820+I1820+J1820+L1820+M1820+N1820)</f>
        <v>3.207965482907401E-2</v>
      </c>
      <c r="I1821" s="636">
        <f>I1820/(D1820+E1820+G1820+H1820+I1820+J1820+L1820+M1820+N1820)</f>
        <v>0</v>
      </c>
      <c r="J1821" s="636">
        <f>J1820/(D1820+E1820+G1820+H1820+I1820+J1820+L1820+M1820+N1820)</f>
        <v>2.309459010952539E-2</v>
      </c>
      <c r="K1821" s="637">
        <f t="shared" si="57"/>
        <v>0.2575399933620976</v>
      </c>
      <c r="L1821" s="636">
        <f>L1820/(D1820+E1820+G1820+H1820+I1820+J1820+L1820+M1820+N1820)</f>
        <v>4.1994025887819447E-2</v>
      </c>
      <c r="M1821" s="636">
        <f>M1820/(D1820+E1820+G1820+H1820+I1820+J1820+L1820+M1820+N1820)</f>
        <v>0</v>
      </c>
      <c r="N1821" s="636">
        <f>N1820/(D1820+E1820+G1820+H1820+I1820+J1820+L1820+M1820+N1820)</f>
        <v>0.37275539329571855</v>
      </c>
      <c r="O1821" s="1503"/>
    </row>
    <row r="1822" spans="1:15" ht="12" customHeight="1">
      <c r="A1822" s="1517"/>
      <c r="B1822" s="1502" t="s">
        <v>14939</v>
      </c>
      <c r="C1822" s="638" t="s">
        <v>6218</v>
      </c>
      <c r="D1822" s="639">
        <v>42081</v>
      </c>
      <c r="E1822" s="639">
        <v>37476</v>
      </c>
      <c r="F1822" s="640">
        <f t="shared" si="56"/>
        <v>79557</v>
      </c>
      <c r="G1822" s="639">
        <v>75478</v>
      </c>
      <c r="H1822" s="639">
        <v>6808</v>
      </c>
      <c r="I1822" s="639"/>
      <c r="J1822" s="639"/>
      <c r="K1822" s="640">
        <f t="shared" si="57"/>
        <v>82286</v>
      </c>
      <c r="L1822" s="639">
        <v>14238</v>
      </c>
      <c r="M1822" s="639">
        <v>6790</v>
      </c>
      <c r="N1822" s="639">
        <v>192973</v>
      </c>
      <c r="O1822" s="1503">
        <f>1-N1823</f>
        <v>0.48656091357052389</v>
      </c>
    </row>
    <row r="1823" spans="1:15" ht="12" customHeight="1">
      <c r="A1823" s="1517"/>
      <c r="B1823" s="1502"/>
      <c r="C1823" s="635" t="s">
        <v>6219</v>
      </c>
      <c r="D1823" s="636">
        <f>D1822/(D1822+E1822+G1822+H1822+I1822+J1822+L1822+M1822+N1822)</f>
        <v>0.11196400634305723</v>
      </c>
      <c r="E1823" s="636">
        <f>E1822/(D1822+E1822+G1822+H1822+I1822+J1822+L1822+M1822+N1822)</f>
        <v>9.9711582465065299E-2</v>
      </c>
      <c r="F1823" s="637">
        <f t="shared" si="56"/>
        <v>0.21167558880812254</v>
      </c>
      <c r="G1823" s="636">
        <f>G1822/(D1822+E1822+G1822+H1822+I1822+J1822+L1822+M1822+N1822)</f>
        <v>0.20082268175093923</v>
      </c>
      <c r="H1823" s="636">
        <f>H1822/(D1822+E1822+G1822+H1822+I1822+J1822+L1822+M1822+N1822)</f>
        <v>1.8113898319515542E-2</v>
      </c>
      <c r="I1823" s="636">
        <f>I1822/(D1822+E1822+G1822+H1822+I1822+J1822+L1822+M1822+N1822)</f>
        <v>0</v>
      </c>
      <c r="J1823" s="636">
        <f>J1822/(D1822+E1822+G1822+H1822+I1822+J1822+L1822+M1822+N1822)</f>
        <v>0</v>
      </c>
      <c r="K1823" s="637">
        <f t="shared" si="57"/>
        <v>0.21893658007045477</v>
      </c>
      <c r="L1823" s="636">
        <f>L1822/(D1822+E1822+G1822+H1822+I1822+J1822+L1822+M1822+N1822)</f>
        <v>3.7882738583029131E-2</v>
      </c>
      <c r="M1823" s="636">
        <f>M1822/(D1822+E1822+G1822+H1822+I1822+J1822+L1822+M1822+N1822)</f>
        <v>1.806600610891753E-2</v>
      </c>
      <c r="N1823" s="636">
        <f>N1822/(D1822+E1822+G1822+H1822+I1822+J1822+L1822+M1822+N1822)</f>
        <v>0.51343908642947611</v>
      </c>
      <c r="O1823" s="1503"/>
    </row>
    <row r="1824" spans="1:15" ht="12" customHeight="1">
      <c r="A1824" s="1517"/>
      <c r="B1824" s="1502" t="s">
        <v>14940</v>
      </c>
      <c r="C1824" s="638" t="s">
        <v>6218</v>
      </c>
      <c r="D1824" s="639">
        <v>66073</v>
      </c>
      <c r="E1824" s="639">
        <v>38196</v>
      </c>
      <c r="F1824" s="640">
        <f t="shared" si="56"/>
        <v>104269</v>
      </c>
      <c r="G1824" s="639">
        <v>84071</v>
      </c>
      <c r="H1824" s="639">
        <v>7750</v>
      </c>
      <c r="I1824" s="639"/>
      <c r="J1824" s="639"/>
      <c r="K1824" s="640">
        <f t="shared" si="57"/>
        <v>91821</v>
      </c>
      <c r="L1824" s="639">
        <v>15063</v>
      </c>
      <c r="M1824" s="639"/>
      <c r="N1824" s="639">
        <v>163715</v>
      </c>
      <c r="O1824" s="1503">
        <f>1-N1825</f>
        <v>0.56327293874110351</v>
      </c>
    </row>
    <row r="1825" spans="1:15" ht="12" customHeight="1" thickBot="1">
      <c r="A1825" s="1519"/>
      <c r="B1825" s="1514"/>
      <c r="C1825" s="641" t="s">
        <v>6219</v>
      </c>
      <c r="D1825" s="642">
        <f>D1824/(D1824+E1824+G1824+H1824+I1824+J1824+L1824+M1824+N1824)</f>
        <v>0.17625670902824461</v>
      </c>
      <c r="E1825" s="642">
        <f>E1824/(D1824+E1824+G1824+H1824+I1824+J1824+L1824+M1824+N1824)</f>
        <v>0.10189186593680975</v>
      </c>
      <c r="F1825" s="643">
        <f t="shared" si="56"/>
        <v>0.27814857496505435</v>
      </c>
      <c r="G1825" s="642">
        <f>G1824/(D1824+E1824+G1824+H1824+I1824+J1824+L1824+M1824+N1824)</f>
        <v>0.2242682757664031</v>
      </c>
      <c r="H1825" s="642">
        <f>H1824/(D1824+E1824+G1824+H1824+I1824+J1824+L1824+M1824+N1824)</f>
        <v>2.0673943894917678E-2</v>
      </c>
      <c r="I1825" s="642">
        <f>I1824/(D1824+E1824+G1824+H1824+I1824+J1824+L1824+M1824+N1824)</f>
        <v>0</v>
      </c>
      <c r="J1825" s="642">
        <f>J1824/(D1824+E1824+G1824+H1824+I1824+J1824+L1824+M1824+N1824)</f>
        <v>0</v>
      </c>
      <c r="K1825" s="643">
        <f t="shared" si="57"/>
        <v>0.24494221966132076</v>
      </c>
      <c r="L1825" s="642">
        <f>L1824/(D1824+E1824+G1824+H1824+I1824+J1824+L1824+M1824+N1824)</f>
        <v>4.0182144114728383E-2</v>
      </c>
      <c r="M1825" s="642">
        <f>M1824/(D1824+E1824+G1824+H1824+I1824+J1824+L1824+M1824+N1824)</f>
        <v>0</v>
      </c>
      <c r="N1825" s="642">
        <f>N1824/(D1824+E1824+G1824+H1824+I1824+J1824+L1824+M1824+N1824)</f>
        <v>0.43672706125889649</v>
      </c>
      <c r="O1825" s="1515"/>
    </row>
    <row r="1826" spans="1:15" ht="12" customHeight="1">
      <c r="A1826" s="1516" t="s">
        <v>15166</v>
      </c>
      <c r="B1826" s="1509" t="s">
        <v>14937</v>
      </c>
      <c r="C1826" s="647" t="s">
        <v>6218</v>
      </c>
      <c r="D1826" s="648">
        <v>49295</v>
      </c>
      <c r="E1826" s="648">
        <v>27223</v>
      </c>
      <c r="F1826" s="649">
        <f t="shared" si="56"/>
        <v>76518</v>
      </c>
      <c r="G1826" s="648">
        <v>77694</v>
      </c>
      <c r="H1826" s="648">
        <v>3960</v>
      </c>
      <c r="I1826" s="648">
        <v>3098</v>
      </c>
      <c r="J1826" s="648">
        <v>3971</v>
      </c>
      <c r="K1826" s="649">
        <f t="shared" si="57"/>
        <v>88723</v>
      </c>
      <c r="L1826" s="648">
        <v>11043</v>
      </c>
      <c r="M1826" s="648">
        <v>4607</v>
      </c>
      <c r="N1826" s="648">
        <v>130347</v>
      </c>
      <c r="O1826" s="1510">
        <f>1-N1827</f>
        <v>0.58119831126019317</v>
      </c>
    </row>
    <row r="1827" spans="1:15" ht="12" customHeight="1">
      <c r="A1827" s="1517"/>
      <c r="B1827" s="1502"/>
      <c r="C1827" s="635" t="s">
        <v>6219</v>
      </c>
      <c r="D1827" s="636">
        <f>D1826/(D1826+E1826+G1826+H1826+I1826+J1826+L1826+M1826+N1826)</f>
        <v>0.15838361639645546</v>
      </c>
      <c r="E1827" s="636">
        <f>E1826/(D1826+E1826+G1826+H1826+I1826+J1826+L1826+M1826+N1826)</f>
        <v>8.746682603024053E-2</v>
      </c>
      <c r="F1827" s="637">
        <f t="shared" si="56"/>
        <v>0.24585044242669599</v>
      </c>
      <c r="G1827" s="636">
        <f>G1826/(D1826+E1826+G1826+H1826+I1826+J1826+L1826+M1826+N1826)</f>
        <v>0.24962890135523297</v>
      </c>
      <c r="H1827" s="636">
        <f>H1826/(D1826+E1826+G1826+H1826+I1826+J1826+L1826+M1826+N1826)</f>
        <v>1.2723382106298075E-2</v>
      </c>
      <c r="I1827" s="636">
        <f>I1826/(D1826+E1826+G1826+H1826+I1826+J1826+L1826+M1826+N1826)</f>
        <v>9.9537974154826851E-3</v>
      </c>
      <c r="J1827" s="636">
        <f>J1826/(D1826+E1826+G1826+H1826+I1826+J1826+L1826+M1826+N1826)</f>
        <v>1.2758724834371125E-2</v>
      </c>
      <c r="K1827" s="637">
        <f t="shared" si="57"/>
        <v>0.28506480571138487</v>
      </c>
      <c r="L1827" s="636">
        <f>L1826/(D1826+E1826+G1826+H1826+I1826+J1826+L1826+M1826+N1826)</f>
        <v>3.5480886010063037E-2</v>
      </c>
      <c r="M1827" s="636">
        <f>M1826/(D1826+E1826+G1826+H1826+I1826+J1826+L1826+M1826+N1826)</f>
        <v>1.48021771120493E-2</v>
      </c>
      <c r="N1827" s="636">
        <f>N1826/(D1826+E1826+G1826+H1826+I1826+J1826+L1826+M1826+N1826)</f>
        <v>0.41880168873980683</v>
      </c>
      <c r="O1827" s="1503"/>
    </row>
    <row r="1828" spans="1:15" ht="12" customHeight="1">
      <c r="A1828" s="1517"/>
      <c r="B1828" s="1502" t="s">
        <v>14938</v>
      </c>
      <c r="C1828" s="638" t="s">
        <v>6218</v>
      </c>
      <c r="D1828" s="639">
        <v>84886</v>
      </c>
      <c r="E1828" s="639">
        <v>33890</v>
      </c>
      <c r="F1828" s="640">
        <f t="shared" si="56"/>
        <v>118776</v>
      </c>
      <c r="G1828" s="639">
        <v>78407</v>
      </c>
      <c r="H1828" s="639">
        <v>9624</v>
      </c>
      <c r="I1828" s="639"/>
      <c r="J1828" s="639">
        <v>7753</v>
      </c>
      <c r="K1828" s="640">
        <f t="shared" si="57"/>
        <v>95784</v>
      </c>
      <c r="L1828" s="639">
        <v>12594</v>
      </c>
      <c r="M1828" s="639"/>
      <c r="N1828" s="639">
        <v>84752</v>
      </c>
      <c r="O1828" s="1503">
        <f>1-N1829</f>
        <v>0.72827710912903254</v>
      </c>
    </row>
    <row r="1829" spans="1:15" ht="12" customHeight="1">
      <c r="A1829" s="1517"/>
      <c r="B1829" s="1502"/>
      <c r="C1829" s="635" t="s">
        <v>6219</v>
      </c>
      <c r="D1829" s="636">
        <f>D1828/(D1828+E1828+G1828+H1828+I1828+J1828+L1828+M1828+N1828)</f>
        <v>0.27215250748622982</v>
      </c>
      <c r="E1829" s="636">
        <f>E1828/(D1828+E1828+G1828+H1828+I1828+J1828+L1828+M1828+N1828)</f>
        <v>0.10865453053163453</v>
      </c>
      <c r="F1829" s="637">
        <f t="shared" si="56"/>
        <v>0.38080703801786436</v>
      </c>
      <c r="G1829" s="636">
        <f>G1828/(D1828+E1828+G1828+H1828+I1828+J1828+L1828+M1828+N1828)</f>
        <v>0.25138022352888373</v>
      </c>
      <c r="H1829" s="636">
        <f>H1828/(D1828+E1828+G1828+H1828+I1828+J1828+L1828+M1828+N1828)</f>
        <v>3.0855450039434958E-2</v>
      </c>
      <c r="I1829" s="636">
        <f>I1828/(D1828+E1828+G1828+H1828+I1828+J1828+L1828+M1828+N1828)</f>
        <v>0</v>
      </c>
      <c r="J1829" s="636">
        <f>J1828/(D1828+E1828+G1828+H1828+I1828+J1828+L1828+M1828+N1828)</f>
        <v>2.4856847896481633E-2</v>
      </c>
      <c r="K1829" s="637">
        <f t="shared" si="57"/>
        <v>0.30709252146480032</v>
      </c>
      <c r="L1829" s="636">
        <f>L1828/(D1828+E1828+G1828+H1828+I1828+J1828+L1828+M1828+N1828)</f>
        <v>4.0377549646367819E-2</v>
      </c>
      <c r="M1829" s="636">
        <f>M1828/(D1828+E1828+G1828+H1828+I1828+J1828+L1828+M1828+N1828)</f>
        <v>0</v>
      </c>
      <c r="N1829" s="636">
        <f>N1828/(D1828+E1828+G1828+H1828+I1828+J1828+L1828+M1828+N1828)</f>
        <v>0.27172289087096752</v>
      </c>
      <c r="O1829" s="1503"/>
    </row>
    <row r="1830" spans="1:15" ht="12" customHeight="1">
      <c r="A1830" s="1517"/>
      <c r="B1830" s="1502" t="s">
        <v>14939</v>
      </c>
      <c r="C1830" s="638" t="s">
        <v>6218</v>
      </c>
      <c r="D1830" s="639">
        <v>55676</v>
      </c>
      <c r="E1830" s="639">
        <v>31862</v>
      </c>
      <c r="F1830" s="640">
        <f t="shared" si="56"/>
        <v>87538</v>
      </c>
      <c r="G1830" s="639">
        <v>71351</v>
      </c>
      <c r="H1830" s="639">
        <v>6006</v>
      </c>
      <c r="I1830" s="639"/>
      <c r="J1830" s="639"/>
      <c r="K1830" s="640">
        <f t="shared" si="57"/>
        <v>77357</v>
      </c>
      <c r="L1830" s="639">
        <v>12486</v>
      </c>
      <c r="M1830" s="639">
        <v>6436</v>
      </c>
      <c r="N1830" s="639">
        <v>128617</v>
      </c>
      <c r="O1830" s="1503">
        <f>1-N1831</f>
        <v>0.58833865712438471</v>
      </c>
    </row>
    <row r="1831" spans="1:15" ht="12" customHeight="1">
      <c r="A1831" s="1517"/>
      <c r="B1831" s="1502"/>
      <c r="C1831" s="635" t="s">
        <v>6219</v>
      </c>
      <c r="D1831" s="636">
        <f>D1830/(D1830+E1830+G1830+H1830+I1830+J1830+L1830+M1830+N1830)</f>
        <v>0.17820083601656669</v>
      </c>
      <c r="E1831" s="636">
        <f>E1830/(D1830+E1830+G1830+H1830+I1830+J1830+L1830+M1830+N1830)</f>
        <v>0.10197993816294001</v>
      </c>
      <c r="F1831" s="637">
        <f t="shared" si="56"/>
        <v>0.28018077417950671</v>
      </c>
      <c r="G1831" s="636">
        <f>G1830/(D1830+E1830+G1830+H1830+I1830+J1830+L1830+M1830+N1830)</f>
        <v>0.22837143204644822</v>
      </c>
      <c r="H1831" s="636">
        <f>H1830/(D1830+E1830+G1830+H1830+I1830+J1830+L1830+M1830+N1830)</f>
        <v>1.9223259952501969E-2</v>
      </c>
      <c r="I1831" s="636">
        <f>I1830/(D1830+E1830+G1830+H1830+I1830+J1830+L1830+M1830+N1830)</f>
        <v>0</v>
      </c>
      <c r="J1831" s="636">
        <f>J1830/(D1830+E1830+G1830+H1830+I1830+J1830+L1830+M1830+N1830)</f>
        <v>0</v>
      </c>
      <c r="K1831" s="637">
        <f t="shared" si="57"/>
        <v>0.24759469199895018</v>
      </c>
      <c r="L1831" s="636">
        <f>L1830/(D1830+E1830+G1830+H1830+I1830+J1830+L1830+M1830+N1830)</f>
        <v>3.9963640320835762E-2</v>
      </c>
      <c r="M1831" s="636">
        <f>M1830/(D1830+E1830+G1830+H1830+I1830+J1830+L1830+M1830+N1830)</f>
        <v>2.0599550625092021E-2</v>
      </c>
      <c r="N1831" s="636">
        <f>N1830/(D1830+E1830+G1830+H1830+I1830+J1830+L1830+M1830+N1830)</f>
        <v>0.41166134287561534</v>
      </c>
      <c r="O1831" s="1503"/>
    </row>
    <row r="1832" spans="1:15" ht="12" customHeight="1">
      <c r="A1832" s="1517"/>
      <c r="B1832" s="1502" t="s">
        <v>14940</v>
      </c>
      <c r="C1832" s="638" t="s">
        <v>6218</v>
      </c>
      <c r="D1832" s="639">
        <v>88172</v>
      </c>
      <c r="E1832" s="639">
        <v>33528</v>
      </c>
      <c r="F1832" s="640">
        <f t="shared" si="56"/>
        <v>121700</v>
      </c>
      <c r="G1832" s="639">
        <v>68403</v>
      </c>
      <c r="H1832" s="639">
        <v>8514</v>
      </c>
      <c r="I1832" s="639"/>
      <c r="J1832" s="639"/>
      <c r="K1832" s="640">
        <f t="shared" si="57"/>
        <v>76917</v>
      </c>
      <c r="L1832" s="639">
        <v>14082</v>
      </c>
      <c r="M1832" s="639"/>
      <c r="N1832" s="639">
        <v>99930</v>
      </c>
      <c r="O1832" s="1503">
        <f>1-N1833</f>
        <v>0.68035594906422636</v>
      </c>
    </row>
    <row r="1833" spans="1:15" ht="12" customHeight="1" thickBot="1">
      <c r="A1833" s="1519"/>
      <c r="B1833" s="1514"/>
      <c r="C1833" s="641" t="s">
        <v>6219</v>
      </c>
      <c r="D1833" s="642">
        <f>D1832/(D1832+E1832+G1832+H1832+I1832+J1832+L1832+M1832+N1832)</f>
        <v>0.28203397637455258</v>
      </c>
      <c r="E1833" s="642">
        <f>E1832/(D1832+E1832+G1832+H1832+I1832+J1832+L1832+M1832+N1832)</f>
        <v>0.10724532912813591</v>
      </c>
      <c r="F1833" s="643">
        <f t="shared" si="56"/>
        <v>0.38927930550268847</v>
      </c>
      <c r="G1833" s="642">
        <f>G1832/(D1832+E1832+G1832+H1832+I1832+J1832+L1832+M1832+N1832)</f>
        <v>0.21879927965735743</v>
      </c>
      <c r="H1833" s="642">
        <f>H1832/(D1832+E1832+G1832+H1832+I1832+J1832+L1832+M1832+N1832)</f>
        <v>2.7233557987262857E-2</v>
      </c>
      <c r="I1833" s="642">
        <f>I1832/(D1832+E1832+G1832+H1832+I1832+J1832+L1832+M1832+N1832)</f>
        <v>0</v>
      </c>
      <c r="J1833" s="642">
        <f>J1832/(D1832+E1832+G1832+H1832+I1832+J1832+L1832+M1832+N1832)</f>
        <v>0</v>
      </c>
      <c r="K1833" s="643">
        <f t="shared" si="57"/>
        <v>0.24603283764462028</v>
      </c>
      <c r="L1833" s="642">
        <f>L1832/(D1832+E1832+G1832+H1832+I1832+J1832+L1832+M1832+N1832)</f>
        <v>4.50438059169175E-2</v>
      </c>
      <c r="M1833" s="642">
        <f>M1832/(D1832+E1832+G1832+H1832+I1832+J1832+L1832+M1832+N1832)</f>
        <v>0</v>
      </c>
      <c r="N1833" s="642">
        <f>N1832/(D1832+E1832+G1832+H1832+I1832+J1832+L1832+M1832+N1832)</f>
        <v>0.31964405093577369</v>
      </c>
      <c r="O1833" s="1515"/>
    </row>
    <row r="1834" spans="1:15" ht="12" customHeight="1">
      <c r="A1834" s="1526" t="s">
        <v>15167</v>
      </c>
      <c r="B1834" s="1509" t="s">
        <v>14937</v>
      </c>
      <c r="C1834" s="647" t="s">
        <v>6218</v>
      </c>
      <c r="D1834" s="648">
        <v>43728</v>
      </c>
      <c r="E1834" s="648">
        <v>20835</v>
      </c>
      <c r="F1834" s="649">
        <f t="shared" si="56"/>
        <v>64563</v>
      </c>
      <c r="G1834" s="648">
        <v>71933</v>
      </c>
      <c r="H1834" s="648">
        <v>6305</v>
      </c>
      <c r="I1834" s="648">
        <v>2789</v>
      </c>
      <c r="J1834" s="648">
        <v>7265</v>
      </c>
      <c r="K1834" s="649">
        <f t="shared" si="57"/>
        <v>88292</v>
      </c>
      <c r="L1834" s="648">
        <v>17413</v>
      </c>
      <c r="M1834" s="648">
        <v>3352</v>
      </c>
      <c r="N1834" s="648">
        <v>123200</v>
      </c>
      <c r="O1834" s="1510">
        <f>1-N1835</f>
        <v>0.58493362980931196</v>
      </c>
    </row>
    <row r="1835" spans="1:15" ht="12" customHeight="1">
      <c r="A1835" s="1527"/>
      <c r="B1835" s="1502"/>
      <c r="C1835" s="635" t="s">
        <v>6219</v>
      </c>
      <c r="D1835" s="636">
        <f>D1834/(D1834+E1834+G1834+H1834+I1834+J1834+L1834+M1834+N1834)</f>
        <v>0.14732160905599354</v>
      </c>
      <c r="E1835" s="636">
        <f>E1834/(D1834+E1834+G1834+H1834+I1834+J1834+L1834+M1834+N1834)</f>
        <v>7.0194057004244997E-2</v>
      </c>
      <c r="F1835" s="637">
        <f t="shared" si="56"/>
        <v>0.21751566606023853</v>
      </c>
      <c r="G1835" s="636">
        <f>G1834/(D1834+E1834+G1834+H1834+I1834+J1834+L1834+M1834+N1834)</f>
        <v>0.2423455292770029</v>
      </c>
      <c r="H1835" s="636">
        <f>H1834/(D1834+E1834+G1834+H1834+I1834+J1834+L1834+M1834+N1834)</f>
        <v>2.1241830065359478E-2</v>
      </c>
      <c r="I1835" s="636">
        <f>I1834/(D1834+E1834+G1834+H1834+I1834+J1834+L1834+M1834+N1834)</f>
        <v>9.3962670979044535E-3</v>
      </c>
      <c r="J1835" s="636">
        <f>J1834/(D1834+E1834+G1834+H1834+I1834+J1834+L1834+M1834+N1834)</f>
        <v>2.447611346944276E-2</v>
      </c>
      <c r="K1835" s="637">
        <f t="shared" si="57"/>
        <v>0.29745973990970964</v>
      </c>
      <c r="L1835" s="636">
        <f>L1834/(D1834+E1834+G1834+H1834+I1834+J1834+L1834+M1834+N1834)</f>
        <v>5.8665184286773128E-2</v>
      </c>
      <c r="M1835" s="636">
        <f>M1834/(D1834+E1834+G1834+H1834+I1834+J1834+L1834+M1834+N1834)</f>
        <v>1.1293039552590796E-2</v>
      </c>
      <c r="N1835" s="636">
        <f>N1834/(D1834+E1834+G1834+H1834+I1834+J1834+L1834+M1834+N1834)</f>
        <v>0.41506637019068798</v>
      </c>
      <c r="O1835" s="1503"/>
    </row>
    <row r="1836" spans="1:15" ht="12" customHeight="1">
      <c r="A1836" s="1527"/>
      <c r="B1836" s="1502" t="s">
        <v>14938</v>
      </c>
      <c r="C1836" s="638" t="s">
        <v>6218</v>
      </c>
      <c r="D1836" s="639">
        <v>78021</v>
      </c>
      <c r="E1836" s="639">
        <v>20542</v>
      </c>
      <c r="F1836" s="640">
        <f t="shared" si="56"/>
        <v>98563</v>
      </c>
      <c r="G1836" s="639">
        <v>59529</v>
      </c>
      <c r="H1836" s="639">
        <v>11744</v>
      </c>
      <c r="I1836" s="639"/>
      <c r="J1836" s="639">
        <v>9799</v>
      </c>
      <c r="K1836" s="640">
        <f t="shared" si="57"/>
        <v>81072</v>
      </c>
      <c r="L1836" s="639">
        <v>17778</v>
      </c>
      <c r="M1836" s="639"/>
      <c r="N1836" s="639">
        <v>98688</v>
      </c>
      <c r="O1836" s="1503">
        <f>1-N1837</f>
        <v>0.6667083191208405</v>
      </c>
    </row>
    <row r="1837" spans="1:15" ht="12" customHeight="1">
      <c r="A1837" s="1527"/>
      <c r="B1837" s="1502"/>
      <c r="C1837" s="635" t="s">
        <v>6219</v>
      </c>
      <c r="D1837" s="636">
        <f>D1836/(D1836+E1836+G1836+H1836+I1836+J1836+L1836+M1836+N1836)</f>
        <v>0.26349455084582624</v>
      </c>
      <c r="E1837" s="636">
        <f>E1836/(D1836+E1836+G1836+H1836+I1836+J1836+L1836+M1836+N1836)</f>
        <v>6.937497678157116E-2</v>
      </c>
      <c r="F1837" s="637">
        <f t="shared" si="56"/>
        <v>0.33286952762739741</v>
      </c>
      <c r="G1837" s="636">
        <f>G1836/(D1836+E1836+G1836+H1836+I1836+J1836+L1836+M1836+N1836)</f>
        <v>0.20104288739315301</v>
      </c>
      <c r="H1837" s="636">
        <f>H1836/(D1836+E1836+G1836+H1836+I1836+J1836+L1836+M1836+N1836)</f>
        <v>3.9662142309549779E-2</v>
      </c>
      <c r="I1837" s="636">
        <f>I1836/(D1836+E1836+G1836+H1836+I1836+J1836+L1836+M1836+N1836)</f>
        <v>0</v>
      </c>
      <c r="J1837" s="636">
        <f>J1836/(D1836+E1836+G1836+H1836+I1836+J1836+L1836+M1836+N1836)</f>
        <v>3.3093437712132009E-2</v>
      </c>
      <c r="K1837" s="637">
        <f t="shared" si="57"/>
        <v>0.27379846741483482</v>
      </c>
      <c r="L1837" s="636">
        <f>L1836/(D1836+E1836+G1836+H1836+I1836+J1836+L1836+M1836+N1836)</f>
        <v>6.0040324078608313E-2</v>
      </c>
      <c r="M1837" s="636">
        <f>M1836/(D1836+E1836+G1836+H1836+I1836+J1836+L1836+M1836+N1836)</f>
        <v>0</v>
      </c>
      <c r="N1837" s="636">
        <f>N1836/(D1836+E1836+G1836+H1836+I1836+J1836+L1836+M1836+N1836)</f>
        <v>0.3332916808791595</v>
      </c>
      <c r="O1837" s="1503"/>
    </row>
    <row r="1838" spans="1:15" ht="12" customHeight="1">
      <c r="A1838" s="1527"/>
      <c r="B1838" s="1502" t="s">
        <v>14939</v>
      </c>
      <c r="C1838" s="638" t="s">
        <v>6218</v>
      </c>
      <c r="D1838" s="639">
        <v>41439</v>
      </c>
      <c r="E1838" s="639">
        <v>22035</v>
      </c>
      <c r="F1838" s="640">
        <f t="shared" si="56"/>
        <v>63474</v>
      </c>
      <c r="G1838" s="639">
        <v>69017</v>
      </c>
      <c r="H1838" s="639">
        <v>7498</v>
      </c>
      <c r="I1838" s="639"/>
      <c r="J1838" s="639"/>
      <c r="K1838" s="640">
        <f t="shared" si="57"/>
        <v>76515</v>
      </c>
      <c r="L1838" s="639">
        <v>15925</v>
      </c>
      <c r="M1838" s="639">
        <v>5310</v>
      </c>
      <c r="N1838" s="639">
        <v>134468</v>
      </c>
      <c r="O1838" s="1503">
        <f>1-N1839</f>
        <v>0.54524302314570572</v>
      </c>
    </row>
    <row r="1839" spans="1:15" ht="12" customHeight="1">
      <c r="A1839" s="1527"/>
      <c r="B1839" s="1502"/>
      <c r="C1839" s="635" t="s">
        <v>6219</v>
      </c>
      <c r="D1839" s="636">
        <f>D1838/(D1838+E1838+G1838+H1838+I1838+J1838+L1838+M1838+N1838)</f>
        <v>0.14014244551763322</v>
      </c>
      <c r="E1839" s="636">
        <f>E1838/(D1838+E1838+G1838+H1838+I1838+J1838+L1838+M1838+N1838)</f>
        <v>7.4520108761819734E-2</v>
      </c>
      <c r="F1839" s="637">
        <f t="shared" si="56"/>
        <v>0.21466255427945297</v>
      </c>
      <c r="G1839" s="636">
        <f>G1838/(D1838+E1838+G1838+H1838+I1838+J1838+L1838+M1838+N1838)</f>
        <v>0.23340841145516281</v>
      </c>
      <c r="H1839" s="636">
        <f>H1838/(D1838+E1838+G1838+H1838+I1838+J1838+L1838+M1838+N1838)</f>
        <v>2.5357466553034915E-2</v>
      </c>
      <c r="I1839" s="636">
        <f>I1838/(D1838+E1838+G1838+H1838+I1838+J1838+L1838+M1838+N1838)</f>
        <v>0</v>
      </c>
      <c r="J1839" s="636">
        <f>J1838/(D1838+E1838+G1838+H1838+I1838+J1838+L1838+M1838+N1838)</f>
        <v>0</v>
      </c>
      <c r="K1839" s="637">
        <f t="shared" si="57"/>
        <v>0.25876587800819773</v>
      </c>
      <c r="L1839" s="636">
        <f>L1838/(D1838+E1838+G1838+H1838+I1838+J1838+L1838+M1838+N1838)</f>
        <v>5.3856715771816617E-2</v>
      </c>
      <c r="M1839" s="636">
        <f>M1838/(D1838+E1838+G1838+H1838+I1838+J1838+L1838+M1838+N1838)</f>
        <v>1.7957875086238383E-2</v>
      </c>
      <c r="N1839" s="636">
        <f>N1838/(D1838+E1838+G1838+H1838+I1838+J1838+L1838+M1838+N1838)</f>
        <v>0.45475697685429434</v>
      </c>
      <c r="O1839" s="1503"/>
    </row>
    <row r="1840" spans="1:15" ht="12" customHeight="1">
      <c r="A1840" s="1527"/>
      <c r="B1840" s="1502" t="s">
        <v>14940</v>
      </c>
      <c r="C1840" s="638" t="s">
        <v>6218</v>
      </c>
      <c r="D1840" s="639">
        <v>54647</v>
      </c>
      <c r="E1840" s="639">
        <v>19528</v>
      </c>
      <c r="F1840" s="640">
        <f t="shared" si="56"/>
        <v>74175</v>
      </c>
      <c r="G1840" s="639">
        <v>69082</v>
      </c>
      <c r="H1840" s="639">
        <v>6371</v>
      </c>
      <c r="I1840" s="639"/>
      <c r="J1840" s="639"/>
      <c r="K1840" s="640">
        <f t="shared" si="57"/>
        <v>75453</v>
      </c>
      <c r="L1840" s="639">
        <v>17174</v>
      </c>
      <c r="M1840" s="639"/>
      <c r="N1840" s="639">
        <v>128750</v>
      </c>
      <c r="O1840" s="1503">
        <f>1-N1841</f>
        <v>0.56437445864010394</v>
      </c>
    </row>
    <row r="1841" spans="1:15" ht="12" customHeight="1" thickBot="1">
      <c r="A1841" s="1528"/>
      <c r="B1841" s="1514"/>
      <c r="C1841" s="641" t="s">
        <v>6219</v>
      </c>
      <c r="D1841" s="642">
        <f>D1840/(D1840+E1840+G1840+H1840+I1840+J1840+L1840+M1840+N1840)</f>
        <v>0.18489808899956692</v>
      </c>
      <c r="E1841" s="642">
        <f>E1840/(D1840+E1840+G1840+H1840+I1840+J1840+L1840+M1840+N1840)</f>
        <v>6.6072975313988744E-2</v>
      </c>
      <c r="F1841" s="643">
        <f t="shared" si="56"/>
        <v>0.25097106431355565</v>
      </c>
      <c r="G1841" s="642">
        <f>G1840/(D1840+E1840+G1840+H1840+I1840+J1840+L1840+M1840+N1840)</f>
        <v>0.2337389021221308</v>
      </c>
      <c r="H1841" s="642">
        <f>H1840/(D1840+E1840+G1840+H1840+I1840+J1840+L1840+M1840+N1840)</f>
        <v>2.1556274361195324E-2</v>
      </c>
      <c r="I1841" s="642">
        <f>I1840/(D1840+E1840+G1840+H1840+I1840+J1840+L1840+M1840+N1840)</f>
        <v>0</v>
      </c>
      <c r="J1841" s="642">
        <f>J1840/(D1840+E1840+G1840+H1840+I1840+J1840+L1840+M1840+N1840)</f>
        <v>0</v>
      </c>
      <c r="K1841" s="643">
        <f t="shared" si="57"/>
        <v>0.25529517648332611</v>
      </c>
      <c r="L1841" s="642">
        <f>L1840/(D1840+E1840+G1840+H1840+I1840+J1840+L1840+M1840+N1840)</f>
        <v>5.8108217843222176E-2</v>
      </c>
      <c r="M1841" s="642">
        <f>M1840/(D1840+E1840+G1840+H1840+I1840+J1840+L1840+M1840+N1840)</f>
        <v>0</v>
      </c>
      <c r="N1841" s="642">
        <f>N1840/(D1840+E1840+G1840+H1840+I1840+J1840+L1840+M1840+N1840)</f>
        <v>0.43562554135989606</v>
      </c>
      <c r="O1841" s="1515"/>
    </row>
    <row r="1842" spans="1:15" ht="12" customHeight="1">
      <c r="A1842" s="1516" t="s">
        <v>15168</v>
      </c>
      <c r="B1842" s="1509" t="s">
        <v>14937</v>
      </c>
      <c r="C1842" s="647" t="s">
        <v>6218</v>
      </c>
      <c r="D1842" s="648">
        <v>48073</v>
      </c>
      <c r="E1842" s="648">
        <v>20394</v>
      </c>
      <c r="F1842" s="649">
        <f t="shared" si="56"/>
        <v>68467</v>
      </c>
      <c r="G1842" s="648">
        <v>72075</v>
      </c>
      <c r="H1842" s="648">
        <v>6058</v>
      </c>
      <c r="I1842" s="648">
        <v>3055</v>
      </c>
      <c r="J1842" s="648">
        <v>6653</v>
      </c>
      <c r="K1842" s="649">
        <f t="shared" si="57"/>
        <v>87841</v>
      </c>
      <c r="L1842" s="648">
        <v>16165</v>
      </c>
      <c r="M1842" s="648">
        <v>3300</v>
      </c>
      <c r="N1842" s="648">
        <v>123171</v>
      </c>
      <c r="O1842" s="1510">
        <f>1-N1843</f>
        <v>0.58797968850353244</v>
      </c>
    </row>
    <row r="1843" spans="1:15" ht="12" customHeight="1">
      <c r="A1843" s="1517"/>
      <c r="B1843" s="1502"/>
      <c r="C1843" s="635" t="s">
        <v>6219</v>
      </c>
      <c r="D1843" s="636">
        <f>D1842/(D1842+E1842+G1842+H1842+I1842+J1842+L1842+M1842+N1842)</f>
        <v>0.16080938235923786</v>
      </c>
      <c r="E1843" s="636">
        <f>E1842/(D1842+E1842+G1842+H1842+I1842+J1842+L1842+M1842+N1842)</f>
        <v>6.8220134874759156E-2</v>
      </c>
      <c r="F1843" s="637">
        <f t="shared" si="56"/>
        <v>0.229029517233997</v>
      </c>
      <c r="G1843" s="636">
        <f>G1842/(D1842+E1842+G1842+H1842+I1842+J1842+L1842+M1842+N1842)</f>
        <v>0.24109866730892743</v>
      </c>
      <c r="H1843" s="636">
        <f>H1842/(D1842+E1842+G1842+H1842+I1842+J1842+L1842+M1842+N1842)</f>
        <v>2.0264664953971313E-2</v>
      </c>
      <c r="I1843" s="636">
        <f>I1842/(D1842+E1842+G1842+H1842+I1842+J1842+L1842+M1842+N1842)</f>
        <v>1.0219305287946906E-2</v>
      </c>
      <c r="J1843" s="636">
        <f>J1842/(D1842+E1842+G1842+H1842+I1842+J1842+L1842+M1842+N1842)</f>
        <v>2.2255004281738384E-2</v>
      </c>
      <c r="K1843" s="637">
        <f t="shared" si="57"/>
        <v>0.29383764183258404</v>
      </c>
      <c r="L1843" s="636">
        <f>L1842/(D1842+E1842+G1842+H1842+I1842+J1842+L1842+M1842+N1842)</f>
        <v>5.4073672661100407E-2</v>
      </c>
      <c r="M1843" s="636">
        <f>M1842/(D1842+E1842+G1842+H1842+I1842+J1842+L1842+M1842+N1842)</f>
        <v>1.1038856775850996E-2</v>
      </c>
      <c r="N1843" s="636">
        <f>N1842/(D1842+E1842+G1842+H1842+I1842+J1842+L1842+M1842+N1842)</f>
        <v>0.41202031149646756</v>
      </c>
      <c r="O1843" s="1503"/>
    </row>
    <row r="1844" spans="1:15" ht="12" customHeight="1">
      <c r="A1844" s="1517"/>
      <c r="B1844" s="1502" t="s">
        <v>14938</v>
      </c>
      <c r="C1844" s="638" t="s">
        <v>6218</v>
      </c>
      <c r="D1844" s="639">
        <v>80198</v>
      </c>
      <c r="E1844" s="639">
        <v>21100</v>
      </c>
      <c r="F1844" s="640">
        <f t="shared" si="56"/>
        <v>101298</v>
      </c>
      <c r="G1844" s="639">
        <v>59877</v>
      </c>
      <c r="H1844" s="639">
        <v>9857</v>
      </c>
      <c r="I1844" s="639"/>
      <c r="J1844" s="639">
        <v>18977</v>
      </c>
      <c r="K1844" s="640">
        <f t="shared" si="57"/>
        <v>88711</v>
      </c>
      <c r="L1844" s="639">
        <v>15119</v>
      </c>
      <c r="M1844" s="639"/>
      <c r="N1844" s="639">
        <v>92505</v>
      </c>
      <c r="O1844" s="1503">
        <f>1-N1845</f>
        <v>0.68919777040852326</v>
      </c>
    </row>
    <row r="1845" spans="1:15" ht="12" customHeight="1">
      <c r="A1845" s="1517"/>
      <c r="B1845" s="1502"/>
      <c r="C1845" s="635" t="s">
        <v>6219</v>
      </c>
      <c r="D1845" s="636">
        <f>D1844/(D1844+E1844+G1844+H1844+I1844+J1844+L1844+M1844+N1844)</f>
        <v>0.26945264805985897</v>
      </c>
      <c r="E1845" s="636">
        <f>E1844/(D1844+E1844+G1844+H1844+I1844+J1844+L1844+M1844+N1844)</f>
        <v>7.089267655132328E-2</v>
      </c>
      <c r="F1845" s="637">
        <f t="shared" si="56"/>
        <v>0.34034532461118228</v>
      </c>
      <c r="G1845" s="636">
        <f>G1844/(D1844+E1844+G1844+H1844+I1844+J1844+L1844+M1844+N1844)</f>
        <v>0.20117728880870064</v>
      </c>
      <c r="H1845" s="636">
        <f>H1844/(D1844+E1844+G1844+H1844+I1844+J1844+L1844+M1844+N1844)</f>
        <v>3.3117967429686895E-2</v>
      </c>
      <c r="I1845" s="636">
        <f>I1844/(D1844+E1844+G1844+H1844+I1844+J1844+L1844+M1844+N1844)</f>
        <v>0</v>
      </c>
      <c r="J1845" s="636">
        <f>J1844/(D1844+E1844+G1844+H1844+I1844+J1844+L1844+M1844+N1844)</f>
        <v>6.3759730943813347E-2</v>
      </c>
      <c r="K1845" s="637">
        <f t="shared" si="57"/>
        <v>0.29805498718220091</v>
      </c>
      <c r="L1845" s="636">
        <f>L1844/(D1844+E1844+G1844+H1844+I1844+J1844+L1844+M1844+N1844)</f>
        <v>5.0797458615140123E-2</v>
      </c>
      <c r="M1845" s="636">
        <f>M1844/(D1844+E1844+G1844+H1844+I1844+J1844+L1844+M1844+N1844)</f>
        <v>0</v>
      </c>
      <c r="N1845" s="636">
        <f>N1844/(D1844+E1844+G1844+H1844+I1844+J1844+L1844+M1844+N1844)</f>
        <v>0.31080222959147674</v>
      </c>
      <c r="O1845" s="1503"/>
    </row>
    <row r="1846" spans="1:15" ht="12" customHeight="1">
      <c r="A1846" s="1517"/>
      <c r="B1846" s="1502" t="s">
        <v>14939</v>
      </c>
      <c r="C1846" s="638" t="s">
        <v>6218</v>
      </c>
      <c r="D1846" s="639">
        <v>46413</v>
      </c>
      <c r="E1846" s="639">
        <v>22494</v>
      </c>
      <c r="F1846" s="640">
        <f t="shared" si="56"/>
        <v>68907</v>
      </c>
      <c r="G1846" s="639">
        <v>70808</v>
      </c>
      <c r="H1846" s="639">
        <v>6748</v>
      </c>
      <c r="I1846" s="639"/>
      <c r="J1846" s="639"/>
      <c r="K1846" s="640">
        <f t="shared" si="57"/>
        <v>77556</v>
      </c>
      <c r="L1846" s="639">
        <v>13925</v>
      </c>
      <c r="M1846" s="639">
        <v>4877</v>
      </c>
      <c r="N1846" s="639">
        <v>131592</v>
      </c>
      <c r="O1846" s="1503">
        <f>1-N1847</f>
        <v>0.55671585982476413</v>
      </c>
    </row>
    <row r="1847" spans="1:15" ht="12" customHeight="1">
      <c r="A1847" s="1517"/>
      <c r="B1847" s="1502"/>
      <c r="C1847" s="635" t="s">
        <v>6219</v>
      </c>
      <c r="D1847" s="636">
        <f>D1846/(D1846+E1846+G1846+H1846+I1846+J1846+L1846+M1846+N1846)</f>
        <v>0.15634800594225504</v>
      </c>
      <c r="E1847" s="636">
        <f>E1846/(D1846+E1846+G1846+H1846+I1846+J1846+L1846+M1846+N1846)</f>
        <v>7.5773857446514659E-2</v>
      </c>
      <c r="F1847" s="637">
        <f t="shared" si="56"/>
        <v>0.23212186338876969</v>
      </c>
      <c r="G1847" s="636">
        <f>G1846/(D1846+E1846+G1846+H1846+I1846+J1846+L1846+M1846+N1846)</f>
        <v>0.23852562007970168</v>
      </c>
      <c r="H1847" s="636">
        <f>H1846/(D1846+E1846+G1846+H1846+I1846+J1846+L1846+M1846+N1846)</f>
        <v>2.2731483508894854E-2</v>
      </c>
      <c r="I1847" s="636">
        <f>I1846/(D1846+E1846+G1846+H1846+I1846+J1846+L1846+M1846+N1846)</f>
        <v>0</v>
      </c>
      <c r="J1847" s="636">
        <f>J1846/(D1846+E1846+G1846+H1846+I1846+J1846+L1846+M1846+N1846)</f>
        <v>0</v>
      </c>
      <c r="K1847" s="637">
        <f t="shared" si="57"/>
        <v>0.26125710358859655</v>
      </c>
      <c r="L1847" s="636">
        <f>L1846/(D1846+E1846+G1846+H1846+I1846+J1846+L1846+M1846+N1846)</f>
        <v>4.6908107270503978E-2</v>
      </c>
      <c r="M1847" s="636">
        <f>M1846/(D1846+E1846+G1846+H1846+I1846+J1846+L1846+M1846+N1846)</f>
        <v>1.6428785576893926E-2</v>
      </c>
      <c r="N1847" s="636">
        <f>N1846/(D1846+E1846+G1846+H1846+I1846+J1846+L1846+M1846+N1846)</f>
        <v>0.44328414017523587</v>
      </c>
      <c r="O1847" s="1503"/>
    </row>
    <row r="1848" spans="1:15" ht="12" customHeight="1">
      <c r="A1848" s="1517"/>
      <c r="B1848" s="1502" t="s">
        <v>14940</v>
      </c>
      <c r="C1848" s="638" t="s">
        <v>6218</v>
      </c>
      <c r="D1848" s="639">
        <v>59259</v>
      </c>
      <c r="E1848" s="639">
        <v>20497</v>
      </c>
      <c r="F1848" s="640">
        <f t="shared" si="56"/>
        <v>79756</v>
      </c>
      <c r="G1848" s="639">
        <v>70463</v>
      </c>
      <c r="H1848" s="639">
        <v>6497</v>
      </c>
      <c r="I1848" s="639"/>
      <c r="J1848" s="639"/>
      <c r="K1848" s="640">
        <f t="shared" si="57"/>
        <v>76960</v>
      </c>
      <c r="L1848" s="639">
        <v>14624</v>
      </c>
      <c r="M1848" s="639"/>
      <c r="N1848" s="639">
        <v>125174</v>
      </c>
      <c r="O1848" s="1503">
        <f>1-N1849</f>
        <v>0.57784792623619796</v>
      </c>
    </row>
    <row r="1849" spans="1:15" ht="12" customHeight="1" thickBot="1">
      <c r="A1849" s="1519"/>
      <c r="B1849" s="1514"/>
      <c r="C1849" s="641" t="s">
        <v>6219</v>
      </c>
      <c r="D1849" s="642">
        <f>D1848/(D1848+E1848+G1848+H1848+I1848+J1848+L1848+M1848+N1848)</f>
        <v>0.19985228353467291</v>
      </c>
      <c r="E1849" s="642">
        <f>E1848/(D1848+E1848+G1848+H1848+I1848+J1848+L1848+M1848+N1848)</f>
        <v>6.912658424222802E-2</v>
      </c>
      <c r="F1849" s="643">
        <f t="shared" si="56"/>
        <v>0.26897886777690094</v>
      </c>
      <c r="G1849" s="642">
        <f>G1848/(D1848+E1848+G1848+H1848+I1848+J1848+L1848+M1848+N1848)</f>
        <v>0.23763802046446372</v>
      </c>
      <c r="H1849" s="642">
        <f>H1848/(D1848+E1848+G1848+H1848+I1848+J1848+L1848+M1848+N1848)</f>
        <v>2.1911275690186634E-2</v>
      </c>
      <c r="I1849" s="642">
        <f>I1848/(D1848+E1848+G1848+H1848+I1848+J1848+L1848+M1848+N1848)</f>
        <v>0</v>
      </c>
      <c r="J1849" s="642">
        <f>J1848/(D1848+E1848+G1848+H1848+I1848+J1848+L1848+M1848+N1848)</f>
        <v>0</v>
      </c>
      <c r="K1849" s="643">
        <f t="shared" si="57"/>
        <v>0.25954929615465033</v>
      </c>
      <c r="L1849" s="642">
        <f>L1848/(D1848+E1848+G1848+H1848+I1848+J1848+L1848+M1848+N1848)</f>
        <v>4.9319762304646658E-2</v>
      </c>
      <c r="M1849" s="642">
        <f>M1848/(D1848+E1848+G1848+H1848+I1848+J1848+L1848+M1848+N1848)</f>
        <v>0</v>
      </c>
      <c r="N1849" s="642">
        <f>N1848/(D1848+E1848+G1848+H1848+I1848+J1848+L1848+M1848+N1848)</f>
        <v>0.42215207376380204</v>
      </c>
      <c r="O1849" s="1515"/>
    </row>
    <row r="1850" spans="1:15" ht="12" customHeight="1">
      <c r="A1850" s="1516" t="s">
        <v>15169</v>
      </c>
      <c r="B1850" s="1509" t="s">
        <v>14937</v>
      </c>
      <c r="C1850" s="647" t="s">
        <v>6218</v>
      </c>
      <c r="D1850" s="648">
        <v>45015</v>
      </c>
      <c r="E1850" s="648">
        <v>24976</v>
      </c>
      <c r="F1850" s="649">
        <f t="shared" si="56"/>
        <v>69991</v>
      </c>
      <c r="G1850" s="648">
        <v>68676</v>
      </c>
      <c r="H1850" s="648">
        <v>4769</v>
      </c>
      <c r="I1850" s="648">
        <v>3014</v>
      </c>
      <c r="J1850" s="648">
        <v>5412</v>
      </c>
      <c r="K1850" s="649">
        <f t="shared" si="57"/>
        <v>81871</v>
      </c>
      <c r="L1850" s="648">
        <v>14583</v>
      </c>
      <c r="M1850" s="648">
        <v>3000</v>
      </c>
      <c r="N1850" s="648">
        <v>121483</v>
      </c>
      <c r="O1850" s="1510">
        <f>1-N1851</f>
        <v>0.58242932959357641</v>
      </c>
    </row>
    <row r="1851" spans="1:15" ht="12" customHeight="1">
      <c r="A1851" s="1517"/>
      <c r="B1851" s="1502"/>
      <c r="C1851" s="635" t="s">
        <v>6219</v>
      </c>
      <c r="D1851" s="636">
        <f>D1850/(D1850+E1850+G1850+H1850+I1850+J1850+L1850+M1850+N1850)</f>
        <v>0.15472900511466756</v>
      </c>
      <c r="E1851" s="636">
        <f>E1850/(D1850+E1850+G1850+H1850+I1850+J1850+L1850+M1850+N1850)</f>
        <v>8.5849419787713793E-2</v>
      </c>
      <c r="F1851" s="637">
        <f t="shared" si="56"/>
        <v>0.24057842490238135</v>
      </c>
      <c r="G1851" s="636">
        <f>G1850/(D1850+E1850+G1850+H1850+I1850+J1850+L1850+M1850+N1850)</f>
        <v>0.23605840620359678</v>
      </c>
      <c r="H1851" s="636">
        <f>H1850/(D1850+E1850+G1850+H1850+I1850+J1850+L1850+M1850+N1850)</f>
        <v>1.6392371995820273E-2</v>
      </c>
      <c r="I1851" s="636">
        <f>I1850/(D1850+E1850+G1850+H1850+I1850+J1850+L1850+M1850+N1850)</f>
        <v>1.0359951603145796E-2</v>
      </c>
      <c r="J1851" s="636">
        <f>J1850/(D1850+E1850+G1850+H1850+I1850+J1850+L1850+M1850+N1850)</f>
        <v>1.8602540834845735E-2</v>
      </c>
      <c r="K1851" s="637">
        <f t="shared" si="57"/>
        <v>0.28141327063740856</v>
      </c>
      <c r="L1851" s="636">
        <f>L1850/(D1850+E1850+G1850+H1850+I1850+J1850+L1850+M1850+N1850)</f>
        <v>5.0125804322719021E-2</v>
      </c>
      <c r="M1851" s="636">
        <f>M1850/(D1850+E1850+G1850+H1850+I1850+J1850+L1850+M1850+N1850)</f>
        <v>1.0311829731067481E-2</v>
      </c>
      <c r="N1851" s="636">
        <f>N1850/(D1850+E1850+G1850+H1850+I1850+J1850+L1850+M1850+N1850)</f>
        <v>0.41757067040642359</v>
      </c>
      <c r="O1851" s="1503"/>
    </row>
    <row r="1852" spans="1:15" ht="12" customHeight="1">
      <c r="A1852" s="1517"/>
      <c r="B1852" s="1502" t="s">
        <v>14938</v>
      </c>
      <c r="C1852" s="638" t="s">
        <v>6218</v>
      </c>
      <c r="D1852" s="639">
        <v>77210</v>
      </c>
      <c r="E1852" s="639">
        <v>26718</v>
      </c>
      <c r="F1852" s="640">
        <f t="shared" si="56"/>
        <v>103928</v>
      </c>
      <c r="G1852" s="639">
        <v>58906</v>
      </c>
      <c r="H1852" s="639">
        <v>9831</v>
      </c>
      <c r="I1852" s="639"/>
      <c r="J1852" s="639">
        <v>9288</v>
      </c>
      <c r="K1852" s="640">
        <f t="shared" si="57"/>
        <v>78025</v>
      </c>
      <c r="L1852" s="639">
        <v>15001</v>
      </c>
      <c r="M1852" s="639"/>
      <c r="N1852" s="639">
        <v>93385</v>
      </c>
      <c r="O1852" s="1503">
        <f>1-N1853</f>
        <v>0.67835874615535641</v>
      </c>
    </row>
    <row r="1853" spans="1:15" ht="12" customHeight="1">
      <c r="A1853" s="1517"/>
      <c r="B1853" s="1502"/>
      <c r="C1853" s="635" t="s">
        <v>6219</v>
      </c>
      <c r="D1853" s="636">
        <f>D1852/(D1852+E1852+G1852+H1852+I1852+J1852+L1852+M1852+N1852)</f>
        <v>0.26593051570750054</v>
      </c>
      <c r="E1853" s="636">
        <f>E1852/(D1852+E1852+G1852+H1852+I1852+J1852+L1852+M1852+N1852)</f>
        <v>9.202346222863618E-2</v>
      </c>
      <c r="F1853" s="637">
        <f t="shared" si="56"/>
        <v>0.3579539779361367</v>
      </c>
      <c r="G1853" s="636">
        <f>G1852/(D1852+E1852+G1852+H1852+I1852+J1852+L1852+M1852+N1852)</f>
        <v>0.20288697005913778</v>
      </c>
      <c r="H1853" s="636">
        <f>H1852/(D1852+E1852+G1852+H1852+I1852+J1852+L1852+M1852+N1852)</f>
        <v>3.3860418338562855E-2</v>
      </c>
      <c r="I1853" s="636">
        <f>I1852/(D1852+E1852+G1852+H1852+I1852+J1852+L1852+M1852+N1852)</f>
        <v>0</v>
      </c>
      <c r="J1853" s="636">
        <f>J1852/(D1852+E1852+G1852+H1852+I1852+J1852+L1852+M1852+N1852)</f>
        <v>3.1990190776988281E-2</v>
      </c>
      <c r="K1853" s="637">
        <f t="shared" si="57"/>
        <v>0.26873757917468888</v>
      </c>
      <c r="L1853" s="636">
        <f>L1852/(D1852+E1852+G1852+H1852+I1852+J1852+L1852+M1852+N1852)</f>
        <v>5.1667189044530701E-2</v>
      </c>
      <c r="M1853" s="636">
        <f>M1852/(D1852+E1852+G1852+H1852+I1852+J1852+L1852+M1852+N1852)</f>
        <v>0</v>
      </c>
      <c r="N1853" s="636">
        <f>N1852/(D1852+E1852+G1852+H1852+I1852+J1852+L1852+M1852+N1852)</f>
        <v>0.32164125384464365</v>
      </c>
      <c r="O1853" s="1503"/>
    </row>
    <row r="1854" spans="1:15" ht="12" customHeight="1">
      <c r="A1854" s="1517"/>
      <c r="B1854" s="1502" t="s">
        <v>14939</v>
      </c>
      <c r="C1854" s="638" t="s">
        <v>6218</v>
      </c>
      <c r="D1854" s="639">
        <v>42372</v>
      </c>
      <c r="E1854" s="639">
        <v>26968</v>
      </c>
      <c r="F1854" s="640">
        <f t="shared" si="56"/>
        <v>69340</v>
      </c>
      <c r="G1854" s="639">
        <v>67300</v>
      </c>
      <c r="H1854" s="639">
        <v>5916</v>
      </c>
      <c r="I1854" s="639"/>
      <c r="J1854" s="639"/>
      <c r="K1854" s="640">
        <f t="shared" si="57"/>
        <v>73216</v>
      </c>
      <c r="L1854" s="639">
        <v>12571</v>
      </c>
      <c r="M1854" s="639">
        <v>4186</v>
      </c>
      <c r="N1854" s="639">
        <v>130016</v>
      </c>
      <c r="O1854" s="1503">
        <f>1-N1855</f>
        <v>0.55062921449284374</v>
      </c>
    </row>
    <row r="1855" spans="1:15" ht="12" customHeight="1">
      <c r="A1855" s="1517"/>
      <c r="B1855" s="1502"/>
      <c r="C1855" s="635" t="s">
        <v>6219</v>
      </c>
      <c r="D1855" s="636">
        <f>D1854/(D1854+E1854+G1854+H1854+I1854+J1854+L1854+M1854+N1854)</f>
        <v>0.14644919797185901</v>
      </c>
      <c r="E1855" s="636">
        <f>E1854/(D1854+E1854+G1854+H1854+I1854+J1854+L1854+M1854+N1854)</f>
        <v>9.3208769255760743E-2</v>
      </c>
      <c r="F1855" s="637">
        <f t="shared" si="56"/>
        <v>0.23965796722761976</v>
      </c>
      <c r="G1855" s="636">
        <f>G1854/(D1854+E1854+G1854+H1854+I1854+J1854+L1854+M1854+N1854)</f>
        <v>0.23260717038388823</v>
      </c>
      <c r="H1855" s="636">
        <f>H1854/(D1854+E1854+G1854+H1854+I1854+J1854+L1854+M1854+N1854)</f>
        <v>2.0447310846821439E-2</v>
      </c>
      <c r="I1855" s="636">
        <f>I1854/(D1854+E1854+G1854+H1854+I1854+J1854+L1854+M1854+N1854)</f>
        <v>0</v>
      </c>
      <c r="J1855" s="636">
        <f>J1854/(D1854+E1854+G1854+H1854+I1854+J1854+L1854+M1854+N1854)</f>
        <v>0</v>
      </c>
      <c r="K1855" s="637">
        <f t="shared" si="57"/>
        <v>0.25305448123070967</v>
      </c>
      <c r="L1855" s="636">
        <f>L1854/(D1854+E1854+G1854+H1854+I1854+J1854+L1854+M1854+N1854)</f>
        <v>4.3448807413014247E-2</v>
      </c>
      <c r="M1855" s="636">
        <f>M1854/(D1854+E1854+G1854+H1854+I1854+J1854+L1854+M1854+N1854)</f>
        <v>1.4467958621500092E-2</v>
      </c>
      <c r="N1855" s="636">
        <f>N1854/(D1854+E1854+G1854+H1854+I1854+J1854+L1854+M1854+N1854)</f>
        <v>0.4493707855071562</v>
      </c>
      <c r="O1855" s="1503"/>
    </row>
    <row r="1856" spans="1:15" ht="12" customHeight="1">
      <c r="A1856" s="1517"/>
      <c r="B1856" s="1502" t="s">
        <v>14940</v>
      </c>
      <c r="C1856" s="638" t="s">
        <v>6218</v>
      </c>
      <c r="D1856" s="639">
        <v>58994</v>
      </c>
      <c r="E1856" s="639">
        <v>25394</v>
      </c>
      <c r="F1856" s="640">
        <f t="shared" si="56"/>
        <v>84388</v>
      </c>
      <c r="G1856" s="639">
        <v>62615</v>
      </c>
      <c r="H1856" s="639">
        <v>8750</v>
      </c>
      <c r="I1856" s="639"/>
      <c r="J1856" s="639"/>
      <c r="K1856" s="640">
        <f t="shared" si="57"/>
        <v>71365</v>
      </c>
      <c r="L1856" s="639">
        <v>13390</v>
      </c>
      <c r="M1856" s="639"/>
      <c r="N1856" s="639">
        <v>118972</v>
      </c>
      <c r="O1856" s="1503">
        <f>1-N1857</f>
        <v>0.58706766395362964</v>
      </c>
    </row>
    <row r="1857" spans="1:15" ht="12" customHeight="1" thickBot="1">
      <c r="A1857" s="1519"/>
      <c r="B1857" s="1514"/>
      <c r="C1857" s="641" t="s">
        <v>6219</v>
      </c>
      <c r="D1857" s="642">
        <f>D1856/(D1856+E1856+G1856+H1856+I1856+J1856+L1856+M1856+N1856)</f>
        <v>0.20475851656456623</v>
      </c>
      <c r="E1857" s="642">
        <f>E1856/(D1856+E1856+G1856+H1856+I1856+J1856+L1856+M1856+N1856)</f>
        <v>8.8138416951564477E-2</v>
      </c>
      <c r="F1857" s="643">
        <f t="shared" si="56"/>
        <v>0.29289693351613072</v>
      </c>
      <c r="G1857" s="642">
        <f>G1856/(D1856+E1856+G1856+H1856+I1856+J1856+L1856+M1856+N1856)</f>
        <v>0.21732641479964598</v>
      </c>
      <c r="H1857" s="642">
        <f>H1856/(D1856+E1856+G1856+H1856+I1856+J1856+L1856+M1856+N1856)</f>
        <v>3.036981760755254E-2</v>
      </c>
      <c r="I1857" s="642">
        <f>I1856/(D1856+E1856+G1856+H1856+I1856+J1856+L1856+M1856+N1856)</f>
        <v>0</v>
      </c>
      <c r="J1857" s="642">
        <f>J1856/(D1856+E1856+G1856+H1856+I1856+J1856+L1856+M1856+N1856)</f>
        <v>0</v>
      </c>
      <c r="K1857" s="643">
        <f t="shared" si="57"/>
        <v>0.24769623240719851</v>
      </c>
      <c r="L1857" s="642">
        <f>L1856/(D1856+E1856+G1856+H1856+I1856+J1856+L1856+M1856+N1856)</f>
        <v>4.6474498030300404E-2</v>
      </c>
      <c r="M1857" s="642">
        <f>M1856/(D1856+E1856+G1856+H1856+I1856+J1856+L1856+M1856+N1856)</f>
        <v>0</v>
      </c>
      <c r="N1857" s="642">
        <f>N1856/(D1856+E1856+G1856+H1856+I1856+J1856+L1856+M1856+N1856)</f>
        <v>0.41293233604637036</v>
      </c>
      <c r="O1857" s="1515"/>
    </row>
    <row r="1858" spans="1:15" ht="12" customHeight="1">
      <c r="A1858" s="1516" t="s">
        <v>15170</v>
      </c>
      <c r="B1858" s="1509" t="s">
        <v>14937</v>
      </c>
      <c r="C1858" s="647" t="s">
        <v>6218</v>
      </c>
      <c r="D1858" s="648">
        <v>49741</v>
      </c>
      <c r="E1858" s="648">
        <v>26081</v>
      </c>
      <c r="F1858" s="649">
        <f t="shared" ref="F1858:F1921" si="58">SUM(D1858:E1858)</f>
        <v>75822</v>
      </c>
      <c r="G1858" s="648">
        <v>63134</v>
      </c>
      <c r="H1858" s="648">
        <v>4023</v>
      </c>
      <c r="I1858" s="648">
        <v>3735</v>
      </c>
      <c r="J1858" s="648">
        <v>4028</v>
      </c>
      <c r="K1858" s="649">
        <f t="shared" ref="K1858:K1921" si="59">SUM(G1858:J1858)</f>
        <v>74920</v>
      </c>
      <c r="L1858" s="648">
        <v>9732</v>
      </c>
      <c r="M1858" s="648">
        <v>2588</v>
      </c>
      <c r="N1858" s="648">
        <v>109817</v>
      </c>
      <c r="O1858" s="1510">
        <f>1-N1859</f>
        <v>0.59756155658735188</v>
      </c>
    </row>
    <row r="1859" spans="1:15" ht="12" customHeight="1">
      <c r="A1859" s="1517"/>
      <c r="B1859" s="1502"/>
      <c r="C1859" s="635" t="s">
        <v>6219</v>
      </c>
      <c r="D1859" s="636">
        <f>D1858/(D1858+E1858+G1858+H1858+I1858+J1858+L1858+M1858+N1858)</f>
        <v>0.18228225697103845</v>
      </c>
      <c r="E1859" s="636">
        <f>E1858/(D1858+E1858+G1858+H1858+I1858+J1858+L1858+M1858+N1858)</f>
        <v>9.5577160573001224E-2</v>
      </c>
      <c r="F1859" s="637">
        <f t="shared" si="58"/>
        <v>0.27785941754403964</v>
      </c>
      <c r="G1859" s="636">
        <f>G1858/(D1858+E1858+G1858+H1858+I1858+J1858+L1858+M1858+N1858)</f>
        <v>0.2313626185965208</v>
      </c>
      <c r="H1859" s="636">
        <f>H1858/(D1858+E1858+G1858+H1858+I1858+J1858+L1858+M1858+N1858)</f>
        <v>1.4742798089995932E-2</v>
      </c>
      <c r="I1859" s="636">
        <f>I1858/(D1858+E1858+G1858+H1858+I1858+J1858+L1858+M1858+N1858)</f>
        <v>1.3687385251338505E-2</v>
      </c>
      <c r="J1859" s="636">
        <f>J1858/(D1858+E1858+G1858+H1858+I1858+J1858+L1858+M1858+N1858)</f>
        <v>1.4761121229555958E-2</v>
      </c>
      <c r="K1859" s="637">
        <f t="shared" si="59"/>
        <v>0.27455392316741123</v>
      </c>
      <c r="L1859" s="636">
        <f>L1858/(D1858+E1858+G1858+H1858+I1858+J1858+L1858+M1858+N1858)</f>
        <v>3.5664158839632219E-2</v>
      </c>
      <c r="M1859" s="636">
        <f>M1858/(D1858+E1858+G1858+H1858+I1858+J1858+L1858+M1858+N1858)</f>
        <v>9.4840570362688219E-3</v>
      </c>
      <c r="N1859" s="636">
        <f>N1858/(D1858+E1858+G1858+H1858+I1858+J1858+L1858+M1858+N1858)</f>
        <v>0.40243844341264812</v>
      </c>
      <c r="O1859" s="1503"/>
    </row>
    <row r="1860" spans="1:15" ht="12" customHeight="1">
      <c r="A1860" s="1517"/>
      <c r="B1860" s="1502" t="s">
        <v>14938</v>
      </c>
      <c r="C1860" s="638" t="s">
        <v>6218</v>
      </c>
      <c r="D1860" s="639">
        <v>75815</v>
      </c>
      <c r="E1860" s="639">
        <v>27756</v>
      </c>
      <c r="F1860" s="640">
        <f t="shared" si="58"/>
        <v>103571</v>
      </c>
      <c r="G1860" s="639">
        <v>58076</v>
      </c>
      <c r="H1860" s="639">
        <v>8088</v>
      </c>
      <c r="I1860" s="639"/>
      <c r="J1860" s="639">
        <v>8992</v>
      </c>
      <c r="K1860" s="640">
        <f t="shared" si="59"/>
        <v>75156</v>
      </c>
      <c r="L1860" s="639">
        <v>10667</v>
      </c>
      <c r="M1860" s="639"/>
      <c r="N1860" s="639">
        <v>85061</v>
      </c>
      <c r="O1860" s="1503">
        <f>1-N1861</f>
        <v>0.69007305387039763</v>
      </c>
    </row>
    <row r="1861" spans="1:15" ht="12" customHeight="1">
      <c r="A1861" s="1517"/>
      <c r="B1861" s="1502"/>
      <c r="C1861" s="635" t="s">
        <v>6219</v>
      </c>
      <c r="D1861" s="636">
        <f>D1860/(D1860+E1860+G1860+H1860+I1860+J1860+L1860+M1860+N1860)</f>
        <v>0.27623836330181634</v>
      </c>
      <c r="E1861" s="636">
        <f>E1860/(D1860+E1860+G1860+H1860+I1860+J1860+L1860+M1860+N1860)</f>
        <v>0.10113133300541072</v>
      </c>
      <c r="F1861" s="637">
        <f t="shared" si="58"/>
        <v>0.37736969630722705</v>
      </c>
      <c r="G1861" s="636">
        <f>G1860/(D1860+E1860+G1860+H1860+I1860+J1860+L1860+M1860+N1860)</f>
        <v>0.21160481681878632</v>
      </c>
      <c r="H1861" s="636">
        <f>H1860/(D1860+E1860+G1860+H1860+I1860+J1860+L1860+M1860+N1860)</f>
        <v>2.946931190905613E-2</v>
      </c>
      <c r="I1861" s="636">
        <f>I1860/(D1860+E1860+G1860+H1860+I1860+J1860+L1860+M1860+N1860)</f>
        <v>0</v>
      </c>
      <c r="J1861" s="636">
        <f>J1860/(D1860+E1860+G1860+H1860+I1860+J1860+L1860+M1860+N1860)</f>
        <v>3.276311234992986E-2</v>
      </c>
      <c r="K1861" s="637">
        <f t="shared" si="59"/>
        <v>0.2738372410777723</v>
      </c>
      <c r="L1861" s="636">
        <f>L1860/(D1860+E1860+G1860+H1860+I1860+J1860+L1860+M1860+N1860)</f>
        <v>3.8866116485398332E-2</v>
      </c>
      <c r="M1861" s="636">
        <f>M1860/(D1860+E1860+G1860+H1860+I1860+J1860+L1860+M1860+N1860)</f>
        <v>0</v>
      </c>
      <c r="N1861" s="636">
        <f>N1860/(D1860+E1860+G1860+H1860+I1860+J1860+L1860+M1860+N1860)</f>
        <v>0.30992694612960231</v>
      </c>
      <c r="O1861" s="1503"/>
    </row>
    <row r="1862" spans="1:15" ht="12" customHeight="1">
      <c r="A1862" s="1517"/>
      <c r="B1862" s="1502" t="s">
        <v>14939</v>
      </c>
      <c r="C1862" s="638" t="s">
        <v>6218</v>
      </c>
      <c r="D1862" s="639">
        <v>45526</v>
      </c>
      <c r="E1862" s="639">
        <v>26449</v>
      </c>
      <c r="F1862" s="640">
        <f t="shared" si="58"/>
        <v>71975</v>
      </c>
      <c r="G1862" s="639">
        <v>71752</v>
      </c>
      <c r="H1862" s="639">
        <v>4621</v>
      </c>
      <c r="I1862" s="639"/>
      <c r="J1862" s="639"/>
      <c r="K1862" s="640">
        <f t="shared" si="59"/>
        <v>76373</v>
      </c>
      <c r="L1862" s="639">
        <v>8205</v>
      </c>
      <c r="M1862" s="639">
        <v>3248</v>
      </c>
      <c r="N1862" s="639">
        <v>115856</v>
      </c>
      <c r="O1862" s="1503">
        <f>1-N1863</f>
        <v>0.57970956659907058</v>
      </c>
    </row>
    <row r="1863" spans="1:15" ht="12" customHeight="1">
      <c r="A1863" s="1517"/>
      <c r="B1863" s="1502"/>
      <c r="C1863" s="635" t="s">
        <v>6219</v>
      </c>
      <c r="D1863" s="636">
        <f>D1862/(D1862+E1862+G1862+H1862+I1862+J1862+L1862+M1862+N1862)</f>
        <v>0.1651545217426004</v>
      </c>
      <c r="E1863" s="636">
        <f>E1862/(D1862+E1862+G1862+H1862+I1862+J1862+L1862+M1862+N1862)</f>
        <v>9.5948951051487902E-2</v>
      </c>
      <c r="F1863" s="637">
        <f t="shared" si="58"/>
        <v>0.2611034727940883</v>
      </c>
      <c r="G1863" s="636">
        <f>G1862/(D1862+E1862+G1862+H1862+I1862+J1862+L1862+M1862+N1862)</f>
        <v>0.26029449642127717</v>
      </c>
      <c r="H1863" s="636">
        <f>H1862/(D1862+E1862+G1862+H1862+I1862+J1862+L1862+M1862+N1862)</f>
        <v>1.6763586631211976E-2</v>
      </c>
      <c r="I1863" s="636">
        <f>I1862/(D1862+E1862+G1862+H1862+I1862+J1862+L1862+M1862+N1862)</f>
        <v>0</v>
      </c>
      <c r="J1863" s="636">
        <f>J1862/(D1862+E1862+G1862+H1862+I1862+J1862+L1862+M1862+N1862)</f>
        <v>0</v>
      </c>
      <c r="K1863" s="637">
        <f t="shared" si="59"/>
        <v>0.27705808305248913</v>
      </c>
      <c r="L1863" s="636">
        <f>L1862/(D1862+E1862+G1862+H1862+I1862+J1862+L1862+M1862+N1862)</f>
        <v>2.9765251744015207E-2</v>
      </c>
      <c r="M1863" s="636">
        <f>M1862/(D1862+E1862+G1862+H1862+I1862+J1862+L1862+M1862+N1862)</f>
        <v>1.1782759008477927E-2</v>
      </c>
      <c r="N1863" s="636">
        <f>N1862/(D1862+E1862+G1862+H1862+I1862+J1862+L1862+M1862+N1862)</f>
        <v>0.42029043340092942</v>
      </c>
      <c r="O1863" s="1503"/>
    </row>
    <row r="1864" spans="1:15" ht="12" customHeight="1">
      <c r="A1864" s="1517"/>
      <c r="B1864" s="1502" t="s">
        <v>14940</v>
      </c>
      <c r="C1864" s="638" t="s">
        <v>6218</v>
      </c>
      <c r="D1864" s="639">
        <v>67949</v>
      </c>
      <c r="E1864" s="639">
        <v>28049</v>
      </c>
      <c r="F1864" s="640">
        <f t="shared" si="58"/>
        <v>95998</v>
      </c>
      <c r="G1864" s="639">
        <v>57784</v>
      </c>
      <c r="H1864" s="639">
        <v>5647</v>
      </c>
      <c r="I1864" s="639"/>
      <c r="J1864" s="639"/>
      <c r="K1864" s="640">
        <f t="shared" si="59"/>
        <v>63431</v>
      </c>
      <c r="L1864" s="639">
        <v>9973</v>
      </c>
      <c r="M1864" s="639"/>
      <c r="N1864" s="639">
        <v>106499</v>
      </c>
      <c r="O1864" s="1503">
        <f>1-N1865</f>
        <v>0.61399559987096819</v>
      </c>
    </row>
    <row r="1865" spans="1:15" ht="12" customHeight="1" thickBot="1">
      <c r="A1865" s="1519"/>
      <c r="B1865" s="1514"/>
      <c r="C1865" s="641" t="s">
        <v>6219</v>
      </c>
      <c r="D1865" s="642">
        <f>D1864/(D1864+E1864+G1864+H1864+I1864+J1864+L1864+M1864+N1864)</f>
        <v>0.24628036868296962</v>
      </c>
      <c r="E1865" s="642">
        <f>E1864/(D1864+E1864+G1864+H1864+I1864+J1864+L1864+M1864+N1864)</f>
        <v>0.10166327776992472</v>
      </c>
      <c r="F1865" s="643">
        <f t="shared" si="58"/>
        <v>0.34794364645289433</v>
      </c>
      <c r="G1865" s="642">
        <f>G1864/(D1864+E1864+G1864+H1864+I1864+J1864+L1864+M1864+N1864)</f>
        <v>0.20943744314083676</v>
      </c>
      <c r="H1865" s="642">
        <f>H1864/(D1864+E1864+G1864+H1864+I1864+J1864+L1864+M1864+N1864)</f>
        <v>2.0467486525964022E-2</v>
      </c>
      <c r="I1865" s="642">
        <f>I1864/(D1864+E1864+G1864+H1864+I1864+J1864+L1864+M1864+N1864)</f>
        <v>0</v>
      </c>
      <c r="J1865" s="642">
        <f>J1864/(D1864+E1864+G1864+H1864+I1864+J1864+L1864+M1864+N1864)</f>
        <v>0</v>
      </c>
      <c r="K1865" s="643">
        <f t="shared" si="59"/>
        <v>0.22990492966680079</v>
      </c>
      <c r="L1865" s="642">
        <f>L1864/(D1864+E1864+G1864+H1864+I1864+J1864+L1864+M1864+N1864)</f>
        <v>3.61470237512731E-2</v>
      </c>
      <c r="M1865" s="642">
        <f>M1864/(D1864+E1864+G1864+H1864+I1864+J1864+L1864+M1864+N1864)</f>
        <v>0</v>
      </c>
      <c r="N1865" s="642">
        <f>N1864/(D1864+E1864+G1864+H1864+I1864+J1864+L1864+M1864+N1864)</f>
        <v>0.38600440012903181</v>
      </c>
      <c r="O1865" s="1515"/>
    </row>
    <row r="1866" spans="1:15" ht="12" customHeight="1">
      <c r="A1866" s="1516" t="s">
        <v>15171</v>
      </c>
      <c r="B1866" s="1509" t="s">
        <v>14937</v>
      </c>
      <c r="C1866" s="647" t="s">
        <v>6218</v>
      </c>
      <c r="D1866" s="648">
        <v>36643</v>
      </c>
      <c r="E1866" s="648">
        <v>33065</v>
      </c>
      <c r="F1866" s="649">
        <f t="shared" si="58"/>
        <v>69708</v>
      </c>
      <c r="G1866" s="648">
        <v>65818</v>
      </c>
      <c r="H1866" s="648">
        <v>3610</v>
      </c>
      <c r="I1866" s="648">
        <v>2005</v>
      </c>
      <c r="J1866" s="648">
        <v>3853</v>
      </c>
      <c r="K1866" s="649">
        <f t="shared" si="59"/>
        <v>75286</v>
      </c>
      <c r="L1866" s="648">
        <v>15202</v>
      </c>
      <c r="M1866" s="648">
        <v>2465</v>
      </c>
      <c r="N1866" s="648">
        <v>152521</v>
      </c>
      <c r="O1866" s="1510">
        <f>1-N1867</f>
        <v>0.51608594399426355</v>
      </c>
    </row>
    <row r="1867" spans="1:15" ht="12" customHeight="1">
      <c r="A1867" s="1517"/>
      <c r="B1867" s="1502"/>
      <c r="C1867" s="635" t="s">
        <v>6219</v>
      </c>
      <c r="D1867" s="636">
        <f>D1866/(D1866+E1866+G1866+H1866+I1866+J1866+L1866+M1866+N1866)</f>
        <v>0.1162598117912825</v>
      </c>
      <c r="E1867" s="636">
        <f>E1866/(D1866+E1866+G1866+H1866+I1866+J1866+L1866+M1866+N1866)</f>
        <v>0.10490764066475877</v>
      </c>
      <c r="F1867" s="637">
        <f t="shared" si="58"/>
        <v>0.22116745245604127</v>
      </c>
      <c r="G1867" s="636">
        <f>G1866/(D1866+E1866+G1866+H1866+I1866+J1866+L1866+M1866+N1866)</f>
        <v>0.20882537708371671</v>
      </c>
      <c r="H1867" s="636">
        <f>H1866/(D1866+E1866+G1866+H1866+I1866+J1866+L1866+M1866+N1866)</f>
        <v>1.1453699767118681E-2</v>
      </c>
      <c r="I1867" s="636">
        <f>I1866/(D1866+E1866+G1866+H1866+I1866+J1866+L1866+M1866+N1866)</f>
        <v>6.3614038872778266E-3</v>
      </c>
      <c r="J1867" s="636">
        <f>J1866/(D1866+E1866+G1866+H1866+I1866+J1866+L1866+M1866+N1866)</f>
        <v>1.2224682881636641E-2</v>
      </c>
      <c r="K1867" s="637">
        <f t="shared" si="59"/>
        <v>0.23886516361974985</v>
      </c>
      <c r="L1867" s="636">
        <f>L1866/(D1866+E1866+G1866+H1866+I1866+J1866+L1866+M1866+N1866)</f>
        <v>4.8232449822642159E-2</v>
      </c>
      <c r="M1867" s="636">
        <f>M1866/(D1866+E1866+G1866+H1866+I1866+J1866+L1866+M1866+N1866)</f>
        <v>7.8208780958303453E-3</v>
      </c>
      <c r="N1867" s="636">
        <f>N1866/(D1866+E1866+G1866+H1866+I1866+J1866+L1866+M1866+N1866)</f>
        <v>0.48391405600573639</v>
      </c>
      <c r="O1867" s="1503"/>
    </row>
    <row r="1868" spans="1:15" ht="12" customHeight="1">
      <c r="A1868" s="1517"/>
      <c r="B1868" s="1502" t="s">
        <v>14938</v>
      </c>
      <c r="C1868" s="638" t="s">
        <v>6218</v>
      </c>
      <c r="D1868" s="639">
        <v>66027</v>
      </c>
      <c r="E1868" s="639">
        <v>39995</v>
      </c>
      <c r="F1868" s="640">
        <f t="shared" si="58"/>
        <v>106022</v>
      </c>
      <c r="G1868" s="639">
        <v>58901</v>
      </c>
      <c r="H1868" s="639">
        <v>7768</v>
      </c>
      <c r="I1868" s="639"/>
      <c r="J1868" s="639">
        <v>7187</v>
      </c>
      <c r="K1868" s="640">
        <f t="shared" si="59"/>
        <v>73856</v>
      </c>
      <c r="L1868" s="639">
        <v>17467</v>
      </c>
      <c r="M1868" s="639"/>
      <c r="N1868" s="639">
        <v>117190</v>
      </c>
      <c r="O1868" s="1503">
        <f>1-N1869</f>
        <v>0.62741825234075699</v>
      </c>
    </row>
    <row r="1869" spans="1:15" ht="12" customHeight="1">
      <c r="A1869" s="1517"/>
      <c r="B1869" s="1502"/>
      <c r="C1869" s="635" t="s">
        <v>6219</v>
      </c>
      <c r="D1869" s="636">
        <f>D1868/(D1868+E1868+G1868+H1868+I1868+J1868+L1868+M1868+N1868)</f>
        <v>0.20991940483570987</v>
      </c>
      <c r="E1869" s="636">
        <f>E1868/(D1868+E1868+G1868+H1868+I1868+J1868+L1868+M1868+N1868)</f>
        <v>0.12715596038596658</v>
      </c>
      <c r="F1869" s="637">
        <f t="shared" si="58"/>
        <v>0.33707536522167647</v>
      </c>
      <c r="G1869" s="636">
        <f>G1868/(D1868+E1868+G1868+H1868+I1868+J1868+L1868+M1868+N1868)</f>
        <v>0.18726373853466227</v>
      </c>
      <c r="H1869" s="636">
        <f>H1868/(D1868+E1868+G1868+H1868+I1868+J1868+L1868+M1868+N1868)</f>
        <v>2.4696774603780183E-2</v>
      </c>
      <c r="I1869" s="636">
        <f>I1868/(D1868+E1868+G1868+H1868+I1868+J1868+L1868+M1868+N1868)</f>
        <v>0</v>
      </c>
      <c r="J1869" s="636">
        <f>J1868/(D1868+E1868+G1868+H1868+I1868+J1868+L1868+M1868+N1868)</f>
        <v>2.2849603382771394E-2</v>
      </c>
      <c r="K1869" s="637">
        <f t="shared" si="59"/>
        <v>0.23481011652121384</v>
      </c>
      <c r="L1869" s="636">
        <f>L1868/(D1868+E1868+G1868+H1868+I1868+J1868+L1868+M1868+N1868)</f>
        <v>5.5532770597866689E-2</v>
      </c>
      <c r="M1869" s="636">
        <f>M1868/(D1868+E1868+G1868+H1868+I1868+J1868+L1868+M1868+N1868)</f>
        <v>0</v>
      </c>
      <c r="N1869" s="636">
        <f>N1868/(D1868+E1868+G1868+H1868+I1868+J1868+L1868+M1868+N1868)</f>
        <v>0.37258174765924301</v>
      </c>
      <c r="O1869" s="1503"/>
    </row>
    <row r="1870" spans="1:15" ht="12" customHeight="1">
      <c r="A1870" s="1517"/>
      <c r="B1870" s="1502" t="s">
        <v>14939</v>
      </c>
      <c r="C1870" s="638" t="s">
        <v>6218</v>
      </c>
      <c r="D1870" s="639">
        <v>44019</v>
      </c>
      <c r="E1870" s="639">
        <v>36809</v>
      </c>
      <c r="F1870" s="640">
        <f t="shared" si="58"/>
        <v>80828</v>
      </c>
      <c r="G1870" s="639">
        <v>51296</v>
      </c>
      <c r="H1870" s="639">
        <v>4276</v>
      </c>
      <c r="I1870" s="639"/>
      <c r="J1870" s="639"/>
      <c r="K1870" s="640">
        <f t="shared" si="59"/>
        <v>55572</v>
      </c>
      <c r="L1870" s="639">
        <v>15503</v>
      </c>
      <c r="M1870" s="639">
        <v>4375</v>
      </c>
      <c r="N1870" s="639">
        <v>158605</v>
      </c>
      <c r="O1870" s="1503">
        <f>1-N1871</f>
        <v>0.4963049767691492</v>
      </c>
    </row>
    <row r="1871" spans="1:15" ht="12" customHeight="1">
      <c r="A1871" s="1517"/>
      <c r="B1871" s="1502"/>
      <c r="C1871" s="635" t="s">
        <v>6219</v>
      </c>
      <c r="D1871" s="636">
        <f>D1870/(D1870+E1870+G1870+H1870+I1870+J1870+L1870+M1870+N1870)</f>
        <v>0.13979478091862693</v>
      </c>
      <c r="E1871" s="636">
        <f>E1870/(D1870+E1870+G1870+H1870+I1870+J1870+L1870+M1870+N1870)</f>
        <v>0.1168973872835307</v>
      </c>
      <c r="F1871" s="637">
        <f t="shared" si="58"/>
        <v>0.25669216820215762</v>
      </c>
      <c r="G1871" s="636">
        <f>G1870/(D1870+E1870+G1870+H1870+I1870+J1870+L1870+M1870+N1870)</f>
        <v>0.16290495199804372</v>
      </c>
      <c r="H1871" s="636">
        <f>H1870/(D1870+E1870+G1870+H1870+I1870+J1870+L1870+M1870+N1870)</f>
        <v>1.3579647043505049E-2</v>
      </c>
      <c r="I1871" s="636">
        <f>I1870/(D1870+E1870+G1870+H1870+I1870+J1870+L1870+M1870+N1870)</f>
        <v>0</v>
      </c>
      <c r="J1871" s="636">
        <f>J1870/(D1870+E1870+G1870+H1870+I1870+J1870+L1870+M1870+N1870)</f>
        <v>0</v>
      </c>
      <c r="K1871" s="637">
        <f t="shared" si="59"/>
        <v>0.17648459904154878</v>
      </c>
      <c r="L1871" s="636">
        <f>L1870/(D1870+E1870+G1870+H1870+I1870+J1870+L1870+M1870+N1870)</f>
        <v>4.9234159989583436E-2</v>
      </c>
      <c r="M1871" s="636">
        <f>M1870/(D1870+E1870+G1870+H1870+I1870+J1870+L1870+M1870+N1870)</f>
        <v>1.389404953585935E-2</v>
      </c>
      <c r="N1871" s="636">
        <f>N1870/(D1870+E1870+G1870+H1870+I1870+J1870+L1870+M1870+N1870)</f>
        <v>0.5036950232308508</v>
      </c>
      <c r="O1871" s="1503"/>
    </row>
    <row r="1872" spans="1:15" ht="12" customHeight="1">
      <c r="A1872" s="1517"/>
      <c r="B1872" s="1502" t="s">
        <v>14940</v>
      </c>
      <c r="C1872" s="638" t="s">
        <v>6218</v>
      </c>
      <c r="D1872" s="639">
        <v>45996</v>
      </c>
      <c r="E1872" s="639">
        <v>37309</v>
      </c>
      <c r="F1872" s="640">
        <f t="shared" si="58"/>
        <v>83305</v>
      </c>
      <c r="G1872" s="639">
        <v>48171</v>
      </c>
      <c r="H1872" s="639">
        <v>4293</v>
      </c>
      <c r="I1872" s="639"/>
      <c r="J1872" s="639"/>
      <c r="K1872" s="640">
        <f t="shared" si="59"/>
        <v>52464</v>
      </c>
      <c r="L1872" s="639">
        <v>18306</v>
      </c>
      <c r="M1872" s="639"/>
      <c r="N1872" s="639">
        <v>160457</v>
      </c>
      <c r="O1872" s="1503">
        <f>1-N1873</f>
        <v>0.48985476835425334</v>
      </c>
    </row>
    <row r="1873" spans="1:15" ht="12" customHeight="1" thickBot="1">
      <c r="A1873" s="1519"/>
      <c r="B1873" s="1514"/>
      <c r="C1873" s="641" t="s">
        <v>6219</v>
      </c>
      <c r="D1873" s="642">
        <f>D1872/(D1872+E1872+G1872+H1872+I1872+J1872+L1872+M1872+N1872)</f>
        <v>0.14623631299835946</v>
      </c>
      <c r="E1873" s="642">
        <f>E1872/(D1872+E1872+G1872+H1872+I1872+J1872+L1872+M1872+N1872)</f>
        <v>0.11861750155787011</v>
      </c>
      <c r="F1873" s="643">
        <f t="shared" si="58"/>
        <v>0.26485381455622958</v>
      </c>
      <c r="G1873" s="642">
        <f>G1872/(D1872+E1872+G1872+H1872+I1872+J1872+L1872+M1872+N1872)</f>
        <v>0.15315134867040556</v>
      </c>
      <c r="H1873" s="642">
        <f>H1872/(D1872+E1872+G1872+H1872+I1872+J1872+L1872+M1872+N1872)</f>
        <v>1.3648849719583382E-2</v>
      </c>
      <c r="I1873" s="642">
        <f>I1872/(D1872+E1872+G1872+H1872+I1872+J1872+L1872+M1872+N1872)</f>
        <v>0</v>
      </c>
      <c r="J1873" s="642">
        <f>J1872/(D1872+E1872+G1872+H1872+I1872+J1872+L1872+M1872+N1872)</f>
        <v>0</v>
      </c>
      <c r="K1873" s="643">
        <f t="shared" si="59"/>
        <v>0.16680019838998894</v>
      </c>
      <c r="L1873" s="642">
        <f>L1872/(D1872+E1872+G1872+H1872+I1872+J1872+L1872+M1872+N1872)</f>
        <v>5.8200755408034793E-2</v>
      </c>
      <c r="M1873" s="642">
        <f>M1872/(D1872+E1872+G1872+H1872+I1872+J1872+L1872+M1872+N1872)</f>
        <v>0</v>
      </c>
      <c r="N1873" s="642">
        <f>N1872/(D1872+E1872+G1872+H1872+I1872+J1872+L1872+M1872+N1872)</f>
        <v>0.51014523164574666</v>
      </c>
      <c r="O1873" s="1515"/>
    </row>
    <row r="1874" spans="1:15" ht="12" customHeight="1">
      <c r="A1874" s="1516" t="s">
        <v>15172</v>
      </c>
      <c r="B1874" s="1509" t="s">
        <v>14937</v>
      </c>
      <c r="C1874" s="647" t="s">
        <v>6218</v>
      </c>
      <c r="D1874" s="648">
        <v>38859</v>
      </c>
      <c r="E1874" s="648">
        <v>22559</v>
      </c>
      <c r="F1874" s="649">
        <f t="shared" si="58"/>
        <v>61418</v>
      </c>
      <c r="G1874" s="648">
        <v>53665</v>
      </c>
      <c r="H1874" s="648">
        <v>2728</v>
      </c>
      <c r="I1874" s="648">
        <v>2199</v>
      </c>
      <c r="J1874" s="648">
        <v>2552</v>
      </c>
      <c r="K1874" s="649">
        <f t="shared" si="59"/>
        <v>61144</v>
      </c>
      <c r="L1874" s="648">
        <v>11597</v>
      </c>
      <c r="M1874" s="648">
        <v>1767</v>
      </c>
      <c r="N1874" s="648">
        <v>99738</v>
      </c>
      <c r="O1874" s="1510">
        <f>1-N1875</f>
        <v>0.57677880372055124</v>
      </c>
    </row>
    <row r="1875" spans="1:15" ht="12" customHeight="1">
      <c r="A1875" s="1517"/>
      <c r="B1875" s="1502"/>
      <c r="C1875" s="635" t="s">
        <v>6219</v>
      </c>
      <c r="D1875" s="636">
        <f>D1874/(D1874+E1874+G1874+H1874+I1874+J1874+L1874+M1874+N1874)</f>
        <v>0.16489154049833663</v>
      </c>
      <c r="E1875" s="636">
        <f>E1874/(D1874+E1874+G1874+H1874+I1874+J1874+L1874+M1874+N1874)</f>
        <v>9.5725269875755317E-2</v>
      </c>
      <c r="F1875" s="637">
        <f t="shared" si="58"/>
        <v>0.26061681037409196</v>
      </c>
      <c r="G1875" s="636">
        <f>G1874/(D1874+E1874+G1874+H1874+I1874+J1874+L1874+M1874+N1874)</f>
        <v>0.22771827686876231</v>
      </c>
      <c r="H1875" s="636">
        <f>H1874/(D1874+E1874+G1874+H1874+I1874+J1874+L1874+M1874+N1874)</f>
        <v>1.157580283793876E-2</v>
      </c>
      <c r="I1875" s="636">
        <f>I1874/(D1874+E1874+G1874+H1874+I1874+J1874+L1874+M1874+N1874)</f>
        <v>9.3310815398194042E-3</v>
      </c>
      <c r="J1875" s="636">
        <f>J1874/(D1874+E1874+G1874+H1874+I1874+J1874+L1874+M1874+N1874)</f>
        <v>1.0828976848394324E-2</v>
      </c>
      <c r="K1875" s="637">
        <f t="shared" si="59"/>
        <v>0.2594541380949148</v>
      </c>
      <c r="L1875" s="636">
        <f>L1874/(D1874+E1874+G1874+H1874+I1874+J1874+L1874+M1874+N1874)</f>
        <v>4.9209892049697876E-2</v>
      </c>
      <c r="M1875" s="636">
        <f>M1874/(D1874+E1874+G1874+H1874+I1874+J1874+L1874+M1874+N1874)</f>
        <v>7.4979632018466972E-3</v>
      </c>
      <c r="N1875" s="636">
        <f>N1874/(D1874+E1874+G1874+H1874+I1874+J1874+L1874+M1874+N1874)</f>
        <v>0.42322119627944871</v>
      </c>
      <c r="O1875" s="1503"/>
    </row>
    <row r="1876" spans="1:15" ht="12" customHeight="1">
      <c r="A1876" s="1517"/>
      <c r="B1876" s="1502" t="s">
        <v>14938</v>
      </c>
      <c r="C1876" s="638" t="s">
        <v>6218</v>
      </c>
      <c r="D1876" s="639">
        <v>56908</v>
      </c>
      <c r="E1876" s="639">
        <v>28526</v>
      </c>
      <c r="F1876" s="640">
        <f t="shared" si="58"/>
        <v>85434</v>
      </c>
      <c r="G1876" s="639">
        <v>51700</v>
      </c>
      <c r="H1876" s="639">
        <v>5427</v>
      </c>
      <c r="I1876" s="639"/>
      <c r="J1876" s="639">
        <v>5424</v>
      </c>
      <c r="K1876" s="640">
        <f t="shared" si="59"/>
        <v>62551</v>
      </c>
      <c r="L1876" s="639">
        <v>13468</v>
      </c>
      <c r="M1876" s="639"/>
      <c r="N1876" s="639">
        <v>74819</v>
      </c>
      <c r="O1876" s="1503">
        <f>1-N1877</f>
        <v>0.68333530845804835</v>
      </c>
    </row>
    <row r="1877" spans="1:15" ht="12" customHeight="1">
      <c r="A1877" s="1517"/>
      <c r="B1877" s="1502"/>
      <c r="C1877" s="635" t="s">
        <v>6219</v>
      </c>
      <c r="D1877" s="636">
        <f>D1876/(D1876+E1876+G1876+H1876+I1876+J1876+L1876+M1876+N1876)</f>
        <v>0.24085799417620371</v>
      </c>
      <c r="E1877" s="636">
        <f>E1876/(D1876+E1876+G1876+H1876+I1876+J1876+L1876+M1876+N1876)</f>
        <v>0.12073373061556172</v>
      </c>
      <c r="F1877" s="637">
        <f t="shared" si="58"/>
        <v>0.36159172479176543</v>
      </c>
      <c r="G1877" s="636">
        <f>G1876/(D1876+E1876+G1876+H1876+I1876+J1876+L1876+M1876+N1876)</f>
        <v>0.21881560235660594</v>
      </c>
      <c r="H1877" s="636">
        <f>H1876/(D1876+E1876+G1876+H1876+I1876+J1876+L1876+M1876+N1876)</f>
        <v>2.2969289632288212E-2</v>
      </c>
      <c r="I1877" s="636">
        <f>I1876/(D1876+E1876+G1876+H1876+I1876+J1876+L1876+M1876+N1876)</f>
        <v>0</v>
      </c>
      <c r="J1877" s="636">
        <f>J1876/(D1876+E1876+G1876+H1876+I1876+J1876+L1876+M1876+N1876)</f>
        <v>2.2956592401977383E-2</v>
      </c>
      <c r="K1877" s="637">
        <f t="shared" si="59"/>
        <v>0.26474148439087153</v>
      </c>
      <c r="L1877" s="636">
        <f>L1876/(D1876+E1876+G1876+H1876+I1876+J1876+L1876+M1876+N1876)</f>
        <v>5.7002099275411389E-2</v>
      </c>
      <c r="M1877" s="636">
        <f>M1876/(D1876+E1876+G1876+H1876+I1876+J1876+L1876+M1876+N1876)</f>
        <v>0</v>
      </c>
      <c r="N1877" s="636">
        <f>N1876/(D1876+E1876+G1876+H1876+I1876+J1876+L1876+M1876+N1876)</f>
        <v>0.31666469154195165</v>
      </c>
      <c r="O1877" s="1503"/>
    </row>
    <row r="1878" spans="1:15" ht="12" customHeight="1">
      <c r="A1878" s="1517"/>
      <c r="B1878" s="1502" t="s">
        <v>14939</v>
      </c>
      <c r="C1878" s="638" t="s">
        <v>6218</v>
      </c>
      <c r="D1878" s="639">
        <v>44104</v>
      </c>
      <c r="E1878" s="639">
        <v>25077</v>
      </c>
      <c r="F1878" s="640">
        <f t="shared" si="58"/>
        <v>69181</v>
      </c>
      <c r="G1878" s="639">
        <v>45855</v>
      </c>
      <c r="H1878" s="639">
        <v>3271</v>
      </c>
      <c r="I1878" s="639"/>
      <c r="J1878" s="639"/>
      <c r="K1878" s="640">
        <f t="shared" si="59"/>
        <v>49126</v>
      </c>
      <c r="L1878" s="639">
        <v>11806</v>
      </c>
      <c r="M1878" s="639">
        <v>3171</v>
      </c>
      <c r="N1878" s="639">
        <v>103209</v>
      </c>
      <c r="O1878" s="1503">
        <f>1-N1879</f>
        <v>0.56358539153378739</v>
      </c>
    </row>
    <row r="1879" spans="1:15" ht="12" customHeight="1">
      <c r="A1879" s="1517"/>
      <c r="B1879" s="1502"/>
      <c r="C1879" s="635" t="s">
        <v>6219</v>
      </c>
      <c r="D1879" s="636">
        <f>D1878/(D1878+E1878+G1878+H1878+I1878+J1878+L1878+M1878+N1878)</f>
        <v>0.18649177776932085</v>
      </c>
      <c r="E1879" s="636">
        <f>E1878/(D1878+E1878+G1878+H1878+I1878+J1878+L1878+M1878+N1878)</f>
        <v>0.10603696515330263</v>
      </c>
      <c r="F1879" s="637">
        <f t="shared" si="58"/>
        <v>0.29252874292262349</v>
      </c>
      <c r="G1879" s="636">
        <f>G1878/(D1878+E1878+G1878+H1878+I1878+J1878+L1878+M1878+N1878)</f>
        <v>0.19389580241275639</v>
      </c>
      <c r="H1879" s="636">
        <f>H1878/(D1878+E1878+G1878+H1878+I1878+J1878+L1878+M1878+N1878)</f>
        <v>1.3831276189992938E-2</v>
      </c>
      <c r="I1879" s="636">
        <f>I1878/(D1878+E1878+G1878+H1878+I1878+J1878+L1878+M1878+N1878)</f>
        <v>0</v>
      </c>
      <c r="J1879" s="636">
        <f>J1878/(D1878+E1878+G1878+H1878+I1878+J1878+L1878+M1878+N1878)</f>
        <v>0</v>
      </c>
      <c r="K1879" s="637">
        <f t="shared" si="59"/>
        <v>0.20772707860274933</v>
      </c>
      <c r="L1879" s="636">
        <f>L1878/(D1878+E1878+G1878+H1878+I1878+J1878+L1878+M1878+N1878)</f>
        <v>4.992113931490573E-2</v>
      </c>
      <c r="M1879" s="636">
        <f>M1878/(D1878+E1878+G1878+H1878+I1878+J1878+L1878+M1878+N1878)</f>
        <v>1.3408430693508899E-2</v>
      </c>
      <c r="N1879" s="636">
        <f>N1878/(D1878+E1878+G1878+H1878+I1878+J1878+L1878+M1878+N1878)</f>
        <v>0.43641460846621255</v>
      </c>
      <c r="O1879" s="1503"/>
    </row>
    <row r="1880" spans="1:15" ht="12" customHeight="1">
      <c r="A1880" s="1517"/>
      <c r="B1880" s="1502" t="s">
        <v>14940</v>
      </c>
      <c r="C1880" s="638" t="s">
        <v>6218</v>
      </c>
      <c r="D1880" s="639">
        <v>51210</v>
      </c>
      <c r="E1880" s="639">
        <v>25932</v>
      </c>
      <c r="F1880" s="640">
        <f t="shared" si="58"/>
        <v>77142</v>
      </c>
      <c r="G1880" s="639">
        <v>52844</v>
      </c>
      <c r="H1880" s="639">
        <v>3045</v>
      </c>
      <c r="I1880" s="639"/>
      <c r="J1880" s="639"/>
      <c r="K1880" s="640">
        <f t="shared" si="59"/>
        <v>55889</v>
      </c>
      <c r="L1880" s="639">
        <v>12683</v>
      </c>
      <c r="M1880" s="639"/>
      <c r="N1880" s="639">
        <v>90521</v>
      </c>
      <c r="O1880" s="1503">
        <f>1-N1881</f>
        <v>0.61681799902639323</v>
      </c>
    </row>
    <row r="1881" spans="1:15" ht="12" customHeight="1" thickBot="1">
      <c r="A1881" s="1519"/>
      <c r="B1881" s="1514"/>
      <c r="C1881" s="641" t="s">
        <v>6219</v>
      </c>
      <c r="D1881" s="642">
        <f>D1880/(D1880+E1880+G1880+H1880+I1880+J1880+L1880+M1880+N1880)</f>
        <v>0.21677566829639977</v>
      </c>
      <c r="E1881" s="642">
        <f>E1880/(D1880+E1880+G1880+H1880+I1880+J1880+L1880+M1880+N1880)</f>
        <v>0.10977204901898534</v>
      </c>
      <c r="F1881" s="643">
        <f t="shared" si="58"/>
        <v>0.32654771731538512</v>
      </c>
      <c r="G1881" s="642">
        <f>G1880/(D1880+E1880+G1880+H1880+I1880+J1880+L1880+M1880+N1880)</f>
        <v>0.22369250957732767</v>
      </c>
      <c r="H1881" s="642">
        <f>H1880/(D1880+E1880+G1880+H1880+I1880+J1880+L1880+M1880+N1880)</f>
        <v>1.2889707283002096E-2</v>
      </c>
      <c r="I1881" s="642">
        <f>I1880/(D1880+E1880+G1880+H1880+I1880+J1880+L1880+M1880+N1880)</f>
        <v>0</v>
      </c>
      <c r="J1881" s="642">
        <f>J1880/(D1880+E1880+G1880+H1880+I1880+J1880+L1880+M1880+N1880)</f>
        <v>0</v>
      </c>
      <c r="K1881" s="643">
        <f t="shared" si="59"/>
        <v>0.23658221686032976</v>
      </c>
      <c r="L1881" s="642">
        <f>L1880/(D1880+E1880+G1880+H1880+I1880+J1880+L1880+M1880+N1880)</f>
        <v>5.3688064850678348E-2</v>
      </c>
      <c r="M1881" s="642">
        <f>M1880/(D1880+E1880+G1880+H1880+I1880+J1880+L1880+M1880+N1880)</f>
        <v>0</v>
      </c>
      <c r="N1881" s="642">
        <f>N1880/(D1880+E1880+G1880+H1880+I1880+J1880+L1880+M1880+N1880)</f>
        <v>0.38318200097360677</v>
      </c>
      <c r="O1881" s="1515"/>
    </row>
    <row r="1882" spans="1:15" ht="12" customHeight="1">
      <c r="A1882" s="1516" t="s">
        <v>15173</v>
      </c>
      <c r="B1882" s="1509" t="s">
        <v>14937</v>
      </c>
      <c r="C1882" s="647" t="s">
        <v>6218</v>
      </c>
      <c r="D1882" s="648">
        <v>61550</v>
      </c>
      <c r="E1882" s="648">
        <v>30528</v>
      </c>
      <c r="F1882" s="649">
        <f t="shared" si="58"/>
        <v>92078</v>
      </c>
      <c r="G1882" s="648">
        <v>71321</v>
      </c>
      <c r="H1882" s="648">
        <v>3583</v>
      </c>
      <c r="I1882" s="648">
        <v>3920</v>
      </c>
      <c r="J1882" s="648">
        <v>2711</v>
      </c>
      <c r="K1882" s="649">
        <f t="shared" si="59"/>
        <v>81535</v>
      </c>
      <c r="L1882" s="648">
        <v>14074</v>
      </c>
      <c r="M1882" s="648">
        <v>2039</v>
      </c>
      <c r="N1882" s="648">
        <v>119823</v>
      </c>
      <c r="O1882" s="1510">
        <f>1-N1883</f>
        <v>0.61291104154754172</v>
      </c>
    </row>
    <row r="1883" spans="1:15" ht="12" customHeight="1">
      <c r="A1883" s="1517"/>
      <c r="B1883" s="1502"/>
      <c r="C1883" s="635" t="s">
        <v>6219</v>
      </c>
      <c r="D1883" s="636">
        <f>D1882/(D1882+E1882+G1882+H1882+I1882+J1882+L1882+M1882+N1882)</f>
        <v>0.19883766382705162</v>
      </c>
      <c r="E1883" s="636">
        <f>E1882/(D1882+E1882+G1882+H1882+I1882+J1882+L1882+M1882+N1882)</f>
        <v>9.8620896853163803E-2</v>
      </c>
      <c r="F1883" s="637">
        <f t="shared" si="58"/>
        <v>0.29745856068021542</v>
      </c>
      <c r="G1883" s="636">
        <f>G1882/(D1882+E1882+G1882+H1882+I1882+J1882+L1882+M1882+N1882)</f>
        <v>0.23040294105295123</v>
      </c>
      <c r="H1883" s="636">
        <f>H1882/(D1882+E1882+G1882+H1882+I1882+J1882+L1882+M1882+N1882)</f>
        <v>1.1574904134725035E-2</v>
      </c>
      <c r="I1883" s="636">
        <f>I1882/(D1882+E1882+G1882+H1882+I1882+J1882+L1882+M1882+N1882)</f>
        <v>1.2663584763640006E-2</v>
      </c>
      <c r="J1883" s="636">
        <f>J1882/(D1882+E1882+G1882+H1882+I1882+J1882+L1882+M1882+N1882)</f>
        <v>8.7579026260785845E-3</v>
      </c>
      <c r="K1883" s="637">
        <f t="shared" si="59"/>
        <v>0.26339933257739484</v>
      </c>
      <c r="L1883" s="636">
        <f>L1882/(D1882+E1882+G1882+H1882+I1882+J1882+L1882+M1882+N1882)</f>
        <v>4.5466145909048322E-2</v>
      </c>
      <c r="M1883" s="636">
        <f>M1882/(D1882+E1882+G1882+H1882+I1882+J1882+L1882+M1882+N1882)</f>
        <v>6.5870023808831555E-3</v>
      </c>
      <c r="N1883" s="636">
        <f>N1882/(D1882+E1882+G1882+H1882+I1882+J1882+L1882+M1882+N1882)</f>
        <v>0.38708895845245828</v>
      </c>
      <c r="O1883" s="1503"/>
    </row>
    <row r="1884" spans="1:15" ht="12" customHeight="1">
      <c r="A1884" s="1517"/>
      <c r="B1884" s="1502" t="s">
        <v>14938</v>
      </c>
      <c r="C1884" s="638" t="s">
        <v>6218</v>
      </c>
      <c r="D1884" s="639">
        <v>86659</v>
      </c>
      <c r="E1884" s="639">
        <v>40074</v>
      </c>
      <c r="F1884" s="640">
        <f t="shared" si="58"/>
        <v>126733</v>
      </c>
      <c r="G1884" s="639">
        <v>54296</v>
      </c>
      <c r="H1884" s="639">
        <v>8063</v>
      </c>
      <c r="I1884" s="639"/>
      <c r="J1884" s="639">
        <v>8494</v>
      </c>
      <c r="K1884" s="640">
        <f t="shared" si="59"/>
        <v>70853</v>
      </c>
      <c r="L1884" s="639">
        <v>17614</v>
      </c>
      <c r="M1884" s="639"/>
      <c r="N1884" s="639">
        <v>97859</v>
      </c>
      <c r="O1884" s="1503">
        <f>1-N1885</f>
        <v>0.68741036034741054</v>
      </c>
    </row>
    <row r="1885" spans="1:15" ht="12" customHeight="1">
      <c r="A1885" s="1517"/>
      <c r="B1885" s="1502"/>
      <c r="C1885" s="635" t="s">
        <v>6219</v>
      </c>
      <c r="D1885" s="636">
        <f>D1884/(D1884+E1884+G1884+H1884+I1884+J1884+L1884+M1884+N1884)</f>
        <v>0.27681363576833762</v>
      </c>
      <c r="E1885" s="636">
        <f>E1884/(D1884+E1884+G1884+H1884+I1884+J1884+L1884+M1884+N1884)</f>
        <v>0.12800781961227756</v>
      </c>
      <c r="F1885" s="637">
        <f t="shared" si="58"/>
        <v>0.4048214553806152</v>
      </c>
      <c r="G1885" s="636">
        <f>G1884/(D1884+E1884+G1884+H1884+I1884+J1884+L1884+M1884+N1884)</f>
        <v>0.17343695597315523</v>
      </c>
      <c r="H1885" s="636">
        <f>H1884/(D1884+E1884+G1884+H1884+I1884+J1884+L1884+M1884+N1884)</f>
        <v>2.5755528510600239E-2</v>
      </c>
      <c r="I1885" s="636">
        <f>I1884/(D1884+E1884+G1884+H1884+I1884+J1884+L1884+M1884+N1884)</f>
        <v>0</v>
      </c>
      <c r="J1885" s="636">
        <f>J1884/(D1884+E1884+G1884+H1884+I1884+J1884+L1884+M1884+N1884)</f>
        <v>2.7132265802931717E-2</v>
      </c>
      <c r="K1885" s="637">
        <f t="shared" si="59"/>
        <v>0.22632475028668717</v>
      </c>
      <c r="L1885" s="636">
        <f>L1884/(D1884+E1884+G1884+H1884+I1884+J1884+L1884+M1884+N1884)</f>
        <v>5.6264154680108223E-2</v>
      </c>
      <c r="M1885" s="636">
        <f>M1884/(D1884+E1884+G1884+H1884+I1884+J1884+L1884+M1884+N1884)</f>
        <v>0</v>
      </c>
      <c r="N1885" s="636">
        <f>N1884/(D1884+E1884+G1884+H1884+I1884+J1884+L1884+M1884+N1884)</f>
        <v>0.31258963965258946</v>
      </c>
      <c r="O1885" s="1503"/>
    </row>
    <row r="1886" spans="1:15" ht="12" customHeight="1">
      <c r="A1886" s="1517"/>
      <c r="B1886" s="1502" t="s">
        <v>14939</v>
      </c>
      <c r="C1886" s="638" t="s">
        <v>6218</v>
      </c>
      <c r="D1886" s="639">
        <v>74501</v>
      </c>
      <c r="E1886" s="639">
        <v>34677</v>
      </c>
      <c r="F1886" s="640">
        <f t="shared" si="58"/>
        <v>109178</v>
      </c>
      <c r="G1886" s="639">
        <v>56304</v>
      </c>
      <c r="H1886" s="639">
        <v>4745</v>
      </c>
      <c r="I1886" s="639"/>
      <c r="J1886" s="639"/>
      <c r="K1886" s="640">
        <f t="shared" si="59"/>
        <v>61049</v>
      </c>
      <c r="L1886" s="639">
        <v>15516</v>
      </c>
      <c r="M1886" s="639">
        <v>3592</v>
      </c>
      <c r="N1886" s="639">
        <v>125146</v>
      </c>
      <c r="O1886" s="1503">
        <f>1-N1887</f>
        <v>0.60205545009078443</v>
      </c>
    </row>
    <row r="1887" spans="1:15" ht="12" customHeight="1">
      <c r="A1887" s="1517"/>
      <c r="B1887" s="1502"/>
      <c r="C1887" s="635" t="s">
        <v>6219</v>
      </c>
      <c r="D1887" s="636">
        <f>D1886/(D1886+E1886+G1886+H1886+I1886+J1886+L1886+M1886+N1886)</f>
        <v>0.23690143442688111</v>
      </c>
      <c r="E1887" s="636">
        <f>E1886/(D1886+E1886+G1886+H1886+I1886+J1886+L1886+M1886+N1886)</f>
        <v>0.1102673929426579</v>
      </c>
      <c r="F1887" s="637">
        <f t="shared" si="58"/>
        <v>0.34716882736953902</v>
      </c>
      <c r="G1887" s="636">
        <f>G1886/(D1886+E1886+G1886+H1886+I1886+J1886+L1886+M1886+N1886)</f>
        <v>0.17903784330372899</v>
      </c>
      <c r="H1887" s="636">
        <f>H1886/(D1886+E1886+G1886+H1886+I1886+J1886+L1886+M1886+N1886)</f>
        <v>1.5088351919511831E-2</v>
      </c>
      <c r="I1887" s="636">
        <f>I1886/(D1886+E1886+G1886+H1886+I1886+J1886+L1886+M1886+N1886)</f>
        <v>0</v>
      </c>
      <c r="J1887" s="636">
        <f>J1886/(D1886+E1886+G1886+H1886+I1886+J1886+L1886+M1886+N1886)</f>
        <v>0</v>
      </c>
      <c r="K1887" s="637">
        <f t="shared" si="59"/>
        <v>0.19412619522324082</v>
      </c>
      <c r="L1887" s="636">
        <f>L1886/(D1886+E1886+G1886+H1886+I1886+J1886+L1886+M1886+N1886)</f>
        <v>4.9338433800452171E-2</v>
      </c>
      <c r="M1887" s="636">
        <f>M1886/(D1886+E1886+G1886+H1886+I1886+J1886+L1886+M1886+N1886)</f>
        <v>1.1421993697552476E-2</v>
      </c>
      <c r="N1887" s="636">
        <f>N1886/(D1886+E1886+G1886+H1886+I1886+J1886+L1886+M1886+N1886)</f>
        <v>0.39794454990921552</v>
      </c>
      <c r="O1887" s="1503"/>
    </row>
    <row r="1888" spans="1:15" ht="12" customHeight="1">
      <c r="A1888" s="1517"/>
      <c r="B1888" s="1502" t="s">
        <v>14940</v>
      </c>
      <c r="C1888" s="638" t="s">
        <v>6218</v>
      </c>
      <c r="D1888" s="639">
        <v>69507</v>
      </c>
      <c r="E1888" s="639">
        <v>42951</v>
      </c>
      <c r="F1888" s="640">
        <f t="shared" si="58"/>
        <v>112458</v>
      </c>
      <c r="G1888" s="639">
        <v>46224</v>
      </c>
      <c r="H1888" s="639">
        <v>5565</v>
      </c>
      <c r="I1888" s="639"/>
      <c r="J1888" s="639"/>
      <c r="K1888" s="640">
        <f t="shared" si="59"/>
        <v>51789</v>
      </c>
      <c r="L1888" s="639">
        <v>18812</v>
      </c>
      <c r="M1888" s="639"/>
      <c r="N1888" s="639">
        <v>132334</v>
      </c>
      <c r="O1888" s="1503">
        <f>1-N1889</f>
        <v>0.58041554505014381</v>
      </c>
    </row>
    <row r="1889" spans="1:15" ht="12" customHeight="1" thickBot="1">
      <c r="A1889" s="1518"/>
      <c r="B1889" s="1504"/>
      <c r="C1889" s="644" t="s">
        <v>6219</v>
      </c>
      <c r="D1889" s="645">
        <f>D1888/(D1888+E1888+G1888+H1888+I1888+J1888+L1888+M1888+N1888)</f>
        <v>0.2203821898393433</v>
      </c>
      <c r="E1889" s="645">
        <f>E1888/(D1888+E1888+G1888+H1888+I1888+J1888+L1888+M1888+N1888)</f>
        <v>0.13618247709999906</v>
      </c>
      <c r="F1889" s="646">
        <f t="shared" si="58"/>
        <v>0.35656466693934236</v>
      </c>
      <c r="G1889" s="645">
        <f>G1888/(D1888+E1888+G1888+H1888+I1888+J1888+L1888+M1888+N1888)</f>
        <v>0.14656000608764302</v>
      </c>
      <c r="H1889" s="645">
        <f>H1888/(D1888+E1888+G1888+H1888+I1888+J1888+L1888+M1888+N1888)</f>
        <v>1.7644652861667824E-2</v>
      </c>
      <c r="I1889" s="645">
        <f>I1888/(D1888+E1888+G1888+H1888+I1888+J1888+L1888+M1888+N1888)</f>
        <v>0</v>
      </c>
      <c r="J1889" s="645">
        <f>J1888/(D1888+E1888+G1888+H1888+I1888+J1888+L1888+M1888+N1888)</f>
        <v>0</v>
      </c>
      <c r="K1889" s="646">
        <f t="shared" si="59"/>
        <v>0.16420465894931086</v>
      </c>
      <c r="L1889" s="645">
        <f>L1888/(D1888+E1888+G1888+H1888+I1888+J1888+L1888+M1888+N1888)</f>
        <v>5.9646219161490585E-2</v>
      </c>
      <c r="M1889" s="645">
        <f>M1888/(D1888+E1888+G1888+H1888+I1888+J1888+L1888+M1888+N1888)</f>
        <v>0</v>
      </c>
      <c r="N1889" s="645">
        <f>N1888/(D1888+E1888+G1888+H1888+I1888+J1888+L1888+M1888+N1888)</f>
        <v>0.41958445494985619</v>
      </c>
      <c r="O1889" s="1505"/>
    </row>
    <row r="1890" spans="1:15" ht="12" customHeight="1" thickTop="1">
      <c r="A1890" s="1511" t="s">
        <v>15174</v>
      </c>
      <c r="B1890" s="1509" t="s">
        <v>14937</v>
      </c>
      <c r="C1890" s="647" t="s">
        <v>6218</v>
      </c>
      <c r="D1890" s="648">
        <f>D1506+D1514+D1522+D1530+D1538+D1546+D1554+D1562+D1570+D1578+D1586+D1594+D1602+D1610+D1618+D1626+D1634+D1642+D1650+D1658+D1666+D1674+D1682+D1690+D1698+D1706+D1714+D1722+D1730+D1738+D1746+D1754+D1762+D1770+D1778+D1786+D1794+D1802+D1810+D1818+D1826+D1834+D1842+D1850+D1858+D1866+D1874+D1882</f>
        <v>2264855</v>
      </c>
      <c r="E1890" s="648">
        <f>E1506+E1514+E1522+E1530+E1538+E1546+E1554+E1562+E1570+E1578+E1586+E1594+E1602+E1610+E1618+E1626+E1634+E1642+E1650+E1658+E1666+E1674+E1682+E1690+E1698+E1706+E1714+E1722+E1730+E1738+E1746+E1754+E1762+E1770+E1778+E1786+E1794+E1802+E1810+E1818+E1826+E1834+E1842+E1850+E1858+E1866+E1874+E1882</f>
        <v>1498623</v>
      </c>
      <c r="F1890" s="649">
        <f t="shared" si="58"/>
        <v>3763478</v>
      </c>
      <c r="G1890" s="648">
        <f>G1506+G1514+G1522+G1530+G1538+G1546+G1554+G1562+G1570+G1578+G1586+G1594+G1602+G1610+G1618+G1626+G1634+G1642+G1650+G1658+G1666+G1674+G1682+G1690+G1698+G1706+G1714+G1722+G1730+G1738+G1746+G1754+G1762+G1770+G1778+G1786+G1794+G1802+G1810+G1818+G1826+G1834+G1842+G1850+G1858+G1866+G1874+G1882</f>
        <v>3480572</v>
      </c>
      <c r="H1890" s="648">
        <f>H1506+H1514+H1522+H1530+H1538+H1546+H1554+H1562+H1570+H1578+H1586+H1594+H1602+H1610+H1618+H1626+H1634+H1642+H1650+H1658+H1666+H1674+H1682+H1690+H1698+H1706+H1714+H1722+H1730+H1738+H1746+H1754+H1762+H1770+H1778+H1786+H1794+H1802+H1810+H1818+H1826+H1834+H1842+H1850+H1858+H1866+H1874+H1882</f>
        <v>326700</v>
      </c>
      <c r="I1890" s="648">
        <f>I1506+I1514+I1522+I1530+I1538+I1546+I1554+I1562+I1570+I1578+I1586+I1594+I1602+I1610+I1618+I1626+I1634+I1642+I1650+I1658+I1666+I1674+I1682+I1690+I1698+I1706+I1714+I1722+I1730+I1738+I1746+I1754+I1762+I1770+I1778+I1786+I1794+I1802+I1810+I1818+I1826+I1834+I1842+I1850+I1858+I1866+I1874+I1882</f>
        <v>177333</v>
      </c>
      <c r="J1890" s="648">
        <f>J1506+J1514+J1522+J1530+J1538+J1546+J1554+J1562+J1570+J1578+J1586+J1594+J1602+J1610+J1618+J1626+J1634+J1642+J1650+J1658+J1666+J1674+J1682+J1690+J1698+J1706+J1714+J1722+J1730+J1738+J1746+J1754+J1762+J1770+J1778+J1786+J1794+J1802+J1810+J1818+J1826+J1834+J1842+J1850+J1858+J1866+J1874+J1882</f>
        <v>310061</v>
      </c>
      <c r="K1890" s="649">
        <f t="shared" si="59"/>
        <v>4294666</v>
      </c>
      <c r="L1890" s="648">
        <f>L1506+L1514+L1522+L1530+L1538+L1546+L1554+L1562+L1570+L1578+L1586+L1594+L1602+L1610+L1618+L1626+L1634+L1642+L1650+L1658+L1666+L1674+L1682+L1690+L1698+L1706+L1714+L1722+L1730+L1738+L1746+L1754+L1762+L1770+L1778+L1786+L1794+L1802+L1810+L1818+L1826+L1834+L1842+L1850+L1858+L1866+L1874+L1882</f>
        <v>1010894</v>
      </c>
      <c r="M1890" s="648">
        <f>M1506+M1514+M1522+M1530+M1538+M1546+M1554+M1562+M1570+M1578+M1586+M1594+M1602+M1610+M1618+M1626+M1634+M1642+M1650+M1658+M1666+M1674+M1682+M1690+M1698+M1706+M1714+M1722+M1730+M1738+M1746+M1754+M1762+M1770+M1778+M1786+M1794+M1802+M1810+M1818+M1826+M1834+M1842+M1850+M1858+M1866+M1874+M1882</f>
        <v>211150</v>
      </c>
      <c r="N1890" s="648">
        <f>N1506+N1514+N1522+N1530+N1538+N1546+N1554+N1562+N1570+N1578+N1586+N1594+N1602+N1610+N1618+N1626+N1634+N1642+N1650+N1658+N1666+N1674+N1682+N1690+N1698+N1706+N1714+N1722+N1730+N1738+N1746+N1754+N1762+N1770+N1778+N1786+N1794+N1802+N1810+N1818+N1826+N1834+N1842+N1850+N1858+N1866+N1874+N1882</f>
        <v>7525915</v>
      </c>
      <c r="O1890" s="1510">
        <f>1-N1891</f>
        <v>0.55219154613059318</v>
      </c>
    </row>
    <row r="1891" spans="1:15" ht="12" customHeight="1">
      <c r="A1891" s="1512"/>
      <c r="B1891" s="1502"/>
      <c r="C1891" s="635" t="s">
        <v>6219</v>
      </c>
      <c r="D1891" s="650">
        <f>D1890/(D1890+E1890+G1890+H1890+I1890+J1890+L1890+M1890+N1890)</f>
        <v>0.13476384144497983</v>
      </c>
      <c r="E1891" s="650">
        <f>E1890/(D1890+E1890+G1890+H1890+I1890+J1890+L1890+M1890+N1890)</f>
        <v>8.917135638166683E-2</v>
      </c>
      <c r="F1891" s="651">
        <f t="shared" si="58"/>
        <v>0.22393519782664667</v>
      </c>
      <c r="G1891" s="650">
        <f>G1890/(D1890+E1890+G1890+H1890+I1890+J1890+L1890+M1890+N1890)</f>
        <v>0.20710167014923092</v>
      </c>
      <c r="H1891" s="650">
        <f>H1890/(D1890+E1890+G1890+H1890+I1890+J1890+L1890+M1890+N1890)</f>
        <v>1.9439366758611441E-2</v>
      </c>
      <c r="I1891" s="650">
        <f>I1890/(D1890+E1890+G1890+H1890+I1890+J1890+L1890+M1890+N1890)</f>
        <v>1.0551702557100834E-2</v>
      </c>
      <c r="J1891" s="650">
        <f>J1890/(D1890+E1890+G1890+H1890+I1890+J1890+L1890+M1890+N1890)</f>
        <v>1.8449309753724583E-2</v>
      </c>
      <c r="K1891" s="651">
        <f t="shared" si="59"/>
        <v>0.2555420492186678</v>
      </c>
      <c r="L1891" s="650">
        <f>L1890/(D1890+E1890+G1890+H1890+I1890+J1890+L1890+M1890+N1890)</f>
        <v>6.0150410835873136E-2</v>
      </c>
      <c r="M1891" s="650">
        <f>M1890/(D1890+E1890+G1890+H1890+I1890+J1890+L1890+M1890+N1890)</f>
        <v>1.2563888249405589E-2</v>
      </c>
      <c r="N1891" s="650">
        <f>N1890/(D1890+E1890+G1890+H1890+I1890+J1890+L1890+M1890+N1890)</f>
        <v>0.44780845386940682</v>
      </c>
      <c r="O1891" s="1503"/>
    </row>
    <row r="1892" spans="1:15" ht="12" customHeight="1">
      <c r="A1892" s="1512"/>
      <c r="B1892" s="1502" t="s">
        <v>14938</v>
      </c>
      <c r="C1892" s="638" t="s">
        <v>6218</v>
      </c>
      <c r="D1892" s="648">
        <f>D1508+D1516+D1524+D1532+D1540+D1548+D1556+D1564+D1572+D1580+D1588+D1596+D1604+D1612+D1620+D1628+D1636+D1644+D1652+D1660+D1668+D1676+D1684+D1692+D1700+D1708+D1716+D1724+D1732+D1740+D1748+D1756+D1764+D1772+D1780+D1788+D1796+D1804+D1812+D1820+D1828+D1836+D1844+D1852+D1860+D1868+D1876+D1884</f>
        <v>4003209</v>
      </c>
      <c r="E1892" s="648">
        <f>E1508+E1516+E1524+E1532+E1540+E1548+E1556+E1564+E1572+E1580+E1588+E1596+E1604+E1612+E1620+E1628+E1636+E1644+E1652+E1660+E1668+E1676+E1684+E1692+E1700+E1708+E1716+E1724+E1732+E1740+E1748+E1756+E1764+E1772+E1780+E1788+E1796+E1804+E1812+E1820+E1828+E1836+E1844+E1852+E1860+E1868+E1876+E1884</f>
        <v>1627308</v>
      </c>
      <c r="F1892" s="649">
        <f t="shared" si="58"/>
        <v>5630517</v>
      </c>
      <c r="G1892" s="648">
        <f>G1508+G1516+G1524+G1532+G1540+G1548+G1556+G1564+G1572+G1580+G1588+G1596+G1604+G1612+G1620+G1628+G1636+G1644+G1652+G1660+G1668+G1676+G1684+G1692+G1700+G1708+G1716+G1724+G1732+G1740+G1748+G1756+G1764+G1772+G1780+G1788+G1796+G1804+G1812+G1820+G1828+G1836+G1844+G1852+G1860+G1868+G1876+G1884</f>
        <v>3157556</v>
      </c>
      <c r="H1892" s="648">
        <f>H1508+H1516+H1524+H1532+H1540+H1548+H1556+H1564+H1572+H1580+H1588+H1596+H1604+H1612+H1620+H1628+H1636+H1644+H1652+H1660+H1668+H1676+H1684+H1692+H1700+H1708+H1716+H1724+H1732+H1740+H1748+H1756+H1764+H1772+H1780+H1788+H1796+H1804+H1812+H1820+H1828+H1836+H1844+H1852+H1860+H1868+H1876+H1884</f>
        <v>619883</v>
      </c>
      <c r="I1892" s="648">
        <f>I1508+I1516+I1524+I1532+I1540+I1548+I1556+I1564+I1572+I1580+I1588+I1596+I1604+I1612+I1620+I1628+I1636+I1644+I1652+I1660+I1668+I1676+I1684+I1692+I1700+I1708+I1716+I1724+I1732+I1740+I1748+I1756+I1764+I1772+I1780+I1788+I1796+I1804+I1812+I1820+I1828+I1836+I1844+I1852+I1860+I1868+I1876+I1884</f>
        <v>0</v>
      </c>
      <c r="J1892" s="648">
        <f>J1508+J1516+J1524+J1532+J1540+J1548+J1556+J1564+J1572+J1580+J1588+J1596+J1604+J1612+J1620+J1628+J1636+J1644+J1652+J1660+J1668+J1676+J1684+J1692+J1700+J1708+J1716+J1724+J1732+J1740+J1748+J1756+J1764+J1772+J1780+J1788+J1796+J1804+J1812+J1820+J1828+J1836+J1844+J1852+J1860+J1868+J1876+J1884</f>
        <v>420908</v>
      </c>
      <c r="K1892" s="649">
        <f t="shared" si="59"/>
        <v>4198347</v>
      </c>
      <c r="L1892" s="648">
        <f>L1508+L1516+L1524+L1532+L1540+L1548+L1556+L1564+L1572+L1580+L1588+L1596+L1604+L1612+L1620+L1628+L1636+L1644+L1652+L1660+L1668+L1676+L1684+L1692+L1700+L1708+L1716+L1724+L1732+L1740+L1748+L1756+L1764+L1772+L1780+L1788+L1796+L1804+L1812+L1820+L1828+L1836+L1844+L1852+L1860+L1868+L1876+L1884</f>
        <v>1051909</v>
      </c>
      <c r="M1892" s="648">
        <f>M1508+M1516+M1524+M1532+M1540+M1548+M1556+M1564+M1572+M1580+M1588+M1596+M1604+M1612+M1620+M1628+M1636+M1644+M1652+M1660+M1668+M1676+M1684+M1692+M1700+M1708+M1716+M1724+M1732+M1740+M1748+M1756+M1764+M1772+M1780+M1788+M1796+M1804+M1812+M1820+M1828+M1836+M1844+M1852+M1860+M1868+M1876+M1884</f>
        <v>0</v>
      </c>
      <c r="N1892" s="648">
        <f>N1508+N1516+N1524+N1532+N1540+N1548+N1556+N1564+N1572+N1580+N1588+N1596+N1604+N1612+N1620+N1628+N1636+N1644+N1652+N1660+N1668+N1676+N1684+N1692+N1700+N1708+N1716+N1724+N1732+N1740+N1748+N1756+N1764+N1772+N1780+N1788+N1796+N1804+N1812+N1820+N1828+N1836+N1844+N1852+N1860+N1868+N1876+N1884</f>
        <v>5846360</v>
      </c>
      <c r="O1892" s="1503">
        <f>1-N1893</f>
        <v>0.6504864282480447</v>
      </c>
    </row>
    <row r="1893" spans="1:15" ht="12" customHeight="1">
      <c r="A1893" s="1512"/>
      <c r="B1893" s="1502"/>
      <c r="C1893" s="635" t="s">
        <v>6219</v>
      </c>
      <c r="D1893" s="650">
        <f>D1892/(D1892+E1892+G1892+H1892+I1892+J1892+L1892+M1892+N1892)</f>
        <v>0.23932427631202549</v>
      </c>
      <c r="E1893" s="650">
        <f>E1892/(D1892+E1892+G1892+H1892+I1892+J1892+L1892+M1892+N1892)</f>
        <v>9.7285530042715632E-2</v>
      </c>
      <c r="F1893" s="651">
        <f t="shared" si="58"/>
        <v>0.33660980635474114</v>
      </c>
      <c r="G1893" s="650">
        <f>G1892/(D1892+E1892+G1892+H1892+I1892+J1892+L1892+M1892+N1892)</f>
        <v>0.18876851161523017</v>
      </c>
      <c r="H1893" s="650">
        <f>H1892/(D1892+E1892+G1892+H1892+I1892+J1892+L1892+M1892+N1892)</f>
        <v>3.705853238567542E-2</v>
      </c>
      <c r="I1893" s="650">
        <f>I1892/(D1892+E1892+G1892+H1892+I1892+J1892+L1892+M1892+N1892)</f>
        <v>0</v>
      </c>
      <c r="J1893" s="650">
        <f>J1892/(D1892+E1892+G1892+H1892+I1892+J1892+L1892+M1892+N1892)</f>
        <v>2.5163188455547044E-2</v>
      </c>
      <c r="K1893" s="651">
        <f t="shared" si="59"/>
        <v>0.25099023245645263</v>
      </c>
      <c r="L1893" s="650">
        <f>L1892/(D1892+E1892+G1892+H1892+I1892+J1892+L1892+M1892+N1892)</f>
        <v>6.288638943685089E-2</v>
      </c>
      <c r="M1893" s="650">
        <f>M1892/(D1892+E1892+G1892+H1892+I1892+J1892+L1892+M1892+N1892)</f>
        <v>0</v>
      </c>
      <c r="N1893" s="650">
        <f>N1892/(D1892+E1892+G1892+H1892+I1892+J1892+L1892+M1892+N1892)</f>
        <v>0.34951357175195535</v>
      </c>
      <c r="O1893" s="1503"/>
    </row>
    <row r="1894" spans="1:15" ht="12" customHeight="1">
      <c r="A1894" s="1512"/>
      <c r="B1894" s="1502" t="s">
        <v>14939</v>
      </c>
      <c r="C1894" s="638" t="s">
        <v>6218</v>
      </c>
      <c r="D1894" s="648">
        <f>D1510+D1518+D1526+D1534+D1542+D1550+D1558+D1566+D1574+D1582+D1590+D1598+D1606+D1614+D1622+D1630+D1638+D1646+D1654+D1662+D1670+D1678+D1686+D1694+D1702+D1710+D1718+D1726+D1734+D1742+D1750+D1758+D1766+D1774+D1782+D1790+D1798+D1806+D1814+D1822+D1830+D1838+D1846+D1854+D1862+D1870+D1878+D1886</f>
        <v>2290978</v>
      </c>
      <c r="E1894" s="648">
        <f>E1510+E1518+E1526+E1534+E1542+E1550+E1558+E1566+E1574+E1582+E1590+E1598+E1606+E1614+E1622+E1630+E1638+E1646+E1654+E1662+E1670+E1678+E1686+E1694+E1702+E1710+E1718+E1726+E1734+E1742+E1750+E1758+E1766+E1774+E1782+E1790+E1798+E1806+E1814+E1822+E1830+E1838+E1846+E1854+E1862+E1870+E1878+E1886</f>
        <v>1606070</v>
      </c>
      <c r="F1894" s="649">
        <f t="shared" si="58"/>
        <v>3897048</v>
      </c>
      <c r="G1894" s="648">
        <f>G1510+G1518+G1526+G1534+G1542+G1550+G1558+G1566+G1574+G1582+G1590+G1598+G1606+G1614+G1622+G1630+G1638+G1646+G1654+G1662+G1670+G1678+G1686+G1694+G1702+G1710+G1718+G1726+G1734+G1742+G1750+G1758+G1766+G1774+G1782+G1790+G1798+G1806+G1814+G1822+G1830+G1838+G1846+G1854+G1862+G1870+G1878+G1886</f>
        <v>3276250</v>
      </c>
      <c r="H1894" s="648">
        <f>H1510+H1518+H1526+H1534+H1542+H1550+H1558+H1566+H1574+H1582+H1590+H1598+H1606+H1614+H1622+H1630+H1638+H1646+H1654+H1662+H1670+H1678+H1686+H1694+H1702+H1710+H1718+H1726+H1734+H1742+H1750+H1758+H1766+H1774+H1782+H1790+H1798+H1806+H1814+H1822+H1830+H1838+H1846+H1854+H1862+H1870+H1878+H1886</f>
        <v>345299</v>
      </c>
      <c r="I1894" s="648">
        <f>I1510+I1518+I1526+I1534+I1542+I1550+I1558+I1566+I1574+I1582+I1590+I1598+I1606+I1614+I1622+I1630+I1638+I1646+I1654+I1662+I1670+I1678+I1686+I1694+I1702+I1710+I1718+I1726+I1734+I1742+I1750+I1758+I1766+I1774+I1782+I1790+I1798+I1806+I1814+I1822+I1830+I1838+I1846+I1854+I1862+I1870+I1878+I1886</f>
        <v>0</v>
      </c>
      <c r="J1894" s="648">
        <f>J1510+J1518+J1526+J1534+J1542+J1550+J1558+J1566+J1574+J1582+J1590+J1598+J1606+J1614+J1622+J1630+J1638+J1646+J1654+J1662+J1670+J1678+J1686+J1694+J1702+J1710+J1718+J1726+J1734+J1742+J1750+J1758+J1766+J1774+J1782+J1790+J1798+J1806+J1814+J1822+J1830+J1838+J1846+J1854+J1862+J1870+J1878+J1886</f>
        <v>0</v>
      </c>
      <c r="K1894" s="649">
        <f t="shared" si="59"/>
        <v>3621549</v>
      </c>
      <c r="L1894" s="648">
        <f>L1510+L1518+L1526+L1534+L1542+L1550+L1558+L1566+L1574+L1582+L1590+L1598+L1606+L1614+L1622+L1630+L1638+L1646+L1654+L1662+L1670+L1678+L1686+L1694+L1702+L1710+L1718+L1726+L1734+L1742+L1750+L1758+L1766+L1774+L1782+L1790+L1798+L1806+L1814+L1822+L1830+L1838+L1846+L1854+L1862+L1870+L1878+L1886</f>
        <v>986194</v>
      </c>
      <c r="M1894" s="648">
        <f>M1510+M1518+M1526+M1534+M1542+M1550+M1558+M1566+M1574+M1582+M1590+M1598+M1606+M1614+M1622+M1630+M1638+M1646+M1654+M1662+M1670+M1678+M1686+M1694+M1702+M1710+M1718+M1726+M1734+M1742+M1750+M1758+M1766+M1774+M1782+M1790+M1798+M1806+M1814+M1822+M1830+M1838+M1846+M1854+M1862+M1870+M1878+M1886</f>
        <v>308572</v>
      </c>
      <c r="N1894" s="648">
        <f>N1510+N1518+N1526+N1534+N1542+N1550+N1558+N1566+N1574+N1582+N1590+N1598+N1606+N1614+N1622+N1630+N1638+N1646+N1654+N1662+N1670+N1678+N1686+N1694+N1702+N1710+N1718+N1726+N1734+N1742+N1750+N1758+N1766+N1774+N1782+N1790+N1798+N1806+N1814+N1822+N1830+N1838+N1846+N1854+N1862+N1870+N1878+N1886</f>
        <v>7853621</v>
      </c>
      <c r="O1894" s="1503">
        <f>1-N1895</f>
        <v>0.5287917118058072</v>
      </c>
    </row>
    <row r="1895" spans="1:15" ht="12" customHeight="1">
      <c r="A1895" s="1512"/>
      <c r="B1895" s="1502"/>
      <c r="C1895" s="635" t="s">
        <v>6219</v>
      </c>
      <c r="D1895" s="650">
        <f>D1894/(D1894+E1894+G1894+H1894+I1894+J1894+L1894+M1894+N1894)</f>
        <v>0.13745606283656359</v>
      </c>
      <c r="E1895" s="650">
        <f>E1894/(D1894+E1894+G1894+H1894+I1894+J1894+L1894+M1894+N1894)</f>
        <v>9.6362365260565436E-2</v>
      </c>
      <c r="F1895" s="651">
        <f t="shared" si="58"/>
        <v>0.23381842809712902</v>
      </c>
      <c r="G1895" s="650">
        <f>G1894/(D1894+E1894+G1894+H1894+I1894+J1894+L1894+M1894+N1894)</f>
        <v>0.19657125728326133</v>
      </c>
      <c r="H1895" s="650">
        <f>H1894/(D1894+E1894+G1894+H1894+I1894+J1894+L1894+M1894+N1894)</f>
        <v>2.0717545537932959E-2</v>
      </c>
      <c r="I1895" s="650">
        <f>I1894/(D1894+E1894+G1894+H1894+I1894+J1894+L1894+M1894+N1894)</f>
        <v>0</v>
      </c>
      <c r="J1895" s="650">
        <f>J1894/(D1894+E1894+G1894+H1894+I1894+J1894+L1894+M1894+N1894)</f>
        <v>0</v>
      </c>
      <c r="K1895" s="651">
        <f t="shared" si="59"/>
        <v>0.21728880282119428</v>
      </c>
      <c r="L1895" s="650">
        <f>L1894/(D1894+E1894+G1894+H1894+I1894+J1894+L1894+M1894+N1894)</f>
        <v>5.9170513393424988E-2</v>
      </c>
      <c r="M1895" s="650">
        <f>M1894/(D1894+E1894+G1894+H1894+I1894+J1894+L1894+M1894+N1894)</f>
        <v>1.8513967494058915E-2</v>
      </c>
      <c r="N1895" s="650">
        <f>N1894/(D1894+E1894+G1894+H1894+I1894+J1894+L1894+M1894+N1894)</f>
        <v>0.4712082881941928</v>
      </c>
      <c r="O1895" s="1503"/>
    </row>
    <row r="1896" spans="1:15" ht="12" customHeight="1">
      <c r="A1896" s="1512"/>
      <c r="B1896" s="1502" t="s">
        <v>14940</v>
      </c>
      <c r="C1896" s="638" t="s">
        <v>6218</v>
      </c>
      <c r="D1896" s="648">
        <f>D1512+D1520+D1528+D1536+D1544+D1552+D1560+D1568+D1576+D1584+D1592+D1600+D1608+D1616+D1624+D1632+D1640+D1648+D1656+D1664+D1672+D1680+D1688+D1696+D1704+D1712+D1720+D1728+D1736+D1744+D1752+D1760+D1768+D1776+D1784+D1792+D1800+D1808+D1816+D1824+D1832+D1840+D1848+D1856+D1864+D1872+D1880+D1888</f>
        <v>2833181</v>
      </c>
      <c r="E1896" s="648">
        <f>E1512+E1520+E1528+E1536+E1544+E1552+E1560+E1568+E1576+E1584+E1592+E1600+E1608+E1616+E1624+E1632+E1640+E1648+E1656+E1664+E1672+E1680+E1688+E1696+E1704+E1712+E1720+E1728+E1736+E1744+E1752+E1760+E1768+E1776+E1784+E1792+E1800+E1808+E1816+E1824+E1832+E1840+E1848+E1856+E1864+E1872+E1880+E1888</f>
        <v>1604469</v>
      </c>
      <c r="F1896" s="649">
        <f t="shared" si="58"/>
        <v>4437650</v>
      </c>
      <c r="G1896" s="648">
        <f>G1512+G1520+G1528+G1536+G1544+G1552+G1560+G1568+G1576+G1584+G1592+G1600+G1608+G1616+G1624+G1632+G1640+G1648+G1656+G1664+G1672+G1680+G1688+G1696+G1704+G1712+G1720+G1728+G1736+G1744+G1752+G1760+G1768+G1776+G1784+G1792+G1800+G1808+G1816+G1824+G1832+G1840+G1848+G1856+G1864+G1872+G1880+G1888</f>
        <v>3425342</v>
      </c>
      <c r="H1896" s="648">
        <f>H1512+H1520+H1528+H1536+H1544+H1552+H1560+H1568+H1576+H1584+H1592+H1600+H1608+H1616+H1624+H1632+H1640+H1648+H1656+H1664+H1672+H1680+H1688+H1696+H1704+H1712+H1720+H1728+H1736+H1744+H1752+H1760+H1768+H1776+H1784+H1792+H1800+H1808+H1816+H1824+H1832+H1840+H1848+H1856+H1864+H1872+H1880+H1888</f>
        <v>375228</v>
      </c>
      <c r="I1896" s="648">
        <f>I1512+I1520+I1528+I1536+I1544+I1552+I1560+I1568+I1576+I1584+I1592+I1600+I1608+I1616+I1624+I1632+I1640+I1648+I1656+I1664+I1672+I1680+I1688+I1696+I1704+I1712+I1720+I1728+I1736+I1744+I1752+I1760+I1768+I1776+I1784+I1792+I1800+I1808+I1816+I1824+I1832+I1840+I1848+I1856+I1864+I1872+I1880+I1888</f>
        <v>0</v>
      </c>
      <c r="J1896" s="648">
        <f>J1512+J1520+J1528+J1536+J1544+J1552+J1560+J1568+J1576+J1584+J1592+J1600+J1608+J1616+J1624+J1632+J1640+J1648+J1656+J1664+J1672+J1680+J1688+J1696+J1704+J1712+J1720+J1728+J1736+J1744+J1752+J1760+J1768+J1776+J1784+J1792+J1800+J1808+J1816+J1824+J1832+J1840+J1848+J1856+J1864+J1872+J1880+J1888</f>
        <v>0</v>
      </c>
      <c r="K1896" s="649">
        <f t="shared" si="59"/>
        <v>3800570</v>
      </c>
      <c r="L1896" s="648">
        <f>L1512+L1520+L1528+L1536+L1544+L1552+L1560+L1568+L1576+L1584+L1592+L1600+L1608+L1616+L1624+L1632+L1640+L1648+L1656+L1664+L1672+L1680+L1688+L1696+L1704+L1712+L1720+L1728+L1736+L1744+L1752+L1760+L1768+L1776+L1784+L1792+L1800+L1808+L1816+L1824+L1832+L1840+L1848+L1856+L1864+L1872+L1880+L1888</f>
        <v>992142</v>
      </c>
      <c r="M1896" s="648">
        <f>M1512+M1520+M1528+M1536+M1544+M1552+M1560+M1568+M1576+M1584+M1592+M1600+M1608+M1616+M1624+M1632+M1640+M1648+M1656+M1664+M1672+M1680+M1688+M1696+M1704+M1712+M1720+M1728+M1736+M1744+M1752+M1760+M1768+M1776+M1784+M1792+M1800+M1808+M1816+M1824+M1832+M1840+M1848+M1856+M1864+M1872+M1880+M1888</f>
        <v>0</v>
      </c>
      <c r="N1896" s="648">
        <f>N1512+N1520+N1528+N1536+N1544+N1552+N1560+N1568+N1576+N1584+N1592+N1600+N1608+N1616+N1624+N1632+N1640+N1648+N1656+N1664+N1672+N1680+N1688+N1696+N1704+N1712+N1720+N1728+N1736+N1744+N1752+N1760+N1768+N1776+N1784+N1792+N1800+N1808+N1816+N1824+N1832+N1840+N1848+N1856+N1864+N1872+N1880+N1888</f>
        <v>7405907</v>
      </c>
      <c r="O1896" s="1503">
        <f>1-N1897</f>
        <v>0.55483365891715264</v>
      </c>
    </row>
    <row r="1897" spans="1:15" ht="12" customHeight="1" thickBot="1">
      <c r="A1897" s="1513"/>
      <c r="B1897" s="1504"/>
      <c r="C1897" s="644" t="s">
        <v>6219</v>
      </c>
      <c r="D1897" s="645">
        <f>D1896/(D1896+E1896+G1896+H1896+I1896+J1896+L1896+M1896+N1896)</f>
        <v>0.17030146603183682</v>
      </c>
      <c r="E1897" s="645">
        <f>E1896/(D1896+E1896+G1896+H1896+I1896+J1896+L1896+M1896+N1896)</f>
        <v>9.6444040427574235E-2</v>
      </c>
      <c r="F1897" s="646">
        <f t="shared" si="58"/>
        <v>0.26674550645941109</v>
      </c>
      <c r="G1897" s="645">
        <f>G1896/(D1896+E1896+G1896+H1896+I1896+J1896+L1896+M1896+N1896)</f>
        <v>0.20589604556165808</v>
      </c>
      <c r="H1897" s="645">
        <f>H1896/(D1896+E1896+G1896+H1896+I1896+J1896+L1896+M1896+N1896)</f>
        <v>2.2554816828220317E-2</v>
      </c>
      <c r="I1897" s="645">
        <f>I1896/(D1896+E1896+G1896+H1896+I1896+J1896+L1896+M1896+N1896)</f>
        <v>0</v>
      </c>
      <c r="J1897" s="645">
        <f>J1896/(D1896+E1896+G1896+H1896+I1896+J1896+L1896+M1896+N1896)</f>
        <v>0</v>
      </c>
      <c r="K1897" s="646">
        <f t="shared" si="59"/>
        <v>0.22845086238987838</v>
      </c>
      <c r="L1897" s="645">
        <f>L1896/(D1896+E1896+G1896+H1896+I1896+J1896+L1896+M1896+N1896)</f>
        <v>5.9637290067863176E-2</v>
      </c>
      <c r="M1897" s="645">
        <f>M1896/(D1896+E1896+G1896+H1896+I1896+J1896+L1896+M1896+N1896)</f>
        <v>0</v>
      </c>
      <c r="N1897" s="645">
        <f>N1896/(D1896+E1896+G1896+H1896+I1896+J1896+L1896+M1896+N1896)</f>
        <v>0.44516634108284736</v>
      </c>
      <c r="O1897" s="1505"/>
    </row>
    <row r="1898" spans="1:15" ht="12" customHeight="1" thickTop="1">
      <c r="A1898" s="1516" t="s">
        <v>15175</v>
      </c>
      <c r="B1898" s="1509" t="s">
        <v>14937</v>
      </c>
      <c r="C1898" s="647" t="s">
        <v>6218</v>
      </c>
      <c r="D1898" s="648">
        <v>52806</v>
      </c>
      <c r="E1898" s="648">
        <v>27204</v>
      </c>
      <c r="F1898" s="649">
        <f t="shared" si="58"/>
        <v>80010</v>
      </c>
      <c r="G1898" s="648">
        <v>60263</v>
      </c>
      <c r="H1898" s="648">
        <v>8588</v>
      </c>
      <c r="I1898" s="648">
        <v>3045</v>
      </c>
      <c r="J1898" s="648">
        <v>2763</v>
      </c>
      <c r="K1898" s="649">
        <f t="shared" si="59"/>
        <v>74659</v>
      </c>
      <c r="L1898" s="648">
        <v>10449</v>
      </c>
      <c r="M1898" s="648">
        <v>2870</v>
      </c>
      <c r="N1898" s="648">
        <v>93346</v>
      </c>
      <c r="O1898" s="1510">
        <f>1-N1899</f>
        <v>0.64280958466942684</v>
      </c>
    </row>
    <row r="1899" spans="1:15" ht="12" customHeight="1">
      <c r="A1899" s="1517"/>
      <c r="B1899" s="1502"/>
      <c r="C1899" s="635" t="s">
        <v>6219</v>
      </c>
      <c r="D1899" s="636">
        <f>D1898/(D1898+E1898+G1898+H1898+I1898+J1898+L1898+M1898+N1898)</f>
        <v>0.20206326004270397</v>
      </c>
      <c r="E1899" s="636">
        <f>E1898/(D1898+E1898+G1898+H1898+I1898+J1898+L1898+M1898+N1898)</f>
        <v>0.10409667322277238</v>
      </c>
      <c r="F1899" s="637">
        <f t="shared" si="58"/>
        <v>0.30615993326547636</v>
      </c>
      <c r="G1899" s="636">
        <f>G1898/(D1898+E1898+G1898+H1898+I1898+J1898+L1898+M1898+N1898)</f>
        <v>0.23059762602646422</v>
      </c>
      <c r="H1899" s="636">
        <f>H1898/(D1898+E1898+G1898+H1898+I1898+J1898+L1898+M1898+N1898)</f>
        <v>3.2862161065915649E-2</v>
      </c>
      <c r="I1899" s="636">
        <f>I1898/(D1898+E1898+G1898+H1898+I1898+J1898+L1898+M1898+N1898)</f>
        <v>1.1651755990418391E-2</v>
      </c>
      <c r="J1899" s="636">
        <f>J1898/(D1898+E1898+G1898+H1898+I1898+J1898+L1898+M1898+N1898)</f>
        <v>1.0572677110517575E-2</v>
      </c>
      <c r="K1899" s="637">
        <f t="shared" si="59"/>
        <v>0.28568422019331585</v>
      </c>
      <c r="L1899" s="636">
        <f>L1898/(D1898+E1898+G1898+H1898+I1898+J1898+L1898+M1898+N1898)</f>
        <v>3.9983316369090895E-2</v>
      </c>
      <c r="M1899" s="636">
        <f>M1898/(D1898+E1898+G1898+H1898+I1898+J1898+L1898+M1898+N1898)</f>
        <v>1.0982114841543772E-2</v>
      </c>
      <c r="N1899" s="636">
        <f>N1898/(D1898+E1898+G1898+H1898+I1898+J1898+L1898+M1898+N1898)</f>
        <v>0.35719041533057316</v>
      </c>
      <c r="O1899" s="1503"/>
    </row>
    <row r="1900" spans="1:15" ht="12" customHeight="1">
      <c r="A1900" s="1517"/>
      <c r="B1900" s="1502" t="s">
        <v>14938</v>
      </c>
      <c r="C1900" s="638" t="s">
        <v>6218</v>
      </c>
      <c r="D1900" s="639">
        <v>62558</v>
      </c>
      <c r="E1900" s="639">
        <v>30901</v>
      </c>
      <c r="F1900" s="640">
        <f t="shared" si="58"/>
        <v>93459</v>
      </c>
      <c r="G1900" s="639">
        <v>51004</v>
      </c>
      <c r="H1900" s="639">
        <v>11906</v>
      </c>
      <c r="I1900" s="639">
        <v>10553</v>
      </c>
      <c r="J1900" s="639"/>
      <c r="K1900" s="640">
        <f t="shared" si="59"/>
        <v>73463</v>
      </c>
      <c r="L1900" s="639">
        <v>11746</v>
      </c>
      <c r="M1900" s="639"/>
      <c r="N1900" s="639">
        <v>82864</v>
      </c>
      <c r="O1900" s="1503">
        <f>1-N1901</f>
        <v>0.68315923099276565</v>
      </c>
    </row>
    <row r="1901" spans="1:15" ht="12" customHeight="1">
      <c r="A1901" s="1517"/>
      <c r="B1901" s="1502"/>
      <c r="C1901" s="635" t="s">
        <v>6219</v>
      </c>
      <c r="D1901" s="636">
        <f>D1900/(D1900+E1900+G1900+H1900+I1900+J1900+L1900+M1900+N1900)</f>
        <v>0.23919826254530993</v>
      </c>
      <c r="E1901" s="636">
        <f>E1900/(D1900+E1900+G1900+H1900+I1900+J1900+L1900+M1900+N1900)</f>
        <v>0.11815380144685927</v>
      </c>
      <c r="F1901" s="637">
        <f t="shared" si="58"/>
        <v>0.35735206399216923</v>
      </c>
      <c r="G1901" s="636">
        <f>G1900/(D1900+E1900+G1900+H1900+I1900+J1900+L1900+M1900+N1900)</f>
        <v>0.19502011226159705</v>
      </c>
      <c r="H1901" s="636">
        <f>H1900/(D1900+E1900+G1900+H1900+I1900+J1900+L1900+M1900+N1900)</f>
        <v>4.5524065888686661E-2</v>
      </c>
      <c r="I1901" s="636">
        <f>I1900/(D1900+E1900+G1900+H1900+I1900+J1900+L1900+M1900+N1900)</f>
        <v>4.0350702782068731E-2</v>
      </c>
      <c r="J1901" s="636">
        <f>J1900/(D1900+E1900+G1900+H1900+I1900+J1900+L1900+M1900+N1900)</f>
        <v>0</v>
      </c>
      <c r="K1901" s="637">
        <f t="shared" si="59"/>
        <v>0.28089488093235243</v>
      </c>
      <c r="L1901" s="636">
        <f>L1900/(D1900+E1900+G1900+H1900+I1900+J1900+L1900+M1900+N1900)</f>
        <v>4.4912286068244038E-2</v>
      </c>
      <c r="M1901" s="636">
        <f>M1900/(D1900+E1900+G1900+H1900+I1900+J1900+L1900+M1900+N1900)</f>
        <v>0</v>
      </c>
      <c r="N1901" s="636">
        <f>N1900/(D1900+E1900+G1900+H1900+I1900+J1900+L1900+M1900+N1900)</f>
        <v>0.31684076900723429</v>
      </c>
      <c r="O1901" s="1503"/>
    </row>
    <row r="1902" spans="1:15" ht="12" customHeight="1">
      <c r="A1902" s="1517"/>
      <c r="B1902" s="1502" t="s">
        <v>14939</v>
      </c>
      <c r="C1902" s="638" t="s">
        <v>6218</v>
      </c>
      <c r="D1902" s="639">
        <v>52916</v>
      </c>
      <c r="E1902" s="639">
        <v>31986</v>
      </c>
      <c r="F1902" s="640">
        <f t="shared" si="58"/>
        <v>84902</v>
      </c>
      <c r="G1902" s="639">
        <v>49952</v>
      </c>
      <c r="H1902" s="639">
        <v>8013</v>
      </c>
      <c r="I1902" s="639"/>
      <c r="J1902" s="639"/>
      <c r="K1902" s="640">
        <f t="shared" si="59"/>
        <v>57965</v>
      </c>
      <c r="L1902" s="639">
        <v>10446</v>
      </c>
      <c r="M1902" s="639">
        <v>4319</v>
      </c>
      <c r="N1902" s="639">
        <v>103204</v>
      </c>
      <c r="O1902" s="1503">
        <f>1-N1903</f>
        <v>0.60433375761014585</v>
      </c>
    </row>
    <row r="1903" spans="1:15" ht="12" customHeight="1">
      <c r="A1903" s="1517"/>
      <c r="B1903" s="1502"/>
      <c r="C1903" s="635" t="s">
        <v>6219</v>
      </c>
      <c r="D1903" s="636">
        <f>D1902/(D1902+E1902+G1902+H1902+I1902+J1902+L1902+M1902+N1902)</f>
        <v>0.2028707693723259</v>
      </c>
      <c r="E1903" s="636">
        <f>E1902/(D1902+E1902+G1902+H1902+I1902+J1902+L1902+M1902+N1902)</f>
        <v>0.12262877823613305</v>
      </c>
      <c r="F1903" s="637">
        <f t="shared" si="58"/>
        <v>0.32549954760845895</v>
      </c>
      <c r="G1903" s="636">
        <f>G1902/(D1902+E1902+G1902+H1902+I1902+J1902+L1902+M1902+N1902)</f>
        <v>0.19150730727353585</v>
      </c>
      <c r="H1903" s="636">
        <f>H1902/(D1902+E1902+G1902+H1902+I1902+J1902+L1902+M1902+N1902)</f>
        <v>3.0720452698247174E-2</v>
      </c>
      <c r="I1903" s="636">
        <f>I1902/(D1902+E1902+G1902+H1902+I1902+J1902+L1902+M1902+N1902)</f>
        <v>0</v>
      </c>
      <c r="J1903" s="636">
        <f>J1902/(D1902+E1902+G1902+H1902+I1902+J1902+L1902+M1902+N1902)</f>
        <v>0</v>
      </c>
      <c r="K1903" s="637">
        <f t="shared" si="59"/>
        <v>0.22222775997178301</v>
      </c>
      <c r="L1903" s="636">
        <f>L1902/(D1902+E1902+G1902+H1902+I1902+J1902+L1902+M1902+N1902)</f>
        <v>4.0048152862334957E-2</v>
      </c>
      <c r="M1903" s="636">
        <f>M1902/(D1902+E1902+G1902+H1902+I1902+J1902+L1902+M1902+N1902)</f>
        <v>1.6558297167568892E-2</v>
      </c>
      <c r="N1903" s="636">
        <f>N1902/(D1902+E1902+G1902+H1902+I1902+J1902+L1902+M1902+N1902)</f>
        <v>0.39566624238985415</v>
      </c>
      <c r="O1903" s="1503"/>
    </row>
    <row r="1904" spans="1:15" ht="12" customHeight="1">
      <c r="A1904" s="1517"/>
      <c r="B1904" s="1502" t="s">
        <v>14940</v>
      </c>
      <c r="C1904" s="638" t="s">
        <v>6218</v>
      </c>
      <c r="D1904" s="639">
        <v>63185</v>
      </c>
      <c r="E1904" s="639">
        <v>31549</v>
      </c>
      <c r="F1904" s="640">
        <f t="shared" si="58"/>
        <v>94734</v>
      </c>
      <c r="G1904" s="639">
        <v>39645</v>
      </c>
      <c r="H1904" s="639">
        <v>13469</v>
      </c>
      <c r="I1904" s="639"/>
      <c r="J1904" s="639"/>
      <c r="K1904" s="640">
        <f t="shared" si="59"/>
        <v>53114</v>
      </c>
      <c r="L1904" s="639">
        <v>11318</v>
      </c>
      <c r="M1904" s="639"/>
      <c r="N1904" s="639">
        <v>101421</v>
      </c>
      <c r="O1904" s="1503">
        <f>1-N1905</f>
        <v>0.61079792929040977</v>
      </c>
    </row>
    <row r="1905" spans="1:15" ht="12" customHeight="1" thickBot="1">
      <c r="A1905" s="1519"/>
      <c r="B1905" s="1514"/>
      <c r="C1905" s="641" t="s">
        <v>6219</v>
      </c>
      <c r="D1905" s="642">
        <f>D1904/(D1904+E1904+G1904+H1904+I1904+J1904+L1904+M1904+N1904)</f>
        <v>0.24247180404241195</v>
      </c>
      <c r="E1905" s="642">
        <f>E1904/(D1904+E1904+G1904+H1904+I1904+J1904+L1904+M1904+N1904)</f>
        <v>0.12106897120731272</v>
      </c>
      <c r="F1905" s="643">
        <f t="shared" si="58"/>
        <v>0.36354077524972467</v>
      </c>
      <c r="G1905" s="642">
        <f>G1904/(D1904+E1904+G1904+H1904+I1904+J1904+L1904+M1904+N1904)</f>
        <v>0.15213729004132975</v>
      </c>
      <c r="H1905" s="642">
        <f>H1904/(D1904+E1904+G1904+H1904+I1904+J1904+L1904+M1904+N1904)</f>
        <v>5.1687152467314181E-2</v>
      </c>
      <c r="I1905" s="642">
        <f>I1904/(D1904+E1904+G1904+H1904+I1904+J1904+L1904+M1904+N1904)</f>
        <v>0</v>
      </c>
      <c r="J1905" s="642">
        <f>J1904/(D1904+E1904+G1904+H1904+I1904+J1904+L1904+M1904+N1904)</f>
        <v>0</v>
      </c>
      <c r="K1905" s="643">
        <f t="shared" si="59"/>
        <v>0.20382444250864393</v>
      </c>
      <c r="L1905" s="642">
        <f>L1904/(D1904+E1904+G1904+H1904+I1904+J1904+L1904+M1904+N1904)</f>
        <v>4.3432711532041125E-2</v>
      </c>
      <c r="M1905" s="642">
        <f>M1904/(D1904+E1904+G1904+H1904+I1904+J1904+L1904+M1904+N1904)</f>
        <v>0</v>
      </c>
      <c r="N1905" s="642">
        <f>N1904/(D1904+E1904+G1904+H1904+I1904+J1904+L1904+M1904+N1904)</f>
        <v>0.38920207070959029</v>
      </c>
      <c r="O1905" s="1515"/>
    </row>
    <row r="1906" spans="1:15" ht="12" customHeight="1">
      <c r="A1906" s="1516" t="s">
        <v>15176</v>
      </c>
      <c r="B1906" s="1509" t="s">
        <v>14937</v>
      </c>
      <c r="C1906" s="647" t="s">
        <v>6218</v>
      </c>
      <c r="D1906" s="648">
        <v>47003</v>
      </c>
      <c r="E1906" s="648">
        <v>24808</v>
      </c>
      <c r="F1906" s="649">
        <f t="shared" si="58"/>
        <v>71811</v>
      </c>
      <c r="G1906" s="648">
        <v>55996</v>
      </c>
      <c r="H1906" s="648">
        <v>7561</v>
      </c>
      <c r="I1906" s="648">
        <v>3346</v>
      </c>
      <c r="J1906" s="648">
        <v>2652</v>
      </c>
      <c r="K1906" s="649">
        <f t="shared" si="59"/>
        <v>69555</v>
      </c>
      <c r="L1906" s="648">
        <v>9678</v>
      </c>
      <c r="M1906" s="648">
        <v>2427</v>
      </c>
      <c r="N1906" s="648">
        <v>78062</v>
      </c>
      <c r="O1906" s="1510">
        <f>1-N1907</f>
        <v>0.66284719672789616</v>
      </c>
    </row>
    <row r="1907" spans="1:15" ht="12" customHeight="1">
      <c r="A1907" s="1517"/>
      <c r="B1907" s="1502"/>
      <c r="C1907" s="635" t="s">
        <v>6219</v>
      </c>
      <c r="D1907" s="636">
        <f>D1906/(D1906+E1906+G1906+H1906+I1906+J1906+L1906+M1906+N1906)</f>
        <v>0.20300777858879729</v>
      </c>
      <c r="E1907" s="636">
        <f>E1906/(D1906+E1906+G1906+H1906+I1906+J1906+L1906+M1906+N1906)</f>
        <v>0.10714671342745959</v>
      </c>
      <c r="F1907" s="637">
        <f t="shared" si="58"/>
        <v>0.31015449201625689</v>
      </c>
      <c r="G1907" s="636">
        <f>G1906/(D1906+E1906+G1906+H1906+I1906+J1906+L1906+M1906+N1906)</f>
        <v>0.24184889411012686</v>
      </c>
      <c r="H1907" s="636">
        <f>H1906/(D1906+E1906+G1906+H1906+I1906+J1906+L1906+M1906+N1906)</f>
        <v>3.2656252024549415E-2</v>
      </c>
      <c r="I1907" s="636">
        <f>I1906/(D1906+E1906+G1906+H1906+I1906+J1906+L1906+M1906+N1906)</f>
        <v>1.4451503673342461E-2</v>
      </c>
      <c r="J1907" s="636">
        <f>J1906/(D1906+E1906+G1906+H1906+I1906+J1906+L1906+M1906+N1906)</f>
        <v>1.1454090777556547E-2</v>
      </c>
      <c r="K1907" s="637">
        <f t="shared" si="59"/>
        <v>0.30041074058557526</v>
      </c>
      <c r="L1907" s="636">
        <f>L1906/(D1906+E1906+G1906+H1906+I1906+J1906+L1906+M1906+N1906)</f>
        <v>4.1799657068322872E-2</v>
      </c>
      <c r="M1907" s="636">
        <f>M1906/(D1906+E1906+G1906+H1906+I1906+J1906+L1906+M1906+N1906)</f>
        <v>1.048230705774123E-2</v>
      </c>
      <c r="N1907" s="636">
        <f>N1906/(D1906+E1906+G1906+H1906+I1906+J1906+L1906+M1906+N1906)</f>
        <v>0.33715280327210378</v>
      </c>
      <c r="O1907" s="1503"/>
    </row>
    <row r="1908" spans="1:15" ht="12" customHeight="1">
      <c r="A1908" s="1517"/>
      <c r="B1908" s="1502" t="s">
        <v>14938</v>
      </c>
      <c r="C1908" s="638" t="s">
        <v>6218</v>
      </c>
      <c r="D1908" s="639">
        <v>57324</v>
      </c>
      <c r="E1908" s="639">
        <v>31424</v>
      </c>
      <c r="F1908" s="640">
        <f t="shared" si="58"/>
        <v>88748</v>
      </c>
      <c r="G1908" s="639">
        <v>49283</v>
      </c>
      <c r="H1908" s="639">
        <v>8527</v>
      </c>
      <c r="I1908" s="639">
        <v>10828</v>
      </c>
      <c r="J1908" s="639"/>
      <c r="K1908" s="640">
        <f t="shared" si="59"/>
        <v>68638</v>
      </c>
      <c r="L1908" s="639">
        <v>10512</v>
      </c>
      <c r="M1908" s="639"/>
      <c r="N1908" s="639">
        <v>63869</v>
      </c>
      <c r="O1908" s="1503">
        <f>1-N1909</f>
        <v>0.72442582421138468</v>
      </c>
    </row>
    <row r="1909" spans="1:15" ht="12" customHeight="1">
      <c r="A1909" s="1517"/>
      <c r="B1909" s="1502"/>
      <c r="C1909" s="635" t="s">
        <v>6219</v>
      </c>
      <c r="D1909" s="636">
        <f>D1908/(D1908+E1908+G1908+H1908+I1908+J1908+L1908+M1908+N1908)</f>
        <v>0.24733460760159989</v>
      </c>
      <c r="E1909" s="636">
        <f>E1908/(D1908+E1908+G1908+H1908+I1908+J1908+L1908+M1908+N1908)</f>
        <v>0.13558444472250147</v>
      </c>
      <c r="F1909" s="637">
        <f t="shared" si="58"/>
        <v>0.38291905232410139</v>
      </c>
      <c r="G1909" s="636">
        <f>G1908/(D1908+E1908+G1908+H1908+I1908+J1908+L1908+M1908+N1908)</f>
        <v>0.2126402809718381</v>
      </c>
      <c r="H1909" s="636">
        <f>H1908/(D1908+E1908+G1908+H1908+I1908+J1908+L1908+M1908+N1908)</f>
        <v>3.6791260188033671E-2</v>
      </c>
      <c r="I1909" s="636">
        <f>I1908/(D1908+E1908+G1908+H1908+I1908+J1908+L1908+M1908+N1908)</f>
        <v>4.6719334504049324E-2</v>
      </c>
      <c r="J1909" s="636">
        <f>J1908/(D1908+E1908+G1908+H1908+I1908+J1908+L1908+M1908+N1908)</f>
        <v>0</v>
      </c>
      <c r="K1909" s="637">
        <f t="shared" si="59"/>
        <v>0.29615087566392106</v>
      </c>
      <c r="L1909" s="636">
        <f>L1908/(D1908+E1908+G1908+H1908+I1908+J1908+L1908+M1908+N1908)</f>
        <v>4.5355896223362259E-2</v>
      </c>
      <c r="M1909" s="636">
        <f>M1908/(D1908+E1908+G1908+H1908+I1908+J1908+L1908+M1908+N1908)</f>
        <v>0</v>
      </c>
      <c r="N1909" s="636">
        <f>N1908/(D1908+E1908+G1908+H1908+I1908+J1908+L1908+M1908+N1908)</f>
        <v>0.27557417578861532</v>
      </c>
      <c r="O1909" s="1503"/>
    </row>
    <row r="1910" spans="1:15" ht="12" customHeight="1">
      <c r="A1910" s="1517"/>
      <c r="B1910" s="1502" t="s">
        <v>14939</v>
      </c>
      <c r="C1910" s="638" t="s">
        <v>6218</v>
      </c>
      <c r="D1910" s="639">
        <v>46707</v>
      </c>
      <c r="E1910" s="639">
        <v>28678</v>
      </c>
      <c r="F1910" s="640">
        <f t="shared" si="58"/>
        <v>75385</v>
      </c>
      <c r="G1910" s="639">
        <v>46997</v>
      </c>
      <c r="H1910" s="639">
        <v>6951</v>
      </c>
      <c r="I1910" s="639"/>
      <c r="J1910" s="639"/>
      <c r="K1910" s="640">
        <f t="shared" si="59"/>
        <v>53948</v>
      </c>
      <c r="L1910" s="639">
        <v>9317</v>
      </c>
      <c r="M1910" s="639">
        <v>4312</v>
      </c>
      <c r="N1910" s="639">
        <v>88638</v>
      </c>
      <c r="O1910" s="1503">
        <f>1-N1911</f>
        <v>0.617279792746114</v>
      </c>
    </row>
    <row r="1911" spans="1:15" ht="12" customHeight="1">
      <c r="A1911" s="1517"/>
      <c r="B1911" s="1502"/>
      <c r="C1911" s="635" t="s">
        <v>6219</v>
      </c>
      <c r="D1911" s="636">
        <f>D1910/(D1910+E1910+G1910+H1910+I1910+J1910+L1910+M1910+N1910)</f>
        <v>0.20167098445595855</v>
      </c>
      <c r="E1911" s="636">
        <f>E1910/(D1910+E1910+G1910+H1910+I1910+J1910+L1910+M1910+N1910)</f>
        <v>0.12382556131260794</v>
      </c>
      <c r="F1911" s="637">
        <f t="shared" si="58"/>
        <v>0.32549654576856646</v>
      </c>
      <c r="G1911" s="636">
        <f>G1910/(D1910+E1910+G1910+H1910+I1910+J1910+L1910+M1910+N1910)</f>
        <v>0.20292314335060449</v>
      </c>
      <c r="H1911" s="636">
        <f>H1910/(D1910+E1910+G1910+H1910+I1910+J1910+L1910+M1910+N1910)</f>
        <v>3.0012953367875649E-2</v>
      </c>
      <c r="I1911" s="636">
        <f>I1910/(D1910+E1910+G1910+H1910+I1910+J1910+L1910+M1910+N1910)</f>
        <v>0</v>
      </c>
      <c r="J1911" s="636">
        <f>J1910/(D1910+E1910+G1910+H1910+I1910+J1910+L1910+M1910+N1910)</f>
        <v>0</v>
      </c>
      <c r="K1911" s="637">
        <f t="shared" si="59"/>
        <v>0.23293609671848015</v>
      </c>
      <c r="L1911" s="636">
        <f>L1910/(D1910+E1910+G1910+H1910+I1910+J1910+L1910+M1910+N1910)</f>
        <v>4.0228842832469774E-2</v>
      </c>
      <c r="M1911" s="636">
        <f>M1910/(D1910+E1910+G1910+H1910+I1910+J1910+L1910+M1910+N1910)</f>
        <v>1.8618307426597581E-2</v>
      </c>
      <c r="N1911" s="636">
        <f>N1910/(D1910+E1910+G1910+H1910+I1910+J1910+L1910+M1910+N1910)</f>
        <v>0.382720207253886</v>
      </c>
      <c r="O1911" s="1503"/>
    </row>
    <row r="1912" spans="1:15" ht="12" customHeight="1">
      <c r="A1912" s="1517"/>
      <c r="B1912" s="1502" t="s">
        <v>14940</v>
      </c>
      <c r="C1912" s="638" t="s">
        <v>6218</v>
      </c>
      <c r="D1912" s="639">
        <v>54427</v>
      </c>
      <c r="E1912" s="639">
        <v>31805</v>
      </c>
      <c r="F1912" s="640">
        <f t="shared" si="58"/>
        <v>86232</v>
      </c>
      <c r="G1912" s="639">
        <v>48921</v>
      </c>
      <c r="H1912" s="639">
        <v>8686</v>
      </c>
      <c r="I1912" s="639"/>
      <c r="J1912" s="639"/>
      <c r="K1912" s="640">
        <f t="shared" si="59"/>
        <v>57607</v>
      </c>
      <c r="L1912" s="639">
        <v>10552</v>
      </c>
      <c r="M1912" s="639"/>
      <c r="N1912" s="639">
        <v>76752</v>
      </c>
      <c r="O1912" s="1503">
        <f>1-N1913</f>
        <v>0.66794581709158396</v>
      </c>
    </row>
    <row r="1913" spans="1:15" ht="12" customHeight="1" thickBot="1">
      <c r="A1913" s="1519"/>
      <c r="B1913" s="1514"/>
      <c r="C1913" s="641" t="s">
        <v>6219</v>
      </c>
      <c r="D1913" s="642">
        <f>D1912/(D1912+E1912+G1912+H1912+I1912+J1912+L1912+M1912+N1912)</f>
        <v>0.23546895212054875</v>
      </c>
      <c r="E1913" s="642">
        <f>E1912/(D1912+E1912+G1912+H1912+I1912+J1912+L1912+M1912+N1912)</f>
        <v>0.13759880247292802</v>
      </c>
      <c r="F1913" s="643">
        <f t="shared" si="58"/>
        <v>0.37306775459347674</v>
      </c>
      <c r="G1913" s="642">
        <f>G1912/(D1912+E1912+G1912+H1912+I1912+J1912+L1912+M1912+N1912)</f>
        <v>0.21164820046464741</v>
      </c>
      <c r="H1913" s="642">
        <f>H1912/(D1912+E1912+G1912+H1912+I1912+J1912+L1912+M1912+N1912)</f>
        <v>3.7578468740130572E-2</v>
      </c>
      <c r="I1913" s="642">
        <f>I1912/(D1912+E1912+G1912+H1912+I1912+J1912+L1912+M1912+N1912)</f>
        <v>0</v>
      </c>
      <c r="J1913" s="642">
        <f>J1912/(D1912+E1912+G1912+H1912+I1912+J1912+L1912+M1912+N1912)</f>
        <v>0</v>
      </c>
      <c r="K1913" s="643">
        <f t="shared" si="59"/>
        <v>0.24922666920477798</v>
      </c>
      <c r="L1913" s="642">
        <f>L1912/(D1912+E1912+G1912+H1912+I1912+J1912+L1912+M1912+N1912)</f>
        <v>4.5651393293329234E-2</v>
      </c>
      <c r="M1913" s="642">
        <f>M1912/(D1912+E1912+G1912+H1912+I1912+J1912+L1912+M1912+N1912)</f>
        <v>0</v>
      </c>
      <c r="N1913" s="642">
        <f>N1912/(D1912+E1912+G1912+H1912+I1912+J1912+L1912+M1912+N1912)</f>
        <v>0.33205418290841598</v>
      </c>
      <c r="O1913" s="1515"/>
    </row>
    <row r="1914" spans="1:15" ht="12" customHeight="1">
      <c r="A1914" s="1516" t="s">
        <v>15177</v>
      </c>
      <c r="B1914" s="1509" t="s">
        <v>14937</v>
      </c>
      <c r="C1914" s="647" t="s">
        <v>6218</v>
      </c>
      <c r="D1914" s="648">
        <v>71672</v>
      </c>
      <c r="E1914" s="648">
        <v>24825</v>
      </c>
      <c r="F1914" s="649">
        <f t="shared" si="58"/>
        <v>96497</v>
      </c>
      <c r="G1914" s="648">
        <v>66611</v>
      </c>
      <c r="H1914" s="648">
        <v>5613</v>
      </c>
      <c r="I1914" s="648">
        <v>10041</v>
      </c>
      <c r="J1914" s="648">
        <v>2899</v>
      </c>
      <c r="K1914" s="649">
        <f t="shared" si="59"/>
        <v>85164</v>
      </c>
      <c r="L1914" s="648">
        <v>11163</v>
      </c>
      <c r="M1914" s="648">
        <v>2877</v>
      </c>
      <c r="N1914" s="648">
        <v>90873</v>
      </c>
      <c r="O1914" s="1510">
        <f>1-N1915</f>
        <v>0.68289865793826376</v>
      </c>
    </row>
    <row r="1915" spans="1:15" ht="12" customHeight="1">
      <c r="A1915" s="1517"/>
      <c r="B1915" s="1502"/>
      <c r="C1915" s="635" t="s">
        <v>6219</v>
      </c>
      <c r="D1915" s="636">
        <f>D1914/(D1914+E1914+G1914+H1914+I1914+J1914+L1914+M1914+N1914)</f>
        <v>0.25009945075268519</v>
      </c>
      <c r="E1915" s="636">
        <f>E1914/(D1914+E1914+G1914+H1914+I1914+J1914+L1914+M1914+N1914)</f>
        <v>8.6626839838924677E-2</v>
      </c>
      <c r="F1915" s="637">
        <f t="shared" si="58"/>
        <v>0.33672629059160986</v>
      </c>
      <c r="G1915" s="636">
        <f>G1914/(D1914+E1914+G1914+H1914+I1914+J1914+L1914+M1914+N1914)</f>
        <v>0.23243909077585545</v>
      </c>
      <c r="H1915" s="636">
        <f>H1914/(D1914+E1914+G1914+H1914+I1914+J1914+L1914+M1914+N1914)</f>
        <v>1.9586564028837228E-2</v>
      </c>
      <c r="I1915" s="636">
        <f>I1914/(D1914+E1914+G1914+H1914+I1914+J1914+L1914+M1914+N1914)</f>
        <v>3.50380704460279E-2</v>
      </c>
      <c r="J1915" s="636">
        <f>J1914/(D1914+E1914+G1914+H1914+I1914+J1914+L1914+M1914+N1914)</f>
        <v>1.011606077313364E-2</v>
      </c>
      <c r="K1915" s="637">
        <f t="shared" si="59"/>
        <v>0.29717978602385425</v>
      </c>
      <c r="L1915" s="636">
        <f>L1914/(D1914+E1914+G1914+H1914+I1914+J1914+L1914+M1914+N1914)</f>
        <v>3.8953289551738816E-2</v>
      </c>
      <c r="M1915" s="636">
        <f>M1914/(D1914+E1914+G1914+H1914+I1914+J1914+L1914+M1914+N1914)</f>
        <v>1.0039291771060877E-2</v>
      </c>
      <c r="N1915" s="636">
        <f>N1914/(D1914+E1914+G1914+H1914+I1914+J1914+L1914+M1914+N1914)</f>
        <v>0.31710134206173624</v>
      </c>
      <c r="O1915" s="1503"/>
    </row>
    <row r="1916" spans="1:15" ht="12" customHeight="1">
      <c r="A1916" s="1517"/>
      <c r="B1916" s="1502" t="s">
        <v>14938</v>
      </c>
      <c r="C1916" s="638" t="s">
        <v>6218</v>
      </c>
      <c r="D1916" s="639">
        <v>72906</v>
      </c>
      <c r="E1916" s="639">
        <v>30753</v>
      </c>
      <c r="F1916" s="640">
        <f t="shared" si="58"/>
        <v>103659</v>
      </c>
      <c r="G1916" s="639">
        <v>52132</v>
      </c>
      <c r="H1916" s="639">
        <v>10316</v>
      </c>
      <c r="I1916" s="639">
        <v>26077</v>
      </c>
      <c r="J1916" s="639"/>
      <c r="K1916" s="640">
        <f t="shared" si="59"/>
        <v>88525</v>
      </c>
      <c r="L1916" s="639">
        <v>13136</v>
      </c>
      <c r="M1916" s="639"/>
      <c r="N1916" s="639">
        <v>81038</v>
      </c>
      <c r="O1916" s="1503">
        <f>1-N1917</f>
        <v>0.7170045886617451</v>
      </c>
    </row>
    <row r="1917" spans="1:15" ht="12" customHeight="1">
      <c r="A1917" s="1517"/>
      <c r="B1917" s="1502"/>
      <c r="C1917" s="635" t="s">
        <v>6219</v>
      </c>
      <c r="D1917" s="636">
        <f>D1916/(D1916+E1916+G1916+H1916+I1916+J1916+L1916+M1916+N1916)</f>
        <v>0.25459739207565357</v>
      </c>
      <c r="E1917" s="636">
        <f>E1916/(D1916+E1916+G1916+H1916+I1916+J1916+L1916+M1916+N1916)</f>
        <v>0.1073935423490875</v>
      </c>
      <c r="F1917" s="637">
        <f t="shared" si="58"/>
        <v>0.36199093442474106</v>
      </c>
      <c r="G1917" s="636">
        <f>G1916/(D1916+E1916+G1916+H1916+I1916+J1916+L1916+M1916+N1916)</f>
        <v>0.18205183721076415</v>
      </c>
      <c r="H1917" s="636">
        <f>H1916/(D1916+E1916+G1916+H1916+I1916+J1916+L1916+M1916+N1916)</f>
        <v>3.6024836044391988E-2</v>
      </c>
      <c r="I1917" s="636">
        <f>I1916/(D1916+E1916+G1916+H1916+I1916+J1916+L1916+M1916+N1916)</f>
        <v>9.1064332059869121E-2</v>
      </c>
      <c r="J1917" s="636">
        <f>J1916/(D1916+E1916+G1916+H1916+I1916+J1916+L1916+M1916+N1916)</f>
        <v>0</v>
      </c>
      <c r="K1917" s="637">
        <f t="shared" si="59"/>
        <v>0.30914100531502525</v>
      </c>
      <c r="L1917" s="636">
        <f>L1916/(D1916+E1916+G1916+H1916+I1916+J1916+L1916+M1916+N1916)</f>
        <v>4.587264892197878E-2</v>
      </c>
      <c r="M1917" s="636">
        <f>M1916/(D1916+E1916+G1916+H1916+I1916+J1916+L1916+M1916+N1916)</f>
        <v>0</v>
      </c>
      <c r="N1917" s="636">
        <f>N1916/(D1916+E1916+G1916+H1916+I1916+J1916+L1916+M1916+N1916)</f>
        <v>0.2829954113382549</v>
      </c>
      <c r="O1917" s="1503"/>
    </row>
    <row r="1918" spans="1:15" ht="12" customHeight="1">
      <c r="A1918" s="1517"/>
      <c r="B1918" s="1502" t="s">
        <v>14939</v>
      </c>
      <c r="C1918" s="638" t="s">
        <v>6218</v>
      </c>
      <c r="D1918" s="639">
        <v>72421</v>
      </c>
      <c r="E1918" s="639">
        <v>30459</v>
      </c>
      <c r="F1918" s="640">
        <f t="shared" si="58"/>
        <v>102880</v>
      </c>
      <c r="G1918" s="639">
        <v>58301</v>
      </c>
      <c r="H1918" s="639">
        <v>6686</v>
      </c>
      <c r="I1918" s="639"/>
      <c r="J1918" s="639"/>
      <c r="K1918" s="640">
        <f t="shared" si="59"/>
        <v>64987</v>
      </c>
      <c r="L1918" s="639">
        <v>10938</v>
      </c>
      <c r="M1918" s="639">
        <v>4166</v>
      </c>
      <c r="N1918" s="639">
        <v>103757</v>
      </c>
      <c r="O1918" s="1503">
        <f>1-N1919</f>
        <v>0.63813439915180936</v>
      </c>
    </row>
    <row r="1919" spans="1:15" ht="12" customHeight="1">
      <c r="A1919" s="1517"/>
      <c r="B1919" s="1502"/>
      <c r="C1919" s="635" t="s">
        <v>6219</v>
      </c>
      <c r="D1919" s="636">
        <f>D1918/(D1918+E1918+G1918+H1918+I1918+J1918+L1918+M1918+N1918)</f>
        <v>0.25257735554253508</v>
      </c>
      <c r="E1919" s="636">
        <f>E1918/(D1918+E1918+G1918+H1918+I1918+J1918+L1918+M1918+N1918)</f>
        <v>0.10622959738846573</v>
      </c>
      <c r="F1919" s="637">
        <f t="shared" si="58"/>
        <v>0.35880695293100079</v>
      </c>
      <c r="G1919" s="636">
        <f>G1918/(D1918+E1918+G1918+H1918+I1918+J1918+L1918+M1918+N1918)</f>
        <v>0.20333207778800816</v>
      </c>
      <c r="H1919" s="636">
        <f>H1918/(D1918+E1918+G1918+H1918+I1918+J1918+L1918+M1918+N1918)</f>
        <v>2.3318266789431098E-2</v>
      </c>
      <c r="I1919" s="636">
        <f>I1918/(D1918+E1918+G1918+H1918+I1918+J1918+L1918+M1918+N1918)</f>
        <v>0</v>
      </c>
      <c r="J1919" s="636">
        <f>J1918/(D1918+E1918+G1918+H1918+I1918+J1918+L1918+M1918+N1918)</f>
        <v>0</v>
      </c>
      <c r="K1919" s="637">
        <f t="shared" si="59"/>
        <v>0.22665034457743927</v>
      </c>
      <c r="L1919" s="636">
        <f>L1918/(D1918+E1918+G1918+H1918+I1918+J1918+L1918+M1918+N1918)</f>
        <v>3.8147652130241905E-2</v>
      </c>
      <c r="M1919" s="636">
        <f>M1918/(D1918+E1918+G1918+H1918+I1918+J1918+L1918+M1918+N1918)</f>
        <v>1.4529449513127424E-2</v>
      </c>
      <c r="N1919" s="636">
        <f>N1918/(D1918+E1918+G1918+H1918+I1918+J1918+L1918+M1918+N1918)</f>
        <v>0.36186560084819064</v>
      </c>
      <c r="O1919" s="1503"/>
    </row>
    <row r="1920" spans="1:15" ht="12" customHeight="1">
      <c r="A1920" s="1517"/>
      <c r="B1920" s="1502" t="s">
        <v>14940</v>
      </c>
      <c r="C1920" s="638" t="s">
        <v>6218</v>
      </c>
      <c r="D1920" s="639">
        <v>74335</v>
      </c>
      <c r="E1920" s="639">
        <v>30982</v>
      </c>
      <c r="F1920" s="640">
        <f t="shared" si="58"/>
        <v>105317</v>
      </c>
      <c r="G1920" s="639">
        <v>63298</v>
      </c>
      <c r="H1920" s="639">
        <v>7636</v>
      </c>
      <c r="I1920" s="639"/>
      <c r="J1920" s="639"/>
      <c r="K1920" s="640">
        <f t="shared" si="59"/>
        <v>70934</v>
      </c>
      <c r="L1920" s="639">
        <v>14024</v>
      </c>
      <c r="M1920" s="639"/>
      <c r="N1920" s="639">
        <v>96116</v>
      </c>
      <c r="O1920" s="1503">
        <f>1-N1921</f>
        <v>0.66438889490242359</v>
      </c>
    </row>
    <row r="1921" spans="1:15" ht="12" customHeight="1" thickBot="1">
      <c r="A1921" s="1519"/>
      <c r="B1921" s="1514"/>
      <c r="C1921" s="641" t="s">
        <v>6219</v>
      </c>
      <c r="D1921" s="642">
        <f>D1920/(D1920+E1920+G1920+H1920+I1920+J1920+L1920+M1920+N1920)</f>
        <v>0.25955773749873423</v>
      </c>
      <c r="E1921" s="642">
        <f>E1920/(D1920+E1920+G1920+H1920+I1920+J1920+L1920+M1920+N1920)</f>
        <v>0.10818077383716668</v>
      </c>
      <c r="F1921" s="643">
        <f t="shared" si="58"/>
        <v>0.36773851133590091</v>
      </c>
      <c r="G1921" s="642">
        <f>G1920/(D1920+E1920+G1920+H1920+I1920+J1920+L1920+M1920+N1920)</f>
        <v>0.2210195152780639</v>
      </c>
      <c r="H1921" s="642">
        <f>H1920/(D1920+E1920+G1920+H1920+I1920+J1920+L1920+M1920+N1920)</f>
        <v>2.6662849042043919E-2</v>
      </c>
      <c r="I1921" s="642">
        <f>I1920/(D1920+E1920+G1920+H1920+I1920+J1920+L1920+M1920+N1920)</f>
        <v>0</v>
      </c>
      <c r="J1921" s="642">
        <f>J1920/(D1920+E1920+G1920+H1920+I1920+J1920+L1920+M1920+N1920)</f>
        <v>0</v>
      </c>
      <c r="K1921" s="643">
        <f t="shared" si="59"/>
        <v>0.24768236432010782</v>
      </c>
      <c r="L1921" s="642">
        <f>L1920/(D1920+E1920+G1920+H1920+I1920+J1920+L1920+M1920+N1920)</f>
        <v>4.8968019246414869E-2</v>
      </c>
      <c r="M1921" s="642">
        <f>M1920/(D1920+E1920+G1920+H1920+I1920+J1920+L1920+M1920+N1920)</f>
        <v>0</v>
      </c>
      <c r="N1921" s="642">
        <f>N1920/(D1920+E1920+G1920+H1920+I1920+J1920+L1920+M1920+N1920)</f>
        <v>0.33561110509757641</v>
      </c>
      <c r="O1921" s="1515"/>
    </row>
    <row r="1922" spans="1:15" ht="12" customHeight="1">
      <c r="A1922" s="1516" t="s">
        <v>15178</v>
      </c>
      <c r="B1922" s="1509" t="s">
        <v>14937</v>
      </c>
      <c r="C1922" s="647" t="s">
        <v>6218</v>
      </c>
      <c r="D1922" s="648">
        <v>90859</v>
      </c>
      <c r="E1922" s="648">
        <v>24618</v>
      </c>
      <c r="F1922" s="649">
        <f t="shared" ref="F1922:F1985" si="60">SUM(D1922:E1922)</f>
        <v>115477</v>
      </c>
      <c r="G1922" s="648">
        <v>65230</v>
      </c>
      <c r="H1922" s="648">
        <v>9064</v>
      </c>
      <c r="I1922" s="648">
        <v>16435</v>
      </c>
      <c r="J1922" s="648">
        <v>2800</v>
      </c>
      <c r="K1922" s="649">
        <f t="shared" ref="K1922:K1985" si="61">SUM(G1922:J1922)</f>
        <v>93529</v>
      </c>
      <c r="L1922" s="648">
        <v>12043</v>
      </c>
      <c r="M1922" s="648">
        <v>3099</v>
      </c>
      <c r="N1922" s="648">
        <v>92767</v>
      </c>
      <c r="O1922" s="1510">
        <f>1-N1923</f>
        <v>0.70728113216477606</v>
      </c>
    </row>
    <row r="1923" spans="1:15" ht="12" customHeight="1">
      <c r="A1923" s="1517"/>
      <c r="B1923" s="1502"/>
      <c r="C1923" s="635" t="s">
        <v>6219</v>
      </c>
      <c r="D1923" s="636">
        <f>D1922/(D1922+E1922+G1922+H1922+I1922+J1922+L1922+M1922+N1922)</f>
        <v>0.28669832604957163</v>
      </c>
      <c r="E1923" s="636">
        <f>E1922/(D1922+E1922+G1922+H1922+I1922+J1922+L1922+M1922+N1922)</f>
        <v>7.7680135051985552E-2</v>
      </c>
      <c r="F1923" s="637">
        <f t="shared" si="60"/>
        <v>0.36437846110155719</v>
      </c>
      <c r="G1923" s="636">
        <f>G1922/(D1922+E1922+G1922+H1922+I1922+J1922+L1922+M1922+N1922)</f>
        <v>0.20582806115204391</v>
      </c>
      <c r="H1923" s="636">
        <f>H1922/(D1922+E1922+G1922+H1922+I1922+J1922+L1922+M1922+N1922)</f>
        <v>2.8600728902071534E-2</v>
      </c>
      <c r="I1923" s="636">
        <f>I1922/(D1922+E1922+G1922+H1922+I1922+J1922+L1922+M1922+N1922)</f>
        <v>5.1859331366454729E-2</v>
      </c>
      <c r="J1923" s="636">
        <f>J1922/(D1922+E1922+G1922+H1922+I1922+J1922+L1922+M1922+N1922)</f>
        <v>8.8351766246469871E-3</v>
      </c>
      <c r="K1923" s="637">
        <f t="shared" si="61"/>
        <v>0.29512329804521714</v>
      </c>
      <c r="L1923" s="636">
        <f>L1922/(D1922+E1922+G1922+H1922+I1922+J1922+L1922+M1922+N1922)</f>
        <v>3.8000725746651309E-2</v>
      </c>
      <c r="M1923" s="636">
        <f>M1922/(D1922+E1922+G1922+H1922+I1922+J1922+L1922+M1922+N1922)</f>
        <v>9.778647271350362E-3</v>
      </c>
      <c r="N1923" s="636">
        <f>N1922/(D1922+E1922+G1922+H1922+I1922+J1922+L1922+M1922+N1922)</f>
        <v>0.29271886783522394</v>
      </c>
      <c r="O1923" s="1503"/>
    </row>
    <row r="1924" spans="1:15" ht="12" customHeight="1">
      <c r="A1924" s="1517"/>
      <c r="B1924" s="1502" t="s">
        <v>14938</v>
      </c>
      <c r="C1924" s="638" t="s">
        <v>6218</v>
      </c>
      <c r="D1924" s="639">
        <v>88610</v>
      </c>
      <c r="E1924" s="639">
        <v>31622</v>
      </c>
      <c r="F1924" s="640">
        <f t="shared" si="60"/>
        <v>120232</v>
      </c>
      <c r="G1924" s="639">
        <v>47913</v>
      </c>
      <c r="H1924" s="639">
        <v>11263</v>
      </c>
      <c r="I1924" s="639">
        <v>48122</v>
      </c>
      <c r="J1924" s="639"/>
      <c r="K1924" s="640">
        <f t="shared" si="61"/>
        <v>107298</v>
      </c>
      <c r="L1924" s="639">
        <v>13972</v>
      </c>
      <c r="M1924" s="639"/>
      <c r="N1924" s="639">
        <v>77923</v>
      </c>
      <c r="O1924" s="1503">
        <f>1-N1925</f>
        <v>0.75605228144321823</v>
      </c>
    </row>
    <row r="1925" spans="1:15" ht="12" customHeight="1">
      <c r="A1925" s="1517"/>
      <c r="B1925" s="1502"/>
      <c r="C1925" s="635" t="s">
        <v>6219</v>
      </c>
      <c r="D1925" s="636">
        <f>D1924/(D1924+E1924+G1924+H1924+I1924+J1924+L1924+M1924+N1924)</f>
        <v>0.27740471159114033</v>
      </c>
      <c r="E1925" s="636">
        <f>E1924/(D1924+E1924+G1924+H1924+I1924+J1924+L1924+M1924+N1924)</f>
        <v>9.8996634577756912E-2</v>
      </c>
      <c r="F1925" s="637">
        <f t="shared" si="60"/>
        <v>0.37640134616889726</v>
      </c>
      <c r="G1925" s="636">
        <f>G1924/(D1924+E1924+G1924+H1924+I1924+J1924+L1924+M1924+N1924)</f>
        <v>0.14999765203099319</v>
      </c>
      <c r="H1925" s="636">
        <f>H1924/(D1924+E1924+G1924+H1924+I1924+J1924+L1924+M1924+N1924)</f>
        <v>3.5260233231588008E-2</v>
      </c>
      <c r="I1925" s="636">
        <f>I1924/(D1924+E1924+G1924+H1924+I1924+J1924+L1924+M1924+N1924)</f>
        <v>0.15065195272755733</v>
      </c>
      <c r="J1925" s="636">
        <f>J1924/(D1924+E1924+G1924+H1924+I1924+J1924+L1924+M1924+N1924)</f>
        <v>0</v>
      </c>
      <c r="K1925" s="637">
        <f t="shared" si="61"/>
        <v>0.33590983799013852</v>
      </c>
      <c r="L1925" s="636">
        <f>L1924/(D1924+E1924+G1924+H1924+I1924+J1924+L1924+M1924+N1924)</f>
        <v>4.3741097284182517E-2</v>
      </c>
      <c r="M1925" s="636">
        <f>M1924/(D1924+E1924+G1924+H1924+I1924+J1924+L1924+M1924+N1924)</f>
        <v>0</v>
      </c>
      <c r="N1925" s="636">
        <f>N1924/(D1924+E1924+G1924+H1924+I1924+J1924+L1924+M1924+N1924)</f>
        <v>0.24394771855678171</v>
      </c>
      <c r="O1925" s="1503"/>
    </row>
    <row r="1926" spans="1:15" ht="12" customHeight="1">
      <c r="A1926" s="1517"/>
      <c r="B1926" s="1502" t="s">
        <v>14939</v>
      </c>
      <c r="C1926" s="638" t="s">
        <v>6218</v>
      </c>
      <c r="D1926" s="639">
        <v>96430</v>
      </c>
      <c r="E1926" s="639">
        <v>33202</v>
      </c>
      <c r="F1926" s="640">
        <f t="shared" si="60"/>
        <v>129632</v>
      </c>
      <c r="G1926" s="639">
        <v>60818</v>
      </c>
      <c r="H1926" s="639">
        <v>10974</v>
      </c>
      <c r="I1926" s="639"/>
      <c r="J1926" s="639"/>
      <c r="K1926" s="640">
        <f t="shared" si="61"/>
        <v>71792</v>
      </c>
      <c r="L1926" s="639">
        <v>12866</v>
      </c>
      <c r="M1926" s="639">
        <v>4598</v>
      </c>
      <c r="N1926" s="639">
        <v>102354</v>
      </c>
      <c r="O1926" s="1503">
        <f>1-N1927</f>
        <v>0.68138039235218306</v>
      </c>
    </row>
    <row r="1927" spans="1:15" ht="12" customHeight="1">
      <c r="A1927" s="1517"/>
      <c r="B1927" s="1502"/>
      <c r="C1927" s="635" t="s">
        <v>6219</v>
      </c>
      <c r="D1927" s="636">
        <f>D1926/(D1926+E1926+G1926+H1926+I1926+J1926+L1926+M1926+N1926)</f>
        <v>0.30017868149245741</v>
      </c>
      <c r="E1927" s="636">
        <f>E1926/(D1926+E1926+G1926+H1926+I1926+J1926+L1926+M1926+N1926)</f>
        <v>0.10335510300645619</v>
      </c>
      <c r="F1927" s="637">
        <f t="shared" si="60"/>
        <v>0.40353378449891358</v>
      </c>
      <c r="G1927" s="636">
        <f>G1926/(D1926+E1926+G1926+H1926+I1926+J1926+L1926+M1926+N1926)</f>
        <v>0.18932144613718008</v>
      </c>
      <c r="H1927" s="636">
        <f>H1926/(D1926+E1926+G1926+H1926+I1926+J1926+L1926+M1926+N1926)</f>
        <v>3.4161161990026209E-2</v>
      </c>
      <c r="I1927" s="636">
        <f>I1926/(D1926+E1926+G1926+H1926+I1926+J1926+L1926+M1926+N1926)</f>
        <v>0</v>
      </c>
      <c r="J1927" s="636">
        <f>J1926/(D1926+E1926+G1926+H1926+I1926+J1926+L1926+M1926+N1926)</f>
        <v>0</v>
      </c>
      <c r="K1927" s="637">
        <f t="shared" si="61"/>
        <v>0.22348260812720627</v>
      </c>
      <c r="L1927" s="636">
        <f>L1926/(D1926+E1926+G1926+H1926+I1926+J1926+L1926+M1926+N1926)</f>
        <v>4.005080282154886E-2</v>
      </c>
      <c r="M1927" s="636">
        <f>M1926/(D1926+E1926+G1926+H1926+I1926+J1926+L1926+M1926+N1926)</f>
        <v>1.4313196904514354E-2</v>
      </c>
      <c r="N1927" s="636">
        <f>N1926/(D1926+E1926+G1926+H1926+I1926+J1926+L1926+M1926+N1926)</f>
        <v>0.31861960764781694</v>
      </c>
      <c r="O1927" s="1503"/>
    </row>
    <row r="1928" spans="1:15" ht="12" customHeight="1">
      <c r="A1928" s="1517"/>
      <c r="B1928" s="1502" t="s">
        <v>14940</v>
      </c>
      <c r="C1928" s="638" t="s">
        <v>6218</v>
      </c>
      <c r="D1928" s="639">
        <v>99655</v>
      </c>
      <c r="E1928" s="639">
        <v>32254</v>
      </c>
      <c r="F1928" s="640">
        <f t="shared" si="60"/>
        <v>131909</v>
      </c>
      <c r="G1928" s="639">
        <v>62082</v>
      </c>
      <c r="H1928" s="639">
        <v>15383</v>
      </c>
      <c r="I1928" s="639"/>
      <c r="J1928" s="639"/>
      <c r="K1928" s="640">
        <f t="shared" si="61"/>
        <v>77465</v>
      </c>
      <c r="L1928" s="639">
        <v>14676</v>
      </c>
      <c r="M1928" s="639"/>
      <c r="N1928" s="639">
        <v>97870</v>
      </c>
      <c r="O1928" s="1503">
        <f>1-N1929</f>
        <v>0.69598036779324057</v>
      </c>
    </row>
    <row r="1929" spans="1:15" ht="12" customHeight="1" thickBot="1">
      <c r="A1929" s="1519"/>
      <c r="B1929" s="1514"/>
      <c r="C1929" s="641" t="s">
        <v>6219</v>
      </c>
      <c r="D1929" s="642">
        <f>D1928/(D1928+E1928+G1928+H1928+I1928+J1928+L1928+M1928+N1928)</f>
        <v>0.30956448807157055</v>
      </c>
      <c r="E1929" s="642">
        <f>E1928/(D1928+E1928+G1928+H1928+I1928+J1928+L1928+M1928+N1928)</f>
        <v>0.1001925944333996</v>
      </c>
      <c r="F1929" s="643">
        <f t="shared" si="60"/>
        <v>0.40975708250497017</v>
      </c>
      <c r="G1929" s="642">
        <f>G1928/(D1928+E1928+G1928+H1928+I1928+J1928+L1928+M1928+N1928)</f>
        <v>0.1928491550695825</v>
      </c>
      <c r="H1929" s="642">
        <f>H1928/(D1928+E1928+G1928+H1928+I1928+J1928+L1928+M1928+N1928)</f>
        <v>4.7785164015904574E-2</v>
      </c>
      <c r="I1929" s="642">
        <f>I1928/(D1928+E1928+G1928+H1928+I1928+J1928+L1928+M1928+N1928)</f>
        <v>0</v>
      </c>
      <c r="J1929" s="642">
        <f>J1928/(D1928+E1928+G1928+H1928+I1928+J1928+L1928+M1928+N1928)</f>
        <v>0</v>
      </c>
      <c r="K1929" s="643">
        <f t="shared" si="61"/>
        <v>0.24063431908548708</v>
      </c>
      <c r="L1929" s="642">
        <f>L1928/(D1928+E1928+G1928+H1928+I1928+J1928+L1928+M1928+N1928)</f>
        <v>4.5588966202783299E-2</v>
      </c>
      <c r="M1929" s="642">
        <f>M1928/(D1928+E1928+G1928+H1928+I1928+J1928+L1928+M1928+N1928)</f>
        <v>0</v>
      </c>
      <c r="N1929" s="642">
        <f>N1928/(D1928+E1928+G1928+H1928+I1928+J1928+L1928+M1928+N1928)</f>
        <v>0.30401963220675943</v>
      </c>
      <c r="O1929" s="1515"/>
    </row>
    <row r="1930" spans="1:15" ht="12" customHeight="1">
      <c r="A1930" s="1516" t="s">
        <v>15179</v>
      </c>
      <c r="B1930" s="1509" t="s">
        <v>14937</v>
      </c>
      <c r="C1930" s="647" t="s">
        <v>6218</v>
      </c>
      <c r="D1930" s="648">
        <v>49799</v>
      </c>
      <c r="E1930" s="648">
        <v>31295</v>
      </c>
      <c r="F1930" s="649">
        <f t="shared" si="60"/>
        <v>81094</v>
      </c>
      <c r="G1930" s="648">
        <v>72783</v>
      </c>
      <c r="H1930" s="648">
        <v>4958</v>
      </c>
      <c r="I1930" s="648">
        <v>10446</v>
      </c>
      <c r="J1930" s="648">
        <v>5091</v>
      </c>
      <c r="K1930" s="649">
        <f t="shared" si="61"/>
        <v>93278</v>
      </c>
      <c r="L1930" s="648">
        <v>13359</v>
      </c>
      <c r="M1930" s="648">
        <v>2999</v>
      </c>
      <c r="N1930" s="648">
        <v>151240</v>
      </c>
      <c r="O1930" s="1510">
        <f>1-N1931</f>
        <v>0.55773898295172097</v>
      </c>
    </row>
    <row r="1931" spans="1:15" ht="12" customHeight="1">
      <c r="A1931" s="1517"/>
      <c r="B1931" s="1502"/>
      <c r="C1931" s="635" t="s">
        <v>6219</v>
      </c>
      <c r="D1931" s="636">
        <f>D1930/(D1930+E1930+G1930+H1930+I1930+J1930+L1930+M1930+N1930)</f>
        <v>0.14562388513612304</v>
      </c>
      <c r="E1931" s="636">
        <f>E1930/(D1930+E1930+G1930+H1930+I1930+J1930+L1930+M1930+N1930)</f>
        <v>9.1513875486153751E-2</v>
      </c>
      <c r="F1931" s="637">
        <f t="shared" si="60"/>
        <v>0.23713776062227679</v>
      </c>
      <c r="G1931" s="636">
        <f>G1930/(D1930+E1930+G1930+H1930+I1930+J1930+L1930+M1930+N1930)</f>
        <v>0.21283445916308449</v>
      </c>
      <c r="H1931" s="636">
        <f>H1930/(D1930+E1930+G1930+H1930+I1930+J1930+L1930+M1930+N1930)</f>
        <v>1.4498347808287277E-2</v>
      </c>
      <c r="I1931" s="636">
        <f>I1930/(D1930+E1930+G1930+H1930+I1930+J1930+L1930+M1930+N1930)</f>
        <v>3.0546539170102641E-2</v>
      </c>
      <c r="J1931" s="636">
        <f>J1930/(D1930+E1930+G1930+H1930+I1930+J1930+L1930+M1930+N1930)</f>
        <v>1.488727081322923E-2</v>
      </c>
      <c r="K1931" s="637">
        <f t="shared" si="61"/>
        <v>0.27276661695470361</v>
      </c>
      <c r="L1931" s="636">
        <f>L1930/(D1930+E1930+G1930+H1930+I1930+J1930+L1930+M1930+N1930)</f>
        <v>3.9064830248267395E-2</v>
      </c>
      <c r="M1931" s="636">
        <f>M1930/(D1930+E1930+G1930+H1930+I1930+J1930+L1930+M1930+N1930)</f>
        <v>8.7697751264730825E-3</v>
      </c>
      <c r="N1931" s="636">
        <f>N1930/(D1930+E1930+G1930+H1930+I1930+J1930+L1930+M1930+N1930)</f>
        <v>0.44226101704827908</v>
      </c>
      <c r="O1931" s="1503"/>
    </row>
    <row r="1932" spans="1:15" ht="12" customHeight="1">
      <c r="A1932" s="1517"/>
      <c r="B1932" s="1502" t="s">
        <v>14938</v>
      </c>
      <c r="C1932" s="638" t="s">
        <v>6218</v>
      </c>
      <c r="D1932" s="639">
        <v>75204</v>
      </c>
      <c r="E1932" s="639">
        <v>36597</v>
      </c>
      <c r="F1932" s="640">
        <f t="shared" si="60"/>
        <v>111801</v>
      </c>
      <c r="G1932" s="639">
        <v>64017</v>
      </c>
      <c r="H1932" s="639">
        <v>11503</v>
      </c>
      <c r="I1932" s="639">
        <v>9877</v>
      </c>
      <c r="J1932" s="639"/>
      <c r="K1932" s="640">
        <f t="shared" si="61"/>
        <v>85397</v>
      </c>
      <c r="L1932" s="639">
        <v>13316</v>
      </c>
      <c r="M1932" s="639"/>
      <c r="N1932" s="639">
        <v>128292</v>
      </c>
      <c r="O1932" s="1503">
        <f>1-N1933</f>
        <v>0.62134082631358356</v>
      </c>
    </row>
    <row r="1933" spans="1:15" ht="12" customHeight="1">
      <c r="A1933" s="1517"/>
      <c r="B1933" s="1502"/>
      <c r="C1933" s="635" t="s">
        <v>6219</v>
      </c>
      <c r="D1933" s="636">
        <f>D1932/(D1932+E1932+G1932+H1932+I1932+J1932+L1932+M1932+N1932)</f>
        <v>0.22196773374733622</v>
      </c>
      <c r="E1933" s="636">
        <f>E1932/(D1932+E1932+G1932+H1932+I1932+J1932+L1932+M1932+N1932)</f>
        <v>0.1080175675755447</v>
      </c>
      <c r="F1933" s="637">
        <f t="shared" si="60"/>
        <v>0.32998530132288095</v>
      </c>
      <c r="G1933" s="636">
        <f>G1932/(D1932+E1932+G1932+H1932+I1932+J1932+L1932+M1932+N1932)</f>
        <v>0.18894883797807596</v>
      </c>
      <c r="H1933" s="636">
        <f>H1932/(D1932+E1932+G1932+H1932+I1932+J1932+L1932+M1932+N1932)</f>
        <v>3.3951582911754812E-2</v>
      </c>
      <c r="I1933" s="636">
        <f>I1932/(D1932+E1932+G1932+H1932+I1932+J1932+L1932+M1932+N1932)</f>
        <v>2.9152376286134249E-2</v>
      </c>
      <c r="J1933" s="636">
        <f>J1932/(D1932+E1932+G1932+H1932+I1932+J1932+L1932+M1932+N1932)</f>
        <v>0</v>
      </c>
      <c r="K1933" s="637">
        <f t="shared" si="61"/>
        <v>0.25205279717596502</v>
      </c>
      <c r="L1933" s="636">
        <f>L1932/(D1932+E1932+G1932+H1932+I1932+J1932+L1932+M1932+N1932)</f>
        <v>3.9302727814737634E-2</v>
      </c>
      <c r="M1933" s="636">
        <f>M1932/(D1932+E1932+G1932+H1932+I1932+J1932+L1932+M1932+N1932)</f>
        <v>0</v>
      </c>
      <c r="N1933" s="636">
        <f>N1932/(D1932+E1932+G1932+H1932+I1932+J1932+L1932+M1932+N1932)</f>
        <v>0.37865917368641644</v>
      </c>
      <c r="O1933" s="1503"/>
    </row>
    <row r="1934" spans="1:15" ht="12" customHeight="1">
      <c r="A1934" s="1517"/>
      <c r="B1934" s="1502" t="s">
        <v>14939</v>
      </c>
      <c r="C1934" s="638" t="s">
        <v>6218</v>
      </c>
      <c r="D1934" s="639">
        <v>52871</v>
      </c>
      <c r="E1934" s="639">
        <v>38792</v>
      </c>
      <c r="F1934" s="640">
        <f t="shared" si="60"/>
        <v>91663</v>
      </c>
      <c r="G1934" s="639">
        <v>66940</v>
      </c>
      <c r="H1934" s="639">
        <v>7876</v>
      </c>
      <c r="I1934" s="639"/>
      <c r="J1934" s="639"/>
      <c r="K1934" s="640">
        <f t="shared" si="61"/>
        <v>74816</v>
      </c>
      <c r="L1934" s="639">
        <v>12989</v>
      </c>
      <c r="M1934" s="639">
        <v>5096</v>
      </c>
      <c r="N1934" s="639">
        <v>151438</v>
      </c>
      <c r="O1934" s="1503">
        <f>1-N1935</f>
        <v>0.54929434943839617</v>
      </c>
    </row>
    <row r="1935" spans="1:15" ht="12" customHeight="1">
      <c r="A1935" s="1517"/>
      <c r="B1935" s="1502"/>
      <c r="C1935" s="635" t="s">
        <v>6219</v>
      </c>
      <c r="D1935" s="636">
        <f>D1934/(D1934+E1934+G1934+H1934+I1934+J1934+L1934+M1934+N1934)</f>
        <v>0.15735323004029739</v>
      </c>
      <c r="E1935" s="636">
        <f>E1934/(D1934+E1934+G1934+H1934+I1934+J1934+L1934+M1934+N1934)</f>
        <v>0.11545169373991822</v>
      </c>
      <c r="F1935" s="637">
        <f t="shared" si="60"/>
        <v>0.27280492378021559</v>
      </c>
      <c r="G1935" s="636">
        <f>G1934/(D1934+E1934+G1934+H1934+I1934+J1934+L1934+M1934+N1934)</f>
        <v>0.19922500461306777</v>
      </c>
      <c r="H1935" s="636">
        <f>H1934/(D1934+E1934+G1934+H1934+I1934+J1934+L1934+M1934+N1934)</f>
        <v>2.3440336664662709E-2</v>
      </c>
      <c r="I1935" s="636">
        <f>I1934/(D1934+E1934+G1934+H1934+I1934+J1934+L1934+M1934+N1934)</f>
        <v>0</v>
      </c>
      <c r="J1935" s="636">
        <f>J1934/(D1934+E1934+G1934+H1934+I1934+J1934+L1934+M1934+N1934)</f>
        <v>0</v>
      </c>
      <c r="K1935" s="637">
        <f t="shared" si="61"/>
        <v>0.22266534127773049</v>
      </c>
      <c r="L1935" s="636">
        <f>L1934/(D1934+E1934+G1934+H1934+I1934+J1934+L1934+M1934+N1934)</f>
        <v>3.8657507991023861E-2</v>
      </c>
      <c r="M1935" s="636">
        <f>M1934/(D1934+E1934+G1934+H1934+I1934+J1934+L1934+M1934+N1934)</f>
        <v>1.5166576389426253E-2</v>
      </c>
      <c r="N1935" s="636">
        <f>N1934/(D1934+E1934+G1934+H1934+I1934+J1934+L1934+M1934+N1934)</f>
        <v>0.45070565056160378</v>
      </c>
      <c r="O1935" s="1503"/>
    </row>
    <row r="1936" spans="1:15" ht="12" customHeight="1">
      <c r="A1936" s="1517"/>
      <c r="B1936" s="1502" t="s">
        <v>14940</v>
      </c>
      <c r="C1936" s="638" t="s">
        <v>6218</v>
      </c>
      <c r="D1936" s="639">
        <v>63622</v>
      </c>
      <c r="E1936" s="639">
        <v>35100</v>
      </c>
      <c r="F1936" s="640">
        <f t="shared" si="60"/>
        <v>98722</v>
      </c>
      <c r="G1936" s="639">
        <v>63731</v>
      </c>
      <c r="H1936" s="639">
        <v>6409</v>
      </c>
      <c r="I1936" s="639"/>
      <c r="J1936" s="639"/>
      <c r="K1936" s="640">
        <f t="shared" si="61"/>
        <v>70140</v>
      </c>
      <c r="L1936" s="639">
        <v>12111</v>
      </c>
      <c r="M1936" s="639"/>
      <c r="N1936" s="639">
        <v>153699</v>
      </c>
      <c r="O1936" s="1503">
        <f>1-N1937</f>
        <v>0.54074735860783096</v>
      </c>
    </row>
    <row r="1937" spans="1:15" ht="12" customHeight="1" thickBot="1">
      <c r="A1937" s="1519"/>
      <c r="B1937" s="1514"/>
      <c r="C1937" s="641" t="s">
        <v>6219</v>
      </c>
      <c r="D1937" s="642">
        <f>D1936/(D1936+E1936+G1936+H1936+I1936+J1936+L1936+M1936+N1936)</f>
        <v>0.19010254816656308</v>
      </c>
      <c r="E1937" s="642">
        <f>E1936/(D1936+E1936+G1936+H1936+I1936+J1936+L1936+M1936+N1936)</f>
        <v>0.10487880671224363</v>
      </c>
      <c r="F1937" s="643">
        <f t="shared" si="60"/>
        <v>0.29498135487880672</v>
      </c>
      <c r="G1937" s="642">
        <f>G1936/(D1936+E1936+G1936+H1936+I1936+J1936+L1936+M1936+N1936)</f>
        <v>0.19042824018740737</v>
      </c>
      <c r="H1937" s="642">
        <f>H1936/(D1936+E1936+G1936+H1936+I1936+J1936+L1936+M1936+N1936)</f>
        <v>1.9150093225605968E-2</v>
      </c>
      <c r="I1937" s="642">
        <f>I1936/(D1936+E1936+G1936+H1936+I1936+J1936+L1936+M1936+N1936)</f>
        <v>0</v>
      </c>
      <c r="J1937" s="642">
        <f>J1936/(D1936+E1936+G1936+H1936+I1936+J1936+L1936+M1936+N1936)</f>
        <v>0</v>
      </c>
      <c r="K1937" s="643">
        <f t="shared" si="61"/>
        <v>0.20957833341301332</v>
      </c>
      <c r="L1937" s="642">
        <f>L1936/(D1936+E1936+G1936+H1936+I1936+J1936+L1936+M1936+N1936)</f>
        <v>3.6187670316010903E-2</v>
      </c>
      <c r="M1937" s="642">
        <f>M1936/(D1936+E1936+G1936+H1936+I1936+J1936+L1936+M1936+N1936)</f>
        <v>0</v>
      </c>
      <c r="N1937" s="642">
        <f>N1936/(D1936+E1936+G1936+H1936+I1936+J1936+L1936+M1936+N1936)</f>
        <v>0.45925264139216904</v>
      </c>
      <c r="O1937" s="1515"/>
    </row>
    <row r="1938" spans="1:15" ht="12" customHeight="1">
      <c r="A1938" s="1526" t="s">
        <v>15180</v>
      </c>
      <c r="B1938" s="1509" t="s">
        <v>14937</v>
      </c>
      <c r="C1938" s="647" t="s">
        <v>6218</v>
      </c>
      <c r="D1938" s="648">
        <v>43201</v>
      </c>
      <c r="E1938" s="648">
        <v>27451</v>
      </c>
      <c r="F1938" s="649">
        <f t="shared" si="60"/>
        <v>70652</v>
      </c>
      <c r="G1938" s="648">
        <v>63884</v>
      </c>
      <c r="H1938" s="648">
        <v>4002</v>
      </c>
      <c r="I1938" s="648">
        <v>9168</v>
      </c>
      <c r="J1938" s="648">
        <v>4179</v>
      </c>
      <c r="K1938" s="649">
        <f t="shared" si="61"/>
        <v>81233</v>
      </c>
      <c r="L1938" s="648">
        <v>11474</v>
      </c>
      <c r="M1938" s="648">
        <v>2488</v>
      </c>
      <c r="N1938" s="648">
        <v>123977</v>
      </c>
      <c r="O1938" s="1510">
        <f>1-N1939</f>
        <v>0.57223349343049579</v>
      </c>
    </row>
    <row r="1939" spans="1:15" ht="12" customHeight="1">
      <c r="A1939" s="1527"/>
      <c r="B1939" s="1502"/>
      <c r="C1939" s="635" t="s">
        <v>6219</v>
      </c>
      <c r="D1939" s="636">
        <f>D1938/(D1938+E1938+G1938+H1938+I1938+J1938+L1938+M1938+N1938)</f>
        <v>0.14905942917080711</v>
      </c>
      <c r="E1939" s="636">
        <f>E1938/(D1938+E1938+G1938+H1938+I1938+J1938+L1938+M1938+N1938)</f>
        <v>9.4716103566302307E-2</v>
      </c>
      <c r="F1939" s="637">
        <f t="shared" si="60"/>
        <v>0.24377553273710942</v>
      </c>
      <c r="G1939" s="636">
        <f>G1938/(D1938+E1938+G1938+H1938+I1938+J1938+L1938+M1938+N1938)</f>
        <v>0.22042342939163079</v>
      </c>
      <c r="H1939" s="636">
        <f>H1938/(D1938+E1938+G1938+H1938+I1938+J1938+L1938+M1938+N1938)</f>
        <v>1.3808380258363697E-2</v>
      </c>
      <c r="I1939" s="636">
        <f>I1938/(D1938+E1938+G1938+H1938+I1938+J1938+L1938+M1938+N1938)</f>
        <v>3.1632991056641274E-2</v>
      </c>
      <c r="J1939" s="636">
        <f>J1938/(D1938+E1938+G1938+H1938+I1938+J1938+L1938+M1938+N1938)</f>
        <v>1.4419095727061942E-2</v>
      </c>
      <c r="K1939" s="637">
        <f t="shared" si="61"/>
        <v>0.28028389643369772</v>
      </c>
      <c r="L1939" s="636">
        <f>L1938/(D1938+E1938+G1938+H1938+I1938+J1938+L1938+M1938+N1938)</f>
        <v>3.9589543999116704E-2</v>
      </c>
      <c r="M1939" s="636">
        <f>M1938/(D1938+E1938+G1938+H1938+I1938+J1938+L1938+M1938+N1938)</f>
        <v>8.5845202605719338E-3</v>
      </c>
      <c r="N1939" s="636">
        <f>N1938/(D1938+E1938+G1938+H1938+I1938+J1938+L1938+M1938+N1938)</f>
        <v>0.42776650656950427</v>
      </c>
      <c r="O1939" s="1503"/>
    </row>
    <row r="1940" spans="1:15" ht="12" customHeight="1">
      <c r="A1940" s="1527"/>
      <c r="B1940" s="1502" t="s">
        <v>14938</v>
      </c>
      <c r="C1940" s="638" t="s">
        <v>6218</v>
      </c>
      <c r="D1940" s="639">
        <v>60834</v>
      </c>
      <c r="E1940" s="639">
        <v>33566</v>
      </c>
      <c r="F1940" s="640">
        <f t="shared" si="60"/>
        <v>94400</v>
      </c>
      <c r="G1940" s="639">
        <v>62406</v>
      </c>
      <c r="H1940" s="639">
        <v>8634</v>
      </c>
      <c r="I1940" s="639">
        <v>7831</v>
      </c>
      <c r="J1940" s="639"/>
      <c r="K1940" s="640">
        <f t="shared" si="61"/>
        <v>78871</v>
      </c>
      <c r="L1940" s="639">
        <v>15083</v>
      </c>
      <c r="M1940" s="639"/>
      <c r="N1940" s="639">
        <v>99921</v>
      </c>
      <c r="O1940" s="1503">
        <f>1-N1941</f>
        <v>0.65338305437516264</v>
      </c>
    </row>
    <row r="1941" spans="1:15" ht="12" customHeight="1">
      <c r="A1941" s="1527"/>
      <c r="B1941" s="1502"/>
      <c r="C1941" s="635" t="s">
        <v>6219</v>
      </c>
      <c r="D1941" s="636">
        <f>D1940/(D1940+E1940+G1940+H1940+I1940+J1940+L1940+M1940+N1940)</f>
        <v>0.21102766455641314</v>
      </c>
      <c r="E1941" s="636">
        <f>E1940/(D1940+E1940+G1940+H1940+I1940+J1940+L1940+M1940+N1940)</f>
        <v>0.11643742953776776</v>
      </c>
      <c r="F1941" s="637">
        <f t="shared" si="60"/>
        <v>0.3274650940941809</v>
      </c>
      <c r="G1941" s="636">
        <f>G1940/(D1940+E1940+G1940+H1940+I1940+J1940+L1940+M1940+N1940)</f>
        <v>0.21648079091145608</v>
      </c>
      <c r="H1941" s="636">
        <f>H1940/(D1940+E1940+G1940+H1940+I1940+J1940+L1940+M1940+N1940)</f>
        <v>2.9950568033995317E-2</v>
      </c>
      <c r="I1941" s="636">
        <f>I1940/(D1940+E1940+G1940+H1940+I1940+J1940+L1940+M1940+N1940)</f>
        <v>2.716503338825774E-2</v>
      </c>
      <c r="J1941" s="636">
        <f>J1940/(D1940+E1940+G1940+H1940+I1940+J1940+L1940+M1940+N1940)</f>
        <v>0</v>
      </c>
      <c r="K1941" s="637">
        <f t="shared" si="61"/>
        <v>0.27359639233370914</v>
      </c>
      <c r="L1941" s="636">
        <f>L1940/(D1940+E1940+G1940+H1940+I1940+J1940+L1940+M1940+N1940)</f>
        <v>5.2321567947272572E-2</v>
      </c>
      <c r="M1941" s="636">
        <f>M1940/(D1940+E1940+G1940+H1940+I1940+J1940+L1940+M1940+N1940)</f>
        <v>0</v>
      </c>
      <c r="N1941" s="636">
        <f>N1940/(D1940+E1940+G1940+H1940+I1940+J1940+L1940+M1940+N1940)</f>
        <v>0.34661694562483741</v>
      </c>
      <c r="O1941" s="1503"/>
    </row>
    <row r="1942" spans="1:15" ht="12" customHeight="1">
      <c r="A1942" s="1527"/>
      <c r="B1942" s="1502" t="s">
        <v>14939</v>
      </c>
      <c r="C1942" s="638" t="s">
        <v>6218</v>
      </c>
      <c r="D1942" s="639">
        <v>45624</v>
      </c>
      <c r="E1942" s="639">
        <v>34536</v>
      </c>
      <c r="F1942" s="640">
        <f t="shared" si="60"/>
        <v>80160</v>
      </c>
      <c r="G1942" s="639">
        <v>59223</v>
      </c>
      <c r="H1942" s="639">
        <v>6632</v>
      </c>
      <c r="I1942" s="639"/>
      <c r="J1942" s="639"/>
      <c r="K1942" s="640">
        <f t="shared" si="61"/>
        <v>65855</v>
      </c>
      <c r="L1942" s="639">
        <v>11160</v>
      </c>
      <c r="M1942" s="639">
        <v>4233</v>
      </c>
      <c r="N1942" s="639">
        <v>125325</v>
      </c>
      <c r="O1942" s="1503">
        <f>1-N1943</f>
        <v>0.56292090551139906</v>
      </c>
    </row>
    <row r="1943" spans="1:15" ht="12" customHeight="1">
      <c r="A1943" s="1527"/>
      <c r="B1943" s="1502"/>
      <c r="C1943" s="635" t="s">
        <v>6219</v>
      </c>
      <c r="D1943" s="636">
        <f>D1942/(D1942+E1942+G1942+H1942+I1942+J1942+L1942+M1942+N1942)</f>
        <v>0.15911666951484482</v>
      </c>
      <c r="E1943" s="636">
        <f>E1942/(D1942+E1942+G1942+H1942+I1942+J1942+L1942+M1942+N1942)</f>
        <v>0.12044654783369894</v>
      </c>
      <c r="F1943" s="637">
        <f t="shared" si="60"/>
        <v>0.27956321734854378</v>
      </c>
      <c r="G1943" s="636">
        <f>G1942/(D1942+E1942+G1942+H1942+I1942+J1942+L1942+M1942+N1942)</f>
        <v>0.20654406712865278</v>
      </c>
      <c r="H1943" s="636">
        <f>H1942/(D1942+E1942+G1942+H1942+I1942+J1942+L1942+M1942+N1942)</f>
        <v>2.312953165488451E-2</v>
      </c>
      <c r="I1943" s="636">
        <f>I1942/(D1942+E1942+G1942+H1942+I1942+J1942+L1942+M1942+N1942)</f>
        <v>0</v>
      </c>
      <c r="J1943" s="636">
        <f>J1942/(D1942+E1942+G1942+H1942+I1942+J1942+L1942+M1942+N1942)</f>
        <v>0</v>
      </c>
      <c r="K1943" s="637">
        <f t="shared" si="61"/>
        <v>0.2296735987835373</v>
      </c>
      <c r="L1943" s="636">
        <f>L1942/(D1942+E1942+G1942+H1942+I1942+J1942+L1942+M1942+N1942)</f>
        <v>3.8921226367387082E-2</v>
      </c>
      <c r="M1943" s="636">
        <f>M1942/(D1942+E1942+G1942+H1942+I1942+J1942+L1942+M1942+N1942)</f>
        <v>1.4762863011930961E-2</v>
      </c>
      <c r="N1943" s="636">
        <f>N1942/(D1942+E1942+G1942+H1942+I1942+J1942+L1942+M1942+N1942)</f>
        <v>0.43707909448860088</v>
      </c>
      <c r="O1943" s="1503"/>
    </row>
    <row r="1944" spans="1:15" ht="12" customHeight="1">
      <c r="A1944" s="1527"/>
      <c r="B1944" s="1502" t="s">
        <v>14940</v>
      </c>
      <c r="C1944" s="638" t="s">
        <v>6218</v>
      </c>
      <c r="D1944" s="639">
        <v>53984</v>
      </c>
      <c r="E1944" s="639">
        <v>32045</v>
      </c>
      <c r="F1944" s="640">
        <f t="shared" si="60"/>
        <v>86029</v>
      </c>
      <c r="G1944" s="639">
        <v>59261</v>
      </c>
      <c r="H1944" s="639">
        <v>5294</v>
      </c>
      <c r="I1944" s="639"/>
      <c r="J1944" s="639"/>
      <c r="K1944" s="640">
        <f t="shared" si="61"/>
        <v>64555</v>
      </c>
      <c r="L1944" s="639">
        <v>14110</v>
      </c>
      <c r="M1944" s="639"/>
      <c r="N1944" s="639">
        <v>121121</v>
      </c>
      <c r="O1944" s="1503">
        <f>1-N1945</f>
        <v>0.57622588037716704</v>
      </c>
    </row>
    <row r="1945" spans="1:15" ht="12" customHeight="1" thickBot="1">
      <c r="A1945" s="1528"/>
      <c r="B1945" s="1514"/>
      <c r="C1945" s="641" t="s">
        <v>6219</v>
      </c>
      <c r="D1945" s="642">
        <f>D1944/(D1944+E1944+G1944+H1944+I1944+J1944+L1944+M1944+N1944)</f>
        <v>0.18887742070919999</v>
      </c>
      <c r="E1945" s="642">
        <f>E1944/(D1944+E1944+G1944+H1944+I1944+J1944+L1944+M1944+N1944)</f>
        <v>0.11211797841260955</v>
      </c>
      <c r="F1945" s="643">
        <f t="shared" si="60"/>
        <v>0.30099539912180956</v>
      </c>
      <c r="G1945" s="642">
        <f>G1944/(D1944+E1944+G1944+H1944+I1944+J1944+L1944+M1944+N1944)</f>
        <v>0.20734041250459212</v>
      </c>
      <c r="H1945" s="642">
        <f>H1944/(D1944+E1944+G1944+H1944+I1944+J1944+L1944+M1944+N1944)</f>
        <v>1.8522470829032765E-2</v>
      </c>
      <c r="I1945" s="642">
        <f>I1944/(D1944+E1944+G1944+H1944+I1944+J1944+L1944+M1944+N1944)</f>
        <v>0</v>
      </c>
      <c r="J1945" s="642">
        <f>J1944/(D1944+E1944+G1944+H1944+I1944+J1944+L1944+M1944+N1944)</f>
        <v>0</v>
      </c>
      <c r="K1945" s="643">
        <f t="shared" si="61"/>
        <v>0.22586288333362489</v>
      </c>
      <c r="L1945" s="642">
        <f>L1944/(D1944+E1944+G1944+H1944+I1944+J1944+L1944+M1944+N1944)</f>
        <v>4.9367597921732592E-2</v>
      </c>
      <c r="M1945" s="642">
        <f>M1944/(D1944+E1944+G1944+H1944+I1944+J1944+L1944+M1944+N1944)</f>
        <v>0</v>
      </c>
      <c r="N1945" s="642">
        <f>N1944/(D1944+E1944+G1944+H1944+I1944+J1944+L1944+M1944+N1944)</f>
        <v>0.42377411962283296</v>
      </c>
      <c r="O1945" s="1515"/>
    </row>
    <row r="1946" spans="1:15" ht="12" customHeight="1">
      <c r="A1946" s="1529" t="s">
        <v>15181</v>
      </c>
      <c r="B1946" s="1509" t="s">
        <v>14937</v>
      </c>
      <c r="C1946" s="647" t="s">
        <v>6218</v>
      </c>
      <c r="D1946" s="648">
        <v>57842</v>
      </c>
      <c r="E1946" s="648">
        <v>29741</v>
      </c>
      <c r="F1946" s="649">
        <f t="shared" si="60"/>
        <v>87583</v>
      </c>
      <c r="G1946" s="648">
        <v>66888</v>
      </c>
      <c r="H1946" s="648">
        <v>4421</v>
      </c>
      <c r="I1946" s="648">
        <v>7880</v>
      </c>
      <c r="J1946" s="648">
        <v>2928</v>
      </c>
      <c r="K1946" s="649">
        <f t="shared" si="61"/>
        <v>82117</v>
      </c>
      <c r="L1946" s="648">
        <v>9619</v>
      </c>
      <c r="M1946" s="648">
        <v>2392</v>
      </c>
      <c r="N1946" s="648">
        <v>117120</v>
      </c>
      <c r="O1946" s="1510">
        <f>1-N1947</f>
        <v>0.60807279030622663</v>
      </c>
    </row>
    <row r="1947" spans="1:15" ht="12" customHeight="1">
      <c r="A1947" s="1530"/>
      <c r="B1947" s="1502"/>
      <c r="C1947" s="635" t="s">
        <v>6219</v>
      </c>
      <c r="D1947" s="636">
        <f>D1946/(D1946+E1946+G1946+H1946+I1946+J1946+L1946+M1946+N1946)</f>
        <v>0.19356090900877085</v>
      </c>
      <c r="E1947" s="636">
        <f>E1946/(D1946+E1946+G1946+H1946+I1946+J1946+L1946+M1946+N1946)</f>
        <v>9.9524480391927211E-2</v>
      </c>
      <c r="F1947" s="637">
        <f t="shared" si="60"/>
        <v>0.29308538940069806</v>
      </c>
      <c r="G1947" s="636">
        <f>G1946/(D1946+E1946+G1946+H1946+I1946+J1946+L1946+M1946+N1946)</f>
        <v>0.22383219947060379</v>
      </c>
      <c r="H1947" s="636">
        <f>H1946/(D1946+E1946+G1946+H1946+I1946+J1946+L1946+M1946+N1946)</f>
        <v>1.4794315181490542E-2</v>
      </c>
      <c r="I1947" s="636">
        <f>I1946/(D1946+E1946+G1946+H1946+I1946+J1946+L1946+M1946+N1946)</f>
        <v>2.6369419504669863E-2</v>
      </c>
      <c r="J1947" s="636">
        <f>J1946/(D1946+E1946+G1946+H1946+I1946+J1946+L1946+M1946+N1946)</f>
        <v>9.7981802423443357E-3</v>
      </c>
      <c r="K1947" s="637">
        <f t="shared" si="61"/>
        <v>0.27479411439910856</v>
      </c>
      <c r="L1947" s="636">
        <f>L1946/(D1946+E1946+G1946+H1946+I1946+J1946+L1946+M1946+N1946)</f>
        <v>3.2188762210078603E-2</v>
      </c>
      <c r="M1947" s="636">
        <f>M1946/(D1946+E1946+G1946+H1946+I1946+J1946+L1946+M1946+N1946)</f>
        <v>8.0045242963414105E-3</v>
      </c>
      <c r="N1947" s="636">
        <f>N1946/(D1946+E1946+G1946+H1946+I1946+J1946+L1946+M1946+N1946)</f>
        <v>0.39192720969377343</v>
      </c>
      <c r="O1947" s="1503"/>
    </row>
    <row r="1948" spans="1:15" ht="12" customHeight="1">
      <c r="A1948" s="1530"/>
      <c r="B1948" s="1502" t="s">
        <v>14938</v>
      </c>
      <c r="C1948" s="638" t="s">
        <v>6218</v>
      </c>
      <c r="D1948" s="639">
        <v>70146</v>
      </c>
      <c r="E1948" s="639">
        <v>35534</v>
      </c>
      <c r="F1948" s="640">
        <f t="shared" si="60"/>
        <v>105680</v>
      </c>
      <c r="G1948" s="639">
        <v>58621</v>
      </c>
      <c r="H1948" s="639">
        <v>10414</v>
      </c>
      <c r="I1948" s="639">
        <v>13281</v>
      </c>
      <c r="J1948" s="639"/>
      <c r="K1948" s="640">
        <f t="shared" si="61"/>
        <v>82316</v>
      </c>
      <c r="L1948" s="639">
        <v>12152</v>
      </c>
      <c r="M1948" s="639"/>
      <c r="N1948" s="639">
        <v>100535</v>
      </c>
      <c r="O1948" s="1503">
        <f>1-N1949</f>
        <v>0.6656445492428904</v>
      </c>
    </row>
    <row r="1949" spans="1:15" ht="12" customHeight="1">
      <c r="A1949" s="1530"/>
      <c r="B1949" s="1502"/>
      <c r="C1949" s="635" t="s">
        <v>6219</v>
      </c>
      <c r="D1949" s="636">
        <f>D1948/(D1948+E1948+G1948+H1948+I1948+J1948+L1948+M1948+N1948)</f>
        <v>0.23328887898550965</v>
      </c>
      <c r="E1949" s="636">
        <f>E1948/(D1948+E1948+G1948+H1948+I1948+J1948+L1948+M1948+N1948)</f>
        <v>0.1181776156284193</v>
      </c>
      <c r="F1949" s="637">
        <f t="shared" si="60"/>
        <v>0.35146649461392898</v>
      </c>
      <c r="G1949" s="636">
        <f>G1948/(D1948+E1948+G1948+H1948+I1948+J1948+L1948+M1948+N1948)</f>
        <v>0.1949594755938979</v>
      </c>
      <c r="H1949" s="636">
        <f>H1948/(D1948+E1948+G1948+H1948+I1948+J1948+L1948+M1948+N1948)</f>
        <v>3.4634482162277214E-2</v>
      </c>
      <c r="I1949" s="636">
        <f>I1948/(D1948+E1948+G1948+H1948+I1948+J1948+L1948+M1948+N1948)</f>
        <v>4.416944090620354E-2</v>
      </c>
      <c r="J1949" s="636">
        <f>J1948/(D1948+E1948+G1948+H1948+I1948+J1948+L1948+M1948+N1948)</f>
        <v>0</v>
      </c>
      <c r="K1949" s="637">
        <f t="shared" si="61"/>
        <v>0.27376339866237864</v>
      </c>
      <c r="L1949" s="636">
        <f>L1948/(D1948+E1948+G1948+H1948+I1948+J1948+L1948+M1948+N1948)</f>
        <v>4.0414655966582745E-2</v>
      </c>
      <c r="M1949" s="636">
        <f>M1948/(D1948+E1948+G1948+H1948+I1948+J1948+L1948+M1948+N1948)</f>
        <v>0</v>
      </c>
      <c r="N1949" s="636">
        <f>N1948/(D1948+E1948+G1948+H1948+I1948+J1948+L1948+M1948+N1948)</f>
        <v>0.33435545075710965</v>
      </c>
      <c r="O1949" s="1503"/>
    </row>
    <row r="1950" spans="1:15" ht="12" customHeight="1">
      <c r="A1950" s="1530"/>
      <c r="B1950" s="1502" t="s">
        <v>14939</v>
      </c>
      <c r="C1950" s="638" t="s">
        <v>6218</v>
      </c>
      <c r="D1950" s="639">
        <v>61923</v>
      </c>
      <c r="E1950" s="639">
        <v>38421</v>
      </c>
      <c r="F1950" s="640">
        <f t="shared" si="60"/>
        <v>100344</v>
      </c>
      <c r="G1950" s="639">
        <v>64555</v>
      </c>
      <c r="H1950" s="639">
        <v>7070</v>
      </c>
      <c r="I1950" s="639"/>
      <c r="J1950" s="639"/>
      <c r="K1950" s="640">
        <f t="shared" si="61"/>
        <v>71625</v>
      </c>
      <c r="L1950" s="639">
        <v>10071</v>
      </c>
      <c r="M1950" s="639">
        <v>3794</v>
      </c>
      <c r="N1950" s="639">
        <v>115619</v>
      </c>
      <c r="O1950" s="1503">
        <f>1-N1951</f>
        <v>0.61646094084318293</v>
      </c>
    </row>
    <row r="1951" spans="1:15" ht="12" customHeight="1">
      <c r="A1951" s="1530"/>
      <c r="B1951" s="1502"/>
      <c r="C1951" s="635" t="s">
        <v>6219</v>
      </c>
      <c r="D1951" s="636">
        <f>D1950/(D1950+E1950+G1950+H1950+I1950+J1950+L1950+M1950+N1950)</f>
        <v>0.2054151061691209</v>
      </c>
      <c r="E1951" s="636">
        <f>E1950/(D1950+E1950+G1950+H1950+I1950+J1950+L1950+M1950+N1950)</f>
        <v>0.12745270406995451</v>
      </c>
      <c r="F1951" s="637">
        <f t="shared" si="60"/>
        <v>0.33286781023907541</v>
      </c>
      <c r="G1951" s="636">
        <f>G1950/(D1950+E1950+G1950+H1950+I1950+J1950+L1950+M1950+N1950)</f>
        <v>0.21414615213648563</v>
      </c>
      <c r="H1951" s="636">
        <f>H1950/(D1950+E1950+G1950+H1950+I1950+J1950+L1950+M1950+N1950)</f>
        <v>2.3453075603825473E-2</v>
      </c>
      <c r="I1951" s="636">
        <f>I1950/(D1950+E1950+G1950+H1950+I1950+J1950+L1950+M1950+N1950)</f>
        <v>0</v>
      </c>
      <c r="J1951" s="636">
        <f>J1950/(D1950+E1950+G1950+H1950+I1950+J1950+L1950+M1950+N1950)</f>
        <v>0</v>
      </c>
      <c r="K1951" s="637">
        <f t="shared" si="61"/>
        <v>0.23759922774031111</v>
      </c>
      <c r="L1951" s="636">
        <f>L1950/(D1950+E1950+G1950+H1950+I1950+J1950+L1950+M1950+N1950)</f>
        <v>3.3408192985307825E-2</v>
      </c>
      <c r="M1951" s="636">
        <f>M1950/(D1950+E1950+G1950+H1950+I1950+J1950+L1950+M1950+N1950)</f>
        <v>1.258570987848852E-2</v>
      </c>
      <c r="N1951" s="636">
        <f>N1950/(D1950+E1950+G1950+H1950+I1950+J1950+L1950+M1950+N1950)</f>
        <v>0.38353905915681713</v>
      </c>
      <c r="O1951" s="1503"/>
    </row>
    <row r="1952" spans="1:15" ht="12" customHeight="1">
      <c r="A1952" s="1530"/>
      <c r="B1952" s="1502" t="s">
        <v>14940</v>
      </c>
      <c r="C1952" s="638" t="s">
        <v>6218</v>
      </c>
      <c r="D1952" s="639">
        <v>75471</v>
      </c>
      <c r="E1952" s="639">
        <v>36986</v>
      </c>
      <c r="F1952" s="640">
        <f t="shared" si="60"/>
        <v>112457</v>
      </c>
      <c r="G1952" s="639">
        <v>55760</v>
      </c>
      <c r="H1952" s="639">
        <v>7034</v>
      </c>
      <c r="I1952" s="639"/>
      <c r="J1952" s="639"/>
      <c r="K1952" s="640">
        <f t="shared" si="61"/>
        <v>62794</v>
      </c>
      <c r="L1952" s="639">
        <v>11928</v>
      </c>
      <c r="M1952" s="639"/>
      <c r="N1952" s="639">
        <v>114565</v>
      </c>
      <c r="O1952" s="1503">
        <f>1-N1953</f>
        <v>0.6203238506813723</v>
      </c>
    </row>
    <row r="1953" spans="1:15" ht="12" customHeight="1" thickBot="1">
      <c r="A1953" s="1531"/>
      <c r="B1953" s="1514"/>
      <c r="C1953" s="641" t="s">
        <v>6219</v>
      </c>
      <c r="D1953" s="642">
        <f>D1952/(D1952+E1952+G1952+H1952+I1952+J1952+L1952+M1952+N1952)</f>
        <v>0.25011599236438836</v>
      </c>
      <c r="E1953" s="642">
        <f>E1952/(D1952+E1952+G1952+H1952+I1952+J1952+L1952+M1952+N1952)</f>
        <v>0.12257410255050639</v>
      </c>
      <c r="F1953" s="643">
        <f t="shared" si="60"/>
        <v>0.37269009491489474</v>
      </c>
      <c r="G1953" s="642">
        <f>G1952/(D1952+E1952+G1952+H1952+I1952+J1952+L1952+M1952+N1952)</f>
        <v>0.18479240680842038</v>
      </c>
      <c r="H1953" s="642">
        <f>H1952/(D1952+E1952+G1952+H1952+I1952+J1952+L1952+M1952+N1952)</f>
        <v>2.3311151174505541E-2</v>
      </c>
      <c r="I1953" s="642">
        <f>I1952/(D1952+E1952+G1952+H1952+I1952+J1952+L1952+M1952+N1952)</f>
        <v>0</v>
      </c>
      <c r="J1953" s="642">
        <f>J1952/(D1952+E1952+G1952+H1952+I1952+J1952+L1952+M1952+N1952)</f>
        <v>0</v>
      </c>
      <c r="K1953" s="643">
        <f t="shared" si="61"/>
        <v>0.20810355798292593</v>
      </c>
      <c r="L1953" s="642">
        <f>L1952/(D1952+E1952+G1952+H1952+I1952+J1952+L1952+M1952+N1952)</f>
        <v>3.9530197783551622E-2</v>
      </c>
      <c r="M1953" s="642">
        <f>M1952/(D1952+E1952+G1952+H1952+I1952+J1952+L1952+M1952+N1952)</f>
        <v>0</v>
      </c>
      <c r="N1953" s="642">
        <f>N1952/(D1952+E1952+G1952+H1952+I1952+J1952+L1952+M1952+N1952)</f>
        <v>0.3796761493186277</v>
      </c>
      <c r="O1953" s="1515"/>
    </row>
    <row r="1954" spans="1:15" ht="12" customHeight="1">
      <c r="A1954" s="1526" t="s">
        <v>15182</v>
      </c>
      <c r="B1954" s="1509" t="s">
        <v>14937</v>
      </c>
      <c r="C1954" s="647" t="s">
        <v>6218</v>
      </c>
      <c r="D1954" s="648">
        <v>52255</v>
      </c>
      <c r="E1954" s="648">
        <v>33925</v>
      </c>
      <c r="F1954" s="649">
        <f t="shared" si="60"/>
        <v>86180</v>
      </c>
      <c r="G1954" s="648">
        <v>82658</v>
      </c>
      <c r="H1954" s="648">
        <v>4179</v>
      </c>
      <c r="I1954" s="648">
        <v>4018</v>
      </c>
      <c r="J1954" s="648">
        <v>4405</v>
      </c>
      <c r="K1954" s="649">
        <f t="shared" si="61"/>
        <v>95260</v>
      </c>
      <c r="L1954" s="648">
        <v>11565</v>
      </c>
      <c r="M1954" s="648">
        <v>2933</v>
      </c>
      <c r="N1954" s="648">
        <v>166349</v>
      </c>
      <c r="O1954" s="1510">
        <f>1-N1955</f>
        <v>0.54083640870359684</v>
      </c>
    </row>
    <row r="1955" spans="1:15" ht="12" customHeight="1">
      <c r="A1955" s="1527"/>
      <c r="B1955" s="1502"/>
      <c r="C1955" s="635" t="s">
        <v>6219</v>
      </c>
      <c r="D1955" s="636">
        <f>D1954/(D1954+E1954+G1954+H1954+I1954+J1954+L1954+M1954+N1954)</f>
        <v>0.14423647550146707</v>
      </c>
      <c r="E1955" s="636">
        <f>E1954/(D1954+E1954+G1954+H1954+I1954+J1954+L1954+M1954+N1954)</f>
        <v>9.3641229191221323E-2</v>
      </c>
      <c r="F1955" s="637">
        <f t="shared" si="60"/>
        <v>0.23787770469268837</v>
      </c>
      <c r="G1955" s="636">
        <f>G1954/(D1954+E1954+G1954+H1954+I1954+J1954+L1954+M1954+N1954)</f>
        <v>0.22815613036073609</v>
      </c>
      <c r="H1955" s="636">
        <f>H1954/(D1954+E1954+G1954+H1954+I1954+J1954+L1954+M1954+N1954)</f>
        <v>1.1535053700519202E-2</v>
      </c>
      <c r="I1955" s="636">
        <f>I1954/(D1954+E1954+G1954+H1954+I1954+J1954+L1954+M1954+N1954)</f>
        <v>1.1090654646730355E-2</v>
      </c>
      <c r="J1955" s="636">
        <f>J1954/(D1954+E1954+G1954+H1954+I1954+J1954+L1954+M1954+N1954)</f>
        <v>1.2158868521365657E-2</v>
      </c>
      <c r="K1955" s="637">
        <f t="shared" si="61"/>
        <v>0.26294070722935131</v>
      </c>
      <c r="L1955" s="636">
        <f>L1954/(D1954+E1954+G1954+H1954+I1954+J1954+L1954+M1954+N1954)</f>
        <v>3.192220532340382E-2</v>
      </c>
      <c r="M1955" s="636">
        <f>M1954/(D1954+E1954+G1954+H1954+I1954+J1954+L1954+M1954+N1954)</f>
        <v>8.0957914581533431E-3</v>
      </c>
      <c r="N1955" s="636">
        <f>N1954/(D1954+E1954+G1954+H1954+I1954+J1954+L1954+M1954+N1954)</f>
        <v>0.45916359129640311</v>
      </c>
      <c r="O1955" s="1503"/>
    </row>
    <row r="1956" spans="1:15" ht="12" customHeight="1">
      <c r="A1956" s="1527"/>
      <c r="B1956" s="1502" t="s">
        <v>14938</v>
      </c>
      <c r="C1956" s="638" t="s">
        <v>6218</v>
      </c>
      <c r="D1956" s="639">
        <v>73443</v>
      </c>
      <c r="E1956" s="639">
        <v>40884</v>
      </c>
      <c r="F1956" s="640">
        <f t="shared" si="60"/>
        <v>114327</v>
      </c>
      <c r="G1956" s="639">
        <v>70801</v>
      </c>
      <c r="H1956" s="639">
        <v>9675</v>
      </c>
      <c r="I1956" s="639">
        <v>9615</v>
      </c>
      <c r="J1956" s="639"/>
      <c r="K1956" s="640">
        <f t="shared" si="61"/>
        <v>90091</v>
      </c>
      <c r="L1956" s="639">
        <v>14219</v>
      </c>
      <c r="M1956" s="639"/>
      <c r="N1956" s="639">
        <v>139731</v>
      </c>
      <c r="O1956" s="1503">
        <f>1-N1957</f>
        <v>0.6100907447093491</v>
      </c>
    </row>
    <row r="1957" spans="1:15" ht="12" customHeight="1">
      <c r="A1957" s="1527"/>
      <c r="B1957" s="1502"/>
      <c r="C1957" s="635" t="s">
        <v>6219</v>
      </c>
      <c r="D1957" s="636">
        <f>D1956/(D1956+E1956+G1956+H1956+I1956+J1956+L1956+M1956+N1956)</f>
        <v>0.20493738280203588</v>
      </c>
      <c r="E1957" s="636">
        <f>E1956/(D1956+E1956+G1956+H1956+I1956+J1956+L1956+M1956+N1956)</f>
        <v>0.11408384677203322</v>
      </c>
      <c r="F1957" s="637">
        <f t="shared" si="60"/>
        <v>0.31902122957406909</v>
      </c>
      <c r="G1957" s="636">
        <f>G1956/(D1956+E1956+G1956+H1956+I1956+J1956+L1956+M1956+N1956)</f>
        <v>0.19756507277435487</v>
      </c>
      <c r="H1957" s="636">
        <f>H1956/(D1956+E1956+G1956+H1956+I1956+J1956+L1956+M1956+N1956)</f>
        <v>2.6997388159657111E-2</v>
      </c>
      <c r="I1957" s="636">
        <f>I1956/(D1956+E1956+G1956+H1956+I1956+J1956+L1956+M1956+N1956)</f>
        <v>2.6829962496651486E-2</v>
      </c>
      <c r="J1957" s="636">
        <f>J1956/(D1956+E1956+G1956+H1956+I1956+J1956+L1956+M1956+N1956)</f>
        <v>0</v>
      </c>
      <c r="K1957" s="637">
        <f t="shared" si="61"/>
        <v>0.25139242343066348</v>
      </c>
      <c r="L1957" s="636">
        <f>L1956/(D1956+E1956+G1956+H1956+I1956+J1956+L1956+M1956+N1956)</f>
        <v>3.9677091704616481E-2</v>
      </c>
      <c r="M1957" s="636">
        <f>M1956/(D1956+E1956+G1956+H1956+I1956+J1956+L1956+M1956+N1956)</f>
        <v>0</v>
      </c>
      <c r="N1957" s="636">
        <f>N1956/(D1956+E1956+G1956+H1956+I1956+J1956+L1956+M1956+N1956)</f>
        <v>0.38990925529065096</v>
      </c>
      <c r="O1957" s="1503"/>
    </row>
    <row r="1958" spans="1:15" ht="12" customHeight="1">
      <c r="A1958" s="1527"/>
      <c r="B1958" s="1502" t="s">
        <v>14939</v>
      </c>
      <c r="C1958" s="638" t="s">
        <v>6218</v>
      </c>
      <c r="D1958" s="639">
        <v>49113</v>
      </c>
      <c r="E1958" s="639">
        <v>41161</v>
      </c>
      <c r="F1958" s="640">
        <f t="shared" si="60"/>
        <v>90274</v>
      </c>
      <c r="G1958" s="639">
        <v>68701</v>
      </c>
      <c r="H1958" s="639">
        <v>6998</v>
      </c>
      <c r="I1958" s="639"/>
      <c r="J1958" s="639"/>
      <c r="K1958" s="640">
        <f t="shared" si="61"/>
        <v>75699</v>
      </c>
      <c r="L1958" s="639">
        <v>11074</v>
      </c>
      <c r="M1958" s="639">
        <v>4668</v>
      </c>
      <c r="N1958" s="639">
        <v>173734</v>
      </c>
      <c r="O1958" s="1503">
        <f>1-N1959</f>
        <v>0.51122664573539378</v>
      </c>
    </row>
    <row r="1959" spans="1:15" ht="12" customHeight="1">
      <c r="A1959" s="1527"/>
      <c r="B1959" s="1502"/>
      <c r="C1959" s="635" t="s">
        <v>6219</v>
      </c>
      <c r="D1959" s="636">
        <f>D1958/(D1958+E1958+G1958+H1958+I1958+J1958+L1958+M1958+N1958)</f>
        <v>0.13817172083758852</v>
      </c>
      <c r="E1959" s="636">
        <f>E1958/(D1958+E1958+G1958+H1958+I1958+J1958+L1958+M1958+N1958)</f>
        <v>0.11580001631739012</v>
      </c>
      <c r="F1959" s="637">
        <f t="shared" si="60"/>
        <v>0.25397173715497867</v>
      </c>
      <c r="G1959" s="636">
        <f>G1958/(D1958+E1958+G1958+H1958+I1958+J1958+L1958+M1958+N1958)</f>
        <v>0.19327948594594443</v>
      </c>
      <c r="H1959" s="636">
        <f>H1958/(D1958+E1958+G1958+H1958+I1958+J1958+L1958+M1958+N1958)</f>
        <v>1.9687775180124295E-2</v>
      </c>
      <c r="I1959" s="636">
        <f>I1958/(D1958+E1958+G1958+H1958+I1958+J1958+L1958+M1958+N1958)</f>
        <v>0</v>
      </c>
      <c r="J1959" s="636">
        <f>J1958/(D1958+E1958+G1958+H1958+I1958+J1958+L1958+M1958+N1958)</f>
        <v>0</v>
      </c>
      <c r="K1959" s="637">
        <f t="shared" si="61"/>
        <v>0.21296726112606873</v>
      </c>
      <c r="L1959" s="636">
        <f>L1958/(D1958+E1958+G1958+H1958+I1958+J1958+L1958+M1958+N1958)</f>
        <v>3.1154961752600234E-2</v>
      </c>
      <c r="M1959" s="636">
        <f>M1958/(D1958+E1958+G1958+H1958+I1958+J1958+L1958+M1958+N1958)</f>
        <v>1.3132685701746243E-2</v>
      </c>
      <c r="N1959" s="636">
        <f>N1958/(D1958+E1958+G1958+H1958+I1958+J1958+L1958+M1958+N1958)</f>
        <v>0.48877335426460616</v>
      </c>
      <c r="O1959" s="1503"/>
    </row>
    <row r="1960" spans="1:15" ht="12" customHeight="1">
      <c r="A1960" s="1527"/>
      <c r="B1960" s="1502" t="s">
        <v>14940</v>
      </c>
      <c r="C1960" s="638" t="s">
        <v>6218</v>
      </c>
      <c r="D1960" s="639">
        <v>63406</v>
      </c>
      <c r="E1960" s="639">
        <v>39420</v>
      </c>
      <c r="F1960" s="640">
        <f t="shared" si="60"/>
        <v>102826</v>
      </c>
      <c r="G1960" s="639">
        <v>66876</v>
      </c>
      <c r="H1960" s="639">
        <v>5795</v>
      </c>
      <c r="I1960" s="639"/>
      <c r="J1960" s="639"/>
      <c r="K1960" s="640">
        <f t="shared" si="61"/>
        <v>72671</v>
      </c>
      <c r="L1960" s="639">
        <v>12239</v>
      </c>
      <c r="M1960" s="639"/>
      <c r="N1960" s="639">
        <v>166333</v>
      </c>
      <c r="O1960" s="1503">
        <f>1-N1961</f>
        <v>0.53022433480479791</v>
      </c>
    </row>
    <row r="1961" spans="1:15" ht="12" customHeight="1" thickBot="1">
      <c r="A1961" s="1528"/>
      <c r="B1961" s="1514"/>
      <c r="C1961" s="641" t="s">
        <v>6219</v>
      </c>
      <c r="D1961" s="642">
        <f>D1960/(D1960+E1960+G1960+H1960+I1960+J1960+L1960+M1960+N1960)</f>
        <v>0.17907808929897845</v>
      </c>
      <c r="E1961" s="642">
        <f>E1960/(D1960+E1960+G1960+H1960+I1960+J1960+L1960+M1960+N1960)</f>
        <v>0.11133423146335884</v>
      </c>
      <c r="F1961" s="643">
        <f t="shared" si="60"/>
        <v>0.29041232076233731</v>
      </c>
      <c r="G1961" s="642">
        <f>G1960/(D1960+E1960+G1960+H1960+I1960+J1960+L1960+M1960+N1960)</f>
        <v>0.18887843894834058</v>
      </c>
      <c r="H1961" s="642">
        <f>H1960/(D1960+E1960+G1960+H1960+I1960+J1960+L1960+M1960+N1960)</f>
        <v>1.6366866345260387E-2</v>
      </c>
      <c r="I1961" s="642">
        <f>I1960/(D1960+E1960+G1960+H1960+I1960+J1960+L1960+M1960+N1960)</f>
        <v>0</v>
      </c>
      <c r="J1961" s="642">
        <f>J1960/(D1960+E1960+G1960+H1960+I1960+J1960+L1960+M1960+N1960)</f>
        <v>0</v>
      </c>
      <c r="K1961" s="643">
        <f t="shared" si="61"/>
        <v>0.20524530529360097</v>
      </c>
      <c r="L1961" s="642">
        <f>L1960/(D1960+E1960+G1960+H1960+I1960+J1960+L1960+M1960+N1960)</f>
        <v>3.4566708748859684E-2</v>
      </c>
      <c r="M1961" s="642">
        <f>M1960/(D1960+E1960+G1960+H1960+I1960+J1960+L1960+M1960+N1960)</f>
        <v>0</v>
      </c>
      <c r="N1961" s="642">
        <f>N1960/(D1960+E1960+G1960+H1960+I1960+J1960+L1960+M1960+N1960)</f>
        <v>0.46977566519520209</v>
      </c>
      <c r="O1961" s="1515"/>
    </row>
    <row r="1962" spans="1:15" ht="12" customHeight="1">
      <c r="A1962" s="1516" t="s">
        <v>15183</v>
      </c>
      <c r="B1962" s="1509" t="s">
        <v>14937</v>
      </c>
      <c r="C1962" s="647" t="s">
        <v>6218</v>
      </c>
      <c r="D1962" s="648">
        <v>59535</v>
      </c>
      <c r="E1962" s="648">
        <v>23772</v>
      </c>
      <c r="F1962" s="649">
        <f t="shared" si="60"/>
        <v>83307</v>
      </c>
      <c r="G1962" s="648">
        <v>69762</v>
      </c>
      <c r="H1962" s="648">
        <v>3929</v>
      </c>
      <c r="I1962" s="648">
        <v>4214</v>
      </c>
      <c r="J1962" s="648">
        <v>2815</v>
      </c>
      <c r="K1962" s="649">
        <f t="shared" si="61"/>
        <v>80720</v>
      </c>
      <c r="L1962" s="648">
        <v>8555</v>
      </c>
      <c r="M1962" s="648">
        <v>2394</v>
      </c>
      <c r="N1962" s="648">
        <v>115469</v>
      </c>
      <c r="O1962" s="1510">
        <f>1-N1963</f>
        <v>0.60244108178829037</v>
      </c>
    </row>
    <row r="1963" spans="1:15" ht="12" customHeight="1">
      <c r="A1963" s="1517"/>
      <c r="B1963" s="1502"/>
      <c r="C1963" s="635" t="s">
        <v>6219</v>
      </c>
      <c r="D1963" s="636">
        <f>D1962/(D1962+E1962+G1962+H1962+I1962+J1962+L1962+M1962+N1962)</f>
        <v>0.20497856737075867</v>
      </c>
      <c r="E1963" s="636">
        <f>E1962/(D1962+E1962+G1962+H1962+I1962+J1962+L1962+M1962+N1962)</f>
        <v>8.1846821257036614E-2</v>
      </c>
      <c r="F1963" s="637">
        <f t="shared" si="60"/>
        <v>0.28682538862779527</v>
      </c>
      <c r="G1963" s="636">
        <f>G1962/(D1962+E1962+G1962+H1962+I1962+J1962+L1962+M1962+N1962)</f>
        <v>0.24019005319423642</v>
      </c>
      <c r="H1963" s="636">
        <f>H1962/(D1962+E1962+G1962+H1962+I1962+J1962+L1962+M1962+N1962)</f>
        <v>1.3527518118748817E-2</v>
      </c>
      <c r="I1963" s="636">
        <f>I1962/(D1962+E1962+G1962+H1962+I1962+J1962+L1962+M1962+N1962)</f>
        <v>1.4508771023773865E-2</v>
      </c>
      <c r="J1963" s="636">
        <f>J1962/(D1962+E1962+G1962+H1962+I1962+J1962+L1962+M1962+N1962)</f>
        <v>9.6920243075281041E-3</v>
      </c>
      <c r="K1963" s="637">
        <f t="shared" si="61"/>
        <v>0.27791836664428715</v>
      </c>
      <c r="L1963" s="636">
        <f>L1962/(D1962+E1962+G1962+H1962+I1962+J1962+L1962+M1962+N1962)</f>
        <v>2.9454802113997487E-2</v>
      </c>
      <c r="M1963" s="636">
        <f>M1962/(D1962+E1962+G1962+H1962+I1962+J1962+L1962+M1962+N1962)</f>
        <v>8.2425244022104015E-3</v>
      </c>
      <c r="N1963" s="636">
        <f>N1962/(D1962+E1962+G1962+H1962+I1962+J1962+L1962+M1962+N1962)</f>
        <v>0.39755891821170963</v>
      </c>
      <c r="O1963" s="1503"/>
    </row>
    <row r="1964" spans="1:15" ht="12" customHeight="1">
      <c r="A1964" s="1517"/>
      <c r="B1964" s="1502" t="s">
        <v>14938</v>
      </c>
      <c r="C1964" s="638" t="s">
        <v>6218</v>
      </c>
      <c r="D1964" s="639">
        <v>78983</v>
      </c>
      <c r="E1964" s="639">
        <v>26610</v>
      </c>
      <c r="F1964" s="640">
        <f t="shared" si="60"/>
        <v>105593</v>
      </c>
      <c r="G1964" s="639">
        <v>57811</v>
      </c>
      <c r="H1964" s="639">
        <v>8493</v>
      </c>
      <c r="I1964" s="639">
        <v>9762</v>
      </c>
      <c r="J1964" s="639"/>
      <c r="K1964" s="640">
        <f t="shared" si="61"/>
        <v>76066</v>
      </c>
      <c r="L1964" s="639">
        <v>10627</v>
      </c>
      <c r="M1964" s="639"/>
      <c r="N1964" s="639">
        <v>99432</v>
      </c>
      <c r="O1964" s="1503">
        <f>1-N1965</f>
        <v>0.65915027526583891</v>
      </c>
    </row>
    <row r="1965" spans="1:15" ht="12" customHeight="1">
      <c r="A1965" s="1517"/>
      <c r="B1965" s="1502"/>
      <c r="C1965" s="635" t="s">
        <v>6219</v>
      </c>
      <c r="D1965" s="636">
        <f>D1964/(D1964+E1964+G1964+H1964+I1964+J1964+L1964+M1964+N1964)</f>
        <v>0.2707512049307893</v>
      </c>
      <c r="E1965" s="636">
        <f>E1964/(D1964+E1964+G1964+H1964+I1964+J1964+L1964+M1964+N1964)</f>
        <v>9.1218231305575936E-2</v>
      </c>
      <c r="F1965" s="637">
        <f t="shared" si="60"/>
        <v>0.36196943623636524</v>
      </c>
      <c r="G1965" s="636">
        <f>G1964/(D1964+E1964+G1964+H1964+I1964+J1964+L1964+M1964+N1964)</f>
        <v>0.19817426418664602</v>
      </c>
      <c r="H1965" s="636">
        <f>H1964/(D1964+E1964+G1964+H1964+I1964+J1964+L1964+M1964+N1964)</f>
        <v>2.9113733125826997E-2</v>
      </c>
      <c r="I1965" s="636">
        <f>I1964/(D1964+E1964+G1964+H1964+I1964+J1964+L1964+M1964+N1964)</f>
        <v>3.3463824652575434E-2</v>
      </c>
      <c r="J1965" s="636">
        <f>J1964/(D1964+E1964+G1964+H1964+I1964+J1964+L1964+M1964+N1964)</f>
        <v>0</v>
      </c>
      <c r="K1965" s="637">
        <f t="shared" si="61"/>
        <v>0.26075182196504842</v>
      </c>
      <c r="L1965" s="636">
        <f>L1964/(D1964+E1964+G1964+H1964+I1964+J1964+L1964+M1964+N1964)</f>
        <v>3.642901706442523E-2</v>
      </c>
      <c r="M1965" s="636">
        <f>M1964/(D1964+E1964+G1964+H1964+I1964+J1964+L1964+M1964+N1964)</f>
        <v>0</v>
      </c>
      <c r="N1965" s="636">
        <f>N1964/(D1964+E1964+G1964+H1964+I1964+J1964+L1964+M1964+N1964)</f>
        <v>0.34084972473416109</v>
      </c>
      <c r="O1965" s="1503"/>
    </row>
    <row r="1966" spans="1:15" ht="12" customHeight="1">
      <c r="A1966" s="1517"/>
      <c r="B1966" s="1502" t="s">
        <v>14939</v>
      </c>
      <c r="C1966" s="638" t="s">
        <v>6218</v>
      </c>
      <c r="D1966" s="639">
        <v>62564</v>
      </c>
      <c r="E1966" s="639">
        <v>29359</v>
      </c>
      <c r="F1966" s="640">
        <f t="shared" si="60"/>
        <v>91923</v>
      </c>
      <c r="G1966" s="639">
        <v>61927</v>
      </c>
      <c r="H1966" s="639">
        <v>6531</v>
      </c>
      <c r="I1966" s="639"/>
      <c r="J1966" s="639"/>
      <c r="K1966" s="640">
        <f t="shared" si="61"/>
        <v>68458</v>
      </c>
      <c r="L1966" s="639">
        <v>9094</v>
      </c>
      <c r="M1966" s="639">
        <v>3573</v>
      </c>
      <c r="N1966" s="639">
        <v>119607</v>
      </c>
      <c r="O1966" s="1503">
        <f>1-N1967</f>
        <v>0.59130375356648612</v>
      </c>
    </row>
    <row r="1967" spans="1:15" ht="12" customHeight="1">
      <c r="A1967" s="1517"/>
      <c r="B1967" s="1502"/>
      <c r="C1967" s="635" t="s">
        <v>6219</v>
      </c>
      <c r="D1967" s="636">
        <f>D1966/(D1966+E1966+G1966+H1966+I1966+J1966+L1966+M1966+N1966)</f>
        <v>0.21378073157813807</v>
      </c>
      <c r="E1967" s="636">
        <f>E1966/(D1966+E1966+G1966+H1966+I1966+J1966+L1966+M1966+N1966)</f>
        <v>0.10031948881789138</v>
      </c>
      <c r="F1967" s="637">
        <f t="shared" si="60"/>
        <v>0.31410022039602947</v>
      </c>
      <c r="G1967" s="636">
        <f>G1966/(D1966+E1966+G1966+H1966+I1966+J1966+L1966+M1966+N1966)</f>
        <v>0.21160410722523107</v>
      </c>
      <c r="H1967" s="636">
        <f>H1966/(D1966+E1966+G1966+H1966+I1966+J1966+L1966+M1966+N1966)</f>
        <v>2.231637935453008E-2</v>
      </c>
      <c r="I1967" s="636">
        <f>I1966/(D1966+E1966+G1966+H1966+I1966+J1966+L1966+M1966+N1966)</f>
        <v>0</v>
      </c>
      <c r="J1967" s="636">
        <f>J1966/(D1966+E1966+G1966+H1966+I1966+J1966+L1966+M1966+N1966)</f>
        <v>0</v>
      </c>
      <c r="K1967" s="637">
        <f t="shared" si="61"/>
        <v>0.23392048657976114</v>
      </c>
      <c r="L1967" s="636">
        <f>L1966/(D1966+E1966+G1966+H1966+I1966+J1966+L1966+M1966+N1966)</f>
        <v>3.1074131656728912E-2</v>
      </c>
      <c r="M1967" s="636">
        <f>M1966/(D1966+E1966+G1966+H1966+I1966+J1966+L1966+M1966+N1966)</f>
        <v>1.2208914933966615E-2</v>
      </c>
      <c r="N1967" s="636">
        <f>N1966/(D1966+E1966+G1966+H1966+I1966+J1966+L1966+M1966+N1966)</f>
        <v>0.40869624643351388</v>
      </c>
      <c r="O1967" s="1503"/>
    </row>
    <row r="1968" spans="1:15" ht="12" customHeight="1">
      <c r="A1968" s="1517"/>
      <c r="B1968" s="1502" t="s">
        <v>14940</v>
      </c>
      <c r="C1968" s="638" t="s">
        <v>6218</v>
      </c>
      <c r="D1968" s="639">
        <v>78307</v>
      </c>
      <c r="E1968" s="639">
        <v>27256</v>
      </c>
      <c r="F1968" s="640">
        <f t="shared" si="60"/>
        <v>105563</v>
      </c>
      <c r="G1968" s="639">
        <v>59866</v>
      </c>
      <c r="H1968" s="639">
        <v>5751</v>
      </c>
      <c r="I1968" s="639"/>
      <c r="J1968" s="639"/>
      <c r="K1968" s="640">
        <f t="shared" si="61"/>
        <v>65617</v>
      </c>
      <c r="L1968" s="639">
        <v>10146</v>
      </c>
      <c r="M1968" s="639"/>
      <c r="N1968" s="639">
        <v>111613</v>
      </c>
      <c r="O1968" s="1503">
        <f>1-N1969</f>
        <v>0.61898893626318108</v>
      </c>
    </row>
    <row r="1969" spans="1:15" ht="12" customHeight="1" thickBot="1">
      <c r="A1969" s="1519"/>
      <c r="B1969" s="1514"/>
      <c r="C1969" s="641" t="s">
        <v>6219</v>
      </c>
      <c r="D1969" s="642">
        <f>D1968/(D1968+E1968+G1968+H1968+I1968+J1968+L1968+M1968+N1968)</f>
        <v>0.26731503828442099</v>
      </c>
      <c r="E1969" s="642">
        <f>E1968/(D1968+E1968+G1968+H1968+I1968+J1968+L1968+M1968+N1968)</f>
        <v>9.3043261566401192E-2</v>
      </c>
      <c r="F1969" s="643">
        <f t="shared" si="60"/>
        <v>0.36035829985082218</v>
      </c>
      <c r="G1969" s="642">
        <f>G1968/(D1968+E1968+G1968+H1968+I1968+J1968+L1968+M1968+N1968)</f>
        <v>0.20436336575191422</v>
      </c>
      <c r="H1969" s="642">
        <f>H1968/(D1968+E1968+G1968+H1968+I1968+J1968+L1968+M1968+N1968)</f>
        <v>1.9632073571630954E-2</v>
      </c>
      <c r="I1969" s="642">
        <f>I1968/(D1968+E1968+G1968+H1968+I1968+J1968+L1968+M1968+N1968)</f>
        <v>0</v>
      </c>
      <c r="J1969" s="642">
        <f>J1968/(D1968+E1968+G1968+H1968+I1968+J1968+L1968+M1968+N1968)</f>
        <v>0</v>
      </c>
      <c r="K1969" s="643">
        <f t="shared" si="61"/>
        <v>0.22399543932354518</v>
      </c>
      <c r="L1969" s="642">
        <f>L1968/(D1968+E1968+G1968+H1968+I1968+J1968+L1968+M1968+N1968)</f>
        <v>3.4635197088813713E-2</v>
      </c>
      <c r="M1969" s="642">
        <f>M1968/(D1968+E1968+G1968+H1968+I1968+J1968+L1968+M1968+N1968)</f>
        <v>0</v>
      </c>
      <c r="N1969" s="642">
        <f>N1968/(D1968+E1968+G1968+H1968+I1968+J1968+L1968+M1968+N1968)</f>
        <v>0.38101106373681892</v>
      </c>
      <c r="O1969" s="1515"/>
    </row>
    <row r="1970" spans="1:15" ht="12" customHeight="1">
      <c r="A1970" s="1516" t="s">
        <v>15184</v>
      </c>
      <c r="B1970" s="1509" t="s">
        <v>14937</v>
      </c>
      <c r="C1970" s="647" t="s">
        <v>6218</v>
      </c>
      <c r="D1970" s="648">
        <v>42582</v>
      </c>
      <c r="E1970" s="648">
        <v>23243</v>
      </c>
      <c r="F1970" s="649">
        <f t="shared" si="60"/>
        <v>65825</v>
      </c>
      <c r="G1970" s="648">
        <v>63651</v>
      </c>
      <c r="H1970" s="648">
        <v>6576</v>
      </c>
      <c r="I1970" s="648">
        <v>4992</v>
      </c>
      <c r="J1970" s="648">
        <v>4583</v>
      </c>
      <c r="K1970" s="649">
        <f t="shared" si="61"/>
        <v>79802</v>
      </c>
      <c r="L1970" s="648">
        <v>10279</v>
      </c>
      <c r="M1970" s="648">
        <v>3984</v>
      </c>
      <c r="N1970" s="648">
        <v>150930</v>
      </c>
      <c r="O1970" s="1510">
        <f>1-N1971</f>
        <v>0.51441348690560451</v>
      </c>
    </row>
    <row r="1971" spans="1:15" ht="12" customHeight="1">
      <c r="A1971" s="1517"/>
      <c r="B1971" s="1502"/>
      <c r="C1971" s="635" t="s">
        <v>6219</v>
      </c>
      <c r="D1971" s="636">
        <f>D1970/(D1970+E1970+G1970+H1970+I1970+J1970+L1970+M1970+N1970)</f>
        <v>0.13699890611929735</v>
      </c>
      <c r="E1971" s="636">
        <f>E1970/(D1970+E1970+G1970+H1970+I1970+J1970+L1970+M1970+N1970)</f>
        <v>7.4779615211376355E-2</v>
      </c>
      <c r="F1971" s="637">
        <f t="shared" si="60"/>
        <v>0.21177852133067371</v>
      </c>
      <c r="G1971" s="636">
        <f>G1970/(D1970+E1970+G1970+H1970+I1970+J1970+L1970+M1970+N1970)</f>
        <v>0.20478411942603436</v>
      </c>
      <c r="H1971" s="636">
        <f>H1970/(D1970+E1970+G1970+H1970+I1970+J1970+L1970+M1970+N1970)</f>
        <v>2.1156939707869506E-2</v>
      </c>
      <c r="I1971" s="636">
        <f>I1970/(D1970+E1970+G1970+H1970+I1970+J1970+L1970+M1970+N1970)</f>
        <v>1.6060742551959332E-2</v>
      </c>
      <c r="J1971" s="636">
        <f>J1970/(D1970+E1970+G1970+H1970+I1970+J1970+L1970+M1970+N1970)</f>
        <v>1.4744868412586062E-2</v>
      </c>
      <c r="K1971" s="637">
        <f t="shared" si="61"/>
        <v>0.25674667009844926</v>
      </c>
      <c r="L1971" s="636">
        <f>L1970/(D1970+E1970+G1970+H1970+I1970+J1970+L1970+M1970+N1970)</f>
        <v>3.3070587478283252E-2</v>
      </c>
      <c r="M1971" s="636">
        <f>M1970/(D1970+E1970+G1970+H1970+I1970+J1970+L1970+M1970+N1970)</f>
        <v>1.2817707998198313E-2</v>
      </c>
      <c r="N1971" s="636">
        <f>N1970/(D1970+E1970+G1970+H1970+I1970+J1970+L1970+M1970+N1970)</f>
        <v>0.48558651309439549</v>
      </c>
      <c r="O1971" s="1503"/>
    </row>
    <row r="1972" spans="1:15" ht="12" customHeight="1">
      <c r="A1972" s="1517"/>
      <c r="B1972" s="1502" t="s">
        <v>14938</v>
      </c>
      <c r="C1972" s="638" t="s">
        <v>6218</v>
      </c>
      <c r="D1972" s="639">
        <v>71384</v>
      </c>
      <c r="E1972" s="639">
        <v>26787</v>
      </c>
      <c r="F1972" s="640">
        <f t="shared" si="60"/>
        <v>98171</v>
      </c>
      <c r="G1972" s="639">
        <v>53868</v>
      </c>
      <c r="H1972" s="639">
        <v>11560</v>
      </c>
      <c r="I1972" s="639">
        <v>13247</v>
      </c>
      <c r="J1972" s="639"/>
      <c r="K1972" s="640">
        <f t="shared" si="61"/>
        <v>78675</v>
      </c>
      <c r="L1972" s="639">
        <v>11151</v>
      </c>
      <c r="M1972" s="639"/>
      <c r="N1972" s="639">
        <v>119692</v>
      </c>
      <c r="O1972" s="1503">
        <f>1-N1973</f>
        <v>0.61099681821579588</v>
      </c>
    </row>
    <row r="1973" spans="1:15" ht="12" customHeight="1">
      <c r="A1973" s="1517"/>
      <c r="B1973" s="1502"/>
      <c r="C1973" s="635" t="s">
        <v>6219</v>
      </c>
      <c r="D1973" s="636">
        <f>D1972/(D1972+E1972+G1972+H1972+I1972+J1972+L1972+M1972+N1972)</f>
        <v>0.23200049400531056</v>
      </c>
      <c r="E1973" s="636">
        <f>E1972/(D1972+E1972+G1972+H1972+I1972+J1972+L1972+M1972+N1972)</f>
        <v>8.7058685880873218E-2</v>
      </c>
      <c r="F1973" s="637">
        <f t="shared" si="60"/>
        <v>0.31905917988618376</v>
      </c>
      <c r="G1973" s="636">
        <f>G1972/(D1972+E1972+G1972+H1972+I1972+J1972+L1972+M1972+N1972)</f>
        <v>0.17507288203348187</v>
      </c>
      <c r="H1973" s="636">
        <f>H1972/(D1972+E1972+G1972+H1972+I1972+J1972+L1972+M1972+N1972)</f>
        <v>3.7570403881841727E-2</v>
      </c>
      <c r="I1973" s="636">
        <f>I1972/(D1972+E1972+G1972+H1972+I1972+J1972+L1972+M1972+N1972)</f>
        <v>4.3053212822037834E-2</v>
      </c>
      <c r="J1973" s="636">
        <f>J1972/(D1972+E1972+G1972+H1972+I1972+J1972+L1972+M1972+N1972)</f>
        <v>0</v>
      </c>
      <c r="K1973" s="637">
        <f t="shared" si="61"/>
        <v>0.25569649873736144</v>
      </c>
      <c r="L1973" s="636">
        <f>L1972/(D1972+E1972+G1972+H1972+I1972+J1972+L1972+M1972+N1972)</f>
        <v>3.6241139592250615E-2</v>
      </c>
      <c r="M1973" s="636">
        <f>M1972/(D1972+E1972+G1972+H1972+I1972+J1972+L1972+M1972+N1972)</f>
        <v>0</v>
      </c>
      <c r="N1973" s="636">
        <f>N1972/(D1972+E1972+G1972+H1972+I1972+J1972+L1972+M1972+N1972)</f>
        <v>0.38900318178420418</v>
      </c>
      <c r="O1973" s="1503"/>
    </row>
    <row r="1974" spans="1:15" ht="12" customHeight="1">
      <c r="A1974" s="1517"/>
      <c r="B1974" s="1502" t="s">
        <v>14939</v>
      </c>
      <c r="C1974" s="638" t="s">
        <v>6218</v>
      </c>
      <c r="D1974" s="639">
        <v>43636</v>
      </c>
      <c r="E1974" s="639">
        <v>25699</v>
      </c>
      <c r="F1974" s="640">
        <f t="shared" si="60"/>
        <v>69335</v>
      </c>
      <c r="G1974" s="639">
        <v>53832</v>
      </c>
      <c r="H1974" s="639">
        <v>8230</v>
      </c>
      <c r="I1974" s="639"/>
      <c r="J1974" s="639"/>
      <c r="K1974" s="640">
        <f t="shared" si="61"/>
        <v>62062</v>
      </c>
      <c r="L1974" s="639">
        <v>9817</v>
      </c>
      <c r="M1974" s="639">
        <v>4769</v>
      </c>
      <c r="N1974" s="639">
        <v>158992</v>
      </c>
      <c r="O1974" s="1503">
        <f>1-N1975</f>
        <v>0.47867202229690953</v>
      </c>
    </row>
    <row r="1975" spans="1:15" ht="12" customHeight="1">
      <c r="A1975" s="1517"/>
      <c r="B1975" s="1502"/>
      <c r="C1975" s="635" t="s">
        <v>6219</v>
      </c>
      <c r="D1975" s="636">
        <f>D1974/(D1974+E1974+G1974+H1974+I1974+J1974+L1974+M1974+N1974)</f>
        <v>0.14308058037544061</v>
      </c>
      <c r="E1975" s="636">
        <f>E1974/(D1974+E1974+G1974+H1974+I1974+J1974+L1974+M1974+N1974)</f>
        <v>8.4265923436347243E-2</v>
      </c>
      <c r="F1975" s="637">
        <f t="shared" si="60"/>
        <v>0.22734650381178784</v>
      </c>
      <c r="G1975" s="636">
        <f>G1974/(D1974+E1974+G1974+H1974+I1974+J1974+L1974+M1974+N1974)</f>
        <v>0.17651282892040332</v>
      </c>
      <c r="H1975" s="636">
        <f>H1974/(D1974+E1974+G1974+H1974+I1974+J1974+L1974+M1974+N1974)</f>
        <v>2.6985818509713912E-2</v>
      </c>
      <c r="I1975" s="636">
        <f>I1974/(D1974+E1974+G1974+H1974+I1974+J1974+L1974+M1974+N1974)</f>
        <v>0</v>
      </c>
      <c r="J1975" s="636">
        <f>J1974/(D1974+E1974+G1974+H1974+I1974+J1974+L1974+M1974+N1974)</f>
        <v>0</v>
      </c>
      <c r="K1975" s="637">
        <f t="shared" si="61"/>
        <v>0.20349864743011722</v>
      </c>
      <c r="L1975" s="636">
        <f>L1974/(D1974+E1974+G1974+H1974+I1974+J1974+L1974+M1974+N1974)</f>
        <v>3.2189523731453396E-2</v>
      </c>
      <c r="M1975" s="636">
        <f>M1974/(D1974+E1974+G1974+H1974+I1974+J1974+L1974+M1974+N1974)</f>
        <v>1.5637347323551112E-2</v>
      </c>
      <c r="N1975" s="636">
        <f>N1974/(D1974+E1974+G1974+H1974+I1974+J1974+L1974+M1974+N1974)</f>
        <v>0.52132797770309047</v>
      </c>
      <c r="O1975" s="1503"/>
    </row>
    <row r="1976" spans="1:15" ht="12" customHeight="1">
      <c r="A1976" s="1517"/>
      <c r="B1976" s="1502" t="s">
        <v>14940</v>
      </c>
      <c r="C1976" s="638" t="s">
        <v>6218</v>
      </c>
      <c r="D1976" s="639">
        <v>51754</v>
      </c>
      <c r="E1976" s="639">
        <v>26465</v>
      </c>
      <c r="F1976" s="640">
        <f t="shared" si="60"/>
        <v>78219</v>
      </c>
      <c r="G1976" s="639">
        <v>57862</v>
      </c>
      <c r="H1976" s="639">
        <v>7035</v>
      </c>
      <c r="I1976" s="639"/>
      <c r="J1976" s="639"/>
      <c r="K1976" s="640">
        <f t="shared" si="61"/>
        <v>64897</v>
      </c>
      <c r="L1976" s="639">
        <v>9752</v>
      </c>
      <c r="M1976" s="639"/>
      <c r="N1976" s="639">
        <v>151160</v>
      </c>
      <c r="O1976" s="1503">
        <f>1-N1977</f>
        <v>0.50280895180707041</v>
      </c>
    </row>
    <row r="1977" spans="1:15" ht="12" customHeight="1" thickBot="1">
      <c r="A1977" s="1519"/>
      <c r="B1977" s="1514"/>
      <c r="C1977" s="641" t="s">
        <v>6219</v>
      </c>
      <c r="D1977" s="642">
        <f>D1976/(D1976+E1976+G1976+H1976+I1976+J1976+L1976+M1976+N1976)</f>
        <v>0.17022774218164116</v>
      </c>
      <c r="E1977" s="642">
        <f>E1976/(D1976+E1976+G1976+H1976+I1976+J1976+L1976+M1976+N1976)</f>
        <v>8.7047903482573977E-2</v>
      </c>
      <c r="F1977" s="643">
        <f t="shared" si="60"/>
        <v>0.25727564566421512</v>
      </c>
      <c r="G1977" s="642">
        <f>G1976/(D1976+E1976+G1976+H1976+I1976+J1976+L1976+M1976+N1976)</f>
        <v>0.19031799702658966</v>
      </c>
      <c r="H1977" s="642">
        <f>H1976/(D1976+E1976+G1976+H1976+I1976+J1976+L1976+M1976+N1976)</f>
        <v>2.313931611562093E-2</v>
      </c>
      <c r="I1977" s="642">
        <f>I1976/(D1976+E1976+G1976+H1976+I1976+J1976+L1976+M1976+N1976)</f>
        <v>0</v>
      </c>
      <c r="J1977" s="642">
        <f>J1976/(D1976+E1976+G1976+H1976+I1976+J1976+L1976+M1976+N1976)</f>
        <v>0</v>
      </c>
      <c r="K1977" s="643">
        <f t="shared" si="61"/>
        <v>0.21345731314221059</v>
      </c>
      <c r="L1977" s="642">
        <f>L1976/(D1976+E1976+G1976+H1976+I1976+J1976+L1976+M1976+N1976)</f>
        <v>3.2075993000644676E-2</v>
      </c>
      <c r="M1977" s="642">
        <f>M1976/(D1976+E1976+G1976+H1976+I1976+J1976+L1976+M1976+N1976)</f>
        <v>0</v>
      </c>
      <c r="N1977" s="642">
        <f>N1976/(D1976+E1976+G1976+H1976+I1976+J1976+L1976+M1976+N1976)</f>
        <v>0.49719104819292959</v>
      </c>
      <c r="O1977" s="1515"/>
    </row>
    <row r="1978" spans="1:15" ht="12" customHeight="1">
      <c r="A1978" s="1516" t="s">
        <v>15185</v>
      </c>
      <c r="B1978" s="1509" t="s">
        <v>14937</v>
      </c>
      <c r="C1978" s="647" t="s">
        <v>6218</v>
      </c>
      <c r="D1978" s="648">
        <v>58991</v>
      </c>
      <c r="E1978" s="648">
        <v>28202</v>
      </c>
      <c r="F1978" s="649">
        <f t="shared" si="60"/>
        <v>87193</v>
      </c>
      <c r="G1978" s="648">
        <v>90181</v>
      </c>
      <c r="H1978" s="648">
        <v>8848</v>
      </c>
      <c r="I1978" s="648">
        <v>6262</v>
      </c>
      <c r="J1978" s="648">
        <v>5560</v>
      </c>
      <c r="K1978" s="649">
        <f t="shared" si="61"/>
        <v>110851</v>
      </c>
      <c r="L1978" s="648">
        <v>12047</v>
      </c>
      <c r="M1978" s="648">
        <v>5340</v>
      </c>
      <c r="N1978" s="648">
        <v>175034</v>
      </c>
      <c r="O1978" s="1510">
        <f>1-N1979</f>
        <v>0.55172934834108056</v>
      </c>
    </row>
    <row r="1979" spans="1:15" ht="12" customHeight="1">
      <c r="A1979" s="1517"/>
      <c r="B1979" s="1502"/>
      <c r="C1979" s="635" t="s">
        <v>6219</v>
      </c>
      <c r="D1979" s="636">
        <f>D1978/(D1978+E1978+G1978+H1978+I1978+J1978+L1978+M1978+N1978)</f>
        <v>0.15107884189363963</v>
      </c>
      <c r="E1979" s="636">
        <f>E1978/(D1978+E1978+G1978+H1978+I1978+J1978+L1978+M1978+N1978)</f>
        <v>7.222670405798215E-2</v>
      </c>
      <c r="F1979" s="637">
        <f t="shared" si="60"/>
        <v>0.22330554595162178</v>
      </c>
      <c r="G1979" s="636">
        <f>G1978/(D1978+E1978+G1978+H1978+I1978+J1978+L1978+M1978+N1978)</f>
        <v>0.23095796038057187</v>
      </c>
      <c r="H1979" s="636">
        <f>H1978/(D1978+E1978+G1978+H1978+I1978+J1978+L1978+M1978+N1978)</f>
        <v>2.2660161602192259E-2</v>
      </c>
      <c r="I1979" s="636">
        <f>I1978/(D1978+E1978+G1978+H1978+I1978+J1978+L1978+M1978+N1978)</f>
        <v>1.6037288873522595E-2</v>
      </c>
      <c r="J1979" s="636">
        <f>J1978/(D1978+E1978+G1978+H1978+I1978+J1978+L1978+M1978+N1978)</f>
        <v>1.4239432471540343E-2</v>
      </c>
      <c r="K1979" s="637">
        <f t="shared" si="61"/>
        <v>0.28389484332782705</v>
      </c>
      <c r="L1979" s="636">
        <f>L1978/(D1978+E1978+G1978+H1978+I1978+J1978+L1978+M1978+N1978)</f>
        <v>3.08529573713393E-2</v>
      </c>
      <c r="M1979" s="636">
        <f>M1978/(D1978+E1978+G1978+H1978+I1978+J1978+L1978+M1978+N1978)</f>
        <v>1.3676001690292344E-2</v>
      </c>
      <c r="N1979" s="636">
        <f>N1978/(D1978+E1978+G1978+H1978+I1978+J1978+L1978+M1978+N1978)</f>
        <v>0.44827065165891949</v>
      </c>
      <c r="O1979" s="1503"/>
    </row>
    <row r="1980" spans="1:15" ht="12" customHeight="1">
      <c r="A1980" s="1517"/>
      <c r="B1980" s="1502" t="s">
        <v>14938</v>
      </c>
      <c r="C1980" s="638" t="s">
        <v>6218</v>
      </c>
      <c r="D1980" s="639">
        <v>97849</v>
      </c>
      <c r="E1980" s="639">
        <v>33748</v>
      </c>
      <c r="F1980" s="640">
        <f t="shared" si="60"/>
        <v>131597</v>
      </c>
      <c r="G1980" s="639">
        <v>76786</v>
      </c>
      <c r="H1980" s="639">
        <v>14481</v>
      </c>
      <c r="I1980" s="639">
        <v>17824</v>
      </c>
      <c r="J1980" s="639"/>
      <c r="K1980" s="640">
        <f t="shared" si="61"/>
        <v>109091</v>
      </c>
      <c r="L1980" s="639">
        <v>13721</v>
      </c>
      <c r="M1980" s="639"/>
      <c r="N1980" s="639">
        <v>132252</v>
      </c>
      <c r="O1980" s="1503">
        <f>1-N1981</f>
        <v>0.65796395291999965</v>
      </c>
    </row>
    <row r="1981" spans="1:15" ht="12" customHeight="1">
      <c r="A1981" s="1517"/>
      <c r="B1981" s="1502"/>
      <c r="C1981" s="635" t="s">
        <v>6219</v>
      </c>
      <c r="D1981" s="636">
        <f>D1980/(D1980+E1980+G1980+H1980+I1980+J1980+L1980+M1980+N1980)</f>
        <v>0.25306146728012391</v>
      </c>
      <c r="E1981" s="636">
        <f>E1980/(D1980+E1980+G1980+H1980+I1980+J1980+L1980+M1980+N1980)</f>
        <v>8.7280589456914456E-2</v>
      </c>
      <c r="F1981" s="637">
        <f t="shared" si="60"/>
        <v>0.34034205673703838</v>
      </c>
      <c r="G1981" s="636">
        <f>G1980/(D1980+E1980+G1980+H1980+I1980+J1980+L1980+M1980+N1980)</f>
        <v>0.19858739309110565</v>
      </c>
      <c r="H1981" s="636">
        <f>H1980/(D1980+E1980+G1980+H1980+I1980+J1980+L1980+M1980+N1980)</f>
        <v>3.7451410925849776E-2</v>
      </c>
      <c r="I1981" s="636">
        <f>I1980/(D1980+E1980+G1980+H1980+I1980+J1980+L1980+M1980+N1980)</f>
        <v>4.609722728695162E-2</v>
      </c>
      <c r="J1981" s="636">
        <f>J1980/(D1980+E1980+G1980+H1980+I1980+J1980+L1980+M1980+N1980)</f>
        <v>0</v>
      </c>
      <c r="K1981" s="637">
        <f t="shared" si="61"/>
        <v>0.28213603130390708</v>
      </c>
      <c r="L1981" s="636">
        <f>L1980/(D1980+E1980+G1980+H1980+I1980+J1980+L1980+M1980+N1980)</f>
        <v>3.5485864879054259E-2</v>
      </c>
      <c r="M1981" s="636">
        <f>M1980/(D1980+E1980+G1980+H1980+I1980+J1980+L1980+M1980+N1980)</f>
        <v>0</v>
      </c>
      <c r="N1981" s="636">
        <f>N1980/(D1980+E1980+G1980+H1980+I1980+J1980+L1980+M1980+N1980)</f>
        <v>0.34203604708000029</v>
      </c>
      <c r="O1981" s="1503"/>
    </row>
    <row r="1982" spans="1:15" ht="12" customHeight="1">
      <c r="A1982" s="1517"/>
      <c r="B1982" s="1502" t="s">
        <v>14939</v>
      </c>
      <c r="C1982" s="638" t="s">
        <v>6218</v>
      </c>
      <c r="D1982" s="639">
        <v>60218</v>
      </c>
      <c r="E1982" s="639">
        <v>31827</v>
      </c>
      <c r="F1982" s="640">
        <f t="shared" si="60"/>
        <v>92045</v>
      </c>
      <c r="G1982" s="639">
        <v>76034</v>
      </c>
      <c r="H1982" s="639">
        <v>10914</v>
      </c>
      <c r="I1982" s="639"/>
      <c r="J1982" s="639"/>
      <c r="K1982" s="640">
        <f t="shared" si="61"/>
        <v>86948</v>
      </c>
      <c r="L1982" s="639">
        <v>11830</v>
      </c>
      <c r="M1982" s="639">
        <v>7004</v>
      </c>
      <c r="N1982" s="639">
        <v>186119</v>
      </c>
      <c r="O1982" s="1503">
        <f>1-N1983</f>
        <v>0.51524693576700886</v>
      </c>
    </row>
    <row r="1983" spans="1:15" ht="12" customHeight="1">
      <c r="A1983" s="1517"/>
      <c r="B1983" s="1502"/>
      <c r="C1983" s="635" t="s">
        <v>6219</v>
      </c>
      <c r="D1983" s="636">
        <f>D1982/(D1982+E1982+G1982+H1982+I1982+J1982+L1982+M1982+N1982)</f>
        <v>0.15683976392513529</v>
      </c>
      <c r="E1983" s="636">
        <f>E1982/(D1982+E1982+G1982+H1982+I1982+J1982+L1982+M1982+N1982)</f>
        <v>8.2894469534778331E-2</v>
      </c>
      <c r="F1983" s="637">
        <f t="shared" si="60"/>
        <v>0.23973423345991363</v>
      </c>
      <c r="G1983" s="636">
        <f>G1982/(D1982+E1982+G1982+H1982+I1982+J1982+L1982+M1982+N1982)</f>
        <v>0.19803305673193627</v>
      </c>
      <c r="H1983" s="636">
        <f>H1982/(D1982+E1982+G1982+H1982+I1982+J1982+L1982+M1982+N1982)</f>
        <v>2.8425872388304605E-2</v>
      </c>
      <c r="I1983" s="636">
        <f>I1982/(D1982+E1982+G1982+H1982+I1982+J1982+L1982+M1982+N1982)</f>
        <v>0</v>
      </c>
      <c r="J1983" s="636">
        <f>J1982/(D1982+E1982+G1982+H1982+I1982+J1982+L1982+M1982+N1982)</f>
        <v>0</v>
      </c>
      <c r="K1983" s="637">
        <f t="shared" si="61"/>
        <v>0.22645892912024088</v>
      </c>
      <c r="L1983" s="636">
        <f>L1982/(D1982+E1982+G1982+H1982+I1982+J1982+L1982+M1982+N1982)</f>
        <v>3.0811624551369203E-2</v>
      </c>
      <c r="M1983" s="636">
        <f>M1982/(D1982+E1982+G1982+H1982+I1982+J1982+L1982+M1982+N1982)</f>
        <v>1.8242148635485199E-2</v>
      </c>
      <c r="N1983" s="636">
        <f>N1982/(D1982+E1982+G1982+H1982+I1982+J1982+L1982+M1982+N1982)</f>
        <v>0.48475306423299108</v>
      </c>
      <c r="O1983" s="1503"/>
    </row>
    <row r="1984" spans="1:15" ht="12" customHeight="1">
      <c r="A1984" s="1517"/>
      <c r="B1984" s="1502" t="s">
        <v>14940</v>
      </c>
      <c r="C1984" s="638" t="s">
        <v>6218</v>
      </c>
      <c r="D1984" s="639">
        <v>72176</v>
      </c>
      <c r="E1984" s="639">
        <v>35309</v>
      </c>
      <c r="F1984" s="640">
        <f t="shared" si="60"/>
        <v>107485</v>
      </c>
      <c r="G1984" s="639">
        <v>85348</v>
      </c>
      <c r="H1984" s="639">
        <v>10224</v>
      </c>
      <c r="I1984" s="639"/>
      <c r="J1984" s="639"/>
      <c r="K1984" s="640">
        <f t="shared" si="61"/>
        <v>95572</v>
      </c>
      <c r="L1984" s="639">
        <v>12200</v>
      </c>
      <c r="M1984" s="639"/>
      <c r="N1984" s="639">
        <v>167135</v>
      </c>
      <c r="O1984" s="1503">
        <f>1-N1985</f>
        <v>0.56292234147157894</v>
      </c>
    </row>
    <row r="1985" spans="1:15" ht="12" customHeight="1" thickBot="1">
      <c r="A1985" s="1519"/>
      <c r="B1985" s="1514"/>
      <c r="C1985" s="641" t="s">
        <v>6219</v>
      </c>
      <c r="D1985" s="642">
        <f>D1984/(D1984+E1984+G1984+H1984+I1984+J1984+L1984+M1984+N1984)</f>
        <v>0.18874871859243916</v>
      </c>
      <c r="E1985" s="642">
        <f>E1984/(D1984+E1984+G1984+H1984+I1984+J1984+L1984+M1984+N1984)</f>
        <v>9.2337182786250763E-2</v>
      </c>
      <c r="F1985" s="643">
        <f t="shared" si="60"/>
        <v>0.28108590137868994</v>
      </c>
      <c r="G1985" s="642">
        <f>G1984/(D1984+E1984+G1984+H1984+I1984+J1984+L1984+M1984+N1984)</f>
        <v>0.2231950459214628</v>
      </c>
      <c r="H1985" s="642">
        <f>H1984/(D1984+E1984+G1984+H1984+I1984+J1984+L1984+M1984+N1984)</f>
        <v>2.673696102428921E-2</v>
      </c>
      <c r="I1985" s="642">
        <f>I1984/(D1984+E1984+G1984+H1984+I1984+J1984+L1984+M1984+N1984)</f>
        <v>0</v>
      </c>
      <c r="J1985" s="642">
        <f>J1984/(D1984+E1984+G1984+H1984+I1984+J1984+L1984+M1984+N1984)</f>
        <v>0</v>
      </c>
      <c r="K1985" s="643">
        <f t="shared" si="61"/>
        <v>0.24993200694575202</v>
      </c>
      <c r="L1985" s="642">
        <f>L1984/(D1984+E1984+G1984+H1984+I1984+J1984+L1984+M1984+N1984)</f>
        <v>3.1904433147136972E-2</v>
      </c>
      <c r="M1985" s="642">
        <f>M1984/(D1984+E1984+G1984+H1984+I1984+J1984+L1984+M1984+N1984)</f>
        <v>0</v>
      </c>
      <c r="N1985" s="642">
        <f>N1984/(D1984+E1984+G1984+H1984+I1984+J1984+L1984+M1984+N1984)</f>
        <v>0.43707765852842112</v>
      </c>
      <c r="O1985" s="1515"/>
    </row>
    <row r="1986" spans="1:15" ht="12" customHeight="1">
      <c r="A1986" s="1516" t="s">
        <v>15186</v>
      </c>
      <c r="B1986" s="1509" t="s">
        <v>14937</v>
      </c>
      <c r="C1986" s="647" t="s">
        <v>6218</v>
      </c>
      <c r="D1986" s="648">
        <v>47747</v>
      </c>
      <c r="E1986" s="648">
        <v>28282</v>
      </c>
      <c r="F1986" s="649">
        <f t="shared" ref="F1986:F2049" si="62">SUM(D1986:E1986)</f>
        <v>76029</v>
      </c>
      <c r="G1986" s="648">
        <v>75091</v>
      </c>
      <c r="H1986" s="648">
        <v>12729</v>
      </c>
      <c r="I1986" s="648">
        <v>6441</v>
      </c>
      <c r="J1986" s="648">
        <v>3873</v>
      </c>
      <c r="K1986" s="649">
        <f t="shared" ref="K1986:K2049" si="63">SUM(G1986:J1986)</f>
        <v>98134</v>
      </c>
      <c r="L1986" s="648">
        <v>10456</v>
      </c>
      <c r="M1986" s="648">
        <v>4327</v>
      </c>
      <c r="N1986" s="648">
        <v>159302</v>
      </c>
      <c r="O1986" s="1510">
        <f>1-N1987</f>
        <v>0.54256162275160236</v>
      </c>
    </row>
    <row r="1987" spans="1:15" ht="12" customHeight="1">
      <c r="A1987" s="1517"/>
      <c r="B1987" s="1502"/>
      <c r="C1987" s="635" t="s">
        <v>6219</v>
      </c>
      <c r="D1987" s="636">
        <f>D1986/(D1986+E1986+G1986+H1986+I1986+J1986+L1986+M1986+N1986)</f>
        <v>0.13710631503985665</v>
      </c>
      <c r="E1987" s="636">
        <f>E1986/(D1986+E1986+G1986+H1986+I1986+J1986+L1986+M1986+N1986)</f>
        <v>8.1212239553421703E-2</v>
      </c>
      <c r="F1987" s="637">
        <f t="shared" si="62"/>
        <v>0.21831855459327837</v>
      </c>
      <c r="G1987" s="636">
        <f>G1986/(D1986+E1986+G1986+H1986+I1986+J1986+L1986+M1986+N1986)</f>
        <v>0.21562507178792126</v>
      </c>
      <c r="H1987" s="636">
        <f>H1986/(D1986+E1986+G1986+H1986+I1986+J1986+L1986+M1986+N1986)</f>
        <v>3.6551537984424891E-2</v>
      </c>
      <c r="I1987" s="636">
        <f>I1986/(D1986+E1986+G1986+H1986+I1986+J1986+L1986+M1986+N1986)</f>
        <v>1.8495440031242105E-2</v>
      </c>
      <c r="J1987" s="636">
        <f>J1986/(D1986+E1986+G1986+H1986+I1986+J1986+L1986+M1986+N1986)</f>
        <v>1.1121384760285773E-2</v>
      </c>
      <c r="K1987" s="637">
        <f t="shared" si="63"/>
        <v>0.28179343456387401</v>
      </c>
      <c r="L1987" s="636">
        <f>L1986/(D1986+E1986+G1986+H1986+I1986+J1986+L1986+M1986+N1986)</f>
        <v>3.0024580184236521E-2</v>
      </c>
      <c r="M1987" s="636">
        <f>M1986/(D1986+E1986+G1986+H1986+I1986+J1986+L1986+M1986+N1986)</f>
        <v>1.2425053410213412E-2</v>
      </c>
      <c r="N1987" s="636">
        <f>N1986/(D1986+E1986+G1986+H1986+I1986+J1986+L1986+M1986+N1986)</f>
        <v>0.4574383772483977</v>
      </c>
      <c r="O1987" s="1503"/>
    </row>
    <row r="1988" spans="1:15" ht="12" customHeight="1">
      <c r="A1988" s="1517"/>
      <c r="B1988" s="1502" t="s">
        <v>14938</v>
      </c>
      <c r="C1988" s="638" t="s">
        <v>6218</v>
      </c>
      <c r="D1988" s="639">
        <v>79872</v>
      </c>
      <c r="E1988" s="639">
        <v>34696</v>
      </c>
      <c r="F1988" s="640">
        <f t="shared" si="62"/>
        <v>114568</v>
      </c>
      <c r="G1988" s="639">
        <v>61352</v>
      </c>
      <c r="H1988" s="639">
        <v>19024</v>
      </c>
      <c r="I1988" s="639">
        <v>17715</v>
      </c>
      <c r="J1988" s="639"/>
      <c r="K1988" s="640">
        <f t="shared" si="63"/>
        <v>98091</v>
      </c>
      <c r="L1988" s="639">
        <v>11765</v>
      </c>
      <c r="M1988" s="639"/>
      <c r="N1988" s="639">
        <v>120806</v>
      </c>
      <c r="O1988" s="1503">
        <f>1-N1989</f>
        <v>0.65007096718129942</v>
      </c>
    </row>
    <row r="1989" spans="1:15" ht="12" customHeight="1">
      <c r="A1989" s="1517"/>
      <c r="B1989" s="1502"/>
      <c r="C1989" s="635" t="s">
        <v>6219</v>
      </c>
      <c r="D1989" s="636">
        <f>D1988/(D1988+E1988+G1988+H1988+I1988+J1988+L1988+M1988+N1988)</f>
        <v>0.23135880427541058</v>
      </c>
      <c r="E1989" s="636">
        <f>E1988/(D1988+E1988+G1988+H1988+I1988+J1988+L1988+M1988+N1988)</f>
        <v>0.10050111519856328</v>
      </c>
      <c r="F1989" s="637">
        <f t="shared" si="62"/>
        <v>0.33185991947397386</v>
      </c>
      <c r="G1989" s="636">
        <f>G1988/(D1988+E1988+G1988+H1988+I1988+J1988+L1988+M1988+N1988)</f>
        <v>0.17771340845233613</v>
      </c>
      <c r="H1989" s="636">
        <f>H1988/(D1988+E1988+G1988+H1988+I1988+J1988+L1988+M1988+N1988)</f>
        <v>5.5105292124091189E-2</v>
      </c>
      <c r="I1989" s="636">
        <f>I1988/(D1988+E1988+G1988+H1988+I1988+J1988+L1988+M1988+N1988)</f>
        <v>5.1313617008950554E-2</v>
      </c>
      <c r="J1989" s="636">
        <f>J1988/(D1988+E1988+G1988+H1988+I1988+J1988+L1988+M1988+N1988)</f>
        <v>0</v>
      </c>
      <c r="K1989" s="637">
        <f t="shared" si="63"/>
        <v>0.28413231758537788</v>
      </c>
      <c r="L1989" s="636">
        <f>L1988/(D1988+E1988+G1988+H1988+I1988+J1988+L1988+M1988+N1988)</f>
        <v>3.407873012194769E-2</v>
      </c>
      <c r="M1989" s="636">
        <f>M1988/(D1988+E1988+G1988+H1988+I1988+J1988+L1988+M1988+N1988)</f>
        <v>0</v>
      </c>
      <c r="N1989" s="636">
        <f>N1988/(D1988+E1988+G1988+H1988+I1988+J1988+L1988+M1988+N1988)</f>
        <v>0.34992903281870058</v>
      </c>
      <c r="O1989" s="1503"/>
    </row>
    <row r="1990" spans="1:15" ht="12" customHeight="1">
      <c r="A1990" s="1517"/>
      <c r="B1990" s="1502" t="s">
        <v>14939</v>
      </c>
      <c r="C1990" s="638" t="s">
        <v>6218</v>
      </c>
      <c r="D1990" s="639">
        <v>53616</v>
      </c>
      <c r="E1990" s="639">
        <v>32834</v>
      </c>
      <c r="F1990" s="640">
        <f t="shared" si="62"/>
        <v>86450</v>
      </c>
      <c r="G1990" s="639">
        <v>59942</v>
      </c>
      <c r="H1990" s="639">
        <v>14050</v>
      </c>
      <c r="I1990" s="639"/>
      <c r="J1990" s="639"/>
      <c r="K1990" s="640">
        <f t="shared" si="63"/>
        <v>73992</v>
      </c>
      <c r="L1990" s="639">
        <v>10701</v>
      </c>
      <c r="M1990" s="639">
        <v>5021</v>
      </c>
      <c r="N1990" s="639">
        <v>166937</v>
      </c>
      <c r="O1990" s="1503">
        <f>1-N1991</f>
        <v>0.51344647785928932</v>
      </c>
    </row>
    <row r="1991" spans="1:15" ht="12" customHeight="1">
      <c r="A1991" s="1517"/>
      <c r="B1991" s="1502"/>
      <c r="C1991" s="635" t="s">
        <v>6219</v>
      </c>
      <c r="D1991" s="636">
        <f>D1990/(D1990+E1990+G1990+H1990+I1990+J1990+L1990+M1990+N1990)</f>
        <v>0.15626885377775057</v>
      </c>
      <c r="E1991" s="636">
        <f>E1990/(D1990+E1990+G1990+H1990+I1990+J1990+L1990+M1990+N1990)</f>
        <v>9.5697768295633062E-2</v>
      </c>
      <c r="F1991" s="637">
        <f t="shared" si="62"/>
        <v>0.25196662207338361</v>
      </c>
      <c r="G1991" s="636">
        <f>G1990/(D1990+E1990+G1990+H1990+I1990+J1990+L1990+M1990+N1990)</f>
        <v>0.17470657328308573</v>
      </c>
      <c r="H1991" s="636">
        <f>H1990/(D1990+E1990+G1990+H1990+I1990+J1990+L1990+M1990+N1990)</f>
        <v>4.0950040950040949E-2</v>
      </c>
      <c r="I1991" s="636">
        <f>I1990/(D1990+E1990+G1990+H1990+I1990+J1990+L1990+M1990+N1990)</f>
        <v>0</v>
      </c>
      <c r="J1991" s="636">
        <f>J1990/(D1990+E1990+G1990+H1990+I1990+J1990+L1990+M1990+N1990)</f>
        <v>0</v>
      </c>
      <c r="K1991" s="637">
        <f t="shared" si="63"/>
        <v>0.21565661423312668</v>
      </c>
      <c r="L1991" s="636">
        <f>L1990/(D1990+E1990+G1990+H1990+I1990+J1990+L1990+M1990+N1990)</f>
        <v>3.1189066776255388E-2</v>
      </c>
      <c r="M1991" s="636">
        <f>M1990/(D1990+E1990+G1990+H1990+I1990+J1990+L1990+M1990+N1990)</f>
        <v>1.4634174776523531E-2</v>
      </c>
      <c r="N1991" s="636">
        <f>N1990/(D1990+E1990+G1990+H1990+I1990+J1990+L1990+M1990+N1990)</f>
        <v>0.48655352214071074</v>
      </c>
      <c r="O1991" s="1503"/>
    </row>
    <row r="1992" spans="1:15" ht="12" customHeight="1">
      <c r="A1992" s="1517"/>
      <c r="B1992" s="1502" t="s">
        <v>14940</v>
      </c>
      <c r="C1992" s="638" t="s">
        <v>6218</v>
      </c>
      <c r="D1992" s="639">
        <v>62382</v>
      </c>
      <c r="E1992" s="639">
        <v>34702</v>
      </c>
      <c r="F1992" s="640">
        <f t="shared" si="62"/>
        <v>97084</v>
      </c>
      <c r="G1992" s="639">
        <v>58406</v>
      </c>
      <c r="H1992" s="639">
        <v>15943</v>
      </c>
      <c r="I1992" s="639"/>
      <c r="J1992" s="639"/>
      <c r="K1992" s="640">
        <f t="shared" si="63"/>
        <v>74349</v>
      </c>
      <c r="L1992" s="639">
        <v>10920</v>
      </c>
      <c r="M1992" s="639"/>
      <c r="N1992" s="639">
        <v>159770</v>
      </c>
      <c r="O1992" s="1503">
        <f>1-N1993</f>
        <v>0.53300421193547343</v>
      </c>
    </row>
    <row r="1993" spans="1:15" ht="12" customHeight="1" thickBot="1">
      <c r="A1993" s="1519"/>
      <c r="B1993" s="1514"/>
      <c r="C1993" s="641" t="s">
        <v>6219</v>
      </c>
      <c r="D1993" s="642">
        <f>D1992/(D1992+E1992+G1992+H1992+I1992+J1992+L1992+M1992+N1992)</f>
        <v>0.18233793109495708</v>
      </c>
      <c r="E1993" s="642">
        <f>E1992/(D1992+E1992+G1992+H1992+I1992+J1992+L1992+M1992+N1992)</f>
        <v>0.10143135655889841</v>
      </c>
      <c r="F1993" s="643">
        <f t="shared" si="62"/>
        <v>0.28376928765385551</v>
      </c>
      <c r="G1993" s="642">
        <f>G1992/(D1992+E1992+G1992+H1992+I1992+J1992+L1992+M1992+N1992)</f>
        <v>0.17071637978154056</v>
      </c>
      <c r="H1993" s="642">
        <f>H1992/(D1992+E1992+G1992+H1992+I1992+J1992+L1992+M1992+N1992)</f>
        <v>4.6600199343510958E-2</v>
      </c>
      <c r="I1993" s="642">
        <f>I1992/(D1992+E1992+G1992+H1992+I1992+J1992+L1992+M1992+N1992)</f>
        <v>0</v>
      </c>
      <c r="J1993" s="642">
        <f>J1992/(D1992+E1992+G1992+H1992+I1992+J1992+L1992+M1992+N1992)</f>
        <v>0</v>
      </c>
      <c r="K1993" s="643">
        <f t="shared" si="63"/>
        <v>0.21731657912505151</v>
      </c>
      <c r="L1993" s="642">
        <f>L1992/(D1992+E1992+G1992+H1992+I1992+J1992+L1992+M1992+N1992)</f>
        <v>3.1918345156566497E-2</v>
      </c>
      <c r="M1993" s="642">
        <f>M1992/(D1992+E1992+G1992+H1992+I1992+J1992+L1992+M1992+N1992)</f>
        <v>0</v>
      </c>
      <c r="N1993" s="642">
        <f>N1992/(D1992+E1992+G1992+H1992+I1992+J1992+L1992+M1992+N1992)</f>
        <v>0.46699578806452652</v>
      </c>
      <c r="O1993" s="1515"/>
    </row>
    <row r="1994" spans="1:15" ht="12" customHeight="1">
      <c r="A1994" s="1516" t="s">
        <v>15187</v>
      </c>
      <c r="B1994" s="1509" t="s">
        <v>14937</v>
      </c>
      <c r="C1994" s="647" t="s">
        <v>6218</v>
      </c>
      <c r="D1994" s="648">
        <v>44848</v>
      </c>
      <c r="E1994" s="648">
        <v>20079</v>
      </c>
      <c r="F1994" s="649">
        <f t="shared" si="62"/>
        <v>64927</v>
      </c>
      <c r="G1994" s="648">
        <v>64957</v>
      </c>
      <c r="H1994" s="648">
        <v>6390</v>
      </c>
      <c r="I1994" s="648">
        <v>5182</v>
      </c>
      <c r="J1994" s="648">
        <v>3480</v>
      </c>
      <c r="K1994" s="649">
        <f t="shared" si="63"/>
        <v>80009</v>
      </c>
      <c r="L1994" s="648">
        <v>7137</v>
      </c>
      <c r="M1994" s="648">
        <v>4433</v>
      </c>
      <c r="N1994" s="648">
        <v>135614</v>
      </c>
      <c r="O1994" s="1510">
        <f>1-N1995</f>
        <v>0.53575927700944814</v>
      </c>
    </row>
    <row r="1995" spans="1:15" ht="12" customHeight="1">
      <c r="A1995" s="1517"/>
      <c r="B1995" s="1502"/>
      <c r="C1995" s="635" t="s">
        <v>6219</v>
      </c>
      <c r="D1995" s="636">
        <f>D1994/(D1994+E1994+G1994+H1994+I1994+J1994+L1994+M1994+N1994)</f>
        <v>0.15352594824044913</v>
      </c>
      <c r="E1995" s="636">
        <f>E1994/(D1994+E1994+G1994+H1994+I1994+J1994+L1994+M1994+N1994)</f>
        <v>6.8735451184444754E-2</v>
      </c>
      <c r="F1995" s="637">
        <f t="shared" si="62"/>
        <v>0.22226139942489387</v>
      </c>
      <c r="G1995" s="636">
        <f>G1994/(D1994+E1994+G1994+H1994+I1994+J1994+L1994+M1994+N1994)</f>
        <v>0.22236409694646037</v>
      </c>
      <c r="H1995" s="636">
        <f>H1994/(D1994+E1994+G1994+H1994+I1994+J1994+L1994+M1994+N1994)</f>
        <v>2.1874572093660141E-2</v>
      </c>
      <c r="I1995" s="636">
        <f>I1994/(D1994+E1994+G1994+H1994+I1994+J1994+L1994+M1994+N1994)</f>
        <v>1.7739285225249896E-2</v>
      </c>
      <c r="J1995" s="636">
        <f>J1994/(D1994+E1994+G1994+H1994+I1994+J1994+L1994+M1994+N1994)</f>
        <v>1.1912912501711625E-2</v>
      </c>
      <c r="K1995" s="637">
        <f t="shared" si="63"/>
        <v>0.27389086676708202</v>
      </c>
      <c r="L1995" s="636">
        <f>L1994/(D1994+E1994+G1994+H1994+I1994+J1994+L1994+M1994+N1994)</f>
        <v>2.4431740380665479E-2</v>
      </c>
      <c r="M1995" s="636">
        <f>M1994/(D1994+E1994+G1994+H1994+I1994+J1994+L1994+M1994+N1994)</f>
        <v>1.5175270436806792E-2</v>
      </c>
      <c r="N1995" s="636">
        <f>N1994/(D1994+E1994+G1994+H1994+I1994+J1994+L1994+M1994+N1994)</f>
        <v>0.4642407229905518</v>
      </c>
      <c r="O1995" s="1503"/>
    </row>
    <row r="1996" spans="1:15" ht="12" customHeight="1">
      <c r="A1996" s="1517"/>
      <c r="B1996" s="1502" t="s">
        <v>14938</v>
      </c>
      <c r="C1996" s="638" t="s">
        <v>6218</v>
      </c>
      <c r="D1996" s="639">
        <v>73684</v>
      </c>
      <c r="E1996" s="639">
        <v>26696</v>
      </c>
      <c r="F1996" s="640">
        <f t="shared" si="62"/>
        <v>100380</v>
      </c>
      <c r="G1996" s="639">
        <v>54878</v>
      </c>
      <c r="H1996" s="639">
        <v>10506</v>
      </c>
      <c r="I1996" s="639">
        <v>13870</v>
      </c>
      <c r="J1996" s="639"/>
      <c r="K1996" s="640">
        <f t="shared" si="63"/>
        <v>79254</v>
      </c>
      <c r="L1996" s="639">
        <v>8626</v>
      </c>
      <c r="M1996" s="639"/>
      <c r="N1996" s="639">
        <v>98821</v>
      </c>
      <c r="O1996" s="1503">
        <f>1-N1997</f>
        <v>0.65577310933151267</v>
      </c>
    </row>
    <row r="1997" spans="1:15" ht="12" customHeight="1">
      <c r="A1997" s="1517"/>
      <c r="B1997" s="1502"/>
      <c r="C1997" s="635" t="s">
        <v>6219</v>
      </c>
      <c r="D1997" s="636">
        <f>D1996/(D1996+E1996+G1996+H1996+I1996+J1996+L1996+M1996+N1996)</f>
        <v>0.25666623705504721</v>
      </c>
      <c r="E1997" s="636">
        <f>E1996/(D1996+E1996+G1996+H1996+I1996+J1996+L1996+M1996+N1996)</f>
        <v>9.2991176706225767E-2</v>
      </c>
      <c r="F1997" s="637">
        <f t="shared" si="62"/>
        <v>0.34965741376127296</v>
      </c>
      <c r="G1997" s="636">
        <f>G1996/(D1996+E1996+G1996+H1996+I1996+J1996+L1996+M1996+N1996)</f>
        <v>0.19115859287100156</v>
      </c>
      <c r="H1997" s="636">
        <f>H1996/(D1996+E1996+G1996+H1996+I1996+J1996+L1996+M1996+N1996)</f>
        <v>3.659594330519958E-2</v>
      </c>
      <c r="I1997" s="636">
        <f>I1996/(D1996+E1996+G1996+H1996+I1996+J1996+L1996+M1996+N1996)</f>
        <v>4.8313890504770432E-2</v>
      </c>
      <c r="J1997" s="636">
        <f>J1996/(D1996+E1996+G1996+H1996+I1996+J1996+L1996+M1996+N1996)</f>
        <v>0</v>
      </c>
      <c r="K1997" s="637">
        <f t="shared" si="63"/>
        <v>0.27606842668097159</v>
      </c>
      <c r="L1997" s="636">
        <f>L1996/(D1996+E1996+G1996+H1996+I1996+J1996+L1996+M1996+N1996)</f>
        <v>3.0047268889268185E-2</v>
      </c>
      <c r="M1997" s="636">
        <f>M1996/(D1996+E1996+G1996+H1996+I1996+J1996+L1996+M1996+N1996)</f>
        <v>0</v>
      </c>
      <c r="N1997" s="636">
        <f>N1996/(D1996+E1996+G1996+H1996+I1996+J1996+L1996+M1996+N1996)</f>
        <v>0.34422689066848727</v>
      </c>
      <c r="O1997" s="1503"/>
    </row>
    <row r="1998" spans="1:15" ht="12" customHeight="1">
      <c r="A1998" s="1517"/>
      <c r="B1998" s="1502" t="s">
        <v>14939</v>
      </c>
      <c r="C1998" s="638" t="s">
        <v>6218</v>
      </c>
      <c r="D1998" s="639">
        <v>48822</v>
      </c>
      <c r="E1998" s="639">
        <v>24130</v>
      </c>
      <c r="F1998" s="640">
        <f t="shared" si="62"/>
        <v>72952</v>
      </c>
      <c r="G1998" s="639">
        <v>53978</v>
      </c>
      <c r="H1998" s="639">
        <v>8193</v>
      </c>
      <c r="I1998" s="639"/>
      <c r="J1998" s="639"/>
      <c r="K1998" s="640">
        <f t="shared" si="63"/>
        <v>62171</v>
      </c>
      <c r="L1998" s="639">
        <v>7536</v>
      </c>
      <c r="M1998" s="639">
        <v>4697</v>
      </c>
      <c r="N1998" s="639">
        <v>137362</v>
      </c>
      <c r="O1998" s="1503">
        <f>1-N1999</f>
        <v>0.51755069928841868</v>
      </c>
    </row>
    <row r="1999" spans="1:15" ht="12" customHeight="1">
      <c r="A1999" s="1517"/>
      <c r="B1999" s="1502"/>
      <c r="C1999" s="635" t="s">
        <v>6219</v>
      </c>
      <c r="D1999" s="636">
        <f>D1998/(D1998+E1998+G1998+H1998+I1998+J1998+L1998+M1998+N1998)</f>
        <v>0.17147493309169073</v>
      </c>
      <c r="E1999" s="636">
        <f>E1998/(D1998+E1998+G1998+H1998+I1998+J1998+L1998+M1998+N1998)</f>
        <v>8.4750525080957304E-2</v>
      </c>
      <c r="F1999" s="637">
        <f t="shared" si="62"/>
        <v>0.25622545817264802</v>
      </c>
      <c r="G1999" s="636">
        <f>G1998/(D1998+E1998+G1998+H1998+I1998+J1998+L1998+M1998+N1998)</f>
        <v>0.1895840796858646</v>
      </c>
      <c r="H1999" s="636">
        <f>H1998/(D1998+E1998+G1998+H1998+I1998+J1998+L1998+M1998+N1998)</f>
        <v>2.8775841358818201E-2</v>
      </c>
      <c r="I1999" s="636">
        <f>I1998/(D1998+E1998+G1998+H1998+I1998+J1998+L1998+M1998+N1998)</f>
        <v>0</v>
      </c>
      <c r="J1999" s="636">
        <f>J1998/(D1998+E1998+G1998+H1998+I1998+J1998+L1998+M1998+N1998)</f>
        <v>0</v>
      </c>
      <c r="K1999" s="637">
        <f t="shared" si="63"/>
        <v>0.2183599210446828</v>
      </c>
      <c r="L1999" s="636">
        <f>L1998/(D1998+E1998+G1998+H1998+I1998+J1998+L1998+M1998+N1998)</f>
        <v>2.6468294944471372E-2</v>
      </c>
      <c r="M1999" s="636">
        <f>M1998/(D1998+E1998+G1998+H1998+I1998+J1998+L1998+M1998+N1998)</f>
        <v>1.6497025126616511E-2</v>
      </c>
      <c r="N1999" s="636">
        <f>N1998/(D1998+E1998+G1998+H1998+I1998+J1998+L1998+M1998+N1998)</f>
        <v>0.48244930071158126</v>
      </c>
      <c r="O1999" s="1503"/>
    </row>
    <row r="2000" spans="1:15" ht="12" customHeight="1">
      <c r="A2000" s="1517"/>
      <c r="B2000" s="1502" t="s">
        <v>14940</v>
      </c>
      <c r="C2000" s="638" t="s">
        <v>6218</v>
      </c>
      <c r="D2000" s="639">
        <v>59619</v>
      </c>
      <c r="E2000" s="639">
        <v>25111</v>
      </c>
      <c r="F2000" s="640">
        <f t="shared" si="62"/>
        <v>84730</v>
      </c>
      <c r="G2000" s="639">
        <v>56309</v>
      </c>
      <c r="H2000" s="639">
        <v>8872</v>
      </c>
      <c r="I2000" s="639"/>
      <c r="J2000" s="639"/>
      <c r="K2000" s="640">
        <f t="shared" si="63"/>
        <v>65181</v>
      </c>
      <c r="L2000" s="639">
        <v>7582</v>
      </c>
      <c r="M2000" s="639"/>
      <c r="N2000" s="639">
        <v>125404</v>
      </c>
      <c r="O2000" s="1503">
        <f>1-N2001</f>
        <v>0.55671498814055997</v>
      </c>
    </row>
    <row r="2001" spans="1:15" ht="12" customHeight="1" thickBot="1">
      <c r="A2001" s="1519"/>
      <c r="B2001" s="1514"/>
      <c r="C2001" s="641" t="s">
        <v>6219</v>
      </c>
      <c r="D2001" s="642">
        <f>D2000/(D2000+E2000+G2000+H2000+I2000+J2000+L2000+M2000+N2000)</f>
        <v>0.21074454660176672</v>
      </c>
      <c r="E2001" s="642">
        <f>E2000/(D2000+E2000+G2000+H2000+I2000+J2000+L2000+M2000+N2000)</f>
        <v>8.8763755006239023E-2</v>
      </c>
      <c r="F2001" s="643">
        <f t="shared" si="62"/>
        <v>0.29950830160800573</v>
      </c>
      <c r="G2001" s="642">
        <f>G2000/(D2000+E2000+G2000+H2000+I2000+J2000+L2000+M2000+N2000)</f>
        <v>0.19904417508845976</v>
      </c>
      <c r="H2001" s="642">
        <f>H2000/(D2000+E2000+G2000+H2000+I2000+J2000+L2000+M2000+N2000)</f>
        <v>3.1361237482193167E-2</v>
      </c>
      <c r="I2001" s="642">
        <f>I2000/(D2000+E2000+G2000+H2000+I2000+J2000+L2000+M2000+N2000)</f>
        <v>0</v>
      </c>
      <c r="J2001" s="642">
        <f>J2000/(D2000+E2000+G2000+H2000+I2000+J2000+L2000+M2000+N2000)</f>
        <v>0</v>
      </c>
      <c r="K2001" s="643">
        <f t="shared" si="63"/>
        <v>0.23040541257065292</v>
      </c>
      <c r="L2001" s="642">
        <f>L2000/(D2000+E2000+G2000+H2000+I2000+J2000+L2000+M2000+N2000)</f>
        <v>2.6801273961901326E-2</v>
      </c>
      <c r="M2001" s="642">
        <f>M2000/(D2000+E2000+G2000+H2000+I2000+J2000+L2000+M2000+N2000)</f>
        <v>0</v>
      </c>
      <c r="N2001" s="642">
        <f>N2000/(D2000+E2000+G2000+H2000+I2000+J2000+L2000+M2000+N2000)</f>
        <v>0.44328501185944003</v>
      </c>
      <c r="O2001" s="1515"/>
    </row>
    <row r="2002" spans="1:15" ht="12" customHeight="1">
      <c r="A2002" s="1516" t="s">
        <v>15188</v>
      </c>
      <c r="B2002" s="1509" t="s">
        <v>14937</v>
      </c>
      <c r="C2002" s="647" t="s">
        <v>6218</v>
      </c>
      <c r="D2002" s="648">
        <v>51014</v>
      </c>
      <c r="E2002" s="648">
        <v>21268</v>
      </c>
      <c r="F2002" s="649">
        <f t="shared" si="62"/>
        <v>72282</v>
      </c>
      <c r="G2002" s="648">
        <v>61672</v>
      </c>
      <c r="H2002" s="648">
        <v>6071</v>
      </c>
      <c r="I2002" s="648">
        <v>4996</v>
      </c>
      <c r="J2002" s="648">
        <v>3032</v>
      </c>
      <c r="K2002" s="649">
        <f t="shared" si="63"/>
        <v>75771</v>
      </c>
      <c r="L2002" s="648">
        <v>6629</v>
      </c>
      <c r="M2002" s="648">
        <v>4353</v>
      </c>
      <c r="N2002" s="648">
        <v>119432</v>
      </c>
      <c r="O2002" s="1510">
        <f>1-N2003</f>
        <v>0.57110896443743786</v>
      </c>
    </row>
    <row r="2003" spans="1:15" ht="12" customHeight="1">
      <c r="A2003" s="1517"/>
      <c r="B2003" s="1502"/>
      <c r="C2003" s="635" t="s">
        <v>6219</v>
      </c>
      <c r="D2003" s="636">
        <f>D2002/(D2002+E2002+G2002+H2002+I2002+J2002+L2002+M2002+N2002)</f>
        <v>0.18319585444594871</v>
      </c>
      <c r="E2003" s="636">
        <f>E2002/(D2002+E2002+G2002+H2002+I2002+J2002+L2002+M2002+N2002)</f>
        <v>7.6375297611566181E-2</v>
      </c>
      <c r="F2003" s="637">
        <f t="shared" si="62"/>
        <v>0.25957115205751491</v>
      </c>
      <c r="G2003" s="636">
        <f>G2002/(D2002+E2002+G2002+H2002+I2002+J2002+L2002+M2002+N2002)</f>
        <v>0.22146968940664424</v>
      </c>
      <c r="H2003" s="636">
        <f>H2002/(D2002+E2002+G2002+H2002+I2002+J2002+L2002+M2002+N2002)</f>
        <v>2.1801506103057096E-2</v>
      </c>
      <c r="I2003" s="636">
        <f>I2002/(D2002+E2002+G2002+H2002+I2002+J2002+L2002+M2002+N2002)</f>
        <v>1.7941084580937777E-2</v>
      </c>
      <c r="J2003" s="636">
        <f>J2002/(D2002+E2002+G2002+H2002+I2002+J2002+L2002+M2002+N2002)</f>
        <v>1.0888184237270485E-2</v>
      </c>
      <c r="K2003" s="637">
        <f t="shared" si="63"/>
        <v>0.27210046432790963</v>
      </c>
      <c r="L2003" s="636">
        <f>L2002/(D2002+E2002+G2002+H2002+I2002+J2002+L2002+M2002+N2002)</f>
        <v>2.3805334204771121E-2</v>
      </c>
      <c r="M2003" s="636">
        <f>M2002/(D2002+E2002+G2002+H2002+I2002+J2002+L2002+M2002+N2002)</f>
        <v>1.5632013847242221E-2</v>
      </c>
      <c r="N2003" s="636">
        <f>N2002/(D2002+E2002+G2002+H2002+I2002+J2002+L2002+M2002+N2002)</f>
        <v>0.4288910355625622</v>
      </c>
      <c r="O2003" s="1503"/>
    </row>
    <row r="2004" spans="1:15" ht="12" customHeight="1">
      <c r="A2004" s="1517"/>
      <c r="B2004" s="1502" t="s">
        <v>14938</v>
      </c>
      <c r="C2004" s="638" t="s">
        <v>6218</v>
      </c>
      <c r="D2004" s="639">
        <v>77177</v>
      </c>
      <c r="E2004" s="639">
        <v>26302</v>
      </c>
      <c r="F2004" s="640">
        <f t="shared" si="62"/>
        <v>103479</v>
      </c>
      <c r="G2004" s="639">
        <v>59051</v>
      </c>
      <c r="H2004" s="639">
        <v>10044</v>
      </c>
      <c r="I2004" s="639">
        <v>13534</v>
      </c>
      <c r="J2004" s="639"/>
      <c r="K2004" s="640">
        <f t="shared" si="63"/>
        <v>82629</v>
      </c>
      <c r="L2004" s="639">
        <v>7736</v>
      </c>
      <c r="M2004" s="639"/>
      <c r="N2004" s="639">
        <v>87886</v>
      </c>
      <c r="O2004" s="1503">
        <f>1-N2005</f>
        <v>0.6880488410889859</v>
      </c>
    </row>
    <row r="2005" spans="1:15" ht="12" customHeight="1">
      <c r="A2005" s="1517"/>
      <c r="B2005" s="1502"/>
      <c r="C2005" s="635" t="s">
        <v>6219</v>
      </c>
      <c r="D2005" s="636">
        <f>D2004/(D2004+E2004+G2004+H2004+I2004+J2004+L2004+M2004+N2004)</f>
        <v>0.2739395875483619</v>
      </c>
      <c r="E2005" s="636">
        <f>E2004/(D2004+E2004+G2004+H2004+I2004+J2004+L2004+M2004+N2004)</f>
        <v>9.3358889717105029E-2</v>
      </c>
      <c r="F2005" s="637">
        <f t="shared" si="62"/>
        <v>0.36729847726546694</v>
      </c>
      <c r="G2005" s="636">
        <f>G2004/(D2004+E2004+G2004+H2004+I2004+J2004+L2004+M2004+N2004)</f>
        <v>0.20960139140311645</v>
      </c>
      <c r="H2005" s="636">
        <f>H2004/(D2004+E2004+G2004+H2004+I2004+J2004+L2004+M2004+N2004)</f>
        <v>3.5651155361516348E-2</v>
      </c>
      <c r="I2005" s="636">
        <f>I2004/(D2004+E2004+G2004+H2004+I2004+J2004+L2004+M2004+N2004)</f>
        <v>4.8038902495296916E-2</v>
      </c>
      <c r="J2005" s="636">
        <f>J2004/(D2004+E2004+G2004+H2004+I2004+J2004+L2004+M2004+N2004)</f>
        <v>0</v>
      </c>
      <c r="K2005" s="637">
        <f t="shared" si="63"/>
        <v>0.29329144925992973</v>
      </c>
      <c r="L2005" s="636">
        <f>L2004/(D2004+E2004+G2004+H2004+I2004+J2004+L2004+M2004+N2004)</f>
        <v>2.7458914563589253E-2</v>
      </c>
      <c r="M2005" s="636">
        <f>M2004/(D2004+E2004+G2004+H2004+I2004+J2004+L2004+M2004+N2004)</f>
        <v>0</v>
      </c>
      <c r="N2005" s="636">
        <f>N2004/(D2004+E2004+G2004+H2004+I2004+J2004+L2004+M2004+N2004)</f>
        <v>0.3119511589110141</v>
      </c>
      <c r="O2005" s="1503"/>
    </row>
    <row r="2006" spans="1:15" ht="12" customHeight="1">
      <c r="A2006" s="1517"/>
      <c r="B2006" s="1502" t="s">
        <v>14939</v>
      </c>
      <c r="C2006" s="638" t="s">
        <v>6218</v>
      </c>
      <c r="D2006" s="639">
        <v>58058</v>
      </c>
      <c r="E2006" s="639">
        <v>23753</v>
      </c>
      <c r="F2006" s="640">
        <f t="shared" si="62"/>
        <v>81811</v>
      </c>
      <c r="G2006" s="639">
        <v>52958</v>
      </c>
      <c r="H2006" s="639">
        <v>8160</v>
      </c>
      <c r="I2006" s="639"/>
      <c r="J2006" s="639"/>
      <c r="K2006" s="640">
        <f t="shared" si="63"/>
        <v>61118</v>
      </c>
      <c r="L2006" s="639">
        <v>6889</v>
      </c>
      <c r="M2006" s="639">
        <v>4251</v>
      </c>
      <c r="N2006" s="639">
        <v>129142</v>
      </c>
      <c r="O2006" s="1503">
        <f>1-N2007</f>
        <v>0.5440078245548372</v>
      </c>
    </row>
    <row r="2007" spans="1:15" ht="12" customHeight="1">
      <c r="A2007" s="1517"/>
      <c r="B2007" s="1502"/>
      <c r="C2007" s="635" t="s">
        <v>6219</v>
      </c>
      <c r="D2007" s="636">
        <f>D2006/(D2006+E2006+G2006+H2006+I2006+J2006+L2006+M2006+N2006)</f>
        <v>0.20499909961124391</v>
      </c>
      <c r="E2007" s="636">
        <f>E2006/(D2006+E2006+G2006+H2006+I2006+J2006+L2006+M2006+N2006)</f>
        <v>8.3870329895378362E-2</v>
      </c>
      <c r="F2007" s="637">
        <f t="shared" si="62"/>
        <v>0.28886942950662226</v>
      </c>
      <c r="G2007" s="636">
        <f>G2006/(D2006+E2006+G2006+H2006+I2006+J2006+L2006+M2006+N2006)</f>
        <v>0.18699132448951489</v>
      </c>
      <c r="H2007" s="636">
        <f>H2006/(D2006+E2006+G2006+H2006+I2006+J2006+L2006+M2006+N2006)</f>
        <v>2.8812440194766448E-2</v>
      </c>
      <c r="I2007" s="636">
        <f>I2006/(D2006+E2006+G2006+H2006+I2006+J2006+L2006+M2006+N2006)</f>
        <v>0</v>
      </c>
      <c r="J2007" s="636">
        <f>J2006/(D2006+E2006+G2006+H2006+I2006+J2006+L2006+M2006+N2006)</f>
        <v>0</v>
      </c>
      <c r="K2007" s="637">
        <f t="shared" si="63"/>
        <v>0.21580376468428134</v>
      </c>
      <c r="L2007" s="636">
        <f>L2006/(D2006+E2006+G2006+H2006+I2006+J2006+L2006+M2006+N2006)</f>
        <v>2.4324620159527702E-2</v>
      </c>
      <c r="M2007" s="636">
        <f>M2006/(D2006+E2006+G2006+H2006+I2006+J2006+L2006+M2006+N2006)</f>
        <v>1.5010010204405903E-2</v>
      </c>
      <c r="N2007" s="636">
        <f>N2006/(D2006+E2006+G2006+H2006+I2006+J2006+L2006+M2006+N2006)</f>
        <v>0.4559921754451628</v>
      </c>
      <c r="O2007" s="1503"/>
    </row>
    <row r="2008" spans="1:15" ht="12" customHeight="1">
      <c r="A2008" s="1517"/>
      <c r="B2008" s="1502" t="s">
        <v>14940</v>
      </c>
      <c r="C2008" s="638" t="s">
        <v>6218</v>
      </c>
      <c r="D2008" s="639">
        <v>71468</v>
      </c>
      <c r="E2008" s="639">
        <v>27340</v>
      </c>
      <c r="F2008" s="640">
        <f t="shared" si="62"/>
        <v>98808</v>
      </c>
      <c r="G2008" s="639">
        <v>59381</v>
      </c>
      <c r="H2008" s="639">
        <v>8642</v>
      </c>
      <c r="I2008" s="639"/>
      <c r="J2008" s="639"/>
      <c r="K2008" s="640">
        <f t="shared" si="63"/>
        <v>68023</v>
      </c>
      <c r="L2008" s="639">
        <v>8035</v>
      </c>
      <c r="M2008" s="639"/>
      <c r="N2008" s="639">
        <v>109442</v>
      </c>
      <c r="O2008" s="1503">
        <f>1-N2009</f>
        <v>0.61505831703645342</v>
      </c>
    </row>
    <row r="2009" spans="1:15" ht="12" customHeight="1" thickBot="1">
      <c r="A2009" s="1519"/>
      <c r="B2009" s="1514"/>
      <c r="C2009" s="641" t="s">
        <v>6219</v>
      </c>
      <c r="D2009" s="642">
        <f>D2008/(D2008+E2008+G2008+H2008+I2008+J2008+L2008+M2008+N2008)</f>
        <v>0.25137526907438412</v>
      </c>
      <c r="E2009" s="642">
        <f>E2008/(D2008+E2008+G2008+H2008+I2008+J2008+L2008+M2008+N2008)</f>
        <v>9.6163315840567268E-2</v>
      </c>
      <c r="F2009" s="643">
        <f t="shared" si="62"/>
        <v>0.34753858491495138</v>
      </c>
      <c r="G2009" s="642">
        <f>G2008/(D2008+E2008+G2008+H2008+I2008+J2008+L2008+M2008+N2008)</f>
        <v>0.20886151638364028</v>
      </c>
      <c r="H2009" s="642">
        <f>H2008/(D2008+E2008+G2008+H2008+I2008+J2008+L2008+M2008+N2008)</f>
        <v>3.0396612124878652E-2</v>
      </c>
      <c r="I2009" s="642">
        <f>I2008/(D2008+E2008+G2008+H2008+I2008+J2008+L2008+M2008+N2008)</f>
        <v>0</v>
      </c>
      <c r="J2009" s="642">
        <f>J2008/(D2008+E2008+G2008+H2008+I2008+J2008+L2008+M2008+N2008)</f>
        <v>0</v>
      </c>
      <c r="K2009" s="643">
        <f t="shared" si="63"/>
        <v>0.23925812850851894</v>
      </c>
      <c r="L2009" s="642">
        <f>L2008/(D2008+E2008+G2008+H2008+I2008+J2008+L2008+M2008+N2008)</f>
        <v>2.8261603612983102E-2</v>
      </c>
      <c r="M2009" s="642">
        <f>M2008/(D2008+E2008+G2008+H2008+I2008+J2008+L2008+M2008+N2008)</f>
        <v>0</v>
      </c>
      <c r="N2009" s="642">
        <f>N2008/(D2008+E2008+G2008+H2008+I2008+J2008+L2008+M2008+N2008)</f>
        <v>0.38494168296354658</v>
      </c>
      <c r="O2009" s="1515"/>
    </row>
    <row r="2010" spans="1:15" ht="12" customHeight="1">
      <c r="A2010" s="1523" t="s">
        <v>15189</v>
      </c>
      <c r="B2010" s="1509" t="s">
        <v>14937</v>
      </c>
      <c r="C2010" s="647" t="s">
        <v>6218</v>
      </c>
      <c r="D2010" s="648">
        <v>52246</v>
      </c>
      <c r="E2010" s="648">
        <v>29929</v>
      </c>
      <c r="F2010" s="649">
        <f t="shared" si="62"/>
        <v>82175</v>
      </c>
      <c r="G2010" s="648">
        <v>76821</v>
      </c>
      <c r="H2010" s="648">
        <v>8617</v>
      </c>
      <c r="I2010" s="648">
        <v>20282</v>
      </c>
      <c r="J2010" s="648">
        <v>2929</v>
      </c>
      <c r="K2010" s="649">
        <f t="shared" si="63"/>
        <v>108649</v>
      </c>
      <c r="L2010" s="648">
        <v>9925</v>
      </c>
      <c r="M2010" s="648">
        <v>5334</v>
      </c>
      <c r="N2010" s="648">
        <v>131668</v>
      </c>
      <c r="O2010" s="1510">
        <f>1-N2011</f>
        <v>0.6101625161731572</v>
      </c>
    </row>
    <row r="2011" spans="1:15" ht="12" customHeight="1">
      <c r="A2011" s="1524"/>
      <c r="B2011" s="1502"/>
      <c r="C2011" s="635" t="s">
        <v>6219</v>
      </c>
      <c r="D2011" s="636">
        <f>D2010/(D2010+E2010+G2010+H2010+I2010+J2010+L2010+M2010+N2010)</f>
        <v>0.15468792098320952</v>
      </c>
      <c r="E2011" s="636">
        <f>E2010/(D2010+E2010+G2010+H2010+I2010+J2010+L2010+M2010+N2010)</f>
        <v>8.8612616987070361E-2</v>
      </c>
      <c r="F2011" s="637">
        <f t="shared" si="62"/>
        <v>0.2433005379702799</v>
      </c>
      <c r="G2011" s="636">
        <f>G2010/(D2010+E2010+G2010+H2010+I2010+J2010+L2010+M2010+N2010)</f>
        <v>0.22744862339415722</v>
      </c>
      <c r="H2011" s="636">
        <f>H2010/(D2010+E2010+G2010+H2010+I2010+J2010+L2010+M2010+N2010)</f>
        <v>2.5512877830117454E-2</v>
      </c>
      <c r="I2011" s="636">
        <f>I2010/(D2010+E2010+G2010+H2010+I2010+J2010+L2010+M2010+N2010)</f>
        <v>6.0050155291916235E-2</v>
      </c>
      <c r="J2011" s="636">
        <f>J2010/(D2010+E2010+G2010+H2010+I2010+J2010+L2010+M2010+N2010)</f>
        <v>8.672069068633402E-3</v>
      </c>
      <c r="K2011" s="637">
        <f t="shared" si="63"/>
        <v>0.32168372558482428</v>
      </c>
      <c r="L2011" s="636">
        <f>L2010/(D2010+E2010+G2010+H2010+I2010+J2010+L2010+M2010+N2010)</f>
        <v>2.9385553262610623E-2</v>
      </c>
      <c r="M2011" s="636">
        <f>M2010/(D2010+E2010+G2010+H2010+I2010+J2010+L2010+M2010+N2010)</f>
        <v>1.5792699355442322E-2</v>
      </c>
      <c r="N2011" s="636">
        <f>N2010/(D2010+E2010+G2010+H2010+I2010+J2010+L2010+M2010+N2010)</f>
        <v>0.38983748382684286</v>
      </c>
      <c r="O2011" s="1503"/>
    </row>
    <row r="2012" spans="1:15" ht="12" customHeight="1">
      <c r="A2012" s="1524"/>
      <c r="B2012" s="1502" t="s">
        <v>14938</v>
      </c>
      <c r="C2012" s="638" t="s">
        <v>6218</v>
      </c>
      <c r="D2012" s="639">
        <v>69863</v>
      </c>
      <c r="E2012" s="639">
        <v>42899</v>
      </c>
      <c r="F2012" s="640">
        <f t="shared" si="62"/>
        <v>112762</v>
      </c>
      <c r="G2012" s="639">
        <v>73950</v>
      </c>
      <c r="H2012" s="639">
        <v>15677</v>
      </c>
      <c r="I2012" s="639">
        <v>48288</v>
      </c>
      <c r="J2012" s="639"/>
      <c r="K2012" s="640">
        <f t="shared" si="63"/>
        <v>137915</v>
      </c>
      <c r="L2012" s="639">
        <v>11819</v>
      </c>
      <c r="M2012" s="639"/>
      <c r="N2012" s="639">
        <v>78250</v>
      </c>
      <c r="O2012" s="1503">
        <f>1-N2013</f>
        <v>0.77035680536235196</v>
      </c>
    </row>
    <row r="2013" spans="1:15" ht="12" customHeight="1">
      <c r="A2013" s="1524"/>
      <c r="B2013" s="1502"/>
      <c r="C2013" s="635" t="s">
        <v>6219</v>
      </c>
      <c r="D2013" s="636">
        <f>D2012/(D2012+E2012+G2012+H2012+I2012+J2012+L2012+M2012+N2012)</f>
        <v>0.20502955280472845</v>
      </c>
      <c r="E2013" s="636">
        <f>E2012/(D2012+E2012+G2012+H2012+I2012+J2012+L2012+M2012+N2012)</f>
        <v>0.12589729593304103</v>
      </c>
      <c r="F2013" s="637">
        <f t="shared" si="62"/>
        <v>0.33092684873776945</v>
      </c>
      <c r="G2013" s="636">
        <f>G2012/(D2012+E2012+G2012+H2012+I2012+J2012+L2012+M2012+N2012)</f>
        <v>0.21702382419749608</v>
      </c>
      <c r="H2013" s="636">
        <f>H2012/(D2012+E2012+G2012+H2012+I2012+J2012+L2012+M2012+N2012)</f>
        <v>4.6007876834944506E-2</v>
      </c>
      <c r="I2013" s="636">
        <f>I2012/(D2012+E2012+G2012+H2012+I2012+J2012+L2012+M2012+N2012)</f>
        <v>0.14171259530559419</v>
      </c>
      <c r="J2013" s="636">
        <f>J2012/(D2012+E2012+G2012+H2012+I2012+J2012+L2012+M2012+N2012)</f>
        <v>0</v>
      </c>
      <c r="K2013" s="637">
        <f t="shared" si="63"/>
        <v>0.40474429633803477</v>
      </c>
      <c r="L2013" s="636">
        <f>L2012/(D2012+E2012+G2012+H2012+I2012+J2012+L2012+M2012+N2012)</f>
        <v>3.4685660286547751E-2</v>
      </c>
      <c r="M2013" s="636">
        <f>M2012/(D2012+E2012+G2012+H2012+I2012+J2012+L2012+M2012+N2012)</f>
        <v>0</v>
      </c>
      <c r="N2013" s="636">
        <f>N2012/(D2012+E2012+G2012+H2012+I2012+J2012+L2012+M2012+N2012)</f>
        <v>0.22964319463764798</v>
      </c>
      <c r="O2013" s="1503"/>
    </row>
    <row r="2014" spans="1:15" ht="12" customHeight="1">
      <c r="A2014" s="1524"/>
      <c r="B2014" s="1502" t="s">
        <v>14939</v>
      </c>
      <c r="C2014" s="638" t="s">
        <v>6218</v>
      </c>
      <c r="D2014" s="639">
        <v>69419</v>
      </c>
      <c r="E2014" s="639">
        <v>39791</v>
      </c>
      <c r="F2014" s="640">
        <f t="shared" si="62"/>
        <v>109210</v>
      </c>
      <c r="G2014" s="639">
        <v>66020</v>
      </c>
      <c r="H2014" s="639">
        <v>12809</v>
      </c>
      <c r="I2014" s="639"/>
      <c r="J2014" s="639"/>
      <c r="K2014" s="640">
        <f t="shared" si="63"/>
        <v>78829</v>
      </c>
      <c r="L2014" s="639">
        <v>11353</v>
      </c>
      <c r="M2014" s="639">
        <v>4708</v>
      </c>
      <c r="N2014" s="639">
        <v>136737</v>
      </c>
      <c r="O2014" s="1503">
        <f>1-N2015</f>
        <v>0.59881996379501046</v>
      </c>
    </row>
    <row r="2015" spans="1:15" ht="12" customHeight="1">
      <c r="A2015" s="1524"/>
      <c r="B2015" s="1502"/>
      <c r="C2015" s="635" t="s">
        <v>6219</v>
      </c>
      <c r="D2015" s="636">
        <f>D2014/(D2014+E2014+G2014+H2014+I2014+J2014+L2014+M2014+N2014)</f>
        <v>0.2036721365344725</v>
      </c>
      <c r="E2015" s="636">
        <f>E2014/(D2014+E2014+G2014+H2014+I2014+J2014+L2014+M2014+N2014)</f>
        <v>0.11674495433300962</v>
      </c>
      <c r="F2015" s="637">
        <f t="shared" si="62"/>
        <v>0.3204170908674821</v>
      </c>
      <c r="G2015" s="636">
        <f>G2014/(D2014+E2014+G2014+H2014+I2014+J2014+L2014+M2014+N2014)</f>
        <v>0.193699627681267</v>
      </c>
      <c r="H2015" s="636">
        <f>H2014/(D2014+E2014+G2014+H2014+I2014+J2014+L2014+M2014+N2014)</f>
        <v>3.7581013798384563E-2</v>
      </c>
      <c r="I2015" s="636">
        <f>I2014/(D2014+E2014+G2014+H2014+I2014+J2014+L2014+M2014+N2014)</f>
        <v>0</v>
      </c>
      <c r="J2015" s="636">
        <f>J2014/(D2014+E2014+G2014+H2014+I2014+J2014+L2014+M2014+N2014)</f>
        <v>0</v>
      </c>
      <c r="K2015" s="637">
        <f t="shared" si="63"/>
        <v>0.23128064147965155</v>
      </c>
      <c r="L2015" s="636">
        <f>L2014/(D2014+E2014+G2014+H2014+I2014+J2014+L2014+M2014+N2014)</f>
        <v>3.3309177113987037E-2</v>
      </c>
      <c r="M2015" s="636">
        <f>M2014/(D2014+E2014+G2014+H2014+I2014+J2014+L2014+M2014+N2014)</f>
        <v>1.3813054333889806E-2</v>
      </c>
      <c r="N2015" s="636">
        <f>N2014/(D2014+E2014+G2014+H2014+I2014+J2014+L2014+M2014+N2014)</f>
        <v>0.40118003620498949</v>
      </c>
      <c r="O2015" s="1503"/>
    </row>
    <row r="2016" spans="1:15" ht="12" customHeight="1">
      <c r="A2016" s="1524"/>
      <c r="B2016" s="1502" t="s">
        <v>14940</v>
      </c>
      <c r="C2016" s="638" t="s">
        <v>6218</v>
      </c>
      <c r="D2016" s="639">
        <v>78989</v>
      </c>
      <c r="E2016" s="639">
        <v>42653</v>
      </c>
      <c r="F2016" s="640">
        <f t="shared" si="62"/>
        <v>121642</v>
      </c>
      <c r="G2016" s="639">
        <v>79794</v>
      </c>
      <c r="H2016" s="639">
        <v>13396</v>
      </c>
      <c r="I2016" s="639"/>
      <c r="J2016" s="639"/>
      <c r="K2016" s="640">
        <f t="shared" si="63"/>
        <v>93190</v>
      </c>
      <c r="L2016" s="639">
        <v>12376</v>
      </c>
      <c r="M2016" s="639"/>
      <c r="N2016" s="639">
        <v>114279</v>
      </c>
      <c r="O2016" s="1503">
        <f>1-N2017</f>
        <v>0.66534890054379814</v>
      </c>
    </row>
    <row r="2017" spans="1:15" ht="12" customHeight="1" thickBot="1">
      <c r="A2017" s="1525"/>
      <c r="B2017" s="1514"/>
      <c r="C2017" s="641" t="s">
        <v>6219</v>
      </c>
      <c r="D2017" s="642">
        <f>D2016/(D2016+E2016+G2016+H2016+I2016+J2016+L2016+M2016+N2016)</f>
        <v>0.23130895173169111</v>
      </c>
      <c r="E2017" s="642">
        <f>E2016/(D2016+E2016+G2016+H2016+I2016+J2016+L2016+M2016+N2016)</f>
        <v>0.12490372986380155</v>
      </c>
      <c r="F2017" s="643">
        <f t="shared" si="62"/>
        <v>0.35621268159549269</v>
      </c>
      <c r="G2017" s="642">
        <f>G2016/(D2016+E2016+G2016+H2016+I2016+J2016+L2016+M2016+N2016)</f>
        <v>0.23366628890704477</v>
      </c>
      <c r="H2017" s="642">
        <f>H2016/(D2016+E2016+G2016+H2016+I2016+J2016+L2016+M2016+N2016)</f>
        <v>3.9228433293214675E-2</v>
      </c>
      <c r="I2017" s="642">
        <f>I2016/(D2016+E2016+G2016+H2016+I2016+J2016+L2016+M2016+N2016)</f>
        <v>0</v>
      </c>
      <c r="J2017" s="642">
        <f>J2016/(D2016+E2016+G2016+H2016+I2016+J2016+L2016+M2016+N2016)</f>
        <v>0</v>
      </c>
      <c r="K2017" s="643">
        <f t="shared" si="63"/>
        <v>0.27289472220025945</v>
      </c>
      <c r="L2017" s="642">
        <f>L2016/(D2016+E2016+G2016+H2016+I2016+J2016+L2016+M2016+N2016)</f>
        <v>3.6241496748046047E-2</v>
      </c>
      <c r="M2017" s="642">
        <f>M2016/(D2016+E2016+G2016+H2016+I2016+J2016+L2016+M2016+N2016)</f>
        <v>0</v>
      </c>
      <c r="N2017" s="642">
        <f>N2016/(D2016+E2016+G2016+H2016+I2016+J2016+L2016+M2016+N2016)</f>
        <v>0.33465109945620186</v>
      </c>
      <c r="O2017" s="1515"/>
    </row>
    <row r="2018" spans="1:15" ht="12" customHeight="1">
      <c r="A2018" s="1516" t="s">
        <v>15190</v>
      </c>
      <c r="B2018" s="1509" t="s">
        <v>14937</v>
      </c>
      <c r="C2018" s="647" t="s">
        <v>6218</v>
      </c>
      <c r="D2018" s="648">
        <v>46653</v>
      </c>
      <c r="E2018" s="648">
        <v>35515</v>
      </c>
      <c r="F2018" s="649">
        <f t="shared" si="62"/>
        <v>82168</v>
      </c>
      <c r="G2018" s="648">
        <v>80909</v>
      </c>
      <c r="H2018" s="648">
        <v>5821</v>
      </c>
      <c r="I2018" s="648">
        <v>8282</v>
      </c>
      <c r="J2018" s="648">
        <v>4013</v>
      </c>
      <c r="K2018" s="649">
        <f t="shared" si="63"/>
        <v>99025</v>
      </c>
      <c r="L2018" s="648">
        <v>11787</v>
      </c>
      <c r="M2018" s="648">
        <v>5208</v>
      </c>
      <c r="N2018" s="648">
        <v>175471</v>
      </c>
      <c r="O2018" s="1510">
        <f>1-N2019</f>
        <v>0.53039803671261765</v>
      </c>
    </row>
    <row r="2019" spans="1:15" ht="12" customHeight="1">
      <c r="A2019" s="1517"/>
      <c r="B2019" s="1502"/>
      <c r="C2019" s="635" t="s">
        <v>6219</v>
      </c>
      <c r="D2019" s="636">
        <f>D2018/(D2018+E2018+G2018+H2018+I2018+J2018+L2018+M2018+N2018)</f>
        <v>0.12485447961911797</v>
      </c>
      <c r="E2019" s="636">
        <f>E2018/(D2018+E2018+G2018+H2018+I2018+J2018+L2018+M2018+N2018)</f>
        <v>9.5046553140697806E-2</v>
      </c>
      <c r="F2019" s="637">
        <f t="shared" si="62"/>
        <v>0.21990103275981576</v>
      </c>
      <c r="G2019" s="636">
        <f>G2018/(D2018+E2018+G2018+H2018+I2018+J2018+L2018+M2018+N2018)</f>
        <v>0.21653165051557705</v>
      </c>
      <c r="H2019" s="636">
        <f>H2018/(D2018+E2018+G2018+H2018+I2018+J2018+L2018+M2018+N2018)</f>
        <v>1.5578374935435785E-2</v>
      </c>
      <c r="I2019" s="636">
        <f>I2018/(D2018+E2018+G2018+H2018+I2018+J2018+L2018+M2018+N2018)</f>
        <v>2.2164593921195529E-2</v>
      </c>
      <c r="J2019" s="636">
        <f>J2018/(D2018+E2018+G2018+H2018+I2018+J2018+L2018+M2018+N2018)</f>
        <v>1.0739738638705344E-2</v>
      </c>
      <c r="K2019" s="637">
        <f t="shared" si="63"/>
        <v>0.26501435801091372</v>
      </c>
      <c r="L2019" s="636">
        <f>L2018/(D2018+E2018+G2018+H2018+I2018+J2018+L2018+M2018+N2018)</f>
        <v>3.1544804219890331E-2</v>
      </c>
      <c r="M2019" s="636">
        <f>M2018/(D2018+E2018+G2018+H2018+I2018+J2018+L2018+M2018+N2018)</f>
        <v>1.3937841721997864E-2</v>
      </c>
      <c r="N2019" s="636">
        <f>N2018/(D2018+E2018+G2018+H2018+I2018+J2018+L2018+M2018+N2018)</f>
        <v>0.46960196328738235</v>
      </c>
      <c r="O2019" s="1503"/>
    </row>
    <row r="2020" spans="1:15" ht="12" customHeight="1">
      <c r="A2020" s="1517"/>
      <c r="B2020" s="1502" t="s">
        <v>14938</v>
      </c>
      <c r="C2020" s="638" t="s">
        <v>6218</v>
      </c>
      <c r="D2020" s="639">
        <v>80213</v>
      </c>
      <c r="E2020" s="639">
        <v>44526</v>
      </c>
      <c r="F2020" s="640">
        <f t="shared" si="62"/>
        <v>124739</v>
      </c>
      <c r="G2020" s="639">
        <v>70062</v>
      </c>
      <c r="H2020" s="639">
        <v>11755</v>
      </c>
      <c r="I2020" s="639">
        <v>21139</v>
      </c>
      <c r="J2020" s="639"/>
      <c r="K2020" s="640">
        <f t="shared" si="63"/>
        <v>102956</v>
      </c>
      <c r="L2020" s="639">
        <v>13142</v>
      </c>
      <c r="M2020" s="639"/>
      <c r="N2020" s="639">
        <v>129790</v>
      </c>
      <c r="O2020" s="1503">
        <f>1-N2021</f>
        <v>0.649809646895666</v>
      </c>
    </row>
    <row r="2021" spans="1:15" ht="12" customHeight="1">
      <c r="A2021" s="1517"/>
      <c r="B2021" s="1502"/>
      <c r="C2021" s="635" t="s">
        <v>6219</v>
      </c>
      <c r="D2021" s="636">
        <f>D2020/(D2020+E2020+G2020+H2020+I2020+J2020+L2020+M2020+N2020)</f>
        <v>0.21642513902117222</v>
      </c>
      <c r="E2021" s="636">
        <f>E2020/(D2020+E2020+G2020+H2020+I2020+J2020+L2020+M2020+N2020)</f>
        <v>0.12013695710242372</v>
      </c>
      <c r="F2021" s="637">
        <f t="shared" si="62"/>
        <v>0.33656209612359594</v>
      </c>
      <c r="G2021" s="636">
        <f>G2020/(D2020+E2020+G2020+H2020+I2020+J2020+L2020+M2020+N2020)</f>
        <v>0.1890364166668915</v>
      </c>
      <c r="H2021" s="636">
        <f>H2020/(D2020+E2020+G2020+H2020+I2020+J2020+L2020+M2020+N2020)</f>
        <v>3.1716523620783157E-2</v>
      </c>
      <c r="I2021" s="636">
        <f>I2020/(D2020+E2020+G2020+H2020+I2020+J2020+L2020+M2020+N2020)</f>
        <v>5.7035779908101679E-2</v>
      </c>
      <c r="J2021" s="636">
        <f>J2020/(D2020+E2020+G2020+H2020+I2020+J2020+L2020+M2020+N2020)</f>
        <v>0</v>
      </c>
      <c r="K2021" s="637">
        <f t="shared" si="63"/>
        <v>0.27778872019577633</v>
      </c>
      <c r="L2021" s="636">
        <f>L2020/(D2020+E2020+G2020+H2020+I2020+J2020+L2020+M2020+N2020)</f>
        <v>3.5458830576293683E-2</v>
      </c>
      <c r="M2021" s="636">
        <f>M2020/(D2020+E2020+G2020+H2020+I2020+J2020+L2020+M2020+N2020)</f>
        <v>0</v>
      </c>
      <c r="N2021" s="636">
        <f>N2020/(D2020+E2020+G2020+H2020+I2020+J2020+L2020+M2020+N2020)</f>
        <v>0.350190353104334</v>
      </c>
      <c r="O2021" s="1503"/>
    </row>
    <row r="2022" spans="1:15" ht="12" customHeight="1">
      <c r="A2022" s="1517"/>
      <c r="B2022" s="1502" t="s">
        <v>14939</v>
      </c>
      <c r="C2022" s="638" t="s">
        <v>6218</v>
      </c>
      <c r="D2022" s="639">
        <v>51080</v>
      </c>
      <c r="E2022" s="639">
        <v>39141</v>
      </c>
      <c r="F2022" s="640">
        <f t="shared" si="62"/>
        <v>90221</v>
      </c>
      <c r="G2022" s="639">
        <v>66543</v>
      </c>
      <c r="H2022" s="639">
        <v>8451</v>
      </c>
      <c r="I2022" s="639"/>
      <c r="J2022" s="639"/>
      <c r="K2022" s="640">
        <f t="shared" si="63"/>
        <v>74994</v>
      </c>
      <c r="L2022" s="639">
        <v>11717</v>
      </c>
      <c r="M2022" s="639">
        <v>4919</v>
      </c>
      <c r="N2022" s="639">
        <v>186544</v>
      </c>
      <c r="O2022" s="1503">
        <f>1-N2023</f>
        <v>0.49363047815524097</v>
      </c>
    </row>
    <row r="2023" spans="1:15" ht="12" customHeight="1">
      <c r="A2023" s="1517"/>
      <c r="B2023" s="1502"/>
      <c r="C2023" s="635" t="s">
        <v>6219</v>
      </c>
      <c r="D2023" s="636">
        <f>D2022/(D2022+E2022+G2022+H2022+I2022+J2022+L2022+M2022+N2022)</f>
        <v>0.13865551921171568</v>
      </c>
      <c r="E2023" s="636">
        <f>E2022/(D2022+E2022+G2022+H2022+I2022+J2022+L2022+M2022+N2022)</f>
        <v>0.10624737034976045</v>
      </c>
      <c r="F2023" s="637">
        <f t="shared" si="62"/>
        <v>0.24490288956147613</v>
      </c>
      <c r="G2023" s="636">
        <f>G2022/(D2022+E2022+G2022+H2022+I2022+J2022+L2022+M2022+N2022)</f>
        <v>0.18062948737089266</v>
      </c>
      <c r="H2023" s="636">
        <f>H2022/(D2022+E2022+G2022+H2022+I2022+J2022+L2022+M2022+N2022)</f>
        <v>2.2940050760732366E-2</v>
      </c>
      <c r="I2023" s="636">
        <f>I2022/(D2022+E2022+G2022+H2022+I2022+J2022+L2022+M2022+N2022)</f>
        <v>0</v>
      </c>
      <c r="J2023" s="636">
        <f>J2022/(D2022+E2022+G2022+H2022+I2022+J2022+L2022+M2022+N2022)</f>
        <v>0</v>
      </c>
      <c r="K2023" s="637">
        <f t="shared" si="63"/>
        <v>0.20356953813162501</v>
      </c>
      <c r="L2023" s="636">
        <f>L2022/(D2022+E2022+G2022+H2022+I2022+J2022+L2022+M2022+N2022)</f>
        <v>3.1805534819962268E-2</v>
      </c>
      <c r="M2023" s="636">
        <f>M2022/(D2022+E2022+G2022+H2022+I2022+J2022+L2022+M2022+N2022)</f>
        <v>1.3352515642177555E-2</v>
      </c>
      <c r="N2023" s="636">
        <f>N2022/(D2022+E2022+G2022+H2022+I2022+J2022+L2022+M2022+N2022)</f>
        <v>0.50636952184475903</v>
      </c>
      <c r="O2023" s="1503"/>
    </row>
    <row r="2024" spans="1:15" ht="12" customHeight="1">
      <c r="A2024" s="1517"/>
      <c r="B2024" s="1502" t="s">
        <v>14940</v>
      </c>
      <c r="C2024" s="638" t="s">
        <v>6218</v>
      </c>
      <c r="D2024" s="639">
        <v>63427</v>
      </c>
      <c r="E2024" s="639">
        <v>42085</v>
      </c>
      <c r="F2024" s="640">
        <f t="shared" si="62"/>
        <v>105512</v>
      </c>
      <c r="G2024" s="639">
        <v>72117</v>
      </c>
      <c r="H2024" s="639">
        <v>8711</v>
      </c>
      <c r="I2024" s="639"/>
      <c r="J2024" s="639"/>
      <c r="K2024" s="640">
        <f t="shared" si="63"/>
        <v>80828</v>
      </c>
      <c r="L2024" s="639">
        <v>12002</v>
      </c>
      <c r="M2024" s="639"/>
      <c r="N2024" s="639">
        <v>169268</v>
      </c>
      <c r="O2024" s="1503">
        <f>1-N2025</f>
        <v>0.53954462609831078</v>
      </c>
    </row>
    <row r="2025" spans="1:15" ht="12" customHeight="1" thickBot="1">
      <c r="A2025" s="1519"/>
      <c r="B2025" s="1514"/>
      <c r="C2025" s="641" t="s">
        <v>6219</v>
      </c>
      <c r="D2025" s="642">
        <f>D2024/(D2024+E2024+G2024+H2024+I2024+J2024+L2024+M2024+N2024)</f>
        <v>0.17253883191425695</v>
      </c>
      <c r="E2025" s="642">
        <f>E2024/(D2024+E2024+G2024+H2024+I2024+J2024+L2024+M2024+N2024)</f>
        <v>0.1144827398601779</v>
      </c>
      <c r="F2025" s="643">
        <f t="shared" si="62"/>
        <v>0.28702157177443488</v>
      </c>
      <c r="G2025" s="642">
        <f>G2024/(D2024+E2024+G2024+H2024+I2024+J2024+L2024+M2024+N2024)</f>
        <v>0.19617801474388619</v>
      </c>
      <c r="H2025" s="642">
        <f>H2024/(D2024+E2024+G2024+H2024+I2024+J2024+L2024+M2024+N2024)</f>
        <v>2.3696308587905661E-2</v>
      </c>
      <c r="I2025" s="642">
        <f>I2024/(D2024+E2024+G2024+H2024+I2024+J2024+L2024+M2024+N2024)</f>
        <v>0</v>
      </c>
      <c r="J2025" s="642">
        <f>J2024/(D2024+E2024+G2024+H2024+I2024+J2024+L2024+M2024+N2024)</f>
        <v>0</v>
      </c>
      <c r="K2025" s="643">
        <f t="shared" si="63"/>
        <v>0.21987432333179185</v>
      </c>
      <c r="L2025" s="642">
        <f>L2024/(D2024+E2024+G2024+H2024+I2024+J2024+L2024+M2024+N2024)</f>
        <v>3.2648730992083999E-2</v>
      </c>
      <c r="M2025" s="642">
        <f>M2024/(D2024+E2024+G2024+H2024+I2024+J2024+L2024+M2024+N2024)</f>
        <v>0</v>
      </c>
      <c r="N2025" s="642">
        <f>N2024/(D2024+E2024+G2024+H2024+I2024+J2024+L2024+M2024+N2024)</f>
        <v>0.46045537390168928</v>
      </c>
      <c r="O2025" s="1515"/>
    </row>
    <row r="2026" spans="1:15" ht="12" customHeight="1">
      <c r="A2026" s="1516" t="s">
        <v>15191</v>
      </c>
      <c r="B2026" s="1509" t="s">
        <v>14937</v>
      </c>
      <c r="C2026" s="647" t="s">
        <v>6218</v>
      </c>
      <c r="D2026" s="648">
        <v>88694</v>
      </c>
      <c r="E2026" s="648">
        <v>31674</v>
      </c>
      <c r="F2026" s="649">
        <f t="shared" si="62"/>
        <v>120368</v>
      </c>
      <c r="G2026" s="648">
        <v>59377</v>
      </c>
      <c r="H2026" s="648">
        <v>6584</v>
      </c>
      <c r="I2026" s="648">
        <v>3364</v>
      </c>
      <c r="J2026" s="648">
        <v>5481</v>
      </c>
      <c r="K2026" s="649">
        <f t="shared" si="63"/>
        <v>74806</v>
      </c>
      <c r="L2026" s="648">
        <v>10861</v>
      </c>
      <c r="M2026" s="648">
        <v>2847</v>
      </c>
      <c r="N2026" s="648">
        <v>150426</v>
      </c>
      <c r="O2026" s="1510">
        <f>1-N2027</f>
        <v>0.58134525254099545</v>
      </c>
    </row>
    <row r="2027" spans="1:15" ht="12" customHeight="1">
      <c r="A2027" s="1517"/>
      <c r="B2027" s="1502"/>
      <c r="C2027" s="635" t="s">
        <v>6219</v>
      </c>
      <c r="D2027" s="636">
        <f>D2026/(D2026+E2026+G2026+H2026+I2026+J2026+L2026+M2026+N2026)</f>
        <v>0.24684671646609593</v>
      </c>
      <c r="E2027" s="636">
        <f>E2026/(D2026+E2026+G2026+H2026+I2026+J2026+L2026+M2026+N2026)</f>
        <v>8.8152782570941918E-2</v>
      </c>
      <c r="F2027" s="637">
        <f t="shared" si="62"/>
        <v>0.33499949903703785</v>
      </c>
      <c r="G2027" s="636">
        <f>G2026/(D2026+E2026+G2026+H2026+I2026+J2026+L2026+M2026+N2026)</f>
        <v>0.16525376557159874</v>
      </c>
      <c r="H2027" s="636">
        <f>H2026/(D2026+E2026+G2026+H2026+I2026+J2026+L2026+M2026+N2026)</f>
        <v>1.8324111903993232E-2</v>
      </c>
      <c r="I2027" s="636">
        <f>I2026/(D2026+E2026+G2026+H2026+I2026+J2026+L2026+M2026+N2026)</f>
        <v>9.362441136851949E-3</v>
      </c>
      <c r="J2027" s="636">
        <f>J2026/(D2026+E2026+G2026+H2026+I2026+J2026+L2026+M2026+N2026)</f>
        <v>1.5254322197112227E-2</v>
      </c>
      <c r="K2027" s="637">
        <f t="shared" si="63"/>
        <v>0.20819464080955613</v>
      </c>
      <c r="L2027" s="636">
        <f>L2026/(D2026+E2026+G2026+H2026+I2026+J2026+L2026+M2026+N2026)</f>
        <v>3.02275485099135E-2</v>
      </c>
      <c r="M2027" s="636">
        <f>M2026/(D2026+E2026+G2026+H2026+I2026+J2026+L2026+M2026+N2026)</f>
        <v>7.9235641844879606E-3</v>
      </c>
      <c r="N2027" s="636">
        <f>N2026/(D2026+E2026+G2026+H2026+I2026+J2026+L2026+M2026+N2026)</f>
        <v>0.41865474745900455</v>
      </c>
      <c r="O2027" s="1503"/>
    </row>
    <row r="2028" spans="1:15" ht="12" customHeight="1">
      <c r="A2028" s="1517"/>
      <c r="B2028" s="1502" t="s">
        <v>14938</v>
      </c>
      <c r="C2028" s="638" t="s">
        <v>6218</v>
      </c>
      <c r="D2028" s="639">
        <v>95224</v>
      </c>
      <c r="E2028" s="639">
        <v>37820</v>
      </c>
      <c r="F2028" s="640">
        <f t="shared" si="62"/>
        <v>133044</v>
      </c>
      <c r="G2028" s="639">
        <v>65857</v>
      </c>
      <c r="H2028" s="639">
        <v>9585</v>
      </c>
      <c r="I2028" s="639">
        <v>11919</v>
      </c>
      <c r="J2028" s="639"/>
      <c r="K2028" s="640">
        <f t="shared" si="63"/>
        <v>87361</v>
      </c>
      <c r="L2028" s="639">
        <v>14440</v>
      </c>
      <c r="M2028" s="639"/>
      <c r="N2028" s="639">
        <v>123602</v>
      </c>
      <c r="O2028" s="1503">
        <f>1-N2029</f>
        <v>0.65517356819836681</v>
      </c>
    </row>
    <row r="2029" spans="1:15" ht="12" customHeight="1">
      <c r="A2029" s="1517"/>
      <c r="B2029" s="1502"/>
      <c r="C2029" s="635" t="s">
        <v>6219</v>
      </c>
      <c r="D2029" s="636">
        <f>D2028/(D2028+E2028+G2028+H2028+I2028+J2028+L2028+M2028+N2028)</f>
        <v>0.26565712643710226</v>
      </c>
      <c r="E2029" s="636">
        <f>E2028/(D2028+E2028+G2028+H2028+I2028+J2028+L2028+M2028+N2028)</f>
        <v>0.10551071706556339</v>
      </c>
      <c r="F2029" s="637">
        <f t="shared" si="62"/>
        <v>0.37116784350266563</v>
      </c>
      <c r="G2029" s="636">
        <f>G2028/(D2028+E2028+G2028+H2028+I2028+J2028+L2028+M2028+N2028)</f>
        <v>0.18372869629261787</v>
      </c>
      <c r="H2029" s="636">
        <f>H2028/(D2028+E2028+G2028+H2028+I2028+J2028+L2028+M2028+N2028)</f>
        <v>2.6740354919974223E-2</v>
      </c>
      <c r="I2029" s="636">
        <f>I2028/(D2028+E2028+G2028+H2028+I2028+J2028+L2028+M2028+N2028)</f>
        <v>3.325177780815574E-2</v>
      </c>
      <c r="J2029" s="636">
        <f>J2028/(D2028+E2028+G2028+H2028+I2028+J2028+L2028+M2028+N2028)</f>
        <v>0</v>
      </c>
      <c r="K2029" s="637">
        <f t="shared" si="63"/>
        <v>0.24372082902074785</v>
      </c>
      <c r="L2029" s="636">
        <f>L2028/(D2028+E2028+G2028+H2028+I2028+J2028+L2028+M2028+N2028)</f>
        <v>4.0284895674953337E-2</v>
      </c>
      <c r="M2029" s="636">
        <f>M2028/(D2028+E2028+G2028+H2028+I2028+J2028+L2028+M2028+N2028)</f>
        <v>0</v>
      </c>
      <c r="N2029" s="636">
        <f>N2028/(D2028+E2028+G2028+H2028+I2028+J2028+L2028+M2028+N2028)</f>
        <v>0.34482643180163314</v>
      </c>
      <c r="O2029" s="1503"/>
    </row>
    <row r="2030" spans="1:15" ht="12" customHeight="1">
      <c r="A2030" s="1517"/>
      <c r="B2030" s="1502" t="s">
        <v>14939</v>
      </c>
      <c r="C2030" s="638" t="s">
        <v>6218</v>
      </c>
      <c r="D2030" s="639">
        <v>72081</v>
      </c>
      <c r="E2030" s="639">
        <v>34051</v>
      </c>
      <c r="F2030" s="640">
        <f t="shared" si="62"/>
        <v>106132</v>
      </c>
      <c r="G2030" s="639">
        <v>73217</v>
      </c>
      <c r="H2030" s="639">
        <v>7676</v>
      </c>
      <c r="I2030" s="639"/>
      <c r="J2030" s="639"/>
      <c r="K2030" s="640">
        <f t="shared" si="63"/>
        <v>80893</v>
      </c>
      <c r="L2030" s="639">
        <v>11612</v>
      </c>
      <c r="M2030" s="639">
        <v>6174</v>
      </c>
      <c r="N2030" s="639">
        <v>152754</v>
      </c>
      <c r="O2030" s="1503">
        <f>1-N2031</f>
        <v>0.57279375777830599</v>
      </c>
    </row>
    <row r="2031" spans="1:15" ht="12" customHeight="1">
      <c r="A2031" s="1517"/>
      <c r="B2031" s="1502"/>
      <c r="C2031" s="635" t="s">
        <v>6219</v>
      </c>
      <c r="D2031" s="636">
        <f>D2030/(D2030+E2030+G2030+H2030+I2030+J2030+L2030+M2030+N2030)</f>
        <v>0.20158852236656272</v>
      </c>
      <c r="E2031" s="636">
        <f>E2030/(D2030+E2030+G2030+H2030+I2030+J2030+L2030+M2030+N2030)</f>
        <v>9.5230237858850833E-2</v>
      </c>
      <c r="F2031" s="637">
        <f t="shared" si="62"/>
        <v>0.29681876022541354</v>
      </c>
      <c r="G2031" s="636">
        <f>G2030/(D2030+E2030+G2030+H2030+I2030+J2030+L2030+M2030+N2030)</f>
        <v>0.20476556709968816</v>
      </c>
      <c r="H2031" s="636">
        <f>H2030/(D2030+E2030+G2030+H2030+I2030+J2030+L2030+M2030+N2030)</f>
        <v>2.1467425503055387E-2</v>
      </c>
      <c r="I2031" s="636">
        <f>I2030/(D2030+E2030+G2030+H2030+I2030+J2030+L2030+M2030+N2030)</f>
        <v>0</v>
      </c>
      <c r="J2031" s="636">
        <f>J2030/(D2030+E2030+G2030+H2030+I2030+J2030+L2030+M2030+N2030)</f>
        <v>0</v>
      </c>
      <c r="K2031" s="637">
        <f t="shared" si="63"/>
        <v>0.22623299260274354</v>
      </c>
      <c r="L2031" s="636">
        <f>L2030/(D2030+E2030+G2030+H2030+I2030+J2030+L2030+M2030+N2030)</f>
        <v>3.2475214296701298E-2</v>
      </c>
      <c r="M2031" s="636">
        <f>M2030/(D2030+E2030+G2030+H2030+I2030+J2030+L2030+M2030+N2030)</f>
        <v>1.7266790653447626E-2</v>
      </c>
      <c r="N2031" s="636">
        <f>N2030/(D2030+E2030+G2030+H2030+I2030+J2030+L2030+M2030+N2030)</f>
        <v>0.42720624222169395</v>
      </c>
      <c r="O2031" s="1503"/>
    </row>
    <row r="2032" spans="1:15" ht="12" customHeight="1">
      <c r="A2032" s="1517"/>
      <c r="B2032" s="1502" t="s">
        <v>14940</v>
      </c>
      <c r="C2032" s="638" t="s">
        <v>6218</v>
      </c>
      <c r="D2032" s="639">
        <v>81635</v>
      </c>
      <c r="E2032" s="639">
        <v>36150</v>
      </c>
      <c r="F2032" s="640">
        <f t="shared" si="62"/>
        <v>117785</v>
      </c>
      <c r="G2032" s="639">
        <v>77154</v>
      </c>
      <c r="H2032" s="639">
        <v>7813</v>
      </c>
      <c r="I2032" s="639"/>
      <c r="J2032" s="639"/>
      <c r="K2032" s="640">
        <f t="shared" si="63"/>
        <v>84967</v>
      </c>
      <c r="L2032" s="639">
        <v>12092</v>
      </c>
      <c r="M2032" s="639"/>
      <c r="N2032" s="639">
        <v>141758</v>
      </c>
      <c r="O2032" s="1503">
        <f>1-N2033</f>
        <v>0.60247558903203013</v>
      </c>
    </row>
    <row r="2033" spans="1:15" ht="12" customHeight="1" thickBot="1">
      <c r="A2033" s="1519"/>
      <c r="B2033" s="1514"/>
      <c r="C2033" s="641" t="s">
        <v>6219</v>
      </c>
      <c r="D2033" s="642">
        <f>D2032/(D2032+E2032+G2032+H2032+I2032+J2032+L2032+M2032+N2032)</f>
        <v>0.22892468354075413</v>
      </c>
      <c r="E2033" s="642">
        <f>E2032/(D2032+E2032+G2032+H2032+I2032+J2032+L2032+M2032+N2032)</f>
        <v>0.10137352005877701</v>
      </c>
      <c r="F2033" s="643">
        <f t="shared" si="62"/>
        <v>0.3302982035995311</v>
      </c>
      <c r="G2033" s="642">
        <f>G2032/(D2032+E2032+G2032+H2032+I2032+J2032+L2032+M2032+N2032)</f>
        <v>0.21635885384826781</v>
      </c>
      <c r="H2033" s="642">
        <f>H2032/(D2032+E2032+G2032+H2032+I2032+J2032+L2032+M2032+N2032)</f>
        <v>2.1909579867751723E-2</v>
      </c>
      <c r="I2033" s="642">
        <f>I2032/(D2032+E2032+G2032+H2032+I2032+J2032+L2032+M2032+N2032)</f>
        <v>0</v>
      </c>
      <c r="J2033" s="642">
        <f>J2032/(D2032+E2032+G2032+H2032+I2032+J2032+L2032+M2032+N2032)</f>
        <v>0</v>
      </c>
      <c r="K2033" s="643">
        <f t="shared" si="63"/>
        <v>0.23826843371601952</v>
      </c>
      <c r="L2033" s="642">
        <f>L2032/(D2032+E2032+G2032+H2032+I2032+J2032+L2032+M2032+N2032)</f>
        <v>3.3908951716479438E-2</v>
      </c>
      <c r="M2033" s="642">
        <f>M2032/(D2032+E2032+G2032+H2032+I2032+J2032+L2032+M2032+N2032)</f>
        <v>0</v>
      </c>
      <c r="N2033" s="642">
        <f>N2032/(D2032+E2032+G2032+H2032+I2032+J2032+L2032+M2032+N2032)</f>
        <v>0.39752441096796992</v>
      </c>
      <c r="O2033" s="1515"/>
    </row>
    <row r="2034" spans="1:15" ht="12" customHeight="1">
      <c r="A2034" s="1526" t="s">
        <v>15192</v>
      </c>
      <c r="B2034" s="1509" t="s">
        <v>14937</v>
      </c>
      <c r="C2034" s="647" t="s">
        <v>6218</v>
      </c>
      <c r="D2034" s="648">
        <v>77995</v>
      </c>
      <c r="E2034" s="648">
        <v>27172</v>
      </c>
      <c r="F2034" s="649">
        <f t="shared" si="62"/>
        <v>105167</v>
      </c>
      <c r="G2034" s="648">
        <v>67779</v>
      </c>
      <c r="H2034" s="648">
        <v>4751</v>
      </c>
      <c r="I2034" s="648">
        <v>2934</v>
      </c>
      <c r="J2034" s="648">
        <v>3961</v>
      </c>
      <c r="K2034" s="649">
        <f t="shared" si="63"/>
        <v>79425</v>
      </c>
      <c r="L2034" s="648">
        <v>10825</v>
      </c>
      <c r="M2034" s="648">
        <v>2067</v>
      </c>
      <c r="N2034" s="648">
        <v>112082</v>
      </c>
      <c r="O2034" s="1510">
        <f>1-N2035</f>
        <v>0.63793827487514787</v>
      </c>
    </row>
    <row r="2035" spans="1:15" ht="12" customHeight="1">
      <c r="A2035" s="1527"/>
      <c r="B2035" s="1502"/>
      <c r="C2035" s="635" t="s">
        <v>6219</v>
      </c>
      <c r="D2035" s="636">
        <f>D2034/(D2034+E2034+G2034+H2034+I2034+J2034+L2034+M2034+N2034)</f>
        <v>0.25194950349844619</v>
      </c>
      <c r="E2035" s="636">
        <f>E2034/(D2034+E2034+G2034+H2034+I2034+J2034+L2034+M2034+N2034)</f>
        <v>8.777449719930483E-2</v>
      </c>
      <c r="F2035" s="637">
        <f t="shared" si="62"/>
        <v>0.33972400069775099</v>
      </c>
      <c r="G2035" s="636">
        <f>G2034/(D2034+E2034+G2034+H2034+I2034+J2034+L2034+M2034+N2034)</f>
        <v>0.21894846333253651</v>
      </c>
      <c r="H2035" s="636">
        <f>H2034/(D2034+E2034+G2034+H2034+I2034+J2034+L2034+M2034+N2034)</f>
        <v>1.5347292661338777E-2</v>
      </c>
      <c r="I2035" s="636">
        <f>I2034/(D2034+E2034+G2034+H2034+I2034+J2034+L2034+M2034+N2034)</f>
        <v>9.477785028071558E-3</v>
      </c>
      <c r="J2035" s="636">
        <f>J2034/(D2034+E2034+G2034+H2034+I2034+J2034+L2034+M2034+N2034)</f>
        <v>1.2795332820787812E-2</v>
      </c>
      <c r="K2035" s="637">
        <f t="shared" si="63"/>
        <v>0.25656887384273463</v>
      </c>
      <c r="L2035" s="636">
        <f>L2034/(D2034+E2034+G2034+H2034+I2034+J2034+L2034+M2034+N2034)</f>
        <v>3.4968310473372399E-2</v>
      </c>
      <c r="M2035" s="636">
        <f>M2034/(D2034+E2034+G2034+H2034+I2034+J2034+L2034+M2034+N2034)</f>
        <v>6.6770898612896765E-3</v>
      </c>
      <c r="N2035" s="636">
        <f>N2034/(D2034+E2034+G2034+H2034+I2034+J2034+L2034+M2034+N2034)</f>
        <v>0.36206172512485219</v>
      </c>
      <c r="O2035" s="1503"/>
    </row>
    <row r="2036" spans="1:15" ht="12" customHeight="1">
      <c r="A2036" s="1527"/>
      <c r="B2036" s="1502" t="s">
        <v>14938</v>
      </c>
      <c r="C2036" s="638" t="s">
        <v>6218</v>
      </c>
      <c r="D2036" s="639">
        <v>88478</v>
      </c>
      <c r="E2036" s="639">
        <v>32311</v>
      </c>
      <c r="F2036" s="640">
        <f t="shared" si="62"/>
        <v>120789</v>
      </c>
      <c r="G2036" s="639">
        <v>68731</v>
      </c>
      <c r="H2036" s="639">
        <v>6855</v>
      </c>
      <c r="I2036" s="639">
        <v>10416</v>
      </c>
      <c r="J2036" s="639"/>
      <c r="K2036" s="640">
        <f t="shared" si="63"/>
        <v>86002</v>
      </c>
      <c r="L2036" s="639">
        <v>13409</v>
      </c>
      <c r="M2036" s="639"/>
      <c r="N2036" s="639">
        <v>91284</v>
      </c>
      <c r="O2036" s="1503">
        <f>1-N2037</f>
        <v>0.70693839811996761</v>
      </c>
    </row>
    <row r="2037" spans="1:15" ht="12" customHeight="1">
      <c r="A2037" s="1527"/>
      <c r="B2037" s="1502"/>
      <c r="C2037" s="635" t="s">
        <v>6219</v>
      </c>
      <c r="D2037" s="636">
        <f>D2036/(D2036+E2036+G2036+H2036+I2036+J2036+L2036+M2036+N2036)</f>
        <v>0.28405311348255446</v>
      </c>
      <c r="E2037" s="636">
        <f>E2036/(D2036+E2036+G2036+H2036+I2036+J2036+L2036+M2036+N2036)</f>
        <v>0.10373245495755801</v>
      </c>
      <c r="F2037" s="637">
        <f t="shared" si="62"/>
        <v>0.38778556844011247</v>
      </c>
      <c r="G2037" s="636">
        <f>G2036/(D2036+E2036+G2036+H2036+I2036+J2036+L2036+M2036+N2036)</f>
        <v>0.22065659873380333</v>
      </c>
      <c r="H2037" s="636">
        <f>H2036/(D2036+E2036+G2036+H2036+I2036+J2036+L2036+M2036+N2036)</f>
        <v>2.2007550949647493E-2</v>
      </c>
      <c r="I2037" s="636">
        <f>I2036/(D2036+E2036+G2036+H2036+I2036+J2036+L2036+M2036+N2036)</f>
        <v>3.3439919867473127E-2</v>
      </c>
      <c r="J2037" s="636">
        <f>J2036/(D2036+E2036+G2036+H2036+I2036+J2036+L2036+M2036+N2036)</f>
        <v>0</v>
      </c>
      <c r="K2037" s="637">
        <f t="shared" si="63"/>
        <v>0.27610406955092393</v>
      </c>
      <c r="L2037" s="636">
        <f>L2036/(D2036+E2036+G2036+H2036+I2036+J2036+L2036+M2036+N2036)</f>
        <v>4.3048760128931184E-2</v>
      </c>
      <c r="M2037" s="636">
        <f>M2036/(D2036+E2036+G2036+H2036+I2036+J2036+L2036+M2036+N2036)</f>
        <v>0</v>
      </c>
      <c r="N2037" s="636">
        <f>N2036/(D2036+E2036+G2036+H2036+I2036+J2036+L2036+M2036+N2036)</f>
        <v>0.29306160188003239</v>
      </c>
      <c r="O2037" s="1503"/>
    </row>
    <row r="2038" spans="1:15" ht="12" customHeight="1">
      <c r="A2038" s="1527"/>
      <c r="B2038" s="1502" t="s">
        <v>14939</v>
      </c>
      <c r="C2038" s="638" t="s">
        <v>6218</v>
      </c>
      <c r="D2038" s="639">
        <v>68213</v>
      </c>
      <c r="E2038" s="639">
        <v>32427</v>
      </c>
      <c r="F2038" s="640">
        <f t="shared" si="62"/>
        <v>100640</v>
      </c>
      <c r="G2038" s="639">
        <v>72944</v>
      </c>
      <c r="H2038" s="639">
        <v>6019</v>
      </c>
      <c r="I2038" s="639"/>
      <c r="J2038" s="639"/>
      <c r="K2038" s="640">
        <f t="shared" si="63"/>
        <v>78963</v>
      </c>
      <c r="L2038" s="639">
        <v>11147</v>
      </c>
      <c r="M2038" s="639">
        <v>5585</v>
      </c>
      <c r="N2038" s="639">
        <v>115705</v>
      </c>
      <c r="O2038" s="1503">
        <f>1-N2039</f>
        <v>0.62919817972054859</v>
      </c>
    </row>
    <row r="2039" spans="1:15" ht="12" customHeight="1">
      <c r="A2039" s="1527"/>
      <c r="B2039" s="1502"/>
      <c r="C2039" s="635" t="s">
        <v>6219</v>
      </c>
      <c r="D2039" s="636">
        <f>D2038/(D2038+E2038+G2038+H2038+I2038+J2038+L2038+M2038+N2038)</f>
        <v>0.2186033841815152</v>
      </c>
      <c r="E2039" s="636">
        <f>E2038/(D2038+E2038+G2038+H2038+I2038+J2038+L2038+M2038+N2038)</f>
        <v>0.10391936931162671</v>
      </c>
      <c r="F2039" s="637">
        <f t="shared" si="62"/>
        <v>0.32252275349314191</v>
      </c>
      <c r="G2039" s="636">
        <f>G2038/(D2038+E2038+G2038+H2038+I2038+J2038+L2038+M2038+N2038)</f>
        <v>0.23376490193564928</v>
      </c>
      <c r="H2039" s="636">
        <f>H2038/(D2038+E2038+G2038+H2038+I2038+J2038+L2038+M2038+N2038)</f>
        <v>1.9289193693116269E-2</v>
      </c>
      <c r="I2039" s="636">
        <f>I2038/(D2038+E2038+G2038+H2038+I2038+J2038+L2038+M2038+N2038)</f>
        <v>0</v>
      </c>
      <c r="J2039" s="636">
        <f>J2038/(D2038+E2038+G2038+H2038+I2038+J2038+L2038+M2038+N2038)</f>
        <v>0</v>
      </c>
      <c r="K2039" s="637">
        <f t="shared" si="63"/>
        <v>0.25305409562876557</v>
      </c>
      <c r="L2039" s="636">
        <f>L2038/(D2038+E2038+G2038+H2038+I2038+J2038+L2038+M2038+N2038)</f>
        <v>3.5722984232790668E-2</v>
      </c>
      <c r="M2039" s="636">
        <f>M2038/(D2038+E2038+G2038+H2038+I2038+J2038+L2038+M2038+N2038)</f>
        <v>1.7898346365850533E-2</v>
      </c>
      <c r="N2039" s="636">
        <f>N2038/(D2038+E2038+G2038+H2038+I2038+J2038+L2038+M2038+N2038)</f>
        <v>0.37080182027945136</v>
      </c>
      <c r="O2039" s="1503"/>
    </row>
    <row r="2040" spans="1:15" ht="12" customHeight="1">
      <c r="A2040" s="1527"/>
      <c r="B2040" s="1502" t="s">
        <v>14940</v>
      </c>
      <c r="C2040" s="638" t="s">
        <v>6218</v>
      </c>
      <c r="D2040" s="639">
        <v>77673</v>
      </c>
      <c r="E2040" s="639">
        <v>34156</v>
      </c>
      <c r="F2040" s="640">
        <f t="shared" si="62"/>
        <v>111829</v>
      </c>
      <c r="G2040" s="639">
        <v>78628</v>
      </c>
      <c r="H2040" s="639">
        <v>6018</v>
      </c>
      <c r="I2040" s="639"/>
      <c r="J2040" s="639"/>
      <c r="K2040" s="640">
        <f t="shared" si="63"/>
        <v>84646</v>
      </c>
      <c r="L2040" s="639">
        <v>13382</v>
      </c>
      <c r="M2040" s="639"/>
      <c r="N2040" s="639">
        <v>102951</v>
      </c>
      <c r="O2040" s="1503">
        <f>1-N2041</f>
        <v>0.67088117950947546</v>
      </c>
    </row>
    <row r="2041" spans="1:15" ht="12" customHeight="1" thickBot="1">
      <c r="A2041" s="1528"/>
      <c r="B2041" s="1514"/>
      <c r="C2041" s="641" t="s">
        <v>6219</v>
      </c>
      <c r="D2041" s="642">
        <f>D2040/(D2040+E2040+G2040+H2040+I2040+J2040+L2040+M2040+N2040)</f>
        <v>0.24830886678090075</v>
      </c>
      <c r="E2041" s="642">
        <f>E2040/(D2040+E2040+G2040+H2040+I2040+J2040+L2040+M2040+N2040)</f>
        <v>0.10919158077798521</v>
      </c>
      <c r="F2041" s="643">
        <f t="shared" si="62"/>
        <v>0.35750044755888599</v>
      </c>
      <c r="G2041" s="642">
        <f>G2040/(D2040+E2040+G2040+H2040+I2040+J2040+L2040+M2040+N2040)</f>
        <v>0.25136185775299863</v>
      </c>
      <c r="H2041" s="642">
        <f>H2040/(D2040+E2040+G2040+H2040+I2040+J2040+L2040+M2040+N2040)</f>
        <v>1.9238638397994934E-2</v>
      </c>
      <c r="I2041" s="642">
        <f>I2040/(D2040+E2040+G2040+H2040+I2040+J2040+L2040+M2040+N2040)</f>
        <v>0</v>
      </c>
      <c r="J2041" s="642">
        <f>J2040/(D2040+E2040+G2040+H2040+I2040+J2040+L2040+M2040+N2040)</f>
        <v>0</v>
      </c>
      <c r="K2041" s="643">
        <f t="shared" si="63"/>
        <v>0.27060049615099357</v>
      </c>
      <c r="L2041" s="642">
        <f>L2040/(D2040+E2040+G2040+H2040+I2040+J2040+L2040+M2040+N2040)</f>
        <v>4.2780235799595917E-2</v>
      </c>
      <c r="M2041" s="642">
        <f>M2040/(D2040+E2040+G2040+H2040+I2040+J2040+L2040+M2040+N2040)</f>
        <v>0</v>
      </c>
      <c r="N2041" s="642">
        <f>N2040/(D2040+E2040+G2040+H2040+I2040+J2040+L2040+M2040+N2040)</f>
        <v>0.32911882049052454</v>
      </c>
      <c r="O2041" s="1515"/>
    </row>
    <row r="2042" spans="1:15" ht="12" customHeight="1">
      <c r="A2042" s="1516" t="s">
        <v>15193</v>
      </c>
      <c r="B2042" s="1509" t="s">
        <v>14937</v>
      </c>
      <c r="C2042" s="647" t="s">
        <v>6218</v>
      </c>
      <c r="D2042" s="648">
        <v>76781</v>
      </c>
      <c r="E2042" s="648">
        <v>22373</v>
      </c>
      <c r="F2042" s="649">
        <f t="shared" si="62"/>
        <v>99154</v>
      </c>
      <c r="G2042" s="648">
        <v>44677</v>
      </c>
      <c r="H2042" s="648">
        <v>5802</v>
      </c>
      <c r="I2042" s="648">
        <v>3111</v>
      </c>
      <c r="J2042" s="648">
        <v>3502</v>
      </c>
      <c r="K2042" s="649">
        <f t="shared" si="63"/>
        <v>57092</v>
      </c>
      <c r="L2042" s="648">
        <v>10715</v>
      </c>
      <c r="M2042" s="648">
        <v>1882</v>
      </c>
      <c r="N2042" s="648">
        <v>114409</v>
      </c>
      <c r="O2042" s="1510">
        <f>1-N2043</f>
        <v>0.59608758278847107</v>
      </c>
    </row>
    <row r="2043" spans="1:15" ht="12" customHeight="1">
      <c r="A2043" s="1517"/>
      <c r="B2043" s="1502"/>
      <c r="C2043" s="635" t="s">
        <v>6219</v>
      </c>
      <c r="D2043" s="636">
        <f>D2042/(D2042+E2042+G2042+H2042+I2042+J2042+L2042+M2042+N2042)</f>
        <v>0.27106957761992856</v>
      </c>
      <c r="E2043" s="636">
        <f>E2042/(D2042+E2042+G2042+H2042+I2042+J2042+L2042+M2042+N2042)</f>
        <v>7.8986203098301164E-2</v>
      </c>
      <c r="F2043" s="637">
        <f t="shared" si="62"/>
        <v>0.35005578071822974</v>
      </c>
      <c r="G2043" s="636">
        <f>G2042/(D2042+E2042+G2042+H2042+I2042+J2042+L2042+M2042+N2042)</f>
        <v>0.15772880685749791</v>
      </c>
      <c r="H2043" s="636">
        <f>H2042/(D2042+E2042+G2042+H2042+I2042+J2042+L2042+M2042+N2042)</f>
        <v>2.0483527035996214E-2</v>
      </c>
      <c r="I2043" s="636">
        <f>I2042/(D2042+E2042+G2042+H2042+I2042+J2042+L2042+M2042+N2042)</f>
        <v>1.0983152810924547E-2</v>
      </c>
      <c r="J2043" s="636">
        <f>J2042/(D2042+E2042+G2042+H2042+I2042+J2042+L2042+M2042+N2042)</f>
        <v>1.2363549065849491E-2</v>
      </c>
      <c r="K2043" s="637">
        <f t="shared" si="63"/>
        <v>0.20155903577026815</v>
      </c>
      <c r="L2043" s="636">
        <f>L2042/(D2042+E2042+G2042+H2042+I2042+J2042+L2042+M2042+N2042)</f>
        <v>3.7828506065270502E-2</v>
      </c>
      <c r="M2043" s="636">
        <f>M2042/(D2042+E2042+G2042+H2042+I2042+J2042+L2042+M2042+N2042)</f>
        <v>6.6442602347026678E-3</v>
      </c>
      <c r="N2043" s="636">
        <f>N2042/(D2042+E2042+G2042+H2042+I2042+J2042+L2042+M2042+N2042)</f>
        <v>0.40391241721152893</v>
      </c>
      <c r="O2043" s="1503"/>
    </row>
    <row r="2044" spans="1:15" ht="12" customHeight="1">
      <c r="A2044" s="1517"/>
      <c r="B2044" s="1502" t="s">
        <v>14938</v>
      </c>
      <c r="C2044" s="638" t="s">
        <v>6218</v>
      </c>
      <c r="D2044" s="639">
        <v>79805</v>
      </c>
      <c r="E2044" s="639">
        <v>27487</v>
      </c>
      <c r="F2044" s="640">
        <f t="shared" si="62"/>
        <v>107292</v>
      </c>
      <c r="G2044" s="639">
        <v>52166</v>
      </c>
      <c r="H2044" s="639">
        <v>7920</v>
      </c>
      <c r="I2044" s="639">
        <v>8693</v>
      </c>
      <c r="J2044" s="639"/>
      <c r="K2044" s="640">
        <f t="shared" si="63"/>
        <v>68779</v>
      </c>
      <c r="L2044" s="639">
        <v>13624</v>
      </c>
      <c r="M2044" s="639"/>
      <c r="N2044" s="639">
        <v>95907</v>
      </c>
      <c r="O2044" s="1503">
        <f>1-N2045</f>
        <v>0.66419352805652621</v>
      </c>
    </row>
    <row r="2045" spans="1:15" ht="12" customHeight="1">
      <c r="A2045" s="1517"/>
      <c r="B2045" s="1502"/>
      <c r="C2045" s="635" t="s">
        <v>6219</v>
      </c>
      <c r="D2045" s="636">
        <f>D2044/(D2044+E2044+G2044+H2044+I2044+J2044+L2044+M2044+N2044)</f>
        <v>0.27942731493476936</v>
      </c>
      <c r="E2045" s="636">
        <f>E2044/(D2044+E2044+G2044+H2044+I2044+J2044+L2044+M2044+N2044)</f>
        <v>9.6242323233030586E-2</v>
      </c>
      <c r="F2045" s="637">
        <f t="shared" si="62"/>
        <v>0.37566963816779997</v>
      </c>
      <c r="G2045" s="636">
        <f>G2044/(D2044+E2044+G2044+H2044+I2044+J2044+L2044+M2044+N2044)</f>
        <v>0.18265278254353962</v>
      </c>
      <c r="H2045" s="636">
        <f>H2044/(D2044+E2044+G2044+H2044+I2044+J2044+L2044+M2044+N2044)</f>
        <v>2.7730898243009502E-2</v>
      </c>
      <c r="I2045" s="636">
        <f>I2044/(D2044+E2044+G2044+H2044+I2044+J2044+L2044+M2044+N2044)</f>
        <v>3.0437461922535557E-2</v>
      </c>
      <c r="J2045" s="636">
        <f>J2044/(D2044+E2044+G2044+H2044+I2044+J2044+L2044+M2044+N2044)</f>
        <v>0</v>
      </c>
      <c r="K2045" s="637">
        <f t="shared" si="63"/>
        <v>0.24082114270908467</v>
      </c>
      <c r="L2045" s="636">
        <f>L2044/(D2044+E2044+G2044+H2044+I2044+J2044+L2044+M2044+N2044)</f>
        <v>4.7702747179641597E-2</v>
      </c>
      <c r="M2045" s="636">
        <f>M2044/(D2044+E2044+G2044+H2044+I2044+J2044+L2044+M2044+N2044)</f>
        <v>0</v>
      </c>
      <c r="N2045" s="636">
        <f>N2044/(D2044+E2044+G2044+H2044+I2044+J2044+L2044+M2044+N2044)</f>
        <v>0.33580647194347379</v>
      </c>
      <c r="O2045" s="1503"/>
    </row>
    <row r="2046" spans="1:15" ht="12" customHeight="1">
      <c r="A2046" s="1517"/>
      <c r="B2046" s="1502" t="s">
        <v>14939</v>
      </c>
      <c r="C2046" s="638" t="s">
        <v>6218</v>
      </c>
      <c r="D2046" s="639">
        <v>61601</v>
      </c>
      <c r="E2046" s="639">
        <v>27795</v>
      </c>
      <c r="F2046" s="640">
        <f t="shared" si="62"/>
        <v>89396</v>
      </c>
      <c r="G2046" s="639">
        <v>59582</v>
      </c>
      <c r="H2046" s="639">
        <v>6738</v>
      </c>
      <c r="I2046" s="639"/>
      <c r="J2046" s="639"/>
      <c r="K2046" s="640">
        <f t="shared" si="63"/>
        <v>66320</v>
      </c>
      <c r="L2046" s="639">
        <v>11125</v>
      </c>
      <c r="M2046" s="639">
        <v>4733</v>
      </c>
      <c r="N2046" s="639">
        <v>115243</v>
      </c>
      <c r="O2046" s="1503">
        <f>1-N2047</f>
        <v>0.59820024614998413</v>
      </c>
    </row>
    <row r="2047" spans="1:15" ht="12" customHeight="1">
      <c r="A2047" s="1517"/>
      <c r="B2047" s="1502"/>
      <c r="C2047" s="635" t="s">
        <v>6219</v>
      </c>
      <c r="D2047" s="636">
        <f>D2046/(D2046+E2046+G2046+H2046+I2046+J2046+L2046+M2046+N2046)</f>
        <v>0.21477457751806903</v>
      </c>
      <c r="E2047" s="636">
        <f>E2046/(D2046+E2046+G2046+H2046+I2046+J2046+L2046+M2046+N2046)</f>
        <v>9.6908481714821651E-2</v>
      </c>
      <c r="F2047" s="637">
        <f t="shared" si="62"/>
        <v>0.31168305923289069</v>
      </c>
      <c r="G2047" s="636">
        <f>G2046/(D2046+E2046+G2046+H2046+I2046+J2046+L2046+M2046+N2046)</f>
        <v>0.20773524581876249</v>
      </c>
      <c r="H2047" s="636">
        <f>H2046/(D2046+E2046+G2046+H2046+I2046+J2046+L2046+M2046+N2046)</f>
        <v>2.3492331347165614E-2</v>
      </c>
      <c r="I2047" s="636">
        <f>I2046/(D2046+E2046+G2046+H2046+I2046+J2046+L2046+M2046+N2046)</f>
        <v>0</v>
      </c>
      <c r="J2047" s="636">
        <f>J2046/(D2046+E2046+G2046+H2046+I2046+J2046+L2046+M2046+N2046)</f>
        <v>0</v>
      </c>
      <c r="K2047" s="637">
        <f t="shared" si="63"/>
        <v>0.23122757716592809</v>
      </c>
      <c r="L2047" s="636">
        <f>L2046/(D2046+E2046+G2046+H2046+I2046+J2046+L2046+M2046+N2046)</f>
        <v>3.8787798491721204E-2</v>
      </c>
      <c r="M2047" s="636">
        <f>M2046/(D2046+E2046+G2046+H2046+I2046+J2046+L2046+M2046+N2046)</f>
        <v>1.6501811259444176E-2</v>
      </c>
      <c r="N2047" s="636">
        <f>N2046/(D2046+E2046+G2046+H2046+I2046+J2046+L2046+M2046+N2046)</f>
        <v>0.40179975385001587</v>
      </c>
      <c r="O2047" s="1503"/>
    </row>
    <row r="2048" spans="1:15" ht="12" customHeight="1">
      <c r="A2048" s="1517"/>
      <c r="B2048" s="1502" t="s">
        <v>14940</v>
      </c>
      <c r="C2048" s="638" t="s">
        <v>6218</v>
      </c>
      <c r="D2048" s="639">
        <v>68616</v>
      </c>
      <c r="E2048" s="639">
        <v>27633</v>
      </c>
      <c r="F2048" s="640">
        <f t="shared" si="62"/>
        <v>96249</v>
      </c>
      <c r="G2048" s="639">
        <v>60458</v>
      </c>
      <c r="H2048" s="639">
        <v>6606</v>
      </c>
      <c r="I2048" s="639"/>
      <c r="J2048" s="639"/>
      <c r="K2048" s="640">
        <f t="shared" si="63"/>
        <v>67064</v>
      </c>
      <c r="L2048" s="639">
        <v>12375</v>
      </c>
      <c r="M2048" s="639"/>
      <c r="N2048" s="639">
        <v>111496</v>
      </c>
      <c r="O2048" s="1503">
        <f>1-N2049</f>
        <v>0.61176110089698588</v>
      </c>
    </row>
    <row r="2049" spans="1:15" ht="12" customHeight="1" thickBot="1">
      <c r="A2049" s="1519"/>
      <c r="B2049" s="1514"/>
      <c r="C2049" s="641" t="s">
        <v>6219</v>
      </c>
      <c r="D2049" s="642">
        <f>D2048/(D2048+E2048+G2048+H2048+I2048+J2048+L2048+M2048+N2048)</f>
        <v>0.23892695971920441</v>
      </c>
      <c r="E2049" s="642">
        <f>E2048/(D2048+E2048+G2048+H2048+I2048+J2048+L2048+M2048+N2048)</f>
        <v>9.6220541534347323E-2</v>
      </c>
      <c r="F2049" s="643">
        <f t="shared" si="62"/>
        <v>0.33514750125355175</v>
      </c>
      <c r="G2049" s="642">
        <f>G2048/(D2048+E2048+G2048+H2048+I2048+J2048+L2048+M2048+N2048)</f>
        <v>0.21052008468438352</v>
      </c>
      <c r="H2049" s="642">
        <f>H2048/(D2048+E2048+G2048+H2048+I2048+J2048+L2048+M2048+N2048)</f>
        <v>2.3002674243690457E-2</v>
      </c>
      <c r="I2049" s="642">
        <f>I2048/(D2048+E2048+G2048+H2048+I2048+J2048+L2048+M2048+N2048)</f>
        <v>0</v>
      </c>
      <c r="J2049" s="642">
        <f>J2048/(D2048+E2048+G2048+H2048+I2048+J2048+L2048+M2048+N2048)</f>
        <v>0</v>
      </c>
      <c r="K2049" s="643">
        <f t="shared" si="63"/>
        <v>0.23352275892807398</v>
      </c>
      <c r="L2049" s="642">
        <f>L2048/(D2048+E2048+G2048+H2048+I2048+J2048+L2048+M2048+N2048)</f>
        <v>4.3090840715360186E-2</v>
      </c>
      <c r="M2049" s="642">
        <f>M2048/(D2048+E2048+G2048+H2048+I2048+J2048+L2048+M2048+N2048)</f>
        <v>0</v>
      </c>
      <c r="N2049" s="642">
        <f>N2048/(D2048+E2048+G2048+H2048+I2048+J2048+L2048+M2048+N2048)</f>
        <v>0.38823889910301407</v>
      </c>
      <c r="O2049" s="1515"/>
    </row>
    <row r="2050" spans="1:15" ht="12" customHeight="1">
      <c r="A2050" s="1516" t="s">
        <v>15194</v>
      </c>
      <c r="B2050" s="1509" t="s">
        <v>14937</v>
      </c>
      <c r="C2050" s="647" t="s">
        <v>6218</v>
      </c>
      <c r="D2050" s="648">
        <v>75432</v>
      </c>
      <c r="E2050" s="648">
        <v>23331</v>
      </c>
      <c r="F2050" s="649">
        <f t="shared" ref="F2050:F2113" si="64">SUM(D2050:E2050)</f>
        <v>98763</v>
      </c>
      <c r="G2050" s="648">
        <v>41239</v>
      </c>
      <c r="H2050" s="648">
        <v>4641</v>
      </c>
      <c r="I2050" s="648">
        <v>2886</v>
      </c>
      <c r="J2050" s="648">
        <v>3870</v>
      </c>
      <c r="K2050" s="649">
        <f t="shared" ref="K2050:K2113" si="65">SUM(G2050:J2050)</f>
        <v>52636</v>
      </c>
      <c r="L2050" s="648">
        <v>10741</v>
      </c>
      <c r="M2050" s="648">
        <v>1872</v>
      </c>
      <c r="N2050" s="648">
        <v>109950</v>
      </c>
      <c r="O2050" s="1510">
        <f>1-N2051</f>
        <v>0.59866696841167755</v>
      </c>
    </row>
    <row r="2051" spans="1:15" ht="12" customHeight="1">
      <c r="A2051" s="1517"/>
      <c r="B2051" s="1502"/>
      <c r="C2051" s="635" t="s">
        <v>6219</v>
      </c>
      <c r="D2051" s="636">
        <f>D2050/(D2050+E2050+G2050+H2050+I2050+J2050+L2050+M2050+N2050)</f>
        <v>0.27533745555953015</v>
      </c>
      <c r="E2051" s="636">
        <f>E2050/(D2050+E2050+G2050+H2050+I2050+J2050+L2050+M2050+N2050)</f>
        <v>8.516144574795044E-2</v>
      </c>
      <c r="F2051" s="637">
        <f t="shared" si="64"/>
        <v>0.36049890130748058</v>
      </c>
      <c r="G2051" s="636">
        <f>G2050/(D2050+E2050+G2050+H2050+I2050+J2050+L2050+M2050+N2050)</f>
        <v>0.15052817544038954</v>
      </c>
      <c r="H2051" s="636">
        <f>H2050/(D2050+E2050+G2050+H2050+I2050+J2050+L2050+M2050+N2050)</f>
        <v>1.6940305589826326E-2</v>
      </c>
      <c r="I2051" s="636">
        <f>I2050/(D2050+E2050+G2050+H2050+I2050+J2050+L2050+M2050+N2050)</f>
        <v>1.0534307677707128E-2</v>
      </c>
      <c r="J2051" s="636">
        <f>J2050/(D2050+E2050+G2050+H2050+I2050+J2050+L2050+M2050+N2050)</f>
        <v>1.4126046678006439E-2</v>
      </c>
      <c r="K2051" s="637">
        <f t="shared" si="65"/>
        <v>0.19212883538592943</v>
      </c>
      <c r="L2051" s="636">
        <f>L2050/(D2050+E2050+G2050+H2050+I2050+J2050+L2050+M2050+N2050)</f>
        <v>3.9206167278673681E-2</v>
      </c>
      <c r="M2051" s="636">
        <f>M2050/(D2050+E2050+G2050+H2050+I2050+J2050+L2050+M2050+N2050)</f>
        <v>6.8330644395938125E-3</v>
      </c>
      <c r="N2051" s="636">
        <f>N2050/(D2050+E2050+G2050+H2050+I2050+J2050+L2050+M2050+N2050)</f>
        <v>0.40133303158832245</v>
      </c>
      <c r="O2051" s="1503"/>
    </row>
    <row r="2052" spans="1:15" ht="12" customHeight="1">
      <c r="A2052" s="1517"/>
      <c r="B2052" s="1502" t="s">
        <v>14938</v>
      </c>
      <c r="C2052" s="638" t="s">
        <v>6218</v>
      </c>
      <c r="D2052" s="639">
        <v>83523</v>
      </c>
      <c r="E2052" s="639">
        <v>27539</v>
      </c>
      <c r="F2052" s="640">
        <f t="shared" si="64"/>
        <v>111062</v>
      </c>
      <c r="G2052" s="639">
        <v>46282</v>
      </c>
      <c r="H2052" s="639">
        <v>7498</v>
      </c>
      <c r="I2052" s="639">
        <v>7955</v>
      </c>
      <c r="J2052" s="639"/>
      <c r="K2052" s="640">
        <f t="shared" si="65"/>
        <v>61735</v>
      </c>
      <c r="L2052" s="639">
        <v>12877</v>
      </c>
      <c r="M2052" s="639"/>
      <c r="N2052" s="639">
        <v>90148</v>
      </c>
      <c r="O2052" s="1503">
        <f>1-N2053</f>
        <v>0.67316602736547482</v>
      </c>
    </row>
    <row r="2053" spans="1:15" ht="12" customHeight="1">
      <c r="A2053" s="1517"/>
      <c r="B2053" s="1502"/>
      <c r="C2053" s="635" t="s">
        <v>6219</v>
      </c>
      <c r="D2053" s="636">
        <f>D2052/(D2052+E2052+G2052+H2052+I2052+J2052+L2052+M2052+N2052)</f>
        <v>0.30281485885824916</v>
      </c>
      <c r="E2053" s="636">
        <f>E2052/(D2052+E2052+G2052+H2052+I2052+J2052+L2052+M2052+N2052)</f>
        <v>9.9843377250545637E-2</v>
      </c>
      <c r="F2053" s="637">
        <f t="shared" si="64"/>
        <v>0.40265823610879481</v>
      </c>
      <c r="G2053" s="636">
        <f>G2052/(D2052+E2052+G2052+H2052+I2052+J2052+L2052+M2052+N2052)</f>
        <v>0.16779662245941224</v>
      </c>
      <c r="H2053" s="636">
        <f>H2052/(D2052+E2052+G2052+H2052+I2052+J2052+L2052+M2052+N2052)</f>
        <v>2.7184198504832828E-2</v>
      </c>
      <c r="I2053" s="636">
        <f>I2052/(D2052+E2052+G2052+H2052+I2052+J2052+L2052+M2052+N2052)</f>
        <v>2.8841064164569902E-2</v>
      </c>
      <c r="J2053" s="636">
        <f>J2052/(D2052+E2052+G2052+H2052+I2052+J2052+L2052+M2052+N2052)</f>
        <v>0</v>
      </c>
      <c r="K2053" s="637">
        <f t="shared" si="65"/>
        <v>0.22382188512881498</v>
      </c>
      <c r="L2053" s="636">
        <f>L2052/(D2052+E2052+G2052+H2052+I2052+J2052+L2052+M2052+N2052)</f>
        <v>4.6685906127865072E-2</v>
      </c>
      <c r="M2053" s="636">
        <f>M2052/(D2052+E2052+G2052+H2052+I2052+J2052+L2052+M2052+N2052)</f>
        <v>0</v>
      </c>
      <c r="N2053" s="636">
        <f>N2052/(D2052+E2052+G2052+H2052+I2052+J2052+L2052+M2052+N2052)</f>
        <v>0.32683397263452518</v>
      </c>
      <c r="O2053" s="1503"/>
    </row>
    <row r="2054" spans="1:15" ht="12" customHeight="1">
      <c r="A2054" s="1517"/>
      <c r="B2054" s="1502" t="s">
        <v>14939</v>
      </c>
      <c r="C2054" s="638" t="s">
        <v>6218</v>
      </c>
      <c r="D2054" s="639">
        <v>60793</v>
      </c>
      <c r="E2054" s="639">
        <v>26846</v>
      </c>
      <c r="F2054" s="640">
        <f t="shared" si="64"/>
        <v>87639</v>
      </c>
      <c r="G2054" s="639">
        <v>58971</v>
      </c>
      <c r="H2054" s="639">
        <v>5928</v>
      </c>
      <c r="I2054" s="639"/>
      <c r="J2054" s="639"/>
      <c r="K2054" s="640">
        <f t="shared" si="65"/>
        <v>64899</v>
      </c>
      <c r="L2054" s="639">
        <v>10318</v>
      </c>
      <c r="M2054" s="639">
        <v>4875</v>
      </c>
      <c r="N2054" s="639">
        <v>108852</v>
      </c>
      <c r="O2054" s="1503">
        <f>1-N2055</f>
        <v>0.6064400198132206</v>
      </c>
    </row>
    <row r="2055" spans="1:15" ht="12" customHeight="1">
      <c r="A2055" s="1517"/>
      <c r="B2055" s="1502"/>
      <c r="C2055" s="635" t="s">
        <v>6219</v>
      </c>
      <c r="D2055" s="636">
        <f>D2054/(D2054+E2054+G2054+H2054+I2054+J2054+L2054+M2054+N2054)</f>
        <v>0.21980020464019842</v>
      </c>
      <c r="E2055" s="636">
        <f>E2054/(D2054+E2054+G2054+H2054+I2054+J2054+L2054+M2054+N2054)</f>
        <v>9.7063087753043384E-2</v>
      </c>
      <c r="F2055" s="637">
        <f t="shared" si="64"/>
        <v>0.31686329239324179</v>
      </c>
      <c r="G2055" s="636">
        <f>G2054/(D2054+E2054+G2054+H2054+I2054+J2054+L2054+M2054+N2054)</f>
        <v>0.21321267033765634</v>
      </c>
      <c r="H2055" s="636">
        <f>H2054/(D2054+E2054+G2054+H2054+I2054+J2054+L2054+M2054+N2054)</f>
        <v>2.1432987566119392E-2</v>
      </c>
      <c r="I2055" s="636">
        <f>I2054/(D2054+E2054+G2054+H2054+I2054+J2054+L2054+M2054+N2054)</f>
        <v>0</v>
      </c>
      <c r="J2055" s="636">
        <f>J2054/(D2054+E2054+G2054+H2054+I2054+J2054+L2054+M2054+N2054)</f>
        <v>0</v>
      </c>
      <c r="K2055" s="637">
        <f t="shared" si="65"/>
        <v>0.23464565790377573</v>
      </c>
      <c r="L2055" s="636">
        <f>L2054/(D2054+E2054+G2054+H2054+I2054+J2054+L2054+M2054+N2054)</f>
        <v>3.7305257373012803E-2</v>
      </c>
      <c r="M2055" s="636">
        <f>M2054/(D2054+E2054+G2054+H2054+I2054+J2054+L2054+M2054+N2054)</f>
        <v>1.7625812143190291E-2</v>
      </c>
      <c r="N2055" s="636">
        <f>N2054/(D2054+E2054+G2054+H2054+I2054+J2054+L2054+M2054+N2054)</f>
        <v>0.3935599801867794</v>
      </c>
      <c r="O2055" s="1503"/>
    </row>
    <row r="2056" spans="1:15" ht="12" customHeight="1">
      <c r="A2056" s="1517"/>
      <c r="B2056" s="1502" t="s">
        <v>14940</v>
      </c>
      <c r="C2056" s="638" t="s">
        <v>6218</v>
      </c>
      <c r="D2056" s="639">
        <v>74637</v>
      </c>
      <c r="E2056" s="639">
        <v>28310</v>
      </c>
      <c r="F2056" s="640">
        <f t="shared" si="64"/>
        <v>102947</v>
      </c>
      <c r="G2056" s="639">
        <v>49983</v>
      </c>
      <c r="H2056" s="639">
        <v>8225</v>
      </c>
      <c r="I2056" s="639"/>
      <c r="J2056" s="639"/>
      <c r="K2056" s="640">
        <f t="shared" si="65"/>
        <v>58208</v>
      </c>
      <c r="L2056" s="639">
        <v>12539</v>
      </c>
      <c r="M2056" s="639"/>
      <c r="N2056" s="639">
        <v>103388</v>
      </c>
      <c r="O2056" s="1503">
        <f>1-N2057</f>
        <v>0.62686858042023663</v>
      </c>
    </row>
    <row r="2057" spans="1:15" ht="12" customHeight="1" thickBot="1">
      <c r="A2057" s="1518"/>
      <c r="B2057" s="1504"/>
      <c r="C2057" s="644" t="s">
        <v>6219</v>
      </c>
      <c r="D2057" s="645">
        <f>D2056/(D2056+E2056+G2056+H2056+I2056+J2056+L2056+M2056+N2056)</f>
        <v>0.26936791274785082</v>
      </c>
      <c r="E2057" s="645">
        <f>E2056/(D2056+E2056+G2056+H2056+I2056+J2056+L2056+M2056+N2056)</f>
        <v>0.10217192022578153</v>
      </c>
      <c r="F2057" s="646">
        <f t="shared" si="64"/>
        <v>0.37153983297363236</v>
      </c>
      <c r="G2057" s="645">
        <f>G2056/(D2056+E2056+G2056+H2056+I2056+J2056+L2056+M2056+N2056)</f>
        <v>0.18039064248128714</v>
      </c>
      <c r="H2057" s="645">
        <f>H2056/(D2056+E2056+G2056+H2056+I2056+J2056+L2056+M2056+N2056)</f>
        <v>2.968435336831696E-2</v>
      </c>
      <c r="I2057" s="645">
        <f>I2056/(D2056+E2056+G2056+H2056+I2056+J2056+L2056+M2056+N2056)</f>
        <v>0</v>
      </c>
      <c r="J2057" s="645">
        <f>J2056/(D2056+E2056+G2056+H2056+I2056+J2056+L2056+M2056+N2056)</f>
        <v>0</v>
      </c>
      <c r="K2057" s="646">
        <f t="shared" si="65"/>
        <v>0.2100749958496041</v>
      </c>
      <c r="L2057" s="645">
        <f>L2056/(D2056+E2056+G2056+H2056+I2056+J2056+L2056+M2056+N2056)</f>
        <v>4.5253751597000166E-2</v>
      </c>
      <c r="M2057" s="645">
        <f>M2056/(D2056+E2056+G2056+H2056+I2056+J2056+L2056+M2056+N2056)</f>
        <v>0</v>
      </c>
      <c r="N2057" s="645">
        <f>N2056/(D2056+E2056+G2056+H2056+I2056+J2056+L2056+M2056+N2056)</f>
        <v>0.37313141957976337</v>
      </c>
      <c r="O2057" s="1505"/>
    </row>
    <row r="2058" spans="1:15" ht="12" customHeight="1" thickTop="1">
      <c r="A2058" s="1511" t="s">
        <v>15195</v>
      </c>
      <c r="B2058" s="1509" t="s">
        <v>14937</v>
      </c>
      <c r="C2058" s="647" t="s">
        <v>6218</v>
      </c>
      <c r="D2058" s="648">
        <f>D1898+D1906+D1914+D1922+D1930+D1938+D1946+D1954+D1962+D1970+D1978+D1986+D1994+D2002+D2010+D2018+D2026+D2034+D2042+D2050</f>
        <v>1187955</v>
      </c>
      <c r="E2058" s="648">
        <f>E1898+E1906+E1914+E1922+E1930+E1938+E1946+E1954+E1962+E1970+E1978+E1986+E1994+E2002+E2010+E2018+E2026+E2034+E2042+E2050</f>
        <v>538707</v>
      </c>
      <c r="F2058" s="649">
        <f t="shared" si="64"/>
        <v>1726662</v>
      </c>
      <c r="G2058" s="648">
        <f>G1898+G1906+G1914+G1922+G1930+G1938+G1946+G1954+G1962+G1970+G1978+G1986+G1994+G2002+G2010+G2018+G2026+G2034+G2042+G2050</f>
        <v>1330429</v>
      </c>
      <c r="H2058" s="648">
        <f>H1898+H1906+H1914+H1922+H1930+H1938+H1946+H1954+H1962+H1970+H1978+H1986+H1994+H2002+H2010+H2018+H2026+H2034+H2042+H2050</f>
        <v>129145</v>
      </c>
      <c r="I2058" s="648">
        <f>I1898+I1906+I1914+I1922+I1930+I1938+I1946+I1954+I1962+I1970+I1978+I1986+I1994+I2002+I2010+I2018+I2026+I2034+I2042+I2050</f>
        <v>137325</v>
      </c>
      <c r="J2058" s="648">
        <f>J1898+J1906+J1914+J1922+J1930+J1938+J1946+J1954+J1962+J1970+J1978+J1986+J1994+J2002+J2010+J2018+J2026+J2034+J2042+J2050</f>
        <v>74816</v>
      </c>
      <c r="K2058" s="649">
        <f t="shared" si="65"/>
        <v>1671715</v>
      </c>
      <c r="L2058" s="648">
        <f>L1898+L1906+L1914+L1922+L1930+L1938+L1946+L1954+L1962+L1970+L1978+L1986+L1994+L2002+L2010+L2018+L2026+L2034+L2042+L2050</f>
        <v>209307</v>
      </c>
      <c r="M2058" s="648">
        <f>M1898+M1906+M1914+M1922+M1930+M1938+M1946+M1954+M1962+M1970+M1978+M1986+M1994+M2002+M2010+M2018+M2026+M2034+M2042+M2050</f>
        <v>66126</v>
      </c>
      <c r="N2058" s="648">
        <f>N1898+N1906+N1914+N1922+N1930+N1938+N1946+N1954+N1962+N1970+N1978+N1986+N1994+N2002+N2010+N2018+N2026+N2034+N2042+N2050</f>
        <v>2563521</v>
      </c>
      <c r="O2058" s="1510">
        <f>1-N2059</f>
        <v>0.58900353372299785</v>
      </c>
    </row>
    <row r="2059" spans="1:15" ht="12" customHeight="1">
      <c r="A2059" s="1512"/>
      <c r="B2059" s="1502"/>
      <c r="C2059" s="635" t="s">
        <v>6219</v>
      </c>
      <c r="D2059" s="650">
        <f>D2058/(D2058+E2058+G2058+H2058+I2058+J2058+L2058+M2058+N2058)</f>
        <v>0.19045886774327031</v>
      </c>
      <c r="E2059" s="650">
        <f>E2058/(D2058+E2058+G2058+H2058+I2058+J2058+L2058+M2058+N2058)</f>
        <v>8.6368191779464643E-2</v>
      </c>
      <c r="F2059" s="651">
        <f t="shared" si="64"/>
        <v>0.27682705952273495</v>
      </c>
      <c r="G2059" s="650">
        <f>G2058/(D2058+E2058+G2058+H2058+I2058+J2058+L2058+M2058+N2058)</f>
        <v>0.21330100967865903</v>
      </c>
      <c r="H2059" s="650">
        <f>H2058/(D2058+E2058+G2058+H2058+I2058+J2058+L2058+M2058+N2058)</f>
        <v>2.0705170208218868E-2</v>
      </c>
      <c r="I2059" s="650">
        <f>I2058/(D2058+E2058+G2058+H2058+I2058+J2058+L2058+M2058+N2058)</f>
        <v>2.2016628586810607E-2</v>
      </c>
      <c r="J2059" s="650">
        <f>J2058/(D2058+E2058+G2058+H2058+I2058+J2058+L2058+M2058+N2058)</f>
        <v>1.1994874089574531E-2</v>
      </c>
      <c r="K2059" s="651">
        <f t="shared" si="65"/>
        <v>0.26801768256326297</v>
      </c>
      <c r="L2059" s="650">
        <f>L2058/(D2058+E2058+G2058+H2058+I2058+J2058+L2058+M2058+N2058)</f>
        <v>3.3557141668447608E-2</v>
      </c>
      <c r="M2059" s="650">
        <f>M2058/(D2058+E2058+G2058+H2058+I2058+J2058+L2058+M2058+N2058)</f>
        <v>1.0601649968552253E-2</v>
      </c>
      <c r="N2059" s="650">
        <f>N2058/(D2058+E2058+G2058+H2058+I2058+J2058+L2058+M2058+N2058)</f>
        <v>0.41099646627700215</v>
      </c>
      <c r="O2059" s="1503"/>
    </row>
    <row r="2060" spans="1:15" ht="12" customHeight="1">
      <c r="A2060" s="1512"/>
      <c r="B2060" s="1502" t="s">
        <v>14938</v>
      </c>
      <c r="C2060" s="638" t="s">
        <v>6218</v>
      </c>
      <c r="D2060" s="648">
        <f>D1900+D1908+D1916+D1924+D1932+D1940+D1948+D1956+D1964+D1972+D1980+D1988+D1996+D2004+D2012+D2020+D2028+D2036+D2044+D2052</f>
        <v>1537080</v>
      </c>
      <c r="E2060" s="648">
        <f>E1900+E1908+E1916+E1924+E1932+E1940+E1948+E1956+E1964+E1972+E1980+E1988+E1996+E2004+E2012+E2020+E2028+E2036+E2044+E2052</f>
        <v>658702</v>
      </c>
      <c r="F2060" s="649">
        <f t="shared" si="64"/>
        <v>2195782</v>
      </c>
      <c r="G2060" s="648">
        <f>G1900+G1908+G1916+G1924+G1932+G1940+G1948+G1956+G1964+G1972+G1980+G1988+G1996+G2004+G2012+G2020+G2028+G2036+G2044+G2052</f>
        <v>1196971</v>
      </c>
      <c r="H2060" s="648">
        <f>H1900+H1908+H1916+H1924+H1932+H1940+H1948+H1956+H1964+H1972+H1980+H1988+H1996+H2004+H2012+H2020+H2028+H2036+H2044+H2052</f>
        <v>215636</v>
      </c>
      <c r="I2060" s="648">
        <f>I1900+I1908+I1916+I1924+I1932+I1940+I1948+I1956+I1964+I1972+I1980+I1988+I1996+I2004+I2012+I2020+I2028+I2036+I2044+I2052</f>
        <v>330546</v>
      </c>
      <c r="J2060" s="648">
        <f>J1900+J1908+J1916+J1924+J1932+J1940+J1948+J1956+J1964+J1972+J1980+J1988+J1996+J2004+J2012+J2020+J2028+J2036+J2044+J2052</f>
        <v>0</v>
      </c>
      <c r="K2060" s="649">
        <f t="shared" si="65"/>
        <v>1743153</v>
      </c>
      <c r="L2060" s="648">
        <f>L1900+L1908+L1916+L1924+L1932+L1940+L1948+L1956+L1964+L1972+L1980+L1988+L1996+L2004+L2012+L2020+L2028+L2036+L2044+L2052</f>
        <v>247073</v>
      </c>
      <c r="M2060" s="648">
        <f>M1900+M1908+M1916+M1924+M1932+M1940+M1948+M1956+M1964+M1972+M1980+M1988+M1996+M2004+M2012+M2020+M2028+M2036+M2044+M2052</f>
        <v>0</v>
      </c>
      <c r="N2060" s="648">
        <f>N1900+N1908+N1916+N1924+N1932+N1940+N1948+N1956+N1964+N1972+N1980+N1988+N1996+N2004+N2012+N2020+N2028+N2036+N2044+N2052</f>
        <v>2042043</v>
      </c>
      <c r="O2060" s="1503">
        <f>1-N2061</f>
        <v>0.67212166374360138</v>
      </c>
    </row>
    <row r="2061" spans="1:15" ht="12" customHeight="1">
      <c r="A2061" s="1512"/>
      <c r="B2061" s="1502"/>
      <c r="C2061" s="635" t="s">
        <v>6219</v>
      </c>
      <c r="D2061" s="650">
        <f>D2060/(D2060+E2060+G2060+H2060+I2060+J2060+L2060+M2060+N2060)</f>
        <v>0.24679952042781922</v>
      </c>
      <c r="E2061" s="650">
        <f>E2060/(D2060+E2060+G2060+H2060+I2060+J2060+L2060+M2060+N2060)</f>
        <v>0.10576374535147512</v>
      </c>
      <c r="F2061" s="651">
        <f t="shared" si="64"/>
        <v>0.35256326577929431</v>
      </c>
      <c r="G2061" s="650">
        <f>G2060/(D2060+E2060+G2060+H2060+I2060+J2060+L2060+M2060+N2060)</f>
        <v>0.19219030158873138</v>
      </c>
      <c r="H2061" s="650">
        <f>H2060/(D2060+E2060+G2060+H2060+I2060+J2060+L2060+M2060+N2060)</f>
        <v>3.4623351671333458E-2</v>
      </c>
      <c r="I2061" s="650">
        <f>I2060/(D2060+E2060+G2060+H2060+I2060+J2060+L2060+M2060+N2060)</f>
        <v>5.307374650592938E-2</v>
      </c>
      <c r="J2061" s="650">
        <f>J2060/(D2060+E2060+G2060+H2060+I2060+J2060+L2060+M2060+N2060)</f>
        <v>0</v>
      </c>
      <c r="K2061" s="651">
        <f t="shared" si="65"/>
        <v>0.27988739976599419</v>
      </c>
      <c r="L2061" s="650">
        <f>L2060/(D2060+E2060+G2060+H2060+I2060+J2060+L2060+M2060+N2060)</f>
        <v>3.9670998198312761E-2</v>
      </c>
      <c r="M2061" s="650">
        <f>M2060/(D2060+E2060+G2060+H2060+I2060+J2060+L2060+M2060+N2060)</f>
        <v>0</v>
      </c>
      <c r="N2061" s="650">
        <f>N2060/(D2060+E2060+G2060+H2060+I2060+J2060+L2060+M2060+N2060)</f>
        <v>0.32787833625639867</v>
      </c>
      <c r="O2061" s="1503"/>
    </row>
    <row r="2062" spans="1:15" ht="12" customHeight="1">
      <c r="A2062" s="1512"/>
      <c r="B2062" s="1502" t="s">
        <v>14939</v>
      </c>
      <c r="C2062" s="638" t="s">
        <v>6218</v>
      </c>
      <c r="D2062" s="648">
        <f>D1902+D1910+D1918+D1926+D1934+D1942+D1950+D1958+D1966+D1974+D1982+D1990+D1998+D2006+D2014+D2022+D2030+D2038+D2046+D2054</f>
        <v>1188106</v>
      </c>
      <c r="E2062" s="648">
        <f>E1902+E1910+E1918+E1926+E1934+E1942+E1950+E1958+E1966+E1974+E1982+E1990+E1998+E2006+E2014+E2022+E2030+E2038+E2046+E2054</f>
        <v>644888</v>
      </c>
      <c r="F2062" s="649">
        <f t="shared" si="64"/>
        <v>1832994</v>
      </c>
      <c r="G2062" s="648">
        <f>G1902+G1910+G1918+G1926+G1934+G1942+G1950+G1958+G1966+G1974+G1982+G1990+G1998+G2006+G2014+G2022+G2030+G2038+G2046+G2054</f>
        <v>1231435</v>
      </c>
      <c r="H2062" s="648">
        <f>H1902+H1910+H1918+H1926+H1934+H1942+H1950+H1958+H1966+H1974+H1982+H1990+H1998+H2006+H2014+H2022+H2030+H2038+H2046+H2054</f>
        <v>164899</v>
      </c>
      <c r="I2062" s="648">
        <f>I1902+I1910+I1918+I1926+I1934+I1942+I1950+I1958+I1966+I1974+I1982+I1990+I1998+I2006+I2014+I2022+I2030+I2038+I2046+I2054</f>
        <v>0</v>
      </c>
      <c r="J2062" s="648">
        <f>J1902+J1910+J1918+J1926+J1934+J1942+J1950+J1958+J1966+J1974+J1982+J1990+J1998+J2006+J2014+J2022+J2030+J2038+J2046+J2054</f>
        <v>0</v>
      </c>
      <c r="K2062" s="649">
        <f t="shared" si="65"/>
        <v>1396334</v>
      </c>
      <c r="L2062" s="648">
        <f>L1902+L1910+L1918+L1926+L1934+L1942+L1950+L1958+L1966+L1974+L1982+L1990+L1998+L2006+L2014+L2022+L2030+L2038+L2046+L2054</f>
        <v>212000</v>
      </c>
      <c r="M2062" s="648">
        <f>M1902+M1910+M1918+M1926+M1934+M1942+M1950+M1958+M1966+M1974+M1982+M1990+M1998+M2006+M2014+M2022+M2030+M2038+M2046+M2054</f>
        <v>95495</v>
      </c>
      <c r="N2062" s="648">
        <f>N1902+N1910+N1918+N1926+N1934+N1942+N1950+N1958+N1966+N1974+N1982+N1990+N1998+N2006+N2014+N2022+N2030+N2038+N2046+N2054</f>
        <v>2678063</v>
      </c>
      <c r="O2062" s="1503">
        <f>1-N2063</f>
        <v>0.56908895834935669</v>
      </c>
    </row>
    <row r="2063" spans="1:15" ht="12" customHeight="1">
      <c r="A2063" s="1512"/>
      <c r="B2063" s="1502"/>
      <c r="C2063" s="635" t="s">
        <v>6219</v>
      </c>
      <c r="D2063" s="650">
        <f>D2062/(D2062+E2062+G2062+H2062+I2062+J2062+L2062+M2062+N2062)</f>
        <v>0.19117100458479849</v>
      </c>
      <c r="E2063" s="650">
        <f>E2062/(D2062+E2062+G2062+H2062+I2062+J2062+L2062+M2062+N2062)</f>
        <v>0.10376505699380488</v>
      </c>
      <c r="F2063" s="651">
        <f t="shared" si="64"/>
        <v>0.29493606157860336</v>
      </c>
      <c r="G2063" s="650">
        <f>G2062/(D2062+E2062+G2062+H2062+I2062+J2062+L2062+M2062+N2062)</f>
        <v>0.19814281388266816</v>
      </c>
      <c r="H2063" s="650">
        <f>H2062/(D2062+E2062+G2062+H2062+I2062+J2062+L2062+M2062+N2062)</f>
        <v>2.6532908246426401E-2</v>
      </c>
      <c r="I2063" s="650">
        <f>I2062/(D2062+E2062+G2062+H2062+I2062+J2062+L2062+M2062+N2062)</f>
        <v>0</v>
      </c>
      <c r="J2063" s="650">
        <f>J2062/(D2062+E2062+G2062+H2062+I2062+J2062+L2062+M2062+N2062)</f>
        <v>0</v>
      </c>
      <c r="K2063" s="651">
        <f t="shared" si="65"/>
        <v>0.22467572212909456</v>
      </c>
      <c r="L2063" s="650">
        <f>L2062/(D2062+E2062+G2062+H2062+I2062+J2062+L2062+M2062+N2062)</f>
        <v>3.4111647422012246E-2</v>
      </c>
      <c r="M2063" s="650">
        <f>M2062/(D2062+E2062+G2062+H2062+I2062+J2062+L2062+M2062+N2062)</f>
        <v>1.5365527219646506E-2</v>
      </c>
      <c r="N2063" s="650">
        <f>N2062/(D2062+E2062+G2062+H2062+I2062+J2062+L2062+M2062+N2062)</f>
        <v>0.43091104165064331</v>
      </c>
      <c r="O2063" s="1503"/>
    </row>
    <row r="2064" spans="1:15" ht="12" customHeight="1">
      <c r="A2064" s="1512"/>
      <c r="B2064" s="1502" t="s">
        <v>14940</v>
      </c>
      <c r="C2064" s="638" t="s">
        <v>6218</v>
      </c>
      <c r="D2064" s="648">
        <f>D1904+D1912+D1920+D1928+D1936+D1944+D1952+D1960+D1968+D1976+D1984+D1992+D2000+D2008+D2016+D2024+D2032+D2040+D2048+D2056</f>
        <v>1388768</v>
      </c>
      <c r="E2064" s="648">
        <f>E1904+E1912+E1920+E1928+E1936+E1944+E1952+E1960+E1968+E1976+E1984+E1992+E2000+E2008+E2016+E2024+E2032+E2040+E2048+E2056</f>
        <v>657311</v>
      </c>
      <c r="F2064" s="649">
        <f t="shared" si="64"/>
        <v>2046079</v>
      </c>
      <c r="G2064" s="648">
        <f>G1904+G1912+G1920+G1928+G1936+G1944+G1952+G1960+G1968+G1976+G1984+G1992+G2000+G2008+G2016+G2024+G2032+G2040+G2048+G2056</f>
        <v>1254880</v>
      </c>
      <c r="H2064" s="648">
        <f>H1904+H1912+H1920+H1928+H1936+H1944+H1952+H1960+H1968+H1976+H1984+H1992+H2000+H2008+H2016+H2024+H2032+H2040+H2048+H2056</f>
        <v>176942</v>
      </c>
      <c r="I2064" s="648">
        <f>I1904+I1912+I1920+I1928+I1936+I1944+I1952+I1960+I1968+I1976+I1984+I1992+I2000+I2008+I2016+I2024+I2032+I2040+I2048+I2056</f>
        <v>0</v>
      </c>
      <c r="J2064" s="648">
        <f>J1904+J1912+J1920+J1928+J1936+J1944+J1952+J1960+J1968+J1976+J1984+J1992+J2000+J2008+J2016+J2024+J2032+J2040+J2048+J2056</f>
        <v>0</v>
      </c>
      <c r="K2064" s="649">
        <f t="shared" si="65"/>
        <v>1431822</v>
      </c>
      <c r="L2064" s="648">
        <f>L1904+L1912+L1920+L1928+L1936+L1944+L1952+L1960+L1968+L1976+L1984+L1992+L2000+L2008+L2016+L2024+L2032+L2040+L2048+L2056</f>
        <v>234359</v>
      </c>
      <c r="M2064" s="648">
        <f>M1904+M1912+M1920+M1928+M1936+M1944+M1952+M1960+M1968+M1976+M1984+M1992+M2000+M2008+M2016+M2024+M2032+M2040+M2048+M2056</f>
        <v>0</v>
      </c>
      <c r="N2064" s="648">
        <f>N1904+N1912+N1920+N1928+N1936+N1944+N1952+N1960+N1968+N1976+N1984+N1992+N2000+N2008+N2016+N2024+N2032+N2040+N2048+N2056</f>
        <v>2495541</v>
      </c>
      <c r="O2064" s="1503">
        <f>1-N2065</f>
        <v>0.59799919488398556</v>
      </c>
    </row>
    <row r="2065" spans="1:15" ht="12" customHeight="1" thickBot="1">
      <c r="A2065" s="1513"/>
      <c r="B2065" s="1504"/>
      <c r="C2065" s="644" t="s">
        <v>6219</v>
      </c>
      <c r="D2065" s="645">
        <f>D2064/(D2064+E2064+G2064+H2064+I2064+J2064+L2064+M2064+N2064)</f>
        <v>0.22371335679091517</v>
      </c>
      <c r="E2065" s="645">
        <f>E2064/(D2064+E2064+G2064+H2064+I2064+J2064+L2064+M2064+N2064)</f>
        <v>0.10588467639346043</v>
      </c>
      <c r="F2065" s="646">
        <f t="shared" si="64"/>
        <v>0.32959803318437558</v>
      </c>
      <c r="G2065" s="645">
        <f>G2064/(D2064+E2064+G2064+H2064+I2064+J2064+L2064+M2064+N2064)</f>
        <v>0.20214565512006585</v>
      </c>
      <c r="H2065" s="645">
        <f>H2064/(D2064+E2064+G2064+H2064+I2064+J2064+L2064+M2064+N2064)</f>
        <v>2.8503168835470081E-2</v>
      </c>
      <c r="I2065" s="645">
        <f>I2064/(D2064+E2064+G2064+H2064+I2064+J2064+L2064+M2064+N2064)</f>
        <v>0</v>
      </c>
      <c r="J2065" s="645">
        <f>J2064/(D2064+E2064+G2064+H2064+I2064+J2064+L2064+M2064+N2064)</f>
        <v>0</v>
      </c>
      <c r="K2065" s="646">
        <f t="shared" si="65"/>
        <v>0.23064882395553593</v>
      </c>
      <c r="L2065" s="645">
        <f>L2064/(D2064+E2064+G2064+H2064+I2064+J2064+L2064+M2064+N2064)</f>
        <v>3.7752337744073945E-2</v>
      </c>
      <c r="M2065" s="645">
        <f>M2064/(D2064+E2064+G2064+H2064+I2064+J2064+L2064+M2064+N2064)</f>
        <v>0</v>
      </c>
      <c r="N2065" s="645">
        <f>N2064/(D2064+E2064+G2064+H2064+I2064+J2064+L2064+M2064+N2064)</f>
        <v>0.40200080511601449</v>
      </c>
      <c r="O2065" s="1505"/>
    </row>
    <row r="2066" spans="1:15" ht="12" customHeight="1" thickTop="1">
      <c r="A2066" s="1526" t="s">
        <v>15196</v>
      </c>
      <c r="B2066" s="1509" t="s">
        <v>14937</v>
      </c>
      <c r="C2066" s="647" t="s">
        <v>6218</v>
      </c>
      <c r="D2066" s="648">
        <v>28955</v>
      </c>
      <c r="E2066" s="648">
        <v>16018</v>
      </c>
      <c r="F2066" s="649">
        <f t="shared" si="64"/>
        <v>44973</v>
      </c>
      <c r="G2066" s="648">
        <v>48493</v>
      </c>
      <c r="H2066" s="648">
        <v>2066</v>
      </c>
      <c r="I2066" s="648">
        <v>1608</v>
      </c>
      <c r="J2066" s="648">
        <v>3046</v>
      </c>
      <c r="K2066" s="649">
        <f t="shared" si="65"/>
        <v>55213</v>
      </c>
      <c r="L2066" s="648">
        <v>9725</v>
      </c>
      <c r="M2066" s="648">
        <v>3956</v>
      </c>
      <c r="N2066" s="648">
        <v>101832</v>
      </c>
      <c r="O2066" s="1510">
        <f>1-N2067</f>
        <v>0.52789767221915729</v>
      </c>
    </row>
    <row r="2067" spans="1:15" ht="12" customHeight="1">
      <c r="A2067" s="1527"/>
      <c r="B2067" s="1502"/>
      <c r="C2067" s="635" t="s">
        <v>6219</v>
      </c>
      <c r="D2067" s="636">
        <f>D2066/(D2066+E2066+G2066+H2066+I2066+J2066+L2066+M2066+N2066)</f>
        <v>0.13423798904955517</v>
      </c>
      <c r="E2067" s="636">
        <f>E2066/(D2066+E2066+G2066+H2066+I2066+J2066+L2066+M2066+N2066)</f>
        <v>7.4260891334683984E-2</v>
      </c>
      <c r="F2067" s="637">
        <f t="shared" si="64"/>
        <v>0.20849888038423914</v>
      </c>
      <c r="G2067" s="636">
        <f>G2066/(D2066+E2066+G2066+H2066+I2066+J2066+L2066+M2066+N2066)</f>
        <v>0.22481791756104572</v>
      </c>
      <c r="H2067" s="636">
        <f>H2066/(D2066+E2066+G2066+H2066+I2066+J2066+L2066+M2066+N2066)</f>
        <v>9.5781621611597638E-3</v>
      </c>
      <c r="I2067" s="636">
        <f>I2066/(D2066+E2066+G2066+H2066+I2066+J2066+L2066+M2066+N2066)</f>
        <v>7.4548328921320911E-3</v>
      </c>
      <c r="J2067" s="636">
        <f>J2066/(D2066+E2066+G2066+H2066+I2066+J2066+L2066+M2066+N2066)</f>
        <v>1.4121530466066139E-2</v>
      </c>
      <c r="K2067" s="637">
        <f t="shared" si="65"/>
        <v>0.25597244308040368</v>
      </c>
      <c r="L2067" s="636">
        <f>L2066/(D2066+E2066+G2066+H2066+I2066+J2066+L2066+M2066+N2066)</f>
        <v>4.5085976291035196E-2</v>
      </c>
      <c r="M2067" s="636">
        <f>M2066/(D2066+E2066+G2066+H2066+I2066+J2066+L2066+M2066+N2066)</f>
        <v>1.83403724634792E-2</v>
      </c>
      <c r="N2067" s="636">
        <f>N2066/(D2066+E2066+G2066+H2066+I2066+J2066+L2066+M2066+N2066)</f>
        <v>0.47210232778084277</v>
      </c>
      <c r="O2067" s="1503"/>
    </row>
    <row r="2068" spans="1:15" ht="12" customHeight="1">
      <c r="A2068" s="1527"/>
      <c r="B2068" s="1502" t="s">
        <v>14938</v>
      </c>
      <c r="C2068" s="638" t="s">
        <v>6218</v>
      </c>
      <c r="D2068" s="639">
        <v>48432</v>
      </c>
      <c r="E2068" s="639">
        <v>17003</v>
      </c>
      <c r="F2068" s="640">
        <f t="shared" si="64"/>
        <v>65435</v>
      </c>
      <c r="G2068" s="639">
        <v>48333</v>
      </c>
      <c r="H2068" s="639">
        <v>5102</v>
      </c>
      <c r="I2068" s="639"/>
      <c r="J2068" s="639"/>
      <c r="K2068" s="640">
        <f t="shared" si="65"/>
        <v>53435</v>
      </c>
      <c r="L2068" s="639">
        <v>12605</v>
      </c>
      <c r="M2068" s="639"/>
      <c r="N2068" s="639">
        <v>82866</v>
      </c>
      <c r="O2068" s="1503">
        <f>1-N2069</f>
        <v>0.61339174492980808</v>
      </c>
    </row>
    <row r="2069" spans="1:15" ht="12" customHeight="1">
      <c r="A2069" s="1527"/>
      <c r="B2069" s="1502"/>
      <c r="C2069" s="635" t="s">
        <v>6219</v>
      </c>
      <c r="D2069" s="636">
        <f>D2068/(D2068+E2068+G2068+H2068+I2068+J2068+L2068+M2068+N2068)</f>
        <v>0.22595770291264855</v>
      </c>
      <c r="E2069" s="636">
        <f>E2068/(D2068+E2068+G2068+H2068+I2068+J2068+L2068+M2068+N2068)</f>
        <v>7.9326867001646914E-2</v>
      </c>
      <c r="F2069" s="637">
        <f t="shared" si="64"/>
        <v>0.30528456991429548</v>
      </c>
      <c r="G2069" s="636">
        <f>G2068/(D2068+E2068+G2068+H2068+I2068+J2068+L2068+M2068+N2068)</f>
        <v>0.22549582207790389</v>
      </c>
      <c r="H2069" s="636">
        <f>H2068/(D2068+E2068+G2068+H2068+I2068+J2068+L2068+M2068+N2068)</f>
        <v>2.3803192109769014E-2</v>
      </c>
      <c r="I2069" s="636">
        <f>I2068/(D2068+E2068+G2068+H2068+I2068+J2068+L2068+M2068+N2068)</f>
        <v>0</v>
      </c>
      <c r="J2069" s="636">
        <f>J2068/(D2068+E2068+G2068+H2068+I2068+J2068+L2068+M2068+N2068)</f>
        <v>0</v>
      </c>
      <c r="K2069" s="637">
        <f t="shared" si="65"/>
        <v>0.24929901418767292</v>
      </c>
      <c r="L2069" s="636">
        <f>L2068/(D2068+E2068+G2068+H2068+I2068+J2068+L2068+M2068+N2068)</f>
        <v>5.8808160827839753E-2</v>
      </c>
      <c r="M2069" s="636">
        <f>M2068/(D2068+E2068+G2068+H2068+I2068+J2068+L2068+M2068+N2068)</f>
        <v>0</v>
      </c>
      <c r="N2069" s="636">
        <f>N2068/(D2068+E2068+G2068+H2068+I2068+J2068+L2068+M2068+N2068)</f>
        <v>0.38660825507019186</v>
      </c>
      <c r="O2069" s="1503"/>
    </row>
    <row r="2070" spans="1:15" ht="12" customHeight="1">
      <c r="A2070" s="1527"/>
      <c r="B2070" s="1502" t="s">
        <v>14939</v>
      </c>
      <c r="C2070" s="638" t="s">
        <v>6218</v>
      </c>
      <c r="D2070" s="639">
        <v>33619</v>
      </c>
      <c r="E2070" s="639">
        <v>15814</v>
      </c>
      <c r="F2070" s="640">
        <f t="shared" si="64"/>
        <v>49433</v>
      </c>
      <c r="G2070" s="639">
        <v>34793</v>
      </c>
      <c r="H2070" s="639">
        <v>3030</v>
      </c>
      <c r="I2070" s="639"/>
      <c r="J2070" s="639"/>
      <c r="K2070" s="640">
        <f t="shared" si="65"/>
        <v>37823</v>
      </c>
      <c r="L2070" s="639">
        <v>8819</v>
      </c>
      <c r="M2070" s="639">
        <v>9233</v>
      </c>
      <c r="N2070" s="639">
        <v>109130</v>
      </c>
      <c r="O2070" s="1503">
        <f>1-N2071</f>
        <v>0.49108833322452172</v>
      </c>
    </row>
    <row r="2071" spans="1:15" ht="12" customHeight="1">
      <c r="A2071" s="1527"/>
      <c r="B2071" s="1502"/>
      <c r="C2071" s="635" t="s">
        <v>6219</v>
      </c>
      <c r="D2071" s="636">
        <f>D2070/(D2070+E2070+G2070+H2070+I2070+J2070+L2070+M2070+N2070)</f>
        <v>0.15677725030078624</v>
      </c>
      <c r="E2071" s="636">
        <f>E2070/(D2070+E2070+G2070+H2070+I2070+J2070+L2070+M2070+N2070)</f>
        <v>7.3746257659556613E-2</v>
      </c>
      <c r="F2071" s="637">
        <f t="shared" si="64"/>
        <v>0.23052350796034285</v>
      </c>
      <c r="G2071" s="636">
        <f>G2070/(D2070+E2070+G2070+H2070+I2070+J2070+L2070+M2070+N2070)</f>
        <v>0.16225202622669491</v>
      </c>
      <c r="H2071" s="636">
        <f>H2070/(D2070+E2070+G2070+H2070+I2070+J2070+L2070+M2070+N2070)</f>
        <v>1.4129958309627958E-2</v>
      </c>
      <c r="I2071" s="636">
        <f>I2070/(D2070+E2070+G2070+H2070+I2070+J2070+L2070+M2070+N2070)</f>
        <v>0</v>
      </c>
      <c r="J2071" s="636">
        <f>J2070/(D2070+E2070+G2070+H2070+I2070+J2070+L2070+M2070+N2070)</f>
        <v>0</v>
      </c>
      <c r="K2071" s="637">
        <f t="shared" si="65"/>
        <v>0.17638198453632287</v>
      </c>
      <c r="L2071" s="636">
        <f>L2070/(D2070+E2070+G2070+H2070+I2070+J2070+L2070+M2070+N2070)</f>
        <v>4.1126106380399E-2</v>
      </c>
      <c r="M2071" s="636">
        <f>M2070/(D2070+E2070+G2070+H2070+I2070+J2070+L2070+M2070+N2070)</f>
        <v>4.3056734347457076E-2</v>
      </c>
      <c r="N2071" s="636">
        <f>N2070/(D2070+E2070+G2070+H2070+I2070+J2070+L2070+M2070+N2070)</f>
        <v>0.50891166677547828</v>
      </c>
      <c r="O2071" s="1503"/>
    </row>
    <row r="2072" spans="1:15" ht="12" customHeight="1">
      <c r="A2072" s="1527"/>
      <c r="B2072" s="1502" t="s">
        <v>14940</v>
      </c>
      <c r="C2072" s="638" t="s">
        <v>6218</v>
      </c>
      <c r="D2072" s="639">
        <v>36806</v>
      </c>
      <c r="E2072" s="639">
        <v>15806</v>
      </c>
      <c r="F2072" s="640">
        <f t="shared" si="64"/>
        <v>52612</v>
      </c>
      <c r="G2072" s="639">
        <v>46791</v>
      </c>
      <c r="H2072" s="639">
        <v>2454</v>
      </c>
      <c r="I2072" s="639"/>
      <c r="J2072" s="639"/>
      <c r="K2072" s="640">
        <f t="shared" si="65"/>
        <v>49245</v>
      </c>
      <c r="L2072" s="639">
        <v>11437</v>
      </c>
      <c r="M2072" s="639"/>
      <c r="N2072" s="639">
        <v>100485</v>
      </c>
      <c r="O2072" s="1503">
        <f>1-N2073</f>
        <v>0.52995850855322546</v>
      </c>
    </row>
    <row r="2073" spans="1:15" ht="12" customHeight="1" thickBot="1">
      <c r="A2073" s="1528"/>
      <c r="B2073" s="1514"/>
      <c r="C2073" s="641" t="s">
        <v>6219</v>
      </c>
      <c r="D2073" s="642">
        <f>D2072/(D2072+E2072+G2072+H2072+I2072+J2072+L2072+M2072+N2072)</f>
        <v>0.17216845433835878</v>
      </c>
      <c r="E2073" s="642">
        <f>E2072/(D2072+E2072+G2072+H2072+I2072+J2072+L2072+M2072+N2072)</f>
        <v>7.3936167724612797E-2</v>
      </c>
      <c r="F2073" s="643">
        <f t="shared" si="64"/>
        <v>0.24610462206297157</v>
      </c>
      <c r="G2073" s="642">
        <f>G2072/(D2072+E2072+G2072+H2072+I2072+J2072+L2072+M2072+N2072)</f>
        <v>0.21887556775922798</v>
      </c>
      <c r="H2073" s="642">
        <f>H2072/(D2072+E2072+G2072+H2072+I2072+J2072+L2072+M2072+N2072)</f>
        <v>1.1479144350006316E-2</v>
      </c>
      <c r="I2073" s="642">
        <f>I2072/(D2072+E2072+G2072+H2072+I2072+J2072+L2072+M2072+N2072)</f>
        <v>0</v>
      </c>
      <c r="J2073" s="642">
        <f>J2072/(D2072+E2072+G2072+H2072+I2072+J2072+L2072+M2072+N2072)</f>
        <v>0</v>
      </c>
      <c r="K2073" s="643">
        <f t="shared" si="65"/>
        <v>0.23035471210923431</v>
      </c>
      <c r="L2073" s="642">
        <f>L2072/(D2072+E2072+G2072+H2072+I2072+J2072+L2072+M2072+N2072)</f>
        <v>5.349917438101965E-2</v>
      </c>
      <c r="M2073" s="642">
        <f>M2072/(D2072+E2072+G2072+H2072+I2072+J2072+L2072+M2072+N2072)</f>
        <v>0</v>
      </c>
      <c r="N2073" s="642">
        <f>N2072/(D2072+E2072+G2072+H2072+I2072+J2072+L2072+M2072+N2072)</f>
        <v>0.47004149144677448</v>
      </c>
      <c r="O2073" s="1515"/>
    </row>
    <row r="2074" spans="1:15" ht="12" customHeight="1">
      <c r="A2074" s="1516" t="s">
        <v>15197</v>
      </c>
      <c r="B2074" s="1509" t="s">
        <v>14937</v>
      </c>
      <c r="C2074" s="647" t="s">
        <v>6218</v>
      </c>
      <c r="D2074" s="648">
        <v>40469</v>
      </c>
      <c r="E2074" s="648">
        <v>17261</v>
      </c>
      <c r="F2074" s="649">
        <f t="shared" si="64"/>
        <v>57730</v>
      </c>
      <c r="G2074" s="648">
        <v>54077</v>
      </c>
      <c r="H2074" s="648">
        <v>2457</v>
      </c>
      <c r="I2074" s="648">
        <v>2519</v>
      </c>
      <c r="J2074" s="648">
        <v>2242</v>
      </c>
      <c r="K2074" s="649">
        <f t="shared" si="65"/>
        <v>61295</v>
      </c>
      <c r="L2074" s="648">
        <v>6896</v>
      </c>
      <c r="M2074" s="648">
        <v>3696</v>
      </c>
      <c r="N2074" s="648">
        <v>99305</v>
      </c>
      <c r="O2074" s="1510">
        <f>1-N2075</f>
        <v>0.56620595661404316</v>
      </c>
    </row>
    <row r="2075" spans="1:15" ht="12" customHeight="1">
      <c r="A2075" s="1517"/>
      <c r="B2075" s="1502"/>
      <c r="C2075" s="635" t="s">
        <v>6219</v>
      </c>
      <c r="D2075" s="636">
        <f>D2074/(D2074+E2074+G2074+H2074+I2074+J2074+L2074+M2074+N2074)</f>
        <v>0.1767807375437922</v>
      </c>
      <c r="E2075" s="636">
        <f>E2074/(D2074+E2074+G2074+H2074+I2074+J2074+L2074+M2074+N2074)</f>
        <v>7.5401228365993653E-2</v>
      </c>
      <c r="F2075" s="637">
        <f t="shared" si="64"/>
        <v>0.25218196590978587</v>
      </c>
      <c r="G2075" s="636">
        <f>G2074/(D2074+E2074+G2074+H2074+I2074+J2074+L2074+M2074+N2074)</f>
        <v>0.23622456557255309</v>
      </c>
      <c r="H2075" s="636">
        <f>H2074/(D2074+E2074+G2074+H2074+I2074+J2074+L2074+M2074+N2074)</f>
        <v>1.0732913394081826E-2</v>
      </c>
      <c r="I2075" s="636">
        <f>I2074/(D2074+E2074+G2074+H2074+I2074+J2074+L2074+M2074+N2074)</f>
        <v>1.1003748001502694E-2</v>
      </c>
      <c r="J2075" s="636">
        <f>J2074/(D2074+E2074+G2074+H2074+I2074+J2074+L2074+M2074+N2074)</f>
        <v>9.793728868348171E-3</v>
      </c>
      <c r="K2075" s="637">
        <f t="shared" si="65"/>
        <v>0.26775495583648579</v>
      </c>
      <c r="L2075" s="636">
        <f>L2074/(D2074+E2074+G2074+H2074+I2074+J2074+L2074+M2074+N2074)</f>
        <v>3.0123797625392055E-2</v>
      </c>
      <c r="M2075" s="636">
        <f>M2074/(D2074+E2074+G2074+H2074+I2074+J2074+L2074+M2074+N2074)</f>
        <v>1.6145237242379502E-2</v>
      </c>
      <c r="N2075" s="636">
        <f>N2074/(D2074+E2074+G2074+H2074+I2074+J2074+L2074+M2074+N2074)</f>
        <v>0.43379404338595678</v>
      </c>
      <c r="O2075" s="1503"/>
    </row>
    <row r="2076" spans="1:15" ht="12" customHeight="1">
      <c r="A2076" s="1517"/>
      <c r="B2076" s="1502" t="s">
        <v>14938</v>
      </c>
      <c r="C2076" s="638" t="s">
        <v>6218</v>
      </c>
      <c r="D2076" s="639">
        <v>55801</v>
      </c>
      <c r="E2076" s="639">
        <v>19977</v>
      </c>
      <c r="F2076" s="640">
        <f t="shared" si="64"/>
        <v>75778</v>
      </c>
      <c r="G2076" s="639">
        <v>58999</v>
      </c>
      <c r="H2076" s="639">
        <v>5871</v>
      </c>
      <c r="I2076" s="639"/>
      <c r="J2076" s="639"/>
      <c r="K2076" s="640">
        <f t="shared" si="65"/>
        <v>64870</v>
      </c>
      <c r="L2076" s="639">
        <v>10842</v>
      </c>
      <c r="M2076" s="639"/>
      <c r="N2076" s="639">
        <v>77693</v>
      </c>
      <c r="O2076" s="1503">
        <f>1-N2077</f>
        <v>0.66100016144303897</v>
      </c>
    </row>
    <row r="2077" spans="1:15" ht="12" customHeight="1">
      <c r="A2077" s="1517"/>
      <c r="B2077" s="1502"/>
      <c r="C2077" s="635" t="s">
        <v>6219</v>
      </c>
      <c r="D2077" s="636">
        <f>D2076/(D2076+E2076+G2076+H2076+I2076+J2076+L2076+M2076+N2076)</f>
        <v>0.24347791939192698</v>
      </c>
      <c r="E2077" s="636">
        <f>E2076/(D2076+E2076+G2076+H2076+I2076+J2076+L2076+M2076+N2076)</f>
        <v>8.7166151067051223E-2</v>
      </c>
      <c r="F2077" s="637">
        <f t="shared" si="64"/>
        <v>0.3306440704589782</v>
      </c>
      <c r="G2077" s="636">
        <f>G2076/(D2076+E2076+G2076+H2076+I2076+J2076+L2076+M2076+N2076)</f>
        <v>0.25743183394928942</v>
      </c>
      <c r="H2077" s="636">
        <f>H2076/(D2076+E2076+G2076+H2076+I2076+J2076+L2076+M2076+N2076)</f>
        <v>2.5617083291518131E-2</v>
      </c>
      <c r="I2077" s="636">
        <f>I2076/(D2076+E2076+G2076+H2076+I2076+J2076+L2076+M2076+N2076)</f>
        <v>0</v>
      </c>
      <c r="J2077" s="636">
        <f>J2076/(D2076+E2076+G2076+H2076+I2076+J2076+L2076+M2076+N2076)</f>
        <v>0</v>
      </c>
      <c r="K2077" s="637">
        <f t="shared" si="65"/>
        <v>0.28304891724080755</v>
      </c>
      <c r="L2077" s="636">
        <f>L2076/(D2076+E2076+G2076+H2076+I2076+J2076+L2076+M2076+N2076)</f>
        <v>4.730717374325321E-2</v>
      </c>
      <c r="M2077" s="636">
        <f>M2076/(D2076+E2076+G2076+H2076+I2076+J2076+L2076+M2076+N2076)</f>
        <v>0</v>
      </c>
      <c r="N2077" s="636">
        <f>N2076/(D2076+E2076+G2076+H2076+I2076+J2076+L2076+M2076+N2076)</f>
        <v>0.33899983855696103</v>
      </c>
      <c r="O2077" s="1503"/>
    </row>
    <row r="2078" spans="1:15" ht="12" customHeight="1">
      <c r="A2078" s="1517"/>
      <c r="B2078" s="1502" t="s">
        <v>14939</v>
      </c>
      <c r="C2078" s="638" t="s">
        <v>6218</v>
      </c>
      <c r="D2078" s="639">
        <v>48331</v>
      </c>
      <c r="E2078" s="639">
        <v>16495</v>
      </c>
      <c r="F2078" s="640">
        <f t="shared" si="64"/>
        <v>64826</v>
      </c>
      <c r="G2078" s="639">
        <v>36794</v>
      </c>
      <c r="H2078" s="639">
        <v>3032</v>
      </c>
      <c r="I2078" s="639"/>
      <c r="J2078" s="639"/>
      <c r="K2078" s="640">
        <f t="shared" si="65"/>
        <v>39826</v>
      </c>
      <c r="L2078" s="639">
        <v>7034</v>
      </c>
      <c r="M2078" s="639">
        <v>7183</v>
      </c>
      <c r="N2078" s="639">
        <v>110144</v>
      </c>
      <c r="O2078" s="1503">
        <f>1-N2079</f>
        <v>0.51904913694855748</v>
      </c>
    </row>
    <row r="2079" spans="1:15" ht="12" customHeight="1">
      <c r="A2079" s="1517"/>
      <c r="B2079" s="1502"/>
      <c r="C2079" s="635" t="s">
        <v>6219</v>
      </c>
      <c r="D2079" s="636">
        <f>D2078/(D2078+E2078+G2078+H2078+I2078+J2078+L2078+M2078+N2078)</f>
        <v>0.21104042128612785</v>
      </c>
      <c r="E2079" s="636">
        <f>E2078/(D2078+E2078+G2078+H2078+I2078+J2078+L2078+M2078+N2078)</f>
        <v>7.2026478846179035E-2</v>
      </c>
      <c r="F2079" s="637">
        <f t="shared" si="64"/>
        <v>0.2830669001323069</v>
      </c>
      <c r="G2079" s="636">
        <f>G2078/(D2078+E2078+G2078+H2078+I2078+J2078+L2078+M2078+N2078)</f>
        <v>0.16066336845506587</v>
      </c>
      <c r="H2079" s="636">
        <f>H2078/(D2078+E2078+G2078+H2078+I2078+J2078+L2078+M2078+N2078)</f>
        <v>1.3239423089518936E-2</v>
      </c>
      <c r="I2079" s="636">
        <f>I2078/(D2078+E2078+G2078+H2078+I2078+J2078+L2078+M2078+N2078)</f>
        <v>0</v>
      </c>
      <c r="J2079" s="636">
        <f>J2078/(D2078+E2078+G2078+H2078+I2078+J2078+L2078+M2078+N2078)</f>
        <v>0</v>
      </c>
      <c r="K2079" s="637">
        <f t="shared" si="65"/>
        <v>0.17390279154458482</v>
      </c>
      <c r="L2079" s="636">
        <f>L2078/(D2078+E2078+G2078+H2078+I2078+J2078+L2078+M2078+N2078)</f>
        <v>3.0714413592241488E-2</v>
      </c>
      <c r="M2079" s="636">
        <f>M2078/(D2078+E2078+G2078+H2078+I2078+J2078+L2078+M2078+N2078)</f>
        <v>3.136503167942431E-2</v>
      </c>
      <c r="N2079" s="636">
        <f>N2078/(D2078+E2078+G2078+H2078+I2078+J2078+L2078+M2078+N2078)</f>
        <v>0.48095086305144247</v>
      </c>
      <c r="O2079" s="1503"/>
    </row>
    <row r="2080" spans="1:15" ht="12" customHeight="1">
      <c r="A2080" s="1517"/>
      <c r="B2080" s="1502" t="s">
        <v>14940</v>
      </c>
      <c r="C2080" s="638" t="s">
        <v>6218</v>
      </c>
      <c r="D2080" s="639">
        <v>53699</v>
      </c>
      <c r="E2080" s="639">
        <v>18996</v>
      </c>
      <c r="F2080" s="640">
        <f t="shared" si="64"/>
        <v>72695</v>
      </c>
      <c r="G2080" s="639">
        <v>51243</v>
      </c>
      <c r="H2080" s="639">
        <v>3034</v>
      </c>
      <c r="I2080" s="639"/>
      <c r="J2080" s="639"/>
      <c r="K2080" s="640">
        <f t="shared" si="65"/>
        <v>54277</v>
      </c>
      <c r="L2080" s="639">
        <v>8513</v>
      </c>
      <c r="M2080" s="639"/>
      <c r="N2080" s="639">
        <v>93378</v>
      </c>
      <c r="O2080" s="1503">
        <f>1-N2081</f>
        <v>0.59199171556782881</v>
      </c>
    </row>
    <row r="2081" spans="1:15" ht="12" customHeight="1" thickBot="1">
      <c r="A2081" s="1519"/>
      <c r="B2081" s="1514"/>
      <c r="C2081" s="641" t="s">
        <v>6219</v>
      </c>
      <c r="D2081" s="642">
        <f>D2080/(D2080+E2080+G2080+H2080+I2080+J2080+L2080+M2080+N2080)</f>
        <v>0.2346338202330652</v>
      </c>
      <c r="E2081" s="642">
        <f>E2080/(D2080+E2080+G2080+H2080+I2080+J2080+L2080+M2080+N2080)</f>
        <v>8.3001621057138986E-2</v>
      </c>
      <c r="F2081" s="643">
        <f t="shared" si="64"/>
        <v>0.31763544129020416</v>
      </c>
      <c r="G2081" s="642">
        <f>G2080/(D2080+E2080+G2080+H2080+I2080+J2080+L2080+M2080+N2080)</f>
        <v>0.22390250936149575</v>
      </c>
      <c r="H2081" s="642">
        <f>H2080/(D2080+E2080+G2080+H2080+I2080+J2080+L2080+M2080+N2080)</f>
        <v>1.3256839244438812E-2</v>
      </c>
      <c r="I2081" s="642">
        <f>I2080/(D2080+E2080+G2080+H2080+I2080+J2080+L2080+M2080+N2080)</f>
        <v>0</v>
      </c>
      <c r="J2081" s="642">
        <f>J2080/(D2080+E2080+G2080+H2080+I2080+J2080+L2080+M2080+N2080)</f>
        <v>0</v>
      </c>
      <c r="K2081" s="643">
        <f t="shared" si="65"/>
        <v>0.23715934860593457</v>
      </c>
      <c r="L2081" s="642">
        <f>L2080/(D2080+E2080+G2080+H2080+I2080+J2080+L2080+M2080+N2080)</f>
        <v>3.719692567169005E-2</v>
      </c>
      <c r="M2081" s="642">
        <f>M2080/(D2080+E2080+G2080+H2080+I2080+J2080+L2080+M2080+N2080)</f>
        <v>0</v>
      </c>
      <c r="N2081" s="642">
        <f>N2080/(D2080+E2080+G2080+H2080+I2080+J2080+L2080+M2080+N2080)</f>
        <v>0.40800828443217119</v>
      </c>
      <c r="O2081" s="1515"/>
    </row>
    <row r="2082" spans="1:15" ht="12" customHeight="1">
      <c r="A2082" s="1516" t="s">
        <v>15198</v>
      </c>
      <c r="B2082" s="1509" t="s">
        <v>14937</v>
      </c>
      <c r="C2082" s="647" t="s">
        <v>6218</v>
      </c>
      <c r="D2082" s="648">
        <v>39318</v>
      </c>
      <c r="E2082" s="648">
        <v>18840</v>
      </c>
      <c r="F2082" s="649">
        <f t="shared" si="64"/>
        <v>58158</v>
      </c>
      <c r="G2082" s="648">
        <v>53379</v>
      </c>
      <c r="H2082" s="648">
        <v>2192</v>
      </c>
      <c r="I2082" s="648">
        <v>2852</v>
      </c>
      <c r="J2082" s="648">
        <v>2114</v>
      </c>
      <c r="K2082" s="649">
        <f t="shared" si="65"/>
        <v>60537</v>
      </c>
      <c r="L2082" s="648">
        <v>7861</v>
      </c>
      <c r="M2082" s="648">
        <v>4232</v>
      </c>
      <c r="N2082" s="648">
        <v>92115</v>
      </c>
      <c r="O2082" s="1510">
        <f>1-N2083</f>
        <v>0.58674849598255752</v>
      </c>
    </row>
    <row r="2083" spans="1:15" ht="12" customHeight="1">
      <c r="A2083" s="1517"/>
      <c r="B2083" s="1502"/>
      <c r="C2083" s="635" t="s">
        <v>6219</v>
      </c>
      <c r="D2083" s="636">
        <f>D2082/(D2082+E2082+G2082+H2082+I2082+J2082+L2082+M2082+N2082)</f>
        <v>0.17639062731322594</v>
      </c>
      <c r="E2083" s="636">
        <f>E2082/(D2082+E2082+G2082+H2082+I2082+J2082+L2082+M2082+N2082)</f>
        <v>8.4521069702964968E-2</v>
      </c>
      <c r="F2083" s="637">
        <f t="shared" si="64"/>
        <v>0.26091169701619088</v>
      </c>
      <c r="G2083" s="636">
        <f>G2082/(D2082+E2082+G2082+H2082+I2082+J2082+L2082+M2082+N2082)</f>
        <v>0.23947187790204708</v>
      </c>
      <c r="H2083" s="636">
        <f>H2082/(D2082+E2082+G2082+H2082+I2082+J2082+L2082+M2082+N2082)</f>
        <v>9.8338739272239486E-3</v>
      </c>
      <c r="I2083" s="636">
        <f>I2082/(D2082+E2082+G2082+H2082+I2082+J2082+L2082+M2082+N2082)</f>
        <v>1.279480312063992E-2</v>
      </c>
      <c r="J2083" s="636">
        <f>J2082/(D2082+E2082+G2082+H2082+I2082+J2082+L2082+M2082+N2082)</f>
        <v>9.483945931638425E-3</v>
      </c>
      <c r="K2083" s="637">
        <f t="shared" si="65"/>
        <v>0.2715845008815494</v>
      </c>
      <c r="L2083" s="636">
        <f>L2082/(D2082+E2082+G2082+H2082+I2082+J2082+L2082+M2082+N2082)</f>
        <v>3.526646119612567E-2</v>
      </c>
      <c r="M2083" s="636">
        <f>M2082/(D2082+E2082+G2082+H2082+I2082+J2082+L2082+M2082+N2082)</f>
        <v>1.8985836888691494E-2</v>
      </c>
      <c r="N2083" s="636">
        <f>N2082/(D2082+E2082+G2082+H2082+I2082+J2082+L2082+M2082+N2082)</f>
        <v>0.41325150401744254</v>
      </c>
      <c r="O2083" s="1503"/>
    </row>
    <row r="2084" spans="1:15" ht="12" customHeight="1">
      <c r="A2084" s="1517"/>
      <c r="B2084" s="1502" t="s">
        <v>14938</v>
      </c>
      <c r="C2084" s="638" t="s">
        <v>6218</v>
      </c>
      <c r="D2084" s="639">
        <v>54342</v>
      </c>
      <c r="E2084" s="639">
        <v>23012</v>
      </c>
      <c r="F2084" s="640">
        <f t="shared" si="64"/>
        <v>77354</v>
      </c>
      <c r="G2084" s="639">
        <v>57220</v>
      </c>
      <c r="H2084" s="639">
        <v>4970</v>
      </c>
      <c r="I2084" s="639"/>
      <c r="J2084" s="639"/>
      <c r="K2084" s="640">
        <f t="shared" si="65"/>
        <v>62190</v>
      </c>
      <c r="L2084" s="639">
        <v>11173</v>
      </c>
      <c r="M2084" s="639"/>
      <c r="N2084" s="639">
        <v>74595</v>
      </c>
      <c r="O2084" s="1503">
        <f>1-N2085</f>
        <v>0.6689257562846187</v>
      </c>
    </row>
    <row r="2085" spans="1:15" ht="12" customHeight="1">
      <c r="A2085" s="1517"/>
      <c r="B2085" s="1502"/>
      <c r="C2085" s="635" t="s">
        <v>6219</v>
      </c>
      <c r="D2085" s="636">
        <f>D2084/(D2084+E2084+G2084+H2084+I2084+J2084+L2084+M2084+N2084)</f>
        <v>0.24118555602897315</v>
      </c>
      <c r="E2085" s="636">
        <f>E2084/(D2084+E2084+G2084+H2084+I2084+J2084+L2084+M2084+N2084)</f>
        <v>0.10213392983951143</v>
      </c>
      <c r="F2085" s="637">
        <f t="shared" si="64"/>
        <v>0.3433194858684846</v>
      </c>
      <c r="G2085" s="636">
        <f>G2084/(D2084+E2084+G2084+H2084+I2084+J2084+L2084+M2084+N2084)</f>
        <v>0.25395895469393553</v>
      </c>
      <c r="H2085" s="636">
        <f>H2084/(D2084+E2084+G2084+H2084+I2084+J2084+L2084+M2084+N2084)</f>
        <v>2.205830137764522E-2</v>
      </c>
      <c r="I2085" s="636">
        <f>I2084/(D2084+E2084+G2084+H2084+I2084+J2084+L2084+M2084+N2084)</f>
        <v>0</v>
      </c>
      <c r="J2085" s="636">
        <f>J2084/(D2084+E2084+G2084+H2084+I2084+J2084+L2084+M2084+N2084)</f>
        <v>0</v>
      </c>
      <c r="K2085" s="637">
        <f t="shared" si="65"/>
        <v>0.27601725607158073</v>
      </c>
      <c r="L2085" s="636">
        <f>L2084/(D2084+E2084+G2084+H2084+I2084+J2084+L2084+M2084+N2084)</f>
        <v>4.9589014344553331E-2</v>
      </c>
      <c r="M2085" s="636">
        <f>M2084/(D2084+E2084+G2084+H2084+I2084+J2084+L2084+M2084+N2084)</f>
        <v>0</v>
      </c>
      <c r="N2085" s="636">
        <f>N2084/(D2084+E2084+G2084+H2084+I2084+J2084+L2084+M2084+N2084)</f>
        <v>0.33107424371538136</v>
      </c>
      <c r="O2085" s="1503"/>
    </row>
    <row r="2086" spans="1:15" ht="12" customHeight="1">
      <c r="A2086" s="1517"/>
      <c r="B2086" s="1502" t="s">
        <v>14939</v>
      </c>
      <c r="C2086" s="638" t="s">
        <v>6218</v>
      </c>
      <c r="D2086" s="639">
        <v>50511</v>
      </c>
      <c r="E2086" s="639">
        <v>19378</v>
      </c>
      <c r="F2086" s="640">
        <f t="shared" si="64"/>
        <v>69889</v>
      </c>
      <c r="G2086" s="639">
        <v>36066</v>
      </c>
      <c r="H2086" s="639">
        <v>2758</v>
      </c>
      <c r="I2086" s="639"/>
      <c r="J2086" s="639"/>
      <c r="K2086" s="640">
        <f t="shared" si="65"/>
        <v>38824</v>
      </c>
      <c r="L2086" s="639">
        <v>7977</v>
      </c>
      <c r="M2086" s="639">
        <v>8949</v>
      </c>
      <c r="N2086" s="639">
        <v>100439</v>
      </c>
      <c r="O2086" s="1503">
        <f>1-N2087</f>
        <v>0.55573297711409331</v>
      </c>
    </row>
    <row r="2087" spans="1:15" ht="12" customHeight="1">
      <c r="A2087" s="1517"/>
      <c r="B2087" s="1502"/>
      <c r="C2087" s="635" t="s">
        <v>6219</v>
      </c>
      <c r="D2087" s="636">
        <f>D2086/(D2086+E2086+G2086+H2086+I2086+J2086+L2086+M2086+N2086)</f>
        <v>0.22342288944523572</v>
      </c>
      <c r="E2087" s="636">
        <f>E2086/(D2086+E2086+G2086+H2086+I2086+J2086+L2086+M2086+N2086)</f>
        <v>8.5713780199754064E-2</v>
      </c>
      <c r="F2087" s="637">
        <f t="shared" si="64"/>
        <v>0.30913666964498976</v>
      </c>
      <c r="G2087" s="636">
        <f>G2086/(D2086+E2086+G2086+H2086+I2086+J2086+L2086+M2086+N2086)</f>
        <v>0.1595290121108644</v>
      </c>
      <c r="H2087" s="636">
        <f>H2086/(D2086+E2086+G2086+H2086+I2086+J2086+L2086+M2086+N2086)</f>
        <v>1.2199329434973771E-2</v>
      </c>
      <c r="I2087" s="636">
        <f>I2086/(D2086+E2086+G2086+H2086+I2086+J2086+L2086+M2086+N2086)</f>
        <v>0</v>
      </c>
      <c r="J2087" s="636">
        <f>J2086/(D2086+E2086+G2086+H2086+I2086+J2086+L2086+M2086+N2086)</f>
        <v>0</v>
      </c>
      <c r="K2087" s="637">
        <f t="shared" si="65"/>
        <v>0.17172834154583816</v>
      </c>
      <c r="L2087" s="636">
        <f>L2086/(D2086+E2086+G2086+H2086+I2086+J2086+L2086+M2086+N2086)</f>
        <v>3.5284282415803392E-2</v>
      </c>
      <c r="M2087" s="636">
        <f>M2086/(D2086+E2086+G2086+H2086+I2086+J2086+L2086+M2086+N2086)</f>
        <v>3.9583683507462025E-2</v>
      </c>
      <c r="N2087" s="636">
        <f>N2086/(D2086+E2086+G2086+H2086+I2086+J2086+L2086+M2086+N2086)</f>
        <v>0.44426702288590664</v>
      </c>
      <c r="O2087" s="1503"/>
    </row>
    <row r="2088" spans="1:15" ht="12" customHeight="1">
      <c r="A2088" s="1517"/>
      <c r="B2088" s="1502" t="s">
        <v>14940</v>
      </c>
      <c r="C2088" s="638" t="s">
        <v>6218</v>
      </c>
      <c r="D2088" s="639">
        <v>52829</v>
      </c>
      <c r="E2088" s="639">
        <v>23466</v>
      </c>
      <c r="F2088" s="640">
        <f t="shared" si="64"/>
        <v>76295</v>
      </c>
      <c r="G2088" s="639">
        <v>48681</v>
      </c>
      <c r="H2088" s="639">
        <v>2856</v>
      </c>
      <c r="I2088" s="639"/>
      <c r="J2088" s="639"/>
      <c r="K2088" s="640">
        <f t="shared" si="65"/>
        <v>51537</v>
      </c>
      <c r="L2088" s="639">
        <v>10584</v>
      </c>
      <c r="M2088" s="639"/>
      <c r="N2088" s="639">
        <v>87865</v>
      </c>
      <c r="O2088" s="1503">
        <f>1-N2089</f>
        <v>0.61169961242879434</v>
      </c>
    </row>
    <row r="2089" spans="1:15" ht="12" customHeight="1" thickBot="1">
      <c r="A2089" s="1519"/>
      <c r="B2089" s="1514"/>
      <c r="C2089" s="641" t="s">
        <v>6219</v>
      </c>
      <c r="D2089" s="642">
        <f>D2088/(D2088+E2088+G2088+H2088+I2088+J2088+L2088+M2088+N2088)</f>
        <v>0.23346635378136035</v>
      </c>
      <c r="E2089" s="642">
        <f>E2088/(D2088+E2088+G2088+H2088+I2088+J2088+L2088+M2088+N2088)</f>
        <v>0.10370291805321702</v>
      </c>
      <c r="F2089" s="643">
        <f t="shared" si="64"/>
        <v>0.33716927183457734</v>
      </c>
      <c r="G2089" s="642">
        <f>G2088/(D2088+E2088+G2088+H2088+I2088+J2088+L2088+M2088+N2088)</f>
        <v>0.215135163800761</v>
      </c>
      <c r="H2089" s="642">
        <f>H2088/(D2088+E2088+G2088+H2088+I2088+J2088+L2088+M2088+N2088)</f>
        <v>1.2621475068609384E-2</v>
      </c>
      <c r="I2089" s="642">
        <f>I2088/(D2088+E2088+G2088+H2088+I2088+J2088+L2088+M2088+N2088)</f>
        <v>0</v>
      </c>
      <c r="J2089" s="642">
        <f>J2088/(D2088+E2088+G2088+H2088+I2088+J2088+L2088+M2088+N2088)</f>
        <v>0</v>
      </c>
      <c r="K2089" s="643">
        <f t="shared" si="65"/>
        <v>0.22775663886937039</v>
      </c>
      <c r="L2089" s="642">
        <f>L2088/(D2088+E2088+G2088+H2088+I2088+J2088+L2088+M2088+N2088)</f>
        <v>4.6773701724846538E-2</v>
      </c>
      <c r="M2089" s="642">
        <f>M2088/(D2088+E2088+G2088+H2088+I2088+J2088+L2088+M2088+N2088)</f>
        <v>0</v>
      </c>
      <c r="N2089" s="642">
        <f>N2088/(D2088+E2088+G2088+H2088+I2088+J2088+L2088+M2088+N2088)</f>
        <v>0.38830038757120572</v>
      </c>
      <c r="O2089" s="1515"/>
    </row>
    <row r="2090" spans="1:15" ht="12" customHeight="1">
      <c r="A2090" s="1516" t="s">
        <v>15199</v>
      </c>
      <c r="B2090" s="1509" t="s">
        <v>14937</v>
      </c>
      <c r="C2090" s="647" t="s">
        <v>6218</v>
      </c>
      <c r="D2090" s="648">
        <v>52885</v>
      </c>
      <c r="E2090" s="648">
        <v>25423</v>
      </c>
      <c r="F2090" s="649">
        <f t="shared" si="64"/>
        <v>78308</v>
      </c>
      <c r="G2090" s="648">
        <v>61181</v>
      </c>
      <c r="H2090" s="648">
        <v>9668</v>
      </c>
      <c r="I2090" s="648">
        <v>2999</v>
      </c>
      <c r="J2090" s="648">
        <v>4826</v>
      </c>
      <c r="K2090" s="649">
        <f t="shared" si="65"/>
        <v>78674</v>
      </c>
      <c r="L2090" s="648">
        <v>9743</v>
      </c>
      <c r="M2090" s="648">
        <v>2887</v>
      </c>
      <c r="N2090" s="648">
        <v>134891</v>
      </c>
      <c r="O2090" s="1510">
        <f>1-N2091</f>
        <v>0.55701257458875608</v>
      </c>
    </row>
    <row r="2091" spans="1:15" ht="12" customHeight="1">
      <c r="A2091" s="1517"/>
      <c r="B2091" s="1502"/>
      <c r="C2091" s="635" t="s">
        <v>6219</v>
      </c>
      <c r="D2091" s="636">
        <f>D2090/(D2090+E2090+G2090+H2090+I2090+J2090+L2090+M2090+N2090)</f>
        <v>0.17367644982151242</v>
      </c>
      <c r="E2091" s="636">
        <f>E2090/(D2090+E2090+G2090+H2090+I2090+J2090+L2090+M2090+N2090)</f>
        <v>8.3490146238296509E-2</v>
      </c>
      <c r="F2091" s="637">
        <f t="shared" si="64"/>
        <v>0.25716659605980896</v>
      </c>
      <c r="G2091" s="636">
        <f>G2090/(D2090+E2090+G2090+H2090+I2090+J2090+L2090+M2090+N2090)</f>
        <v>0.20092084478642247</v>
      </c>
      <c r="H2091" s="636">
        <f>H2090/(D2090+E2090+G2090+H2090+I2090+J2090+L2090+M2090+N2090)</f>
        <v>3.1750097700186865E-2</v>
      </c>
      <c r="I2091" s="636">
        <f>I2090/(D2090+E2090+G2090+H2090+I2090+J2090+L2090+M2090+N2090)</f>
        <v>9.8488356436553983E-3</v>
      </c>
      <c r="J2091" s="636">
        <f>J2090/(D2090+E2090+G2090+H2090+I2090+J2090+L2090+M2090+N2090)</f>
        <v>1.58487765309373E-2</v>
      </c>
      <c r="K2091" s="637">
        <f t="shared" si="65"/>
        <v>0.25836855466120201</v>
      </c>
      <c r="L2091" s="636">
        <f>L2090/(D2090+E2090+G2090+H2090+I2090+J2090+L2090+M2090+N2090)</f>
        <v>3.1996400692275613E-2</v>
      </c>
      <c r="M2091" s="636">
        <f>M2090/(D2090+E2090+G2090+H2090+I2090+J2090+L2090+M2090+N2090)</f>
        <v>9.4810231754695364E-3</v>
      </c>
      <c r="N2091" s="636">
        <f>N2090/(D2090+E2090+G2090+H2090+I2090+J2090+L2090+M2090+N2090)</f>
        <v>0.44298742541124392</v>
      </c>
      <c r="O2091" s="1503"/>
    </row>
    <row r="2092" spans="1:15" ht="12" customHeight="1">
      <c r="A2092" s="1517"/>
      <c r="B2092" s="1502" t="s">
        <v>14938</v>
      </c>
      <c r="C2092" s="638" t="s">
        <v>6218</v>
      </c>
      <c r="D2092" s="639">
        <v>82687</v>
      </c>
      <c r="E2092" s="639">
        <v>27867</v>
      </c>
      <c r="F2092" s="640">
        <f t="shared" si="64"/>
        <v>110554</v>
      </c>
      <c r="G2092" s="639">
        <v>66854</v>
      </c>
      <c r="H2092" s="639">
        <v>11784</v>
      </c>
      <c r="I2092" s="639"/>
      <c r="J2092" s="639"/>
      <c r="K2092" s="640">
        <f t="shared" si="65"/>
        <v>78638</v>
      </c>
      <c r="L2092" s="639">
        <v>11097</v>
      </c>
      <c r="M2092" s="639"/>
      <c r="N2092" s="639">
        <v>102441</v>
      </c>
      <c r="O2092" s="1503">
        <f>1-N2093</f>
        <v>0.66160935487067685</v>
      </c>
    </row>
    <row r="2093" spans="1:15" ht="12" customHeight="1">
      <c r="A2093" s="1517"/>
      <c r="B2093" s="1502"/>
      <c r="C2093" s="635" t="s">
        <v>6219</v>
      </c>
      <c r="D2093" s="636">
        <f>D2092/(D2092+E2092+G2092+H2092+I2092+J2092+L2092+M2092+N2092)</f>
        <v>0.27313777953952367</v>
      </c>
      <c r="E2093" s="636">
        <f>E2092/(D2092+E2092+G2092+H2092+I2092+J2092+L2092+M2092+N2092)</f>
        <v>9.2052323852938267E-2</v>
      </c>
      <c r="F2093" s="637">
        <f t="shared" si="64"/>
        <v>0.36519010339246194</v>
      </c>
      <c r="G2093" s="636">
        <f>G2092/(D2092+E2092+G2092+H2092+I2092+J2092+L2092+M2092+N2092)</f>
        <v>0.22083704951607042</v>
      </c>
      <c r="H2093" s="636">
        <f>H2092/(D2092+E2092+G2092+H2092+I2092+J2092+L2092+M2092+N2092)</f>
        <v>3.8925775443464476E-2</v>
      </c>
      <c r="I2093" s="636">
        <f>I2092/(D2092+E2092+G2092+H2092+I2092+J2092+L2092+M2092+N2092)</f>
        <v>0</v>
      </c>
      <c r="J2093" s="636">
        <f>J2092/(D2092+E2092+G2092+H2092+I2092+J2092+L2092+M2092+N2092)</f>
        <v>0</v>
      </c>
      <c r="K2093" s="637">
        <f t="shared" si="65"/>
        <v>0.2597628249595349</v>
      </c>
      <c r="L2093" s="636">
        <f>L2092/(D2092+E2092+G2092+H2092+I2092+J2092+L2092+M2092+N2092)</f>
        <v>3.6656426518680015E-2</v>
      </c>
      <c r="M2093" s="636">
        <f>M2092/(D2092+E2092+G2092+H2092+I2092+J2092+L2092+M2092+N2092)</f>
        <v>0</v>
      </c>
      <c r="N2093" s="636">
        <f>N2092/(D2092+E2092+G2092+H2092+I2092+J2092+L2092+M2092+N2092)</f>
        <v>0.33839064512932315</v>
      </c>
      <c r="O2093" s="1503"/>
    </row>
    <row r="2094" spans="1:15" ht="12" customHeight="1">
      <c r="A2094" s="1517"/>
      <c r="B2094" s="1502" t="s">
        <v>14939</v>
      </c>
      <c r="C2094" s="638" t="s">
        <v>6218</v>
      </c>
      <c r="D2094" s="639">
        <v>53396</v>
      </c>
      <c r="E2094" s="639">
        <v>24769</v>
      </c>
      <c r="F2094" s="640">
        <f t="shared" si="64"/>
        <v>78165</v>
      </c>
      <c r="G2094" s="639">
        <v>53751</v>
      </c>
      <c r="H2094" s="639">
        <v>9630</v>
      </c>
      <c r="I2094" s="639"/>
      <c r="J2094" s="639"/>
      <c r="K2094" s="640">
        <f t="shared" si="65"/>
        <v>63381</v>
      </c>
      <c r="L2094" s="639">
        <v>9449</v>
      </c>
      <c r="M2094" s="639">
        <v>5650</v>
      </c>
      <c r="N2094" s="639">
        <v>145048</v>
      </c>
      <c r="O2094" s="1503">
        <f>1-N2095</f>
        <v>0.51921986920478758</v>
      </c>
    </row>
    <row r="2095" spans="1:15" ht="12" customHeight="1">
      <c r="A2095" s="1517"/>
      <c r="B2095" s="1502"/>
      <c r="C2095" s="635" t="s">
        <v>6219</v>
      </c>
      <c r="D2095" s="636">
        <f>D2094/(D2094+E2094+G2094+H2094+I2094+J2094+L2094+M2094+N2094)</f>
        <v>0.17698786514768325</v>
      </c>
      <c r="E2095" s="636">
        <f>E2094/(D2094+E2094+G2094+H2094+I2094+J2094+L2094+M2094+N2094)</f>
        <v>8.2100015578750588E-2</v>
      </c>
      <c r="F2095" s="637">
        <f t="shared" si="64"/>
        <v>0.25908788072643385</v>
      </c>
      <c r="G2095" s="636">
        <f>G2094/(D2094+E2094+G2094+H2094+I2094+J2094+L2094+M2094+N2094)</f>
        <v>0.17816455801095815</v>
      </c>
      <c r="H2095" s="636">
        <f>H2094/(D2094+E2094+G2094+H2094+I2094+J2094+L2094+M2094+N2094)</f>
        <v>3.1919865558697087E-2</v>
      </c>
      <c r="I2095" s="636">
        <f>I2094/(D2094+E2094+G2094+H2094+I2094+J2094+L2094+M2094+N2094)</f>
        <v>0</v>
      </c>
      <c r="J2095" s="636">
        <f>J2094/(D2094+E2094+G2094+H2094+I2094+J2094+L2094+M2094+N2094)</f>
        <v>0</v>
      </c>
      <c r="K2095" s="637">
        <f t="shared" si="65"/>
        <v>0.21008442356965523</v>
      </c>
      <c r="L2095" s="636">
        <f>L2094/(D2094+E2094+G2094+H2094+I2094+J2094+L2094+M2094+N2094)</f>
        <v>3.1319917929816074E-2</v>
      </c>
      <c r="M2095" s="636">
        <f>M2094/(D2094+E2094+G2094+H2094+I2094+J2094+L2094+M2094+N2094)</f>
        <v>1.8727646978882507E-2</v>
      </c>
      <c r="N2095" s="636">
        <f>N2094/(D2094+E2094+G2094+H2094+I2094+J2094+L2094+M2094+N2094)</f>
        <v>0.48078013079521237</v>
      </c>
      <c r="O2095" s="1503"/>
    </row>
    <row r="2096" spans="1:15" ht="12" customHeight="1">
      <c r="A2096" s="1517"/>
      <c r="B2096" s="1502" t="s">
        <v>14940</v>
      </c>
      <c r="C2096" s="638" t="s">
        <v>6218</v>
      </c>
      <c r="D2096" s="639">
        <v>60690</v>
      </c>
      <c r="E2096" s="639">
        <v>23135</v>
      </c>
      <c r="F2096" s="640">
        <f t="shared" si="64"/>
        <v>83825</v>
      </c>
      <c r="G2096" s="639">
        <v>54208</v>
      </c>
      <c r="H2096" s="639">
        <v>12044</v>
      </c>
      <c r="I2096" s="639"/>
      <c r="J2096" s="639"/>
      <c r="K2096" s="640">
        <f t="shared" si="65"/>
        <v>66252</v>
      </c>
      <c r="L2096" s="639">
        <v>9269</v>
      </c>
      <c r="M2096" s="639"/>
      <c r="N2096" s="639">
        <v>142052</v>
      </c>
      <c r="O2096" s="1503">
        <f>1-N2097</f>
        <v>0.52868963961273796</v>
      </c>
    </row>
    <row r="2097" spans="1:15" ht="12" customHeight="1" thickBot="1">
      <c r="A2097" s="1519"/>
      <c r="B2097" s="1514"/>
      <c r="C2097" s="641" t="s">
        <v>6219</v>
      </c>
      <c r="D2097" s="642">
        <f>D2096/(D2096+E2096+G2096+H2096+I2096+J2096+L2096+M2096+N2096)</f>
        <v>0.20136165468914857</v>
      </c>
      <c r="E2097" s="642">
        <f>E2096/(D2096+E2096+G2096+H2096+I2096+J2096+L2096+M2096+N2096)</f>
        <v>7.6758969867086052E-2</v>
      </c>
      <c r="F2097" s="643">
        <f t="shared" si="64"/>
        <v>0.27812062455623465</v>
      </c>
      <c r="G2097" s="642">
        <f>G2096/(D2096+E2096+G2096+H2096+I2096+J2096+L2096+M2096+N2096)</f>
        <v>0.17985520806375624</v>
      </c>
      <c r="H2097" s="642">
        <f>H2096/(D2096+E2096+G2096+H2096+I2096+J2096+L2096+M2096+N2096)</f>
        <v>3.9960450965168981E-2</v>
      </c>
      <c r="I2097" s="642">
        <f>I2096/(D2096+E2096+G2096+H2096+I2096+J2096+L2096+M2096+N2096)</f>
        <v>0</v>
      </c>
      <c r="J2097" s="642">
        <f>J2096/(D2096+E2096+G2096+H2096+I2096+J2096+L2096+M2096+N2096)</f>
        <v>0</v>
      </c>
      <c r="K2097" s="643">
        <f t="shared" si="65"/>
        <v>0.21981565902892522</v>
      </c>
      <c r="L2097" s="642">
        <f>L2096/(D2096+E2096+G2096+H2096+I2096+J2096+L2096+M2096+N2096)</f>
        <v>3.0753356027578154E-2</v>
      </c>
      <c r="M2097" s="642">
        <f>M2096/(D2096+E2096+G2096+H2096+I2096+J2096+L2096+M2096+N2096)</f>
        <v>0</v>
      </c>
      <c r="N2097" s="642">
        <f>N2096/(D2096+E2096+G2096+H2096+I2096+J2096+L2096+M2096+N2096)</f>
        <v>0.47131036038726204</v>
      </c>
      <c r="O2097" s="1515"/>
    </row>
    <row r="2098" spans="1:15" ht="12" customHeight="1">
      <c r="A2098" s="1516" t="s">
        <v>15200</v>
      </c>
      <c r="B2098" s="1509" t="s">
        <v>14937</v>
      </c>
      <c r="C2098" s="647" t="s">
        <v>6218</v>
      </c>
      <c r="D2098" s="648">
        <v>50490</v>
      </c>
      <c r="E2098" s="648">
        <v>23959</v>
      </c>
      <c r="F2098" s="649">
        <f t="shared" si="64"/>
        <v>74449</v>
      </c>
      <c r="G2098" s="648">
        <v>56800</v>
      </c>
      <c r="H2098" s="648">
        <v>9361</v>
      </c>
      <c r="I2098" s="648">
        <v>2298</v>
      </c>
      <c r="J2098" s="648">
        <v>3717</v>
      </c>
      <c r="K2098" s="649">
        <f t="shared" si="65"/>
        <v>72176</v>
      </c>
      <c r="L2098" s="648">
        <v>7732</v>
      </c>
      <c r="M2098" s="648">
        <v>2439</v>
      </c>
      <c r="N2098" s="648">
        <v>121054</v>
      </c>
      <c r="O2098" s="1510">
        <f>1-N2099</f>
        <v>0.56431887709195605</v>
      </c>
    </row>
    <row r="2099" spans="1:15" ht="12" customHeight="1">
      <c r="A2099" s="1517"/>
      <c r="B2099" s="1502"/>
      <c r="C2099" s="635" t="s">
        <v>6219</v>
      </c>
      <c r="D2099" s="636">
        <f>D2098/(D2098+E2098+G2098+H2098+I2098+J2098+L2098+M2098+N2098)</f>
        <v>0.18171675364405254</v>
      </c>
      <c r="E2099" s="636">
        <f>E2098/(D2098+E2098+G2098+H2098+I2098+J2098+L2098+M2098+N2098)</f>
        <v>8.6229980205146661E-2</v>
      </c>
      <c r="F2099" s="637">
        <f t="shared" si="64"/>
        <v>0.2679467338491992</v>
      </c>
      <c r="G2099" s="636">
        <f>G2098/(D2098+E2098+G2098+H2098+I2098+J2098+L2098+M2098+N2098)</f>
        <v>0.20442684901925498</v>
      </c>
      <c r="H2099" s="636">
        <f>H2098/(D2098+E2098+G2098+H2098+I2098+J2098+L2098+M2098+N2098)</f>
        <v>3.369084038150081E-2</v>
      </c>
      <c r="I2099" s="636">
        <f>I2098/(D2098+E2098+G2098+H2098+I2098+J2098+L2098+M2098+N2098)</f>
        <v>8.2706496310959148E-3</v>
      </c>
      <c r="J2099" s="636">
        <f>J2098/(D2098+E2098+G2098+H2098+I2098+J2098+L2098+M2098+N2098)</f>
        <v>1.3377721792333994E-2</v>
      </c>
      <c r="K2099" s="637">
        <f t="shared" si="65"/>
        <v>0.25976606082418568</v>
      </c>
      <c r="L2099" s="636">
        <f>L2098/(D2098+E2098+G2098+H2098+I2098+J2098+L2098+M2098+N2098)</f>
        <v>2.7827964729170415E-2</v>
      </c>
      <c r="M2099" s="636">
        <f>M2098/(D2098+E2098+G2098+H2098+I2098+J2098+L2098+M2098+N2098)</f>
        <v>8.7781176894007554E-3</v>
      </c>
      <c r="N2099" s="636">
        <f>N2098/(D2098+E2098+G2098+H2098+I2098+J2098+L2098+M2098+N2098)</f>
        <v>0.43568112290804389</v>
      </c>
      <c r="O2099" s="1503"/>
    </row>
    <row r="2100" spans="1:15" ht="12" customHeight="1">
      <c r="A2100" s="1517"/>
      <c r="B2100" s="1502" t="s">
        <v>14938</v>
      </c>
      <c r="C2100" s="638" t="s">
        <v>6218</v>
      </c>
      <c r="D2100" s="639">
        <v>74616</v>
      </c>
      <c r="E2100" s="639">
        <v>26732</v>
      </c>
      <c r="F2100" s="640">
        <f t="shared" si="64"/>
        <v>101348</v>
      </c>
      <c r="G2100" s="639">
        <v>55774</v>
      </c>
      <c r="H2100" s="639">
        <v>10473</v>
      </c>
      <c r="I2100" s="639"/>
      <c r="J2100" s="639"/>
      <c r="K2100" s="640">
        <f t="shared" si="65"/>
        <v>66247</v>
      </c>
      <c r="L2100" s="639">
        <v>9635</v>
      </c>
      <c r="M2100" s="639"/>
      <c r="N2100" s="639">
        <v>100599</v>
      </c>
      <c r="O2100" s="1503">
        <f>1-N2101</f>
        <v>0.63791036932789591</v>
      </c>
    </row>
    <row r="2101" spans="1:15" ht="12" customHeight="1">
      <c r="A2101" s="1517"/>
      <c r="B2101" s="1502"/>
      <c r="C2101" s="635" t="s">
        <v>6219</v>
      </c>
      <c r="D2101" s="636">
        <f>D2100/(D2100+E2100+G2100+H2100+I2100+J2100+L2100+M2100+N2100)</f>
        <v>0.26856807604677696</v>
      </c>
      <c r="E2101" s="636">
        <f>E2100/(D2100+E2100+G2100+H2100+I2100+J2100+L2100+M2100+N2100)</f>
        <v>9.621745750083685E-2</v>
      </c>
      <c r="F2101" s="637">
        <f t="shared" si="64"/>
        <v>0.36478553354761378</v>
      </c>
      <c r="G2101" s="636">
        <f>G2100/(D2100+E2100+G2100+H2100+I2100+J2100+L2100+M2100+N2100)</f>
        <v>0.20074938181399349</v>
      </c>
      <c r="H2101" s="636">
        <f>H2100/(D2100+E2100+G2100+H2100+I2100+J2100+L2100+M2100+N2100)</f>
        <v>3.7695848885465517E-2</v>
      </c>
      <c r="I2101" s="636">
        <f>I2100/(D2100+E2100+G2100+H2100+I2100+J2100+L2100+M2100+N2100)</f>
        <v>0</v>
      </c>
      <c r="J2101" s="636">
        <f>J2100/(D2100+E2100+G2100+H2100+I2100+J2100+L2100+M2100+N2100)</f>
        <v>0</v>
      </c>
      <c r="K2101" s="637">
        <f t="shared" si="65"/>
        <v>0.238445230699459</v>
      </c>
      <c r="L2101" s="636">
        <f>L2100/(D2100+E2100+G2100+H2100+I2100+J2100+L2100+M2100+N2100)</f>
        <v>3.4679605080823094E-2</v>
      </c>
      <c r="M2101" s="636">
        <f>M2100/(D2100+E2100+G2100+H2100+I2100+J2100+L2100+M2100+N2100)</f>
        <v>0</v>
      </c>
      <c r="N2101" s="636">
        <f>N2100/(D2100+E2100+G2100+H2100+I2100+J2100+L2100+M2100+N2100)</f>
        <v>0.36208963067210409</v>
      </c>
      <c r="O2101" s="1503"/>
    </row>
    <row r="2102" spans="1:15" ht="12" customHeight="1">
      <c r="A2102" s="1517"/>
      <c r="B2102" s="1502" t="s">
        <v>14939</v>
      </c>
      <c r="C2102" s="638" t="s">
        <v>6218</v>
      </c>
      <c r="D2102" s="639">
        <v>56118</v>
      </c>
      <c r="E2102" s="639">
        <v>25029</v>
      </c>
      <c r="F2102" s="640">
        <f t="shared" si="64"/>
        <v>81147</v>
      </c>
      <c r="G2102" s="639">
        <v>46462</v>
      </c>
      <c r="H2102" s="639">
        <v>8721</v>
      </c>
      <c r="I2102" s="639"/>
      <c r="J2102" s="639"/>
      <c r="K2102" s="640">
        <f t="shared" si="65"/>
        <v>55183</v>
      </c>
      <c r="L2102" s="639">
        <v>7724</v>
      </c>
      <c r="M2102" s="639">
        <v>4091</v>
      </c>
      <c r="N2102" s="639">
        <v>129299</v>
      </c>
      <c r="O2102" s="1503">
        <f>1-N2103</f>
        <v>0.53396361067458664</v>
      </c>
    </row>
    <row r="2103" spans="1:15" ht="12" customHeight="1">
      <c r="A2103" s="1517"/>
      <c r="B2103" s="1502"/>
      <c r="C2103" s="635" t="s">
        <v>6219</v>
      </c>
      <c r="D2103" s="636">
        <f>D2102/(D2102+E2102+G2102+H2102+I2102+J2102+L2102+M2102+N2102)</f>
        <v>0.2022678450426032</v>
      </c>
      <c r="E2103" s="636">
        <f>E2102/(D2102+E2102+G2102+H2102+I2102+J2102+L2102+M2102+N2102)</f>
        <v>9.0212799700119667E-2</v>
      </c>
      <c r="F2103" s="637">
        <f t="shared" si="64"/>
        <v>0.29248064474272284</v>
      </c>
      <c r="G2103" s="636">
        <f>G2102/(D2102+E2102+G2102+H2102+I2102+J2102+L2102+M2102+N2102)</f>
        <v>0.16746442525338448</v>
      </c>
      <c r="H2103" s="636">
        <f>H2102/(D2102+E2102+G2102+H2102+I2102+J2102+L2102+M2102+N2102)</f>
        <v>3.1433370337797896E-2</v>
      </c>
      <c r="I2103" s="636">
        <f>I2102/(D2102+E2102+G2102+H2102+I2102+J2102+L2102+M2102+N2102)</f>
        <v>0</v>
      </c>
      <c r="J2103" s="636">
        <f>J2102/(D2102+E2102+G2102+H2102+I2102+J2102+L2102+M2102+N2102)</f>
        <v>0</v>
      </c>
      <c r="K2103" s="637">
        <f t="shared" si="65"/>
        <v>0.19889779559118237</v>
      </c>
      <c r="L2103" s="636">
        <f>L2102/(D2102+E2102+G2102+H2102+I2102+J2102+L2102+M2102+N2102)</f>
        <v>2.7839852366603711E-2</v>
      </c>
      <c r="M2103" s="636">
        <f>M2102/(D2102+E2102+G2102+H2102+I2102+J2102+L2102+M2102+N2102)</f>
        <v>1.4745317974077651E-2</v>
      </c>
      <c r="N2103" s="636">
        <f>N2102/(D2102+E2102+G2102+H2102+I2102+J2102+L2102+M2102+N2102)</f>
        <v>0.46603638932541341</v>
      </c>
      <c r="O2103" s="1503"/>
    </row>
    <row r="2104" spans="1:15" ht="12" customHeight="1">
      <c r="A2104" s="1517"/>
      <c r="B2104" s="1502" t="s">
        <v>14940</v>
      </c>
      <c r="C2104" s="638" t="s">
        <v>6218</v>
      </c>
      <c r="D2104" s="639">
        <v>62960</v>
      </c>
      <c r="E2104" s="639">
        <v>22937</v>
      </c>
      <c r="F2104" s="640">
        <f t="shared" si="64"/>
        <v>85897</v>
      </c>
      <c r="G2104" s="639">
        <v>44948</v>
      </c>
      <c r="H2104" s="639">
        <v>9393</v>
      </c>
      <c r="I2104" s="639"/>
      <c r="J2104" s="639"/>
      <c r="K2104" s="640">
        <f t="shared" si="65"/>
        <v>54341</v>
      </c>
      <c r="L2104" s="639">
        <v>8419</v>
      </c>
      <c r="M2104" s="639"/>
      <c r="N2104" s="639">
        <v>128411</v>
      </c>
      <c r="O2104" s="1503">
        <f>1-N2105</f>
        <v>0.53653615718884895</v>
      </c>
    </row>
    <row r="2105" spans="1:15" ht="12" customHeight="1" thickBot="1">
      <c r="A2105" s="1519"/>
      <c r="B2105" s="1514"/>
      <c r="C2105" s="641" t="s">
        <v>6219</v>
      </c>
      <c r="D2105" s="642">
        <f>D2104/(D2104+E2104+G2104+H2104+I2104+J2104+L2104+M2104+N2104)</f>
        <v>0.22723663504987945</v>
      </c>
      <c r="E2105" s="642">
        <f>E2104/(D2104+E2104+G2104+H2104+I2104+J2104+L2104+M2104+N2104)</f>
        <v>8.2784731546046458E-2</v>
      </c>
      <c r="F2105" s="643">
        <f t="shared" si="64"/>
        <v>0.31002136659592594</v>
      </c>
      <c r="G2105" s="642">
        <f>G2104/(D2104+E2104+G2104+H2104+I2104+J2104+L2104+M2104+N2104)</f>
        <v>0.16222732325638473</v>
      </c>
      <c r="H2105" s="642">
        <f>H2104/(D2104+E2104+G2104+H2104+I2104+J2104+L2104+M2104+N2104)</f>
        <v>3.3901424920958032E-2</v>
      </c>
      <c r="I2105" s="642">
        <f>I2104/(D2104+E2104+G2104+H2104+I2104+J2104+L2104+M2104+N2104)</f>
        <v>0</v>
      </c>
      <c r="J2105" s="642">
        <f>J2104/(D2104+E2104+G2104+H2104+I2104+J2104+L2104+M2104+N2104)</f>
        <v>0</v>
      </c>
      <c r="K2105" s="643">
        <f t="shared" si="65"/>
        <v>0.19612874817734277</v>
      </c>
      <c r="L2105" s="642">
        <f>L2104/(D2104+E2104+G2104+H2104+I2104+J2104+L2104+M2104+N2104)</f>
        <v>3.0386042415580291E-2</v>
      </c>
      <c r="M2105" s="642">
        <f>M2104/(D2104+E2104+G2104+H2104+I2104+J2104+L2104+M2104+N2104)</f>
        <v>0</v>
      </c>
      <c r="N2105" s="642">
        <f>N2104/(D2104+E2104+G2104+H2104+I2104+J2104+L2104+M2104+N2104)</f>
        <v>0.46346384281115105</v>
      </c>
      <c r="O2105" s="1515"/>
    </row>
    <row r="2106" spans="1:15" ht="12" customHeight="1">
      <c r="A2106" s="1516" t="s">
        <v>15201</v>
      </c>
      <c r="B2106" s="1509" t="s">
        <v>14937</v>
      </c>
      <c r="C2106" s="647" t="s">
        <v>6218</v>
      </c>
      <c r="D2106" s="648">
        <v>49534</v>
      </c>
      <c r="E2106" s="648">
        <v>20810</v>
      </c>
      <c r="F2106" s="649">
        <f t="shared" si="64"/>
        <v>70344</v>
      </c>
      <c r="G2106" s="648">
        <v>50925</v>
      </c>
      <c r="H2106" s="648">
        <v>11313</v>
      </c>
      <c r="I2106" s="648">
        <v>2052</v>
      </c>
      <c r="J2106" s="648">
        <v>3098</v>
      </c>
      <c r="K2106" s="649">
        <f t="shared" si="65"/>
        <v>67388</v>
      </c>
      <c r="L2106" s="648">
        <v>7020</v>
      </c>
      <c r="M2106" s="648">
        <v>2192</v>
      </c>
      <c r="N2106" s="648">
        <v>106376</v>
      </c>
      <c r="O2106" s="1510">
        <f>1-N2107</f>
        <v>0.58007263540186327</v>
      </c>
    </row>
    <row r="2107" spans="1:15" ht="12" customHeight="1">
      <c r="A2107" s="1517"/>
      <c r="B2107" s="1502"/>
      <c r="C2107" s="635" t="s">
        <v>6219</v>
      </c>
      <c r="D2107" s="636">
        <f>D2106/(D2106+E2106+G2106+H2106+I2106+J2106+L2106+M2106+N2106)</f>
        <v>0.19553923890731092</v>
      </c>
      <c r="E2107" s="636">
        <f>E2106/(D2106+E2106+G2106+H2106+I2106+J2106+L2106+M2106+N2106)</f>
        <v>8.2149060476867208E-2</v>
      </c>
      <c r="F2107" s="637">
        <f t="shared" si="64"/>
        <v>0.27768829938417816</v>
      </c>
      <c r="G2107" s="636">
        <f>G2106/(D2106+E2106+G2106+H2106+I2106+J2106+L2106+M2106+N2106)</f>
        <v>0.20103031738512553</v>
      </c>
      <c r="H2107" s="636">
        <f>H2106/(D2106+E2106+G2106+H2106+I2106+J2106+L2106+M2106+N2106)</f>
        <v>4.4658929417337755E-2</v>
      </c>
      <c r="I2107" s="636">
        <f>I2106/(D2106+E2106+G2106+H2106+I2106+J2106+L2106+M2106+N2106)</f>
        <v>8.1004263382283281E-3</v>
      </c>
      <c r="J2107" s="636">
        <f>J2106/(D2106+E2106+G2106+H2106+I2106+J2106+L2106+M2106+N2106)</f>
        <v>1.22295910311069E-2</v>
      </c>
      <c r="K2107" s="637">
        <f t="shared" si="65"/>
        <v>0.2660192641717985</v>
      </c>
      <c r="L2107" s="636">
        <f>L2106/(D2106+E2106+G2106+H2106+I2106+J2106+L2106+M2106+N2106)</f>
        <v>2.7711984841307439E-2</v>
      </c>
      <c r="M2107" s="636">
        <f>M2106/(D2106+E2106+G2106+H2106+I2106+J2106+L2106+M2106+N2106)</f>
        <v>8.653087004579188E-3</v>
      </c>
      <c r="N2107" s="636">
        <f>N2106/(D2106+E2106+G2106+H2106+I2106+J2106+L2106+M2106+N2106)</f>
        <v>0.41992736459813673</v>
      </c>
      <c r="O2107" s="1503"/>
    </row>
    <row r="2108" spans="1:15" ht="12" customHeight="1">
      <c r="A2108" s="1517"/>
      <c r="B2108" s="1502" t="s">
        <v>14938</v>
      </c>
      <c r="C2108" s="638" t="s">
        <v>6218</v>
      </c>
      <c r="D2108" s="639">
        <v>69559</v>
      </c>
      <c r="E2108" s="639">
        <v>21950</v>
      </c>
      <c r="F2108" s="640">
        <f t="shared" si="64"/>
        <v>91509</v>
      </c>
      <c r="G2108" s="639">
        <v>39140</v>
      </c>
      <c r="H2108" s="639">
        <v>17342</v>
      </c>
      <c r="I2108" s="639"/>
      <c r="J2108" s="639"/>
      <c r="K2108" s="640">
        <f t="shared" si="65"/>
        <v>56482</v>
      </c>
      <c r="L2108" s="639">
        <v>9498</v>
      </c>
      <c r="M2108" s="639"/>
      <c r="N2108" s="639">
        <v>96590</v>
      </c>
      <c r="O2108" s="1503">
        <f>1-N2109</f>
        <v>0.61984264736558314</v>
      </c>
    </row>
    <row r="2109" spans="1:15" ht="12" customHeight="1">
      <c r="A2109" s="1517"/>
      <c r="B2109" s="1502"/>
      <c r="C2109" s="635" t="s">
        <v>6219</v>
      </c>
      <c r="D2109" s="636">
        <f>D2108/(D2108+E2108+G2108+H2108+I2108+J2108+L2108+M2108+N2108)</f>
        <v>0.27376918202606276</v>
      </c>
      <c r="E2109" s="636">
        <f>E2108/(D2108+E2108+G2108+H2108+I2108+J2108+L2108+M2108+N2108)</f>
        <v>8.6390453362930428E-2</v>
      </c>
      <c r="F2109" s="637">
        <f t="shared" si="64"/>
        <v>0.3601596353889932</v>
      </c>
      <c r="G2109" s="636">
        <f>G2108/(D2108+E2108+G2108+H2108+I2108+J2108+L2108+M2108+N2108)</f>
        <v>0.1540465760649247</v>
      </c>
      <c r="H2109" s="636">
        <f>H2108/(D2108+E2108+G2108+H2108+I2108+J2108+L2108+M2108+N2108)</f>
        <v>6.8254361832343485E-2</v>
      </c>
      <c r="I2109" s="636">
        <f>I2108/(D2108+E2108+G2108+H2108+I2108+J2108+L2108+M2108+N2108)</f>
        <v>0</v>
      </c>
      <c r="J2109" s="636">
        <f>J2108/(D2108+E2108+G2108+H2108+I2108+J2108+L2108+M2108+N2108)</f>
        <v>0</v>
      </c>
      <c r="K2109" s="637">
        <f t="shared" si="65"/>
        <v>0.22230093789726818</v>
      </c>
      <c r="L2109" s="636">
        <f>L2108/(D2108+E2108+G2108+H2108+I2108+J2108+L2108+M2108+N2108)</f>
        <v>3.7382074079321786E-2</v>
      </c>
      <c r="M2109" s="636">
        <f>M2108/(D2108+E2108+G2108+H2108+I2108+J2108+L2108+M2108+N2108)</f>
        <v>0</v>
      </c>
      <c r="N2109" s="636">
        <f>N2108/(D2108+E2108+G2108+H2108+I2108+J2108+L2108+M2108+N2108)</f>
        <v>0.38015735263441686</v>
      </c>
      <c r="O2109" s="1503"/>
    </row>
    <row r="2110" spans="1:15" ht="12" customHeight="1">
      <c r="A2110" s="1517"/>
      <c r="B2110" s="1502" t="s">
        <v>14939</v>
      </c>
      <c r="C2110" s="638" t="s">
        <v>6218</v>
      </c>
      <c r="D2110" s="639">
        <v>57328</v>
      </c>
      <c r="E2110" s="639">
        <v>18767</v>
      </c>
      <c r="F2110" s="640">
        <f t="shared" si="64"/>
        <v>76095</v>
      </c>
      <c r="G2110" s="639">
        <v>40736</v>
      </c>
      <c r="H2110" s="639">
        <v>10178</v>
      </c>
      <c r="I2110" s="639"/>
      <c r="J2110" s="639"/>
      <c r="K2110" s="640">
        <f t="shared" si="65"/>
        <v>50914</v>
      </c>
      <c r="L2110" s="639">
        <v>6935</v>
      </c>
      <c r="M2110" s="639">
        <v>3433</v>
      </c>
      <c r="N2110" s="639">
        <v>117020</v>
      </c>
      <c r="O2110" s="1503">
        <f>1-N2111</f>
        <v>0.5400102988635872</v>
      </c>
    </row>
    <row r="2111" spans="1:15" ht="12" customHeight="1">
      <c r="A2111" s="1517"/>
      <c r="B2111" s="1502"/>
      <c r="C2111" s="635" t="s">
        <v>6219</v>
      </c>
      <c r="D2111" s="636">
        <f>D2110/(D2110+E2110+G2110+H2110+I2110+J2110+L2110+M2110+N2110)</f>
        <v>0.22534856936206007</v>
      </c>
      <c r="E2111" s="636">
        <f>E2110/(D2110+E2110+G2110+H2110+I2110+J2110+L2110+M2110+N2110)</f>
        <v>7.3770524023475115E-2</v>
      </c>
      <c r="F2111" s="637">
        <f t="shared" si="64"/>
        <v>0.29911909338553522</v>
      </c>
      <c r="G2111" s="636">
        <f>G2110/(D2110+E2110+G2110+H2110+I2110+J2110+L2110+M2110+N2110)</f>
        <v>0.16012767446156992</v>
      </c>
      <c r="H2111" s="636">
        <f>H2110/(D2110+E2110+G2110+H2110+I2110+J2110+L2110+M2110+N2110)</f>
        <v>4.0008333431604932E-2</v>
      </c>
      <c r="I2111" s="636">
        <f>I2110/(D2110+E2110+G2110+H2110+I2110+J2110+L2110+M2110+N2110)</f>
        <v>0</v>
      </c>
      <c r="J2111" s="636">
        <f>J2110/(D2110+E2110+G2110+H2110+I2110+J2110+L2110+M2110+N2110)</f>
        <v>0</v>
      </c>
      <c r="K2111" s="637">
        <f t="shared" si="65"/>
        <v>0.20013600789317484</v>
      </c>
      <c r="L2111" s="636">
        <f>L2110/(D2110+E2110+G2110+H2110+I2110+J2110+L2110+M2110+N2110)</f>
        <v>2.7260541594437041E-2</v>
      </c>
      <c r="M2111" s="636">
        <f>M2110/(D2110+E2110+G2110+H2110+I2110+J2110+L2110+M2110+N2110)</f>
        <v>1.3494655990440139E-2</v>
      </c>
      <c r="N2111" s="636">
        <f>N2110/(D2110+E2110+G2110+H2110+I2110+J2110+L2110+M2110+N2110)</f>
        <v>0.4599897011364128</v>
      </c>
      <c r="O2111" s="1503"/>
    </row>
    <row r="2112" spans="1:15" ht="12" customHeight="1">
      <c r="A2112" s="1517"/>
      <c r="B2112" s="1502" t="s">
        <v>14940</v>
      </c>
      <c r="C2112" s="638" t="s">
        <v>6218</v>
      </c>
      <c r="D2112" s="639">
        <v>59759</v>
      </c>
      <c r="E2112" s="639">
        <v>18490</v>
      </c>
      <c r="F2112" s="640">
        <f t="shared" si="64"/>
        <v>78249</v>
      </c>
      <c r="G2112" s="639">
        <v>34627</v>
      </c>
      <c r="H2112" s="639">
        <v>15405</v>
      </c>
      <c r="I2112" s="639"/>
      <c r="J2112" s="639"/>
      <c r="K2112" s="640">
        <f t="shared" si="65"/>
        <v>50032</v>
      </c>
      <c r="L2112" s="639">
        <v>7358</v>
      </c>
      <c r="M2112" s="639"/>
      <c r="N2112" s="639">
        <v>118653</v>
      </c>
      <c r="O2112" s="1503">
        <f>1-N2113</f>
        <v>0.53339861261856447</v>
      </c>
    </row>
    <row r="2113" spans="1:15" ht="12" customHeight="1" thickBot="1">
      <c r="A2113" s="1519"/>
      <c r="B2113" s="1514"/>
      <c r="C2113" s="641" t="s">
        <v>6219</v>
      </c>
      <c r="D2113" s="642">
        <f>D2112/(D2112+E2112+G2112+H2112+I2112+J2112+L2112+M2112+N2112)</f>
        <v>0.23500149434508361</v>
      </c>
      <c r="E2113" s="642">
        <f>E2112/(D2112+E2112+G2112+H2112+I2112+J2112+L2112+M2112+N2112)</f>
        <v>7.2711685778553789E-2</v>
      </c>
      <c r="F2113" s="643">
        <f t="shared" si="64"/>
        <v>0.30771318012363741</v>
      </c>
      <c r="G2113" s="642">
        <f>G2112/(D2112+E2112+G2112+H2112+I2112+J2112+L2112+M2112+N2112)</f>
        <v>0.13617022949994495</v>
      </c>
      <c r="H2113" s="642">
        <f>H2112/(D2112+E2112+G2112+H2112+I2112+J2112+L2112+M2112+N2112)</f>
        <v>6.0579963191921098E-2</v>
      </c>
      <c r="I2113" s="642">
        <f>I2112/(D2112+E2112+G2112+H2112+I2112+J2112+L2112+M2112+N2112)</f>
        <v>0</v>
      </c>
      <c r="J2113" s="642">
        <f>J2112/(D2112+E2112+G2112+H2112+I2112+J2112+L2112+M2112+N2112)</f>
        <v>0</v>
      </c>
      <c r="K2113" s="643">
        <f t="shared" si="65"/>
        <v>0.19675019269186605</v>
      </c>
      <c r="L2113" s="642">
        <f>L2112/(D2112+E2112+G2112+H2112+I2112+J2112+L2112+M2112+N2112)</f>
        <v>2.8935239803061046E-2</v>
      </c>
      <c r="M2113" s="642">
        <f>M2112/(D2112+E2112+G2112+H2112+I2112+J2112+L2112+M2112+N2112)</f>
        <v>0</v>
      </c>
      <c r="N2113" s="642">
        <f>N2112/(D2112+E2112+G2112+H2112+I2112+J2112+L2112+M2112+N2112)</f>
        <v>0.46660138738143553</v>
      </c>
      <c r="O2113" s="1515"/>
    </row>
    <row r="2114" spans="1:15" ht="12" customHeight="1">
      <c r="A2114" s="1516" t="s">
        <v>15202</v>
      </c>
      <c r="B2114" s="1509" t="s">
        <v>14937</v>
      </c>
      <c r="C2114" s="647" t="s">
        <v>6218</v>
      </c>
      <c r="D2114" s="648">
        <v>64111</v>
      </c>
      <c r="E2114" s="648">
        <v>37816</v>
      </c>
      <c r="F2114" s="649">
        <f t="shared" ref="F2114:F2177" si="66">SUM(D2114:E2114)</f>
        <v>101927</v>
      </c>
      <c r="G2114" s="648">
        <v>84350</v>
      </c>
      <c r="H2114" s="648">
        <v>7323</v>
      </c>
      <c r="I2114" s="648">
        <v>4371</v>
      </c>
      <c r="J2114" s="648">
        <v>5833</v>
      </c>
      <c r="K2114" s="649">
        <f t="shared" ref="K2114:K2177" si="67">SUM(G2114:J2114)</f>
        <v>101877</v>
      </c>
      <c r="L2114" s="648">
        <v>11642</v>
      </c>
      <c r="M2114" s="648">
        <v>5314</v>
      </c>
      <c r="N2114" s="648">
        <v>166279</v>
      </c>
      <c r="O2114" s="1510">
        <f>1-N2115</f>
        <v>0.57038179614974194</v>
      </c>
    </row>
    <row r="2115" spans="1:15" ht="12" customHeight="1">
      <c r="A2115" s="1517"/>
      <c r="B2115" s="1502"/>
      <c r="C2115" s="635" t="s">
        <v>6219</v>
      </c>
      <c r="D2115" s="636">
        <f>D2114/(D2114+E2114+G2114+H2114+I2114+J2114+L2114+M2114+N2114)</f>
        <v>0.16564480582060206</v>
      </c>
      <c r="E2115" s="636">
        <f>E2114/(D2114+E2114+G2114+H2114+I2114+J2114+L2114+M2114+N2114)</f>
        <v>9.7705915941287566E-2</v>
      </c>
      <c r="F2115" s="637">
        <f t="shared" si="66"/>
        <v>0.26335072176188962</v>
      </c>
      <c r="G2115" s="636">
        <f>G2114/(D2114+E2114+G2114+H2114+I2114+J2114+L2114+M2114+N2114)</f>
        <v>0.21793669371820412</v>
      </c>
      <c r="H2115" s="636">
        <f>H2114/(D2114+E2114+G2114+H2114+I2114+J2114+L2114+M2114+N2114)</f>
        <v>1.8920573895653926E-2</v>
      </c>
      <c r="I2115" s="636">
        <f>I2114/(D2114+E2114+G2114+H2114+I2114+J2114+L2114+M2114+N2114)</f>
        <v>1.1293435545255128E-2</v>
      </c>
      <c r="J2115" s="636">
        <f>J2114/(D2114+E2114+G2114+H2114+I2114+J2114+L2114+M2114+N2114)</f>
        <v>1.5070832655107108E-2</v>
      </c>
      <c r="K2115" s="637">
        <f t="shared" si="67"/>
        <v>0.26322153581422031</v>
      </c>
      <c r="L2115" s="636">
        <f>L2114/(D2114+E2114+G2114+H2114+I2114+J2114+L2114+M2114+N2114)</f>
        <v>3.0079656055332925E-2</v>
      </c>
      <c r="M2115" s="636">
        <f>M2114/(D2114+E2114+G2114+H2114+I2114+J2114+L2114+M2114+N2114)</f>
        <v>1.3729882518299189E-2</v>
      </c>
      <c r="N2115" s="636">
        <f>N2114/(D2114+E2114+G2114+H2114+I2114+J2114+L2114+M2114+N2114)</f>
        <v>0.42961820385025801</v>
      </c>
      <c r="O2115" s="1503"/>
    </row>
    <row r="2116" spans="1:15" ht="12" customHeight="1">
      <c r="A2116" s="1517"/>
      <c r="B2116" s="1502" t="s">
        <v>14938</v>
      </c>
      <c r="C2116" s="638" t="s">
        <v>6218</v>
      </c>
      <c r="D2116" s="639">
        <v>88857</v>
      </c>
      <c r="E2116" s="639">
        <v>36390</v>
      </c>
      <c r="F2116" s="640">
        <f t="shared" si="66"/>
        <v>125247</v>
      </c>
      <c r="G2116" s="639">
        <v>75006</v>
      </c>
      <c r="H2116" s="639">
        <v>13813</v>
      </c>
      <c r="I2116" s="639"/>
      <c r="J2116" s="639"/>
      <c r="K2116" s="640">
        <f t="shared" si="67"/>
        <v>88819</v>
      </c>
      <c r="L2116" s="639">
        <v>14555</v>
      </c>
      <c r="M2116" s="639"/>
      <c r="N2116" s="639">
        <v>154895</v>
      </c>
      <c r="O2116" s="1503">
        <f>1-N2117</f>
        <v>0.59611854524974184</v>
      </c>
    </row>
    <row r="2117" spans="1:15" ht="12" customHeight="1">
      <c r="A2117" s="1517"/>
      <c r="B2117" s="1502"/>
      <c r="C2117" s="635" t="s">
        <v>6219</v>
      </c>
      <c r="D2117" s="636">
        <f>D2116/(D2116+E2116+G2116+H2116+I2116+J2116+L2116+M2116+N2116)</f>
        <v>0.23169046402236151</v>
      </c>
      <c r="E2117" s="636">
        <f>E2116/(D2116+E2116+G2116+H2116+I2116+J2116+L2116+M2116+N2116)</f>
        <v>9.488521991259817E-2</v>
      </c>
      <c r="F2117" s="637">
        <f t="shared" si="66"/>
        <v>0.32657568393495967</v>
      </c>
      <c r="G2117" s="636">
        <f>G2116/(D2116+E2116+G2116+H2116+I2116+J2116+L2116+M2116+N2116)</f>
        <v>0.19557463052388949</v>
      </c>
      <c r="H2117" s="636">
        <f>H2116/(D2116+E2116+G2116+H2116+I2116+J2116+L2116+M2116+N2116)</f>
        <v>3.6016750278997485E-2</v>
      </c>
      <c r="I2117" s="636">
        <f>I2116/(D2116+E2116+G2116+H2116+I2116+J2116+L2116+M2116+N2116)</f>
        <v>0</v>
      </c>
      <c r="J2117" s="636">
        <f>J2116/(D2116+E2116+G2116+H2116+I2116+J2116+L2116+M2116+N2116)</f>
        <v>0</v>
      </c>
      <c r="K2117" s="637">
        <f t="shared" si="67"/>
        <v>0.23159138080288696</v>
      </c>
      <c r="L2117" s="636">
        <f>L2116/(D2116+E2116+G2116+H2116+I2116+J2116+L2116+M2116+N2116)</f>
        <v>3.7951480511895203E-2</v>
      </c>
      <c r="M2117" s="636">
        <f>M2116/(D2116+E2116+G2116+H2116+I2116+J2116+L2116+M2116+N2116)</f>
        <v>0</v>
      </c>
      <c r="N2117" s="636">
        <f>N2116/(D2116+E2116+G2116+H2116+I2116+J2116+L2116+M2116+N2116)</f>
        <v>0.40388145475025816</v>
      </c>
      <c r="O2117" s="1503"/>
    </row>
    <row r="2118" spans="1:15" ht="12" customHeight="1">
      <c r="A2118" s="1517"/>
      <c r="B2118" s="1502" t="s">
        <v>14939</v>
      </c>
      <c r="C2118" s="638" t="s">
        <v>6218</v>
      </c>
      <c r="D2118" s="639">
        <v>51770</v>
      </c>
      <c r="E2118" s="639">
        <v>36478</v>
      </c>
      <c r="F2118" s="640">
        <f t="shared" si="66"/>
        <v>88248</v>
      </c>
      <c r="G2118" s="639">
        <v>70887</v>
      </c>
      <c r="H2118" s="639">
        <v>9187</v>
      </c>
      <c r="I2118" s="639"/>
      <c r="J2118" s="639"/>
      <c r="K2118" s="640">
        <f t="shared" si="67"/>
        <v>80074</v>
      </c>
      <c r="L2118" s="639">
        <v>11647</v>
      </c>
      <c r="M2118" s="639">
        <v>8978</v>
      </c>
      <c r="N2118" s="639">
        <v>191935</v>
      </c>
      <c r="O2118" s="1503">
        <f>1-N2119</f>
        <v>0.49607752532280336</v>
      </c>
    </row>
    <row r="2119" spans="1:15" ht="12" customHeight="1">
      <c r="A2119" s="1517"/>
      <c r="B2119" s="1502"/>
      <c r="C2119" s="635" t="s">
        <v>6219</v>
      </c>
      <c r="D2119" s="636">
        <f>D2118/(D2118+E2118+G2118+H2118+I2118+J2118+L2118+M2118+N2118)</f>
        <v>0.13592136147153186</v>
      </c>
      <c r="E2119" s="636">
        <f>E2118/(D2118+E2118+G2118+H2118+I2118+J2118+L2118+M2118+N2118)</f>
        <v>9.577244395902143E-2</v>
      </c>
      <c r="F2119" s="637">
        <f t="shared" si="66"/>
        <v>0.23169380543055329</v>
      </c>
      <c r="G2119" s="636">
        <f>G2118/(D2118+E2118+G2118+H2118+I2118+J2118+L2118+M2118+N2118)</f>
        <v>0.18611275933228663</v>
      </c>
      <c r="H2119" s="636">
        <f>H2118/(D2118+E2118+G2118+H2118+I2118+J2118+L2118+M2118+N2118)</f>
        <v>2.4120331231194964E-2</v>
      </c>
      <c r="I2119" s="636">
        <f>I2118/(D2118+E2118+G2118+H2118+I2118+J2118+L2118+M2118+N2118)</f>
        <v>0</v>
      </c>
      <c r="J2119" s="636">
        <f>J2118/(D2118+E2118+G2118+H2118+I2118+J2118+L2118+M2118+N2118)</f>
        <v>0</v>
      </c>
      <c r="K2119" s="637">
        <f t="shared" si="67"/>
        <v>0.21023309056348161</v>
      </c>
      <c r="L2119" s="636">
        <f>L2118/(D2118+E2118+G2118+H2118+I2118+J2118+L2118+M2118+N2118)</f>
        <v>3.0579024474771715E-2</v>
      </c>
      <c r="M2119" s="636">
        <f>M2118/(D2118+E2118+G2118+H2118+I2118+J2118+L2118+M2118+N2118)</f>
        <v>2.3571604853996776E-2</v>
      </c>
      <c r="N2119" s="636">
        <f>N2118/(D2118+E2118+G2118+H2118+I2118+J2118+L2118+M2118+N2118)</f>
        <v>0.50392247467719664</v>
      </c>
      <c r="O2119" s="1503"/>
    </row>
    <row r="2120" spans="1:15" ht="12" customHeight="1">
      <c r="A2120" s="1517"/>
      <c r="B2120" s="1502" t="s">
        <v>14940</v>
      </c>
      <c r="C2120" s="638" t="s">
        <v>6218</v>
      </c>
      <c r="D2120" s="639">
        <v>65719</v>
      </c>
      <c r="E2120" s="639">
        <v>35778</v>
      </c>
      <c r="F2120" s="640">
        <f t="shared" si="66"/>
        <v>101497</v>
      </c>
      <c r="G2120" s="639">
        <v>64736</v>
      </c>
      <c r="H2120" s="639">
        <v>10038</v>
      </c>
      <c r="I2120" s="639"/>
      <c r="J2120" s="639"/>
      <c r="K2120" s="640">
        <f t="shared" si="67"/>
        <v>74774</v>
      </c>
      <c r="L2120" s="639">
        <v>12441</v>
      </c>
      <c r="M2120" s="639"/>
      <c r="N2120" s="639">
        <v>190859</v>
      </c>
      <c r="O2120" s="1503">
        <f>1-N2121</f>
        <v>0.4971718071190897</v>
      </c>
    </row>
    <row r="2121" spans="1:15" ht="12" customHeight="1" thickBot="1">
      <c r="A2121" s="1519"/>
      <c r="B2121" s="1514"/>
      <c r="C2121" s="641" t="s">
        <v>6219</v>
      </c>
      <c r="D2121" s="642">
        <f>D2120/(D2120+E2120+G2120+H2120+I2120+J2120+L2120+M2120+N2120)</f>
        <v>0.17314020301867108</v>
      </c>
      <c r="E2121" s="642">
        <f>E2120/(D2120+E2120+G2120+H2120+I2120+J2120+L2120+M2120+N2120)</f>
        <v>9.4259045079840134E-2</v>
      </c>
      <c r="F2121" s="643">
        <f t="shared" si="66"/>
        <v>0.26739924809851123</v>
      </c>
      <c r="G2121" s="642">
        <f>G2120/(D2120+E2120+G2120+H2120+I2120+J2120+L2120+M2120+N2120)</f>
        <v>0.17055043720410673</v>
      </c>
      <c r="H2121" s="642">
        <f>H2120/(D2120+E2120+G2120+H2120+I2120+J2120+L2120+M2120+N2120)</f>
        <v>2.6445645215256171E-2</v>
      </c>
      <c r="I2121" s="642">
        <f>I2120/(D2120+E2120+G2120+H2120+I2120+J2120+L2120+M2120+N2120)</f>
        <v>0</v>
      </c>
      <c r="J2121" s="642">
        <f>J2120/(D2120+E2120+G2120+H2120+I2120+J2120+L2120+M2120+N2120)</f>
        <v>0</v>
      </c>
      <c r="K2121" s="643">
        <f t="shared" si="67"/>
        <v>0.19699608241936289</v>
      </c>
      <c r="L2121" s="642">
        <f>L2120/(D2120+E2120+G2120+H2120+I2120+J2120+L2120+M2120+N2120)</f>
        <v>3.2776476601215583E-2</v>
      </c>
      <c r="M2121" s="642">
        <f>M2120/(D2120+E2120+G2120+H2120+I2120+J2120+L2120+M2120+N2120)</f>
        <v>0</v>
      </c>
      <c r="N2121" s="642">
        <f>N2120/(D2120+E2120+G2120+H2120+I2120+J2120+L2120+M2120+N2120)</f>
        <v>0.5028281928809103</v>
      </c>
      <c r="O2121" s="1515"/>
    </row>
    <row r="2122" spans="1:15" ht="12" customHeight="1">
      <c r="A2122" s="1516" t="s">
        <v>15203</v>
      </c>
      <c r="B2122" s="1509" t="s">
        <v>14937</v>
      </c>
      <c r="C2122" s="647" t="s">
        <v>6218</v>
      </c>
      <c r="D2122" s="648">
        <v>61909</v>
      </c>
      <c r="E2122" s="648">
        <v>26202</v>
      </c>
      <c r="F2122" s="649">
        <f t="shared" si="66"/>
        <v>88111</v>
      </c>
      <c r="G2122" s="648">
        <v>66094</v>
      </c>
      <c r="H2122" s="648">
        <v>6223</v>
      </c>
      <c r="I2122" s="648">
        <v>4225</v>
      </c>
      <c r="J2122" s="648">
        <v>3880</v>
      </c>
      <c r="K2122" s="649">
        <f t="shared" si="67"/>
        <v>80422</v>
      </c>
      <c r="L2122" s="648">
        <v>8690</v>
      </c>
      <c r="M2122" s="648">
        <v>3959</v>
      </c>
      <c r="N2122" s="648">
        <v>118905</v>
      </c>
      <c r="O2122" s="1510">
        <f>1-N2123</f>
        <v>0.60376490817662876</v>
      </c>
    </row>
    <row r="2123" spans="1:15" ht="12" customHeight="1">
      <c r="A2123" s="1517"/>
      <c r="B2123" s="1502"/>
      <c r="C2123" s="635" t="s">
        <v>6219</v>
      </c>
      <c r="D2123" s="636">
        <f>D2122/(D2122+E2122+G2122+H2122+I2122+J2122+L2122+M2122+N2122)</f>
        <v>0.20630350531679145</v>
      </c>
      <c r="E2123" s="636">
        <f>E2122/(D2122+E2122+G2122+H2122+I2122+J2122+L2122+M2122+N2122)</f>
        <v>8.7314678743164481E-2</v>
      </c>
      <c r="F2123" s="637">
        <f t="shared" si="66"/>
        <v>0.29361818405995593</v>
      </c>
      <c r="G2123" s="636">
        <f>G2122/(D2122+E2122+G2122+H2122+I2122+J2122+L2122+M2122+N2122)</f>
        <v>0.22024946098964635</v>
      </c>
      <c r="H2123" s="636">
        <f>H2122/(D2122+E2122+G2122+H2122+I2122+J2122+L2122+M2122+N2122)</f>
        <v>2.0737319510675239E-2</v>
      </c>
      <c r="I2123" s="636">
        <f>I2122/(D2122+E2122+G2122+H2122+I2122+J2122+L2122+M2122+N2122)</f>
        <v>1.4079250350731621E-2</v>
      </c>
      <c r="J2123" s="636">
        <f>J2122/(D2122+E2122+G2122+H2122+I2122+J2122+L2122+M2122+N2122)</f>
        <v>1.292958375404466E-2</v>
      </c>
      <c r="K2123" s="637">
        <f t="shared" si="67"/>
        <v>0.26799561460509785</v>
      </c>
      <c r="L2123" s="636">
        <f>L2122/(D2122+E2122+G2122+H2122+I2122+J2122+L2122+M2122+N2122)</f>
        <v>2.8958268768723736E-2</v>
      </c>
      <c r="M2123" s="636">
        <f>M2122/(D2122+E2122+G2122+H2122+I2122+J2122+L2122+M2122+N2122)</f>
        <v>1.319284074285124E-2</v>
      </c>
      <c r="N2123" s="636">
        <f>N2122/(D2122+E2122+G2122+H2122+I2122+J2122+L2122+M2122+N2122)</f>
        <v>0.39623509182337124</v>
      </c>
      <c r="O2123" s="1503"/>
    </row>
    <row r="2124" spans="1:15" ht="12" customHeight="1">
      <c r="A2124" s="1517"/>
      <c r="B2124" s="1502" t="s">
        <v>14938</v>
      </c>
      <c r="C2124" s="638" t="s">
        <v>6218</v>
      </c>
      <c r="D2124" s="639">
        <v>84849</v>
      </c>
      <c r="E2124" s="639">
        <v>26582</v>
      </c>
      <c r="F2124" s="640">
        <f t="shared" si="66"/>
        <v>111431</v>
      </c>
      <c r="G2124" s="639">
        <v>62330</v>
      </c>
      <c r="H2124" s="639">
        <v>9090</v>
      </c>
      <c r="I2124" s="639"/>
      <c r="J2124" s="639"/>
      <c r="K2124" s="640">
        <f t="shared" si="67"/>
        <v>71420</v>
      </c>
      <c r="L2124" s="639">
        <v>11887</v>
      </c>
      <c r="M2124" s="639"/>
      <c r="N2124" s="639">
        <v>105688</v>
      </c>
      <c r="O2124" s="1503">
        <f>1-N2125</f>
        <v>0.64820621384300958</v>
      </c>
    </row>
    <row r="2125" spans="1:15" ht="12" customHeight="1">
      <c r="A2125" s="1517"/>
      <c r="B2125" s="1502"/>
      <c r="C2125" s="635" t="s">
        <v>6219</v>
      </c>
      <c r="D2125" s="636">
        <f>D2124/(D2124+E2124+G2124+H2124+I2124+J2124+L2124+M2124+N2124)</f>
        <v>0.28242895088973657</v>
      </c>
      <c r="E2125" s="636">
        <f>E2124/(D2124+E2124+G2124+H2124+I2124+J2124+L2124+M2124+N2124)</f>
        <v>8.848102361313602E-2</v>
      </c>
      <c r="F2125" s="637">
        <f t="shared" si="66"/>
        <v>0.37090997450287261</v>
      </c>
      <c r="G2125" s="636">
        <f>G2124/(D2124+E2124+G2124+H2124+I2124+J2124+L2124+M2124+N2124)</f>
        <v>0.20747205634665442</v>
      </c>
      <c r="H2125" s="636">
        <f>H2124/(D2124+E2124+G2124+H2124+I2124+J2124+L2124+M2124+N2124)</f>
        <v>3.0257035010285396E-2</v>
      </c>
      <c r="I2125" s="636">
        <f>I2124/(D2124+E2124+G2124+H2124+I2124+J2124+L2124+M2124+N2124)</f>
        <v>0</v>
      </c>
      <c r="J2125" s="636">
        <f>J2124/(D2124+E2124+G2124+H2124+I2124+J2124+L2124+M2124+N2124)</f>
        <v>0</v>
      </c>
      <c r="K2125" s="637">
        <f t="shared" si="67"/>
        <v>0.23772909135693981</v>
      </c>
      <c r="L2125" s="636">
        <f>L2124/(D2124+E2124+G2124+H2124+I2124+J2124+L2124+M2124+N2124)</f>
        <v>3.9567147983197194E-2</v>
      </c>
      <c r="M2125" s="636">
        <f>M2124/(D2124+E2124+G2124+H2124+I2124+J2124+L2124+M2124+N2124)</f>
        <v>0</v>
      </c>
      <c r="N2125" s="636">
        <f>N2124/(D2124+E2124+G2124+H2124+I2124+J2124+L2124+M2124+N2124)</f>
        <v>0.35179378615699042</v>
      </c>
      <c r="O2125" s="1503"/>
    </row>
    <row r="2126" spans="1:15" ht="12" customHeight="1">
      <c r="A2126" s="1517"/>
      <c r="B2126" s="1502" t="s">
        <v>14939</v>
      </c>
      <c r="C2126" s="638" t="s">
        <v>6218</v>
      </c>
      <c r="D2126" s="639">
        <v>63789</v>
      </c>
      <c r="E2126" s="639">
        <v>27967</v>
      </c>
      <c r="F2126" s="640">
        <f t="shared" si="66"/>
        <v>91756</v>
      </c>
      <c r="G2126" s="639">
        <v>56546</v>
      </c>
      <c r="H2126" s="639">
        <v>7470</v>
      </c>
      <c r="I2126" s="639"/>
      <c r="J2126" s="639"/>
      <c r="K2126" s="640">
        <f t="shared" si="67"/>
        <v>64016</v>
      </c>
      <c r="L2126" s="639">
        <v>9542</v>
      </c>
      <c r="M2126" s="639">
        <v>6725</v>
      </c>
      <c r="N2126" s="639">
        <v>128373</v>
      </c>
      <c r="O2126" s="1503">
        <f>1-N2127</f>
        <v>0.57267685711622707</v>
      </c>
    </row>
    <row r="2127" spans="1:15" ht="12" customHeight="1">
      <c r="A2127" s="1517"/>
      <c r="B2127" s="1502"/>
      <c r="C2127" s="635" t="s">
        <v>6219</v>
      </c>
      <c r="D2127" s="636">
        <f>D2126/(D2126+E2126+G2126+H2126+I2126+J2126+L2126+M2126+N2126)</f>
        <v>0.21233838861297152</v>
      </c>
      <c r="E2127" s="636">
        <f>E2126/(D2126+E2126+G2126+H2126+I2126+J2126+L2126+M2126+N2126)</f>
        <v>9.3095482204439237E-2</v>
      </c>
      <c r="F2127" s="637">
        <f t="shared" si="66"/>
        <v>0.30543387081741075</v>
      </c>
      <c r="G2127" s="636">
        <f>G2126/(D2126+E2126+G2126+H2126+I2126+J2126+L2126+M2126+N2126)</f>
        <v>0.18822816665113246</v>
      </c>
      <c r="H2127" s="636">
        <f>H2126/(D2126+E2126+G2126+H2126+I2126+J2126+L2126+M2126+N2126)</f>
        <v>2.4865850898099943E-2</v>
      </c>
      <c r="I2127" s="636">
        <f>I2126/(D2126+E2126+G2126+H2126+I2126+J2126+L2126+M2126+N2126)</f>
        <v>0</v>
      </c>
      <c r="J2127" s="636">
        <f>J2126/(D2126+E2126+G2126+H2126+I2126+J2126+L2126+M2126+N2126)</f>
        <v>0</v>
      </c>
      <c r="K2127" s="637">
        <f t="shared" si="67"/>
        <v>0.21309401754923241</v>
      </c>
      <c r="L2127" s="636">
        <f>L2126/(D2126+E2126+G2126+H2126+I2126+J2126+L2126+M2126+N2126)</f>
        <v>3.1763045417626458E-2</v>
      </c>
      <c r="M2127" s="636">
        <f>M2126/(D2126+E2126+G2126+H2126+I2126+J2126+L2126+M2126+N2126)</f>
        <v>2.2385923331957446E-2</v>
      </c>
      <c r="N2127" s="636">
        <f>N2126/(D2126+E2126+G2126+H2126+I2126+J2126+L2126+M2126+N2126)</f>
        <v>0.42732314288377293</v>
      </c>
      <c r="O2127" s="1503"/>
    </row>
    <row r="2128" spans="1:15" ht="12" customHeight="1">
      <c r="A2128" s="1517"/>
      <c r="B2128" s="1502" t="s">
        <v>14940</v>
      </c>
      <c r="C2128" s="638" t="s">
        <v>6218</v>
      </c>
      <c r="D2128" s="639">
        <v>71832</v>
      </c>
      <c r="E2128" s="639">
        <v>27318</v>
      </c>
      <c r="F2128" s="640">
        <f t="shared" si="66"/>
        <v>99150</v>
      </c>
      <c r="G2128" s="639">
        <v>51632</v>
      </c>
      <c r="H2128" s="639">
        <v>9493</v>
      </c>
      <c r="I2128" s="639"/>
      <c r="J2128" s="639"/>
      <c r="K2128" s="640">
        <f t="shared" si="67"/>
        <v>61125</v>
      </c>
      <c r="L2128" s="639">
        <v>10074</v>
      </c>
      <c r="M2128" s="639"/>
      <c r="N2128" s="639">
        <v>130607</v>
      </c>
      <c r="O2128" s="1503">
        <f>1-N2129</f>
        <v>0.56602626297531866</v>
      </c>
    </row>
    <row r="2129" spans="1:15" ht="12" customHeight="1" thickBot="1">
      <c r="A2129" s="1519"/>
      <c r="B2129" s="1514"/>
      <c r="C2129" s="641" t="s">
        <v>6219</v>
      </c>
      <c r="D2129" s="642">
        <f>D2128/(D2128+E2128+G2128+H2128+I2128+J2128+L2128+M2128+N2128)</f>
        <v>0.23867940828559656</v>
      </c>
      <c r="E2129" s="642">
        <f>E2128/(D2128+E2128+G2128+H2128+I2128+J2128+L2128+M2128+N2128)</f>
        <v>9.0770743896117709E-2</v>
      </c>
      <c r="F2129" s="643">
        <f t="shared" si="66"/>
        <v>0.32945015218171425</v>
      </c>
      <c r="G2129" s="642">
        <f>G2128/(D2128+E2128+G2128+H2128+I2128+J2128+L2128+M2128+N2128)</f>
        <v>0.17155996225361847</v>
      </c>
      <c r="H2129" s="642">
        <f>H2128/(D2128+E2128+G2128+H2128+I2128+J2128+L2128+M2128+N2128)</f>
        <v>3.1542816890176635E-2</v>
      </c>
      <c r="I2129" s="642">
        <f>I2128/(D2128+E2128+G2128+H2128+I2128+J2128+L2128+M2128+N2128)</f>
        <v>0</v>
      </c>
      <c r="J2129" s="642">
        <f>J2128/(D2128+E2128+G2128+H2128+I2128+J2128+L2128+M2128+N2128)</f>
        <v>0</v>
      </c>
      <c r="K2129" s="643">
        <f t="shared" si="67"/>
        <v>0.2031027791437951</v>
      </c>
      <c r="L2129" s="642">
        <f>L2128/(D2128+E2128+G2128+H2128+I2128+J2128+L2128+M2128+N2128)</f>
        <v>3.3473331649809278E-2</v>
      </c>
      <c r="M2129" s="642">
        <f>M2128/(D2128+E2128+G2128+H2128+I2128+J2128+L2128+M2128+N2128)</f>
        <v>0</v>
      </c>
      <c r="N2129" s="642">
        <f>N2128/(D2128+E2128+G2128+H2128+I2128+J2128+L2128+M2128+N2128)</f>
        <v>0.43397373702468134</v>
      </c>
      <c r="O2129" s="1515"/>
    </row>
    <row r="2130" spans="1:15" ht="12" customHeight="1">
      <c r="A2130" s="1516" t="s">
        <v>15204</v>
      </c>
      <c r="B2130" s="1509" t="s">
        <v>14937</v>
      </c>
      <c r="C2130" s="647" t="s">
        <v>6218</v>
      </c>
      <c r="D2130" s="648">
        <v>46880</v>
      </c>
      <c r="E2130" s="648">
        <v>21889</v>
      </c>
      <c r="F2130" s="649">
        <f t="shared" si="66"/>
        <v>68769</v>
      </c>
      <c r="G2130" s="648">
        <v>61686</v>
      </c>
      <c r="H2130" s="648">
        <v>6073</v>
      </c>
      <c r="I2130" s="648">
        <v>3137</v>
      </c>
      <c r="J2130" s="648">
        <v>3296</v>
      </c>
      <c r="K2130" s="649">
        <f t="shared" si="67"/>
        <v>74192</v>
      </c>
      <c r="L2130" s="648">
        <v>9952</v>
      </c>
      <c r="M2130" s="648">
        <v>3411</v>
      </c>
      <c r="N2130" s="648">
        <v>117552</v>
      </c>
      <c r="O2130" s="1510">
        <f>1-N2131</f>
        <v>0.57078385838846779</v>
      </c>
    </row>
    <row r="2131" spans="1:15" ht="12" customHeight="1">
      <c r="A2131" s="1517"/>
      <c r="B2131" s="1502"/>
      <c r="C2131" s="635" t="s">
        <v>6219</v>
      </c>
      <c r="D2131" s="636">
        <f>D2130/(D2130+E2130+G2130+H2130+I2130+J2130+L2130+M2130+N2130)</f>
        <v>0.17117235537250433</v>
      </c>
      <c r="E2131" s="636">
        <f>E2130/(D2130+E2130+G2130+H2130+I2130+J2130+L2130+M2130+N2130)</f>
        <v>7.9923030860681477E-2</v>
      </c>
      <c r="F2131" s="637">
        <f t="shared" si="66"/>
        <v>0.25109538623318584</v>
      </c>
      <c r="G2131" s="636">
        <f>G2130/(D2130+E2130+G2130+H2130+I2130+J2130+L2130+M2130+N2130)</f>
        <v>0.22523331726766857</v>
      </c>
      <c r="H2131" s="636">
        <f>H2130/(D2130+E2130+G2130+H2130+I2130+J2130+L2130+M2130+N2130)</f>
        <v>2.2174268647124976E-2</v>
      </c>
      <c r="I2131" s="636">
        <f>I2130/(D2130+E2130+G2130+H2130+I2130+J2130+L2130+M2130+N2130)</f>
        <v>1.1454088711679739E-2</v>
      </c>
      <c r="J2131" s="636">
        <f>J2130/(D2130+E2130+G2130+H2130+I2130+J2130+L2130+M2130+N2130)</f>
        <v>1.2034643415268224E-2</v>
      </c>
      <c r="K2131" s="637">
        <f t="shared" si="67"/>
        <v>0.27089631804174152</v>
      </c>
      <c r="L2131" s="636">
        <f>L2130/(D2130+E2130+G2130+H2130+I2130+J2130+L2130+M2130+N2130)</f>
        <v>3.6337612642217645E-2</v>
      </c>
      <c r="M2131" s="636">
        <f>M2130/(D2130+E2130+G2130+H2130+I2130+J2130+L2130+M2130+N2130)</f>
        <v>1.2454541471322788E-2</v>
      </c>
      <c r="N2131" s="636">
        <f>N2130/(D2130+E2130+G2130+H2130+I2130+J2130+L2130+M2130+N2130)</f>
        <v>0.42921614161153221</v>
      </c>
      <c r="O2131" s="1503"/>
    </row>
    <row r="2132" spans="1:15" ht="12" customHeight="1">
      <c r="A2132" s="1517"/>
      <c r="B2132" s="1502" t="s">
        <v>14938</v>
      </c>
      <c r="C2132" s="638" t="s">
        <v>6218</v>
      </c>
      <c r="D2132" s="639">
        <v>65868</v>
      </c>
      <c r="E2132" s="639">
        <v>23371</v>
      </c>
      <c r="F2132" s="640">
        <f t="shared" si="66"/>
        <v>89239</v>
      </c>
      <c r="G2132" s="639">
        <v>57115</v>
      </c>
      <c r="H2132" s="639">
        <v>10029</v>
      </c>
      <c r="I2132" s="639"/>
      <c r="J2132" s="639"/>
      <c r="K2132" s="640">
        <f t="shared" si="67"/>
        <v>67144</v>
      </c>
      <c r="L2132" s="639">
        <v>13280</v>
      </c>
      <c r="M2132" s="639"/>
      <c r="N2132" s="639">
        <v>104623</v>
      </c>
      <c r="O2132" s="1503">
        <f>1-N2133</f>
        <v>0.61856237649752455</v>
      </c>
    </row>
    <row r="2133" spans="1:15" ht="12" customHeight="1">
      <c r="A2133" s="1517"/>
      <c r="B2133" s="1502"/>
      <c r="C2133" s="635" t="s">
        <v>6219</v>
      </c>
      <c r="D2133" s="636">
        <f>D2132/(D2132+E2132+G2132+H2132+I2132+J2132+L2132+M2132+N2132)</f>
        <v>0.240143499850521</v>
      </c>
      <c r="E2133" s="636">
        <f>E2132/(D2132+E2132+G2132+H2132+I2132+J2132+L2132+M2132+N2132)</f>
        <v>8.5206682076372831E-2</v>
      </c>
      <c r="F2133" s="637">
        <f t="shared" si="66"/>
        <v>0.3253501819268938</v>
      </c>
      <c r="G2133" s="636">
        <f>G2132/(D2132+E2132+G2132+H2132+I2132+J2132+L2132+M2132+N2132)</f>
        <v>0.20823155392546466</v>
      </c>
      <c r="H2133" s="636">
        <f>H2132/(D2132+E2132+G2132+H2132+I2132+J2132+L2132+M2132+N2132)</f>
        <v>3.6564024412474569E-2</v>
      </c>
      <c r="I2133" s="636">
        <f>I2132/(D2132+E2132+G2132+H2132+I2132+J2132+L2132+M2132+N2132)</f>
        <v>0</v>
      </c>
      <c r="J2133" s="636">
        <f>J2132/(D2132+E2132+G2132+H2132+I2132+J2132+L2132+M2132+N2132)</f>
        <v>0</v>
      </c>
      <c r="K2133" s="637">
        <f t="shared" si="67"/>
        <v>0.24479557833793925</v>
      </c>
      <c r="L2133" s="636">
        <f>L2132/(D2132+E2132+G2132+H2132+I2132+J2132+L2132+M2132+N2132)</f>
        <v>4.8416616232691424E-2</v>
      </c>
      <c r="M2133" s="636">
        <f>M2132/(D2132+E2132+G2132+H2132+I2132+J2132+L2132+M2132+N2132)</f>
        <v>0</v>
      </c>
      <c r="N2133" s="636">
        <f>N2132/(D2132+E2132+G2132+H2132+I2132+J2132+L2132+M2132+N2132)</f>
        <v>0.38143762350247551</v>
      </c>
      <c r="O2133" s="1503"/>
    </row>
    <row r="2134" spans="1:15" ht="12" customHeight="1">
      <c r="A2134" s="1517"/>
      <c r="B2134" s="1502" t="s">
        <v>14939</v>
      </c>
      <c r="C2134" s="638" t="s">
        <v>6218</v>
      </c>
      <c r="D2134" s="639">
        <v>43955</v>
      </c>
      <c r="E2134" s="639">
        <v>23619</v>
      </c>
      <c r="F2134" s="640">
        <f t="shared" si="66"/>
        <v>67574</v>
      </c>
      <c r="G2134" s="639">
        <v>51735</v>
      </c>
      <c r="H2134" s="639">
        <v>7409</v>
      </c>
      <c r="I2134" s="639"/>
      <c r="J2134" s="639"/>
      <c r="K2134" s="640">
        <f t="shared" si="67"/>
        <v>59144</v>
      </c>
      <c r="L2134" s="639">
        <v>10164</v>
      </c>
      <c r="M2134" s="639">
        <v>4894</v>
      </c>
      <c r="N2134" s="639">
        <v>132281</v>
      </c>
      <c r="O2134" s="1503">
        <f>1-N2135</f>
        <v>0.5173230386379476</v>
      </c>
    </row>
    <row r="2135" spans="1:15" ht="12" customHeight="1">
      <c r="A2135" s="1517"/>
      <c r="B2135" s="1502"/>
      <c r="C2135" s="635" t="s">
        <v>6219</v>
      </c>
      <c r="D2135" s="636">
        <f>D2134/(D2134+E2134+G2134+H2134+I2134+J2134+L2134+M2134+N2134)</f>
        <v>0.16038634298704285</v>
      </c>
      <c r="E2135" s="636">
        <f>E2134/(D2134+E2134+G2134+H2134+I2134+J2134+L2134+M2134+N2134)</f>
        <v>8.6182801388032415E-2</v>
      </c>
      <c r="F2135" s="637">
        <f t="shared" si="66"/>
        <v>0.24656914437507527</v>
      </c>
      <c r="G2135" s="636">
        <f>G2134/(D2134+E2134+G2134+H2134+I2134+J2134+L2134+M2134+N2134)</f>
        <v>0.18877459798509069</v>
      </c>
      <c r="H2135" s="636">
        <f>H2134/(D2134+E2134+G2134+H2134+I2134+J2134+L2134+M2134+N2134)</f>
        <v>2.7034522015493126E-2</v>
      </c>
      <c r="I2135" s="636">
        <f>I2134/(D2134+E2134+G2134+H2134+I2134+J2134+L2134+M2134+N2134)</f>
        <v>0</v>
      </c>
      <c r="J2135" s="636">
        <f>J2134/(D2134+E2134+G2134+H2134+I2134+J2134+L2134+M2134+N2134)</f>
        <v>0</v>
      </c>
      <c r="K2135" s="637">
        <f t="shared" si="67"/>
        <v>0.21580912000058383</v>
      </c>
      <c r="L2135" s="636">
        <f>L2134/(D2134+E2134+G2134+H2134+I2134+J2134+L2134+M2134+N2134)</f>
        <v>3.7087175295650178E-2</v>
      </c>
      <c r="M2135" s="636">
        <f>M2134/(D2134+E2134+G2134+H2134+I2134+J2134+L2134+M2134+N2134)</f>
        <v>1.7857598966638327E-2</v>
      </c>
      <c r="N2135" s="636">
        <f>N2134/(D2134+E2134+G2134+H2134+I2134+J2134+L2134+M2134+N2134)</f>
        <v>0.4826769613620524</v>
      </c>
      <c r="O2135" s="1503"/>
    </row>
    <row r="2136" spans="1:15" ht="12" customHeight="1">
      <c r="A2136" s="1517"/>
      <c r="B2136" s="1502" t="s">
        <v>14940</v>
      </c>
      <c r="C2136" s="638" t="s">
        <v>6218</v>
      </c>
      <c r="D2136" s="639">
        <v>53762</v>
      </c>
      <c r="E2136" s="639">
        <v>23822</v>
      </c>
      <c r="F2136" s="640">
        <f t="shared" si="66"/>
        <v>77584</v>
      </c>
      <c r="G2136" s="639">
        <v>47662</v>
      </c>
      <c r="H2136" s="639">
        <v>9668</v>
      </c>
      <c r="I2136" s="639"/>
      <c r="J2136" s="639"/>
      <c r="K2136" s="640">
        <f t="shared" si="67"/>
        <v>57330</v>
      </c>
      <c r="L2136" s="639">
        <v>11147</v>
      </c>
      <c r="M2136" s="639"/>
      <c r="N2136" s="639">
        <v>127747</v>
      </c>
      <c r="O2136" s="1503">
        <f>1-N2137</f>
        <v>0.53344314264009818</v>
      </c>
    </row>
    <row r="2137" spans="1:15" ht="12" customHeight="1" thickBot="1">
      <c r="A2137" s="1519"/>
      <c r="B2137" s="1514"/>
      <c r="C2137" s="641" t="s">
        <v>6219</v>
      </c>
      <c r="D2137" s="642">
        <f>D2136/(D2136+E2136+G2136+H2136+I2136+J2136+L2136+M2136+N2136)</f>
        <v>0.19634926663939695</v>
      </c>
      <c r="E2137" s="642">
        <f>E2136/(D2136+E2136+G2136+H2136+I2136+J2136+L2136+M2136+N2136)</f>
        <v>8.7002571144743759E-2</v>
      </c>
      <c r="F2137" s="643">
        <f t="shared" si="66"/>
        <v>0.28335183778414069</v>
      </c>
      <c r="G2137" s="642">
        <f>G2136/(D2136+E2136+G2136+H2136+I2136+J2136+L2136+M2136+N2136)</f>
        <v>0.1740708817857769</v>
      </c>
      <c r="H2137" s="642">
        <f>H2136/(D2136+E2136+G2136+H2136+I2136+J2136+L2136+M2136+N2136)</f>
        <v>3.5309413895868641E-2</v>
      </c>
      <c r="I2137" s="642">
        <f>I2136/(D2136+E2136+G2136+H2136+I2136+J2136+L2136+M2136+N2136)</f>
        <v>0</v>
      </c>
      <c r="J2137" s="642">
        <f>J2136/(D2136+E2136+G2136+H2136+I2136+J2136+L2136+M2136+N2136)</f>
        <v>0</v>
      </c>
      <c r="K2137" s="643">
        <f t="shared" si="67"/>
        <v>0.20938029568164554</v>
      </c>
      <c r="L2137" s="642">
        <f>L2136/(D2136+E2136+G2136+H2136+I2136+J2136+L2136+M2136+N2136)</f>
        <v>4.0711009174311925E-2</v>
      </c>
      <c r="M2137" s="642">
        <f>M2136/(D2136+E2136+G2136+H2136+I2136+J2136+L2136+M2136+N2136)</f>
        <v>0</v>
      </c>
      <c r="N2137" s="642">
        <f>N2136/(D2136+E2136+G2136+H2136+I2136+J2136+L2136+M2136+N2136)</f>
        <v>0.46655685735990182</v>
      </c>
      <c r="O2137" s="1515"/>
    </row>
    <row r="2138" spans="1:15" ht="12" customHeight="1">
      <c r="A2138" s="1516" t="s">
        <v>15205</v>
      </c>
      <c r="B2138" s="1509" t="s">
        <v>14937</v>
      </c>
      <c r="C2138" s="647" t="s">
        <v>6218</v>
      </c>
      <c r="D2138" s="648">
        <v>59507</v>
      </c>
      <c r="E2138" s="648">
        <v>28410</v>
      </c>
      <c r="F2138" s="649">
        <f t="shared" si="66"/>
        <v>87917</v>
      </c>
      <c r="G2138" s="648">
        <v>53403</v>
      </c>
      <c r="H2138" s="648">
        <v>5409</v>
      </c>
      <c r="I2138" s="648">
        <v>4497</v>
      </c>
      <c r="J2138" s="648">
        <v>2655</v>
      </c>
      <c r="K2138" s="649">
        <f t="shared" si="67"/>
        <v>65964</v>
      </c>
      <c r="L2138" s="648">
        <v>6560</v>
      </c>
      <c r="M2138" s="648">
        <v>2634</v>
      </c>
      <c r="N2138" s="648">
        <v>86152</v>
      </c>
      <c r="O2138" s="1510">
        <f>1-N2139</f>
        <v>0.6543231672330847</v>
      </c>
    </row>
    <row r="2139" spans="1:15" ht="12" customHeight="1">
      <c r="A2139" s="1517"/>
      <c r="B2139" s="1502"/>
      <c r="C2139" s="635" t="s">
        <v>6219</v>
      </c>
      <c r="D2139" s="636">
        <f>D2138/(D2138+E2138+G2138+H2138+I2138+J2138+L2138+M2138+N2138)</f>
        <v>0.23876626529228373</v>
      </c>
      <c r="E2139" s="636">
        <f>E2138/(D2138+E2138+G2138+H2138+I2138+J2138+L2138+M2138+N2138)</f>
        <v>0.11399246470085504</v>
      </c>
      <c r="F2139" s="637">
        <f t="shared" si="66"/>
        <v>0.35275872999313879</v>
      </c>
      <c r="G2139" s="636">
        <f>G2138/(D2138+E2138+G2138+H2138+I2138+J2138+L2138+M2138+N2138)</f>
        <v>0.21427453686799583</v>
      </c>
      <c r="H2139" s="636">
        <f>H2138/(D2138+E2138+G2138+H2138+I2138+J2138+L2138+M2138+N2138)</f>
        <v>2.1703106003763638E-2</v>
      </c>
      <c r="I2139" s="636">
        <f>I2138/(D2138+E2138+G2138+H2138+I2138+J2138+L2138+M2138+N2138)</f>
        <v>1.8043791403018133E-2</v>
      </c>
      <c r="J2139" s="636">
        <f>J2138/(D2138+E2138+G2138+H2138+I2138+J2138+L2138+M2138+N2138)</f>
        <v>1.0652938887038724E-2</v>
      </c>
      <c r="K2139" s="637">
        <f t="shared" si="67"/>
        <v>0.2646743731618163</v>
      </c>
      <c r="L2139" s="636">
        <f>L2138/(D2138+E2138+G2138+H2138+I2138+J2138+L2138+M2138+N2138)</f>
        <v>2.632138572466065E-2</v>
      </c>
      <c r="M2139" s="636">
        <f>M2138/(D2138+E2138+G2138+H2138+I2138+J2138+L2138+M2138+N2138)</f>
        <v>1.0568678353468926E-2</v>
      </c>
      <c r="N2139" s="636">
        <f>N2138/(D2138+E2138+G2138+H2138+I2138+J2138+L2138+M2138+N2138)</f>
        <v>0.3456768327669153</v>
      </c>
      <c r="O2139" s="1503"/>
    </row>
    <row r="2140" spans="1:15" ht="12" customHeight="1">
      <c r="A2140" s="1517"/>
      <c r="B2140" s="1502" t="s">
        <v>14938</v>
      </c>
      <c r="C2140" s="638" t="s">
        <v>6218</v>
      </c>
      <c r="D2140" s="639">
        <v>80179</v>
      </c>
      <c r="E2140" s="639">
        <v>24417</v>
      </c>
      <c r="F2140" s="640">
        <f t="shared" si="66"/>
        <v>104596</v>
      </c>
      <c r="G2140" s="639">
        <v>57068</v>
      </c>
      <c r="H2140" s="639">
        <v>8740</v>
      </c>
      <c r="I2140" s="639"/>
      <c r="J2140" s="639"/>
      <c r="K2140" s="640">
        <f t="shared" si="67"/>
        <v>65808</v>
      </c>
      <c r="L2140" s="639">
        <v>9884</v>
      </c>
      <c r="M2140" s="639"/>
      <c r="N2140" s="639">
        <v>74080</v>
      </c>
      <c r="O2140" s="1503">
        <f>1-N2141</f>
        <v>0.70876839854069695</v>
      </c>
    </row>
    <row r="2141" spans="1:15" ht="12" customHeight="1">
      <c r="A2141" s="1517"/>
      <c r="B2141" s="1502"/>
      <c r="C2141" s="635" t="s">
        <v>6219</v>
      </c>
      <c r="D2141" s="636">
        <f>D2140/(D2140+E2140+G2140+H2140+I2140+J2140+L2140+M2140+N2140)</f>
        <v>0.31520867404704994</v>
      </c>
      <c r="E2141" s="636">
        <f>E2140/(D2140+E2140+G2140+H2140+I2140+J2140+L2140+M2140+N2140)</f>
        <v>9.59908479053969E-2</v>
      </c>
      <c r="F2141" s="637">
        <f t="shared" si="66"/>
        <v>0.41119952195244686</v>
      </c>
      <c r="G2141" s="636">
        <f>G2140/(D2140+E2140+G2140+H2140+I2140+J2140+L2140+M2140+N2140)</f>
        <v>0.22435211976349226</v>
      </c>
      <c r="H2141" s="636">
        <f>H2140/(D2140+E2140+G2140+H2140+I2140+J2140+L2140+M2140+N2140)</f>
        <v>3.4359667882752548E-2</v>
      </c>
      <c r="I2141" s="636">
        <f>I2140/(D2140+E2140+G2140+H2140+I2140+J2140+L2140+M2140+N2140)</f>
        <v>0</v>
      </c>
      <c r="J2141" s="636">
        <f>J2140/(D2140+E2140+G2140+H2140+I2140+J2140+L2140+M2140+N2140)</f>
        <v>0</v>
      </c>
      <c r="K2141" s="637">
        <f t="shared" si="67"/>
        <v>0.25871178764624481</v>
      </c>
      <c r="L2141" s="636">
        <f>L2140/(D2140+E2140+G2140+H2140+I2140+J2140+L2140+M2140+N2140)</f>
        <v>3.8857088942005284E-2</v>
      </c>
      <c r="M2141" s="636">
        <f>M2140/(D2140+E2140+G2140+H2140+I2140+J2140+L2140+M2140+N2140)</f>
        <v>0</v>
      </c>
      <c r="N2141" s="636">
        <f>N2140/(D2140+E2140+G2140+H2140+I2140+J2140+L2140+M2140+N2140)</f>
        <v>0.29123160145930305</v>
      </c>
      <c r="O2141" s="1503"/>
    </row>
    <row r="2142" spans="1:15" ht="12" customHeight="1">
      <c r="A2142" s="1517"/>
      <c r="B2142" s="1502" t="s">
        <v>14939</v>
      </c>
      <c r="C2142" s="638" t="s">
        <v>6218</v>
      </c>
      <c r="D2142" s="639">
        <v>61796</v>
      </c>
      <c r="E2142" s="639">
        <v>28087</v>
      </c>
      <c r="F2142" s="640">
        <f t="shared" si="66"/>
        <v>89883</v>
      </c>
      <c r="G2142" s="639">
        <v>47654</v>
      </c>
      <c r="H2142" s="639">
        <v>6757</v>
      </c>
      <c r="I2142" s="639"/>
      <c r="J2142" s="639"/>
      <c r="K2142" s="640">
        <f t="shared" si="67"/>
        <v>54411</v>
      </c>
      <c r="L2142" s="639">
        <v>7338</v>
      </c>
      <c r="M2142" s="639">
        <v>5024</v>
      </c>
      <c r="N2142" s="639">
        <v>99814</v>
      </c>
      <c r="O2142" s="1503">
        <f>1-N2143</f>
        <v>0.61081607985339414</v>
      </c>
    </row>
    <row r="2143" spans="1:15" ht="12" customHeight="1">
      <c r="A2143" s="1517"/>
      <c r="B2143" s="1502"/>
      <c r="C2143" s="635" t="s">
        <v>6219</v>
      </c>
      <c r="D2143" s="636">
        <f>D2142/(D2142+E2142+G2142+H2142+I2142+J2142+L2142+M2142+N2142)</f>
        <v>0.24094825905564005</v>
      </c>
      <c r="E2143" s="636">
        <f>E2142/(D2142+E2142+G2142+H2142+I2142+J2142+L2142+M2142+N2142)</f>
        <v>0.10951378328849379</v>
      </c>
      <c r="F2143" s="637">
        <f t="shared" si="66"/>
        <v>0.35046204234413381</v>
      </c>
      <c r="G2143" s="636">
        <f>G2142/(D2142+E2142+G2142+H2142+I2142+J2142+L2142+M2142+N2142)</f>
        <v>0.18580730689749289</v>
      </c>
      <c r="H2143" s="636">
        <f>H2142/(D2142+E2142+G2142+H2142+I2142+J2142+L2142+M2142+N2142)</f>
        <v>2.6346161344406753E-2</v>
      </c>
      <c r="I2143" s="636">
        <f>I2142/(D2142+E2142+G2142+H2142+I2142+J2142+L2142+M2142+N2142)</f>
        <v>0</v>
      </c>
      <c r="J2143" s="636">
        <f>J2142/(D2142+E2142+G2142+H2142+I2142+J2142+L2142+M2142+N2142)</f>
        <v>0</v>
      </c>
      <c r="K2143" s="637">
        <f t="shared" si="67"/>
        <v>0.21215346824189965</v>
      </c>
      <c r="L2143" s="636">
        <f>L2142/(D2142+E2142+G2142+H2142+I2142+J2142+L2142+M2142+N2142)</f>
        <v>2.8611533512691543E-2</v>
      </c>
      <c r="M2143" s="636">
        <f>M2142/(D2142+E2142+G2142+H2142+I2142+J2142+L2142+M2142+N2142)</f>
        <v>1.9589035754669162E-2</v>
      </c>
      <c r="N2143" s="636">
        <f>N2142/(D2142+E2142+G2142+H2142+I2142+J2142+L2142+M2142+N2142)</f>
        <v>0.38918392014660586</v>
      </c>
      <c r="O2143" s="1503"/>
    </row>
    <row r="2144" spans="1:15" ht="12" customHeight="1">
      <c r="A2144" s="1517"/>
      <c r="B2144" s="1502" t="s">
        <v>14940</v>
      </c>
      <c r="C2144" s="638" t="s">
        <v>6218</v>
      </c>
      <c r="D2144" s="639">
        <v>75381</v>
      </c>
      <c r="E2144" s="639">
        <v>29665</v>
      </c>
      <c r="F2144" s="640">
        <f t="shared" si="66"/>
        <v>105046</v>
      </c>
      <c r="G2144" s="639">
        <v>43205</v>
      </c>
      <c r="H2144" s="639">
        <v>6547</v>
      </c>
      <c r="I2144" s="639"/>
      <c r="J2144" s="639"/>
      <c r="K2144" s="640">
        <f t="shared" si="67"/>
        <v>49752</v>
      </c>
      <c r="L2144" s="639">
        <v>7850</v>
      </c>
      <c r="M2144" s="639"/>
      <c r="N2144" s="639">
        <v>94937</v>
      </c>
      <c r="O2144" s="1503">
        <f>1-N2145</f>
        <v>0.63143428382863909</v>
      </c>
    </row>
    <row r="2145" spans="1:15" ht="12" customHeight="1" thickBot="1">
      <c r="A2145" s="1519"/>
      <c r="B2145" s="1514"/>
      <c r="C2145" s="641" t="s">
        <v>6219</v>
      </c>
      <c r="D2145" s="642">
        <f>D2144/(D2144+E2144+G2144+H2144+I2144+J2144+L2144+M2144+N2144)</f>
        <v>0.29264514626239885</v>
      </c>
      <c r="E2145" s="642">
        <f>E2144/(D2144+E2144+G2144+H2144+I2144+J2144+L2144+M2144+N2144)</f>
        <v>0.1151658675776928</v>
      </c>
      <c r="F2145" s="643">
        <f t="shared" si="66"/>
        <v>0.40781101384009166</v>
      </c>
      <c r="G2145" s="642">
        <f>G2144/(D2144+E2144+G2144+H2144+I2144+J2144+L2144+M2144+N2144)</f>
        <v>0.16773104023914437</v>
      </c>
      <c r="H2145" s="642">
        <f>H2144/(D2144+E2144+G2144+H2144+I2144+J2144+L2144+M2144+N2144)</f>
        <v>2.5416852689403496E-2</v>
      </c>
      <c r="I2145" s="642">
        <f>I2144/(D2144+E2144+G2144+H2144+I2144+J2144+L2144+M2144+N2144)</f>
        <v>0</v>
      </c>
      <c r="J2145" s="642">
        <f>J2144/(D2144+E2144+G2144+H2144+I2144+J2144+L2144+M2144+N2144)</f>
        <v>0</v>
      </c>
      <c r="K2145" s="643">
        <f t="shared" si="67"/>
        <v>0.19314789292854787</v>
      </c>
      <c r="L2145" s="642">
        <f>L2144/(D2144+E2144+G2144+H2144+I2144+J2144+L2144+M2144+N2144)</f>
        <v>3.0475377059999611E-2</v>
      </c>
      <c r="M2145" s="642">
        <f>M2144/(D2144+E2144+G2144+H2144+I2144+J2144+L2144+M2144+N2144)</f>
        <v>0</v>
      </c>
      <c r="N2145" s="642">
        <f>N2144/(D2144+E2144+G2144+H2144+I2144+J2144+L2144+M2144+N2144)</f>
        <v>0.36856571617136091</v>
      </c>
      <c r="O2145" s="1515"/>
    </row>
    <row r="2146" spans="1:15" ht="12" customHeight="1">
      <c r="A2146" s="1516" t="s">
        <v>15206</v>
      </c>
      <c r="B2146" s="1509" t="s">
        <v>14937</v>
      </c>
      <c r="C2146" s="647" t="s">
        <v>6218</v>
      </c>
      <c r="D2146" s="648">
        <v>23343</v>
      </c>
      <c r="E2146" s="648">
        <v>17867</v>
      </c>
      <c r="F2146" s="649">
        <f t="shared" si="66"/>
        <v>41210</v>
      </c>
      <c r="G2146" s="648">
        <v>43239</v>
      </c>
      <c r="H2146" s="648">
        <v>3863</v>
      </c>
      <c r="I2146" s="648">
        <v>1520</v>
      </c>
      <c r="J2146" s="648">
        <v>2337</v>
      </c>
      <c r="K2146" s="649">
        <f t="shared" si="67"/>
        <v>50959</v>
      </c>
      <c r="L2146" s="648">
        <v>16331</v>
      </c>
      <c r="M2146" s="648">
        <v>2519</v>
      </c>
      <c r="N2146" s="648">
        <v>103792</v>
      </c>
      <c r="O2146" s="1510">
        <f>1-N2147</f>
        <v>0.51682176424857196</v>
      </c>
    </row>
    <row r="2147" spans="1:15" ht="12" customHeight="1">
      <c r="A2147" s="1517"/>
      <c r="B2147" s="1502"/>
      <c r="C2147" s="635" t="s">
        <v>6219</v>
      </c>
      <c r="D2147" s="636">
        <f>D2146/(D2146+E2146+G2146+H2146+I2146+J2146+L2146+M2146+N2146)</f>
        <v>0.10866761944220733</v>
      </c>
      <c r="E2147" s="636">
        <f>E2146/(D2146+E2146+G2146+H2146+I2146+J2146+L2146+M2146+N2146)</f>
        <v>8.3175442598377183E-2</v>
      </c>
      <c r="F2147" s="637">
        <f t="shared" si="66"/>
        <v>0.19184306204058452</v>
      </c>
      <c r="G2147" s="636">
        <f>G2146/(D2146+E2146+G2146+H2146+I2146+J2146+L2146+M2146+N2146)</f>
        <v>0.20128857460744562</v>
      </c>
      <c r="H2147" s="636">
        <f>H2146/(D2146+E2146+G2146+H2146+I2146+J2146+L2146+M2146+N2146)</f>
        <v>1.798325039220524E-2</v>
      </c>
      <c r="I2147" s="636">
        <f>I2146/(D2146+E2146+G2146+H2146+I2146+J2146+L2146+M2146+N2146)</f>
        <v>7.0759877287475967E-3</v>
      </c>
      <c r="J2147" s="636">
        <f>J2146/(D2146+E2146+G2146+H2146+I2146+J2146+L2146+M2146+N2146)</f>
        <v>1.087933113294943E-2</v>
      </c>
      <c r="K2147" s="637">
        <f t="shared" si="67"/>
        <v>0.23722714386134788</v>
      </c>
      <c r="L2147" s="636">
        <f>L2146/(D2146+E2146+G2146+H2146+I2146+J2146+L2146+M2146+N2146)</f>
        <v>7.6024970788274346E-2</v>
      </c>
      <c r="M2147" s="636">
        <f>M2146/(D2146+E2146+G2146+H2146+I2146+J2146+L2146+M2146+N2146)</f>
        <v>1.172658755836526E-2</v>
      </c>
      <c r="N2147" s="636">
        <f>N2146/(D2146+E2146+G2146+H2146+I2146+J2146+L2146+M2146+N2146)</f>
        <v>0.48317823575142799</v>
      </c>
      <c r="O2147" s="1503"/>
    </row>
    <row r="2148" spans="1:15" ht="12" customHeight="1">
      <c r="A2148" s="1517"/>
      <c r="B2148" s="1502" t="s">
        <v>14938</v>
      </c>
      <c r="C2148" s="638" t="s">
        <v>6218</v>
      </c>
      <c r="D2148" s="639">
        <v>30936</v>
      </c>
      <c r="E2148" s="639">
        <v>25193</v>
      </c>
      <c r="F2148" s="640">
        <f t="shared" si="66"/>
        <v>56129</v>
      </c>
      <c r="G2148" s="639">
        <v>42025</v>
      </c>
      <c r="H2148" s="639">
        <v>7512</v>
      </c>
      <c r="I2148" s="639"/>
      <c r="J2148" s="639"/>
      <c r="K2148" s="640">
        <f t="shared" si="67"/>
        <v>49537</v>
      </c>
      <c r="L2148" s="639">
        <v>20621</v>
      </c>
      <c r="M2148" s="639"/>
      <c r="N2148" s="639">
        <v>89537</v>
      </c>
      <c r="O2148" s="1503">
        <f>1-N2149</f>
        <v>0.58513881681370006</v>
      </c>
    </row>
    <row r="2149" spans="1:15" ht="12" customHeight="1">
      <c r="A2149" s="1517"/>
      <c r="B2149" s="1502"/>
      <c r="C2149" s="635" t="s">
        <v>6219</v>
      </c>
      <c r="D2149" s="636">
        <f>D2148/(D2148+E2148+G2148+H2148+I2148+J2148+L2148+M2148+N2148)</f>
        <v>0.14333901697679591</v>
      </c>
      <c r="E2149" s="636">
        <f>E2148/(D2148+E2148+G2148+H2148+I2148+J2148+L2148+M2148+N2148)</f>
        <v>0.11672937208095485</v>
      </c>
      <c r="F2149" s="637">
        <f t="shared" si="66"/>
        <v>0.26006838905775076</v>
      </c>
      <c r="G2149" s="636">
        <f>G2148/(D2148+E2148+G2148+H2148+I2148+J2148+L2148+M2148+N2148)</f>
        <v>0.19471884498480244</v>
      </c>
      <c r="H2149" s="636">
        <f>H2148/(D2148+E2148+G2148+H2148+I2148+J2148+L2148+M2148+N2148)</f>
        <v>3.4806138334939583E-2</v>
      </c>
      <c r="I2149" s="636">
        <f>I2148/(D2148+E2148+G2148+H2148+I2148+J2148+L2148+M2148+N2148)</f>
        <v>0</v>
      </c>
      <c r="J2149" s="636">
        <f>J2148/(D2148+E2148+G2148+H2148+I2148+J2148+L2148+M2148+N2148)</f>
        <v>0</v>
      </c>
      <c r="K2149" s="637">
        <f t="shared" si="67"/>
        <v>0.22952498331974203</v>
      </c>
      <c r="L2149" s="636">
        <f>L2148/(D2148+E2148+G2148+H2148+I2148+J2148+L2148+M2148+N2148)</f>
        <v>9.5545444436207286E-2</v>
      </c>
      <c r="M2149" s="636">
        <f>M2148/(D2148+E2148+G2148+H2148+I2148+J2148+L2148+M2148+N2148)</f>
        <v>0</v>
      </c>
      <c r="N2149" s="636">
        <f>N2148/(D2148+E2148+G2148+H2148+I2148+J2148+L2148+M2148+N2148)</f>
        <v>0.41486118318629994</v>
      </c>
      <c r="O2149" s="1503"/>
    </row>
    <row r="2150" spans="1:15" ht="12" customHeight="1">
      <c r="A2150" s="1517"/>
      <c r="B2150" s="1502" t="s">
        <v>14939</v>
      </c>
      <c r="C2150" s="638" t="s">
        <v>6218</v>
      </c>
      <c r="D2150" s="639">
        <v>25935</v>
      </c>
      <c r="E2150" s="639">
        <v>20756</v>
      </c>
      <c r="F2150" s="640">
        <f t="shared" si="66"/>
        <v>46691</v>
      </c>
      <c r="G2150" s="639">
        <v>34980</v>
      </c>
      <c r="H2150" s="639">
        <v>5654</v>
      </c>
      <c r="I2150" s="639"/>
      <c r="J2150" s="639"/>
      <c r="K2150" s="640">
        <f t="shared" si="67"/>
        <v>40634</v>
      </c>
      <c r="L2150" s="639">
        <v>15217</v>
      </c>
      <c r="M2150" s="639">
        <v>3978</v>
      </c>
      <c r="N2150" s="639">
        <v>109036</v>
      </c>
      <c r="O2150" s="1503">
        <f>1-N2151</f>
        <v>0.49416392955890809</v>
      </c>
    </row>
    <row r="2151" spans="1:15" ht="12" customHeight="1">
      <c r="A2151" s="1517"/>
      <c r="B2151" s="1502"/>
      <c r="C2151" s="635" t="s">
        <v>6219</v>
      </c>
      <c r="D2151" s="636">
        <f>D2150/(D2150+E2150+G2150+H2150+I2150+J2150+L2150+M2150+N2150)</f>
        <v>0.12031676223347994</v>
      </c>
      <c r="E2151" s="636">
        <f>E2150/(D2150+E2150+G2150+H2150+I2150+J2150+L2150+M2150+N2150)</f>
        <v>9.6290523112323473E-2</v>
      </c>
      <c r="F2151" s="637">
        <f t="shared" si="66"/>
        <v>0.21660728534580342</v>
      </c>
      <c r="G2151" s="636">
        <f>G2150/(D2150+E2150+G2150+H2150+I2150+J2150+L2150+M2150+N2150)</f>
        <v>0.16227801592161667</v>
      </c>
      <c r="H2151" s="636">
        <f>H2150/(D2150+E2150+G2150+H2150+I2150+J2150+L2150+M2150+N2150)</f>
        <v>2.6229842825066341E-2</v>
      </c>
      <c r="I2151" s="636">
        <f>I2150/(D2150+E2150+G2150+H2150+I2150+J2150+L2150+M2150+N2150)</f>
        <v>0</v>
      </c>
      <c r="J2151" s="636">
        <f>J2150/(D2150+E2150+G2150+H2150+I2150+J2150+L2150+M2150+N2150)</f>
        <v>0</v>
      </c>
      <c r="K2151" s="637">
        <f t="shared" si="67"/>
        <v>0.18850785874668302</v>
      </c>
      <c r="L2151" s="636">
        <f>L2150/(D2150+E2150+G2150+H2150+I2150+J2150+L2150+M2150+N2150)</f>
        <v>7.0594184341887953E-2</v>
      </c>
      <c r="M2151" s="636">
        <f>M2150/(D2150+E2150+G2150+H2150+I2150+J2150+L2150+M2150+N2150)</f>
        <v>1.8454601124533763E-2</v>
      </c>
      <c r="N2151" s="636">
        <f>N2150/(D2150+E2150+G2150+H2150+I2150+J2150+L2150+M2150+N2150)</f>
        <v>0.50583607044109191</v>
      </c>
      <c r="O2151" s="1503"/>
    </row>
    <row r="2152" spans="1:15" ht="12" customHeight="1">
      <c r="A2152" s="1517"/>
      <c r="B2152" s="1502" t="s">
        <v>14940</v>
      </c>
      <c r="C2152" s="638" t="s">
        <v>6218</v>
      </c>
      <c r="D2152" s="639">
        <v>25455</v>
      </c>
      <c r="E2152" s="639">
        <v>22846</v>
      </c>
      <c r="F2152" s="640">
        <f t="shared" si="66"/>
        <v>48301</v>
      </c>
      <c r="G2152" s="639">
        <v>33505</v>
      </c>
      <c r="H2152" s="639">
        <v>5844</v>
      </c>
      <c r="I2152" s="639"/>
      <c r="J2152" s="639"/>
      <c r="K2152" s="640">
        <f t="shared" si="67"/>
        <v>39349</v>
      </c>
      <c r="L2152" s="639">
        <v>16878</v>
      </c>
      <c r="M2152" s="639"/>
      <c r="N2152" s="639">
        <v>110540</v>
      </c>
      <c r="O2152" s="1503">
        <f>1-N2153</f>
        <v>0.48602302527572672</v>
      </c>
    </row>
    <row r="2153" spans="1:15" ht="12" customHeight="1" thickBot="1">
      <c r="A2153" s="1519"/>
      <c r="B2153" s="1514"/>
      <c r="C2153" s="641" t="s">
        <v>6219</v>
      </c>
      <c r="D2153" s="642">
        <f>D2152/(D2152+E2152+G2152+H2152+I2152+J2152+L2152+M2152+N2152)</f>
        <v>0.11835791470604647</v>
      </c>
      <c r="E2153" s="642">
        <f>E2152/(D2152+E2152+G2152+H2152+I2152+J2152+L2152+M2152+N2152)</f>
        <v>0.10622686778135287</v>
      </c>
      <c r="F2153" s="643">
        <f t="shared" si="66"/>
        <v>0.22458478248739933</v>
      </c>
      <c r="G2153" s="642">
        <f>G2152/(D2152+E2152+G2152+H2152+I2152+J2152+L2152+M2152+N2152)</f>
        <v>0.15578793683858128</v>
      </c>
      <c r="H2153" s="642">
        <f>H2152/(D2152+E2152+G2152+H2152+I2152+J2152+L2152+M2152+N2152)</f>
        <v>2.717280116056317E-2</v>
      </c>
      <c r="I2153" s="642">
        <f>I2152/(D2152+E2152+G2152+H2152+I2152+J2152+L2152+M2152+N2152)</f>
        <v>0</v>
      </c>
      <c r="J2153" s="642">
        <f>J2152/(D2152+E2152+G2152+H2152+I2152+J2152+L2152+M2152+N2152)</f>
        <v>0</v>
      </c>
      <c r="K2153" s="643">
        <f t="shared" si="67"/>
        <v>0.18296073799914445</v>
      </c>
      <c r="L2153" s="642">
        <f>L2152/(D2152+E2152+G2152+H2152+I2152+J2152+L2152+M2152+N2152)</f>
        <v>7.8477504789182959E-2</v>
      </c>
      <c r="M2153" s="642">
        <f>M2152/(D2152+E2152+G2152+H2152+I2152+J2152+L2152+M2152+N2152)</f>
        <v>0</v>
      </c>
      <c r="N2153" s="642">
        <f>N2152/(D2152+E2152+G2152+H2152+I2152+J2152+L2152+M2152+N2152)</f>
        <v>0.51397697472427328</v>
      </c>
      <c r="O2153" s="1515"/>
    </row>
    <row r="2154" spans="1:15" ht="12" customHeight="1">
      <c r="A2154" s="1516" t="s">
        <v>15207</v>
      </c>
      <c r="B2154" s="1509" t="s">
        <v>14937</v>
      </c>
      <c r="C2154" s="647" t="s">
        <v>6218</v>
      </c>
      <c r="D2154" s="648">
        <v>32140</v>
      </c>
      <c r="E2154" s="648">
        <v>17211</v>
      </c>
      <c r="F2154" s="649">
        <f t="shared" si="66"/>
        <v>49351</v>
      </c>
      <c r="G2154" s="648">
        <v>46528</v>
      </c>
      <c r="H2154" s="648">
        <v>4116</v>
      </c>
      <c r="I2154" s="648">
        <v>1966</v>
      </c>
      <c r="J2154" s="648">
        <v>1884</v>
      </c>
      <c r="K2154" s="649">
        <f t="shared" si="67"/>
        <v>54494</v>
      </c>
      <c r="L2154" s="648">
        <v>14727</v>
      </c>
      <c r="M2154" s="648">
        <v>2524</v>
      </c>
      <c r="N2154" s="648">
        <v>100419</v>
      </c>
      <c r="O2154" s="1510">
        <f>1-N2155</f>
        <v>0.54667178294923602</v>
      </c>
    </row>
    <row r="2155" spans="1:15" ht="12" customHeight="1">
      <c r="A2155" s="1517"/>
      <c r="B2155" s="1502"/>
      <c r="C2155" s="635" t="s">
        <v>6219</v>
      </c>
      <c r="D2155" s="636">
        <f>D2154/(D2154+E2154+G2154+H2154+I2154+J2154+L2154+M2154+N2154)</f>
        <v>0.14509175450872402</v>
      </c>
      <c r="E2155" s="636">
        <f>E2154/(D2154+E2154+G2154+H2154+I2154+J2154+L2154+M2154+N2154)</f>
        <v>7.7696769970430901E-2</v>
      </c>
      <c r="F2155" s="637">
        <f t="shared" si="66"/>
        <v>0.22278852447915493</v>
      </c>
      <c r="G2155" s="636">
        <f>G2154/(D2154+E2154+G2154+H2154+I2154+J2154+L2154+M2154+N2154)</f>
        <v>0.21004446651468298</v>
      </c>
      <c r="H2155" s="636">
        <f>H2154/(D2154+E2154+G2154+H2154+I2154+J2154+L2154+M2154+N2154)</f>
        <v>1.8581134460420288E-2</v>
      </c>
      <c r="I2155" s="636">
        <f>I2154/(D2154+E2154+G2154+H2154+I2154+J2154+L2154+M2154+N2154)</f>
        <v>8.8752454687041505E-3</v>
      </c>
      <c r="J2155" s="636">
        <f>J2154/(D2154+E2154+G2154+H2154+I2154+J2154+L2154+M2154+N2154)</f>
        <v>8.505067376927071E-3</v>
      </c>
      <c r="K2155" s="637">
        <f t="shared" si="67"/>
        <v>0.2460059138207345</v>
      </c>
      <c r="L2155" s="636">
        <f>L2154/(D2154+E2154+G2154+H2154+I2154+J2154+L2154+M2154+N2154)</f>
        <v>6.6483082409769093E-2</v>
      </c>
      <c r="M2155" s="636">
        <f>M2154/(D2154+E2154+G2154+H2154+I2154+J2154+L2154+M2154+N2154)</f>
        <v>1.1394262239577456E-2</v>
      </c>
      <c r="N2155" s="636">
        <f>N2154/(D2154+E2154+G2154+H2154+I2154+J2154+L2154+M2154+N2154)</f>
        <v>0.45332821705076404</v>
      </c>
      <c r="O2155" s="1503"/>
    </row>
    <row r="2156" spans="1:15" ht="12" customHeight="1">
      <c r="A2156" s="1517"/>
      <c r="B2156" s="1502" t="s">
        <v>14938</v>
      </c>
      <c r="C2156" s="638" t="s">
        <v>6218</v>
      </c>
      <c r="D2156" s="639">
        <v>40704</v>
      </c>
      <c r="E2156" s="639">
        <v>21624</v>
      </c>
      <c r="F2156" s="640">
        <f t="shared" si="66"/>
        <v>62328</v>
      </c>
      <c r="G2156" s="639">
        <v>44268</v>
      </c>
      <c r="H2156" s="639">
        <v>7315</v>
      </c>
      <c r="I2156" s="639"/>
      <c r="J2156" s="639"/>
      <c r="K2156" s="640">
        <f t="shared" si="67"/>
        <v>51583</v>
      </c>
      <c r="L2156" s="639">
        <v>20828</v>
      </c>
      <c r="M2156" s="639"/>
      <c r="N2156" s="639">
        <v>88763</v>
      </c>
      <c r="O2156" s="1503">
        <f>1-N2157</f>
        <v>0.60285366573900911</v>
      </c>
    </row>
    <row r="2157" spans="1:15" ht="12" customHeight="1">
      <c r="A2157" s="1517"/>
      <c r="B2157" s="1502"/>
      <c r="C2157" s="635" t="s">
        <v>6219</v>
      </c>
      <c r="D2157" s="636">
        <f>D2156/(D2156+E2156+G2156+H2156+I2156+J2156+L2156+M2156+N2156)</f>
        <v>0.18211917566733182</v>
      </c>
      <c r="E2157" s="636">
        <f>E2156/(D2156+E2156+G2156+H2156+I2156+J2156+L2156+M2156+N2156)</f>
        <v>9.6750812073270034E-2</v>
      </c>
      <c r="F2157" s="637">
        <f t="shared" si="66"/>
        <v>0.27886998774060184</v>
      </c>
      <c r="G2157" s="636">
        <f>G2156/(D2156+E2156+G2156+H2156+I2156+J2156+L2156+M2156+N2156)</f>
        <v>0.19806534169716603</v>
      </c>
      <c r="H2157" s="636">
        <f>H2156/(D2156+E2156+G2156+H2156+I2156+J2156+L2156+M2156+N2156)</f>
        <v>3.2729013610616461E-2</v>
      </c>
      <c r="I2157" s="636">
        <f>I2156/(D2156+E2156+G2156+H2156+I2156+J2156+L2156+M2156+N2156)</f>
        <v>0</v>
      </c>
      <c r="J2157" s="636">
        <f>J2156/(D2156+E2156+G2156+H2156+I2156+J2156+L2156+M2156+N2156)</f>
        <v>0</v>
      </c>
      <c r="K2157" s="637">
        <f t="shared" si="67"/>
        <v>0.23079435530778247</v>
      </c>
      <c r="L2157" s="636">
        <f>L2156/(D2156+E2156+G2156+H2156+I2156+J2156+L2156+M2156+N2156)</f>
        <v>9.3189322690624687E-2</v>
      </c>
      <c r="M2157" s="636">
        <f>M2156/(D2156+E2156+G2156+H2156+I2156+J2156+L2156+M2156+N2156)</f>
        <v>0</v>
      </c>
      <c r="N2157" s="636">
        <f>N2156/(D2156+E2156+G2156+H2156+I2156+J2156+L2156+M2156+N2156)</f>
        <v>0.39714633426099094</v>
      </c>
      <c r="O2157" s="1503"/>
    </row>
    <row r="2158" spans="1:15" ht="12" customHeight="1">
      <c r="A2158" s="1517"/>
      <c r="B2158" s="1502" t="s">
        <v>14939</v>
      </c>
      <c r="C2158" s="638" t="s">
        <v>6218</v>
      </c>
      <c r="D2158" s="639">
        <v>37569</v>
      </c>
      <c r="E2158" s="639">
        <v>19790</v>
      </c>
      <c r="F2158" s="640">
        <f t="shared" si="66"/>
        <v>57359</v>
      </c>
      <c r="G2158" s="639">
        <v>35655</v>
      </c>
      <c r="H2158" s="639">
        <v>5805</v>
      </c>
      <c r="I2158" s="639"/>
      <c r="J2158" s="639"/>
      <c r="K2158" s="640">
        <f t="shared" si="67"/>
        <v>41460</v>
      </c>
      <c r="L2158" s="639">
        <v>14881</v>
      </c>
      <c r="M2158" s="639">
        <v>4189</v>
      </c>
      <c r="N2158" s="639">
        <v>106064</v>
      </c>
      <c r="O2158" s="1503">
        <f>1-N2159</f>
        <v>0.52640062870334403</v>
      </c>
    </row>
    <row r="2159" spans="1:15" ht="12" customHeight="1">
      <c r="A2159" s="1517"/>
      <c r="B2159" s="1502"/>
      <c r="C2159" s="635" t="s">
        <v>6219</v>
      </c>
      <c r="D2159" s="636">
        <f>D2158/(D2158+E2158+G2158+H2158+I2158+J2158+L2158+M2158+N2158)</f>
        <v>0.16775394837309615</v>
      </c>
      <c r="E2159" s="636">
        <f>E2158/(D2158+E2158+G2158+H2158+I2158+J2158+L2158+M2158+N2158)</f>
        <v>8.8366755524596677E-2</v>
      </c>
      <c r="F2159" s="637">
        <f t="shared" si="66"/>
        <v>0.25612070389769281</v>
      </c>
      <c r="G2159" s="636">
        <f>G2158/(D2158+E2158+G2158+H2158+I2158+J2158+L2158+M2158+N2158)</f>
        <v>0.15920751229052524</v>
      </c>
      <c r="H2159" s="636">
        <f>H2158/(D2158+E2158+G2158+H2158+I2158+J2158+L2158+M2158+N2158)</f>
        <v>2.5920617272374113E-2</v>
      </c>
      <c r="I2159" s="636">
        <f>I2158/(D2158+E2158+G2158+H2158+I2158+J2158+L2158+M2158+N2158)</f>
        <v>0</v>
      </c>
      <c r="J2159" s="636">
        <f>J2158/(D2158+E2158+G2158+H2158+I2158+J2158+L2158+M2158+N2158)</f>
        <v>0</v>
      </c>
      <c r="K2159" s="637">
        <f t="shared" si="67"/>
        <v>0.18512812956289934</v>
      </c>
      <c r="L2159" s="636">
        <f>L2158/(D2158+E2158+G2158+H2158+I2158+J2158+L2158+M2158+N2158)</f>
        <v>6.6446977714073929E-2</v>
      </c>
      <c r="M2159" s="636">
        <f>M2158/(D2158+E2158+G2158+H2158+I2158+J2158+L2158+M2158+N2158)</f>
        <v>1.8704817528677892E-2</v>
      </c>
      <c r="N2159" s="636">
        <f>N2158/(D2158+E2158+G2158+H2158+I2158+J2158+L2158+M2158+N2158)</f>
        <v>0.47359937129665597</v>
      </c>
      <c r="O2159" s="1503"/>
    </row>
    <row r="2160" spans="1:15" ht="12" customHeight="1">
      <c r="A2160" s="1517"/>
      <c r="B2160" s="1502" t="s">
        <v>14940</v>
      </c>
      <c r="C2160" s="638" t="s">
        <v>6218</v>
      </c>
      <c r="D2160" s="639">
        <v>42162</v>
      </c>
      <c r="E2160" s="639">
        <v>21231</v>
      </c>
      <c r="F2160" s="640">
        <f t="shared" si="66"/>
        <v>63393</v>
      </c>
      <c r="G2160" s="639">
        <v>33109</v>
      </c>
      <c r="H2160" s="639">
        <v>5643</v>
      </c>
      <c r="I2160" s="639"/>
      <c r="J2160" s="639"/>
      <c r="K2160" s="640">
        <f t="shared" si="67"/>
        <v>38752</v>
      </c>
      <c r="L2160" s="639">
        <v>17748</v>
      </c>
      <c r="M2160" s="639"/>
      <c r="N2160" s="639">
        <v>104110</v>
      </c>
      <c r="O2160" s="1503">
        <f>1-N2161</f>
        <v>0.53522943889144337</v>
      </c>
    </row>
    <row r="2161" spans="1:15" ht="12" customHeight="1" thickBot="1">
      <c r="A2161" s="1519"/>
      <c r="B2161" s="1514"/>
      <c r="C2161" s="641" t="s">
        <v>6219</v>
      </c>
      <c r="D2161" s="642">
        <f>D2160/(D2160+E2160+G2160+H2160+I2160+J2160+L2160+M2160+N2160)</f>
        <v>0.18822069347285528</v>
      </c>
      <c r="E2161" s="642">
        <f>E2160/(D2160+E2160+G2160+H2160+I2160+J2160+L2160+M2160+N2160)</f>
        <v>9.4779980625259483E-2</v>
      </c>
      <c r="F2161" s="643">
        <f t="shared" si="66"/>
        <v>0.28300067409811475</v>
      </c>
      <c r="G2161" s="642">
        <f>G2160/(D2160+E2160+G2160+H2160+I2160+J2160+L2160+M2160+N2160)</f>
        <v>0.14780605616889059</v>
      </c>
      <c r="H2161" s="642">
        <f>H2160/(D2160+E2160+G2160+H2160+I2160+J2160+L2160+M2160+N2160)</f>
        <v>2.5191626897854046E-2</v>
      </c>
      <c r="I2161" s="642">
        <f>I2160/(D2160+E2160+G2160+H2160+I2160+J2160+L2160+M2160+N2160)</f>
        <v>0</v>
      </c>
      <c r="J2161" s="642">
        <f>J2160/(D2160+E2160+G2160+H2160+I2160+J2160+L2160+M2160+N2160)</f>
        <v>0</v>
      </c>
      <c r="K2161" s="643">
        <f t="shared" si="67"/>
        <v>0.17299768306674462</v>
      </c>
      <c r="L2161" s="642">
        <f>L2160/(D2160+E2160+G2160+H2160+I2160+J2160+L2160+M2160+N2160)</f>
        <v>7.9231081726584024E-2</v>
      </c>
      <c r="M2161" s="642">
        <f>M2160/(D2160+E2160+G2160+H2160+I2160+J2160+L2160+M2160+N2160)</f>
        <v>0</v>
      </c>
      <c r="N2161" s="642">
        <f>N2160/(D2160+E2160+G2160+H2160+I2160+J2160+L2160+M2160+N2160)</f>
        <v>0.46477056110855658</v>
      </c>
      <c r="O2161" s="1515"/>
    </row>
    <row r="2162" spans="1:15" ht="12" customHeight="1">
      <c r="A2162" s="1516" t="s">
        <v>15208</v>
      </c>
      <c r="B2162" s="1509" t="s">
        <v>14937</v>
      </c>
      <c r="C2162" s="647" t="s">
        <v>6218</v>
      </c>
      <c r="D2162" s="648">
        <v>38552</v>
      </c>
      <c r="E2162" s="648">
        <v>19306</v>
      </c>
      <c r="F2162" s="649">
        <f t="shared" si="66"/>
        <v>57858</v>
      </c>
      <c r="G2162" s="648">
        <v>48265</v>
      </c>
      <c r="H2162" s="648">
        <v>4440</v>
      </c>
      <c r="I2162" s="648">
        <v>2538</v>
      </c>
      <c r="J2162" s="648">
        <v>1394</v>
      </c>
      <c r="K2162" s="649">
        <f t="shared" si="67"/>
        <v>56637</v>
      </c>
      <c r="L2162" s="648">
        <v>14226</v>
      </c>
      <c r="M2162" s="648">
        <v>2039</v>
      </c>
      <c r="N2162" s="648">
        <v>85957</v>
      </c>
      <c r="O2162" s="1510">
        <f>1-N2163</f>
        <v>0.60336752539025551</v>
      </c>
    </row>
    <row r="2163" spans="1:15" ht="12" customHeight="1">
      <c r="A2163" s="1517"/>
      <c r="B2163" s="1502"/>
      <c r="C2163" s="635" t="s">
        <v>6219</v>
      </c>
      <c r="D2163" s="636">
        <f>D2162/(D2162+E2162+G2162+H2162+I2162+J2162+L2162+M2162+N2162)</f>
        <v>0.17789098224873914</v>
      </c>
      <c r="E2163" s="636">
        <f>E2162/(D2162+E2162+G2162+H2162+I2162+J2162+L2162+M2162+N2162)</f>
        <v>8.9083920504621231E-2</v>
      </c>
      <c r="F2163" s="637">
        <f t="shared" si="66"/>
        <v>0.26697490275336039</v>
      </c>
      <c r="G2163" s="636">
        <f>G2162/(D2162+E2162+G2162+H2162+I2162+J2162+L2162+M2162+N2162)</f>
        <v>0.2227098012615531</v>
      </c>
      <c r="H2163" s="636">
        <f>H2162/(D2162+E2162+G2162+H2162+I2162+J2162+L2162+M2162+N2162)</f>
        <v>2.0487548277246363E-2</v>
      </c>
      <c r="I2163" s="636">
        <f>I2162/(D2162+E2162+G2162+H2162+I2162+J2162+L2162+M2162+N2162)</f>
        <v>1.1711125569290826E-2</v>
      </c>
      <c r="J2163" s="636">
        <f>J2162/(D2162+E2162+G2162+H2162+I2162+J2162+L2162+M2162+N2162)</f>
        <v>6.4323518690273494E-3</v>
      </c>
      <c r="K2163" s="637">
        <f t="shared" si="67"/>
        <v>0.26134082697711764</v>
      </c>
      <c r="L2163" s="636">
        <f>L2162/(D2162+E2162+G2162+H2162+I2162+J2162+L2162+M2162+N2162)</f>
        <v>6.5643212115339356E-2</v>
      </c>
      <c r="M2163" s="636">
        <f>M2162/(D2162+E2162+G2162+H2162+I2162+J2162+L2162+M2162+N2162)</f>
        <v>9.4085835444381385E-3</v>
      </c>
      <c r="N2163" s="636">
        <f>N2162/(D2162+E2162+G2162+H2162+I2162+J2162+L2162+M2162+N2162)</f>
        <v>0.39663247460974449</v>
      </c>
      <c r="O2163" s="1503"/>
    </row>
    <row r="2164" spans="1:15" ht="12" customHeight="1">
      <c r="A2164" s="1517"/>
      <c r="B2164" s="1502" t="s">
        <v>14938</v>
      </c>
      <c r="C2164" s="638" t="s">
        <v>6218</v>
      </c>
      <c r="D2164" s="639">
        <v>44916</v>
      </c>
      <c r="E2164" s="639">
        <v>23457</v>
      </c>
      <c r="F2164" s="640">
        <f t="shared" si="66"/>
        <v>68373</v>
      </c>
      <c r="G2164" s="639">
        <v>47795</v>
      </c>
      <c r="H2164" s="639">
        <v>7048</v>
      </c>
      <c r="I2164" s="639"/>
      <c r="J2164" s="639"/>
      <c r="K2164" s="640">
        <f t="shared" si="67"/>
        <v>54843</v>
      </c>
      <c r="L2164" s="639">
        <v>20089</v>
      </c>
      <c r="M2164" s="639"/>
      <c r="N2164" s="639">
        <v>76991</v>
      </c>
      <c r="O2164" s="1503">
        <f>1-N2165</f>
        <v>0.65051113047899189</v>
      </c>
    </row>
    <row r="2165" spans="1:15" ht="12" customHeight="1">
      <c r="A2165" s="1517"/>
      <c r="B2165" s="1502"/>
      <c r="C2165" s="635" t="s">
        <v>6219</v>
      </c>
      <c r="D2165" s="636">
        <f>D2164/(D2164+E2164+G2164+H2164+I2164+J2164+L2164+M2164+N2164)</f>
        <v>0.20388931256128118</v>
      </c>
      <c r="E2165" s="636">
        <f>E2164/(D2164+E2164+G2164+H2164+I2164+J2164+L2164+M2164+N2164)</f>
        <v>0.10647946399389911</v>
      </c>
      <c r="F2165" s="637">
        <f t="shared" si="66"/>
        <v>0.3103687765551803</v>
      </c>
      <c r="G2165" s="636">
        <f>G2164/(D2164+E2164+G2164+H2164+I2164+J2164+L2164+M2164+N2164)</f>
        <v>0.21695809274793915</v>
      </c>
      <c r="H2165" s="636">
        <f>H2164/(D2164+E2164+G2164+H2164+I2164+J2164+L2164+M2164+N2164)</f>
        <v>3.1993318081127209E-2</v>
      </c>
      <c r="I2165" s="636">
        <f>I2164/(D2164+E2164+G2164+H2164+I2164+J2164+L2164+M2164+N2164)</f>
        <v>0</v>
      </c>
      <c r="J2165" s="636">
        <f>J2164/(D2164+E2164+G2164+H2164+I2164+J2164+L2164+M2164+N2164)</f>
        <v>0</v>
      </c>
      <c r="K2165" s="637">
        <f t="shared" si="67"/>
        <v>0.24895141082906636</v>
      </c>
      <c r="L2165" s="636">
        <f>L2164/(D2164+E2164+G2164+H2164+I2164+J2164+L2164+M2164+N2164)</f>
        <v>9.119094309474525E-2</v>
      </c>
      <c r="M2165" s="636">
        <f>M2164/(D2164+E2164+G2164+H2164+I2164+J2164+L2164+M2164+N2164)</f>
        <v>0</v>
      </c>
      <c r="N2165" s="636">
        <f>N2164/(D2164+E2164+G2164+H2164+I2164+J2164+L2164+M2164+N2164)</f>
        <v>0.34948886952100811</v>
      </c>
      <c r="O2165" s="1503"/>
    </row>
    <row r="2166" spans="1:15" ht="12" customHeight="1">
      <c r="A2166" s="1517"/>
      <c r="B2166" s="1502" t="s">
        <v>14939</v>
      </c>
      <c r="C2166" s="638" t="s">
        <v>6218</v>
      </c>
      <c r="D2166" s="639">
        <v>44185</v>
      </c>
      <c r="E2166" s="639">
        <v>22547</v>
      </c>
      <c r="F2166" s="640">
        <f t="shared" si="66"/>
        <v>66732</v>
      </c>
      <c r="G2166" s="639">
        <v>36818</v>
      </c>
      <c r="H2166" s="639">
        <v>5495</v>
      </c>
      <c r="I2166" s="639"/>
      <c r="J2166" s="639"/>
      <c r="K2166" s="640">
        <f t="shared" si="67"/>
        <v>42313</v>
      </c>
      <c r="L2166" s="639">
        <v>14987</v>
      </c>
      <c r="M2166" s="639">
        <v>3579</v>
      </c>
      <c r="N2166" s="639">
        <v>93651</v>
      </c>
      <c r="O2166" s="1503">
        <f>1-N2167</f>
        <v>0.57674160045556855</v>
      </c>
    </row>
    <row r="2167" spans="1:15" ht="12" customHeight="1">
      <c r="A2167" s="1517"/>
      <c r="B2167" s="1502"/>
      <c r="C2167" s="635" t="s">
        <v>6219</v>
      </c>
      <c r="D2167" s="636">
        <f>D2166/(D2166+E2166+G2166+H2166+I2166+J2166+L2166+M2166+N2166)</f>
        <v>0.19969538375319756</v>
      </c>
      <c r="E2167" s="636">
        <f>E2166/(D2166+E2166+G2166+H2166+I2166+J2166+L2166+M2166+N2166)</f>
        <v>0.10190181775451727</v>
      </c>
      <c r="F2167" s="637">
        <f t="shared" si="66"/>
        <v>0.30159720150771485</v>
      </c>
      <c r="G2167" s="636">
        <f>G2166/(D2166+E2166+G2166+H2166+I2166+J2166+L2166+M2166+N2166)</f>
        <v>0.16640001446249242</v>
      </c>
      <c r="H2167" s="636">
        <f>H2166/(D2166+E2166+G2166+H2166+I2166+J2166+L2166+M2166+N2166)</f>
        <v>2.4834811219278503E-2</v>
      </c>
      <c r="I2167" s="636">
        <f>I2166/(D2166+E2166+G2166+H2166+I2166+J2166+L2166+M2166+N2166)</f>
        <v>0</v>
      </c>
      <c r="J2167" s="636">
        <f>J2166/(D2166+E2166+G2166+H2166+I2166+J2166+L2166+M2166+N2166)</f>
        <v>0</v>
      </c>
      <c r="K2167" s="637">
        <f t="shared" si="67"/>
        <v>0.19123482568177091</v>
      </c>
      <c r="L2167" s="636">
        <f>L2166/(D2166+E2166+G2166+H2166+I2166+J2166+L2166+M2166+N2166)</f>
        <v>6.7734179389140475E-2</v>
      </c>
      <c r="M2167" s="636">
        <f>M2166/(D2166+E2166+G2166+H2166+I2166+J2166+L2166+M2166+N2166)</f>
        <v>1.6175393876942269E-2</v>
      </c>
      <c r="N2167" s="636">
        <f>N2166/(D2166+E2166+G2166+H2166+I2166+J2166+L2166+M2166+N2166)</f>
        <v>0.42325839954443151</v>
      </c>
      <c r="O2167" s="1503"/>
    </row>
    <row r="2168" spans="1:15" ht="12" customHeight="1">
      <c r="A2168" s="1517"/>
      <c r="B2168" s="1502" t="s">
        <v>14940</v>
      </c>
      <c r="C2168" s="638" t="s">
        <v>6218</v>
      </c>
      <c r="D2168" s="639">
        <v>46997</v>
      </c>
      <c r="E2168" s="639">
        <v>25670</v>
      </c>
      <c r="F2168" s="640">
        <f t="shared" si="66"/>
        <v>72667</v>
      </c>
      <c r="G2168" s="639">
        <v>33481</v>
      </c>
      <c r="H2168" s="639">
        <v>5824</v>
      </c>
      <c r="I2168" s="639"/>
      <c r="J2168" s="639"/>
      <c r="K2168" s="640">
        <f t="shared" si="67"/>
        <v>39305</v>
      </c>
      <c r="L2168" s="639">
        <v>17235</v>
      </c>
      <c r="M2168" s="639"/>
      <c r="N2168" s="639">
        <v>92916</v>
      </c>
      <c r="O2168" s="1503">
        <f>1-N2169</f>
        <v>0.58169122513202143</v>
      </c>
    </row>
    <row r="2169" spans="1:15" ht="12" customHeight="1" thickBot="1">
      <c r="A2169" s="1519"/>
      <c r="B2169" s="1514"/>
      <c r="C2169" s="641" t="s">
        <v>6219</v>
      </c>
      <c r="D2169" s="642">
        <f>D2168/(D2168+E2168+G2168+H2168+I2168+J2168+L2168+M2168+N2168)</f>
        <v>0.21158097090350841</v>
      </c>
      <c r="E2169" s="642">
        <f>E2168/(D2168+E2168+G2168+H2168+I2168+J2168+L2168+M2168+N2168)</f>
        <v>0.1155666004871175</v>
      </c>
      <c r="F2169" s="643">
        <f t="shared" si="66"/>
        <v>0.32714757139062589</v>
      </c>
      <c r="G2169" s="642">
        <f>G2168/(D2168+E2168+G2168+H2168+I2168+J2168+L2168+M2168+N2168)</f>
        <v>0.15073180174948114</v>
      </c>
      <c r="H2169" s="642">
        <f>H2168/(D2168+E2168+G2168+H2168+I2168+J2168+L2168+M2168+N2168)</f>
        <v>2.6219707099219801E-2</v>
      </c>
      <c r="I2169" s="642">
        <f>I2168/(D2168+E2168+G2168+H2168+I2168+J2168+L2168+M2168+N2168)</f>
        <v>0</v>
      </c>
      <c r="J2169" s="642">
        <f>J2168/(D2168+E2168+G2168+H2168+I2168+J2168+L2168+M2168+N2168)</f>
        <v>0</v>
      </c>
      <c r="K2169" s="643">
        <f t="shared" si="67"/>
        <v>0.17695150884870095</v>
      </c>
      <c r="L2169" s="642">
        <f>L2168/(D2168+E2168+G2168+H2168+I2168+J2168+L2168+M2168+N2168)</f>
        <v>7.7592144892694587E-2</v>
      </c>
      <c r="M2169" s="642">
        <f>M2168/(D2168+E2168+G2168+H2168+I2168+J2168+L2168+M2168+N2168)</f>
        <v>0</v>
      </c>
      <c r="N2169" s="642">
        <f>N2168/(D2168+E2168+G2168+H2168+I2168+J2168+L2168+M2168+N2168)</f>
        <v>0.41830877486797857</v>
      </c>
      <c r="O2169" s="1515"/>
    </row>
    <row r="2170" spans="1:15" ht="12" customHeight="1">
      <c r="A2170" s="1511" t="s">
        <v>15209</v>
      </c>
      <c r="B2170" s="1509" t="s">
        <v>14937</v>
      </c>
      <c r="C2170" s="647" t="s">
        <v>6218</v>
      </c>
      <c r="D2170" s="648">
        <f>D2066+D2074+D2082+D2090+D2098+D2106+D2114+D2122+D2130+D2138+D2146+D2154+D2162</f>
        <v>588093</v>
      </c>
      <c r="E2170" s="648">
        <f>E2066+E2074+E2082+E2090+E2098+E2106+E2114+E2122+E2130+E2138+E2146+E2154+E2162</f>
        <v>291012</v>
      </c>
      <c r="F2170" s="649">
        <f t="shared" si="66"/>
        <v>879105</v>
      </c>
      <c r="G2170" s="648">
        <f>G2066+G2074+G2082+G2090+G2098+G2106+G2114+G2122+G2130+G2138+G2146+G2154+G2162</f>
        <v>728420</v>
      </c>
      <c r="H2170" s="648">
        <f>H2066+H2074+H2082+H2090+H2098+H2106+H2114+H2122+H2130+H2138+H2146+H2154+H2162</f>
        <v>74504</v>
      </c>
      <c r="I2170" s="648">
        <f>I2066+I2074+I2082+I2090+I2098+I2106+I2114+I2122+I2130+I2138+I2146+I2154+I2162</f>
        <v>36582</v>
      </c>
      <c r="J2170" s="648">
        <f>J2066+J2074+J2082+J2090+J2098+J2106+J2114+J2122+J2130+J2138+J2146+J2154+J2162</f>
        <v>40322</v>
      </c>
      <c r="K2170" s="649">
        <f t="shared" si="67"/>
        <v>879828</v>
      </c>
      <c r="L2170" s="648">
        <f>L2066+L2074+L2082+L2090+L2098+L2106+L2114+L2122+L2130+L2138+L2146+L2154+L2162</f>
        <v>131105</v>
      </c>
      <c r="M2170" s="648">
        <f>M2066+M2074+M2082+M2090+M2098+M2106+M2114+M2122+M2130+M2138+M2146+M2154+M2162</f>
        <v>41802</v>
      </c>
      <c r="N2170" s="648">
        <f>N2066+N2074+N2082+N2090+N2098+N2106+N2114+N2122+N2130+N2138+N2146+N2154+N2162</f>
        <v>1434629</v>
      </c>
      <c r="O2170" s="1510">
        <f>1-N2171</f>
        <v>0.57384755362369289</v>
      </c>
    </row>
    <row r="2171" spans="1:15" ht="12" customHeight="1">
      <c r="A2171" s="1512"/>
      <c r="B2171" s="1502"/>
      <c r="C2171" s="635" t="s">
        <v>6219</v>
      </c>
      <c r="D2171" s="650">
        <f>D2170/(D2170+E2170+G2170+H2170+I2170+J2170+L2170+M2170+N2170)</f>
        <v>0.17469134573940825</v>
      </c>
      <c r="E2171" s="650">
        <f>E2170/(D2170+E2170+G2170+H2170+I2170+J2170+L2170+M2170+N2170)</f>
        <v>8.6444283312871739E-2</v>
      </c>
      <c r="F2171" s="651">
        <f t="shared" si="66"/>
        <v>0.26113562905227999</v>
      </c>
      <c r="G2171" s="650">
        <f>G2170/(D2170+E2170+G2170+H2170+I2170+J2170+L2170+M2170+N2170)</f>
        <v>0.21637508023985963</v>
      </c>
      <c r="H2171" s="650">
        <f>H2170/(D2170+E2170+G2170+H2170+I2170+J2170+L2170+M2170+N2170)</f>
        <v>2.213120037641814E-2</v>
      </c>
      <c r="I2171" s="650">
        <f>I2170/(D2170+E2170+G2170+H2170+I2170+J2170+L2170+M2170+N2170)</f>
        <v>1.0866578602090202E-2</v>
      </c>
      <c r="J2171" s="650">
        <f>J2170/(D2170+E2170+G2170+H2170+I2170+J2170+L2170+M2170+N2170)</f>
        <v>1.1977534918634332E-2</v>
      </c>
      <c r="K2171" s="651">
        <f t="shared" si="67"/>
        <v>0.26135039413700228</v>
      </c>
      <c r="L2171" s="650">
        <f>L2170/(D2170+E2170+G2170+H2170+I2170+J2170+L2170+M2170+N2170)</f>
        <v>3.8944365743454043E-2</v>
      </c>
      <c r="M2171" s="650">
        <f>M2170/(D2170+E2170+G2170+H2170+I2170+J2170+L2170+M2170+N2170)</f>
        <v>1.2417164690956608E-2</v>
      </c>
      <c r="N2171" s="650">
        <f>N2170/(D2170+E2170+G2170+H2170+I2170+J2170+L2170+M2170+N2170)</f>
        <v>0.42615244637630706</v>
      </c>
      <c r="O2171" s="1503"/>
    </row>
    <row r="2172" spans="1:15" ht="12" customHeight="1">
      <c r="A2172" s="1512"/>
      <c r="B2172" s="1502" t="s">
        <v>14938</v>
      </c>
      <c r="C2172" s="638" t="s">
        <v>6218</v>
      </c>
      <c r="D2172" s="648">
        <f>D2068+D2076+D2084+D2092+D2100+D2108+D2116+D2124+D2132+D2140+D2148+D2156+D2164</f>
        <v>821746</v>
      </c>
      <c r="E2172" s="648">
        <f>E2068+E2076+E2084+E2092+E2100+E2108+E2116+E2124+E2132+E2140+E2148+E2156+E2164</f>
        <v>317575</v>
      </c>
      <c r="F2172" s="649">
        <f t="shared" si="66"/>
        <v>1139321</v>
      </c>
      <c r="G2172" s="648">
        <f>G2068+G2076+G2084+G2092+G2100+G2108+G2116+G2124+G2132+G2140+G2148+G2156+G2164</f>
        <v>711927</v>
      </c>
      <c r="H2172" s="648">
        <f>H2068+H2076+H2084+H2092+H2100+H2108+H2116+H2124+H2132+H2140+H2148+H2156+H2164</f>
        <v>119089</v>
      </c>
      <c r="I2172" s="648">
        <f>I2068+I2076+I2084+I2092+I2100+I2108+I2116+I2124+I2132+I2140+I2148+I2156+I2164</f>
        <v>0</v>
      </c>
      <c r="J2172" s="648">
        <f>J2068+J2076+J2084+J2092+J2100+J2108+J2116+J2124+J2132+J2140+J2148+J2156+J2164</f>
        <v>0</v>
      </c>
      <c r="K2172" s="649">
        <f t="shared" si="67"/>
        <v>831016</v>
      </c>
      <c r="L2172" s="648">
        <f>L2068+L2076+L2084+L2092+L2100+L2108+L2116+L2124+L2132+L2140+L2148+L2156+L2164</f>
        <v>175994</v>
      </c>
      <c r="M2172" s="648">
        <f>M2068+M2076+M2084+M2092+M2100+M2108+M2116+M2124+M2132+M2140+M2148+M2156+M2164</f>
        <v>0</v>
      </c>
      <c r="N2172" s="648">
        <f>N2068+N2076+N2084+N2092+N2100+N2108+N2116+N2124+N2132+N2140+N2148+N2156+N2164</f>
        <v>1229361</v>
      </c>
      <c r="O2172" s="1503">
        <f>1-N2173</f>
        <v>0.63581955936738299</v>
      </c>
    </row>
    <row r="2173" spans="1:15" ht="12" customHeight="1">
      <c r="A2173" s="1512"/>
      <c r="B2173" s="1502"/>
      <c r="C2173" s="635" t="s">
        <v>6219</v>
      </c>
      <c r="D2173" s="650">
        <f>D2172/(D2172+E2172+G2172+H2172+I2172+J2172+L2172+M2172+N2172)</f>
        <v>0.24343038405162556</v>
      </c>
      <c r="E2173" s="650">
        <f>E2172/(D2172+E2172+G2172+H2172+I2172+J2172+L2172+M2172+N2172)</f>
        <v>9.4077007025522477E-2</v>
      </c>
      <c r="F2173" s="651">
        <f t="shared" si="66"/>
        <v>0.33750739107714806</v>
      </c>
      <c r="G2173" s="650">
        <f>G2172/(D2172+E2172+G2172+H2172+I2172+J2172+L2172+M2172+N2172)</f>
        <v>0.21089809141355315</v>
      </c>
      <c r="H2173" s="650">
        <f>H2172/(D2172+E2172+G2172+H2172+I2172+J2172+L2172+M2172+N2172)</f>
        <v>3.5278396251790745E-2</v>
      </c>
      <c r="I2173" s="650">
        <f>I2172/(D2172+E2172+G2172+H2172+I2172+J2172+L2172+M2172+N2172)</f>
        <v>0</v>
      </c>
      <c r="J2173" s="650">
        <f>J2172/(D2172+E2172+G2172+H2172+I2172+J2172+L2172+M2172+N2172)</f>
        <v>0</v>
      </c>
      <c r="K2173" s="651">
        <f t="shared" si="67"/>
        <v>0.24617648766534389</v>
      </c>
      <c r="L2173" s="650">
        <f>L2172/(D2172+E2172+G2172+H2172+I2172+J2172+L2172+M2172+N2172)</f>
        <v>5.2135680624891136E-2</v>
      </c>
      <c r="M2173" s="650">
        <f>M2172/(D2172+E2172+G2172+H2172+I2172+J2172+L2172+M2172+N2172)</f>
        <v>0</v>
      </c>
      <c r="N2173" s="650">
        <f>N2172/(D2172+E2172+G2172+H2172+I2172+J2172+L2172+M2172+N2172)</f>
        <v>0.36418044063261695</v>
      </c>
      <c r="O2173" s="1503"/>
    </row>
    <row r="2174" spans="1:15" ht="12" customHeight="1">
      <c r="A2174" s="1512"/>
      <c r="B2174" s="1502" t="s">
        <v>14939</v>
      </c>
      <c r="C2174" s="638" t="s">
        <v>6218</v>
      </c>
      <c r="D2174" s="648">
        <f>D2070+D2078+D2086+D2094+D2102+D2110+D2118+D2126+D2134+D2142+D2150+D2158+D2166</f>
        <v>628302</v>
      </c>
      <c r="E2174" s="648">
        <f>E2070+E2078+E2086+E2094+E2102+E2110+E2118+E2126+E2134+E2142+E2150+E2158+E2166</f>
        <v>299496</v>
      </c>
      <c r="F2174" s="649">
        <f t="shared" si="66"/>
        <v>927798</v>
      </c>
      <c r="G2174" s="648">
        <f>G2070+G2078+G2086+G2094+G2102+G2110+G2118+G2126+G2134+G2142+G2150+G2158+G2166</f>
        <v>582877</v>
      </c>
      <c r="H2174" s="648">
        <f>H2070+H2078+H2086+H2094+H2102+H2110+H2118+H2126+H2134+H2142+H2150+H2158+H2166</f>
        <v>85126</v>
      </c>
      <c r="I2174" s="648">
        <f>I2070+I2078+I2086+I2094+I2102+I2110+I2118+I2126+I2134+I2142+I2150+I2158+I2166</f>
        <v>0</v>
      </c>
      <c r="J2174" s="648">
        <f>J2070+J2078+J2086+J2094+J2102+J2110+J2118+J2126+J2134+J2142+J2150+J2158+J2166</f>
        <v>0</v>
      </c>
      <c r="K2174" s="649">
        <f t="shared" si="67"/>
        <v>668003</v>
      </c>
      <c r="L2174" s="648">
        <f>L2070+L2078+L2086+L2094+L2102+L2110+L2118+L2126+L2134+L2142+L2150+L2158+L2166</f>
        <v>131714</v>
      </c>
      <c r="M2174" s="648">
        <f>M2070+M2078+M2086+M2094+M2102+M2110+M2118+M2126+M2134+M2142+M2150+M2158+M2166</f>
        <v>75906</v>
      </c>
      <c r="N2174" s="648">
        <f>N2070+N2078+N2086+N2094+N2102+N2110+N2118+N2126+N2134+N2142+N2150+N2158+N2166</f>
        <v>1572234</v>
      </c>
      <c r="O2174" s="1503">
        <f>1-N2175</f>
        <v>0.53424328019302925</v>
      </c>
    </row>
    <row r="2175" spans="1:15" ht="12" customHeight="1">
      <c r="A2175" s="1512"/>
      <c r="B2175" s="1502"/>
      <c r="C2175" s="635" t="s">
        <v>6219</v>
      </c>
      <c r="D2175" s="650">
        <f>D2174/(D2174+E2174+G2174+H2174+I2174+J2174+L2174+M2174+N2174)</f>
        <v>0.18612743304632731</v>
      </c>
      <c r="E2175" s="650">
        <f>E2174/(D2174+E2174+G2174+H2174+I2174+J2174+L2174+M2174+N2174)</f>
        <v>8.8722336850181674E-2</v>
      </c>
      <c r="F2175" s="651">
        <f t="shared" si="66"/>
        <v>0.274849769896509</v>
      </c>
      <c r="G2175" s="650">
        <f>G2174/(D2174+E2174+G2174+H2174+I2174+J2174+L2174+M2174+N2174)</f>
        <v>0.1726707853735053</v>
      </c>
      <c r="H2175" s="650">
        <f>H2174/(D2174+E2174+G2174+H2174+I2174+J2174+L2174+M2174+N2174)</f>
        <v>2.5217624431406644E-2</v>
      </c>
      <c r="I2175" s="650">
        <f>I2174/(D2174+E2174+G2174+H2174+I2174+J2174+L2174+M2174+N2174)</f>
        <v>0</v>
      </c>
      <c r="J2175" s="650">
        <f>J2174/(D2174+E2174+G2174+H2174+I2174+J2174+L2174+M2174+N2174)</f>
        <v>0</v>
      </c>
      <c r="K2175" s="651">
        <f t="shared" si="67"/>
        <v>0.19788840980491196</v>
      </c>
      <c r="L2175" s="650">
        <f>L2174/(D2174+E2174+G2174+H2174+I2174+J2174+L2174+M2174+N2174)</f>
        <v>3.9018797833309388E-2</v>
      </c>
      <c r="M2175" s="650">
        <f>M2174/(D2174+E2174+G2174+H2174+I2174+J2174+L2174+M2174+N2174)</f>
        <v>2.2486302658298908E-2</v>
      </c>
      <c r="N2175" s="650">
        <f>N2174/(D2174+E2174+G2174+H2174+I2174+J2174+L2174+M2174+N2174)</f>
        <v>0.46575671980697081</v>
      </c>
      <c r="O2175" s="1503"/>
    </row>
    <row r="2176" spans="1:15" ht="12" customHeight="1">
      <c r="A2176" s="1512"/>
      <c r="B2176" s="1502" t="s">
        <v>14940</v>
      </c>
      <c r="C2176" s="638" t="s">
        <v>6218</v>
      </c>
      <c r="D2176" s="648">
        <f>D2072+D2080+D2088+D2096+D2104+D2112+D2120+D2128+D2136+D2144+D2152+D2160+D2168</f>
        <v>708051</v>
      </c>
      <c r="E2176" s="648">
        <f>E2072+E2080+E2088+E2096+E2104+E2112+E2120+E2128+E2136+E2144+E2152+E2160+E2168</f>
        <v>309160</v>
      </c>
      <c r="F2176" s="649">
        <f t="shared" si="66"/>
        <v>1017211</v>
      </c>
      <c r="G2176" s="648">
        <f>G2072+G2080+G2088+G2096+G2104+G2112+G2120+G2128+G2136+G2144+G2152+G2160+G2168</f>
        <v>587828</v>
      </c>
      <c r="H2176" s="648">
        <f>H2072+H2080+H2088+H2096+H2104+H2112+H2120+H2128+H2136+H2144+H2152+H2160+H2168</f>
        <v>98243</v>
      </c>
      <c r="I2176" s="648">
        <f>I2072+I2080+I2088+I2096+I2104+I2112+I2120+I2128+I2136+I2144+I2152+I2160+I2168</f>
        <v>0</v>
      </c>
      <c r="J2176" s="648">
        <f>J2072+J2080+J2088+J2096+J2104+J2112+J2120+J2128+J2136+J2144+J2152+J2160+J2168</f>
        <v>0</v>
      </c>
      <c r="K2176" s="649">
        <f t="shared" si="67"/>
        <v>686071</v>
      </c>
      <c r="L2176" s="648">
        <f>L2072+L2080+L2088+L2096+L2104+L2112+L2120+L2128+L2136+L2144+L2152+L2160+L2168</f>
        <v>148953</v>
      </c>
      <c r="M2176" s="648">
        <f>M2072+M2080+M2088+M2096+M2104+M2112+M2120+M2128+M2136+M2144+M2152+M2160+M2168</f>
        <v>0</v>
      </c>
      <c r="N2176" s="648">
        <f>N2072+N2080+N2088+N2096+N2104+N2112+N2120+N2128+N2136+N2144+N2152+N2160+N2168</f>
        <v>1522560</v>
      </c>
      <c r="O2176" s="1503">
        <f>1-N2177</f>
        <v>0.54884370754371747</v>
      </c>
    </row>
    <row r="2177" spans="1:15" ht="12" customHeight="1" thickBot="1">
      <c r="A2177" s="1513"/>
      <c r="B2177" s="1504"/>
      <c r="C2177" s="644" t="s">
        <v>6219</v>
      </c>
      <c r="D2177" s="645">
        <f>D2176/(D2176+E2176+G2176+H2176+I2176+J2176+L2176+M2176+N2176)</f>
        <v>0.20980563263842691</v>
      </c>
      <c r="E2177" s="645">
        <f>E2176/(D2176+E2176+G2176+H2176+I2176+J2176+L2176+M2176+N2176)</f>
        <v>9.160852733277132E-2</v>
      </c>
      <c r="F2177" s="646">
        <f t="shared" si="66"/>
        <v>0.30141415997119825</v>
      </c>
      <c r="G2177" s="645">
        <f>G2176/(D2176+E2176+G2176+H2176+I2176+J2176+L2176+M2176+N2176)</f>
        <v>0.17418183919319544</v>
      </c>
      <c r="H2177" s="645">
        <f>H2176/(D2176+E2176+G2176+H2176+I2176+J2176+L2176+M2176+N2176)</f>
        <v>2.9110805248911416E-2</v>
      </c>
      <c r="I2177" s="645">
        <f>I2176/(D2176+E2176+G2176+H2176+I2176+J2176+L2176+M2176+N2176)</f>
        <v>0</v>
      </c>
      <c r="J2177" s="645">
        <f>J2176/(D2176+E2176+G2176+H2176+I2176+J2176+L2176+M2176+N2176)</f>
        <v>0</v>
      </c>
      <c r="K2177" s="646">
        <f t="shared" si="67"/>
        <v>0.20329264444210685</v>
      </c>
      <c r="L2177" s="645">
        <f>L2176/(D2176+E2176+G2176+H2176+I2176+J2176+L2176+M2176+N2176)</f>
        <v>4.4136903130412367E-2</v>
      </c>
      <c r="M2177" s="645">
        <f>M2176/(D2176+E2176+G2176+H2176+I2176+J2176+L2176+M2176+N2176)</f>
        <v>0</v>
      </c>
      <c r="N2177" s="645">
        <f>N2176/(D2176+E2176+G2176+H2176+I2176+J2176+L2176+M2176+N2176)</f>
        <v>0.45115629245628253</v>
      </c>
      <c r="O2177" s="1505"/>
    </row>
    <row r="2178" spans="1:15" ht="12" customHeight="1" thickTop="1">
      <c r="A2178" s="1526" t="s">
        <v>15210</v>
      </c>
      <c r="B2178" s="1509" t="s">
        <v>14937</v>
      </c>
      <c r="C2178" s="647" t="s">
        <v>6218</v>
      </c>
      <c r="D2178" s="648">
        <v>42054</v>
      </c>
      <c r="E2178" s="648">
        <v>34512</v>
      </c>
      <c r="F2178" s="649">
        <f t="shared" ref="F2178:F2241" si="68">SUM(D2178:E2178)</f>
        <v>76566</v>
      </c>
      <c r="G2178" s="648">
        <v>69588</v>
      </c>
      <c r="H2178" s="648">
        <v>8333</v>
      </c>
      <c r="I2178" s="648">
        <v>2800</v>
      </c>
      <c r="J2178" s="648">
        <v>5691</v>
      </c>
      <c r="K2178" s="649">
        <f t="shared" ref="K2178:K2241" si="69">SUM(G2178:J2178)</f>
        <v>86412</v>
      </c>
      <c r="L2178" s="648">
        <v>12875</v>
      </c>
      <c r="M2178" s="648">
        <v>4911</v>
      </c>
      <c r="N2178" s="648">
        <v>188477</v>
      </c>
      <c r="O2178" s="1510">
        <f>1-N2179</f>
        <v>0.48955560189686409</v>
      </c>
    </row>
    <row r="2179" spans="1:15" ht="12" customHeight="1">
      <c r="A2179" s="1527"/>
      <c r="B2179" s="1502"/>
      <c r="C2179" s="635" t="s">
        <v>6219</v>
      </c>
      <c r="D2179" s="636">
        <f>D2178/(D2178+E2178+G2178+H2178+I2178+J2178+L2178+M2178+N2178)</f>
        <v>0.1138930942121812</v>
      </c>
      <c r="E2179" s="636">
        <f>E2178/(D2178+E2178+G2178+H2178+I2178+J2178+L2178+M2178+N2178)</f>
        <v>9.3467410173843093E-2</v>
      </c>
      <c r="F2179" s="637">
        <f t="shared" si="68"/>
        <v>0.2073605043860243</v>
      </c>
      <c r="G2179" s="636">
        <f>G2178/(D2178+E2178+G2178+H2178+I2178+J2178+L2178+M2178+N2178)</f>
        <v>0.18846227802437973</v>
      </c>
      <c r="H2179" s="636">
        <f>H2178/(D2178+E2178+G2178+H2178+I2178+J2178+L2178+M2178+N2178)</f>
        <v>2.2567916347317876E-2</v>
      </c>
      <c r="I2179" s="636">
        <f>I2178/(D2178+E2178+G2178+H2178+I2178+J2178+L2178+M2178+N2178)</f>
        <v>7.5831232176275113E-3</v>
      </c>
      <c r="J2179" s="636">
        <f>J2178/(D2178+E2178+G2178+H2178+I2178+J2178+L2178+M2178+N2178)</f>
        <v>1.5412697939827918E-2</v>
      </c>
      <c r="K2179" s="637">
        <f t="shared" si="69"/>
        <v>0.23402601552915306</v>
      </c>
      <c r="L2179" s="636">
        <f>L2178/(D2178+E2178+G2178+H2178+I2178+J2178+L2178+M2178+N2178)</f>
        <v>3.4868825509626507E-2</v>
      </c>
      <c r="M2179" s="636">
        <f>M2178/(D2178+E2178+G2178+H2178+I2178+J2178+L2178+M2178+N2178)</f>
        <v>1.3300256472060254E-2</v>
      </c>
      <c r="N2179" s="636">
        <f>N2178/(D2178+E2178+G2178+H2178+I2178+J2178+L2178+M2178+N2178)</f>
        <v>0.51044439810313591</v>
      </c>
      <c r="O2179" s="1503"/>
    </row>
    <row r="2180" spans="1:15" ht="12" customHeight="1">
      <c r="A2180" s="1527"/>
      <c r="B2180" s="1502" t="s">
        <v>14938</v>
      </c>
      <c r="C2180" s="638" t="s">
        <v>6218</v>
      </c>
      <c r="D2180" s="639">
        <v>77120</v>
      </c>
      <c r="E2180" s="639">
        <v>36924</v>
      </c>
      <c r="F2180" s="640">
        <f t="shared" si="68"/>
        <v>114044</v>
      </c>
      <c r="G2180" s="639">
        <v>62970</v>
      </c>
      <c r="H2180" s="639">
        <v>13006</v>
      </c>
      <c r="I2180" s="639">
        <v>7498</v>
      </c>
      <c r="J2180" s="639"/>
      <c r="K2180" s="640">
        <f t="shared" si="69"/>
        <v>83474</v>
      </c>
      <c r="L2180" s="639">
        <v>15681</v>
      </c>
      <c r="M2180" s="639"/>
      <c r="N2180" s="639">
        <v>145637</v>
      </c>
      <c r="O2180" s="1503">
        <f>1-N2181</f>
        <v>0.59414049872365093</v>
      </c>
    </row>
    <row r="2181" spans="1:15" ht="12" customHeight="1">
      <c r="A2181" s="1527"/>
      <c r="B2181" s="1502"/>
      <c r="C2181" s="635" t="s">
        <v>6219</v>
      </c>
      <c r="D2181" s="636">
        <f>D2180/(D2180+E2180+G2180+H2180+I2180+J2180+L2180+M2180+N2180)</f>
        <v>0.21491712091317483</v>
      </c>
      <c r="E2181" s="636">
        <f>E2180/(D2180+E2180+G2180+H2180+I2180+J2180+L2180+M2180+N2180)</f>
        <v>0.10289937464468447</v>
      </c>
      <c r="F2181" s="637">
        <f t="shared" si="68"/>
        <v>0.31781649555785929</v>
      </c>
      <c r="G2181" s="636">
        <f>G2180/(D2180+E2180+G2180+H2180+I2180+J2180+L2180+M2180+N2180)</f>
        <v>0.1754840651439655</v>
      </c>
      <c r="H2181" s="636">
        <f>H2180/(D2180+E2180+G2180+H2180+I2180+J2180+L2180+M2180+N2180)</f>
        <v>3.6244969846949582E-2</v>
      </c>
      <c r="I2181" s="636">
        <f>I2180/(D2180+E2180+G2180+H2180+I2180+J2180+L2180+M2180+N2180)</f>
        <v>2.0895339375090572E-2</v>
      </c>
      <c r="J2181" s="636">
        <f>J2180/(D2180+E2180+G2180+H2180+I2180+J2180+L2180+M2180+N2180)</f>
        <v>0</v>
      </c>
      <c r="K2181" s="637">
        <f t="shared" si="69"/>
        <v>0.23262437436600567</v>
      </c>
      <c r="L2181" s="636">
        <f>L2180/(D2180+E2180+G2180+H2180+I2180+J2180+L2180+M2180+N2180)</f>
        <v>4.3699628799785978E-2</v>
      </c>
      <c r="M2181" s="636">
        <f>M2180/(D2180+E2180+G2180+H2180+I2180+J2180+L2180+M2180+N2180)</f>
        <v>0</v>
      </c>
      <c r="N2181" s="636">
        <f>N2180/(D2180+E2180+G2180+H2180+I2180+J2180+L2180+M2180+N2180)</f>
        <v>0.40585950127634907</v>
      </c>
      <c r="O2181" s="1503"/>
    </row>
    <row r="2182" spans="1:15" ht="12" customHeight="1">
      <c r="A2182" s="1527"/>
      <c r="B2182" s="1502" t="s">
        <v>14939</v>
      </c>
      <c r="C2182" s="638" t="s">
        <v>6218</v>
      </c>
      <c r="D2182" s="639">
        <v>40876</v>
      </c>
      <c r="E2182" s="639">
        <v>38622</v>
      </c>
      <c r="F2182" s="640">
        <f t="shared" si="68"/>
        <v>79498</v>
      </c>
      <c r="G2182" s="639">
        <v>60878</v>
      </c>
      <c r="H2182" s="639">
        <v>10423</v>
      </c>
      <c r="I2182" s="639"/>
      <c r="J2182" s="639"/>
      <c r="K2182" s="640">
        <f t="shared" si="69"/>
        <v>71301</v>
      </c>
      <c r="L2182" s="639">
        <v>12681</v>
      </c>
      <c r="M2182" s="639">
        <v>7745</v>
      </c>
      <c r="N2182" s="639">
        <v>181620</v>
      </c>
      <c r="O2182" s="1503">
        <f>1-N2183</f>
        <v>0.48526973600306078</v>
      </c>
    </row>
    <row r="2183" spans="1:15" ht="12" customHeight="1">
      <c r="A2183" s="1527"/>
      <c r="B2183" s="1502"/>
      <c r="C2183" s="635" t="s">
        <v>6219</v>
      </c>
      <c r="D2183" s="636">
        <f>D2182/(D2182+E2182+G2182+H2182+I2182+J2182+L2182+M2182+N2182)</f>
        <v>0.11584690161402315</v>
      </c>
      <c r="E2183" s="636">
        <f>E2182/(D2182+E2182+G2182+H2182+I2182+J2182+L2182+M2182+N2182)</f>
        <v>0.10945882753050207</v>
      </c>
      <c r="F2183" s="637">
        <f t="shared" si="68"/>
        <v>0.22530572914452524</v>
      </c>
      <c r="G2183" s="636">
        <f>G2182/(D2182+E2182+G2182+H2182+I2182+J2182+L2182+M2182+N2182)</f>
        <v>0.17253468236761185</v>
      </c>
      <c r="H2183" s="636">
        <f>H2182/(D2182+E2182+G2182+H2182+I2182+J2182+L2182+M2182+N2182)</f>
        <v>2.9539882951437599E-2</v>
      </c>
      <c r="I2183" s="636">
        <f>I2182/(D2182+E2182+G2182+H2182+I2182+J2182+L2182+M2182+N2182)</f>
        <v>0</v>
      </c>
      <c r="J2183" s="636">
        <f>J2182/(D2182+E2182+G2182+H2182+I2182+J2182+L2182+M2182+N2182)</f>
        <v>0</v>
      </c>
      <c r="K2183" s="637">
        <f t="shared" si="69"/>
        <v>0.20207456531904944</v>
      </c>
      <c r="L2183" s="636">
        <f>L2182/(D2182+E2182+G2182+H2182+I2182+J2182+L2182+M2182+N2182)</f>
        <v>3.5939293457467159E-2</v>
      </c>
      <c r="M2183" s="636">
        <f>M2182/(D2182+E2182+G2182+H2182+I2182+J2182+L2182+M2182+N2182)</f>
        <v>2.1950148082019016E-2</v>
      </c>
      <c r="N2183" s="636">
        <f>N2182/(D2182+E2182+G2182+H2182+I2182+J2182+L2182+M2182+N2182)</f>
        <v>0.51473026399693922</v>
      </c>
      <c r="O2183" s="1503"/>
    </row>
    <row r="2184" spans="1:15" ht="12" customHeight="1">
      <c r="A2184" s="1527"/>
      <c r="B2184" s="1502" t="s">
        <v>14940</v>
      </c>
      <c r="C2184" s="638" t="s">
        <v>6218</v>
      </c>
      <c r="D2184" s="639">
        <v>48947</v>
      </c>
      <c r="E2184" s="639">
        <v>35769</v>
      </c>
      <c r="F2184" s="640">
        <f t="shared" si="68"/>
        <v>84716</v>
      </c>
      <c r="G2184" s="639">
        <v>65282</v>
      </c>
      <c r="H2184" s="639">
        <v>9956</v>
      </c>
      <c r="I2184" s="639"/>
      <c r="J2184" s="639"/>
      <c r="K2184" s="640">
        <f t="shared" si="69"/>
        <v>75238</v>
      </c>
      <c r="L2184" s="639">
        <v>13783</v>
      </c>
      <c r="M2184" s="639"/>
      <c r="N2184" s="639">
        <v>176827</v>
      </c>
      <c r="O2184" s="1503">
        <f>1-N2185</f>
        <v>0.49559281614769346</v>
      </c>
    </row>
    <row r="2185" spans="1:15" ht="12" customHeight="1" thickBot="1">
      <c r="A2185" s="1528"/>
      <c r="B2185" s="1514"/>
      <c r="C2185" s="641" t="s">
        <v>6219</v>
      </c>
      <c r="D2185" s="642">
        <f>D2184/(D2184+E2184+G2184+H2184+I2184+J2184+L2184+M2184+N2184)</f>
        <v>0.13962357800572792</v>
      </c>
      <c r="E2185" s="642">
        <f>E2184/(D2184+E2184+G2184+H2184+I2184+J2184+L2184+M2184+N2184)</f>
        <v>0.10203272440980819</v>
      </c>
      <c r="F2185" s="643">
        <f t="shared" si="68"/>
        <v>0.2416563024155361</v>
      </c>
      <c r="G2185" s="642">
        <f>G2184/(D2184+E2184+G2184+H2184+I2184+J2184+L2184+M2184+N2184)</f>
        <v>0.18621991990050318</v>
      </c>
      <c r="H2185" s="642">
        <f>H2184/(D2184+E2184+G2184+H2184+I2184+J2184+L2184+M2184+N2184)</f>
        <v>2.8399949795187184E-2</v>
      </c>
      <c r="I2185" s="642">
        <f>I2184/(D2184+E2184+G2184+H2184+I2184+J2184+L2184+M2184+N2184)</f>
        <v>0</v>
      </c>
      <c r="J2185" s="642">
        <f>J2184/(D2184+E2184+G2184+H2184+I2184+J2184+L2184+M2184+N2184)</f>
        <v>0</v>
      </c>
      <c r="K2185" s="643">
        <f t="shared" si="69"/>
        <v>0.21461986969569036</v>
      </c>
      <c r="L2185" s="642">
        <f>L2184/(D2184+E2184+G2184+H2184+I2184+J2184+L2184+M2184+N2184)</f>
        <v>3.9316644036466952E-2</v>
      </c>
      <c r="M2185" s="642">
        <f>M2184/(D2184+E2184+G2184+H2184+I2184+J2184+L2184+M2184+N2184)</f>
        <v>0</v>
      </c>
      <c r="N2185" s="642">
        <f>N2184/(D2184+E2184+G2184+H2184+I2184+J2184+L2184+M2184+N2184)</f>
        <v>0.50440718385230654</v>
      </c>
      <c r="O2185" s="1515"/>
    </row>
    <row r="2186" spans="1:15" ht="12" customHeight="1">
      <c r="A2186" s="1516" t="s">
        <v>15211</v>
      </c>
      <c r="B2186" s="1509" t="s">
        <v>14937</v>
      </c>
      <c r="C2186" s="647" t="s">
        <v>6218</v>
      </c>
      <c r="D2186" s="648">
        <v>55691</v>
      </c>
      <c r="E2186" s="648">
        <v>35479</v>
      </c>
      <c r="F2186" s="649">
        <f t="shared" si="68"/>
        <v>91170</v>
      </c>
      <c r="G2186" s="648">
        <v>86161</v>
      </c>
      <c r="H2186" s="648">
        <v>9638</v>
      </c>
      <c r="I2186" s="648">
        <v>3482</v>
      </c>
      <c r="J2186" s="648">
        <v>7831</v>
      </c>
      <c r="K2186" s="649">
        <f t="shared" si="69"/>
        <v>107112</v>
      </c>
      <c r="L2186" s="648">
        <v>14204</v>
      </c>
      <c r="M2186" s="648">
        <v>5593</v>
      </c>
      <c r="N2186" s="648">
        <v>212527</v>
      </c>
      <c r="O2186" s="1510">
        <f>1-N2187</f>
        <v>0.50644672856393091</v>
      </c>
    </row>
    <row r="2187" spans="1:15" ht="12" customHeight="1">
      <c r="A2187" s="1517"/>
      <c r="B2187" s="1502"/>
      <c r="C2187" s="635" t="s">
        <v>6219</v>
      </c>
      <c r="D2187" s="636">
        <f>D2186/(D2186+E2186+G2186+H2186+I2186+J2186+L2186+M2186+N2186)</f>
        <v>0.12933168604246109</v>
      </c>
      <c r="E2187" s="636">
        <f>E2186/(D2186+E2186+G2186+H2186+I2186+J2186+L2186+M2186+N2186)</f>
        <v>8.2393185417760084E-2</v>
      </c>
      <c r="F2187" s="637">
        <f t="shared" si="68"/>
        <v>0.21172487146022118</v>
      </c>
      <c r="G2187" s="636">
        <f>G2186/(D2186+E2186+G2186+H2186+I2186+J2186+L2186+M2186+N2186)</f>
        <v>0.20009242788070766</v>
      </c>
      <c r="H2187" s="636">
        <f>H2186/(D2186+E2186+G2186+H2186+I2186+J2186+L2186+M2186+N2186)</f>
        <v>2.2382409906039395E-2</v>
      </c>
      <c r="I2187" s="636">
        <f>I2186/(D2186+E2186+G2186+H2186+I2186+J2186+L2186+M2186+N2186)</f>
        <v>8.0862784076394661E-3</v>
      </c>
      <c r="J2187" s="636">
        <f>J2186/(D2186+E2186+G2186+H2186+I2186+J2186+L2186+M2186+N2186)</f>
        <v>1.8185998337227071E-2</v>
      </c>
      <c r="K2187" s="637">
        <f t="shared" si="69"/>
        <v>0.24874711453161358</v>
      </c>
      <c r="L2187" s="636">
        <f>L2186/(D2186+E2186+G2186+H2186+I2186+J2186+L2186+M2186+N2186)</f>
        <v>3.2986070793254156E-2</v>
      </c>
      <c r="M2187" s="636">
        <f>M2186/(D2186+E2186+G2186+H2186+I2186+J2186+L2186+M2186+N2186)</f>
        <v>1.2988671778841911E-2</v>
      </c>
      <c r="N2187" s="636">
        <f>N2186/(D2186+E2186+G2186+H2186+I2186+J2186+L2186+M2186+N2186)</f>
        <v>0.49355327143606914</v>
      </c>
      <c r="O2187" s="1503"/>
    </row>
    <row r="2188" spans="1:15" ht="12" customHeight="1">
      <c r="A2188" s="1517"/>
      <c r="B2188" s="1502" t="s">
        <v>14938</v>
      </c>
      <c r="C2188" s="638" t="s">
        <v>6218</v>
      </c>
      <c r="D2188" s="639">
        <v>97738</v>
      </c>
      <c r="E2188" s="639">
        <v>43042</v>
      </c>
      <c r="F2188" s="640">
        <f t="shared" si="68"/>
        <v>140780</v>
      </c>
      <c r="G2188" s="639">
        <v>80498</v>
      </c>
      <c r="H2188" s="639">
        <v>15169</v>
      </c>
      <c r="I2188" s="639">
        <v>8685</v>
      </c>
      <c r="J2188" s="639"/>
      <c r="K2188" s="640">
        <f t="shared" si="69"/>
        <v>104352</v>
      </c>
      <c r="L2188" s="639">
        <v>15931</v>
      </c>
      <c r="M2188" s="639"/>
      <c r="N2188" s="639">
        <v>162731</v>
      </c>
      <c r="O2188" s="1503">
        <f>1-N2189</f>
        <v>0.61601391241971337</v>
      </c>
    </row>
    <row r="2189" spans="1:15" ht="12" customHeight="1">
      <c r="A2189" s="1517"/>
      <c r="B2189" s="1502"/>
      <c r="C2189" s="635" t="s">
        <v>6219</v>
      </c>
      <c r="D2189" s="636">
        <f>D2188/(D2188+E2188+G2188+H2188+I2188+J2188+L2188+M2188+N2188)</f>
        <v>0.23062620046532042</v>
      </c>
      <c r="E2189" s="636">
        <f>E2188/(D2188+E2188+G2188+H2188+I2188+J2188+L2188+M2188+N2188)</f>
        <v>0.10156349547185661</v>
      </c>
      <c r="F2189" s="637">
        <f t="shared" si="68"/>
        <v>0.33218969593717707</v>
      </c>
      <c r="G2189" s="636">
        <f>G2188/(D2188+E2188+G2188+H2188+I2188+J2188+L2188+M2188+N2188)</f>
        <v>0.18994605869832984</v>
      </c>
      <c r="H2189" s="636">
        <f>H2188/(D2188+E2188+G2188+H2188+I2188+J2188+L2188+M2188+N2188)</f>
        <v>3.579333355356612E-2</v>
      </c>
      <c r="I2189" s="636">
        <f>I2188/(D2188+E2188+G2188+H2188+I2188+J2188+L2188+M2188+N2188)</f>
        <v>2.0493447288069202E-2</v>
      </c>
      <c r="J2189" s="636">
        <f>J2188/(D2188+E2188+G2188+H2188+I2188+J2188+L2188+M2188+N2188)</f>
        <v>0</v>
      </c>
      <c r="K2189" s="637">
        <f t="shared" si="69"/>
        <v>0.24623283953996516</v>
      </c>
      <c r="L2189" s="636">
        <f>L2188/(D2188+E2188+G2188+H2188+I2188+J2188+L2188+M2188+N2188)</f>
        <v>3.7591376942571156E-2</v>
      </c>
      <c r="M2189" s="636">
        <f>M2188/(D2188+E2188+G2188+H2188+I2188+J2188+L2188+M2188+N2188)</f>
        <v>0</v>
      </c>
      <c r="N2189" s="636">
        <f>N2188/(D2188+E2188+G2188+H2188+I2188+J2188+L2188+M2188+N2188)</f>
        <v>0.38398608758028663</v>
      </c>
      <c r="O2189" s="1503"/>
    </row>
    <row r="2190" spans="1:15" ht="12" customHeight="1">
      <c r="A2190" s="1517"/>
      <c r="B2190" s="1502" t="s">
        <v>14939</v>
      </c>
      <c r="C2190" s="638" t="s">
        <v>6218</v>
      </c>
      <c r="D2190" s="639">
        <v>55690</v>
      </c>
      <c r="E2190" s="639">
        <v>39931</v>
      </c>
      <c r="F2190" s="640">
        <f t="shared" si="68"/>
        <v>95621</v>
      </c>
      <c r="G2190" s="639">
        <v>76798</v>
      </c>
      <c r="H2190" s="639">
        <v>11948</v>
      </c>
      <c r="I2190" s="639"/>
      <c r="J2190" s="639"/>
      <c r="K2190" s="640">
        <f t="shared" si="69"/>
        <v>88746</v>
      </c>
      <c r="L2190" s="639">
        <v>13933</v>
      </c>
      <c r="M2190" s="639">
        <v>10253</v>
      </c>
      <c r="N2190" s="639">
        <v>208538</v>
      </c>
      <c r="O2190" s="1503">
        <f>1-N2191</f>
        <v>0.50001798168744949</v>
      </c>
    </row>
    <row r="2191" spans="1:15" ht="12" customHeight="1">
      <c r="A2191" s="1517"/>
      <c r="B2191" s="1502"/>
      <c r="C2191" s="635" t="s">
        <v>6219</v>
      </c>
      <c r="D2191" s="636">
        <f>D2190/(D2190+E2190+G2190+H2190+I2190+J2190+L2190+M2190+N2190)</f>
        <v>0.13352002320836459</v>
      </c>
      <c r="E2191" s="636">
        <f>E2190/(D2190+E2190+G2190+H2190+I2190+J2190+L2190+M2190+N2190)</f>
        <v>9.5736901539472202E-2</v>
      </c>
      <c r="F2191" s="637">
        <f t="shared" si="68"/>
        <v>0.22925692474783679</v>
      </c>
      <c r="G2191" s="636">
        <f>G2190/(D2190+E2190+G2190+H2190+I2190+J2190+L2190+M2190+N2190)</f>
        <v>0.18412768436624141</v>
      </c>
      <c r="H2191" s="636">
        <f>H2190/(D2190+E2190+G2190+H2190+I2190+J2190+L2190+M2190+N2190)</f>
        <v>2.8646026886219075E-2</v>
      </c>
      <c r="I2191" s="636">
        <f>I2190/(D2190+E2190+G2190+H2190+I2190+J2190+L2190+M2190+N2190)</f>
        <v>0</v>
      </c>
      <c r="J2191" s="636">
        <f>J2190/(D2190+E2190+G2190+H2190+I2190+J2190+L2190+M2190+N2190)</f>
        <v>0</v>
      </c>
      <c r="K2191" s="637">
        <f t="shared" si="69"/>
        <v>0.21277371125246047</v>
      </c>
      <c r="L2191" s="636">
        <f>L2190/(D2190+E2190+G2190+H2190+I2190+J2190+L2190+M2190+N2190)</f>
        <v>3.3405180164520452E-2</v>
      </c>
      <c r="M2191" s="636">
        <f>M2190/(D2190+E2190+G2190+H2190+I2190+J2190+L2190+M2190+N2190)</f>
        <v>2.4582165522631753E-2</v>
      </c>
      <c r="N2191" s="636">
        <f>N2190/(D2190+E2190+G2190+H2190+I2190+J2190+L2190+M2190+N2190)</f>
        <v>0.49998201831255051</v>
      </c>
      <c r="O2191" s="1503"/>
    </row>
    <row r="2192" spans="1:15" ht="12" customHeight="1">
      <c r="A2192" s="1517"/>
      <c r="B2192" s="1502" t="s">
        <v>14940</v>
      </c>
      <c r="C2192" s="638" t="s">
        <v>6218</v>
      </c>
      <c r="D2192" s="639">
        <v>66537</v>
      </c>
      <c r="E2192" s="639">
        <v>37910</v>
      </c>
      <c r="F2192" s="640">
        <f t="shared" si="68"/>
        <v>104447</v>
      </c>
      <c r="G2192" s="639">
        <v>86359</v>
      </c>
      <c r="H2192" s="639">
        <v>10966</v>
      </c>
      <c r="I2192" s="639"/>
      <c r="J2192" s="639"/>
      <c r="K2192" s="640">
        <f t="shared" si="69"/>
        <v>97325</v>
      </c>
      <c r="L2192" s="639">
        <v>14737</v>
      </c>
      <c r="M2192" s="639"/>
      <c r="N2192" s="639">
        <v>198255</v>
      </c>
      <c r="O2192" s="1503">
        <f>1-N2193</f>
        <v>0.5220052849331186</v>
      </c>
    </row>
    <row r="2193" spans="1:15" ht="12" customHeight="1" thickBot="1">
      <c r="A2193" s="1519"/>
      <c r="B2193" s="1514"/>
      <c r="C2193" s="641" t="s">
        <v>6219</v>
      </c>
      <c r="D2193" s="642">
        <f>D2192/(D2192+E2192+G2192+H2192+I2192+J2192+L2192+M2192+N2192)</f>
        <v>0.16042134804370678</v>
      </c>
      <c r="E2193" s="642">
        <f>E2192/(D2192+E2192+G2192+H2192+I2192+J2192+L2192+M2192+N2192)</f>
        <v>9.1401375239895458E-2</v>
      </c>
      <c r="F2193" s="643">
        <f t="shared" si="68"/>
        <v>0.25182272328360222</v>
      </c>
      <c r="G2193" s="642">
        <f>G2192/(D2192+E2192+G2192+H2192+I2192+J2192+L2192+M2192+N2192)</f>
        <v>0.20821238101667455</v>
      </c>
      <c r="H2193" s="642">
        <f>H2192/(D2192+E2192+G2192+H2192+I2192+J2192+L2192+M2192+N2192)</f>
        <v>2.6439131650770078E-2</v>
      </c>
      <c r="I2193" s="642">
        <f>I2192/(D2192+E2192+G2192+H2192+I2192+J2192+L2192+M2192+N2192)</f>
        <v>0</v>
      </c>
      <c r="J2193" s="642">
        <f>J2192/(D2192+E2192+G2192+H2192+I2192+J2192+L2192+M2192+N2192)</f>
        <v>0</v>
      </c>
      <c r="K2193" s="643">
        <f t="shared" si="69"/>
        <v>0.23465151266744463</v>
      </c>
      <c r="L2193" s="642">
        <f>L2192/(D2192+E2192+G2192+H2192+I2192+J2192+L2192+M2192+N2192)</f>
        <v>3.5531048982071732E-2</v>
      </c>
      <c r="M2193" s="642">
        <f>M2192/(D2192+E2192+G2192+H2192+I2192+J2192+L2192+M2192+N2192)</f>
        <v>0</v>
      </c>
      <c r="N2193" s="642">
        <f>N2192/(D2192+E2192+G2192+H2192+I2192+J2192+L2192+M2192+N2192)</f>
        <v>0.4779947150668814</v>
      </c>
      <c r="O2193" s="1515"/>
    </row>
    <row r="2194" spans="1:15" ht="12" customHeight="1">
      <c r="A2194" s="1516" t="s">
        <v>15212</v>
      </c>
      <c r="B2194" s="1509" t="s">
        <v>14937</v>
      </c>
      <c r="C2194" s="647" t="s">
        <v>6218</v>
      </c>
      <c r="D2194" s="648">
        <v>52576</v>
      </c>
      <c r="E2194" s="648">
        <v>36978</v>
      </c>
      <c r="F2194" s="649">
        <f t="shared" si="68"/>
        <v>89554</v>
      </c>
      <c r="G2194" s="648">
        <v>83888</v>
      </c>
      <c r="H2194" s="648">
        <v>10287</v>
      </c>
      <c r="I2194" s="648">
        <v>3031</v>
      </c>
      <c r="J2194" s="648">
        <v>6192</v>
      </c>
      <c r="K2194" s="649">
        <f t="shared" si="69"/>
        <v>103398</v>
      </c>
      <c r="L2194" s="648">
        <v>13122</v>
      </c>
      <c r="M2194" s="648">
        <v>5275</v>
      </c>
      <c r="N2194" s="648">
        <v>178838</v>
      </c>
      <c r="O2194" s="1510">
        <f>1-N2195</f>
        <v>0.54166079341443973</v>
      </c>
    </row>
    <row r="2195" spans="1:15" ht="12" customHeight="1">
      <c r="A2195" s="1517"/>
      <c r="B2195" s="1502"/>
      <c r="C2195" s="635" t="s">
        <v>6219</v>
      </c>
      <c r="D2195" s="636">
        <f>D2194/(D2194+E2194+G2194+H2194+I2194+J2194+L2194+M2194+N2194)</f>
        <v>0.13474564759974064</v>
      </c>
      <c r="E2195" s="636">
        <f>E2194/(D2194+E2194+G2194+H2194+I2194+J2194+L2194+M2194+N2194)</f>
        <v>9.4769943642407359E-2</v>
      </c>
      <c r="F2195" s="637">
        <f t="shared" si="68"/>
        <v>0.22951559124214799</v>
      </c>
      <c r="G2195" s="636">
        <f>G2194/(D2194+E2194+G2194+H2194+I2194+J2194+L2194+M2194+N2194)</f>
        <v>0.21499434886349367</v>
      </c>
      <c r="H2195" s="636">
        <f>H2194/(D2194+E2194+G2194+H2194+I2194+J2194+L2194+M2194+N2194)</f>
        <v>2.6364281741831481E-2</v>
      </c>
      <c r="I2195" s="636">
        <f>I2194/(D2194+E2194+G2194+H2194+I2194+J2194+L2194+M2194+N2194)</f>
        <v>7.7680701817333742E-3</v>
      </c>
      <c r="J2195" s="636">
        <f>J2194/(D2194+E2194+G2194+H2194+I2194+J2194+L2194+M2194+N2194)</f>
        <v>1.5869313944339509E-2</v>
      </c>
      <c r="K2195" s="637">
        <f t="shared" si="69"/>
        <v>0.264996014731398</v>
      </c>
      <c r="L2195" s="636">
        <f>L2194/(D2194+E2194+G2194+H2194+I2194+J2194+L2194+M2194+N2194)</f>
        <v>3.3630028678556689E-2</v>
      </c>
      <c r="M2195" s="636">
        <f>M2194/(D2194+E2194+G2194+H2194+I2194+J2194+L2194+M2194+N2194)</f>
        <v>1.3519158762337034E-2</v>
      </c>
      <c r="N2195" s="636">
        <f>N2194/(D2194+E2194+G2194+H2194+I2194+J2194+L2194+M2194+N2194)</f>
        <v>0.45833920658556027</v>
      </c>
      <c r="O2195" s="1503"/>
    </row>
    <row r="2196" spans="1:15" ht="12" customHeight="1">
      <c r="A2196" s="1517"/>
      <c r="B2196" s="1502" t="s">
        <v>14938</v>
      </c>
      <c r="C2196" s="638" t="s">
        <v>6218</v>
      </c>
      <c r="D2196" s="639">
        <v>91590</v>
      </c>
      <c r="E2196" s="639">
        <v>48052</v>
      </c>
      <c r="F2196" s="640">
        <f t="shared" si="68"/>
        <v>139642</v>
      </c>
      <c r="G2196" s="639">
        <v>78709</v>
      </c>
      <c r="H2196" s="639">
        <v>14681</v>
      </c>
      <c r="I2196" s="639">
        <v>8720</v>
      </c>
      <c r="J2196" s="639"/>
      <c r="K2196" s="640">
        <f t="shared" si="69"/>
        <v>102110</v>
      </c>
      <c r="L2196" s="639">
        <v>15161</v>
      </c>
      <c r="M2196" s="639"/>
      <c r="N2196" s="639">
        <v>126362</v>
      </c>
      <c r="O2196" s="1503">
        <f>1-N2197</f>
        <v>0.67030982975670206</v>
      </c>
    </row>
    <row r="2197" spans="1:15" ht="12" customHeight="1">
      <c r="A2197" s="1517"/>
      <c r="B2197" s="1502"/>
      <c r="C2197" s="635" t="s">
        <v>6219</v>
      </c>
      <c r="D2197" s="636">
        <f>D2196/(D2196+E2196+G2196+H2196+I2196+J2196+L2196+M2196+N2196)</f>
        <v>0.23896679929554498</v>
      </c>
      <c r="E2197" s="636">
        <f>E2196/(D2196+E2196+G2196+H2196+I2196+J2196+L2196+M2196+N2196)</f>
        <v>0.12537212184462854</v>
      </c>
      <c r="F2197" s="637">
        <f t="shared" si="68"/>
        <v>0.36433892114017352</v>
      </c>
      <c r="G2197" s="636">
        <f>G2196/(D2196+E2196+G2196+H2196+I2196+J2196+L2196+M2196+N2196)</f>
        <v>0.20535907638118844</v>
      </c>
      <c r="H2197" s="636">
        <f>H2196/(D2196+E2196+G2196+H2196+I2196+J2196+L2196+M2196+N2196)</f>
        <v>3.830408975278847E-2</v>
      </c>
      <c r="I2197" s="636">
        <f>I2196/(D2196+E2196+G2196+H2196+I2196+J2196+L2196+M2196+N2196)</f>
        <v>2.2751288239514708E-2</v>
      </c>
      <c r="J2197" s="636">
        <f>J2196/(D2196+E2196+G2196+H2196+I2196+J2196+L2196+M2196+N2196)</f>
        <v>0</v>
      </c>
      <c r="K2197" s="637">
        <f t="shared" si="69"/>
        <v>0.26641445437349165</v>
      </c>
      <c r="L2197" s="636">
        <f>L2196/(D2196+E2196+G2196+H2196+I2196+J2196+L2196+M2196+N2196)</f>
        <v>3.9556454243036984E-2</v>
      </c>
      <c r="M2197" s="636">
        <f>M2196/(D2196+E2196+G2196+H2196+I2196+J2196+L2196+M2196+N2196)</f>
        <v>0</v>
      </c>
      <c r="N2197" s="636">
        <f>N2196/(D2196+E2196+G2196+H2196+I2196+J2196+L2196+M2196+N2196)</f>
        <v>0.32969017024329789</v>
      </c>
      <c r="O2197" s="1503"/>
    </row>
    <row r="2198" spans="1:15" ht="12" customHeight="1">
      <c r="A2198" s="1517"/>
      <c r="B2198" s="1502" t="s">
        <v>14939</v>
      </c>
      <c r="C2198" s="638" t="s">
        <v>6218</v>
      </c>
      <c r="D2198" s="639">
        <v>53204</v>
      </c>
      <c r="E2198" s="639">
        <v>41589</v>
      </c>
      <c r="F2198" s="640">
        <f t="shared" si="68"/>
        <v>94793</v>
      </c>
      <c r="G2198" s="639">
        <v>74869</v>
      </c>
      <c r="H2198" s="639">
        <v>12850</v>
      </c>
      <c r="I2198" s="639"/>
      <c r="J2198" s="639"/>
      <c r="K2198" s="640">
        <f t="shared" si="69"/>
        <v>87719</v>
      </c>
      <c r="L2198" s="639">
        <v>12430</v>
      </c>
      <c r="M2198" s="639">
        <v>9310</v>
      </c>
      <c r="N2198" s="639">
        <v>173745</v>
      </c>
      <c r="O2198" s="1503">
        <f>1-N2199</f>
        <v>0.54035349486900697</v>
      </c>
    </row>
    <row r="2199" spans="1:15" ht="12" customHeight="1">
      <c r="A2199" s="1517"/>
      <c r="B2199" s="1502"/>
      <c r="C2199" s="635" t="s">
        <v>6219</v>
      </c>
      <c r="D2199" s="636">
        <f>D2198/(D2198+E2198+G2198+H2198+I2198+J2198+L2198+M2198+N2198)</f>
        <v>0.14075243983417857</v>
      </c>
      <c r="E2199" s="636">
        <f>E2198/(D2198+E2198+G2198+H2198+I2198+J2198+L2198+M2198+N2198)</f>
        <v>0.11002468273557726</v>
      </c>
      <c r="F2199" s="637">
        <f t="shared" si="68"/>
        <v>0.25077712256975582</v>
      </c>
      <c r="G2199" s="636">
        <f>G2198/(D2198+E2198+G2198+H2198+I2198+J2198+L2198+M2198+N2198)</f>
        <v>0.19806770953208624</v>
      </c>
      <c r="H2199" s="636">
        <f>H2198/(D2198+E2198+G2198+H2198+I2198+J2198+L2198+M2198+N2198)</f>
        <v>3.3994978796128013E-2</v>
      </c>
      <c r="I2199" s="636">
        <f>I2198/(D2198+E2198+G2198+H2198+I2198+J2198+L2198+M2198+N2198)</f>
        <v>0</v>
      </c>
      <c r="J2199" s="636">
        <f>J2198/(D2198+E2198+G2198+H2198+I2198+J2198+L2198+M2198+N2198)</f>
        <v>0</v>
      </c>
      <c r="K2199" s="637">
        <f t="shared" si="69"/>
        <v>0.23206268832821425</v>
      </c>
      <c r="L2199" s="636">
        <f>L2198/(D2198+E2198+G2198+H2198+I2198+J2198+L2198+M2198+N2198)</f>
        <v>3.2883858866604762E-2</v>
      </c>
      <c r="M2199" s="636">
        <f>M2198/(D2198+E2198+G2198+H2198+I2198+J2198+L2198+M2198+N2198)</f>
        <v>2.4629825104432047E-2</v>
      </c>
      <c r="N2199" s="636">
        <f>N2198/(D2198+E2198+G2198+H2198+I2198+J2198+L2198+M2198+N2198)</f>
        <v>0.45964650513099309</v>
      </c>
      <c r="O2199" s="1503"/>
    </row>
    <row r="2200" spans="1:15" ht="12" customHeight="1">
      <c r="A2200" s="1517"/>
      <c r="B2200" s="1502" t="s">
        <v>14940</v>
      </c>
      <c r="C2200" s="638" t="s">
        <v>6218</v>
      </c>
      <c r="D2200" s="639">
        <v>62444</v>
      </c>
      <c r="E2200" s="639">
        <v>41408</v>
      </c>
      <c r="F2200" s="640">
        <f t="shared" si="68"/>
        <v>103852</v>
      </c>
      <c r="G2200" s="639">
        <v>82224</v>
      </c>
      <c r="H2200" s="639">
        <v>12266</v>
      </c>
      <c r="I2200" s="639"/>
      <c r="J2200" s="639"/>
      <c r="K2200" s="640">
        <f t="shared" si="69"/>
        <v>94490</v>
      </c>
      <c r="L2200" s="639">
        <v>13759</v>
      </c>
      <c r="M2200" s="639"/>
      <c r="N2200" s="639">
        <v>163027</v>
      </c>
      <c r="O2200" s="1503">
        <f>1-N2201</f>
        <v>0.56540967349811266</v>
      </c>
    </row>
    <row r="2201" spans="1:15" ht="12" customHeight="1" thickBot="1">
      <c r="A2201" s="1519"/>
      <c r="B2201" s="1514"/>
      <c r="C2201" s="641" t="s">
        <v>6219</v>
      </c>
      <c r="D2201" s="642">
        <f>D2200/(D2200+E2200+G2200+H2200+I2200+J2200+L2200+M2200+N2200)</f>
        <v>0.16646051481094454</v>
      </c>
      <c r="E2201" s="642">
        <f>E2200/(D2200+E2200+G2200+H2200+I2200+J2200+L2200+M2200+N2200)</f>
        <v>0.11038365571218357</v>
      </c>
      <c r="F2201" s="643">
        <f t="shared" si="68"/>
        <v>0.2768441705231281</v>
      </c>
      <c r="G2201" s="642">
        <f>G2200/(D2200+E2200+G2200+H2200+I2200+J2200+L2200+M2200+N2200)</f>
        <v>0.21918918342539079</v>
      </c>
      <c r="H2201" s="642">
        <f>H2200/(D2200+E2200+G2200+H2200+I2200+J2200+L2200+M2200+N2200)</f>
        <v>3.269817235716875E-2</v>
      </c>
      <c r="I2201" s="642">
        <f>I2200/(D2200+E2200+G2200+H2200+I2200+J2200+L2200+M2200+N2200)</f>
        <v>0</v>
      </c>
      <c r="J2201" s="642">
        <f>J2200/(D2200+E2200+G2200+H2200+I2200+J2200+L2200+M2200+N2200)</f>
        <v>0</v>
      </c>
      <c r="K2201" s="643">
        <f t="shared" si="69"/>
        <v>0.25188735578255955</v>
      </c>
      <c r="L2201" s="642">
        <f>L2200/(D2200+E2200+G2200+H2200+I2200+J2200+L2200+M2200+N2200)</f>
        <v>3.6678147192424987E-2</v>
      </c>
      <c r="M2201" s="642">
        <f>M2200/(D2200+E2200+G2200+H2200+I2200+J2200+L2200+M2200+N2200)</f>
        <v>0</v>
      </c>
      <c r="N2201" s="642">
        <f>N2200/(D2200+E2200+G2200+H2200+I2200+J2200+L2200+M2200+N2200)</f>
        <v>0.43459032650188734</v>
      </c>
      <c r="O2201" s="1515"/>
    </row>
    <row r="2202" spans="1:15" ht="12" customHeight="1">
      <c r="A2202" s="1516" t="s">
        <v>15213</v>
      </c>
      <c r="B2202" s="1509" t="s">
        <v>14937</v>
      </c>
      <c r="C2202" s="647" t="s">
        <v>6218</v>
      </c>
      <c r="D2202" s="648">
        <v>45384</v>
      </c>
      <c r="E2202" s="648">
        <v>31998</v>
      </c>
      <c r="F2202" s="649">
        <f t="shared" si="68"/>
        <v>77382</v>
      </c>
      <c r="G2202" s="648">
        <v>74044</v>
      </c>
      <c r="H2202" s="648">
        <v>9650</v>
      </c>
      <c r="I2202" s="648">
        <v>3099</v>
      </c>
      <c r="J2202" s="648">
        <v>4954</v>
      </c>
      <c r="K2202" s="649">
        <f t="shared" si="69"/>
        <v>91747</v>
      </c>
      <c r="L2202" s="648">
        <v>11687</v>
      </c>
      <c r="M2202" s="648">
        <v>4377</v>
      </c>
      <c r="N2202" s="648">
        <v>145603</v>
      </c>
      <c r="O2202" s="1510">
        <f>1-N2203</f>
        <v>0.55984050593114798</v>
      </c>
    </row>
    <row r="2203" spans="1:15" ht="12" customHeight="1">
      <c r="A2203" s="1517"/>
      <c r="B2203" s="1502"/>
      <c r="C2203" s="635" t="s">
        <v>6219</v>
      </c>
      <c r="D2203" s="636">
        <f>D2202/(D2202+E2202+G2202+H2202+I2202+J2202+L2202+M2202+N2202)</f>
        <v>0.13719633852888186</v>
      </c>
      <c r="E2203" s="636">
        <f>E2202/(D2202+E2202+G2202+H2202+I2202+J2202+L2202+M2202+N2202)</f>
        <v>9.6730311128308683E-2</v>
      </c>
      <c r="F2203" s="637">
        <f t="shared" si="68"/>
        <v>0.23392664965719054</v>
      </c>
      <c r="G2203" s="636">
        <f>G2202/(D2202+E2202+G2202+H2202+I2202+J2202+L2202+M2202+N2202)</f>
        <v>0.22383583840191537</v>
      </c>
      <c r="H2203" s="636">
        <f>H2202/(D2202+E2202+G2202+H2202+I2202+J2202+L2202+M2202+N2202)</f>
        <v>2.9172057703237039E-2</v>
      </c>
      <c r="I2203" s="636">
        <f>I2202/(D2202+E2202+G2202+H2202+I2202+J2202+L2202+M2202+N2202)</f>
        <v>9.3683115878063824E-3</v>
      </c>
      <c r="J2203" s="636">
        <f>J2202/(D2202+E2202+G2202+H2202+I2202+J2202+L2202+M2202+N2202)</f>
        <v>1.4975997291382E-2</v>
      </c>
      <c r="K2203" s="637">
        <f t="shared" si="69"/>
        <v>0.27735220498434077</v>
      </c>
      <c r="L2203" s="636">
        <f>L2202/(D2202+E2202+G2202+H2202+I2202+J2202+L2202+M2202+N2202)</f>
        <v>3.5329931438106872E-2</v>
      </c>
      <c r="M2203" s="636">
        <f>M2202/(D2202+E2202+G2202+H2202+I2202+J2202+L2202+M2202+N2202)</f>
        <v>1.3231719851509692E-2</v>
      </c>
      <c r="N2203" s="636">
        <f>N2202/(D2202+E2202+G2202+H2202+I2202+J2202+L2202+M2202+N2202)</f>
        <v>0.44015949406885208</v>
      </c>
      <c r="O2203" s="1503"/>
    </row>
    <row r="2204" spans="1:15" ht="12" customHeight="1">
      <c r="A2204" s="1517"/>
      <c r="B2204" s="1502" t="s">
        <v>14938</v>
      </c>
      <c r="C2204" s="638" t="s">
        <v>6218</v>
      </c>
      <c r="D2204" s="639">
        <v>74680</v>
      </c>
      <c r="E2204" s="639">
        <v>38637</v>
      </c>
      <c r="F2204" s="640">
        <f t="shared" si="68"/>
        <v>113317</v>
      </c>
      <c r="G2204" s="639">
        <v>67821</v>
      </c>
      <c r="H2204" s="639">
        <v>13999</v>
      </c>
      <c r="I2204" s="639">
        <v>7603</v>
      </c>
      <c r="J2204" s="639"/>
      <c r="K2204" s="640">
        <f t="shared" si="69"/>
        <v>89423</v>
      </c>
      <c r="L2204" s="639">
        <v>14605</v>
      </c>
      <c r="M2204" s="639"/>
      <c r="N2204" s="639">
        <v>107847</v>
      </c>
      <c r="O2204" s="1503">
        <f>1-N2205</f>
        <v>0.66835900022140771</v>
      </c>
    </row>
    <row r="2205" spans="1:15" ht="12" customHeight="1">
      <c r="A2205" s="1517"/>
      <c r="B2205" s="1502"/>
      <c r="C2205" s="635" t="s">
        <v>6219</v>
      </c>
      <c r="D2205" s="636">
        <f>D2204/(D2204+E2204+G2204+H2204+I2204+J2204+L2204+M2204+N2204)</f>
        <v>0.22964894585352652</v>
      </c>
      <c r="E2205" s="636">
        <f>E2204/(D2204+E2204+G2204+H2204+I2204+J2204+L2204+M2204+N2204)</f>
        <v>0.11881288592585304</v>
      </c>
      <c r="F2205" s="637">
        <f t="shared" si="68"/>
        <v>0.34846183177937956</v>
      </c>
      <c r="G2205" s="636">
        <f>G2204/(D2204+E2204+G2204+H2204+I2204+J2204+L2204+M2204+N2204)</f>
        <v>0.20855679106497085</v>
      </c>
      <c r="H2205" s="636">
        <f>H2204/(D2204+E2204+G2204+H2204+I2204+J2204+L2204+M2204+N2204)</f>
        <v>4.3048414475140837E-2</v>
      </c>
      <c r="I2205" s="636">
        <f>I2204/(D2204+E2204+G2204+H2204+I2204+J2204+L2204+M2204+N2204)</f>
        <v>2.3380033949174643E-2</v>
      </c>
      <c r="J2205" s="636">
        <f>J2204/(D2204+E2204+G2204+H2204+I2204+J2204+L2204+M2204+N2204)</f>
        <v>0</v>
      </c>
      <c r="K2205" s="637">
        <f t="shared" si="69"/>
        <v>0.27498523948928633</v>
      </c>
      <c r="L2205" s="636">
        <f>L2204/(D2204+E2204+G2204+H2204+I2204+J2204+L2204+M2204+N2204)</f>
        <v>4.4911928952741764E-2</v>
      </c>
      <c r="M2205" s="636">
        <f>M2204/(D2204+E2204+G2204+H2204+I2204+J2204+L2204+M2204+N2204)</f>
        <v>0</v>
      </c>
      <c r="N2205" s="636">
        <f>N2204/(D2204+E2204+G2204+H2204+I2204+J2204+L2204+M2204+N2204)</f>
        <v>0.33164099977859235</v>
      </c>
      <c r="O2205" s="1503"/>
    </row>
    <row r="2206" spans="1:15" ht="12" customHeight="1">
      <c r="A2206" s="1517"/>
      <c r="B2206" s="1502" t="s">
        <v>14939</v>
      </c>
      <c r="C2206" s="638" t="s">
        <v>6218</v>
      </c>
      <c r="D2206" s="639">
        <v>46369</v>
      </c>
      <c r="E2206" s="639">
        <v>34273</v>
      </c>
      <c r="F2206" s="640">
        <f t="shared" si="68"/>
        <v>80642</v>
      </c>
      <c r="G2206" s="639">
        <v>66418</v>
      </c>
      <c r="H2206" s="639">
        <v>11112</v>
      </c>
      <c r="I2206" s="639"/>
      <c r="J2206" s="639"/>
      <c r="K2206" s="640">
        <f t="shared" si="69"/>
        <v>77530</v>
      </c>
      <c r="L2206" s="639">
        <v>12063</v>
      </c>
      <c r="M2206" s="639">
        <v>7474</v>
      </c>
      <c r="N2206" s="639">
        <v>143448</v>
      </c>
      <c r="O2206" s="1503">
        <f>1-N2207</f>
        <v>0.55333995522439183</v>
      </c>
    </row>
    <row r="2207" spans="1:15" ht="12" customHeight="1">
      <c r="A2207" s="1517"/>
      <c r="B2207" s="1502"/>
      <c r="C2207" s="635" t="s">
        <v>6219</v>
      </c>
      <c r="D2207" s="636">
        <f>D2206/(D2206+E2206+G2206+H2206+I2206+J2206+L2206+M2206+N2206)</f>
        <v>0.14438109709581295</v>
      </c>
      <c r="E2207" s="636">
        <f>E2206/(D2206+E2206+G2206+H2206+I2206+J2206+L2206+M2206+N2206)</f>
        <v>0.10671727535130793</v>
      </c>
      <c r="F2207" s="637">
        <f t="shared" si="68"/>
        <v>0.25109837244712085</v>
      </c>
      <c r="G2207" s="636">
        <f>G2206/(D2206+E2206+G2206+H2206+I2206+J2206+L2206+M2206+N2206)</f>
        <v>0.20680850798830477</v>
      </c>
      <c r="H2207" s="636">
        <f>H2206/(D2206+E2206+G2206+H2206+I2206+J2206+L2206+M2206+N2206)</f>
        <v>3.4599899737511562E-2</v>
      </c>
      <c r="I2207" s="636">
        <f>I2206/(D2206+E2206+G2206+H2206+I2206+J2206+L2206+M2206+N2206)</f>
        <v>0</v>
      </c>
      <c r="J2207" s="636">
        <f>J2206/(D2206+E2206+G2206+H2206+I2206+J2206+L2206+M2206+N2206)</f>
        <v>0</v>
      </c>
      <c r="K2207" s="637">
        <f t="shared" si="69"/>
        <v>0.24140840772581634</v>
      </c>
      <c r="L2207" s="636">
        <f>L2206/(D2206+E2206+G2206+H2206+I2206+J2206+L2206+M2206+N2206)</f>
        <v>3.7561068262563169E-2</v>
      </c>
      <c r="M2207" s="636">
        <f>M2206/(D2206+E2206+G2206+H2206+I2206+J2206+L2206+M2206+N2206)</f>
        <v>2.3272106788891415E-2</v>
      </c>
      <c r="N2207" s="636">
        <f>N2206/(D2206+E2206+G2206+H2206+I2206+J2206+L2206+M2206+N2206)</f>
        <v>0.44666004477560817</v>
      </c>
      <c r="O2207" s="1503"/>
    </row>
    <row r="2208" spans="1:15" ht="12" customHeight="1">
      <c r="A2208" s="1517"/>
      <c r="B2208" s="1502" t="s">
        <v>14940</v>
      </c>
      <c r="C2208" s="638" t="s">
        <v>6218</v>
      </c>
      <c r="D2208" s="639">
        <v>60596</v>
      </c>
      <c r="E2208" s="639">
        <v>34278</v>
      </c>
      <c r="F2208" s="640">
        <f t="shared" si="68"/>
        <v>94874</v>
      </c>
      <c r="G2208" s="639">
        <v>67709</v>
      </c>
      <c r="H2208" s="639">
        <v>12386</v>
      </c>
      <c r="I2208" s="639"/>
      <c r="J2208" s="639"/>
      <c r="K2208" s="640">
        <f t="shared" si="69"/>
        <v>80095</v>
      </c>
      <c r="L2208" s="639">
        <v>12717</v>
      </c>
      <c r="M2208" s="639"/>
      <c r="N2208" s="639">
        <v>130696</v>
      </c>
      <c r="O2208" s="1503">
        <f>1-N2209</f>
        <v>0.58949940637347586</v>
      </c>
    </row>
    <row r="2209" spans="1:15" ht="12" customHeight="1" thickBot="1">
      <c r="A2209" s="1519"/>
      <c r="B2209" s="1514"/>
      <c r="C2209" s="641" t="s">
        <v>6219</v>
      </c>
      <c r="D2209" s="642">
        <f>D2208/(D2208+E2208+G2208+H2208+I2208+J2208+L2208+M2208+N2208)</f>
        <v>0.19032482992128952</v>
      </c>
      <c r="E2209" s="642">
        <f>E2208/(D2208+E2208+G2208+H2208+I2208+J2208+L2208+M2208+N2208)</f>
        <v>0.10766312165888775</v>
      </c>
      <c r="F2209" s="643">
        <f t="shared" si="68"/>
        <v>0.29798795158017727</v>
      </c>
      <c r="G2209" s="642">
        <f>G2208/(D2208+E2208+G2208+H2208+I2208+J2208+L2208+M2208+N2208)</f>
        <v>0.21266591704304891</v>
      </c>
      <c r="H2209" s="642">
        <f>H2208/(D2208+E2208+G2208+H2208+I2208+J2208+L2208+M2208+N2208)</f>
        <v>3.8902953056391382E-2</v>
      </c>
      <c r="I2209" s="642">
        <f>I2208/(D2208+E2208+G2208+H2208+I2208+J2208+L2208+M2208+N2208)</f>
        <v>0</v>
      </c>
      <c r="J2209" s="642">
        <f>J2208/(D2208+E2208+G2208+H2208+I2208+J2208+L2208+M2208+N2208)</f>
        <v>0</v>
      </c>
      <c r="K2209" s="643">
        <f t="shared" si="69"/>
        <v>0.25156887009944029</v>
      </c>
      <c r="L2209" s="642">
        <f>L2208/(D2208+E2208+G2208+H2208+I2208+J2208+L2208+M2208+N2208)</f>
        <v>3.9942584693858321E-2</v>
      </c>
      <c r="M2209" s="642">
        <f>M2208/(D2208+E2208+G2208+H2208+I2208+J2208+L2208+M2208+N2208)</f>
        <v>0</v>
      </c>
      <c r="N2209" s="642">
        <f>N2208/(D2208+E2208+G2208+H2208+I2208+J2208+L2208+M2208+N2208)</f>
        <v>0.41050059362652414</v>
      </c>
      <c r="O2209" s="1515"/>
    </row>
    <row r="2210" spans="1:15" ht="12" customHeight="1">
      <c r="A2210" s="1516" t="s">
        <v>15214</v>
      </c>
      <c r="B2210" s="1509" t="s">
        <v>14937</v>
      </c>
      <c r="C2210" s="647" t="s">
        <v>6218</v>
      </c>
      <c r="D2210" s="648">
        <v>61726</v>
      </c>
      <c r="E2210" s="648">
        <v>35475</v>
      </c>
      <c r="F2210" s="649">
        <f t="shared" si="68"/>
        <v>97201</v>
      </c>
      <c r="G2210" s="648">
        <v>89441</v>
      </c>
      <c r="H2210" s="648">
        <v>10167</v>
      </c>
      <c r="I2210" s="648">
        <v>3193</v>
      </c>
      <c r="J2210" s="648">
        <v>5987</v>
      </c>
      <c r="K2210" s="649">
        <f t="shared" si="69"/>
        <v>108788</v>
      </c>
      <c r="L2210" s="648">
        <v>12137</v>
      </c>
      <c r="M2210" s="648">
        <v>5338</v>
      </c>
      <c r="N2210" s="648">
        <v>177707</v>
      </c>
      <c r="O2210" s="1510">
        <f>1-N2211</f>
        <v>0.55702929673381174</v>
      </c>
    </row>
    <row r="2211" spans="1:15" ht="12" customHeight="1">
      <c r="A2211" s="1517"/>
      <c r="B2211" s="1502"/>
      <c r="C2211" s="635" t="s">
        <v>6219</v>
      </c>
      <c r="D2211" s="636">
        <f>D2210/(D2210+E2210+G2210+H2210+I2210+J2210+L2210+M2210+N2210)</f>
        <v>0.15386456149621983</v>
      </c>
      <c r="E2211" s="636">
        <f>E2210/(D2210+E2210+G2210+H2210+I2210+J2210+L2210+M2210+N2210)</f>
        <v>8.8428625199727801E-2</v>
      </c>
      <c r="F2211" s="637">
        <f t="shared" si="68"/>
        <v>0.24229318669594763</v>
      </c>
      <c r="G2211" s="636">
        <f>G2210/(D2210+E2210+G2210+H2210+I2210+J2210+L2210+M2210+N2210)</f>
        <v>0.22294981441829045</v>
      </c>
      <c r="H2211" s="636">
        <f>H2210/(D2210+E2210+G2210+H2210+I2210+J2210+L2210+M2210+N2210)</f>
        <v>2.5343307467389217E-2</v>
      </c>
      <c r="I2211" s="636">
        <f>I2210/(D2210+E2210+G2210+H2210+I2210+J2210+L2210+M2210+N2210)</f>
        <v>7.9591994436287762E-3</v>
      </c>
      <c r="J2211" s="636">
        <f>J2210/(D2210+E2210+G2210+H2210+I2210+J2210+L2210+M2210+N2210)</f>
        <v>1.4923810544630593E-2</v>
      </c>
      <c r="K2211" s="637">
        <f t="shared" si="69"/>
        <v>0.27117613187393907</v>
      </c>
      <c r="L2211" s="636">
        <f>L2210/(D2210+E2210+G2210+H2210+I2210+J2210+L2210+M2210+N2210)</f>
        <v>3.0253931615196513E-2</v>
      </c>
      <c r="M2211" s="636">
        <f>M2210/(D2210+E2210+G2210+H2210+I2210+J2210+L2210+M2210+N2210)</f>
        <v>1.3306046548728597E-2</v>
      </c>
      <c r="N2211" s="636">
        <f>N2210/(D2210+E2210+G2210+H2210+I2210+J2210+L2210+M2210+N2210)</f>
        <v>0.44297070326618826</v>
      </c>
      <c r="O2211" s="1503"/>
    </row>
    <row r="2212" spans="1:15" ht="12" customHeight="1">
      <c r="A2212" s="1517"/>
      <c r="B2212" s="1502" t="s">
        <v>14938</v>
      </c>
      <c r="C2212" s="638" t="s">
        <v>6218</v>
      </c>
      <c r="D2212" s="639">
        <v>98550</v>
      </c>
      <c r="E2212" s="639">
        <v>42015</v>
      </c>
      <c r="F2212" s="640">
        <f t="shared" si="68"/>
        <v>140565</v>
      </c>
      <c r="G2212" s="639">
        <v>81705</v>
      </c>
      <c r="H2212" s="639">
        <v>15322</v>
      </c>
      <c r="I2212" s="639">
        <v>9623</v>
      </c>
      <c r="J2212" s="639"/>
      <c r="K2212" s="640">
        <f t="shared" si="69"/>
        <v>106650</v>
      </c>
      <c r="L2212" s="639">
        <v>14508</v>
      </c>
      <c r="M2212" s="639"/>
      <c r="N2212" s="639">
        <v>135799</v>
      </c>
      <c r="O2212" s="1503">
        <f>1-N2213</f>
        <v>0.65838620252464009</v>
      </c>
    </row>
    <row r="2213" spans="1:15" ht="12" customHeight="1">
      <c r="A2213" s="1517"/>
      <c r="B2213" s="1502"/>
      <c r="C2213" s="635" t="s">
        <v>6219</v>
      </c>
      <c r="D2213" s="636">
        <f>D2212/(D2212+E2212+G2212+H2212+I2212+J2212+L2212+M2212+N2212)</f>
        <v>0.24791080745216618</v>
      </c>
      <c r="E2213" s="636">
        <f>E2212/(D2212+E2212+G2212+H2212+I2212+J2212+L2212+M2212+N2212)</f>
        <v>0.10569226357283371</v>
      </c>
      <c r="F2213" s="637">
        <f t="shared" si="68"/>
        <v>0.35360307102499988</v>
      </c>
      <c r="G2213" s="636">
        <f>G2212/(D2212+E2212+G2212+H2212+I2212+J2212+L2212+M2212+N2212)</f>
        <v>0.20553579424534996</v>
      </c>
      <c r="H2213" s="636">
        <f>H2212/(D2212+E2212+G2212+H2212+I2212+J2212+L2212+M2212+N2212)</f>
        <v>3.8543778709102895E-2</v>
      </c>
      <c r="I2213" s="636">
        <f>I2212/(D2212+E2212+G2212+H2212+I2212+J2212+L2212+M2212+N2212)</f>
        <v>2.4207465247206444E-2</v>
      </c>
      <c r="J2213" s="636">
        <f>J2212/(D2212+E2212+G2212+H2212+I2212+J2212+L2212+M2212+N2212)</f>
        <v>0</v>
      </c>
      <c r="K2213" s="637">
        <f t="shared" si="69"/>
        <v>0.26828703820165928</v>
      </c>
      <c r="L2213" s="636">
        <f>L2212/(D2212+E2212+G2212+H2212+I2212+J2212+L2212+M2212+N2212)</f>
        <v>3.6496093297980994E-2</v>
      </c>
      <c r="M2213" s="636">
        <f>M2212/(D2212+E2212+G2212+H2212+I2212+J2212+L2212+M2212+N2212)</f>
        <v>0</v>
      </c>
      <c r="N2213" s="636">
        <f>N2212/(D2212+E2212+G2212+H2212+I2212+J2212+L2212+M2212+N2212)</f>
        <v>0.34161379747535986</v>
      </c>
      <c r="O2213" s="1503"/>
    </row>
    <row r="2214" spans="1:15" ht="12" customHeight="1">
      <c r="A2214" s="1517"/>
      <c r="B2214" s="1502" t="s">
        <v>14939</v>
      </c>
      <c r="C2214" s="638" t="s">
        <v>6218</v>
      </c>
      <c r="D2214" s="639">
        <v>62149</v>
      </c>
      <c r="E2214" s="639">
        <v>39726</v>
      </c>
      <c r="F2214" s="640">
        <f t="shared" si="68"/>
        <v>101875</v>
      </c>
      <c r="G2214" s="639">
        <v>78916</v>
      </c>
      <c r="H2214" s="639">
        <v>13491</v>
      </c>
      <c r="I2214" s="639"/>
      <c r="J2214" s="639"/>
      <c r="K2214" s="640">
        <f t="shared" si="69"/>
        <v>92407</v>
      </c>
      <c r="L2214" s="639">
        <v>11931</v>
      </c>
      <c r="M2214" s="639">
        <v>9418</v>
      </c>
      <c r="N2214" s="639">
        <v>177527</v>
      </c>
      <c r="O2214" s="1503">
        <f>1-N2215</f>
        <v>0.54845888930150222</v>
      </c>
    </row>
    <row r="2215" spans="1:15" ht="12" customHeight="1">
      <c r="A2215" s="1517"/>
      <c r="B2215" s="1502"/>
      <c r="C2215" s="635" t="s">
        <v>6219</v>
      </c>
      <c r="D2215" s="636">
        <f>D2214/(D2214+E2214+G2214+H2214+I2214+J2214+L2214+M2214+N2214)</f>
        <v>0.1580763967666943</v>
      </c>
      <c r="E2215" s="636">
        <f>E2214/(D2214+E2214+G2214+H2214+I2214+J2214+L2214+M2214+N2214)</f>
        <v>0.1010433464408711</v>
      </c>
      <c r="F2215" s="637">
        <f t="shared" si="68"/>
        <v>0.25911974320756537</v>
      </c>
      <c r="G2215" s="636">
        <f>G2214/(D2214+E2214+G2214+H2214+I2214+J2214+L2214+M2214+N2214)</f>
        <v>0.20072337330030166</v>
      </c>
      <c r="H2215" s="636">
        <f>H2214/(D2214+E2214+G2214+H2214+I2214+J2214+L2214+M2214+N2214)</f>
        <v>3.431444864405659E-2</v>
      </c>
      <c r="I2215" s="636">
        <f>I2214/(D2214+E2214+G2214+H2214+I2214+J2214+L2214+M2214+N2214)</f>
        <v>0</v>
      </c>
      <c r="J2215" s="636">
        <f>J2214/(D2214+E2214+G2214+H2214+I2214+J2214+L2214+M2214+N2214)</f>
        <v>0</v>
      </c>
      <c r="K2215" s="637">
        <f t="shared" si="69"/>
        <v>0.23503782194435824</v>
      </c>
      <c r="L2215" s="636">
        <f>L2214/(D2214+E2214+G2214+H2214+I2214+J2214+L2214+M2214+N2214)</f>
        <v>3.0346578220460985E-2</v>
      </c>
      <c r="M2215" s="636">
        <f>M2214/(D2214+E2214+G2214+H2214+I2214+J2214+L2214+M2214+N2214)</f>
        <v>2.3954745929117557E-2</v>
      </c>
      <c r="N2215" s="636">
        <f>N2214/(D2214+E2214+G2214+H2214+I2214+J2214+L2214+M2214+N2214)</f>
        <v>0.45154111069849778</v>
      </c>
      <c r="O2215" s="1503"/>
    </row>
    <row r="2216" spans="1:15" ht="12" customHeight="1">
      <c r="A2216" s="1517"/>
      <c r="B2216" s="1502" t="s">
        <v>14940</v>
      </c>
      <c r="C2216" s="638" t="s">
        <v>6218</v>
      </c>
      <c r="D2216" s="639">
        <v>73522</v>
      </c>
      <c r="E2216" s="639">
        <v>36945</v>
      </c>
      <c r="F2216" s="640">
        <f t="shared" si="68"/>
        <v>110467</v>
      </c>
      <c r="G2216" s="639">
        <v>80700</v>
      </c>
      <c r="H2216" s="639">
        <v>15223</v>
      </c>
      <c r="I2216" s="639"/>
      <c r="J2216" s="639"/>
      <c r="K2216" s="640">
        <f t="shared" si="69"/>
        <v>95923</v>
      </c>
      <c r="L2216" s="639">
        <v>12924</v>
      </c>
      <c r="M2216" s="639"/>
      <c r="N2216" s="639">
        <v>171552</v>
      </c>
      <c r="O2216" s="1503">
        <f>1-N2217</f>
        <v>0.56109766518448778</v>
      </c>
    </row>
    <row r="2217" spans="1:15" ht="12" customHeight="1" thickBot="1">
      <c r="A2217" s="1519"/>
      <c r="B2217" s="1514"/>
      <c r="C2217" s="641" t="s">
        <v>6219</v>
      </c>
      <c r="D2217" s="642">
        <f>D2216/(D2216+E2216+G2216+H2216+I2216+J2216+L2216+M2216+N2216)</f>
        <v>0.18810026965763202</v>
      </c>
      <c r="E2217" s="642">
        <f>E2216/(D2216+E2216+G2216+H2216+I2216+J2216+L2216+M2216+N2216)</f>
        <v>9.4520884395163554E-2</v>
      </c>
      <c r="F2217" s="643">
        <f t="shared" si="68"/>
        <v>0.28262115405279559</v>
      </c>
      <c r="G2217" s="642">
        <f>G2216/(D2216+E2216+G2216+H2216+I2216+J2216+L2216+M2216+N2216)</f>
        <v>0.20646461958829881</v>
      </c>
      <c r="H2217" s="642">
        <f>H2216/(D2216+E2216+G2216+H2216+I2216+J2216+L2216+M2216+N2216)</f>
        <v>3.8946851350590742E-2</v>
      </c>
      <c r="I2217" s="642">
        <f>I2216/(D2216+E2216+G2216+H2216+I2216+J2216+L2216+M2216+N2216)</f>
        <v>0</v>
      </c>
      <c r="J2217" s="642">
        <f>J2216/(D2216+E2216+G2216+H2216+I2216+J2216+L2216+M2216+N2216)</f>
        <v>0</v>
      </c>
      <c r="K2217" s="643">
        <f t="shared" si="69"/>
        <v>0.24541147093888954</v>
      </c>
      <c r="L2217" s="642">
        <f>L2216/(D2216+E2216+G2216+H2216+I2216+J2216+L2216+M2216+N2216)</f>
        <v>3.3065040192802646E-2</v>
      </c>
      <c r="M2217" s="642">
        <f>M2216/(D2216+E2216+G2216+H2216+I2216+J2216+L2216+M2216+N2216)</f>
        <v>0</v>
      </c>
      <c r="N2217" s="642">
        <f>N2216/(D2216+E2216+G2216+H2216+I2216+J2216+L2216+M2216+N2216)</f>
        <v>0.43890233481551222</v>
      </c>
      <c r="O2217" s="1515"/>
    </row>
    <row r="2218" spans="1:15" ht="12" customHeight="1">
      <c r="A2218" s="1516" t="s">
        <v>15215</v>
      </c>
      <c r="B2218" s="1509" t="s">
        <v>14937</v>
      </c>
      <c r="C2218" s="647" t="s">
        <v>6218</v>
      </c>
      <c r="D2218" s="648">
        <v>60224</v>
      </c>
      <c r="E2218" s="648">
        <v>35613</v>
      </c>
      <c r="F2218" s="649">
        <f t="shared" si="68"/>
        <v>95837</v>
      </c>
      <c r="G2218" s="648">
        <v>74816</v>
      </c>
      <c r="H2218" s="648">
        <v>9472</v>
      </c>
      <c r="I2218" s="648">
        <v>3181</v>
      </c>
      <c r="J2218" s="648">
        <v>4639</v>
      </c>
      <c r="K2218" s="649">
        <f t="shared" si="69"/>
        <v>92108</v>
      </c>
      <c r="L2218" s="648">
        <v>9221</v>
      </c>
      <c r="M2218" s="648">
        <v>4510</v>
      </c>
      <c r="N2218" s="648">
        <v>171443</v>
      </c>
      <c r="O2218" s="1510">
        <f>1-N2219</f>
        <v>0.5405138843103674</v>
      </c>
    </row>
    <row r="2219" spans="1:15" ht="12" customHeight="1">
      <c r="A2219" s="1517"/>
      <c r="B2219" s="1502"/>
      <c r="C2219" s="635" t="s">
        <v>6219</v>
      </c>
      <c r="D2219" s="636">
        <f>D2218/(D2218+E2218+G2218+H2218+I2218+J2218+L2218+M2218+N2218)</f>
        <v>0.16140695059753055</v>
      </c>
      <c r="E2219" s="636">
        <f>E2218/(D2218+E2218+G2218+H2218+I2218+J2218+L2218+M2218+N2218)</f>
        <v>9.5446760952939941E-2</v>
      </c>
      <c r="F2219" s="637">
        <f t="shared" si="68"/>
        <v>0.25685371155047049</v>
      </c>
      <c r="G2219" s="636">
        <f>G2218/(D2218+E2218+G2218+H2218+I2218+J2218+L2218+M2218+N2218)</f>
        <v>0.20051511716101297</v>
      </c>
      <c r="H2219" s="636">
        <f>H2218/(D2218+E2218+G2218+H2218+I2218+J2218+L2218+M2218+N2218)</f>
        <v>2.5386002856997367E-2</v>
      </c>
      <c r="I2219" s="636">
        <f>I2218/(D2218+E2218+G2218+H2218+I2218+J2218+L2218+M2218+N2218)</f>
        <v>8.5254302246736292E-3</v>
      </c>
      <c r="J2219" s="636">
        <f>J2218/(D2218+E2218+G2218+H2218+I2218+J2218+L2218+M2218+N2218)</f>
        <v>1.2433030748903165E-2</v>
      </c>
      <c r="K2219" s="637">
        <f t="shared" si="69"/>
        <v>0.24685958099158714</v>
      </c>
      <c r="L2219" s="636">
        <f>L2218/(D2218+E2218+G2218+H2218+I2218+J2218+L2218+M2218+N2218)</f>
        <v>2.4713295222167728E-2</v>
      </c>
      <c r="M2219" s="636">
        <f>M2218/(D2218+E2218+G2218+H2218+I2218+J2218+L2218+M2218+N2218)</f>
        <v>1.2087296546142115E-2</v>
      </c>
      <c r="N2219" s="636">
        <f>N2218/(D2218+E2218+G2218+H2218+I2218+J2218+L2218+M2218+N2218)</f>
        <v>0.45948611568963255</v>
      </c>
      <c r="O2219" s="1503"/>
    </row>
    <row r="2220" spans="1:15" ht="12" customHeight="1">
      <c r="A2220" s="1517"/>
      <c r="B2220" s="1502" t="s">
        <v>14938</v>
      </c>
      <c r="C2220" s="638" t="s">
        <v>6218</v>
      </c>
      <c r="D2220" s="639">
        <v>93990</v>
      </c>
      <c r="E2220" s="639">
        <v>43737</v>
      </c>
      <c r="F2220" s="640">
        <f t="shared" si="68"/>
        <v>137727</v>
      </c>
      <c r="G2220" s="639">
        <v>76589</v>
      </c>
      <c r="H2220" s="639">
        <v>14580</v>
      </c>
      <c r="I2220" s="639">
        <v>8781</v>
      </c>
      <c r="J2220" s="639"/>
      <c r="K2220" s="640">
        <f t="shared" si="69"/>
        <v>99950</v>
      </c>
      <c r="L2220" s="639">
        <v>12126</v>
      </c>
      <c r="M2220" s="639"/>
      <c r="N2220" s="639">
        <v>121713</v>
      </c>
      <c r="O2220" s="1503">
        <f>1-N2221</f>
        <v>0.67238826860754308</v>
      </c>
    </row>
    <row r="2221" spans="1:15" ht="12" customHeight="1">
      <c r="A2221" s="1517"/>
      <c r="B2221" s="1502"/>
      <c r="C2221" s="635" t="s">
        <v>6219</v>
      </c>
      <c r="D2221" s="636">
        <f>D2220/(D2220+E2220+G2220+H2220+I2220+J2220+L2220+M2220+N2220)</f>
        <v>0.25299044994024483</v>
      </c>
      <c r="E2221" s="636">
        <f>E2220/(D2220+E2220+G2220+H2220+I2220+J2220+L2220+M2220+N2220)</f>
        <v>0.11772575070791029</v>
      </c>
      <c r="F2221" s="637">
        <f t="shared" si="68"/>
        <v>0.37071620064815514</v>
      </c>
      <c r="G2221" s="636">
        <f>G2220/(D2220+E2220+G2220+H2220+I2220+J2220+L2220+M2220+N2220)</f>
        <v>0.20615262868893938</v>
      </c>
      <c r="H2221" s="636">
        <f>H2220/(D2220+E2220+G2220+H2220+I2220+J2220+L2220+M2220+N2220)</f>
        <v>3.9244608576750398E-2</v>
      </c>
      <c r="I2221" s="636">
        <f>I2220/(D2220+E2220+G2220+H2220+I2220+J2220+L2220+M2220+N2220)</f>
        <v>2.3635590391800083E-2</v>
      </c>
      <c r="J2221" s="636">
        <f>J2220/(D2220+E2220+G2220+H2220+I2220+J2220+L2220+M2220+N2220)</f>
        <v>0</v>
      </c>
      <c r="K2221" s="637">
        <f t="shared" si="69"/>
        <v>0.26903282765748987</v>
      </c>
      <c r="L2221" s="636">
        <f>L2220/(D2220+E2220+G2220+H2220+I2220+J2220+L2220+M2220+N2220)</f>
        <v>3.2639240301898166E-2</v>
      </c>
      <c r="M2221" s="636">
        <f>M2220/(D2220+E2220+G2220+H2220+I2220+J2220+L2220+M2220+N2220)</f>
        <v>0</v>
      </c>
      <c r="N2221" s="636">
        <f>N2220/(D2220+E2220+G2220+H2220+I2220+J2220+L2220+M2220+N2220)</f>
        <v>0.32761173139245686</v>
      </c>
      <c r="O2221" s="1503"/>
    </row>
    <row r="2222" spans="1:15" ht="12" customHeight="1">
      <c r="A2222" s="1517"/>
      <c r="B2222" s="1502" t="s">
        <v>14939</v>
      </c>
      <c r="C2222" s="638" t="s">
        <v>6218</v>
      </c>
      <c r="D2222" s="639">
        <v>62221</v>
      </c>
      <c r="E2222" s="639">
        <v>39184</v>
      </c>
      <c r="F2222" s="640">
        <f t="shared" si="68"/>
        <v>101405</v>
      </c>
      <c r="G2222" s="639">
        <v>66943</v>
      </c>
      <c r="H2222" s="639">
        <v>14364</v>
      </c>
      <c r="I2222" s="639"/>
      <c r="J2222" s="639"/>
      <c r="K2222" s="640">
        <f t="shared" si="69"/>
        <v>81307</v>
      </c>
      <c r="L2222" s="639">
        <v>9595</v>
      </c>
      <c r="M2222" s="639">
        <v>7581</v>
      </c>
      <c r="N2222" s="639">
        <v>169294</v>
      </c>
      <c r="O2222" s="1503">
        <f>1-N2223</f>
        <v>0.54143484785282059</v>
      </c>
    </row>
    <row r="2223" spans="1:15" ht="12" customHeight="1">
      <c r="A2223" s="1517"/>
      <c r="B2223" s="1502"/>
      <c r="C2223" s="635" t="s">
        <v>6219</v>
      </c>
      <c r="D2223" s="636">
        <f>D2222/(D2222+E2222+G2222+H2222+I2222+J2222+L2222+M2222+N2222)</f>
        <v>0.16853746932407321</v>
      </c>
      <c r="E2223" s="636">
        <f>E2222/(D2222+E2222+G2222+H2222+I2222+J2222+L2222+M2222+N2222)</f>
        <v>0.10613735230861743</v>
      </c>
      <c r="F2223" s="637">
        <f t="shared" si="68"/>
        <v>0.27467482163269064</v>
      </c>
      <c r="G2223" s="636">
        <f>G2222/(D2222+E2222+G2222+H2222+I2222+J2222+L2222+M2222+N2222)</f>
        <v>0.18132790872794449</v>
      </c>
      <c r="H2223" s="636">
        <f>H2222/(D2222+E2222+G2222+H2222+I2222+J2222+L2222+M2222+N2222)</f>
        <v>3.8907639050657944E-2</v>
      </c>
      <c r="I2223" s="636">
        <f>I2222/(D2222+E2222+G2222+H2222+I2222+J2222+L2222+M2222+N2222)</f>
        <v>0</v>
      </c>
      <c r="J2223" s="636">
        <f>J2222/(D2222+E2222+G2222+H2222+I2222+J2222+L2222+M2222+N2222)</f>
        <v>0</v>
      </c>
      <c r="K2223" s="637">
        <f t="shared" si="69"/>
        <v>0.22023554777860244</v>
      </c>
      <c r="L2223" s="636">
        <f>L2222/(D2222+E2222+G2222+H2222+I2222+J2222+L2222+M2222+N2222)</f>
        <v>2.5989891164791348E-2</v>
      </c>
      <c r="M2223" s="636">
        <f>M2222/(D2222+E2222+G2222+H2222+I2222+J2222+L2222+M2222+N2222)</f>
        <v>2.0534587276736134E-2</v>
      </c>
      <c r="N2223" s="636">
        <f>N2222/(D2222+E2222+G2222+H2222+I2222+J2222+L2222+M2222+N2222)</f>
        <v>0.45856515214717947</v>
      </c>
      <c r="O2223" s="1503"/>
    </row>
    <row r="2224" spans="1:15" ht="12" customHeight="1">
      <c r="A2224" s="1517"/>
      <c r="B2224" s="1502" t="s">
        <v>14940</v>
      </c>
      <c r="C2224" s="638" t="s">
        <v>6218</v>
      </c>
      <c r="D2224" s="639">
        <v>75327</v>
      </c>
      <c r="E2224" s="639">
        <v>39660</v>
      </c>
      <c r="F2224" s="640">
        <f t="shared" si="68"/>
        <v>114987</v>
      </c>
      <c r="G2224" s="639">
        <v>78363</v>
      </c>
      <c r="H2224" s="639">
        <v>12621</v>
      </c>
      <c r="I2224" s="639"/>
      <c r="J2224" s="639"/>
      <c r="K2224" s="640">
        <f t="shared" si="69"/>
        <v>90984</v>
      </c>
      <c r="L2224" s="639">
        <v>10782</v>
      </c>
      <c r="M2224" s="639"/>
      <c r="N2224" s="639">
        <v>151860</v>
      </c>
      <c r="O2224" s="1503">
        <f>1-N2225</f>
        <v>0.58802321133546565</v>
      </c>
    </row>
    <row r="2225" spans="1:15" ht="12" customHeight="1" thickBot="1">
      <c r="A2225" s="1519"/>
      <c r="B2225" s="1514"/>
      <c r="C2225" s="641" t="s">
        <v>6219</v>
      </c>
      <c r="D2225" s="642">
        <f>D2224/(D2224+E2224+G2224+H2224+I2224+J2224+L2224+M2224+N2224)</f>
        <v>0.20435253233065573</v>
      </c>
      <c r="E2225" s="642">
        <f>E2224/(D2224+E2224+G2224+H2224+I2224+J2224+L2224+M2224+N2224)</f>
        <v>0.1075925157278772</v>
      </c>
      <c r="F2225" s="643">
        <f t="shared" si="68"/>
        <v>0.31194504805853296</v>
      </c>
      <c r="G2225" s="642">
        <f>G2224/(D2224+E2224+G2224+H2224+I2224+J2224+L2224+M2224+N2224)</f>
        <v>0.21258881265717705</v>
      </c>
      <c r="H2225" s="642">
        <f>H2224/(D2224+E2224+G2224+H2224+I2224+J2224+L2224+M2224+N2224)</f>
        <v>3.4239161396912209E-2</v>
      </c>
      <c r="I2225" s="642">
        <f>I2224/(D2224+E2224+G2224+H2224+I2224+J2224+L2224+M2224+N2224)</f>
        <v>0</v>
      </c>
      <c r="J2225" s="642">
        <f>J2224/(D2224+E2224+G2224+H2224+I2224+J2224+L2224+M2224+N2224)</f>
        <v>0</v>
      </c>
      <c r="K2225" s="643">
        <f t="shared" si="69"/>
        <v>0.24682797405408927</v>
      </c>
      <c r="L2225" s="642">
        <f>L2224/(D2224+E2224+G2224+H2224+I2224+J2224+L2224+M2224+N2224)</f>
        <v>2.9250189222843469E-2</v>
      </c>
      <c r="M2225" s="642">
        <f>M2224/(D2224+E2224+G2224+H2224+I2224+J2224+L2224+M2224+N2224)</f>
        <v>0</v>
      </c>
      <c r="N2225" s="642">
        <f>N2224/(D2224+E2224+G2224+H2224+I2224+J2224+L2224+M2224+N2224)</f>
        <v>0.41197678866453435</v>
      </c>
      <c r="O2225" s="1515"/>
    </row>
    <row r="2226" spans="1:15" ht="12" customHeight="1">
      <c r="A2226" s="1516" t="s">
        <v>15216</v>
      </c>
      <c r="B2226" s="1509" t="s">
        <v>14937</v>
      </c>
      <c r="C2226" s="647" t="s">
        <v>6218</v>
      </c>
      <c r="D2226" s="648">
        <v>50290</v>
      </c>
      <c r="E2226" s="648">
        <v>30571</v>
      </c>
      <c r="F2226" s="649">
        <f t="shared" si="68"/>
        <v>80861</v>
      </c>
      <c r="G2226" s="648">
        <v>62537</v>
      </c>
      <c r="H2226" s="648">
        <v>7939</v>
      </c>
      <c r="I2226" s="648">
        <v>2445</v>
      </c>
      <c r="J2226" s="648">
        <v>2856</v>
      </c>
      <c r="K2226" s="649">
        <f t="shared" si="69"/>
        <v>75777</v>
      </c>
      <c r="L2226" s="648">
        <v>10280</v>
      </c>
      <c r="M2226" s="648">
        <v>3493</v>
      </c>
      <c r="N2226" s="648">
        <v>148123</v>
      </c>
      <c r="O2226" s="1510">
        <f>1-N2227</f>
        <v>0.53498527629703574</v>
      </c>
    </row>
    <row r="2227" spans="1:15" ht="12" customHeight="1">
      <c r="A2227" s="1517"/>
      <c r="B2227" s="1502"/>
      <c r="C2227" s="635" t="s">
        <v>6219</v>
      </c>
      <c r="D2227" s="636">
        <f>D2226/(D2226+E2226+G2226+H2226+I2226+J2226+L2226+M2226+N2226)</f>
        <v>0.1578795356225709</v>
      </c>
      <c r="E2227" s="636">
        <f>E2226/(D2226+E2226+G2226+H2226+I2226+J2226+L2226+M2226+N2226)</f>
        <v>9.5974056144712966E-2</v>
      </c>
      <c r="F2227" s="637">
        <f t="shared" si="68"/>
        <v>0.25385359176728384</v>
      </c>
      <c r="G2227" s="636">
        <f>G2226/(D2226+E2226+G2226+H2226+I2226+J2226+L2226+M2226+N2226)</f>
        <v>0.19632755059114568</v>
      </c>
      <c r="H2227" s="636">
        <f>H2226/(D2226+E2226+G2226+H2226+I2226+J2226+L2226+M2226+N2226)</f>
        <v>2.4923556041113352E-2</v>
      </c>
      <c r="I2227" s="636">
        <f>I2226/(D2226+E2226+G2226+H2226+I2226+J2226+L2226+M2226+N2226)</f>
        <v>7.6757897116163419E-3</v>
      </c>
      <c r="J2227" s="636">
        <f>J2226/(D2226+E2226+G2226+H2226+I2226+J2226+L2226+M2226+N2226)</f>
        <v>8.9660758349187214E-3</v>
      </c>
      <c r="K2227" s="637">
        <f t="shared" si="69"/>
        <v>0.23789297217879407</v>
      </c>
      <c r="L2227" s="636">
        <f>L2226/(D2226+E2226+G2226+H2226+I2226+J2226+L2226+M2226+N2226)</f>
        <v>3.2272849994035173E-2</v>
      </c>
      <c r="M2227" s="636">
        <f>M2226/(D2226+E2226+G2226+H2226+I2226+J2226+L2226+M2226+N2226)</f>
        <v>1.0965862356922653E-2</v>
      </c>
      <c r="N2227" s="636">
        <f>N2226/(D2226+E2226+G2226+H2226+I2226+J2226+L2226+M2226+N2226)</f>
        <v>0.46501472370296421</v>
      </c>
      <c r="O2227" s="1503"/>
    </row>
    <row r="2228" spans="1:15" ht="12" customHeight="1">
      <c r="A2228" s="1517"/>
      <c r="B2228" s="1502" t="s">
        <v>14938</v>
      </c>
      <c r="C2228" s="638" t="s">
        <v>6218</v>
      </c>
      <c r="D2228" s="639">
        <v>75012</v>
      </c>
      <c r="E2228" s="639">
        <v>39797</v>
      </c>
      <c r="F2228" s="640">
        <f t="shared" si="68"/>
        <v>114809</v>
      </c>
      <c r="G2228" s="639">
        <v>59493</v>
      </c>
      <c r="H2228" s="639">
        <v>13715</v>
      </c>
      <c r="I2228" s="639">
        <v>8262</v>
      </c>
      <c r="J2228" s="639"/>
      <c r="K2228" s="640">
        <f t="shared" si="69"/>
        <v>81470</v>
      </c>
      <c r="L2228" s="639">
        <v>14972</v>
      </c>
      <c r="M2228" s="639"/>
      <c r="N2228" s="639">
        <v>110476</v>
      </c>
      <c r="O2228" s="1503">
        <f>1-N2229</f>
        <v>0.65661570213255338</v>
      </c>
    </row>
    <row r="2229" spans="1:15" ht="12" customHeight="1">
      <c r="A2229" s="1517"/>
      <c r="B2229" s="1502"/>
      <c r="C2229" s="635" t="s">
        <v>6219</v>
      </c>
      <c r="D2229" s="636">
        <f>D2228/(D2228+E2228+G2228+H2228+I2228+J2228+L2228+M2228+N2228)</f>
        <v>0.23315419594873915</v>
      </c>
      <c r="E2229" s="636">
        <f>E2228/(D2228+E2228+G2228+H2228+I2228+J2228+L2228+M2228+N2228)</f>
        <v>0.12369804212888567</v>
      </c>
      <c r="F2229" s="637">
        <f t="shared" si="68"/>
        <v>0.35685223807762484</v>
      </c>
      <c r="G2229" s="636">
        <f>G2228/(D2228+E2228+G2228+H2228+I2228+J2228+L2228+M2228+N2228)</f>
        <v>0.18491764757076651</v>
      </c>
      <c r="H2229" s="636">
        <f>H2228/(D2228+E2228+G2228+H2228+I2228+J2228+L2228+M2228+N2228)</f>
        <v>4.26293099429019E-2</v>
      </c>
      <c r="I2229" s="636">
        <f>I2228/(D2228+E2228+G2228+H2228+I2228+J2228+L2228+M2228+N2228)</f>
        <v>2.5680157400529018E-2</v>
      </c>
      <c r="J2229" s="636">
        <f>J2228/(D2228+E2228+G2228+H2228+I2228+J2228+L2228+M2228+N2228)</f>
        <v>0</v>
      </c>
      <c r="K2229" s="637">
        <f t="shared" si="69"/>
        <v>0.25322711491419742</v>
      </c>
      <c r="L2229" s="636">
        <f>L2228/(D2228+E2228+G2228+H2228+I2228+J2228+L2228+M2228+N2228)</f>
        <v>4.6536349140731119E-2</v>
      </c>
      <c r="M2229" s="636">
        <f>M2228/(D2228+E2228+G2228+H2228+I2228+J2228+L2228+M2228+N2228)</f>
        <v>0</v>
      </c>
      <c r="N2229" s="636">
        <f>N2228/(D2228+E2228+G2228+H2228+I2228+J2228+L2228+M2228+N2228)</f>
        <v>0.34338429786744662</v>
      </c>
      <c r="O2229" s="1503"/>
    </row>
    <row r="2230" spans="1:15" ht="12" customHeight="1">
      <c r="A2230" s="1517"/>
      <c r="B2230" s="1502" t="s">
        <v>14939</v>
      </c>
      <c r="C2230" s="638" t="s">
        <v>6218</v>
      </c>
      <c r="D2230" s="639">
        <v>54748</v>
      </c>
      <c r="E2230" s="639">
        <v>35288</v>
      </c>
      <c r="F2230" s="640">
        <f t="shared" si="68"/>
        <v>90036</v>
      </c>
      <c r="G2230" s="639">
        <v>56937</v>
      </c>
      <c r="H2230" s="639">
        <v>11571</v>
      </c>
      <c r="I2230" s="639"/>
      <c r="J2230" s="639"/>
      <c r="K2230" s="640">
        <f t="shared" si="69"/>
        <v>68508</v>
      </c>
      <c r="L2230" s="639">
        <v>11976</v>
      </c>
      <c r="M2230" s="639">
        <v>5819</v>
      </c>
      <c r="N2230" s="639">
        <v>146900</v>
      </c>
      <c r="O2230" s="1503">
        <f>1-N2231</f>
        <v>0.54553751249075755</v>
      </c>
    </row>
    <row r="2231" spans="1:15" ht="12" customHeight="1">
      <c r="A2231" s="1517"/>
      <c r="B2231" s="1502"/>
      <c r="C2231" s="635" t="s">
        <v>6219</v>
      </c>
      <c r="D2231" s="636">
        <f>D2230/(D2230+E2230+G2230+H2230+I2230+J2230+L2230+M2230+N2230)</f>
        <v>0.16937312638635807</v>
      </c>
      <c r="E2231" s="636">
        <f>E2230/(D2230+E2230+G2230+H2230+I2230+J2230+L2230+M2230+N2230)</f>
        <v>0.10916999495729167</v>
      </c>
      <c r="F2231" s="637">
        <f t="shared" si="68"/>
        <v>0.27854312134364972</v>
      </c>
      <c r="G2231" s="636">
        <f>G2230/(D2230+E2230+G2230+H2230+I2230+J2230+L2230+M2230+N2230)</f>
        <v>0.17614520525060404</v>
      </c>
      <c r="H2231" s="636">
        <f>H2230/(D2230+E2230+G2230+H2230+I2230+J2230+L2230+M2230+N2230)</f>
        <v>3.5797041817354963E-2</v>
      </c>
      <c r="I2231" s="636">
        <f>I2230/(D2230+E2230+G2230+H2230+I2230+J2230+L2230+M2230+N2230)</f>
        <v>0</v>
      </c>
      <c r="J2231" s="636">
        <f>J2230/(D2230+E2230+G2230+H2230+I2230+J2230+L2230+M2230+N2230)</f>
        <v>0</v>
      </c>
      <c r="K2231" s="637">
        <f t="shared" si="69"/>
        <v>0.211942247067959</v>
      </c>
      <c r="L2231" s="636">
        <f>L2230/(D2230+E2230+G2230+H2230+I2230+J2230+L2230+M2230+N2230)</f>
        <v>3.7049984686253826E-2</v>
      </c>
      <c r="M2231" s="636">
        <f>M2230/(D2230+E2230+G2230+H2230+I2230+J2230+L2230+M2230+N2230)</f>
        <v>1.800215939289504E-2</v>
      </c>
      <c r="N2231" s="636">
        <f>N2230/(D2230+E2230+G2230+H2230+I2230+J2230+L2230+M2230+N2230)</f>
        <v>0.4544624875092424</v>
      </c>
      <c r="O2231" s="1503"/>
    </row>
    <row r="2232" spans="1:15" ht="12" customHeight="1">
      <c r="A2232" s="1517"/>
      <c r="B2232" s="1502" t="s">
        <v>14940</v>
      </c>
      <c r="C2232" s="638" t="s">
        <v>6218</v>
      </c>
      <c r="D2232" s="639">
        <v>69770</v>
      </c>
      <c r="E2232" s="639">
        <v>36915</v>
      </c>
      <c r="F2232" s="640">
        <f t="shared" si="68"/>
        <v>106685</v>
      </c>
      <c r="G2232" s="639">
        <v>54106</v>
      </c>
      <c r="H2232" s="639">
        <v>16508</v>
      </c>
      <c r="I2232" s="639"/>
      <c r="J2232" s="639"/>
      <c r="K2232" s="640">
        <f t="shared" si="69"/>
        <v>70614</v>
      </c>
      <c r="L2232" s="639">
        <v>13459</v>
      </c>
      <c r="M2232" s="639"/>
      <c r="N2232" s="639">
        <v>133383</v>
      </c>
      <c r="O2232" s="1503">
        <f>1-N2233</f>
        <v>0.58850315140633236</v>
      </c>
    </row>
    <row r="2233" spans="1:15" ht="12" customHeight="1" thickBot="1">
      <c r="A2233" s="1519"/>
      <c r="B2233" s="1514"/>
      <c r="C2233" s="641" t="s">
        <v>6219</v>
      </c>
      <c r="D2233" s="642">
        <f>D2232/(D2232+E2232+G2232+H2232+I2232+J2232+L2232+M2232+N2232)</f>
        <v>0.21524583437454689</v>
      </c>
      <c r="E2233" s="642">
        <f>E2232/(D2232+E2232+G2232+H2232+I2232+J2232+L2232+M2232+N2232)</f>
        <v>0.11388562384888058</v>
      </c>
      <c r="F2233" s="643">
        <f t="shared" si="68"/>
        <v>0.32913145822342749</v>
      </c>
      <c r="G2233" s="642">
        <f>G2232/(D2232+E2232+G2232+H2232+I2232+J2232+L2232+M2232+N2232)</f>
        <v>0.16692118553345611</v>
      </c>
      <c r="H2233" s="642">
        <f>H2232/(D2232+E2232+G2232+H2232+I2232+J2232+L2232+M2232+N2232)</f>
        <v>5.0928453975276192E-2</v>
      </c>
      <c r="I2233" s="642">
        <f>I2232/(D2232+E2232+G2232+H2232+I2232+J2232+L2232+M2232+N2232)</f>
        <v>0</v>
      </c>
      <c r="J2233" s="642">
        <f>J2232/(D2232+E2232+G2232+H2232+I2232+J2232+L2232+M2232+N2232)</f>
        <v>0</v>
      </c>
      <c r="K2233" s="643">
        <f t="shared" si="69"/>
        <v>0.21784963950873232</v>
      </c>
      <c r="L2233" s="642">
        <f>L2232/(D2232+E2232+G2232+H2232+I2232+J2232+L2232+M2232+N2232)</f>
        <v>4.1522053674172658E-2</v>
      </c>
      <c r="M2233" s="642">
        <f>M2232/(D2232+E2232+G2232+H2232+I2232+J2232+L2232+M2232+N2232)</f>
        <v>0</v>
      </c>
      <c r="N2233" s="642">
        <f>N2232/(D2232+E2232+G2232+H2232+I2232+J2232+L2232+M2232+N2232)</f>
        <v>0.41149684859366759</v>
      </c>
      <c r="O2233" s="1515"/>
    </row>
    <row r="2234" spans="1:15" ht="12" customHeight="1">
      <c r="A2234" s="1516" t="s">
        <v>15217</v>
      </c>
      <c r="B2234" s="1509" t="s">
        <v>14937</v>
      </c>
      <c r="C2234" s="647" t="s">
        <v>6218</v>
      </c>
      <c r="D2234" s="648">
        <v>51307</v>
      </c>
      <c r="E2234" s="648">
        <v>42636</v>
      </c>
      <c r="F2234" s="649">
        <f t="shared" si="68"/>
        <v>93943</v>
      </c>
      <c r="G2234" s="648">
        <v>85269</v>
      </c>
      <c r="H2234" s="648">
        <v>10695</v>
      </c>
      <c r="I2234" s="648">
        <v>3600</v>
      </c>
      <c r="J2234" s="648">
        <v>3828</v>
      </c>
      <c r="K2234" s="649">
        <f t="shared" si="69"/>
        <v>103392</v>
      </c>
      <c r="L2234" s="648">
        <v>16072</v>
      </c>
      <c r="M2234" s="648">
        <v>3953</v>
      </c>
      <c r="N2234" s="648">
        <v>159796</v>
      </c>
      <c r="O2234" s="1510">
        <f>1-N2235</f>
        <v>0.57631324968978359</v>
      </c>
    </row>
    <row r="2235" spans="1:15" ht="12" customHeight="1">
      <c r="A2235" s="1517"/>
      <c r="B2235" s="1502"/>
      <c r="C2235" s="635" t="s">
        <v>6219</v>
      </c>
      <c r="D2235" s="636">
        <f>D2234/(D2234+E2234+G2234+H2234+I2234+J2234+L2234+M2234+N2234)</f>
        <v>0.13603654721123354</v>
      </c>
      <c r="E2235" s="636">
        <f>E2234/(D2234+E2234+G2234+H2234+I2234+J2234+L2234+M2234+N2234)</f>
        <v>0.11304606051607292</v>
      </c>
      <c r="F2235" s="637">
        <f t="shared" si="68"/>
        <v>0.24908260772730645</v>
      </c>
      <c r="G2235" s="636">
        <f>G2234/(D2234+E2234+G2234+H2234+I2234+J2234+L2234+M2234+N2234)</f>
        <v>0.22608416676388551</v>
      </c>
      <c r="H2235" s="636">
        <f>H2234/(D2234+E2234+G2234+H2234+I2234+J2234+L2234+M2234+N2234)</f>
        <v>2.8356966348142412E-2</v>
      </c>
      <c r="I2235" s="636">
        <f>I2234/(D2234+E2234+G2234+H2234+I2234+J2234+L2234+M2234+N2234)</f>
        <v>9.5451219124182037E-3</v>
      </c>
      <c r="J2235" s="636">
        <f>J2234/(D2234+E2234+G2234+H2234+I2234+J2234+L2234+M2234+N2234)</f>
        <v>1.0149646300204689E-2</v>
      </c>
      <c r="K2235" s="637">
        <f t="shared" si="69"/>
        <v>0.27413590132465082</v>
      </c>
      <c r="L2235" s="636">
        <f>L2234/(D2234+E2234+G2234+H2234+I2234+J2234+L2234+M2234+N2234)</f>
        <v>4.261366649344038E-2</v>
      </c>
      <c r="M2235" s="636">
        <f>M2234/(D2234+E2234+G2234+H2234+I2234+J2234+L2234+M2234+N2234)</f>
        <v>1.0481074144385878E-2</v>
      </c>
      <c r="N2235" s="636">
        <f>N2234/(D2234+E2234+G2234+H2234+I2234+J2234+L2234+M2234+N2234)</f>
        <v>0.42368675031021646</v>
      </c>
      <c r="O2235" s="1503"/>
    </row>
    <row r="2236" spans="1:15" ht="12" customHeight="1">
      <c r="A2236" s="1517"/>
      <c r="B2236" s="1502" t="s">
        <v>14938</v>
      </c>
      <c r="C2236" s="638" t="s">
        <v>6218</v>
      </c>
      <c r="D2236" s="639">
        <v>81035</v>
      </c>
      <c r="E2236" s="639">
        <v>49878</v>
      </c>
      <c r="F2236" s="640">
        <f t="shared" si="68"/>
        <v>130913</v>
      </c>
      <c r="G2236" s="639">
        <v>77372</v>
      </c>
      <c r="H2236" s="639">
        <v>17651</v>
      </c>
      <c r="I2236" s="639">
        <v>8023</v>
      </c>
      <c r="J2236" s="639"/>
      <c r="K2236" s="640">
        <f t="shared" si="69"/>
        <v>103046</v>
      </c>
      <c r="L2236" s="639">
        <v>20808</v>
      </c>
      <c r="M2236" s="639"/>
      <c r="N2236" s="639">
        <v>123556</v>
      </c>
      <c r="O2236" s="1503">
        <f>1-N2237</f>
        <v>0.67341134427460125</v>
      </c>
    </row>
    <row r="2237" spans="1:15" ht="12" customHeight="1">
      <c r="A2237" s="1517"/>
      <c r="B2237" s="1502"/>
      <c r="C2237" s="635" t="s">
        <v>6219</v>
      </c>
      <c r="D2237" s="636">
        <f>D2236/(D2236+E2236+G2236+H2236+I2236+J2236+L2236+M2236+N2236)</f>
        <v>0.21419527758026871</v>
      </c>
      <c r="E2237" s="636">
        <f>E2236/(D2236+E2236+G2236+H2236+I2236+J2236+L2236+M2236+N2236)</f>
        <v>0.13183972425678586</v>
      </c>
      <c r="F2237" s="637">
        <f t="shared" si="68"/>
        <v>0.3460350018370546</v>
      </c>
      <c r="G2237" s="636">
        <f>G2236/(D2236+E2236+G2236+H2236+I2236+J2236+L2236+M2236+N2236)</f>
        <v>0.20451307480644845</v>
      </c>
      <c r="H2237" s="636">
        <f>H2236/(D2236+E2236+G2236+H2236+I2236+J2236+L2236+M2236+N2236)</f>
        <v>4.6655899852771313E-2</v>
      </c>
      <c r="I2237" s="636">
        <f>I2236/(D2236+E2236+G2236+H2236+I2236+J2236+L2236+M2236+N2236)</f>
        <v>2.1206746615986868E-2</v>
      </c>
      <c r="J2237" s="636">
        <f>J2236/(D2236+E2236+G2236+H2236+I2236+J2236+L2236+M2236+N2236)</f>
        <v>0</v>
      </c>
      <c r="K2237" s="637">
        <f t="shared" si="69"/>
        <v>0.27237572127520665</v>
      </c>
      <c r="L2237" s="636">
        <f>L2236/(D2236+E2236+G2236+H2236+I2236+J2236+L2236+M2236+N2236)</f>
        <v>5.500062116234012E-2</v>
      </c>
      <c r="M2237" s="636">
        <f>M2236/(D2236+E2236+G2236+H2236+I2236+J2236+L2236+M2236+N2236)</f>
        <v>0</v>
      </c>
      <c r="N2237" s="636">
        <f>N2236/(D2236+E2236+G2236+H2236+I2236+J2236+L2236+M2236+N2236)</f>
        <v>0.32658865572539869</v>
      </c>
      <c r="O2237" s="1503"/>
    </row>
    <row r="2238" spans="1:15" ht="12" customHeight="1">
      <c r="A2238" s="1517"/>
      <c r="B2238" s="1502" t="s">
        <v>14939</v>
      </c>
      <c r="C2238" s="638" t="s">
        <v>6218</v>
      </c>
      <c r="D2238" s="639">
        <v>53646</v>
      </c>
      <c r="E2238" s="639">
        <v>47443</v>
      </c>
      <c r="F2238" s="640">
        <f t="shared" si="68"/>
        <v>101089</v>
      </c>
      <c r="G2238" s="639">
        <v>75627</v>
      </c>
      <c r="H2238" s="639">
        <v>14006</v>
      </c>
      <c r="I2238" s="639"/>
      <c r="J2238" s="639"/>
      <c r="K2238" s="640">
        <f t="shared" si="69"/>
        <v>89633</v>
      </c>
      <c r="L2238" s="639">
        <v>17672</v>
      </c>
      <c r="M2238" s="639">
        <v>6918</v>
      </c>
      <c r="N2238" s="639">
        <v>163273</v>
      </c>
      <c r="O2238" s="1503">
        <f>1-N2239</f>
        <v>0.56872829087259136</v>
      </c>
    </row>
    <row r="2239" spans="1:15" ht="12" customHeight="1">
      <c r="A2239" s="1517"/>
      <c r="B2239" s="1502"/>
      <c r="C2239" s="635" t="s">
        <v>6219</v>
      </c>
      <c r="D2239" s="636">
        <f>D2238/(D2238+E2238+G2238+H2238+I2238+J2238+L2238+M2238+N2238)</f>
        <v>0.14170133523515194</v>
      </c>
      <c r="E2239" s="636">
        <f>E2238/(D2238+E2238+G2238+H2238+I2238+J2238+L2238+M2238+N2238)</f>
        <v>0.12531663959216557</v>
      </c>
      <c r="F2239" s="637">
        <f t="shared" si="68"/>
        <v>0.26701797482731748</v>
      </c>
      <c r="G2239" s="636">
        <f>G2238/(D2238+E2238+G2238+H2238+I2238+J2238+L2238+M2238+N2238)</f>
        <v>0.19976227267324378</v>
      </c>
      <c r="H2239" s="636">
        <f>H2238/(D2238+E2238+G2238+H2238+I2238+J2238+L2238+M2238+N2238)</f>
        <v>3.6995654872749847E-2</v>
      </c>
      <c r="I2239" s="636">
        <f>I2238/(D2238+E2238+G2238+H2238+I2238+J2238+L2238+M2238+N2238)</f>
        <v>0</v>
      </c>
      <c r="J2239" s="636">
        <f>J2238/(D2238+E2238+G2238+H2238+I2238+J2238+L2238+M2238+N2238)</f>
        <v>0</v>
      </c>
      <c r="K2239" s="637">
        <f t="shared" si="69"/>
        <v>0.23675792754599362</v>
      </c>
      <c r="L2239" s="636">
        <f>L2238/(D2238+E2238+G2238+H2238+I2238+J2238+L2238+M2238+N2238)</f>
        <v>4.6679081315952824E-2</v>
      </c>
      <c r="M2239" s="636">
        <f>M2238/(D2238+E2238+G2238+H2238+I2238+J2238+L2238+M2238+N2238)</f>
        <v>1.8273307183327391E-2</v>
      </c>
      <c r="N2239" s="636">
        <f>N2238/(D2238+E2238+G2238+H2238+I2238+J2238+L2238+M2238+N2238)</f>
        <v>0.43127170912740864</v>
      </c>
      <c r="O2239" s="1503"/>
    </row>
    <row r="2240" spans="1:15" ht="12" customHeight="1">
      <c r="A2240" s="1517"/>
      <c r="B2240" s="1502" t="s">
        <v>14940</v>
      </c>
      <c r="C2240" s="638" t="s">
        <v>6218</v>
      </c>
      <c r="D2240" s="639">
        <v>67649</v>
      </c>
      <c r="E2240" s="639">
        <v>48270</v>
      </c>
      <c r="F2240" s="640">
        <f t="shared" si="68"/>
        <v>115919</v>
      </c>
      <c r="G2240" s="639">
        <v>75932</v>
      </c>
      <c r="H2240" s="639">
        <v>17123</v>
      </c>
      <c r="I2240" s="639"/>
      <c r="J2240" s="639"/>
      <c r="K2240" s="640">
        <f t="shared" si="69"/>
        <v>93055</v>
      </c>
      <c r="L2240" s="639">
        <v>19440</v>
      </c>
      <c r="M2240" s="639"/>
      <c r="N2240" s="639">
        <v>150092</v>
      </c>
      <c r="O2240" s="1503">
        <f>1-N2241</f>
        <v>0.60346203230596074</v>
      </c>
    </row>
    <row r="2241" spans="1:15" ht="12" customHeight="1" thickBot="1">
      <c r="A2241" s="1519"/>
      <c r="B2241" s="1514"/>
      <c r="C2241" s="641" t="s">
        <v>6219</v>
      </c>
      <c r="D2241" s="642">
        <f>D2240/(D2240+E2240+G2240+H2240+I2240+J2240+L2240+M2240+N2240)</f>
        <v>0.17872636100880832</v>
      </c>
      <c r="E2241" s="642">
        <f>E2240/(D2240+E2240+G2240+H2240+I2240+J2240+L2240+M2240+N2240)</f>
        <v>0.12752770101398656</v>
      </c>
      <c r="F2241" s="643">
        <f t="shared" si="68"/>
        <v>0.30625406202279487</v>
      </c>
      <c r="G2241" s="642">
        <f>G2240/(D2240+E2240+G2240+H2240+I2240+J2240+L2240+M2240+N2240)</f>
        <v>0.2006097657632904</v>
      </c>
      <c r="H2241" s="642">
        <f>H2240/(D2240+E2240+G2240+H2240+I2240+J2240+L2240+M2240+N2240)</f>
        <v>4.523838459628117E-2</v>
      </c>
      <c r="I2241" s="642">
        <f>I2240/(D2240+E2240+G2240+H2240+I2240+J2240+L2240+M2240+N2240)</f>
        <v>0</v>
      </c>
      <c r="J2241" s="642">
        <f>J2240/(D2240+E2240+G2240+H2240+I2240+J2240+L2240+M2240+N2240)</f>
        <v>0</v>
      </c>
      <c r="K2241" s="643">
        <f t="shared" si="69"/>
        <v>0.24584815035957158</v>
      </c>
      <c r="L2241" s="642">
        <f>L2240/(D2240+E2240+G2240+H2240+I2240+J2240+L2240+M2240+N2240)</f>
        <v>5.1359819923594341E-2</v>
      </c>
      <c r="M2241" s="642">
        <f>M2240/(D2240+E2240+G2240+H2240+I2240+J2240+L2240+M2240+N2240)</f>
        <v>0</v>
      </c>
      <c r="N2241" s="642">
        <f>N2240/(D2240+E2240+G2240+H2240+I2240+J2240+L2240+M2240+N2240)</f>
        <v>0.39653796769403921</v>
      </c>
      <c r="O2241" s="1515"/>
    </row>
    <row r="2242" spans="1:15" ht="12" customHeight="1">
      <c r="A2242" s="1516" t="s">
        <v>15218</v>
      </c>
      <c r="B2242" s="1509" t="s">
        <v>14937</v>
      </c>
      <c r="C2242" s="647" t="s">
        <v>6218</v>
      </c>
      <c r="D2242" s="648">
        <v>46853</v>
      </c>
      <c r="E2242" s="648">
        <v>38786</v>
      </c>
      <c r="F2242" s="649">
        <f t="shared" ref="F2242:F2305" si="70">SUM(D2242:E2242)</f>
        <v>85639</v>
      </c>
      <c r="G2242" s="648">
        <v>76938</v>
      </c>
      <c r="H2242" s="648">
        <v>9925</v>
      </c>
      <c r="I2242" s="648">
        <v>5653</v>
      </c>
      <c r="J2242" s="648">
        <v>4823</v>
      </c>
      <c r="K2242" s="649">
        <f t="shared" ref="K2242:K2305" si="71">SUM(G2242:J2242)</f>
        <v>97339</v>
      </c>
      <c r="L2242" s="648">
        <v>20053</v>
      </c>
      <c r="M2242" s="648">
        <v>3859</v>
      </c>
      <c r="N2242" s="648">
        <v>188000</v>
      </c>
      <c r="O2242" s="1510">
        <f>1-N2243</f>
        <v>0.52391805312871931</v>
      </c>
    </row>
    <row r="2243" spans="1:15" ht="12" customHeight="1">
      <c r="A2243" s="1517"/>
      <c r="B2243" s="1502"/>
      <c r="C2243" s="635" t="s">
        <v>6219</v>
      </c>
      <c r="D2243" s="636">
        <f>D2242/(D2242+E2242+G2242+H2242+I2242+J2242+L2242+M2242+N2242)</f>
        <v>0.11864823115297932</v>
      </c>
      <c r="E2243" s="636">
        <f>E2242/(D2242+E2242+G2242+H2242+I2242+J2242+L2242+M2242+N2242)</f>
        <v>9.8219757400795152E-2</v>
      </c>
      <c r="F2243" s="637">
        <f t="shared" si="70"/>
        <v>0.21686798855377448</v>
      </c>
      <c r="G2243" s="636">
        <f>G2242/(D2242+E2242+G2242+H2242+I2242+J2242+L2242+M2242+N2242)</f>
        <v>0.19483400440629037</v>
      </c>
      <c r="H2243" s="636">
        <f>H2242/(D2242+E2242+G2242+H2242+I2242+J2242+L2242+M2242+N2242)</f>
        <v>2.5133581503709895E-2</v>
      </c>
      <c r="I2243" s="636">
        <f>I2242/(D2242+E2242+G2242+H2242+I2242+J2242+L2242+M2242+N2242)</f>
        <v>1.4315378966294411E-2</v>
      </c>
      <c r="J2243" s="636">
        <f>J2242/(D2242+E2242+G2242+H2242+I2242+J2242+L2242+M2242+N2242)</f>
        <v>1.2213527817873332E-2</v>
      </c>
      <c r="K2243" s="637">
        <f t="shared" si="71"/>
        <v>0.24649649269416801</v>
      </c>
      <c r="L2243" s="636">
        <f>L2242/(D2242+E2242+G2242+H2242+I2242+J2242+L2242+M2242+N2242)</f>
        <v>5.0781230216009519E-2</v>
      </c>
      <c r="M2243" s="636">
        <f>M2242/(D2242+E2242+G2242+H2242+I2242+J2242+L2242+M2242+N2242)</f>
        <v>9.7723416647674029E-3</v>
      </c>
      <c r="N2243" s="636">
        <f>N2242/(D2242+E2242+G2242+H2242+I2242+J2242+L2242+M2242+N2242)</f>
        <v>0.47608194687128064</v>
      </c>
      <c r="O2243" s="1503"/>
    </row>
    <row r="2244" spans="1:15" ht="12" customHeight="1">
      <c r="A2244" s="1517"/>
      <c r="B2244" s="1502" t="s">
        <v>14938</v>
      </c>
      <c r="C2244" s="638" t="s">
        <v>6218</v>
      </c>
      <c r="D2244" s="639">
        <v>76108</v>
      </c>
      <c r="E2244" s="639">
        <v>51159</v>
      </c>
      <c r="F2244" s="640">
        <f t="shared" si="70"/>
        <v>127267</v>
      </c>
      <c r="G2244" s="639">
        <v>77180</v>
      </c>
      <c r="H2244" s="639">
        <v>14680</v>
      </c>
      <c r="I2244" s="639">
        <v>7579</v>
      </c>
      <c r="J2244" s="639"/>
      <c r="K2244" s="640">
        <f t="shared" si="71"/>
        <v>99439</v>
      </c>
      <c r="L2244" s="639">
        <v>27221</v>
      </c>
      <c r="M2244" s="639"/>
      <c r="N2244" s="639">
        <v>142323</v>
      </c>
      <c r="O2244" s="1503">
        <f>1-N2245</f>
        <v>0.64082523659306001</v>
      </c>
    </row>
    <row r="2245" spans="1:15" ht="12" customHeight="1">
      <c r="A2245" s="1517"/>
      <c r="B2245" s="1502"/>
      <c r="C2245" s="635" t="s">
        <v>6219</v>
      </c>
      <c r="D2245" s="636">
        <f>D2244/(D2244+E2244+G2244+H2244+I2244+J2244+L2244+M2244+N2244)</f>
        <v>0.19207066246056784</v>
      </c>
      <c r="E2245" s="636">
        <f>E2244/(D2244+E2244+G2244+H2244+I2244+J2244+L2244+M2244+N2244)</f>
        <v>0.12910788643533122</v>
      </c>
      <c r="F2245" s="637">
        <f t="shared" si="70"/>
        <v>0.32117854889589903</v>
      </c>
      <c r="G2245" s="636">
        <f>G2244/(D2244+E2244+G2244+H2244+I2244+J2244+L2244+M2244+N2244)</f>
        <v>0.19477602523659307</v>
      </c>
      <c r="H2245" s="636">
        <f>H2244/(D2244+E2244+G2244+H2244+I2244+J2244+L2244+M2244+N2244)</f>
        <v>3.704731861198738E-2</v>
      </c>
      <c r="I2245" s="636">
        <f>I2244/(D2244+E2244+G2244+H2244+I2244+J2244+L2244+M2244+N2244)</f>
        <v>1.9126813880126183E-2</v>
      </c>
      <c r="J2245" s="636">
        <f>J2244/(D2244+E2244+G2244+H2244+I2244+J2244+L2244+M2244+N2244)</f>
        <v>0</v>
      </c>
      <c r="K2245" s="637">
        <f t="shared" si="71"/>
        <v>0.2509501577287066</v>
      </c>
      <c r="L2245" s="636">
        <f>L2244/(D2244+E2244+G2244+H2244+I2244+J2244+L2244+M2244+N2244)</f>
        <v>6.8696529968454254E-2</v>
      </c>
      <c r="M2245" s="636">
        <f>M2244/(D2244+E2244+G2244+H2244+I2244+J2244+L2244+M2244+N2244)</f>
        <v>0</v>
      </c>
      <c r="N2245" s="636">
        <f>N2244/(D2244+E2244+G2244+H2244+I2244+J2244+L2244+M2244+N2244)</f>
        <v>0.35917476340694005</v>
      </c>
      <c r="O2245" s="1503"/>
    </row>
    <row r="2246" spans="1:15" ht="12" customHeight="1">
      <c r="A2246" s="1517"/>
      <c r="B2246" s="1502" t="s">
        <v>14939</v>
      </c>
      <c r="C2246" s="638" t="s">
        <v>6218</v>
      </c>
      <c r="D2246" s="639">
        <v>45743</v>
      </c>
      <c r="E2246" s="639">
        <v>43913</v>
      </c>
      <c r="F2246" s="640">
        <f t="shared" si="70"/>
        <v>89656</v>
      </c>
      <c r="G2246" s="639">
        <v>72270</v>
      </c>
      <c r="H2246" s="639">
        <v>12142</v>
      </c>
      <c r="I2246" s="639"/>
      <c r="J2246" s="639"/>
      <c r="K2246" s="640">
        <f t="shared" si="71"/>
        <v>84412</v>
      </c>
      <c r="L2246" s="639">
        <v>23236</v>
      </c>
      <c r="M2246" s="639">
        <v>6944</v>
      </c>
      <c r="N2246" s="639">
        <v>192402</v>
      </c>
      <c r="O2246" s="1503">
        <f>1-N2247</f>
        <v>0.51493256019160472</v>
      </c>
    </row>
    <row r="2247" spans="1:15" ht="12" customHeight="1">
      <c r="A2247" s="1517"/>
      <c r="B2247" s="1502"/>
      <c r="C2247" s="635" t="s">
        <v>6219</v>
      </c>
      <c r="D2247" s="636">
        <f>D2246/(D2246+E2246+G2246+H2246+I2246+J2246+L2246+M2246+N2246)</f>
        <v>0.11532333291314761</v>
      </c>
      <c r="E2247" s="636">
        <f>E2246/(D2246+E2246+G2246+H2246+I2246+J2246+L2246+M2246+N2246)</f>
        <v>0.1107096936846086</v>
      </c>
      <c r="F2247" s="637">
        <f t="shared" si="70"/>
        <v>0.2260330265977562</v>
      </c>
      <c r="G2247" s="636">
        <f>G2246/(D2246+E2246+G2246+H2246+I2246+J2246+L2246+M2246+N2246)</f>
        <v>0.18220093281230304</v>
      </c>
      <c r="H2247" s="636">
        <f>H2246/(D2246+E2246+G2246+H2246+I2246+J2246+L2246+M2246+N2246)</f>
        <v>3.0611370225639731E-2</v>
      </c>
      <c r="I2247" s="636">
        <f>I2246/(D2246+E2246+G2246+H2246+I2246+J2246+L2246+M2246+N2246)</f>
        <v>0</v>
      </c>
      <c r="J2247" s="636">
        <f>J2246/(D2246+E2246+G2246+H2246+I2246+J2246+L2246+M2246+N2246)</f>
        <v>0</v>
      </c>
      <c r="K2247" s="637">
        <f t="shared" si="71"/>
        <v>0.21281230303794277</v>
      </c>
      <c r="L2247" s="636">
        <f>L2246/(D2246+E2246+G2246+H2246+I2246+J2246+L2246+M2246+N2246)</f>
        <v>5.8580612630782805E-2</v>
      </c>
      <c r="M2247" s="636">
        <f>M2246/(D2246+E2246+G2246+H2246+I2246+J2246+L2246+M2246+N2246)</f>
        <v>1.7506617925122904E-2</v>
      </c>
      <c r="N2247" s="636">
        <f>N2246/(D2246+E2246+G2246+H2246+I2246+J2246+L2246+M2246+N2246)</f>
        <v>0.48506743980839528</v>
      </c>
      <c r="O2247" s="1503"/>
    </row>
    <row r="2248" spans="1:15" ht="12" customHeight="1">
      <c r="A2248" s="1517"/>
      <c r="B2248" s="1502" t="s">
        <v>14940</v>
      </c>
      <c r="C2248" s="638" t="s">
        <v>6218</v>
      </c>
      <c r="D2248" s="639">
        <v>56106</v>
      </c>
      <c r="E2248" s="639">
        <v>46642</v>
      </c>
      <c r="F2248" s="640">
        <f t="shared" si="70"/>
        <v>102748</v>
      </c>
      <c r="G2248" s="639">
        <v>83433</v>
      </c>
      <c r="H2248" s="639">
        <v>12831</v>
      </c>
      <c r="I2248" s="639"/>
      <c r="J2248" s="639"/>
      <c r="K2248" s="640">
        <f t="shared" si="71"/>
        <v>96264</v>
      </c>
      <c r="L2248" s="639">
        <v>25623</v>
      </c>
      <c r="M2248" s="639"/>
      <c r="N2248" s="639">
        <v>172282</v>
      </c>
      <c r="O2248" s="1503">
        <f>1-N2249</f>
        <v>0.56594955620444576</v>
      </c>
    </row>
    <row r="2249" spans="1:15" ht="12" customHeight="1" thickBot="1">
      <c r="A2249" s="1519"/>
      <c r="B2249" s="1514"/>
      <c r="C2249" s="641" t="s">
        <v>6219</v>
      </c>
      <c r="D2249" s="642">
        <f>D2248/(D2248+E2248+G2248+H2248+I2248+J2248+L2248+M2248+N2248)</f>
        <v>0.14135448972959083</v>
      </c>
      <c r="E2249" s="642">
        <f>E2248/(D2248+E2248+G2248+H2248+I2248+J2248+L2248+M2248+N2248)</f>
        <v>0.11751071382682021</v>
      </c>
      <c r="F2249" s="643">
        <f t="shared" si="70"/>
        <v>0.25886520355641107</v>
      </c>
      <c r="G2249" s="642">
        <f>G2248/(D2248+E2248+G2248+H2248+I2248+J2248+L2248+M2248+N2248)</f>
        <v>0.21020263682331572</v>
      </c>
      <c r="H2249" s="642">
        <f>H2248/(D2248+E2248+G2248+H2248+I2248+J2248+L2248+M2248+N2248)</f>
        <v>3.2326657714333226E-2</v>
      </c>
      <c r="I2249" s="642">
        <f>I2248/(D2248+E2248+G2248+H2248+I2248+J2248+L2248+M2248+N2248)</f>
        <v>0</v>
      </c>
      <c r="J2249" s="642">
        <f>J2248/(D2248+E2248+G2248+H2248+I2248+J2248+L2248+M2248+N2248)</f>
        <v>0</v>
      </c>
      <c r="K2249" s="643">
        <f t="shared" si="71"/>
        <v>0.24252929453764893</v>
      </c>
      <c r="L2249" s="642">
        <f>L2248/(D2248+E2248+G2248+H2248+I2248+J2248+L2248+M2248+N2248)</f>
        <v>6.4555058110385796E-2</v>
      </c>
      <c r="M2249" s="642">
        <f>M2248/(D2248+E2248+G2248+H2248+I2248+J2248+L2248+M2248+N2248)</f>
        <v>0</v>
      </c>
      <c r="N2249" s="642">
        <f>N2248/(D2248+E2248+G2248+H2248+I2248+J2248+L2248+M2248+N2248)</f>
        <v>0.43405044379555424</v>
      </c>
      <c r="O2249" s="1515"/>
    </row>
    <row r="2250" spans="1:15" ht="12" customHeight="1">
      <c r="A2250" s="1516" t="s">
        <v>15219</v>
      </c>
      <c r="B2250" s="1509" t="s">
        <v>14937</v>
      </c>
      <c r="C2250" s="647" t="s">
        <v>6218</v>
      </c>
      <c r="D2250" s="648">
        <v>47398</v>
      </c>
      <c r="E2250" s="648">
        <v>40921</v>
      </c>
      <c r="F2250" s="649">
        <f t="shared" si="70"/>
        <v>88319</v>
      </c>
      <c r="G2250" s="648">
        <v>67196</v>
      </c>
      <c r="H2250" s="648">
        <v>9440</v>
      </c>
      <c r="I2250" s="648">
        <v>18496</v>
      </c>
      <c r="J2250" s="648">
        <v>5034</v>
      </c>
      <c r="K2250" s="649">
        <f t="shared" si="71"/>
        <v>100166</v>
      </c>
      <c r="L2250" s="648">
        <v>18474</v>
      </c>
      <c r="M2250" s="648">
        <v>3994</v>
      </c>
      <c r="N2250" s="648">
        <v>202306</v>
      </c>
      <c r="O2250" s="1510">
        <f>1-N2251</f>
        <v>0.51046196211092809</v>
      </c>
    </row>
    <row r="2251" spans="1:15" ht="12" customHeight="1">
      <c r="A2251" s="1517"/>
      <c r="B2251" s="1502"/>
      <c r="C2251" s="635" t="s">
        <v>6219</v>
      </c>
      <c r="D2251" s="636">
        <f>D2250/(D2250+E2250+G2250+H2250+I2250+J2250+L2250+M2250+N2250)</f>
        <v>0.11469320692350318</v>
      </c>
      <c r="E2251" s="636">
        <f>E2250/(D2250+E2250+G2250+H2250+I2250+J2250+L2250+M2250+N2250)</f>
        <v>9.9020227024698801E-2</v>
      </c>
      <c r="F2251" s="637">
        <f t="shared" si="70"/>
        <v>0.21371343394820197</v>
      </c>
      <c r="G2251" s="636">
        <f>G2250/(D2250+E2250+G2250+H2250+I2250+J2250+L2250+M2250+N2250)</f>
        <v>0.16260020955381491</v>
      </c>
      <c r="H2251" s="636">
        <f>H2250/(D2250+E2250+G2250+H2250+I2250+J2250+L2250+M2250+N2250)</f>
        <v>2.2842817700279971E-2</v>
      </c>
      <c r="I2251" s="636">
        <f>I2250/(D2250+E2250+G2250+H2250+I2250+J2250+L2250+M2250+N2250)</f>
        <v>4.4756436036480753E-2</v>
      </c>
      <c r="J2251" s="636">
        <f>J2250/(D2250+E2250+G2250+H2250+I2250+J2250+L2250+M2250+N2250)</f>
        <v>1.2181222913475568E-2</v>
      </c>
      <c r="K2251" s="637">
        <f t="shared" si="71"/>
        <v>0.24238068620405118</v>
      </c>
      <c r="L2251" s="636">
        <f>L2250/(D2250+E2250+G2250+H2250+I2250+J2250+L2250+M2250+N2250)</f>
        <v>4.4703200656247048E-2</v>
      </c>
      <c r="M2251" s="636">
        <f>M2250/(D2250+E2250+G2250+H2250+I2250+J2250+L2250+M2250+N2250)</f>
        <v>9.6646413024277754E-3</v>
      </c>
      <c r="N2251" s="636">
        <f>N2250/(D2250+E2250+G2250+H2250+I2250+J2250+L2250+M2250+N2250)</f>
        <v>0.48953803788907196</v>
      </c>
      <c r="O2251" s="1503"/>
    </row>
    <row r="2252" spans="1:15" ht="12" customHeight="1">
      <c r="A2252" s="1517"/>
      <c r="B2252" s="1502" t="s">
        <v>14938</v>
      </c>
      <c r="C2252" s="638" t="s">
        <v>6218</v>
      </c>
      <c r="D2252" s="639">
        <v>85406</v>
      </c>
      <c r="E2252" s="639">
        <v>47244</v>
      </c>
      <c r="F2252" s="640">
        <f t="shared" si="70"/>
        <v>132650</v>
      </c>
      <c r="G2252" s="639">
        <v>70055</v>
      </c>
      <c r="H2252" s="639">
        <v>17371</v>
      </c>
      <c r="I2252" s="639">
        <v>8524</v>
      </c>
      <c r="J2252" s="639"/>
      <c r="K2252" s="640">
        <f t="shared" si="71"/>
        <v>95950</v>
      </c>
      <c r="L2252" s="639">
        <v>26085</v>
      </c>
      <c r="M2252" s="639"/>
      <c r="N2252" s="639">
        <v>158613</v>
      </c>
      <c r="O2252" s="1503">
        <f>1-N2253</f>
        <v>0.61622606448615769</v>
      </c>
    </row>
    <row r="2253" spans="1:15" ht="12" customHeight="1">
      <c r="A2253" s="1517"/>
      <c r="B2253" s="1502"/>
      <c r="C2253" s="635" t="s">
        <v>6219</v>
      </c>
      <c r="D2253" s="636">
        <f>D2252/(D2252+E2252+G2252+H2252+I2252+J2252+L2252+M2252+N2252)</f>
        <v>0.20664508417655059</v>
      </c>
      <c r="E2253" s="636">
        <f>E2252/(D2252+E2252+G2252+H2252+I2252+J2252+L2252+M2252+N2252)</f>
        <v>0.11430977164176938</v>
      </c>
      <c r="F2253" s="637">
        <f t="shared" si="70"/>
        <v>0.32095485581831995</v>
      </c>
      <c r="G2253" s="636">
        <f>G2252/(D2252+E2252+G2252+H2252+I2252+J2252+L2252+M2252+N2252)</f>
        <v>0.1695023929464938</v>
      </c>
      <c r="H2253" s="636">
        <f>H2252/(D2252+E2252+G2252+H2252+I2252+J2252+L2252+M2252+N2252)</f>
        <v>4.2030205807915839E-2</v>
      </c>
      <c r="I2253" s="636">
        <f>I2252/(D2252+E2252+G2252+H2252+I2252+J2252+L2252+M2252+N2252)</f>
        <v>2.0624343693896412E-2</v>
      </c>
      <c r="J2253" s="636">
        <f>J2252/(D2252+E2252+G2252+H2252+I2252+J2252+L2252+M2252+N2252)</f>
        <v>0</v>
      </c>
      <c r="K2253" s="637">
        <f t="shared" si="71"/>
        <v>0.23215694244830604</v>
      </c>
      <c r="L2253" s="636">
        <f>L2252/(D2252+E2252+G2252+H2252+I2252+J2252+L2252+M2252+N2252)</f>
        <v>6.3114266219531673E-2</v>
      </c>
      <c r="M2253" s="636">
        <f>M2252/(D2252+E2252+G2252+H2252+I2252+J2252+L2252+M2252+N2252)</f>
        <v>0</v>
      </c>
      <c r="N2253" s="636">
        <f>N2252/(D2252+E2252+G2252+H2252+I2252+J2252+L2252+M2252+N2252)</f>
        <v>0.38377393551384231</v>
      </c>
      <c r="O2253" s="1503"/>
    </row>
    <row r="2254" spans="1:15" ht="12" customHeight="1">
      <c r="A2254" s="1517"/>
      <c r="B2254" s="1502" t="s">
        <v>14939</v>
      </c>
      <c r="C2254" s="638" t="s">
        <v>6218</v>
      </c>
      <c r="D2254" s="639">
        <v>48753</v>
      </c>
      <c r="E2254" s="639">
        <v>49853</v>
      </c>
      <c r="F2254" s="640">
        <f t="shared" si="70"/>
        <v>98606</v>
      </c>
      <c r="G2254" s="639">
        <v>66114</v>
      </c>
      <c r="H2254" s="639">
        <v>12514</v>
      </c>
      <c r="I2254" s="639"/>
      <c r="J2254" s="639"/>
      <c r="K2254" s="640">
        <f t="shared" si="71"/>
        <v>78628</v>
      </c>
      <c r="L2254" s="639">
        <v>22707</v>
      </c>
      <c r="M2254" s="639">
        <v>6908</v>
      </c>
      <c r="N2254" s="639">
        <v>206388</v>
      </c>
      <c r="O2254" s="1503">
        <f>1-N2255</f>
        <v>0.5005577912916801</v>
      </c>
    </row>
    <row r="2255" spans="1:15" ht="12" customHeight="1">
      <c r="A2255" s="1517"/>
      <c r="B2255" s="1502"/>
      <c r="C2255" s="635" t="s">
        <v>6219</v>
      </c>
      <c r="D2255" s="636">
        <f>D2254/(D2254+E2254+G2254+H2254+I2254+J2254+L2254+M2254+N2254)</f>
        <v>0.11797830300771713</v>
      </c>
      <c r="E2255" s="636">
        <f>E2254/(D2254+E2254+G2254+H2254+I2254+J2254+L2254+M2254+N2254)</f>
        <v>0.12064021372723159</v>
      </c>
      <c r="F2255" s="637">
        <f t="shared" si="70"/>
        <v>0.23861851673494872</v>
      </c>
      <c r="G2255" s="636">
        <f>G2254/(D2254+E2254+G2254+H2254+I2254+J2254+L2254+M2254+N2254)</f>
        <v>0.15999051391816319</v>
      </c>
      <c r="H2255" s="636">
        <f>H2254/(D2254+E2254+G2254+H2254+I2254+J2254+L2254+M2254+N2254)</f>
        <v>3.0282864312730952E-2</v>
      </c>
      <c r="I2255" s="636">
        <f>I2254/(D2254+E2254+G2254+H2254+I2254+J2254+L2254+M2254+N2254)</f>
        <v>0</v>
      </c>
      <c r="J2255" s="636">
        <f>J2254/(D2254+E2254+G2254+H2254+I2254+J2254+L2254+M2254+N2254)</f>
        <v>0</v>
      </c>
      <c r="K2255" s="637">
        <f t="shared" si="71"/>
        <v>0.19027337823089413</v>
      </c>
      <c r="L2255" s="636">
        <f>L2254/(D2254+E2254+G2254+H2254+I2254+J2254+L2254+M2254+N2254)</f>
        <v>5.4949097007286375E-2</v>
      </c>
      <c r="M2255" s="636">
        <f>M2254/(D2254+E2254+G2254+H2254+I2254+J2254+L2254+M2254+N2254)</f>
        <v>1.6716799318550857E-2</v>
      </c>
      <c r="N2255" s="636">
        <f>N2254/(D2254+E2254+G2254+H2254+I2254+J2254+L2254+M2254+N2254)</f>
        <v>0.4994422087083199</v>
      </c>
      <c r="O2255" s="1503"/>
    </row>
    <row r="2256" spans="1:15" ht="12" customHeight="1">
      <c r="A2256" s="1517"/>
      <c r="B2256" s="1502" t="s">
        <v>14940</v>
      </c>
      <c r="C2256" s="638" t="s">
        <v>6218</v>
      </c>
      <c r="D2256" s="639">
        <v>58441</v>
      </c>
      <c r="E2256" s="639">
        <v>44987</v>
      </c>
      <c r="F2256" s="640">
        <f t="shared" si="70"/>
        <v>103428</v>
      </c>
      <c r="G2256" s="639">
        <v>70558</v>
      </c>
      <c r="H2256" s="639">
        <v>12845</v>
      </c>
      <c r="I2256" s="639"/>
      <c r="J2256" s="639"/>
      <c r="K2256" s="640">
        <f t="shared" si="71"/>
        <v>83403</v>
      </c>
      <c r="L2256" s="639">
        <v>23638</v>
      </c>
      <c r="M2256" s="639"/>
      <c r="N2256" s="639">
        <v>202632</v>
      </c>
      <c r="O2256" s="1503">
        <f>1-N2257</f>
        <v>0.50948557374588788</v>
      </c>
    </row>
    <row r="2257" spans="1:15" ht="12" customHeight="1" thickBot="1">
      <c r="A2257" s="1519"/>
      <c r="B2257" s="1514"/>
      <c r="C2257" s="641" t="s">
        <v>6219</v>
      </c>
      <c r="D2257" s="642">
        <f>D2256/(D2256+E2256+G2256+H2256+I2256+J2256+L2256+M2256+N2256)</f>
        <v>0.1414690354174887</v>
      </c>
      <c r="E2257" s="642">
        <f>E2256/(D2256+E2256+G2256+H2256+I2256+J2256+L2256+M2256+N2256)</f>
        <v>0.10890072887744159</v>
      </c>
      <c r="F2257" s="643">
        <f t="shared" si="70"/>
        <v>0.2503697642949303</v>
      </c>
      <c r="G2257" s="642">
        <f>G2256/(D2256+E2256+G2256+H2256+I2256+J2256+L2256+M2256+N2256)</f>
        <v>0.17080084531385786</v>
      </c>
      <c r="H2257" s="642">
        <f>H2256/(D2256+E2256+G2256+H2256+I2256+J2256+L2256+M2256+N2256)</f>
        <v>3.109409079135611E-2</v>
      </c>
      <c r="I2257" s="642">
        <f>I2256/(D2256+E2256+G2256+H2256+I2256+J2256+L2256+M2256+N2256)</f>
        <v>0</v>
      </c>
      <c r="J2257" s="642">
        <f>J2256/(D2256+E2256+G2256+H2256+I2256+J2256+L2256+M2256+N2256)</f>
        <v>0</v>
      </c>
      <c r="K2257" s="643">
        <f t="shared" si="71"/>
        <v>0.20189493610521397</v>
      </c>
      <c r="L2257" s="642">
        <f>L2256/(D2256+E2256+G2256+H2256+I2256+J2256+L2256+M2256+N2256)</f>
        <v>5.7220873345743536E-2</v>
      </c>
      <c r="M2257" s="642">
        <f>M2256/(D2256+E2256+G2256+H2256+I2256+J2256+L2256+M2256+N2256)</f>
        <v>0</v>
      </c>
      <c r="N2257" s="642">
        <f>N2256/(D2256+E2256+G2256+H2256+I2256+J2256+L2256+M2256+N2256)</f>
        <v>0.49051442625411218</v>
      </c>
      <c r="O2257" s="1515"/>
    </row>
    <row r="2258" spans="1:15" ht="12" customHeight="1">
      <c r="A2258" s="1516" t="s">
        <v>15220</v>
      </c>
      <c r="B2258" s="1509" t="s">
        <v>14937</v>
      </c>
      <c r="C2258" s="647" t="s">
        <v>6218</v>
      </c>
      <c r="D2258" s="648">
        <v>39150</v>
      </c>
      <c r="E2258" s="648">
        <v>26724</v>
      </c>
      <c r="F2258" s="649">
        <f t="shared" si="70"/>
        <v>65874</v>
      </c>
      <c r="G2258" s="648">
        <v>51640</v>
      </c>
      <c r="H2258" s="648">
        <v>9471</v>
      </c>
      <c r="I2258" s="648">
        <v>12309</v>
      </c>
      <c r="J2258" s="648">
        <v>2483</v>
      </c>
      <c r="K2258" s="649">
        <f t="shared" si="71"/>
        <v>75903</v>
      </c>
      <c r="L2258" s="648">
        <v>9964</v>
      </c>
      <c r="M2258" s="648">
        <v>2861</v>
      </c>
      <c r="N2258" s="648">
        <v>121301</v>
      </c>
      <c r="O2258" s="1510">
        <f>1-N2259</f>
        <v>0.56034910820107064</v>
      </c>
    </row>
    <row r="2259" spans="1:15" ht="12" customHeight="1">
      <c r="A2259" s="1517"/>
      <c r="B2259" s="1502"/>
      <c r="C2259" s="635" t="s">
        <v>6219</v>
      </c>
      <c r="D2259" s="636">
        <f>D2258/(D2258+E2258+G2258+H2258+I2258+J2258+L2258+M2258+N2258)</f>
        <v>0.14189769592936649</v>
      </c>
      <c r="E2259" s="636">
        <f>E2258/(D2258+E2258+G2258+H2258+I2258+J2258+L2258+M2258+N2258)</f>
        <v>9.6860128378451843E-2</v>
      </c>
      <c r="F2259" s="637">
        <f t="shared" si="70"/>
        <v>0.23875782430781833</v>
      </c>
      <c r="G2259" s="636">
        <f>G2258/(D2258+E2258+G2258+H2258+I2258+J2258+L2258+M2258+N2258)</f>
        <v>0.18716722906238786</v>
      </c>
      <c r="H2259" s="636">
        <f>H2258/(D2258+E2258+G2258+H2258+I2258+J2258+L2258+M2258+N2258)</f>
        <v>3.4327281689579311E-2</v>
      </c>
      <c r="I2259" s="636">
        <f>I2258/(D2258+E2258+G2258+H2258+I2258+J2258+L2258+M2258+N2258)</f>
        <v>4.461350547112572E-2</v>
      </c>
      <c r="J2259" s="636">
        <f>J2258/(D2258+E2258+G2258+H2258+I2258+J2258+L2258+M2258+N2258)</f>
        <v>8.9995396932980067E-3</v>
      </c>
      <c r="K2259" s="637">
        <f t="shared" si="71"/>
        <v>0.27510755591639091</v>
      </c>
      <c r="L2259" s="636">
        <f>L2258/(D2258+E2258+G2258+H2258+I2258+J2258+L2258+M2258+N2258)</f>
        <v>3.6114141564245403E-2</v>
      </c>
      <c r="M2259" s="636">
        <f>M2258/(D2258+E2258+G2258+H2258+I2258+J2258+L2258+M2258+N2258)</f>
        <v>1.0369586412616028E-2</v>
      </c>
      <c r="N2259" s="636">
        <f>N2258/(D2258+E2258+G2258+H2258+I2258+J2258+L2258+M2258+N2258)</f>
        <v>0.43965089179892936</v>
      </c>
      <c r="O2259" s="1503"/>
    </row>
    <row r="2260" spans="1:15" ht="12" customHeight="1">
      <c r="A2260" s="1517"/>
      <c r="B2260" s="1502" t="s">
        <v>14938</v>
      </c>
      <c r="C2260" s="638" t="s">
        <v>6218</v>
      </c>
      <c r="D2260" s="639">
        <v>63680</v>
      </c>
      <c r="E2260" s="639">
        <v>43852</v>
      </c>
      <c r="F2260" s="640">
        <f t="shared" si="70"/>
        <v>107532</v>
      </c>
      <c r="G2260" s="639">
        <v>48483</v>
      </c>
      <c r="H2260" s="639">
        <v>17126</v>
      </c>
      <c r="I2260" s="639">
        <v>6810</v>
      </c>
      <c r="J2260" s="639"/>
      <c r="K2260" s="640">
        <f t="shared" si="71"/>
        <v>72419</v>
      </c>
      <c r="L2260" s="639">
        <v>14568</v>
      </c>
      <c r="M2260" s="639"/>
      <c r="N2260" s="639">
        <v>82915</v>
      </c>
      <c r="O2260" s="1503">
        <f>1-N2261</f>
        <v>0.70113612606962383</v>
      </c>
    </row>
    <row r="2261" spans="1:15" ht="12" customHeight="1">
      <c r="A2261" s="1517"/>
      <c r="B2261" s="1502"/>
      <c r="C2261" s="635" t="s">
        <v>6219</v>
      </c>
      <c r="D2261" s="636">
        <f>D2260/(D2260+E2260+G2260+H2260+I2260+J2260+L2260+M2260+N2260)</f>
        <v>0.22953206888845634</v>
      </c>
      <c r="E2261" s="636">
        <f>E2260/(D2260+E2260+G2260+H2260+I2260+J2260+L2260+M2260+N2260)</f>
        <v>0.15806281854423035</v>
      </c>
      <c r="F2261" s="637">
        <f t="shared" si="70"/>
        <v>0.38759488743268666</v>
      </c>
      <c r="G2261" s="636">
        <f>G2260/(D2260+E2260+G2260+H2260+I2260+J2260+L2260+M2260+N2260)</f>
        <v>0.17475507688315059</v>
      </c>
      <c r="H2261" s="636">
        <f>H2260/(D2260+E2260+G2260+H2260+I2260+J2260+L2260+M2260+N2260)</f>
        <v>6.172999704434208E-2</v>
      </c>
      <c r="I2261" s="636">
        <f>I2260/(D2260+E2260+G2260+H2260+I2260+J2260+L2260+M2260+N2260)</f>
        <v>2.4546378598153073E-2</v>
      </c>
      <c r="J2261" s="636">
        <f>J2260/(D2260+E2260+G2260+H2260+I2260+J2260+L2260+M2260+N2260)</f>
        <v>0</v>
      </c>
      <c r="K2261" s="637">
        <f t="shared" si="71"/>
        <v>0.26103145252564575</v>
      </c>
      <c r="L2261" s="636">
        <f>L2260/(D2260+E2260+G2260+H2260+I2260+J2260+L2260+M2260+N2260)</f>
        <v>5.2509786111291333E-2</v>
      </c>
      <c r="M2261" s="636">
        <f>M2260/(D2260+E2260+G2260+H2260+I2260+J2260+L2260+M2260+N2260)</f>
        <v>0</v>
      </c>
      <c r="N2261" s="636">
        <f>N2260/(D2260+E2260+G2260+H2260+I2260+J2260+L2260+M2260+N2260)</f>
        <v>0.29886387393037622</v>
      </c>
      <c r="O2261" s="1503"/>
    </row>
    <row r="2262" spans="1:15" ht="12" customHeight="1">
      <c r="A2262" s="1517"/>
      <c r="B2262" s="1502" t="s">
        <v>14939</v>
      </c>
      <c r="C2262" s="638" t="s">
        <v>6218</v>
      </c>
      <c r="D2262" s="639">
        <v>43681</v>
      </c>
      <c r="E2262" s="639">
        <v>32815</v>
      </c>
      <c r="F2262" s="640">
        <f t="shared" si="70"/>
        <v>76496</v>
      </c>
      <c r="G2262" s="639">
        <v>46154</v>
      </c>
      <c r="H2262" s="639">
        <v>13355</v>
      </c>
      <c r="I2262" s="639"/>
      <c r="J2262" s="639"/>
      <c r="K2262" s="640">
        <f t="shared" si="71"/>
        <v>59509</v>
      </c>
      <c r="L2262" s="639">
        <v>11291</v>
      </c>
      <c r="M2262" s="639">
        <v>4310</v>
      </c>
      <c r="N2262" s="639">
        <v>126292</v>
      </c>
      <c r="O2262" s="1503">
        <f>1-N2263</f>
        <v>0.54554548791283131</v>
      </c>
    </row>
    <row r="2263" spans="1:15" ht="12" customHeight="1">
      <c r="A2263" s="1517"/>
      <c r="B2263" s="1502"/>
      <c r="C2263" s="635" t="s">
        <v>6219</v>
      </c>
      <c r="D2263" s="636">
        <f>D2262/(D2262+E2262+G2262+H2262+I2262+J2262+L2262+M2262+N2262)</f>
        <v>0.15718357095049262</v>
      </c>
      <c r="E2263" s="636">
        <f>E2262/(D2262+E2262+G2262+H2262+I2262+J2262+L2262+M2262+N2262)</f>
        <v>0.11808289372359643</v>
      </c>
      <c r="F2263" s="637">
        <f t="shared" si="70"/>
        <v>0.27526646467408905</v>
      </c>
      <c r="G2263" s="636">
        <f>G2262/(D2262+E2262+G2262+H2262+I2262+J2262+L2262+M2262+N2262)</f>
        <v>0.16608251948556665</v>
      </c>
      <c r="H2263" s="636">
        <f>H2262/(D2262+E2262+G2262+H2262+I2262+J2262+L2262+M2262+N2262)</f>
        <v>4.8057200843474944E-2</v>
      </c>
      <c r="I2263" s="636">
        <f>I2262/(D2262+E2262+G2262+H2262+I2262+J2262+L2262+M2262+N2262)</f>
        <v>0</v>
      </c>
      <c r="J2263" s="636">
        <f>J2262/(D2262+E2262+G2262+H2262+I2262+J2262+L2262+M2262+N2262)</f>
        <v>0</v>
      </c>
      <c r="K2263" s="637">
        <f t="shared" si="71"/>
        <v>0.21413972032904161</v>
      </c>
      <c r="L2263" s="636">
        <f>L2262/(D2262+E2262+G2262+H2262+I2262+J2262+L2262+M2262+N2262)</f>
        <v>4.063001532936545E-2</v>
      </c>
      <c r="M2263" s="636">
        <f>M2262/(D2262+E2262+G2262+H2262+I2262+J2262+L2262+M2262+N2262)</f>
        <v>1.5509287580335231E-2</v>
      </c>
      <c r="N2263" s="636">
        <f>N2262/(D2262+E2262+G2262+H2262+I2262+J2262+L2262+M2262+N2262)</f>
        <v>0.45445451208716869</v>
      </c>
      <c r="O2263" s="1503"/>
    </row>
    <row r="2264" spans="1:15" ht="12" customHeight="1">
      <c r="A2264" s="1517"/>
      <c r="B2264" s="1502" t="s">
        <v>14940</v>
      </c>
      <c r="C2264" s="638" t="s">
        <v>6218</v>
      </c>
      <c r="D2264" s="639">
        <v>57424</v>
      </c>
      <c r="E2264" s="639">
        <v>39757</v>
      </c>
      <c r="F2264" s="640">
        <f t="shared" si="70"/>
        <v>97181</v>
      </c>
      <c r="G2264" s="639">
        <v>41877</v>
      </c>
      <c r="H2264" s="639">
        <v>28037</v>
      </c>
      <c r="I2264" s="639"/>
      <c r="J2264" s="639"/>
      <c r="K2264" s="640">
        <f t="shared" si="71"/>
        <v>69914</v>
      </c>
      <c r="L2264" s="639">
        <v>12303</v>
      </c>
      <c r="M2264" s="639"/>
      <c r="N2264" s="639">
        <v>98340</v>
      </c>
      <c r="O2264" s="1503">
        <f>1-N2265</f>
        <v>0.64592529650245911</v>
      </c>
    </row>
    <row r="2265" spans="1:15" ht="12" customHeight="1" thickBot="1">
      <c r="A2265" s="1519"/>
      <c r="B2265" s="1514"/>
      <c r="C2265" s="641" t="s">
        <v>6219</v>
      </c>
      <c r="D2265" s="642">
        <f>D2264/(D2264+E2264+G2264+H2264+I2264+J2264+L2264+M2264+N2264)</f>
        <v>0.20675600746026832</v>
      </c>
      <c r="E2265" s="642">
        <f>E2264/(D2264+E2264+G2264+H2264+I2264+J2264+L2264+M2264+N2264)</f>
        <v>0.14314569846402006</v>
      </c>
      <c r="F2265" s="643">
        <f t="shared" si="70"/>
        <v>0.34990170592428838</v>
      </c>
      <c r="G2265" s="642">
        <f>G2264/(D2264+E2264+G2264+H2264+I2264+J2264+L2264+M2264+N2264)</f>
        <v>0.1507787915229461</v>
      </c>
      <c r="H2265" s="642">
        <f>H2264/(D2264+E2264+G2264+H2264+I2264+J2264+L2264+M2264+N2264)</f>
        <v>0.10094765570429685</v>
      </c>
      <c r="I2265" s="642">
        <f>I2264/(D2264+E2264+G2264+H2264+I2264+J2264+L2264+M2264+N2264)</f>
        <v>0</v>
      </c>
      <c r="J2265" s="642">
        <f>J2264/(D2264+E2264+G2264+H2264+I2264+J2264+L2264+M2264+N2264)</f>
        <v>0</v>
      </c>
      <c r="K2265" s="643">
        <f t="shared" si="71"/>
        <v>0.25172644722724297</v>
      </c>
      <c r="L2265" s="642">
        <f>L2264/(D2264+E2264+G2264+H2264+I2264+J2264+L2264+M2264+N2264)</f>
        <v>4.4297143350927853E-2</v>
      </c>
      <c r="M2265" s="642">
        <f>M2264/(D2264+E2264+G2264+H2264+I2264+J2264+L2264+M2264+N2264)</f>
        <v>0</v>
      </c>
      <c r="N2265" s="642">
        <f>N2264/(D2264+E2264+G2264+H2264+I2264+J2264+L2264+M2264+N2264)</f>
        <v>0.35407470349754083</v>
      </c>
      <c r="O2265" s="1515"/>
    </row>
    <row r="2266" spans="1:15" ht="12" customHeight="1">
      <c r="A2266" s="1516" t="s">
        <v>15221</v>
      </c>
      <c r="B2266" s="1509" t="s">
        <v>14937</v>
      </c>
      <c r="C2266" s="647" t="s">
        <v>6218</v>
      </c>
      <c r="D2266" s="648">
        <v>44830</v>
      </c>
      <c r="E2266" s="648">
        <v>19059</v>
      </c>
      <c r="F2266" s="649">
        <f t="shared" si="70"/>
        <v>63889</v>
      </c>
      <c r="G2266" s="648">
        <v>53791</v>
      </c>
      <c r="H2266" s="648">
        <v>9769</v>
      </c>
      <c r="I2266" s="648">
        <v>2259</v>
      </c>
      <c r="J2266" s="648">
        <v>2919</v>
      </c>
      <c r="K2266" s="649">
        <f t="shared" si="71"/>
        <v>68738</v>
      </c>
      <c r="L2266" s="648">
        <v>6672</v>
      </c>
      <c r="M2266" s="648">
        <v>2443</v>
      </c>
      <c r="N2266" s="648">
        <v>92248</v>
      </c>
      <c r="O2266" s="1510">
        <f>1-N2267</f>
        <v>0.60576092995427155</v>
      </c>
    </row>
    <row r="2267" spans="1:15" ht="12" customHeight="1">
      <c r="A2267" s="1517"/>
      <c r="B2267" s="1502"/>
      <c r="C2267" s="635" t="s">
        <v>6219</v>
      </c>
      <c r="D2267" s="636">
        <f>D2266/(D2266+E2266+G2266+H2266+I2266+J2266+L2266+M2266+N2266)</f>
        <v>0.19158938416171631</v>
      </c>
      <c r="E2267" s="636">
        <f>E2266/(D2266+E2266+G2266+H2266+I2266+J2266+L2266+M2266+N2266)</f>
        <v>8.1452198811915039E-2</v>
      </c>
      <c r="F2267" s="637">
        <f t="shared" si="70"/>
        <v>0.27304158297363135</v>
      </c>
      <c r="G2267" s="636">
        <f>G2266/(D2266+E2266+G2266+H2266+I2266+J2266+L2266+M2266+N2266)</f>
        <v>0.22988589255951108</v>
      </c>
      <c r="H2267" s="636">
        <f>H2266/(D2266+E2266+G2266+H2266+I2266+J2266+L2266+M2266+N2266)</f>
        <v>4.1749647420829948E-2</v>
      </c>
      <c r="I2267" s="636">
        <f>I2266/(D2266+E2266+G2266+H2266+I2266+J2266+L2266+M2266+N2266)</f>
        <v>9.6542587290055128E-3</v>
      </c>
      <c r="J2267" s="636">
        <f>J2266/(D2266+E2266+G2266+H2266+I2266+J2266+L2266+M2266+N2266)</f>
        <v>1.2474892089405529E-2</v>
      </c>
      <c r="K2267" s="637">
        <f t="shared" si="71"/>
        <v>0.29376469079875206</v>
      </c>
      <c r="L2267" s="636">
        <f>L2266/(D2266+E2266+G2266+H2266+I2266+J2266+L2266+M2266+N2266)</f>
        <v>2.8514039061498353E-2</v>
      </c>
      <c r="M2267" s="636">
        <f>M2266/(D2266+E2266+G2266+H2266+I2266+J2266+L2266+M2266+N2266)</f>
        <v>1.044061712038976E-2</v>
      </c>
      <c r="N2267" s="636">
        <f>N2266/(D2266+E2266+G2266+H2266+I2266+J2266+L2266+M2266+N2266)</f>
        <v>0.39423907004572845</v>
      </c>
      <c r="O2267" s="1503"/>
    </row>
    <row r="2268" spans="1:15" ht="12" customHeight="1">
      <c r="A2268" s="1517"/>
      <c r="B2268" s="1502" t="s">
        <v>14938</v>
      </c>
      <c r="C2268" s="638" t="s">
        <v>6218</v>
      </c>
      <c r="D2268" s="639">
        <v>64241</v>
      </c>
      <c r="E2268" s="639">
        <v>21177</v>
      </c>
      <c r="F2268" s="640">
        <f t="shared" si="70"/>
        <v>85418</v>
      </c>
      <c r="G2268" s="639">
        <v>55962</v>
      </c>
      <c r="H2268" s="639">
        <v>10833</v>
      </c>
      <c r="I2268" s="639">
        <v>5594</v>
      </c>
      <c r="J2268" s="639"/>
      <c r="K2268" s="640">
        <f t="shared" si="71"/>
        <v>72389</v>
      </c>
      <c r="L2268" s="639">
        <v>8205</v>
      </c>
      <c r="M2268" s="639"/>
      <c r="N2268" s="639">
        <v>66502</v>
      </c>
      <c r="O2268" s="1503">
        <f>1-N2269</f>
        <v>0.71398711475438037</v>
      </c>
    </row>
    <row r="2269" spans="1:15" ht="12" customHeight="1">
      <c r="A2269" s="1517"/>
      <c r="B2269" s="1502"/>
      <c r="C2269" s="635" t="s">
        <v>6219</v>
      </c>
      <c r="D2269" s="636">
        <f>D2268/(D2268+E2268+G2268+H2268+I2268+J2268+L2268+M2268+N2268)</f>
        <v>0.27628873960277661</v>
      </c>
      <c r="E2269" s="636">
        <f>E2268/(D2268+E2268+G2268+H2268+I2268+J2268+L2268+M2268+N2268)</f>
        <v>9.1078386677791445E-2</v>
      </c>
      <c r="F2269" s="637">
        <f t="shared" si="70"/>
        <v>0.36736712628056806</v>
      </c>
      <c r="G2269" s="636">
        <f>G2268/(D2268+E2268+G2268+H2268+I2268+J2268+L2268+M2268+N2268)</f>
        <v>0.24068228149702814</v>
      </c>
      <c r="H2269" s="636">
        <f>H2268/(D2268+E2268+G2268+H2268+I2268+J2268+L2268+M2268+N2268)</f>
        <v>4.6590742923006787E-2</v>
      </c>
      <c r="I2269" s="636">
        <f>I2268/(D2268+E2268+G2268+H2268+I2268+J2268+L2268+M2268+N2268)</f>
        <v>2.4058766353853962E-2</v>
      </c>
      <c r="J2269" s="636">
        <f>J2268/(D2268+E2268+G2268+H2268+I2268+J2268+L2268+M2268+N2268)</f>
        <v>0</v>
      </c>
      <c r="K2269" s="637">
        <f t="shared" si="71"/>
        <v>0.31133179077388889</v>
      </c>
      <c r="L2269" s="636">
        <f>L2268/(D2268+E2268+G2268+H2268+I2268+J2268+L2268+M2268+N2268)</f>
        <v>3.5288197699923446E-2</v>
      </c>
      <c r="M2269" s="636">
        <f>M2268/(D2268+E2268+G2268+H2268+I2268+J2268+L2268+M2268+N2268)</f>
        <v>0</v>
      </c>
      <c r="N2269" s="636">
        <f>N2268/(D2268+E2268+G2268+H2268+I2268+J2268+L2268+M2268+N2268)</f>
        <v>0.28601288524561963</v>
      </c>
      <c r="O2269" s="1503"/>
    </row>
    <row r="2270" spans="1:15" ht="12" customHeight="1">
      <c r="A2270" s="1517"/>
      <c r="B2270" s="1502" t="s">
        <v>14939</v>
      </c>
      <c r="C2270" s="638" t="s">
        <v>6218</v>
      </c>
      <c r="D2270" s="639">
        <v>44246</v>
      </c>
      <c r="E2270" s="639">
        <v>18944</v>
      </c>
      <c r="F2270" s="640">
        <f t="shared" si="70"/>
        <v>63190</v>
      </c>
      <c r="G2270" s="639">
        <v>49393</v>
      </c>
      <c r="H2270" s="639">
        <v>10128</v>
      </c>
      <c r="I2270" s="639"/>
      <c r="J2270" s="639"/>
      <c r="K2270" s="640">
        <f t="shared" si="71"/>
        <v>59521</v>
      </c>
      <c r="L2270" s="639">
        <v>7285</v>
      </c>
      <c r="M2270" s="639">
        <v>4162</v>
      </c>
      <c r="N2270" s="639">
        <v>97210</v>
      </c>
      <c r="O2270" s="1503">
        <f>1-N2271</f>
        <v>0.57984682410705024</v>
      </c>
    </row>
    <row r="2271" spans="1:15" ht="12" customHeight="1">
      <c r="A2271" s="1517"/>
      <c r="B2271" s="1502"/>
      <c r="C2271" s="635" t="s">
        <v>6219</v>
      </c>
      <c r="D2271" s="636">
        <f>D2270/(D2270+E2270+G2270+H2270+I2270+J2270+L2270+M2270+N2270)</f>
        <v>0.1912364717679195</v>
      </c>
      <c r="E2271" s="636">
        <f>E2270/(D2270+E2270+G2270+H2270+I2270+J2270+L2270+M2270+N2270)</f>
        <v>8.1878219978562289E-2</v>
      </c>
      <c r="F2271" s="637">
        <f t="shared" si="70"/>
        <v>0.27311469174648179</v>
      </c>
      <c r="G2271" s="636">
        <f>G2270/(D2270+E2270+G2270+H2270+I2270+J2270+L2270+M2270+N2270)</f>
        <v>0.21348241762041423</v>
      </c>
      <c r="H2271" s="636">
        <f>H2270/(D2270+E2270+G2270+H2270+I2270+J2270+L2270+M2270+N2270)</f>
        <v>4.3774419971646897E-2</v>
      </c>
      <c r="I2271" s="636">
        <f>I2270/(D2270+E2270+G2270+H2270+I2270+J2270+L2270+M2270+N2270)</f>
        <v>0</v>
      </c>
      <c r="J2271" s="636">
        <f>J2270/(D2270+E2270+G2270+H2270+I2270+J2270+L2270+M2270+N2270)</f>
        <v>0</v>
      </c>
      <c r="K2271" s="637">
        <f t="shared" si="71"/>
        <v>0.25725683759206114</v>
      </c>
      <c r="L2271" s="636">
        <f>L2270/(D2270+E2270+G2270+H2270+I2270+J2270+L2270+M2270+N2270)</f>
        <v>3.1486636008436777E-2</v>
      </c>
      <c r="M2271" s="636">
        <f>M2270/(D2270+E2270+G2270+H2270+I2270+J2270+L2270+M2270+N2270)</f>
        <v>1.7988658760070535E-2</v>
      </c>
      <c r="N2271" s="636">
        <f>N2270/(D2270+E2270+G2270+H2270+I2270+J2270+L2270+M2270+N2270)</f>
        <v>0.42015317589294976</v>
      </c>
      <c r="O2271" s="1503"/>
    </row>
    <row r="2272" spans="1:15" ht="12" customHeight="1">
      <c r="A2272" s="1517"/>
      <c r="B2272" s="1502" t="s">
        <v>14940</v>
      </c>
      <c r="C2272" s="638" t="s">
        <v>6218</v>
      </c>
      <c r="D2272" s="639">
        <v>51042</v>
      </c>
      <c r="E2272" s="639">
        <v>20977</v>
      </c>
      <c r="F2272" s="640">
        <f t="shared" si="70"/>
        <v>72019</v>
      </c>
      <c r="G2272" s="639">
        <v>56212</v>
      </c>
      <c r="H2272" s="639">
        <v>11435</v>
      </c>
      <c r="I2272" s="639"/>
      <c r="J2272" s="639"/>
      <c r="K2272" s="640">
        <f t="shared" si="71"/>
        <v>67647</v>
      </c>
      <c r="L2272" s="639">
        <v>7854</v>
      </c>
      <c r="M2272" s="639"/>
      <c r="N2272" s="639">
        <v>82903</v>
      </c>
      <c r="O2272" s="1503">
        <f>1-N2273</f>
        <v>0.64021386753926479</v>
      </c>
    </row>
    <row r="2273" spans="1:15" ht="12" customHeight="1" thickBot="1">
      <c r="A2273" s="1519"/>
      <c r="B2273" s="1514"/>
      <c r="C2273" s="641" t="s">
        <v>6219</v>
      </c>
      <c r="D2273" s="642">
        <f>D2272/(D2272+E2272+G2272+H2272+I2272+J2272+L2272+M2272+N2272)</f>
        <v>0.22151434535614933</v>
      </c>
      <c r="E2273" s="642">
        <f>E2272/(D2272+E2272+G2272+H2272+I2272+J2272+L2272+M2272+N2272)</f>
        <v>9.1036919057559354E-2</v>
      </c>
      <c r="F2273" s="643">
        <f t="shared" si="70"/>
        <v>0.31255126441370867</v>
      </c>
      <c r="G2273" s="642">
        <f>G2272/(D2272+E2272+G2272+H2272+I2272+J2272+L2272+M2272+N2272)</f>
        <v>0.24395134166294163</v>
      </c>
      <c r="H2273" s="642">
        <f>H2272/(D2272+E2272+G2272+H2272+I2272+J2272+L2272+M2272+N2272)</f>
        <v>4.9626122392295906E-2</v>
      </c>
      <c r="I2273" s="642">
        <f>I2272/(D2272+E2272+G2272+H2272+I2272+J2272+L2272+M2272+N2272)</f>
        <v>0</v>
      </c>
      <c r="J2273" s="642">
        <f>J2272/(D2272+E2272+G2272+H2272+I2272+J2272+L2272+M2272+N2272)</f>
        <v>0</v>
      </c>
      <c r="K2273" s="643">
        <f t="shared" si="71"/>
        <v>0.29357746405523755</v>
      </c>
      <c r="L2273" s="642">
        <f>L2272/(D2272+E2272+G2272+H2272+I2272+J2272+L2272+M2272+N2272)</f>
        <v>3.4085139070318501E-2</v>
      </c>
      <c r="M2273" s="642">
        <f>M2272/(D2272+E2272+G2272+H2272+I2272+J2272+L2272+M2272+N2272)</f>
        <v>0</v>
      </c>
      <c r="N2273" s="642">
        <f>N2272/(D2272+E2272+G2272+H2272+I2272+J2272+L2272+M2272+N2272)</f>
        <v>0.35978613246073526</v>
      </c>
      <c r="O2273" s="1515"/>
    </row>
    <row r="2274" spans="1:15" ht="12" customHeight="1">
      <c r="A2274" s="1516" t="s">
        <v>15222</v>
      </c>
      <c r="B2274" s="1509" t="s">
        <v>14937</v>
      </c>
      <c r="C2274" s="647" t="s">
        <v>6218</v>
      </c>
      <c r="D2274" s="648">
        <v>54595</v>
      </c>
      <c r="E2274" s="648">
        <v>17191</v>
      </c>
      <c r="F2274" s="649">
        <f t="shared" si="70"/>
        <v>71786</v>
      </c>
      <c r="G2274" s="648">
        <v>50747</v>
      </c>
      <c r="H2274" s="648">
        <v>7978</v>
      </c>
      <c r="I2274" s="648">
        <v>2675</v>
      </c>
      <c r="J2274" s="648">
        <v>2054</v>
      </c>
      <c r="K2274" s="649">
        <f t="shared" si="71"/>
        <v>63454</v>
      </c>
      <c r="L2274" s="648">
        <v>4967</v>
      </c>
      <c r="M2274" s="648">
        <v>2300</v>
      </c>
      <c r="N2274" s="648">
        <v>92331</v>
      </c>
      <c r="O2274" s="1510">
        <f>1-N2275</f>
        <v>0.60683109207198149</v>
      </c>
    </row>
    <row r="2275" spans="1:15" ht="12" customHeight="1">
      <c r="A2275" s="1517"/>
      <c r="B2275" s="1502"/>
      <c r="C2275" s="635" t="s">
        <v>6219</v>
      </c>
      <c r="D2275" s="636">
        <f>D2274/(D2274+E2274+G2274+H2274+I2274+J2274+L2274+M2274+N2274)</f>
        <v>0.23247941133888042</v>
      </c>
      <c r="E2275" s="636">
        <f>E2274/(D2274+E2274+G2274+H2274+I2274+J2274+L2274+M2274+N2274)</f>
        <v>7.3203655285771468E-2</v>
      </c>
      <c r="F2275" s="637">
        <f t="shared" si="70"/>
        <v>0.30568306662465189</v>
      </c>
      <c r="G2275" s="636">
        <f>G2274/(D2274+E2274+G2274+H2274+I2274+J2274+L2274+M2274+N2274)</f>
        <v>0.21609364753574806</v>
      </c>
      <c r="H2275" s="636">
        <f>H2274/(D2274+E2274+G2274+H2274+I2274+J2274+L2274+M2274+N2274)</f>
        <v>3.3972355410964154E-2</v>
      </c>
      <c r="I2275" s="636">
        <f>I2274/(D2274+E2274+G2274+H2274+I2274+J2274+L2274+M2274+N2274)</f>
        <v>1.1390831126138019E-2</v>
      </c>
      <c r="J2275" s="636">
        <f>J2274/(D2274+E2274+G2274+H2274+I2274+J2274+L2274+M2274+N2274)</f>
        <v>8.7464550030233613E-3</v>
      </c>
      <c r="K2275" s="637">
        <f t="shared" si="71"/>
        <v>0.2702032890758736</v>
      </c>
      <c r="L2275" s="636">
        <f>L2274/(D2274+E2274+G2274+H2274+I2274+J2274+L2274+M2274+N2274)</f>
        <v>2.1150750730290668E-2</v>
      </c>
      <c r="M2275" s="636">
        <f>M2274/(D2274+E2274+G2274+H2274+I2274+J2274+L2274+M2274+N2274)</f>
        <v>9.7939856411653984E-3</v>
      </c>
      <c r="N2275" s="636">
        <f>N2274/(D2274+E2274+G2274+H2274+I2274+J2274+L2274+M2274+N2274)</f>
        <v>0.39316890792801845</v>
      </c>
      <c r="O2275" s="1503"/>
    </row>
    <row r="2276" spans="1:15" ht="12" customHeight="1">
      <c r="A2276" s="1517"/>
      <c r="B2276" s="1502" t="s">
        <v>14938</v>
      </c>
      <c r="C2276" s="638" t="s">
        <v>6218</v>
      </c>
      <c r="D2276" s="639">
        <v>64811</v>
      </c>
      <c r="E2276" s="639">
        <v>19210</v>
      </c>
      <c r="F2276" s="640">
        <f t="shared" si="70"/>
        <v>84021</v>
      </c>
      <c r="G2276" s="639">
        <v>50687</v>
      </c>
      <c r="H2276" s="639">
        <v>8493</v>
      </c>
      <c r="I2276" s="639">
        <v>7261</v>
      </c>
      <c r="J2276" s="639"/>
      <c r="K2276" s="640">
        <f t="shared" si="71"/>
        <v>66441</v>
      </c>
      <c r="L2276" s="639">
        <v>6118</v>
      </c>
      <c r="M2276" s="639"/>
      <c r="N2276" s="639">
        <v>71543</v>
      </c>
      <c r="O2276" s="1503">
        <f>1-N2277</f>
        <v>0.6863840998058065</v>
      </c>
    </row>
    <row r="2277" spans="1:15" ht="12" customHeight="1">
      <c r="A2277" s="1517"/>
      <c r="B2277" s="1502"/>
      <c r="C2277" s="635" t="s">
        <v>6219</v>
      </c>
      <c r="D2277" s="636">
        <f>D2276/(D2276+E2276+G2276+H2276+I2276+J2276+L2276+M2276+N2276)</f>
        <v>0.2841055044866147</v>
      </c>
      <c r="E2277" s="636">
        <f>E2276/(D2276+E2276+G2276+H2276+I2276+J2276+L2276+M2276+N2276)</f>
        <v>8.4208957448394073E-2</v>
      </c>
      <c r="F2277" s="637">
        <f t="shared" si="70"/>
        <v>0.36831446193500877</v>
      </c>
      <c r="G2277" s="636">
        <f>G2276/(D2276+E2276+G2276+H2276+I2276+J2276+L2276+M2276+N2276)</f>
        <v>0.22219153702169445</v>
      </c>
      <c r="H2277" s="636">
        <f>H2276/(D2276+E2276+G2276+H2276+I2276+J2276+L2276+M2276+N2276)</f>
        <v>3.7229915440354547E-2</v>
      </c>
      <c r="I2277" s="636">
        <f>I2276/(D2276+E2276+G2276+H2276+I2276+J2276+L2276+M2276+N2276)</f>
        <v>3.1829320147464306E-2</v>
      </c>
      <c r="J2277" s="636">
        <f>J2276/(D2276+E2276+G2276+H2276+I2276+J2276+L2276+M2276+N2276)</f>
        <v>0</v>
      </c>
      <c r="K2277" s="637">
        <f t="shared" si="71"/>
        <v>0.29125077260951332</v>
      </c>
      <c r="L2277" s="636">
        <f>L2276/(D2276+E2276+G2276+H2276+I2276+J2276+L2276+M2276+N2276)</f>
        <v>2.6818865261284481E-2</v>
      </c>
      <c r="M2277" s="636">
        <f>M2276/(D2276+E2276+G2276+H2276+I2276+J2276+L2276+M2276+N2276)</f>
        <v>0</v>
      </c>
      <c r="N2277" s="636">
        <f>N2276/(D2276+E2276+G2276+H2276+I2276+J2276+L2276+M2276+N2276)</f>
        <v>0.3136159001941935</v>
      </c>
      <c r="O2277" s="1503"/>
    </row>
    <row r="2278" spans="1:15" ht="12" customHeight="1">
      <c r="A2278" s="1517"/>
      <c r="B2278" s="1502" t="s">
        <v>14939</v>
      </c>
      <c r="C2278" s="638" t="s">
        <v>6218</v>
      </c>
      <c r="D2278" s="639">
        <v>60124</v>
      </c>
      <c r="E2278" s="639">
        <v>17673</v>
      </c>
      <c r="F2278" s="640">
        <f t="shared" si="70"/>
        <v>77797</v>
      </c>
      <c r="G2278" s="639">
        <v>41111</v>
      </c>
      <c r="H2278" s="639">
        <v>7620</v>
      </c>
      <c r="I2278" s="639"/>
      <c r="J2278" s="639"/>
      <c r="K2278" s="640">
        <f t="shared" si="71"/>
        <v>48731</v>
      </c>
      <c r="L2278" s="639">
        <v>5650</v>
      </c>
      <c r="M2278" s="639">
        <v>3827</v>
      </c>
      <c r="N2278" s="639">
        <v>91667</v>
      </c>
      <c r="O2278" s="1503">
        <f>1-N2279</f>
        <v>0.59737253592888018</v>
      </c>
    </row>
    <row r="2279" spans="1:15" ht="12" customHeight="1">
      <c r="A2279" s="1517"/>
      <c r="B2279" s="1502"/>
      <c r="C2279" s="635" t="s">
        <v>6219</v>
      </c>
      <c r="D2279" s="636">
        <f>D2278/(D2278+E2278+G2278+H2278+I2278+J2278+L2278+M2278+N2278)</f>
        <v>0.26408166133736249</v>
      </c>
      <c r="E2279" s="636">
        <f>E2278/(D2278+E2278+G2278+H2278+I2278+J2278+L2278+M2278+N2278)</f>
        <v>7.7624828700938189E-2</v>
      </c>
      <c r="F2279" s="637">
        <f t="shared" si="70"/>
        <v>0.34170649003830067</v>
      </c>
      <c r="G2279" s="636">
        <f>G2278/(D2278+E2278+G2278+H2278+I2278+J2278+L2278+M2278+N2278)</f>
        <v>0.18057117256403948</v>
      </c>
      <c r="H2279" s="636">
        <f>H2278/(D2278+E2278+G2278+H2278+I2278+J2278+L2278+M2278+N2278)</f>
        <v>3.3469201307143613E-2</v>
      </c>
      <c r="I2279" s="636">
        <f>I2278/(D2278+E2278+G2278+H2278+I2278+J2278+L2278+M2278+N2278)</f>
        <v>0</v>
      </c>
      <c r="J2279" s="636">
        <f>J2278/(D2278+E2278+G2278+H2278+I2278+J2278+L2278+M2278+N2278)</f>
        <v>0</v>
      </c>
      <c r="K2279" s="637">
        <f t="shared" si="71"/>
        <v>0.2140403738711831</v>
      </c>
      <c r="L2279" s="636">
        <f>L2278/(D2278+E2278+G2278+H2278+I2278+J2278+L2278+M2278+N2278)</f>
        <v>2.4816402544010682E-2</v>
      </c>
      <c r="M2279" s="636">
        <f>M2278/(D2278+E2278+G2278+H2278+I2278+J2278+L2278+M2278+N2278)</f>
        <v>1.6809269475385642E-2</v>
      </c>
      <c r="N2279" s="636">
        <f>N2278/(D2278+E2278+G2278+H2278+I2278+J2278+L2278+M2278+N2278)</f>
        <v>0.40262746407111988</v>
      </c>
      <c r="O2279" s="1503"/>
    </row>
    <row r="2280" spans="1:15" ht="12" customHeight="1">
      <c r="A2280" s="1517"/>
      <c r="B2280" s="1502" t="s">
        <v>14940</v>
      </c>
      <c r="C2280" s="638" t="s">
        <v>6218</v>
      </c>
      <c r="D2280" s="639">
        <v>60360</v>
      </c>
      <c r="E2280" s="639">
        <v>17884</v>
      </c>
      <c r="F2280" s="640">
        <f t="shared" si="70"/>
        <v>78244</v>
      </c>
      <c r="G2280" s="639">
        <v>40417</v>
      </c>
      <c r="H2280" s="639">
        <v>8190</v>
      </c>
      <c r="I2280" s="639"/>
      <c r="J2280" s="639"/>
      <c r="K2280" s="640">
        <f t="shared" si="71"/>
        <v>48607</v>
      </c>
      <c r="L2280" s="639">
        <v>6822</v>
      </c>
      <c r="M2280" s="639"/>
      <c r="N2280" s="639">
        <v>93918</v>
      </c>
      <c r="O2280" s="1503">
        <f>1-N2281</f>
        <v>0.58733869089726753</v>
      </c>
    </row>
    <row r="2281" spans="1:15" ht="12" customHeight="1" thickBot="1">
      <c r="A2281" s="1519"/>
      <c r="B2281" s="1514"/>
      <c r="C2281" s="641" t="s">
        <v>6219</v>
      </c>
      <c r="D2281" s="642">
        <f>D2280/(D2280+E2280+G2280+H2280+I2280+J2280+L2280+M2280+N2280)</f>
        <v>0.26521259628016924</v>
      </c>
      <c r="E2281" s="642">
        <f>E2280/(D2280+E2280+G2280+H2280+I2280+J2280+L2280+M2280+N2280)</f>
        <v>7.8579557188113769E-2</v>
      </c>
      <c r="F2281" s="643">
        <f t="shared" si="70"/>
        <v>0.34379215346828301</v>
      </c>
      <c r="G2281" s="642">
        <f>G2280/(D2280+E2280+G2280+H2280+I2280+J2280+L2280+M2280+N2280)</f>
        <v>0.17758610841377734</v>
      </c>
      <c r="H2281" s="642">
        <f>H2280/(D2280+E2280+G2280+H2280+I2280+J2280+L2280+M2280+N2280)</f>
        <v>3.5985605757696923E-2</v>
      </c>
      <c r="I2281" s="642">
        <f>I2280/(D2280+E2280+G2280+H2280+I2280+J2280+L2280+M2280+N2280)</f>
        <v>0</v>
      </c>
      <c r="J2281" s="642">
        <f>J2280/(D2280+E2280+G2280+H2280+I2280+J2280+L2280+M2280+N2280)</f>
        <v>0</v>
      </c>
      <c r="K2281" s="643">
        <f t="shared" si="71"/>
        <v>0.21357171417147425</v>
      </c>
      <c r="L2281" s="642">
        <f>L2280/(D2280+E2280+G2280+H2280+I2280+J2280+L2280+M2280+N2280)</f>
        <v>2.9974823257510184E-2</v>
      </c>
      <c r="M2281" s="642">
        <f>M2280/(D2280+E2280+G2280+H2280+I2280+J2280+L2280+M2280+N2280)</f>
        <v>0</v>
      </c>
      <c r="N2281" s="642">
        <f>N2280/(D2280+E2280+G2280+H2280+I2280+J2280+L2280+M2280+N2280)</f>
        <v>0.41266130910273252</v>
      </c>
      <c r="O2281" s="1515"/>
    </row>
    <row r="2282" spans="1:15" ht="12" customHeight="1">
      <c r="A2282" s="1516" t="s">
        <v>15223</v>
      </c>
      <c r="B2282" s="1509" t="s">
        <v>14937</v>
      </c>
      <c r="C2282" s="647" t="s">
        <v>6218</v>
      </c>
      <c r="D2282" s="648">
        <v>47009</v>
      </c>
      <c r="E2282" s="648">
        <v>19945</v>
      </c>
      <c r="F2282" s="649">
        <f t="shared" si="70"/>
        <v>66954</v>
      </c>
      <c r="G2282" s="648">
        <v>45075</v>
      </c>
      <c r="H2282" s="648">
        <v>7377</v>
      </c>
      <c r="I2282" s="648">
        <v>2473</v>
      </c>
      <c r="J2282" s="648">
        <v>2231</v>
      </c>
      <c r="K2282" s="649">
        <f t="shared" si="71"/>
        <v>57156</v>
      </c>
      <c r="L2282" s="648">
        <v>5439</v>
      </c>
      <c r="M2282" s="648">
        <v>2205</v>
      </c>
      <c r="N2282" s="648">
        <v>90688</v>
      </c>
      <c r="O2282" s="1510">
        <f>1-N2283</f>
        <v>0.5923072081711187</v>
      </c>
    </row>
    <row r="2283" spans="1:15" ht="12" customHeight="1">
      <c r="A2283" s="1517"/>
      <c r="B2283" s="1502"/>
      <c r="C2283" s="635" t="s">
        <v>6219</v>
      </c>
      <c r="D2283" s="636">
        <f>D2282/(D2282+E2282+G2282+H2282+I2282+J2282+L2282+M2282+N2282)</f>
        <v>0.2113314931532714</v>
      </c>
      <c r="E2283" s="636">
        <f>E2282/(D2282+E2282+G2282+H2282+I2282+J2282+L2282+M2282+N2282)</f>
        <v>8.9663822479567709E-2</v>
      </c>
      <c r="F2283" s="637">
        <f t="shared" si="70"/>
        <v>0.3009953156328391</v>
      </c>
      <c r="G2283" s="636">
        <f>G2282/(D2282+E2282+G2282+H2282+I2282+J2282+L2282+M2282+N2282)</f>
        <v>0.20263709191609497</v>
      </c>
      <c r="H2283" s="636">
        <f>H2282/(D2282+E2282+G2282+H2282+I2282+J2282+L2282+M2282+N2282)</f>
        <v>3.3163701099612482E-2</v>
      </c>
      <c r="I2283" s="636">
        <f>I2282/(D2282+E2282+G2282+H2282+I2282+J2282+L2282+M2282+N2282)</f>
        <v>1.11175047877649E-2</v>
      </c>
      <c r="J2283" s="636">
        <f>J2282/(D2282+E2282+G2282+H2282+I2282+J2282+L2282+M2282+N2282)</f>
        <v>1.0029580744643548E-2</v>
      </c>
      <c r="K2283" s="637">
        <f t="shared" si="71"/>
        <v>0.2569478785481159</v>
      </c>
      <c r="L2283" s="636">
        <f>L2282/(D2282+E2282+G2282+H2282+I2282+J2282+L2282+M2282+N2282)</f>
        <v>2.4451317646847267E-2</v>
      </c>
      <c r="M2283" s="636">
        <f>M2282/(D2282+E2282+G2282+H2282+I2282+J2282+L2282+M2282+N2282)</f>
        <v>9.9126963433164607E-3</v>
      </c>
      <c r="N2283" s="636">
        <f>N2282/(D2282+E2282+G2282+H2282+I2282+J2282+L2282+M2282+N2282)</f>
        <v>0.40769279182888124</v>
      </c>
      <c r="O2283" s="1503"/>
    </row>
    <row r="2284" spans="1:15" ht="12" customHeight="1">
      <c r="A2284" s="1517"/>
      <c r="B2284" s="1502" t="s">
        <v>14938</v>
      </c>
      <c r="C2284" s="638" t="s">
        <v>6218</v>
      </c>
      <c r="D2284" s="639">
        <v>66706</v>
      </c>
      <c r="E2284" s="639">
        <v>22970</v>
      </c>
      <c r="F2284" s="640">
        <f t="shared" si="70"/>
        <v>89676</v>
      </c>
      <c r="G2284" s="639">
        <v>40467</v>
      </c>
      <c r="H2284" s="639">
        <v>11806</v>
      </c>
      <c r="I2284" s="639">
        <v>8043</v>
      </c>
      <c r="J2284" s="639"/>
      <c r="K2284" s="640">
        <f t="shared" si="71"/>
        <v>60316</v>
      </c>
      <c r="L2284" s="639">
        <v>7710</v>
      </c>
      <c r="M2284" s="639"/>
      <c r="N2284" s="639">
        <v>72693</v>
      </c>
      <c r="O2284" s="1503">
        <f>1-N2285</f>
        <v>0.6844853403936717</v>
      </c>
    </row>
    <row r="2285" spans="1:15" ht="12" customHeight="1">
      <c r="A2285" s="1517"/>
      <c r="B2285" s="1502"/>
      <c r="C2285" s="635" t="s">
        <v>6219</v>
      </c>
      <c r="D2285" s="636">
        <f>D2284/(D2284+E2284+G2284+H2284+I2284+J2284+L2284+M2284+N2284)</f>
        <v>0.28952885262266975</v>
      </c>
      <c r="E2285" s="636">
        <f>E2284/(D2284+E2284+G2284+H2284+I2284+J2284+L2284+M2284+N2284)</f>
        <v>9.969834414809349E-2</v>
      </c>
      <c r="F2285" s="637">
        <f t="shared" si="70"/>
        <v>0.38922719677076323</v>
      </c>
      <c r="G2285" s="636">
        <f>G2284/(D2284+E2284+G2284+H2284+I2284+J2284+L2284+M2284+N2284)</f>
        <v>0.17564183250504567</v>
      </c>
      <c r="H2285" s="636">
        <f>H2284/(D2284+E2284+G2284+H2284+I2284+J2284+L2284+M2284+N2284)</f>
        <v>5.1242431476377526E-2</v>
      </c>
      <c r="I2285" s="636">
        <f>I2284/(D2284+E2284+G2284+H2284+I2284+J2284+L2284+M2284+N2284)</f>
        <v>3.4909611753727296E-2</v>
      </c>
      <c r="J2285" s="636">
        <f>J2284/(D2284+E2284+G2284+H2284+I2284+J2284+L2284+M2284+N2284)</f>
        <v>0</v>
      </c>
      <c r="K2285" s="637">
        <f t="shared" si="71"/>
        <v>0.26179387573515051</v>
      </c>
      <c r="L2285" s="636">
        <f>L2284/(D2284+E2284+G2284+H2284+I2284+J2284+L2284+M2284+N2284)</f>
        <v>3.3464267887757984E-2</v>
      </c>
      <c r="M2285" s="636">
        <f>M2284/(D2284+E2284+G2284+H2284+I2284+J2284+L2284+M2284+N2284)</f>
        <v>0</v>
      </c>
      <c r="N2285" s="636">
        <f>N2284/(D2284+E2284+G2284+H2284+I2284+J2284+L2284+M2284+N2284)</f>
        <v>0.31551465960632824</v>
      </c>
      <c r="O2285" s="1503"/>
    </row>
    <row r="2286" spans="1:15" ht="12" customHeight="1">
      <c r="A2286" s="1517"/>
      <c r="B2286" s="1502" t="s">
        <v>14939</v>
      </c>
      <c r="C2286" s="638" t="s">
        <v>6218</v>
      </c>
      <c r="D2286" s="639">
        <v>55541</v>
      </c>
      <c r="E2286" s="639">
        <v>22635</v>
      </c>
      <c r="F2286" s="640">
        <f t="shared" si="70"/>
        <v>78176</v>
      </c>
      <c r="G2286" s="639">
        <v>42319</v>
      </c>
      <c r="H2286" s="639">
        <v>7553</v>
      </c>
      <c r="I2286" s="639"/>
      <c r="J2286" s="639"/>
      <c r="K2286" s="640">
        <f t="shared" si="71"/>
        <v>49872</v>
      </c>
      <c r="L2286" s="639">
        <v>6842</v>
      </c>
      <c r="M2286" s="639">
        <v>4147</v>
      </c>
      <c r="N2286" s="639">
        <v>91659</v>
      </c>
      <c r="O2286" s="1503">
        <f>1-N2287</f>
        <v>0.60268491868086138</v>
      </c>
    </row>
    <row r="2287" spans="1:15" ht="12" customHeight="1">
      <c r="A2287" s="1517"/>
      <c r="B2287" s="1502"/>
      <c r="C2287" s="635" t="s">
        <v>6219</v>
      </c>
      <c r="D2287" s="636">
        <f>D2286/(D2286+E2286+G2286+H2286+I2286+J2286+L2286+M2286+N2286)</f>
        <v>0.24075406595693033</v>
      </c>
      <c r="E2287" s="636">
        <f>E2286/(D2286+E2286+G2286+H2286+I2286+J2286+L2286+M2286+N2286)</f>
        <v>9.811613552033846E-2</v>
      </c>
      <c r="F2287" s="637">
        <f t="shared" si="70"/>
        <v>0.33887020147726876</v>
      </c>
      <c r="G2287" s="636">
        <f>G2286/(D2286+E2286+G2286+H2286+I2286+J2286+L2286+M2286+N2286)</f>
        <v>0.18344054513298888</v>
      </c>
      <c r="H2287" s="636">
        <f>H2286/(D2286+E2286+G2286+H2286+I2286+J2286+L2286+M2286+N2286)</f>
        <v>3.2740056177827097E-2</v>
      </c>
      <c r="I2287" s="636">
        <f>I2286/(D2286+E2286+G2286+H2286+I2286+J2286+L2286+M2286+N2286)</f>
        <v>0</v>
      </c>
      <c r="J2287" s="636">
        <f>J2286/(D2286+E2286+G2286+H2286+I2286+J2286+L2286+M2286+N2286)</f>
        <v>0</v>
      </c>
      <c r="K2287" s="637">
        <f t="shared" si="71"/>
        <v>0.21618060131081598</v>
      </c>
      <c r="L2287" s="636">
        <f>L2286/(D2286+E2286+G2286+H2286+I2286+J2286+L2286+M2286+N2286)</f>
        <v>2.965807816347054E-2</v>
      </c>
      <c r="M2287" s="636">
        <f>M2286/(D2286+E2286+G2286+H2286+I2286+J2286+L2286+M2286+N2286)</f>
        <v>1.7976037729306098E-2</v>
      </c>
      <c r="N2287" s="636">
        <f>N2286/(D2286+E2286+G2286+H2286+I2286+J2286+L2286+M2286+N2286)</f>
        <v>0.39731508131913862</v>
      </c>
      <c r="O2287" s="1503"/>
    </row>
    <row r="2288" spans="1:15" ht="12" customHeight="1">
      <c r="A2288" s="1517"/>
      <c r="B2288" s="1502" t="s">
        <v>14940</v>
      </c>
      <c r="C2288" s="638" t="s">
        <v>6218</v>
      </c>
      <c r="D2288" s="639">
        <v>63022</v>
      </c>
      <c r="E2288" s="639">
        <v>22469</v>
      </c>
      <c r="F2288" s="640">
        <f t="shared" si="70"/>
        <v>85491</v>
      </c>
      <c r="G2288" s="639">
        <v>42722</v>
      </c>
      <c r="H2288" s="639">
        <v>7687</v>
      </c>
      <c r="I2288" s="639"/>
      <c r="J2288" s="639"/>
      <c r="K2288" s="640">
        <f t="shared" si="71"/>
        <v>50409</v>
      </c>
      <c r="L2288" s="639">
        <v>7887</v>
      </c>
      <c r="M2288" s="639"/>
      <c r="N2288" s="639">
        <v>87007</v>
      </c>
      <c r="O2288" s="1503">
        <f>1-N2289</f>
        <v>0.62301013024602026</v>
      </c>
    </row>
    <row r="2289" spans="1:15" ht="12" customHeight="1" thickBot="1">
      <c r="A2289" s="1519"/>
      <c r="B2289" s="1514"/>
      <c r="C2289" s="641" t="s">
        <v>6219</v>
      </c>
      <c r="D2289" s="642">
        <f>D2288/(D2288+E2288+G2288+H2288+I2288+J2288+L2288+M2288+N2288)</f>
        <v>0.27306602424673088</v>
      </c>
      <c r="E2289" s="642">
        <f>E2288/(D2288+E2288+G2288+H2288+I2288+J2288+L2288+M2288+N2288)</f>
        <v>9.7355217206686481E-2</v>
      </c>
      <c r="F2289" s="643">
        <f t="shared" si="70"/>
        <v>0.37042124145341737</v>
      </c>
      <c r="G2289" s="642">
        <f>G2288/(D2288+E2288+G2288+H2288+I2288+J2288+L2288+M2288+N2288)</f>
        <v>0.18510879832231342</v>
      </c>
      <c r="H2289" s="642">
        <f>H2288/(D2288+E2288+G2288+H2288+I2288+J2288+L2288+M2288+N2288)</f>
        <v>3.3306758407930882E-2</v>
      </c>
      <c r="I2289" s="642">
        <f>I2288/(D2288+E2288+G2288+H2288+I2288+J2288+L2288+M2288+N2288)</f>
        <v>0</v>
      </c>
      <c r="J2289" s="642">
        <f>J2288/(D2288+E2288+G2288+H2288+I2288+J2288+L2288+M2288+N2288)</f>
        <v>0</v>
      </c>
      <c r="K2289" s="643">
        <f t="shared" si="71"/>
        <v>0.21841555673024429</v>
      </c>
      <c r="L2289" s="642">
        <f>L2288/(D2288+E2288+G2288+H2288+I2288+J2288+L2288+M2288+N2288)</f>
        <v>3.417333206235864E-2</v>
      </c>
      <c r="M2289" s="642">
        <f>M2288/(D2288+E2288+G2288+H2288+I2288+J2288+L2288+M2288+N2288)</f>
        <v>0</v>
      </c>
      <c r="N2289" s="642">
        <f>N2288/(D2288+E2288+G2288+H2288+I2288+J2288+L2288+M2288+N2288)</f>
        <v>0.37698986975397974</v>
      </c>
      <c r="O2289" s="1515"/>
    </row>
    <row r="2290" spans="1:15" ht="12" customHeight="1">
      <c r="A2290" s="1526" t="s">
        <v>15224</v>
      </c>
      <c r="B2290" s="1509" t="s">
        <v>14937</v>
      </c>
      <c r="C2290" s="647" t="s">
        <v>6218</v>
      </c>
      <c r="D2290" s="648">
        <v>47715</v>
      </c>
      <c r="E2290" s="648">
        <v>27635</v>
      </c>
      <c r="F2290" s="649">
        <f t="shared" si="70"/>
        <v>75350</v>
      </c>
      <c r="G2290" s="648">
        <v>97267</v>
      </c>
      <c r="H2290" s="648">
        <v>7518</v>
      </c>
      <c r="I2290" s="648">
        <v>2663</v>
      </c>
      <c r="J2290" s="648">
        <v>4174</v>
      </c>
      <c r="K2290" s="649">
        <f t="shared" si="71"/>
        <v>111622</v>
      </c>
      <c r="L2290" s="648">
        <v>11102</v>
      </c>
      <c r="M2290" s="648">
        <v>2263</v>
      </c>
      <c r="N2290" s="648">
        <v>154684</v>
      </c>
      <c r="O2290" s="1510">
        <f>1-N2291</f>
        <v>0.56429619656302021</v>
      </c>
    </row>
    <row r="2291" spans="1:15" ht="12" customHeight="1">
      <c r="A2291" s="1527"/>
      <c r="B2291" s="1502"/>
      <c r="C2291" s="635" t="s">
        <v>6219</v>
      </c>
      <c r="D2291" s="636">
        <f>D2290/(D2290+E2290+G2290+H2290+I2290+J2290+L2290+M2290+N2290)</f>
        <v>0.13440050025209777</v>
      </c>
      <c r="E2291" s="636">
        <f>E2290/(D2290+E2290+G2290+H2290+I2290+J2290+L2290+M2290+N2290)</f>
        <v>7.7840465775264003E-2</v>
      </c>
      <c r="F2291" s="637">
        <f t="shared" si="70"/>
        <v>0.21224096602736175</v>
      </c>
      <c r="G2291" s="636">
        <f>G2290/(D2290+E2290+G2290+H2290+I2290+J2290+L2290+M2290+N2290)</f>
        <v>0.27397534230369469</v>
      </c>
      <c r="H2291" s="636">
        <f>H2290/(D2290+E2290+G2290+H2290+I2290+J2290+L2290+M2290+N2290)</f>
        <v>2.1176212111396229E-2</v>
      </c>
      <c r="I2291" s="636">
        <f>I2290/(D2290+E2290+G2290+H2290+I2290+J2290+L2290+M2290+N2290)</f>
        <v>7.5009647316637605E-3</v>
      </c>
      <c r="J2291" s="636">
        <f>J2290/(D2290+E2290+G2290+H2290+I2290+J2290+L2290+M2290+N2290)</f>
        <v>1.1757050991349808E-2</v>
      </c>
      <c r="K2291" s="637">
        <f t="shared" si="71"/>
        <v>0.31440957013810455</v>
      </c>
      <c r="L2291" s="636">
        <f>L2290/(D2290+E2290+G2290+H2290+I2290+J2290+L2290+M2290+N2290)</f>
        <v>3.1271389579771339E-2</v>
      </c>
      <c r="M2291" s="636">
        <f>M2290/(D2290+E2290+G2290+H2290+I2290+J2290+L2290+M2290+N2290)</f>
        <v>6.3742708177826103E-3</v>
      </c>
      <c r="N2291" s="636">
        <f>N2290/(D2290+E2290+G2290+H2290+I2290+J2290+L2290+M2290+N2290)</f>
        <v>0.43570380343697979</v>
      </c>
      <c r="O2291" s="1503"/>
    </row>
    <row r="2292" spans="1:15" ht="12" customHeight="1">
      <c r="A2292" s="1527"/>
      <c r="B2292" s="1502" t="s">
        <v>14938</v>
      </c>
      <c r="C2292" s="638" t="s">
        <v>6218</v>
      </c>
      <c r="D2292" s="639">
        <v>76267</v>
      </c>
      <c r="E2292" s="639">
        <v>34221</v>
      </c>
      <c r="F2292" s="640">
        <f t="shared" si="70"/>
        <v>110488</v>
      </c>
      <c r="G2292" s="639">
        <v>76886</v>
      </c>
      <c r="H2292" s="639">
        <v>16887</v>
      </c>
      <c r="I2292" s="639">
        <v>8505</v>
      </c>
      <c r="J2292" s="639"/>
      <c r="K2292" s="640">
        <f t="shared" si="71"/>
        <v>102278</v>
      </c>
      <c r="L2292" s="639">
        <v>15093</v>
      </c>
      <c r="M2292" s="639"/>
      <c r="N2292" s="639">
        <v>129058</v>
      </c>
      <c r="O2292" s="1503">
        <f>1-N2293</f>
        <v>0.63840892980721009</v>
      </c>
    </row>
    <row r="2293" spans="1:15" ht="12" customHeight="1">
      <c r="A2293" s="1527"/>
      <c r="B2293" s="1502"/>
      <c r="C2293" s="635" t="s">
        <v>6219</v>
      </c>
      <c r="D2293" s="636">
        <f>D2292/(D2292+E2292+G2292+H2292+I2292+J2292+L2292+M2292+N2292)</f>
        <v>0.21368273296032411</v>
      </c>
      <c r="E2293" s="636">
        <f>E2292/(D2292+E2292+G2292+H2292+I2292+J2292+L2292+M2292+N2292)</f>
        <v>9.5879434154159088E-2</v>
      </c>
      <c r="F2293" s="637">
        <f t="shared" si="70"/>
        <v>0.3095621671144832</v>
      </c>
      <c r="G2293" s="636">
        <f>G2292/(D2292+E2292+G2292+H2292+I2292+J2292+L2292+M2292+N2292)</f>
        <v>0.215417029729601</v>
      </c>
      <c r="H2293" s="636">
        <f>H2292/(D2292+E2292+G2292+H2292+I2292+J2292+L2292+M2292+N2292)</f>
        <v>4.7313521070725124E-2</v>
      </c>
      <c r="I2293" s="636">
        <f>I2292/(D2292+E2292+G2292+H2292+I2292+J2292+L2292+M2292+N2292)</f>
        <v>2.3829069503554047E-2</v>
      </c>
      <c r="J2293" s="636">
        <f>J2292/(D2292+E2292+G2292+H2292+I2292+J2292+L2292+M2292+N2292)</f>
        <v>0</v>
      </c>
      <c r="K2293" s="637">
        <f t="shared" si="71"/>
        <v>0.28655962030388021</v>
      </c>
      <c r="L2293" s="636">
        <f>L2292/(D2292+E2292+G2292+H2292+I2292+J2292+L2292+M2292+N2292)</f>
        <v>4.2287142388846705E-2</v>
      </c>
      <c r="M2293" s="636">
        <f>M2292/(D2292+E2292+G2292+H2292+I2292+J2292+L2292+M2292+N2292)</f>
        <v>0</v>
      </c>
      <c r="N2293" s="636">
        <f>N2292/(D2292+E2292+G2292+H2292+I2292+J2292+L2292+M2292+N2292)</f>
        <v>0.36159107019278991</v>
      </c>
      <c r="O2293" s="1503"/>
    </row>
    <row r="2294" spans="1:15" ht="12" customHeight="1">
      <c r="A2294" s="1527"/>
      <c r="B2294" s="1502" t="s">
        <v>14939</v>
      </c>
      <c r="C2294" s="638" t="s">
        <v>6218</v>
      </c>
      <c r="D2294" s="639">
        <v>52098</v>
      </c>
      <c r="E2294" s="639">
        <v>33315</v>
      </c>
      <c r="F2294" s="640">
        <f t="shared" si="70"/>
        <v>85413</v>
      </c>
      <c r="G2294" s="639">
        <v>81856</v>
      </c>
      <c r="H2294" s="639">
        <v>12117</v>
      </c>
      <c r="I2294" s="639"/>
      <c r="J2294" s="639"/>
      <c r="K2294" s="640">
        <f t="shared" si="71"/>
        <v>93973</v>
      </c>
      <c r="L2294" s="639">
        <v>13124</v>
      </c>
      <c r="M2294" s="639">
        <v>5281</v>
      </c>
      <c r="N2294" s="639">
        <v>160287</v>
      </c>
      <c r="O2294" s="1503">
        <f>1-N2295</f>
        <v>0.55236847837621972</v>
      </c>
    </row>
    <row r="2295" spans="1:15" ht="12" customHeight="1">
      <c r="A2295" s="1527"/>
      <c r="B2295" s="1502"/>
      <c r="C2295" s="635" t="s">
        <v>6219</v>
      </c>
      <c r="D2295" s="636">
        <f>D2294/(D2294+E2294+G2294+H2294+I2294+J2294+L2294+M2294+N2294)</f>
        <v>0.14549343997676484</v>
      </c>
      <c r="E2295" s="636">
        <f>E2294/(D2294+E2294+G2294+H2294+I2294+J2294+L2294+M2294+N2294)</f>
        <v>9.3038388284116869E-2</v>
      </c>
      <c r="F2295" s="637">
        <f t="shared" si="70"/>
        <v>0.23853182826088171</v>
      </c>
      <c r="G2295" s="636">
        <f>G2294/(D2294+E2294+G2294+H2294+I2294+J2294+L2294+M2294+N2294)</f>
        <v>0.22859823837264506</v>
      </c>
      <c r="H2295" s="636">
        <f>H2294/(D2294+E2294+G2294+H2294+I2294+J2294+L2294+M2294+N2294)</f>
        <v>3.3838995972944444E-2</v>
      </c>
      <c r="I2295" s="636">
        <f>I2294/(D2294+E2294+G2294+H2294+I2294+J2294+L2294+M2294+N2294)</f>
        <v>0</v>
      </c>
      <c r="J2295" s="636">
        <f>J2294/(D2294+E2294+G2294+H2294+I2294+J2294+L2294+M2294+N2294)</f>
        <v>0</v>
      </c>
      <c r="K2295" s="637">
        <f t="shared" si="71"/>
        <v>0.26243723434558952</v>
      </c>
      <c r="L2295" s="636">
        <f>L2294/(D2294+E2294+G2294+H2294+I2294+J2294+L2294+M2294+N2294)</f>
        <v>3.665123241304967E-2</v>
      </c>
      <c r="M2295" s="636">
        <f>M2294/(D2294+E2294+G2294+H2294+I2294+J2294+L2294+M2294+N2294)</f>
        <v>1.474818335669882E-2</v>
      </c>
      <c r="N2295" s="636">
        <f>N2294/(D2294+E2294+G2294+H2294+I2294+J2294+L2294+M2294+N2294)</f>
        <v>0.44763152162378028</v>
      </c>
      <c r="O2295" s="1503"/>
    </row>
    <row r="2296" spans="1:15" ht="12" customHeight="1">
      <c r="A2296" s="1527"/>
      <c r="B2296" s="1502" t="s">
        <v>14940</v>
      </c>
      <c r="C2296" s="638" t="s">
        <v>6218</v>
      </c>
      <c r="D2296" s="639">
        <v>59513</v>
      </c>
      <c r="E2296" s="639">
        <v>33895</v>
      </c>
      <c r="F2296" s="640">
        <f t="shared" si="70"/>
        <v>93408</v>
      </c>
      <c r="G2296" s="639">
        <v>86724</v>
      </c>
      <c r="H2296" s="639">
        <v>13434</v>
      </c>
      <c r="I2296" s="639"/>
      <c r="J2296" s="639"/>
      <c r="K2296" s="640">
        <f t="shared" si="71"/>
        <v>100158</v>
      </c>
      <c r="L2296" s="639">
        <v>14045</v>
      </c>
      <c r="M2296" s="639"/>
      <c r="N2296" s="639">
        <v>150578</v>
      </c>
      <c r="O2296" s="1503">
        <f>1-N2297</f>
        <v>0.57961299760740836</v>
      </c>
    </row>
    <row r="2297" spans="1:15" ht="12" customHeight="1" thickBot="1">
      <c r="A2297" s="1528"/>
      <c r="B2297" s="1514"/>
      <c r="C2297" s="641" t="s">
        <v>6219</v>
      </c>
      <c r="D2297" s="642">
        <f>D2296/(D2296+E2296+G2296+H2296+I2296+J2296+L2296+M2296+N2296)</f>
        <v>0.1661497142569984</v>
      </c>
      <c r="E2297" s="642">
        <f>E2296/(D2296+E2296+G2296+H2296+I2296+J2296+L2296+M2296+N2296)</f>
        <v>9.462881328013982E-2</v>
      </c>
      <c r="F2297" s="643">
        <f t="shared" si="70"/>
        <v>0.2607785275371382</v>
      </c>
      <c r="G2297" s="642">
        <f>G2296/(D2296+E2296+G2296+H2296+I2296+J2296+L2296+M2296+N2296)</f>
        <v>0.24211798798958092</v>
      </c>
      <c r="H2297" s="642">
        <f>H2296/(D2296+E2296+G2296+H2296+I2296+J2296+L2296+M2296+N2296)</f>
        <v>3.7505339359946842E-2</v>
      </c>
      <c r="I2297" s="642">
        <f>I2296/(D2296+E2296+G2296+H2296+I2296+J2296+L2296+M2296+N2296)</f>
        <v>0</v>
      </c>
      <c r="J2297" s="642">
        <f>J2296/(D2296+E2296+G2296+H2296+I2296+J2296+L2296+M2296+N2296)</f>
        <v>0</v>
      </c>
      <c r="K2297" s="643">
        <f t="shared" si="71"/>
        <v>0.27962332734952777</v>
      </c>
      <c r="L2297" s="642">
        <f>L2296/(D2296+E2296+G2296+H2296+I2296+J2296+L2296+M2296+N2296)</f>
        <v>3.9211142720742401E-2</v>
      </c>
      <c r="M2297" s="642">
        <f>M2296/(D2296+E2296+G2296+H2296+I2296+J2296+L2296+M2296+N2296)</f>
        <v>0</v>
      </c>
      <c r="N2297" s="642">
        <f>N2296/(D2296+E2296+G2296+H2296+I2296+J2296+L2296+M2296+N2296)</f>
        <v>0.42038700239259164</v>
      </c>
      <c r="O2297" s="1515"/>
    </row>
    <row r="2298" spans="1:15" ht="12" customHeight="1">
      <c r="A2298" s="1516" t="s">
        <v>15225</v>
      </c>
      <c r="B2298" s="1509" t="s">
        <v>14937</v>
      </c>
      <c r="C2298" s="647" t="s">
        <v>6218</v>
      </c>
      <c r="D2298" s="648">
        <v>63652</v>
      </c>
      <c r="E2298" s="648">
        <v>28459</v>
      </c>
      <c r="F2298" s="649">
        <f t="shared" si="70"/>
        <v>92111</v>
      </c>
      <c r="G2298" s="648">
        <v>90682</v>
      </c>
      <c r="H2298" s="648">
        <v>6097</v>
      </c>
      <c r="I2298" s="648">
        <v>3029</v>
      </c>
      <c r="J2298" s="648">
        <v>3135</v>
      </c>
      <c r="K2298" s="649">
        <f t="shared" si="71"/>
        <v>102943</v>
      </c>
      <c r="L2298" s="648">
        <v>7713</v>
      </c>
      <c r="M2298" s="648">
        <v>2187</v>
      </c>
      <c r="N2298" s="648">
        <v>131995</v>
      </c>
      <c r="O2298" s="1510">
        <f>1-N2299</f>
        <v>0.60826415867089678</v>
      </c>
    </row>
    <row r="2299" spans="1:15" ht="12" customHeight="1">
      <c r="A2299" s="1517"/>
      <c r="B2299" s="1502"/>
      <c r="C2299" s="635" t="s">
        <v>6219</v>
      </c>
      <c r="D2299" s="636">
        <f>D2298/(D2298+E2298+G2298+H2298+I2298+J2298+L2298+M2298+N2298)</f>
        <v>0.18890692656752209</v>
      </c>
      <c r="E2299" s="636">
        <f>E2298/(D2298+E2298+G2298+H2298+I2298+J2298+L2298+M2298+N2298)</f>
        <v>8.4460853126140753E-2</v>
      </c>
      <c r="F2299" s="637">
        <f t="shared" si="70"/>
        <v>0.27336777969366283</v>
      </c>
      <c r="G2299" s="636">
        <f>G2298/(D2298+E2298+G2298+H2298+I2298+J2298+L2298+M2298+N2298)</f>
        <v>0.26912678179783883</v>
      </c>
      <c r="H2299" s="636">
        <f>H2298/(D2298+E2298+G2298+H2298+I2298+J2298+L2298+M2298+N2298)</f>
        <v>1.8094726501636745E-2</v>
      </c>
      <c r="I2299" s="636">
        <f>I2298/(D2298+E2298+G2298+H2298+I2298+J2298+L2298+M2298+N2298)</f>
        <v>8.9894909912182561E-3</v>
      </c>
      <c r="J2299" s="636">
        <f>J2298/(D2298+E2298+G2298+H2298+I2298+J2298+L2298+M2298+N2298)</f>
        <v>9.3040786587881251E-3</v>
      </c>
      <c r="K2299" s="637">
        <f t="shared" si="71"/>
        <v>0.30551507794948196</v>
      </c>
      <c r="L2299" s="636">
        <f>L2298/(D2298+E2298+G2298+H2298+I2298+J2298+L2298+M2298+N2298)</f>
        <v>2.2890704527984949E-2</v>
      </c>
      <c r="M2299" s="636">
        <f>M2298/(D2298+E2298+G2298+H2298+I2298+J2298+L2298+M2298+N2298)</f>
        <v>6.4905964997670268E-3</v>
      </c>
      <c r="N2299" s="636">
        <f>N2298/(D2298+E2298+G2298+H2298+I2298+J2298+L2298+M2298+N2298)</f>
        <v>0.39173584132910322</v>
      </c>
      <c r="O2299" s="1503"/>
    </row>
    <row r="2300" spans="1:15" ht="12" customHeight="1">
      <c r="A2300" s="1517"/>
      <c r="B2300" s="1502" t="s">
        <v>14938</v>
      </c>
      <c r="C2300" s="638" t="s">
        <v>6218</v>
      </c>
      <c r="D2300" s="639">
        <v>85141</v>
      </c>
      <c r="E2300" s="639">
        <v>35197</v>
      </c>
      <c r="F2300" s="640">
        <f t="shared" si="70"/>
        <v>120338</v>
      </c>
      <c r="G2300" s="639">
        <v>68291</v>
      </c>
      <c r="H2300" s="639">
        <v>13421</v>
      </c>
      <c r="I2300" s="639">
        <v>8144</v>
      </c>
      <c r="J2300" s="639"/>
      <c r="K2300" s="640">
        <f t="shared" si="71"/>
        <v>89856</v>
      </c>
      <c r="L2300" s="639">
        <v>11300</v>
      </c>
      <c r="M2300" s="639"/>
      <c r="N2300" s="639">
        <v>117432</v>
      </c>
      <c r="O2300" s="1503">
        <f>1-N2301</f>
        <v>0.65351728695939526</v>
      </c>
    </row>
    <row r="2301" spans="1:15" ht="12" customHeight="1">
      <c r="A2301" s="1517"/>
      <c r="B2301" s="1502"/>
      <c r="C2301" s="635" t="s">
        <v>6219</v>
      </c>
      <c r="D2301" s="636">
        <f>D2300/(D2300+E2300+G2300+H2300+I2300+J2300+L2300+M2300+N2300)</f>
        <v>0.25120822834483042</v>
      </c>
      <c r="E2301" s="636">
        <f>E2300/(D2300+E2300+G2300+H2300+I2300+J2300+L2300+M2300+N2300)</f>
        <v>0.10384862772404596</v>
      </c>
      <c r="F2301" s="637">
        <f t="shared" si="70"/>
        <v>0.35505685606887638</v>
      </c>
      <c r="G2301" s="636">
        <f>G2300/(D2300+E2300+G2300+H2300+I2300+J2300+L2300+M2300+N2300)</f>
        <v>0.20149236116438396</v>
      </c>
      <c r="H2301" s="636">
        <f>H2300/(D2300+E2300+G2300+H2300+I2300+J2300+L2300+M2300+N2300)</f>
        <v>3.9598614446811398E-2</v>
      </c>
      <c r="I2301" s="636">
        <f>I2300/(D2300+E2300+G2300+H2300+I2300+J2300+L2300+M2300+N2300)</f>
        <v>2.4028844054454365E-2</v>
      </c>
      <c r="J2301" s="636">
        <f>J2300/(D2300+E2300+G2300+H2300+I2300+J2300+L2300+M2300+N2300)</f>
        <v>0</v>
      </c>
      <c r="K2301" s="637">
        <f t="shared" si="71"/>
        <v>0.26511981966564974</v>
      </c>
      <c r="L2301" s="636">
        <f>L2300/(D2300+E2300+G2300+H2300+I2300+J2300+L2300+M2300+N2300)</f>
        <v>3.3340611224869143E-2</v>
      </c>
      <c r="M2301" s="636">
        <f>M2300/(D2300+E2300+G2300+H2300+I2300+J2300+L2300+M2300+N2300)</f>
        <v>0</v>
      </c>
      <c r="N2301" s="636">
        <f>N2300/(D2300+E2300+G2300+H2300+I2300+J2300+L2300+M2300+N2300)</f>
        <v>0.34648271304060474</v>
      </c>
      <c r="O2301" s="1503"/>
    </row>
    <row r="2302" spans="1:15" ht="12" customHeight="1">
      <c r="A2302" s="1517"/>
      <c r="B2302" s="1502" t="s">
        <v>14939</v>
      </c>
      <c r="C2302" s="638" t="s">
        <v>6218</v>
      </c>
      <c r="D2302" s="639">
        <v>71026</v>
      </c>
      <c r="E2302" s="639">
        <v>30536</v>
      </c>
      <c r="F2302" s="640">
        <f t="shared" si="70"/>
        <v>101562</v>
      </c>
      <c r="G2302" s="639">
        <v>65597</v>
      </c>
      <c r="H2302" s="639">
        <v>10222</v>
      </c>
      <c r="I2302" s="639"/>
      <c r="J2302" s="639"/>
      <c r="K2302" s="640">
        <f t="shared" si="71"/>
        <v>75819</v>
      </c>
      <c r="L2302" s="639">
        <v>8806</v>
      </c>
      <c r="M2302" s="639">
        <v>4955</v>
      </c>
      <c r="N2302" s="639">
        <v>146617</v>
      </c>
      <c r="O2302" s="1503">
        <f>1-N2303</f>
        <v>0.56591238131330335</v>
      </c>
    </row>
    <row r="2303" spans="1:15" ht="12" customHeight="1">
      <c r="A2303" s="1517"/>
      <c r="B2303" s="1502"/>
      <c r="C2303" s="635" t="s">
        <v>6219</v>
      </c>
      <c r="D2303" s="636">
        <f>D2302/(D2302+E2302+G2302+H2302+I2302+J2302+L2302+M2302+N2302)</f>
        <v>0.21028603234850884</v>
      </c>
      <c r="E2303" s="636">
        <f>E2302/(D2302+E2302+G2302+H2302+I2302+J2302+L2302+M2302+N2302)</f>
        <v>9.040765753096143E-2</v>
      </c>
      <c r="F2303" s="637">
        <f t="shared" si="70"/>
        <v>0.30069368987947026</v>
      </c>
      <c r="G2303" s="636">
        <f>G2302/(D2302+E2302+G2302+H2302+I2302+J2302+L2302+M2302+N2302)</f>
        <v>0.19421244141532867</v>
      </c>
      <c r="H2303" s="636">
        <f>H2302/(D2302+E2302+G2302+H2302+I2302+J2302+L2302+M2302+N2302)</f>
        <v>3.0264182449616442E-2</v>
      </c>
      <c r="I2303" s="636">
        <f>I2302/(D2302+E2302+G2302+H2302+I2302+J2302+L2302+M2302+N2302)</f>
        <v>0</v>
      </c>
      <c r="J2303" s="636">
        <f>J2302/(D2302+E2302+G2302+H2302+I2302+J2302+L2302+M2302+N2302)</f>
        <v>0</v>
      </c>
      <c r="K2303" s="637">
        <f t="shared" si="71"/>
        <v>0.2244766238649451</v>
      </c>
      <c r="L2303" s="636">
        <f>L2302/(D2302+E2302+G2302+H2302+I2302+J2302+L2302+M2302+N2302)</f>
        <v>2.6071844125545137E-2</v>
      </c>
      <c r="M2303" s="636">
        <f>M2302/(D2302+E2302+G2302+H2302+I2302+J2302+L2302+M2302+N2302)</f>
        <v>1.4670223443342739E-2</v>
      </c>
      <c r="N2303" s="636">
        <f>N2302/(D2302+E2302+G2302+H2302+I2302+J2302+L2302+M2302+N2302)</f>
        <v>0.43408761868669671</v>
      </c>
      <c r="O2303" s="1503"/>
    </row>
    <row r="2304" spans="1:15" ht="12" customHeight="1">
      <c r="A2304" s="1517"/>
      <c r="B2304" s="1502" t="s">
        <v>14940</v>
      </c>
      <c r="C2304" s="638" t="s">
        <v>6218</v>
      </c>
      <c r="D2304" s="639">
        <v>75199</v>
      </c>
      <c r="E2304" s="639">
        <v>32257</v>
      </c>
      <c r="F2304" s="640">
        <f t="shared" si="70"/>
        <v>107456</v>
      </c>
      <c r="G2304" s="639">
        <v>58657</v>
      </c>
      <c r="H2304" s="639">
        <v>16550</v>
      </c>
      <c r="I2304" s="639"/>
      <c r="J2304" s="639"/>
      <c r="K2304" s="640">
        <f t="shared" si="71"/>
        <v>75207</v>
      </c>
      <c r="L2304" s="639">
        <v>10464</v>
      </c>
      <c r="M2304" s="639"/>
      <c r="N2304" s="639">
        <v>144056</v>
      </c>
      <c r="O2304" s="1503">
        <f>1-N2305</f>
        <v>0.57276612403353666</v>
      </c>
    </row>
    <row r="2305" spans="1:15" ht="12" customHeight="1" thickBot="1">
      <c r="A2305" s="1519"/>
      <c r="B2305" s="1514"/>
      <c r="C2305" s="641" t="s">
        <v>6219</v>
      </c>
      <c r="D2305" s="642">
        <f>D2304/(D2304+E2304+G2304+H2304+I2304+J2304+L2304+M2304+N2304)</f>
        <v>0.22302132669796521</v>
      </c>
      <c r="E2305" s="642">
        <f>E2304/(D2304+E2304+G2304+H2304+I2304+J2304+L2304+M2304+N2304)</f>
        <v>9.566615161499839E-2</v>
      </c>
      <c r="F2305" s="643">
        <f t="shared" si="70"/>
        <v>0.31868747831296362</v>
      </c>
      <c r="G2305" s="642">
        <f>G2304/(D2304+E2304+G2304+H2304+I2304+J2304+L2304+M2304+N2304)</f>
        <v>0.17396191385686705</v>
      </c>
      <c r="H2305" s="642">
        <f>H2304/(D2304+E2304+G2304+H2304+I2304+J2304+L2304+M2304+N2304)</f>
        <v>4.90831388296563E-2</v>
      </c>
      <c r="I2305" s="642">
        <f>I2304/(D2304+E2304+G2304+H2304+I2304+J2304+L2304+M2304+N2304)</f>
        <v>0</v>
      </c>
      <c r="J2305" s="642">
        <f>J2304/(D2304+E2304+G2304+H2304+I2304+J2304+L2304+M2304+N2304)</f>
        <v>0</v>
      </c>
      <c r="K2305" s="643">
        <f t="shared" si="71"/>
        <v>0.22304505268652336</v>
      </c>
      <c r="L2305" s="642">
        <f>L2304/(D2304+E2304+G2304+H2304+I2304+J2304+L2304+M2304+N2304)</f>
        <v>3.1033593034049758E-2</v>
      </c>
      <c r="M2305" s="642">
        <f>M2304/(D2304+E2304+G2304+H2304+I2304+J2304+L2304+M2304+N2304)</f>
        <v>0</v>
      </c>
      <c r="N2305" s="642">
        <f>N2304/(D2304+E2304+G2304+H2304+I2304+J2304+L2304+M2304+N2304)</f>
        <v>0.42723387596646334</v>
      </c>
      <c r="O2305" s="1515"/>
    </row>
    <row r="2306" spans="1:15" ht="12" customHeight="1">
      <c r="A2306" s="1516" t="s">
        <v>15226</v>
      </c>
      <c r="B2306" s="1509" t="s">
        <v>14937</v>
      </c>
      <c r="C2306" s="647" t="s">
        <v>6218</v>
      </c>
      <c r="D2306" s="648">
        <v>48564</v>
      </c>
      <c r="E2306" s="648">
        <v>17984</v>
      </c>
      <c r="F2306" s="649">
        <f t="shared" ref="F2306:F2369" si="72">SUM(D2306:E2306)</f>
        <v>66548</v>
      </c>
      <c r="G2306" s="648">
        <v>54132</v>
      </c>
      <c r="H2306" s="648">
        <v>3629</v>
      </c>
      <c r="I2306" s="648">
        <v>2656</v>
      </c>
      <c r="J2306" s="648">
        <v>1694</v>
      </c>
      <c r="K2306" s="649">
        <f t="shared" ref="K2306:K2369" si="73">SUM(G2306:J2306)</f>
        <v>62111</v>
      </c>
      <c r="L2306" s="648">
        <v>5131</v>
      </c>
      <c r="M2306" s="648">
        <v>1567</v>
      </c>
      <c r="N2306" s="648">
        <v>80446</v>
      </c>
      <c r="O2306" s="1510">
        <f>1-N2307</f>
        <v>0.62722483005333562</v>
      </c>
    </row>
    <row r="2307" spans="1:15" ht="12" customHeight="1">
      <c r="A2307" s="1517"/>
      <c r="B2307" s="1502"/>
      <c r="C2307" s="635" t="s">
        <v>6219</v>
      </c>
      <c r="D2307" s="636">
        <f>D2306/(D2306+E2306+G2306+H2306+I2306+J2306+L2306+M2306+N2306)</f>
        <v>0.2250385768501828</v>
      </c>
      <c r="E2307" s="636">
        <f>E2306/(D2306+E2306+G2306+H2306+I2306+J2306+L2306+M2306+N2306)</f>
        <v>8.333526410661575E-2</v>
      </c>
      <c r="F2307" s="637">
        <f t="shared" si="72"/>
        <v>0.30837384095679854</v>
      </c>
      <c r="G2307" s="636">
        <f>G2306/(D2306+E2306+G2306+H2306+I2306+J2306+L2306+M2306+N2306)</f>
        <v>0.25083988637785387</v>
      </c>
      <c r="H2307" s="636">
        <f>H2306/(D2306+E2306+G2306+H2306+I2306+J2306+L2306+M2306+N2306)</f>
        <v>1.6816262980588779E-2</v>
      </c>
      <c r="I2307" s="636">
        <f>I2306/(D2306+E2306+G2306+H2306+I2306+J2306+L2306+M2306+N2306)</f>
        <v>1.230752121147528E-2</v>
      </c>
      <c r="J2307" s="636">
        <f>J2306/(D2306+E2306+G2306+H2306+I2306+J2306+L2306+M2306+N2306)</f>
        <v>7.8497518570177435E-3</v>
      </c>
      <c r="K2307" s="637">
        <f t="shared" si="73"/>
        <v>0.28781342242693569</v>
      </c>
      <c r="L2307" s="636">
        <f>L2306/(D2306+E2306+G2306+H2306+I2306+J2306+L2306+M2306+N2306)</f>
        <v>2.377631450906614E-2</v>
      </c>
      <c r="M2307" s="636">
        <f>M2306/(D2306+E2306+G2306+H2306+I2306+J2306+L2306+M2306+N2306)</f>
        <v>7.2612521605353031E-3</v>
      </c>
      <c r="N2307" s="636">
        <f>N2306/(D2306+E2306+G2306+H2306+I2306+J2306+L2306+M2306+N2306)</f>
        <v>0.37277516994666432</v>
      </c>
      <c r="O2307" s="1503"/>
    </row>
    <row r="2308" spans="1:15" ht="12" customHeight="1">
      <c r="A2308" s="1517"/>
      <c r="B2308" s="1502" t="s">
        <v>14938</v>
      </c>
      <c r="C2308" s="638" t="s">
        <v>6218</v>
      </c>
      <c r="D2308" s="639">
        <v>58528</v>
      </c>
      <c r="E2308" s="639">
        <v>25470</v>
      </c>
      <c r="F2308" s="640">
        <f t="shared" si="72"/>
        <v>83998</v>
      </c>
      <c r="G2308" s="639">
        <v>51242</v>
      </c>
      <c r="H2308" s="639">
        <v>8295</v>
      </c>
      <c r="I2308" s="639">
        <v>5595</v>
      </c>
      <c r="J2308" s="639"/>
      <c r="K2308" s="640">
        <f t="shared" si="73"/>
        <v>65132</v>
      </c>
      <c r="L2308" s="639">
        <v>6781</v>
      </c>
      <c r="M2308" s="639"/>
      <c r="N2308" s="639">
        <v>61634</v>
      </c>
      <c r="O2308" s="1503">
        <f>1-N2309</f>
        <v>0.71668390447953301</v>
      </c>
    </row>
    <row r="2309" spans="1:15" ht="12" customHeight="1">
      <c r="A2309" s="1517"/>
      <c r="B2309" s="1502"/>
      <c r="C2309" s="635" t="s">
        <v>6219</v>
      </c>
      <c r="D2309" s="636">
        <f>D2308/(D2308+E2308+G2308+H2308+I2308+J2308+L2308+M2308+N2308)</f>
        <v>0.26903858971707001</v>
      </c>
      <c r="E2309" s="636">
        <f>E2308/(D2308+E2308+G2308+H2308+I2308+J2308+L2308+M2308+N2308)</f>
        <v>0.11707922498793354</v>
      </c>
      <c r="F2309" s="637">
        <f t="shared" si="72"/>
        <v>0.38611781470500356</v>
      </c>
      <c r="G2309" s="636">
        <f>G2308/(D2308+E2308+G2308+H2308+I2308+J2308+L2308+M2308+N2308)</f>
        <v>0.23554666850536671</v>
      </c>
      <c r="H2309" s="636">
        <f>H2308/(D2308+E2308+G2308+H2308+I2308+J2308+L2308+M2308+N2308)</f>
        <v>3.8130042060263394E-2</v>
      </c>
      <c r="I2309" s="636">
        <f>I2308/(D2308+E2308+G2308+H2308+I2308+J2308+L2308+M2308+N2308)</f>
        <v>2.5718816796524858E-2</v>
      </c>
      <c r="J2309" s="636">
        <f>J2308/(D2308+E2308+G2308+H2308+I2308+J2308+L2308+M2308+N2308)</f>
        <v>0</v>
      </c>
      <c r="K2309" s="637">
        <f t="shared" si="73"/>
        <v>0.29939552736215497</v>
      </c>
      <c r="L2309" s="636">
        <f>L2308/(D2308+E2308+G2308+H2308+I2308+J2308+L2308+M2308+N2308)</f>
        <v>3.1170562412374453E-2</v>
      </c>
      <c r="M2309" s="636">
        <f>M2308/(D2308+E2308+G2308+H2308+I2308+J2308+L2308+M2308+N2308)</f>
        <v>0</v>
      </c>
      <c r="N2309" s="636">
        <f>N2308/(D2308+E2308+G2308+H2308+I2308+J2308+L2308+M2308+N2308)</f>
        <v>0.28331609552046705</v>
      </c>
      <c r="O2309" s="1503"/>
    </row>
    <row r="2310" spans="1:15" ht="12" customHeight="1">
      <c r="A2310" s="1517"/>
      <c r="B2310" s="1502" t="s">
        <v>14939</v>
      </c>
      <c r="C2310" s="638" t="s">
        <v>6218</v>
      </c>
      <c r="D2310" s="639">
        <v>56746</v>
      </c>
      <c r="E2310" s="639">
        <v>20476</v>
      </c>
      <c r="F2310" s="640">
        <f t="shared" si="72"/>
        <v>77222</v>
      </c>
      <c r="G2310" s="639">
        <v>45010</v>
      </c>
      <c r="H2310" s="639">
        <v>5802</v>
      </c>
      <c r="I2310" s="639"/>
      <c r="J2310" s="639"/>
      <c r="K2310" s="640">
        <f t="shared" si="73"/>
        <v>50812</v>
      </c>
      <c r="L2310" s="639">
        <v>5558</v>
      </c>
      <c r="M2310" s="639">
        <v>3030</v>
      </c>
      <c r="N2310" s="639">
        <v>81015</v>
      </c>
      <c r="O2310" s="1503">
        <f>1-N2311</f>
        <v>0.6277517150116938</v>
      </c>
    </row>
    <row r="2311" spans="1:15" ht="12" customHeight="1">
      <c r="A2311" s="1517"/>
      <c r="B2311" s="1502"/>
      <c r="C2311" s="635" t="s">
        <v>6219</v>
      </c>
      <c r="D2311" s="636">
        <f>D2310/(D2310+E2310+G2310+H2310+I2310+J2310+L2310+M2310+N2310)</f>
        <v>0.26073691513851044</v>
      </c>
      <c r="E2311" s="636">
        <f>E2310/(D2310+E2310+G2310+H2310+I2310+J2310+L2310+M2310+N2310)</f>
        <v>9.4083267091533154E-2</v>
      </c>
      <c r="F2311" s="637">
        <f t="shared" si="72"/>
        <v>0.35482018223004358</v>
      </c>
      <c r="G2311" s="636">
        <f>G2310/(D2310+E2310+G2310+H2310+I2310+J2310+L2310+M2310+N2310)</f>
        <v>0.20681226078286322</v>
      </c>
      <c r="H2311" s="636">
        <f>H2310/(D2310+E2310+G2310+H2310+I2310+J2310+L2310+M2310+N2310)</f>
        <v>2.6659069919177346E-2</v>
      </c>
      <c r="I2311" s="636">
        <f>I2310/(D2310+E2310+G2310+H2310+I2310+J2310+L2310+M2310+N2310)</f>
        <v>0</v>
      </c>
      <c r="J2311" s="636">
        <f>J2310/(D2310+E2310+G2310+H2310+I2310+J2310+L2310+M2310+N2310)</f>
        <v>0</v>
      </c>
      <c r="K2311" s="637">
        <f t="shared" si="73"/>
        <v>0.23347133070204057</v>
      </c>
      <c r="L2311" s="636">
        <f>L2310/(D2310+E2310+G2310+H2310+I2310+J2310+L2310+M2310+N2310)</f>
        <v>2.5537937023575954E-2</v>
      </c>
      <c r="M2311" s="636">
        <f>M2310/(D2310+E2310+G2310+H2310+I2310+J2310+L2310+M2310+N2310)</f>
        <v>1.392226505603367E-2</v>
      </c>
      <c r="N2311" s="636">
        <f>N2310/(D2310+E2310+G2310+H2310+I2310+J2310+L2310+M2310+N2310)</f>
        <v>0.3722482849883062</v>
      </c>
      <c r="O2311" s="1503"/>
    </row>
    <row r="2312" spans="1:15" ht="12" customHeight="1">
      <c r="A2312" s="1517"/>
      <c r="B2312" s="1502" t="s">
        <v>14940</v>
      </c>
      <c r="C2312" s="638" t="s">
        <v>6218</v>
      </c>
      <c r="D2312" s="639">
        <v>59299</v>
      </c>
      <c r="E2312" s="639">
        <v>23727</v>
      </c>
      <c r="F2312" s="640">
        <f t="shared" si="72"/>
        <v>83026</v>
      </c>
      <c r="G2312" s="639">
        <v>53618</v>
      </c>
      <c r="H2312" s="639">
        <v>6777</v>
      </c>
      <c r="I2312" s="639"/>
      <c r="J2312" s="639"/>
      <c r="K2312" s="640">
        <f t="shared" si="73"/>
        <v>60395</v>
      </c>
      <c r="L2312" s="639">
        <v>6184</v>
      </c>
      <c r="M2312" s="639"/>
      <c r="N2312" s="639">
        <v>67807</v>
      </c>
      <c r="O2312" s="1503">
        <f>1-N2313</f>
        <v>0.68811749121483634</v>
      </c>
    </row>
    <row r="2313" spans="1:15" ht="12" customHeight="1" thickBot="1">
      <c r="A2313" s="1519"/>
      <c r="B2313" s="1514"/>
      <c r="C2313" s="641" t="s">
        <v>6219</v>
      </c>
      <c r="D2313" s="642">
        <f>D2312/(D2312+E2312+G2312+H2312+I2312+J2312+L2312+M2312+N2312)</f>
        <v>0.27274943425385906</v>
      </c>
      <c r="E2313" s="642">
        <f>E2312/(D2312+E2312+G2312+H2312+I2312+J2312+L2312+M2312+N2312)</f>
        <v>0.1091338104612441</v>
      </c>
      <c r="F2313" s="643">
        <f t="shared" si="72"/>
        <v>0.38188324471510315</v>
      </c>
      <c r="G2313" s="642">
        <f>G2312/(D2312+E2312+G2312+H2312+I2312+J2312+L2312+M2312+N2312)</f>
        <v>0.24661932184056079</v>
      </c>
      <c r="H2313" s="642">
        <f>H2312/(D2312+E2312+G2312+H2312+I2312+J2312+L2312+M2312+N2312)</f>
        <v>3.1171232498666126E-2</v>
      </c>
      <c r="I2313" s="642">
        <f>I2312/(D2312+E2312+G2312+H2312+I2312+J2312+L2312+M2312+N2312)</f>
        <v>0</v>
      </c>
      <c r="J2313" s="642">
        <f>J2312/(D2312+E2312+G2312+H2312+I2312+J2312+L2312+M2312+N2312)</f>
        <v>0</v>
      </c>
      <c r="K2313" s="643">
        <f t="shared" si="73"/>
        <v>0.27779055433922689</v>
      </c>
      <c r="L2313" s="642">
        <f>L2312/(D2312+E2312+G2312+H2312+I2312+J2312+L2312+M2312+N2312)</f>
        <v>2.844369216050632E-2</v>
      </c>
      <c r="M2313" s="642">
        <f>M2312/(D2312+E2312+G2312+H2312+I2312+J2312+L2312+M2312+N2312)</f>
        <v>0</v>
      </c>
      <c r="N2313" s="642">
        <f>N2312/(D2312+E2312+G2312+H2312+I2312+J2312+L2312+M2312+N2312)</f>
        <v>0.31188250878516366</v>
      </c>
      <c r="O2313" s="1515"/>
    </row>
    <row r="2314" spans="1:15" ht="12" customHeight="1">
      <c r="A2314" s="1516" t="s">
        <v>15227</v>
      </c>
      <c r="B2314" s="1509" t="s">
        <v>14937</v>
      </c>
      <c r="C2314" s="647" t="s">
        <v>6218</v>
      </c>
      <c r="D2314" s="648">
        <v>57359</v>
      </c>
      <c r="E2314" s="648">
        <v>21482</v>
      </c>
      <c r="F2314" s="649">
        <f t="shared" si="72"/>
        <v>78841</v>
      </c>
      <c r="G2314" s="648">
        <v>61921</v>
      </c>
      <c r="H2314" s="648">
        <v>8275</v>
      </c>
      <c r="I2314" s="648">
        <v>2832</v>
      </c>
      <c r="J2314" s="648">
        <v>2939</v>
      </c>
      <c r="K2314" s="649">
        <f t="shared" si="73"/>
        <v>75967</v>
      </c>
      <c r="L2314" s="648">
        <v>5279</v>
      </c>
      <c r="M2314" s="648">
        <v>1918</v>
      </c>
      <c r="N2314" s="648">
        <v>122529</v>
      </c>
      <c r="O2314" s="1510">
        <f>1-N2315</f>
        <v>0.56936956567580677</v>
      </c>
    </row>
    <row r="2315" spans="1:15" ht="12" customHeight="1">
      <c r="A2315" s="1517"/>
      <c r="B2315" s="1502"/>
      <c r="C2315" s="635" t="s">
        <v>6219</v>
      </c>
      <c r="D2315" s="636">
        <f>D2314/(D2314+E2314+G2314+H2314+I2314+J2314+L2314+M2314+N2314)</f>
        <v>0.20158926525476745</v>
      </c>
      <c r="E2315" s="636">
        <f>E2314/(D2314+E2314+G2314+H2314+I2314+J2314+L2314+M2314+N2314)</f>
        <v>7.549888589764317E-2</v>
      </c>
      <c r="F2315" s="637">
        <f t="shared" si="72"/>
        <v>0.27708815115241059</v>
      </c>
      <c r="G2315" s="636">
        <f>G2314/(D2314+E2314+G2314+H2314+I2314+J2314+L2314+M2314+N2314)</f>
        <v>0.21762249854147483</v>
      </c>
      <c r="H2315" s="636">
        <f>H2314/(D2314+E2314+G2314+H2314+I2314+J2314+L2314+M2314+N2314)</f>
        <v>2.9082640387440517E-2</v>
      </c>
      <c r="I2315" s="636">
        <f>I2314/(D2314+E2314+G2314+H2314+I2314+J2314+L2314+M2314+N2314)</f>
        <v>9.953116323532513E-3</v>
      </c>
      <c r="J2315" s="636">
        <f>J2314/(D2314+E2314+G2314+H2314+I2314+J2314+L2314+M2314+N2314)</f>
        <v>1.0329169800445641E-2</v>
      </c>
      <c r="K2315" s="637">
        <f t="shared" si="73"/>
        <v>0.26698742505289347</v>
      </c>
      <c r="L2315" s="636">
        <f>L2314/(D2314+E2314+G2314+H2314+I2314+J2314+L2314+M2314+N2314)</f>
        <v>1.855314303387293E-2</v>
      </c>
      <c r="M2315" s="636">
        <f>M2314/(D2314+E2314+G2314+H2314+I2314+J2314+L2314+M2314+N2314)</f>
        <v>6.7408464366297176E-3</v>
      </c>
      <c r="N2315" s="636">
        <f>N2314/(D2314+E2314+G2314+H2314+I2314+J2314+L2314+M2314+N2314)</f>
        <v>0.43063043432419323</v>
      </c>
      <c r="O2315" s="1503"/>
    </row>
    <row r="2316" spans="1:15" ht="12" customHeight="1">
      <c r="A2316" s="1517"/>
      <c r="B2316" s="1502" t="s">
        <v>14938</v>
      </c>
      <c r="C2316" s="638" t="s">
        <v>6218</v>
      </c>
      <c r="D2316" s="639">
        <v>71770</v>
      </c>
      <c r="E2316" s="639">
        <v>30491</v>
      </c>
      <c r="F2316" s="640">
        <f t="shared" si="72"/>
        <v>102261</v>
      </c>
      <c r="G2316" s="639">
        <v>53181</v>
      </c>
      <c r="H2316" s="639">
        <v>20160</v>
      </c>
      <c r="I2316" s="639">
        <v>7642</v>
      </c>
      <c r="J2316" s="639"/>
      <c r="K2316" s="640">
        <f t="shared" si="73"/>
        <v>80983</v>
      </c>
      <c r="L2316" s="639">
        <v>6334</v>
      </c>
      <c r="M2316" s="639"/>
      <c r="N2316" s="639">
        <v>97082</v>
      </c>
      <c r="O2316" s="1503">
        <f>1-N2317</f>
        <v>0.66133398451126768</v>
      </c>
    </row>
    <row r="2317" spans="1:15" ht="12" customHeight="1">
      <c r="A2317" s="1517"/>
      <c r="B2317" s="1502"/>
      <c r="C2317" s="635" t="s">
        <v>6219</v>
      </c>
      <c r="D2317" s="636">
        <f>D2316/(D2316+E2316+G2316+H2316+I2316+J2316+L2316+M2316+N2316)</f>
        <v>0.25036628758808344</v>
      </c>
      <c r="E2317" s="636">
        <f>E2316/(D2316+E2316+G2316+H2316+I2316+J2316+L2316+M2316+N2316)</f>
        <v>0.10636642712621223</v>
      </c>
      <c r="F2317" s="637">
        <f t="shared" si="72"/>
        <v>0.35673271471429568</v>
      </c>
      <c r="G2317" s="636">
        <f>G2316/(D2316+E2316+G2316+H2316+I2316+J2316+L2316+M2316+N2316)</f>
        <v>0.18551943068443452</v>
      </c>
      <c r="H2317" s="636">
        <f>H2316/(D2316+E2316+G2316+H2316+I2316+J2316+L2316+M2316+N2316)</f>
        <v>7.0327216912021207E-2</v>
      </c>
      <c r="I2317" s="636">
        <f>I2316/(D2316+E2316+G2316+H2316+I2316+J2316+L2316+M2316+N2316)</f>
        <v>2.6658759506035024E-2</v>
      </c>
      <c r="J2317" s="636">
        <f>J2316/(D2316+E2316+G2316+H2316+I2316+J2316+L2316+M2316+N2316)</f>
        <v>0</v>
      </c>
      <c r="K2317" s="637">
        <f t="shared" si="73"/>
        <v>0.28250540710249072</v>
      </c>
      <c r="L2317" s="636">
        <f>L2316/(D2316+E2316+G2316+H2316+I2316+J2316+L2316+M2316+N2316)</f>
        <v>2.2095862694481268E-2</v>
      </c>
      <c r="M2317" s="636">
        <f>M2316/(D2316+E2316+G2316+H2316+I2316+J2316+L2316+M2316+N2316)</f>
        <v>0</v>
      </c>
      <c r="N2317" s="636">
        <f>N2316/(D2316+E2316+G2316+H2316+I2316+J2316+L2316+M2316+N2316)</f>
        <v>0.33866601548873232</v>
      </c>
      <c r="O2317" s="1503"/>
    </row>
    <row r="2318" spans="1:15" ht="12" customHeight="1">
      <c r="A2318" s="1517"/>
      <c r="B2318" s="1502" t="s">
        <v>14939</v>
      </c>
      <c r="C2318" s="638" t="s">
        <v>6218</v>
      </c>
      <c r="D2318" s="639">
        <v>62799</v>
      </c>
      <c r="E2318" s="639">
        <v>24924</v>
      </c>
      <c r="F2318" s="640">
        <f t="shared" si="72"/>
        <v>87723</v>
      </c>
      <c r="G2318" s="639">
        <v>54095</v>
      </c>
      <c r="H2318" s="639">
        <v>10897</v>
      </c>
      <c r="I2318" s="639"/>
      <c r="J2318" s="639"/>
      <c r="K2318" s="640">
        <f t="shared" si="73"/>
        <v>64992</v>
      </c>
      <c r="L2318" s="639">
        <v>6351</v>
      </c>
      <c r="M2318" s="639">
        <v>4012</v>
      </c>
      <c r="N2318" s="639">
        <v>123983</v>
      </c>
      <c r="O2318" s="1503">
        <f>1-N2319</f>
        <v>0.5680952828841257</v>
      </c>
    </row>
    <row r="2319" spans="1:15" ht="12" customHeight="1">
      <c r="A2319" s="1517"/>
      <c r="B2319" s="1502"/>
      <c r="C2319" s="635" t="s">
        <v>6219</v>
      </c>
      <c r="D2319" s="636">
        <f>D2318/(D2318+E2318+G2318+H2318+I2318+J2318+L2318+M2318+N2318)</f>
        <v>0.21876534952501384</v>
      </c>
      <c r="E2319" s="636">
        <f>E2318/(D2318+E2318+G2318+H2318+I2318+J2318+L2318+M2318+N2318)</f>
        <v>8.6824751533646161E-2</v>
      </c>
      <c r="F2319" s="637">
        <f t="shared" si="72"/>
        <v>0.30559010105866002</v>
      </c>
      <c r="G2319" s="636">
        <f>G2318/(D2318+E2318+G2318+H2318+I2318+J2318+L2318+M2318+N2318)</f>
        <v>0.18844426794305044</v>
      </c>
      <c r="H2319" s="636">
        <f>H2318/(D2318+E2318+G2318+H2318+I2318+J2318+L2318+M2318+N2318)</f>
        <v>3.7960572839919042E-2</v>
      </c>
      <c r="I2319" s="636">
        <f>I2318/(D2318+E2318+G2318+H2318+I2318+J2318+L2318+M2318+N2318)</f>
        <v>0</v>
      </c>
      <c r="J2319" s="636">
        <f>J2318/(D2318+E2318+G2318+H2318+I2318+J2318+L2318+M2318+N2318)</f>
        <v>0</v>
      </c>
      <c r="K2319" s="637">
        <f t="shared" si="73"/>
        <v>0.22640484078296949</v>
      </c>
      <c r="L2319" s="636">
        <f>L2318/(D2318+E2318+G2318+H2318+I2318+J2318+L2318+M2318+N2318)</f>
        <v>2.2124217500809933E-2</v>
      </c>
      <c r="M2319" s="636">
        <f>M2318/(D2318+E2318+G2318+H2318+I2318+J2318+L2318+M2318+N2318)</f>
        <v>1.3976123541686262E-2</v>
      </c>
      <c r="N2319" s="636">
        <f>N2318/(D2318+E2318+G2318+H2318+I2318+J2318+L2318+M2318+N2318)</f>
        <v>0.4319047171158743</v>
      </c>
      <c r="O2319" s="1503"/>
    </row>
    <row r="2320" spans="1:15" ht="12" customHeight="1">
      <c r="A2320" s="1517"/>
      <c r="B2320" s="1502" t="s">
        <v>14940</v>
      </c>
      <c r="C2320" s="638" t="s">
        <v>6218</v>
      </c>
      <c r="D2320" s="639">
        <v>66417</v>
      </c>
      <c r="E2320" s="639">
        <v>25076</v>
      </c>
      <c r="F2320" s="640">
        <f t="shared" si="72"/>
        <v>91493</v>
      </c>
      <c r="G2320" s="639">
        <v>46093</v>
      </c>
      <c r="H2320" s="639">
        <v>19748</v>
      </c>
      <c r="I2320" s="639"/>
      <c r="J2320" s="639"/>
      <c r="K2320" s="640">
        <f t="shared" si="73"/>
        <v>65841</v>
      </c>
      <c r="L2320" s="639">
        <v>6685</v>
      </c>
      <c r="M2320" s="639"/>
      <c r="N2320" s="639">
        <v>123489</v>
      </c>
      <c r="O2320" s="1503">
        <f>1-N2321</f>
        <v>0.57048499520013363</v>
      </c>
    </row>
    <row r="2321" spans="1:15" ht="12" customHeight="1" thickBot="1">
      <c r="A2321" s="1519"/>
      <c r="B2321" s="1514"/>
      <c r="C2321" s="641" t="s">
        <v>6219</v>
      </c>
      <c r="D2321" s="642">
        <f>D2320/(D2320+E2320+G2320+H2320+I2320+J2320+L2320+M2320+N2320)</f>
        <v>0.23100922409115573</v>
      </c>
      <c r="E2321" s="642">
        <f>E2320/(D2320+E2320+G2320+H2320+I2320+J2320+L2320+M2320+N2320)</f>
        <v>8.7218442617248912E-2</v>
      </c>
      <c r="F2321" s="643">
        <f t="shared" si="72"/>
        <v>0.31822766670840463</v>
      </c>
      <c r="G2321" s="642">
        <f>G2320/(D2320+E2320+G2320+H2320+I2320+J2320+L2320+M2320+N2320)</f>
        <v>0.16031901720995589</v>
      </c>
      <c r="H2321" s="642">
        <f>H2320/(D2320+E2320+G2320+H2320+I2320+J2320+L2320+M2320+N2320)</f>
        <v>6.8686784367739326E-2</v>
      </c>
      <c r="I2321" s="642">
        <f>I2320/(D2320+E2320+G2320+H2320+I2320+J2320+L2320+M2320+N2320)</f>
        <v>0</v>
      </c>
      <c r="J2321" s="642">
        <f>J2320/(D2320+E2320+G2320+H2320+I2320+J2320+L2320+M2320+N2320)</f>
        <v>0</v>
      </c>
      <c r="K2321" s="643">
        <f t="shared" si="73"/>
        <v>0.22900580157769523</v>
      </c>
      <c r="L2321" s="642">
        <f>L2320/(D2320+E2320+G2320+H2320+I2320+J2320+L2320+M2320+N2320)</f>
        <v>2.3251526914033697E-2</v>
      </c>
      <c r="M2321" s="642">
        <f>M2320/(D2320+E2320+G2320+H2320+I2320+J2320+L2320+M2320+N2320)</f>
        <v>0</v>
      </c>
      <c r="N2321" s="642">
        <f>N2320/(D2320+E2320+G2320+H2320+I2320+J2320+L2320+M2320+N2320)</f>
        <v>0.42951500479986643</v>
      </c>
      <c r="O2321" s="1515"/>
    </row>
    <row r="2322" spans="1:15" ht="12" customHeight="1">
      <c r="A2322" s="1526" t="s">
        <v>15228</v>
      </c>
      <c r="B2322" s="1509" t="s">
        <v>14937</v>
      </c>
      <c r="C2322" s="647" t="s">
        <v>6218</v>
      </c>
      <c r="D2322" s="648">
        <v>58001</v>
      </c>
      <c r="E2322" s="648">
        <v>31888</v>
      </c>
      <c r="F2322" s="649">
        <f t="shared" si="72"/>
        <v>89889</v>
      </c>
      <c r="G2322" s="648">
        <v>84931</v>
      </c>
      <c r="H2322" s="648">
        <v>7409</v>
      </c>
      <c r="I2322" s="648">
        <v>3978</v>
      </c>
      <c r="J2322" s="648">
        <v>5232</v>
      </c>
      <c r="K2322" s="649">
        <f t="shared" si="73"/>
        <v>101550</v>
      </c>
      <c r="L2322" s="648">
        <v>8989</v>
      </c>
      <c r="M2322" s="648">
        <v>3218</v>
      </c>
      <c r="N2322" s="648">
        <v>160675</v>
      </c>
      <c r="O2322" s="1510">
        <f>1-N2323</f>
        <v>0.55897409152917343</v>
      </c>
    </row>
    <row r="2323" spans="1:15" ht="12" customHeight="1">
      <c r="A2323" s="1527"/>
      <c r="B2323" s="1502"/>
      <c r="C2323" s="635" t="s">
        <v>6219</v>
      </c>
      <c r="D2323" s="636">
        <f>D2322/(D2322+E2322+G2322+H2322+I2322+J2322+L2322+M2322+N2322)</f>
        <v>0.15920301053192101</v>
      </c>
      <c r="E2323" s="636">
        <f>E2322/(D2322+E2322+G2322+H2322+I2322+J2322+L2322+M2322+N2322)</f>
        <v>8.7527208148857741E-2</v>
      </c>
      <c r="F2323" s="637">
        <f t="shared" si="72"/>
        <v>0.24673021868077877</v>
      </c>
      <c r="G2323" s="636">
        <f>G2322/(D2322+E2322+G2322+H2322+I2322+J2322+L2322+M2322+N2322)</f>
        <v>0.23312134079561705</v>
      </c>
      <c r="H2323" s="636">
        <f>H2322/(D2322+E2322+G2322+H2322+I2322+J2322+L2322+M2322+N2322)</f>
        <v>2.0336461527059927E-2</v>
      </c>
      <c r="I2323" s="636">
        <f>I2322/(D2322+E2322+G2322+H2322+I2322+J2322+L2322+M2322+N2322)</f>
        <v>1.0918942361269321E-2</v>
      </c>
      <c r="J2323" s="636">
        <f>J2322/(D2322+E2322+G2322+H2322+I2322+J2322+L2322+M2322+N2322)</f>
        <v>1.4360961898984687E-2</v>
      </c>
      <c r="K2323" s="637">
        <f t="shared" si="73"/>
        <v>0.27873770658293101</v>
      </c>
      <c r="L2323" s="636">
        <f>L2322/(D2322+E2322+G2322+H2322+I2322+J2322+L2322+M2322+N2322)</f>
        <v>2.4673296351294598E-2</v>
      </c>
      <c r="M2323" s="636">
        <f>M2322/(D2322+E2322+G2322+H2322+I2322+J2322+L2322+M2322+N2322)</f>
        <v>8.8328699141690982E-3</v>
      </c>
      <c r="N2323" s="636">
        <f>N2322/(D2322+E2322+G2322+H2322+I2322+J2322+L2322+M2322+N2322)</f>
        <v>0.44102590847082657</v>
      </c>
      <c r="O2323" s="1503"/>
    </row>
    <row r="2324" spans="1:15" ht="12" customHeight="1">
      <c r="A2324" s="1527"/>
      <c r="B2324" s="1502" t="s">
        <v>14938</v>
      </c>
      <c r="C2324" s="638" t="s">
        <v>6218</v>
      </c>
      <c r="D2324" s="639">
        <v>88389</v>
      </c>
      <c r="E2324" s="639">
        <v>33379</v>
      </c>
      <c r="F2324" s="640">
        <f t="shared" si="72"/>
        <v>121768</v>
      </c>
      <c r="G2324" s="639">
        <v>78977</v>
      </c>
      <c r="H2324" s="639">
        <v>12175</v>
      </c>
      <c r="I2324" s="639">
        <v>9772</v>
      </c>
      <c r="J2324" s="639"/>
      <c r="K2324" s="640">
        <f t="shared" si="73"/>
        <v>100924</v>
      </c>
      <c r="L2324" s="639">
        <v>11648</v>
      </c>
      <c r="M2324" s="639"/>
      <c r="N2324" s="639">
        <v>125665</v>
      </c>
      <c r="O2324" s="1503">
        <f>1-N2325</f>
        <v>0.65093540367494895</v>
      </c>
    </row>
    <row r="2325" spans="1:15" ht="12" customHeight="1">
      <c r="A2325" s="1527"/>
      <c r="B2325" s="1502"/>
      <c r="C2325" s="635" t="s">
        <v>6219</v>
      </c>
      <c r="D2325" s="636">
        <f>D2324/(D2324+E2324+G2324+H2324+I2324+J2324+L2324+M2324+N2324)</f>
        <v>0.24552158997791698</v>
      </c>
      <c r="E2325" s="636">
        <f>E2324/(D2324+E2324+G2324+H2324+I2324+J2324+L2324+M2324+N2324)</f>
        <v>9.2718156692268169E-2</v>
      </c>
      <c r="F2325" s="637">
        <f t="shared" si="72"/>
        <v>0.33823974667018514</v>
      </c>
      <c r="G2325" s="636">
        <f>G2324/(D2324+E2324+G2324+H2324+I2324+J2324+L2324+M2324+N2324)</f>
        <v>0.21937750864571326</v>
      </c>
      <c r="H2325" s="636">
        <f>H2324/(D2324+E2324+G2324+H2324+I2324+J2324+L2324+M2324+N2324)</f>
        <v>3.381897473646199E-2</v>
      </c>
      <c r="I2325" s="636">
        <f>I2324/(D2324+E2324+G2324+H2324+I2324+J2324+L2324+M2324+N2324)</f>
        <v>2.7144067443507728E-2</v>
      </c>
      <c r="J2325" s="636">
        <f>J2324/(D2324+E2324+G2324+H2324+I2324+J2324+L2324+M2324+N2324)</f>
        <v>0</v>
      </c>
      <c r="K2325" s="637">
        <f t="shared" si="73"/>
        <v>0.28034055082568299</v>
      </c>
      <c r="L2325" s="636">
        <f>L2324/(D2324+E2324+G2324+H2324+I2324+J2324+L2324+M2324+N2324)</f>
        <v>3.2355106179080849E-2</v>
      </c>
      <c r="M2325" s="636">
        <f>M2324/(D2324+E2324+G2324+H2324+I2324+J2324+L2324+M2324+N2324)</f>
        <v>0</v>
      </c>
      <c r="N2325" s="636">
        <f>N2324/(D2324+E2324+G2324+H2324+I2324+J2324+L2324+M2324+N2324)</f>
        <v>0.34906459632505105</v>
      </c>
      <c r="O2325" s="1503"/>
    </row>
    <row r="2326" spans="1:15" ht="12" customHeight="1">
      <c r="A2326" s="1527"/>
      <c r="B2326" s="1502" t="s">
        <v>14939</v>
      </c>
      <c r="C2326" s="638" t="s">
        <v>6218</v>
      </c>
      <c r="D2326" s="639">
        <v>65980</v>
      </c>
      <c r="E2326" s="639">
        <v>31896</v>
      </c>
      <c r="F2326" s="640">
        <f t="shared" si="72"/>
        <v>97876</v>
      </c>
      <c r="G2326" s="639">
        <v>69203</v>
      </c>
      <c r="H2326" s="639">
        <v>8457</v>
      </c>
      <c r="I2326" s="639"/>
      <c r="J2326" s="639"/>
      <c r="K2326" s="640">
        <f t="shared" si="73"/>
        <v>77660</v>
      </c>
      <c r="L2326" s="639">
        <v>9124</v>
      </c>
      <c r="M2326" s="639">
        <v>5412</v>
      </c>
      <c r="N2326" s="639">
        <v>167420</v>
      </c>
      <c r="O2326" s="1503">
        <f>1-N2327</f>
        <v>0.53168182784509865</v>
      </c>
    </row>
    <row r="2327" spans="1:15" ht="12" customHeight="1">
      <c r="A2327" s="1527"/>
      <c r="B2327" s="1502"/>
      <c r="C2327" s="635" t="s">
        <v>6219</v>
      </c>
      <c r="D2327" s="636">
        <f>D2326/(D2326+E2326+G2326+H2326+I2326+J2326+L2326+M2326+N2326)</f>
        <v>0.18456357065332932</v>
      </c>
      <c r="E2327" s="636">
        <f>E2326/(D2326+E2326+G2326+H2326+I2326+J2326+L2326+M2326+N2326)</f>
        <v>8.9221576986338161E-2</v>
      </c>
      <c r="F2327" s="637">
        <f t="shared" si="72"/>
        <v>0.27378514763966749</v>
      </c>
      <c r="G2327" s="636">
        <f>G2326/(D2326+E2326+G2326+H2326+I2326+J2326+L2326+M2326+N2326)</f>
        <v>0.19357915701610107</v>
      </c>
      <c r="H2327" s="636">
        <f>H2326/(D2326+E2326+G2326+H2326+I2326+J2326+L2326+M2326+N2326)</f>
        <v>2.3656473431573295E-2</v>
      </c>
      <c r="I2327" s="636">
        <f>I2326/(D2326+E2326+G2326+H2326+I2326+J2326+L2326+M2326+N2326)</f>
        <v>0</v>
      </c>
      <c r="J2327" s="636">
        <f>J2326/(D2326+E2326+G2326+H2326+I2326+J2326+L2326+M2326+N2326)</f>
        <v>0</v>
      </c>
      <c r="K2327" s="637">
        <f t="shared" si="73"/>
        <v>0.21723563044767435</v>
      </c>
      <c r="L2327" s="636">
        <f>L2326/(D2326+E2326+G2326+H2326+I2326+J2326+L2326+M2326+N2326)</f>
        <v>2.5522249448938716E-2</v>
      </c>
      <c r="M2327" s="636">
        <f>M2326/(D2326+E2326+G2326+H2326+I2326+J2326+L2326+M2326+N2326)</f>
        <v>1.5138800308818099E-2</v>
      </c>
      <c r="N2327" s="636">
        <f>N2326/(D2326+E2326+G2326+H2326+I2326+J2326+L2326+M2326+N2326)</f>
        <v>0.46831817215490135</v>
      </c>
      <c r="O2327" s="1503"/>
    </row>
    <row r="2328" spans="1:15" ht="12" customHeight="1">
      <c r="A2328" s="1527"/>
      <c r="B2328" s="1502" t="s">
        <v>14940</v>
      </c>
      <c r="C2328" s="638" t="s">
        <v>6218</v>
      </c>
      <c r="D2328" s="639">
        <v>68690</v>
      </c>
      <c r="E2328" s="639">
        <v>31721</v>
      </c>
      <c r="F2328" s="640">
        <f t="shared" si="72"/>
        <v>100411</v>
      </c>
      <c r="G2328" s="639">
        <v>83938</v>
      </c>
      <c r="H2328" s="639">
        <v>9370</v>
      </c>
      <c r="I2328" s="639"/>
      <c r="J2328" s="639"/>
      <c r="K2328" s="640">
        <f t="shared" si="73"/>
        <v>93308</v>
      </c>
      <c r="L2328" s="639">
        <v>11715</v>
      </c>
      <c r="M2328" s="639"/>
      <c r="N2328" s="639">
        <v>150815</v>
      </c>
      <c r="O2328" s="1503">
        <f>1-N2329</f>
        <v>0.57665846079567951</v>
      </c>
    </row>
    <row r="2329" spans="1:15" ht="12" customHeight="1" thickBot="1">
      <c r="A2329" s="1528"/>
      <c r="B2329" s="1514"/>
      <c r="C2329" s="641" t="s">
        <v>6219</v>
      </c>
      <c r="D2329" s="642">
        <f>D2328/(D2328+E2328+G2328+H2328+I2328+J2328+L2328+M2328+N2328)</f>
        <v>0.19281457632161775</v>
      </c>
      <c r="E2329" s="642">
        <f>E2328/(D2328+E2328+G2328+H2328+I2328+J2328+L2328+M2328+N2328)</f>
        <v>8.9041653450255304E-2</v>
      </c>
      <c r="F2329" s="643">
        <f t="shared" si="72"/>
        <v>0.28185622977187308</v>
      </c>
      <c r="G2329" s="642">
        <f>G2328/(D2328+E2328+G2328+H2328+I2328+J2328+L2328+M2328+N2328)</f>
        <v>0.23561609997501748</v>
      </c>
      <c r="H2329" s="642">
        <f>H2328/(D2328+E2328+G2328+H2328+I2328+J2328+L2328+M2328+N2328)</f>
        <v>2.630182821565815E-2</v>
      </c>
      <c r="I2329" s="642">
        <f>I2328/(D2328+E2328+G2328+H2328+I2328+J2328+L2328+M2328+N2328)</f>
        <v>0</v>
      </c>
      <c r="J2329" s="642">
        <f>J2328/(D2328+E2328+G2328+H2328+I2328+J2328+L2328+M2328+N2328)</f>
        <v>0</v>
      </c>
      <c r="K2329" s="643">
        <f t="shared" si="73"/>
        <v>0.26191792819067561</v>
      </c>
      <c r="L2329" s="642">
        <f>L2328/(D2328+E2328+G2328+H2328+I2328+J2328+L2328+M2328+N2328)</f>
        <v>3.2884302833130763E-2</v>
      </c>
      <c r="M2329" s="642">
        <f>M2328/(D2328+E2328+G2328+H2328+I2328+J2328+L2328+M2328+N2328)</f>
        <v>0</v>
      </c>
      <c r="N2329" s="642">
        <f>N2328/(D2328+E2328+G2328+H2328+I2328+J2328+L2328+M2328+N2328)</f>
        <v>0.42334153920432055</v>
      </c>
      <c r="O2329" s="1515"/>
    </row>
    <row r="2330" spans="1:15" ht="12" customHeight="1">
      <c r="A2330" s="1516" t="s">
        <v>15229</v>
      </c>
      <c r="B2330" s="1509" t="s">
        <v>14937</v>
      </c>
      <c r="C2330" s="647" t="s">
        <v>6218</v>
      </c>
      <c r="D2330" s="648">
        <v>54048</v>
      </c>
      <c r="E2330" s="648">
        <v>28642</v>
      </c>
      <c r="F2330" s="649">
        <f t="shared" si="72"/>
        <v>82690</v>
      </c>
      <c r="G2330" s="648">
        <v>71049</v>
      </c>
      <c r="H2330" s="648">
        <v>6647</v>
      </c>
      <c r="I2330" s="648">
        <v>3706</v>
      </c>
      <c r="J2330" s="648">
        <v>3797</v>
      </c>
      <c r="K2330" s="649">
        <f t="shared" si="73"/>
        <v>85199</v>
      </c>
      <c r="L2330" s="648">
        <v>7698</v>
      </c>
      <c r="M2330" s="648">
        <v>3677</v>
      </c>
      <c r="N2330" s="648">
        <v>131127</v>
      </c>
      <c r="O2330" s="1510">
        <f>1-N2331</f>
        <v>0.57754251895190256</v>
      </c>
    </row>
    <row r="2331" spans="1:15" ht="12" customHeight="1">
      <c r="A2331" s="1517"/>
      <c r="B2331" s="1502"/>
      <c r="C2331" s="635" t="s">
        <v>6219</v>
      </c>
      <c r="D2331" s="636">
        <f>D2330/(D2330+E2330+G2330+H2330+I2330+J2330+L2330+M2330+N2330)</f>
        <v>0.17412876017668039</v>
      </c>
      <c r="E2331" s="636">
        <f>E2330/(D2330+E2330+G2330+H2330+I2330+J2330+L2330+M2330+N2330)</f>
        <v>9.2277160098069855E-2</v>
      </c>
      <c r="F2331" s="637">
        <f t="shared" si="72"/>
        <v>0.26640592027475024</v>
      </c>
      <c r="G2331" s="636">
        <f>G2330/(D2330+E2330+G2330+H2330+I2330+J2330+L2330+M2330+N2330)</f>
        <v>0.22890161119362354</v>
      </c>
      <c r="H2331" s="636">
        <f>H2330/(D2330+E2330+G2330+H2330+I2330+J2330+L2330+M2330+N2330)</f>
        <v>2.1414925046151466E-2</v>
      </c>
      <c r="I2331" s="636">
        <f>I2330/(D2330+E2330+G2330+H2330+I2330+J2330+L2330+M2330+N2330)</f>
        <v>1.1939779181741739E-2</v>
      </c>
      <c r="J2331" s="636">
        <f>J2330/(D2330+E2330+G2330+H2330+I2330+J2330+L2330+M2330+N2330)</f>
        <v>1.2232957785502801E-2</v>
      </c>
      <c r="K2331" s="637">
        <f t="shared" si="73"/>
        <v>0.27448927320701955</v>
      </c>
      <c r="L2331" s="636">
        <f>L2330/(D2330+E2330+G2330+H2330+I2330+J2330+L2330+M2330+N2330)</f>
        <v>2.4800976832446819E-2</v>
      </c>
      <c r="M2331" s="636">
        <f>M2330/(D2330+E2330+G2330+H2330+I2330+J2330+L2330+M2330+N2330)</f>
        <v>1.1846348637686015E-2</v>
      </c>
      <c r="N2331" s="636">
        <f>N2330/(D2330+E2330+G2330+H2330+I2330+J2330+L2330+M2330+N2330)</f>
        <v>0.42245748104809738</v>
      </c>
      <c r="O2331" s="1503"/>
    </row>
    <row r="2332" spans="1:15" ht="12" customHeight="1">
      <c r="A2332" s="1517"/>
      <c r="B2332" s="1502" t="s">
        <v>14938</v>
      </c>
      <c r="C2332" s="638" t="s">
        <v>6218</v>
      </c>
      <c r="D2332" s="639">
        <v>77883</v>
      </c>
      <c r="E2332" s="639">
        <v>31446</v>
      </c>
      <c r="F2332" s="640">
        <f t="shared" si="72"/>
        <v>109329</v>
      </c>
      <c r="G2332" s="639">
        <v>64752</v>
      </c>
      <c r="H2332" s="639">
        <v>9245</v>
      </c>
      <c r="I2332" s="639">
        <v>7135</v>
      </c>
      <c r="J2332" s="639"/>
      <c r="K2332" s="640">
        <f t="shared" si="73"/>
        <v>81132</v>
      </c>
      <c r="L2332" s="639">
        <v>8989</v>
      </c>
      <c r="M2332" s="639"/>
      <c r="N2332" s="639">
        <v>109856</v>
      </c>
      <c r="O2332" s="1503">
        <f>1-N2333</f>
        <v>0.64483068547005229</v>
      </c>
    </row>
    <row r="2333" spans="1:15" ht="12" customHeight="1">
      <c r="A2333" s="1517"/>
      <c r="B2333" s="1502"/>
      <c r="C2333" s="635" t="s">
        <v>6219</v>
      </c>
      <c r="D2333" s="636">
        <f>D2332/(D2332+E2332+G2332+H2332+I2332+J2332+L2332+M2332+N2332)</f>
        <v>0.25179918915248978</v>
      </c>
      <c r="E2333" s="636">
        <f>E2332/(D2332+E2332+G2332+H2332+I2332+J2332+L2332+M2332+N2332)</f>
        <v>0.10166631103179376</v>
      </c>
      <c r="F2333" s="637">
        <f t="shared" si="72"/>
        <v>0.35346550018428352</v>
      </c>
      <c r="G2333" s="636">
        <f>G2332/(D2332+E2332+G2332+H2332+I2332+J2332+L2332+M2332+N2332)</f>
        <v>0.20934608446004926</v>
      </c>
      <c r="H2333" s="636">
        <f>H2332/(D2332+E2332+G2332+H2332+I2332+J2332+L2332+M2332+N2332)</f>
        <v>2.9889494545854267E-2</v>
      </c>
      <c r="I2333" s="636">
        <f>I2332/(D2332+E2332+G2332+H2332+I2332+J2332+L2332+M2332+N2332)</f>
        <v>2.3067771074599265E-2</v>
      </c>
      <c r="J2333" s="636">
        <f>J2332/(D2332+E2332+G2332+H2332+I2332+J2332+L2332+M2332+N2332)</f>
        <v>0</v>
      </c>
      <c r="K2333" s="637">
        <f t="shared" si="73"/>
        <v>0.26230335008050282</v>
      </c>
      <c r="L2333" s="636">
        <f>L2332/(D2332+E2332+G2332+H2332+I2332+J2332+L2332+M2332+N2332)</f>
        <v>2.9061835205265982E-2</v>
      </c>
      <c r="M2333" s="636">
        <f>M2332/(D2332+E2332+G2332+H2332+I2332+J2332+L2332+M2332+N2332)</f>
        <v>0</v>
      </c>
      <c r="N2333" s="636">
        <f>N2332/(D2332+E2332+G2332+H2332+I2332+J2332+L2332+M2332+N2332)</f>
        <v>0.35516931452994771</v>
      </c>
      <c r="O2333" s="1503"/>
    </row>
    <row r="2334" spans="1:15" ht="12" customHeight="1">
      <c r="A2334" s="1517"/>
      <c r="B2334" s="1502" t="s">
        <v>14939</v>
      </c>
      <c r="C2334" s="638" t="s">
        <v>6218</v>
      </c>
      <c r="D2334" s="639">
        <v>62303</v>
      </c>
      <c r="E2334" s="639">
        <v>28396</v>
      </c>
      <c r="F2334" s="640">
        <f t="shared" si="72"/>
        <v>90699</v>
      </c>
      <c r="G2334" s="639">
        <v>58342</v>
      </c>
      <c r="H2334" s="639">
        <v>7663</v>
      </c>
      <c r="I2334" s="639"/>
      <c r="J2334" s="639"/>
      <c r="K2334" s="640">
        <f t="shared" si="73"/>
        <v>66005</v>
      </c>
      <c r="L2334" s="639">
        <v>8277</v>
      </c>
      <c r="M2334" s="639">
        <v>4518</v>
      </c>
      <c r="N2334" s="639">
        <v>139682</v>
      </c>
      <c r="O2334" s="1503">
        <f>1-N2335</f>
        <v>0.54821932783709215</v>
      </c>
    </row>
    <row r="2335" spans="1:15" ht="12" customHeight="1">
      <c r="A2335" s="1517"/>
      <c r="B2335" s="1502"/>
      <c r="C2335" s="635" t="s">
        <v>6219</v>
      </c>
      <c r="D2335" s="636">
        <f>D2334/(D2334+E2334+G2334+H2334+I2334+J2334+L2334+M2334+N2334)</f>
        <v>0.20150979523321291</v>
      </c>
      <c r="E2335" s="636">
        <f>E2334/(D2334+E2334+G2334+H2334+I2334+J2334+L2334+M2334+N2334)</f>
        <v>9.1842642335719205E-2</v>
      </c>
      <c r="F2335" s="637">
        <f t="shared" si="72"/>
        <v>0.29335243756893215</v>
      </c>
      <c r="G2335" s="636">
        <f>G2334/(D2334+E2334+G2334+H2334+I2334+J2334+L2334+M2334+N2334)</f>
        <v>0.18869852934041872</v>
      </c>
      <c r="H2335" s="636">
        <f>H2334/(D2334+E2334+G2334+H2334+I2334+J2334+L2334+M2334+N2334)</f>
        <v>2.4784834773158765E-2</v>
      </c>
      <c r="I2335" s="636">
        <f>I2334/(D2334+E2334+G2334+H2334+I2334+J2334+L2334+M2334+N2334)</f>
        <v>0</v>
      </c>
      <c r="J2335" s="636">
        <f>J2334/(D2334+E2334+G2334+H2334+I2334+J2334+L2334+M2334+N2334)</f>
        <v>0</v>
      </c>
      <c r="K2335" s="637">
        <f t="shared" si="73"/>
        <v>0.21348336411357749</v>
      </c>
      <c r="L2335" s="636">
        <f>L2334/(D2334+E2334+G2334+H2334+I2334+J2334+L2334+M2334+N2334)</f>
        <v>2.6770726532354835E-2</v>
      </c>
      <c r="M2335" s="636">
        <f>M2334/(D2334+E2334+G2334+H2334+I2334+J2334+L2334+M2334+N2334)</f>
        <v>1.4612799622227756E-2</v>
      </c>
      <c r="N2335" s="636">
        <f>N2334/(D2334+E2334+G2334+H2334+I2334+J2334+L2334+M2334+N2334)</f>
        <v>0.45178067216290779</v>
      </c>
      <c r="O2335" s="1503"/>
    </row>
    <row r="2336" spans="1:15" ht="12" customHeight="1">
      <c r="A2336" s="1517"/>
      <c r="B2336" s="1502" t="s">
        <v>14940</v>
      </c>
      <c r="C2336" s="638" t="s">
        <v>6218</v>
      </c>
      <c r="D2336" s="639">
        <v>66989</v>
      </c>
      <c r="E2336" s="639">
        <v>30220</v>
      </c>
      <c r="F2336" s="640">
        <f t="shared" si="72"/>
        <v>97209</v>
      </c>
      <c r="G2336" s="639">
        <v>63724</v>
      </c>
      <c r="H2336" s="639">
        <v>7623</v>
      </c>
      <c r="I2336" s="639"/>
      <c r="J2336" s="639"/>
      <c r="K2336" s="640">
        <f t="shared" si="73"/>
        <v>71347</v>
      </c>
      <c r="L2336" s="639">
        <v>8902</v>
      </c>
      <c r="M2336" s="639"/>
      <c r="N2336" s="639">
        <v>130993</v>
      </c>
      <c r="O2336" s="1503">
        <f>1-N2337</f>
        <v>0.57531990494438334</v>
      </c>
    </row>
    <row r="2337" spans="1:15" ht="12" customHeight="1" thickBot="1">
      <c r="A2337" s="1519"/>
      <c r="B2337" s="1514"/>
      <c r="C2337" s="641" t="s">
        <v>6219</v>
      </c>
      <c r="D2337" s="642">
        <f>D2336/(D2336+E2336+G2336+H2336+I2336+J2336+L2336+M2336+N2336)</f>
        <v>0.21717874151810174</v>
      </c>
      <c r="E2337" s="642">
        <f>E2336/(D2336+E2336+G2336+H2336+I2336+J2336+L2336+M2336+N2336)</f>
        <v>9.7973422034618146E-2</v>
      </c>
      <c r="F2337" s="643">
        <f t="shared" si="72"/>
        <v>0.31515216355271991</v>
      </c>
      <c r="G2337" s="642">
        <f>G2336/(D2336+E2336+G2336+H2336+I2336+J2336+L2336+M2336+N2336)</f>
        <v>0.20659359185089365</v>
      </c>
      <c r="H2337" s="642">
        <f>H2336/(D2336+E2336+G2336+H2336+I2336+J2336+L2336+M2336+N2336)</f>
        <v>2.4713811918262545E-2</v>
      </c>
      <c r="I2337" s="642">
        <f>I2336/(D2336+E2336+G2336+H2336+I2336+J2336+L2336+M2336+N2336)</f>
        <v>0</v>
      </c>
      <c r="J2337" s="642">
        <f>J2336/(D2336+E2336+G2336+H2336+I2336+J2336+L2336+M2336+N2336)</f>
        <v>0</v>
      </c>
      <c r="K2337" s="643">
        <f t="shared" si="73"/>
        <v>0.23130740376915621</v>
      </c>
      <c r="L2337" s="642">
        <f>L2336/(D2336+E2336+G2336+H2336+I2336+J2336+L2336+M2336+N2336)</f>
        <v>2.8860337622507302E-2</v>
      </c>
      <c r="M2337" s="642">
        <f>M2336/(D2336+E2336+G2336+H2336+I2336+J2336+L2336+M2336+N2336)</f>
        <v>0</v>
      </c>
      <c r="N2337" s="642">
        <f>N2336/(D2336+E2336+G2336+H2336+I2336+J2336+L2336+M2336+N2336)</f>
        <v>0.4246800950556166</v>
      </c>
      <c r="O2337" s="1515"/>
    </row>
    <row r="2338" spans="1:15" ht="12" customHeight="1">
      <c r="A2338" s="1516" t="s">
        <v>15230</v>
      </c>
      <c r="B2338" s="1509" t="s">
        <v>14937</v>
      </c>
      <c r="C2338" s="647" t="s">
        <v>6218</v>
      </c>
      <c r="D2338" s="648">
        <v>55739</v>
      </c>
      <c r="E2338" s="648">
        <v>32973</v>
      </c>
      <c r="F2338" s="649">
        <f t="shared" si="72"/>
        <v>88712</v>
      </c>
      <c r="G2338" s="648">
        <v>66068</v>
      </c>
      <c r="H2338" s="648">
        <v>4717</v>
      </c>
      <c r="I2338" s="648">
        <v>3208</v>
      </c>
      <c r="J2338" s="648">
        <v>2559</v>
      </c>
      <c r="K2338" s="649">
        <f t="shared" si="73"/>
        <v>76552</v>
      </c>
      <c r="L2338" s="648">
        <v>5543</v>
      </c>
      <c r="M2338" s="648">
        <v>2453</v>
      </c>
      <c r="N2338" s="648">
        <v>96173</v>
      </c>
      <c r="O2338" s="1510">
        <f>1-N2339</f>
        <v>0.64305411735013895</v>
      </c>
    </row>
    <row r="2339" spans="1:15" ht="12" customHeight="1">
      <c r="A2339" s="1517"/>
      <c r="B2339" s="1502"/>
      <c r="C2339" s="635" t="s">
        <v>6219</v>
      </c>
      <c r="D2339" s="636">
        <f>D2338/(D2338+E2338+G2338+H2338+I2338+J2338+L2338+M2338+N2338)</f>
        <v>0.20687517861583399</v>
      </c>
      <c r="E2339" s="636">
        <f>E2338/(D2338+E2338+G2338+H2338+I2338+J2338+L2338+M2338+N2338)</f>
        <v>0.12237921858124283</v>
      </c>
      <c r="F2339" s="637">
        <f t="shared" si="72"/>
        <v>0.32925439719707683</v>
      </c>
      <c r="G2339" s="636">
        <f>G2338/(D2338+E2338+G2338+H2338+I2338+J2338+L2338+M2338+N2338)</f>
        <v>0.24521123990008648</v>
      </c>
      <c r="H2339" s="636">
        <f>H2338/(D2338+E2338+G2338+H2338+I2338+J2338+L2338+M2338+N2338)</f>
        <v>1.7507135354615063E-2</v>
      </c>
      <c r="I2339" s="636">
        <f>I2338/(D2338+E2338+G2338+H2338+I2338+J2338+L2338+M2338+N2338)</f>
        <v>1.1906485100191884E-2</v>
      </c>
      <c r="J2339" s="636">
        <f>J2338/(D2338+E2338+G2338+H2338+I2338+J2338+L2338+M2338+N2338)</f>
        <v>9.4977229960695238E-3</v>
      </c>
      <c r="K2339" s="637">
        <f t="shared" si="73"/>
        <v>0.28412258335096297</v>
      </c>
      <c r="L2339" s="636">
        <f>L2338/(D2338+E2338+G2338+H2338+I2338+J2338+L2338+M2338+N2338)</f>
        <v>2.0572832578043522E-2</v>
      </c>
      <c r="M2339" s="636">
        <f>M2338/(D2338+E2338+G2338+H2338+I2338+J2338+L2338+M2338+N2338)</f>
        <v>9.1043042240557016E-3</v>
      </c>
      <c r="N2339" s="636">
        <f>N2338/(D2338+E2338+G2338+H2338+I2338+J2338+L2338+M2338+N2338)</f>
        <v>0.35694588264986099</v>
      </c>
      <c r="O2339" s="1503"/>
    </row>
    <row r="2340" spans="1:15" ht="12" customHeight="1">
      <c r="A2340" s="1517"/>
      <c r="B2340" s="1502" t="s">
        <v>14938</v>
      </c>
      <c r="C2340" s="638" t="s">
        <v>6218</v>
      </c>
      <c r="D2340" s="639">
        <v>66590</v>
      </c>
      <c r="E2340" s="639">
        <v>42927</v>
      </c>
      <c r="F2340" s="640">
        <f t="shared" si="72"/>
        <v>109517</v>
      </c>
      <c r="G2340" s="639">
        <v>57880</v>
      </c>
      <c r="H2340" s="639">
        <v>7673</v>
      </c>
      <c r="I2340" s="639">
        <v>7067</v>
      </c>
      <c r="J2340" s="639"/>
      <c r="K2340" s="640">
        <f t="shared" si="73"/>
        <v>72620</v>
      </c>
      <c r="L2340" s="639">
        <v>7066</v>
      </c>
      <c r="M2340" s="639"/>
      <c r="N2340" s="639">
        <v>77043</v>
      </c>
      <c r="O2340" s="1503">
        <f>1-N2341</f>
        <v>0.71063227240972626</v>
      </c>
    </row>
    <row r="2341" spans="1:15" ht="12" customHeight="1">
      <c r="A2341" s="1517"/>
      <c r="B2341" s="1502"/>
      <c r="C2341" s="635" t="s">
        <v>6219</v>
      </c>
      <c r="D2341" s="636">
        <f>D2340/(D2340+E2340+G2340+H2340+I2340+J2340+L2340+M2340+N2340)</f>
        <v>0.2501070438616918</v>
      </c>
      <c r="E2341" s="636">
        <f>E2340/(D2340+E2340+G2340+H2340+I2340+J2340+L2340+M2340+N2340)</f>
        <v>0.16123059125770903</v>
      </c>
      <c r="F2341" s="637">
        <f t="shared" si="72"/>
        <v>0.4113376351194008</v>
      </c>
      <c r="G2341" s="636">
        <f>G2340/(D2340+E2340+G2340+H2340+I2340+J2340+L2340+M2340+N2340)</f>
        <v>0.21739293735868331</v>
      </c>
      <c r="H2341" s="636">
        <f>H2340/(D2340+E2340+G2340+H2340+I2340+J2340+L2340+M2340+N2340)</f>
        <v>2.8819212307414948E-2</v>
      </c>
      <c r="I2341" s="636">
        <f>I2340/(D2340+E2340+G2340+H2340+I2340+J2340+L2340+M2340+N2340)</f>
        <v>2.6543121774599429E-2</v>
      </c>
      <c r="J2341" s="636">
        <f>J2340/(D2340+E2340+G2340+H2340+I2340+J2340+L2340+M2340+N2340)</f>
        <v>0</v>
      </c>
      <c r="K2341" s="637">
        <f t="shared" si="73"/>
        <v>0.27275527144069767</v>
      </c>
      <c r="L2341" s="636">
        <f>L2340/(D2340+E2340+G2340+H2340+I2340+J2340+L2340+M2340+N2340)</f>
        <v>2.6539365849627787E-2</v>
      </c>
      <c r="M2341" s="636">
        <f>M2340/(D2340+E2340+G2340+H2340+I2340+J2340+L2340+M2340+N2340)</f>
        <v>0</v>
      </c>
      <c r="N2341" s="636">
        <f>N2340/(D2340+E2340+G2340+H2340+I2340+J2340+L2340+M2340+N2340)</f>
        <v>0.28936772759027368</v>
      </c>
      <c r="O2341" s="1503"/>
    </row>
    <row r="2342" spans="1:15" ht="12" customHeight="1">
      <c r="A2342" s="1517"/>
      <c r="B2342" s="1502" t="s">
        <v>14939</v>
      </c>
      <c r="C2342" s="638" t="s">
        <v>6218</v>
      </c>
      <c r="D2342" s="639">
        <v>66952</v>
      </c>
      <c r="E2342" s="639">
        <v>24873</v>
      </c>
      <c r="F2342" s="640">
        <f t="shared" si="72"/>
        <v>91825</v>
      </c>
      <c r="G2342" s="639">
        <v>49732</v>
      </c>
      <c r="H2342" s="639">
        <v>5104</v>
      </c>
      <c r="I2342" s="639"/>
      <c r="J2342" s="639"/>
      <c r="K2342" s="640">
        <f t="shared" si="73"/>
        <v>54836</v>
      </c>
      <c r="L2342" s="639">
        <v>5925</v>
      </c>
      <c r="M2342" s="639">
        <v>3376</v>
      </c>
      <c r="N2342" s="639">
        <v>107821</v>
      </c>
      <c r="O2342" s="1503">
        <f>1-N2343</f>
        <v>0.59125114203720486</v>
      </c>
    </row>
    <row r="2343" spans="1:15" ht="12" customHeight="1">
      <c r="A2343" s="1517"/>
      <c r="B2343" s="1502"/>
      <c r="C2343" s="635" t="s">
        <v>6219</v>
      </c>
      <c r="D2343" s="636">
        <f>D2342/(D2342+E2342+G2342+H2342+I2342+J2342+L2342+M2342+N2342)</f>
        <v>0.25381468858872636</v>
      </c>
      <c r="E2343" s="636">
        <f>E2342/(D2342+E2342+G2342+H2342+I2342+J2342+L2342+M2342+N2342)</f>
        <v>9.4293415421008941E-2</v>
      </c>
      <c r="F2343" s="637">
        <f t="shared" si="72"/>
        <v>0.3481081040097353</v>
      </c>
      <c r="G2343" s="636">
        <f>G2342/(D2342+E2342+G2342+H2342+I2342+J2342+L2342+M2342+N2342)</f>
        <v>0.1885337569138269</v>
      </c>
      <c r="H2343" s="636">
        <f>H2342/(D2342+E2342+G2342+H2342+I2342+J2342+L2342+M2342+N2342)</f>
        <v>1.934923782048123E-2</v>
      </c>
      <c r="I2343" s="636">
        <f>I2342/(D2342+E2342+G2342+H2342+I2342+J2342+L2342+M2342+N2342)</f>
        <v>0</v>
      </c>
      <c r="J2343" s="636">
        <f>J2342/(D2342+E2342+G2342+H2342+I2342+J2342+L2342+M2342+N2342)</f>
        <v>0</v>
      </c>
      <c r="K2343" s="637">
        <f t="shared" si="73"/>
        <v>0.20788299473430813</v>
      </c>
      <c r="L2343" s="636">
        <f>L2342/(D2342+E2342+G2342+H2342+I2342+J2342+L2342+M2342+N2342)</f>
        <v>2.2461644609394843E-2</v>
      </c>
      <c r="M2343" s="636">
        <f>M2342/(D2342+E2342+G2342+H2342+I2342+J2342+L2342+M2342+N2342)</f>
        <v>1.2798398683766581E-2</v>
      </c>
      <c r="N2343" s="636">
        <f>N2342/(D2342+E2342+G2342+H2342+I2342+J2342+L2342+M2342+N2342)</f>
        <v>0.4087488579627952</v>
      </c>
      <c r="O2343" s="1503"/>
    </row>
    <row r="2344" spans="1:15" ht="12" customHeight="1">
      <c r="A2344" s="1517"/>
      <c r="B2344" s="1502" t="s">
        <v>14940</v>
      </c>
      <c r="C2344" s="638" t="s">
        <v>6218</v>
      </c>
      <c r="D2344" s="639">
        <v>64638</v>
      </c>
      <c r="E2344" s="639">
        <v>39454</v>
      </c>
      <c r="F2344" s="640">
        <f t="shared" si="72"/>
        <v>104092</v>
      </c>
      <c r="G2344" s="639">
        <v>57346</v>
      </c>
      <c r="H2344" s="639">
        <v>6312</v>
      </c>
      <c r="I2344" s="639"/>
      <c r="J2344" s="639"/>
      <c r="K2344" s="640">
        <f t="shared" si="73"/>
        <v>63658</v>
      </c>
      <c r="L2344" s="639">
        <v>7441</v>
      </c>
      <c r="M2344" s="639"/>
      <c r="N2344" s="639">
        <v>87213</v>
      </c>
      <c r="O2344" s="1503">
        <f>1-N2345</f>
        <v>0.66763845063337457</v>
      </c>
    </row>
    <row r="2345" spans="1:15" ht="12" customHeight="1" thickBot="1">
      <c r="A2345" s="1519"/>
      <c r="B2345" s="1514"/>
      <c r="C2345" s="641" t="s">
        <v>6219</v>
      </c>
      <c r="D2345" s="642">
        <f>D2344/(D2344+E2344+G2344+H2344+I2344+J2344+L2344+M2344+N2344)</f>
        <v>0.24633008643160928</v>
      </c>
      <c r="E2345" s="642">
        <f>E2344/(D2344+E2344+G2344+H2344+I2344+J2344+L2344+M2344+N2344)</f>
        <v>0.15035593969604122</v>
      </c>
      <c r="F2345" s="643">
        <f t="shared" si="72"/>
        <v>0.39668602612765047</v>
      </c>
      <c r="G2345" s="642">
        <f>G2344/(D2344+E2344+G2344+H2344+I2344+J2344+L2344+M2344+N2344)</f>
        <v>0.21854087590128199</v>
      </c>
      <c r="H2345" s="642">
        <f>H2344/(D2344+E2344+G2344+H2344+I2344+J2344+L2344+M2344+N2344)</f>
        <v>2.4054511364156036E-2</v>
      </c>
      <c r="I2345" s="642">
        <f>I2344/(D2344+E2344+G2344+H2344+I2344+J2344+L2344+M2344+N2344)</f>
        <v>0</v>
      </c>
      <c r="J2345" s="642">
        <f>J2344/(D2344+E2344+G2344+H2344+I2344+J2344+L2344+M2344+N2344)</f>
        <v>0</v>
      </c>
      <c r="K2345" s="643">
        <f t="shared" si="73"/>
        <v>0.24259538726543803</v>
      </c>
      <c r="L2345" s="642">
        <f>L2344/(D2344+E2344+G2344+H2344+I2344+J2344+L2344+M2344+N2344)</f>
        <v>2.835703724028597E-2</v>
      </c>
      <c r="M2345" s="642">
        <f>M2344/(D2344+E2344+G2344+H2344+I2344+J2344+L2344+M2344+N2344)</f>
        <v>0</v>
      </c>
      <c r="N2345" s="642">
        <f>N2344/(D2344+E2344+G2344+H2344+I2344+J2344+L2344+M2344+N2344)</f>
        <v>0.33236154936662549</v>
      </c>
      <c r="O2345" s="1515"/>
    </row>
    <row r="2346" spans="1:15" ht="12" customHeight="1">
      <c r="A2346" s="1516" t="s">
        <v>15231</v>
      </c>
      <c r="B2346" s="1509" t="s">
        <v>14937</v>
      </c>
      <c r="C2346" s="647" t="s">
        <v>6218</v>
      </c>
      <c r="D2346" s="648">
        <v>67513</v>
      </c>
      <c r="E2346" s="648">
        <v>28475</v>
      </c>
      <c r="F2346" s="649">
        <f t="shared" si="72"/>
        <v>95988</v>
      </c>
      <c r="G2346" s="648">
        <v>67336</v>
      </c>
      <c r="H2346" s="648">
        <v>4521</v>
      </c>
      <c r="I2346" s="648">
        <v>4583</v>
      </c>
      <c r="J2346" s="648">
        <v>2427</v>
      </c>
      <c r="K2346" s="649">
        <f t="shared" si="73"/>
        <v>78867</v>
      </c>
      <c r="L2346" s="648">
        <v>6673</v>
      </c>
      <c r="M2346" s="648">
        <v>2000</v>
      </c>
      <c r="N2346" s="648">
        <v>118550</v>
      </c>
      <c r="O2346" s="1510">
        <f>1-N2347</f>
        <v>0.607551691947113</v>
      </c>
    </row>
    <row r="2347" spans="1:15" ht="12" customHeight="1">
      <c r="A2347" s="1517"/>
      <c r="B2347" s="1502"/>
      <c r="C2347" s="635" t="s">
        <v>6219</v>
      </c>
      <c r="D2347" s="636">
        <f>D2346/(D2346+E2346+G2346+H2346+I2346+J2346+L2346+M2346+N2346)</f>
        <v>0.22349525619210933</v>
      </c>
      <c r="E2347" s="636">
        <f>E2346/(D2346+E2346+G2346+H2346+I2346+J2346+L2346+M2346+N2346)</f>
        <v>9.42637332079794E-2</v>
      </c>
      <c r="F2347" s="637">
        <f t="shared" si="72"/>
        <v>0.31775898940008873</v>
      </c>
      <c r="G2347" s="636">
        <f>G2346/(D2346+E2346+G2346+H2346+I2346+J2346+L2346+M2346+N2346)</f>
        <v>0.22290931481273049</v>
      </c>
      <c r="H2347" s="636">
        <f>H2346/(D2346+E2346+G2346+H2346+I2346+J2346+L2346+M2346+N2346)</f>
        <v>1.4966333198710267E-2</v>
      </c>
      <c r="I2347" s="636">
        <f>I2346/(D2346+E2346+G2346+H2346+I2346+J2346+L2346+M2346+N2346)</f>
        <v>1.5171578201656526E-2</v>
      </c>
      <c r="J2347" s="636">
        <f>J2346/(D2346+E2346+G2346+H2346+I2346+J2346+L2346+M2346+N2346)</f>
        <v>8.0343487443640376E-3</v>
      </c>
      <c r="K2347" s="637">
        <f t="shared" si="73"/>
        <v>0.26108157495746132</v>
      </c>
      <c r="L2347" s="636">
        <f>L2346/(D2346+E2346+G2346+H2346+I2346+J2346+L2346+M2346+N2346)</f>
        <v>2.2090321042909446E-2</v>
      </c>
      <c r="M2347" s="636">
        <f>M2346/(D2346+E2346+G2346+H2346+I2346+J2346+L2346+M2346+N2346)</f>
        <v>6.6208065466535132E-3</v>
      </c>
      <c r="N2347" s="636">
        <f>N2346/(D2346+E2346+G2346+H2346+I2346+J2346+L2346+M2346+N2346)</f>
        <v>0.392448308052887</v>
      </c>
      <c r="O2347" s="1503"/>
    </row>
    <row r="2348" spans="1:15" ht="12" customHeight="1">
      <c r="A2348" s="1517"/>
      <c r="B2348" s="1502" t="s">
        <v>14938</v>
      </c>
      <c r="C2348" s="638" t="s">
        <v>6218</v>
      </c>
      <c r="D2348" s="639">
        <v>80046</v>
      </c>
      <c r="E2348" s="639">
        <v>32070</v>
      </c>
      <c r="F2348" s="640">
        <f t="shared" si="72"/>
        <v>112116</v>
      </c>
      <c r="G2348" s="639">
        <v>60030</v>
      </c>
      <c r="H2348" s="639">
        <v>7488</v>
      </c>
      <c r="I2348" s="639">
        <v>7553</v>
      </c>
      <c r="J2348" s="639"/>
      <c r="K2348" s="640">
        <f t="shared" si="73"/>
        <v>75071</v>
      </c>
      <c r="L2348" s="639">
        <v>7707</v>
      </c>
      <c r="M2348" s="639"/>
      <c r="N2348" s="639">
        <v>109519</v>
      </c>
      <c r="O2348" s="1503">
        <f>1-N2349</f>
        <v>0.64022889955422402</v>
      </c>
    </row>
    <row r="2349" spans="1:15" ht="12" customHeight="1">
      <c r="A2349" s="1517"/>
      <c r="B2349" s="1502"/>
      <c r="C2349" s="635" t="s">
        <v>6219</v>
      </c>
      <c r="D2349" s="636">
        <f>D2348/(D2348+E2348+G2348+H2348+I2348+J2348+L2348+M2348+N2348)</f>
        <v>0.26295197642676232</v>
      </c>
      <c r="E2349" s="636">
        <f>E2348/(D2348+E2348+G2348+H2348+I2348+J2348+L2348+M2348+N2348)</f>
        <v>0.10535029712922904</v>
      </c>
      <c r="F2349" s="637">
        <f t="shared" si="72"/>
        <v>0.36830227355599138</v>
      </c>
      <c r="G2349" s="636">
        <f>G2348/(D2348+E2348+G2348+H2348+I2348+J2348+L2348+M2348+N2348)</f>
        <v>0.19719919977136324</v>
      </c>
      <c r="H2349" s="636">
        <f>H2348/(D2348+E2348+G2348+H2348+I2348+J2348+L2348+M2348+N2348)</f>
        <v>2.4598161050940662E-2</v>
      </c>
      <c r="I2349" s="636">
        <f>I2348/(D2348+E2348+G2348+H2348+I2348+J2348+L2348+M2348+N2348)</f>
        <v>2.4811686754507855E-2</v>
      </c>
      <c r="J2349" s="636">
        <f>J2348/(D2348+E2348+G2348+H2348+I2348+J2348+L2348+M2348+N2348)</f>
        <v>0</v>
      </c>
      <c r="K2349" s="637">
        <f t="shared" si="73"/>
        <v>0.24660904757681174</v>
      </c>
      <c r="L2349" s="636">
        <f>L2348/(D2348+E2348+G2348+H2348+I2348+J2348+L2348+M2348+N2348)</f>
        <v>2.5317578421420898E-2</v>
      </c>
      <c r="M2349" s="636">
        <f>M2348/(D2348+E2348+G2348+H2348+I2348+J2348+L2348+M2348+N2348)</f>
        <v>0</v>
      </c>
      <c r="N2349" s="636">
        <f>N2348/(D2348+E2348+G2348+H2348+I2348+J2348+L2348+M2348+N2348)</f>
        <v>0.35977110044577598</v>
      </c>
      <c r="O2349" s="1503"/>
    </row>
    <row r="2350" spans="1:15" ht="12" customHeight="1">
      <c r="A2350" s="1517"/>
      <c r="B2350" s="1502" t="s">
        <v>14939</v>
      </c>
      <c r="C2350" s="638" t="s">
        <v>6218</v>
      </c>
      <c r="D2350" s="639">
        <v>82110</v>
      </c>
      <c r="E2350" s="639">
        <v>27491</v>
      </c>
      <c r="F2350" s="640">
        <f t="shared" si="72"/>
        <v>109601</v>
      </c>
      <c r="G2350" s="639">
        <v>52961</v>
      </c>
      <c r="H2350" s="639">
        <v>5528</v>
      </c>
      <c r="I2350" s="639"/>
      <c r="J2350" s="639"/>
      <c r="K2350" s="640">
        <f t="shared" si="73"/>
        <v>58489</v>
      </c>
      <c r="L2350" s="639">
        <v>7101</v>
      </c>
      <c r="M2350" s="639">
        <v>3312</v>
      </c>
      <c r="N2350" s="639">
        <v>126165</v>
      </c>
      <c r="O2350" s="1503">
        <f>1-N2351</f>
        <v>0.58589349718381978</v>
      </c>
    </row>
    <row r="2351" spans="1:15" ht="12" customHeight="1">
      <c r="A2351" s="1517"/>
      <c r="B2351" s="1502"/>
      <c r="C2351" s="635" t="s">
        <v>6219</v>
      </c>
      <c r="D2351" s="636">
        <f>D2350/(D2350+E2350+G2350+H2350+I2350+J2350+L2350+M2350+N2350)</f>
        <v>0.26950647918389853</v>
      </c>
      <c r="E2351" s="636">
        <f>E2350/(D2350+E2350+G2350+H2350+I2350+J2350+L2350+M2350+N2350)</f>
        <v>9.0232646684259593E-2</v>
      </c>
      <c r="F2351" s="637">
        <f t="shared" si="72"/>
        <v>0.35973912586815815</v>
      </c>
      <c r="G2351" s="636">
        <f>G2350/(D2350+E2350+G2350+H2350+I2350+J2350+L2350+M2350+N2350)</f>
        <v>0.17383184318668191</v>
      </c>
      <c r="H2351" s="636">
        <f>H2350/(D2350+E2350+G2350+H2350+I2350+J2350+L2350+M2350+N2350)</f>
        <v>1.8144340724985886E-2</v>
      </c>
      <c r="I2351" s="636">
        <f>I2350/(D2350+E2350+G2350+H2350+I2350+J2350+L2350+M2350+N2350)</f>
        <v>0</v>
      </c>
      <c r="J2351" s="636">
        <f>J2350/(D2350+E2350+G2350+H2350+I2350+J2350+L2350+M2350+N2350)</f>
        <v>0</v>
      </c>
      <c r="K2351" s="637">
        <f t="shared" si="73"/>
        <v>0.19197618391166779</v>
      </c>
      <c r="L2351" s="636">
        <f>L2350/(D2350+E2350+G2350+H2350+I2350+J2350+L2350+M2350+N2350)</f>
        <v>2.3307337823466855E-2</v>
      </c>
      <c r="M2351" s="636">
        <f>M2350/(D2350+E2350+G2350+H2350+I2350+J2350+L2350+M2350+N2350)</f>
        <v>1.0870849580527E-2</v>
      </c>
      <c r="N2351" s="636">
        <f>N2350/(D2350+E2350+G2350+H2350+I2350+J2350+L2350+M2350+N2350)</f>
        <v>0.41410650281618022</v>
      </c>
      <c r="O2351" s="1503"/>
    </row>
    <row r="2352" spans="1:15" ht="12" customHeight="1">
      <c r="A2352" s="1517"/>
      <c r="B2352" s="1502" t="s">
        <v>14940</v>
      </c>
      <c r="C2352" s="638" t="s">
        <v>6218</v>
      </c>
      <c r="D2352" s="639">
        <v>77225</v>
      </c>
      <c r="E2352" s="639">
        <v>32205</v>
      </c>
      <c r="F2352" s="640">
        <f t="shared" si="72"/>
        <v>109430</v>
      </c>
      <c r="G2352" s="639">
        <v>51056</v>
      </c>
      <c r="H2352" s="639">
        <v>11453</v>
      </c>
      <c r="I2352" s="639"/>
      <c r="J2352" s="639"/>
      <c r="K2352" s="640">
        <f t="shared" si="73"/>
        <v>62509</v>
      </c>
      <c r="L2352" s="639">
        <v>8330</v>
      </c>
      <c r="M2352" s="639"/>
      <c r="N2352" s="639">
        <v>124943</v>
      </c>
      <c r="O2352" s="1503">
        <f>1-N2353</f>
        <v>0.59063536165026276</v>
      </c>
    </row>
    <row r="2353" spans="1:15" ht="12" customHeight="1" thickBot="1">
      <c r="A2353" s="1519"/>
      <c r="B2353" s="1514"/>
      <c r="C2353" s="641" t="s">
        <v>6219</v>
      </c>
      <c r="D2353" s="642">
        <f>D2352/(D2352+E2352+G2352+H2352+I2352+J2352+L2352+M2352+N2352)</f>
        <v>0.25302085108056038</v>
      </c>
      <c r="E2353" s="642">
        <f>E2352/(D2352+E2352+G2352+H2352+I2352+J2352+L2352+M2352+N2352)</f>
        <v>0.10551682109484554</v>
      </c>
      <c r="F2353" s="643">
        <f t="shared" si="72"/>
        <v>0.35853767217540594</v>
      </c>
      <c r="G2353" s="642">
        <f>G2352/(D2352+E2352+G2352+H2352+I2352+J2352+L2352+M2352+N2352)</f>
        <v>0.16728044768881958</v>
      </c>
      <c r="H2353" s="642">
        <f>H2352/(D2352+E2352+G2352+H2352+I2352+J2352+L2352+M2352+N2352)</f>
        <v>3.7524736904184633E-2</v>
      </c>
      <c r="I2353" s="642">
        <f>I2352/(D2352+E2352+G2352+H2352+I2352+J2352+L2352+M2352+N2352)</f>
        <v>0</v>
      </c>
      <c r="J2353" s="642">
        <f>J2352/(D2352+E2352+G2352+H2352+I2352+J2352+L2352+M2352+N2352)</f>
        <v>0</v>
      </c>
      <c r="K2353" s="643">
        <f t="shared" si="73"/>
        <v>0.20480518459300423</v>
      </c>
      <c r="L2353" s="642">
        <f>L2352/(D2352+E2352+G2352+H2352+I2352+J2352+L2352+M2352+N2352)</f>
        <v>2.7292504881852614E-2</v>
      </c>
      <c r="M2353" s="642">
        <f>M2352/(D2352+E2352+G2352+H2352+I2352+J2352+L2352+M2352+N2352)</f>
        <v>0</v>
      </c>
      <c r="N2353" s="642">
        <f>N2352/(D2352+E2352+G2352+H2352+I2352+J2352+L2352+M2352+N2352)</f>
        <v>0.40936463834973724</v>
      </c>
      <c r="O2353" s="1515"/>
    </row>
    <row r="2354" spans="1:15" ht="12" customHeight="1">
      <c r="A2354" s="1516" t="s">
        <v>15232</v>
      </c>
      <c r="B2354" s="1509" t="s">
        <v>14937</v>
      </c>
      <c r="C2354" s="647" t="s">
        <v>6218</v>
      </c>
      <c r="D2354" s="648">
        <v>56146</v>
      </c>
      <c r="E2354" s="648">
        <v>20771</v>
      </c>
      <c r="F2354" s="649">
        <f t="shared" si="72"/>
        <v>76917</v>
      </c>
      <c r="G2354" s="648">
        <v>56055</v>
      </c>
      <c r="H2354" s="648">
        <v>5477</v>
      </c>
      <c r="I2354" s="648">
        <v>2864</v>
      </c>
      <c r="J2354" s="648">
        <v>2155</v>
      </c>
      <c r="K2354" s="649">
        <f t="shared" si="73"/>
        <v>66551</v>
      </c>
      <c r="L2354" s="648">
        <v>6016</v>
      </c>
      <c r="M2354" s="648">
        <v>1698</v>
      </c>
      <c r="N2354" s="648">
        <v>99101</v>
      </c>
      <c r="O2354" s="1510">
        <f>1-N2355</f>
        <v>0.60404422194076313</v>
      </c>
    </row>
    <row r="2355" spans="1:15" ht="12" customHeight="1">
      <c r="A2355" s="1517"/>
      <c r="B2355" s="1502"/>
      <c r="C2355" s="635" t="s">
        <v>6219</v>
      </c>
      <c r="D2355" s="636">
        <f>D2354/(D2354+E2354+G2354+H2354+I2354+J2354+L2354+M2354+N2354)</f>
        <v>0.22433005837392073</v>
      </c>
      <c r="E2355" s="636">
        <f>E2354/(D2354+E2354+G2354+H2354+I2354+J2354+L2354+M2354+N2354)</f>
        <v>8.2990055257448569E-2</v>
      </c>
      <c r="F2355" s="637">
        <f t="shared" si="72"/>
        <v>0.3073201136313693</v>
      </c>
      <c r="G2355" s="636">
        <f>G2354/(D2354+E2354+G2354+H2354+I2354+J2354+L2354+M2354+N2354)</f>
        <v>0.2239664699560098</v>
      </c>
      <c r="H2355" s="636">
        <f>H2354/(D2354+E2354+G2354+H2354+I2354+J2354+L2354+M2354+N2354)</f>
        <v>2.1883228185693795E-2</v>
      </c>
      <c r="I2355" s="636">
        <f>I2354/(D2354+E2354+G2354+H2354+I2354+J2354+L2354+M2354+N2354)</f>
        <v>1.1443046471394382E-2</v>
      </c>
      <c r="J2355" s="636">
        <f>J2354/(D2354+E2354+G2354+H2354+I2354+J2354+L2354+M2354+N2354)</f>
        <v>8.6102531933850875E-3</v>
      </c>
      <c r="K2355" s="637">
        <f t="shared" si="73"/>
        <v>0.26590299780648308</v>
      </c>
      <c r="L2355" s="636">
        <f>L2354/(D2354+E2354+G2354+H2354+I2354+J2354+L2354+M2354+N2354)</f>
        <v>2.4036790353320042E-2</v>
      </c>
      <c r="M2355" s="636">
        <f>M2354/(D2354+E2354+G2354+H2354+I2354+J2354+L2354+M2354+N2354)</f>
        <v>6.7843201495906636E-3</v>
      </c>
      <c r="N2355" s="636">
        <f>N2354/(D2354+E2354+G2354+H2354+I2354+J2354+L2354+M2354+N2354)</f>
        <v>0.39595577805923693</v>
      </c>
      <c r="O2355" s="1503"/>
    </row>
    <row r="2356" spans="1:15" ht="12" customHeight="1">
      <c r="A2356" s="1517"/>
      <c r="B2356" s="1502" t="s">
        <v>14938</v>
      </c>
      <c r="C2356" s="638" t="s">
        <v>6218</v>
      </c>
      <c r="D2356" s="639">
        <v>70888</v>
      </c>
      <c r="E2356" s="639">
        <v>19934</v>
      </c>
      <c r="F2356" s="640">
        <f t="shared" si="72"/>
        <v>90822</v>
      </c>
      <c r="G2356" s="639">
        <v>53076</v>
      </c>
      <c r="H2356" s="639">
        <v>7686</v>
      </c>
      <c r="I2356" s="639">
        <v>5929</v>
      </c>
      <c r="J2356" s="639"/>
      <c r="K2356" s="640">
        <f t="shared" si="73"/>
        <v>66691</v>
      </c>
      <c r="L2356" s="639">
        <v>6724</v>
      </c>
      <c r="M2356" s="639"/>
      <c r="N2356" s="639">
        <v>88957</v>
      </c>
      <c r="O2356" s="1503">
        <f>1-N2357</f>
        <v>0.64866071075933873</v>
      </c>
    </row>
    <row r="2357" spans="1:15" ht="12" customHeight="1">
      <c r="A2357" s="1517"/>
      <c r="B2357" s="1502"/>
      <c r="C2357" s="635" t="s">
        <v>6219</v>
      </c>
      <c r="D2357" s="636">
        <f>D2356/(D2356+E2356+G2356+H2356+I2356+J2356+L2356+M2356+N2356)</f>
        <v>0.27997503890297559</v>
      </c>
      <c r="E2357" s="636">
        <f>E2356/(D2356+E2356+G2356+H2356+I2356+J2356+L2356+M2356+N2356)</f>
        <v>7.8730143684289516E-2</v>
      </c>
      <c r="F2357" s="637">
        <f t="shared" si="72"/>
        <v>0.35870518258726514</v>
      </c>
      <c r="G2357" s="636">
        <f>G2356/(D2356+E2356+G2356+H2356+I2356+J2356+L2356+M2356+N2356)</f>
        <v>0.20962582051707387</v>
      </c>
      <c r="H2357" s="636">
        <f>H2356/(D2356+E2356+G2356+H2356+I2356+J2356+L2356+M2356+N2356)</f>
        <v>3.0356169577478141E-2</v>
      </c>
      <c r="I2357" s="636">
        <f>I2356/(D2356+E2356+G2356+H2356+I2356+J2356+L2356+M2356+N2356)</f>
        <v>2.3416826623063738E-2</v>
      </c>
      <c r="J2357" s="636">
        <f>J2356/(D2356+E2356+G2356+H2356+I2356+J2356+L2356+M2356+N2356)</f>
        <v>0</v>
      </c>
      <c r="K2357" s="637">
        <f t="shared" si="73"/>
        <v>0.26339881671761572</v>
      </c>
      <c r="L2357" s="636">
        <f>L2356/(D2356+E2356+G2356+H2356+I2356+J2356+L2356+M2356+N2356)</f>
        <v>2.6556711454457847E-2</v>
      </c>
      <c r="M2357" s="636">
        <f>M2356/(D2356+E2356+G2356+H2356+I2356+J2356+L2356+M2356+N2356)</f>
        <v>0</v>
      </c>
      <c r="N2357" s="636">
        <f>N2356/(D2356+E2356+G2356+H2356+I2356+J2356+L2356+M2356+N2356)</f>
        <v>0.35133928924066132</v>
      </c>
      <c r="O2357" s="1503"/>
    </row>
    <row r="2358" spans="1:15" ht="12" customHeight="1">
      <c r="A2358" s="1517"/>
      <c r="B2358" s="1502" t="s">
        <v>14939</v>
      </c>
      <c r="C2358" s="638" t="s">
        <v>6218</v>
      </c>
      <c r="D2358" s="639">
        <v>75266</v>
      </c>
      <c r="E2358" s="639">
        <v>17738</v>
      </c>
      <c r="F2358" s="640">
        <f t="shared" si="72"/>
        <v>93004</v>
      </c>
      <c r="G2358" s="639">
        <v>42130</v>
      </c>
      <c r="H2358" s="639">
        <v>5846</v>
      </c>
      <c r="I2358" s="639"/>
      <c r="J2358" s="639"/>
      <c r="K2358" s="640">
        <f t="shared" si="73"/>
        <v>47976</v>
      </c>
      <c r="L2358" s="639">
        <v>6400</v>
      </c>
      <c r="M2358" s="639">
        <v>3109</v>
      </c>
      <c r="N2358" s="639">
        <v>103434</v>
      </c>
      <c r="O2358" s="1503">
        <f>1-N2359</f>
        <v>0.59265604139837669</v>
      </c>
    </row>
    <row r="2359" spans="1:15" ht="12" customHeight="1">
      <c r="A2359" s="1517"/>
      <c r="B2359" s="1502"/>
      <c r="C2359" s="635" t="s">
        <v>6219</v>
      </c>
      <c r="D2359" s="636">
        <f>D2358/(D2358+E2358+G2358+H2358+I2358+J2358+L2358+M2358+N2358)</f>
        <v>0.29641269203656229</v>
      </c>
      <c r="E2359" s="636">
        <f>E2358/(D2358+E2358+G2358+H2358+I2358+J2358+L2358+M2358+N2358)</f>
        <v>6.9855822434360018E-2</v>
      </c>
      <c r="F2359" s="637">
        <f t="shared" si="72"/>
        <v>0.36626851447092229</v>
      </c>
      <c r="G2359" s="636">
        <f>G2358/(D2358+E2358+G2358+H2358+I2358+J2358+L2358+M2358+N2358)</f>
        <v>0.16591643923551627</v>
      </c>
      <c r="H2359" s="636">
        <f>H2358/(D2358+E2358+G2358+H2358+I2358+J2358+L2358+M2358+N2358)</f>
        <v>2.3022727362231859E-2</v>
      </c>
      <c r="I2359" s="636">
        <f>I2358/(D2358+E2358+G2358+H2358+I2358+J2358+L2358+M2358+N2358)</f>
        <v>0</v>
      </c>
      <c r="J2359" s="636">
        <f>J2358/(D2358+E2358+G2358+H2358+I2358+J2358+L2358+M2358+N2358)</f>
        <v>0</v>
      </c>
      <c r="K2359" s="637">
        <f t="shared" si="73"/>
        <v>0.18893916659774812</v>
      </c>
      <c r="L2359" s="636">
        <f>L2358/(D2358+E2358+G2358+H2358+I2358+J2358+L2358+M2358+N2358)</f>
        <v>2.5204491125262383E-2</v>
      </c>
      <c r="M2359" s="636">
        <f>M2358/(D2358+E2358+G2358+H2358+I2358+J2358+L2358+M2358+N2358)</f>
        <v>1.2243869204443867E-2</v>
      </c>
      <c r="N2359" s="636">
        <f>N2358/(D2358+E2358+G2358+H2358+I2358+J2358+L2358+M2358+N2358)</f>
        <v>0.40734395860162331</v>
      </c>
      <c r="O2359" s="1503"/>
    </row>
    <row r="2360" spans="1:15" ht="12" customHeight="1">
      <c r="A2360" s="1517"/>
      <c r="B2360" s="1502" t="s">
        <v>14940</v>
      </c>
      <c r="C2360" s="638" t="s">
        <v>6218</v>
      </c>
      <c r="D2360" s="639">
        <v>64515</v>
      </c>
      <c r="E2360" s="639">
        <v>22604</v>
      </c>
      <c r="F2360" s="640">
        <f t="shared" si="72"/>
        <v>87119</v>
      </c>
      <c r="G2360" s="639">
        <v>53610</v>
      </c>
      <c r="H2360" s="639">
        <v>7374</v>
      </c>
      <c r="I2360" s="639"/>
      <c r="J2360" s="639"/>
      <c r="K2360" s="640">
        <f t="shared" si="73"/>
        <v>60984</v>
      </c>
      <c r="L2360" s="639">
        <v>8375</v>
      </c>
      <c r="M2360" s="639"/>
      <c r="N2360" s="639">
        <v>98206</v>
      </c>
      <c r="O2360" s="1503">
        <f>1-N2361</f>
        <v>0.61440059053572271</v>
      </c>
    </row>
    <row r="2361" spans="1:15" ht="12" customHeight="1" thickBot="1">
      <c r="A2361" s="1519"/>
      <c r="B2361" s="1514"/>
      <c r="C2361" s="641" t="s">
        <v>6219</v>
      </c>
      <c r="D2361" s="642">
        <f>D2360/(D2360+E2360+G2360+H2360+I2360+J2360+L2360+M2360+N2360)</f>
        <v>0.2533139105715318</v>
      </c>
      <c r="E2361" s="642">
        <f>E2360/(D2360+E2360+G2360+H2360+I2360+J2360+L2360+M2360+N2360)</f>
        <v>8.8753121515289538E-2</v>
      </c>
      <c r="F2361" s="643">
        <f t="shared" si="72"/>
        <v>0.34206703208682132</v>
      </c>
      <c r="G2361" s="642">
        <f>G2360/(D2360+E2360+G2360+H2360+I2360+J2360+L2360+M2360+N2360)</f>
        <v>0.21049614424149141</v>
      </c>
      <c r="H2361" s="642">
        <f>H2360/(D2360+E2360+G2360+H2360+I2360+J2360+L2360+M2360+N2360)</f>
        <v>2.8953526723312025E-2</v>
      </c>
      <c r="I2361" s="642">
        <f>I2360/(D2360+E2360+G2360+H2360+I2360+J2360+L2360+M2360+N2360)</f>
        <v>0</v>
      </c>
      <c r="J2361" s="642">
        <f>J2360/(D2360+E2360+G2360+H2360+I2360+J2360+L2360+M2360+N2360)</f>
        <v>0</v>
      </c>
      <c r="K2361" s="643">
        <f t="shared" si="73"/>
        <v>0.23944967096480343</v>
      </c>
      <c r="L2361" s="642">
        <f>L2360/(D2360+E2360+G2360+H2360+I2360+J2360+L2360+M2360+N2360)</f>
        <v>3.2883887484097943E-2</v>
      </c>
      <c r="M2361" s="642">
        <f>M2360/(D2360+E2360+G2360+H2360+I2360+J2360+L2360+M2360+N2360)</f>
        <v>0</v>
      </c>
      <c r="N2361" s="642">
        <f>N2360/(D2360+E2360+G2360+H2360+I2360+J2360+L2360+M2360+N2360)</f>
        <v>0.38559940946427729</v>
      </c>
      <c r="O2361" s="1515"/>
    </row>
    <row r="2362" spans="1:15" ht="12" customHeight="1">
      <c r="A2362" s="1526" t="s">
        <v>15233</v>
      </c>
      <c r="B2362" s="1509" t="s">
        <v>14937</v>
      </c>
      <c r="C2362" s="647" t="s">
        <v>6218</v>
      </c>
      <c r="D2362" s="648">
        <v>63847</v>
      </c>
      <c r="E2362" s="648">
        <v>24883</v>
      </c>
      <c r="F2362" s="649">
        <f t="shared" si="72"/>
        <v>88730</v>
      </c>
      <c r="G2362" s="648">
        <v>70872</v>
      </c>
      <c r="H2362" s="648">
        <v>21781</v>
      </c>
      <c r="I2362" s="648">
        <v>3052</v>
      </c>
      <c r="J2362" s="648">
        <v>3289</v>
      </c>
      <c r="K2362" s="649">
        <f t="shared" si="73"/>
        <v>98994</v>
      </c>
      <c r="L2362" s="648">
        <v>9264</v>
      </c>
      <c r="M2362" s="648">
        <v>3021</v>
      </c>
      <c r="N2362" s="648">
        <v>155987</v>
      </c>
      <c r="O2362" s="1510">
        <f>1-N2363</f>
        <v>0.56182934639715054</v>
      </c>
    </row>
    <row r="2363" spans="1:15" ht="12" customHeight="1">
      <c r="A2363" s="1527"/>
      <c r="B2363" s="1502"/>
      <c r="C2363" s="635" t="s">
        <v>6219</v>
      </c>
      <c r="D2363" s="636">
        <f>D2362/(D2362+E2362+G2362+H2362+I2362+J2362+L2362+M2362+N2362)</f>
        <v>0.1793475207586602</v>
      </c>
      <c r="E2363" s="636">
        <f>E2362/(D2362+E2362+G2362+H2362+I2362+J2362+L2362+M2362+N2362)</f>
        <v>6.9896852773626672E-2</v>
      </c>
      <c r="F2363" s="637">
        <f t="shared" si="72"/>
        <v>0.24924437353228687</v>
      </c>
      <c r="G2363" s="636">
        <f>G2362/(D2362+E2362+G2362+H2362+I2362+J2362+L2362+M2362+N2362)</f>
        <v>0.19908088854930955</v>
      </c>
      <c r="H2363" s="636">
        <f>H2362/(D2362+E2362+G2362+H2362+I2362+J2362+L2362+M2362+N2362)</f>
        <v>6.1183271722154181E-2</v>
      </c>
      <c r="I2363" s="636">
        <f>I2362/(D2362+E2362+G2362+H2362+I2362+J2362+L2362+M2362+N2362)</f>
        <v>8.5731300351689337E-3</v>
      </c>
      <c r="J2363" s="636">
        <f>J2362/(D2362+E2362+G2362+H2362+I2362+J2362+L2362+M2362+N2362)</f>
        <v>9.2388678524477803E-3</v>
      </c>
      <c r="K2363" s="637">
        <f t="shared" si="73"/>
        <v>0.27807615815908038</v>
      </c>
      <c r="L2363" s="636">
        <f>L2362/(D2362+E2362+G2362+H2362+I2362+J2362+L2362+M2362+N2362)</f>
        <v>2.6022764300722478E-2</v>
      </c>
      <c r="M2363" s="636">
        <f>M2362/(D2362+E2362+G2362+H2362+I2362+J2362+L2362+M2362+N2362)</f>
        <v>8.4860504050607317E-3</v>
      </c>
      <c r="N2363" s="636">
        <f>N2362/(D2362+E2362+G2362+H2362+I2362+J2362+L2362+M2362+N2362)</f>
        <v>0.43817065360284946</v>
      </c>
      <c r="O2363" s="1503"/>
    </row>
    <row r="2364" spans="1:15" ht="12" customHeight="1">
      <c r="A2364" s="1527"/>
      <c r="B2364" s="1502" t="s">
        <v>14938</v>
      </c>
      <c r="C2364" s="638" t="s">
        <v>6218</v>
      </c>
      <c r="D2364" s="639">
        <v>78700</v>
      </c>
      <c r="E2364" s="639">
        <v>33912</v>
      </c>
      <c r="F2364" s="640">
        <f t="shared" si="72"/>
        <v>112612</v>
      </c>
      <c r="G2364" s="639">
        <v>74876</v>
      </c>
      <c r="H2364" s="639">
        <v>26816</v>
      </c>
      <c r="I2364" s="639">
        <v>8861</v>
      </c>
      <c r="J2364" s="639"/>
      <c r="K2364" s="640">
        <f t="shared" si="73"/>
        <v>110553</v>
      </c>
      <c r="L2364" s="639">
        <v>12361</v>
      </c>
      <c r="M2364" s="639"/>
      <c r="N2364" s="639">
        <v>115526</v>
      </c>
      <c r="O2364" s="1503">
        <f>1-N2365</f>
        <v>0.67091485022161956</v>
      </c>
    </row>
    <row r="2365" spans="1:15" ht="12" customHeight="1">
      <c r="A2365" s="1527"/>
      <c r="B2365" s="1502"/>
      <c r="C2365" s="635" t="s">
        <v>6219</v>
      </c>
      <c r="D2365" s="636">
        <f>D2364/(D2364+E2364+G2364+H2364+I2364+J2364+L2364+M2364+N2364)</f>
        <v>0.22418331187402435</v>
      </c>
      <c r="E2365" s="636">
        <f>E2364/(D2364+E2364+G2364+H2364+I2364+J2364+L2364+M2364+N2364)</f>
        <v>9.6601073345259386E-2</v>
      </c>
      <c r="F2365" s="637">
        <f t="shared" si="72"/>
        <v>0.32078438521928376</v>
      </c>
      <c r="G2365" s="636">
        <f>G2364/(D2364+E2364+G2364+H2364+I2364+J2364+L2364+M2364+N2364)</f>
        <v>0.21329033875323314</v>
      </c>
      <c r="H2365" s="636">
        <f>H2364/(D2364+E2364+G2364+H2364+I2364+J2364+L2364+M2364+N2364)</f>
        <v>7.6387543725715851E-2</v>
      </c>
      <c r="I2365" s="636">
        <f>I2364/(D2364+E2364+G2364+H2364+I2364+J2364+L2364+M2364+N2364)</f>
        <v>2.5241274796896186E-2</v>
      </c>
      <c r="J2365" s="636">
        <f>J2364/(D2364+E2364+G2364+H2364+I2364+J2364+L2364+M2364+N2364)</f>
        <v>0</v>
      </c>
      <c r="K2365" s="637">
        <f t="shared" si="73"/>
        <v>0.31491915727584519</v>
      </c>
      <c r="L2365" s="636">
        <f>L2364/(D2364+E2364+G2364+H2364+I2364+J2364+L2364+M2364+N2364)</f>
        <v>3.5211307726490663E-2</v>
      </c>
      <c r="M2365" s="636">
        <f>M2364/(D2364+E2364+G2364+H2364+I2364+J2364+L2364+M2364+N2364)</f>
        <v>0</v>
      </c>
      <c r="N2365" s="636">
        <f>N2364/(D2364+E2364+G2364+H2364+I2364+J2364+L2364+M2364+N2364)</f>
        <v>0.32908514977838044</v>
      </c>
      <c r="O2365" s="1503"/>
    </row>
    <row r="2366" spans="1:15" ht="12" customHeight="1">
      <c r="A2366" s="1527"/>
      <c r="B2366" s="1502" t="s">
        <v>14939</v>
      </c>
      <c r="C2366" s="638" t="s">
        <v>6218</v>
      </c>
      <c r="D2366" s="639">
        <v>53140</v>
      </c>
      <c r="E2366" s="639">
        <v>30903</v>
      </c>
      <c r="F2366" s="640">
        <f t="shared" si="72"/>
        <v>84043</v>
      </c>
      <c r="G2366" s="639">
        <v>76491</v>
      </c>
      <c r="H2366" s="639">
        <v>23879</v>
      </c>
      <c r="I2366" s="639"/>
      <c r="J2366" s="639"/>
      <c r="K2366" s="640">
        <f t="shared" si="73"/>
        <v>100370</v>
      </c>
      <c r="L2366" s="639">
        <v>9560</v>
      </c>
      <c r="M2366" s="639">
        <v>6326</v>
      </c>
      <c r="N2366" s="639">
        <v>146940</v>
      </c>
      <c r="O2366" s="1503">
        <f>1-N2367</f>
        <v>0.57683324741748476</v>
      </c>
    </row>
    <row r="2367" spans="1:15" ht="12" customHeight="1">
      <c r="A2367" s="1527"/>
      <c r="B2367" s="1502"/>
      <c r="C2367" s="635" t="s">
        <v>6219</v>
      </c>
      <c r="D2367" s="636">
        <f>D2366/(D2366+E2366+G2366+H2366+I2366+J2366+L2366+M2366+N2366)</f>
        <v>0.15303580530988742</v>
      </c>
      <c r="E2367" s="636">
        <f>E2366/(D2366+E2366+G2366+H2366+I2366+J2366+L2366+M2366+N2366)</f>
        <v>8.899633969686585E-2</v>
      </c>
      <c r="F2367" s="637">
        <f t="shared" si="72"/>
        <v>0.24203214500675327</v>
      </c>
      <c r="G2367" s="636">
        <f>G2366/(D2366+E2366+G2366+H2366+I2366+J2366+L2366+M2366+N2366)</f>
        <v>0.2202834359043771</v>
      </c>
      <c r="H2367" s="636">
        <f>H2366/(D2366+E2366+G2366+H2366+I2366+J2366+L2366+M2366+N2366)</f>
        <v>6.8768197120715122E-2</v>
      </c>
      <c r="I2367" s="636">
        <f>I2366/(D2366+E2366+G2366+H2366+I2366+J2366+L2366+M2366+N2366)</f>
        <v>0</v>
      </c>
      <c r="J2367" s="636">
        <f>J2366/(D2366+E2366+G2366+H2366+I2366+J2366+L2366+M2366+N2366)</f>
        <v>0</v>
      </c>
      <c r="K2367" s="637">
        <f t="shared" si="73"/>
        <v>0.28905163302509224</v>
      </c>
      <c r="L2367" s="636">
        <f>L2366/(D2366+E2366+G2366+H2366+I2366+J2366+L2366+M2366+N2366)</f>
        <v>2.7531469679385093E-2</v>
      </c>
      <c r="M2367" s="636">
        <f>M2366/(D2366+E2366+G2366+H2366+I2366+J2366+L2366+M2366+N2366)</f>
        <v>1.8217999706254193E-2</v>
      </c>
      <c r="N2367" s="636">
        <f>N2366/(D2366+E2366+G2366+H2366+I2366+J2366+L2366+M2366+N2366)</f>
        <v>0.42316675258251524</v>
      </c>
      <c r="O2367" s="1503"/>
    </row>
    <row r="2368" spans="1:15" ht="12" customHeight="1">
      <c r="A2368" s="1527"/>
      <c r="B2368" s="1502" t="s">
        <v>14940</v>
      </c>
      <c r="C2368" s="638" t="s">
        <v>6218</v>
      </c>
      <c r="D2368" s="639">
        <v>67862</v>
      </c>
      <c r="E2368" s="639">
        <v>31418</v>
      </c>
      <c r="F2368" s="640">
        <f t="shared" si="72"/>
        <v>99280</v>
      </c>
      <c r="G2368" s="639">
        <v>68558</v>
      </c>
      <c r="H2368" s="639">
        <v>31690</v>
      </c>
      <c r="I2368" s="639"/>
      <c r="J2368" s="639"/>
      <c r="K2368" s="640">
        <f t="shared" si="73"/>
        <v>100248</v>
      </c>
      <c r="L2368" s="639">
        <v>11062</v>
      </c>
      <c r="M2368" s="639"/>
      <c r="N2368" s="639">
        <v>134490</v>
      </c>
      <c r="O2368" s="1503">
        <f>1-N2369</f>
        <v>0.61026428654225107</v>
      </c>
    </row>
    <row r="2369" spans="1:15" ht="12" customHeight="1" thickBot="1">
      <c r="A2369" s="1528"/>
      <c r="B2369" s="1514"/>
      <c r="C2369" s="641" t="s">
        <v>6219</v>
      </c>
      <c r="D2369" s="642">
        <f>D2368/(D2368+E2368+G2368+H2368+I2368+J2368+L2368+M2368+N2368)</f>
        <v>0.19665584791932306</v>
      </c>
      <c r="E2369" s="642">
        <f>E2368/(D2368+E2368+G2368+H2368+I2368+J2368+L2368+M2368+N2368)</f>
        <v>9.1045554653993277E-2</v>
      </c>
      <c r="F2369" s="643">
        <f t="shared" si="72"/>
        <v>0.28770140257331633</v>
      </c>
      <c r="G2369" s="642">
        <f>G2368/(D2368+E2368+G2368+H2368+I2368+J2368+L2368+M2368+N2368)</f>
        <v>0.19867277153123913</v>
      </c>
      <c r="H2369" s="642">
        <f>H2368/(D2368+E2368+G2368+H2368+I2368+J2368+L2368+M2368+N2368)</f>
        <v>9.1833777674742087E-2</v>
      </c>
      <c r="I2369" s="642">
        <f>I2368/(D2368+E2368+G2368+H2368+I2368+J2368+L2368+M2368+N2368)</f>
        <v>0</v>
      </c>
      <c r="J2369" s="642">
        <f>J2368/(D2368+E2368+G2368+H2368+I2368+J2368+L2368+M2368+N2368)</f>
        <v>0</v>
      </c>
      <c r="K2369" s="643">
        <f t="shared" si="73"/>
        <v>0.29050654920598123</v>
      </c>
      <c r="L2369" s="642">
        <f>L2368/(D2368+E2368+G2368+H2368+I2368+J2368+L2368+M2368+N2368)</f>
        <v>3.2056334762953519E-2</v>
      </c>
      <c r="M2369" s="642">
        <f>M2368/(D2368+E2368+G2368+H2368+I2368+J2368+L2368+M2368+N2368)</f>
        <v>0</v>
      </c>
      <c r="N2369" s="642">
        <f>N2368/(D2368+E2368+G2368+H2368+I2368+J2368+L2368+M2368+N2368)</f>
        <v>0.38973571345774893</v>
      </c>
      <c r="O2369" s="1515"/>
    </row>
    <row r="2370" spans="1:15" ht="12" customHeight="1">
      <c r="A2370" s="1516" t="s">
        <v>15234</v>
      </c>
      <c r="B2370" s="1509" t="s">
        <v>14937</v>
      </c>
      <c r="C2370" s="647" t="s">
        <v>6218</v>
      </c>
      <c r="D2370" s="648">
        <v>74197</v>
      </c>
      <c r="E2370" s="648">
        <v>23099</v>
      </c>
      <c r="F2370" s="649">
        <f t="shared" ref="F2370:F2433" si="74">SUM(D2370:E2370)</f>
        <v>97296</v>
      </c>
      <c r="G2370" s="648">
        <v>62700</v>
      </c>
      <c r="H2370" s="648">
        <v>25213</v>
      </c>
      <c r="I2370" s="648">
        <v>3395</v>
      </c>
      <c r="J2370" s="648">
        <v>2421</v>
      </c>
      <c r="K2370" s="649">
        <f t="shared" ref="K2370:K2433" si="75">SUM(G2370:J2370)</f>
        <v>93729</v>
      </c>
      <c r="L2370" s="648">
        <v>8384</v>
      </c>
      <c r="M2370" s="648">
        <v>3326</v>
      </c>
      <c r="N2370" s="648">
        <v>111574</v>
      </c>
      <c r="O2370" s="1510">
        <f>1-N2371</f>
        <v>0.64501811911208395</v>
      </c>
    </row>
    <row r="2371" spans="1:15" ht="12" customHeight="1">
      <c r="A2371" s="1517"/>
      <c r="B2371" s="1502"/>
      <c r="C2371" s="635" t="s">
        <v>6219</v>
      </c>
      <c r="D2371" s="636">
        <f>D2370/(D2370+E2370+G2370+H2370+I2370+J2370+L2370+M2370+N2370)</f>
        <v>0.23606387344937624</v>
      </c>
      <c r="E2371" s="636">
        <f>E2370/(D2370+E2370+G2370+H2370+I2370+J2370+L2370+M2370+N2370)</f>
        <v>7.3491373139171964E-2</v>
      </c>
      <c r="F2371" s="637">
        <f t="shared" si="74"/>
        <v>0.30955524658854822</v>
      </c>
      <c r="G2371" s="636">
        <f>G2370/(D2370+E2370+G2370+H2370+I2370+J2370+L2370+M2370+N2370)</f>
        <v>0.19948521995870305</v>
      </c>
      <c r="H2371" s="636">
        <f>H2370/(D2370+E2370+G2370+H2370+I2370+J2370+L2370+M2370+N2370)</f>
        <v>8.0217238450060291E-2</v>
      </c>
      <c r="I2371" s="636">
        <f>I2370/(D2370+E2370+G2370+H2370+I2370+J2370+L2370+M2370+N2370)</f>
        <v>1.0801472436360397E-2</v>
      </c>
      <c r="J2371" s="636">
        <f>J2370/(D2370+E2370+G2370+H2370+I2370+J2370+L2370+M2370+N2370)</f>
        <v>7.7026111247212141E-3</v>
      </c>
      <c r="K2371" s="637">
        <f t="shared" si="75"/>
        <v>0.29820654196984492</v>
      </c>
      <c r="L2371" s="636">
        <f>L2370/(D2370+E2370+G2370+H2370+I2370+J2370+L2370+M2370+N2370)</f>
        <v>2.6674387306758637E-2</v>
      </c>
      <c r="M2371" s="636">
        <f>M2370/(D2370+E2370+G2370+H2370+I2370+J2370+L2370+M2370+N2370)</f>
        <v>1.0581943246932159E-2</v>
      </c>
      <c r="N2371" s="636">
        <f>N2370/(D2370+E2370+G2370+H2370+I2370+J2370+L2370+M2370+N2370)</f>
        <v>0.35498188088791605</v>
      </c>
      <c r="O2371" s="1503"/>
    </row>
    <row r="2372" spans="1:15" ht="12" customHeight="1">
      <c r="A2372" s="1517"/>
      <c r="B2372" s="1502" t="s">
        <v>14938</v>
      </c>
      <c r="C2372" s="638" t="s">
        <v>6218</v>
      </c>
      <c r="D2372" s="639">
        <v>77774</v>
      </c>
      <c r="E2372" s="639">
        <v>30389</v>
      </c>
      <c r="F2372" s="640">
        <f t="shared" si="74"/>
        <v>108163</v>
      </c>
      <c r="G2372" s="639">
        <v>54166</v>
      </c>
      <c r="H2372" s="639">
        <v>39072</v>
      </c>
      <c r="I2372" s="639">
        <v>7885</v>
      </c>
      <c r="J2372" s="639"/>
      <c r="K2372" s="640">
        <f t="shared" si="75"/>
        <v>101123</v>
      </c>
      <c r="L2372" s="639">
        <v>10944</v>
      </c>
      <c r="M2372" s="639"/>
      <c r="N2372" s="639">
        <v>97967</v>
      </c>
      <c r="O2372" s="1503">
        <f>1-N2373</f>
        <v>0.69211840463612162</v>
      </c>
    </row>
    <row r="2373" spans="1:15" ht="12" customHeight="1">
      <c r="A2373" s="1517"/>
      <c r="B2373" s="1502"/>
      <c r="C2373" s="635" t="s">
        <v>6219</v>
      </c>
      <c r="D2373" s="636">
        <f>D2372/(D2372+E2372+G2372+H2372+I2372+J2372+L2372+M2372+N2372)</f>
        <v>0.24442090905948202</v>
      </c>
      <c r="E2373" s="636">
        <f>E2372/(D2372+E2372+G2372+H2372+I2372+J2372+L2372+M2372+N2372)</f>
        <v>9.5503728822081912E-2</v>
      </c>
      <c r="F2373" s="637">
        <f t="shared" si="74"/>
        <v>0.33992463788156391</v>
      </c>
      <c r="G2373" s="636">
        <f>G2372/(D2372+E2372+G2372+H2372+I2372+J2372+L2372+M2372+N2372)</f>
        <v>0.17022787769840697</v>
      </c>
      <c r="H2373" s="636">
        <f>H2372/(D2372+E2372+G2372+H2372+I2372+J2372+L2372+M2372+N2372)</f>
        <v>0.12279185536004425</v>
      </c>
      <c r="I2373" s="636">
        <f>I2372/(D2372+E2372+G2372+H2372+I2372+J2372+L2372+M2372+N2372)</f>
        <v>2.4780246199681329E-2</v>
      </c>
      <c r="J2373" s="636">
        <f>J2372/(D2372+E2372+G2372+H2372+I2372+J2372+L2372+M2372+N2372)</f>
        <v>0</v>
      </c>
      <c r="K2373" s="637">
        <f t="shared" si="75"/>
        <v>0.31779997925813253</v>
      </c>
      <c r="L2373" s="636">
        <f>L2372/(D2372+E2372+G2372+H2372+I2372+J2372+L2372+M2372+N2372)</f>
        <v>3.4393787496425174E-2</v>
      </c>
      <c r="M2373" s="636">
        <f>M2372/(D2372+E2372+G2372+H2372+I2372+J2372+L2372+M2372+N2372)</f>
        <v>0</v>
      </c>
      <c r="N2373" s="636">
        <f>N2372/(D2372+E2372+G2372+H2372+I2372+J2372+L2372+M2372+N2372)</f>
        <v>0.30788159536387838</v>
      </c>
      <c r="O2373" s="1503"/>
    </row>
    <row r="2374" spans="1:15" ht="12" customHeight="1">
      <c r="A2374" s="1517"/>
      <c r="B2374" s="1502" t="s">
        <v>14939</v>
      </c>
      <c r="C2374" s="638" t="s">
        <v>6218</v>
      </c>
      <c r="D2374" s="639">
        <v>67779</v>
      </c>
      <c r="E2374" s="639">
        <v>28275</v>
      </c>
      <c r="F2374" s="640">
        <f t="shared" si="74"/>
        <v>96054</v>
      </c>
      <c r="G2374" s="639">
        <v>65868</v>
      </c>
      <c r="H2374" s="639">
        <v>25794</v>
      </c>
      <c r="I2374" s="639"/>
      <c r="J2374" s="639"/>
      <c r="K2374" s="640">
        <f t="shared" si="75"/>
        <v>91662</v>
      </c>
      <c r="L2374" s="639">
        <v>9041</v>
      </c>
      <c r="M2374" s="639">
        <v>5673</v>
      </c>
      <c r="N2374" s="639">
        <v>117816</v>
      </c>
      <c r="O2374" s="1503">
        <f>1-N2375</f>
        <v>0.63210781711559239</v>
      </c>
    </row>
    <row r="2375" spans="1:15" ht="12" customHeight="1">
      <c r="A2375" s="1517"/>
      <c r="B2375" s="1502"/>
      <c r="C2375" s="635" t="s">
        <v>6219</v>
      </c>
      <c r="D2375" s="636">
        <f>D2374/(D2374+E2374+G2374+H2374+I2374+J2374+L2374+M2374+N2374)</f>
        <v>0.21164667162119122</v>
      </c>
      <c r="E2375" s="636">
        <f>E2374/(D2374+E2374+G2374+H2374+I2374+J2374+L2374+M2374+N2374)</f>
        <v>8.8291500908676449E-2</v>
      </c>
      <c r="F2375" s="637">
        <f t="shared" si="74"/>
        <v>0.29993817252986765</v>
      </c>
      <c r="G2375" s="636">
        <f>G2374/(D2374+E2374+G2374+H2374+I2374+J2374+L2374+M2374+N2374)</f>
        <v>0.20567938397357033</v>
      </c>
      <c r="H2375" s="636">
        <f>H2374/(D2374+E2374+G2374+H2374+I2374+J2374+L2374+M2374+N2374)</f>
        <v>8.0544331545124692E-2</v>
      </c>
      <c r="I2375" s="636">
        <f>I2374/(D2374+E2374+G2374+H2374+I2374+J2374+L2374+M2374+N2374)</f>
        <v>0</v>
      </c>
      <c r="J2375" s="636">
        <f>J2374/(D2374+E2374+G2374+H2374+I2374+J2374+L2374+M2374+N2374)</f>
        <v>0</v>
      </c>
      <c r="K2375" s="637">
        <f t="shared" si="75"/>
        <v>0.28622371551869502</v>
      </c>
      <c r="L2375" s="636">
        <f>L2374/(D2374+E2374+G2374+H2374+I2374+J2374+L2374+M2374+N2374)</f>
        <v>2.8231422094265032E-2</v>
      </c>
      <c r="M2375" s="636">
        <f>M2374/(D2374+E2374+G2374+H2374+I2374+J2374+L2374+M2374+N2374)</f>
        <v>1.7714506972764686E-2</v>
      </c>
      <c r="N2375" s="636">
        <f>N2374/(D2374+E2374+G2374+H2374+I2374+J2374+L2374+M2374+N2374)</f>
        <v>0.36789218288440761</v>
      </c>
      <c r="O2375" s="1503"/>
    </row>
    <row r="2376" spans="1:15" ht="12" customHeight="1">
      <c r="A2376" s="1517"/>
      <c r="B2376" s="1502" t="s">
        <v>14940</v>
      </c>
      <c r="C2376" s="638" t="s">
        <v>6218</v>
      </c>
      <c r="D2376" s="639">
        <v>76925</v>
      </c>
      <c r="E2376" s="639">
        <v>30253</v>
      </c>
      <c r="F2376" s="640">
        <f t="shared" si="74"/>
        <v>107178</v>
      </c>
      <c r="G2376" s="639">
        <v>50557</v>
      </c>
      <c r="H2376" s="639">
        <v>43518</v>
      </c>
      <c r="I2376" s="639"/>
      <c r="J2376" s="639"/>
      <c r="K2376" s="640">
        <f t="shared" si="75"/>
        <v>94075</v>
      </c>
      <c r="L2376" s="639">
        <v>10297</v>
      </c>
      <c r="M2376" s="639"/>
      <c r="N2376" s="639">
        <v>109307</v>
      </c>
      <c r="O2376" s="1503">
        <f>1-N2377</f>
        <v>0.6593279872341884</v>
      </c>
    </row>
    <row r="2377" spans="1:15" ht="12" customHeight="1" thickBot="1">
      <c r="A2377" s="1519"/>
      <c r="B2377" s="1514"/>
      <c r="C2377" s="641" t="s">
        <v>6219</v>
      </c>
      <c r="D2377" s="642">
        <f>D2376/(D2376+E2376+G2376+H2376+I2376+J2376+L2376+M2376+N2376)</f>
        <v>0.239748548418766</v>
      </c>
      <c r="E2377" s="642">
        <f>E2376/(D2376+E2376+G2376+H2376+I2376+J2376+L2376+M2376+N2376)</f>
        <v>9.4288109656326655E-2</v>
      </c>
      <c r="F2377" s="643">
        <f t="shared" si="74"/>
        <v>0.33403665807509264</v>
      </c>
      <c r="G2377" s="642">
        <f>G2376/(D2376+E2376+G2376+H2376+I2376+J2376+L2376+M2376+N2376)</f>
        <v>0.1575686364953858</v>
      </c>
      <c r="H2377" s="642">
        <f>H2376/(D2376+E2376+G2376+H2376+I2376+J2376+L2376+M2376+N2376)</f>
        <v>0.13563051452827896</v>
      </c>
      <c r="I2377" s="642">
        <f>I2376/(D2376+E2376+G2376+H2376+I2376+J2376+L2376+M2376+N2376)</f>
        <v>0</v>
      </c>
      <c r="J2377" s="642">
        <f>J2376/(D2376+E2376+G2376+H2376+I2376+J2376+L2376+M2376+N2376)</f>
        <v>0</v>
      </c>
      <c r="K2377" s="643">
        <f t="shared" si="75"/>
        <v>0.29319915102366478</v>
      </c>
      <c r="L2377" s="642">
        <f>L2376/(D2376+E2376+G2376+H2376+I2376+J2376+L2376+M2376+N2376)</f>
        <v>3.2092178135431047E-2</v>
      </c>
      <c r="M2377" s="642">
        <f>M2376/(D2376+E2376+G2376+H2376+I2376+J2376+L2376+M2376+N2376)</f>
        <v>0</v>
      </c>
      <c r="N2377" s="642">
        <f>N2376/(D2376+E2376+G2376+H2376+I2376+J2376+L2376+M2376+N2376)</f>
        <v>0.34067201276581155</v>
      </c>
      <c r="O2377" s="1515"/>
    </row>
    <row r="2378" spans="1:15" ht="12" customHeight="1">
      <c r="A2378" s="1516" t="s">
        <v>15235</v>
      </c>
      <c r="B2378" s="1509" t="s">
        <v>14937</v>
      </c>
      <c r="C2378" s="647" t="s">
        <v>6218</v>
      </c>
      <c r="D2378" s="648">
        <v>66801</v>
      </c>
      <c r="E2378" s="648">
        <v>26908</v>
      </c>
      <c r="F2378" s="649">
        <f t="shared" si="74"/>
        <v>93709</v>
      </c>
      <c r="G2378" s="648">
        <v>63835</v>
      </c>
      <c r="H2378" s="648">
        <v>21405</v>
      </c>
      <c r="I2378" s="648">
        <v>4264</v>
      </c>
      <c r="J2378" s="648">
        <v>2868</v>
      </c>
      <c r="K2378" s="649">
        <f t="shared" si="75"/>
        <v>92372</v>
      </c>
      <c r="L2378" s="648">
        <v>9357</v>
      </c>
      <c r="M2378" s="648">
        <v>2860</v>
      </c>
      <c r="N2378" s="648">
        <v>126435</v>
      </c>
      <c r="O2378" s="1510">
        <f>1-N2379</f>
        <v>0.61064936424693517</v>
      </c>
    </row>
    <row r="2379" spans="1:15" ht="12" customHeight="1">
      <c r="A2379" s="1517"/>
      <c r="B2379" s="1502"/>
      <c r="C2379" s="635" t="s">
        <v>6219</v>
      </c>
      <c r="D2379" s="636">
        <f>D2378/(D2378+E2378+G2378+H2378+I2378+J2378+L2378+M2378+N2378)</f>
        <v>0.20571053758010427</v>
      </c>
      <c r="E2379" s="636">
        <f>E2378/(D2378+E2378+G2378+H2378+I2378+J2378+L2378+M2378+N2378)</f>
        <v>8.2861920408458647E-2</v>
      </c>
      <c r="F2379" s="637">
        <f t="shared" si="74"/>
        <v>0.2885724579885629</v>
      </c>
      <c r="G2379" s="636">
        <f>G2378/(D2378+E2378+G2378+H2378+I2378+J2378+L2378+M2378+N2378)</f>
        <v>0.19657688008302204</v>
      </c>
      <c r="H2379" s="636">
        <f>H2378/(D2378+E2378+G2378+H2378+I2378+J2378+L2378+M2378+N2378)</f>
        <v>6.5915690736697535E-2</v>
      </c>
      <c r="I2379" s="636">
        <f>I2378/(D2378+E2378+G2378+H2378+I2378+J2378+L2378+M2378+N2378)</f>
        <v>1.3130787446917929E-2</v>
      </c>
      <c r="J2379" s="636">
        <f>J2378/(D2378+E2378+G2378+H2378+I2378+J2378+L2378+M2378+N2378)</f>
        <v>8.8318711064166566E-3</v>
      </c>
      <c r="K2379" s="637">
        <f t="shared" si="75"/>
        <v>0.28445522937305412</v>
      </c>
      <c r="L2379" s="636">
        <f>L2378/(D2378+E2378+G2378+H2378+I2378+J2378+L2378+M2378+N2378)</f>
        <v>2.8814441402629239E-2</v>
      </c>
      <c r="M2379" s="636">
        <f>M2378/(D2378+E2378+G2378+H2378+I2378+J2378+L2378+M2378+N2378)</f>
        <v>8.807235482688856E-3</v>
      </c>
      <c r="N2379" s="636">
        <f>N2378/(D2378+E2378+G2378+H2378+I2378+J2378+L2378+M2378+N2378)</f>
        <v>0.38935063575306483</v>
      </c>
      <c r="O2379" s="1503"/>
    </row>
    <row r="2380" spans="1:15" ht="12" customHeight="1">
      <c r="A2380" s="1517"/>
      <c r="B2380" s="1502" t="s">
        <v>14938</v>
      </c>
      <c r="C2380" s="638" t="s">
        <v>6218</v>
      </c>
      <c r="D2380" s="639">
        <v>86383</v>
      </c>
      <c r="E2380" s="639">
        <v>36462</v>
      </c>
      <c r="F2380" s="640">
        <f t="shared" si="74"/>
        <v>122845</v>
      </c>
      <c r="G2380" s="639">
        <v>67187</v>
      </c>
      <c r="H2380" s="639">
        <v>24508</v>
      </c>
      <c r="I2380" s="639">
        <v>7861</v>
      </c>
      <c r="J2380" s="639"/>
      <c r="K2380" s="640">
        <f t="shared" si="75"/>
        <v>99556</v>
      </c>
      <c r="L2380" s="639">
        <v>11607</v>
      </c>
      <c r="M2380" s="639"/>
      <c r="N2380" s="639">
        <v>91336</v>
      </c>
      <c r="O2380" s="1503">
        <f>1-N2381</f>
        <v>0.71926330284252971</v>
      </c>
    </row>
    <row r="2381" spans="1:15" ht="12" customHeight="1">
      <c r="A2381" s="1517"/>
      <c r="B2381" s="1502"/>
      <c r="C2381" s="635" t="s">
        <v>6219</v>
      </c>
      <c r="D2381" s="636">
        <f>D2380/(D2380+E2380+G2380+H2380+I2380+J2380+L2380+M2380+N2380)</f>
        <v>0.26551281105537522</v>
      </c>
      <c r="E2381" s="636">
        <f>E2380/(D2380+E2380+G2380+H2380+I2380+J2380+L2380+M2380+N2380)</f>
        <v>0.11207214517556802</v>
      </c>
      <c r="F2381" s="637">
        <f t="shared" si="74"/>
        <v>0.37758495623094324</v>
      </c>
      <c r="G2381" s="636">
        <f>G2380/(D2380+E2380+G2380+H2380+I2380+J2380+L2380+M2380+N2380)</f>
        <v>0.20651064719189535</v>
      </c>
      <c r="H2381" s="636">
        <f>H2380/(D2380+E2380+G2380+H2380+I2380+J2380+L2380+M2380+N2380)</f>
        <v>7.532949739352808E-2</v>
      </c>
      <c r="I2381" s="636">
        <f>I2380/(D2380+E2380+G2380+H2380+I2380+J2380+L2380+M2380+N2380)</f>
        <v>2.4162117635487361E-2</v>
      </c>
      <c r="J2381" s="636">
        <f>J2380/(D2380+E2380+G2380+H2380+I2380+J2380+L2380+M2380+N2380)</f>
        <v>0</v>
      </c>
      <c r="K2381" s="637">
        <f t="shared" si="75"/>
        <v>0.30600226222091081</v>
      </c>
      <c r="L2381" s="636">
        <f>L2380/(D2380+E2380+G2380+H2380+I2380+J2380+L2380+M2380+N2380)</f>
        <v>3.5676084390675718E-2</v>
      </c>
      <c r="M2381" s="636">
        <f>M2380/(D2380+E2380+G2380+H2380+I2380+J2380+L2380+M2380+N2380)</f>
        <v>0</v>
      </c>
      <c r="N2381" s="636">
        <f>N2380/(D2380+E2380+G2380+H2380+I2380+J2380+L2380+M2380+N2380)</f>
        <v>0.28073669715747024</v>
      </c>
      <c r="O2381" s="1503"/>
    </row>
    <row r="2382" spans="1:15" ht="12" customHeight="1">
      <c r="A2382" s="1517"/>
      <c r="B2382" s="1502" t="s">
        <v>14939</v>
      </c>
      <c r="C2382" s="638" t="s">
        <v>6218</v>
      </c>
      <c r="D2382" s="639">
        <v>70108</v>
      </c>
      <c r="E2382" s="639">
        <v>33441</v>
      </c>
      <c r="F2382" s="640">
        <f t="shared" si="74"/>
        <v>103549</v>
      </c>
      <c r="G2382" s="639">
        <v>63346</v>
      </c>
      <c r="H2382" s="639">
        <v>24691</v>
      </c>
      <c r="I2382" s="639"/>
      <c r="J2382" s="639"/>
      <c r="K2382" s="640">
        <f t="shared" si="75"/>
        <v>88037</v>
      </c>
      <c r="L2382" s="639">
        <v>9695</v>
      </c>
      <c r="M2382" s="639">
        <v>5912</v>
      </c>
      <c r="N2382" s="639">
        <v>117606</v>
      </c>
      <c r="O2382" s="1503">
        <f>1-N2383</f>
        <v>0.63791144677169576</v>
      </c>
    </row>
    <row r="2383" spans="1:15" ht="12" customHeight="1">
      <c r="A2383" s="1517"/>
      <c r="B2383" s="1502"/>
      <c r="C2383" s="635" t="s">
        <v>6219</v>
      </c>
      <c r="D2383" s="636">
        <f>D2382/(D2382+E2382+G2382+H2382+I2382+J2382+L2382+M2382+N2382)</f>
        <v>0.2158504182586769</v>
      </c>
      <c r="E2383" s="636">
        <f>E2382/(D2382+E2382+G2382+H2382+I2382+J2382+L2382+M2382+N2382)</f>
        <v>0.10295906083454691</v>
      </c>
      <c r="F2383" s="637">
        <f t="shared" si="74"/>
        <v>0.31880947909322382</v>
      </c>
      <c r="G2383" s="636">
        <f>G2382/(D2382+E2382+G2382+H2382+I2382+J2382+L2382+M2382+N2382)</f>
        <v>0.19503138864343794</v>
      </c>
      <c r="H2383" s="636">
        <f>H2382/(D2382+E2382+G2382+H2382+I2382+J2382+L2382+M2382+N2382)</f>
        <v>7.6019322719589652E-2</v>
      </c>
      <c r="I2383" s="636">
        <f>I2382/(D2382+E2382+G2382+H2382+I2382+J2382+L2382+M2382+N2382)</f>
        <v>0</v>
      </c>
      <c r="J2383" s="636">
        <f>J2382/(D2382+E2382+G2382+H2382+I2382+J2382+L2382+M2382+N2382)</f>
        <v>0</v>
      </c>
      <c r="K2383" s="637">
        <f t="shared" si="75"/>
        <v>0.27105071136302761</v>
      </c>
      <c r="L2383" s="636">
        <f>L2382/(D2382+E2382+G2382+H2382+I2382+J2382+L2382+M2382+N2382)</f>
        <v>2.9849229831372632E-2</v>
      </c>
      <c r="M2383" s="636">
        <f>M2382/(D2382+E2382+G2382+H2382+I2382+J2382+L2382+M2382+N2382)</f>
        <v>1.8202026484071689E-2</v>
      </c>
      <c r="N2383" s="636">
        <f>N2382/(D2382+E2382+G2382+H2382+I2382+J2382+L2382+M2382+N2382)</f>
        <v>0.3620885532283043</v>
      </c>
      <c r="O2383" s="1503"/>
    </row>
    <row r="2384" spans="1:15" ht="12" customHeight="1">
      <c r="A2384" s="1517"/>
      <c r="B2384" s="1502" t="s">
        <v>14940</v>
      </c>
      <c r="C2384" s="638" t="s">
        <v>6218</v>
      </c>
      <c r="D2384" s="639">
        <v>89169</v>
      </c>
      <c r="E2384" s="639">
        <v>33092</v>
      </c>
      <c r="F2384" s="640">
        <f t="shared" si="74"/>
        <v>122261</v>
      </c>
      <c r="G2384" s="639">
        <v>49976</v>
      </c>
      <c r="H2384" s="639">
        <v>47218</v>
      </c>
      <c r="I2384" s="639"/>
      <c r="J2384" s="639"/>
      <c r="K2384" s="640">
        <f t="shared" si="75"/>
        <v>97194</v>
      </c>
      <c r="L2384" s="639">
        <v>10838</v>
      </c>
      <c r="M2384" s="639"/>
      <c r="N2384" s="639">
        <v>94509</v>
      </c>
      <c r="O2384" s="1503">
        <f>1-N2385</f>
        <v>0.70902580649133928</v>
      </c>
    </row>
    <row r="2385" spans="1:15" ht="12" customHeight="1" thickBot="1">
      <c r="A2385" s="1519"/>
      <c r="B2385" s="1514"/>
      <c r="C2385" s="641" t="s">
        <v>6219</v>
      </c>
      <c r="D2385" s="642">
        <f>D2384/(D2384+E2384+G2384+H2384+I2384+J2384+L2384+M2384+N2384)</f>
        <v>0.27453340804551696</v>
      </c>
      <c r="E2385" s="642">
        <f>E2384/(D2384+E2384+G2384+H2384+I2384+J2384+L2384+M2384+N2384)</f>
        <v>0.10188360909107702</v>
      </c>
      <c r="F2385" s="643">
        <f t="shared" si="74"/>
        <v>0.37641701713659398</v>
      </c>
      <c r="G2385" s="642">
        <f>G2384/(D2384+E2384+G2384+H2384+I2384+J2384+L2384+M2384+N2384)</f>
        <v>0.15386604762285946</v>
      </c>
      <c r="H2385" s="642">
        <f>H2384/(D2384+E2384+G2384+H2384+I2384+J2384+L2384+M2384+N2384)</f>
        <v>0.1453747205990111</v>
      </c>
      <c r="I2385" s="642">
        <f>I2384/(D2384+E2384+G2384+H2384+I2384+J2384+L2384+M2384+N2384)</f>
        <v>0</v>
      </c>
      <c r="J2385" s="642">
        <f>J2384/(D2384+E2384+G2384+H2384+I2384+J2384+L2384+M2384+N2384)</f>
        <v>0</v>
      </c>
      <c r="K2385" s="643">
        <f t="shared" si="75"/>
        <v>0.29924076822187057</v>
      </c>
      <c r="L2385" s="642">
        <f>L2384/(D2384+E2384+G2384+H2384+I2384+J2384+L2384+M2384+N2384)</f>
        <v>3.3368021132874799E-2</v>
      </c>
      <c r="M2385" s="642">
        <f>M2384/(D2384+E2384+G2384+H2384+I2384+J2384+L2384+M2384+N2384)</f>
        <v>0</v>
      </c>
      <c r="N2385" s="642">
        <f>N2384/(D2384+E2384+G2384+H2384+I2384+J2384+L2384+M2384+N2384)</f>
        <v>0.29097419350866066</v>
      </c>
      <c r="O2385" s="1515"/>
    </row>
    <row r="2386" spans="1:15" ht="12" customHeight="1">
      <c r="A2386" s="1516" t="s">
        <v>15236</v>
      </c>
      <c r="B2386" s="1509" t="s">
        <v>14937</v>
      </c>
      <c r="C2386" s="647" t="s">
        <v>6218</v>
      </c>
      <c r="D2386" s="648">
        <v>56445</v>
      </c>
      <c r="E2386" s="648">
        <v>27131</v>
      </c>
      <c r="F2386" s="649">
        <f t="shared" si="74"/>
        <v>83576</v>
      </c>
      <c r="G2386" s="648">
        <v>58227</v>
      </c>
      <c r="H2386" s="648">
        <v>19629</v>
      </c>
      <c r="I2386" s="648">
        <v>2309</v>
      </c>
      <c r="J2386" s="648">
        <v>2522</v>
      </c>
      <c r="K2386" s="649">
        <f t="shared" si="75"/>
        <v>82687</v>
      </c>
      <c r="L2386" s="648">
        <v>9036</v>
      </c>
      <c r="M2386" s="648">
        <v>5168</v>
      </c>
      <c r="N2386" s="648">
        <v>163579</v>
      </c>
      <c r="O2386" s="1510">
        <f>1-N2387</f>
        <v>0.52454322968440259</v>
      </c>
    </row>
    <row r="2387" spans="1:15" ht="12" customHeight="1">
      <c r="A2387" s="1517"/>
      <c r="B2387" s="1502"/>
      <c r="C2387" s="635" t="s">
        <v>6219</v>
      </c>
      <c r="D2387" s="636">
        <f>D2386/(D2386+E2386+G2386+H2386+I2386+J2386+L2386+M2386+N2386)</f>
        <v>0.1640623637536841</v>
      </c>
      <c r="E2387" s="636">
        <f>E2386/(D2386+E2386+G2386+H2386+I2386+J2386+L2386+M2386+N2386)</f>
        <v>7.8858640995680809E-2</v>
      </c>
      <c r="F2387" s="637">
        <f t="shared" si="74"/>
        <v>0.2429210047493649</v>
      </c>
      <c r="G2387" s="636">
        <f>G2386/(D2386+E2386+G2386+H2386+I2386+J2386+L2386+M2386+N2386)</f>
        <v>0.16924190369892397</v>
      </c>
      <c r="H2387" s="636">
        <f>H2386/(D2386+E2386+G2386+H2386+I2386+J2386+L2386+M2386+N2386)</f>
        <v>5.7053417275596867E-2</v>
      </c>
      <c r="I2387" s="636">
        <f>I2386/(D2386+E2386+G2386+H2386+I2386+J2386+L2386+M2386+N2386)</f>
        <v>6.7113118594606539E-3</v>
      </c>
      <c r="J2387" s="636">
        <f>J2386/(D2386+E2386+G2386+H2386+I2386+J2386+L2386+M2386+N2386)</f>
        <v>7.3304151189085183E-3</v>
      </c>
      <c r="K2387" s="637">
        <f t="shared" si="75"/>
        <v>0.24033704795289004</v>
      </c>
      <c r="L2387" s="636">
        <f>L2386/(D2386+E2386+G2386+H2386+I2386+J2386+L2386+M2386+N2386)</f>
        <v>2.6263929823337577E-2</v>
      </c>
      <c r="M2387" s="636">
        <f>M2386/(D2386+E2386+G2386+H2386+I2386+J2386+L2386+M2386+N2386)</f>
        <v>1.5021247158810159E-2</v>
      </c>
      <c r="N2387" s="636">
        <f>N2386/(D2386+E2386+G2386+H2386+I2386+J2386+L2386+M2386+N2386)</f>
        <v>0.47545677031559735</v>
      </c>
      <c r="O2387" s="1503"/>
    </row>
    <row r="2388" spans="1:15" ht="12" customHeight="1">
      <c r="A2388" s="1517"/>
      <c r="B2388" s="1502" t="s">
        <v>14938</v>
      </c>
      <c r="C2388" s="638" t="s">
        <v>6218</v>
      </c>
      <c r="D2388" s="639">
        <v>74421</v>
      </c>
      <c r="E2388" s="639">
        <v>34653</v>
      </c>
      <c r="F2388" s="640">
        <f t="shared" si="74"/>
        <v>109074</v>
      </c>
      <c r="G2388" s="639">
        <v>59978</v>
      </c>
      <c r="H2388" s="639">
        <v>25572</v>
      </c>
      <c r="I2388" s="639">
        <v>7637</v>
      </c>
      <c r="J2388" s="639"/>
      <c r="K2388" s="640">
        <f t="shared" si="75"/>
        <v>93187</v>
      </c>
      <c r="L2388" s="639">
        <v>9445</v>
      </c>
      <c r="M2388" s="639"/>
      <c r="N2388" s="639">
        <v>127245</v>
      </c>
      <c r="O2388" s="1503">
        <f>1-N2389</f>
        <v>0.6245917551504494</v>
      </c>
    </row>
    <row r="2389" spans="1:15" ht="12" customHeight="1">
      <c r="A2389" s="1517"/>
      <c r="B2389" s="1502"/>
      <c r="C2389" s="635" t="s">
        <v>6219</v>
      </c>
      <c r="D2389" s="636">
        <f>D2388/(D2388+E2388+G2388+H2388+I2388+J2388+L2388+M2388+N2388)</f>
        <v>0.2195627096541978</v>
      </c>
      <c r="E2389" s="636">
        <f>E2388/(D2388+E2388+G2388+H2388+I2388+J2388+L2388+M2388+N2388)</f>
        <v>0.10223601641535207</v>
      </c>
      <c r="F2389" s="637">
        <f t="shared" si="74"/>
        <v>0.32179872606954985</v>
      </c>
      <c r="G2389" s="636">
        <f>G2388/(D2388+E2388+G2388+H2388+I2388+J2388+L2388+M2388+N2388)</f>
        <v>0.17695183079560173</v>
      </c>
      <c r="H2389" s="636">
        <f>H2388/(D2388+E2388+G2388+H2388+I2388+J2388+L2388+M2388+N2388)</f>
        <v>7.5444533280621687E-2</v>
      </c>
      <c r="I2389" s="636">
        <f>I2388/(D2388+E2388+G2388+H2388+I2388+J2388+L2388+M2388+N2388)</f>
        <v>2.2531280332555442E-2</v>
      </c>
      <c r="J2389" s="636">
        <f>J2388/(D2388+E2388+G2388+H2388+I2388+J2388+L2388+M2388+N2388)</f>
        <v>0</v>
      </c>
      <c r="K2389" s="637">
        <f t="shared" si="75"/>
        <v>0.27492764440877882</v>
      </c>
      <c r="L2389" s="636">
        <f>L2388/(D2388+E2388+G2388+H2388+I2388+J2388+L2388+M2388+N2388)</f>
        <v>2.7865384672120748E-2</v>
      </c>
      <c r="M2389" s="636">
        <f>M2388/(D2388+E2388+G2388+H2388+I2388+J2388+L2388+M2388+N2388)</f>
        <v>0</v>
      </c>
      <c r="N2389" s="636">
        <f>N2388/(D2388+E2388+G2388+H2388+I2388+J2388+L2388+M2388+N2388)</f>
        <v>0.37540824484955054</v>
      </c>
      <c r="O2389" s="1503"/>
    </row>
    <row r="2390" spans="1:15" ht="12" customHeight="1">
      <c r="A2390" s="1517"/>
      <c r="B2390" s="1502" t="s">
        <v>14939</v>
      </c>
      <c r="C2390" s="638" t="s">
        <v>6218</v>
      </c>
      <c r="D2390" s="639">
        <v>61889</v>
      </c>
      <c r="E2390" s="639">
        <v>35700</v>
      </c>
      <c r="F2390" s="640">
        <f t="shared" si="74"/>
        <v>97589</v>
      </c>
      <c r="G2390" s="639">
        <v>50293</v>
      </c>
      <c r="H2390" s="639">
        <v>31344</v>
      </c>
      <c r="I2390" s="639"/>
      <c r="J2390" s="639"/>
      <c r="K2390" s="640">
        <f t="shared" si="75"/>
        <v>81637</v>
      </c>
      <c r="L2390" s="639">
        <v>9014</v>
      </c>
      <c r="M2390" s="639">
        <v>4976</v>
      </c>
      <c r="N2390" s="639">
        <v>143029</v>
      </c>
      <c r="O2390" s="1503">
        <f>1-N2391</f>
        <v>0.57462861901292217</v>
      </c>
    </row>
    <row r="2391" spans="1:15" ht="12" customHeight="1">
      <c r="A2391" s="1517"/>
      <c r="B2391" s="1502"/>
      <c r="C2391" s="635" t="s">
        <v>6219</v>
      </c>
      <c r="D2391" s="636">
        <f>D2390/(D2390+E2390+G2390+H2390+I2390+J2390+L2390+M2390+N2390)</f>
        <v>0.18405924251661734</v>
      </c>
      <c r="E2391" s="636">
        <f>E2390/(D2390+E2390+G2390+H2390+I2390+J2390+L2390+M2390+N2390)</f>
        <v>0.10617258249193297</v>
      </c>
      <c r="F2391" s="637">
        <f t="shared" si="74"/>
        <v>0.29023182500855033</v>
      </c>
      <c r="G2391" s="636">
        <f>G2390/(D2390+E2390+G2390+H2390+I2390+J2390+L2390+M2390+N2390)</f>
        <v>0.14957248434920967</v>
      </c>
      <c r="H2391" s="636">
        <f>H2390/(D2390+E2390+G2390+H2390+I2390+J2390+L2390+M2390+N2390)</f>
        <v>9.3217743014766014E-2</v>
      </c>
      <c r="I2391" s="636">
        <f>I2390/(D2390+E2390+G2390+H2390+I2390+J2390+L2390+M2390+N2390)</f>
        <v>0</v>
      </c>
      <c r="J2391" s="636">
        <f>J2390/(D2390+E2390+G2390+H2390+I2390+J2390+L2390+M2390+N2390)</f>
        <v>0</v>
      </c>
      <c r="K2391" s="637">
        <f t="shared" si="75"/>
        <v>0.24279022736397568</v>
      </c>
      <c r="L2391" s="636">
        <f>L2390/(D2390+E2390+G2390+H2390+I2390+J2390+L2390+M2390+N2390)</f>
        <v>2.6807833573733439E-2</v>
      </c>
      <c r="M2391" s="636">
        <f>M2390/(D2390+E2390+G2390+H2390+I2390+J2390+L2390+M2390+N2390)</f>
        <v>1.4798733066662701E-2</v>
      </c>
      <c r="N2391" s="636">
        <f>N2390/(D2390+E2390+G2390+H2390+I2390+J2390+L2390+M2390+N2390)</f>
        <v>0.42537138098707789</v>
      </c>
      <c r="O2391" s="1503"/>
    </row>
    <row r="2392" spans="1:15" ht="12" customHeight="1">
      <c r="A2392" s="1517"/>
      <c r="B2392" s="1502" t="s">
        <v>14940</v>
      </c>
      <c r="C2392" s="638" t="s">
        <v>6218</v>
      </c>
      <c r="D2392" s="639">
        <v>64409</v>
      </c>
      <c r="E2392" s="639">
        <v>37535</v>
      </c>
      <c r="F2392" s="640">
        <f t="shared" si="74"/>
        <v>101944</v>
      </c>
      <c r="G2392" s="639">
        <v>59567</v>
      </c>
      <c r="H2392" s="639">
        <v>15704</v>
      </c>
      <c r="I2392" s="639"/>
      <c r="J2392" s="639"/>
      <c r="K2392" s="640">
        <f t="shared" si="75"/>
        <v>75271</v>
      </c>
      <c r="L2392" s="639">
        <v>10501</v>
      </c>
      <c r="M2392" s="639"/>
      <c r="N2392" s="639">
        <v>147163</v>
      </c>
      <c r="O2392" s="1503">
        <f>1-N2393</f>
        <v>0.56054873551342421</v>
      </c>
    </row>
    <row r="2393" spans="1:15" ht="12" customHeight="1" thickBot="1">
      <c r="A2393" s="1519"/>
      <c r="B2393" s="1514"/>
      <c r="C2393" s="641" t="s">
        <v>6219</v>
      </c>
      <c r="D2393" s="642">
        <f>D2392/(D2392+E2392+G2392+H2392+I2392+J2392+L2392+M2392+N2392)</f>
        <v>0.19233514194679271</v>
      </c>
      <c r="E2393" s="642">
        <f>E2392/(D2392+E2392+G2392+H2392+I2392+J2392+L2392+M2392+N2392)</f>
        <v>0.11208526064638272</v>
      </c>
      <c r="F2393" s="643">
        <f t="shared" si="74"/>
        <v>0.30442040259317543</v>
      </c>
      <c r="G2393" s="642">
        <f>G2392/(D2392+E2392+G2392+H2392+I2392+J2392+L2392+M2392+N2392)</f>
        <v>0.17787618811570746</v>
      </c>
      <c r="H2393" s="642">
        <f>H2392/(D2392+E2392+G2392+H2392+I2392+J2392+L2392+M2392+N2392)</f>
        <v>4.6894549971780851E-2</v>
      </c>
      <c r="I2393" s="642">
        <f>I2392/(D2392+E2392+G2392+H2392+I2392+J2392+L2392+M2392+N2392)</f>
        <v>0</v>
      </c>
      <c r="J2393" s="642">
        <f>J2392/(D2392+E2392+G2392+H2392+I2392+J2392+L2392+M2392+N2392)</f>
        <v>0</v>
      </c>
      <c r="K2393" s="643">
        <f t="shared" si="75"/>
        <v>0.22477073808748832</v>
      </c>
      <c r="L2393" s="642">
        <f>L2392/(D2392+E2392+G2392+H2392+I2392+J2392+L2392+M2392+N2392)</f>
        <v>3.1357594832760488E-2</v>
      </c>
      <c r="M2393" s="642">
        <f>M2392/(D2392+E2392+G2392+H2392+I2392+J2392+L2392+M2392+N2392)</f>
        <v>0</v>
      </c>
      <c r="N2393" s="642">
        <f>N2392/(D2392+E2392+G2392+H2392+I2392+J2392+L2392+M2392+N2392)</f>
        <v>0.43945126448657573</v>
      </c>
      <c r="O2393" s="1515"/>
    </row>
    <row r="2394" spans="1:15" ht="12" customHeight="1">
      <c r="A2394" s="1516" t="s">
        <v>15237</v>
      </c>
      <c r="B2394" s="1509" t="s">
        <v>14937</v>
      </c>
      <c r="C2394" s="647" t="s">
        <v>6218</v>
      </c>
      <c r="D2394" s="648">
        <v>53473</v>
      </c>
      <c r="E2394" s="648">
        <v>27661</v>
      </c>
      <c r="F2394" s="649">
        <f t="shared" si="74"/>
        <v>81134</v>
      </c>
      <c r="G2394" s="648">
        <v>54336</v>
      </c>
      <c r="H2394" s="648">
        <v>16596</v>
      </c>
      <c r="I2394" s="648">
        <v>3281</v>
      </c>
      <c r="J2394" s="648">
        <v>1660</v>
      </c>
      <c r="K2394" s="649">
        <f t="shared" si="75"/>
        <v>75873</v>
      </c>
      <c r="L2394" s="648">
        <v>7681</v>
      </c>
      <c r="M2394" s="648">
        <v>4521</v>
      </c>
      <c r="N2394" s="648">
        <v>131411</v>
      </c>
      <c r="O2394" s="1510">
        <f>1-N2395</f>
        <v>0.5628667420663962</v>
      </c>
    </row>
    <row r="2395" spans="1:15" ht="12" customHeight="1">
      <c r="A2395" s="1517"/>
      <c r="B2395" s="1502"/>
      <c r="C2395" s="635" t="s">
        <v>6219</v>
      </c>
      <c r="D2395" s="636">
        <f>D2394/(D2394+E2394+G2394+H2394+I2394+J2394+L2394+M2394+N2394)</f>
        <v>0.17787572350475683</v>
      </c>
      <c r="E2395" s="636">
        <f>E2394/(D2394+E2394+G2394+H2394+I2394+J2394+L2394+M2394+N2394)</f>
        <v>9.2013172776262392E-2</v>
      </c>
      <c r="F2395" s="637">
        <f t="shared" si="74"/>
        <v>0.2698888962810192</v>
      </c>
      <c r="G2395" s="636">
        <f>G2394/(D2394+E2394+G2394+H2394+I2394+J2394+L2394+M2394+N2394)</f>
        <v>0.18074645732153549</v>
      </c>
      <c r="H2395" s="636">
        <f>H2394/(D2394+E2394+G2394+H2394+I2394+J2394+L2394+M2394+N2394)</f>
        <v>5.5205907790566167E-2</v>
      </c>
      <c r="I2395" s="636">
        <f>I2394/(D2394+E2394+G2394+H2394+I2394+J2394+L2394+M2394+N2394)</f>
        <v>1.0914110837602289E-2</v>
      </c>
      <c r="J2395" s="636">
        <f>J2394/(D2394+E2394+G2394+H2394+I2394+J2394+L2394+M2394+N2394)</f>
        <v>5.5219213625174639E-3</v>
      </c>
      <c r="K2395" s="637">
        <f t="shared" si="75"/>
        <v>0.2523883973122214</v>
      </c>
      <c r="L2395" s="636">
        <f>L2394/(D2394+E2394+G2394+H2394+I2394+J2394+L2394+M2394+N2394)</f>
        <v>2.5550528906925687E-2</v>
      </c>
      <c r="M2395" s="636">
        <f>M2394/(D2394+E2394+G2394+H2394+I2394+J2394+L2394+M2394+N2394)</f>
        <v>1.5038919566229792E-2</v>
      </c>
      <c r="N2395" s="636">
        <f>N2394/(D2394+E2394+G2394+H2394+I2394+J2394+L2394+M2394+N2394)</f>
        <v>0.43713325793360386</v>
      </c>
      <c r="O2395" s="1503"/>
    </row>
    <row r="2396" spans="1:15" ht="12" customHeight="1">
      <c r="A2396" s="1517"/>
      <c r="B2396" s="1502" t="s">
        <v>14938</v>
      </c>
      <c r="C2396" s="638" t="s">
        <v>6218</v>
      </c>
      <c r="D2396" s="639">
        <v>66041</v>
      </c>
      <c r="E2396" s="639">
        <v>43858</v>
      </c>
      <c r="F2396" s="640">
        <f t="shared" si="74"/>
        <v>109899</v>
      </c>
      <c r="G2396" s="639">
        <v>61542</v>
      </c>
      <c r="H2396" s="639">
        <v>20568</v>
      </c>
      <c r="I2396" s="639">
        <v>11095</v>
      </c>
      <c r="J2396" s="639"/>
      <c r="K2396" s="640">
        <f t="shared" si="75"/>
        <v>93205</v>
      </c>
      <c r="L2396" s="639">
        <v>8259</v>
      </c>
      <c r="M2396" s="639"/>
      <c r="N2396" s="639">
        <v>90612</v>
      </c>
      <c r="O2396" s="1503">
        <f>1-N2397</f>
        <v>0.69993542511797335</v>
      </c>
    </row>
    <row r="2397" spans="1:15" ht="12" customHeight="1">
      <c r="A2397" s="1517"/>
      <c r="B2397" s="1502"/>
      <c r="C2397" s="635" t="s">
        <v>6219</v>
      </c>
      <c r="D2397" s="636">
        <f>D2396/(D2396+E2396+G2396+H2396+I2396+J2396+L2396+M2396+N2396)</f>
        <v>0.21869691199602617</v>
      </c>
      <c r="E2397" s="636">
        <f>E2396/(D2396+E2396+G2396+H2396+I2396+J2396+L2396+M2396+N2396)</f>
        <v>0.14523718850898254</v>
      </c>
      <c r="F2397" s="637">
        <f t="shared" si="74"/>
        <v>0.36393410050500874</v>
      </c>
      <c r="G2397" s="636">
        <f>G2396/(D2396+E2396+G2396+H2396+I2396+J2396+L2396+M2396+N2396)</f>
        <v>0.20379832767613212</v>
      </c>
      <c r="H2397" s="636">
        <f>H2396/(D2396+E2396+G2396+H2396+I2396+J2396+L2396+M2396+N2396)</f>
        <v>6.8111598642271717E-2</v>
      </c>
      <c r="I2397" s="636">
        <f>I2396/(D2396+E2396+G2396+H2396+I2396+J2396+L2396+M2396+N2396)</f>
        <v>3.6741452106962495E-2</v>
      </c>
      <c r="J2397" s="636">
        <f>J2396/(D2396+E2396+G2396+H2396+I2396+J2396+L2396+M2396+N2396)</f>
        <v>0</v>
      </c>
      <c r="K2397" s="637">
        <f t="shared" si="75"/>
        <v>0.30865137842536633</v>
      </c>
      <c r="L2397" s="636">
        <f>L2396/(D2396+E2396+G2396+H2396+I2396+J2396+L2396+M2396+N2396)</f>
        <v>2.7349946187598312E-2</v>
      </c>
      <c r="M2397" s="636">
        <f>M2396/(D2396+E2396+G2396+H2396+I2396+J2396+L2396+M2396+N2396)</f>
        <v>0</v>
      </c>
      <c r="N2397" s="636">
        <f>N2396/(D2396+E2396+G2396+H2396+I2396+J2396+L2396+M2396+N2396)</f>
        <v>0.30006457488202665</v>
      </c>
      <c r="O2397" s="1503"/>
    </row>
    <row r="2398" spans="1:15" ht="12" customHeight="1">
      <c r="A2398" s="1517"/>
      <c r="B2398" s="1502" t="s">
        <v>14939</v>
      </c>
      <c r="C2398" s="638" t="s">
        <v>6218</v>
      </c>
      <c r="D2398" s="639">
        <v>68017</v>
      </c>
      <c r="E2398" s="639">
        <v>35529</v>
      </c>
      <c r="F2398" s="640">
        <f t="shared" si="74"/>
        <v>103546</v>
      </c>
      <c r="G2398" s="639">
        <v>44355</v>
      </c>
      <c r="H2398" s="639">
        <v>25489</v>
      </c>
      <c r="I2398" s="639"/>
      <c r="J2398" s="639"/>
      <c r="K2398" s="640">
        <f t="shared" si="75"/>
        <v>69844</v>
      </c>
      <c r="L2398" s="639">
        <v>7660</v>
      </c>
      <c r="M2398" s="639">
        <v>4830</v>
      </c>
      <c r="N2398" s="639">
        <v>116867</v>
      </c>
      <c r="O2398" s="1503">
        <f>1-N2399</f>
        <v>0.61397800803971636</v>
      </c>
    </row>
    <row r="2399" spans="1:15" ht="12" customHeight="1">
      <c r="A2399" s="1517"/>
      <c r="B2399" s="1502"/>
      <c r="C2399" s="635" t="s">
        <v>6219</v>
      </c>
      <c r="D2399" s="636">
        <f>D2398/(D2398+E2398+G2398+H2398+I2398+J2398+L2398+M2398+N2398)</f>
        <v>0.22466614037463625</v>
      </c>
      <c r="E2399" s="636">
        <f>E2398/(D2398+E2398+G2398+H2398+I2398+J2398+L2398+M2398+N2398)</f>
        <v>0.1173554155780239</v>
      </c>
      <c r="F2399" s="637">
        <f t="shared" si="74"/>
        <v>0.34202155595266015</v>
      </c>
      <c r="G2399" s="636">
        <f>G2398/(D2398+E2398+G2398+H2398+I2398+J2398+L2398+M2398+N2398)</f>
        <v>0.14650847076932225</v>
      </c>
      <c r="H2399" s="636">
        <f>H2398/(D2398+E2398+G2398+H2398+I2398+J2398+L2398+M2398+N2398)</f>
        <v>8.419241148549779E-2</v>
      </c>
      <c r="I2399" s="636">
        <f>I2398/(D2398+E2398+G2398+H2398+I2398+J2398+L2398+M2398+N2398)</f>
        <v>0</v>
      </c>
      <c r="J2399" s="636">
        <f>J2398/(D2398+E2398+G2398+H2398+I2398+J2398+L2398+M2398+N2398)</f>
        <v>0</v>
      </c>
      <c r="K2399" s="637">
        <f t="shared" si="75"/>
        <v>0.23070088225482005</v>
      </c>
      <c r="L2399" s="636">
        <f>L2398/(D2398+E2398+G2398+H2398+I2398+J2398+L2398+M2398+N2398)</f>
        <v>2.5301654516807763E-2</v>
      </c>
      <c r="M2399" s="636">
        <f>M2398/(D2398+E2398+G2398+H2398+I2398+J2398+L2398+M2398+N2398)</f>
        <v>1.5953915315428394E-2</v>
      </c>
      <c r="N2399" s="636">
        <f>N2398/(D2398+E2398+G2398+H2398+I2398+J2398+L2398+M2398+N2398)</f>
        <v>0.38602199196028369</v>
      </c>
      <c r="O2399" s="1503"/>
    </row>
    <row r="2400" spans="1:15" ht="12" customHeight="1">
      <c r="A2400" s="1517"/>
      <c r="B2400" s="1502" t="s">
        <v>14940</v>
      </c>
      <c r="C2400" s="638" t="s">
        <v>6218</v>
      </c>
      <c r="D2400" s="639">
        <v>79454</v>
      </c>
      <c r="E2400" s="639">
        <v>39839</v>
      </c>
      <c r="F2400" s="640">
        <f t="shared" si="74"/>
        <v>119293</v>
      </c>
      <c r="G2400" s="639">
        <v>51534</v>
      </c>
      <c r="H2400" s="639">
        <v>15720</v>
      </c>
      <c r="I2400" s="639"/>
      <c r="J2400" s="639"/>
      <c r="K2400" s="640">
        <f t="shared" si="75"/>
        <v>67254</v>
      </c>
      <c r="L2400" s="639">
        <v>9619</v>
      </c>
      <c r="M2400" s="639"/>
      <c r="N2400" s="639">
        <v>106748</v>
      </c>
      <c r="O2400" s="1503">
        <f>1-N2401</f>
        <v>0.64759634747816208</v>
      </c>
    </row>
    <row r="2401" spans="1:15" ht="12" customHeight="1" thickBot="1">
      <c r="A2401" s="1519"/>
      <c r="B2401" s="1514"/>
      <c r="C2401" s="641" t="s">
        <v>6219</v>
      </c>
      <c r="D2401" s="642">
        <f>D2400/(D2400+E2400+G2400+H2400+I2400+J2400+L2400+M2400+N2400)</f>
        <v>0.26229887030642363</v>
      </c>
      <c r="E2401" s="642">
        <f>E2400/(D2400+E2400+G2400+H2400+I2400+J2400+L2400+M2400+N2400)</f>
        <v>0.1315191770601557</v>
      </c>
      <c r="F2401" s="643">
        <f t="shared" si="74"/>
        <v>0.39381804736657933</v>
      </c>
      <c r="G2401" s="642">
        <f>G2400/(D2400+E2400+G2400+H2400+I2400+J2400+L2400+M2400+N2400)</f>
        <v>0.17012749493255511</v>
      </c>
      <c r="H2401" s="642">
        <f>H2400/(D2400+E2400+G2400+H2400+I2400+J2400+L2400+M2400+N2400)</f>
        <v>5.1895917653195296E-2</v>
      </c>
      <c r="I2401" s="642">
        <f>I2400/(D2400+E2400+G2400+H2400+I2400+J2400+L2400+M2400+N2400)</f>
        <v>0</v>
      </c>
      <c r="J2401" s="642">
        <f>J2400/(D2400+E2400+G2400+H2400+I2400+J2400+L2400+M2400+N2400)</f>
        <v>0</v>
      </c>
      <c r="K2401" s="643">
        <f t="shared" si="75"/>
        <v>0.2220234125857504</v>
      </c>
      <c r="L2401" s="642">
        <f>L2400/(D2400+E2400+G2400+H2400+I2400+J2400+L2400+M2400+N2400)</f>
        <v>3.1754887525832415E-2</v>
      </c>
      <c r="M2401" s="642">
        <f>M2400/(D2400+E2400+G2400+H2400+I2400+J2400+L2400+M2400+N2400)</f>
        <v>0</v>
      </c>
      <c r="N2401" s="642">
        <f>N2400/(D2400+E2400+G2400+H2400+I2400+J2400+L2400+M2400+N2400)</f>
        <v>0.35240365252183786</v>
      </c>
      <c r="O2401" s="1515"/>
    </row>
    <row r="2402" spans="1:15" ht="12" customHeight="1">
      <c r="A2402" s="1516" t="s">
        <v>15238</v>
      </c>
      <c r="B2402" s="1509" t="s">
        <v>14937</v>
      </c>
      <c r="C2402" s="647" t="s">
        <v>6218</v>
      </c>
      <c r="D2402" s="648">
        <v>66673</v>
      </c>
      <c r="E2402" s="648">
        <v>22277</v>
      </c>
      <c r="F2402" s="649">
        <f t="shared" si="74"/>
        <v>88950</v>
      </c>
      <c r="G2402" s="648">
        <v>46562</v>
      </c>
      <c r="H2402" s="648">
        <v>14899</v>
      </c>
      <c r="I2402" s="648">
        <v>2211</v>
      </c>
      <c r="J2402" s="648">
        <v>1648</v>
      </c>
      <c r="K2402" s="649">
        <f t="shared" si="75"/>
        <v>65320</v>
      </c>
      <c r="L2402" s="648">
        <v>7359</v>
      </c>
      <c r="M2402" s="648">
        <v>3854</v>
      </c>
      <c r="N2402" s="648">
        <v>133250</v>
      </c>
      <c r="O2402" s="1510">
        <f>1-N2403</f>
        <v>0.55394951344511656</v>
      </c>
    </row>
    <row r="2403" spans="1:15" ht="12" customHeight="1">
      <c r="A2403" s="1517"/>
      <c r="B2403" s="1502"/>
      <c r="C2403" s="635" t="s">
        <v>6219</v>
      </c>
      <c r="D2403" s="636">
        <f>D2402/(D2402+E2402+G2402+H2402+I2402+J2402+L2402+M2402+N2402)</f>
        <v>0.22318592187672603</v>
      </c>
      <c r="E2403" s="636">
        <f>E2402/(D2402+E2402+G2402+H2402+I2402+J2402+L2402+M2402+N2402)</f>
        <v>7.4571607422012298E-2</v>
      </c>
      <c r="F2403" s="637">
        <f t="shared" si="74"/>
        <v>0.29775752929873833</v>
      </c>
      <c r="G2403" s="636">
        <f>G2402/(D2402+E2402+G2402+H2402+I2402+J2402+L2402+M2402+N2402)</f>
        <v>0.15586493624741826</v>
      </c>
      <c r="H2403" s="636">
        <f>H2402/(D2402+E2402+G2402+H2402+I2402+J2402+L2402+M2402+N2402)</f>
        <v>4.9873967723686366E-2</v>
      </c>
      <c r="I2403" s="636">
        <f>I2402/(D2402+E2402+G2402+H2402+I2402+J2402+L2402+M2402+N2402)</f>
        <v>7.4012579795335633E-3</v>
      </c>
      <c r="J2403" s="636">
        <f>J2402/(D2402+E2402+G2402+H2402+I2402+J2402+L2402+M2402+N2402)</f>
        <v>5.5166319087613354E-3</v>
      </c>
      <c r="K2403" s="637">
        <f t="shared" si="75"/>
        <v>0.21865679385939951</v>
      </c>
      <c r="L2403" s="636">
        <f>L2402/(D2402+E2402+G2402+H2402+I2402+J2402+L2402+M2402+N2402)</f>
        <v>2.4634037752775891E-2</v>
      </c>
      <c r="M2403" s="636">
        <f>M2402/(D2402+E2402+G2402+H2402+I2402+J2402+L2402+M2402+N2402)</f>
        <v>1.2901152534202784E-2</v>
      </c>
      <c r="N2403" s="636">
        <f>N2402/(D2402+E2402+G2402+H2402+I2402+J2402+L2402+M2402+N2402)</f>
        <v>0.44605048655488344</v>
      </c>
      <c r="O2403" s="1503"/>
    </row>
    <row r="2404" spans="1:15" ht="12" customHeight="1">
      <c r="A2404" s="1517"/>
      <c r="B2404" s="1502" t="s">
        <v>14938</v>
      </c>
      <c r="C2404" s="638" t="s">
        <v>6218</v>
      </c>
      <c r="D2404" s="639">
        <v>80427</v>
      </c>
      <c r="E2404" s="639">
        <v>32257</v>
      </c>
      <c r="F2404" s="640">
        <f t="shared" si="74"/>
        <v>112684</v>
      </c>
      <c r="G2404" s="639">
        <v>51230</v>
      </c>
      <c r="H2404" s="639">
        <v>20322</v>
      </c>
      <c r="I2404" s="639">
        <v>10108</v>
      </c>
      <c r="J2404" s="639"/>
      <c r="K2404" s="640">
        <f t="shared" si="75"/>
        <v>81660</v>
      </c>
      <c r="L2404" s="639">
        <v>8453</v>
      </c>
      <c r="M2404" s="639"/>
      <c r="N2404" s="639">
        <v>96340</v>
      </c>
      <c r="O2404" s="1503">
        <f>1-N2405</f>
        <v>0.67794020799834187</v>
      </c>
    </row>
    <row r="2405" spans="1:15" ht="12" customHeight="1">
      <c r="A2405" s="1517"/>
      <c r="B2405" s="1502"/>
      <c r="C2405" s="635" t="s">
        <v>6219</v>
      </c>
      <c r="D2405" s="636">
        <f>D2404/(D2404+E2404+G2404+H2404+I2404+J2404+L2404+M2404+N2404)</f>
        <v>0.26886343046831385</v>
      </c>
      <c r="E2405" s="636">
        <f>E2404/(D2404+E2404+G2404+H2404+I2404+J2404+L2404+M2404+N2404)</f>
        <v>0.1078335344674848</v>
      </c>
      <c r="F2405" s="637">
        <f t="shared" si="74"/>
        <v>0.37669696493579863</v>
      </c>
      <c r="G2405" s="636">
        <f>G2404/(D2404+E2404+G2404+H2404+I2404+J2404+L2404+M2404+N2404)</f>
        <v>0.17125932265149413</v>
      </c>
      <c r="H2405" s="636">
        <f>H2404/(D2404+E2404+G2404+H2404+I2404+J2404+L2404+M2404+N2404)</f>
        <v>6.7935427580005148E-2</v>
      </c>
      <c r="I2405" s="636">
        <f>I2404/(D2404+E2404+G2404+H2404+I2404+J2404+L2404+M2404+N2404)</f>
        <v>3.3790537446053148E-2</v>
      </c>
      <c r="J2405" s="636">
        <f>J2404/(D2404+E2404+G2404+H2404+I2404+J2404+L2404+M2404+N2404)</f>
        <v>0</v>
      </c>
      <c r="K2405" s="637">
        <f t="shared" si="75"/>
        <v>0.27298528767755242</v>
      </c>
      <c r="L2405" s="636">
        <f>L2404/(D2404+E2404+G2404+H2404+I2404+J2404+L2404+M2404+N2404)</f>
        <v>2.8257955384990825E-2</v>
      </c>
      <c r="M2405" s="636">
        <f>M2404/(D2404+E2404+G2404+H2404+I2404+J2404+L2404+M2404+N2404)</f>
        <v>0</v>
      </c>
      <c r="N2405" s="636">
        <f>N2404/(D2404+E2404+G2404+H2404+I2404+J2404+L2404+M2404+N2404)</f>
        <v>0.32205979200165813</v>
      </c>
      <c r="O2405" s="1503"/>
    </row>
    <row r="2406" spans="1:15" ht="12" customHeight="1">
      <c r="A2406" s="1517"/>
      <c r="B2406" s="1502" t="s">
        <v>14939</v>
      </c>
      <c r="C2406" s="638" t="s">
        <v>6218</v>
      </c>
      <c r="D2406" s="639">
        <v>74589</v>
      </c>
      <c r="E2406" s="639">
        <v>29383</v>
      </c>
      <c r="F2406" s="640">
        <f t="shared" si="74"/>
        <v>103972</v>
      </c>
      <c r="G2406" s="639">
        <v>38071</v>
      </c>
      <c r="H2406" s="639">
        <v>22534</v>
      </c>
      <c r="I2406" s="639"/>
      <c r="J2406" s="639"/>
      <c r="K2406" s="640">
        <f t="shared" si="75"/>
        <v>60605</v>
      </c>
      <c r="L2406" s="639">
        <v>7523</v>
      </c>
      <c r="M2406" s="639">
        <v>3919</v>
      </c>
      <c r="N2406" s="639">
        <v>123050</v>
      </c>
      <c r="O2406" s="1503">
        <f>1-N2407</f>
        <v>0.58855648696454665</v>
      </c>
    </row>
    <row r="2407" spans="1:15" ht="12" customHeight="1">
      <c r="A2407" s="1517"/>
      <c r="B2407" s="1502"/>
      <c r="C2407" s="635" t="s">
        <v>6219</v>
      </c>
      <c r="D2407" s="636">
        <f>D2406/(D2406+E2406+G2406+H2406+I2406+J2406+L2406+M2406+N2406)</f>
        <v>0.24940398369607014</v>
      </c>
      <c r="E2407" s="636">
        <f>E2406/(D2406+E2406+G2406+H2406+I2406+J2406+L2406+M2406+N2406)</f>
        <v>9.8248230341493104E-2</v>
      </c>
      <c r="F2407" s="637">
        <f t="shared" si="74"/>
        <v>0.34765221403756325</v>
      </c>
      <c r="G2407" s="636">
        <f>G2406/(D2406+E2406+G2406+H2406+I2406+J2406+L2406+M2406+N2406)</f>
        <v>0.12729838264748269</v>
      </c>
      <c r="H2407" s="636">
        <f>H2406/(D2406+E2406+G2406+H2406+I2406+J2406+L2406+M2406+N2406)</f>
        <v>7.5347160688670506E-2</v>
      </c>
      <c r="I2407" s="636">
        <f>I2406/(D2406+E2406+G2406+H2406+I2406+J2406+L2406+M2406+N2406)</f>
        <v>0</v>
      </c>
      <c r="J2407" s="636">
        <f>J2406/(D2406+E2406+G2406+H2406+I2406+J2406+L2406+M2406+N2406)</f>
        <v>0</v>
      </c>
      <c r="K2407" s="637">
        <f t="shared" si="75"/>
        <v>0.2026455433361532</v>
      </c>
      <c r="L2407" s="636">
        <f>L2406/(D2406+E2406+G2406+H2406+I2406+J2406+L2406+M2406+N2406)</f>
        <v>2.5154730179323168E-2</v>
      </c>
      <c r="M2407" s="636">
        <f>M2406/(D2406+E2406+G2406+H2406+I2406+J2406+L2406+M2406+N2406)</f>
        <v>1.3103999411507044E-2</v>
      </c>
      <c r="N2407" s="636">
        <f>N2406/(D2406+E2406+G2406+H2406+I2406+J2406+L2406+M2406+N2406)</f>
        <v>0.41144351303545335</v>
      </c>
      <c r="O2407" s="1503"/>
    </row>
    <row r="2408" spans="1:15" ht="12" customHeight="1">
      <c r="A2408" s="1517"/>
      <c r="B2408" s="1502" t="s">
        <v>14940</v>
      </c>
      <c r="C2408" s="638" t="s">
        <v>6218</v>
      </c>
      <c r="D2408" s="639">
        <v>83198</v>
      </c>
      <c r="E2408" s="639">
        <v>33781</v>
      </c>
      <c r="F2408" s="640">
        <f t="shared" si="74"/>
        <v>116979</v>
      </c>
      <c r="G2408" s="639">
        <v>40843</v>
      </c>
      <c r="H2408" s="639">
        <v>15436</v>
      </c>
      <c r="I2408" s="639"/>
      <c r="J2408" s="639"/>
      <c r="K2408" s="640">
        <f t="shared" si="75"/>
        <v>56279</v>
      </c>
      <c r="L2408" s="639">
        <v>9993</v>
      </c>
      <c r="M2408" s="639"/>
      <c r="N2408" s="639">
        <v>115300</v>
      </c>
      <c r="O2408" s="1503">
        <f>1-N2409</f>
        <v>0.61380132707644597</v>
      </c>
    </row>
    <row r="2409" spans="1:15" ht="12" customHeight="1" thickBot="1">
      <c r="A2409" s="1519"/>
      <c r="B2409" s="1514"/>
      <c r="C2409" s="641" t="s">
        <v>6219</v>
      </c>
      <c r="D2409" s="642">
        <f>D2408/(D2408+E2408+G2408+H2408+I2408+J2408+L2408+M2408+N2408)</f>
        <v>0.27867265559318172</v>
      </c>
      <c r="E2409" s="642">
        <f>E2408/(D2408+E2408+G2408+H2408+I2408+J2408+L2408+M2408+N2408)</f>
        <v>0.11314984709480122</v>
      </c>
      <c r="F2409" s="643">
        <f t="shared" si="74"/>
        <v>0.39182250268798291</v>
      </c>
      <c r="G2409" s="642">
        <f>G2408/(D2408+E2408+G2408+H2408+I2408+J2408+L2408+M2408+N2408)</f>
        <v>0.13680409712243469</v>
      </c>
      <c r="H2409" s="642">
        <f>H2408/(D2408+E2408+G2408+H2408+I2408+J2408+L2408+M2408+N2408)</f>
        <v>5.1703059108828976E-2</v>
      </c>
      <c r="I2409" s="642">
        <f>I2408/(D2408+E2408+G2408+H2408+I2408+J2408+L2408+M2408+N2408)</f>
        <v>0</v>
      </c>
      <c r="J2409" s="642">
        <f>J2408/(D2408+E2408+G2408+H2408+I2408+J2408+L2408+M2408+N2408)</f>
        <v>0</v>
      </c>
      <c r="K2409" s="643">
        <f t="shared" si="75"/>
        <v>0.18850715623126366</v>
      </c>
      <c r="L2409" s="642">
        <f>L2408/(D2408+E2408+G2408+H2408+I2408+J2408+L2408+M2408+N2408)</f>
        <v>3.3471668157199271E-2</v>
      </c>
      <c r="M2409" s="642">
        <f>M2408/(D2408+E2408+G2408+H2408+I2408+J2408+L2408+M2408+N2408)</f>
        <v>0</v>
      </c>
      <c r="N2409" s="642">
        <f>N2408/(D2408+E2408+G2408+H2408+I2408+J2408+L2408+M2408+N2408)</f>
        <v>0.38619867292355409</v>
      </c>
      <c r="O2409" s="1515"/>
    </row>
    <row r="2410" spans="1:15" ht="12" customHeight="1">
      <c r="A2410" s="1516" t="s">
        <v>15239</v>
      </c>
      <c r="B2410" s="1509" t="s">
        <v>14937</v>
      </c>
      <c r="C2410" s="647" t="s">
        <v>6218</v>
      </c>
      <c r="D2410" s="648">
        <v>65074</v>
      </c>
      <c r="E2410" s="648">
        <v>21759</v>
      </c>
      <c r="F2410" s="649">
        <f t="shared" si="74"/>
        <v>86833</v>
      </c>
      <c r="G2410" s="648">
        <v>70424</v>
      </c>
      <c r="H2410" s="648">
        <v>9685</v>
      </c>
      <c r="I2410" s="648">
        <v>3168</v>
      </c>
      <c r="J2410" s="648">
        <v>5246</v>
      </c>
      <c r="K2410" s="649">
        <f t="shared" si="75"/>
        <v>88523</v>
      </c>
      <c r="L2410" s="648">
        <v>7763</v>
      </c>
      <c r="M2410" s="648">
        <v>2617</v>
      </c>
      <c r="N2410" s="648">
        <v>150652</v>
      </c>
      <c r="O2410" s="1510">
        <f>1-N2411</f>
        <v>0.55214811467709901</v>
      </c>
    </row>
    <row r="2411" spans="1:15" ht="12" customHeight="1">
      <c r="A2411" s="1517"/>
      <c r="B2411" s="1502"/>
      <c r="C2411" s="635" t="s">
        <v>6219</v>
      </c>
      <c r="D2411" s="636">
        <f>D2410/(D2410+E2410+G2410+H2410+I2410+J2410+L2410+M2410+N2410)</f>
        <v>0.19344923124487198</v>
      </c>
      <c r="E2411" s="636">
        <f>E2410/(D2410+E2410+G2410+H2410+I2410+J2410+L2410+M2410+N2410)</f>
        <v>6.468423368253326E-2</v>
      </c>
      <c r="F2411" s="637">
        <f t="shared" si="74"/>
        <v>0.25813346492740524</v>
      </c>
      <c r="G2411" s="636">
        <f>G2410/(D2410+E2410+G2410+H2410+I2410+J2410+L2410+M2410+N2410)</f>
        <v>0.20935348466651604</v>
      </c>
      <c r="H2411" s="636">
        <f>H2410/(D2410+E2410+G2410+H2410+I2410+J2410+L2410+M2410+N2410)</f>
        <v>2.8791157829649097E-2</v>
      </c>
      <c r="I2411" s="636">
        <f>I2410/(D2410+E2410+G2410+H2410+I2410+J2410+L2410+M2410+N2410)</f>
        <v>9.4176962317324038E-3</v>
      </c>
      <c r="J2411" s="636">
        <f>J2410/(D2410+E2410+G2410+H2410+I2410+J2410+L2410+M2410+N2410)</f>
        <v>1.5595086626157889E-2</v>
      </c>
      <c r="K2411" s="637">
        <f t="shared" si="75"/>
        <v>0.26315742535405545</v>
      </c>
      <c r="L2411" s="636">
        <f>L2410/(D2410+E2410+G2410+H2410+I2410+J2410+L2410+M2410+N2410)</f>
        <v>2.3077517628452858E-2</v>
      </c>
      <c r="M2411" s="636">
        <f>M2410/(D2410+E2410+G2410+H2410+I2410+J2410+L2410+M2410+N2410)</f>
        <v>7.7797067671855121E-3</v>
      </c>
      <c r="N2411" s="636">
        <f>N2410/(D2410+E2410+G2410+H2410+I2410+J2410+L2410+M2410+N2410)</f>
        <v>0.44785188532290093</v>
      </c>
      <c r="O2411" s="1503"/>
    </row>
    <row r="2412" spans="1:15" ht="12" customHeight="1">
      <c r="A2412" s="1517"/>
      <c r="B2412" s="1502" t="s">
        <v>14938</v>
      </c>
      <c r="C2412" s="638" t="s">
        <v>6218</v>
      </c>
      <c r="D2412" s="639">
        <v>88245</v>
      </c>
      <c r="E2412" s="639">
        <v>25086</v>
      </c>
      <c r="F2412" s="640">
        <f t="shared" si="74"/>
        <v>113331</v>
      </c>
      <c r="G2412" s="639">
        <v>64831</v>
      </c>
      <c r="H2412" s="639">
        <v>13199</v>
      </c>
      <c r="I2412" s="639">
        <v>8535</v>
      </c>
      <c r="J2412" s="639"/>
      <c r="K2412" s="640">
        <f t="shared" si="75"/>
        <v>86565</v>
      </c>
      <c r="L2412" s="639">
        <v>8951</v>
      </c>
      <c r="M2412" s="639"/>
      <c r="N2412" s="639">
        <v>123280</v>
      </c>
      <c r="O2412" s="1503">
        <f>1-N2413</f>
        <v>0.62881668759239684</v>
      </c>
    </row>
    <row r="2413" spans="1:15" ht="12" customHeight="1">
      <c r="A2413" s="1517"/>
      <c r="B2413" s="1502"/>
      <c r="C2413" s="635" t="s">
        <v>6219</v>
      </c>
      <c r="D2413" s="636">
        <f>D2412/(D2412+E2412+G2412+H2412+I2412+J2412+L2412+M2412+N2412)</f>
        <v>0.26569655583556895</v>
      </c>
      <c r="E2413" s="636">
        <f>E2412/(D2412+E2412+G2412+H2412+I2412+J2412+L2412+M2412+N2412)</f>
        <v>7.5531347948224623E-2</v>
      </c>
      <c r="F2413" s="637">
        <f t="shared" si="74"/>
        <v>0.34122790378379358</v>
      </c>
      <c r="G2413" s="636">
        <f>G2412/(D2412+E2412+G2412+H2412+I2412+J2412+L2412+M2412+N2412)</f>
        <v>0.19519942672531893</v>
      </c>
      <c r="H2413" s="636">
        <f>H2412/(D2412+E2412+G2412+H2412+I2412+J2412+L2412+M2412+N2412)</f>
        <v>3.9740822034944466E-2</v>
      </c>
      <c r="I2413" s="636">
        <f>I2412/(D2412+E2412+G2412+H2412+I2412+J2412+L2412+M2412+N2412)</f>
        <v>2.5698001065857339E-2</v>
      </c>
      <c r="J2413" s="636">
        <f>J2412/(D2412+E2412+G2412+H2412+I2412+J2412+L2412+M2412+N2412)</f>
        <v>0</v>
      </c>
      <c r="K2413" s="637">
        <f t="shared" si="75"/>
        <v>0.26063824982612072</v>
      </c>
      <c r="L2413" s="636">
        <f>L2412/(D2412+E2412+G2412+H2412+I2412+J2412+L2412+M2412+N2412)</f>
        <v>2.6950533982482604E-2</v>
      </c>
      <c r="M2413" s="636">
        <f>M2412/(D2412+E2412+G2412+H2412+I2412+J2412+L2412+M2412+N2412)</f>
        <v>0</v>
      </c>
      <c r="N2413" s="636">
        <f>N2412/(D2412+E2412+G2412+H2412+I2412+J2412+L2412+M2412+N2412)</f>
        <v>0.37118331240760311</v>
      </c>
      <c r="O2413" s="1503"/>
    </row>
    <row r="2414" spans="1:15" ht="12" customHeight="1">
      <c r="A2414" s="1517"/>
      <c r="B2414" s="1502" t="s">
        <v>14939</v>
      </c>
      <c r="C2414" s="638" t="s">
        <v>6218</v>
      </c>
      <c r="D2414" s="639">
        <v>66590</v>
      </c>
      <c r="E2414" s="639">
        <v>23545</v>
      </c>
      <c r="F2414" s="640">
        <f t="shared" si="74"/>
        <v>90135</v>
      </c>
      <c r="G2414" s="639">
        <v>61374</v>
      </c>
      <c r="H2414" s="639">
        <v>12424</v>
      </c>
      <c r="I2414" s="639"/>
      <c r="J2414" s="639"/>
      <c r="K2414" s="640">
        <f t="shared" si="75"/>
        <v>73798</v>
      </c>
      <c r="L2414" s="639">
        <v>9543</v>
      </c>
      <c r="M2414" s="639">
        <v>6454</v>
      </c>
      <c r="N2414" s="639">
        <v>150150</v>
      </c>
      <c r="O2414" s="1503">
        <f>1-N2415</f>
        <v>0.54511027629665532</v>
      </c>
    </row>
    <row r="2415" spans="1:15" ht="12" customHeight="1">
      <c r="A2415" s="1517"/>
      <c r="B2415" s="1502"/>
      <c r="C2415" s="635" t="s">
        <v>6219</v>
      </c>
      <c r="D2415" s="636">
        <f>D2414/(D2414+E2414+G2414+H2414+I2414+J2414+L2414+M2414+N2414)</f>
        <v>0.20173897237033447</v>
      </c>
      <c r="E2415" s="636">
        <f>E2414/(D2414+E2414+G2414+H2414+I2414+J2414+L2414+M2414+N2414)</f>
        <v>7.13311924381968E-2</v>
      </c>
      <c r="F2415" s="637">
        <f t="shared" si="74"/>
        <v>0.2730701648085313</v>
      </c>
      <c r="G2415" s="636">
        <f>G2414/(D2414+E2414+G2414+H2414+I2414+J2414+L2414+M2414+N2414)</f>
        <v>0.18593674260785265</v>
      </c>
      <c r="H2415" s="636">
        <f>H2414/(D2414+E2414+G2414+H2414+I2414+J2414+L2414+M2414+N2414)</f>
        <v>3.7639360155113911E-2</v>
      </c>
      <c r="I2415" s="636">
        <f>I2414/(D2414+E2414+G2414+H2414+I2414+J2414+L2414+M2414+N2414)</f>
        <v>0</v>
      </c>
      <c r="J2415" s="636">
        <f>J2414/(D2414+E2414+G2414+H2414+I2414+J2414+L2414+M2414+N2414)</f>
        <v>0</v>
      </c>
      <c r="K2415" s="637">
        <f t="shared" si="75"/>
        <v>0.22357610276296655</v>
      </c>
      <c r="L2415" s="636">
        <f>L2414/(D2414+E2414+G2414+H2414+I2414+J2414+L2414+M2414+N2414)</f>
        <v>2.8911173048957829E-2</v>
      </c>
      <c r="M2415" s="636">
        <f>M2414/(D2414+E2414+G2414+H2414+I2414+J2414+L2414+M2414+N2414)</f>
        <v>1.9552835676199708E-2</v>
      </c>
      <c r="N2415" s="636">
        <f>N2414/(D2414+E2414+G2414+H2414+I2414+J2414+L2414+M2414+N2414)</f>
        <v>0.45488972370334463</v>
      </c>
      <c r="O2415" s="1503"/>
    </row>
    <row r="2416" spans="1:15" ht="12" customHeight="1">
      <c r="A2416" s="1517"/>
      <c r="B2416" s="1502" t="s">
        <v>14940</v>
      </c>
      <c r="C2416" s="638" t="s">
        <v>6218</v>
      </c>
      <c r="D2416" s="639">
        <v>72057</v>
      </c>
      <c r="E2416" s="639">
        <v>23998</v>
      </c>
      <c r="F2416" s="640">
        <f t="shared" si="74"/>
        <v>96055</v>
      </c>
      <c r="G2416" s="639">
        <v>64141</v>
      </c>
      <c r="H2416" s="639">
        <v>13324</v>
      </c>
      <c r="I2416" s="639"/>
      <c r="J2416" s="639"/>
      <c r="K2416" s="640">
        <f t="shared" si="75"/>
        <v>77465</v>
      </c>
      <c r="L2416" s="639">
        <v>9379</v>
      </c>
      <c r="M2416" s="639"/>
      <c r="N2416" s="639">
        <v>146047</v>
      </c>
      <c r="O2416" s="1503">
        <f>1-N2417</f>
        <v>0.55601527302353571</v>
      </c>
    </row>
    <row r="2417" spans="1:15" ht="12" customHeight="1" thickBot="1">
      <c r="A2417" s="1519"/>
      <c r="B2417" s="1514"/>
      <c r="C2417" s="641" t="s">
        <v>6219</v>
      </c>
      <c r="D2417" s="642">
        <f>D2416/(D2416+E2416+G2416+H2416+I2416+J2416+L2416+M2416+N2416)</f>
        <v>0.21905419126543565</v>
      </c>
      <c r="E2417" s="642">
        <f>E2416/(D2416+E2416+G2416+H2416+I2416+J2416+L2416+M2416+N2416)</f>
        <v>7.2954223489569717E-2</v>
      </c>
      <c r="F2417" s="643">
        <f t="shared" si="74"/>
        <v>0.29200841475500539</v>
      </c>
      <c r="G2417" s="642">
        <f>G2416/(D2416+E2416+G2416+H2416+I2416+J2416+L2416+M2416+N2416)</f>
        <v>0.19498945115611682</v>
      </c>
      <c r="H2417" s="642">
        <f>H2416/(D2416+E2416+G2416+H2416+I2416+J2416+L2416+M2416+N2416)</f>
        <v>4.0505128501334565E-2</v>
      </c>
      <c r="I2417" s="642">
        <f>I2416/(D2416+E2416+G2416+H2416+I2416+J2416+L2416+M2416+N2416)</f>
        <v>0</v>
      </c>
      <c r="J2417" s="642">
        <f>J2416/(D2416+E2416+G2416+H2416+I2416+J2416+L2416+M2416+N2416)</f>
        <v>0</v>
      </c>
      <c r="K2417" s="643">
        <f t="shared" si="75"/>
        <v>0.23549457965745138</v>
      </c>
      <c r="L2417" s="642">
        <f>L2416/(D2416+E2416+G2416+H2416+I2416+J2416+L2416+M2416+N2416)</f>
        <v>2.8512278611079023E-2</v>
      </c>
      <c r="M2417" s="642">
        <f>M2416/(D2416+E2416+G2416+H2416+I2416+J2416+L2416+M2416+N2416)</f>
        <v>0</v>
      </c>
      <c r="N2417" s="642">
        <f>N2416/(D2416+E2416+G2416+H2416+I2416+J2416+L2416+M2416+N2416)</f>
        <v>0.44398472697646424</v>
      </c>
      <c r="O2417" s="1515"/>
    </row>
    <row r="2418" spans="1:15" ht="12" customHeight="1">
      <c r="A2418" s="1516" t="s">
        <v>15240</v>
      </c>
      <c r="B2418" s="1509" t="s">
        <v>14937</v>
      </c>
      <c r="C2418" s="647" t="s">
        <v>6218</v>
      </c>
      <c r="D2418" s="648">
        <v>58112</v>
      </c>
      <c r="E2418" s="648">
        <v>28295</v>
      </c>
      <c r="F2418" s="649">
        <f t="shared" si="74"/>
        <v>86407</v>
      </c>
      <c r="G2418" s="648">
        <v>61694</v>
      </c>
      <c r="H2418" s="648">
        <v>5885</v>
      </c>
      <c r="I2418" s="648">
        <v>3579</v>
      </c>
      <c r="J2418" s="648">
        <v>3088</v>
      </c>
      <c r="K2418" s="649">
        <f t="shared" si="75"/>
        <v>74246</v>
      </c>
      <c r="L2418" s="648">
        <v>6412</v>
      </c>
      <c r="M2418" s="648">
        <v>1909</v>
      </c>
      <c r="N2418" s="648">
        <v>115499</v>
      </c>
      <c r="O2418" s="1510">
        <f>1-N2419</f>
        <v>0.59398958776404087</v>
      </c>
    </row>
    <row r="2419" spans="1:15" ht="12" customHeight="1">
      <c r="A2419" s="1517"/>
      <c r="B2419" s="1502"/>
      <c r="C2419" s="635" t="s">
        <v>6219</v>
      </c>
      <c r="D2419" s="636">
        <f>D2418/(D2418+E2418+G2418+H2418+I2418+J2418+L2418+M2418+N2418)</f>
        <v>0.20427949225409792</v>
      </c>
      <c r="E2419" s="636">
        <f>E2418/(D2418+E2418+G2418+H2418+I2418+J2418+L2418+M2418+N2418)</f>
        <v>9.9464624059225307E-2</v>
      </c>
      <c r="F2419" s="637">
        <f t="shared" si="74"/>
        <v>0.30374411631332321</v>
      </c>
      <c r="G2419" s="636">
        <f>G2418/(D2418+E2418+G2418+H2418+I2418+J2418+L2418+M2418+N2418)</f>
        <v>0.21687119691499721</v>
      </c>
      <c r="H2419" s="636">
        <f>H2418/(D2418+E2418+G2418+H2418+I2418+J2418+L2418+M2418+N2418)</f>
        <v>2.0687376306362994E-2</v>
      </c>
      <c r="I2419" s="636">
        <f>I2418/(D2418+E2418+G2418+H2418+I2418+J2418+L2418+M2418+N2418)</f>
        <v>1.2581158844600366E-2</v>
      </c>
      <c r="J2419" s="636">
        <f>J2418/(D2418+E2418+G2418+H2418+I2418+J2418+L2418+M2418+N2418)</f>
        <v>1.0855160243678661E-2</v>
      </c>
      <c r="K2419" s="637">
        <f t="shared" si="75"/>
        <v>0.26099489230963924</v>
      </c>
      <c r="L2419" s="636">
        <f>L2418/(D2418+E2418+G2418+H2418+I2418+J2418+L2418+M2418+N2418)</f>
        <v>2.2539924702871625E-2</v>
      </c>
      <c r="M2419" s="636">
        <f>M2418/(D2418+E2418+G2418+H2418+I2418+J2418+L2418+M2418+N2418)</f>
        <v>6.7106544382067894E-3</v>
      </c>
      <c r="N2419" s="636">
        <f>N2418/(D2418+E2418+G2418+H2418+I2418+J2418+L2418+M2418+N2418)</f>
        <v>0.40601041223595913</v>
      </c>
      <c r="O2419" s="1503"/>
    </row>
    <row r="2420" spans="1:15" ht="12" customHeight="1">
      <c r="A2420" s="1517"/>
      <c r="B2420" s="1502" t="s">
        <v>14938</v>
      </c>
      <c r="C2420" s="638" t="s">
        <v>6218</v>
      </c>
      <c r="D2420" s="639">
        <v>78589</v>
      </c>
      <c r="E2420" s="639">
        <v>39194</v>
      </c>
      <c r="F2420" s="640">
        <f t="shared" si="74"/>
        <v>117783</v>
      </c>
      <c r="G2420" s="639">
        <v>54191</v>
      </c>
      <c r="H2420" s="639">
        <v>9440</v>
      </c>
      <c r="I2420" s="639">
        <v>9388</v>
      </c>
      <c r="J2420" s="639"/>
      <c r="K2420" s="640">
        <f t="shared" si="75"/>
        <v>73019</v>
      </c>
      <c r="L2420" s="639">
        <v>10330</v>
      </c>
      <c r="M2420" s="639"/>
      <c r="N2420" s="639">
        <v>82511</v>
      </c>
      <c r="O2420" s="1503">
        <f>1-N2421</f>
        <v>0.70910263958567632</v>
      </c>
    </row>
    <row r="2421" spans="1:15" ht="12" customHeight="1">
      <c r="A2421" s="1517"/>
      <c r="B2421" s="1502"/>
      <c r="C2421" s="635" t="s">
        <v>6219</v>
      </c>
      <c r="D2421" s="636">
        <f>D2420/(D2420+E2420+G2420+H2420+I2420+J2420+L2420+M2420+N2420)</f>
        <v>0.27707011983373464</v>
      </c>
      <c r="E2421" s="636">
        <f>E2420/(D2420+E2420+G2420+H2420+I2420+J2420+L2420+M2420+N2420)</f>
        <v>0.1381807412839379</v>
      </c>
      <c r="F2421" s="637">
        <f t="shared" si="74"/>
        <v>0.41525086111767251</v>
      </c>
      <c r="G2421" s="636">
        <f>G2420/(D2420+E2420+G2420+H2420+I2420+J2420+L2420+M2420+N2420)</f>
        <v>0.19105354265749552</v>
      </c>
      <c r="H2421" s="636">
        <f>H2420/(D2420+E2420+G2420+H2420+I2420+J2420+L2420+M2420+N2420)</f>
        <v>3.3281272585609374E-2</v>
      </c>
      <c r="I2421" s="636">
        <f>I2420/(D2420+E2420+G2420+H2420+I2420+J2420+L2420+M2420+N2420)</f>
        <v>3.3097943541705595E-2</v>
      </c>
      <c r="J2421" s="636">
        <f>J2420/(D2420+E2420+G2420+H2420+I2420+J2420+L2420+M2420+N2420)</f>
        <v>0</v>
      </c>
      <c r="K2421" s="637">
        <f t="shared" si="75"/>
        <v>0.25743275878481048</v>
      </c>
      <c r="L2421" s="636">
        <f>L2420/(D2420+E2420+G2420+H2420+I2420+J2420+L2420+M2420+N2420)</f>
        <v>3.6419019683193311E-2</v>
      </c>
      <c r="M2421" s="636">
        <f>M2420/(D2420+E2420+G2420+H2420+I2420+J2420+L2420+M2420+N2420)</f>
        <v>0</v>
      </c>
      <c r="N2421" s="636">
        <f>N2420/(D2420+E2420+G2420+H2420+I2420+J2420+L2420+M2420+N2420)</f>
        <v>0.29089736041432362</v>
      </c>
      <c r="O2421" s="1503"/>
    </row>
    <row r="2422" spans="1:15" ht="12" customHeight="1">
      <c r="A2422" s="1517"/>
      <c r="B2422" s="1502" t="s">
        <v>14939</v>
      </c>
      <c r="C2422" s="638" t="s">
        <v>6218</v>
      </c>
      <c r="D2422" s="639">
        <v>63544</v>
      </c>
      <c r="E2422" s="639">
        <v>31073</v>
      </c>
      <c r="F2422" s="640">
        <f t="shared" si="74"/>
        <v>94617</v>
      </c>
      <c r="G2422" s="639">
        <v>53481</v>
      </c>
      <c r="H2422" s="639">
        <v>8476</v>
      </c>
      <c r="I2422" s="639"/>
      <c r="J2422" s="639"/>
      <c r="K2422" s="640">
        <f t="shared" si="75"/>
        <v>61957</v>
      </c>
      <c r="L2422" s="639">
        <v>8427</v>
      </c>
      <c r="M2422" s="639">
        <v>4894</v>
      </c>
      <c r="N2422" s="639">
        <v>113147</v>
      </c>
      <c r="O2422" s="1503">
        <f>1-N2423</f>
        <v>0.6002466065106945</v>
      </c>
    </row>
    <row r="2423" spans="1:15" ht="12" customHeight="1">
      <c r="A2423" s="1517"/>
      <c r="B2423" s="1502"/>
      <c r="C2423" s="635" t="s">
        <v>6219</v>
      </c>
      <c r="D2423" s="636">
        <f>D2422/(D2422+E2422+G2422+H2422+I2422+J2422+L2422+M2422+N2422)</f>
        <v>0.22450378389073</v>
      </c>
      <c r="E2423" s="636">
        <f>E2422/(D2422+E2422+G2422+H2422+I2422+J2422+L2422+M2422+N2422)</f>
        <v>0.10978229379385392</v>
      </c>
      <c r="F2423" s="637">
        <f t="shared" si="74"/>
        <v>0.3342860776845839</v>
      </c>
      <c r="G2423" s="636">
        <f>G2422/(D2422+E2422+G2422+H2422+I2422+J2422+L2422+M2422+N2422)</f>
        <v>0.18895075642484155</v>
      </c>
      <c r="H2423" s="636">
        <f>H2422/(D2422+E2422+G2422+H2422+I2422+J2422+L2422+M2422+N2422)</f>
        <v>2.9946085739925524E-2</v>
      </c>
      <c r="I2423" s="636">
        <f>I2422/(D2422+E2422+G2422+H2422+I2422+J2422+L2422+M2422+N2422)</f>
        <v>0</v>
      </c>
      <c r="J2423" s="636">
        <f>J2422/(D2422+E2422+G2422+H2422+I2422+J2422+L2422+M2422+N2422)</f>
        <v>0</v>
      </c>
      <c r="K2423" s="637">
        <f t="shared" si="75"/>
        <v>0.21889684216476707</v>
      </c>
      <c r="L2423" s="636">
        <f>L2422/(D2422+E2422+G2422+H2422+I2422+J2422+L2422+M2422+N2422)</f>
        <v>2.9772966556200139E-2</v>
      </c>
      <c r="M2423" s="636">
        <f>M2422/(D2422+E2422+G2422+H2422+I2422+J2422+L2422+M2422+N2422)</f>
        <v>1.7290720105143407E-2</v>
      </c>
      <c r="N2423" s="636">
        <f>N2422/(D2422+E2422+G2422+H2422+I2422+J2422+L2422+M2422+N2422)</f>
        <v>0.3997533934893055</v>
      </c>
      <c r="O2423" s="1503"/>
    </row>
    <row r="2424" spans="1:15" ht="12" customHeight="1">
      <c r="A2424" s="1517"/>
      <c r="B2424" s="1502" t="s">
        <v>14940</v>
      </c>
      <c r="C2424" s="638" t="s">
        <v>6218</v>
      </c>
      <c r="D2424" s="639">
        <v>81676</v>
      </c>
      <c r="E2424" s="639">
        <v>41296</v>
      </c>
      <c r="F2424" s="640">
        <f t="shared" si="74"/>
        <v>122972</v>
      </c>
      <c r="G2424" s="639">
        <v>44166</v>
      </c>
      <c r="H2424" s="639">
        <v>12591</v>
      </c>
      <c r="I2424" s="639"/>
      <c r="J2424" s="639"/>
      <c r="K2424" s="640">
        <f t="shared" si="75"/>
        <v>56757</v>
      </c>
      <c r="L2424" s="639">
        <v>10719</v>
      </c>
      <c r="M2424" s="639"/>
      <c r="N2424" s="639">
        <v>92478</v>
      </c>
      <c r="O2424" s="1503">
        <f>1-N2425</f>
        <v>0.67313714540197789</v>
      </c>
    </row>
    <row r="2425" spans="1:15" ht="12" customHeight="1" thickBot="1">
      <c r="A2425" s="1519"/>
      <c r="B2425" s="1514"/>
      <c r="C2425" s="641" t="s">
        <v>6219</v>
      </c>
      <c r="D2425" s="642">
        <f>D2424/(D2424+E2424+G2424+H2424+I2424+J2424+L2424+M2424+N2424)</f>
        <v>0.28868325993369293</v>
      </c>
      <c r="E2425" s="642">
        <f>E2424/(D2424+E2424+G2424+H2424+I2424+J2424+L2424+M2424+N2424)</f>
        <v>0.14596042781504703</v>
      </c>
      <c r="F2425" s="643">
        <f t="shared" si="74"/>
        <v>0.43464368774873996</v>
      </c>
      <c r="G2425" s="642">
        <f>G2424/(D2424+E2424+G2424+H2424+I2424+J2424+L2424+M2424+N2424)</f>
        <v>0.1561044230646883</v>
      </c>
      <c r="H2425" s="642">
        <f>H2424/(D2424+E2424+G2424+H2424+I2424+J2424+L2424+M2424+N2424)</f>
        <v>4.4502802853042846E-2</v>
      </c>
      <c r="I2425" s="642">
        <f>I2424/(D2424+E2424+G2424+H2424+I2424+J2424+L2424+M2424+N2424)</f>
        <v>0</v>
      </c>
      <c r="J2425" s="642">
        <f>J2424/(D2424+E2424+G2424+H2424+I2424+J2424+L2424+M2424+N2424)</f>
        <v>0</v>
      </c>
      <c r="K2425" s="643">
        <f t="shared" si="75"/>
        <v>0.20060722591773114</v>
      </c>
      <c r="L2425" s="642">
        <f>L2424/(D2424+E2424+G2424+H2424+I2424+J2424+L2424+M2424+N2424)</f>
        <v>3.7886231735506808E-2</v>
      </c>
      <c r="M2425" s="642">
        <f>M2424/(D2424+E2424+G2424+H2424+I2424+J2424+L2424+M2424+N2424)</f>
        <v>0</v>
      </c>
      <c r="N2425" s="642">
        <f>N2424/(D2424+E2424+G2424+H2424+I2424+J2424+L2424+M2424+N2424)</f>
        <v>0.32686285459802211</v>
      </c>
      <c r="O2425" s="1515"/>
    </row>
    <row r="2426" spans="1:15" ht="12" customHeight="1">
      <c r="A2426" s="1516" t="s">
        <v>15241</v>
      </c>
      <c r="B2426" s="1509" t="s">
        <v>14937</v>
      </c>
      <c r="C2426" s="647" t="s">
        <v>6218</v>
      </c>
      <c r="D2426" s="648">
        <v>72717</v>
      </c>
      <c r="E2426" s="648">
        <v>15502</v>
      </c>
      <c r="F2426" s="649">
        <f t="shared" si="74"/>
        <v>88219</v>
      </c>
      <c r="G2426" s="648">
        <v>54871</v>
      </c>
      <c r="H2426" s="648">
        <v>6812</v>
      </c>
      <c r="I2426" s="648">
        <v>4165</v>
      </c>
      <c r="J2426" s="648">
        <v>2858</v>
      </c>
      <c r="K2426" s="649">
        <f t="shared" si="75"/>
        <v>68706</v>
      </c>
      <c r="L2426" s="648">
        <v>5206</v>
      </c>
      <c r="M2426" s="648">
        <v>1905</v>
      </c>
      <c r="N2426" s="648">
        <v>104929</v>
      </c>
      <c r="O2426" s="1510">
        <f>1-N2427</f>
        <v>0.60987860874091426</v>
      </c>
    </row>
    <row r="2427" spans="1:15" ht="12" customHeight="1">
      <c r="A2427" s="1517"/>
      <c r="B2427" s="1502"/>
      <c r="C2427" s="635" t="s">
        <v>6219</v>
      </c>
      <c r="D2427" s="636">
        <f>D2426/(D2426+E2426+G2426+H2426+I2426+J2426+L2426+M2426+N2426)</f>
        <v>0.27035859684345548</v>
      </c>
      <c r="E2427" s="636">
        <f>E2426/(D2426+E2426+G2426+H2426+I2426+J2426+L2426+M2426+N2426)</f>
        <v>5.7635751863625378E-2</v>
      </c>
      <c r="F2427" s="637">
        <f t="shared" si="74"/>
        <v>0.32799434870708088</v>
      </c>
      <c r="G2427" s="636">
        <f>G2426/(D2426+E2426+G2426+H2426+I2426+J2426+L2426+M2426+N2426)</f>
        <v>0.20400795642555722</v>
      </c>
      <c r="H2427" s="636">
        <f>H2426/(D2426+E2426+G2426+H2426+I2426+J2426+L2426+M2426+N2426)</f>
        <v>2.5326715371888537E-2</v>
      </c>
      <c r="I2427" s="636">
        <f>I2426/(D2426+E2426+G2426+H2426+I2426+J2426+L2426+M2426+N2426)</f>
        <v>1.548528618965293E-2</v>
      </c>
      <c r="J2427" s="636">
        <f>J2426/(D2426+E2426+G2426+H2426+I2426+J2426+L2426+M2426+N2426)</f>
        <v>1.0625917870354879E-2</v>
      </c>
      <c r="K2427" s="637">
        <f t="shared" si="75"/>
        <v>0.25544587585745354</v>
      </c>
      <c r="L2427" s="636">
        <f>L2426/(D2426+E2426+G2426+H2426+I2426+J2426+L2426+M2426+N2426)</f>
        <v>1.9355678248099195E-2</v>
      </c>
      <c r="M2427" s="636">
        <f>M2426/(D2426+E2426+G2426+H2426+I2426+J2426+L2426+M2426+N2426)</f>
        <v>7.0827059282806311E-3</v>
      </c>
      <c r="N2427" s="636">
        <f>N2426/(D2426+E2426+G2426+H2426+I2426+J2426+L2426+M2426+N2426)</f>
        <v>0.39012139125908574</v>
      </c>
      <c r="O2427" s="1503"/>
    </row>
    <row r="2428" spans="1:15" ht="12" customHeight="1">
      <c r="A2428" s="1517"/>
      <c r="B2428" s="1502" t="s">
        <v>14938</v>
      </c>
      <c r="C2428" s="638" t="s">
        <v>6218</v>
      </c>
      <c r="D2428" s="639">
        <v>90328</v>
      </c>
      <c r="E2428" s="639">
        <v>25696</v>
      </c>
      <c r="F2428" s="640">
        <f t="shared" si="74"/>
        <v>116024</v>
      </c>
      <c r="G2428" s="639">
        <v>48609</v>
      </c>
      <c r="H2428" s="639">
        <v>9648</v>
      </c>
      <c r="I2428" s="639">
        <v>9077</v>
      </c>
      <c r="J2428" s="639"/>
      <c r="K2428" s="640">
        <f t="shared" si="75"/>
        <v>67334</v>
      </c>
      <c r="L2428" s="639">
        <v>6788</v>
      </c>
      <c r="M2428" s="639"/>
      <c r="N2428" s="639">
        <v>80746</v>
      </c>
      <c r="O2428" s="1503">
        <f>1-N2429</f>
        <v>0.70192549060142051</v>
      </c>
    </row>
    <row r="2429" spans="1:15" ht="12" customHeight="1">
      <c r="A2429" s="1517"/>
      <c r="B2429" s="1502"/>
      <c r="C2429" s="635" t="s">
        <v>6219</v>
      </c>
      <c r="D2429" s="636">
        <f>D2428/(D2428+E2428+G2428+H2428+I2428+J2428+L2428+M2428+N2428)</f>
        <v>0.33344653958034937</v>
      </c>
      <c r="E2429" s="636">
        <f>E2428/(D2428+E2428+G2428+H2428+I2428+J2428+L2428+M2428+N2428)</f>
        <v>9.4856990977954317E-2</v>
      </c>
      <c r="F2429" s="637">
        <f t="shared" si="74"/>
        <v>0.42830353055830367</v>
      </c>
      <c r="G2429" s="636">
        <f>G2428/(D2428+E2428+G2428+H2428+I2428+J2428+L2428+M2428+N2428)</f>
        <v>0.1794405150392038</v>
      </c>
      <c r="H2429" s="636">
        <f>H2428/(D2428+E2428+G2428+H2428+I2428+J2428+L2428+M2428+N2428)</f>
        <v>3.5615669713391314E-2</v>
      </c>
      <c r="I2429" s="636">
        <f>I2428/(D2428+E2428+G2428+H2428+I2428+J2428+L2428+M2428+N2428)</f>
        <v>3.3507818614060214E-2</v>
      </c>
      <c r="J2429" s="636">
        <f>J2428/(D2428+E2428+G2428+H2428+I2428+J2428+L2428+M2428+N2428)</f>
        <v>0</v>
      </c>
      <c r="K2429" s="637">
        <f t="shared" si="75"/>
        <v>0.24856400336665532</v>
      </c>
      <c r="L2429" s="636">
        <f>L2428/(D2428+E2428+G2428+H2428+I2428+J2428+L2428+M2428+N2428)</f>
        <v>2.5057956676461469E-2</v>
      </c>
      <c r="M2429" s="636">
        <f>M2428/(D2428+E2428+G2428+H2428+I2428+J2428+L2428+M2428+N2428)</f>
        <v>0</v>
      </c>
      <c r="N2429" s="636">
        <f>N2428/(D2428+E2428+G2428+H2428+I2428+J2428+L2428+M2428+N2428)</f>
        <v>0.29807450939857949</v>
      </c>
      <c r="O2429" s="1503"/>
    </row>
    <row r="2430" spans="1:15" ht="12" customHeight="1">
      <c r="A2430" s="1517"/>
      <c r="B2430" s="1502" t="s">
        <v>14939</v>
      </c>
      <c r="C2430" s="638" t="s">
        <v>6218</v>
      </c>
      <c r="D2430" s="639">
        <v>82150</v>
      </c>
      <c r="E2430" s="639">
        <v>18117</v>
      </c>
      <c r="F2430" s="640">
        <f t="shared" si="74"/>
        <v>100267</v>
      </c>
      <c r="G2430" s="639">
        <v>44346</v>
      </c>
      <c r="H2430" s="639">
        <v>9623</v>
      </c>
      <c r="I2430" s="639"/>
      <c r="J2430" s="639"/>
      <c r="K2430" s="640">
        <f t="shared" si="75"/>
        <v>53969</v>
      </c>
      <c r="L2430" s="639">
        <v>6464</v>
      </c>
      <c r="M2430" s="639">
        <v>5042</v>
      </c>
      <c r="N2430" s="639">
        <v>105879</v>
      </c>
      <c r="O2430" s="1503">
        <f>1-N2431</f>
        <v>0.61019582432875219</v>
      </c>
    </row>
    <row r="2431" spans="1:15" ht="12" customHeight="1">
      <c r="A2431" s="1517"/>
      <c r="B2431" s="1502"/>
      <c r="C2431" s="635" t="s">
        <v>6219</v>
      </c>
      <c r="D2431" s="636">
        <f>D2430/(D2430+E2430+G2430+H2430+I2430+J2430+L2430+M2430+N2430)</f>
        <v>0.30244347822885564</v>
      </c>
      <c r="E2431" s="636">
        <f>E2430/(D2430+E2430+G2430+H2430+I2430+J2430+L2430+M2430+N2430)</f>
        <v>6.6699555630823831E-2</v>
      </c>
      <c r="F2431" s="637">
        <f t="shared" si="74"/>
        <v>0.3691430338596795</v>
      </c>
      <c r="G2431" s="636">
        <f>G2430/(D2430+E2430+G2430+H2430+I2430+J2430+L2430+M2430+N2430)</f>
        <v>0.16326425423660174</v>
      </c>
      <c r="H2431" s="636">
        <f>H2430/(D2430+E2430+G2430+H2430+I2430+J2430+L2430+M2430+N2430)</f>
        <v>3.5428041278104415E-2</v>
      </c>
      <c r="I2431" s="636">
        <f>I2430/(D2430+E2430+G2430+H2430+I2430+J2430+L2430+M2430+N2430)</f>
        <v>0</v>
      </c>
      <c r="J2431" s="636">
        <f>J2430/(D2430+E2430+G2430+H2430+I2430+J2430+L2430+M2430+N2430)</f>
        <v>0</v>
      </c>
      <c r="K2431" s="637">
        <f t="shared" si="75"/>
        <v>0.19869229551470616</v>
      </c>
      <c r="L2431" s="636">
        <f>L2430/(D2430+E2430+G2430+H2430+I2430+J2430+L2430+M2430+N2430)</f>
        <v>2.3797865408050189E-2</v>
      </c>
      <c r="M2431" s="636">
        <f>M2430/(D2430+E2430+G2430+H2430+I2430+J2430+L2430+M2430+N2430)</f>
        <v>1.8562629546316375E-2</v>
      </c>
      <c r="N2431" s="636">
        <f>N2430/(D2430+E2430+G2430+H2430+I2430+J2430+L2430+M2430+N2430)</f>
        <v>0.38980417567124781</v>
      </c>
      <c r="O2431" s="1503"/>
    </row>
    <row r="2432" spans="1:15" ht="12" customHeight="1">
      <c r="A2432" s="1517"/>
      <c r="B2432" s="1502" t="s">
        <v>14940</v>
      </c>
      <c r="C2432" s="638" t="s">
        <v>6218</v>
      </c>
      <c r="D2432" s="639">
        <v>91585</v>
      </c>
      <c r="E2432" s="639">
        <v>17171</v>
      </c>
      <c r="F2432" s="640">
        <f t="shared" si="74"/>
        <v>108756</v>
      </c>
      <c r="G2432" s="639">
        <v>40746</v>
      </c>
      <c r="H2432" s="639">
        <v>11473</v>
      </c>
      <c r="I2432" s="639"/>
      <c r="J2432" s="639"/>
      <c r="K2432" s="640">
        <f t="shared" si="75"/>
        <v>52219</v>
      </c>
      <c r="L2432" s="639">
        <v>7507</v>
      </c>
      <c r="M2432" s="639"/>
      <c r="N2432" s="639">
        <v>103731</v>
      </c>
      <c r="O2432" s="1503">
        <f>1-N2433</f>
        <v>0.61893443737073539</v>
      </c>
    </row>
    <row r="2433" spans="1:15" ht="12" customHeight="1" thickBot="1">
      <c r="A2433" s="1519"/>
      <c r="B2433" s="1514"/>
      <c r="C2433" s="641" t="s">
        <v>6219</v>
      </c>
      <c r="D2433" s="642">
        <f>D2432/(D2432+E2432+G2432+H2432+I2432+J2432+L2432+M2432+N2432)</f>
        <v>0.33644609184719321</v>
      </c>
      <c r="E2433" s="642">
        <f>E2432/(D2432+E2432+G2432+H2432+I2432+J2432+L2432+M2432+N2432)</f>
        <v>6.3079279828663584E-2</v>
      </c>
      <c r="F2433" s="643">
        <f t="shared" si="74"/>
        <v>0.39952537167585678</v>
      </c>
      <c r="G2433" s="642">
        <f>G2432/(D2432+E2432+G2432+H2432+I2432+J2432+L2432+M2432+N2432)</f>
        <v>0.14968425460944187</v>
      </c>
      <c r="H2433" s="642">
        <f>H2432/(D2432+E2432+G2432+H2432+I2432+J2432+L2432+M2432+N2432)</f>
        <v>4.214714212767208E-2</v>
      </c>
      <c r="I2433" s="642">
        <f>I2432/(D2432+E2432+G2432+H2432+I2432+J2432+L2432+M2432+N2432)</f>
        <v>0</v>
      </c>
      <c r="J2433" s="642">
        <f>J2432/(D2432+E2432+G2432+H2432+I2432+J2432+L2432+M2432+N2432)</f>
        <v>0</v>
      </c>
      <c r="K2433" s="643">
        <f t="shared" si="75"/>
        <v>0.19183139673711397</v>
      </c>
      <c r="L2433" s="642">
        <f>L2432/(D2432+E2432+G2432+H2432+I2432+J2432+L2432+M2432+N2432)</f>
        <v>2.757766895776469E-2</v>
      </c>
      <c r="M2433" s="642">
        <f>M2432/(D2432+E2432+G2432+H2432+I2432+J2432+L2432+M2432+N2432)</f>
        <v>0</v>
      </c>
      <c r="N2433" s="642">
        <f>N2432/(D2432+E2432+G2432+H2432+I2432+J2432+L2432+M2432+N2432)</f>
        <v>0.38106556262926461</v>
      </c>
      <c r="O2433" s="1515"/>
    </row>
    <row r="2434" spans="1:15" ht="12" customHeight="1">
      <c r="A2434" s="1516" t="s">
        <v>15242</v>
      </c>
      <c r="B2434" s="1509" t="s">
        <v>14937</v>
      </c>
      <c r="C2434" s="647" t="s">
        <v>6218</v>
      </c>
      <c r="D2434" s="648">
        <v>62426</v>
      </c>
      <c r="E2434" s="648">
        <v>18750</v>
      </c>
      <c r="F2434" s="649">
        <f t="shared" ref="F2434:F2497" si="76">SUM(D2434:E2434)</f>
        <v>81176</v>
      </c>
      <c r="G2434" s="648">
        <v>59247</v>
      </c>
      <c r="H2434" s="648">
        <v>7867</v>
      </c>
      <c r="I2434" s="648">
        <v>3132</v>
      </c>
      <c r="J2434" s="648">
        <v>3214</v>
      </c>
      <c r="K2434" s="649">
        <f t="shared" ref="K2434:K2497" si="77">SUM(G2434:J2434)</f>
        <v>73460</v>
      </c>
      <c r="L2434" s="648">
        <v>5587</v>
      </c>
      <c r="M2434" s="648">
        <v>2191</v>
      </c>
      <c r="N2434" s="648">
        <v>112962</v>
      </c>
      <c r="O2434" s="1510">
        <f>1-N2435</f>
        <v>0.58978995990936034</v>
      </c>
    </row>
    <row r="2435" spans="1:15" ht="12" customHeight="1">
      <c r="A2435" s="1517"/>
      <c r="B2435" s="1502"/>
      <c r="C2435" s="635" t="s">
        <v>6219</v>
      </c>
      <c r="D2435" s="636">
        <f>D2434/(D2434+E2434+G2434+H2434+I2434+J2434+L2434+M2434+N2434)</f>
        <v>0.22669368427168671</v>
      </c>
      <c r="E2435" s="636">
        <f>E2434/(D2434+E2434+G2434+H2434+I2434+J2434+L2434+M2434+N2434)</f>
        <v>6.8088722328743245E-2</v>
      </c>
      <c r="F2435" s="637">
        <f t="shared" si="76"/>
        <v>0.29478240660042998</v>
      </c>
      <c r="G2435" s="636">
        <f>G2434/(D2434+E2434+G2434+H2434+I2434+J2434+L2434+M2434+N2434)</f>
        <v>0.21514946836325605</v>
      </c>
      <c r="H2435" s="636">
        <f>H2434/(D2434+E2434+G2434+H2434+I2434+J2434+L2434+M2434+N2434)</f>
        <v>2.8568212189878567E-2</v>
      </c>
      <c r="I2435" s="636">
        <f>I2434/(D2434+E2434+G2434+H2434+I2434+J2434+L2434+M2434+N2434)</f>
        <v>1.1373540177793271E-2</v>
      </c>
      <c r="J2435" s="636">
        <f>J2434/(D2434+E2434+G2434+H2434+I2434+J2434+L2434+M2434+N2434)</f>
        <v>1.1671314856777642E-2</v>
      </c>
      <c r="K2435" s="637">
        <f t="shared" si="77"/>
        <v>0.26676253558770552</v>
      </c>
      <c r="L2435" s="636">
        <f>L2434/(D2434+E2434+G2434+H2434+I2434+J2434+L2434+M2434+N2434)</f>
        <v>2.0288623554703386E-2</v>
      </c>
      <c r="M2435" s="636">
        <f>M2434/(D2434+E2434+G2434+H2434+I2434+J2434+L2434+M2434+N2434)</f>
        <v>7.9563941665214116E-3</v>
      </c>
      <c r="N2435" s="636">
        <f>N2434/(D2434+E2434+G2434+H2434+I2434+J2434+L2434+M2434+N2434)</f>
        <v>0.41021004009063972</v>
      </c>
      <c r="O2435" s="1503"/>
    </row>
    <row r="2436" spans="1:15" ht="12" customHeight="1">
      <c r="A2436" s="1517"/>
      <c r="B2436" s="1502" t="s">
        <v>14938</v>
      </c>
      <c r="C2436" s="638" t="s">
        <v>6218</v>
      </c>
      <c r="D2436" s="639">
        <v>79113</v>
      </c>
      <c r="E2436" s="639">
        <v>23918</v>
      </c>
      <c r="F2436" s="640">
        <f t="shared" si="76"/>
        <v>103031</v>
      </c>
      <c r="G2436" s="639">
        <v>56710</v>
      </c>
      <c r="H2436" s="639">
        <v>10031</v>
      </c>
      <c r="I2436" s="639">
        <v>7666</v>
      </c>
      <c r="J2436" s="639"/>
      <c r="K2436" s="640">
        <f t="shared" si="77"/>
        <v>74407</v>
      </c>
      <c r="L2436" s="639">
        <v>7140</v>
      </c>
      <c r="M2436" s="639"/>
      <c r="N2436" s="639">
        <v>89074</v>
      </c>
      <c r="O2436" s="1503">
        <f>1-N2437</f>
        <v>0.67449899872831187</v>
      </c>
    </row>
    <row r="2437" spans="1:15" ht="12" customHeight="1">
      <c r="A2437" s="1517"/>
      <c r="B2437" s="1502"/>
      <c r="C2437" s="635" t="s">
        <v>6219</v>
      </c>
      <c r="D2437" s="636">
        <f>D2436/(D2436+E2436+G2436+H2436+I2436+J2436+L2436+M2436+N2436)</f>
        <v>0.2891007557043252</v>
      </c>
      <c r="E2437" s="636">
        <f>E2436/(D2436+E2436+G2436+H2436+I2436+J2436+L2436+M2436+N2436)</f>
        <v>8.7402978965985992E-2</v>
      </c>
      <c r="F2437" s="637">
        <f t="shared" si="76"/>
        <v>0.37650373467031117</v>
      </c>
      <c r="G2437" s="636">
        <f>G2436/(D2436+E2436+G2436+H2436+I2436+J2436+L2436+M2436+N2436)</f>
        <v>0.20723400523292357</v>
      </c>
      <c r="H2437" s="636">
        <f>H2436/(D2436+E2436+G2436+H2436+I2436+J2436+L2436+M2436+N2436)</f>
        <v>3.6656044903746361E-2</v>
      </c>
      <c r="I2437" s="636">
        <f>I2436/(D2436+E2436+G2436+H2436+I2436+J2436+L2436+M2436+N2436)</f>
        <v>2.8013681610220279E-2</v>
      </c>
      <c r="J2437" s="636">
        <f>J2436/(D2436+E2436+G2436+H2436+I2436+J2436+L2436+M2436+N2436)</f>
        <v>0</v>
      </c>
      <c r="K2437" s="637">
        <f t="shared" si="77"/>
        <v>0.2719037317468902</v>
      </c>
      <c r="L2437" s="636">
        <f>L2436/(D2436+E2436+G2436+H2436+I2436+J2436+L2436+M2436+N2436)</f>
        <v>2.6091532311110461E-2</v>
      </c>
      <c r="M2437" s="636">
        <f>M2436/(D2436+E2436+G2436+H2436+I2436+J2436+L2436+M2436+N2436)</f>
        <v>0</v>
      </c>
      <c r="N2437" s="636">
        <f>N2436/(D2436+E2436+G2436+H2436+I2436+J2436+L2436+M2436+N2436)</f>
        <v>0.32550100127168813</v>
      </c>
      <c r="O2437" s="1503"/>
    </row>
    <row r="2438" spans="1:15" ht="12" customHeight="1">
      <c r="A2438" s="1517"/>
      <c r="B2438" s="1502" t="s">
        <v>14939</v>
      </c>
      <c r="C2438" s="638" t="s">
        <v>6218</v>
      </c>
      <c r="D2438" s="639">
        <v>69106</v>
      </c>
      <c r="E2438" s="639">
        <v>21744</v>
      </c>
      <c r="F2438" s="640">
        <f t="shared" si="76"/>
        <v>90850</v>
      </c>
      <c r="G2438" s="639">
        <v>48384</v>
      </c>
      <c r="H2438" s="639">
        <v>13275</v>
      </c>
      <c r="I2438" s="639"/>
      <c r="J2438" s="639"/>
      <c r="K2438" s="640">
        <f t="shared" si="77"/>
        <v>61659</v>
      </c>
      <c r="L2438" s="639">
        <v>6705</v>
      </c>
      <c r="M2438" s="639">
        <v>5668</v>
      </c>
      <c r="N2438" s="639">
        <v>108178</v>
      </c>
      <c r="O2438" s="1503">
        <f>1-N2439</f>
        <v>0.60383065992822083</v>
      </c>
    </row>
    <row r="2439" spans="1:15" ht="12" customHeight="1">
      <c r="A2439" s="1517"/>
      <c r="B2439" s="1502"/>
      <c r="C2439" s="635" t="s">
        <v>6219</v>
      </c>
      <c r="D2439" s="636">
        <f>D2438/(D2438+E2438+G2438+H2438+I2438+J2438+L2438+M2438+N2438)</f>
        <v>0.25307990917747014</v>
      </c>
      <c r="E2439" s="636">
        <f>E2438/(D2438+E2438+G2438+H2438+I2438+J2438+L2438+M2438+N2438)</f>
        <v>7.9630850362557681E-2</v>
      </c>
      <c r="F2439" s="637">
        <f t="shared" si="76"/>
        <v>0.33271075954002782</v>
      </c>
      <c r="G2439" s="636">
        <f>G2438/(D2438+E2438+G2438+H2438+I2438+J2438+L2438+M2438+N2438)</f>
        <v>0.17719182597231378</v>
      </c>
      <c r="H2439" s="636">
        <f>H2438/(D2438+E2438+G2438+H2438+I2438+J2438+L2438+M2438+N2438)</f>
        <v>4.8615688859591298E-2</v>
      </c>
      <c r="I2439" s="636">
        <f>I2438/(D2438+E2438+G2438+H2438+I2438+J2438+L2438+M2438+N2438)</f>
        <v>0</v>
      </c>
      <c r="J2439" s="636">
        <f>J2438/(D2438+E2438+G2438+H2438+I2438+J2438+L2438+M2438+N2438)</f>
        <v>0</v>
      </c>
      <c r="K2439" s="637">
        <f t="shared" si="77"/>
        <v>0.22580751483190509</v>
      </c>
      <c r="L2439" s="636">
        <f>L2438/(D2438+E2438+G2438+H2438+I2438+J2438+L2438+M2438+N2438)</f>
        <v>2.4555042847725774E-2</v>
      </c>
      <c r="M2439" s="636">
        <f>M2438/(D2438+E2438+G2438+H2438+I2438+J2438+L2438+M2438+N2438)</f>
        <v>2.0757342708562221E-2</v>
      </c>
      <c r="N2439" s="636">
        <f>N2438/(D2438+E2438+G2438+H2438+I2438+J2438+L2438+M2438+N2438)</f>
        <v>0.39616934007177912</v>
      </c>
      <c r="O2439" s="1503"/>
    </row>
    <row r="2440" spans="1:15" ht="12" customHeight="1">
      <c r="A2440" s="1517"/>
      <c r="B2440" s="1502" t="s">
        <v>14940</v>
      </c>
      <c r="C2440" s="638" t="s">
        <v>6218</v>
      </c>
      <c r="D2440" s="639">
        <v>73529</v>
      </c>
      <c r="E2440" s="639">
        <v>21385</v>
      </c>
      <c r="F2440" s="640">
        <f t="shared" si="76"/>
        <v>94914</v>
      </c>
      <c r="G2440" s="639">
        <v>37160</v>
      </c>
      <c r="H2440" s="639">
        <v>28534</v>
      </c>
      <c r="I2440" s="639"/>
      <c r="J2440" s="639"/>
      <c r="K2440" s="640">
        <f t="shared" si="77"/>
        <v>65694</v>
      </c>
      <c r="L2440" s="639">
        <v>6587</v>
      </c>
      <c r="M2440" s="639"/>
      <c r="N2440" s="639">
        <v>105196</v>
      </c>
      <c r="O2440" s="1503">
        <f>1-N2441</f>
        <v>0.61380515508955868</v>
      </c>
    </row>
    <row r="2441" spans="1:15" ht="12" customHeight="1" thickBot="1">
      <c r="A2441" s="1519"/>
      <c r="B2441" s="1514"/>
      <c r="C2441" s="641" t="s">
        <v>6219</v>
      </c>
      <c r="D2441" s="642">
        <f>D2440/(D2440+E2440+G2440+H2440+I2440+J2440+L2440+M2440+N2440)</f>
        <v>0.26993916832788162</v>
      </c>
      <c r="E2441" s="642">
        <f>E2440/(D2440+E2440+G2440+H2440+I2440+J2440+L2440+M2440+N2440)</f>
        <v>7.8508467607226379E-2</v>
      </c>
      <c r="F2441" s="643">
        <f t="shared" si="76"/>
        <v>0.34844763593510797</v>
      </c>
      <c r="G2441" s="642">
        <f>G2440/(D2440+E2440+G2440+H2440+I2440+J2440+L2440+M2440+N2440)</f>
        <v>0.13642154109350163</v>
      </c>
      <c r="H2441" s="642">
        <f>H2440/(D2440+E2440+G2440+H2440+I2440+J2440+L2440+M2440+N2440)</f>
        <v>0.10475382813675929</v>
      </c>
      <c r="I2441" s="642">
        <f>I2440/(D2440+E2440+G2440+H2440+I2440+J2440+L2440+M2440+N2440)</f>
        <v>0</v>
      </c>
      <c r="J2441" s="642">
        <f>J2440/(D2440+E2440+G2440+H2440+I2440+J2440+L2440+M2440+N2440)</f>
        <v>0</v>
      </c>
      <c r="K2441" s="643">
        <f t="shared" si="77"/>
        <v>0.24117536923026092</v>
      </c>
      <c r="L2441" s="642">
        <f>L2440/(D2440+E2440+G2440+H2440+I2440+J2440+L2440+M2440+N2440)</f>
        <v>2.418214992418986E-2</v>
      </c>
      <c r="M2441" s="642">
        <f>M2440/(D2440+E2440+G2440+H2440+I2440+J2440+L2440+M2440+N2440)</f>
        <v>0</v>
      </c>
      <c r="N2441" s="642">
        <f>N2440/(D2440+E2440+G2440+H2440+I2440+J2440+L2440+M2440+N2440)</f>
        <v>0.38619484491044126</v>
      </c>
      <c r="O2441" s="1515"/>
    </row>
    <row r="2442" spans="1:15" ht="12" customHeight="1">
      <c r="A2442" s="1516" t="s">
        <v>15243</v>
      </c>
      <c r="B2442" s="1509" t="s">
        <v>14937</v>
      </c>
      <c r="C2442" s="647" t="s">
        <v>6218</v>
      </c>
      <c r="D2442" s="648">
        <v>66551</v>
      </c>
      <c r="E2442" s="648">
        <v>19455</v>
      </c>
      <c r="F2442" s="649">
        <f t="shared" si="76"/>
        <v>86006</v>
      </c>
      <c r="G2442" s="648">
        <v>46469</v>
      </c>
      <c r="H2442" s="648">
        <v>5850</v>
      </c>
      <c r="I2442" s="648">
        <v>2945</v>
      </c>
      <c r="J2442" s="648">
        <v>2476</v>
      </c>
      <c r="K2442" s="649">
        <f t="shared" si="77"/>
        <v>57740</v>
      </c>
      <c r="L2442" s="648">
        <v>5329</v>
      </c>
      <c r="M2442" s="648">
        <v>1738</v>
      </c>
      <c r="N2442" s="648">
        <v>105605</v>
      </c>
      <c r="O2442" s="1510">
        <f>1-N2443</f>
        <v>0.58815293778127908</v>
      </c>
    </row>
    <row r="2443" spans="1:15" ht="12" customHeight="1">
      <c r="A2443" s="1517"/>
      <c r="B2443" s="1502"/>
      <c r="C2443" s="635" t="s">
        <v>6219</v>
      </c>
      <c r="D2443" s="636">
        <f>D2442/(D2442+E2442+G2442+H2442+I2442+J2442+L2442+M2442+N2442)</f>
        <v>0.25954106185993181</v>
      </c>
      <c r="E2443" s="636">
        <f>E2442/(D2442+E2442+G2442+H2442+I2442+J2442+L2442+M2442+N2442)</f>
        <v>7.5872208659298487E-2</v>
      </c>
      <c r="F2443" s="637">
        <f t="shared" si="76"/>
        <v>0.33541327051923031</v>
      </c>
      <c r="G2443" s="636">
        <f>G2442/(D2442+E2442+G2442+H2442+I2442+J2442+L2442+M2442+N2442)</f>
        <v>0.18122362704646319</v>
      </c>
      <c r="H2443" s="636">
        <f>H2442/(D2442+E2442+G2442+H2442+I2442+J2442+L2442+M2442+N2442)</f>
        <v>2.2814311007807564E-2</v>
      </c>
      <c r="I2443" s="636">
        <f>I2442/(D2442+E2442+G2442+H2442+I2442+J2442+L2442+M2442+N2442)</f>
        <v>1.148515314837492E-2</v>
      </c>
      <c r="J2443" s="636">
        <f>J2442/(D2442+E2442+G2442+H2442+I2442+J2442+L2442+M2442+N2442)</f>
        <v>9.6561083855267564E-3</v>
      </c>
      <c r="K2443" s="637">
        <f t="shared" si="77"/>
        <v>0.22517919958817242</v>
      </c>
      <c r="L2443" s="636">
        <f>L2442/(D2442+E2442+G2442+H2442+I2442+J2442+L2442+M2442+N2442)</f>
        <v>2.0782472369334445E-2</v>
      </c>
      <c r="M2443" s="636">
        <f>M2442/(D2442+E2442+G2442+H2442+I2442+J2442+L2442+M2442+N2442)</f>
        <v>6.7779953045418026E-3</v>
      </c>
      <c r="N2443" s="636">
        <f>N2442/(D2442+E2442+G2442+H2442+I2442+J2442+L2442+M2442+N2442)</f>
        <v>0.41184706221872097</v>
      </c>
      <c r="O2443" s="1503"/>
    </row>
    <row r="2444" spans="1:15" ht="12" customHeight="1">
      <c r="A2444" s="1517"/>
      <c r="B2444" s="1502" t="s">
        <v>14938</v>
      </c>
      <c r="C2444" s="638" t="s">
        <v>6218</v>
      </c>
      <c r="D2444" s="639">
        <v>78475</v>
      </c>
      <c r="E2444" s="639">
        <v>27161</v>
      </c>
      <c r="F2444" s="640">
        <f t="shared" si="76"/>
        <v>105636</v>
      </c>
      <c r="G2444" s="639">
        <v>39042</v>
      </c>
      <c r="H2444" s="639">
        <v>9395</v>
      </c>
      <c r="I2444" s="639">
        <v>10388</v>
      </c>
      <c r="J2444" s="639"/>
      <c r="K2444" s="640">
        <f t="shared" si="77"/>
        <v>58825</v>
      </c>
      <c r="L2444" s="639">
        <v>7787</v>
      </c>
      <c r="M2444" s="639"/>
      <c r="N2444" s="639">
        <v>85310</v>
      </c>
      <c r="O2444" s="1503">
        <f>1-N2445</f>
        <v>0.6687736354529854</v>
      </c>
    </row>
    <row r="2445" spans="1:15" ht="12" customHeight="1">
      <c r="A2445" s="1517"/>
      <c r="B2445" s="1502"/>
      <c r="C2445" s="635" t="s">
        <v>6219</v>
      </c>
      <c r="D2445" s="636">
        <f>D2444/(D2444+E2444+G2444+H2444+I2444+J2444+L2444+M2444+N2444)</f>
        <v>0.30468865265299466</v>
      </c>
      <c r="E2445" s="636">
        <f>E2444/(D2444+E2444+G2444+H2444+I2444+J2444+L2444+M2444+N2444)</f>
        <v>0.10545585848624388</v>
      </c>
      <c r="F2445" s="637">
        <f t="shared" si="76"/>
        <v>0.41014451113923855</v>
      </c>
      <c r="G2445" s="636">
        <f>G2444/(D2444+E2444+G2444+H2444+I2444+J2444+L2444+M2444+N2444)</f>
        <v>0.15158527399653671</v>
      </c>
      <c r="H2445" s="636">
        <f>H2444/(D2444+E2444+G2444+H2444+I2444+J2444+L2444+M2444+N2444)</f>
        <v>3.6477220664859956E-2</v>
      </c>
      <c r="I2445" s="636">
        <f>I2444/(D2444+E2444+G2444+H2444+I2444+J2444+L2444+M2444+N2444)</f>
        <v>4.0332662934174049E-2</v>
      </c>
      <c r="J2445" s="636">
        <f>J2444/(D2444+E2444+G2444+H2444+I2444+J2444+L2444+M2444+N2444)</f>
        <v>0</v>
      </c>
      <c r="K2445" s="637">
        <f t="shared" si="77"/>
        <v>0.22839515759557072</v>
      </c>
      <c r="L2445" s="636">
        <f>L2444/(D2444+E2444+G2444+H2444+I2444+J2444+L2444+M2444+N2444)</f>
        <v>3.0233966718176099E-2</v>
      </c>
      <c r="M2445" s="636">
        <f>M2444/(D2444+E2444+G2444+H2444+I2444+J2444+L2444+M2444+N2444)</f>
        <v>0</v>
      </c>
      <c r="N2445" s="636">
        <f>N2444/(D2444+E2444+G2444+H2444+I2444+J2444+L2444+M2444+N2444)</f>
        <v>0.33122636454701465</v>
      </c>
      <c r="O2445" s="1503"/>
    </row>
    <row r="2446" spans="1:15" ht="12" customHeight="1">
      <c r="A2446" s="1517"/>
      <c r="B2446" s="1502" t="s">
        <v>14939</v>
      </c>
      <c r="C2446" s="638" t="s">
        <v>6218</v>
      </c>
      <c r="D2446" s="639">
        <v>70691</v>
      </c>
      <c r="E2446" s="639">
        <v>22203</v>
      </c>
      <c r="F2446" s="640">
        <f t="shared" si="76"/>
        <v>92894</v>
      </c>
      <c r="G2446" s="639">
        <v>37694</v>
      </c>
      <c r="H2446" s="639">
        <v>8055</v>
      </c>
      <c r="I2446" s="639"/>
      <c r="J2446" s="639"/>
      <c r="K2446" s="640">
        <f t="shared" si="77"/>
        <v>45749</v>
      </c>
      <c r="L2446" s="639">
        <v>6210</v>
      </c>
      <c r="M2446" s="639">
        <v>4655</v>
      </c>
      <c r="N2446" s="639">
        <v>109149</v>
      </c>
      <c r="O2446" s="1503">
        <f>1-N2447</f>
        <v>0.57801644649091266</v>
      </c>
    </row>
    <row r="2447" spans="1:15" ht="12" customHeight="1">
      <c r="A2447" s="1517"/>
      <c r="B2447" s="1502"/>
      <c r="C2447" s="635" t="s">
        <v>6219</v>
      </c>
      <c r="D2447" s="636">
        <f>D2446/(D2446+E2446+G2446+H2446+I2446+J2446+L2446+M2446+N2446)</f>
        <v>0.27330016199058987</v>
      </c>
      <c r="E2447" s="636">
        <f>E2446/(D2446+E2446+G2446+H2446+I2446+J2446+L2446+M2446+N2446)</f>
        <v>8.5839548127442905E-2</v>
      </c>
      <c r="F2447" s="637">
        <f t="shared" si="76"/>
        <v>0.35913971011803281</v>
      </c>
      <c r="G2447" s="636">
        <f>G2446/(D2446+E2446+G2446+H2446+I2446+J2446+L2446+M2446+N2446)</f>
        <v>0.14572967288725996</v>
      </c>
      <c r="H2447" s="636">
        <f>H2446/(D2446+E2446+G2446+H2446+I2446+J2446+L2446+M2446+N2446)</f>
        <v>3.1141627715468748E-2</v>
      </c>
      <c r="I2447" s="636">
        <f>I2446/(D2446+E2446+G2446+H2446+I2446+J2446+L2446+M2446+N2446)</f>
        <v>0</v>
      </c>
      <c r="J2447" s="636">
        <f>J2446/(D2446+E2446+G2446+H2446+I2446+J2446+L2446+M2446+N2446)</f>
        <v>0</v>
      </c>
      <c r="K2447" s="637">
        <f t="shared" si="77"/>
        <v>0.17687130060272871</v>
      </c>
      <c r="L2447" s="636">
        <f>L2446/(D2446+E2446+G2446+H2446+I2446+J2446+L2446+M2446+N2446)</f>
        <v>2.4008629188461941E-2</v>
      </c>
      <c r="M2447" s="636">
        <f>M2446/(D2446+E2446+G2446+H2446+I2446+J2446+L2446+M2446+N2446)</f>
        <v>1.7996806581689263E-2</v>
      </c>
      <c r="N2447" s="636">
        <f>N2446/(D2446+E2446+G2446+H2446+I2446+J2446+L2446+M2446+N2446)</f>
        <v>0.42198355350908734</v>
      </c>
      <c r="O2447" s="1503"/>
    </row>
    <row r="2448" spans="1:15" ht="12" customHeight="1">
      <c r="A2448" s="1517"/>
      <c r="B2448" s="1502" t="s">
        <v>14940</v>
      </c>
      <c r="C2448" s="638" t="s">
        <v>6218</v>
      </c>
      <c r="D2448" s="639">
        <v>81544</v>
      </c>
      <c r="E2448" s="639">
        <v>25260</v>
      </c>
      <c r="F2448" s="640">
        <f t="shared" si="76"/>
        <v>106804</v>
      </c>
      <c r="G2448" s="639">
        <v>32620</v>
      </c>
      <c r="H2448" s="639">
        <v>12054</v>
      </c>
      <c r="I2448" s="639"/>
      <c r="J2448" s="639"/>
      <c r="K2448" s="640">
        <f t="shared" si="77"/>
        <v>44674</v>
      </c>
      <c r="L2448" s="639">
        <v>7873</v>
      </c>
      <c r="M2448" s="639"/>
      <c r="N2448" s="639">
        <v>99181</v>
      </c>
      <c r="O2448" s="1503">
        <f>1-N2449</f>
        <v>0.61636857332941375</v>
      </c>
    </row>
    <row r="2449" spans="1:15" ht="12" customHeight="1" thickBot="1">
      <c r="A2449" s="1519"/>
      <c r="B2449" s="1514"/>
      <c r="C2449" s="641" t="s">
        <v>6219</v>
      </c>
      <c r="D2449" s="642">
        <f>D2448/(D2448+E2448+G2448+H2448+I2448+J2448+L2448+M2448+N2448)</f>
        <v>0.31541163182894189</v>
      </c>
      <c r="E2449" s="642">
        <f>E2448/(D2448+E2448+G2448+H2448+I2448+J2448+L2448+M2448+N2448)</f>
        <v>9.7705506475020507E-2</v>
      </c>
      <c r="F2449" s="643">
        <f t="shared" si="76"/>
        <v>0.41311713830396241</v>
      </c>
      <c r="G2449" s="642">
        <f>G2448/(D2448+E2448+G2448+H2448+I2448+J2448+L2448+M2448+N2448)</f>
        <v>0.12617393591508982</v>
      </c>
      <c r="H2449" s="642">
        <f>H2448/(D2448+E2448+G2448+H2448+I2448+J2448+L2448+M2448+N2448)</f>
        <v>4.6624789194374391E-2</v>
      </c>
      <c r="I2449" s="642">
        <f>I2448/(D2448+E2448+G2448+H2448+I2448+J2448+L2448+M2448+N2448)</f>
        <v>0</v>
      </c>
      <c r="J2449" s="642">
        <f>J2448/(D2448+E2448+G2448+H2448+I2448+J2448+L2448+M2448+N2448)</f>
        <v>0</v>
      </c>
      <c r="K2449" s="643">
        <f t="shared" si="77"/>
        <v>0.1727987251094642</v>
      </c>
      <c r="L2449" s="642">
        <f>L2448/(D2448+E2448+G2448+H2448+I2448+J2448+L2448+M2448+N2448)</f>
        <v>3.045270991598719E-2</v>
      </c>
      <c r="M2449" s="642">
        <f>M2448/(D2448+E2448+G2448+H2448+I2448+J2448+L2448+M2448+N2448)</f>
        <v>0</v>
      </c>
      <c r="N2449" s="642">
        <f>N2448/(D2448+E2448+G2448+H2448+I2448+J2448+L2448+M2448+N2448)</f>
        <v>0.38363142667058625</v>
      </c>
      <c r="O2449" s="1515"/>
    </row>
    <row r="2450" spans="1:15" ht="12" customHeight="1">
      <c r="A2450" s="1523" t="s">
        <v>15244</v>
      </c>
      <c r="B2450" s="1509" t="s">
        <v>14937</v>
      </c>
      <c r="C2450" s="647" t="s">
        <v>6218</v>
      </c>
      <c r="D2450" s="648">
        <v>31222</v>
      </c>
      <c r="E2450" s="648">
        <v>26666</v>
      </c>
      <c r="F2450" s="649">
        <f t="shared" si="76"/>
        <v>57888</v>
      </c>
      <c r="G2450" s="648">
        <v>34516</v>
      </c>
      <c r="H2450" s="648">
        <v>22710</v>
      </c>
      <c r="I2450" s="648">
        <v>14172</v>
      </c>
      <c r="J2450" s="648">
        <v>2568</v>
      </c>
      <c r="K2450" s="649">
        <f t="shared" si="77"/>
        <v>73966</v>
      </c>
      <c r="L2450" s="648">
        <v>13501</v>
      </c>
      <c r="M2450" s="648">
        <v>2795</v>
      </c>
      <c r="N2450" s="648">
        <v>105938</v>
      </c>
      <c r="O2450" s="1510">
        <f>1-N2451</f>
        <v>0.58306570951796233</v>
      </c>
    </row>
    <row r="2451" spans="1:15" ht="12" customHeight="1">
      <c r="A2451" s="1524"/>
      <c r="B2451" s="1502"/>
      <c r="C2451" s="635" t="s">
        <v>6219</v>
      </c>
      <c r="D2451" s="636">
        <f>D2450/(D2450+E2450+G2450+H2450+I2450+J2450+L2450+M2450+N2450)</f>
        <v>0.12287868769875004</v>
      </c>
      <c r="E2451" s="636">
        <f>E2450/(D2450+E2450+G2450+H2450+I2450+J2450+L2450+M2450+N2450)</f>
        <v>0.10494789206888952</v>
      </c>
      <c r="F2451" s="637">
        <f t="shared" si="76"/>
        <v>0.22782657976763956</v>
      </c>
      <c r="G2451" s="636">
        <f>G2450/(D2450+E2450+G2450+H2450+I2450+J2450+L2450+M2450+N2450)</f>
        <v>0.13584270016687133</v>
      </c>
      <c r="H2451" s="636">
        <f>H2450/(D2450+E2450+G2450+H2450+I2450+J2450+L2450+M2450+N2450)</f>
        <v>8.9378483045244164E-2</v>
      </c>
      <c r="I2451" s="636">
        <f>I2450/(D2450+E2450+G2450+H2450+I2450+J2450+L2450+M2450+N2450)</f>
        <v>5.5775951638802307E-2</v>
      </c>
      <c r="J2451" s="636">
        <f>J2450/(D2450+E2450+G2450+H2450+I2450+J2450+L2450+M2450+N2450)</f>
        <v>1.0106734674600926E-2</v>
      </c>
      <c r="K2451" s="637">
        <f t="shared" si="77"/>
        <v>0.29110386952551875</v>
      </c>
      <c r="L2451" s="636">
        <f>L2450/(D2450+E2450+G2450+H2450+I2450+J2450+L2450+M2450+N2450)</f>
        <v>5.3135134284185009E-2</v>
      </c>
      <c r="M2451" s="636">
        <f>M2450/(D2450+E2450+G2450+H2450+I2450+J2450+L2450+M2450+N2450)</f>
        <v>1.1000125940618999E-2</v>
      </c>
      <c r="N2451" s="636">
        <f>N2450/(D2450+E2450+G2450+H2450+I2450+J2450+L2450+M2450+N2450)</f>
        <v>0.41693429048203773</v>
      </c>
      <c r="O2451" s="1503"/>
    </row>
    <row r="2452" spans="1:15" ht="12" customHeight="1">
      <c r="A2452" s="1524"/>
      <c r="B2452" s="1502" t="s">
        <v>14938</v>
      </c>
      <c r="C2452" s="638" t="s">
        <v>6218</v>
      </c>
      <c r="D2452" s="639">
        <v>60189</v>
      </c>
      <c r="E2452" s="639">
        <v>16435</v>
      </c>
      <c r="F2452" s="640">
        <f t="shared" si="76"/>
        <v>76624</v>
      </c>
      <c r="G2452" s="639">
        <v>41830</v>
      </c>
      <c r="H2452" s="639">
        <v>17518</v>
      </c>
      <c r="I2452" s="639">
        <v>7424</v>
      </c>
      <c r="J2452" s="639"/>
      <c r="K2452" s="640">
        <f t="shared" si="77"/>
        <v>66772</v>
      </c>
      <c r="L2452" s="639">
        <v>20135</v>
      </c>
      <c r="M2452" s="639"/>
      <c r="N2452" s="639">
        <v>87326</v>
      </c>
      <c r="O2452" s="1503">
        <f>1-N2453</f>
        <v>0.65188932339938688</v>
      </c>
    </row>
    <row r="2453" spans="1:15" ht="12" customHeight="1">
      <c r="A2453" s="1524"/>
      <c r="B2453" s="1502"/>
      <c r="C2453" s="635" t="s">
        <v>6219</v>
      </c>
      <c r="D2453" s="636">
        <f>D2452/(D2452+E2452+G2452+H2452+I2452+J2452+L2452+M2452+N2452)</f>
        <v>0.23993350793479951</v>
      </c>
      <c r="E2453" s="636">
        <f>E2452/(D2452+E2452+G2452+H2452+I2452+J2452+L2452+M2452+N2452)</f>
        <v>6.5515413163674929E-2</v>
      </c>
      <c r="F2453" s="637">
        <f t="shared" si="76"/>
        <v>0.30544892109847444</v>
      </c>
      <c r="G2453" s="636">
        <f>G2452/(D2452+E2452+G2452+H2452+I2452+J2452+L2452+M2452+N2452)</f>
        <v>0.16674838653097182</v>
      </c>
      <c r="H2453" s="636">
        <f>H2452/(D2452+E2452+G2452+H2452+I2452+J2452+L2452+M2452+N2452)</f>
        <v>6.9832613799893958E-2</v>
      </c>
      <c r="I2453" s="636">
        <f>I2452/(D2452+E2452+G2452+H2452+I2452+J2452+L2452+M2452+N2452)</f>
        <v>2.9594549883001073E-2</v>
      </c>
      <c r="J2453" s="636">
        <f>J2452/(D2452+E2452+G2452+H2452+I2452+J2452+L2452+M2452+N2452)</f>
        <v>0</v>
      </c>
      <c r="K2453" s="637">
        <f t="shared" si="77"/>
        <v>0.26617555021386685</v>
      </c>
      <c r="L2453" s="636">
        <f>L2452/(D2452+E2452+G2452+H2452+I2452+J2452+L2452+M2452+N2452)</f>
        <v>8.0264852087045604E-2</v>
      </c>
      <c r="M2453" s="636">
        <f>M2452/(D2452+E2452+G2452+H2452+I2452+J2452+L2452+M2452+N2452)</f>
        <v>0</v>
      </c>
      <c r="N2453" s="636">
        <f>N2452/(D2452+E2452+G2452+H2452+I2452+J2452+L2452+M2452+N2452)</f>
        <v>0.34811067660061312</v>
      </c>
      <c r="O2453" s="1503"/>
    </row>
    <row r="2454" spans="1:15" ht="12" customHeight="1">
      <c r="A2454" s="1524"/>
      <c r="B2454" s="1502" t="s">
        <v>14939</v>
      </c>
      <c r="C2454" s="638" t="s">
        <v>6218</v>
      </c>
      <c r="D2454" s="639">
        <v>35701</v>
      </c>
      <c r="E2454" s="639">
        <v>21067</v>
      </c>
      <c r="F2454" s="640">
        <f t="shared" si="76"/>
        <v>56768</v>
      </c>
      <c r="G2454" s="639">
        <v>43598</v>
      </c>
      <c r="H2454" s="639">
        <v>11758</v>
      </c>
      <c r="I2454" s="639"/>
      <c r="J2454" s="639"/>
      <c r="K2454" s="640">
        <f t="shared" si="77"/>
        <v>55356</v>
      </c>
      <c r="L2454" s="639">
        <v>13611</v>
      </c>
      <c r="M2454" s="639">
        <v>4260</v>
      </c>
      <c r="N2454" s="639">
        <v>116630</v>
      </c>
      <c r="O2454" s="1503">
        <f>1-N2455</f>
        <v>0.52709579320831224</v>
      </c>
    </row>
    <row r="2455" spans="1:15" ht="12" customHeight="1">
      <c r="A2455" s="1524"/>
      <c r="B2455" s="1502"/>
      <c r="C2455" s="635" t="s">
        <v>6219</v>
      </c>
      <c r="D2455" s="636">
        <f>D2454/(D2454+E2454+G2454+H2454+I2454+J2454+L2454+M2454+N2454)</f>
        <v>0.14475823618854536</v>
      </c>
      <c r="E2455" s="636">
        <f>E2454/(D2454+E2454+G2454+H2454+I2454+J2454+L2454+M2454+N2454)</f>
        <v>8.5421186011150535E-2</v>
      </c>
      <c r="F2455" s="637">
        <f t="shared" si="76"/>
        <v>0.23017942219969589</v>
      </c>
      <c r="G2455" s="636">
        <f>G2454/(D2454+E2454+G2454+H2454+I2454+J2454+L2454+M2454+N2454)</f>
        <v>0.17677850988342625</v>
      </c>
      <c r="H2455" s="636">
        <f>H2454/(D2454+E2454+G2454+H2454+I2454+J2454+L2454+M2454+N2454)</f>
        <v>4.7675620881905724E-2</v>
      </c>
      <c r="I2455" s="636">
        <f>I2454/(D2454+E2454+G2454+H2454+I2454+J2454+L2454+M2454+N2454)</f>
        <v>0</v>
      </c>
      <c r="J2455" s="636">
        <f>J2454/(D2454+E2454+G2454+H2454+I2454+J2454+L2454+M2454+N2454)</f>
        <v>0</v>
      </c>
      <c r="K2455" s="637">
        <f t="shared" si="77"/>
        <v>0.22445413076533197</v>
      </c>
      <c r="L2455" s="636">
        <f>L2454/(D2454+E2454+G2454+H2454+I2454+J2454+L2454+M2454+N2454)</f>
        <v>5.5189052204764319E-2</v>
      </c>
      <c r="M2455" s="636">
        <f>M2454/(D2454+E2454+G2454+H2454+I2454+J2454+L2454+M2454+N2454)</f>
        <v>1.7273188038520019E-2</v>
      </c>
      <c r="N2455" s="636">
        <f>N2454/(D2454+E2454+G2454+H2454+I2454+J2454+L2454+M2454+N2454)</f>
        <v>0.47290420679168776</v>
      </c>
      <c r="O2455" s="1503"/>
    </row>
    <row r="2456" spans="1:15" ht="12" customHeight="1">
      <c r="A2456" s="1524"/>
      <c r="B2456" s="1502" t="s">
        <v>14940</v>
      </c>
      <c r="C2456" s="638" t="s">
        <v>6218</v>
      </c>
      <c r="D2456" s="639">
        <v>52169</v>
      </c>
      <c r="E2456" s="639">
        <v>23445</v>
      </c>
      <c r="F2456" s="640">
        <f t="shared" si="76"/>
        <v>75614</v>
      </c>
      <c r="G2456" s="639">
        <v>47050</v>
      </c>
      <c r="H2456" s="639">
        <v>12396</v>
      </c>
      <c r="I2456" s="639"/>
      <c r="J2456" s="639"/>
      <c r="K2456" s="640">
        <f t="shared" si="77"/>
        <v>59446</v>
      </c>
      <c r="L2456" s="639">
        <v>18257</v>
      </c>
      <c r="M2456" s="639"/>
      <c r="N2456" s="639">
        <v>91208</v>
      </c>
      <c r="O2456" s="1503">
        <f>1-N2457</f>
        <v>0.626999284326756</v>
      </c>
    </row>
    <row r="2457" spans="1:15" ht="12" customHeight="1" thickBot="1">
      <c r="A2457" s="1525"/>
      <c r="B2457" s="1514"/>
      <c r="C2457" s="641" t="s">
        <v>6219</v>
      </c>
      <c r="D2457" s="642">
        <f>D2456/(D2456+E2456+G2456+H2456+I2456+J2456+L2456+M2456+N2456)</f>
        <v>0.21334832839177997</v>
      </c>
      <c r="E2457" s="642">
        <f>E2456/(D2456+E2456+G2456+H2456+I2456+J2456+L2456+M2456+N2456)</f>
        <v>9.5879766895000509E-2</v>
      </c>
      <c r="F2457" s="643">
        <f t="shared" si="76"/>
        <v>0.30922809528678047</v>
      </c>
      <c r="G2457" s="642">
        <f>G2456/(D2456+E2456+G2456+H2456+I2456+J2456+L2456+M2456+N2456)</f>
        <v>0.19241386361312748</v>
      </c>
      <c r="H2457" s="642">
        <f>H2456/(D2456+E2456+G2456+H2456+I2456+J2456+L2456+M2456+N2456)</f>
        <v>5.0694203046723237E-2</v>
      </c>
      <c r="I2457" s="642">
        <f>I2456/(D2456+E2456+G2456+H2456+I2456+J2456+L2456+M2456+N2456)</f>
        <v>0</v>
      </c>
      <c r="J2457" s="642">
        <f>J2456/(D2456+E2456+G2456+H2456+I2456+J2456+L2456+M2456+N2456)</f>
        <v>0</v>
      </c>
      <c r="K2457" s="643">
        <f t="shared" si="77"/>
        <v>0.24310806665985071</v>
      </c>
      <c r="L2457" s="642">
        <f>L2456/(D2456+E2456+G2456+H2456+I2456+J2456+L2456+M2456+N2456)</f>
        <v>7.4663122380124736E-2</v>
      </c>
      <c r="M2457" s="642">
        <f>M2456/(D2456+E2456+G2456+H2456+I2456+J2456+L2456+M2456+N2456)</f>
        <v>0</v>
      </c>
      <c r="N2457" s="642">
        <f>N2456/(D2456+E2456+G2456+H2456+I2456+J2456+L2456+M2456+N2456)</f>
        <v>0.37300071567324405</v>
      </c>
      <c r="O2457" s="1515"/>
    </row>
    <row r="2458" spans="1:15" ht="12" customHeight="1">
      <c r="A2458" s="1520" t="s">
        <v>15245</v>
      </c>
      <c r="B2458" s="1509" t="s">
        <v>14937</v>
      </c>
      <c r="C2458" s="647" t="s">
        <v>6218</v>
      </c>
      <c r="D2458" s="648">
        <v>26730</v>
      </c>
      <c r="E2458" s="648">
        <v>21657</v>
      </c>
      <c r="F2458" s="649">
        <f t="shared" si="76"/>
        <v>48387</v>
      </c>
      <c r="G2458" s="648">
        <v>32876</v>
      </c>
      <c r="H2458" s="648">
        <v>41799</v>
      </c>
      <c r="I2458" s="648">
        <v>14301</v>
      </c>
      <c r="J2458" s="648">
        <v>1934</v>
      </c>
      <c r="K2458" s="649">
        <f t="shared" si="77"/>
        <v>90910</v>
      </c>
      <c r="L2458" s="648">
        <v>7305</v>
      </c>
      <c r="M2458" s="648">
        <v>2952</v>
      </c>
      <c r="N2458" s="648">
        <v>108002</v>
      </c>
      <c r="O2458" s="1510">
        <f>1-N2459</f>
        <v>0.58066595225892614</v>
      </c>
    </row>
    <row r="2459" spans="1:15" ht="12" customHeight="1">
      <c r="A2459" s="1521"/>
      <c r="B2459" s="1502"/>
      <c r="C2459" s="635" t="s">
        <v>6219</v>
      </c>
      <c r="D2459" s="636">
        <f>D2458/(D2458+E2458+G2458+H2458+I2458+J2458+L2458+M2458+N2458)</f>
        <v>0.10378325490378791</v>
      </c>
      <c r="E2459" s="636">
        <f>E2458/(D2458+E2458+G2458+H2458+I2458+J2458+L2458+M2458+N2458)</f>
        <v>8.4086567581419192E-2</v>
      </c>
      <c r="F2459" s="637">
        <f t="shared" si="76"/>
        <v>0.18786982248520712</v>
      </c>
      <c r="G2459" s="636">
        <f>G2458/(D2458+E2458+G2458+H2458+I2458+J2458+L2458+M2458+N2458)</f>
        <v>0.12764602649520881</v>
      </c>
      <c r="H2459" s="636">
        <f>H2458/(D2458+E2458+G2458+H2458+I2458+J2458+L2458+M2458+N2458)</f>
        <v>0.16229091925639472</v>
      </c>
      <c r="I2459" s="636">
        <f>I2458/(D2458+E2458+G2458+H2458+I2458+J2458+L2458+M2458+N2458)</f>
        <v>5.5525788566370034E-2</v>
      </c>
      <c r="J2459" s="636">
        <f>J2458/(D2458+E2458+G2458+H2458+I2458+J2458+L2458+M2458+N2458)</f>
        <v>7.5090465762785571E-3</v>
      </c>
      <c r="K2459" s="637">
        <f t="shared" si="77"/>
        <v>0.35297178089425213</v>
      </c>
      <c r="L2459" s="636">
        <f>L2458/(D2458+E2458+G2458+H2458+I2458+J2458+L2458+M2458+N2458)</f>
        <v>2.8362763826119367E-2</v>
      </c>
      <c r="M2459" s="636">
        <f>M2458/(D2458+E2458+G2458+H2458+I2458+J2458+L2458+M2458+N2458)</f>
        <v>1.1461585053347621E-2</v>
      </c>
      <c r="N2459" s="636">
        <f>N2458/(D2458+E2458+G2458+H2458+I2458+J2458+L2458+M2458+N2458)</f>
        <v>0.4193340477410738</v>
      </c>
      <c r="O2459" s="1503"/>
    </row>
    <row r="2460" spans="1:15" ht="12" customHeight="1">
      <c r="A2460" s="1521"/>
      <c r="B2460" s="1502" t="s">
        <v>14938</v>
      </c>
      <c r="C2460" s="638" t="s">
        <v>6218</v>
      </c>
      <c r="D2460" s="639">
        <v>49842</v>
      </c>
      <c r="E2460" s="639">
        <v>12211</v>
      </c>
      <c r="F2460" s="640">
        <f t="shared" si="76"/>
        <v>62053</v>
      </c>
      <c r="G2460" s="639">
        <v>39250</v>
      </c>
      <c r="H2460" s="639">
        <v>32885</v>
      </c>
      <c r="I2460" s="639">
        <v>7101</v>
      </c>
      <c r="J2460" s="639"/>
      <c r="K2460" s="640">
        <f t="shared" si="77"/>
        <v>79236</v>
      </c>
      <c r="L2460" s="639">
        <v>9998</v>
      </c>
      <c r="M2460" s="639"/>
      <c r="N2460" s="639">
        <v>100295</v>
      </c>
      <c r="O2460" s="1503">
        <f>1-N2461</f>
        <v>0.60134270337305529</v>
      </c>
    </row>
    <row r="2461" spans="1:15" ht="12" customHeight="1">
      <c r="A2461" s="1521"/>
      <c r="B2461" s="1502"/>
      <c r="C2461" s="635" t="s">
        <v>6219</v>
      </c>
      <c r="D2461" s="636">
        <f>D2460/(D2460+E2460+G2460+H2460+I2460+J2460+L2460+M2460+N2460)</f>
        <v>0.19811433250391522</v>
      </c>
      <c r="E2461" s="636">
        <f>E2460/(D2460+E2460+G2460+H2460+I2460+J2460+L2460+M2460+N2460)</f>
        <v>4.8536858757780764E-2</v>
      </c>
      <c r="F2461" s="637">
        <f t="shared" si="76"/>
        <v>0.24665119126169599</v>
      </c>
      <c r="G2461" s="636">
        <f>G2460/(D2460+E2460+G2460+H2460+I2460+J2460+L2460+M2460+N2460)</f>
        <v>0.15601275130971215</v>
      </c>
      <c r="H2461" s="636">
        <f>H2460/(D2460+E2460+G2460+H2460+I2460+J2460+L2460+M2460+N2460)</f>
        <v>0.13071284909095246</v>
      </c>
      <c r="I2461" s="636">
        <f>I2460/(D2460+E2460+G2460+H2460+I2460+J2460+L2460+M2460+N2460)</f>
        <v>2.8225389733764737E-2</v>
      </c>
      <c r="J2461" s="636">
        <f>J2460/(D2460+E2460+G2460+H2460+I2460+J2460+L2460+M2460+N2460)</f>
        <v>0</v>
      </c>
      <c r="K2461" s="637">
        <f t="shared" si="77"/>
        <v>0.3149509901344294</v>
      </c>
      <c r="L2461" s="636">
        <f>L2460/(D2460+E2460+G2460+H2460+I2460+J2460+L2460+M2460+N2460)</f>
        <v>3.9740521976929989E-2</v>
      </c>
      <c r="M2461" s="636">
        <f>M2460/(D2460+E2460+G2460+H2460+I2460+J2460+L2460+M2460+N2460)</f>
        <v>0</v>
      </c>
      <c r="N2461" s="636">
        <f>N2460/(D2460+E2460+G2460+H2460+I2460+J2460+L2460+M2460+N2460)</f>
        <v>0.39865729662694471</v>
      </c>
      <c r="O2461" s="1503"/>
    </row>
    <row r="2462" spans="1:15" ht="12" customHeight="1">
      <c r="A2462" s="1521"/>
      <c r="B2462" s="1502" t="s">
        <v>14939</v>
      </c>
      <c r="C2462" s="638" t="s">
        <v>6218</v>
      </c>
      <c r="D2462" s="639">
        <v>31388</v>
      </c>
      <c r="E2462" s="639">
        <v>18167</v>
      </c>
      <c r="F2462" s="640">
        <f t="shared" si="76"/>
        <v>49555</v>
      </c>
      <c r="G2462" s="639">
        <v>47725</v>
      </c>
      <c r="H2462" s="639">
        <v>16949</v>
      </c>
      <c r="I2462" s="639"/>
      <c r="J2462" s="639"/>
      <c r="K2462" s="640">
        <f t="shared" si="77"/>
        <v>64674</v>
      </c>
      <c r="L2462" s="639">
        <v>7989</v>
      </c>
      <c r="M2462" s="639">
        <v>4618</v>
      </c>
      <c r="N2462" s="639">
        <v>119592</v>
      </c>
      <c r="O2462" s="1503">
        <f>1-N2463</f>
        <v>0.5146980050968234</v>
      </c>
    </row>
    <row r="2463" spans="1:15" ht="12" customHeight="1">
      <c r="A2463" s="1521"/>
      <c r="B2463" s="1502"/>
      <c r="C2463" s="635" t="s">
        <v>6219</v>
      </c>
      <c r="D2463" s="636">
        <f>D2462/(D2462+E2462+G2462+H2462+I2462+J2462+L2462+M2462+N2462)</f>
        <v>0.12737188955800477</v>
      </c>
      <c r="E2463" s="636">
        <f>E2462/(D2462+E2462+G2462+H2462+I2462+J2462+L2462+M2462+N2462)</f>
        <v>7.3721330368302307E-2</v>
      </c>
      <c r="F2463" s="637">
        <f t="shared" si="76"/>
        <v>0.20109321992630708</v>
      </c>
      <c r="G2463" s="636">
        <f>G2462/(D2462+E2462+G2462+H2462+I2462+J2462+L2462+M2462+N2462)</f>
        <v>0.19366711574983361</v>
      </c>
      <c r="H2463" s="636">
        <f>H2462/(D2462+E2462+G2462+H2462+I2462+J2462+L2462+M2462+N2462)</f>
        <v>6.8778710211501934E-2</v>
      </c>
      <c r="I2463" s="636">
        <f>I2462/(D2462+E2462+G2462+H2462+I2462+J2462+L2462+M2462+N2462)</f>
        <v>0</v>
      </c>
      <c r="J2463" s="636">
        <f>J2462/(D2462+E2462+G2462+H2462+I2462+J2462+L2462+M2462+N2462)</f>
        <v>0</v>
      </c>
      <c r="K2463" s="637">
        <f t="shared" si="77"/>
        <v>0.26244582596133553</v>
      </c>
      <c r="L2463" s="636">
        <f>L2462/(D2462+E2462+G2462+H2462+I2462+J2462+L2462+M2462+N2462)</f>
        <v>3.2419205609752137E-2</v>
      </c>
      <c r="M2463" s="636">
        <f>M2462/(D2462+E2462+G2462+H2462+I2462+J2462+L2462+M2462+N2462)</f>
        <v>1.8739753599428637E-2</v>
      </c>
      <c r="N2463" s="636">
        <f>N2462/(D2462+E2462+G2462+H2462+I2462+J2462+L2462+M2462+N2462)</f>
        <v>0.4853019949031766</v>
      </c>
      <c r="O2463" s="1503"/>
    </row>
    <row r="2464" spans="1:15" ht="12" customHeight="1">
      <c r="A2464" s="1521"/>
      <c r="B2464" s="1502" t="s">
        <v>14940</v>
      </c>
      <c r="C2464" s="638" t="s">
        <v>6218</v>
      </c>
      <c r="D2464" s="639">
        <v>39808</v>
      </c>
      <c r="E2464" s="639">
        <v>13298</v>
      </c>
      <c r="F2464" s="640">
        <f t="shared" si="76"/>
        <v>53106</v>
      </c>
      <c r="G2464" s="639">
        <v>39987</v>
      </c>
      <c r="H2464" s="639">
        <v>27248</v>
      </c>
      <c r="I2464" s="639"/>
      <c r="J2464" s="639"/>
      <c r="K2464" s="640">
        <f t="shared" si="77"/>
        <v>67235</v>
      </c>
      <c r="L2464" s="639">
        <v>9479</v>
      </c>
      <c r="M2464" s="639"/>
      <c r="N2464" s="639">
        <v>115851</v>
      </c>
      <c r="O2464" s="1503">
        <f>1-N2465</f>
        <v>0.52843029905849692</v>
      </c>
    </row>
    <row r="2465" spans="1:15" ht="12" customHeight="1" thickBot="1">
      <c r="A2465" s="1522"/>
      <c r="B2465" s="1514"/>
      <c r="C2465" s="641" t="s">
        <v>6219</v>
      </c>
      <c r="D2465" s="642">
        <f>D2464/(D2464+E2464+G2464+H2464+I2464+J2464+L2464+M2464+N2464)</f>
        <v>0.16203784736497184</v>
      </c>
      <c r="E2465" s="642">
        <f>E2464/(D2464+E2464+G2464+H2464+I2464+J2464+L2464+M2464+N2464)</f>
        <v>5.4129303010937393E-2</v>
      </c>
      <c r="F2465" s="643">
        <f t="shared" si="76"/>
        <v>0.21616715037590922</v>
      </c>
      <c r="G2465" s="642">
        <f>G2464/(D2464+E2464+G2464+H2464+I2464+J2464+L2464+M2464+N2464)</f>
        <v>0.1627664640922209</v>
      </c>
      <c r="H2465" s="642">
        <f>H2464/(D2464+E2464+G2464+H2464+I2464+J2464+L2464+M2464+N2464)</f>
        <v>0.11091256192224561</v>
      </c>
      <c r="I2465" s="642">
        <f>I2464/(D2464+E2464+G2464+H2464+I2464+J2464+L2464+M2464+N2464)</f>
        <v>0</v>
      </c>
      <c r="J2465" s="642">
        <f>J2464/(D2464+E2464+G2464+H2464+I2464+J2464+L2464+M2464+N2464)</f>
        <v>0</v>
      </c>
      <c r="K2465" s="643">
        <f t="shared" si="77"/>
        <v>0.27367902601446648</v>
      </c>
      <c r="L2465" s="642">
        <f>L2464/(D2464+E2464+G2464+H2464+I2464+J2464+L2464+M2464+N2464)</f>
        <v>3.8584122668121189E-2</v>
      </c>
      <c r="M2465" s="642">
        <f>M2464/(D2464+E2464+G2464+H2464+I2464+J2464+L2464+M2464+N2464)</f>
        <v>0</v>
      </c>
      <c r="N2465" s="642">
        <f>N2464/(D2464+E2464+G2464+H2464+I2464+J2464+L2464+M2464+N2464)</f>
        <v>0.47156970094150308</v>
      </c>
      <c r="O2465" s="1515"/>
    </row>
    <row r="2466" spans="1:15" ht="12" customHeight="1">
      <c r="A2466" s="1516" t="s">
        <v>15246</v>
      </c>
      <c r="B2466" s="1509" t="s">
        <v>14937</v>
      </c>
      <c r="C2466" s="647" t="s">
        <v>6218</v>
      </c>
      <c r="D2466" s="648">
        <v>40361</v>
      </c>
      <c r="E2466" s="648">
        <v>23597</v>
      </c>
      <c r="F2466" s="649">
        <f t="shared" si="76"/>
        <v>63958</v>
      </c>
      <c r="G2466" s="648">
        <v>32175</v>
      </c>
      <c r="H2466" s="648">
        <v>37835</v>
      </c>
      <c r="I2466" s="648">
        <v>9561</v>
      </c>
      <c r="J2466" s="648">
        <v>1882</v>
      </c>
      <c r="K2466" s="649">
        <f t="shared" si="77"/>
        <v>81453</v>
      </c>
      <c r="L2466" s="648">
        <v>7603</v>
      </c>
      <c r="M2466" s="648">
        <v>3296</v>
      </c>
      <c r="N2466" s="648">
        <v>129039</v>
      </c>
      <c r="O2466" s="1510">
        <f>1-N2467</f>
        <v>0.54778534356174369</v>
      </c>
    </row>
    <row r="2467" spans="1:15" ht="12" customHeight="1">
      <c r="A2467" s="1517"/>
      <c r="B2467" s="1502"/>
      <c r="C2467" s="635" t="s">
        <v>6219</v>
      </c>
      <c r="D2467" s="636">
        <f>D2466/(D2466+E2466+G2466+H2466+I2466+J2466+L2466+M2466+N2466)</f>
        <v>0.14144433658432307</v>
      </c>
      <c r="E2467" s="636">
        <f>E2466/(D2466+E2466+G2466+H2466+I2466+J2466+L2466+M2466+N2466)</f>
        <v>8.2695225846244419E-2</v>
      </c>
      <c r="F2467" s="637">
        <f t="shared" si="76"/>
        <v>0.22413956243056748</v>
      </c>
      <c r="G2467" s="636">
        <f>G2466/(D2466+E2466+G2466+H2466+I2466+J2466+L2466+M2466+N2466)</f>
        <v>0.11275665938902887</v>
      </c>
      <c r="H2467" s="636">
        <f>H2466/(D2466+E2466+G2466+H2466+I2466+J2466+L2466+M2466+N2466)</f>
        <v>0.13259201889615874</v>
      </c>
      <c r="I2467" s="636">
        <f>I2466/(D2466+E2466+G2466+H2466+I2466+J2466+L2466+M2466+N2466)</f>
        <v>3.350633785294499E-2</v>
      </c>
      <c r="J2467" s="636">
        <f>J2466/(D2466+E2466+G2466+H2466+I2466+J2466+L2466+M2466+N2466)</f>
        <v>6.5954322601445951E-3</v>
      </c>
      <c r="K2467" s="637">
        <f t="shared" si="77"/>
        <v>0.28545044839827716</v>
      </c>
      <c r="L2467" s="636">
        <f>L2466/(D2466+E2466+G2466+H2466+I2466+J2466+L2466+M2466+N2466)</f>
        <v>2.664456507645024E-2</v>
      </c>
      <c r="M2467" s="636">
        <f>M2466/(D2466+E2466+G2466+H2466+I2466+J2466+L2466+M2466+N2466)</f>
        <v>1.155076765644877E-2</v>
      </c>
      <c r="N2467" s="636">
        <f>N2466/(D2466+E2466+G2466+H2466+I2466+J2466+L2466+M2466+N2466)</f>
        <v>0.45221465643825631</v>
      </c>
      <c r="O2467" s="1503"/>
    </row>
    <row r="2468" spans="1:15" ht="12" customHeight="1">
      <c r="A2468" s="1517"/>
      <c r="B2468" s="1502" t="s">
        <v>14938</v>
      </c>
      <c r="C2468" s="638" t="s">
        <v>6218</v>
      </c>
      <c r="D2468" s="639">
        <v>58947</v>
      </c>
      <c r="E2468" s="639">
        <v>13692</v>
      </c>
      <c r="F2468" s="640">
        <f t="shared" si="76"/>
        <v>72639</v>
      </c>
      <c r="G2468" s="639">
        <v>43866</v>
      </c>
      <c r="H2468" s="639">
        <v>31831</v>
      </c>
      <c r="I2468" s="639">
        <v>6475</v>
      </c>
      <c r="J2468" s="639"/>
      <c r="K2468" s="640">
        <f t="shared" si="77"/>
        <v>82172</v>
      </c>
      <c r="L2468" s="639">
        <v>9978</v>
      </c>
      <c r="M2468" s="639"/>
      <c r="N2468" s="639">
        <v>115772</v>
      </c>
      <c r="O2468" s="1503">
        <f>1-N2469</f>
        <v>0.58735533449053867</v>
      </c>
    </row>
    <row r="2469" spans="1:15" ht="12" customHeight="1">
      <c r="A2469" s="1517"/>
      <c r="B2469" s="1502"/>
      <c r="C2469" s="635" t="s">
        <v>6219</v>
      </c>
      <c r="D2469" s="636">
        <f>D2468/(D2468+E2468+G2468+H2468+I2468+J2468+L2468+M2468+N2468)</f>
        <v>0.21010404154533238</v>
      </c>
      <c r="E2469" s="636">
        <f>E2468/(D2468+E2468+G2468+H2468+I2468+J2468+L2468+M2468+N2468)</f>
        <v>4.8802221263824982E-2</v>
      </c>
      <c r="F2469" s="637">
        <f t="shared" si="76"/>
        <v>0.25890626280915735</v>
      </c>
      <c r="G2469" s="636">
        <f>G2468/(D2468+E2468+G2468+H2468+I2468+J2468+L2468+M2468+N2468)</f>
        <v>0.15635102526723244</v>
      </c>
      <c r="H2469" s="636">
        <f>H2468/(D2468+E2468+G2468+H2468+I2468+J2468+L2468+M2468+N2468)</f>
        <v>0.11345482800531792</v>
      </c>
      <c r="I2469" s="636">
        <f>I2468/(D2468+E2468+G2468+H2468+I2468+J2468+L2468+M2468+N2468)</f>
        <v>2.3078760055745454E-2</v>
      </c>
      <c r="J2469" s="636">
        <f>J2468/(D2468+E2468+G2468+H2468+I2468+J2468+L2468+M2468+N2468)</f>
        <v>0</v>
      </c>
      <c r="K2469" s="637">
        <f t="shared" si="77"/>
        <v>0.2928846133282958</v>
      </c>
      <c r="L2469" s="636">
        <f>L2468/(D2468+E2468+G2468+H2468+I2468+J2468+L2468+M2468+N2468)</f>
        <v>3.5564458353085422E-2</v>
      </c>
      <c r="M2469" s="636">
        <f>M2468/(D2468+E2468+G2468+H2468+I2468+J2468+L2468+M2468+N2468)</f>
        <v>0</v>
      </c>
      <c r="N2469" s="636">
        <f>N2468/(D2468+E2468+G2468+H2468+I2468+J2468+L2468+M2468+N2468)</f>
        <v>0.41264466550946138</v>
      </c>
      <c r="O2469" s="1503"/>
    </row>
    <row r="2470" spans="1:15" ht="12" customHeight="1">
      <c r="A2470" s="1517"/>
      <c r="B2470" s="1502" t="s">
        <v>14939</v>
      </c>
      <c r="C2470" s="638" t="s">
        <v>6218</v>
      </c>
      <c r="D2470" s="639">
        <v>42035</v>
      </c>
      <c r="E2470" s="639">
        <v>20530</v>
      </c>
      <c r="F2470" s="640">
        <f t="shared" si="76"/>
        <v>62565</v>
      </c>
      <c r="G2470" s="639">
        <v>45997</v>
      </c>
      <c r="H2470" s="639">
        <v>14852</v>
      </c>
      <c r="I2470" s="639"/>
      <c r="J2470" s="639"/>
      <c r="K2470" s="640">
        <f t="shared" si="77"/>
        <v>60849</v>
      </c>
      <c r="L2470" s="639">
        <v>9097</v>
      </c>
      <c r="M2470" s="639">
        <v>4913</v>
      </c>
      <c r="N2470" s="639">
        <v>136689</v>
      </c>
      <c r="O2470" s="1503">
        <f>1-N2471</f>
        <v>0.50134068796445264</v>
      </c>
    </row>
    <row r="2471" spans="1:15" ht="12" customHeight="1">
      <c r="A2471" s="1517"/>
      <c r="B2471" s="1502"/>
      <c r="C2471" s="635" t="s">
        <v>6219</v>
      </c>
      <c r="D2471" s="636">
        <f>D2470/(D2470+E2470+G2470+H2470+I2470+J2470+L2470+M2470+N2470)</f>
        <v>0.15334916621977068</v>
      </c>
      <c r="E2471" s="636">
        <f>E2470/(D2470+E2470+G2470+H2470+I2470+J2470+L2470+M2470+N2470)</f>
        <v>7.4896119483570639E-2</v>
      </c>
      <c r="F2471" s="637">
        <f t="shared" si="76"/>
        <v>0.22824528570334132</v>
      </c>
      <c r="G2471" s="636">
        <f>G2470/(D2470+E2470+G2470+H2470+I2470+J2470+L2470+M2470+N2470)</f>
        <v>0.16780305932225031</v>
      </c>
      <c r="H2471" s="636">
        <f>H2470/(D2470+E2470+G2470+H2470+I2470+J2470+L2470+M2470+N2470)</f>
        <v>5.4182034416463284E-2</v>
      </c>
      <c r="I2471" s="636">
        <f>I2470/(D2470+E2470+G2470+H2470+I2470+J2470+L2470+M2470+N2470)</f>
        <v>0</v>
      </c>
      <c r="J2471" s="636">
        <f>J2470/(D2470+E2470+G2470+H2470+I2470+J2470+L2470+M2470+N2470)</f>
        <v>0</v>
      </c>
      <c r="K2471" s="637">
        <f t="shared" si="77"/>
        <v>0.22198509373871361</v>
      </c>
      <c r="L2471" s="636">
        <f>L2470/(D2470+E2470+G2470+H2470+I2470+J2470+L2470+M2470+N2470)</f>
        <v>3.3187043299661087E-2</v>
      </c>
      <c r="M2471" s="636">
        <f>M2470/(D2470+E2470+G2470+H2470+I2470+J2470+L2470+M2470+N2470)</f>
        <v>1.7923265222736608E-2</v>
      </c>
      <c r="N2471" s="636">
        <f>N2470/(D2470+E2470+G2470+H2470+I2470+J2470+L2470+M2470+N2470)</f>
        <v>0.49865931203554736</v>
      </c>
      <c r="O2471" s="1503"/>
    </row>
    <row r="2472" spans="1:15" ht="12" customHeight="1">
      <c r="A2472" s="1517"/>
      <c r="B2472" s="1502" t="s">
        <v>14940</v>
      </c>
      <c r="C2472" s="638" t="s">
        <v>6218</v>
      </c>
      <c r="D2472" s="639">
        <v>60808</v>
      </c>
      <c r="E2472" s="639">
        <v>16058</v>
      </c>
      <c r="F2472" s="640">
        <f t="shared" si="76"/>
        <v>76866</v>
      </c>
      <c r="G2472" s="639">
        <v>38381</v>
      </c>
      <c r="H2472" s="639">
        <v>29117</v>
      </c>
      <c r="I2472" s="639"/>
      <c r="J2472" s="639"/>
      <c r="K2472" s="640">
        <f t="shared" si="77"/>
        <v>67498</v>
      </c>
      <c r="L2472" s="639">
        <v>10495</v>
      </c>
      <c r="M2472" s="639"/>
      <c r="N2472" s="639">
        <v>118764</v>
      </c>
      <c r="O2472" s="1503">
        <f>1-N2473</f>
        <v>0.56595754011906896</v>
      </c>
    </row>
    <row r="2473" spans="1:15" ht="12" customHeight="1" thickBot="1">
      <c r="A2473" s="1519"/>
      <c r="B2473" s="1514"/>
      <c r="C2473" s="641" t="s">
        <v>6219</v>
      </c>
      <c r="D2473" s="642">
        <f>D2472/(D2472+E2472+G2472+H2472+I2472+J2472+L2472+M2472+N2472)</f>
        <v>0.2222327801390965</v>
      </c>
      <c r="E2473" s="642">
        <f>E2472/(D2472+E2472+G2472+H2472+I2472+J2472+L2472+M2472+N2472)</f>
        <v>5.8686587019366063E-2</v>
      </c>
      <c r="F2473" s="643">
        <f t="shared" si="76"/>
        <v>0.28091936715846255</v>
      </c>
      <c r="G2473" s="642">
        <f>G2472/(D2472+E2472+G2472+H2472+I2472+J2472+L2472+M2472+N2472)</f>
        <v>0.14026964107549439</v>
      </c>
      <c r="H2473" s="642">
        <f>H2472/(D2472+E2472+G2472+H2472+I2472+J2472+L2472+M2472+N2472)</f>
        <v>0.10641283810206013</v>
      </c>
      <c r="I2473" s="642">
        <f>I2472/(D2472+E2472+G2472+H2472+I2472+J2472+L2472+M2472+N2472)</f>
        <v>0</v>
      </c>
      <c r="J2473" s="642">
        <f>J2472/(D2472+E2472+G2472+H2472+I2472+J2472+L2472+M2472+N2472)</f>
        <v>0</v>
      </c>
      <c r="K2473" s="643">
        <f t="shared" si="77"/>
        <v>0.24668247917755454</v>
      </c>
      <c r="L2473" s="642">
        <f>L2472/(D2472+E2472+G2472+H2472+I2472+J2472+L2472+M2472+N2472)</f>
        <v>3.8355693783051863E-2</v>
      </c>
      <c r="M2473" s="642">
        <f>M2472/(D2472+E2472+G2472+H2472+I2472+J2472+L2472+M2472+N2472)</f>
        <v>0</v>
      </c>
      <c r="N2473" s="642">
        <f>N2472/(D2472+E2472+G2472+H2472+I2472+J2472+L2472+M2472+N2472)</f>
        <v>0.43404245988093104</v>
      </c>
      <c r="O2473" s="1515"/>
    </row>
    <row r="2474" spans="1:15" ht="12" customHeight="1">
      <c r="A2474" s="1516" t="s">
        <v>15247</v>
      </c>
      <c r="B2474" s="1509" t="s">
        <v>14937</v>
      </c>
      <c r="C2474" s="647" t="s">
        <v>6218</v>
      </c>
      <c r="D2474" s="648">
        <v>32127</v>
      </c>
      <c r="E2474" s="648">
        <v>26027</v>
      </c>
      <c r="F2474" s="649">
        <f t="shared" si="76"/>
        <v>58154</v>
      </c>
      <c r="G2474" s="648">
        <v>30539</v>
      </c>
      <c r="H2474" s="648">
        <v>23985</v>
      </c>
      <c r="I2474" s="648">
        <v>12022</v>
      </c>
      <c r="J2474" s="648">
        <v>1837</v>
      </c>
      <c r="K2474" s="649">
        <f t="shared" si="77"/>
        <v>68383</v>
      </c>
      <c r="L2474" s="648">
        <v>11134</v>
      </c>
      <c r="M2474" s="648">
        <v>2980</v>
      </c>
      <c r="N2474" s="648">
        <v>114603</v>
      </c>
      <c r="O2474" s="1510">
        <f>1-N2475</f>
        <v>0.55102368621059805</v>
      </c>
    </row>
    <row r="2475" spans="1:15" ht="12" customHeight="1">
      <c r="A2475" s="1517"/>
      <c r="B2475" s="1502"/>
      <c r="C2475" s="635" t="s">
        <v>6219</v>
      </c>
      <c r="D2475" s="636">
        <f>D2474/(D2474+E2474+G2474+H2474+I2474+J2474+L2474+M2474+N2474)</f>
        <v>0.12586286600797636</v>
      </c>
      <c r="E2475" s="636">
        <f>E2474/(D2474+E2474+G2474+H2474+I2474+J2474+L2474+M2474+N2474)</f>
        <v>0.10196510142838114</v>
      </c>
      <c r="F2475" s="637">
        <f t="shared" si="76"/>
        <v>0.2278279674363575</v>
      </c>
      <c r="G2475" s="636">
        <f>G2474/(D2474+E2474+G2474+H2474+I2474+J2474+L2474+M2474+N2474)</f>
        <v>0.11964161188463256</v>
      </c>
      <c r="H2475" s="636">
        <f>H2474/(D2474+E2474+G2474+H2474+I2474+J2474+L2474+M2474+N2474)</f>
        <v>9.3965226793703532E-2</v>
      </c>
      <c r="I2475" s="636">
        <f>I2474/(D2474+E2474+G2474+H2474+I2474+J2474+L2474+M2474+N2474)</f>
        <v>4.7098184553425217E-2</v>
      </c>
      <c r="J2475" s="636">
        <f>J2474/(D2474+E2474+G2474+H2474+I2474+J2474+L2474+M2474+N2474)</f>
        <v>7.1967530381502349E-3</v>
      </c>
      <c r="K2475" s="637">
        <f t="shared" si="77"/>
        <v>0.26790177626991157</v>
      </c>
      <c r="L2475" s="636">
        <f>L2474/(D2474+E2474+G2474+H2474+I2474+J2474+L2474+M2474+N2474)</f>
        <v>4.3619296857248073E-2</v>
      </c>
      <c r="M2475" s="636">
        <f>M2474/(D2474+E2474+G2474+H2474+I2474+J2474+L2474+M2474+N2474)</f>
        <v>1.1674645647080947E-2</v>
      </c>
      <c r="N2475" s="636">
        <f>N2474/(D2474+E2474+G2474+H2474+I2474+J2474+L2474+M2474+N2474)</f>
        <v>0.44897631378940195</v>
      </c>
      <c r="O2475" s="1503"/>
    </row>
    <row r="2476" spans="1:15" ht="12" customHeight="1">
      <c r="A2476" s="1517"/>
      <c r="B2476" s="1502" t="s">
        <v>14938</v>
      </c>
      <c r="C2476" s="638" t="s">
        <v>6218</v>
      </c>
      <c r="D2476" s="639">
        <v>49405</v>
      </c>
      <c r="E2476" s="639">
        <v>12254</v>
      </c>
      <c r="F2476" s="640">
        <f t="shared" si="76"/>
        <v>61659</v>
      </c>
      <c r="G2476" s="639">
        <v>38139</v>
      </c>
      <c r="H2476" s="639">
        <v>14741</v>
      </c>
      <c r="I2476" s="639">
        <v>9605</v>
      </c>
      <c r="J2476" s="639"/>
      <c r="K2476" s="640">
        <f t="shared" si="77"/>
        <v>62485</v>
      </c>
      <c r="L2476" s="639">
        <v>13641</v>
      </c>
      <c r="M2476" s="639"/>
      <c r="N2476" s="639">
        <v>111554</v>
      </c>
      <c r="O2476" s="1503">
        <f>1-N2477</f>
        <v>0.55260107724824437</v>
      </c>
    </row>
    <row r="2477" spans="1:15" ht="12" customHeight="1">
      <c r="A2477" s="1517"/>
      <c r="B2477" s="1502"/>
      <c r="C2477" s="635" t="s">
        <v>6219</v>
      </c>
      <c r="D2477" s="636">
        <f>D2476/(D2476+E2476+G2476+H2476+I2476+J2476+L2476+M2476+N2476)</f>
        <v>0.19814389245164213</v>
      </c>
      <c r="E2477" s="636">
        <f>E2476/(D2476+E2476+G2476+H2476+I2476+J2476+L2476+M2476+N2476)</f>
        <v>4.9145941870305083E-2</v>
      </c>
      <c r="F2477" s="637">
        <f t="shared" si="76"/>
        <v>0.24728983432194721</v>
      </c>
      <c r="G2477" s="636">
        <f>G2476/(D2476+E2476+G2476+H2476+I2476+J2476+L2476+M2476+N2476)</f>
        <v>0.15296042736996618</v>
      </c>
      <c r="H2477" s="636">
        <f>H2476/(D2476+E2476+G2476+H2476+I2476+J2476+L2476+M2476+N2476)</f>
        <v>5.9120314110508186E-2</v>
      </c>
      <c r="I2477" s="636">
        <f>I2476/(D2476+E2476+G2476+H2476+I2476+J2476+L2476+M2476+N2476)</f>
        <v>3.8521851776095996E-2</v>
      </c>
      <c r="J2477" s="636">
        <f>J2476/(D2476+E2476+G2476+H2476+I2476+J2476+L2476+M2476+N2476)</f>
        <v>0</v>
      </c>
      <c r="K2477" s="637">
        <f t="shared" si="77"/>
        <v>0.25060259325657036</v>
      </c>
      <c r="L2477" s="636">
        <f>L2476/(D2476+E2476+G2476+H2476+I2476+J2476+L2476+M2476+N2476)</f>
        <v>5.4708649669726758E-2</v>
      </c>
      <c r="M2477" s="636">
        <f>M2476/(D2476+E2476+G2476+H2476+I2476+J2476+L2476+M2476+N2476)</f>
        <v>0</v>
      </c>
      <c r="N2477" s="636">
        <f>N2476/(D2476+E2476+G2476+H2476+I2476+J2476+L2476+M2476+N2476)</f>
        <v>0.44739892275175563</v>
      </c>
      <c r="O2477" s="1503"/>
    </row>
    <row r="2478" spans="1:15" ht="12" customHeight="1">
      <c r="A2478" s="1517"/>
      <c r="B2478" s="1502" t="s">
        <v>14939</v>
      </c>
      <c r="C2478" s="638" t="s">
        <v>6218</v>
      </c>
      <c r="D2478" s="639">
        <v>37271</v>
      </c>
      <c r="E2478" s="639">
        <v>19798</v>
      </c>
      <c r="F2478" s="640">
        <f t="shared" si="76"/>
        <v>57069</v>
      </c>
      <c r="G2478" s="639">
        <v>38098</v>
      </c>
      <c r="H2478" s="639">
        <v>10100</v>
      </c>
      <c r="I2478" s="639"/>
      <c r="J2478" s="639"/>
      <c r="K2478" s="640">
        <f t="shared" si="77"/>
        <v>48198</v>
      </c>
      <c r="L2478" s="639">
        <v>10422</v>
      </c>
      <c r="M2478" s="639">
        <v>3534</v>
      </c>
      <c r="N2478" s="639">
        <v>125084</v>
      </c>
      <c r="O2478" s="1503">
        <f>1-N2479</f>
        <v>0.48800484636134045</v>
      </c>
    </row>
    <row r="2479" spans="1:15" ht="12" customHeight="1">
      <c r="A2479" s="1517"/>
      <c r="B2479" s="1502"/>
      <c r="C2479" s="635" t="s">
        <v>6219</v>
      </c>
      <c r="D2479" s="636">
        <f>D2478/(D2478+E2478+G2478+H2478+I2478+J2478+L2478+M2478+N2478)</f>
        <v>0.15255805195921526</v>
      </c>
      <c r="E2479" s="636">
        <f>E2478/(D2478+E2478+G2478+H2478+I2478+J2478+L2478+M2478+N2478)</f>
        <v>8.103738329233301E-2</v>
      </c>
      <c r="F2479" s="637">
        <f t="shared" si="76"/>
        <v>0.23359543525154827</v>
      </c>
      <c r="G2479" s="636">
        <f>G2478/(D2478+E2478+G2478+H2478+I2478+J2478+L2478+M2478+N2478)</f>
        <v>0.15594313711846161</v>
      </c>
      <c r="H2479" s="636">
        <f>H2478/(D2478+E2478+G2478+H2478+I2478+J2478+L2478+M2478+N2478)</f>
        <v>4.1341426975076444E-2</v>
      </c>
      <c r="I2479" s="636">
        <f>I2478/(D2478+E2478+G2478+H2478+I2478+J2478+L2478+M2478+N2478)</f>
        <v>0</v>
      </c>
      <c r="J2479" s="636">
        <f>J2478/(D2478+E2478+G2478+H2478+I2478+J2478+L2478+M2478+N2478)</f>
        <v>0</v>
      </c>
      <c r="K2479" s="637">
        <f t="shared" si="77"/>
        <v>0.19728456409353806</v>
      </c>
      <c r="L2479" s="636">
        <f>L2478/(D2478+E2478+G2478+H2478+I2478+J2478+L2478+M2478+N2478)</f>
        <v>4.2659440785568978E-2</v>
      </c>
      <c r="M2479" s="636">
        <f>M2478/(D2478+E2478+G2478+H2478+I2478+J2478+L2478+M2478+N2478)</f>
        <v>1.4465406230685162E-2</v>
      </c>
      <c r="N2479" s="636">
        <f>N2478/(D2478+E2478+G2478+H2478+I2478+J2478+L2478+M2478+N2478)</f>
        <v>0.51199515363865955</v>
      </c>
      <c r="O2479" s="1503"/>
    </row>
    <row r="2480" spans="1:15" ht="12" customHeight="1">
      <c r="A2480" s="1517"/>
      <c r="B2480" s="1502" t="s">
        <v>14940</v>
      </c>
      <c r="C2480" s="638" t="s">
        <v>6218</v>
      </c>
      <c r="D2480" s="639">
        <v>47413</v>
      </c>
      <c r="E2480" s="639">
        <v>13532</v>
      </c>
      <c r="F2480" s="640">
        <f t="shared" si="76"/>
        <v>60945</v>
      </c>
      <c r="G2480" s="639">
        <v>36454</v>
      </c>
      <c r="H2480" s="639">
        <v>11137</v>
      </c>
      <c r="I2480" s="639"/>
      <c r="J2480" s="639"/>
      <c r="K2480" s="640">
        <f t="shared" si="77"/>
        <v>47591</v>
      </c>
      <c r="L2480" s="639">
        <v>13624</v>
      </c>
      <c r="M2480" s="639"/>
      <c r="N2480" s="639">
        <v>121154</v>
      </c>
      <c r="O2480" s="1503">
        <f>1-N2481</f>
        <v>0.50206728753791396</v>
      </c>
    </row>
    <row r="2481" spans="1:15" ht="12" customHeight="1" thickBot="1">
      <c r="A2481" s="1518"/>
      <c r="B2481" s="1504"/>
      <c r="C2481" s="644" t="s">
        <v>6219</v>
      </c>
      <c r="D2481" s="645">
        <f>D2480/(D2480+E2480+G2480+H2480+I2480+J2480+L2480+M2480+N2480)</f>
        <v>0.19486342750519905</v>
      </c>
      <c r="E2481" s="645">
        <f>E2480/(D2480+E2480+G2480+H2480+I2480+J2480+L2480+M2480+N2480)</f>
        <v>5.5615377660142858E-2</v>
      </c>
      <c r="F2481" s="646">
        <f t="shared" si="76"/>
        <v>0.25047880516534193</v>
      </c>
      <c r="G2481" s="645">
        <f>G2480/(D2480+E2480+G2480+H2480+I2480+J2480+L2480+M2480+N2480)</f>
        <v>0.14982286263840142</v>
      </c>
      <c r="H2481" s="645">
        <f>H2480/(D2480+E2480+G2480+H2480+I2480+J2480+L2480+M2480+N2480)</f>
        <v>4.5772129840453077E-2</v>
      </c>
      <c r="I2481" s="645">
        <f>I2480/(D2480+E2480+G2480+H2480+I2480+J2480+L2480+M2480+N2480)</f>
        <v>0</v>
      </c>
      <c r="J2481" s="645">
        <f>J2480/(D2480+E2480+G2480+H2480+I2480+J2480+L2480+M2480+N2480)</f>
        <v>0</v>
      </c>
      <c r="K2481" s="646">
        <f t="shared" si="77"/>
        <v>0.19559499247885448</v>
      </c>
      <c r="L2481" s="645">
        <f>L2480/(D2480+E2480+G2480+H2480+I2480+J2480+L2480+M2480+N2480)</f>
        <v>5.5993489893717587E-2</v>
      </c>
      <c r="M2481" s="645">
        <f>M2480/(D2480+E2480+G2480+H2480+I2480+J2480+L2480+M2480+N2480)</f>
        <v>0</v>
      </c>
      <c r="N2481" s="645">
        <f>N2480/(D2480+E2480+G2480+H2480+I2480+J2480+L2480+M2480+N2480)</f>
        <v>0.49793271246208604</v>
      </c>
      <c r="O2481" s="1505"/>
    </row>
    <row r="2482" spans="1:15" ht="12" customHeight="1" thickTop="1">
      <c r="A2482" s="1511" t="s">
        <v>15248</v>
      </c>
      <c r="B2482" s="1509" t="s">
        <v>14937</v>
      </c>
      <c r="C2482" s="647" t="s">
        <v>6218</v>
      </c>
      <c r="D2482" s="648">
        <f>D2178+D2186+D2194+D2202+D2210+D2218+D2226+D2234+D2242+D2250+D2258+D2266+D2274+D2282+D2290+D2298+D2306+D2314+D2322+D2330+D2338+D2346+D2354+D2362+D2370+D2378+D2386+D2394+D2402+D2410+D2418+D2426+D2434+D2442+D2450+D2458+D2466+D2474</f>
        <v>2044580</v>
      </c>
      <c r="E2482" s="648">
        <f>E2178+E2186+E2194+E2202+E2210+E2218+E2226+E2234+E2242+E2250+E2258+E2266+E2274+E2282+E2290+E2298+E2306+E2314+E2322+E2330+E2338+E2346+E2354+E2362+E2370+E2378+E2386+E2394+E2402+E2410+E2418+E2426+E2434+E2442+E2450+E2458+E2466+E2474</f>
        <v>1037864</v>
      </c>
      <c r="F2482" s="649">
        <f t="shared" si="76"/>
        <v>3082444</v>
      </c>
      <c r="G2482" s="648">
        <f>G2178+G2186+G2194+G2202+G2210+G2218+G2226+G2234+G2242+G2250+G2258+G2266+G2274+G2282+G2290+G2298+G2306+G2314+G2322+G2330+G2338+G2346+G2354+G2362+G2370+G2378+G2386+G2394+G2402+G2410+G2418+G2426+G2434+G2442+G2450+G2458+G2466+G2474</f>
        <v>2399915</v>
      </c>
      <c r="H2482" s="648">
        <f>H2178+H2186+H2194+H2202+H2210+H2218+H2226+H2234+H2242+H2250+H2258+H2266+H2274+H2282+H2290+H2298+H2306+H2314+H2322+H2330+H2338+H2346+H2354+H2362+H2370+H2378+H2386+H2394+H2402+H2410+H2418+H2426+H2434+H2442+H2450+H2458+H2466+H2474</f>
        <v>466382</v>
      </c>
      <c r="I2482" s="648">
        <f>I2178+I2186+I2194+I2202+I2210+I2218+I2226+I2234+I2242+I2250+I2258+I2266+I2274+I2282+I2290+I2298+I2306+I2314+I2322+I2330+I2338+I2346+I2354+I2362+I2370+I2378+I2386+I2394+I2402+I2410+I2418+I2426+I2434+I2442+I2450+I2458+I2466+I2474</f>
        <v>183772</v>
      </c>
      <c r="J2482" s="648">
        <f>J2178+J2186+J2194+J2202+J2210+J2218+J2226+J2234+J2242+J2250+J2258+J2266+J2274+J2282+J2290+J2298+J2306+J2314+J2322+J2330+J2338+J2346+J2354+J2362+J2370+J2378+J2386+J2394+J2402+J2410+J2418+J2426+J2434+J2442+J2450+J2458+J2466+J2474</f>
        <v>129145</v>
      </c>
      <c r="K2482" s="649">
        <f t="shared" si="77"/>
        <v>3179214</v>
      </c>
      <c r="L2482" s="648">
        <f>L2178+L2186+L2194+L2202+L2210+L2218+L2226+L2234+L2242+L2250+L2258+L2266+L2274+L2282+L2290+L2298+L2306+L2314+L2322+L2330+L2338+L2346+L2354+L2362+L2370+L2378+L2386+L2394+L2402+L2410+L2418+L2426+L2434+L2442+L2450+L2458+L2466+L2474</f>
        <v>350232</v>
      </c>
      <c r="M2482" s="648">
        <f>M2178+M2186+M2194+M2202+M2210+M2218+M2226+M2234+M2242+M2250+M2258+M2266+M2274+M2282+M2290+M2298+M2306+M2314+M2322+M2330+M2338+M2346+M2354+M2362+M2370+M2378+M2386+M2394+M2402+M2410+M2418+M2426+M2434+M2442+M2450+M2458+M2466+M2474</f>
        <v>121226</v>
      </c>
      <c r="N2482" s="648">
        <f>N2178+N2186+N2194+N2202+N2210+N2218+N2226+N2234+N2242+N2250+N2258+N2266+N2274+N2282+N2290+N2298+N2306+N2314+N2322+N2330+N2338+N2346+N2354+N2362+N2370+N2378+N2386+N2394+N2402+N2410+N2418+N2426+N2434+N2442+N2450+N2458+N2466+N2474</f>
        <v>5134133</v>
      </c>
      <c r="O2482" s="1510">
        <f>1-N2483</f>
        <v>0.56736957318414738</v>
      </c>
    </row>
    <row r="2483" spans="1:15" ht="12" customHeight="1">
      <c r="A2483" s="1512"/>
      <c r="B2483" s="1502"/>
      <c r="C2483" s="635" t="s">
        <v>6219</v>
      </c>
      <c r="D2483" s="650">
        <f>D2482/(D2482+E2482+G2482+H2482+I2482+J2482+L2482+M2482+N2482)</f>
        <v>0.1722876127399029</v>
      </c>
      <c r="E2483" s="650">
        <f>E2482/(D2482+E2482+G2482+H2482+I2482+J2482+L2482+M2482+N2482)</f>
        <v>8.7456157699227516E-2</v>
      </c>
      <c r="F2483" s="651">
        <f t="shared" si="76"/>
        <v>0.25974377043913044</v>
      </c>
      <c r="G2483" s="650">
        <f>G2482/(D2482+E2482+G2482+H2482+I2482+J2482+L2482+M2482+N2482)</f>
        <v>0.20223010404517508</v>
      </c>
      <c r="H2483" s="650">
        <f>H2482/(D2482+E2482+G2482+H2482+I2482+J2482+L2482+M2482+N2482)</f>
        <v>3.9299925366022066E-2</v>
      </c>
      <c r="I2483" s="650">
        <f>I2482/(D2482+E2482+G2482+H2482+I2482+J2482+L2482+M2482+N2482)</f>
        <v>1.5485644566824207E-2</v>
      </c>
      <c r="J2483" s="650">
        <f>J2482/(D2482+E2482+G2482+H2482+I2482+J2482+L2482+M2482+N2482)</f>
        <v>1.0882471582082756E-2</v>
      </c>
      <c r="K2483" s="651">
        <f t="shared" si="77"/>
        <v>0.26789814556010411</v>
      </c>
      <c r="L2483" s="650">
        <f>L2482/(D2482+E2482+G2482+H2482+I2482+J2482+L2482+M2482+N2482)</f>
        <v>2.9512484317131965E-2</v>
      </c>
      <c r="M2483" s="650">
        <f>M2482/(D2482+E2482+G2482+H2482+I2482+J2482+L2482+M2482+N2482)</f>
        <v>1.0215172867780899E-2</v>
      </c>
      <c r="N2483" s="650">
        <f>N2482/(D2482+E2482+G2482+H2482+I2482+J2482+L2482+M2482+N2482)</f>
        <v>0.43263042681585262</v>
      </c>
      <c r="O2483" s="1503"/>
    </row>
    <row r="2484" spans="1:15" ht="12" customHeight="1">
      <c r="A2484" s="1512"/>
      <c r="B2484" s="1502" t="s">
        <v>14938</v>
      </c>
      <c r="C2484" s="638" t="s">
        <v>6218</v>
      </c>
      <c r="D2484" s="648">
        <f>D2180+D2188+D2196+D2204+D2212+D2220+D2228+D2236+D2244+D2252+D2260+D2268+D2276+D2284+D2292+D2300+D2308+D2316+D2324+D2332+D2340+D2348+D2356+D2364+D2372+D2380+D2388+D2396+D2404+D2412+D2420+D2428+D2436+D2444+D2452+D2460+D2468+D2476</f>
        <v>2883048</v>
      </c>
      <c r="E2484" s="648">
        <f>E2180+E2188+E2196+E2204+E2212+E2220+E2228+E2236+E2244+E2252+E2260+E2268+E2276+E2284+E2292+E2300+E2308+E2316+E2324+E2332+E2340+E2348+E2356+E2364+E2372+E2380+E2388+E2396+E2404+E2412+E2420+E2428+E2436+E2444+E2452+E2460+E2468+E2476</f>
        <v>1240007</v>
      </c>
      <c r="F2484" s="649">
        <f t="shared" si="76"/>
        <v>4123055</v>
      </c>
      <c r="G2484" s="648">
        <f>G2180+G2188+G2196+G2204+G2212+G2220+G2228+G2236+G2244+G2252+G2260+G2268+G2276+G2284+G2292+G2300+G2308+G2316+G2324+G2332+G2340+G2348+G2356+G2364+G2372+G2380+G2388+G2396+G2404+G2412+G2420+G2428+G2436+G2444+G2452+G2460+G2468+G2476</f>
        <v>2287753</v>
      </c>
      <c r="H2484" s="648">
        <f>H2180+H2188+H2196+H2204+H2212+H2220+H2228+H2236+H2244+H2252+H2260+H2268+H2276+H2284+H2292+H2300+H2308+H2316+H2324+H2332+H2340+H2348+H2356+H2364+H2372+H2380+H2388+H2396+H2404+H2412+H2420+H2428+H2436+H2444+H2452+H2460+H2468+H2476</f>
        <v>607008</v>
      </c>
      <c r="I2484" s="648">
        <f>I2180+I2188+I2196+I2204+I2212+I2220+I2228+I2236+I2244+I2252+I2260+I2268+I2276+I2284+I2292+I2300+I2308+I2316+I2324+I2332+I2340+I2348+I2356+I2364+I2372+I2380+I2388+I2396+I2404+I2412+I2420+I2428+I2436+I2444+I2452+I2460+I2468+I2476</f>
        <v>307454</v>
      </c>
      <c r="J2484" s="648">
        <f>J2180+J2188+J2196+J2204+J2212+J2220+J2228+J2236+J2244+J2252+J2260+J2268+J2276+J2284+J2292+J2300+J2308+J2316+J2324+J2332+J2340+J2348+J2356+J2364+J2372+J2380+J2388+J2396+J2404+J2412+J2420+J2428+J2436+J2444+J2452+J2460+J2468+J2476</f>
        <v>0</v>
      </c>
      <c r="K2484" s="649">
        <f t="shared" si="77"/>
        <v>3202215</v>
      </c>
      <c r="L2484" s="648">
        <f>L2180+L2188+L2196+L2204+L2212+L2220+L2228+L2236+L2244+L2252+L2260+L2268+L2276+L2284+L2292+L2300+L2308+L2316+L2324+L2332+L2340+L2348+L2356+L2364+L2372+L2380+L2388+L2396+L2404+L2412+L2420+L2428+L2436+L2444+L2452+L2460+L2468+L2476</f>
        <v>451158</v>
      </c>
      <c r="M2484" s="648">
        <f>M2180+M2188+M2196+M2204+M2212+M2220+M2228+M2236+M2244+M2252+M2260+M2268+M2276+M2284+M2292+M2300+M2308+M2316+M2324+M2332+M2340+M2348+M2356+M2364+M2372+M2380+M2388+M2396+M2404+M2412+M2420+M2428+M2436+M2444+M2452+M2460+M2468+M2476</f>
        <v>0</v>
      </c>
      <c r="N2484" s="648">
        <f>N2180+N2188+N2196+N2204+N2212+N2220+N2228+N2236+N2244+N2252+N2260+N2268+N2276+N2284+N2292+N2300+N2308+N2316+N2324+N2332+N2340+N2348+N2356+N2364+N2372+N2380+N2388+N2396+N2404+N2412+N2420+N2428+N2436+N2444+N2452+N2460+N2468+N2476</f>
        <v>4039850</v>
      </c>
      <c r="O2484" s="1503">
        <f>1-N2485</f>
        <v>0.65811146284811506</v>
      </c>
    </row>
    <row r="2485" spans="1:15" ht="12" customHeight="1">
      <c r="A2485" s="1512"/>
      <c r="B2485" s="1502"/>
      <c r="C2485" s="635" t="s">
        <v>6219</v>
      </c>
      <c r="D2485" s="650">
        <f>D2484/(D2484+E2484+G2484+H2484+I2484+J2484+L2484+M2484+N2484)</f>
        <v>0.24398952021948028</v>
      </c>
      <c r="E2485" s="650">
        <f>E2484/(D2484+E2484+G2484+H2484+I2484+J2484+L2484+M2484+N2484)</f>
        <v>0.10494057435006184</v>
      </c>
      <c r="F2485" s="651">
        <f t="shared" si="76"/>
        <v>0.3489300945695421</v>
      </c>
      <c r="G2485" s="650">
        <f>G2484/(D2484+E2484+G2484+H2484+I2484+J2484+L2484+M2484+N2484)</f>
        <v>0.19361028912826864</v>
      </c>
      <c r="H2485" s="650">
        <f>H2484/(D2484+E2484+G2484+H2484+I2484+J2484+L2484+M2484+N2484)</f>
        <v>5.13704907755217E-2</v>
      </c>
      <c r="I2485" s="650">
        <f>I2484/(D2484+E2484+G2484+H2484+I2484+J2484+L2484+M2484+N2484)</f>
        <v>2.6019530007672466E-2</v>
      </c>
      <c r="J2485" s="650">
        <f>J2484/(D2484+E2484+G2484+H2484+I2484+J2484+L2484+M2484+N2484)</f>
        <v>0</v>
      </c>
      <c r="K2485" s="651">
        <f t="shared" si="77"/>
        <v>0.27100030991146279</v>
      </c>
      <c r="L2485" s="650">
        <f>L2484/(D2484+E2484+G2484+H2484+I2484+J2484+L2484+M2484+N2484)</f>
        <v>3.8181058367110186E-2</v>
      </c>
      <c r="M2485" s="650">
        <f>M2484/(D2484+E2484+G2484+H2484+I2484+J2484+L2484+M2484+N2484)</f>
        <v>0</v>
      </c>
      <c r="N2485" s="650">
        <f>N2484/(D2484+E2484+G2484+H2484+I2484+J2484+L2484+M2484+N2484)</f>
        <v>0.34188853715188489</v>
      </c>
      <c r="O2485" s="1503"/>
    </row>
    <row r="2486" spans="1:15" ht="12" customHeight="1">
      <c r="A2486" s="1512"/>
      <c r="B2486" s="1502" t="s">
        <v>14939</v>
      </c>
      <c r="C2486" s="638" t="s">
        <v>6218</v>
      </c>
      <c r="D2486" s="648">
        <f>D2182+D2190+D2198+D2206+D2214+D2222+D2230+D2238+D2246+D2254+D2262+D2270+D2278+D2286+D2294+D2302+D2310+D2318+D2326+D2334+D2342+D2350+D2358+D2366+D2374+D2382+D2390+D2398+D2406+D2414+D2422+D2430+D2438+D2446+D2454+D2462+D2470+D2478</f>
        <v>2216269</v>
      </c>
      <c r="E2486" s="648">
        <f>E2182+E2190+E2198+E2206+E2214+E2222+E2230+E2238+E2246+E2254+E2262+E2270+E2278+E2286+E2294+E2302+E2310+E2318+E2326+E2334+E2342+E2350+E2358+E2366+E2374+E2382+E2390+E2398+E2406+E2414+E2422+E2430+E2438+E2446+E2454+E2462+E2470+E2478</f>
        <v>1131009</v>
      </c>
      <c r="F2486" s="649">
        <f t="shared" si="76"/>
        <v>3347278</v>
      </c>
      <c r="G2486" s="648">
        <f>G2182+G2190+G2198+G2206+G2214+G2222+G2230+G2238+G2246+G2254+G2262+G2270+G2278+G2286+G2294+G2302+G2310+G2318+G2326+G2334+G2342+G2350+G2358+G2366+G2374+G2382+G2390+G2398+G2406+G2414+G2422+G2430+G2438+G2446+G2454+G2462+G2470+G2478</f>
        <v>2152794</v>
      </c>
      <c r="H2486" s="648">
        <f>H2182+H2190+H2198+H2206+H2214+H2222+H2230+H2238+H2246+H2254+H2262+H2270+H2278+H2286+H2294+H2302+H2310+H2318+H2326+H2334+H2342+H2350+H2358+H2366+H2374+H2382+H2390+H2398+H2406+H2414+H2422+H2430+H2438+H2446+H2454+H2462+H2470+H2478</f>
        <v>493956</v>
      </c>
      <c r="I2486" s="648">
        <f>I2182+I2190+I2198+I2206+I2214+I2222+I2230+I2238+I2246+I2254+I2262+I2270+I2278+I2286+I2294+I2302+I2310+I2318+I2326+I2334+I2342+I2350+I2358+I2366+I2374+I2382+I2390+I2398+I2406+I2414+I2422+I2430+I2438+I2446+I2454+I2462+I2470+I2478</f>
        <v>0</v>
      </c>
      <c r="J2486" s="648">
        <f>J2182+J2190+J2198+J2206+J2214+J2222+J2230+J2238+J2246+J2254+J2262+J2270+J2278+J2286+J2294+J2302+J2310+J2318+J2326+J2334+J2342+J2350+J2358+J2366+J2374+J2382+J2390+J2398+J2406+J2414+J2422+J2430+J2438+J2446+J2454+J2462+J2470+J2478</f>
        <v>0</v>
      </c>
      <c r="K2486" s="649">
        <f t="shared" si="77"/>
        <v>2646750</v>
      </c>
      <c r="L2486" s="648">
        <f>L2182+L2190+L2198+L2206+L2214+L2222+L2230+L2238+L2246+L2254+L2262+L2270+L2278+L2286+L2294+L2302+L2310+L2318+L2326+L2334+L2342+L2350+L2358+L2366+L2374+L2382+L2390+L2398+L2406+L2414+L2422+L2430+L2438+L2446+L2454+L2462+L2470+L2478</f>
        <v>380919</v>
      </c>
      <c r="M2486" s="648">
        <f>M2182+M2190+M2198+M2206+M2214+M2222+M2230+M2238+M2246+M2254+M2262+M2270+M2278+M2286+M2294+M2302+M2310+M2318+M2326+M2334+M2342+M2350+M2358+M2366+M2374+M2382+M2390+M2398+M2406+M2414+M2422+M2430+M2438+M2446+M2454+M2462+M2470+M2478</f>
        <v>207495</v>
      </c>
      <c r="N2486" s="648">
        <f>N2182+N2190+N2198+N2206+N2214+N2222+N2230+N2238+N2246+N2254+N2262+N2270+N2278+N2286+N2294+N2302+N2310+N2318+N2326+N2334+N2342+N2350+N2358+N2366+N2374+N2382+N2390+N2398+N2406+N2414+N2422+N2430+N2438+N2446+N2454+N2462+N2470+N2478</f>
        <v>5176193</v>
      </c>
      <c r="O2486" s="1503">
        <f>1-N2487</f>
        <v>0.55979643895741305</v>
      </c>
    </row>
    <row r="2487" spans="1:15" ht="12" customHeight="1">
      <c r="A2487" s="1512"/>
      <c r="B2487" s="1502"/>
      <c r="C2487" s="635" t="s">
        <v>6219</v>
      </c>
      <c r="D2487" s="650">
        <f>D2486/(D2486+E2486+G2486+H2486+I2486+J2486+L2486+M2486+N2486)</f>
        <v>0.18848012545673881</v>
      </c>
      <c r="E2487" s="650">
        <f>E2486/(D2486+E2486+G2486+H2486+I2486+J2486+L2486+M2486+N2486)</f>
        <v>9.6185399070555386E-2</v>
      </c>
      <c r="F2487" s="651">
        <f t="shared" si="76"/>
        <v>0.28466552452729421</v>
      </c>
      <c r="G2487" s="650">
        <f>G2486/(D2486+E2486+G2486+H2486+I2486+J2486+L2486+M2486+N2486)</f>
        <v>0.18308196487092251</v>
      </c>
      <c r="H2487" s="650">
        <f>H2486/(D2486+E2486+G2486+H2486+I2486+J2486+L2486+M2486+N2486)</f>
        <v>4.2007937145765645E-2</v>
      </c>
      <c r="I2487" s="650">
        <f>I2486/(D2486+E2486+G2486+H2486+I2486+J2486+L2486+M2486+N2486)</f>
        <v>0</v>
      </c>
      <c r="J2487" s="650">
        <f>J2486/(D2486+E2486+G2486+H2486+I2486+J2486+L2486+M2486+N2486)</f>
        <v>0</v>
      </c>
      <c r="K2487" s="651">
        <f t="shared" si="77"/>
        <v>0.22508990201668816</v>
      </c>
      <c r="L2487" s="650">
        <f>L2486/(D2486+E2486+G2486+H2486+I2486+J2486+L2486+M2486+N2486)</f>
        <v>3.239483154294695E-2</v>
      </c>
      <c r="M2487" s="650">
        <f>M2486/(D2486+E2486+G2486+H2486+I2486+J2486+L2486+M2486+N2486)</f>
        <v>1.7646180870483693E-2</v>
      </c>
      <c r="N2487" s="650">
        <f>N2486/(D2486+E2486+G2486+H2486+I2486+J2486+L2486+M2486+N2486)</f>
        <v>0.44020356104258701</v>
      </c>
      <c r="O2487" s="1503"/>
    </row>
    <row r="2488" spans="1:15" ht="12" customHeight="1">
      <c r="A2488" s="1512"/>
      <c r="B2488" s="1502" t="s">
        <v>14940</v>
      </c>
      <c r="C2488" s="638" t="s">
        <v>6218</v>
      </c>
      <c r="D2488" s="648">
        <f>D2184+D2192+D2200+D2208+D2216+D2224+D2232+D2240+D2248+D2256+D2264+D2272+D2280+D2288+D2296+D2304+D2312+D2320+D2328+D2336+D2344+D2352+D2360+D2368+D2376+D2384+D2392+D2400+D2408+D2416+D2424+D2432+D2440+D2448+D2456+D2464+D2472+D2480</f>
        <v>2535278</v>
      </c>
      <c r="E2488" s="648">
        <f>E2184+E2192+E2200+E2208+E2216+E2224+E2232+E2240+E2248+E2256+E2264+E2272+E2280+E2288+E2296+E2304+E2312+E2320+E2328+E2336+E2344+E2352+E2360+E2368+E2376+E2384+E2392+E2400+E2408+E2416+E2424+E2432+E2440+E2448+E2456+E2464+E2472+E2480</f>
        <v>1176391</v>
      </c>
      <c r="F2488" s="649">
        <f t="shared" si="76"/>
        <v>3711669</v>
      </c>
      <c r="G2488" s="648">
        <f>G2184+G2192+G2200+G2208+G2216+G2224+G2232+G2240+G2248+G2256+G2264+G2272+G2280+G2288+G2296+G2304+G2312+G2320+G2328+G2336+G2344+G2352+G2360+G2368+G2376+G2384+G2392+G2400+G2408+G2416+G2424+G2432+G2440+G2448+G2456+G2464+G2472+G2480</f>
        <v>2182400</v>
      </c>
      <c r="H2488" s="648">
        <f>H2184+H2192+H2200+H2208+H2216+H2224+H2232+H2240+H2248+H2256+H2264+H2272+H2280+H2288+H2296+H2304+H2312+H2320+H2328+H2336+H2344+H2352+H2360+H2368+H2376+H2384+H2392+H2400+H2408+H2416+H2424+H2432+H2440+H2448+H2456+H2464+H2472+H2480</f>
        <v>613875</v>
      </c>
      <c r="I2488" s="648">
        <f>I2184+I2192+I2200+I2208+I2216+I2224+I2232+I2240+I2248+I2256+I2264+I2272+I2280+I2288+I2296+I2304+I2312+I2320+I2328+I2336+I2344+I2352+I2360+I2368+I2376+I2384+I2392+I2400+I2408+I2416+I2424+I2432+I2440+I2448+I2456+I2464+I2472+I2480</f>
        <v>0</v>
      </c>
      <c r="J2488" s="648">
        <f>J2184+J2192+J2200+J2208+J2216+J2224+J2232+J2240+J2248+J2256+J2264+J2272+J2280+J2288+J2296+J2304+J2312+J2320+J2328+J2336+J2344+J2352+J2360+J2368+J2376+J2384+J2392+J2400+J2408+J2416+J2424+J2432+J2440+J2448+J2456+J2464+J2472+J2480</f>
        <v>0</v>
      </c>
      <c r="K2488" s="649">
        <f t="shared" si="77"/>
        <v>2796275</v>
      </c>
      <c r="L2488" s="648">
        <f>L2184+L2192+L2200+L2208+L2216+L2224+L2232+L2240+L2248+L2256+L2264+L2272+L2280+L2288+L2296+L2304+L2312+L2320+L2328+L2336+L2344+L2352+L2360+L2368+L2376+L2384+L2392+L2400+L2408+L2416+L2424+L2432+L2440+L2448+L2456+L2464+L2472+L2480</f>
        <v>434099</v>
      </c>
      <c r="M2488" s="648">
        <f>M2184+M2192+M2200+M2208+M2216+M2224+M2232+M2240+M2248+M2256+M2264+M2272+M2280+M2288+M2296+M2304+M2312+M2320+M2328+M2336+M2344+M2352+M2360+M2368+M2376+M2384+M2392+M2400+M2408+M2416+M2424+M2432+M2440+M2448+M2456+M2464+M2472+M2480</f>
        <v>0</v>
      </c>
      <c r="N2488" s="648">
        <f>N2184+N2192+N2200+N2208+N2216+N2224+N2232+N2240+N2248+N2256+N2264+N2272+N2280+N2288+N2296+N2304+N2312+N2320+N2328+N2336+N2344+N2352+N2360+N2368+N2376+N2384+N2392+N2400+N2408+N2416+N2424+N2432+N2440+N2448+N2456+N2464+N2472+N2480</f>
        <v>4792001</v>
      </c>
      <c r="O2488" s="1503">
        <f>1-N2489</f>
        <v>0.59161555896671258</v>
      </c>
    </row>
    <row r="2489" spans="1:15" ht="12" customHeight="1" thickBot="1">
      <c r="A2489" s="1513"/>
      <c r="B2489" s="1504"/>
      <c r="C2489" s="644" t="s">
        <v>6219</v>
      </c>
      <c r="D2489" s="645">
        <f>D2488/(D2488+E2488+G2488+H2488+I2488+J2488+L2488+M2488+N2488)</f>
        <v>0.21606174307851581</v>
      </c>
      <c r="E2489" s="645">
        <f>E2488/(D2488+E2488+G2488+H2488+I2488+J2488+L2488+M2488+N2488)</f>
        <v>0.10025452435664976</v>
      </c>
      <c r="F2489" s="646">
        <f t="shared" si="76"/>
        <v>0.31631626743516555</v>
      </c>
      <c r="G2489" s="645">
        <f>G2488/(D2488+E2488+G2488+H2488+I2488+J2488+L2488+M2488+N2488)</f>
        <v>0.18598873500048235</v>
      </c>
      <c r="H2489" s="645">
        <f>H2488/(D2488+E2488+G2488+H2488+I2488+J2488+L2488+M2488+N2488)</f>
        <v>5.2315723377209085E-2</v>
      </c>
      <c r="I2489" s="645">
        <f>I2488/(D2488+E2488+G2488+H2488+I2488+J2488+L2488+M2488+N2488)</f>
        <v>0</v>
      </c>
      <c r="J2489" s="645">
        <f>J2488/(D2488+E2488+G2488+H2488+I2488+J2488+L2488+M2488+N2488)</f>
        <v>0</v>
      </c>
      <c r="K2489" s="646">
        <f t="shared" si="77"/>
        <v>0.23830445837769143</v>
      </c>
      <c r="L2489" s="645">
        <f>L2488/(D2488+E2488+G2488+H2488+I2488+J2488+L2488+M2488+N2488)</f>
        <v>3.6994833153855565E-2</v>
      </c>
      <c r="M2489" s="645">
        <f>M2488/(D2488+E2488+G2488+H2488+I2488+J2488+L2488+M2488+N2488)</f>
        <v>0</v>
      </c>
      <c r="N2489" s="645">
        <f>N2488/(D2488+E2488+G2488+H2488+I2488+J2488+L2488+M2488+N2488)</f>
        <v>0.40838444103328742</v>
      </c>
      <c r="O2489" s="1505"/>
    </row>
    <row r="2490" spans="1:15" ht="12" customHeight="1" thickTop="1">
      <c r="A2490" s="1506" t="s">
        <v>15249</v>
      </c>
      <c r="B2490" s="1509" t="s">
        <v>14937</v>
      </c>
      <c r="C2490" s="647" t="s">
        <v>6218</v>
      </c>
      <c r="D2490" s="648">
        <f>D98+D306+D570+D850+D1058+D1226+D1498+D1890+D2058+D2170+D2482</f>
        <v>16543821</v>
      </c>
      <c r="E2490" s="648">
        <f>E98+E306+E570+E850+E1058+E1226+E1498+E1890+E2058+E2170+E2482</f>
        <v>7764514</v>
      </c>
      <c r="F2490" s="649">
        <f t="shared" si="76"/>
        <v>24308335</v>
      </c>
      <c r="G2490" s="648">
        <f>G98+G306+G570+G850+G1058+G1226+G1498+G1890+G2058+G2170+G2482</f>
        <v>23255386</v>
      </c>
      <c r="H2490" s="648">
        <f>H98+H306+H570+H850+H1058+H1226+H1498+H1890+H2058+H2170+H2482</f>
        <v>2634605</v>
      </c>
      <c r="I2490" s="648">
        <f>I98+I306+I570+I850+I1058+I1226+I1498+I1890+I2058+I2170+I2482</f>
        <v>1268766</v>
      </c>
      <c r="J2490" s="648">
        <f>J98+J306+J570+J850+J1058+J1226+J1498+J1890+J2058+J2170+J2482</f>
        <v>1770652</v>
      </c>
      <c r="K2490" s="649">
        <f t="shared" si="77"/>
        <v>28929409</v>
      </c>
      <c r="L2490" s="648">
        <f>L98+L306+L570+L850+L1058+L1226+L1498+L1890+L2058+L2170+L2482</f>
        <v>4407561</v>
      </c>
      <c r="M2490" s="648">
        <f>M98+M306+M570+M850+M1058+M1226+M1498+M1890+M2058+M2170+M2482</f>
        <v>1264209</v>
      </c>
      <c r="N2490" s="648">
        <f>N98+N306+N570+N850+N1058+N1226+N1498+N1890+N2058+N2170+N2482</f>
        <v>44800520</v>
      </c>
      <c r="O2490" s="1510">
        <f>1-N2491</f>
        <v>0.56802135461646852</v>
      </c>
    </row>
    <row r="2491" spans="1:15" ht="12" customHeight="1">
      <c r="A2491" s="1507"/>
      <c r="B2491" s="1502"/>
      <c r="C2491" s="635" t="s">
        <v>6219</v>
      </c>
      <c r="D2491" s="636">
        <f>D2490/(D2490+E2490+G2490+H2490+I2490+J2490+L2490+M2490+N2490)</f>
        <v>0.15951996505950428</v>
      </c>
      <c r="E2491" s="636">
        <f>E2490/(D2490+E2490+G2490+H2490+I2490+J2490+L2490+M2490+N2490)</f>
        <v>7.4867529211300812E-2</v>
      </c>
      <c r="F2491" s="637">
        <f t="shared" si="76"/>
        <v>0.23438749427080507</v>
      </c>
      <c r="G2491" s="636">
        <f>G2490/(D2490+E2490+G2490+H2490+I2490+J2490+L2490+M2490+N2490)</f>
        <v>0.2242346772347987</v>
      </c>
      <c r="H2491" s="636">
        <f>H2490/(D2490+E2490+G2490+H2490+I2490+J2490+L2490+M2490+N2490)</f>
        <v>2.5403568954571937E-2</v>
      </c>
      <c r="I2491" s="636">
        <f>I2490/(D2490+E2490+G2490+H2490+I2490+J2490+L2490+M2490+N2490)</f>
        <v>1.2233782509414664E-2</v>
      </c>
      <c r="J2491" s="636">
        <f>J2490/(D2490+E2490+G2490+H2490+I2490+J2490+L2490+M2490+N2490)</f>
        <v>1.7073102106976459E-2</v>
      </c>
      <c r="K2491" s="637">
        <f t="shared" si="77"/>
        <v>0.27894513080576172</v>
      </c>
      <c r="L2491" s="636">
        <f>L2490/(D2490+E2490+G2490+H2490+I2490+J2490+L2490+M2490+N2490)</f>
        <v>4.2498886848306307E-2</v>
      </c>
      <c r="M2491" s="636">
        <f>M2490/(D2490+E2490+G2490+H2490+I2490+J2490+L2490+M2490+N2490)</f>
        <v>1.2189842691595299E-2</v>
      </c>
      <c r="N2491" s="636">
        <f>N2490/(D2490+E2490+G2490+H2490+I2490+J2490+L2490+M2490+N2490)</f>
        <v>0.43197864538353153</v>
      </c>
      <c r="O2491" s="1503"/>
    </row>
    <row r="2492" spans="1:15" ht="12" customHeight="1">
      <c r="A2492" s="1507"/>
      <c r="B2492" s="1502" t="s">
        <v>14938</v>
      </c>
      <c r="C2492" s="638" t="s">
        <v>6218</v>
      </c>
      <c r="D2492" s="648">
        <f>D100+D308+D572+D852+D1060+D1228+D1500+D1892+D2060+D2172+D2484</f>
        <v>25887766</v>
      </c>
      <c r="E2492" s="648">
        <f>E100+E308+E572+E852+E1060+E1228+E1500+E1892+E2060+E2172+E2484</f>
        <v>8988248</v>
      </c>
      <c r="F2492" s="649">
        <f t="shared" si="76"/>
        <v>34876014</v>
      </c>
      <c r="G2492" s="648">
        <f>G100+G308+G572+G852+G1060+G1228+G1500+G1892+G2060+G2172+G2484</f>
        <v>21036403</v>
      </c>
      <c r="H2492" s="648">
        <f>H100+H308+H572+H852+H1060+H1228+H1500+H1892+H2060+H2172+H2484</f>
        <v>3719520</v>
      </c>
      <c r="I2492" s="648">
        <f>I100+I308+I572+I852+I1060+I1228+I1500+I1892+I2060+I2172+I2484</f>
        <v>1183073</v>
      </c>
      <c r="J2492" s="648">
        <f>J100+J308+J572+J852+J1060+J1228+J1500+J1892+J2060+J2172+J2484</f>
        <v>1643504</v>
      </c>
      <c r="K2492" s="649">
        <f t="shared" si="77"/>
        <v>27582500</v>
      </c>
      <c r="L2492" s="648">
        <f>L100+L308+L572+L852+L1060+L1228+L1500+L1892+L2060+L2172+L2484</f>
        <v>4919145</v>
      </c>
      <c r="M2492" s="648">
        <f>M100+M308+M572+M852+M1060+M1228+M1500+M1892+M2060+M2172+M2484</f>
        <v>433938</v>
      </c>
      <c r="N2492" s="648">
        <f>N100+N308+N572+N852+N1060+N1228+N1500+N1892+N2060+N2172+N2484</f>
        <v>35246367</v>
      </c>
      <c r="O2492" s="1503">
        <f>1-N2493</f>
        <v>0.65799472809301762</v>
      </c>
    </row>
    <row r="2493" spans="1:15" ht="12" customHeight="1">
      <c r="A2493" s="1507"/>
      <c r="B2493" s="1502"/>
      <c r="C2493" s="635" t="s">
        <v>6219</v>
      </c>
      <c r="D2493" s="636">
        <f>D2492/(D2492+E2492+G2492+H2492+I2492+J2492+L2492+M2492+N2492)</f>
        <v>0.25119617150596918</v>
      </c>
      <c r="E2493" s="636">
        <f>E2492/(D2492+E2492+G2492+H2492+I2492+J2492+L2492+M2492+N2492)</f>
        <v>8.7215462552704806E-2</v>
      </c>
      <c r="F2493" s="637">
        <f t="shared" si="76"/>
        <v>0.33841163405867397</v>
      </c>
      <c r="G2493" s="636">
        <f>G2492/(D2492+E2492+G2492+H2492+I2492+J2492+L2492+M2492+N2492)</f>
        <v>0.20412205115948148</v>
      </c>
      <c r="H2493" s="636">
        <f>H2492/(D2492+E2492+G2492+H2492+I2492+J2492+L2492+M2492+N2492)</f>
        <v>3.6091533886697003E-2</v>
      </c>
      <c r="I2493" s="636">
        <f>I2492/(D2492+E2492+G2492+H2492+I2492+J2492+L2492+M2492+N2492)</f>
        <v>1.1479685354544749E-2</v>
      </c>
      <c r="J2493" s="636">
        <f>J2492/(D2492+E2492+G2492+H2492+I2492+J2492+L2492+M2492+N2492)</f>
        <v>1.5947375013152791E-2</v>
      </c>
      <c r="K2493" s="637">
        <f t="shared" si="77"/>
        <v>0.26764064541387605</v>
      </c>
      <c r="L2493" s="636">
        <f>L2492/(D2492+E2492+G2492+H2492+I2492+J2492+L2492+M2492+N2492)</f>
        <v>4.7731827886683266E-2</v>
      </c>
      <c r="M2493" s="636">
        <f>M2492/(D2492+E2492+G2492+H2492+I2492+J2492+L2492+M2492+N2492)</f>
        <v>4.2106207337843388E-3</v>
      </c>
      <c r="N2493" s="636">
        <f>N2492/(D2492+E2492+G2492+H2492+I2492+J2492+L2492+M2492+N2492)</f>
        <v>0.34200527190698238</v>
      </c>
      <c r="O2493" s="1503"/>
    </row>
    <row r="2494" spans="1:15" ht="12" customHeight="1">
      <c r="A2494" s="1507"/>
      <c r="B2494" s="1502" t="s">
        <v>14939</v>
      </c>
      <c r="C2494" s="638" t="s">
        <v>6218</v>
      </c>
      <c r="D2494" s="648">
        <f>D102+D310+D574+D854+D1062+D1230+D1502+D1894+D2062+D2174+D2486</f>
        <v>16794661</v>
      </c>
      <c r="E2494" s="648">
        <f>E102+E310+E574+E854+E1062+E1230+E1502+E1894+E2062+E2174+E2486</f>
        <v>8620539</v>
      </c>
      <c r="F2494" s="649">
        <f t="shared" si="76"/>
        <v>25415200</v>
      </c>
      <c r="G2494" s="648">
        <f>G102+G310+G574+G854+G1062+G1230+G1502+G1894+G2062+G2174+G2486</f>
        <v>21134518</v>
      </c>
      <c r="H2494" s="648">
        <f>H102+H310+H574+H854+H1062+H1230+H1502+H1894+H2062+H2174+H2486</f>
        <v>2990611</v>
      </c>
      <c r="I2494" s="648">
        <f>I102+I310+I574+I854+I1062+I1230+I1502+I1894+I2062+I2174+I2486</f>
        <v>0</v>
      </c>
      <c r="J2494" s="648">
        <f>J102+J310+J574+J854+J1062+J1230+J1502+J1894+J2062+J2174+J2486</f>
        <v>0</v>
      </c>
      <c r="K2494" s="649">
        <f t="shared" si="77"/>
        <v>24125129</v>
      </c>
      <c r="L2494" s="648">
        <f>L102+L310+L574+L854+L1062+L1230+L1502+L1894+L2062+L2174+L2486</f>
        <v>4361589</v>
      </c>
      <c r="M2494" s="648">
        <f>M102+M310+M574+M854+M1062+M1230+M1502+M1894+M2062+M2174+M2486</f>
        <v>2020730</v>
      </c>
      <c r="N2494" s="648">
        <f>N102+N310+N574+N854+N1062+N1230+N1502+N1894+N2062+N2174+N2486</f>
        <v>46585419</v>
      </c>
      <c r="O2494" s="1503">
        <f>1-N2495</f>
        <v>0.5455438741226093</v>
      </c>
    </row>
    <row r="2495" spans="1:15" ht="12" customHeight="1">
      <c r="A2495" s="1507"/>
      <c r="B2495" s="1502"/>
      <c r="C2495" s="635" t="s">
        <v>6219</v>
      </c>
      <c r="D2495" s="636">
        <f>D2494/(D2494+E2494+G2494+H2494+I2494+J2494+L2494+M2494+N2494)</f>
        <v>0.16383745681205752</v>
      </c>
      <c r="E2495" s="636">
        <f>E2494/(D2494+E2494+G2494+H2494+I2494+J2494+L2494+M2494+N2494)</f>
        <v>8.4096200936068774E-2</v>
      </c>
      <c r="F2495" s="637">
        <f t="shared" si="76"/>
        <v>0.24793365774812631</v>
      </c>
      <c r="G2495" s="636">
        <f>G2494/(D2494+E2494+G2494+H2494+I2494+J2494+L2494+M2494+N2494)</f>
        <v>0.20617419310033425</v>
      </c>
      <c r="H2495" s="636">
        <f>H2494/(D2494+E2494+G2494+H2494+I2494+J2494+L2494+M2494+N2494)</f>
        <v>2.9174396586758387E-2</v>
      </c>
      <c r="I2495" s="636">
        <f>I2494/(D2494+E2494+G2494+H2494+I2494+J2494+L2494+M2494+N2494)</f>
        <v>0</v>
      </c>
      <c r="J2495" s="636">
        <f>J2494/(D2494+E2494+G2494+H2494+I2494+J2494+L2494+M2494+N2494)</f>
        <v>0</v>
      </c>
      <c r="K2495" s="637">
        <f t="shared" si="77"/>
        <v>0.23534858968709263</v>
      </c>
      <c r="L2495" s="636">
        <f>L2494/(D2494+E2494+G2494+H2494+I2494+J2494+L2494+M2494+N2494)</f>
        <v>4.254873911533226E-2</v>
      </c>
      <c r="M2495" s="636">
        <f>M2494/(D2494+E2494+G2494+H2494+I2494+J2494+L2494+M2494+N2494)</f>
        <v>1.9712887572058111E-2</v>
      </c>
      <c r="N2495" s="636">
        <f>N2494/(D2494+E2494+G2494+H2494+I2494+J2494+L2494+M2494+N2494)</f>
        <v>0.4544561258773907</v>
      </c>
      <c r="O2495" s="1503"/>
    </row>
    <row r="2496" spans="1:15" ht="12" customHeight="1">
      <c r="A2496" s="1507"/>
      <c r="B2496" s="1502" t="s">
        <v>14940</v>
      </c>
      <c r="C2496" s="638" t="s">
        <v>6218</v>
      </c>
      <c r="D2496" s="648">
        <f>D104+D312+D576+D856+D1064+D1232+D1504+D1896+D2064+D2176+D2488</f>
        <v>20660190</v>
      </c>
      <c r="E2496" s="648">
        <f>E104+E312+E576+E856+E1064+E1232+E1504+E1896+E2064+E2176+E2488</f>
        <v>8733444</v>
      </c>
      <c r="F2496" s="649">
        <f t="shared" si="76"/>
        <v>29393634</v>
      </c>
      <c r="G2496" s="648">
        <f>G104+G312+G576+G856+G1064+G1232+G1504+G1896+G2064+G2176+G2488</f>
        <v>22095626</v>
      </c>
      <c r="H2496" s="648">
        <f>H104+H312+H576+H856+H1064+H1232+H1504+H1896+H2064+H2176+H2488</f>
        <v>3027400</v>
      </c>
      <c r="I2496" s="648">
        <f>I104+I312+I576+I856+I1064+I1232+I1504+I1896+I2064+I2176+I2488</f>
        <v>0</v>
      </c>
      <c r="J2496" s="648">
        <f>J104+J312+J576+J856+J1064+J1232+J1504+J1896+J2064+J2176+J2488</f>
        <v>0</v>
      </c>
      <c r="K2496" s="649">
        <f t="shared" si="77"/>
        <v>25123026</v>
      </c>
      <c r="L2496" s="648">
        <f>L104+L312+L576+L856+L1064+L1232+L1504+L1896+L2064+L2176+L2488</f>
        <v>4585582</v>
      </c>
      <c r="M2496" s="648">
        <f>M104+M312+M576+M856+M1064+M1232+M1504+M1896+M2064+M2176+M2488</f>
        <v>0</v>
      </c>
      <c r="N2496" s="648">
        <f>N104+N312+N576+N856+N1064+N1232+N1504+N1896+N2064+N2176+N2488</f>
        <v>43203806</v>
      </c>
      <c r="O2496" s="1503">
        <f>1-N2497</f>
        <v>0.57770037212267256</v>
      </c>
    </row>
    <row r="2497" spans="1:15" ht="12" customHeight="1" thickBot="1">
      <c r="A2497" s="1508"/>
      <c r="B2497" s="1504"/>
      <c r="C2497" s="644" t="s">
        <v>6219</v>
      </c>
      <c r="D2497" s="645">
        <f>D2496/(D2496+E2496+G2496+H2496+I2496+J2496+L2496+M2496+N2496)</f>
        <v>0.20194495246263447</v>
      </c>
      <c r="E2497" s="645">
        <f>E2496/(D2496+E2496+G2496+H2496+I2496+J2496+L2496+M2496+N2496)</f>
        <v>8.5365862241106219E-2</v>
      </c>
      <c r="F2497" s="646">
        <f t="shared" si="76"/>
        <v>0.2873108147037407</v>
      </c>
      <c r="G2497" s="645">
        <f>G2496/(D2496+E2496+G2496+H2496+I2496+J2496+L2496+M2496+N2496)</f>
        <v>0.21597575541184036</v>
      </c>
      <c r="H2497" s="645">
        <f>H2496/(D2496+E2496+G2496+H2496+I2496+J2496+L2496+M2496+N2496)</f>
        <v>2.9591603421138896E-2</v>
      </c>
      <c r="I2497" s="645">
        <f>I2496/(D2496+E2496+G2496+H2496+I2496+J2496+L2496+M2496+N2496)</f>
        <v>0</v>
      </c>
      <c r="J2497" s="645">
        <f>J2496/(D2496+E2496+G2496+H2496+I2496+J2496+L2496+M2496+N2496)</f>
        <v>0</v>
      </c>
      <c r="K2497" s="646">
        <f t="shared" si="77"/>
        <v>0.24556735883297925</v>
      </c>
      <c r="L2497" s="645">
        <f>L2496/(D2496+E2496+G2496+H2496+I2496+J2496+L2496+M2496+N2496)</f>
        <v>4.4822198585952613E-2</v>
      </c>
      <c r="M2497" s="645">
        <f>M2496/(D2496+E2496+G2496+H2496+I2496+J2496+L2496+M2496+N2496)</f>
        <v>0</v>
      </c>
      <c r="N2497" s="645">
        <f>N2496/(D2496+E2496+G2496+H2496+I2496+J2496+L2496+M2496+N2496)</f>
        <v>0.42229962787732744</v>
      </c>
      <c r="O2497" s="1505"/>
    </row>
    <row r="2498" spans="1:15" ht="12" customHeight="1" thickTop="1"/>
  </sheetData>
  <mergeCells count="2809">
    <mergeCell ref="O12:O13"/>
    <mergeCell ref="B14:B15"/>
    <mergeCell ref="O14:O15"/>
    <mergeCell ref="B16:B17"/>
    <mergeCell ref="O16:O17"/>
    <mergeCell ref="O6:O7"/>
    <mergeCell ref="B8:B9"/>
    <mergeCell ref="O8:O9"/>
    <mergeCell ref="A10:A17"/>
    <mergeCell ref="B10:B11"/>
    <mergeCell ref="O10:O11"/>
    <mergeCell ref="B12:B13"/>
    <mergeCell ref="A1:C1"/>
    <mergeCell ref="A2:A9"/>
    <mergeCell ref="B2:B3"/>
    <mergeCell ref="O2:O3"/>
    <mergeCell ref="B4:B5"/>
    <mergeCell ref="O4:O5"/>
    <mergeCell ref="B6:B7"/>
    <mergeCell ref="B30:B31"/>
    <mergeCell ref="O30:O31"/>
    <mergeCell ref="B32:B33"/>
    <mergeCell ref="O32:O33"/>
    <mergeCell ref="B24:B25"/>
    <mergeCell ref="O24:O25"/>
    <mergeCell ref="A26:A33"/>
    <mergeCell ref="B26:B27"/>
    <mergeCell ref="O26:O27"/>
    <mergeCell ref="B28:B29"/>
    <mergeCell ref="O28:O29"/>
    <mergeCell ref="A18:A25"/>
    <mergeCell ref="B18:B19"/>
    <mergeCell ref="O18:O19"/>
    <mergeCell ref="B20:B21"/>
    <mergeCell ref="O20:O21"/>
    <mergeCell ref="B22:B23"/>
    <mergeCell ref="O22:O23"/>
    <mergeCell ref="B46:B47"/>
    <mergeCell ref="O46:O47"/>
    <mergeCell ref="B48:B49"/>
    <mergeCell ref="O48:O49"/>
    <mergeCell ref="B40:B41"/>
    <mergeCell ref="O40:O41"/>
    <mergeCell ref="A42:A49"/>
    <mergeCell ref="B42:B43"/>
    <mergeCell ref="O42:O43"/>
    <mergeCell ref="B44:B45"/>
    <mergeCell ref="O44:O45"/>
    <mergeCell ref="A34:A41"/>
    <mergeCell ref="B34:B35"/>
    <mergeCell ref="O34:O35"/>
    <mergeCell ref="B36:B37"/>
    <mergeCell ref="O36:O37"/>
    <mergeCell ref="B38:B39"/>
    <mergeCell ref="O38:O39"/>
    <mergeCell ref="B62:B63"/>
    <mergeCell ref="O62:O63"/>
    <mergeCell ref="B64:B65"/>
    <mergeCell ref="O64:O65"/>
    <mergeCell ref="B56:B57"/>
    <mergeCell ref="O56:O57"/>
    <mergeCell ref="A58:A65"/>
    <mergeCell ref="B58:B59"/>
    <mergeCell ref="O58:O59"/>
    <mergeCell ref="B60:B61"/>
    <mergeCell ref="O60:O61"/>
    <mergeCell ref="A50:A57"/>
    <mergeCell ref="B50:B51"/>
    <mergeCell ref="O50:O51"/>
    <mergeCell ref="B52:B53"/>
    <mergeCell ref="O52:O53"/>
    <mergeCell ref="B54:B55"/>
    <mergeCell ref="O54:O55"/>
    <mergeCell ref="B78:B79"/>
    <mergeCell ref="O78:O79"/>
    <mergeCell ref="B80:B81"/>
    <mergeCell ref="O80:O81"/>
    <mergeCell ref="B72:B73"/>
    <mergeCell ref="O72:O73"/>
    <mergeCell ref="A74:A81"/>
    <mergeCell ref="B74:B75"/>
    <mergeCell ref="O74:O75"/>
    <mergeCell ref="B76:B77"/>
    <mergeCell ref="O76:O77"/>
    <mergeCell ref="A66:A73"/>
    <mergeCell ref="B66:B67"/>
    <mergeCell ref="O66:O67"/>
    <mergeCell ref="B68:B69"/>
    <mergeCell ref="O68:O69"/>
    <mergeCell ref="B70:B71"/>
    <mergeCell ref="O70:O71"/>
    <mergeCell ref="B94:B95"/>
    <mergeCell ref="O94:O95"/>
    <mergeCell ref="B96:B97"/>
    <mergeCell ref="O96:O97"/>
    <mergeCell ref="B88:B89"/>
    <mergeCell ref="O88:O89"/>
    <mergeCell ref="A90:A97"/>
    <mergeCell ref="B90:B91"/>
    <mergeCell ref="O90:O91"/>
    <mergeCell ref="B92:B93"/>
    <mergeCell ref="O92:O93"/>
    <mergeCell ref="A82:A89"/>
    <mergeCell ref="B82:B83"/>
    <mergeCell ref="O82:O83"/>
    <mergeCell ref="B84:B85"/>
    <mergeCell ref="O84:O85"/>
    <mergeCell ref="B86:B87"/>
    <mergeCell ref="O86:O87"/>
    <mergeCell ref="B110:B111"/>
    <mergeCell ref="O110:O111"/>
    <mergeCell ref="B112:B113"/>
    <mergeCell ref="O112:O113"/>
    <mergeCell ref="B104:B105"/>
    <mergeCell ref="O104:O105"/>
    <mergeCell ref="A106:A113"/>
    <mergeCell ref="B106:B107"/>
    <mergeCell ref="O106:O107"/>
    <mergeCell ref="B108:B109"/>
    <mergeCell ref="O108:O109"/>
    <mergeCell ref="A98:A105"/>
    <mergeCell ref="B98:B99"/>
    <mergeCell ref="O98:O99"/>
    <mergeCell ref="B100:B101"/>
    <mergeCell ref="O100:O101"/>
    <mergeCell ref="B102:B103"/>
    <mergeCell ref="O102:O103"/>
    <mergeCell ref="B126:B127"/>
    <mergeCell ref="O126:O127"/>
    <mergeCell ref="B128:B129"/>
    <mergeCell ref="O128:O129"/>
    <mergeCell ref="B120:B121"/>
    <mergeCell ref="O120:O121"/>
    <mergeCell ref="A122:A129"/>
    <mergeCell ref="B122:B123"/>
    <mergeCell ref="O122:O123"/>
    <mergeCell ref="B124:B125"/>
    <mergeCell ref="O124:O125"/>
    <mergeCell ref="A114:A121"/>
    <mergeCell ref="B114:B115"/>
    <mergeCell ref="O114:O115"/>
    <mergeCell ref="B116:B117"/>
    <mergeCell ref="O116:O117"/>
    <mergeCell ref="B118:B119"/>
    <mergeCell ref="O118:O119"/>
    <mergeCell ref="B142:B143"/>
    <mergeCell ref="O142:O143"/>
    <mergeCell ref="B144:B145"/>
    <mergeCell ref="O144:O145"/>
    <mergeCell ref="B136:B137"/>
    <mergeCell ref="O136:O137"/>
    <mergeCell ref="A138:A145"/>
    <mergeCell ref="B138:B139"/>
    <mergeCell ref="O138:O139"/>
    <mergeCell ref="B140:B141"/>
    <mergeCell ref="O140:O141"/>
    <mergeCell ref="A130:A137"/>
    <mergeCell ref="B130:B131"/>
    <mergeCell ref="O130:O131"/>
    <mergeCell ref="B132:B133"/>
    <mergeCell ref="O132:O133"/>
    <mergeCell ref="B134:B135"/>
    <mergeCell ref="O134:O135"/>
    <mergeCell ref="B158:B159"/>
    <mergeCell ref="O158:O159"/>
    <mergeCell ref="B160:B161"/>
    <mergeCell ref="O160:O161"/>
    <mergeCell ref="B152:B153"/>
    <mergeCell ref="O152:O153"/>
    <mergeCell ref="A154:A161"/>
    <mergeCell ref="B154:B155"/>
    <mergeCell ref="O154:O155"/>
    <mergeCell ref="B156:B157"/>
    <mergeCell ref="O156:O157"/>
    <mergeCell ref="A146:A153"/>
    <mergeCell ref="B146:B147"/>
    <mergeCell ref="O146:O147"/>
    <mergeCell ref="B148:B149"/>
    <mergeCell ref="O148:O149"/>
    <mergeCell ref="B150:B151"/>
    <mergeCell ref="O150:O151"/>
    <mergeCell ref="B174:B175"/>
    <mergeCell ref="O174:O175"/>
    <mergeCell ref="B176:B177"/>
    <mergeCell ref="O176:O177"/>
    <mergeCell ref="B168:B169"/>
    <mergeCell ref="O168:O169"/>
    <mergeCell ref="A170:A177"/>
    <mergeCell ref="B170:B171"/>
    <mergeCell ref="O170:O171"/>
    <mergeCell ref="B172:B173"/>
    <mergeCell ref="O172:O173"/>
    <mergeCell ref="A162:A169"/>
    <mergeCell ref="B162:B163"/>
    <mergeCell ref="O162:O163"/>
    <mergeCell ref="B164:B165"/>
    <mergeCell ref="O164:O165"/>
    <mergeCell ref="B166:B167"/>
    <mergeCell ref="O166:O167"/>
    <mergeCell ref="B190:B191"/>
    <mergeCell ref="O190:O191"/>
    <mergeCell ref="B192:B193"/>
    <mergeCell ref="O192:O193"/>
    <mergeCell ref="B184:B185"/>
    <mergeCell ref="O184:O185"/>
    <mergeCell ref="A186:A193"/>
    <mergeCell ref="B186:B187"/>
    <mergeCell ref="O186:O187"/>
    <mergeCell ref="B188:B189"/>
    <mergeCell ref="O188:O189"/>
    <mergeCell ref="A178:A185"/>
    <mergeCell ref="B178:B179"/>
    <mergeCell ref="O178:O179"/>
    <mergeCell ref="B180:B181"/>
    <mergeCell ref="O180:O181"/>
    <mergeCell ref="B182:B183"/>
    <mergeCell ref="O182:O183"/>
    <mergeCell ref="B206:B207"/>
    <mergeCell ref="O206:O207"/>
    <mergeCell ref="B208:B209"/>
    <mergeCell ref="O208:O209"/>
    <mergeCell ref="B200:B201"/>
    <mergeCell ref="O200:O201"/>
    <mergeCell ref="A202:A209"/>
    <mergeCell ref="B202:B203"/>
    <mergeCell ref="O202:O203"/>
    <mergeCell ref="B204:B205"/>
    <mergeCell ref="O204:O205"/>
    <mergeCell ref="A194:A201"/>
    <mergeCell ref="B194:B195"/>
    <mergeCell ref="O194:O195"/>
    <mergeCell ref="B196:B197"/>
    <mergeCell ref="O196:O197"/>
    <mergeCell ref="B198:B199"/>
    <mergeCell ref="O198:O199"/>
    <mergeCell ref="B222:B223"/>
    <mergeCell ref="O222:O223"/>
    <mergeCell ref="B224:B225"/>
    <mergeCell ref="O224:O225"/>
    <mergeCell ref="B216:B217"/>
    <mergeCell ref="O216:O217"/>
    <mergeCell ref="A218:A225"/>
    <mergeCell ref="B218:B219"/>
    <mergeCell ref="O218:O219"/>
    <mergeCell ref="B220:B221"/>
    <mergeCell ref="O220:O221"/>
    <mergeCell ref="A210:A217"/>
    <mergeCell ref="B210:B211"/>
    <mergeCell ref="O210:O211"/>
    <mergeCell ref="B212:B213"/>
    <mergeCell ref="O212:O213"/>
    <mergeCell ref="B214:B215"/>
    <mergeCell ref="O214:O215"/>
    <mergeCell ref="B238:B239"/>
    <mergeCell ref="O238:O239"/>
    <mergeCell ref="B240:B241"/>
    <mergeCell ref="O240:O241"/>
    <mergeCell ref="B232:B233"/>
    <mergeCell ref="O232:O233"/>
    <mergeCell ref="A234:A241"/>
    <mergeCell ref="B234:B235"/>
    <mergeCell ref="O234:O235"/>
    <mergeCell ref="B236:B237"/>
    <mergeCell ref="O236:O237"/>
    <mergeCell ref="A226:A233"/>
    <mergeCell ref="B226:B227"/>
    <mergeCell ref="O226:O227"/>
    <mergeCell ref="B228:B229"/>
    <mergeCell ref="O228:O229"/>
    <mergeCell ref="B230:B231"/>
    <mergeCell ref="O230:O231"/>
    <mergeCell ref="B254:B255"/>
    <mergeCell ref="O254:O255"/>
    <mergeCell ref="B256:B257"/>
    <mergeCell ref="O256:O257"/>
    <mergeCell ref="B248:B249"/>
    <mergeCell ref="O248:O249"/>
    <mergeCell ref="A250:A257"/>
    <mergeCell ref="B250:B251"/>
    <mergeCell ref="O250:O251"/>
    <mergeCell ref="B252:B253"/>
    <mergeCell ref="O252:O253"/>
    <mergeCell ref="A242:A249"/>
    <mergeCell ref="B242:B243"/>
    <mergeCell ref="O242:O243"/>
    <mergeCell ref="B244:B245"/>
    <mergeCell ref="O244:O245"/>
    <mergeCell ref="B246:B247"/>
    <mergeCell ref="O246:O247"/>
    <mergeCell ref="B270:B271"/>
    <mergeCell ref="O270:O271"/>
    <mergeCell ref="B272:B273"/>
    <mergeCell ref="O272:O273"/>
    <mergeCell ref="B264:B265"/>
    <mergeCell ref="O264:O265"/>
    <mergeCell ref="A266:A273"/>
    <mergeCell ref="B266:B267"/>
    <mergeCell ref="O266:O267"/>
    <mergeCell ref="B268:B269"/>
    <mergeCell ref="O268:O269"/>
    <mergeCell ref="A258:A265"/>
    <mergeCell ref="B258:B259"/>
    <mergeCell ref="O258:O259"/>
    <mergeCell ref="B260:B261"/>
    <mergeCell ref="O260:O261"/>
    <mergeCell ref="B262:B263"/>
    <mergeCell ref="O262:O263"/>
    <mergeCell ref="B286:B287"/>
    <mergeCell ref="O286:O287"/>
    <mergeCell ref="B288:B289"/>
    <mergeCell ref="O288:O289"/>
    <mergeCell ref="B280:B281"/>
    <mergeCell ref="O280:O281"/>
    <mergeCell ref="A282:A289"/>
    <mergeCell ref="B282:B283"/>
    <mergeCell ref="O282:O283"/>
    <mergeCell ref="B284:B285"/>
    <mergeCell ref="O284:O285"/>
    <mergeCell ref="A274:A281"/>
    <mergeCell ref="B274:B275"/>
    <mergeCell ref="O274:O275"/>
    <mergeCell ref="B276:B277"/>
    <mergeCell ref="O276:O277"/>
    <mergeCell ref="B278:B279"/>
    <mergeCell ref="O278:O279"/>
    <mergeCell ref="B302:B303"/>
    <mergeCell ref="O302:O303"/>
    <mergeCell ref="B304:B305"/>
    <mergeCell ref="O304:O305"/>
    <mergeCell ref="B296:B297"/>
    <mergeCell ref="O296:O297"/>
    <mergeCell ref="A298:A305"/>
    <mergeCell ref="B298:B299"/>
    <mergeCell ref="O298:O299"/>
    <mergeCell ref="B300:B301"/>
    <mergeCell ref="O300:O301"/>
    <mergeCell ref="A290:A297"/>
    <mergeCell ref="B290:B291"/>
    <mergeCell ref="O290:O291"/>
    <mergeCell ref="B292:B293"/>
    <mergeCell ref="O292:O293"/>
    <mergeCell ref="B294:B295"/>
    <mergeCell ref="O294:O295"/>
    <mergeCell ref="B318:B319"/>
    <mergeCell ref="O318:O319"/>
    <mergeCell ref="B320:B321"/>
    <mergeCell ref="O320:O321"/>
    <mergeCell ref="B312:B313"/>
    <mergeCell ref="O312:O313"/>
    <mergeCell ref="A314:A321"/>
    <mergeCell ref="B314:B315"/>
    <mergeCell ref="O314:O315"/>
    <mergeCell ref="B316:B317"/>
    <mergeCell ref="O316:O317"/>
    <mergeCell ref="A306:A313"/>
    <mergeCell ref="B306:B307"/>
    <mergeCell ref="O306:O307"/>
    <mergeCell ref="B308:B309"/>
    <mergeCell ref="O308:O309"/>
    <mergeCell ref="B310:B311"/>
    <mergeCell ref="O310:O311"/>
    <mergeCell ref="B334:B335"/>
    <mergeCell ref="O334:O335"/>
    <mergeCell ref="B336:B337"/>
    <mergeCell ref="O336:O337"/>
    <mergeCell ref="B328:B329"/>
    <mergeCell ref="O328:O329"/>
    <mergeCell ref="A330:A337"/>
    <mergeCell ref="B330:B331"/>
    <mergeCell ref="O330:O331"/>
    <mergeCell ref="B332:B333"/>
    <mergeCell ref="O332:O333"/>
    <mergeCell ref="A322:A329"/>
    <mergeCell ref="B322:B323"/>
    <mergeCell ref="O322:O323"/>
    <mergeCell ref="B324:B325"/>
    <mergeCell ref="O324:O325"/>
    <mergeCell ref="B326:B327"/>
    <mergeCell ref="O326:O327"/>
    <mergeCell ref="B350:B351"/>
    <mergeCell ref="O350:O351"/>
    <mergeCell ref="B352:B353"/>
    <mergeCell ref="O352:O353"/>
    <mergeCell ref="B344:B345"/>
    <mergeCell ref="O344:O345"/>
    <mergeCell ref="A346:A353"/>
    <mergeCell ref="B346:B347"/>
    <mergeCell ref="O346:O347"/>
    <mergeCell ref="B348:B349"/>
    <mergeCell ref="O348:O349"/>
    <mergeCell ref="A338:A345"/>
    <mergeCell ref="B338:B339"/>
    <mergeCell ref="O338:O339"/>
    <mergeCell ref="B340:B341"/>
    <mergeCell ref="O340:O341"/>
    <mergeCell ref="B342:B343"/>
    <mergeCell ref="O342:O343"/>
    <mergeCell ref="B366:B367"/>
    <mergeCell ref="O366:O367"/>
    <mergeCell ref="B368:B369"/>
    <mergeCell ref="O368:O369"/>
    <mergeCell ref="B360:B361"/>
    <mergeCell ref="O360:O361"/>
    <mergeCell ref="A362:A369"/>
    <mergeCell ref="B362:B363"/>
    <mergeCell ref="O362:O363"/>
    <mergeCell ref="B364:B365"/>
    <mergeCell ref="O364:O365"/>
    <mergeCell ref="A354:A361"/>
    <mergeCell ref="B354:B355"/>
    <mergeCell ref="O354:O355"/>
    <mergeCell ref="B356:B357"/>
    <mergeCell ref="O356:O357"/>
    <mergeCell ref="B358:B359"/>
    <mergeCell ref="O358:O359"/>
    <mergeCell ref="B382:B383"/>
    <mergeCell ref="O382:O383"/>
    <mergeCell ref="B384:B385"/>
    <mergeCell ref="O384:O385"/>
    <mergeCell ref="B376:B377"/>
    <mergeCell ref="O376:O377"/>
    <mergeCell ref="A378:A385"/>
    <mergeCell ref="B378:B379"/>
    <mergeCell ref="O378:O379"/>
    <mergeCell ref="B380:B381"/>
    <mergeCell ref="O380:O381"/>
    <mergeCell ref="A370:A377"/>
    <mergeCell ref="B370:B371"/>
    <mergeCell ref="O370:O371"/>
    <mergeCell ref="B372:B373"/>
    <mergeCell ref="O372:O373"/>
    <mergeCell ref="B374:B375"/>
    <mergeCell ref="O374:O375"/>
    <mergeCell ref="B398:B399"/>
    <mergeCell ref="O398:O399"/>
    <mergeCell ref="B400:B401"/>
    <mergeCell ref="O400:O401"/>
    <mergeCell ref="B392:B393"/>
    <mergeCell ref="O392:O393"/>
    <mergeCell ref="A394:A401"/>
    <mergeCell ref="B394:B395"/>
    <mergeCell ref="O394:O395"/>
    <mergeCell ref="B396:B397"/>
    <mergeCell ref="O396:O397"/>
    <mergeCell ref="A386:A393"/>
    <mergeCell ref="B386:B387"/>
    <mergeCell ref="O386:O387"/>
    <mergeCell ref="B388:B389"/>
    <mergeCell ref="O388:O389"/>
    <mergeCell ref="B390:B391"/>
    <mergeCell ref="O390:O391"/>
    <mergeCell ref="B414:B415"/>
    <mergeCell ref="O414:O415"/>
    <mergeCell ref="B416:B417"/>
    <mergeCell ref="O416:O417"/>
    <mergeCell ref="B408:B409"/>
    <mergeCell ref="O408:O409"/>
    <mergeCell ref="A410:A417"/>
    <mergeCell ref="B410:B411"/>
    <mergeCell ref="O410:O411"/>
    <mergeCell ref="B412:B413"/>
    <mergeCell ref="O412:O413"/>
    <mergeCell ref="A402:A409"/>
    <mergeCell ref="B402:B403"/>
    <mergeCell ref="O402:O403"/>
    <mergeCell ref="B404:B405"/>
    <mergeCell ref="O404:O405"/>
    <mergeCell ref="B406:B407"/>
    <mergeCell ref="O406:O407"/>
    <mergeCell ref="B430:B431"/>
    <mergeCell ref="O430:O431"/>
    <mergeCell ref="B432:B433"/>
    <mergeCell ref="O432:O433"/>
    <mergeCell ref="B424:B425"/>
    <mergeCell ref="O424:O425"/>
    <mergeCell ref="A426:A433"/>
    <mergeCell ref="B426:B427"/>
    <mergeCell ref="O426:O427"/>
    <mergeCell ref="B428:B429"/>
    <mergeCell ref="O428:O429"/>
    <mergeCell ref="A418:A425"/>
    <mergeCell ref="B418:B419"/>
    <mergeCell ref="O418:O419"/>
    <mergeCell ref="B420:B421"/>
    <mergeCell ref="O420:O421"/>
    <mergeCell ref="B422:B423"/>
    <mergeCell ref="O422:O423"/>
    <mergeCell ref="B446:B447"/>
    <mergeCell ref="O446:O447"/>
    <mergeCell ref="B448:B449"/>
    <mergeCell ref="O448:O449"/>
    <mergeCell ref="B440:B441"/>
    <mergeCell ref="O440:O441"/>
    <mergeCell ref="A442:A449"/>
    <mergeCell ref="B442:B443"/>
    <mergeCell ref="O442:O443"/>
    <mergeCell ref="B444:B445"/>
    <mergeCell ref="O444:O445"/>
    <mergeCell ref="A434:A441"/>
    <mergeCell ref="B434:B435"/>
    <mergeCell ref="O434:O435"/>
    <mergeCell ref="B436:B437"/>
    <mergeCell ref="O436:O437"/>
    <mergeCell ref="B438:B439"/>
    <mergeCell ref="O438:O439"/>
    <mergeCell ref="B462:B463"/>
    <mergeCell ref="O462:O463"/>
    <mergeCell ref="B464:B465"/>
    <mergeCell ref="O464:O465"/>
    <mergeCell ref="B456:B457"/>
    <mergeCell ref="O456:O457"/>
    <mergeCell ref="A458:A465"/>
    <mergeCell ref="B458:B459"/>
    <mergeCell ref="O458:O459"/>
    <mergeCell ref="B460:B461"/>
    <mergeCell ref="O460:O461"/>
    <mergeCell ref="A450:A457"/>
    <mergeCell ref="B450:B451"/>
    <mergeCell ref="O450:O451"/>
    <mergeCell ref="B452:B453"/>
    <mergeCell ref="O452:O453"/>
    <mergeCell ref="B454:B455"/>
    <mergeCell ref="O454:O455"/>
    <mergeCell ref="B478:B479"/>
    <mergeCell ref="O478:O479"/>
    <mergeCell ref="B480:B481"/>
    <mergeCell ref="O480:O481"/>
    <mergeCell ref="B472:B473"/>
    <mergeCell ref="O472:O473"/>
    <mergeCell ref="A474:A481"/>
    <mergeCell ref="B474:B475"/>
    <mergeCell ref="O474:O475"/>
    <mergeCell ref="B476:B477"/>
    <mergeCell ref="O476:O477"/>
    <mergeCell ref="A466:A473"/>
    <mergeCell ref="B466:B467"/>
    <mergeCell ref="O466:O467"/>
    <mergeCell ref="B468:B469"/>
    <mergeCell ref="O468:O469"/>
    <mergeCell ref="B470:B471"/>
    <mergeCell ref="O470:O471"/>
    <mergeCell ref="B494:B495"/>
    <mergeCell ref="O494:O495"/>
    <mergeCell ref="B496:B497"/>
    <mergeCell ref="O496:O497"/>
    <mergeCell ref="B488:B489"/>
    <mergeCell ref="O488:O489"/>
    <mergeCell ref="A490:A497"/>
    <mergeCell ref="B490:B491"/>
    <mergeCell ref="O490:O491"/>
    <mergeCell ref="B492:B493"/>
    <mergeCell ref="O492:O493"/>
    <mergeCell ref="A482:A489"/>
    <mergeCell ref="B482:B483"/>
    <mergeCell ref="O482:O483"/>
    <mergeCell ref="B484:B485"/>
    <mergeCell ref="O484:O485"/>
    <mergeCell ref="B486:B487"/>
    <mergeCell ref="O486:O487"/>
    <mergeCell ref="B510:B511"/>
    <mergeCell ref="O510:O511"/>
    <mergeCell ref="B512:B513"/>
    <mergeCell ref="O512:O513"/>
    <mergeCell ref="B504:B505"/>
    <mergeCell ref="O504:O505"/>
    <mergeCell ref="A506:A513"/>
    <mergeCell ref="B506:B507"/>
    <mergeCell ref="O506:O507"/>
    <mergeCell ref="B508:B509"/>
    <mergeCell ref="O508:O509"/>
    <mergeCell ref="A498:A505"/>
    <mergeCell ref="B498:B499"/>
    <mergeCell ref="O498:O499"/>
    <mergeCell ref="B500:B501"/>
    <mergeCell ref="O500:O501"/>
    <mergeCell ref="B502:B503"/>
    <mergeCell ref="O502:O503"/>
    <mergeCell ref="B526:B527"/>
    <mergeCell ref="O526:O527"/>
    <mergeCell ref="B528:B529"/>
    <mergeCell ref="O528:O529"/>
    <mergeCell ref="B520:B521"/>
    <mergeCell ref="O520:O521"/>
    <mergeCell ref="A522:A529"/>
    <mergeCell ref="B522:B523"/>
    <mergeCell ref="O522:O523"/>
    <mergeCell ref="B524:B525"/>
    <mergeCell ref="O524:O525"/>
    <mergeCell ref="A514:A521"/>
    <mergeCell ref="B514:B515"/>
    <mergeCell ref="O514:O515"/>
    <mergeCell ref="B516:B517"/>
    <mergeCell ref="O516:O517"/>
    <mergeCell ref="B518:B519"/>
    <mergeCell ref="O518:O519"/>
    <mergeCell ref="B542:B543"/>
    <mergeCell ref="O542:O543"/>
    <mergeCell ref="B544:B545"/>
    <mergeCell ref="O544:O545"/>
    <mergeCell ref="B536:B537"/>
    <mergeCell ref="O536:O537"/>
    <mergeCell ref="A538:A545"/>
    <mergeCell ref="B538:B539"/>
    <mergeCell ref="O538:O539"/>
    <mergeCell ref="B540:B541"/>
    <mergeCell ref="O540:O541"/>
    <mergeCell ref="A530:A537"/>
    <mergeCell ref="B530:B531"/>
    <mergeCell ref="O530:O531"/>
    <mergeCell ref="B532:B533"/>
    <mergeCell ref="O532:O533"/>
    <mergeCell ref="B534:B535"/>
    <mergeCell ref="O534:O535"/>
    <mergeCell ref="B558:B559"/>
    <mergeCell ref="O558:O559"/>
    <mergeCell ref="B560:B561"/>
    <mergeCell ref="O560:O561"/>
    <mergeCell ref="B552:B553"/>
    <mergeCell ref="O552:O553"/>
    <mergeCell ref="A554:A561"/>
    <mergeCell ref="B554:B555"/>
    <mergeCell ref="O554:O555"/>
    <mergeCell ref="B556:B557"/>
    <mergeCell ref="O556:O557"/>
    <mergeCell ref="A546:A553"/>
    <mergeCell ref="B546:B547"/>
    <mergeCell ref="O546:O547"/>
    <mergeCell ref="B548:B549"/>
    <mergeCell ref="O548:O549"/>
    <mergeCell ref="B550:B551"/>
    <mergeCell ref="O550:O551"/>
    <mergeCell ref="B574:B575"/>
    <mergeCell ref="O574:O575"/>
    <mergeCell ref="B576:B577"/>
    <mergeCell ref="O576:O577"/>
    <mergeCell ref="B568:B569"/>
    <mergeCell ref="O568:O569"/>
    <mergeCell ref="A570:A577"/>
    <mergeCell ref="B570:B571"/>
    <mergeCell ref="O570:O571"/>
    <mergeCell ref="B572:B573"/>
    <mergeCell ref="O572:O573"/>
    <mergeCell ref="A562:A569"/>
    <mergeCell ref="B562:B563"/>
    <mergeCell ref="O562:O563"/>
    <mergeCell ref="B564:B565"/>
    <mergeCell ref="O564:O565"/>
    <mergeCell ref="B566:B567"/>
    <mergeCell ref="O566:O567"/>
    <mergeCell ref="B590:B591"/>
    <mergeCell ref="O590:O591"/>
    <mergeCell ref="B592:B593"/>
    <mergeCell ref="O592:O593"/>
    <mergeCell ref="B584:B585"/>
    <mergeCell ref="O584:O585"/>
    <mergeCell ref="A586:A593"/>
    <mergeCell ref="B586:B587"/>
    <mergeCell ref="O586:O587"/>
    <mergeCell ref="B588:B589"/>
    <mergeCell ref="O588:O589"/>
    <mergeCell ref="A578:A585"/>
    <mergeCell ref="B578:B579"/>
    <mergeCell ref="O578:O579"/>
    <mergeCell ref="B580:B581"/>
    <mergeCell ref="O580:O581"/>
    <mergeCell ref="B582:B583"/>
    <mergeCell ref="O582:O583"/>
    <mergeCell ref="B606:B607"/>
    <mergeCell ref="O606:O607"/>
    <mergeCell ref="B608:B609"/>
    <mergeCell ref="O608:O609"/>
    <mergeCell ref="B600:B601"/>
    <mergeCell ref="O600:O601"/>
    <mergeCell ref="A602:A609"/>
    <mergeCell ref="B602:B603"/>
    <mergeCell ref="O602:O603"/>
    <mergeCell ref="B604:B605"/>
    <mergeCell ref="O604:O605"/>
    <mergeCell ref="A594:A601"/>
    <mergeCell ref="B594:B595"/>
    <mergeCell ref="O594:O595"/>
    <mergeCell ref="B596:B597"/>
    <mergeCell ref="O596:O597"/>
    <mergeCell ref="B598:B599"/>
    <mergeCell ref="O598:O599"/>
    <mergeCell ref="B622:B623"/>
    <mergeCell ref="O622:O623"/>
    <mergeCell ref="B624:B625"/>
    <mergeCell ref="O624:O625"/>
    <mergeCell ref="B616:B617"/>
    <mergeCell ref="O616:O617"/>
    <mergeCell ref="A618:A625"/>
    <mergeCell ref="B618:B619"/>
    <mergeCell ref="O618:O619"/>
    <mergeCell ref="B620:B621"/>
    <mergeCell ref="O620:O621"/>
    <mergeCell ref="A610:A617"/>
    <mergeCell ref="B610:B611"/>
    <mergeCell ref="O610:O611"/>
    <mergeCell ref="B612:B613"/>
    <mergeCell ref="O612:O613"/>
    <mergeCell ref="B614:B615"/>
    <mergeCell ref="O614:O615"/>
    <mergeCell ref="B638:B639"/>
    <mergeCell ref="O638:O639"/>
    <mergeCell ref="B640:B641"/>
    <mergeCell ref="O640:O641"/>
    <mergeCell ref="B632:B633"/>
    <mergeCell ref="O632:O633"/>
    <mergeCell ref="A634:A641"/>
    <mergeCell ref="B634:B635"/>
    <mergeCell ref="O634:O635"/>
    <mergeCell ref="B636:B637"/>
    <mergeCell ref="O636:O637"/>
    <mergeCell ref="A626:A633"/>
    <mergeCell ref="B626:B627"/>
    <mergeCell ref="O626:O627"/>
    <mergeCell ref="B628:B629"/>
    <mergeCell ref="O628:O629"/>
    <mergeCell ref="B630:B631"/>
    <mergeCell ref="O630:O631"/>
    <mergeCell ref="B654:B655"/>
    <mergeCell ref="O654:O655"/>
    <mergeCell ref="B656:B657"/>
    <mergeCell ref="O656:O657"/>
    <mergeCell ref="B648:B649"/>
    <mergeCell ref="O648:O649"/>
    <mergeCell ref="A650:A657"/>
    <mergeCell ref="B650:B651"/>
    <mergeCell ref="O650:O651"/>
    <mergeCell ref="B652:B653"/>
    <mergeCell ref="O652:O653"/>
    <mergeCell ref="A642:A649"/>
    <mergeCell ref="B642:B643"/>
    <mergeCell ref="O642:O643"/>
    <mergeCell ref="B644:B645"/>
    <mergeCell ref="O644:O645"/>
    <mergeCell ref="B646:B647"/>
    <mergeCell ref="O646:O647"/>
    <mergeCell ref="B670:B671"/>
    <mergeCell ref="O670:O671"/>
    <mergeCell ref="B672:B673"/>
    <mergeCell ref="O672:O673"/>
    <mergeCell ref="B664:B665"/>
    <mergeCell ref="O664:O665"/>
    <mergeCell ref="A666:A673"/>
    <mergeCell ref="B666:B667"/>
    <mergeCell ref="O666:O667"/>
    <mergeCell ref="B668:B669"/>
    <mergeCell ref="O668:O669"/>
    <mergeCell ref="A658:A665"/>
    <mergeCell ref="B658:B659"/>
    <mergeCell ref="O658:O659"/>
    <mergeCell ref="B660:B661"/>
    <mergeCell ref="O660:O661"/>
    <mergeCell ref="B662:B663"/>
    <mergeCell ref="O662:O663"/>
    <mergeCell ref="B686:B687"/>
    <mergeCell ref="O686:O687"/>
    <mergeCell ref="B688:B689"/>
    <mergeCell ref="O688:O689"/>
    <mergeCell ref="B680:B681"/>
    <mergeCell ref="O680:O681"/>
    <mergeCell ref="A682:A689"/>
    <mergeCell ref="B682:B683"/>
    <mergeCell ref="O682:O683"/>
    <mergeCell ref="B684:B685"/>
    <mergeCell ref="O684:O685"/>
    <mergeCell ref="A674:A681"/>
    <mergeCell ref="B674:B675"/>
    <mergeCell ref="O674:O675"/>
    <mergeCell ref="B676:B677"/>
    <mergeCell ref="O676:O677"/>
    <mergeCell ref="B678:B679"/>
    <mergeCell ref="O678:O679"/>
    <mergeCell ref="B702:B703"/>
    <mergeCell ref="O702:O703"/>
    <mergeCell ref="B704:B705"/>
    <mergeCell ref="O704:O705"/>
    <mergeCell ref="B696:B697"/>
    <mergeCell ref="O696:O697"/>
    <mergeCell ref="A698:A705"/>
    <mergeCell ref="B698:B699"/>
    <mergeCell ref="O698:O699"/>
    <mergeCell ref="B700:B701"/>
    <mergeCell ref="O700:O701"/>
    <mergeCell ref="A690:A697"/>
    <mergeCell ref="B690:B691"/>
    <mergeCell ref="O690:O691"/>
    <mergeCell ref="B692:B693"/>
    <mergeCell ref="O692:O693"/>
    <mergeCell ref="B694:B695"/>
    <mergeCell ref="O694:O695"/>
    <mergeCell ref="B718:B719"/>
    <mergeCell ref="O718:O719"/>
    <mergeCell ref="B720:B721"/>
    <mergeCell ref="O720:O721"/>
    <mergeCell ref="B712:B713"/>
    <mergeCell ref="O712:O713"/>
    <mergeCell ref="A714:A721"/>
    <mergeCell ref="B714:B715"/>
    <mergeCell ref="O714:O715"/>
    <mergeCell ref="B716:B717"/>
    <mergeCell ref="O716:O717"/>
    <mergeCell ref="A706:A713"/>
    <mergeCell ref="B706:B707"/>
    <mergeCell ref="O706:O707"/>
    <mergeCell ref="B708:B709"/>
    <mergeCell ref="O708:O709"/>
    <mergeCell ref="B710:B711"/>
    <mergeCell ref="O710:O711"/>
    <mergeCell ref="B734:B735"/>
    <mergeCell ref="O734:O735"/>
    <mergeCell ref="B736:B737"/>
    <mergeCell ref="O736:O737"/>
    <mergeCell ref="B728:B729"/>
    <mergeCell ref="O728:O729"/>
    <mergeCell ref="A730:A737"/>
    <mergeCell ref="B730:B731"/>
    <mergeCell ref="O730:O731"/>
    <mergeCell ref="B732:B733"/>
    <mergeCell ref="O732:O733"/>
    <mergeCell ref="A722:A729"/>
    <mergeCell ref="B722:B723"/>
    <mergeCell ref="O722:O723"/>
    <mergeCell ref="B724:B725"/>
    <mergeCell ref="O724:O725"/>
    <mergeCell ref="B726:B727"/>
    <mergeCell ref="O726:O727"/>
    <mergeCell ref="B750:B751"/>
    <mergeCell ref="O750:O751"/>
    <mergeCell ref="B752:B753"/>
    <mergeCell ref="O752:O753"/>
    <mergeCell ref="B744:B745"/>
    <mergeCell ref="O744:O745"/>
    <mergeCell ref="A746:A753"/>
    <mergeCell ref="B746:B747"/>
    <mergeCell ref="O746:O747"/>
    <mergeCell ref="B748:B749"/>
    <mergeCell ref="O748:O749"/>
    <mergeCell ref="A738:A745"/>
    <mergeCell ref="B738:B739"/>
    <mergeCell ref="O738:O739"/>
    <mergeCell ref="B740:B741"/>
    <mergeCell ref="O740:O741"/>
    <mergeCell ref="B742:B743"/>
    <mergeCell ref="O742:O743"/>
    <mergeCell ref="B766:B767"/>
    <mergeCell ref="O766:O767"/>
    <mergeCell ref="B768:B769"/>
    <mergeCell ref="O768:O769"/>
    <mergeCell ref="B760:B761"/>
    <mergeCell ref="O760:O761"/>
    <mergeCell ref="A762:A769"/>
    <mergeCell ref="B762:B763"/>
    <mergeCell ref="O762:O763"/>
    <mergeCell ref="B764:B765"/>
    <mergeCell ref="O764:O765"/>
    <mergeCell ref="A754:A761"/>
    <mergeCell ref="B754:B755"/>
    <mergeCell ref="O754:O755"/>
    <mergeCell ref="B756:B757"/>
    <mergeCell ref="O756:O757"/>
    <mergeCell ref="B758:B759"/>
    <mergeCell ref="O758:O759"/>
    <mergeCell ref="B782:B783"/>
    <mergeCell ref="O782:O783"/>
    <mergeCell ref="B784:B785"/>
    <mergeCell ref="O784:O785"/>
    <mergeCell ref="B776:B777"/>
    <mergeCell ref="O776:O777"/>
    <mergeCell ref="A778:A785"/>
    <mergeCell ref="B778:B779"/>
    <mergeCell ref="O778:O779"/>
    <mergeCell ref="B780:B781"/>
    <mergeCell ref="O780:O781"/>
    <mergeCell ref="A770:A777"/>
    <mergeCell ref="B770:B771"/>
    <mergeCell ref="O770:O771"/>
    <mergeCell ref="B772:B773"/>
    <mergeCell ref="O772:O773"/>
    <mergeCell ref="B774:B775"/>
    <mergeCell ref="O774:O775"/>
    <mergeCell ref="B798:B799"/>
    <mergeCell ref="O798:O799"/>
    <mergeCell ref="B800:B801"/>
    <mergeCell ref="O800:O801"/>
    <mergeCell ref="B792:B793"/>
    <mergeCell ref="O792:O793"/>
    <mergeCell ref="A794:A801"/>
    <mergeCell ref="B794:B795"/>
    <mergeCell ref="O794:O795"/>
    <mergeCell ref="B796:B797"/>
    <mergeCell ref="O796:O797"/>
    <mergeCell ref="A786:A793"/>
    <mergeCell ref="B786:B787"/>
    <mergeCell ref="O786:O787"/>
    <mergeCell ref="B788:B789"/>
    <mergeCell ref="O788:O789"/>
    <mergeCell ref="B790:B791"/>
    <mergeCell ref="O790:O791"/>
    <mergeCell ref="B814:B815"/>
    <mergeCell ref="O814:O815"/>
    <mergeCell ref="B816:B817"/>
    <mergeCell ref="O816:O817"/>
    <mergeCell ref="B808:B809"/>
    <mergeCell ref="O808:O809"/>
    <mergeCell ref="A810:A817"/>
    <mergeCell ref="B810:B811"/>
    <mergeCell ref="O810:O811"/>
    <mergeCell ref="B812:B813"/>
    <mergeCell ref="O812:O813"/>
    <mergeCell ref="A802:A809"/>
    <mergeCell ref="B802:B803"/>
    <mergeCell ref="O802:O803"/>
    <mergeCell ref="B804:B805"/>
    <mergeCell ref="O804:O805"/>
    <mergeCell ref="B806:B807"/>
    <mergeCell ref="O806:O807"/>
    <mergeCell ref="B830:B831"/>
    <mergeCell ref="O830:O831"/>
    <mergeCell ref="B832:B833"/>
    <mergeCell ref="O832:O833"/>
    <mergeCell ref="B824:B825"/>
    <mergeCell ref="O824:O825"/>
    <mergeCell ref="A826:A833"/>
    <mergeCell ref="B826:B827"/>
    <mergeCell ref="O826:O827"/>
    <mergeCell ref="B828:B829"/>
    <mergeCell ref="O828:O829"/>
    <mergeCell ref="A818:A825"/>
    <mergeCell ref="B818:B819"/>
    <mergeCell ref="O818:O819"/>
    <mergeCell ref="B820:B821"/>
    <mergeCell ref="O820:O821"/>
    <mergeCell ref="B822:B823"/>
    <mergeCell ref="O822:O823"/>
    <mergeCell ref="B846:B847"/>
    <mergeCell ref="O846:O847"/>
    <mergeCell ref="B848:B849"/>
    <mergeCell ref="O848:O849"/>
    <mergeCell ref="B840:B841"/>
    <mergeCell ref="O840:O841"/>
    <mergeCell ref="A842:A849"/>
    <mergeCell ref="B842:B843"/>
    <mergeCell ref="O842:O843"/>
    <mergeCell ref="B844:B845"/>
    <mergeCell ref="O844:O845"/>
    <mergeCell ref="A834:A841"/>
    <mergeCell ref="B834:B835"/>
    <mergeCell ref="O834:O835"/>
    <mergeCell ref="B836:B837"/>
    <mergeCell ref="O836:O837"/>
    <mergeCell ref="B838:B839"/>
    <mergeCell ref="O838:O839"/>
    <mergeCell ref="B862:B863"/>
    <mergeCell ref="O862:O863"/>
    <mergeCell ref="B864:B865"/>
    <mergeCell ref="O864:O865"/>
    <mergeCell ref="B856:B857"/>
    <mergeCell ref="O856:O857"/>
    <mergeCell ref="A858:A865"/>
    <mergeCell ref="B858:B859"/>
    <mergeCell ref="O858:O859"/>
    <mergeCell ref="B860:B861"/>
    <mergeCell ref="O860:O861"/>
    <mergeCell ref="A850:A857"/>
    <mergeCell ref="B850:B851"/>
    <mergeCell ref="O850:O851"/>
    <mergeCell ref="B852:B853"/>
    <mergeCell ref="O852:O853"/>
    <mergeCell ref="B854:B855"/>
    <mergeCell ref="O854:O855"/>
    <mergeCell ref="B878:B879"/>
    <mergeCell ref="O878:O879"/>
    <mergeCell ref="B880:B881"/>
    <mergeCell ref="O880:O881"/>
    <mergeCell ref="B872:B873"/>
    <mergeCell ref="O872:O873"/>
    <mergeCell ref="A874:A881"/>
    <mergeCell ref="B874:B875"/>
    <mergeCell ref="O874:O875"/>
    <mergeCell ref="B876:B877"/>
    <mergeCell ref="O876:O877"/>
    <mergeCell ref="A866:A873"/>
    <mergeCell ref="B866:B867"/>
    <mergeCell ref="O866:O867"/>
    <mergeCell ref="B868:B869"/>
    <mergeCell ref="O868:O869"/>
    <mergeCell ref="B870:B871"/>
    <mergeCell ref="O870:O871"/>
    <mergeCell ref="B894:B895"/>
    <mergeCell ref="O894:O895"/>
    <mergeCell ref="B896:B897"/>
    <mergeCell ref="O896:O897"/>
    <mergeCell ref="B888:B889"/>
    <mergeCell ref="O888:O889"/>
    <mergeCell ref="A890:A897"/>
    <mergeCell ref="B890:B891"/>
    <mergeCell ref="O890:O891"/>
    <mergeCell ref="B892:B893"/>
    <mergeCell ref="O892:O893"/>
    <mergeCell ref="A882:A889"/>
    <mergeCell ref="B882:B883"/>
    <mergeCell ref="O882:O883"/>
    <mergeCell ref="B884:B885"/>
    <mergeCell ref="O884:O885"/>
    <mergeCell ref="B886:B887"/>
    <mergeCell ref="O886:O887"/>
    <mergeCell ref="B910:B911"/>
    <mergeCell ref="O910:O911"/>
    <mergeCell ref="B912:B913"/>
    <mergeCell ref="O912:O913"/>
    <mergeCell ref="B904:B905"/>
    <mergeCell ref="O904:O905"/>
    <mergeCell ref="A906:A913"/>
    <mergeCell ref="B906:B907"/>
    <mergeCell ref="O906:O907"/>
    <mergeCell ref="B908:B909"/>
    <mergeCell ref="O908:O909"/>
    <mergeCell ref="A898:A905"/>
    <mergeCell ref="B898:B899"/>
    <mergeCell ref="O898:O899"/>
    <mergeCell ref="B900:B901"/>
    <mergeCell ref="O900:O901"/>
    <mergeCell ref="B902:B903"/>
    <mergeCell ref="O902:O903"/>
    <mergeCell ref="B926:B927"/>
    <mergeCell ref="O926:O927"/>
    <mergeCell ref="B928:B929"/>
    <mergeCell ref="O928:O929"/>
    <mergeCell ref="B920:B921"/>
    <mergeCell ref="O920:O921"/>
    <mergeCell ref="A922:A929"/>
    <mergeCell ref="B922:B923"/>
    <mergeCell ref="O922:O923"/>
    <mergeCell ref="B924:B925"/>
    <mergeCell ref="O924:O925"/>
    <mergeCell ref="A914:A921"/>
    <mergeCell ref="B914:B915"/>
    <mergeCell ref="O914:O915"/>
    <mergeCell ref="B916:B917"/>
    <mergeCell ref="O916:O917"/>
    <mergeCell ref="B918:B919"/>
    <mergeCell ref="O918:O919"/>
    <mergeCell ref="B942:B943"/>
    <mergeCell ref="O942:O943"/>
    <mergeCell ref="B944:B945"/>
    <mergeCell ref="O944:O945"/>
    <mergeCell ref="B936:B937"/>
    <mergeCell ref="O936:O937"/>
    <mergeCell ref="A938:A945"/>
    <mergeCell ref="B938:B939"/>
    <mergeCell ref="O938:O939"/>
    <mergeCell ref="B940:B941"/>
    <mergeCell ref="O940:O941"/>
    <mergeCell ref="A930:A937"/>
    <mergeCell ref="B930:B931"/>
    <mergeCell ref="O930:O931"/>
    <mergeCell ref="B932:B933"/>
    <mergeCell ref="O932:O933"/>
    <mergeCell ref="B934:B935"/>
    <mergeCell ref="O934:O935"/>
    <mergeCell ref="B958:B959"/>
    <mergeCell ref="O958:O959"/>
    <mergeCell ref="B960:B961"/>
    <mergeCell ref="O960:O961"/>
    <mergeCell ref="B952:B953"/>
    <mergeCell ref="O952:O953"/>
    <mergeCell ref="A954:A961"/>
    <mergeCell ref="B954:B955"/>
    <mergeCell ref="O954:O955"/>
    <mergeCell ref="B956:B957"/>
    <mergeCell ref="O956:O957"/>
    <mergeCell ref="A946:A953"/>
    <mergeCell ref="B946:B947"/>
    <mergeCell ref="O946:O947"/>
    <mergeCell ref="B948:B949"/>
    <mergeCell ref="O948:O949"/>
    <mergeCell ref="B950:B951"/>
    <mergeCell ref="O950:O951"/>
    <mergeCell ref="B974:B975"/>
    <mergeCell ref="O974:O975"/>
    <mergeCell ref="B976:B977"/>
    <mergeCell ref="O976:O977"/>
    <mergeCell ref="B968:B969"/>
    <mergeCell ref="O968:O969"/>
    <mergeCell ref="A970:A977"/>
    <mergeCell ref="B970:B971"/>
    <mergeCell ref="O970:O971"/>
    <mergeCell ref="B972:B973"/>
    <mergeCell ref="O972:O973"/>
    <mergeCell ref="A962:A969"/>
    <mergeCell ref="B962:B963"/>
    <mergeCell ref="O962:O963"/>
    <mergeCell ref="B964:B965"/>
    <mergeCell ref="O964:O965"/>
    <mergeCell ref="B966:B967"/>
    <mergeCell ref="O966:O967"/>
    <mergeCell ref="B990:B991"/>
    <mergeCell ref="O990:O991"/>
    <mergeCell ref="B992:B993"/>
    <mergeCell ref="O992:O993"/>
    <mergeCell ref="B984:B985"/>
    <mergeCell ref="O984:O985"/>
    <mergeCell ref="A986:A993"/>
    <mergeCell ref="B986:B987"/>
    <mergeCell ref="O986:O987"/>
    <mergeCell ref="B988:B989"/>
    <mergeCell ref="O988:O989"/>
    <mergeCell ref="A978:A985"/>
    <mergeCell ref="B978:B979"/>
    <mergeCell ref="O978:O979"/>
    <mergeCell ref="B980:B981"/>
    <mergeCell ref="O980:O981"/>
    <mergeCell ref="B982:B983"/>
    <mergeCell ref="O982:O983"/>
    <mergeCell ref="B1006:B1007"/>
    <mergeCell ref="O1006:O1007"/>
    <mergeCell ref="B1008:B1009"/>
    <mergeCell ref="O1008:O1009"/>
    <mergeCell ref="B1000:B1001"/>
    <mergeCell ref="O1000:O1001"/>
    <mergeCell ref="A1002:A1009"/>
    <mergeCell ref="B1002:B1003"/>
    <mergeCell ref="O1002:O1003"/>
    <mergeCell ref="B1004:B1005"/>
    <mergeCell ref="O1004:O1005"/>
    <mergeCell ref="A994:A1001"/>
    <mergeCell ref="B994:B995"/>
    <mergeCell ref="O994:O995"/>
    <mergeCell ref="B996:B997"/>
    <mergeCell ref="O996:O997"/>
    <mergeCell ref="B998:B999"/>
    <mergeCell ref="O998:O999"/>
    <mergeCell ref="B1022:B1023"/>
    <mergeCell ref="O1022:O1023"/>
    <mergeCell ref="B1024:B1025"/>
    <mergeCell ref="O1024:O1025"/>
    <mergeCell ref="B1016:B1017"/>
    <mergeCell ref="O1016:O1017"/>
    <mergeCell ref="A1018:A1025"/>
    <mergeCell ref="B1018:B1019"/>
    <mergeCell ref="O1018:O1019"/>
    <mergeCell ref="B1020:B1021"/>
    <mergeCell ref="O1020:O1021"/>
    <mergeCell ref="A1010:A1017"/>
    <mergeCell ref="B1010:B1011"/>
    <mergeCell ref="O1010:O1011"/>
    <mergeCell ref="B1012:B1013"/>
    <mergeCell ref="O1012:O1013"/>
    <mergeCell ref="B1014:B1015"/>
    <mergeCell ref="O1014:O1015"/>
    <mergeCell ref="B1038:B1039"/>
    <mergeCell ref="O1038:O1039"/>
    <mergeCell ref="B1040:B1041"/>
    <mergeCell ref="O1040:O1041"/>
    <mergeCell ref="B1032:B1033"/>
    <mergeCell ref="O1032:O1033"/>
    <mergeCell ref="A1034:A1041"/>
    <mergeCell ref="B1034:B1035"/>
    <mergeCell ref="O1034:O1035"/>
    <mergeCell ref="B1036:B1037"/>
    <mergeCell ref="O1036:O1037"/>
    <mergeCell ref="A1026:A1033"/>
    <mergeCell ref="B1026:B1027"/>
    <mergeCell ref="O1026:O1027"/>
    <mergeCell ref="B1028:B1029"/>
    <mergeCell ref="O1028:O1029"/>
    <mergeCell ref="B1030:B1031"/>
    <mergeCell ref="O1030:O1031"/>
    <mergeCell ref="B1054:B1055"/>
    <mergeCell ref="O1054:O1055"/>
    <mergeCell ref="B1056:B1057"/>
    <mergeCell ref="O1056:O1057"/>
    <mergeCell ref="B1048:B1049"/>
    <mergeCell ref="O1048:O1049"/>
    <mergeCell ref="A1050:A1057"/>
    <mergeCell ref="B1050:B1051"/>
    <mergeCell ref="O1050:O1051"/>
    <mergeCell ref="B1052:B1053"/>
    <mergeCell ref="O1052:O1053"/>
    <mergeCell ref="A1042:A1049"/>
    <mergeCell ref="B1042:B1043"/>
    <mergeCell ref="O1042:O1043"/>
    <mergeCell ref="B1044:B1045"/>
    <mergeCell ref="O1044:O1045"/>
    <mergeCell ref="B1046:B1047"/>
    <mergeCell ref="O1046:O1047"/>
    <mergeCell ref="B1070:B1071"/>
    <mergeCell ref="O1070:O1071"/>
    <mergeCell ref="B1072:B1073"/>
    <mergeCell ref="O1072:O1073"/>
    <mergeCell ref="B1064:B1065"/>
    <mergeCell ref="O1064:O1065"/>
    <mergeCell ref="A1066:A1073"/>
    <mergeCell ref="B1066:B1067"/>
    <mergeCell ref="O1066:O1067"/>
    <mergeCell ref="B1068:B1069"/>
    <mergeCell ref="O1068:O1069"/>
    <mergeCell ref="A1058:A1065"/>
    <mergeCell ref="B1058:B1059"/>
    <mergeCell ref="O1058:O1059"/>
    <mergeCell ref="B1060:B1061"/>
    <mergeCell ref="O1060:O1061"/>
    <mergeCell ref="B1062:B1063"/>
    <mergeCell ref="O1062:O1063"/>
    <mergeCell ref="B1086:B1087"/>
    <mergeCell ref="O1086:O1087"/>
    <mergeCell ref="B1088:B1089"/>
    <mergeCell ref="O1088:O1089"/>
    <mergeCell ref="B1080:B1081"/>
    <mergeCell ref="O1080:O1081"/>
    <mergeCell ref="A1082:A1089"/>
    <mergeCell ref="B1082:B1083"/>
    <mergeCell ref="O1082:O1083"/>
    <mergeCell ref="B1084:B1085"/>
    <mergeCell ref="O1084:O1085"/>
    <mergeCell ref="A1074:A1081"/>
    <mergeCell ref="B1074:B1075"/>
    <mergeCell ref="O1074:O1075"/>
    <mergeCell ref="B1076:B1077"/>
    <mergeCell ref="O1076:O1077"/>
    <mergeCell ref="B1078:B1079"/>
    <mergeCell ref="O1078:O1079"/>
    <mergeCell ref="B1102:B1103"/>
    <mergeCell ref="O1102:O1103"/>
    <mergeCell ref="B1104:B1105"/>
    <mergeCell ref="O1104:O1105"/>
    <mergeCell ref="B1096:B1097"/>
    <mergeCell ref="O1096:O1097"/>
    <mergeCell ref="A1098:A1105"/>
    <mergeCell ref="B1098:B1099"/>
    <mergeCell ref="O1098:O1099"/>
    <mergeCell ref="B1100:B1101"/>
    <mergeCell ref="O1100:O1101"/>
    <mergeCell ref="A1090:A1097"/>
    <mergeCell ref="B1090:B1091"/>
    <mergeCell ref="O1090:O1091"/>
    <mergeCell ref="B1092:B1093"/>
    <mergeCell ref="O1092:O1093"/>
    <mergeCell ref="B1094:B1095"/>
    <mergeCell ref="O1094:O1095"/>
    <mergeCell ref="B1118:B1119"/>
    <mergeCell ref="O1118:O1119"/>
    <mergeCell ref="B1120:B1121"/>
    <mergeCell ref="O1120:O1121"/>
    <mergeCell ref="B1112:B1113"/>
    <mergeCell ref="O1112:O1113"/>
    <mergeCell ref="A1114:A1121"/>
    <mergeCell ref="B1114:B1115"/>
    <mergeCell ref="O1114:O1115"/>
    <mergeCell ref="B1116:B1117"/>
    <mergeCell ref="O1116:O1117"/>
    <mergeCell ref="A1106:A1113"/>
    <mergeCell ref="B1106:B1107"/>
    <mergeCell ref="O1106:O1107"/>
    <mergeCell ref="B1108:B1109"/>
    <mergeCell ref="O1108:O1109"/>
    <mergeCell ref="B1110:B1111"/>
    <mergeCell ref="O1110:O1111"/>
    <mergeCell ref="B1134:B1135"/>
    <mergeCell ref="O1134:O1135"/>
    <mergeCell ref="B1136:B1137"/>
    <mergeCell ref="O1136:O1137"/>
    <mergeCell ref="B1128:B1129"/>
    <mergeCell ref="O1128:O1129"/>
    <mergeCell ref="A1130:A1137"/>
    <mergeCell ref="B1130:B1131"/>
    <mergeCell ref="O1130:O1131"/>
    <mergeCell ref="B1132:B1133"/>
    <mergeCell ref="O1132:O1133"/>
    <mergeCell ref="A1122:A1129"/>
    <mergeCell ref="B1122:B1123"/>
    <mergeCell ref="O1122:O1123"/>
    <mergeCell ref="B1124:B1125"/>
    <mergeCell ref="O1124:O1125"/>
    <mergeCell ref="B1126:B1127"/>
    <mergeCell ref="O1126:O1127"/>
    <mergeCell ref="B1150:B1151"/>
    <mergeCell ref="O1150:O1151"/>
    <mergeCell ref="B1152:B1153"/>
    <mergeCell ref="O1152:O1153"/>
    <mergeCell ref="B1144:B1145"/>
    <mergeCell ref="O1144:O1145"/>
    <mergeCell ref="A1146:A1153"/>
    <mergeCell ref="B1146:B1147"/>
    <mergeCell ref="O1146:O1147"/>
    <mergeCell ref="B1148:B1149"/>
    <mergeCell ref="O1148:O1149"/>
    <mergeCell ref="A1138:A1145"/>
    <mergeCell ref="B1138:B1139"/>
    <mergeCell ref="O1138:O1139"/>
    <mergeCell ref="B1140:B1141"/>
    <mergeCell ref="O1140:O1141"/>
    <mergeCell ref="B1142:B1143"/>
    <mergeCell ref="O1142:O1143"/>
    <mergeCell ref="B1166:B1167"/>
    <mergeCell ref="O1166:O1167"/>
    <mergeCell ref="B1168:B1169"/>
    <mergeCell ref="O1168:O1169"/>
    <mergeCell ref="B1160:B1161"/>
    <mergeCell ref="O1160:O1161"/>
    <mergeCell ref="A1162:A1169"/>
    <mergeCell ref="B1162:B1163"/>
    <mergeCell ref="O1162:O1163"/>
    <mergeCell ref="B1164:B1165"/>
    <mergeCell ref="O1164:O1165"/>
    <mergeCell ref="A1154:A1161"/>
    <mergeCell ref="B1154:B1155"/>
    <mergeCell ref="O1154:O1155"/>
    <mergeCell ref="B1156:B1157"/>
    <mergeCell ref="O1156:O1157"/>
    <mergeCell ref="B1158:B1159"/>
    <mergeCell ref="O1158:O1159"/>
    <mergeCell ref="B1182:B1183"/>
    <mergeCell ref="O1182:O1183"/>
    <mergeCell ref="B1184:B1185"/>
    <mergeCell ref="O1184:O1185"/>
    <mergeCell ref="B1176:B1177"/>
    <mergeCell ref="O1176:O1177"/>
    <mergeCell ref="A1178:A1185"/>
    <mergeCell ref="B1178:B1179"/>
    <mergeCell ref="O1178:O1179"/>
    <mergeCell ref="B1180:B1181"/>
    <mergeCell ref="O1180:O1181"/>
    <mergeCell ref="A1170:A1177"/>
    <mergeCell ref="B1170:B1171"/>
    <mergeCell ref="O1170:O1171"/>
    <mergeCell ref="B1172:B1173"/>
    <mergeCell ref="O1172:O1173"/>
    <mergeCell ref="B1174:B1175"/>
    <mergeCell ref="O1174:O1175"/>
    <mergeCell ref="B1198:B1199"/>
    <mergeCell ref="O1198:O1199"/>
    <mergeCell ref="B1200:B1201"/>
    <mergeCell ref="O1200:O1201"/>
    <mergeCell ref="B1192:B1193"/>
    <mergeCell ref="O1192:O1193"/>
    <mergeCell ref="A1194:A1201"/>
    <mergeCell ref="B1194:B1195"/>
    <mergeCell ref="O1194:O1195"/>
    <mergeCell ref="B1196:B1197"/>
    <mergeCell ref="O1196:O1197"/>
    <mergeCell ref="A1186:A1193"/>
    <mergeCell ref="B1186:B1187"/>
    <mergeCell ref="O1186:O1187"/>
    <mergeCell ref="B1188:B1189"/>
    <mergeCell ref="O1188:O1189"/>
    <mergeCell ref="B1190:B1191"/>
    <mergeCell ref="O1190:O1191"/>
    <mergeCell ref="B1214:B1215"/>
    <mergeCell ref="O1214:O1215"/>
    <mergeCell ref="B1216:B1217"/>
    <mergeCell ref="O1216:O1217"/>
    <mergeCell ref="B1208:B1209"/>
    <mergeCell ref="O1208:O1209"/>
    <mergeCell ref="A1210:A1217"/>
    <mergeCell ref="B1210:B1211"/>
    <mergeCell ref="O1210:O1211"/>
    <mergeCell ref="B1212:B1213"/>
    <mergeCell ref="O1212:O1213"/>
    <mergeCell ref="A1202:A1209"/>
    <mergeCell ref="B1202:B1203"/>
    <mergeCell ref="O1202:O1203"/>
    <mergeCell ref="B1204:B1205"/>
    <mergeCell ref="O1204:O1205"/>
    <mergeCell ref="B1206:B1207"/>
    <mergeCell ref="O1206:O1207"/>
    <mergeCell ref="B1230:B1231"/>
    <mergeCell ref="O1230:O1231"/>
    <mergeCell ref="B1232:B1233"/>
    <mergeCell ref="O1232:O1233"/>
    <mergeCell ref="B1224:B1225"/>
    <mergeCell ref="O1224:O1225"/>
    <mergeCell ref="A1226:A1233"/>
    <mergeCell ref="B1226:B1227"/>
    <mergeCell ref="O1226:O1227"/>
    <mergeCell ref="B1228:B1229"/>
    <mergeCell ref="O1228:O1229"/>
    <mergeCell ref="A1218:A1225"/>
    <mergeCell ref="B1218:B1219"/>
    <mergeCell ref="O1218:O1219"/>
    <mergeCell ref="B1220:B1221"/>
    <mergeCell ref="O1220:O1221"/>
    <mergeCell ref="B1222:B1223"/>
    <mergeCell ref="O1222:O1223"/>
    <mergeCell ref="B1246:B1247"/>
    <mergeCell ref="O1246:O1247"/>
    <mergeCell ref="B1248:B1249"/>
    <mergeCell ref="O1248:O1249"/>
    <mergeCell ref="B1240:B1241"/>
    <mergeCell ref="O1240:O1241"/>
    <mergeCell ref="A1242:A1249"/>
    <mergeCell ref="B1242:B1243"/>
    <mergeCell ref="O1242:O1243"/>
    <mergeCell ref="B1244:B1245"/>
    <mergeCell ref="O1244:O1245"/>
    <mergeCell ref="A1234:A1241"/>
    <mergeCell ref="B1234:B1235"/>
    <mergeCell ref="O1234:O1235"/>
    <mergeCell ref="B1236:B1237"/>
    <mergeCell ref="O1236:O1237"/>
    <mergeCell ref="B1238:B1239"/>
    <mergeCell ref="O1238:O1239"/>
    <mergeCell ref="B1262:B1263"/>
    <mergeCell ref="O1262:O1263"/>
    <mergeCell ref="B1264:B1265"/>
    <mergeCell ref="O1264:O1265"/>
    <mergeCell ref="B1256:B1257"/>
    <mergeCell ref="O1256:O1257"/>
    <mergeCell ref="A1258:A1265"/>
    <mergeCell ref="B1258:B1259"/>
    <mergeCell ref="O1258:O1259"/>
    <mergeCell ref="B1260:B1261"/>
    <mergeCell ref="O1260:O1261"/>
    <mergeCell ref="A1250:A1257"/>
    <mergeCell ref="B1250:B1251"/>
    <mergeCell ref="O1250:O1251"/>
    <mergeCell ref="B1252:B1253"/>
    <mergeCell ref="O1252:O1253"/>
    <mergeCell ref="B1254:B1255"/>
    <mergeCell ref="O1254:O1255"/>
    <mergeCell ref="B1278:B1279"/>
    <mergeCell ref="O1278:O1279"/>
    <mergeCell ref="B1280:B1281"/>
    <mergeCell ref="O1280:O1281"/>
    <mergeCell ref="B1272:B1273"/>
    <mergeCell ref="O1272:O1273"/>
    <mergeCell ref="A1274:A1281"/>
    <mergeCell ref="B1274:B1275"/>
    <mergeCell ref="O1274:O1275"/>
    <mergeCell ref="B1276:B1277"/>
    <mergeCell ref="O1276:O1277"/>
    <mergeCell ref="A1266:A1273"/>
    <mergeCell ref="B1266:B1267"/>
    <mergeCell ref="O1266:O1267"/>
    <mergeCell ref="B1268:B1269"/>
    <mergeCell ref="O1268:O1269"/>
    <mergeCell ref="B1270:B1271"/>
    <mergeCell ref="O1270:O1271"/>
    <mergeCell ref="B1294:B1295"/>
    <mergeCell ref="O1294:O1295"/>
    <mergeCell ref="B1296:B1297"/>
    <mergeCell ref="O1296:O1297"/>
    <mergeCell ref="B1288:B1289"/>
    <mergeCell ref="O1288:O1289"/>
    <mergeCell ref="A1290:A1297"/>
    <mergeCell ref="B1290:B1291"/>
    <mergeCell ref="O1290:O1291"/>
    <mergeCell ref="B1292:B1293"/>
    <mergeCell ref="O1292:O1293"/>
    <mergeCell ref="A1282:A1289"/>
    <mergeCell ref="B1282:B1283"/>
    <mergeCell ref="O1282:O1283"/>
    <mergeCell ref="B1284:B1285"/>
    <mergeCell ref="O1284:O1285"/>
    <mergeCell ref="B1286:B1287"/>
    <mergeCell ref="O1286:O1287"/>
    <mergeCell ref="B1310:B1311"/>
    <mergeCell ref="O1310:O1311"/>
    <mergeCell ref="B1312:B1313"/>
    <mergeCell ref="O1312:O1313"/>
    <mergeCell ref="B1304:B1305"/>
    <mergeCell ref="O1304:O1305"/>
    <mergeCell ref="A1306:A1313"/>
    <mergeCell ref="B1306:B1307"/>
    <mergeCell ref="O1306:O1307"/>
    <mergeCell ref="B1308:B1309"/>
    <mergeCell ref="O1308:O1309"/>
    <mergeCell ref="A1298:A1305"/>
    <mergeCell ref="B1298:B1299"/>
    <mergeCell ref="O1298:O1299"/>
    <mergeCell ref="B1300:B1301"/>
    <mergeCell ref="O1300:O1301"/>
    <mergeCell ref="B1302:B1303"/>
    <mergeCell ref="O1302:O1303"/>
    <mergeCell ref="B1326:B1327"/>
    <mergeCell ref="O1326:O1327"/>
    <mergeCell ref="B1328:B1329"/>
    <mergeCell ref="O1328:O1329"/>
    <mergeCell ref="B1320:B1321"/>
    <mergeCell ref="O1320:O1321"/>
    <mergeCell ref="A1322:A1329"/>
    <mergeCell ref="B1322:B1323"/>
    <mergeCell ref="O1322:O1323"/>
    <mergeCell ref="B1324:B1325"/>
    <mergeCell ref="O1324:O1325"/>
    <mergeCell ref="A1314:A1321"/>
    <mergeCell ref="B1314:B1315"/>
    <mergeCell ref="O1314:O1315"/>
    <mergeCell ref="B1316:B1317"/>
    <mergeCell ref="O1316:O1317"/>
    <mergeCell ref="B1318:B1319"/>
    <mergeCell ref="O1318:O1319"/>
    <mergeCell ref="B1342:B1343"/>
    <mergeCell ref="O1342:O1343"/>
    <mergeCell ref="B1344:B1345"/>
    <mergeCell ref="O1344:O1345"/>
    <mergeCell ref="B1336:B1337"/>
    <mergeCell ref="O1336:O1337"/>
    <mergeCell ref="A1338:A1345"/>
    <mergeCell ref="B1338:B1339"/>
    <mergeCell ref="O1338:O1339"/>
    <mergeCell ref="B1340:B1341"/>
    <mergeCell ref="O1340:O1341"/>
    <mergeCell ref="A1330:A1337"/>
    <mergeCell ref="B1330:B1331"/>
    <mergeCell ref="O1330:O1331"/>
    <mergeCell ref="B1332:B1333"/>
    <mergeCell ref="O1332:O1333"/>
    <mergeCell ref="B1334:B1335"/>
    <mergeCell ref="O1334:O1335"/>
    <mergeCell ref="B1358:B1359"/>
    <mergeCell ref="O1358:O1359"/>
    <mergeCell ref="B1360:B1361"/>
    <mergeCell ref="O1360:O1361"/>
    <mergeCell ref="B1352:B1353"/>
    <mergeCell ref="O1352:O1353"/>
    <mergeCell ref="A1354:A1361"/>
    <mergeCell ref="B1354:B1355"/>
    <mergeCell ref="O1354:O1355"/>
    <mergeCell ref="B1356:B1357"/>
    <mergeCell ref="O1356:O1357"/>
    <mergeCell ref="A1346:A1353"/>
    <mergeCell ref="B1346:B1347"/>
    <mergeCell ref="O1346:O1347"/>
    <mergeCell ref="B1348:B1349"/>
    <mergeCell ref="O1348:O1349"/>
    <mergeCell ref="B1350:B1351"/>
    <mergeCell ref="O1350:O1351"/>
    <mergeCell ref="B1374:B1375"/>
    <mergeCell ref="O1374:O1375"/>
    <mergeCell ref="B1376:B1377"/>
    <mergeCell ref="O1376:O1377"/>
    <mergeCell ref="B1368:B1369"/>
    <mergeCell ref="O1368:O1369"/>
    <mergeCell ref="A1370:A1377"/>
    <mergeCell ref="B1370:B1371"/>
    <mergeCell ref="O1370:O1371"/>
    <mergeCell ref="B1372:B1373"/>
    <mergeCell ref="O1372:O1373"/>
    <mergeCell ref="A1362:A1369"/>
    <mergeCell ref="B1362:B1363"/>
    <mergeCell ref="O1362:O1363"/>
    <mergeCell ref="B1364:B1365"/>
    <mergeCell ref="O1364:O1365"/>
    <mergeCell ref="B1366:B1367"/>
    <mergeCell ref="O1366:O1367"/>
    <mergeCell ref="B1390:B1391"/>
    <mergeCell ref="O1390:O1391"/>
    <mergeCell ref="B1392:B1393"/>
    <mergeCell ref="O1392:O1393"/>
    <mergeCell ref="B1384:B1385"/>
    <mergeCell ref="O1384:O1385"/>
    <mergeCell ref="A1386:A1393"/>
    <mergeCell ref="B1386:B1387"/>
    <mergeCell ref="O1386:O1387"/>
    <mergeCell ref="B1388:B1389"/>
    <mergeCell ref="O1388:O1389"/>
    <mergeCell ref="A1378:A1385"/>
    <mergeCell ref="B1378:B1379"/>
    <mergeCell ref="O1378:O1379"/>
    <mergeCell ref="B1380:B1381"/>
    <mergeCell ref="O1380:O1381"/>
    <mergeCell ref="B1382:B1383"/>
    <mergeCell ref="O1382:O1383"/>
    <mergeCell ref="B1406:B1407"/>
    <mergeCell ref="O1406:O1407"/>
    <mergeCell ref="B1408:B1409"/>
    <mergeCell ref="O1408:O1409"/>
    <mergeCell ref="B1400:B1401"/>
    <mergeCell ref="O1400:O1401"/>
    <mergeCell ref="A1402:A1409"/>
    <mergeCell ref="B1402:B1403"/>
    <mergeCell ref="O1402:O1403"/>
    <mergeCell ref="B1404:B1405"/>
    <mergeCell ref="O1404:O1405"/>
    <mergeCell ref="A1394:A1401"/>
    <mergeCell ref="B1394:B1395"/>
    <mergeCell ref="O1394:O1395"/>
    <mergeCell ref="B1396:B1397"/>
    <mergeCell ref="O1396:O1397"/>
    <mergeCell ref="B1398:B1399"/>
    <mergeCell ref="O1398:O1399"/>
    <mergeCell ref="B1422:B1423"/>
    <mergeCell ref="O1422:O1423"/>
    <mergeCell ref="B1424:B1425"/>
    <mergeCell ref="O1424:O1425"/>
    <mergeCell ref="B1416:B1417"/>
    <mergeCell ref="O1416:O1417"/>
    <mergeCell ref="A1418:A1425"/>
    <mergeCell ref="B1418:B1419"/>
    <mergeCell ref="O1418:O1419"/>
    <mergeCell ref="B1420:B1421"/>
    <mergeCell ref="O1420:O1421"/>
    <mergeCell ref="A1410:A1417"/>
    <mergeCell ref="B1410:B1411"/>
    <mergeCell ref="O1410:O1411"/>
    <mergeCell ref="B1412:B1413"/>
    <mergeCell ref="O1412:O1413"/>
    <mergeCell ref="B1414:B1415"/>
    <mergeCell ref="O1414:O1415"/>
    <mergeCell ref="B1438:B1439"/>
    <mergeCell ref="O1438:O1439"/>
    <mergeCell ref="B1440:B1441"/>
    <mergeCell ref="O1440:O1441"/>
    <mergeCell ref="B1432:B1433"/>
    <mergeCell ref="O1432:O1433"/>
    <mergeCell ref="A1434:A1441"/>
    <mergeCell ref="B1434:B1435"/>
    <mergeCell ref="O1434:O1435"/>
    <mergeCell ref="B1436:B1437"/>
    <mergeCell ref="O1436:O1437"/>
    <mergeCell ref="A1426:A1433"/>
    <mergeCell ref="B1426:B1427"/>
    <mergeCell ref="O1426:O1427"/>
    <mergeCell ref="B1428:B1429"/>
    <mergeCell ref="O1428:O1429"/>
    <mergeCell ref="B1430:B1431"/>
    <mergeCell ref="O1430:O1431"/>
    <mergeCell ref="B1454:B1455"/>
    <mergeCell ref="O1454:O1455"/>
    <mergeCell ref="B1456:B1457"/>
    <mergeCell ref="O1456:O1457"/>
    <mergeCell ref="B1448:B1449"/>
    <mergeCell ref="O1448:O1449"/>
    <mergeCell ref="A1450:A1457"/>
    <mergeCell ref="B1450:B1451"/>
    <mergeCell ref="O1450:O1451"/>
    <mergeCell ref="B1452:B1453"/>
    <mergeCell ref="O1452:O1453"/>
    <mergeCell ref="A1442:A1449"/>
    <mergeCell ref="B1442:B1443"/>
    <mergeCell ref="O1442:O1443"/>
    <mergeCell ref="B1444:B1445"/>
    <mergeCell ref="O1444:O1445"/>
    <mergeCell ref="B1446:B1447"/>
    <mergeCell ref="O1446:O1447"/>
    <mergeCell ref="B1470:B1471"/>
    <mergeCell ref="O1470:O1471"/>
    <mergeCell ref="B1472:B1473"/>
    <mergeCell ref="O1472:O1473"/>
    <mergeCell ref="B1464:B1465"/>
    <mergeCell ref="O1464:O1465"/>
    <mergeCell ref="A1466:A1473"/>
    <mergeCell ref="B1466:B1467"/>
    <mergeCell ref="O1466:O1467"/>
    <mergeCell ref="B1468:B1469"/>
    <mergeCell ref="O1468:O1469"/>
    <mergeCell ref="A1458:A1465"/>
    <mergeCell ref="B1458:B1459"/>
    <mergeCell ref="O1458:O1459"/>
    <mergeCell ref="B1460:B1461"/>
    <mergeCell ref="O1460:O1461"/>
    <mergeCell ref="B1462:B1463"/>
    <mergeCell ref="O1462:O1463"/>
    <mergeCell ref="B1486:B1487"/>
    <mergeCell ref="O1486:O1487"/>
    <mergeCell ref="B1488:B1489"/>
    <mergeCell ref="O1488:O1489"/>
    <mergeCell ref="B1480:B1481"/>
    <mergeCell ref="O1480:O1481"/>
    <mergeCell ref="A1482:A1489"/>
    <mergeCell ref="B1482:B1483"/>
    <mergeCell ref="O1482:O1483"/>
    <mergeCell ref="B1484:B1485"/>
    <mergeCell ref="O1484:O1485"/>
    <mergeCell ref="A1474:A1481"/>
    <mergeCell ref="B1474:B1475"/>
    <mergeCell ref="O1474:O1475"/>
    <mergeCell ref="B1476:B1477"/>
    <mergeCell ref="O1476:O1477"/>
    <mergeCell ref="B1478:B1479"/>
    <mergeCell ref="O1478:O1479"/>
    <mergeCell ref="B1502:B1503"/>
    <mergeCell ref="O1502:O1503"/>
    <mergeCell ref="B1504:B1505"/>
    <mergeCell ref="O1504:O1505"/>
    <mergeCell ref="B1496:B1497"/>
    <mergeCell ref="O1496:O1497"/>
    <mergeCell ref="A1498:A1505"/>
    <mergeCell ref="B1498:B1499"/>
    <mergeCell ref="O1498:O1499"/>
    <mergeCell ref="B1500:B1501"/>
    <mergeCell ref="O1500:O1501"/>
    <mergeCell ref="A1490:A1497"/>
    <mergeCell ref="B1490:B1491"/>
    <mergeCell ref="O1490:O1491"/>
    <mergeCell ref="B1492:B1493"/>
    <mergeCell ref="O1492:O1493"/>
    <mergeCell ref="B1494:B1495"/>
    <mergeCell ref="O1494:O1495"/>
    <mergeCell ref="B1518:B1519"/>
    <mergeCell ref="O1518:O1519"/>
    <mergeCell ref="B1520:B1521"/>
    <mergeCell ref="O1520:O1521"/>
    <mergeCell ref="B1512:B1513"/>
    <mergeCell ref="O1512:O1513"/>
    <mergeCell ref="A1514:A1521"/>
    <mergeCell ref="B1514:B1515"/>
    <mergeCell ref="O1514:O1515"/>
    <mergeCell ref="B1516:B1517"/>
    <mergeCell ref="O1516:O1517"/>
    <mergeCell ref="A1506:A1513"/>
    <mergeCell ref="B1506:B1507"/>
    <mergeCell ref="O1506:O1507"/>
    <mergeCell ref="B1508:B1509"/>
    <mergeCell ref="O1508:O1509"/>
    <mergeCell ref="B1510:B1511"/>
    <mergeCell ref="O1510:O1511"/>
    <mergeCell ref="B1534:B1535"/>
    <mergeCell ref="O1534:O1535"/>
    <mergeCell ref="B1536:B1537"/>
    <mergeCell ref="O1536:O1537"/>
    <mergeCell ref="B1528:B1529"/>
    <mergeCell ref="O1528:O1529"/>
    <mergeCell ref="A1530:A1537"/>
    <mergeCell ref="B1530:B1531"/>
    <mergeCell ref="O1530:O1531"/>
    <mergeCell ref="B1532:B1533"/>
    <mergeCell ref="O1532:O1533"/>
    <mergeCell ref="A1522:A1529"/>
    <mergeCell ref="B1522:B1523"/>
    <mergeCell ref="O1522:O1523"/>
    <mergeCell ref="B1524:B1525"/>
    <mergeCell ref="O1524:O1525"/>
    <mergeCell ref="B1526:B1527"/>
    <mergeCell ref="O1526:O1527"/>
    <mergeCell ref="B1550:B1551"/>
    <mergeCell ref="O1550:O1551"/>
    <mergeCell ref="B1552:B1553"/>
    <mergeCell ref="O1552:O1553"/>
    <mergeCell ref="B1544:B1545"/>
    <mergeCell ref="O1544:O1545"/>
    <mergeCell ref="A1546:A1553"/>
    <mergeCell ref="B1546:B1547"/>
    <mergeCell ref="O1546:O1547"/>
    <mergeCell ref="B1548:B1549"/>
    <mergeCell ref="O1548:O1549"/>
    <mergeCell ref="A1538:A1545"/>
    <mergeCell ref="B1538:B1539"/>
    <mergeCell ref="O1538:O1539"/>
    <mergeCell ref="B1540:B1541"/>
    <mergeCell ref="O1540:O1541"/>
    <mergeCell ref="B1542:B1543"/>
    <mergeCell ref="O1542:O1543"/>
    <mergeCell ref="B1566:B1567"/>
    <mergeCell ref="O1566:O1567"/>
    <mergeCell ref="B1568:B1569"/>
    <mergeCell ref="O1568:O1569"/>
    <mergeCell ref="B1560:B1561"/>
    <mergeCell ref="O1560:O1561"/>
    <mergeCell ref="A1562:A1569"/>
    <mergeCell ref="B1562:B1563"/>
    <mergeCell ref="O1562:O1563"/>
    <mergeCell ref="B1564:B1565"/>
    <mergeCell ref="O1564:O1565"/>
    <mergeCell ref="A1554:A1561"/>
    <mergeCell ref="B1554:B1555"/>
    <mergeCell ref="O1554:O1555"/>
    <mergeCell ref="B1556:B1557"/>
    <mergeCell ref="O1556:O1557"/>
    <mergeCell ref="B1558:B1559"/>
    <mergeCell ref="O1558:O1559"/>
    <mergeCell ref="B1582:B1583"/>
    <mergeCell ref="O1582:O1583"/>
    <mergeCell ref="B1584:B1585"/>
    <mergeCell ref="O1584:O1585"/>
    <mergeCell ref="B1576:B1577"/>
    <mergeCell ref="O1576:O1577"/>
    <mergeCell ref="A1578:A1585"/>
    <mergeCell ref="B1578:B1579"/>
    <mergeCell ref="O1578:O1579"/>
    <mergeCell ref="B1580:B1581"/>
    <mergeCell ref="O1580:O1581"/>
    <mergeCell ref="A1570:A1577"/>
    <mergeCell ref="B1570:B1571"/>
    <mergeCell ref="O1570:O1571"/>
    <mergeCell ref="B1572:B1573"/>
    <mergeCell ref="O1572:O1573"/>
    <mergeCell ref="B1574:B1575"/>
    <mergeCell ref="O1574:O1575"/>
    <mergeCell ref="B1598:B1599"/>
    <mergeCell ref="O1598:O1599"/>
    <mergeCell ref="B1600:B1601"/>
    <mergeCell ref="O1600:O1601"/>
    <mergeCell ref="B1592:B1593"/>
    <mergeCell ref="O1592:O1593"/>
    <mergeCell ref="A1594:A1601"/>
    <mergeCell ref="B1594:B1595"/>
    <mergeCell ref="O1594:O1595"/>
    <mergeCell ref="B1596:B1597"/>
    <mergeCell ref="O1596:O1597"/>
    <mergeCell ref="A1586:A1593"/>
    <mergeCell ref="B1586:B1587"/>
    <mergeCell ref="O1586:O1587"/>
    <mergeCell ref="B1588:B1589"/>
    <mergeCell ref="O1588:O1589"/>
    <mergeCell ref="B1590:B1591"/>
    <mergeCell ref="O1590:O1591"/>
    <mergeCell ref="B1614:B1615"/>
    <mergeCell ref="O1614:O1615"/>
    <mergeCell ref="B1616:B1617"/>
    <mergeCell ref="O1616:O1617"/>
    <mergeCell ref="B1608:B1609"/>
    <mergeCell ref="O1608:O1609"/>
    <mergeCell ref="A1610:A1617"/>
    <mergeCell ref="B1610:B1611"/>
    <mergeCell ref="O1610:O1611"/>
    <mergeCell ref="B1612:B1613"/>
    <mergeCell ref="O1612:O1613"/>
    <mergeCell ref="A1602:A1609"/>
    <mergeCell ref="B1602:B1603"/>
    <mergeCell ref="O1602:O1603"/>
    <mergeCell ref="B1604:B1605"/>
    <mergeCell ref="O1604:O1605"/>
    <mergeCell ref="B1606:B1607"/>
    <mergeCell ref="O1606:O1607"/>
    <mergeCell ref="B1630:B1631"/>
    <mergeCell ref="O1630:O1631"/>
    <mergeCell ref="B1632:B1633"/>
    <mergeCell ref="O1632:O1633"/>
    <mergeCell ref="B1624:B1625"/>
    <mergeCell ref="O1624:O1625"/>
    <mergeCell ref="A1626:A1633"/>
    <mergeCell ref="B1626:B1627"/>
    <mergeCell ref="O1626:O1627"/>
    <mergeCell ref="B1628:B1629"/>
    <mergeCell ref="O1628:O1629"/>
    <mergeCell ref="A1618:A1625"/>
    <mergeCell ref="B1618:B1619"/>
    <mergeCell ref="O1618:O1619"/>
    <mergeCell ref="B1620:B1621"/>
    <mergeCell ref="O1620:O1621"/>
    <mergeCell ref="B1622:B1623"/>
    <mergeCell ref="O1622:O1623"/>
    <mergeCell ref="B1646:B1647"/>
    <mergeCell ref="O1646:O1647"/>
    <mergeCell ref="B1648:B1649"/>
    <mergeCell ref="O1648:O1649"/>
    <mergeCell ref="B1640:B1641"/>
    <mergeCell ref="O1640:O1641"/>
    <mergeCell ref="A1642:A1649"/>
    <mergeCell ref="B1642:B1643"/>
    <mergeCell ref="O1642:O1643"/>
    <mergeCell ref="B1644:B1645"/>
    <mergeCell ref="O1644:O1645"/>
    <mergeCell ref="A1634:A1641"/>
    <mergeCell ref="B1634:B1635"/>
    <mergeCell ref="O1634:O1635"/>
    <mergeCell ref="B1636:B1637"/>
    <mergeCell ref="O1636:O1637"/>
    <mergeCell ref="B1638:B1639"/>
    <mergeCell ref="O1638:O1639"/>
    <mergeCell ref="B1662:B1663"/>
    <mergeCell ref="O1662:O1663"/>
    <mergeCell ref="B1664:B1665"/>
    <mergeCell ref="O1664:O1665"/>
    <mergeCell ref="B1656:B1657"/>
    <mergeCell ref="O1656:O1657"/>
    <mergeCell ref="A1658:A1665"/>
    <mergeCell ref="B1658:B1659"/>
    <mergeCell ref="O1658:O1659"/>
    <mergeCell ref="B1660:B1661"/>
    <mergeCell ref="O1660:O1661"/>
    <mergeCell ref="A1650:A1657"/>
    <mergeCell ref="B1650:B1651"/>
    <mergeCell ref="O1650:O1651"/>
    <mergeCell ref="B1652:B1653"/>
    <mergeCell ref="O1652:O1653"/>
    <mergeCell ref="B1654:B1655"/>
    <mergeCell ref="O1654:O1655"/>
    <mergeCell ref="B1678:B1679"/>
    <mergeCell ref="O1678:O1679"/>
    <mergeCell ref="B1680:B1681"/>
    <mergeCell ref="O1680:O1681"/>
    <mergeCell ref="B1672:B1673"/>
    <mergeCell ref="O1672:O1673"/>
    <mergeCell ref="A1674:A1681"/>
    <mergeCell ref="B1674:B1675"/>
    <mergeCell ref="O1674:O1675"/>
    <mergeCell ref="B1676:B1677"/>
    <mergeCell ref="O1676:O1677"/>
    <mergeCell ref="A1666:A1673"/>
    <mergeCell ref="B1666:B1667"/>
    <mergeCell ref="O1666:O1667"/>
    <mergeCell ref="B1668:B1669"/>
    <mergeCell ref="O1668:O1669"/>
    <mergeCell ref="B1670:B1671"/>
    <mergeCell ref="O1670:O1671"/>
    <mergeCell ref="B1694:B1695"/>
    <mergeCell ref="O1694:O1695"/>
    <mergeCell ref="B1696:B1697"/>
    <mergeCell ref="O1696:O1697"/>
    <mergeCell ref="B1688:B1689"/>
    <mergeCell ref="O1688:O1689"/>
    <mergeCell ref="A1690:A1697"/>
    <mergeCell ref="B1690:B1691"/>
    <mergeCell ref="O1690:O1691"/>
    <mergeCell ref="B1692:B1693"/>
    <mergeCell ref="O1692:O1693"/>
    <mergeCell ref="A1682:A1689"/>
    <mergeCell ref="B1682:B1683"/>
    <mergeCell ref="O1682:O1683"/>
    <mergeCell ref="B1684:B1685"/>
    <mergeCell ref="O1684:O1685"/>
    <mergeCell ref="B1686:B1687"/>
    <mergeCell ref="O1686:O1687"/>
    <mergeCell ref="B1710:B1711"/>
    <mergeCell ref="O1710:O1711"/>
    <mergeCell ref="B1712:B1713"/>
    <mergeCell ref="O1712:O1713"/>
    <mergeCell ref="B1704:B1705"/>
    <mergeCell ref="O1704:O1705"/>
    <mergeCell ref="A1706:A1713"/>
    <mergeCell ref="B1706:B1707"/>
    <mergeCell ref="O1706:O1707"/>
    <mergeCell ref="B1708:B1709"/>
    <mergeCell ref="O1708:O1709"/>
    <mergeCell ref="A1698:A1705"/>
    <mergeCell ref="B1698:B1699"/>
    <mergeCell ref="O1698:O1699"/>
    <mergeCell ref="B1700:B1701"/>
    <mergeCell ref="O1700:O1701"/>
    <mergeCell ref="B1702:B1703"/>
    <mergeCell ref="O1702:O1703"/>
    <mergeCell ref="B1726:B1727"/>
    <mergeCell ref="O1726:O1727"/>
    <mergeCell ref="B1728:B1729"/>
    <mergeCell ref="O1728:O1729"/>
    <mergeCell ref="B1720:B1721"/>
    <mergeCell ref="O1720:O1721"/>
    <mergeCell ref="A1722:A1729"/>
    <mergeCell ref="B1722:B1723"/>
    <mergeCell ref="O1722:O1723"/>
    <mergeCell ref="B1724:B1725"/>
    <mergeCell ref="O1724:O1725"/>
    <mergeCell ref="A1714:A1721"/>
    <mergeCell ref="B1714:B1715"/>
    <mergeCell ref="O1714:O1715"/>
    <mergeCell ref="B1716:B1717"/>
    <mergeCell ref="O1716:O1717"/>
    <mergeCell ref="B1718:B1719"/>
    <mergeCell ref="O1718:O1719"/>
    <mergeCell ref="B1742:B1743"/>
    <mergeCell ref="O1742:O1743"/>
    <mergeCell ref="B1744:B1745"/>
    <mergeCell ref="O1744:O1745"/>
    <mergeCell ref="B1736:B1737"/>
    <mergeCell ref="O1736:O1737"/>
    <mergeCell ref="A1738:A1745"/>
    <mergeCell ref="B1738:B1739"/>
    <mergeCell ref="O1738:O1739"/>
    <mergeCell ref="B1740:B1741"/>
    <mergeCell ref="O1740:O1741"/>
    <mergeCell ref="A1730:A1737"/>
    <mergeCell ref="B1730:B1731"/>
    <mergeCell ref="O1730:O1731"/>
    <mergeCell ref="B1732:B1733"/>
    <mergeCell ref="O1732:O1733"/>
    <mergeCell ref="B1734:B1735"/>
    <mergeCell ref="O1734:O1735"/>
    <mergeCell ref="B1758:B1759"/>
    <mergeCell ref="O1758:O1759"/>
    <mergeCell ref="B1760:B1761"/>
    <mergeCell ref="O1760:O1761"/>
    <mergeCell ref="B1752:B1753"/>
    <mergeCell ref="O1752:O1753"/>
    <mergeCell ref="A1754:A1761"/>
    <mergeCell ref="B1754:B1755"/>
    <mergeCell ref="O1754:O1755"/>
    <mergeCell ref="B1756:B1757"/>
    <mergeCell ref="O1756:O1757"/>
    <mergeCell ref="A1746:A1753"/>
    <mergeCell ref="B1746:B1747"/>
    <mergeCell ref="O1746:O1747"/>
    <mergeCell ref="B1748:B1749"/>
    <mergeCell ref="O1748:O1749"/>
    <mergeCell ref="B1750:B1751"/>
    <mergeCell ref="O1750:O1751"/>
    <mergeCell ref="B1774:B1775"/>
    <mergeCell ref="O1774:O1775"/>
    <mergeCell ref="B1776:B1777"/>
    <mergeCell ref="O1776:O1777"/>
    <mergeCell ref="B1768:B1769"/>
    <mergeCell ref="O1768:O1769"/>
    <mergeCell ref="A1770:A1777"/>
    <mergeCell ref="B1770:B1771"/>
    <mergeCell ref="O1770:O1771"/>
    <mergeCell ref="B1772:B1773"/>
    <mergeCell ref="O1772:O1773"/>
    <mergeCell ref="A1762:A1769"/>
    <mergeCell ref="B1762:B1763"/>
    <mergeCell ref="O1762:O1763"/>
    <mergeCell ref="B1764:B1765"/>
    <mergeCell ref="O1764:O1765"/>
    <mergeCell ref="B1766:B1767"/>
    <mergeCell ref="O1766:O1767"/>
    <mergeCell ref="B1790:B1791"/>
    <mergeCell ref="O1790:O1791"/>
    <mergeCell ref="B1792:B1793"/>
    <mergeCell ref="O1792:O1793"/>
    <mergeCell ref="B1784:B1785"/>
    <mergeCell ref="O1784:O1785"/>
    <mergeCell ref="A1786:A1793"/>
    <mergeCell ref="B1786:B1787"/>
    <mergeCell ref="O1786:O1787"/>
    <mergeCell ref="B1788:B1789"/>
    <mergeCell ref="O1788:O1789"/>
    <mergeCell ref="A1778:A1785"/>
    <mergeCell ref="B1778:B1779"/>
    <mergeCell ref="O1778:O1779"/>
    <mergeCell ref="B1780:B1781"/>
    <mergeCell ref="O1780:O1781"/>
    <mergeCell ref="B1782:B1783"/>
    <mergeCell ref="O1782:O1783"/>
    <mergeCell ref="B1806:B1807"/>
    <mergeCell ref="O1806:O1807"/>
    <mergeCell ref="B1808:B1809"/>
    <mergeCell ref="O1808:O1809"/>
    <mergeCell ref="B1800:B1801"/>
    <mergeCell ref="O1800:O1801"/>
    <mergeCell ref="A1802:A1809"/>
    <mergeCell ref="B1802:B1803"/>
    <mergeCell ref="O1802:O1803"/>
    <mergeCell ref="B1804:B1805"/>
    <mergeCell ref="O1804:O1805"/>
    <mergeCell ref="A1794:A1801"/>
    <mergeCell ref="B1794:B1795"/>
    <mergeCell ref="O1794:O1795"/>
    <mergeCell ref="B1796:B1797"/>
    <mergeCell ref="O1796:O1797"/>
    <mergeCell ref="B1798:B1799"/>
    <mergeCell ref="O1798:O1799"/>
    <mergeCell ref="B1822:B1823"/>
    <mergeCell ref="O1822:O1823"/>
    <mergeCell ref="B1824:B1825"/>
    <mergeCell ref="O1824:O1825"/>
    <mergeCell ref="B1816:B1817"/>
    <mergeCell ref="O1816:O1817"/>
    <mergeCell ref="A1818:A1825"/>
    <mergeCell ref="B1818:B1819"/>
    <mergeCell ref="O1818:O1819"/>
    <mergeCell ref="B1820:B1821"/>
    <mergeCell ref="O1820:O1821"/>
    <mergeCell ref="A1810:A1817"/>
    <mergeCell ref="B1810:B1811"/>
    <mergeCell ref="O1810:O1811"/>
    <mergeCell ref="B1812:B1813"/>
    <mergeCell ref="O1812:O1813"/>
    <mergeCell ref="B1814:B1815"/>
    <mergeCell ref="O1814:O1815"/>
    <mergeCell ref="B1838:B1839"/>
    <mergeCell ref="O1838:O1839"/>
    <mergeCell ref="B1840:B1841"/>
    <mergeCell ref="O1840:O1841"/>
    <mergeCell ref="B1832:B1833"/>
    <mergeCell ref="O1832:O1833"/>
    <mergeCell ref="A1834:A1841"/>
    <mergeCell ref="B1834:B1835"/>
    <mergeCell ref="O1834:O1835"/>
    <mergeCell ref="B1836:B1837"/>
    <mergeCell ref="O1836:O1837"/>
    <mergeCell ref="A1826:A1833"/>
    <mergeCell ref="B1826:B1827"/>
    <mergeCell ref="O1826:O1827"/>
    <mergeCell ref="B1828:B1829"/>
    <mergeCell ref="O1828:O1829"/>
    <mergeCell ref="B1830:B1831"/>
    <mergeCell ref="O1830:O1831"/>
    <mergeCell ref="B1854:B1855"/>
    <mergeCell ref="O1854:O1855"/>
    <mergeCell ref="B1856:B1857"/>
    <mergeCell ref="O1856:O1857"/>
    <mergeCell ref="B1848:B1849"/>
    <mergeCell ref="O1848:O1849"/>
    <mergeCell ref="A1850:A1857"/>
    <mergeCell ref="B1850:B1851"/>
    <mergeCell ref="O1850:O1851"/>
    <mergeCell ref="B1852:B1853"/>
    <mergeCell ref="O1852:O1853"/>
    <mergeCell ref="A1842:A1849"/>
    <mergeCell ref="B1842:B1843"/>
    <mergeCell ref="O1842:O1843"/>
    <mergeCell ref="B1844:B1845"/>
    <mergeCell ref="O1844:O1845"/>
    <mergeCell ref="B1846:B1847"/>
    <mergeCell ref="O1846:O1847"/>
    <mergeCell ref="B1870:B1871"/>
    <mergeCell ref="O1870:O1871"/>
    <mergeCell ref="B1872:B1873"/>
    <mergeCell ref="O1872:O1873"/>
    <mergeCell ref="B1864:B1865"/>
    <mergeCell ref="O1864:O1865"/>
    <mergeCell ref="A1866:A1873"/>
    <mergeCell ref="B1866:B1867"/>
    <mergeCell ref="O1866:O1867"/>
    <mergeCell ref="B1868:B1869"/>
    <mergeCell ref="O1868:O1869"/>
    <mergeCell ref="A1858:A1865"/>
    <mergeCell ref="B1858:B1859"/>
    <mergeCell ref="O1858:O1859"/>
    <mergeCell ref="B1860:B1861"/>
    <mergeCell ref="O1860:O1861"/>
    <mergeCell ref="B1862:B1863"/>
    <mergeCell ref="O1862:O1863"/>
    <mergeCell ref="B1886:B1887"/>
    <mergeCell ref="O1886:O1887"/>
    <mergeCell ref="B1888:B1889"/>
    <mergeCell ref="O1888:O1889"/>
    <mergeCell ref="B1880:B1881"/>
    <mergeCell ref="O1880:O1881"/>
    <mergeCell ref="A1882:A1889"/>
    <mergeCell ref="B1882:B1883"/>
    <mergeCell ref="O1882:O1883"/>
    <mergeCell ref="B1884:B1885"/>
    <mergeCell ref="O1884:O1885"/>
    <mergeCell ref="A1874:A1881"/>
    <mergeCell ref="B1874:B1875"/>
    <mergeCell ref="O1874:O1875"/>
    <mergeCell ref="B1876:B1877"/>
    <mergeCell ref="O1876:O1877"/>
    <mergeCell ref="B1878:B1879"/>
    <mergeCell ref="O1878:O1879"/>
    <mergeCell ref="B1902:B1903"/>
    <mergeCell ref="O1902:O1903"/>
    <mergeCell ref="B1904:B1905"/>
    <mergeCell ref="O1904:O1905"/>
    <mergeCell ref="B1896:B1897"/>
    <mergeCell ref="O1896:O1897"/>
    <mergeCell ref="A1898:A1905"/>
    <mergeCell ref="B1898:B1899"/>
    <mergeCell ref="O1898:O1899"/>
    <mergeCell ref="B1900:B1901"/>
    <mergeCell ref="O1900:O1901"/>
    <mergeCell ref="A1890:A1897"/>
    <mergeCell ref="B1890:B1891"/>
    <mergeCell ref="O1890:O1891"/>
    <mergeCell ref="B1892:B1893"/>
    <mergeCell ref="O1892:O1893"/>
    <mergeCell ref="B1894:B1895"/>
    <mergeCell ref="O1894:O1895"/>
    <mergeCell ref="B1918:B1919"/>
    <mergeCell ref="O1918:O1919"/>
    <mergeCell ref="B1920:B1921"/>
    <mergeCell ref="O1920:O1921"/>
    <mergeCell ref="B1912:B1913"/>
    <mergeCell ref="O1912:O1913"/>
    <mergeCell ref="A1914:A1921"/>
    <mergeCell ref="B1914:B1915"/>
    <mergeCell ref="O1914:O1915"/>
    <mergeCell ref="B1916:B1917"/>
    <mergeCell ref="O1916:O1917"/>
    <mergeCell ref="A1906:A1913"/>
    <mergeCell ref="B1906:B1907"/>
    <mergeCell ref="O1906:O1907"/>
    <mergeCell ref="B1908:B1909"/>
    <mergeCell ref="O1908:O1909"/>
    <mergeCell ref="B1910:B1911"/>
    <mergeCell ref="O1910:O1911"/>
    <mergeCell ref="B1934:B1935"/>
    <mergeCell ref="O1934:O1935"/>
    <mergeCell ref="B1936:B1937"/>
    <mergeCell ref="O1936:O1937"/>
    <mergeCell ref="B1928:B1929"/>
    <mergeCell ref="O1928:O1929"/>
    <mergeCell ref="A1930:A1937"/>
    <mergeCell ref="B1930:B1931"/>
    <mergeCell ref="O1930:O1931"/>
    <mergeCell ref="B1932:B1933"/>
    <mergeCell ref="O1932:O1933"/>
    <mergeCell ref="A1922:A1929"/>
    <mergeCell ref="B1922:B1923"/>
    <mergeCell ref="O1922:O1923"/>
    <mergeCell ref="B1924:B1925"/>
    <mergeCell ref="O1924:O1925"/>
    <mergeCell ref="B1926:B1927"/>
    <mergeCell ref="O1926:O1927"/>
    <mergeCell ref="B1950:B1951"/>
    <mergeCell ref="O1950:O1951"/>
    <mergeCell ref="B1952:B1953"/>
    <mergeCell ref="O1952:O1953"/>
    <mergeCell ref="B1944:B1945"/>
    <mergeCell ref="O1944:O1945"/>
    <mergeCell ref="A1946:A1953"/>
    <mergeCell ref="B1946:B1947"/>
    <mergeCell ref="O1946:O1947"/>
    <mergeCell ref="B1948:B1949"/>
    <mergeCell ref="O1948:O1949"/>
    <mergeCell ref="A1938:A1945"/>
    <mergeCell ref="B1938:B1939"/>
    <mergeCell ref="O1938:O1939"/>
    <mergeCell ref="B1940:B1941"/>
    <mergeCell ref="O1940:O1941"/>
    <mergeCell ref="B1942:B1943"/>
    <mergeCell ref="O1942:O1943"/>
    <mergeCell ref="B1966:B1967"/>
    <mergeCell ref="O1966:O1967"/>
    <mergeCell ref="B1968:B1969"/>
    <mergeCell ref="O1968:O1969"/>
    <mergeCell ref="B1960:B1961"/>
    <mergeCell ref="O1960:O1961"/>
    <mergeCell ref="A1962:A1969"/>
    <mergeCell ref="B1962:B1963"/>
    <mergeCell ref="O1962:O1963"/>
    <mergeCell ref="B1964:B1965"/>
    <mergeCell ref="O1964:O1965"/>
    <mergeCell ref="A1954:A1961"/>
    <mergeCell ref="B1954:B1955"/>
    <mergeCell ref="O1954:O1955"/>
    <mergeCell ref="B1956:B1957"/>
    <mergeCell ref="O1956:O1957"/>
    <mergeCell ref="B1958:B1959"/>
    <mergeCell ref="O1958:O1959"/>
    <mergeCell ref="B1982:B1983"/>
    <mergeCell ref="O1982:O1983"/>
    <mergeCell ref="B1984:B1985"/>
    <mergeCell ref="O1984:O1985"/>
    <mergeCell ref="B1976:B1977"/>
    <mergeCell ref="O1976:O1977"/>
    <mergeCell ref="A1978:A1985"/>
    <mergeCell ref="B1978:B1979"/>
    <mergeCell ref="O1978:O1979"/>
    <mergeCell ref="B1980:B1981"/>
    <mergeCell ref="O1980:O1981"/>
    <mergeCell ref="A1970:A1977"/>
    <mergeCell ref="B1970:B1971"/>
    <mergeCell ref="O1970:O1971"/>
    <mergeCell ref="B1972:B1973"/>
    <mergeCell ref="O1972:O1973"/>
    <mergeCell ref="B1974:B1975"/>
    <mergeCell ref="O1974:O1975"/>
    <mergeCell ref="B1998:B1999"/>
    <mergeCell ref="O1998:O1999"/>
    <mergeCell ref="B2000:B2001"/>
    <mergeCell ref="O2000:O2001"/>
    <mergeCell ref="B1992:B1993"/>
    <mergeCell ref="O1992:O1993"/>
    <mergeCell ref="A1994:A2001"/>
    <mergeCell ref="B1994:B1995"/>
    <mergeCell ref="O1994:O1995"/>
    <mergeCell ref="B1996:B1997"/>
    <mergeCell ref="O1996:O1997"/>
    <mergeCell ref="A1986:A1993"/>
    <mergeCell ref="B1986:B1987"/>
    <mergeCell ref="O1986:O1987"/>
    <mergeCell ref="B1988:B1989"/>
    <mergeCell ref="O1988:O1989"/>
    <mergeCell ref="B1990:B1991"/>
    <mergeCell ref="O1990:O1991"/>
    <mergeCell ref="B2014:B2015"/>
    <mergeCell ref="O2014:O2015"/>
    <mergeCell ref="B2016:B2017"/>
    <mergeCell ref="O2016:O2017"/>
    <mergeCell ref="B2008:B2009"/>
    <mergeCell ref="O2008:O2009"/>
    <mergeCell ref="A2010:A2017"/>
    <mergeCell ref="B2010:B2011"/>
    <mergeCell ref="O2010:O2011"/>
    <mergeCell ref="B2012:B2013"/>
    <mergeCell ref="O2012:O2013"/>
    <mergeCell ref="A2002:A2009"/>
    <mergeCell ref="B2002:B2003"/>
    <mergeCell ref="O2002:O2003"/>
    <mergeCell ref="B2004:B2005"/>
    <mergeCell ref="O2004:O2005"/>
    <mergeCell ref="B2006:B2007"/>
    <mergeCell ref="O2006:O2007"/>
    <mergeCell ref="B2030:B2031"/>
    <mergeCell ref="O2030:O2031"/>
    <mergeCell ref="B2032:B2033"/>
    <mergeCell ref="O2032:O2033"/>
    <mergeCell ref="B2024:B2025"/>
    <mergeCell ref="O2024:O2025"/>
    <mergeCell ref="A2026:A2033"/>
    <mergeCell ref="B2026:B2027"/>
    <mergeCell ref="O2026:O2027"/>
    <mergeCell ref="B2028:B2029"/>
    <mergeCell ref="O2028:O2029"/>
    <mergeCell ref="A2018:A2025"/>
    <mergeCell ref="B2018:B2019"/>
    <mergeCell ref="O2018:O2019"/>
    <mergeCell ref="B2020:B2021"/>
    <mergeCell ref="O2020:O2021"/>
    <mergeCell ref="B2022:B2023"/>
    <mergeCell ref="O2022:O2023"/>
    <mergeCell ref="B2046:B2047"/>
    <mergeCell ref="O2046:O2047"/>
    <mergeCell ref="B2048:B2049"/>
    <mergeCell ref="O2048:O2049"/>
    <mergeCell ref="B2040:B2041"/>
    <mergeCell ref="O2040:O2041"/>
    <mergeCell ref="A2042:A2049"/>
    <mergeCell ref="B2042:B2043"/>
    <mergeCell ref="O2042:O2043"/>
    <mergeCell ref="B2044:B2045"/>
    <mergeCell ref="O2044:O2045"/>
    <mergeCell ref="A2034:A2041"/>
    <mergeCell ref="B2034:B2035"/>
    <mergeCell ref="O2034:O2035"/>
    <mergeCell ref="B2036:B2037"/>
    <mergeCell ref="O2036:O2037"/>
    <mergeCell ref="B2038:B2039"/>
    <mergeCell ref="O2038:O2039"/>
    <mergeCell ref="B2062:B2063"/>
    <mergeCell ref="O2062:O2063"/>
    <mergeCell ref="B2064:B2065"/>
    <mergeCell ref="O2064:O2065"/>
    <mergeCell ref="B2056:B2057"/>
    <mergeCell ref="O2056:O2057"/>
    <mergeCell ref="A2058:A2065"/>
    <mergeCell ref="B2058:B2059"/>
    <mergeCell ref="O2058:O2059"/>
    <mergeCell ref="B2060:B2061"/>
    <mergeCell ref="O2060:O2061"/>
    <mergeCell ref="A2050:A2057"/>
    <mergeCell ref="B2050:B2051"/>
    <mergeCell ref="O2050:O2051"/>
    <mergeCell ref="B2052:B2053"/>
    <mergeCell ref="O2052:O2053"/>
    <mergeCell ref="B2054:B2055"/>
    <mergeCell ref="O2054:O2055"/>
    <mergeCell ref="B2078:B2079"/>
    <mergeCell ref="O2078:O2079"/>
    <mergeCell ref="B2080:B2081"/>
    <mergeCell ref="O2080:O2081"/>
    <mergeCell ref="B2072:B2073"/>
    <mergeCell ref="O2072:O2073"/>
    <mergeCell ref="A2074:A2081"/>
    <mergeCell ref="B2074:B2075"/>
    <mergeCell ref="O2074:O2075"/>
    <mergeCell ref="B2076:B2077"/>
    <mergeCell ref="O2076:O2077"/>
    <mergeCell ref="A2066:A2073"/>
    <mergeCell ref="B2066:B2067"/>
    <mergeCell ref="O2066:O2067"/>
    <mergeCell ref="B2068:B2069"/>
    <mergeCell ref="O2068:O2069"/>
    <mergeCell ref="B2070:B2071"/>
    <mergeCell ref="O2070:O2071"/>
    <mergeCell ref="B2094:B2095"/>
    <mergeCell ref="O2094:O2095"/>
    <mergeCell ref="B2096:B2097"/>
    <mergeCell ref="O2096:O2097"/>
    <mergeCell ref="B2088:B2089"/>
    <mergeCell ref="O2088:O2089"/>
    <mergeCell ref="A2090:A2097"/>
    <mergeCell ref="B2090:B2091"/>
    <mergeCell ref="O2090:O2091"/>
    <mergeCell ref="B2092:B2093"/>
    <mergeCell ref="O2092:O2093"/>
    <mergeCell ref="A2082:A2089"/>
    <mergeCell ref="B2082:B2083"/>
    <mergeCell ref="O2082:O2083"/>
    <mergeCell ref="B2084:B2085"/>
    <mergeCell ref="O2084:O2085"/>
    <mergeCell ref="B2086:B2087"/>
    <mergeCell ref="O2086:O2087"/>
    <mergeCell ref="B2110:B2111"/>
    <mergeCell ref="O2110:O2111"/>
    <mergeCell ref="B2112:B2113"/>
    <mergeCell ref="O2112:O2113"/>
    <mergeCell ref="B2104:B2105"/>
    <mergeCell ref="O2104:O2105"/>
    <mergeCell ref="A2106:A2113"/>
    <mergeCell ref="B2106:B2107"/>
    <mergeCell ref="O2106:O2107"/>
    <mergeCell ref="B2108:B2109"/>
    <mergeCell ref="O2108:O2109"/>
    <mergeCell ref="A2098:A2105"/>
    <mergeCell ref="B2098:B2099"/>
    <mergeCell ref="O2098:O2099"/>
    <mergeCell ref="B2100:B2101"/>
    <mergeCell ref="O2100:O2101"/>
    <mergeCell ref="B2102:B2103"/>
    <mergeCell ref="O2102:O2103"/>
    <mergeCell ref="B2126:B2127"/>
    <mergeCell ref="O2126:O2127"/>
    <mergeCell ref="B2128:B2129"/>
    <mergeCell ref="O2128:O2129"/>
    <mergeCell ref="B2120:B2121"/>
    <mergeCell ref="O2120:O2121"/>
    <mergeCell ref="A2122:A2129"/>
    <mergeCell ref="B2122:B2123"/>
    <mergeCell ref="O2122:O2123"/>
    <mergeCell ref="B2124:B2125"/>
    <mergeCell ref="O2124:O2125"/>
    <mergeCell ref="A2114:A2121"/>
    <mergeCell ref="B2114:B2115"/>
    <mergeCell ref="O2114:O2115"/>
    <mergeCell ref="B2116:B2117"/>
    <mergeCell ref="O2116:O2117"/>
    <mergeCell ref="B2118:B2119"/>
    <mergeCell ref="O2118:O2119"/>
    <mergeCell ref="B2142:B2143"/>
    <mergeCell ref="O2142:O2143"/>
    <mergeCell ref="B2144:B2145"/>
    <mergeCell ref="O2144:O2145"/>
    <mergeCell ref="B2136:B2137"/>
    <mergeCell ref="O2136:O2137"/>
    <mergeCell ref="A2138:A2145"/>
    <mergeCell ref="B2138:B2139"/>
    <mergeCell ref="O2138:O2139"/>
    <mergeCell ref="B2140:B2141"/>
    <mergeCell ref="O2140:O2141"/>
    <mergeCell ref="A2130:A2137"/>
    <mergeCell ref="B2130:B2131"/>
    <mergeCell ref="O2130:O2131"/>
    <mergeCell ref="B2132:B2133"/>
    <mergeCell ref="O2132:O2133"/>
    <mergeCell ref="B2134:B2135"/>
    <mergeCell ref="O2134:O2135"/>
    <mergeCell ref="B2158:B2159"/>
    <mergeCell ref="O2158:O2159"/>
    <mergeCell ref="B2160:B2161"/>
    <mergeCell ref="O2160:O2161"/>
    <mergeCell ref="B2152:B2153"/>
    <mergeCell ref="O2152:O2153"/>
    <mergeCell ref="A2154:A2161"/>
    <mergeCell ref="B2154:B2155"/>
    <mergeCell ref="O2154:O2155"/>
    <mergeCell ref="B2156:B2157"/>
    <mergeCell ref="O2156:O2157"/>
    <mergeCell ref="A2146:A2153"/>
    <mergeCell ref="B2146:B2147"/>
    <mergeCell ref="O2146:O2147"/>
    <mergeCell ref="B2148:B2149"/>
    <mergeCell ref="O2148:O2149"/>
    <mergeCell ref="B2150:B2151"/>
    <mergeCell ref="O2150:O2151"/>
    <mergeCell ref="B2174:B2175"/>
    <mergeCell ref="O2174:O2175"/>
    <mergeCell ref="B2176:B2177"/>
    <mergeCell ref="O2176:O2177"/>
    <mergeCell ref="B2168:B2169"/>
    <mergeCell ref="O2168:O2169"/>
    <mergeCell ref="A2170:A2177"/>
    <mergeCell ref="B2170:B2171"/>
    <mergeCell ref="O2170:O2171"/>
    <mergeCell ref="B2172:B2173"/>
    <mergeCell ref="O2172:O2173"/>
    <mergeCell ref="A2162:A2169"/>
    <mergeCell ref="B2162:B2163"/>
    <mergeCell ref="O2162:O2163"/>
    <mergeCell ref="B2164:B2165"/>
    <mergeCell ref="O2164:O2165"/>
    <mergeCell ref="B2166:B2167"/>
    <mergeCell ref="O2166:O2167"/>
    <mergeCell ref="B2190:B2191"/>
    <mergeCell ref="O2190:O2191"/>
    <mergeCell ref="B2192:B2193"/>
    <mergeCell ref="O2192:O2193"/>
    <mergeCell ref="B2184:B2185"/>
    <mergeCell ref="O2184:O2185"/>
    <mergeCell ref="A2186:A2193"/>
    <mergeCell ref="B2186:B2187"/>
    <mergeCell ref="O2186:O2187"/>
    <mergeCell ref="B2188:B2189"/>
    <mergeCell ref="O2188:O2189"/>
    <mergeCell ref="A2178:A2185"/>
    <mergeCell ref="B2178:B2179"/>
    <mergeCell ref="O2178:O2179"/>
    <mergeCell ref="B2180:B2181"/>
    <mergeCell ref="O2180:O2181"/>
    <mergeCell ref="B2182:B2183"/>
    <mergeCell ref="O2182:O2183"/>
    <mergeCell ref="B2206:B2207"/>
    <mergeCell ref="O2206:O2207"/>
    <mergeCell ref="B2208:B2209"/>
    <mergeCell ref="O2208:O2209"/>
    <mergeCell ref="B2200:B2201"/>
    <mergeCell ref="O2200:O2201"/>
    <mergeCell ref="A2202:A2209"/>
    <mergeCell ref="B2202:B2203"/>
    <mergeCell ref="O2202:O2203"/>
    <mergeCell ref="B2204:B2205"/>
    <mergeCell ref="O2204:O2205"/>
    <mergeCell ref="A2194:A2201"/>
    <mergeCell ref="B2194:B2195"/>
    <mergeCell ref="O2194:O2195"/>
    <mergeCell ref="B2196:B2197"/>
    <mergeCell ref="O2196:O2197"/>
    <mergeCell ref="B2198:B2199"/>
    <mergeCell ref="O2198:O2199"/>
    <mergeCell ref="B2222:B2223"/>
    <mergeCell ref="O2222:O2223"/>
    <mergeCell ref="B2224:B2225"/>
    <mergeCell ref="O2224:O2225"/>
    <mergeCell ref="B2216:B2217"/>
    <mergeCell ref="O2216:O2217"/>
    <mergeCell ref="A2218:A2225"/>
    <mergeCell ref="B2218:B2219"/>
    <mergeCell ref="O2218:O2219"/>
    <mergeCell ref="B2220:B2221"/>
    <mergeCell ref="O2220:O2221"/>
    <mergeCell ref="A2210:A2217"/>
    <mergeCell ref="B2210:B2211"/>
    <mergeCell ref="O2210:O2211"/>
    <mergeCell ref="B2212:B2213"/>
    <mergeCell ref="O2212:O2213"/>
    <mergeCell ref="B2214:B2215"/>
    <mergeCell ref="O2214:O2215"/>
    <mergeCell ref="B2238:B2239"/>
    <mergeCell ref="O2238:O2239"/>
    <mergeCell ref="B2240:B2241"/>
    <mergeCell ref="O2240:O2241"/>
    <mergeCell ref="B2232:B2233"/>
    <mergeCell ref="O2232:O2233"/>
    <mergeCell ref="A2234:A2241"/>
    <mergeCell ref="B2234:B2235"/>
    <mergeCell ref="O2234:O2235"/>
    <mergeCell ref="B2236:B2237"/>
    <mergeCell ref="O2236:O2237"/>
    <mergeCell ref="A2226:A2233"/>
    <mergeCell ref="B2226:B2227"/>
    <mergeCell ref="O2226:O2227"/>
    <mergeCell ref="B2228:B2229"/>
    <mergeCell ref="O2228:O2229"/>
    <mergeCell ref="B2230:B2231"/>
    <mergeCell ref="O2230:O2231"/>
    <mergeCell ref="B2254:B2255"/>
    <mergeCell ref="O2254:O2255"/>
    <mergeCell ref="B2256:B2257"/>
    <mergeCell ref="O2256:O2257"/>
    <mergeCell ref="B2248:B2249"/>
    <mergeCell ref="O2248:O2249"/>
    <mergeCell ref="A2250:A2257"/>
    <mergeCell ref="B2250:B2251"/>
    <mergeCell ref="O2250:O2251"/>
    <mergeCell ref="B2252:B2253"/>
    <mergeCell ref="O2252:O2253"/>
    <mergeCell ref="A2242:A2249"/>
    <mergeCell ref="B2242:B2243"/>
    <mergeCell ref="O2242:O2243"/>
    <mergeCell ref="B2244:B2245"/>
    <mergeCell ref="O2244:O2245"/>
    <mergeCell ref="B2246:B2247"/>
    <mergeCell ref="O2246:O2247"/>
    <mergeCell ref="B2270:B2271"/>
    <mergeCell ref="O2270:O2271"/>
    <mergeCell ref="B2272:B2273"/>
    <mergeCell ref="O2272:O2273"/>
    <mergeCell ref="B2264:B2265"/>
    <mergeCell ref="O2264:O2265"/>
    <mergeCell ref="A2266:A2273"/>
    <mergeCell ref="B2266:B2267"/>
    <mergeCell ref="O2266:O2267"/>
    <mergeCell ref="B2268:B2269"/>
    <mergeCell ref="O2268:O2269"/>
    <mergeCell ref="A2258:A2265"/>
    <mergeCell ref="B2258:B2259"/>
    <mergeCell ref="O2258:O2259"/>
    <mergeCell ref="B2260:B2261"/>
    <mergeCell ref="O2260:O2261"/>
    <mergeCell ref="B2262:B2263"/>
    <mergeCell ref="O2262:O2263"/>
    <mergeCell ref="B2286:B2287"/>
    <mergeCell ref="O2286:O2287"/>
    <mergeCell ref="B2288:B2289"/>
    <mergeCell ref="O2288:O2289"/>
    <mergeCell ref="B2280:B2281"/>
    <mergeCell ref="O2280:O2281"/>
    <mergeCell ref="A2282:A2289"/>
    <mergeCell ref="B2282:B2283"/>
    <mergeCell ref="O2282:O2283"/>
    <mergeCell ref="B2284:B2285"/>
    <mergeCell ref="O2284:O2285"/>
    <mergeCell ref="A2274:A2281"/>
    <mergeCell ref="B2274:B2275"/>
    <mergeCell ref="O2274:O2275"/>
    <mergeCell ref="B2276:B2277"/>
    <mergeCell ref="O2276:O2277"/>
    <mergeCell ref="B2278:B2279"/>
    <mergeCell ref="O2278:O2279"/>
    <mergeCell ref="B2302:B2303"/>
    <mergeCell ref="O2302:O2303"/>
    <mergeCell ref="B2304:B2305"/>
    <mergeCell ref="O2304:O2305"/>
    <mergeCell ref="B2296:B2297"/>
    <mergeCell ref="O2296:O2297"/>
    <mergeCell ref="A2298:A2305"/>
    <mergeCell ref="B2298:B2299"/>
    <mergeCell ref="O2298:O2299"/>
    <mergeCell ref="B2300:B2301"/>
    <mergeCell ref="O2300:O2301"/>
    <mergeCell ref="A2290:A2297"/>
    <mergeCell ref="B2290:B2291"/>
    <mergeCell ref="O2290:O2291"/>
    <mergeCell ref="B2292:B2293"/>
    <mergeCell ref="O2292:O2293"/>
    <mergeCell ref="B2294:B2295"/>
    <mergeCell ref="O2294:O2295"/>
    <mergeCell ref="B2318:B2319"/>
    <mergeCell ref="O2318:O2319"/>
    <mergeCell ref="B2320:B2321"/>
    <mergeCell ref="O2320:O2321"/>
    <mergeCell ref="B2312:B2313"/>
    <mergeCell ref="O2312:O2313"/>
    <mergeCell ref="A2314:A2321"/>
    <mergeCell ref="B2314:B2315"/>
    <mergeCell ref="O2314:O2315"/>
    <mergeCell ref="B2316:B2317"/>
    <mergeCell ref="O2316:O2317"/>
    <mergeCell ref="A2306:A2313"/>
    <mergeCell ref="B2306:B2307"/>
    <mergeCell ref="O2306:O2307"/>
    <mergeCell ref="B2308:B2309"/>
    <mergeCell ref="O2308:O2309"/>
    <mergeCell ref="B2310:B2311"/>
    <mergeCell ref="O2310:O2311"/>
    <mergeCell ref="B2334:B2335"/>
    <mergeCell ref="O2334:O2335"/>
    <mergeCell ref="B2336:B2337"/>
    <mergeCell ref="O2336:O2337"/>
    <mergeCell ref="B2328:B2329"/>
    <mergeCell ref="O2328:O2329"/>
    <mergeCell ref="A2330:A2337"/>
    <mergeCell ref="B2330:B2331"/>
    <mergeCell ref="O2330:O2331"/>
    <mergeCell ref="B2332:B2333"/>
    <mergeCell ref="O2332:O2333"/>
    <mergeCell ref="A2322:A2329"/>
    <mergeCell ref="B2322:B2323"/>
    <mergeCell ref="O2322:O2323"/>
    <mergeCell ref="B2324:B2325"/>
    <mergeCell ref="O2324:O2325"/>
    <mergeCell ref="B2326:B2327"/>
    <mergeCell ref="O2326:O2327"/>
    <mergeCell ref="B2350:B2351"/>
    <mergeCell ref="O2350:O2351"/>
    <mergeCell ref="B2352:B2353"/>
    <mergeCell ref="O2352:O2353"/>
    <mergeCell ref="B2344:B2345"/>
    <mergeCell ref="O2344:O2345"/>
    <mergeCell ref="A2346:A2353"/>
    <mergeCell ref="B2346:B2347"/>
    <mergeCell ref="O2346:O2347"/>
    <mergeCell ref="B2348:B2349"/>
    <mergeCell ref="O2348:O2349"/>
    <mergeCell ref="A2338:A2345"/>
    <mergeCell ref="B2338:B2339"/>
    <mergeCell ref="O2338:O2339"/>
    <mergeCell ref="B2340:B2341"/>
    <mergeCell ref="O2340:O2341"/>
    <mergeCell ref="B2342:B2343"/>
    <mergeCell ref="O2342:O2343"/>
    <mergeCell ref="B2366:B2367"/>
    <mergeCell ref="O2366:O2367"/>
    <mergeCell ref="B2368:B2369"/>
    <mergeCell ref="O2368:O2369"/>
    <mergeCell ref="B2360:B2361"/>
    <mergeCell ref="O2360:O2361"/>
    <mergeCell ref="A2362:A2369"/>
    <mergeCell ref="B2362:B2363"/>
    <mergeCell ref="O2362:O2363"/>
    <mergeCell ref="B2364:B2365"/>
    <mergeCell ref="O2364:O2365"/>
    <mergeCell ref="A2354:A2361"/>
    <mergeCell ref="B2354:B2355"/>
    <mergeCell ref="O2354:O2355"/>
    <mergeCell ref="B2356:B2357"/>
    <mergeCell ref="O2356:O2357"/>
    <mergeCell ref="B2358:B2359"/>
    <mergeCell ref="O2358:O2359"/>
    <mergeCell ref="B2382:B2383"/>
    <mergeCell ref="O2382:O2383"/>
    <mergeCell ref="B2384:B2385"/>
    <mergeCell ref="O2384:O2385"/>
    <mergeCell ref="B2376:B2377"/>
    <mergeCell ref="O2376:O2377"/>
    <mergeCell ref="A2378:A2385"/>
    <mergeCell ref="B2378:B2379"/>
    <mergeCell ref="O2378:O2379"/>
    <mergeCell ref="B2380:B2381"/>
    <mergeCell ref="O2380:O2381"/>
    <mergeCell ref="A2370:A2377"/>
    <mergeCell ref="B2370:B2371"/>
    <mergeCell ref="O2370:O2371"/>
    <mergeCell ref="B2372:B2373"/>
    <mergeCell ref="O2372:O2373"/>
    <mergeCell ref="B2374:B2375"/>
    <mergeCell ref="O2374:O2375"/>
    <mergeCell ref="B2398:B2399"/>
    <mergeCell ref="O2398:O2399"/>
    <mergeCell ref="B2400:B2401"/>
    <mergeCell ref="O2400:O2401"/>
    <mergeCell ref="B2392:B2393"/>
    <mergeCell ref="O2392:O2393"/>
    <mergeCell ref="A2394:A2401"/>
    <mergeCell ref="B2394:B2395"/>
    <mergeCell ref="O2394:O2395"/>
    <mergeCell ref="B2396:B2397"/>
    <mergeCell ref="O2396:O2397"/>
    <mergeCell ref="A2386:A2393"/>
    <mergeCell ref="B2386:B2387"/>
    <mergeCell ref="O2386:O2387"/>
    <mergeCell ref="B2388:B2389"/>
    <mergeCell ref="O2388:O2389"/>
    <mergeCell ref="B2390:B2391"/>
    <mergeCell ref="O2390:O2391"/>
    <mergeCell ref="B2414:B2415"/>
    <mergeCell ref="O2414:O2415"/>
    <mergeCell ref="B2416:B2417"/>
    <mergeCell ref="O2416:O2417"/>
    <mergeCell ref="B2408:B2409"/>
    <mergeCell ref="O2408:O2409"/>
    <mergeCell ref="A2410:A2417"/>
    <mergeCell ref="B2410:B2411"/>
    <mergeCell ref="O2410:O2411"/>
    <mergeCell ref="B2412:B2413"/>
    <mergeCell ref="O2412:O2413"/>
    <mergeCell ref="A2402:A2409"/>
    <mergeCell ref="B2402:B2403"/>
    <mergeCell ref="O2402:O2403"/>
    <mergeCell ref="B2404:B2405"/>
    <mergeCell ref="O2404:O2405"/>
    <mergeCell ref="B2406:B2407"/>
    <mergeCell ref="O2406:O2407"/>
    <mergeCell ref="B2430:B2431"/>
    <mergeCell ref="O2430:O2431"/>
    <mergeCell ref="B2432:B2433"/>
    <mergeCell ref="O2432:O2433"/>
    <mergeCell ref="B2424:B2425"/>
    <mergeCell ref="O2424:O2425"/>
    <mergeCell ref="A2426:A2433"/>
    <mergeCell ref="B2426:B2427"/>
    <mergeCell ref="O2426:O2427"/>
    <mergeCell ref="B2428:B2429"/>
    <mergeCell ref="O2428:O2429"/>
    <mergeCell ref="A2418:A2425"/>
    <mergeCell ref="B2418:B2419"/>
    <mergeCell ref="O2418:O2419"/>
    <mergeCell ref="B2420:B2421"/>
    <mergeCell ref="O2420:O2421"/>
    <mergeCell ref="B2422:B2423"/>
    <mergeCell ref="O2422:O2423"/>
    <mergeCell ref="B2446:B2447"/>
    <mergeCell ref="O2446:O2447"/>
    <mergeCell ref="B2448:B2449"/>
    <mergeCell ref="O2448:O2449"/>
    <mergeCell ref="B2440:B2441"/>
    <mergeCell ref="O2440:O2441"/>
    <mergeCell ref="A2442:A2449"/>
    <mergeCell ref="B2442:B2443"/>
    <mergeCell ref="O2442:O2443"/>
    <mergeCell ref="B2444:B2445"/>
    <mergeCell ref="O2444:O2445"/>
    <mergeCell ref="A2434:A2441"/>
    <mergeCell ref="B2434:B2435"/>
    <mergeCell ref="O2434:O2435"/>
    <mergeCell ref="B2436:B2437"/>
    <mergeCell ref="O2436:O2437"/>
    <mergeCell ref="B2438:B2439"/>
    <mergeCell ref="O2438:O2439"/>
    <mergeCell ref="B2462:B2463"/>
    <mergeCell ref="O2462:O2463"/>
    <mergeCell ref="B2464:B2465"/>
    <mergeCell ref="O2464:O2465"/>
    <mergeCell ref="B2456:B2457"/>
    <mergeCell ref="O2456:O2457"/>
    <mergeCell ref="A2458:A2465"/>
    <mergeCell ref="B2458:B2459"/>
    <mergeCell ref="O2458:O2459"/>
    <mergeCell ref="B2460:B2461"/>
    <mergeCell ref="O2460:O2461"/>
    <mergeCell ref="A2450:A2457"/>
    <mergeCell ref="B2450:B2451"/>
    <mergeCell ref="O2450:O2451"/>
    <mergeCell ref="B2452:B2453"/>
    <mergeCell ref="O2452:O2453"/>
    <mergeCell ref="B2454:B2455"/>
    <mergeCell ref="O2454:O2455"/>
    <mergeCell ref="B2478:B2479"/>
    <mergeCell ref="O2478:O2479"/>
    <mergeCell ref="B2480:B2481"/>
    <mergeCell ref="O2480:O2481"/>
    <mergeCell ref="B2472:B2473"/>
    <mergeCell ref="O2472:O2473"/>
    <mergeCell ref="A2474:A2481"/>
    <mergeCell ref="B2474:B2475"/>
    <mergeCell ref="O2474:O2475"/>
    <mergeCell ref="B2476:B2477"/>
    <mergeCell ref="O2476:O2477"/>
    <mergeCell ref="A2466:A2473"/>
    <mergeCell ref="B2466:B2467"/>
    <mergeCell ref="O2466:O2467"/>
    <mergeCell ref="B2468:B2469"/>
    <mergeCell ref="O2468:O2469"/>
    <mergeCell ref="B2470:B2471"/>
    <mergeCell ref="O2470:O2471"/>
    <mergeCell ref="B2494:B2495"/>
    <mergeCell ref="O2494:O2495"/>
    <mergeCell ref="B2496:B2497"/>
    <mergeCell ref="O2496:O2497"/>
    <mergeCell ref="B2488:B2489"/>
    <mergeCell ref="O2488:O2489"/>
    <mergeCell ref="A2490:A2497"/>
    <mergeCell ref="B2490:B2491"/>
    <mergeCell ref="O2490:O2491"/>
    <mergeCell ref="B2492:B2493"/>
    <mergeCell ref="O2492:O2493"/>
    <mergeCell ref="A2482:A2489"/>
    <mergeCell ref="B2482:B2483"/>
    <mergeCell ref="O2482:O2483"/>
    <mergeCell ref="B2484:B2485"/>
    <mergeCell ref="O2484:O2485"/>
    <mergeCell ref="B2486:B2487"/>
    <mergeCell ref="O2486:O2487"/>
  </mergeCells>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15</vt:i4>
      </vt:variant>
    </vt:vector>
  </HeadingPairs>
  <TitlesOfParts>
    <vt:vector size="15" baseType="lpstr">
      <vt:lpstr>まず</vt:lpstr>
      <vt:lpstr>総計</vt:lpstr>
      <vt:lpstr>小選挙区</vt:lpstr>
      <vt:lpstr>比例区</vt:lpstr>
      <vt:lpstr>all</vt:lpstr>
      <vt:lpstr>09</vt:lpstr>
      <vt:lpstr>05</vt:lpstr>
      <vt:lpstr>03</vt:lpstr>
      <vt:lpstr>比例データ</vt:lpstr>
      <vt:lpstr>比例予想</vt:lpstr>
      <vt:lpstr>予想計</vt:lpstr>
      <vt:lpstr>結果(小)</vt:lpstr>
      <vt:lpstr>結果(比)</vt:lpstr>
      <vt:lpstr>結果(総計)</vt:lpstr>
      <vt:lpstr>Sheet11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2012-12-10T10:04:54Z</dcterms:modified>
</cp:coreProperties>
</file>